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13.xml"/>
  <Override ContentType="application/vnd.openxmlformats-officedocument.drawingml.chart+xml" PartName="/xl/charts/chart44.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39.xml"/>
  <Override ContentType="application/vnd.openxmlformats-officedocument.drawingml.chart+xml" PartName="/xl/charts/chart35.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16.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37.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40.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hidden" name="Claude Cache" sheetId="2" r:id="rId6"/>
    <sheet state="visible" name="Positions" sheetId="3" r:id="rId7"/>
    <sheet state="visible" name="Rebalancing" sheetId="4" r:id="rId8"/>
    <sheet state="visible" name="Sold Positions" sheetId="5" r:id="rId9"/>
    <sheet state="visible" name="Dividend Log" sheetId="6" r:id="rId10"/>
    <sheet state="visible" name="Monthly Data " sheetId="7" r:id="rId11"/>
    <sheet state="visible" name="Annual Data" sheetId="8" r:id="rId12"/>
    <sheet state="visible" name="Watchlist" sheetId="9" r:id="rId13"/>
    <sheet state="visible" name="My Lab" sheetId="10" r:id="rId14"/>
    <sheet state="visible" name="Intrinsic Values List" sheetId="11" r:id="rId15"/>
    <sheet state="visible" name="Super Investors Buys" sheetId="12" r:id="rId16"/>
    <sheet state="visible" name="Portfolio Projections" sheetId="13" r:id="rId17"/>
    <sheet state="visible" name="Stock Analyzer" sheetId="14" r:id="rId18"/>
    <sheet state="visible" name="Salary &amp; Retirement Plan" sheetId="15" r:id="rId19"/>
    <sheet state="visible" name="Passive Income Tracking" sheetId="16" r:id="rId20"/>
    <sheet state="visible" name="Regla 4% (20 años)" sheetId="17" r:id="rId21"/>
    <sheet state="visible" name="Regla 4% (30 años)" sheetId="18" r:id="rId22"/>
    <sheet state="visible" name="Regla 4% (40 años)" sheetId="19" r:id="rId23"/>
    <sheet state="visible" name="Historic_Data" sheetId="20" r:id="rId24"/>
    <sheet state="visible" name="MSFT-nov24" sheetId="21" r:id="rId25"/>
    <sheet state="visible" name="DIS-nov24" sheetId="22" r:id="rId26"/>
    <sheet state="visible" name="TGT-nov24" sheetId="23" r:id="rId27"/>
    <sheet state="visible" name="JPM-nov24" sheetId="24" r:id="rId28"/>
    <sheet state="visible" name="KO-nov24" sheetId="25" r:id="rId29"/>
    <sheet state="visible" name="O-nov24" sheetId="26" r:id="rId30"/>
  </sheets>
  <definedNames>
    <definedName hidden="1" localSheetId="8" name="_xlnm._FilterDatabase">Watchlist!$A$40:$Q$301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tc={b583a30e-f65c-439c-bc68-9ea069529d6b}</author>
    <author>tc={e48dd5dd-4229-4f1a-93b1-95a892f38216}</author>
  </authors>
  <commentList>
    <comment authorId="0" xr:uid="{b583a30e-f65c-439c-bc68-9ea069529d6b}" ref="A1">
      <text>
        <t xml:space="preserve">[Threaded comment]
 Your version of Excel allows you to read this threaded comment; however, any edits to it will get removed if the file is opened in a newer version of Excel. Learn more: https://go.microsoft.com/fwlink/?linkid=870924
Comment:
	fff
</t>
      </text>
    </comment>
    <comment authorId="1" xr:uid="{e48dd5dd-4229-4f1a-93b1-95a892f38216}" ref="A1">
      <text>
        <t xml:space="preserve">[Threaded comment]
 Your version of Excel allows you to read this threaded comment; however, any edits to it will get removed if the file is opened in a newer version of Excel. Learn more: https://go.microsoft.com/fwlink/?linkid=870924
Comment:
	TGT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tc={1227890d-e856-417b-91d0-714c31bb548c}</author>
  </authors>
  <commentList>
    <comment authorId="0" xr:uid="{1227890d-e856-417b-91d0-714c31bb548c}" ref="A2">
      <text>
        <t xml:space="preserve">[Threaded comment]
 Your version of Excel allows you to read this threaded comment; however, any edits to it will get removed if the file is opened in a newer version of Excel. Learn more: https://go.microsoft.com/fwlink/?linkid=870924
Comment:
	Sold by Mistake (default Fidelity's FIFO method)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tc={35a886a9-b663-490a-ac42-743f1964524b}</author>
  </authors>
  <commentList>
    <comment authorId="0" xr:uid="{35a886a9-b663-490a-ac42-743f1964524b}" ref="F2">
      <text>
        <t xml:space="preserve">[Threaded comment]
 Your version of Excel allows you to read this threaded comment; however, any edits to it will get removed if the file is opened in a newer version of Excel. Learn more: https://go.microsoft.com/fwlink/?linkid=870924
Comment:
	Time-Weighted Return (TWR). Measures Jan–Dec investment performance, excluding cash flows. Used for fair comparison with the S&amp;P 500. Current year shows YTD.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tc={197b5c33-5634-46e9-ba89-82056f30b0fc}</author>
    <author>tc={40807d65-91e1-418b-af61-57d66aa4b134}</author>
    <author>tc={8ca0067b-8154-40a9-8cf8-58d93415aaab}</author>
    <author>tc={94236f50-9212-467d-bdb5-02b1a6019ffc}</author>
    <author>tc={b2f5d4b6-a4f3-40dc-becf-cd18dd4b2b0e}</author>
  </authors>
  <commentList>
    <comment authorId="0" xr:uid="{197b5c33-5634-46e9-ba89-82056f30b0fc}" ref="N16">
      <text>
        <t xml:space="preserve">[Threaded comment]
 Your version of Excel allows you to read this threaded comment; however, any edits to it will get removed if the file is opened in a newer version of Excel. Learn more: https://go.microsoft.com/fwlink/?linkid=870924
Comment:
	Original Formula with the FCF growth average
</t>
      </text>
    </comment>
    <comment authorId="1" xr:uid="{40807d65-91e1-418b-af61-57d66aa4b134}" ref="T20">
      <text>
        <t xml:space="preserve">[Threaded comment]
 Your version of Excel allows you to read this threaded comment; however, any edits to it will get removed if the file is opened in a newer version of Excel. Learn more: https://go.microsoft.com/fwlink/?linkid=870924
Comment:
	https://seekingalpha.com/
(YoY Growth)
</t>
      </text>
    </comment>
    <comment authorId="2" xr:uid="{8ca0067b-8154-40a9-8cf8-58d93415aaab}" ref="H23">
      <text>
        <t xml:space="preserve">[Threaded comment]
 Your version of Excel allows you to read this threaded comment; however, any edits to it will get removed if the file is opened in a newer version of Excel. Learn more: https://go.microsoft.com/fwlink/?linkid=870924
Comment:
	Look for data (marker competitors) here:
https://seekingalpha.com/ 
https://digital.fidelity.com/prgw/digital/research/src
</t>
      </text>
    </comment>
    <comment authorId="3" xr:uid="{94236f50-9212-467d-bdb5-02b1a6019ffc}" ref="T23">
      <text>
        <t xml:space="preserve">[Threaded comment]
 Your version of Excel allows you to read this threaded comment; however, any edits to it will get removed if the file is opened in a newer version of Excel. Learn more: https://go.microsoft.com/fwlink/?linkid=870924
Comment:
	https://fred.stlouisfed.org/series/AAA
</t>
      </text>
    </comment>
    <comment authorId="4" xr:uid="{b2f5d4b6-a4f3-40dc-becf-cd18dd4b2b0e}" ref="K10">
      <text>
        <t xml:space="preserve">[Threaded comment]
 Your version of Excel allows you to read this threaded comment; however, any edits to it will get removed if the file is opened in a newer version of Excel. Learn more: https://go.microsoft.com/fwlink/?linkid=870924
Comment:
	Mean Discarding the extreme values (largest and lowest)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tc={ac595a44-0776-4a64-a3d8-b3107eb387f5}</author>
  </authors>
  <commentList>
    <comment authorId="0" xr:uid="{ac595a44-0776-4a64-a3d8-b3107eb387f5}" ref="J6">
      <text>
        <t xml:space="preserve">[Threaded comment]
 Your version of Excel allows you to read this threaded comment; however, any edits to it will get removed if the file is opened in a newer version of Excel. Learn more: https://go.microsoft.com/fwlink/?linkid=870924
Comment:
	Insert here business expenses for deduction.
</t>
      </text>
    </comment>
  </commentList>
</comments>
</file>

<file path=xl/sharedStrings.xml><?xml version="1.0" encoding="utf-8"?>
<sst xmlns="http://schemas.openxmlformats.org/spreadsheetml/2006/main" count="8663" uniqueCount="1357">
  <si>
    <t xml:space="preserve"> </t>
  </si>
  <si>
    <t>PORTFOLIO FIDELITY 2024</t>
  </si>
  <si>
    <t>OVERVIEW</t>
  </si>
  <si>
    <t>PERFORMANCE</t>
  </si>
  <si>
    <t>DIVIDEND STATS</t>
  </si>
  <si>
    <t>DIVIDEND INCOME EXPECTED</t>
  </si>
  <si>
    <t>Total Holdings:</t>
  </si>
  <si>
    <t>Notes</t>
  </si>
  <si>
    <t>Cost Basis</t>
  </si>
  <si>
    <t>Market Value</t>
  </si>
  <si>
    <t>Market Return ($)</t>
  </si>
  <si>
    <t>Market Return (%)</t>
  </si>
  <si>
    <t>Dividend Yield</t>
  </si>
  <si>
    <t>Yield On Cost</t>
  </si>
  <si>
    <t>Annual</t>
  </si>
  <si>
    <t>Monthly</t>
  </si>
  <si>
    <t>Investment Strategy:</t>
  </si>
  <si>
    <t xml:space="preserve">- Focus on using capital for dividend growth companies and potential capital gains.
- Increase allocation in ETFs/index funds.
- Keep cash position between 10% and 15%.
- Max allocation: 10% per stock and 20% per ETF.
- No more than 30 holdings.
</t>
  </si>
  <si>
    <t>Day Gain ($)</t>
  </si>
  <si>
    <t>Day Gain (%)</t>
  </si>
  <si>
    <t>Total Return ($)</t>
  </si>
  <si>
    <t>Total Return (%)</t>
  </si>
  <si>
    <t>Div. Growth Rate</t>
  </si>
  <si>
    <t>Div. Received</t>
  </si>
  <si>
    <t>Weekly</t>
  </si>
  <si>
    <t>Daily</t>
  </si>
  <si>
    <t>Advice to keep in mind:</t>
  </si>
  <si>
    <t>CASH</t>
  </si>
  <si>
    <t>SOLD POSITIONS</t>
  </si>
  <si>
    <t>ESTIMATED TAXES (2024)</t>
  </si>
  <si>
    <t>DIVIDEND INCOME CUMULATED</t>
  </si>
  <si>
    <t xml:space="preserve">- Take some profits from all positions that don't align with long-term goals by trimming or selling if:
      * growth type: when they fully recover or are overvalued.
      * value type: when they cut the dividend.
- Rebalance the portfolio to align with the allocation target by adding money in specific categories and cutting some positions if they are too overexposed.
- Find a sweet spot between not selling at all, no matter what, and selling if the company is overvalued, no matter what.
       * If the position is highly overvalued and rebalancing others cannot reduce its allocation, trimming it and taking profits could make sense. Otherwise, adding to other positions reduces the allocation of the one that is overexposed.
- Don't overthink whether the business is good by waiting for the right price. Don't let stock price inform valuation opinion. Just go for it; don't miss the opportunity to enter right away or to keep increasing your position.
- Don't skip your portfolio contributions; try to deposit at least a small amount every month. </t>
  </si>
  <si>
    <t>Available to trade</t>
  </si>
  <si>
    <t>Dividend</t>
  </si>
  <si>
    <t>Sold Positions</t>
  </si>
  <si>
    <t>Weighting (Market Value)</t>
  </si>
  <si>
    <t>Total</t>
  </si>
  <si>
    <t>Opportunities Screening</t>
  </si>
  <si>
    <t>Watchlist</t>
  </si>
  <si>
    <t>Portfolio</t>
  </si>
  <si>
    <t>Dividend Dashboard</t>
  </si>
  <si>
    <t>Performance</t>
  </si>
  <si>
    <t xml:space="preserve">YTD Annual Return </t>
  </si>
  <si>
    <t>Portfolio Projection</t>
  </si>
  <si>
    <t>Years</t>
  </si>
  <si>
    <t>S&amp;P 500</t>
  </si>
  <si>
    <t>Projected Value</t>
  </si>
  <si>
    <t>Difference</t>
  </si>
  <si>
    <t>Monthly Contrib.</t>
  </si>
  <si>
    <t>Foward Income Expected Goals</t>
  </si>
  <si>
    <t>All times Portfolio Income Rank</t>
  </si>
  <si>
    <t>$1 a day</t>
  </si>
  <si>
    <t>$50 a month</t>
  </si>
  <si>
    <t>$100 a month</t>
  </si>
  <si>
    <t>$5 a day</t>
  </si>
  <si>
    <t>$200 a month</t>
  </si>
  <si>
    <t>$500 a month</t>
  </si>
  <si>
    <t>$1000 a month</t>
  </si>
  <si>
    <t>$2000 a month</t>
  </si>
  <si>
    <t>✅ Top Dividend Payers</t>
  </si>
  <si>
    <t>❌ Bottom Dividend Payers</t>
  </si>
  <si>
    <t>1st</t>
  </si>
  <si>
    <t>2nd</t>
  </si>
  <si>
    <t>3rd</t>
  </si>
  <si>
    <t>4th</t>
  </si>
  <si>
    <t>5th</t>
  </si>
  <si>
    <t>Percent of Total Income</t>
  </si>
  <si>
    <t>⚠️ SHEET RESERVED FOR =CLAUDE... FUNCTIONS. DO NOT EDIT! ⚠️</t>
  </si>
  <si>
    <t>Key</t>
  </si>
  <si>
    <t>Value</t>
  </si>
  <si>
    <t>Expiration</t>
  </si>
  <si>
    <t>Ticker</t>
  </si>
  <si>
    <t>Company Name</t>
  </si>
  <si>
    <t>View On Seeking Alpha</t>
  </si>
  <si>
    <t># of Shares</t>
  </si>
  <si>
    <t>Avg. Cost Per Share</t>
  </si>
  <si>
    <t>Share Price</t>
  </si>
  <si>
    <t>Intrinsic Value</t>
  </si>
  <si>
    <t>InvT Score</t>
  </si>
  <si>
    <t>Day Change / Share ($)</t>
  </si>
  <si>
    <t>Day Change / Share (%)</t>
  </si>
  <si>
    <t>Overall Day Change ($)</t>
  </si>
  <si>
    <t>52 Week Low</t>
  </si>
  <si>
    <t>52 Week Range</t>
  </si>
  <si>
    <t>52 Week High</t>
  </si>
  <si>
    <t>Security Type</t>
  </si>
  <si>
    <t>Sector</t>
  </si>
  <si>
    <t>Category</t>
  </si>
  <si>
    <t>Portfolio Allocation</t>
  </si>
  <si>
    <t>Annual Dividend</t>
  </si>
  <si>
    <t>5 Year Dividend Growth Rate</t>
  </si>
  <si>
    <t>Annual Dividend Income</t>
  </si>
  <si>
    <t>Percentage of Total Income</t>
  </si>
  <si>
    <t>Total Dividends Received</t>
  </si>
  <si>
    <t>Annual Shares Purch. w/ Div.</t>
  </si>
  <si>
    <t>Distance From Intrinsic Value</t>
  </si>
  <si>
    <t>Intrinsic Value Signal</t>
  </si>
  <si>
    <t>Distance From Avg. Cost</t>
  </si>
  <si>
    <t>Avg. Cost Signal</t>
  </si>
  <si>
    <t>DO NOT DELETE THIS COLUMN</t>
  </si>
  <si>
    <t>GOOGL</t>
  </si>
  <si>
    <t>Stocks</t>
  </si>
  <si>
    <t>Information Technology</t>
  </si>
  <si>
    <t>Growth</t>
  </si>
  <si>
    <t>MSFT</t>
  </si>
  <si>
    <t>DIS</t>
  </si>
  <si>
    <t>Communication Services</t>
  </si>
  <si>
    <t>TGT</t>
  </si>
  <si>
    <t>Consumer Staples</t>
  </si>
  <si>
    <t>SBUX</t>
  </si>
  <si>
    <t>Consumer Discretionary</t>
  </si>
  <si>
    <t>JPM</t>
  </si>
  <si>
    <t>Financials</t>
  </si>
  <si>
    <t>Value Stocks</t>
  </si>
  <si>
    <t>KO</t>
  </si>
  <si>
    <t>O</t>
  </si>
  <si>
    <t>Real Estate</t>
  </si>
  <si>
    <t>VICI</t>
  </si>
  <si>
    <t>UNH</t>
  </si>
  <si>
    <t>Health Care</t>
  </si>
  <si>
    <t>VGT</t>
  </si>
  <si>
    <t>ETFs</t>
  </si>
  <si>
    <t>ETF</t>
  </si>
  <si>
    <t>VOO</t>
  </si>
  <si>
    <t>Foundational</t>
  </si>
  <si>
    <t>VTI</t>
  </si>
  <si>
    <t>SCHD</t>
  </si>
  <si>
    <t>VIG</t>
  </si>
  <si>
    <t>VXUS</t>
  </si>
  <si>
    <t>International Market</t>
  </si>
  <si>
    <t>BND</t>
  </si>
  <si>
    <t>Bonds</t>
  </si>
  <si>
    <t>US Bonds</t>
  </si>
  <si>
    <t>(Select Security)</t>
  </si>
  <si>
    <t>(Select)</t>
  </si>
  <si>
    <t>&lt;--  Total Holdings</t>
  </si>
  <si>
    <t>Cash</t>
  </si>
  <si>
    <t>Weighting</t>
  </si>
  <si>
    <t>Moderate / Growth portfolio</t>
  </si>
  <si>
    <t>Dividend / Income portfolio</t>
  </si>
  <si>
    <t>Value Stocks (Dividend)</t>
  </si>
  <si>
    <t>Foundational (Total Market)</t>
  </si>
  <si>
    <t>Shares Buying Power</t>
  </si>
  <si>
    <t># Shares to buy</t>
  </si>
  <si>
    <t>Shares Cost</t>
  </si>
  <si>
    <t>New Market Value</t>
  </si>
  <si>
    <t>New Allocation</t>
  </si>
  <si>
    <t>New Avg. Cost Per Share</t>
  </si>
  <si>
    <t>Buying Power</t>
  </si>
  <si>
    <t>Remaining</t>
  </si>
  <si>
    <t>Date Sold</t>
  </si>
  <si>
    <t>Sale Price</t>
  </si>
  <si>
    <t>Current Price</t>
  </si>
  <si>
    <t>Expected Tax</t>
  </si>
  <si>
    <t>WALKTHROUGH</t>
  </si>
  <si>
    <t>Click the link below for the spreadsheet walkthrough video on YouTube.</t>
  </si>
  <si>
    <t>WATCH HERE</t>
  </si>
  <si>
    <t>Income Dividend Cumulated</t>
  </si>
  <si>
    <t>CASH Interest</t>
  </si>
  <si>
    <t>TOTAL</t>
  </si>
  <si>
    <t>SPAXX</t>
  </si>
  <si>
    <t>All Times</t>
  </si>
  <si>
    <t>Highest Month Income</t>
  </si>
  <si>
    <t>January</t>
  </si>
  <si>
    <t>February</t>
  </si>
  <si>
    <t>March</t>
  </si>
  <si>
    <t>April</t>
  </si>
  <si>
    <t>May</t>
  </si>
  <si>
    <t>June</t>
  </si>
  <si>
    <t>July</t>
  </si>
  <si>
    <t>August</t>
  </si>
  <si>
    <t>September</t>
  </si>
  <si>
    <t>October</t>
  </si>
  <si>
    <t>November</t>
  </si>
  <si>
    <t>December</t>
  </si>
  <si>
    <t>Starting Investment</t>
  </si>
  <si>
    <t>Monthly Income Distribution</t>
  </si>
  <si>
    <t>Portfolio Value (considering DRIP)</t>
  </si>
  <si>
    <t>Monthly Contributions</t>
  </si>
  <si>
    <t>Dividend Income</t>
  </si>
  <si>
    <t>Accumulated Investment</t>
  </si>
  <si>
    <t>Total Return</t>
  </si>
  <si>
    <t>Portfolio Yield (%)</t>
  </si>
  <si>
    <t>Month</t>
  </si>
  <si>
    <t>YOY Growth (%)</t>
  </si>
  <si>
    <t>January 24</t>
  </si>
  <si>
    <t>February 24</t>
  </si>
  <si>
    <t>March 24</t>
  </si>
  <si>
    <t>April 24</t>
  </si>
  <si>
    <t>May 24</t>
  </si>
  <si>
    <t>June 24</t>
  </si>
  <si>
    <t>July 24</t>
  </si>
  <si>
    <t>August 24</t>
  </si>
  <si>
    <t>September 24</t>
  </si>
  <si>
    <t>October 24</t>
  </si>
  <si>
    <t>November 24</t>
  </si>
  <si>
    <t>December 24</t>
  </si>
  <si>
    <t>January 25</t>
  </si>
  <si>
    <t>Best Month Income</t>
  </si>
  <si>
    <t>February 25</t>
  </si>
  <si>
    <t>March 25</t>
  </si>
  <si>
    <t>Total Income</t>
  </si>
  <si>
    <t>April 25</t>
  </si>
  <si>
    <t>May 25</t>
  </si>
  <si>
    <t>June 25</t>
  </si>
  <si>
    <t>July 25</t>
  </si>
  <si>
    <t>August 25</t>
  </si>
  <si>
    <t>September 25</t>
  </si>
  <si>
    <t>October 25</t>
  </si>
  <si>
    <t>November 25</t>
  </si>
  <si>
    <t>December 25</t>
  </si>
  <si>
    <t>January 26</t>
  </si>
  <si>
    <t>February 26</t>
  </si>
  <si>
    <t>March 26</t>
  </si>
  <si>
    <t>April 26</t>
  </si>
  <si>
    <t>May 26</t>
  </si>
  <si>
    <t>June 26</t>
  </si>
  <si>
    <t>July 26</t>
  </si>
  <si>
    <t>August 26</t>
  </si>
  <si>
    <t>September 26</t>
  </si>
  <si>
    <t>October 26</t>
  </si>
  <si>
    <t>November 26</t>
  </si>
  <si>
    <t>December 26</t>
  </si>
  <si>
    <t>January 27</t>
  </si>
  <si>
    <t>February 27</t>
  </si>
  <si>
    <t>March 27</t>
  </si>
  <si>
    <t>April 27</t>
  </si>
  <si>
    <t>May 27</t>
  </si>
  <si>
    <t>June 27</t>
  </si>
  <si>
    <t>July 27</t>
  </si>
  <si>
    <t>August 27</t>
  </si>
  <si>
    <t>September 27</t>
  </si>
  <si>
    <t>October 27</t>
  </si>
  <si>
    <t>November 27</t>
  </si>
  <si>
    <t>December 27</t>
  </si>
  <si>
    <t>January 28</t>
  </si>
  <si>
    <t>February 28</t>
  </si>
  <si>
    <t>March 28</t>
  </si>
  <si>
    <t>April 28</t>
  </si>
  <si>
    <t>May 28</t>
  </si>
  <si>
    <t>June 28</t>
  </si>
  <si>
    <t>July 28</t>
  </si>
  <si>
    <t>August 28</t>
  </si>
  <si>
    <t>September 28</t>
  </si>
  <si>
    <t>October 28</t>
  </si>
  <si>
    <t>November 28</t>
  </si>
  <si>
    <t>December 28</t>
  </si>
  <si>
    <t>January 29</t>
  </si>
  <si>
    <t>February 29</t>
  </si>
  <si>
    <t>March 29</t>
  </si>
  <si>
    <t>April 29</t>
  </si>
  <si>
    <t>May 29</t>
  </si>
  <si>
    <t>June 29</t>
  </si>
  <si>
    <t>July 29</t>
  </si>
  <si>
    <t>August 29</t>
  </si>
  <si>
    <t>September 29</t>
  </si>
  <si>
    <t>October 29</t>
  </si>
  <si>
    <t>November 29</t>
  </si>
  <si>
    <t>December 29</t>
  </si>
  <si>
    <t>January 30</t>
  </si>
  <si>
    <t>February 30</t>
  </si>
  <si>
    <t>March 30</t>
  </si>
  <si>
    <t>April 30</t>
  </si>
  <si>
    <t>May 30</t>
  </si>
  <si>
    <t>June 30</t>
  </si>
  <si>
    <t>July 30</t>
  </si>
  <si>
    <t>August 30</t>
  </si>
  <si>
    <t>September 30</t>
  </si>
  <si>
    <t>October 30</t>
  </si>
  <si>
    <t>November 30</t>
  </si>
  <si>
    <t>December 30</t>
  </si>
  <si>
    <t>January 31</t>
  </si>
  <si>
    <t>February 31</t>
  </si>
  <si>
    <t>March 31</t>
  </si>
  <si>
    <t>April 31</t>
  </si>
  <si>
    <t>May 31</t>
  </si>
  <si>
    <t>June 31</t>
  </si>
  <si>
    <t>July 31</t>
  </si>
  <si>
    <t>August 31</t>
  </si>
  <si>
    <t>September 31</t>
  </si>
  <si>
    <t>October 31</t>
  </si>
  <si>
    <t>November 31</t>
  </si>
  <si>
    <t>December 31</t>
  </si>
  <si>
    <t>S&amp;P500</t>
  </si>
  <si>
    <t>Portfolio Value</t>
  </si>
  <si>
    <t>Annual Contributions</t>
  </si>
  <si>
    <t>S&amp;P500 Yield (%)</t>
  </si>
  <si>
    <t>Current</t>
  </si>
  <si>
    <t>2024</t>
  </si>
  <si>
    <t>2025</t>
  </si>
  <si>
    <t>2026</t>
  </si>
  <si>
    <t>2027</t>
  </si>
  <si>
    <t>2028</t>
  </si>
  <si>
    <t>2029</t>
  </si>
  <si>
    <t>2030</t>
  </si>
  <si>
    <t>2031</t>
  </si>
  <si>
    <t>https://finance.yahoo.com/quote/%5EGSPC/</t>
  </si>
  <si>
    <t>InvT SCore</t>
  </si>
  <si>
    <t>Priority</t>
  </si>
  <si>
    <t>Distance From Intrinsic</t>
  </si>
  <si>
    <t>P/E Ratio</t>
  </si>
  <si>
    <t>EPS</t>
  </si>
  <si>
    <t>Annual Income (100 Shares)</t>
  </si>
  <si>
    <t>How Much Invested For 100 Shares</t>
  </si>
  <si>
    <t>DO NOT DELETE</t>
  </si>
  <si>
    <t>Signal</t>
  </si>
  <si>
    <t>AAPL</t>
  </si>
  <si>
    <t>High</t>
  </si>
  <si>
    <t>V</t>
  </si>
  <si>
    <t>Low</t>
  </si>
  <si>
    <t>PEP</t>
  </si>
  <si>
    <t>MO</t>
  </si>
  <si>
    <t>ABBV</t>
  </si>
  <si>
    <t>JNJ</t>
  </si>
  <si>
    <t>COST</t>
  </si>
  <si>
    <t>TXRH</t>
  </si>
  <si>
    <t>CMG</t>
  </si>
  <si>
    <t>STZ</t>
  </si>
  <si>
    <t>CMCSA</t>
  </si>
  <si>
    <t>CVX</t>
  </si>
  <si>
    <t>Energy</t>
  </si>
  <si>
    <t>PG</t>
  </si>
  <si>
    <t>HD</t>
  </si>
  <si>
    <t>From My Lab</t>
  </si>
  <si>
    <t>Already bought?</t>
  </si>
  <si>
    <t>Endeuda2</t>
  </si>
  <si>
    <t>Research</t>
  </si>
  <si>
    <t>Frequency  --&gt;</t>
  </si>
  <si>
    <t>Tiker</t>
  </si>
  <si>
    <t>Freq</t>
  </si>
  <si>
    <t>Number of References</t>
  </si>
  <si>
    <t>ALLY</t>
  </si>
  <si>
    <t>FXAIX</t>
  </si>
  <si>
    <t>Index Fund</t>
  </si>
  <si>
    <t>FZILX</t>
  </si>
  <si>
    <t>NVDA</t>
  </si>
  <si>
    <t>T</t>
  </si>
  <si>
    <t>VNQ</t>
  </si>
  <si>
    <t>NU</t>
  </si>
  <si>
    <t>VEU</t>
  </si>
  <si>
    <t>MNST</t>
  </si>
  <si>
    <t>&lt;--  Total Holdings                         Last Update --&gt;</t>
  </si>
  <si>
    <t>https://www.youtube.com/watch?v=JKIcVdr2Yh0&amp;t=1592s</t>
  </si>
  <si>
    <t>Fern Finance Main</t>
  </si>
  <si>
    <t>META</t>
  </si>
  <si>
    <t>AMZN</t>
  </si>
  <si>
    <t>TLT</t>
  </si>
  <si>
    <t>TSN</t>
  </si>
  <si>
    <t>INTC</t>
  </si>
  <si>
    <t>BA</t>
  </si>
  <si>
    <t>NKE</t>
  </si>
  <si>
    <t>PFE</t>
  </si>
  <si>
    <t>CELH</t>
  </si>
  <si>
    <t>UPS</t>
  </si>
  <si>
    <t>HSY</t>
  </si>
  <si>
    <t>AMD</t>
  </si>
  <si>
    <t>UBER</t>
  </si>
  <si>
    <t>ELF</t>
  </si>
  <si>
    <t>https://www.youtube.com/watch?v=6-c50nhxd1s</t>
  </si>
  <si>
    <t>Fern Finance Dividend</t>
  </si>
  <si>
    <t>WEN</t>
  </si>
  <si>
    <t>CCI</t>
  </si>
  <si>
    <t xml:space="preserve">F </t>
  </si>
  <si>
    <t>BMY</t>
  </si>
  <si>
    <t>https://www.youtube.com/watch?v=ws2LCfG1h6k</t>
  </si>
  <si>
    <t>Ryne Williams</t>
  </si>
  <si>
    <t>EPD</t>
  </si>
  <si>
    <t>KRC</t>
  </si>
  <si>
    <t>LOW</t>
  </si>
  <si>
    <t>MAIN</t>
  </si>
  <si>
    <t>OBDC</t>
  </si>
  <si>
    <t>SNA</t>
  </si>
  <si>
    <t>WPC</t>
  </si>
  <si>
    <t>WSM</t>
  </si>
  <si>
    <t>YOU</t>
  </si>
  <si>
    <t>https://www.youtube.com/watch?v=V_X-AGDijgU&amp;t=339s</t>
  </si>
  <si>
    <t>Dividendology</t>
  </si>
  <si>
    <t>MMM</t>
  </si>
  <si>
    <t>BAC</t>
  </si>
  <si>
    <t>DPZ</t>
  </si>
  <si>
    <t>JEPI</t>
  </si>
  <si>
    <t>TXN</t>
  </si>
  <si>
    <t>CAT</t>
  </si>
  <si>
    <t>TROW</t>
  </si>
  <si>
    <t>CSCO</t>
  </si>
  <si>
    <t>AVGO</t>
  </si>
  <si>
    <t>JEF</t>
  </si>
  <si>
    <t>WM</t>
  </si>
  <si>
    <t>LVMHF</t>
  </si>
  <si>
    <t>ASML</t>
  </si>
  <si>
    <t>https://www.youtube.com/watch?v=yiY9GyIGgP8</t>
  </si>
  <si>
    <t xml:space="preserve">Humphrey Yang-Fidelity
</t>
  </si>
  <si>
    <t>GOOG</t>
  </si>
  <si>
    <t>AXP</t>
  </si>
  <si>
    <t>GOLD</t>
  </si>
  <si>
    <t>XOM</t>
  </si>
  <si>
    <t>KHC</t>
  </si>
  <si>
    <t>VZ</t>
  </si>
  <si>
    <t>https://www.youtube.com/watch?v=d4h8dYSgHMw&amp;t=454s</t>
  </si>
  <si>
    <t xml:space="preserve">Dividend Data
</t>
  </si>
  <si>
    <t>CRM</t>
  </si>
  <si>
    <t>ADP</t>
  </si>
  <si>
    <t>TPL</t>
  </si>
  <si>
    <t>https://www.youtube.com/watch?v=fy3XzWaNxgI</t>
  </si>
  <si>
    <t xml:space="preserve">Joseph Carlson Dividend
</t>
  </si>
  <si>
    <t>SPGI</t>
  </si>
  <si>
    <t>MA</t>
  </si>
  <si>
    <t>MCO</t>
  </si>
  <si>
    <t>BKNG</t>
  </si>
  <si>
    <t>INTU</t>
  </si>
  <si>
    <t>CP</t>
  </si>
  <si>
    <t>UNP</t>
  </si>
  <si>
    <t>https://www.youtube.com/watch?v=JvBIqN9sDiM</t>
  </si>
  <si>
    <t xml:space="preserve">Dividend Growth Income
</t>
  </si>
  <si>
    <t>VYM</t>
  </si>
  <si>
    <t>MCD</t>
  </si>
  <si>
    <t>LMT</t>
  </si>
  <si>
    <t>NEE</t>
  </si>
  <si>
    <t>ADC</t>
  </si>
  <si>
    <t>KR</t>
  </si>
  <si>
    <t>AFL</t>
  </si>
  <si>
    <t>MDLZ</t>
  </si>
  <si>
    <t>BLK</t>
  </si>
  <si>
    <t>AMGN</t>
  </si>
  <si>
    <t>MDT</t>
  </si>
  <si>
    <t>https://www.youtube.com/watch?v=tQgKbEQZlaU</t>
  </si>
  <si>
    <t xml:space="preserve">Gen EX Dividend Investor
</t>
  </si>
  <si>
    <t>JEPQ</t>
  </si>
  <si>
    <t>DIVO</t>
  </si>
  <si>
    <t>DUK</t>
  </si>
  <si>
    <t>BTI</t>
  </si>
  <si>
    <t>SO</t>
  </si>
  <si>
    <t>GS</t>
  </si>
  <si>
    <t>KMB</t>
  </si>
  <si>
    <t>PM</t>
  </si>
  <si>
    <t>CL</t>
  </si>
  <si>
    <t>TD</t>
  </si>
  <si>
    <t>TRV</t>
  </si>
  <si>
    <t>IDVO</t>
  </si>
  <si>
    <t>https://www.youtube.com/watch?v=IVzBOE5C4Ps</t>
  </si>
  <si>
    <t>Smart Money Kai</t>
  </si>
  <si>
    <t>MS</t>
  </si>
  <si>
    <t>BX</t>
  </si>
  <si>
    <t>TMO</t>
  </si>
  <si>
    <t>VUSA</t>
  </si>
  <si>
    <t>SPY5</t>
  </si>
  <si>
    <t>CNDX</t>
  </si>
  <si>
    <t>VUAA</t>
  </si>
  <si>
    <t>https://www.youtube.com/watch?v=QtrlyUsPr3Q</t>
  </si>
  <si>
    <t xml:space="preserve">The Dividend Dream
</t>
  </si>
  <si>
    <t>SPYI</t>
  </si>
  <si>
    <t>PTY</t>
  </si>
  <si>
    <t>QQQI</t>
  </si>
  <si>
    <t>IBM</t>
  </si>
  <si>
    <t>GPIX</t>
  </si>
  <si>
    <t>FDVV</t>
  </si>
  <si>
    <t>BRKB</t>
  </si>
  <si>
    <t>MFC</t>
  </si>
  <si>
    <t>JQUA</t>
  </si>
  <si>
    <t>SUN</t>
  </si>
  <si>
    <t>AMAT</t>
  </si>
  <si>
    <t>FRT</t>
  </si>
  <si>
    <t>QQQ</t>
  </si>
  <si>
    <t>STWD</t>
  </si>
  <si>
    <t>XLU</t>
  </si>
  <si>
    <t>XLV</t>
  </si>
  <si>
    <t>FTEC</t>
  </si>
  <si>
    <t>FTS</t>
  </si>
  <si>
    <t>PSA</t>
  </si>
  <si>
    <t>SCHG</t>
  </si>
  <si>
    <t>BMO</t>
  </si>
  <si>
    <t>QDTE</t>
  </si>
  <si>
    <t>JHG</t>
  </si>
  <si>
    <t>CTAS</t>
  </si>
  <si>
    <t>SMH</t>
  </si>
  <si>
    <t>HTGC</t>
  </si>
  <si>
    <t>STAG</t>
  </si>
  <si>
    <t>SLF</t>
  </si>
  <si>
    <t>IYW</t>
  </si>
  <si>
    <t>SVOL</t>
  </si>
  <si>
    <t>CAH</t>
  </si>
  <si>
    <t>SOXX</t>
  </si>
  <si>
    <t>VUG</t>
  </si>
  <si>
    <t>CM</t>
  </si>
  <si>
    <t>EBF</t>
  </si>
  <si>
    <t>LLY</t>
  </si>
  <si>
    <t>GTY</t>
  </si>
  <si>
    <t>VBR</t>
  </si>
  <si>
    <t>GPIQ</t>
  </si>
  <si>
    <t>NVO</t>
  </si>
  <si>
    <t>PDI</t>
  </si>
  <si>
    <t>IWMI</t>
  </si>
  <si>
    <t>QDVO</t>
  </si>
  <si>
    <t>ISPY</t>
  </si>
  <si>
    <t>XDTE</t>
  </si>
  <si>
    <t>PCN</t>
  </si>
  <si>
    <t>https://www.youtube.com/watch?v=P9GqTzwCTpw</t>
  </si>
  <si>
    <t>Target Share Price</t>
  </si>
  <si>
    <t>Updated</t>
  </si>
  <si>
    <t>TSLA</t>
  </si>
  <si>
    <t>Industrials</t>
  </si>
  <si>
    <t>ZTS</t>
  </si>
  <si>
    <t>50 Most Bought Dividend Stocks by Super Investors (Q2 2025)</t>
  </si>
  <si>
    <t>For the data to be live, you will need to get the Tickerdata add on!</t>
  </si>
  <si>
    <t>Key Stats:</t>
  </si>
  <si>
    <t>Rank</t>
  </si>
  <si>
    <t>Name</t>
  </si>
  <si>
    <t>Payout Ratio</t>
  </si>
  <si>
    <t>5 YR Dividend GPS</t>
  </si>
  <si>
    <t>ROIC</t>
  </si>
  <si>
    <t>Microsoft Corporation</t>
  </si>
  <si>
    <t>Technology</t>
  </si>
  <si>
    <t>Number of Stocks with 1% yield or more:</t>
  </si>
  <si>
    <t>Sector Count:</t>
  </si>
  <si>
    <t>Meta Platforms, Inc.</t>
  </si>
  <si>
    <t>TSM</t>
  </si>
  <si>
    <t>Taiwan Semiconductor Manufacturing Company Limited</t>
  </si>
  <si>
    <t>Alphabet Inc.</t>
  </si>
  <si>
    <t>Get Tickerdata</t>
  </si>
  <si>
    <t>Number of Stocks with 2% yield or more:</t>
  </si>
  <si>
    <t>WCC</t>
  </si>
  <si>
    <t>WESCO International, Inc.</t>
  </si>
  <si>
    <t>Texas Instruments Incorporated</t>
  </si>
  <si>
    <t>Consumer Cyclical</t>
  </si>
  <si>
    <t>LEN</t>
  </si>
  <si>
    <t>Lennar Corporation</t>
  </si>
  <si>
    <t>Number of Stocks with 3% yield or more:</t>
  </si>
  <si>
    <t>Financial Services</t>
  </si>
  <si>
    <t>COF</t>
  </si>
  <si>
    <t>Capital One Financial Corporation</t>
  </si>
  <si>
    <t>Consumer Defensive</t>
  </si>
  <si>
    <t>DG</t>
  </si>
  <si>
    <t>Dollar General Corporation</t>
  </si>
  <si>
    <t>Healthcare</t>
  </si>
  <si>
    <t>Number of Stocks with 4% yield or more:</t>
  </si>
  <si>
    <t>Eli Lilly and Company</t>
  </si>
  <si>
    <t>CNR</t>
  </si>
  <si>
    <t>Core Natural Resources, Inc.</t>
  </si>
  <si>
    <t>Basic Materials</t>
  </si>
  <si>
    <t>SCHW</t>
  </si>
  <si>
    <t>The Charles Schwab Corporation</t>
  </si>
  <si>
    <t>Average payout ratio (negative payout ratios removed):</t>
  </si>
  <si>
    <t>OXY</t>
  </si>
  <si>
    <t>Occidental Petroleum Corporation</t>
  </si>
  <si>
    <t>UnitedHealth Group Incorporated</t>
  </si>
  <si>
    <t>USB</t>
  </si>
  <si>
    <t>U.S. Bancorp</t>
  </si>
  <si>
    <t>Average Total Dividend Growth Over 5 Years:</t>
  </si>
  <si>
    <t>DHR</t>
  </si>
  <si>
    <t>Danaher Corporation</t>
  </si>
  <si>
    <t>FIS</t>
  </si>
  <si>
    <t>Fidelity National Information Services, Inc.</t>
  </si>
  <si>
    <t>Visa Inc.</t>
  </si>
  <si>
    <t>Average ROIC:</t>
  </si>
  <si>
    <t>GM</t>
  </si>
  <si>
    <t>General Motors Company</t>
  </si>
  <si>
    <t>Salesforce, Inc.</t>
  </si>
  <si>
    <t>Median ROIC:</t>
  </si>
  <si>
    <t>EFX</t>
  </si>
  <si>
    <t>Equifax Inc.</t>
  </si>
  <si>
    <t>NIKE, Inc.</t>
  </si>
  <si>
    <t>Comcast Corporation</t>
  </si>
  <si>
    <t>ASML Holding N.V.</t>
  </si>
  <si>
    <t>Intuit Inc.</t>
  </si>
  <si>
    <t>MRP</t>
  </si>
  <si>
    <t>Millrose Properties, Inc.</t>
  </si>
  <si>
    <t>SLB</t>
  </si>
  <si>
    <t>Schlumberger Limited</t>
  </si>
  <si>
    <t>URI</t>
  </si>
  <si>
    <t>United Rentals, Inc.</t>
  </si>
  <si>
    <t>ELV</t>
  </si>
  <si>
    <t>Elevance Health Inc.</t>
  </si>
  <si>
    <t>The Hershey Company</t>
  </si>
  <si>
    <t>TECH</t>
  </si>
  <si>
    <t>Bio-Techne Corporation</t>
  </si>
  <si>
    <t>Zoetis Inc.</t>
  </si>
  <si>
    <t>LRCX</t>
  </si>
  <si>
    <t>Lam Research Corporation</t>
  </si>
  <si>
    <t>ASHTF</t>
  </si>
  <si>
    <t>Ashtead Group plc</t>
  </si>
  <si>
    <t>PRMB</t>
  </si>
  <si>
    <t>Primo Brands Corporation</t>
  </si>
  <si>
    <t>PepsiCo, Inc.</t>
  </si>
  <si>
    <t>DHI</t>
  </si>
  <si>
    <t>D.R. Horton, Inc.</t>
  </si>
  <si>
    <t>RRX</t>
  </si>
  <si>
    <t>Regal Rexnord Corporation</t>
  </si>
  <si>
    <t>Starbucks Corporation</t>
  </si>
  <si>
    <t>SJM</t>
  </si>
  <si>
    <t>The J. M. Smucker Company</t>
  </si>
  <si>
    <t>SUI</t>
  </si>
  <si>
    <t>Sun Communities, Inc.</t>
  </si>
  <si>
    <t>Thermo Fisher Scientific Inc.</t>
  </si>
  <si>
    <t>LHX</t>
  </si>
  <si>
    <t>L3Harris Technologies, Inc.</t>
  </si>
  <si>
    <t>ODFL</t>
  </si>
  <si>
    <t>Old Dominion Freight Line, Inc.</t>
  </si>
  <si>
    <t>HOLX</t>
  </si>
  <si>
    <t>Hologic, Inc.</t>
  </si>
  <si>
    <t>PARA</t>
  </si>
  <si>
    <t>Paramount Global</t>
  </si>
  <si>
    <t>S&amp;P Global Inc.</t>
  </si>
  <si>
    <t>SHW</t>
  </si>
  <si>
    <t>The Sherwin-Williams Company</t>
  </si>
  <si>
    <t>PRGO</t>
  </si>
  <si>
    <t>Perrigo Company plc</t>
  </si>
  <si>
    <t>CURRENT VALUE</t>
  </si>
  <si>
    <t>COMPOUNDING</t>
  </si>
  <si>
    <t xml:space="preserve"> GROWTH DIVIDEND YIELD</t>
  </si>
  <si>
    <t>Do Not Delete</t>
  </si>
  <si>
    <t>Period</t>
  </si>
  <si>
    <t>Current Value</t>
  </si>
  <si>
    <t>Contributions</t>
  </si>
  <si>
    <t>Interest</t>
  </si>
  <si>
    <t>Estimated Value</t>
  </si>
  <si>
    <t>Total Invested</t>
  </si>
  <si>
    <t>Total Gain</t>
  </si>
  <si>
    <t>CASH CONTRIBUTIONS</t>
  </si>
  <si>
    <t xml:space="preserve">CONTRIBUTIONS FREQUENCY </t>
  </si>
  <si>
    <t>EXPECTED GROWTH</t>
  </si>
  <si>
    <t>AFTER TAXES (15%)</t>
  </si>
  <si>
    <t>DIVIDEND PORTFOLIO PROJECTIONS</t>
  </si>
  <si>
    <t/>
  </si>
  <si>
    <t>Total Contributions</t>
  </si>
  <si>
    <t>Goal Tracking</t>
  </si>
  <si>
    <t>Year</t>
  </si>
  <si>
    <t>Status</t>
  </si>
  <si>
    <t>Goal %</t>
  </si>
  <si>
    <t>Portfolio Stress Testing and Recovery Projection</t>
  </si>
  <si>
    <t>Beta</t>
  </si>
  <si>
    <t>Normal Cond. Projected Drop (%)</t>
  </si>
  <si>
    <t>Normal Cond. Projected Value</t>
  </si>
  <si>
    <t>Max. Stress Peak Drop (%)</t>
  </si>
  <si>
    <t>Max. Stress Peak Projected Value</t>
  </si>
  <si>
    <t>Recovery Time (years)</t>
  </si>
  <si>
    <t>Crisis Period</t>
  </si>
  <si>
    <t>S&amp;P 500 Decline</t>
  </si>
  <si>
    <t>Stress Factor (based on VIX index)</t>
  </si>
  <si>
    <t>Time to Recover (years)</t>
  </si>
  <si>
    <t>Great Depression (1929)</t>
  </si>
  <si>
    <t>Dot-Com Bubble (2000)</t>
  </si>
  <si>
    <t>Financial Crisis (2008)</t>
  </si>
  <si>
    <t>COVID-19 Crash (2020)</t>
  </si>
  <si>
    <t>Custom Scenario</t>
  </si>
  <si>
    <t>Select Crash Scenario</t>
  </si>
  <si>
    <t>S&amp;P500 projection</t>
  </si>
  <si>
    <t>S&amp;P500 Decline</t>
  </si>
  <si>
    <t>Stress Factor</t>
  </si>
  <si>
    <t>Recovery (yrs.)</t>
  </si>
  <si>
    <t>Portfolio projection</t>
  </si>
  <si>
    <t>Normal Cond. Decline</t>
  </si>
  <si>
    <t>Max Stress Peak</t>
  </si>
  <si>
    <t>Discounted Cash Flow (DCF)</t>
  </si>
  <si>
    <t>Historical Free Cash Flow</t>
  </si>
  <si>
    <t>Future Free Cash Flow</t>
  </si>
  <si>
    <t>Endeuda2 Method</t>
  </si>
  <si>
    <t>WACC</t>
  </si>
  <si>
    <t>FCF</t>
  </si>
  <si>
    <t>FCF Growth</t>
  </si>
  <si>
    <t>Future-FCF</t>
  </si>
  <si>
    <t>PV of Future FCF</t>
  </si>
  <si>
    <t>Price</t>
  </si>
  <si>
    <t>EBIT</t>
  </si>
  <si>
    <t>Cash + Equivalents</t>
  </si>
  <si>
    <t>Total Debt</t>
  </si>
  <si>
    <t>FCF/PS</t>
  </si>
  <si>
    <t>Discount</t>
  </si>
  <si>
    <t xml:space="preserve">Discounted Cash Flow </t>
  </si>
  <si>
    <t xml:space="preserve">Relative Valuation </t>
  </si>
  <si>
    <t>Graham's Valuation</t>
  </si>
  <si>
    <t>Terminal
Value</t>
  </si>
  <si>
    <t>Interest Coverage</t>
  </si>
  <si>
    <t>Interest Rate on Debt</t>
  </si>
  <si>
    <t>Shares Outstanding</t>
  </si>
  <si>
    <t>Future Equity Value</t>
  </si>
  <si>
    <t>Base</t>
  </si>
  <si>
    <t>Growth 1-5 years</t>
  </si>
  <si>
    <t>-detailed analysis-</t>
  </si>
  <si>
    <t>- market sentiment -</t>
  </si>
  <si>
    <t>-conservatism-</t>
  </si>
  <si>
    <t>Growth 6-10 years</t>
  </si>
  <si>
    <t>Terminal Factor</t>
  </si>
  <si>
    <t>Cost of Equity (Using CAPM):</t>
  </si>
  <si>
    <t>Cost of Debt</t>
  </si>
  <si>
    <t>Average FCF Growth Rate</t>
  </si>
  <si>
    <t>Growth Rate Used</t>
  </si>
  <si>
    <t>Probability</t>
  </si>
  <si>
    <t>Present Value</t>
  </si>
  <si>
    <t>Margin of Safety Factor</t>
  </si>
  <si>
    <t>Over/Under</t>
  </si>
  <si>
    <t>Best Scenario</t>
  </si>
  <si>
    <t>Current Equity Value</t>
  </si>
  <si>
    <t>Current Debt Value</t>
  </si>
  <si>
    <t>Terminal Value</t>
  </si>
  <si>
    <t>Equity Weitgh</t>
  </si>
  <si>
    <t>Debt Weitgh</t>
  </si>
  <si>
    <t>Growth-Weighted Intrinsic Value</t>
  </si>
  <si>
    <t>Value-Weighted Intrinsic Value</t>
  </si>
  <si>
    <t>Graham's Revised Valuation Formula</t>
  </si>
  <si>
    <t>Worst Scenario</t>
  </si>
  <si>
    <t>Stock</t>
  </si>
  <si>
    <t>Discount Rate (WACC based)</t>
  </si>
  <si>
    <t>FMP model</t>
  </si>
  <si>
    <t>KEY METRICS</t>
  </si>
  <si>
    <t>P/E of company w/ no growth</t>
  </si>
  <si>
    <t>Look for the data here:</t>
  </si>
  <si>
    <t>Stock Analysis</t>
  </si>
  <si>
    <t>Expected Growth Rate (5-10 years)</t>
  </si>
  <si>
    <t>Day Change</t>
  </si>
  <si>
    <t>P/E (TTM)</t>
  </si>
  <si>
    <t>Cg (growth rate multiplayer factor, Graham used 2)</t>
  </si>
  <si>
    <t>Average yield of AAA corp. bond (4.4)</t>
  </si>
  <si>
    <t>Value-1y</t>
  </si>
  <si>
    <t>InvT Score-1y</t>
  </si>
  <si>
    <t>Value-5y</t>
  </si>
  <si>
    <t>InvT Score-5y</t>
  </si>
  <si>
    <t>InvT Score-hybrid</t>
  </si>
  <si>
    <t>Metric description</t>
  </si>
  <si>
    <t>RELATIVE VALUATION</t>
  </si>
  <si>
    <t>Y (current yield on AAA corp. bonds)</t>
  </si>
  <si>
    <t>Revenue</t>
  </si>
  <si>
    <t>YoY Revenue Growth</t>
  </si>
  <si>
    <t>5y-CAGR Revenue Growth</t>
  </si>
  <si>
    <t>Measures how fast a company’s total sales (revenue) are increasing or decreasing compared to the previous year.</t>
  </si>
  <si>
    <t>52-Week Low</t>
  </si>
  <si>
    <t>52-Week High</t>
  </si>
  <si>
    <t>Revenue Growth</t>
  </si>
  <si>
    <t>YoY EPS Growth</t>
  </si>
  <si>
    <t>5y-CAGR EPS</t>
  </si>
  <si>
    <t>Measures how much real cash a company generates, which is crucial for dividends, buybacks, and reinvestment.</t>
  </si>
  <si>
    <t>Company</t>
  </si>
  <si>
    <t>YoY FCF per Share</t>
  </si>
  <si>
    <t>5y-CAGR FCF per Share</t>
  </si>
  <si>
    <t>Measures the growth in Earnings Per Share (EPS), showing how much profit the company generates per share.</t>
  </si>
  <si>
    <t>FCF/Share</t>
  </si>
  <si>
    <t>Profitability</t>
  </si>
  <si>
    <t>FCF/Share Growth</t>
  </si>
  <si>
    <t>Gross Profit Margin (GPM)</t>
  </si>
  <si>
    <t>5y-Avg. Gross Profit Margin (GPM)</t>
  </si>
  <si>
    <t>Measures core profitability before expenses.</t>
  </si>
  <si>
    <t>Note:</t>
  </si>
  <si>
    <t>Net Profit Margin (NPM)</t>
  </si>
  <si>
    <t>5y-Avg. Net Profit Margin (NPM)</t>
  </si>
  <si>
    <t>This shows how much of each $1 in revenue turns into profit.</t>
  </si>
  <si>
    <t>Cost of Equity=Rf​+β×(Rm​−Rf​)</t>
  </si>
  <si>
    <t>EPS Growth</t>
  </si>
  <si>
    <t>FCF Margin</t>
  </si>
  <si>
    <t>5y-Avg. FCF Margin</t>
  </si>
  <si>
    <t>Measures real cash profitability, which is a key indicator of financial strength.</t>
  </si>
  <si>
    <t>Average P/E Ratio</t>
  </si>
  <si>
    <t>AP</t>
  </si>
  <si>
    <t>Earnings Per Share</t>
  </si>
  <si>
    <t>Rf​: Risk-free rate (e.g., yield on 10-year U.S. Treasury bonds)</t>
  </si>
  <si>
    <t>Debt</t>
  </si>
  <si>
    <t>Median P/E Ratio</t>
  </si>
  <si>
    <t>MP</t>
  </si>
  <si>
    <t>β: Beta of the stock (a measure of its volatility compared to the market)</t>
  </si>
  <si>
    <t>YoY Net Debt Growth</t>
  </si>
  <si>
    <t>5y-CAGR Net Debt</t>
  </si>
  <si>
    <t>Measures whether a company's debt is increasing or decreasing over time. Lower is better.</t>
  </si>
  <si>
    <t>Rm​: Expected market return (eg. S&amp;P 500 10-years return )</t>
  </si>
  <si>
    <t>Net Debt to FCF</t>
  </si>
  <si>
    <t>5y-Avg. Net Debt to FCF</t>
  </si>
  <si>
    <t>Measures how much net debt a company has relative to its Free Cash Flow. Lower is better.</t>
  </si>
  <si>
    <t>Cost of Debt=Interest Rate on Debt×(1−Tax Rate)</t>
  </si>
  <si>
    <t>Net Debt</t>
  </si>
  <si>
    <t>5y-Avg. Interest Coverage</t>
  </si>
  <si>
    <t>Measures how easily a company can cover its interest payments with operating profits. Higher is better.</t>
  </si>
  <si>
    <t>Interest Rate on Debt = Interest Expense/Total Debt</t>
  </si>
  <si>
    <t>Net Debt Growth</t>
  </si>
  <si>
    <t>Dividends &amp; Buybacks</t>
  </si>
  <si>
    <t>Target Price</t>
  </si>
  <si>
    <t>WACC=(E/(D+E)​×Cost of Equity)+(E/(E+D)​×Cost of Debt)</t>
  </si>
  <si>
    <t>Dividend Yield (%)</t>
  </si>
  <si>
    <t>5y-Avg. Dividend Yield (%)</t>
  </si>
  <si>
    <t>Measures how much cash return shareholders get as a percentage of stock price.</t>
  </si>
  <si>
    <t>E: Market value of equity</t>
  </si>
  <si>
    <t>YoY Dividend Per Share Growth</t>
  </si>
  <si>
    <t>5y-CAGR Dividend Per Share Growth</t>
  </si>
  <si>
    <t>Measures the rate at which dividends per share are increasing over time.</t>
  </si>
  <si>
    <t>Source</t>
  </si>
  <si>
    <t>D: Market value of debt</t>
  </si>
  <si>
    <t>Payout Ratio (%)</t>
  </si>
  <si>
    <t>5y-Avg. Payout Ratio (%)</t>
  </si>
  <si>
    <t>Measures the percentage of earnings paid out as dividends. A moderate ratio is preferred.</t>
  </si>
  <si>
    <t>Stock Analyzer</t>
  </si>
  <si>
    <t>Capital Efficiency</t>
  </si>
  <si>
    <t>Graham's Revised Valuation Formula:  V= EPS×(7+1g)×4.4/Y</t>
  </si>
  <si>
    <t>Dividend Paid</t>
  </si>
  <si>
    <t>FCF Payout Ratio (%)</t>
  </si>
  <si>
    <t>5y-Avg. FCF Payout Ratio (%)</t>
  </si>
  <si>
    <t>Measures how much of Free Cash Flow is used for dividends. A lower ratio indicates sustainability.</t>
  </si>
  <si>
    <t>getquin</t>
  </si>
  <si>
    <t>Overall</t>
  </si>
  <si>
    <t>Dividends per Share</t>
  </si>
  <si>
    <t>YoY Shares Outstanding Growth</t>
  </si>
  <si>
    <t>5y-CAGR Shares Outstanding</t>
  </si>
  <si>
    <t>Measures the change in outstanding shares. A declining number indicates share buybacks.</t>
  </si>
  <si>
    <t>yahoo finance</t>
  </si>
  <si>
    <t>Dividend per Share Growth</t>
  </si>
  <si>
    <t>Return on Assets (ROA)</t>
  </si>
  <si>
    <t>5y-Avg. Return on Assets (ROA)</t>
  </si>
  <si>
    <t>Measures how efficiently a company generates profit from its assets</t>
  </si>
  <si>
    <t>Average Price</t>
  </si>
  <si>
    <t>Return on Equity (ROE)</t>
  </si>
  <si>
    <t>5y-Avg. Return on Equity (ROE)</t>
  </si>
  <si>
    <t>Measures profitability relative to equity (how efficiently management is using shareholder capital).</t>
  </si>
  <si>
    <t>Return on Invested Capital (ROIC)</t>
  </si>
  <si>
    <t>5y-Avg. Return on Invested Capital (ROIC)</t>
  </si>
  <si>
    <t>Measures how well a company allocates its capital to generate returns.</t>
  </si>
  <si>
    <r>
      <rPr>
        <rFont val="Arial"/>
        <b/>
        <color theme="1"/>
      </rPr>
      <t xml:space="preserve">🟩🟩🟩🟩🟩  </t>
    </r>
    <r>
      <rPr>
        <rFont val="Arial"/>
        <b/>
        <color theme="1"/>
        <sz val="17.0"/>
      </rPr>
      <t>Growth</t>
    </r>
  </si>
  <si>
    <r>
      <rPr>
        <rFont val="Arial"/>
        <b/>
        <color theme="1"/>
      </rPr>
      <t xml:space="preserve">🟪🟪🟪🟪🟪 </t>
    </r>
    <r>
      <rPr>
        <rFont val="Arial"/>
        <b/>
        <color theme="1"/>
        <sz val="17.0"/>
      </rPr>
      <t xml:space="preserve"> Dividends &amp; Buybacks</t>
    </r>
  </si>
  <si>
    <t>Shares Outstanding Growth</t>
  </si>
  <si>
    <t>Overall InvT Score-1y</t>
  </si>
  <si>
    <t>Overall InvT Score-5y</t>
  </si>
  <si>
    <t>POOL</t>
  </si>
  <si>
    <t>QCOM</t>
  </si>
  <si>
    <t>BCC</t>
  </si>
  <si>
    <t>https://www.youtube.com/watch?v=HytvE6YZaho</t>
  </si>
  <si>
    <t>SnapStock model</t>
  </si>
  <si>
    <t>Tax Rate</t>
  </si>
  <si>
    <t>Total Equity</t>
  </si>
  <si>
    <t>Cash &amp; Equivalents</t>
  </si>
  <si>
    <r>
      <rPr>
        <rFont val="Arial"/>
        <b/>
        <color theme="1"/>
      </rPr>
      <t xml:space="preserve">🟦🟦🟦🟦🟦  </t>
    </r>
    <r>
      <rPr>
        <rFont val="Arial"/>
        <b/>
        <color theme="1"/>
        <sz val="17.0"/>
      </rPr>
      <t>Profitability</t>
    </r>
  </si>
  <si>
    <r>
      <rPr>
        <rFont val="Arial"/>
        <b/>
        <color theme="1"/>
      </rPr>
      <t xml:space="preserve">🟨🟨🟨🟨🟨 </t>
    </r>
    <r>
      <rPr>
        <rFont val="Arial"/>
        <b/>
        <color theme="1"/>
        <sz val="17.0"/>
      </rPr>
      <t>Debt</t>
    </r>
  </si>
  <si>
    <r>
      <rPr>
        <rFont val="Arial"/>
        <b/>
        <color theme="1"/>
      </rPr>
      <t xml:space="preserve">🟫🟫🟫🟫🟫  </t>
    </r>
    <r>
      <rPr>
        <rFont val="Arial"/>
        <b/>
        <color theme="1"/>
        <sz val="17.0"/>
      </rPr>
      <t>Capital Efficiency</t>
    </r>
  </si>
  <si>
    <t>FMP Api Cells Do Not Delete</t>
  </si>
  <si>
    <t>Check Api Calls here:</t>
  </si>
  <si>
    <t>https://site.financialmodelingprep.com/developer/docs/dashboard</t>
  </si>
  <si>
    <t>Current Savings</t>
  </si>
  <si>
    <t>Projected Salary</t>
  </si>
  <si>
    <t>History Data</t>
  </si>
  <si>
    <t>Saved Money</t>
  </si>
  <si>
    <t>Tax Filling</t>
  </si>
  <si>
    <t>Total Annual Payroll</t>
  </si>
  <si>
    <t>Total Monthly Payroll</t>
  </si>
  <si>
    <t>W2-Annual Payroll</t>
  </si>
  <si>
    <t>W2-Monthly Payroll</t>
  </si>
  <si>
    <t>1099-Annual Payroll</t>
  </si>
  <si>
    <t>1099-Monthly Payroll</t>
  </si>
  <si>
    <t>Percentage of savings you want to invest:</t>
  </si>
  <si>
    <t>Annual Salary</t>
  </si>
  <si>
    <t>Available money to invest:</t>
  </si>
  <si>
    <t>Taxable Income</t>
  </si>
  <si>
    <t xml:space="preserve">Pre-Tax Deduct. (IRA Contrib. - 3%) </t>
  </si>
  <si>
    <t>Salaries</t>
  </si>
  <si>
    <t>Lansing Resident Tax (1%)</t>
  </si>
  <si>
    <t xml:space="preserve">Current Annual Salary (after taxes): </t>
  </si>
  <si>
    <t>E Lansing Nonresident Tax (0.3 %)</t>
  </si>
  <si>
    <t xml:space="preserve">Current Monthly Salary: </t>
  </si>
  <si>
    <t>Michigan State Tax (4.25%)</t>
  </si>
  <si>
    <t>Desired Retirement Salary (25% less, annual):</t>
  </si>
  <si>
    <t>Federal Tax (12%)</t>
  </si>
  <si>
    <t xml:space="preserve">Desired Monthly Retirement Salary: </t>
  </si>
  <si>
    <t>Social Security (6.2%)</t>
  </si>
  <si>
    <t>Medicare (1.45%)</t>
  </si>
  <si>
    <t>Savings Budget</t>
  </si>
  <si>
    <t>Total Withold</t>
  </si>
  <si>
    <t>Percentage of current income that can be saved:</t>
  </si>
  <si>
    <t>Take-home Pay</t>
  </si>
  <si>
    <t xml:space="preserve">Amount you can invest monthly: </t>
  </si>
  <si>
    <t>Hourly-rate / Effective Tax %</t>
  </si>
  <si>
    <t>Hourly-rate</t>
  </si>
  <si>
    <t>Retirement</t>
  </si>
  <si>
    <t>Company Contribution</t>
  </si>
  <si>
    <t>Annual Payroll</t>
  </si>
  <si>
    <t>Monthly Payroll</t>
  </si>
  <si>
    <t>Years until desired retirement:</t>
  </si>
  <si>
    <t>IRA Contribution (pre-Tax) (3%)</t>
  </si>
  <si>
    <t>Annual interest (or returns) on investments:</t>
  </si>
  <si>
    <t>Federal Unemployment Tax</t>
  </si>
  <si>
    <t>Total invested money at retirement:</t>
  </si>
  <si>
    <t xml:space="preserve">Return rate on retirement investments: </t>
  </si>
  <si>
    <t>Passive income generated by savings (annual):</t>
  </si>
  <si>
    <t xml:space="preserve">Total </t>
  </si>
  <si>
    <t>Monthly payment in retirement:</t>
  </si>
  <si>
    <t>% from the Salary</t>
  </si>
  <si>
    <t>Other income in retirement:</t>
  </si>
  <si>
    <t>Total Monthly Income in Retirement:</t>
  </si>
  <si>
    <t xml:space="preserve">Goal Fulfillment </t>
  </si>
  <si>
    <t>HSA</t>
  </si>
  <si>
    <t>Extra W-2 income (Bronze vs Silver)</t>
  </si>
  <si>
    <t>Numbers Projected to Live as Today</t>
  </si>
  <si>
    <t>FICA (7.65%, irrecoverable)</t>
  </si>
  <si>
    <t>Total Investment Money Required</t>
  </si>
  <si>
    <t>Effective economic gain</t>
  </si>
  <si>
    <t>Monthly Invesment Required</t>
  </si>
  <si>
    <t>Recomm. HSA contribution (aggressive)</t>
  </si>
  <si>
    <t>Annual income Required (after taxes)</t>
  </si>
  <si>
    <t>Recomm. HSA contribution (cash-neutral)</t>
  </si>
  <si>
    <t>Net Income after HSA</t>
  </si>
  <si>
    <t>Net Income before HSA</t>
  </si>
  <si>
    <t>Parameter</t>
  </si>
  <si>
    <t>Net Paycheck Increase</t>
  </si>
  <si>
    <t>BaseSalary (East Lansing)</t>
  </si>
  <si>
    <t>Income tax recovered via HSA (Fed + MI + City)</t>
  </si>
  <si>
    <t>EastLansingRent (per month)</t>
  </si>
  <si>
    <t>Validation</t>
  </si>
  <si>
    <t>HousingWeight (0-1)</t>
  </si>
  <si>
    <t xml:space="preserve">OtherCitySalary </t>
  </si>
  <si>
    <t>Metro</t>
  </si>
  <si>
    <t>Area</t>
  </si>
  <si>
    <t>Rent (mo)</t>
  </si>
  <si>
    <t>NonHousingMult</t>
  </si>
  <si>
    <t>HousingMult</t>
  </si>
  <si>
    <t>OverallFactor</t>
  </si>
  <si>
    <t>EquivalentSalary</t>
  </si>
  <si>
    <t>EquivalentSalary_Rounded</t>
  </si>
  <si>
    <t>EL_equivalent</t>
  </si>
  <si>
    <t>Austin</t>
  </si>
  <si>
    <t>Downtown</t>
  </si>
  <si>
    <t>Tampa</t>
  </si>
  <si>
    <t>Hyde Park / SoHo</t>
  </si>
  <si>
    <t>Portland</t>
  </si>
  <si>
    <t>Pearl District</t>
  </si>
  <si>
    <t>Denver</t>
  </si>
  <si>
    <t>LoDo</t>
  </si>
  <si>
    <t>Baltimore</t>
  </si>
  <si>
    <t>Federal Hill</t>
  </si>
  <si>
    <t>Dallas</t>
  </si>
  <si>
    <t>Uptown</t>
  </si>
  <si>
    <t>Seattle</t>
  </si>
  <si>
    <t>Capitol Hill</t>
  </si>
  <si>
    <t>Washington, DC</t>
  </si>
  <si>
    <t>Los Angeles</t>
  </si>
  <si>
    <t>Santa Monica (Westside)</t>
  </si>
  <si>
    <t>San Francisco</t>
  </si>
  <si>
    <t>City Avg (2-br)</t>
  </si>
  <si>
    <t>Miami</t>
  </si>
  <si>
    <t>Brickell</t>
  </si>
  <si>
    <t>New York City</t>
  </si>
  <si>
    <t>Manhattan (2-br avg)</t>
  </si>
  <si>
    <t>Boston</t>
  </si>
  <si>
    <t>Back Bay</t>
  </si>
  <si>
    <t>Round Rock / Cedar Park</t>
  </si>
  <si>
    <t>Catonsville / Ellicott City</t>
  </si>
  <si>
    <t>Lake Oswego / Beaverton</t>
  </si>
  <si>
    <t>Plano / Frisco</t>
  </si>
  <si>
    <t>Westchase</t>
  </si>
  <si>
    <t>Greenwood Village / Highlands Ranch</t>
  </si>
  <si>
    <t>Bellevue / Redmond</t>
  </si>
  <si>
    <t>Pasadena / Culver City</t>
  </si>
  <si>
    <t>Bethesda / Arlington</t>
  </si>
  <si>
    <t>Coral Gables</t>
  </si>
  <si>
    <t>San Francisco Bay Area</t>
  </si>
  <si>
    <t>Walnut Creek / San Mateo</t>
  </si>
  <si>
    <t>Hoboken / Jersey City Heights</t>
  </si>
  <si>
    <t>Brookline / Newton</t>
  </si>
  <si>
    <t>Annual Passive Income Tracking</t>
  </si>
  <si>
    <t>Dividends</t>
  </si>
  <si>
    <t>Credit Card Rewards</t>
  </si>
  <si>
    <t>Rent</t>
  </si>
  <si>
    <t>Balance Primer año</t>
  </si>
  <si>
    <t>Tasa de retiro</t>
  </si>
  <si>
    <t>Año de Retiro</t>
  </si>
  <si>
    <t>Balance Portafolio</t>
  </si>
  <si>
    <t>Retorno</t>
  </si>
  <si>
    <t>Cantidad a Retirar</t>
  </si>
  <si>
    <t>Inflación</t>
  </si>
  <si>
    <t>Average</t>
  </si>
  <si>
    <t>Factor 20 Years</t>
  </si>
  <si>
    <t>Factor 30 Years</t>
  </si>
  <si>
    <t>Factor 40 Years</t>
  </si>
  <si>
    <t>Average
Closing Price</t>
  </si>
  <si>
    <t>Year Open</t>
  </si>
  <si>
    <t>Year High</t>
  </si>
  <si>
    <t>Year Low</t>
  </si>
  <si>
    <t>Year Close</t>
  </si>
  <si>
    <t>Annual
% Change</t>
  </si>
  <si>
    <t>CPI</t>
  </si>
  <si>
    <r>
      <rPr>
        <rFont val="Montserrat"/>
        <b/>
        <color rgb="FF444444"/>
        <sz val="8.0"/>
        <u/>
      </rPr>
      <t xml:space="preserve">Datos del CPI </t>
    </r>
    <r>
      <rPr>
        <rFont val="Montserrat"/>
        <color rgb="FF444444"/>
        <sz val="8.0"/>
        <u/>
      </rPr>
      <t>https://www.minneapolisfed.org/about-us/monetary-policy/inflation-calculator/consumer-price-index-1913-</t>
    </r>
  </si>
  <si>
    <t>P/E of company w/ mo growth</t>
  </si>
  <si>
    <t>https://seekingalpha.com/</t>
  </si>
  <si>
    <t>Apple Inc</t>
  </si>
  <si>
    <t>(YoY Growth)</t>
  </si>
  <si>
    <t>IBM Common Stock</t>
  </si>
  <si>
    <t>Amazon.com Inc</t>
  </si>
  <si>
    <t>https://fred.stlouisfed.org/series/AAA</t>
  </si>
  <si>
    <t>ORCL</t>
  </si>
  <si>
    <t>Oracle Corp</t>
  </si>
  <si>
    <t>Look for data (marker competitors) here:</t>
  </si>
  <si>
    <t xml:space="preserve">https://seekingalpha.com/   </t>
  </si>
  <si>
    <t>https://digital.fidelity.com/prgw/digital/research/src</t>
  </si>
  <si>
    <t>Company Profile</t>
  </si>
  <si>
    <t>symbol</t>
  </si>
  <si>
    <t>price</t>
  </si>
  <si>
    <t>beta</t>
  </si>
  <si>
    <t>volAvg</t>
  </si>
  <si>
    <t>mktCap</t>
  </si>
  <si>
    <t>lastDiv</t>
  </si>
  <si>
    <t>range</t>
  </si>
  <si>
    <t>changes</t>
  </si>
  <si>
    <t>companyName</t>
  </si>
  <si>
    <t>currency</t>
  </si>
  <si>
    <t>cik</t>
  </si>
  <si>
    <t>isin</t>
  </si>
  <si>
    <t>cusip</t>
  </si>
  <si>
    <t>exchange</t>
  </si>
  <si>
    <t>exchangeShortName</t>
  </si>
  <si>
    <t>industry</t>
  </si>
  <si>
    <t>website</t>
  </si>
  <si>
    <t>description</t>
  </si>
  <si>
    <t>ceo</t>
  </si>
  <si>
    <t>sector</t>
  </si>
  <si>
    <t>country</t>
  </si>
  <si>
    <t>fullTimeEmployees</t>
  </si>
  <si>
    <t>phone</t>
  </si>
  <si>
    <t>address</t>
  </si>
  <si>
    <t>city</t>
  </si>
  <si>
    <t>state</t>
  </si>
  <si>
    <t>zip</t>
  </si>
  <si>
    <t>dcfDiff</t>
  </si>
  <si>
    <t>dcf</t>
  </si>
  <si>
    <t>image</t>
  </si>
  <si>
    <t>ipoDate</t>
  </si>
  <si>
    <t>defaultImage</t>
  </si>
  <si>
    <t>isEtf</t>
  </si>
  <si>
    <t>isActivelyTrading</t>
  </si>
  <si>
    <t>isAdr</t>
  </si>
  <si>
    <t>isFund</t>
  </si>
  <si>
    <t>364.13-468.35</t>
  </si>
  <si>
    <t>USD</t>
  </si>
  <si>
    <t>US5949181045</t>
  </si>
  <si>
    <t>NASDAQ Global Select</t>
  </si>
  <si>
    <t>NASDAQ</t>
  </si>
  <si>
    <t>Software - Infrastructure</t>
  </si>
  <si>
    <t>https://www.microsoft.com</t>
  </si>
  <si>
    <t>Microsoft Corporation develops, licenses, and supports software, services, devices, and solutions worldwide. The company operates in three segments: Productivity and Business Processes, Intelligent Cloud, and More Personal Computing. The Productivity and Business Processes segment offers Office, Exchange, SharePoint, Microsoft Teams, Office 365 Security and Compliance, Microsoft Viva, and Skype for Business; Skype, Outlook.com, OneDrive, and LinkedIn; and Dynamics 365, a set of cloud-based and on-premises business solutions for organizations and enterprise divisions. The Intelligent Cloud segment licenses SQL, Windows Servers, Visual Studio, System Center, and related Client Access Licenses; GitHub that provides a collaboration platform and code hosting service for developers; Nuance provides healthcare and enterprise AI solutions; and Azure, a cloud platform. It also offers enterprise support, Microsoft consulting, and nuance professional services to assist customers in developing, deploying, and managing Microsoft server and desktop solutions; and training and certification on Microsoft products. The More Personal Computing segment provides Windows original equipment manufacturer (OEM) licensing and other non-volume licensing of the Windows operating system; Windows Commercial, such as volume licensing of the Windows operating system, Windows cloud services, and other Windows commercial offerings; patent licensing; and Windows Internet of Things. It also offers Surface, PC accessories, PCs, tablets, gaming and entertainment consoles, and other devices; Gaming, including Xbox hardware, and Xbox content and services; video games and third-party video game royalties; and Search, including Bing and Microsoft advertising. The company sells its products through OEMs, distributors, and resellers; and directly through digital marketplaces, online stores, and retail stores. Microsoft Corporation was founded in 1975 and is headquartered in Redmond, Washington.</t>
  </si>
  <si>
    <t>Mr. Satya  Nadella</t>
  </si>
  <si>
    <t>US</t>
  </si>
  <si>
    <t>425 882 8080</t>
  </si>
  <si>
    <t>One Microsoft Way</t>
  </si>
  <si>
    <t>Redmond</t>
  </si>
  <si>
    <t>WA</t>
  </si>
  <si>
    <t>98052-6399</t>
  </si>
  <si>
    <t>https://images.financialmodelingprep.com/symbol/MSFT.png</t>
  </si>
  <si>
    <t>Income Statements</t>
  </si>
  <si>
    <t>date</t>
  </si>
  <si>
    <t>reportedCurrency</t>
  </si>
  <si>
    <t>fillingDate</t>
  </si>
  <si>
    <t>acceptedDate</t>
  </si>
  <si>
    <t>calendarYear</t>
  </si>
  <si>
    <t>period</t>
  </si>
  <si>
    <t>revenue</t>
  </si>
  <si>
    <t>costOfRevenue</t>
  </si>
  <si>
    <t>grossProfit</t>
  </si>
  <si>
    <t>grossProfitRatio</t>
  </si>
  <si>
    <t>researchAndDevelopmentExpenses</t>
  </si>
  <si>
    <t>generalAndAdministrativeExpenses</t>
  </si>
  <si>
    <t>sellingAndMarketingExpenses</t>
  </si>
  <si>
    <t>sellingGeneralAndAdministrativeExpenses</t>
  </si>
  <si>
    <t>otherExpenses</t>
  </si>
  <si>
    <t>operatingExpenses</t>
  </si>
  <si>
    <t>costAndExpenses</t>
  </si>
  <si>
    <t>interestIncome</t>
  </si>
  <si>
    <t>interestExpense</t>
  </si>
  <si>
    <t>depreciationAndAmortization</t>
  </si>
  <si>
    <t>ebitda</t>
  </si>
  <si>
    <t>ebitdaratio</t>
  </si>
  <si>
    <t>operatingIncome</t>
  </si>
  <si>
    <t>operatingIncomeRatio</t>
  </si>
  <si>
    <t>totalOtherIncomeExpensesNet</t>
  </si>
  <si>
    <t>incomeBeforeTax</t>
  </si>
  <si>
    <t>incomeBeforeTaxRatio</t>
  </si>
  <si>
    <t>incomeTaxExpense</t>
  </si>
  <si>
    <t>netIncome</t>
  </si>
  <si>
    <t>netIncomeRatio</t>
  </si>
  <si>
    <t>eps</t>
  </si>
  <si>
    <t>epsdiluted</t>
  </si>
  <si>
    <t>weightedAverageShsOut</t>
  </si>
  <si>
    <t>weightedAverageShsOutDil</t>
  </si>
  <si>
    <t>link</t>
  </si>
  <si>
    <t>finalLink</t>
  </si>
  <si>
    <t>FY</t>
  </si>
  <si>
    <t>https://www.sec.gov/Archives/edgar/data/789019/000095017024087843/0000950170-24-087843-index.htm</t>
  </si>
  <si>
    <t>https://www.sec.gov/Archives/edgar/data/789019/000095017024087843/msft-20240630.htm</t>
  </si>
  <si>
    <t>https://www.sec.gov/Archives/edgar/data/789019/000095017023035122/0000950170-23-035122-index.htm</t>
  </si>
  <si>
    <t>https://www.sec.gov/Archives/edgar/data/789019/000095017023035122/msft-20230630.htm</t>
  </si>
  <si>
    <t>https://www.sec.gov/Archives/edgar/data/789019/000156459022026876/0001564590-22-026876-index.htm</t>
  </si>
  <si>
    <t>https://www.sec.gov/Archives/edgar/data/789019/000156459022026876/msft-10k_20220630.htm</t>
  </si>
  <si>
    <t>https://www.sec.gov/Archives/edgar/data/789019/000156459021039151/0001564590-21-039151-index.htm</t>
  </si>
  <si>
    <t>https://www.sec.gov/Archives/edgar/data/789019/000156459021039151/msft-10k_20210630.htm</t>
  </si>
  <si>
    <t>https://www.sec.gov/Archives/edgar/data/789019/000156459020034944/0001564590-20-034944-index.htm</t>
  </si>
  <si>
    <t>https://www.sec.gov/Archives/edgar/data/789019/000156459020034944/msft-10k_20200630.htm</t>
  </si>
  <si>
    <t>Balance Sheet</t>
  </si>
  <si>
    <t>cashAndCashEquivalents</t>
  </si>
  <si>
    <t>shortTermInvestments</t>
  </si>
  <si>
    <t>cashAndShortTermInvestments</t>
  </si>
  <si>
    <t>netReceivables</t>
  </si>
  <si>
    <t>inventory</t>
  </si>
  <si>
    <t>otherCurrentAssets</t>
  </si>
  <si>
    <t>totalCurrentAssets</t>
  </si>
  <si>
    <t>propertyPlantEquipmentNet</t>
  </si>
  <si>
    <t>goodwill</t>
  </si>
  <si>
    <t>intangibleAssets</t>
  </si>
  <si>
    <t>goodwillAndIntangibleAssets</t>
  </si>
  <si>
    <t>longTermInvestments</t>
  </si>
  <si>
    <t>taxAssets</t>
  </si>
  <si>
    <t>otherNonCurrentAssets</t>
  </si>
  <si>
    <t>totalNonCurrentAssets</t>
  </si>
  <si>
    <t>otherAssets</t>
  </si>
  <si>
    <t>totalAssets</t>
  </si>
  <si>
    <t>accountPayables</t>
  </si>
  <si>
    <t>shortTermDebt</t>
  </si>
  <si>
    <t>taxPayables</t>
  </si>
  <si>
    <t>deferredRevenue</t>
  </si>
  <si>
    <t>otherCurrentLiabilities</t>
  </si>
  <si>
    <t>totalCurrentLiabilities</t>
  </si>
  <si>
    <t>longTermDebt</t>
  </si>
  <si>
    <t>deferredRevenueNonCurrent</t>
  </si>
  <si>
    <t>deferredTaxLiabilitiesNonCurrent</t>
  </si>
  <si>
    <t>otherNonCurrentLiabilities</t>
  </si>
  <si>
    <t>totalNonCurrentLiabilities</t>
  </si>
  <si>
    <t>otherLiabilities</t>
  </si>
  <si>
    <t>capitalLeaseObligations</t>
  </si>
  <si>
    <t>totalLiabilities</t>
  </si>
  <si>
    <t>preferredStock</t>
  </si>
  <si>
    <t>commonStock</t>
  </si>
  <si>
    <t>retainedEarnings</t>
  </si>
  <si>
    <t>accumulatedOtherComprehensiveIncomeLoss</t>
  </si>
  <si>
    <t>othertotalStockholdersEquity</t>
  </si>
  <si>
    <t>totalStockholdersEquity</t>
  </si>
  <si>
    <t>totalEquity</t>
  </si>
  <si>
    <t>totalLiabilitiesAndStockholdersEquity</t>
  </si>
  <si>
    <t>minorityInterest</t>
  </si>
  <si>
    <t>totalLiabilitiesAndTotalEquity</t>
  </si>
  <si>
    <t>totalInvestments</t>
  </si>
  <si>
    <t>totalDebt</t>
  </si>
  <si>
    <t>netDebt</t>
  </si>
  <si>
    <t>Cash Flow</t>
  </si>
  <si>
    <t>deferredIncomeTax</t>
  </si>
  <si>
    <t>stockBasedCompensation</t>
  </si>
  <si>
    <t>changeInWorkingCapital</t>
  </si>
  <si>
    <t>accountsReceivables</t>
  </si>
  <si>
    <t>accountsPayables</t>
  </si>
  <si>
    <t>otherWorkingCapital</t>
  </si>
  <si>
    <t>otherNonCashItems</t>
  </si>
  <si>
    <t>netCashProvidedByOperatingActivities</t>
  </si>
  <si>
    <t>investmentsInPropertyPlantAndEquipment</t>
  </si>
  <si>
    <t>acquisitionsNet</t>
  </si>
  <si>
    <t>purchasesOfInvestments</t>
  </si>
  <si>
    <t>salesMaturitiesOfInvestments</t>
  </si>
  <si>
    <t>otherInvestingActivites</t>
  </si>
  <si>
    <t>netCashUsedForInvestingActivites</t>
  </si>
  <si>
    <t>debtRepayment</t>
  </si>
  <si>
    <t>commonStockIssued</t>
  </si>
  <si>
    <t>commonStockRepurchased</t>
  </si>
  <si>
    <t>dividendsPaid</t>
  </si>
  <si>
    <t>otherFinancingActivites</t>
  </si>
  <si>
    <t>netCashUsedProvidedByFinancingActivities</t>
  </si>
  <si>
    <t>effectOfForexChangesOnCash</t>
  </si>
  <si>
    <t>netChangeInCash</t>
  </si>
  <si>
    <t>cashAtEndOfPeriod</t>
  </si>
  <si>
    <t>cashAtBeginningOfPeriod</t>
  </si>
  <si>
    <t>operatingCashFlow</t>
  </si>
  <si>
    <t>capitalExpenditure</t>
  </si>
  <si>
    <t>freeCashFlow</t>
  </si>
  <si>
    <t>Ratios</t>
  </si>
  <si>
    <t>currentRatio</t>
  </si>
  <si>
    <t>quickRatio</t>
  </si>
  <si>
    <t>cashRatio</t>
  </si>
  <si>
    <t>daysOfSalesOutstanding</t>
  </si>
  <si>
    <t>daysOfInventoryOutstanding</t>
  </si>
  <si>
    <t>operatingCycle</t>
  </si>
  <si>
    <t>daysOfPayablesOutstanding</t>
  </si>
  <si>
    <t>cashConversionCycle</t>
  </si>
  <si>
    <t>grossProfitMargin</t>
  </si>
  <si>
    <t>operatingProfitMargin</t>
  </si>
  <si>
    <t>pretaxProfitMargin</t>
  </si>
  <si>
    <t>netProfitMargin</t>
  </si>
  <si>
    <t>effectiveTaxRate</t>
  </si>
  <si>
    <t>returnOnAssets</t>
  </si>
  <si>
    <t>returnOnEquity</t>
  </si>
  <si>
    <t>returnOnCapitalEmployed</t>
  </si>
  <si>
    <t>netIncomePerEBT</t>
  </si>
  <si>
    <t>ebtPerEbit</t>
  </si>
  <si>
    <t>ebitPerRevenue</t>
  </si>
  <si>
    <t>debtRatio</t>
  </si>
  <si>
    <t>debtEquityRatio</t>
  </si>
  <si>
    <t>longTermDebtToCapitalization</t>
  </si>
  <si>
    <t>totalDebtToCapitalization</t>
  </si>
  <si>
    <t>interestCoverage</t>
  </si>
  <si>
    <t>cashFlowToDebtRatio</t>
  </si>
  <si>
    <t>companyEquityMultiplier</t>
  </si>
  <si>
    <t>receivablesTurnover</t>
  </si>
  <si>
    <t>payablesTurnover</t>
  </si>
  <si>
    <t>inventoryTurnover</t>
  </si>
  <si>
    <t>fixedAssetTurnover</t>
  </si>
  <si>
    <t>assetTurnover</t>
  </si>
  <si>
    <t>operatingCashFlowPerShare</t>
  </si>
  <si>
    <t>freeCashFlowPerShare</t>
  </si>
  <si>
    <t>cashPerShare</t>
  </si>
  <si>
    <t>payoutRatio</t>
  </si>
  <si>
    <t>operatingCashFlowSalesRatio</t>
  </si>
  <si>
    <t>freeCashFlowOperatingCashFlowRatio</t>
  </si>
  <si>
    <t>cashFlowCoverageRatios</t>
  </si>
  <si>
    <t>shortTermCoverageRatios</t>
  </si>
  <si>
    <t>capitalExpenditureCoverageRatio</t>
  </si>
  <si>
    <t>dividendPaidAndCapexCoverageRatio</t>
  </si>
  <si>
    <t>dividendPayoutRatio</t>
  </si>
  <si>
    <t>priceBookValueRatio</t>
  </si>
  <si>
    <t>priceToBookRatio</t>
  </si>
  <si>
    <t>priceToSalesRatio</t>
  </si>
  <si>
    <t>priceEarningsRatio</t>
  </si>
  <si>
    <t>priceToFreeCashFlowsRatio</t>
  </si>
  <si>
    <t>priceToOperatingCashFlowsRatio</t>
  </si>
  <si>
    <t>priceCashFlowRatio</t>
  </si>
  <si>
    <t>priceEarningsToGrowthRatio</t>
  </si>
  <si>
    <t>priceSalesRatio</t>
  </si>
  <si>
    <t>dividendYield</t>
  </si>
  <si>
    <t>enterpriseValueMultiple</t>
  </si>
  <si>
    <t>priceFairValue</t>
  </si>
  <si>
    <t>The Walt Disney Company</t>
  </si>
  <si>
    <t>Paramount Global Class B</t>
  </si>
  <si>
    <t>NWSA</t>
  </si>
  <si>
    <t>News Corp Class A</t>
  </si>
  <si>
    <t>MTCH</t>
  </si>
  <si>
    <t>Match Group Inc</t>
  </si>
  <si>
    <t>NFLX</t>
  </si>
  <si>
    <t>Netflix Inc</t>
  </si>
  <si>
    <t>83.91-123.74</t>
  </si>
  <si>
    <t>US2546871060</t>
  </si>
  <si>
    <t>New York Stock Exchange</t>
  </si>
  <si>
    <t>NYSE</t>
  </si>
  <si>
    <t>Entertainment</t>
  </si>
  <si>
    <t>https://www.thewaltdisneycompany.com</t>
  </si>
  <si>
    <t>The Walt Disney Company, together with its subsidiaries, operates as an entertainment company worldwide. It operates through two segments, Disney Media and Entertainment Distribution; and Disney Parks, Experiences and Products. The company engages in the film and episodic television content production and distribution activities, as well as operates television broadcast networks under the ABC, Disney, ESPN, Freeform, FX, Fox, National Geographic, and Star brands; and studios that produces motion pictures under the Walt Disney Pictures, Twentieth Century Studios, Marvel, Lucasfilm, Pixar, and Searchlight Pictures banners. It also offers direct-to-consumer streaming services through Disney+, Disney+ Hotstar, ESPN+, Hulu, and Star+; sale/licensing of film and television content to third-party television and subscription video-on-demand services; theatrical, home entertainment, and music distribution services; staging and licensing of live entertainment events; and post-production services by Industrial Light &amp; Magic and Skywalker Sound. In addition, the company operates theme parks and resorts, such as Walt Disney World Resort in Florida; Disneyland Resort in California; Disneyland Paris; Hong Kong Disneyland Resort; and Shanghai Disney Resort; Disney Cruise Line, Disney Vacation Club, National Geographic Expeditions, and Adventures by Disney as well as Aulani, a Disney resort and spa in Hawaii; licenses its intellectual property to a third party for the operations of the Tokyo Disney Resort; and provides consumer products, which include licensing of trade names, characters, visual, literary, and other IP for use on merchandise, published materials, and games. Further, it sells branded merchandise through retail, online, and wholesale businesses; and develops and publishes books, comic books, and magazines. The Walt Disney Company was founded in 1923 and is based in Burbank, California.</t>
  </si>
  <si>
    <t>Mr. Robert A. Iger</t>
  </si>
  <si>
    <t>818 560 1000</t>
  </si>
  <si>
    <t>500 South Buena Vista Street</t>
  </si>
  <si>
    <t>Burbank</t>
  </si>
  <si>
    <t>CA</t>
  </si>
  <si>
    <t>https://images.financialmodelingprep.com/symbol/DIS.png</t>
  </si>
  <si>
    <t>https://www.sec.gov/Archives/edgar/data/1744489/000174448924000276/0001744489-24-000276-index.htm</t>
  </si>
  <si>
    <t>https://www.sec.gov/Archives/edgar/data/1744489/000174448924000276/dis-20240928.htm</t>
  </si>
  <si>
    <t>https://www.sec.gov/Archives/edgar/data/1744489/000174448924000064/0001744489-24-000064-index.htm</t>
  </si>
  <si>
    <t>https://www.sec.gov/Archives/edgar/data/1744489/000174448924000064/dis-20230930.htm</t>
  </si>
  <si>
    <t>https://www.sec.gov/Archives/edgar/data/1744489/000119312523014219/0001193125-23-014219-index.htm</t>
  </si>
  <si>
    <t>https://www.sec.gov/Archives/edgar/data/1744489/000119312523014219/d431948d10ka.htm</t>
  </si>
  <si>
    <t>https://www.sec.gov/Archives/edgar/data/1744489/000174448921000220/0001744489-21-000220-index.htm</t>
  </si>
  <si>
    <t>https://www.sec.gov/Archives/edgar/data/1744489/000174448921000220/dis-20211002.htm</t>
  </si>
  <si>
    <t>https://www.sec.gov/Archives/edgar/data/1744489/000174448920000197/0001744489-20-000197-index.htm</t>
  </si>
  <si>
    <t>https://www.sec.gov/Archives/edgar/data/1744489/000174448920000197/dis-20201003.htm</t>
  </si>
  <si>
    <t>Target Corporation</t>
  </si>
  <si>
    <t>WMT</t>
  </si>
  <si>
    <t>Walmart Inc</t>
  </si>
  <si>
    <t>CVS</t>
  </si>
  <si>
    <t>CVS Health Corp</t>
  </si>
  <si>
    <t>Costco Wholesale Corporation</t>
  </si>
  <si>
    <t>Kroger Co</t>
  </si>
  <si>
    <t>120.21-181.86</t>
  </si>
  <si>
    <t>US87612E1064</t>
  </si>
  <si>
    <t>Discount Stores</t>
  </si>
  <si>
    <t>https://corporate.target.com</t>
  </si>
  <si>
    <t>Target Corporation operates as a general merchandise retailer in the United States. The company offers food assortments, including perishables, dry grocery, dairy, and frozen items; apparel, accessories, home décor products, electronics, toys, seasonal offerings, food, and other merchandise; and beauty and household essentials. It also provides in-store amenities, such as Target Café, Target Optical, Starbucks, and other food service offerings. The company sells its products through its stores; and digital channels, including Target.com. As of March 09, 2022, the company operated approximately 2,000 stores. Target Corporation was incorporated in 1902 and is headquartered in Minneapolis, Minnesota.</t>
  </si>
  <si>
    <t>Mr. Brian C. Cornell</t>
  </si>
  <si>
    <t>612 304 6073</t>
  </si>
  <si>
    <t>1000 Nicollet Mall</t>
  </si>
  <si>
    <t>Minneapolis</t>
  </si>
  <si>
    <t>MN</t>
  </si>
  <si>
    <t>https://images.financialmodelingprep.com/symbol/TGT.png</t>
  </si>
  <si>
    <t>https://www.sec.gov/Archives/edgar/data/27419/000002741924000032/0000027419-24-000032-index.htm</t>
  </si>
  <si>
    <t>https://www.sec.gov/Archives/edgar/data/27419/000002741924000032/tgt-20240203.htm</t>
  </si>
  <si>
    <t>https://www.sec.gov/Archives/edgar/data/27419/000002741923000015/0000027419-23-000015-index.htm</t>
  </si>
  <si>
    <t>https://www.sec.gov/Archives/edgar/data/27419/000002741923000015/tgt-20230128.htm</t>
  </si>
  <si>
    <t>https://www.sec.gov/Archives/edgar/data/27419/000002741922000007/0000027419-22-000007-index.htm</t>
  </si>
  <si>
    <t>https://www.sec.gov/Archives/edgar/data/27419/000002741922000007/tgt-20220129.htm</t>
  </si>
  <si>
    <t>https://www.sec.gov/Archives/edgar/data/27419/000002741921000010/0000027419-21-000010-index.htm</t>
  </si>
  <si>
    <t>https://www.sec.gov/Archives/edgar/data/27419/000002741921000010/tgt-20210130.htm</t>
  </si>
  <si>
    <t>https://www.sec.gov/Archives/edgar/data/27419/000002741920000008/0000027419-20-000008-index.htm</t>
  </si>
  <si>
    <t>https://www.sec.gov/Archives/edgar/data/27419/000002741920000008/tgt-20200201.htm</t>
  </si>
  <si>
    <t>JPMorgan Chase &amp; Co.</t>
  </si>
  <si>
    <t>C</t>
  </si>
  <si>
    <t>Citigroup Inc</t>
  </si>
  <si>
    <t>Bank of America Corp</t>
  </si>
  <si>
    <t>WFC</t>
  </si>
  <si>
    <t>Wells Fargo &amp; Co</t>
  </si>
  <si>
    <t>Goldman Sachs Group Inc</t>
  </si>
  <si>
    <t>152.71-249.15</t>
  </si>
  <si>
    <t>US46625H1005</t>
  </si>
  <si>
    <t>46625H100</t>
  </si>
  <si>
    <t>Banks - Diversified</t>
  </si>
  <si>
    <t>https://www.jpmorganchase.com</t>
  </si>
  <si>
    <t>JPMorgan Chase &amp; Co. operates as a financial services company worldwide. It operates through four segments: Consumer &amp; Community Banking (CCB), Corporate &amp; Investment Bank (CIB), Commercial Banking (CB), and Asset &amp; Wealth Management (AWM). The CCB segment offers s deposit, investment and lending products, payments, and services to consumers; lending, deposit, and cash management and payment solutions to small businesses; mortgage origination and servicing activities; residential mortgages and home equity loans; and credit card, auto loan, and leasing services. The CIB segment provides investment banking products and services, including corporate strategy and structure advisory, and equity and debt markets capital-raising services, as well as loan origination and syndication; payments and cross-border financing; and cash and derivative instruments, risk management solutions, prime brokerage, and research. This segment also offers securities services, including custody, fund accounting and administration, and securities lending products for asset managers, insurance companies, and public and private investment funds. The CB segment provides financial solutions, including lending, payments, investment banking, and asset management to small business, large and midsized companies, local governments, and nonprofit clients; and commercial real estate banking services to investors, developers, and owners of multifamily, office, retail, industrial, and affordable housing properties. The AWM segment offers multi-asset investment management solutions in equities, fixed income, alternatives, and money market funds to institutional clients and retail investors; and retirement products and services, brokerage, custody, trusts and estates, loans, mortgages, deposits, and investment management products. The company also provides ATM, online and mobile, and telephone banking services. JPMorgan Chase &amp; Co. was founded in 1799 and is headquartered in New York, New York.</t>
  </si>
  <si>
    <t>Mr. James  Dimon</t>
  </si>
  <si>
    <t>212 270 6000</t>
  </si>
  <si>
    <t>383 Madison Avenue</t>
  </si>
  <si>
    <t>New York</t>
  </si>
  <si>
    <t>NY</t>
  </si>
  <si>
    <t>https://images.financialmodelingprep.com/symbol/JPM.png</t>
  </si>
  <si>
    <t>https://www.sec.gov/Archives/edgar/data/19617/000001961724000225/0000019617-24-000225-index.htm</t>
  </si>
  <si>
    <t>https://www.sec.gov/Archives/edgar/data/19617/000001961724000225/jpm-20231231.htm</t>
  </si>
  <si>
    <t>https://www.sec.gov/Archives/edgar/data/19617/000001961723000231/0000019617-23-000231-index.htm</t>
  </si>
  <si>
    <t>https://www.sec.gov/Archives/edgar/data/19617/000001961723000231/jpm-20221231.htm</t>
  </si>
  <si>
    <t>https://www.sec.gov/Archives/edgar/data/19617/000001961722000272/0000019617-22-000272-index.htm</t>
  </si>
  <si>
    <t>https://www.sec.gov/Archives/edgar/data/19617/000001961722000272/jpm-20211231.htm</t>
  </si>
  <si>
    <t>https://www.sec.gov/Archives/edgar/data/19617/000001961721000236/0000019617-21-000236-index.htm</t>
  </si>
  <si>
    <t>https://www.sec.gov/Archives/edgar/data/19617/000001961721000236/jpm-20201231.htm</t>
  </si>
  <si>
    <t>https://www.sec.gov/Archives/edgar/data/19617/000001961720000257/0000019617-20-000257-index.html</t>
  </si>
  <si>
    <t>https://www.sec.gov/Archives/edgar/data/19617/000001961720000257/corp10k2019.htm</t>
  </si>
  <si>
    <t>The Coca-Cola Company</t>
  </si>
  <si>
    <t>KDP</t>
  </si>
  <si>
    <t>Keurig Dr Pepper Inc</t>
  </si>
  <si>
    <t>PepsiCo Inc</t>
  </si>
  <si>
    <t>Monster Beverage Corp</t>
  </si>
  <si>
    <t>CCEP</t>
  </si>
  <si>
    <t>Coca-Cola Europacific Partners PLC</t>
  </si>
  <si>
    <t>57.47-73.53</t>
  </si>
  <si>
    <t>US1912161007</t>
  </si>
  <si>
    <t>Beverages - Non-Alcoholic</t>
  </si>
  <si>
    <t>https://www.coca-colacompany.com</t>
  </si>
  <si>
    <t>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dogadan, FUZE TEA, Georgia, glacéau smartwater, glacéau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t>
  </si>
  <si>
    <t>Mr. James Robert B. Quincey</t>
  </si>
  <si>
    <t>404 676 2121</t>
  </si>
  <si>
    <t>One Coca-Cola Plaza</t>
  </si>
  <si>
    <t>Atlanta</t>
  </si>
  <si>
    <t>GA</t>
  </si>
  <si>
    <t>https://images.financialmodelingprep.com/symbol/KO.png</t>
  </si>
  <si>
    <t>https://www.sec.gov/Archives/edgar/data/21344/000002134424000009/0000021344-24-000009-index.htm</t>
  </si>
  <si>
    <t>https://www.sec.gov/Archives/edgar/data/21344/000002134424000009/ko-20231231.htm</t>
  </si>
  <si>
    <t>https://www.sec.gov/Archives/edgar/data/21344/000002134423000011/0000021344-23-000011-index.htm</t>
  </si>
  <si>
    <t>https://www.sec.gov/Archives/edgar/data/21344/000002134423000011/ko-20221231.htm</t>
  </si>
  <si>
    <t>https://www.sec.gov/Archives/edgar/data/21344/000002134422000009/0000021344-22-000009-index.htm</t>
  </si>
  <si>
    <t>https://www.sec.gov/Archives/edgar/data/21344/000002134422000009/ko-20211231.htm</t>
  </si>
  <si>
    <t>https://www.sec.gov/Archives/edgar/data/21344/000002134421000008/0000021344-21-000008-index.htm</t>
  </si>
  <si>
    <t>https://www.sec.gov/Archives/edgar/data/21344/000002134421000008/ko-20201231.htm</t>
  </si>
  <si>
    <t>https://www.sec.gov/Archives/edgar/data/21344/000002134420000006/0000021344-20-000006-index.htm</t>
  </si>
  <si>
    <t>https://www.sec.gov/Archives/edgar/data/21344/000002134420000006/a2019123110-k.htm</t>
  </si>
  <si>
    <t>Realty Income Corporation</t>
  </si>
  <si>
    <t>SITC</t>
  </si>
  <si>
    <t>Site Centers Corp</t>
  </si>
  <si>
    <t>NNN</t>
  </si>
  <si>
    <t>NNN REIT Inc</t>
  </si>
  <si>
    <t>EPR</t>
  </si>
  <si>
    <t>EPR Properties</t>
  </si>
  <si>
    <t>LXP</t>
  </si>
  <si>
    <t>LXP Industrial Trust</t>
  </si>
  <si>
    <t>50.65-64.88</t>
  </si>
  <si>
    <t>US7561091049</t>
  </si>
  <si>
    <t>REIT - Retail</t>
  </si>
  <si>
    <t>https://www.realtyincome.com</t>
  </si>
  <si>
    <t>Realty Income, The Monthly Dividend Company, is an S&amp;P 500 company dedicated to providing stockholders with dependable monthly income. The company is structured as a REIT, and its monthly dividends are supported by the cash flow from over 6,500 real estate properties owned under long-term lease agreements with our commercial clients. To date, the company has declared 608 consecutive common stock monthly dividends throughout its 52-year operating history and increased the dividend 109 times since Realty Income's public listing in 1994 (NYSE: O). The company is a member of the S&amp;P 500 Dividend Aristocrats index. Additional information about the company can be obtained from the corporate website at www.realtyincome.com.</t>
  </si>
  <si>
    <t>Ms. Michelle  Bushore</t>
  </si>
  <si>
    <t>858-284-5000</t>
  </si>
  <si>
    <t>11995 El Camino Real</t>
  </si>
  <si>
    <t>San Diego</t>
  </si>
  <si>
    <t>https://images.financialmodelingprep.com/symbol/O.png</t>
  </si>
  <si>
    <t>https://www.sec.gov/Archives/edgar/data/726728/000072672824000047/0000726728-24-000047-index.htm</t>
  </si>
  <si>
    <t>https://www.sec.gov/Archives/edgar/data/726728/000072672824000047/o-20231231.htm</t>
  </si>
  <si>
    <t>https://www.sec.gov/Archives/edgar/data/726728/000072672823000044/0000726728-23-000044-index.htm</t>
  </si>
  <si>
    <t>https://www.sec.gov/Archives/edgar/data/726728/000072672823000044/o-20221231.htm</t>
  </si>
  <si>
    <t>https://www.sec.gov/Archives/edgar/data/726728/000072672822000046/0000726728-22-000046-index.htm</t>
  </si>
  <si>
    <t>https://www.sec.gov/Archives/edgar/data/726728/000072672822000046/o-20211231.htm</t>
  </si>
  <si>
    <t>https://www.sec.gov/Archives/edgar/data/726728/000072672821000043/0000726728-21-000043-index.htm</t>
  </si>
  <si>
    <t>https://www.sec.gov/Archives/edgar/data/726728/000072672821000043/o-20201231.htm</t>
  </si>
  <si>
    <t>https://www.sec.gov/Archives/edgar/data/726728/000072672820000033/0000726728-20-000033-index.htm</t>
  </si>
  <si>
    <t>https://www.sec.gov/Archives/edgar/data/726728/000072672820000033/realtyincome10k2019.htm</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</si>
</sst>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quot;$&quot;#,##0.00"/>
    <numFmt numFmtId="165" formatCode="#,##0.000"/>
    <numFmt numFmtId="166" formatCode="m/d/yyyy"/>
    <numFmt numFmtId="167" formatCode="mmm-yyyy"/>
    <numFmt numFmtId="168" formatCode="mmm yyyy"/>
    <numFmt numFmtId="169" formatCode="mmmm yyyy"/>
    <numFmt numFmtId="170" formatCode="#,##0.0"/>
    <numFmt numFmtId="171" formatCode="_(&quot;$&quot;* #,##0.00_);_(&quot;$&quot;* \(#,##0.00\);_(&quot;$&quot;* &quot;-&quot;??_);_(@_)"/>
    <numFmt numFmtId="172" formatCode="_(&quot;$&quot;* #,##0.00_);_(&quot;$&quot;* \(#,##0.00\);_(&quot;$&quot;* &quot;-&quot;??.00_);_(@_)"/>
    <numFmt numFmtId="173" formatCode="%* 0.00"/>
    <numFmt numFmtId="174" formatCode="%* 0"/>
    <numFmt numFmtId="175" formatCode="0.0"/>
    <numFmt numFmtId="176" formatCode="_(* #,##0.00_);_(* \(#,##0.00\);_(* &quot;-&quot;??_);_(@_)"/>
    <numFmt numFmtId="177" formatCode="&quot;$&quot;#,##0"/>
    <numFmt numFmtId="178" formatCode="0.0%"/>
    <numFmt numFmtId="179" formatCode="yyyy-mm-dd"/>
    <numFmt numFmtId="180" formatCode="yyyy-mm-dd h:mm:ss"/>
  </numFmts>
  <fonts count="146">
    <font>
      <sz val="10.0"/>
      <color rgb="FF000000"/>
      <name val="Arial"/>
      <scheme val="minor"/>
    </font>
    <font>
      <color theme="1"/>
      <name val="Arial"/>
      <scheme val="minor"/>
    </font>
    <font>
      <b/>
      <sz val="20.0"/>
      <color rgb="FF000000"/>
      <name val="Open Sans"/>
    </font>
    <font>
      <b/>
      <sz val="16.0"/>
      <color theme="1"/>
      <name val="Open Sans"/>
    </font>
    <font>
      <b/>
      <sz val="15.0"/>
      <color rgb="FFFFFFFF"/>
      <name val="Open Sans"/>
    </font>
    <font/>
    <font>
      <b/>
      <sz val="16.0"/>
      <color rgb="FF000000"/>
      <name val="Open Sans"/>
    </font>
    <font>
      <sz val="36.0"/>
      <color rgb="FF000000"/>
      <name val="&quot;Google Sans Mono&quot;"/>
    </font>
    <font>
      <b/>
      <sz val="15.0"/>
      <color theme="1"/>
      <name val="Open Sans"/>
    </font>
    <font>
      <b/>
      <sz val="11.0"/>
      <color rgb="FF1F1F1F"/>
      <name val="Open Sans"/>
    </font>
    <font>
      <b/>
      <sz val="11.0"/>
      <color theme="1"/>
      <name val="Arial"/>
      <scheme val="minor"/>
    </font>
    <font>
      <b/>
      <sz val="11.0"/>
      <color rgb="FF000000"/>
      <name val="Arial"/>
    </font>
    <font>
      <b/>
      <sz val="36.0"/>
      <color theme="1"/>
      <name val="Open Sans"/>
    </font>
    <font>
      <sz val="12.0"/>
      <color theme="1"/>
      <name val="Inconsolata"/>
    </font>
    <font>
      <b/>
      <color theme="1"/>
      <name val="Arial"/>
      <scheme val="minor"/>
    </font>
    <font>
      <b/>
      <sz val="12.0"/>
      <color theme="1"/>
      <name val="Open Sans"/>
    </font>
    <font>
      <b/>
      <sz val="10.0"/>
      <color rgb="FF000000"/>
      <name val="Open Sans"/>
    </font>
    <font>
      <sz val="12.0"/>
      <color theme="1"/>
      <name val="Arial"/>
      <scheme val="minor"/>
    </font>
    <font>
      <b/>
      <sz val="24.0"/>
      <color rgb="FF000000"/>
      <name val="Arial"/>
      <scheme val="minor"/>
    </font>
    <font>
      <b/>
      <sz val="24.0"/>
      <color theme="1"/>
      <name val="Arial"/>
      <scheme val="minor"/>
    </font>
    <font>
      <b/>
      <sz val="16.0"/>
      <color rgb="FFFFFFFF"/>
      <name val="Open Sans"/>
    </font>
    <font>
      <b/>
      <sz val="14.0"/>
      <color theme="1"/>
      <name val="Arial"/>
      <scheme val="minor"/>
    </font>
    <font>
      <b/>
      <sz val="14.0"/>
      <color rgb="FF000000"/>
      <name val="Arial"/>
      <scheme val="minor"/>
    </font>
    <font>
      <color rgb="FF434343"/>
      <name val="Arial"/>
      <scheme val="minor"/>
    </font>
    <font>
      <b/>
      <sz val="24.0"/>
      <color rgb="FFFFFFFF"/>
      <name val="Arial"/>
      <scheme val="minor"/>
    </font>
    <font>
      <b/>
      <sz val="12.0"/>
      <color theme="1"/>
      <name val="Arial"/>
      <scheme val="minor"/>
    </font>
    <font>
      <b/>
      <sz val="15.0"/>
      <color theme="1"/>
      <name val="Arial"/>
      <scheme val="minor"/>
    </font>
    <font>
      <sz val="14.0"/>
      <color theme="1"/>
      <name val="Arial"/>
      <scheme val="minor"/>
    </font>
    <font>
      <b/>
      <color rgb="FFFFFFFF"/>
      <name val="Open Sans"/>
    </font>
    <font>
      <b/>
      <sz val="10.0"/>
      <color theme="1"/>
      <name val="Open Sans"/>
    </font>
    <font>
      <sz val="10.0"/>
      <color theme="1"/>
      <name val="Open Sans"/>
    </font>
    <font>
      <u/>
      <sz val="10.0"/>
      <color rgb="FF0000FF"/>
      <name val="Open Sans"/>
    </font>
    <font>
      <sz val="10.0"/>
      <color rgb="FF000000"/>
      <name val="Open Sans"/>
    </font>
    <font>
      <b/>
      <color theme="1"/>
      <name val="Open Sans"/>
    </font>
    <font>
      <color theme="1"/>
      <name val="Open Sans"/>
    </font>
    <font>
      <u/>
      <color rgb="FF0097A7"/>
      <name val="Open Sans"/>
    </font>
    <font>
      <color rgb="FF0B8043"/>
      <name val="Open Sans"/>
    </font>
    <font>
      <color theme="1"/>
      <name val="Arial"/>
    </font>
    <font>
      <color rgb="FFCC0000"/>
      <name val="Open Sans"/>
    </font>
    <font>
      <sz val="10.0"/>
      <color rgb="FFF3F3F3"/>
      <name val="Open Sans"/>
    </font>
    <font>
      <b/>
      <sz val="24.0"/>
      <color theme="1"/>
      <name val="Arial"/>
    </font>
    <font>
      <b/>
      <sz val="18.0"/>
      <color theme="1"/>
      <name val="Arial"/>
    </font>
    <font>
      <b/>
      <sz val="14.0"/>
      <color theme="1"/>
      <name val="Open Sans"/>
    </font>
    <font>
      <sz val="9.0"/>
      <color rgb="FF000000"/>
      <name val="&quot;Google Sans Mono&quot;"/>
    </font>
    <font>
      <sz val="11.0"/>
      <color rgb="FF0C0D0E"/>
      <name val="-apple-system"/>
    </font>
    <font>
      <color rgb="FF0C0D0E"/>
      <name val="Arial"/>
      <scheme val="minor"/>
    </font>
    <font>
      <sz val="12.0"/>
      <color rgb="FF000000"/>
      <name val="Calibri"/>
    </font>
    <font>
      <sz val="18.0"/>
      <color theme="1"/>
      <name val="Arial"/>
    </font>
    <font>
      <b/>
      <sz val="24.0"/>
      <color theme="1"/>
      <name val="Open Sans"/>
    </font>
    <font>
      <b/>
      <u/>
      <sz val="24.0"/>
      <color rgb="FF0000FF"/>
      <name val="Open Sans"/>
    </font>
    <font>
      <b/>
      <sz val="14.0"/>
      <color rgb="FFFFFFFF"/>
      <name val="Open Sans"/>
    </font>
    <font>
      <sz val="14.0"/>
      <color theme="1"/>
      <name val="Open Sans"/>
    </font>
    <font>
      <b/>
      <sz val="12.0"/>
      <color rgb="FF000000"/>
      <name val="Open Sans"/>
    </font>
    <font>
      <b/>
      <sz val="18.0"/>
      <color theme="1"/>
      <name val="Open Sans"/>
    </font>
    <font>
      <b/>
      <sz val="12.0"/>
      <color rgb="FFFFFFFF"/>
      <name val="Open Sans"/>
    </font>
    <font>
      <b/>
      <sz val="13.0"/>
      <color theme="1"/>
      <name val="Open Sans"/>
    </font>
    <font>
      <sz val="16.0"/>
      <color theme="1"/>
      <name val="Open Sans"/>
    </font>
    <font>
      <b/>
      <sz val="36.0"/>
      <color rgb="FFFFFFFF"/>
      <name val="Open Sans"/>
    </font>
    <font>
      <sz val="11.0"/>
      <color theme="1"/>
      <name val="Open Sans"/>
    </font>
    <font>
      <b/>
      <sz val="10.0"/>
      <color theme="1"/>
      <name val="Arial"/>
      <scheme val="minor"/>
    </font>
    <font>
      <b/>
      <sz val="14.0"/>
      <color theme="1"/>
      <name val="Arial"/>
    </font>
    <font>
      <b/>
      <u/>
      <sz val="14.0"/>
      <color rgb="FF0097A7"/>
      <name val="Arial"/>
    </font>
    <font>
      <sz val="10.0"/>
      <color rgb="FFB7B7B7"/>
      <name val="Open Sans"/>
    </font>
    <font>
      <b/>
      <color rgb="FFFFFFFF"/>
      <name val="Arial"/>
      <scheme val="minor"/>
    </font>
    <font>
      <b/>
      <sz val="10.0"/>
      <color rgb="FFFFFFFF"/>
      <name val="Open Sans"/>
    </font>
    <font>
      <sz val="10.0"/>
      <color rgb="FFFCE5CD"/>
      <name val="Open Sans"/>
    </font>
    <font>
      <b/>
      <u/>
      <sz val="10.0"/>
      <color rgb="FF0000FF"/>
      <name val="Open Sans"/>
    </font>
    <font>
      <b/>
      <u/>
      <sz val="10.0"/>
      <color rgb="FF0097A7"/>
      <name val="Open Sans"/>
    </font>
    <font>
      <u/>
      <color rgb="FF0097A7"/>
      <name val="Arial"/>
      <scheme val="minor"/>
    </font>
    <font>
      <b/>
      <u/>
      <sz val="10.0"/>
      <color rgb="FF0000FF"/>
      <name val="Open Sans"/>
    </font>
    <font>
      <b/>
      <sz val="19.0"/>
      <color theme="1"/>
      <name val="Arial"/>
      <scheme val="minor"/>
    </font>
    <font>
      <b/>
      <sz val="17.0"/>
      <color theme="1"/>
      <name val="Arial"/>
    </font>
    <font>
      <b/>
      <sz val="19.0"/>
      <color theme="1"/>
      <name val="Arial"/>
    </font>
    <font>
      <b/>
      <color theme="1"/>
      <name val="Arial"/>
    </font>
    <font>
      <b/>
      <color theme="1"/>
      <name val="Helvetica Neue"/>
    </font>
    <font>
      <b/>
      <u/>
      <sz val="15.0"/>
      <color rgb="FF1155CC"/>
      <name val="Arial"/>
    </font>
    <font>
      <b/>
      <sz val="19.0"/>
      <color rgb="FF1F1F1F"/>
      <name val="Open Sans"/>
    </font>
    <font>
      <b/>
      <color rgb="FF000000"/>
      <name val="Open Sans"/>
    </font>
    <font>
      <b/>
      <sz val="12.0"/>
      <color rgb="FF1F1F1F"/>
      <name val="&quot;Google Sans&quot;"/>
    </font>
    <font>
      <b/>
      <sz val="11.0"/>
      <color rgb="FF1F1F1F"/>
      <name val="&quot;Google Sans&quot;"/>
    </font>
    <font>
      <b/>
      <color rgb="FF434343"/>
      <name val="Montserrat"/>
    </font>
    <font>
      <b/>
      <sz val="14.0"/>
      <color rgb="FF434343"/>
      <name val="Montserrat"/>
    </font>
    <font>
      <sz val="21.0"/>
      <color rgb="FF000000"/>
      <name val="Open Sans"/>
    </font>
    <font>
      <color rgb="FF000000"/>
      <name val="Montserrat"/>
    </font>
    <font>
      <b/>
      <sz val="14.0"/>
      <color theme="1"/>
      <name val="Montserrat"/>
    </font>
    <font>
      <sz val="12.0"/>
      <color theme="1"/>
      <name val="Open Sans"/>
    </font>
    <font>
      <color rgb="FF000000"/>
      <name val="Arial"/>
    </font>
    <font>
      <color rgb="FFF8FAF8"/>
      <name val="Montserrat"/>
    </font>
    <font>
      <b/>
      <color rgb="FF000000"/>
      <name val="Montserrat"/>
    </font>
    <font>
      <sz val="11.0"/>
      <color rgb="FF1F1F1F"/>
      <name val="&quot;Google Sans&quot;"/>
    </font>
    <font>
      <sz val="12.0"/>
      <color theme="1"/>
      <name val="Arial"/>
    </font>
    <font>
      <sz val="24.0"/>
      <color theme="1"/>
      <name val="Open Sans"/>
    </font>
    <font>
      <sz val="10.0"/>
      <color rgb="FF434343"/>
      <name val="Montserrat"/>
    </font>
    <font>
      <b/>
      <sz val="14.0"/>
      <color rgb="FF1F1F1F"/>
      <name val="&quot;Google Sans&quot;"/>
    </font>
    <font>
      <b/>
      <sz val="22.0"/>
      <color theme="1"/>
      <name val="Open Sans"/>
    </font>
    <font>
      <sz val="18.0"/>
      <color theme="1"/>
      <name val="Open Sans"/>
    </font>
    <font>
      <b/>
      <sz val="24.0"/>
      <color rgb="FF7F6000"/>
      <name val="Open Sans"/>
    </font>
    <font>
      <b/>
      <sz val="20.0"/>
      <color theme="1"/>
      <name val="Open Sans"/>
    </font>
    <font>
      <b/>
      <sz val="15.0"/>
      <color rgb="FF1F1F1F"/>
      <name val="&quot;Google Sans&quot;"/>
    </font>
    <font>
      <sz val="15.0"/>
      <color theme="1"/>
      <name val="Open Sans"/>
    </font>
    <font>
      <b/>
      <sz val="12.0"/>
      <color theme="1"/>
      <name val="Arial"/>
    </font>
    <font>
      <sz val="14.0"/>
      <color theme="1"/>
      <name val="Arial"/>
    </font>
    <font>
      <u/>
      <sz val="14.0"/>
      <color rgb="FF0097A7"/>
      <name val="Arial"/>
    </font>
    <font>
      <b/>
      <u/>
      <sz val="12.0"/>
      <color rgb="FF0097A7"/>
      <name val="Arial"/>
    </font>
    <font>
      <color rgb="FFFFFFFF"/>
      <name val="Montserrat"/>
    </font>
    <font>
      <b/>
      <sz val="21.0"/>
      <color theme="1"/>
      <name val="Open Sans"/>
    </font>
    <font>
      <sz val="10.0"/>
      <color theme="1"/>
      <name val="Arial"/>
      <scheme val="minor"/>
    </font>
    <font>
      <b/>
      <sz val="10.0"/>
      <color rgb="FF1F1F1F"/>
      <name val="Arial"/>
      <scheme val="minor"/>
    </font>
    <font>
      <b/>
      <sz val="20.0"/>
      <color theme="1"/>
      <name val="Arial"/>
    </font>
    <font>
      <sz val="10.0"/>
      <color rgb="FF1F1F1F"/>
      <name val="Arial"/>
      <scheme val="minor"/>
    </font>
    <font>
      <sz val="10.0"/>
      <color theme="1"/>
      <name val="Arial"/>
    </font>
    <font>
      <sz val="11.0"/>
      <color rgb="FF1F1F1F"/>
      <name val="Google Sans"/>
    </font>
    <font>
      <b/>
      <sz val="10.0"/>
      <color theme="1"/>
      <name val="Arial"/>
    </font>
    <font>
      <sz val="6.0"/>
      <color theme="1"/>
      <name val="Arial"/>
      <scheme val="minor"/>
    </font>
    <font>
      <sz val="13.0"/>
      <color theme="1"/>
      <name val="Arial"/>
    </font>
    <font>
      <sz val="11.0"/>
      <color theme="1"/>
      <name val="Arial"/>
      <scheme val="minor"/>
    </font>
    <font>
      <u/>
      <color rgb="FF0000FF"/>
    </font>
    <font>
      <u/>
      <sz val="12.0"/>
      <color rgb="FF0000FF"/>
      <name val="Arial"/>
    </font>
    <font>
      <sz val="12.0"/>
      <color theme="1"/>
      <name val="Calibri"/>
    </font>
    <font>
      <sz val="10.0"/>
      <color rgb="FFFFFFFF"/>
      <name val="Arial"/>
      <scheme val="minor"/>
    </font>
    <font>
      <b/>
      <sz val="10.0"/>
      <color rgb="FFFFFFFF"/>
      <name val="Arial"/>
      <scheme val="minor"/>
    </font>
    <font>
      <b/>
      <sz val="10.0"/>
      <color rgb="FF000000"/>
      <name val="Arial"/>
      <scheme val="minor"/>
    </font>
    <font>
      <b/>
      <color rgb="FFCC0000"/>
      <name val="Arial"/>
      <scheme val="minor"/>
    </font>
    <font>
      <b/>
      <sz val="10.0"/>
      <color rgb="FF0B8043"/>
      <name val="Arial"/>
      <scheme val="minor"/>
    </font>
    <font>
      <color rgb="FFFFFFFF"/>
      <name val="Arial"/>
      <scheme val="minor"/>
    </font>
    <font>
      <b/>
      <sz val="11.0"/>
      <color theme="1"/>
      <name val="Calibri"/>
    </font>
    <font>
      <sz val="11.0"/>
      <color rgb="FF000000"/>
      <name val="Calibri"/>
    </font>
    <font>
      <sz val="11.0"/>
      <color theme="1"/>
      <name val="Calibri"/>
    </font>
    <font>
      <sz val="11.0"/>
      <color rgb="FF434343"/>
      <name val="Montserrat"/>
    </font>
    <font>
      <b/>
      <i/>
      <sz val="11.0"/>
      <color rgb="FF434343"/>
      <name val="Montserrat"/>
    </font>
    <font>
      <b/>
      <sz val="11.0"/>
      <color rgb="FF434343"/>
      <name val="Montserrat"/>
    </font>
    <font>
      <color theme="1"/>
      <name val="Montserrat"/>
    </font>
    <font>
      <b/>
      <sz val="11.0"/>
      <color rgb="FF444444"/>
      <name val="Montserrat"/>
    </font>
    <font>
      <sz val="11.0"/>
      <color rgb="FF444444"/>
      <name val="Montserrat"/>
    </font>
    <font>
      <sz val="11.0"/>
      <color rgb="FF008000"/>
      <name val="Montserrat"/>
    </font>
    <font>
      <sz val="11.0"/>
      <color rgb="FF231F20"/>
      <name val="Montserrat"/>
    </font>
    <font>
      <sz val="11.0"/>
      <color rgb="FFFF0000"/>
      <name val="Montserrat"/>
    </font>
    <font>
      <sz val="11.0"/>
      <color theme="1"/>
      <name val="Montserrat"/>
    </font>
    <font>
      <u/>
      <sz val="8.0"/>
      <color rgb="FF444444"/>
      <name val="Montserrat"/>
    </font>
    <font>
      <u/>
      <sz val="14.0"/>
      <color rgb="FF0097A7"/>
      <name val="Arial"/>
    </font>
    <font>
      <b/>
      <u/>
      <sz val="12.0"/>
      <color rgb="FF0000FF"/>
      <name val="Arial"/>
    </font>
    <font>
      <u/>
      <sz val="12.0"/>
      <color rgb="FF0097A7"/>
    </font>
    <font>
      <u/>
      <sz val="10.0"/>
      <color rgb="FF0000FF"/>
    </font>
    <font>
      <u/>
      <color rgb="FF0000FF"/>
      <name val="Arial"/>
    </font>
    <font>
      <sz val="11.0"/>
      <color rgb="FF383A42"/>
      <name val="-apple-system"/>
    </font>
    <font>
      <sz val="9.0"/>
      <color rgb="FF7E3794"/>
      <name val="&quot;Google Sans Mono&quot;"/>
    </font>
  </fonts>
  <fills count="53">
    <fill>
      <patternFill patternType="none"/>
    </fill>
    <fill>
      <patternFill patternType="lightGray"/>
    </fill>
    <fill>
      <patternFill patternType="solid">
        <fgColor rgb="FFF3F3F3"/>
        <bgColor rgb="FFF3F3F3"/>
      </patternFill>
    </fill>
    <fill>
      <patternFill patternType="solid">
        <fgColor rgb="FF0F3040"/>
        <bgColor rgb="FF0F3040"/>
      </patternFill>
    </fill>
    <fill>
      <patternFill patternType="solid">
        <fgColor rgb="FFAD832F"/>
        <bgColor rgb="FFAD832F"/>
      </patternFill>
    </fill>
    <fill>
      <patternFill patternType="solid">
        <fgColor rgb="FF335036"/>
        <bgColor rgb="FF335036"/>
      </patternFill>
    </fill>
    <fill>
      <patternFill patternType="solid">
        <fgColor rgb="FF7D2A2A"/>
        <bgColor rgb="FF7D2A2A"/>
      </patternFill>
    </fill>
    <fill>
      <patternFill patternType="solid">
        <fgColor rgb="FF45818E"/>
        <bgColor rgb="FF45818E"/>
      </patternFill>
    </fill>
    <fill>
      <patternFill patternType="solid">
        <fgColor rgb="FF999999"/>
        <bgColor rgb="FF999999"/>
      </patternFill>
    </fill>
    <fill>
      <patternFill patternType="solid">
        <fgColor rgb="FF9FC5E8"/>
        <bgColor rgb="FF9FC5E8"/>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D0E0E3"/>
        <bgColor rgb="FFD0E0E3"/>
      </patternFill>
    </fill>
    <fill>
      <patternFill patternType="solid">
        <fgColor rgb="FFEFEFEF"/>
        <bgColor rgb="FFEFEFEF"/>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93C47D"/>
        <bgColor rgb="FF93C47D"/>
      </patternFill>
    </fill>
    <fill>
      <patternFill patternType="solid">
        <fgColor rgb="FFFEF8E3"/>
        <bgColor rgb="FFFEF8E3"/>
      </patternFill>
    </fill>
    <fill>
      <patternFill patternType="solid">
        <fgColor rgb="FFFFFFFF"/>
        <bgColor rgb="FFFFFFFF"/>
      </patternFill>
    </fill>
    <fill>
      <patternFill patternType="solid">
        <fgColor rgb="FFD9D9D9"/>
        <bgColor rgb="FFD9D9D9"/>
      </patternFill>
    </fill>
    <fill>
      <patternFill patternType="solid">
        <fgColor rgb="FFFBFC8D"/>
        <bgColor rgb="FFFBFC8D"/>
      </patternFill>
    </fill>
    <fill>
      <patternFill patternType="solid">
        <fgColor rgb="FFBF9000"/>
        <bgColor rgb="FFBF9000"/>
      </patternFill>
    </fill>
    <fill>
      <patternFill patternType="solid">
        <fgColor rgb="FF8CE9C8"/>
        <bgColor rgb="FF8CE9C8"/>
      </patternFill>
    </fill>
    <fill>
      <patternFill patternType="solid">
        <fgColor rgb="FFB45F06"/>
        <bgColor rgb="FFB45F06"/>
      </patternFill>
    </fill>
    <fill>
      <patternFill patternType="solid">
        <fgColor rgb="FFCCCCCC"/>
        <bgColor rgb="FFCCCCCC"/>
      </patternFill>
    </fill>
    <fill>
      <patternFill patternType="solid">
        <fgColor rgb="FF7F6000"/>
        <bgColor rgb="FF7F6000"/>
      </patternFill>
    </fill>
    <fill>
      <patternFill patternType="solid">
        <fgColor rgb="FFD5A6BD"/>
        <bgColor rgb="FFD5A6BD"/>
      </patternFill>
    </fill>
    <fill>
      <patternFill patternType="solid">
        <fgColor rgb="FFF9CB9C"/>
        <bgColor rgb="FFF9CB9C"/>
      </patternFill>
    </fill>
    <fill>
      <patternFill patternType="solid">
        <fgColor rgb="FFF1C232"/>
        <bgColor rgb="FFF1C232"/>
      </patternFill>
    </fill>
    <fill>
      <patternFill patternType="solid">
        <fgColor rgb="FF274E13"/>
        <bgColor rgb="FF274E13"/>
      </patternFill>
    </fill>
    <fill>
      <patternFill patternType="solid">
        <fgColor rgb="FF660000"/>
        <bgColor rgb="FF660000"/>
      </patternFill>
    </fill>
    <fill>
      <patternFill patternType="solid">
        <fgColor rgb="FFFCE5CD"/>
        <bgColor rgb="FFFCE5CD"/>
      </patternFill>
    </fill>
    <fill>
      <patternFill patternType="solid">
        <fgColor rgb="FFB7B7B7"/>
        <bgColor rgb="FFB7B7B7"/>
      </patternFill>
    </fill>
    <fill>
      <patternFill patternType="solid">
        <fgColor rgb="FFEAD1DC"/>
        <bgColor rgb="FFEAD1DC"/>
      </patternFill>
    </fill>
    <fill>
      <patternFill patternType="solid">
        <fgColor rgb="FFF7CB4D"/>
        <bgColor rgb="FFF7CB4D"/>
      </patternFill>
    </fill>
    <fill>
      <patternFill patternType="solid">
        <fgColor rgb="FFD9D2E9"/>
        <bgColor rgb="FFD9D2E9"/>
      </patternFill>
    </fill>
    <fill>
      <patternFill patternType="solid">
        <fgColor rgb="FF434343"/>
        <bgColor rgb="FF434343"/>
      </patternFill>
    </fill>
    <fill>
      <patternFill patternType="solid">
        <fgColor rgb="FF76A5AF"/>
        <bgColor rgb="FF76A5AF"/>
      </patternFill>
    </fill>
    <fill>
      <patternFill patternType="solid">
        <fgColor rgb="FF741B47"/>
        <bgColor rgb="FF741B47"/>
      </patternFill>
    </fill>
    <fill>
      <patternFill patternType="solid">
        <fgColor theme="4"/>
        <bgColor theme="4"/>
      </patternFill>
    </fill>
    <fill>
      <patternFill patternType="solid">
        <fgColor rgb="FFC9DAF8"/>
        <bgColor rgb="FFC9DAF8"/>
      </patternFill>
    </fill>
    <fill>
      <patternFill patternType="solid">
        <fgColor rgb="FF002060"/>
        <bgColor rgb="FF002060"/>
      </patternFill>
    </fill>
    <fill>
      <patternFill patternType="solid">
        <fgColor rgb="FF000000"/>
        <bgColor rgb="FF000000"/>
      </patternFill>
    </fill>
    <fill>
      <patternFill patternType="solid">
        <fgColor rgb="FF3D85C6"/>
        <bgColor rgb="FF3D85C6"/>
      </patternFill>
    </fill>
    <fill>
      <patternFill patternType="solid">
        <fgColor rgb="FF674EA7"/>
        <bgColor rgb="FF674EA7"/>
      </patternFill>
    </fill>
    <fill>
      <patternFill patternType="solid">
        <fgColor rgb="FF6AA84F"/>
        <bgColor rgb="FF6AA84F"/>
      </patternFill>
    </fill>
    <fill>
      <patternFill patternType="solid">
        <fgColor rgb="FFBFBFBF"/>
        <bgColor rgb="FFBFBFBF"/>
      </patternFill>
    </fill>
    <fill>
      <patternFill patternType="solid">
        <fgColor rgb="FFF4C7C3"/>
        <bgColor rgb="FFF4C7C3"/>
      </patternFill>
    </fill>
    <fill>
      <patternFill patternType="solid">
        <fgColor rgb="FFE69138"/>
        <bgColor rgb="FFE69138"/>
      </patternFill>
    </fill>
    <fill>
      <patternFill patternType="solid">
        <fgColor rgb="FFFAFAFA"/>
        <bgColor rgb="FFFAFAFA"/>
      </patternFill>
    </fill>
  </fills>
  <borders count="9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ck">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n">
        <color rgb="FF000000"/>
      </bottom>
    </border>
    <border>
      <right style="thick">
        <color rgb="FF000000"/>
      </right>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thin">
        <color rgb="FF000000"/>
      </top>
      <bottom style="thin">
        <color rgb="FF000000"/>
      </bottom>
    </border>
    <border>
      <left style="dotted">
        <color rgb="FF000000"/>
      </left>
      <top style="medium">
        <color rgb="FF000000"/>
      </top>
    </border>
    <border>
      <top style="medium">
        <color rgb="FF000000"/>
      </top>
      <bottom style="thin">
        <color rgb="FFCCCCCC"/>
      </bottom>
    </border>
    <border>
      <left style="dotted">
        <color rgb="FF000000"/>
      </left>
    </border>
    <border>
      <top style="thin">
        <color rgb="FFCCCCCC"/>
      </top>
      <bottom style="thin">
        <color rgb="FFCCCCCC"/>
      </bottom>
    </border>
    <border>
      <left style="medium">
        <color rgb="FF000000"/>
      </left>
      <top style="thin">
        <color rgb="FF000000"/>
      </top>
    </border>
    <border>
      <right style="medium">
        <color rgb="FF000000"/>
      </right>
      <top style="thin">
        <color rgb="FF000000"/>
      </top>
    </border>
    <border>
      <left style="dotted">
        <color rgb="FF000000"/>
      </left>
      <bottom style="medium">
        <color rgb="FF000000"/>
      </bottom>
    </border>
    <border>
      <top style="thin">
        <color rgb="FFCCCCCC"/>
      </top>
      <bottom style="medium">
        <color rgb="FF000000"/>
      </bottom>
    </border>
    <border>
      <left style="dotted">
        <color rgb="FFCCCCCC"/>
      </left>
      <right style="dotted">
        <color rgb="FFCCCCCC"/>
      </right>
    </border>
    <border>
      <left style="medium">
        <color rgb="FF000000"/>
      </left>
      <right style="thin">
        <color rgb="FFCCCCCC"/>
      </right>
      <top style="medium">
        <color rgb="FF000000"/>
      </top>
    </border>
    <border>
      <left style="dotted">
        <color rgb="FFCCCCCC"/>
      </left>
      <right style="medium">
        <color rgb="FF000000"/>
      </right>
      <top style="medium">
        <color rgb="FF000000"/>
      </top>
    </border>
    <border>
      <left style="medium">
        <color rgb="FF000000"/>
      </left>
      <right style="thin">
        <color rgb="FFCCCCCC"/>
      </right>
    </border>
    <border>
      <left style="dotted">
        <color rgb="FFCCCCCC"/>
      </left>
      <right style="medium">
        <color rgb="FF000000"/>
      </right>
    </border>
    <border>
      <left style="dotted">
        <color rgb="FFCCCCCC"/>
      </left>
      <right style="dotted">
        <color rgb="FFCCCCCC"/>
      </right>
      <bottom style="dotted">
        <color rgb="FFCCCCCC"/>
      </bottom>
    </border>
    <border>
      <left style="dotted">
        <color rgb="FFCCCCCC"/>
      </left>
      <right style="medium">
        <color rgb="FF000000"/>
      </right>
      <bottom style="dotted">
        <color rgb="FFCCCCCC"/>
      </bottom>
    </border>
    <border>
      <left style="medium">
        <color rgb="FF000000"/>
      </left>
      <right style="thin">
        <color rgb="FFCCCCCC"/>
      </right>
      <bottom style="medium">
        <color rgb="FF000000"/>
      </bottom>
    </border>
    <border>
      <left style="dotted">
        <color rgb="FFCCCCCC"/>
      </left>
      <right style="dotted">
        <color rgb="FFCCCCCC"/>
      </right>
      <top style="dotted">
        <color rgb="FFCCCCCC"/>
      </top>
      <bottom style="medium">
        <color rgb="FF000000"/>
      </bottom>
    </border>
    <border>
      <left style="dotted">
        <color rgb="FFCCCCCC"/>
      </left>
      <right style="medium">
        <color rgb="FF000000"/>
      </right>
      <top style="dotted">
        <color rgb="FFCCCCCC"/>
      </top>
      <bottom style="medium">
        <color rgb="FF000000"/>
      </bottom>
    </border>
    <border>
      <left style="dotted">
        <color rgb="FF000000"/>
      </left>
      <right style="thin">
        <color rgb="FFCCCCCC"/>
      </right>
      <top style="dotted">
        <color rgb="FF000000"/>
      </top>
    </border>
    <border>
      <top style="dotted">
        <color rgb="FF000000"/>
      </top>
    </border>
    <border>
      <top style="dotted">
        <color rgb="FF000000"/>
      </top>
      <bottom style="thin">
        <color rgb="FFCCCCCC"/>
      </bottom>
    </border>
    <border>
      <left style="dotted">
        <color rgb="FFCCCCCC"/>
      </left>
      <right style="dotted">
        <color rgb="FF000000"/>
      </right>
      <top style="dotted">
        <color rgb="FF000000"/>
      </top>
    </border>
    <border>
      <left style="dotted">
        <color rgb="FF000000"/>
      </left>
      <right style="thin">
        <color rgb="FFCCCCCC"/>
      </right>
    </border>
    <border>
      <left style="dotted">
        <color rgb="FFCCCCCC"/>
      </left>
      <right style="dotted">
        <color rgb="FF000000"/>
      </right>
    </border>
    <border>
      <left style="dotted">
        <color rgb="FFCCCCCC"/>
      </left>
      <right style="dotted">
        <color rgb="FF000000"/>
      </right>
      <bottom style="dotted">
        <color rgb="FFCCCCCC"/>
      </bottom>
    </border>
    <border>
      <left style="dotted">
        <color rgb="FF000000"/>
      </left>
      <right style="thin">
        <color rgb="FFCCCCCC"/>
      </right>
      <bottom style="dotted">
        <color rgb="FF000000"/>
      </bottom>
    </border>
    <border>
      <bottom style="dotted">
        <color rgb="FF000000"/>
      </bottom>
    </border>
    <border>
      <top style="thin">
        <color rgb="FFCCCCCC"/>
      </top>
      <bottom style="dotted">
        <color rgb="FF000000"/>
      </bottom>
    </border>
    <border>
      <left style="dotted">
        <color rgb="FFCCCCCC"/>
      </left>
      <right style="dotted">
        <color rgb="FFCCCCCC"/>
      </right>
      <top style="dotted">
        <color rgb="FFCCCCCC"/>
      </top>
      <bottom style="dotted">
        <color rgb="FF000000"/>
      </bottom>
    </border>
    <border>
      <left style="dotted">
        <color rgb="FFCCCCCC"/>
      </left>
      <right style="dotted">
        <color rgb="FF000000"/>
      </right>
      <top style="dotted">
        <color rgb="FFCCCCCC"/>
      </top>
      <bottom style="dotted">
        <color rgb="FF000000"/>
      </bottom>
    </border>
    <border>
      <left style="medium">
        <color rgb="FF000000"/>
      </left>
      <right style="medium">
        <color rgb="FF000000"/>
      </right>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rder>
    <border>
      <right style="medium">
        <color rgb="FF000000"/>
      </right>
      <bottom style="thin">
        <color rgb="FF000000"/>
      </bottom>
    </border>
    <border>
      <left style="medium">
        <color rgb="FF000000"/>
      </left>
      <right style="thin">
        <color rgb="FF000000"/>
      </right>
    </border>
    <border>
      <left style="thin">
        <color rgb="FF000000"/>
      </left>
      <right style="medium">
        <color rgb="FF000000"/>
      </right>
      <top style="thin">
        <color rgb="FF000000"/>
      </top>
      <bottom/>
    </border>
    <border>
      <left style="medium">
        <color rgb="FF000000"/>
      </left>
      <right style="thin">
        <color rgb="FF000000"/>
      </right>
      <bottom style="medium">
        <color rgb="FF000000"/>
      </bottom>
    </border>
    <border>
      <left style="thin">
        <color rgb="FFB7B7B7"/>
      </left>
      <top style="thin">
        <color rgb="FFB7B7B7"/>
      </top>
      <bottom style="thin">
        <color rgb="FFB7B7B7"/>
      </bottom>
    </border>
    <border>
      <left style="thick">
        <color rgb="FF000000"/>
      </left>
      <right style="thick">
        <color rgb="FF000000"/>
      </right>
      <top style="thick">
        <color rgb="FF000000"/>
      </top>
      <bottom style="thick">
        <color rgb="FF000000"/>
      </bottom>
    </border>
    <border>
      <left style="thin">
        <color rgb="FFB7B7B7"/>
      </left>
      <right style="thin">
        <color rgb="FFB7B7B7"/>
      </right>
      <top style="thin">
        <color rgb="FFB7B7B7"/>
      </top>
      <bottom style="thin">
        <color rgb="FFB7B7B7"/>
      </bottom>
    </border>
    <border>
      <right style="thin">
        <color rgb="FFB7B7B7"/>
      </right>
      <top style="thin">
        <color rgb="FFB7B7B7"/>
      </top>
      <bottom style="thin">
        <color rgb="FFB7B7B7"/>
      </bottom>
    </border>
    <border>
      <top style="thin">
        <color rgb="FFDDDDDD"/>
      </top>
      <bottom style="medium">
        <color rgb="FFDDDDDD"/>
      </bottom>
    </border>
    <border>
      <top style="thin">
        <color rgb="FFDDDDDD"/>
      </top>
    </border>
    <border>
      <bottom style="thin">
        <color rgb="FFC5C7C9"/>
      </bottom>
    </border>
  </borders>
  <cellStyleXfs count="1">
    <xf borderId="0" fillId="0" fontId="0" numFmtId="0" applyAlignment="1" applyFont="1"/>
  </cellStyleXfs>
  <cellXfs count="125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vertical="center"/>
    </xf>
    <xf borderId="0" fillId="0" fontId="3" numFmtId="0" xfId="0" applyAlignment="1" applyFont="1">
      <alignment horizontal="center" readingOrder="0" vertical="center"/>
    </xf>
    <xf borderId="1" fillId="3" fontId="4" numFmtId="0" xfId="0" applyAlignment="1" applyBorder="1" applyFill="1" applyFont="1">
      <alignment horizontal="center" readingOrder="0" vertical="center"/>
    </xf>
    <xf borderId="2" fillId="0" fontId="5" numFmtId="0" xfId="0" applyBorder="1" applyFont="1"/>
    <xf borderId="3" fillId="0" fontId="5" numFmtId="0" xfId="0" applyBorder="1" applyFont="1"/>
    <xf borderId="1" fillId="4" fontId="4" numFmtId="0" xfId="0" applyAlignment="1" applyBorder="1" applyFill="1" applyFont="1">
      <alignment horizontal="center" readingOrder="0" vertical="center"/>
    </xf>
    <xf borderId="1" fillId="5" fontId="4" numFmtId="0" xfId="0" applyAlignment="1" applyBorder="1" applyFill="1" applyFont="1">
      <alignment horizontal="center" readingOrder="0" vertical="center"/>
    </xf>
    <xf borderId="1" fillId="6" fontId="4" numFmtId="0" xfId="0" applyAlignment="1" applyBorder="1" applyFill="1" applyFont="1">
      <alignment horizontal="center" readingOrder="0" vertical="center"/>
    </xf>
    <xf borderId="1" fillId="7" fontId="6" numFmtId="0" xfId="0" applyAlignment="1" applyBorder="1" applyFill="1" applyFont="1">
      <alignment horizontal="center" readingOrder="0" vertical="center"/>
    </xf>
    <xf borderId="0" fillId="0" fontId="7" numFmtId="0" xfId="0" applyAlignment="1" applyFont="1">
      <alignment horizontal="center"/>
    </xf>
    <xf borderId="4" fillId="8" fontId="8" numFmtId="0" xfId="0" applyAlignment="1" applyBorder="1" applyFill="1" applyFont="1">
      <alignment horizontal="center" readingOrder="0" vertical="center"/>
    </xf>
    <xf borderId="5" fillId="0" fontId="5" numFmtId="0" xfId="0" applyBorder="1" applyFont="1"/>
    <xf borderId="6" fillId="0" fontId="5" numFmtId="0" xfId="0" applyBorder="1" applyFont="1"/>
    <xf borderId="7" fillId="9" fontId="8" numFmtId="0" xfId="0" applyAlignment="1" applyBorder="1" applyFill="1" applyFont="1">
      <alignment horizontal="center" vertical="center"/>
    </xf>
    <xf borderId="0" fillId="9" fontId="8" numFmtId="0" xfId="0" applyAlignment="1" applyFont="1">
      <alignment horizontal="center" vertical="center"/>
    </xf>
    <xf borderId="8" fillId="0" fontId="5" numFmtId="0" xfId="0" applyBorder="1" applyFont="1"/>
    <xf borderId="0" fillId="10" fontId="8" numFmtId="0" xfId="0" applyAlignment="1" applyFill="1" applyFont="1">
      <alignment horizontal="center" vertical="center"/>
    </xf>
    <xf borderId="0" fillId="11" fontId="8" numFmtId="0" xfId="0" applyAlignment="1" applyFill="1" applyFont="1">
      <alignment horizontal="center" vertical="center"/>
    </xf>
    <xf borderId="0" fillId="12" fontId="8" numFmtId="0" xfId="0" applyAlignment="1" applyFill="1" applyFont="1">
      <alignment horizontal="center" vertical="center"/>
    </xf>
    <xf borderId="7" fillId="13" fontId="7" numFmtId="0" xfId="0" applyAlignment="1" applyBorder="1" applyFill="1" applyFont="1">
      <alignment horizontal="center" vertical="center"/>
    </xf>
    <xf borderId="4" fillId="14" fontId="9" numFmtId="0" xfId="0" applyAlignment="1" applyBorder="1" applyFill="1" applyFont="1">
      <alignment horizontal="center" readingOrder="0" shrinkToFit="0" vertical="center" wrapText="1"/>
    </xf>
    <xf borderId="7" fillId="15" fontId="8" numFmtId="164" xfId="0" applyAlignment="1" applyBorder="1" applyFill="1" applyFont="1" applyNumberFormat="1">
      <alignment horizontal="center" vertical="center"/>
    </xf>
    <xf borderId="0" fillId="15" fontId="8" numFmtId="164" xfId="0" applyAlignment="1" applyFont="1" applyNumberFormat="1">
      <alignment horizontal="center" vertical="center"/>
    </xf>
    <xf borderId="0" fillId="16" fontId="8" numFmtId="164" xfId="0" applyAlignment="1" applyFill="1" applyFont="1" applyNumberFormat="1">
      <alignment horizontal="center" vertical="center"/>
    </xf>
    <xf borderId="0" fillId="16" fontId="8" numFmtId="10" xfId="0" applyAlignment="1" applyFont="1" applyNumberFormat="1">
      <alignment horizontal="center" readingOrder="0" vertical="center"/>
    </xf>
    <xf borderId="0" fillId="17" fontId="8" numFmtId="10" xfId="0" applyAlignment="1" applyFill="1" applyFont="1" applyNumberFormat="1">
      <alignment horizontal="center" readingOrder="0" vertical="center"/>
    </xf>
    <xf borderId="0" fillId="18" fontId="8" numFmtId="164" xfId="0" applyAlignment="1" applyFill="1" applyFont="1" applyNumberFormat="1">
      <alignment horizontal="center" vertical="center"/>
    </xf>
    <xf borderId="9" fillId="0" fontId="5" numFmtId="0" xfId="0" applyBorder="1" applyFont="1"/>
    <xf borderId="10" fillId="0" fontId="5" numFmtId="0" xfId="0" applyBorder="1" applyFont="1"/>
    <xf borderId="11" fillId="0" fontId="5" numFmtId="0" xfId="0" applyBorder="1" applyFont="1"/>
    <xf borderId="7" fillId="14" fontId="10" numFmtId="0" xfId="0" applyAlignment="1" applyBorder="1" applyFont="1">
      <alignment readingOrder="0" shrinkToFit="0" vertical="top" wrapText="1"/>
    </xf>
    <xf borderId="0" fillId="11" fontId="8" numFmtId="0" xfId="0" applyAlignment="1" applyFont="1">
      <alignment horizontal="center" readingOrder="0" vertical="center"/>
    </xf>
    <xf borderId="7" fillId="0" fontId="5" numFmtId="0" xfId="0" applyBorder="1" applyFont="1"/>
    <xf borderId="9" fillId="15" fontId="8" numFmtId="164" xfId="0" applyAlignment="1" applyBorder="1" applyFont="1" applyNumberFormat="1">
      <alignment horizontal="center" vertical="center"/>
    </xf>
    <xf borderId="10" fillId="15" fontId="8" numFmtId="10" xfId="0" applyAlignment="1" applyBorder="1" applyFont="1" applyNumberFormat="1">
      <alignment horizontal="center" vertical="center"/>
    </xf>
    <xf borderId="10" fillId="16" fontId="8" numFmtId="164" xfId="0" applyAlignment="1" applyBorder="1" applyFont="1" applyNumberFormat="1">
      <alignment horizontal="center" vertical="center"/>
    </xf>
    <xf borderId="10" fillId="16" fontId="8" numFmtId="10" xfId="0" applyAlignment="1" applyBorder="1" applyFont="1" applyNumberFormat="1">
      <alignment horizontal="center" vertical="center"/>
    </xf>
    <xf borderId="10" fillId="17" fontId="8" numFmtId="10" xfId="0" applyAlignment="1" applyBorder="1" applyFont="1" applyNumberFormat="1">
      <alignment horizontal="center" vertical="center"/>
    </xf>
    <xf borderId="10" fillId="17" fontId="8" numFmtId="164" xfId="0" applyAlignment="1" applyBorder="1" applyFont="1" applyNumberFormat="1">
      <alignment horizontal="center" vertical="center"/>
    </xf>
    <xf borderId="10" fillId="18" fontId="8" numFmtId="164" xfId="0" applyAlignment="1" applyBorder="1" applyFont="1" applyNumberFormat="1">
      <alignment horizontal="center" vertical="center"/>
    </xf>
    <xf borderId="7" fillId="14" fontId="10" numFmtId="0" xfId="0" applyAlignment="1" applyBorder="1" applyFont="1">
      <alignment horizontal="center" shrinkToFit="0" vertical="center" wrapText="1"/>
    </xf>
    <xf borderId="7" fillId="14" fontId="11" numFmtId="0" xfId="0" applyAlignment="1" applyBorder="1" applyFont="1">
      <alignment readingOrder="0" shrinkToFit="0" vertical="top" wrapText="1"/>
    </xf>
    <xf borderId="7" fillId="9" fontId="8" numFmtId="0" xfId="0" applyAlignment="1" applyBorder="1" applyFont="1">
      <alignment horizontal="center" readingOrder="0" vertical="center"/>
    </xf>
    <xf borderId="7" fillId="10" fontId="8" numFmtId="0" xfId="0" applyAlignment="1" applyBorder="1" applyFont="1">
      <alignment horizontal="center" vertical="center"/>
    </xf>
    <xf borderId="7" fillId="11" fontId="8" numFmtId="0" xfId="0" applyAlignment="1" applyBorder="1" applyFont="1">
      <alignment horizontal="center" readingOrder="0" vertical="center"/>
    </xf>
    <xf borderId="7" fillId="16" fontId="8" numFmtId="164" xfId="0" applyAlignment="1" applyBorder="1" applyFont="1" applyNumberFormat="1">
      <alignment horizontal="center" vertical="center"/>
    </xf>
    <xf borderId="7" fillId="17" fontId="8" numFmtId="164" xfId="0" applyAlignment="1" applyBorder="1" applyFont="1" applyNumberFormat="1">
      <alignment horizontal="center" readingOrder="0" vertical="center"/>
    </xf>
    <xf borderId="0" fillId="17" fontId="8" numFmtId="164" xfId="0" applyAlignment="1" applyFont="1" applyNumberFormat="1">
      <alignment horizontal="center" readingOrder="0" vertical="center"/>
    </xf>
    <xf borderId="0" fillId="18" fontId="8" numFmtId="164" xfId="0" applyAlignment="1" applyFont="1" applyNumberFormat="1">
      <alignment horizontal="center" readingOrder="0" vertical="center"/>
    </xf>
    <xf borderId="9" fillId="15" fontId="8" numFmtId="10" xfId="0" applyAlignment="1" applyBorder="1" applyFont="1" applyNumberFormat="1">
      <alignment horizontal="center" vertical="center"/>
    </xf>
    <xf borderId="9" fillId="16" fontId="8" numFmtId="164" xfId="0" applyAlignment="1" applyBorder="1" applyFont="1" applyNumberFormat="1">
      <alignment horizontal="center" vertical="center"/>
    </xf>
    <xf borderId="9" fillId="17" fontId="8" numFmtId="164" xfId="0" applyAlignment="1" applyBorder="1" applyFont="1" applyNumberFormat="1">
      <alignment horizontal="center" vertical="center"/>
    </xf>
    <xf borderId="0" fillId="0" fontId="12" numFmtId="0" xfId="0" applyAlignment="1" applyFont="1">
      <alignment horizontal="center" readingOrder="0" vertical="center"/>
    </xf>
    <xf borderId="0" fillId="0" fontId="13" numFmtId="0" xfId="0" applyAlignment="1" applyFont="1">
      <alignment horizontal="center"/>
    </xf>
    <xf borderId="0" fillId="0" fontId="14" numFmtId="0" xfId="0" applyAlignment="1" applyFont="1">
      <alignment horizontal="center" readingOrder="0"/>
    </xf>
    <xf borderId="4" fillId="19" fontId="8" numFmtId="0" xfId="0" applyAlignment="1" applyBorder="1" applyFill="1" applyFont="1">
      <alignment horizontal="center" readingOrder="0" vertical="center"/>
    </xf>
    <xf borderId="4" fillId="20" fontId="8" numFmtId="0" xfId="0" applyAlignment="1" applyBorder="1" applyFill="1" applyFont="1">
      <alignment horizontal="center" readingOrder="0" vertical="center"/>
    </xf>
    <xf borderId="5" fillId="13" fontId="8" numFmtId="0" xfId="0" applyAlignment="1" applyBorder="1" applyFont="1">
      <alignment horizontal="center" readingOrder="0" vertical="center"/>
    </xf>
    <xf borderId="4" fillId="2" fontId="15" numFmtId="164" xfId="0" applyAlignment="1" applyBorder="1" applyFont="1" applyNumberFormat="1">
      <alignment horizontal="center" vertical="center"/>
    </xf>
    <xf borderId="0" fillId="0" fontId="16" numFmtId="164" xfId="0" applyAlignment="1" applyFont="1" applyNumberFormat="1">
      <alignment horizontal="center" vertical="center"/>
    </xf>
    <xf borderId="6" fillId="0" fontId="16" numFmtId="164" xfId="0" applyAlignment="1" applyBorder="1" applyFont="1" applyNumberFormat="1">
      <alignment horizontal="center" vertical="center"/>
    </xf>
    <xf borderId="7" fillId="2" fontId="15" numFmtId="164" xfId="0" applyAlignment="1" applyBorder="1" applyFont="1" applyNumberFormat="1">
      <alignment horizontal="center" vertical="center"/>
    </xf>
    <xf borderId="8" fillId="0" fontId="16" numFmtId="164" xfId="0" applyAlignment="1" applyBorder="1" applyFont="1" applyNumberFormat="1">
      <alignment horizontal="center" vertical="center"/>
    </xf>
    <xf borderId="0" fillId="2" fontId="16" numFmtId="164" xfId="0" applyAlignment="1" applyFont="1" applyNumberFormat="1">
      <alignment horizontal="center" vertical="center"/>
    </xf>
    <xf borderId="8" fillId="2" fontId="16" numFmtId="164" xfId="0" applyAlignment="1" applyBorder="1" applyFont="1" applyNumberFormat="1">
      <alignment horizontal="center" vertical="center"/>
    </xf>
    <xf borderId="0" fillId="0" fontId="1" numFmtId="0" xfId="0" applyAlignment="1" applyFont="1">
      <alignment horizontal="center"/>
    </xf>
    <xf borderId="9" fillId="2" fontId="15" numFmtId="164" xfId="0" applyAlignment="1" applyBorder="1" applyFont="1" applyNumberFormat="1">
      <alignment horizontal="center" vertical="center"/>
    </xf>
    <xf borderId="10" fillId="2" fontId="16" numFmtId="164" xfId="0" applyAlignment="1" applyBorder="1" applyFont="1" applyNumberFormat="1">
      <alignment horizontal="center" vertical="center"/>
    </xf>
    <xf borderId="9" fillId="2" fontId="17" numFmtId="0" xfId="0" applyBorder="1" applyFont="1"/>
    <xf borderId="11" fillId="2" fontId="16" numFmtId="164" xfId="0" applyAlignment="1" applyBorder="1" applyFont="1" applyNumberFormat="1">
      <alignment horizontal="center" vertical="center"/>
    </xf>
    <xf borderId="12" fillId="17" fontId="18" numFmtId="0" xfId="0" applyAlignment="1" applyBorder="1" applyFont="1">
      <alignment horizontal="center" readingOrder="0" vertical="center"/>
    </xf>
    <xf borderId="13" fillId="0" fontId="5" numFmtId="0" xfId="0" applyBorder="1" applyFont="1"/>
    <xf borderId="14" fillId="0" fontId="5" numFmtId="0" xfId="0" applyBorder="1" applyFont="1"/>
    <xf borderId="0" fillId="21" fontId="1" numFmtId="0" xfId="0" applyFill="1" applyFont="1"/>
    <xf borderId="12" fillId="10" fontId="19" numFmtId="0" xfId="0" applyAlignment="1" applyBorder="1" applyFont="1">
      <alignment horizontal="center" readingOrder="0" vertical="center"/>
    </xf>
    <xf borderId="15" fillId="0" fontId="5" numFmtId="0" xfId="0" applyBorder="1" applyFont="1"/>
    <xf borderId="16" fillId="0" fontId="5" numFmtId="0" xfId="0" applyBorder="1" applyFont="1"/>
    <xf borderId="17" fillId="0" fontId="5" numFmtId="0" xfId="0" applyBorder="1" applyFont="1"/>
    <xf borderId="0" fillId="21" fontId="19" numFmtId="0" xfId="0" applyAlignment="1" applyFont="1">
      <alignment horizontal="center" readingOrder="0" vertical="center"/>
    </xf>
    <xf borderId="1" fillId="4" fontId="20" numFmtId="0" xfId="0" applyAlignment="1" applyBorder="1" applyFont="1">
      <alignment horizontal="center" readingOrder="0" vertical="center"/>
    </xf>
    <xf borderId="1" fillId="6" fontId="20" numFmtId="0" xfId="0" applyAlignment="1" applyBorder="1" applyFont="1">
      <alignment horizontal="center" readingOrder="0" vertical="center"/>
    </xf>
    <xf borderId="4" fillId="21" fontId="21" numFmtId="0" xfId="0" applyAlignment="1" applyBorder="1" applyFont="1">
      <alignment horizontal="center" readingOrder="0" vertical="center"/>
    </xf>
    <xf borderId="18" fillId="21" fontId="21" numFmtId="10" xfId="0" applyAlignment="1" applyBorder="1" applyFont="1" applyNumberFormat="1">
      <alignment horizontal="center" vertical="center"/>
    </xf>
    <xf borderId="7" fillId="21" fontId="21" numFmtId="0" xfId="0" applyAlignment="1" applyBorder="1" applyFont="1">
      <alignment horizontal="center" readingOrder="0" vertical="center"/>
    </xf>
    <xf borderId="7" fillId="21" fontId="21" numFmtId="3" xfId="0" applyAlignment="1" applyBorder="1" applyFont="1" applyNumberFormat="1">
      <alignment horizontal="center" vertical="center"/>
    </xf>
    <xf borderId="19" fillId="0" fontId="5" numFmtId="0" xfId="0" applyBorder="1" applyFont="1"/>
    <xf borderId="4" fillId="22" fontId="21" numFmtId="0" xfId="0" applyAlignment="1" applyBorder="1" applyFill="1" applyFont="1">
      <alignment horizontal="center" readingOrder="0" vertical="center"/>
    </xf>
    <xf borderId="18" fillId="22" fontId="21" numFmtId="10" xfId="0" applyAlignment="1" applyBorder="1" applyFont="1" applyNumberFormat="1">
      <alignment horizontal="center" vertical="center"/>
    </xf>
    <xf borderId="4" fillId="16" fontId="21" numFmtId="0" xfId="0" applyAlignment="1" applyBorder="1" applyFont="1">
      <alignment horizontal="center" readingOrder="0" vertical="center"/>
    </xf>
    <xf borderId="4" fillId="16" fontId="21" numFmtId="164" xfId="0" applyAlignment="1" applyBorder="1" applyFont="1" applyNumberFormat="1">
      <alignment horizontal="center" vertical="center"/>
    </xf>
    <xf borderId="4" fillId="21" fontId="22" numFmtId="0" xfId="0" applyAlignment="1" applyBorder="1" applyFont="1">
      <alignment horizontal="center" readingOrder="0" vertical="center"/>
    </xf>
    <xf borderId="8" fillId="21" fontId="8" numFmtId="10" xfId="0" applyAlignment="1" applyBorder="1" applyFont="1" applyNumberFormat="1">
      <alignment horizontal="center" vertical="center"/>
    </xf>
    <xf borderId="4" fillId="21" fontId="21" numFmtId="164" xfId="0" applyAlignment="1" applyBorder="1" applyFont="1" applyNumberFormat="1">
      <alignment horizontal="center" vertical="center"/>
    </xf>
    <xf borderId="0" fillId="0" fontId="23" numFmtId="0" xfId="0" applyAlignment="1" applyFont="1">
      <alignment readingOrder="0"/>
    </xf>
    <xf borderId="12" fillId="6" fontId="24" numFmtId="0" xfId="0" applyAlignment="1" applyBorder="1" applyFont="1">
      <alignment horizontal="center" readingOrder="0" vertical="center"/>
    </xf>
    <xf borderId="12" fillId="12" fontId="25" numFmtId="0" xfId="0" applyAlignment="1" applyBorder="1" applyFont="1">
      <alignment horizontal="center" readingOrder="0"/>
    </xf>
    <xf borderId="12" fillId="16" fontId="26" numFmtId="0" xfId="0" applyAlignment="1" applyBorder="1" applyFont="1">
      <alignment horizontal="center" readingOrder="0" vertical="center"/>
    </xf>
    <xf borderId="20" fillId="19" fontId="27" numFmtId="0" xfId="0" applyAlignment="1" applyBorder="1" applyFont="1">
      <alignment horizontal="center" readingOrder="0" vertical="center"/>
    </xf>
    <xf borderId="12" fillId="17" fontId="27" numFmtId="0" xfId="0" applyAlignment="1" applyBorder="1" applyFont="1">
      <alignment horizontal="center" vertical="center"/>
    </xf>
    <xf borderId="14" fillId="17" fontId="27" numFmtId="164" xfId="0" applyAlignment="1" applyBorder="1" applyFont="1" applyNumberFormat="1">
      <alignment horizontal="center" vertical="center"/>
    </xf>
    <xf borderId="20" fillId="12" fontId="27" numFmtId="0" xfId="0" applyAlignment="1" applyBorder="1" applyFont="1">
      <alignment horizontal="center" readingOrder="0" vertical="center"/>
    </xf>
    <xf borderId="12" fillId="18" fontId="27" numFmtId="0" xfId="0" applyAlignment="1" applyBorder="1" applyFont="1">
      <alignment horizontal="center" vertical="center"/>
    </xf>
    <xf borderId="14" fillId="18" fontId="27" numFmtId="164" xfId="0" applyAlignment="1" applyBorder="1" applyFont="1" applyNumberFormat="1">
      <alignment horizontal="center" vertical="center"/>
    </xf>
    <xf borderId="12" fillId="2" fontId="25" numFmtId="10" xfId="0" applyAlignment="1" applyBorder="1" applyFont="1" applyNumberFormat="1">
      <alignment horizontal="center" vertical="center"/>
    </xf>
    <xf borderId="21" fillId="0" fontId="5" numFmtId="0" xfId="0" applyBorder="1" applyFont="1"/>
    <xf borderId="12" fillId="19" fontId="27" numFmtId="0" xfId="0" applyAlignment="1" applyBorder="1" applyFont="1">
      <alignment horizontal="center" readingOrder="0" vertical="center"/>
    </xf>
    <xf borderId="14" fillId="17" fontId="27" numFmtId="10" xfId="0" applyAlignment="1" applyBorder="1" applyFont="1" applyNumberFormat="1">
      <alignment horizontal="center" vertical="center"/>
    </xf>
    <xf borderId="12" fillId="12" fontId="27" numFmtId="0" xfId="0" applyAlignment="1" applyBorder="1" applyFont="1">
      <alignment horizontal="center" readingOrder="0" vertical="center"/>
    </xf>
    <xf borderId="14" fillId="18" fontId="27" numFmtId="10" xfId="0" applyAlignment="1" applyBorder="1" applyFont="1" applyNumberFormat="1">
      <alignment horizontal="center" vertical="center"/>
    </xf>
    <xf borderId="0" fillId="0" fontId="14" numFmtId="0" xfId="0" applyAlignment="1" applyFont="1">
      <alignment readingOrder="0"/>
    </xf>
    <xf borderId="0" fillId="0" fontId="14" numFmtId="0" xfId="0" applyAlignment="1" applyFont="1">
      <alignment horizontal="left" shrinkToFit="0" wrapText="1"/>
    </xf>
    <xf borderId="0" fillId="0" fontId="14" numFmtId="0" xfId="0" applyFont="1"/>
    <xf borderId="0" fillId="0" fontId="14" numFmtId="0" xfId="0" applyAlignment="1" applyFont="1">
      <alignment horizontal="left" readingOrder="0" shrinkToFit="0" wrapText="1"/>
    </xf>
    <xf borderId="0" fillId="0" fontId="1" numFmtId="0" xfId="0" applyAlignment="1" applyFont="1">
      <alignment horizontal="left" shrinkToFit="0" wrapText="1"/>
    </xf>
    <xf borderId="0" fillId="3" fontId="28" numFmtId="0" xfId="0" applyAlignment="1" applyFont="1">
      <alignment horizontal="center" readingOrder="0" shrinkToFit="0" vertical="center" wrapText="1"/>
    </xf>
    <xf borderId="22" fillId="3" fontId="28" numFmtId="0" xfId="0" applyAlignment="1" applyBorder="1" applyFont="1">
      <alignment horizontal="center" readingOrder="0" shrinkToFit="0" vertical="center" wrapText="1"/>
    </xf>
    <xf borderId="22" fillId="3" fontId="28" numFmtId="164" xfId="0" applyAlignment="1" applyBorder="1" applyFont="1" applyNumberFormat="1">
      <alignment horizontal="center" readingOrder="0" shrinkToFit="0" vertical="center" wrapText="1"/>
    </xf>
    <xf borderId="20" fillId="3" fontId="28" numFmtId="0" xfId="0" applyAlignment="1" applyBorder="1" applyFont="1">
      <alignment horizontal="center" readingOrder="0" shrinkToFit="0" vertical="center" wrapText="1"/>
    </xf>
    <xf borderId="20" fillId="3" fontId="28" numFmtId="10" xfId="0" applyAlignment="1" applyBorder="1" applyFont="1" applyNumberFormat="1">
      <alignment horizontal="center" readingOrder="0" shrinkToFit="0" vertical="center" wrapText="1"/>
    </xf>
    <xf borderId="22" fillId="3" fontId="28" numFmtId="10" xfId="0" applyAlignment="1" applyBorder="1" applyFont="1" applyNumberFormat="1">
      <alignment horizontal="center" readingOrder="0" shrinkToFit="0" vertical="center" wrapText="1"/>
    </xf>
    <xf borderId="23" fillId="3" fontId="28" numFmtId="0" xfId="0" applyAlignment="1" applyBorder="1" applyFont="1">
      <alignment horizontal="center" readingOrder="0" shrinkToFit="0" vertical="center" wrapText="1"/>
    </xf>
    <xf borderId="24" fillId="3" fontId="28" numFmtId="0" xfId="0" applyAlignment="1" applyBorder="1" applyFont="1">
      <alignment horizontal="center" readingOrder="0" shrinkToFit="0" vertical="center" wrapText="1"/>
    </xf>
    <xf borderId="20" fillId="3" fontId="28" numFmtId="164" xfId="0" applyAlignment="1" applyBorder="1" applyFont="1" applyNumberFormat="1">
      <alignment horizontal="center" readingOrder="0" shrinkToFit="0" vertical="center" wrapText="1"/>
    </xf>
    <xf borderId="0" fillId="3" fontId="28" numFmtId="164" xfId="0" applyAlignment="1" applyFont="1" applyNumberFormat="1">
      <alignment horizontal="center" readingOrder="0" shrinkToFit="0" vertical="center" wrapText="1"/>
    </xf>
    <xf borderId="25" fillId="3" fontId="28" numFmtId="164" xfId="0" applyAlignment="1" applyBorder="1" applyFont="1" applyNumberFormat="1">
      <alignment horizontal="center" readingOrder="0" shrinkToFit="0" vertical="center" wrapText="1"/>
    </xf>
    <xf borderId="0" fillId="23" fontId="29" numFmtId="0" xfId="0" applyAlignment="1" applyFill="1" applyFont="1">
      <alignment horizontal="center" readingOrder="0" vertical="center"/>
    </xf>
    <xf borderId="25" fillId="0" fontId="30" numFmtId="0" xfId="0" applyAlignment="1" applyBorder="1" applyFont="1">
      <alignment horizontal="center" readingOrder="0" vertical="center"/>
    </xf>
    <xf borderId="0" fillId="0" fontId="31" numFmtId="4" xfId="0" applyAlignment="1" applyFont="1" applyNumberFormat="1">
      <alignment horizontal="center" readingOrder="0" vertical="center"/>
    </xf>
    <xf borderId="24" fillId="23" fontId="30" numFmtId="165" xfId="0" applyAlignment="1" applyBorder="1" applyFont="1" applyNumberFormat="1">
      <alignment horizontal="center" readingOrder="0" vertical="center"/>
    </xf>
    <xf borderId="22" fillId="23" fontId="30" numFmtId="164" xfId="0" applyAlignment="1" applyBorder="1" applyFont="1" applyNumberFormat="1">
      <alignment horizontal="center" readingOrder="0" vertical="center"/>
    </xf>
    <xf borderId="25" fillId="0" fontId="30" numFmtId="164" xfId="0" applyAlignment="1" applyBorder="1" applyFont="1" applyNumberFormat="1">
      <alignment horizontal="center" vertical="center"/>
    </xf>
    <xf borderId="25" fillId="23" fontId="30" numFmtId="164" xfId="0" applyAlignment="1" applyBorder="1" applyFont="1" applyNumberFormat="1">
      <alignment horizontal="center" readingOrder="0" vertical="center"/>
    </xf>
    <xf borderId="22" fillId="23" fontId="30" numFmtId="2" xfId="0" applyAlignment="1" applyBorder="1" applyFont="1" applyNumberFormat="1">
      <alignment horizontal="center" readingOrder="0" vertical="center"/>
    </xf>
    <xf borderId="22" fillId="0" fontId="30" numFmtId="164" xfId="0" applyAlignment="1" applyBorder="1" applyFont="1" applyNumberFormat="1">
      <alignment horizontal="center" vertical="center"/>
    </xf>
    <xf borderId="22" fillId="0" fontId="30" numFmtId="10" xfId="0" applyAlignment="1" applyBorder="1" applyFont="1" applyNumberFormat="1">
      <alignment horizontal="center" vertical="center"/>
    </xf>
    <xf borderId="25" fillId="0" fontId="30" numFmtId="10" xfId="0" applyAlignment="1" applyBorder="1" applyFont="1" applyNumberFormat="1">
      <alignment horizontal="center" readingOrder="0" vertical="center"/>
    </xf>
    <xf borderId="22" fillId="0" fontId="32" numFmtId="0" xfId="0" applyAlignment="1" applyBorder="1" applyFont="1">
      <alignment horizontal="center" readingOrder="0" vertical="center"/>
    </xf>
    <xf borderId="22" fillId="0" fontId="32" numFmtId="10" xfId="0" applyAlignment="1" applyBorder="1" applyFont="1" applyNumberFormat="1">
      <alignment horizontal="center" vertical="center"/>
    </xf>
    <xf borderId="0" fillId="21" fontId="32" numFmtId="164" xfId="0" applyAlignment="1" applyFont="1" applyNumberFormat="1">
      <alignment horizontal="center" vertical="center"/>
    </xf>
    <xf borderId="22" fillId="23" fontId="30" numFmtId="10" xfId="0" applyAlignment="1" applyBorder="1" applyFont="1" applyNumberFormat="1">
      <alignment horizontal="center" readingOrder="0" vertical="center"/>
    </xf>
    <xf borderId="22" fillId="0" fontId="30" numFmtId="164" xfId="0" applyAlignment="1" applyBorder="1" applyFont="1" applyNumberFormat="1">
      <alignment horizontal="center" readingOrder="0" vertical="center"/>
    </xf>
    <xf borderId="22" fillId="0" fontId="30" numFmtId="2" xfId="0" applyAlignment="1" applyBorder="1" applyFont="1" applyNumberFormat="1">
      <alignment horizontal="center" vertical="center"/>
    </xf>
    <xf borderId="24" fillId="0" fontId="30" numFmtId="10" xfId="0" applyAlignment="1" applyBorder="1" applyFont="1" applyNumberFormat="1">
      <alignment horizontal="center" vertical="center"/>
    </xf>
    <xf borderId="22" fillId="0" fontId="32" numFmtId="164" xfId="0" applyAlignment="1" applyBorder="1" applyFont="1" applyNumberFormat="1">
      <alignment horizontal="center" vertical="center"/>
    </xf>
    <xf borderId="0" fillId="0" fontId="32" numFmtId="164" xfId="0" applyAlignment="1" applyFont="1" applyNumberFormat="1">
      <alignment horizontal="center" vertical="center"/>
    </xf>
    <xf borderId="25" fillId="2" fontId="32" numFmtId="164" xfId="0" applyAlignment="1" applyBorder="1" applyFont="1" applyNumberFormat="1">
      <alignment horizontal="center" vertical="center"/>
    </xf>
    <xf borderId="22" fillId="0" fontId="30" numFmtId="10" xfId="0" applyAlignment="1" applyBorder="1" applyFont="1" applyNumberFormat="1">
      <alignment horizontal="center" vertical="center"/>
    </xf>
    <xf borderId="0" fillId="23" fontId="33" numFmtId="0" xfId="0" applyAlignment="1" applyFont="1">
      <alignment horizontal="center" readingOrder="0" vertical="center"/>
    </xf>
    <xf borderId="0" fillId="23" fontId="33" numFmtId="0" xfId="0" applyAlignment="1" applyFont="1">
      <alignment horizontal="center"/>
    </xf>
    <xf borderId="25" fillId="0" fontId="34" numFmtId="0" xfId="0" applyAlignment="1" applyBorder="1" applyFont="1">
      <alignment horizontal="center"/>
    </xf>
    <xf borderId="0" fillId="0" fontId="35" numFmtId="4" xfId="0" applyAlignment="1" applyFont="1" applyNumberFormat="1">
      <alignment horizontal="center"/>
    </xf>
    <xf borderId="24" fillId="23" fontId="34" numFmtId="165" xfId="0" applyAlignment="1" applyBorder="1" applyFont="1" applyNumberFormat="1">
      <alignment horizontal="center" readingOrder="0"/>
    </xf>
    <xf borderId="22" fillId="23" fontId="34" numFmtId="164" xfId="0" applyAlignment="1" applyBorder="1" applyFont="1" applyNumberFormat="1">
      <alignment horizontal="center" readingOrder="0"/>
    </xf>
    <xf borderId="25" fillId="0" fontId="34" numFmtId="164" xfId="0" applyAlignment="1" applyBorder="1" applyFont="1" applyNumberFormat="1">
      <alignment horizontal="center"/>
    </xf>
    <xf borderId="25" fillId="23" fontId="34" numFmtId="164" xfId="0" applyAlignment="1" applyBorder="1" applyFont="1" applyNumberFormat="1">
      <alignment horizontal="center"/>
    </xf>
    <xf borderId="22" fillId="23" fontId="34" numFmtId="2" xfId="0" applyAlignment="1" applyBorder="1" applyFont="1" applyNumberFormat="1">
      <alignment horizontal="center"/>
    </xf>
    <xf borderId="22" fillId="0" fontId="36" numFmtId="164" xfId="0" applyAlignment="1" applyBorder="1" applyFont="1" applyNumberFormat="1">
      <alignment horizontal="center"/>
    </xf>
    <xf borderId="22" fillId="0" fontId="36" numFmtId="10" xfId="0" applyAlignment="1" applyBorder="1" applyFont="1" applyNumberFormat="1">
      <alignment horizontal="center"/>
    </xf>
    <xf borderId="25" fillId="0" fontId="37" numFmtId="164" xfId="0" applyBorder="1" applyFont="1" applyNumberFormat="1"/>
    <xf borderId="25" fillId="0" fontId="36" numFmtId="164" xfId="0" applyAlignment="1" applyBorder="1" applyFont="1" applyNumberFormat="1">
      <alignment horizontal="center"/>
    </xf>
    <xf borderId="25" fillId="0" fontId="36" numFmtId="10" xfId="0" applyAlignment="1" applyBorder="1" applyFont="1" applyNumberFormat="1">
      <alignment horizontal="center"/>
    </xf>
    <xf borderId="22" fillId="0" fontId="34" numFmtId="0" xfId="0" applyAlignment="1" applyBorder="1" applyFont="1">
      <alignment horizontal="center"/>
    </xf>
    <xf borderId="22" fillId="0" fontId="34" numFmtId="10" xfId="0" applyAlignment="1" applyBorder="1" applyFont="1" applyNumberFormat="1">
      <alignment horizontal="center"/>
    </xf>
    <xf borderId="0" fillId="21" fontId="34" numFmtId="164" xfId="0" applyAlignment="1" applyFont="1" applyNumberFormat="1">
      <alignment horizontal="center"/>
    </xf>
    <xf borderId="22" fillId="23" fontId="34" numFmtId="10" xfId="0" applyAlignment="1" applyBorder="1" applyFont="1" applyNumberFormat="1">
      <alignment horizontal="center"/>
    </xf>
    <xf borderId="22" fillId="0" fontId="34" numFmtId="164" xfId="0" applyAlignment="1" applyBorder="1" applyFont="1" applyNumberFormat="1">
      <alignment horizontal="center"/>
    </xf>
    <xf borderId="22" fillId="0" fontId="34" numFmtId="2" xfId="0" applyAlignment="1" applyBorder="1" applyFont="1" applyNumberFormat="1">
      <alignment horizontal="center"/>
    </xf>
    <xf borderId="24" fillId="0" fontId="37" numFmtId="10" xfId="0" applyBorder="1" applyFont="1" applyNumberFormat="1"/>
    <xf borderId="22" fillId="0" fontId="37" numFmtId="164" xfId="0" applyBorder="1" applyFont="1" applyNumberFormat="1"/>
    <xf borderId="0" fillId="24" fontId="34" numFmtId="164" xfId="0" applyAlignment="1" applyFill="1" applyFont="1" applyNumberFormat="1">
      <alignment horizontal="center"/>
    </xf>
    <xf borderId="0" fillId="10" fontId="34" numFmtId="164" xfId="0" applyAlignment="1" applyFont="1" applyNumberFormat="1">
      <alignment horizontal="center"/>
    </xf>
    <xf borderId="22" fillId="0" fontId="38" numFmtId="164" xfId="0" applyAlignment="1" applyBorder="1" applyFont="1" applyNumberFormat="1">
      <alignment horizontal="center"/>
    </xf>
    <xf borderId="22" fillId="0" fontId="38" numFmtId="10" xfId="0" applyAlignment="1" applyBorder="1" applyFont="1" applyNumberFormat="1">
      <alignment horizontal="center"/>
    </xf>
    <xf borderId="0" fillId="0" fontId="30" numFmtId="4" xfId="0" applyAlignment="1" applyFont="1" applyNumberFormat="1">
      <alignment horizontal="center" readingOrder="0" vertical="center"/>
    </xf>
    <xf borderId="24" fillId="23" fontId="30" numFmtId="4" xfId="0" applyAlignment="1" applyBorder="1" applyFont="1" applyNumberFormat="1">
      <alignment horizontal="center" readingOrder="0" vertical="center"/>
    </xf>
    <xf borderId="25" fillId="23" fontId="30" numFmtId="164" xfId="0" applyAlignment="1" applyBorder="1" applyFont="1" applyNumberFormat="1">
      <alignment horizontal="center" vertical="center"/>
    </xf>
    <xf borderId="25" fillId="2" fontId="39" numFmtId="164" xfId="0" applyAlignment="1" applyBorder="1" applyFont="1" applyNumberFormat="1">
      <alignment horizontal="center" vertical="center"/>
    </xf>
    <xf borderId="21" fillId="13" fontId="29" numFmtId="0" xfId="0" applyAlignment="1" applyBorder="1" applyFont="1">
      <alignment horizontal="center" vertical="center"/>
    </xf>
    <xf borderId="21" fillId="13" fontId="29" numFmtId="0" xfId="0" applyAlignment="1" applyBorder="1" applyFont="1">
      <alignment horizontal="left" readingOrder="0" vertical="center"/>
    </xf>
    <xf borderId="21" fillId="13" fontId="29" numFmtId="164" xfId="0" applyAlignment="1" applyBorder="1" applyFont="1" applyNumberFormat="1">
      <alignment horizontal="center" vertical="center"/>
    </xf>
    <xf borderId="21" fillId="13" fontId="29" numFmtId="10" xfId="0" applyAlignment="1" applyBorder="1" applyFont="1" applyNumberFormat="1">
      <alignment horizontal="center" vertical="center"/>
    </xf>
    <xf borderId="15" fillId="13" fontId="29" numFmtId="0" xfId="0" applyAlignment="1" applyBorder="1" applyFont="1">
      <alignment horizontal="center" vertical="center"/>
    </xf>
    <xf borderId="17" fillId="13" fontId="29" numFmtId="164" xfId="0" applyAlignment="1" applyBorder="1" applyFont="1" applyNumberFormat="1">
      <alignment horizontal="center" vertical="center"/>
    </xf>
    <xf borderId="0" fillId="0" fontId="14" numFmtId="0" xfId="0" applyAlignment="1" applyFont="1">
      <alignment horizontal="center"/>
    </xf>
    <xf borderId="0" fillId="0" fontId="1" numFmtId="164" xfId="0" applyAlignment="1" applyFont="1" applyNumberFormat="1">
      <alignment horizontal="center"/>
    </xf>
    <xf borderId="0" fillId="0" fontId="1" numFmtId="10" xfId="0" applyAlignment="1" applyFont="1" applyNumberFormat="1">
      <alignment horizontal="center"/>
    </xf>
    <xf borderId="26" fillId="25" fontId="40" numFmtId="0" xfId="0" applyAlignment="1" applyBorder="1" applyFill="1" applyFont="1">
      <alignment horizontal="center" vertical="center"/>
    </xf>
    <xf borderId="27" fillId="23" fontId="41" numFmtId="164" xfId="0" applyAlignment="1" applyBorder="1" applyFont="1" applyNumberFormat="1">
      <alignment horizontal="center" readingOrder="0" vertical="center"/>
    </xf>
    <xf borderId="0" fillId="0" fontId="42" numFmtId="0" xfId="0" applyAlignment="1" applyFont="1">
      <alignment horizontal="center" readingOrder="0" shrinkToFit="0" vertical="center" wrapText="1"/>
    </xf>
    <xf borderId="0" fillId="0" fontId="1" numFmtId="164" xfId="0" applyAlignment="1" applyFont="1" applyNumberFormat="1">
      <alignment horizontal="center" readingOrder="0"/>
    </xf>
    <xf borderId="0" fillId="21" fontId="43" numFmtId="0" xfId="0" applyFont="1"/>
    <xf borderId="26" fillId="25" fontId="40" numFmtId="0" xfId="0" applyAlignment="1" applyBorder="1" applyFont="1">
      <alignment horizontal="center" readingOrder="0" vertical="center"/>
    </xf>
    <xf borderId="27" fillId="2" fontId="41" numFmtId="10" xfId="0" applyAlignment="1" applyBorder="1" applyFont="1" applyNumberFormat="1">
      <alignment horizontal="center" readingOrder="0" vertical="center"/>
    </xf>
    <xf borderId="0" fillId="21" fontId="44" numFmtId="0" xfId="0" applyAlignment="1" applyFont="1">
      <alignment horizontal="left"/>
    </xf>
    <xf borderId="0" fillId="0" fontId="1" numFmtId="49" xfId="0" applyAlignment="1" applyFont="1" applyNumberFormat="1">
      <alignment horizontal="center"/>
    </xf>
    <xf borderId="0" fillId="0" fontId="1" numFmtId="10" xfId="0" applyFont="1" applyNumberFormat="1"/>
    <xf borderId="0" fillId="0" fontId="19" numFmtId="0" xfId="0" applyAlignment="1" applyFont="1">
      <alignment horizontal="center" readingOrder="0"/>
    </xf>
    <xf borderId="0" fillId="0" fontId="45" numFmtId="0" xfId="0" applyAlignment="1" applyFont="1">
      <alignment horizontal="left"/>
    </xf>
    <xf borderId="26" fillId="0" fontId="46" numFmtId="0" xfId="0" applyAlignment="1" applyBorder="1" applyFont="1">
      <alignment horizontal="center" readingOrder="0" shrinkToFit="0" wrapText="1"/>
    </xf>
    <xf borderId="28" fillId="26" fontId="28" numFmtId="164" xfId="0" applyAlignment="1" applyBorder="1" applyFill="1" applyFont="1" applyNumberFormat="1">
      <alignment horizontal="center" readingOrder="0" shrinkToFit="0" vertical="center" wrapText="1"/>
    </xf>
    <xf borderId="29" fillId="26" fontId="28" numFmtId="164" xfId="0" applyAlignment="1" applyBorder="1" applyFont="1" applyNumberFormat="1">
      <alignment horizontal="center" readingOrder="0" shrinkToFit="0" vertical="center" wrapText="1"/>
    </xf>
    <xf borderId="30" fillId="26" fontId="28" numFmtId="0" xfId="0" applyAlignment="1" applyBorder="1" applyFont="1">
      <alignment horizontal="center" readingOrder="0" shrinkToFit="0" vertical="center" wrapText="1"/>
    </xf>
    <xf borderId="24" fillId="0" fontId="30" numFmtId="165" xfId="0" applyAlignment="1" applyBorder="1" applyFont="1" applyNumberFormat="1">
      <alignment horizontal="center" readingOrder="0" vertical="center"/>
    </xf>
    <xf borderId="22" fillId="0" fontId="30" numFmtId="165" xfId="0" applyAlignment="1" applyBorder="1" applyFont="1" applyNumberFormat="1">
      <alignment horizontal="center" readingOrder="0" vertical="center"/>
    </xf>
    <xf borderId="22" fillId="0" fontId="30" numFmtId="2" xfId="0" applyAlignment="1" applyBorder="1" applyFont="1" applyNumberFormat="1">
      <alignment horizontal="center" readingOrder="0" vertical="center"/>
    </xf>
    <xf borderId="22" fillId="21" fontId="32" numFmtId="10" xfId="0" applyAlignment="1" applyBorder="1" applyFont="1" applyNumberFormat="1">
      <alignment horizontal="center" vertical="center"/>
    </xf>
    <xf borderId="31" fillId="0" fontId="32" numFmtId="164" xfId="0" applyAlignment="1" applyBorder="1" applyFont="1" applyNumberFormat="1">
      <alignment horizontal="center" vertical="center"/>
    </xf>
    <xf borderId="0" fillId="23" fontId="32" numFmtId="4" xfId="0" applyAlignment="1" applyFont="1" applyNumberFormat="1">
      <alignment horizontal="center" readingOrder="0" vertical="center"/>
    </xf>
    <xf borderId="20" fillId="0" fontId="32" numFmtId="10" xfId="0" applyAlignment="1" applyBorder="1" applyFont="1" applyNumberFormat="1">
      <alignment horizontal="center" vertical="center"/>
    </xf>
    <xf borderId="32" fillId="0" fontId="1" numFmtId="164" xfId="0" applyBorder="1" applyFont="1" applyNumberFormat="1"/>
    <xf borderId="22" fillId="0" fontId="30" numFmtId="2" xfId="0" applyAlignment="1" applyBorder="1" applyFont="1" applyNumberFormat="1">
      <alignment horizontal="center" readingOrder="0" vertical="center"/>
    </xf>
    <xf borderId="0" fillId="0" fontId="32" numFmtId="0" xfId="0" applyAlignment="1" applyFont="1">
      <alignment horizontal="center" readingOrder="0" vertical="center"/>
    </xf>
    <xf borderId="33" fillId="0" fontId="32" numFmtId="164" xfId="0" applyAlignment="1" applyBorder="1" applyFont="1" applyNumberFormat="1">
      <alignment horizontal="center" vertical="center"/>
    </xf>
    <xf borderId="16" fillId="23" fontId="32" numFmtId="4" xfId="0" applyAlignment="1" applyBorder="1" applyFont="1" applyNumberFormat="1">
      <alignment horizontal="center" readingOrder="0" vertical="center"/>
    </xf>
    <xf borderId="16" fillId="0" fontId="32" numFmtId="164" xfId="0" applyAlignment="1" applyBorder="1" applyFont="1" applyNumberFormat="1">
      <alignment horizontal="center" vertical="center"/>
    </xf>
    <xf borderId="21" fillId="0" fontId="32" numFmtId="10" xfId="0" applyAlignment="1" applyBorder="1" applyFont="1" applyNumberFormat="1">
      <alignment horizontal="center" vertical="center"/>
    </xf>
    <xf borderId="34" fillId="0" fontId="1" numFmtId="164" xfId="0" applyBorder="1" applyFont="1" applyNumberFormat="1"/>
    <xf borderId="35" fillId="13" fontId="29" numFmtId="164" xfId="0" applyAlignment="1" applyBorder="1" applyFont="1" applyNumberFormat="1">
      <alignment horizontal="center" vertical="center"/>
    </xf>
    <xf borderId="36" fillId="13" fontId="29" numFmtId="4" xfId="0" applyAlignment="1" applyBorder="1" applyFont="1" applyNumberFormat="1">
      <alignment horizontal="center" vertical="center"/>
    </xf>
    <xf borderId="36" fillId="13" fontId="29" numFmtId="164" xfId="0" applyAlignment="1" applyBorder="1" applyFont="1" applyNumberFormat="1">
      <alignment horizontal="center" vertical="center"/>
    </xf>
    <xf borderId="36" fillId="13" fontId="29" numFmtId="10" xfId="0" applyAlignment="1" applyBorder="1" applyFont="1" applyNumberFormat="1">
      <alignment horizontal="center" vertical="center"/>
    </xf>
    <xf borderId="37" fillId="13" fontId="29" numFmtId="10" xfId="0" applyAlignment="1" applyBorder="1" applyFont="1" applyNumberFormat="1">
      <alignment horizontal="center" vertical="center"/>
    </xf>
    <xf borderId="27" fillId="23" fontId="47" numFmtId="4" xfId="0" applyAlignment="1" applyBorder="1" applyFont="1" applyNumberFormat="1">
      <alignment horizontal="center" readingOrder="0" vertical="center"/>
    </xf>
    <xf borderId="26" fillId="14" fontId="42" numFmtId="10" xfId="0" applyAlignment="1" applyBorder="1" applyFont="1" applyNumberFormat="1">
      <alignment horizontal="center" readingOrder="0" shrinkToFit="0" vertical="center" wrapText="1"/>
    </xf>
    <xf borderId="27" fillId="2" fontId="41" numFmtId="4" xfId="0" applyAlignment="1" applyBorder="1" applyFont="1" applyNumberFormat="1">
      <alignment horizontal="center" readingOrder="0" vertical="center"/>
    </xf>
    <xf borderId="21" fillId="14" fontId="42" numFmtId="10" xfId="0" applyAlignment="1" applyBorder="1" applyFont="1" applyNumberFormat="1">
      <alignment horizontal="center" readingOrder="0" shrinkToFit="0" vertical="center" wrapText="1"/>
    </xf>
    <xf borderId="0" fillId="23" fontId="30" numFmtId="166" xfId="0" applyAlignment="1" applyFont="1" applyNumberFormat="1">
      <alignment horizontal="center" readingOrder="0" vertical="center"/>
    </xf>
    <xf borderId="24" fillId="23" fontId="34" numFmtId="4" xfId="0" applyAlignment="1" applyBorder="1" applyFont="1" applyNumberFormat="1">
      <alignment horizontal="center" readingOrder="0" vertical="center"/>
    </xf>
    <xf borderId="22" fillId="23" fontId="34" numFmtId="164" xfId="0" applyAlignment="1" applyBorder="1" applyFont="1" applyNumberFormat="1">
      <alignment horizontal="center" readingOrder="0" vertical="center"/>
    </xf>
    <xf borderId="0" fillId="23" fontId="33" numFmtId="0" xfId="0" applyAlignment="1" applyFont="1">
      <alignment horizontal="center" vertical="center"/>
    </xf>
    <xf borderId="0" fillId="23" fontId="30" numFmtId="0" xfId="0" applyAlignment="1" applyFont="1">
      <alignment horizontal="center" readingOrder="0" vertical="center"/>
    </xf>
    <xf borderId="22" fillId="23" fontId="30" numFmtId="164" xfId="0" applyAlignment="1" applyBorder="1" applyFont="1" applyNumberFormat="1">
      <alignment horizontal="center" vertical="center"/>
    </xf>
    <xf borderId="21" fillId="13" fontId="16" numFmtId="0" xfId="0" applyAlignment="1" applyBorder="1" applyFont="1">
      <alignment horizontal="center" readingOrder="0" vertical="center"/>
    </xf>
    <xf borderId="21" fillId="13" fontId="16" numFmtId="0" xfId="0" applyAlignment="1" applyBorder="1" applyFont="1">
      <alignment horizontal="center" vertical="center"/>
    </xf>
    <xf borderId="21" fillId="13" fontId="16" numFmtId="164" xfId="0" applyAlignment="1" applyBorder="1" applyFont="1" applyNumberFormat="1">
      <alignment horizontal="center" vertical="center"/>
    </xf>
    <xf borderId="21" fillId="13" fontId="16" numFmtId="10" xfId="0" applyAlignment="1" applyBorder="1" applyFont="1" applyNumberFormat="1">
      <alignment horizontal="center" vertical="center"/>
    </xf>
    <xf borderId="0" fillId="0" fontId="21" numFmtId="0" xfId="0" applyAlignment="1" applyFont="1">
      <alignment horizontal="center" readingOrder="0"/>
    </xf>
    <xf borderId="4" fillId="25" fontId="48" numFmtId="0" xfId="0" applyAlignment="1" applyBorder="1" applyFont="1">
      <alignment horizontal="center" readingOrder="0" vertical="center"/>
    </xf>
    <xf borderId="7" fillId="27" fontId="33" numFmtId="0" xfId="0" applyAlignment="1" applyBorder="1" applyFill="1" applyFont="1">
      <alignment horizontal="center" readingOrder="0" vertical="center"/>
    </xf>
    <xf borderId="7" fillId="0" fontId="49" numFmtId="0" xfId="0" applyAlignment="1" applyBorder="1" applyFont="1">
      <alignment horizontal="center" readingOrder="0" vertical="center"/>
    </xf>
    <xf borderId="0" fillId="5" fontId="42" numFmtId="0" xfId="0" applyAlignment="1" applyFont="1">
      <alignment horizontal="center" readingOrder="0" vertical="center"/>
    </xf>
    <xf borderId="0" fillId="5" fontId="50" numFmtId="0" xfId="0" applyAlignment="1" applyFont="1">
      <alignment horizontal="center" readingOrder="0" vertical="center"/>
    </xf>
    <xf borderId="0" fillId="28" fontId="50" numFmtId="0" xfId="0" applyAlignment="1" applyFill="1" applyFont="1">
      <alignment horizontal="center" readingOrder="0" vertical="center"/>
    </xf>
    <xf borderId="0" fillId="29" fontId="42" numFmtId="164" xfId="0" applyAlignment="1" applyFill="1" applyFont="1" applyNumberFormat="1">
      <alignment horizontal="center" readingOrder="0" vertical="center"/>
    </xf>
    <xf borderId="0" fillId="29" fontId="42" numFmtId="0" xfId="0" applyAlignment="1" applyFont="1">
      <alignment horizontal="center" readingOrder="0" vertical="center"/>
    </xf>
    <xf borderId="0" fillId="25" fontId="42" numFmtId="0" xfId="0" applyAlignment="1" applyFont="1">
      <alignment horizontal="center" readingOrder="0" shrinkToFit="0" vertical="center" wrapText="1"/>
    </xf>
    <xf borderId="0" fillId="30" fontId="42" numFmtId="0" xfId="0" applyAlignment="1" applyFill="1" applyFont="1">
      <alignment horizontal="center" readingOrder="0" shrinkToFit="0" vertical="center" wrapText="1"/>
    </xf>
    <xf borderId="0" fillId="27" fontId="42" numFmtId="0" xfId="0" applyAlignment="1" applyFont="1">
      <alignment horizontal="center" readingOrder="0" vertical="center"/>
    </xf>
    <xf borderId="0" fillId="22" fontId="51" numFmtId="0" xfId="0" applyAlignment="1" applyFont="1">
      <alignment horizontal="center" readingOrder="0" vertical="center"/>
    </xf>
    <xf borderId="0" fillId="11" fontId="15" numFmtId="0" xfId="0" applyAlignment="1" applyFont="1">
      <alignment horizontal="center" readingOrder="0" vertical="center"/>
    </xf>
    <xf borderId="0" fillId="11" fontId="52" numFmtId="0" xfId="0" applyAlignment="1" applyFont="1">
      <alignment horizontal="center" vertical="center"/>
    </xf>
    <xf borderId="0" fillId="25" fontId="15" numFmtId="0" xfId="0" applyAlignment="1" applyFont="1">
      <alignment horizontal="center" readingOrder="0" shrinkToFit="0" vertical="center" wrapText="1"/>
    </xf>
    <xf borderId="0" fillId="30" fontId="15" numFmtId="0" xfId="0" applyAlignment="1" applyFont="1">
      <alignment horizontal="center" readingOrder="0" shrinkToFit="0" vertical="center" wrapText="1"/>
    </xf>
    <xf borderId="0" fillId="27" fontId="15" numFmtId="0" xfId="0" applyAlignment="1" applyFont="1">
      <alignment horizontal="center" readingOrder="0" vertical="center"/>
    </xf>
    <xf borderId="0" fillId="17" fontId="52" numFmtId="164" xfId="0" applyAlignment="1" applyFont="1" applyNumberFormat="1">
      <alignment horizontal="center" readingOrder="0" vertical="center"/>
    </xf>
    <xf borderId="0" fillId="22" fontId="42" numFmtId="0" xfId="0" applyAlignment="1" applyFont="1">
      <alignment horizontal="center" vertical="center"/>
    </xf>
    <xf borderId="0" fillId="22" fontId="53" numFmtId="0" xfId="0" applyAlignment="1" applyFont="1">
      <alignment horizontal="center" vertical="center"/>
    </xf>
    <xf borderId="0" fillId="28" fontId="54" numFmtId="0" xfId="0" applyAlignment="1" applyFont="1">
      <alignment horizontal="center" readingOrder="0" vertical="center"/>
    </xf>
    <xf borderId="0" fillId="31" fontId="15" numFmtId="164" xfId="0" applyAlignment="1" applyFill="1" applyFont="1" applyNumberFormat="1">
      <alignment horizontal="center" readingOrder="0" vertical="center"/>
    </xf>
    <xf borderId="0" fillId="22" fontId="15" numFmtId="0" xfId="0" applyAlignment="1" applyFont="1">
      <alignment horizontal="center" readingOrder="0" vertical="center"/>
    </xf>
    <xf borderId="0" fillId="22" fontId="55" numFmtId="0" xfId="0" applyAlignment="1" applyFont="1">
      <alignment horizontal="center" readingOrder="0" vertical="center"/>
    </xf>
    <xf borderId="0" fillId="22" fontId="42" numFmtId="164" xfId="0" applyAlignment="1" applyFont="1" applyNumberFormat="1">
      <alignment horizontal="center" vertical="center"/>
    </xf>
    <xf borderId="0" fillId="22" fontId="53" numFmtId="164" xfId="0" applyAlignment="1" applyFont="1" applyNumberFormat="1">
      <alignment horizontal="center" vertical="center"/>
    </xf>
    <xf borderId="0" fillId="2" fontId="34" numFmtId="0" xfId="0" applyAlignment="1" applyFont="1">
      <alignment horizontal="center" readingOrder="0" vertical="center"/>
    </xf>
    <xf borderId="0" fillId="23" fontId="34" numFmtId="164" xfId="0" applyAlignment="1" applyFont="1" applyNumberFormat="1">
      <alignment horizontal="center" readingOrder="0" vertical="center"/>
    </xf>
    <xf borderId="0" fillId="23" fontId="34" numFmtId="164" xfId="0" applyAlignment="1" applyFont="1" applyNumberFormat="1">
      <alignment horizontal="center" vertical="center"/>
    </xf>
    <xf borderId="0" fillId="22" fontId="33" numFmtId="164" xfId="0" applyAlignment="1" applyFont="1" applyNumberFormat="1">
      <alignment horizontal="center" vertical="center"/>
    </xf>
    <xf borderId="0" fillId="22" fontId="1" numFmtId="0" xfId="0" applyFont="1"/>
    <xf borderId="0" fillId="22" fontId="34" numFmtId="0" xfId="0" applyAlignment="1" applyFont="1">
      <alignment horizontal="center" vertical="center"/>
    </xf>
    <xf borderId="0" fillId="17" fontId="29" numFmtId="0" xfId="0" applyAlignment="1" applyFont="1">
      <alignment horizontal="center" readingOrder="0" shrinkToFit="0" textRotation="0" vertical="center" wrapText="1"/>
    </xf>
    <xf borderId="0" fillId="32" fontId="50" numFmtId="0" xfId="0" applyAlignment="1" applyFill="1" applyFont="1">
      <alignment horizontal="center" readingOrder="0" shrinkToFit="0" vertical="center" wrapText="1"/>
    </xf>
    <xf borderId="0" fillId="0" fontId="50" numFmtId="4" xfId="0" applyAlignment="1" applyFont="1" applyNumberFormat="1">
      <alignment horizontal="center" readingOrder="0" shrinkToFit="0" vertical="center" wrapText="1"/>
    </xf>
    <xf borderId="0" fillId="0" fontId="50" numFmtId="0" xfId="0" applyAlignment="1" applyFont="1">
      <alignment horizontal="center" readingOrder="0" shrinkToFit="0" vertical="center" wrapText="1"/>
    </xf>
    <xf borderId="0" fillId="33" fontId="50" numFmtId="0" xfId="0" applyAlignment="1" applyFill="1" applyFont="1">
      <alignment horizontal="center" readingOrder="0" shrinkToFit="0" vertical="center" wrapText="1"/>
    </xf>
    <xf borderId="20" fillId="33" fontId="50" numFmtId="0" xfId="0" applyAlignment="1" applyBorder="1" applyFont="1">
      <alignment horizontal="center" readingOrder="0" shrinkToFit="0" vertical="center" wrapText="1"/>
    </xf>
    <xf borderId="0" fillId="17" fontId="56" numFmtId="0" xfId="0" applyAlignment="1" applyFont="1">
      <alignment horizontal="center" readingOrder="0" shrinkToFit="0" textRotation="0" vertical="center" wrapText="1"/>
    </xf>
    <xf borderId="0" fillId="32" fontId="28" numFmtId="0" xfId="0" applyAlignment="1" applyFont="1">
      <alignment horizontal="center" readingOrder="0" shrinkToFit="0" vertical="center" wrapText="1"/>
    </xf>
    <xf borderId="0" fillId="32" fontId="28" numFmtId="164" xfId="0" applyAlignment="1" applyFont="1" applyNumberFormat="1">
      <alignment horizontal="center" readingOrder="0" shrinkToFit="0" vertical="center" wrapText="1"/>
    </xf>
    <xf borderId="0" fillId="0" fontId="28" numFmtId="4" xfId="0" applyAlignment="1" applyFont="1" applyNumberFormat="1">
      <alignment horizontal="center" readingOrder="0" shrinkToFit="0" vertical="center" wrapText="1"/>
    </xf>
    <xf borderId="0" fillId="0" fontId="28" numFmtId="0" xfId="0" applyAlignment="1" applyFont="1">
      <alignment horizontal="center" readingOrder="0" shrinkToFit="0" vertical="center" wrapText="1"/>
    </xf>
    <xf borderId="12" fillId="33" fontId="54" numFmtId="0" xfId="0" applyAlignment="1" applyBorder="1" applyFont="1">
      <alignment horizontal="center" readingOrder="0" shrinkToFit="0" vertical="center" wrapText="1"/>
    </xf>
    <xf borderId="20" fillId="33" fontId="54" numFmtId="0" xfId="0" applyAlignment="1" applyBorder="1" applyFont="1">
      <alignment horizontal="center" readingOrder="0" shrinkToFit="0" vertical="center" wrapText="1"/>
    </xf>
    <xf borderId="0" fillId="32" fontId="57" numFmtId="0" xfId="0" applyAlignment="1" applyFont="1">
      <alignment horizontal="center" readingOrder="0" shrinkToFit="0" textRotation="90" vertical="center" wrapText="1"/>
    </xf>
    <xf borderId="0" fillId="14" fontId="34" numFmtId="49" xfId="0" applyAlignment="1" applyFont="1" applyNumberFormat="1">
      <alignment horizontal="center" readingOrder="0" shrinkToFit="0" vertical="center" wrapText="1"/>
    </xf>
    <xf borderId="0" fillId="23" fontId="34" numFmtId="164" xfId="0" applyAlignment="1" applyFont="1" applyNumberFormat="1">
      <alignment horizontal="center" readingOrder="0" shrinkToFit="0" vertical="center" wrapText="1"/>
    </xf>
    <xf borderId="0" fillId="2" fontId="34" numFmtId="164" xfId="0" applyAlignment="1" applyFont="1" applyNumberFormat="1">
      <alignment horizontal="center" shrinkToFit="0" vertical="center" wrapText="1"/>
    </xf>
    <xf borderId="0" fillId="2" fontId="34" numFmtId="10" xfId="0" applyAlignment="1" applyFont="1" applyNumberFormat="1">
      <alignment horizontal="center" shrinkToFit="0" vertical="center" wrapText="1"/>
    </xf>
    <xf borderId="0" fillId="0" fontId="34" numFmtId="4" xfId="0" applyAlignment="1" applyFont="1" applyNumberFormat="1">
      <alignment horizontal="center" shrinkToFit="0" vertical="center" wrapText="1"/>
    </xf>
    <xf borderId="0" fillId="0" fontId="34" numFmtId="10" xfId="0" applyAlignment="1" applyFont="1" applyNumberFormat="1">
      <alignment horizontal="center" shrinkToFit="0" vertical="center" wrapText="1"/>
    </xf>
    <xf borderId="24" fillId="34" fontId="33" numFmtId="0" xfId="0" applyAlignment="1" applyBorder="1" applyFill="1" applyFont="1">
      <alignment horizontal="center" readingOrder="0" shrinkToFit="0" vertical="center" wrapText="1"/>
    </xf>
    <xf borderId="22" fillId="0" fontId="34" numFmtId="164" xfId="0" applyAlignment="1" applyBorder="1" applyFont="1" applyNumberFormat="1">
      <alignment horizontal="center" shrinkToFit="0" vertical="center" wrapText="1"/>
    </xf>
    <xf borderId="22" fillId="0" fontId="34" numFmtId="10" xfId="0" applyAlignment="1" applyBorder="1" applyFont="1" applyNumberFormat="1">
      <alignment horizontal="center" shrinkToFit="0" vertical="center" wrapText="1"/>
    </xf>
    <xf borderId="15" fillId="34" fontId="33" numFmtId="0" xfId="0" applyAlignment="1" applyBorder="1" applyFont="1">
      <alignment horizontal="center" readingOrder="0" shrinkToFit="0" vertical="center" wrapText="1"/>
    </xf>
    <xf borderId="0" fillId="22" fontId="34" numFmtId="49" xfId="0" applyAlignment="1" applyFont="1" applyNumberFormat="1">
      <alignment horizontal="center" readingOrder="0" shrinkToFit="0" vertical="center" wrapText="1"/>
    </xf>
    <xf borderId="0" fillId="22" fontId="34" numFmtId="164" xfId="0" applyAlignment="1" applyFont="1" applyNumberFormat="1">
      <alignment horizontal="center" readingOrder="0" shrinkToFit="0" vertical="center" wrapText="1"/>
    </xf>
    <xf borderId="0" fillId="22" fontId="34" numFmtId="164" xfId="0" applyAlignment="1" applyFont="1" applyNumberFormat="1">
      <alignment horizontal="center" shrinkToFit="0" vertical="center" wrapText="1"/>
    </xf>
    <xf borderId="0" fillId="22" fontId="34" numFmtId="10" xfId="0" applyAlignment="1" applyFont="1" applyNumberFormat="1">
      <alignment horizontal="center" shrinkToFit="0" vertical="center" wrapText="1"/>
    </xf>
    <xf borderId="20" fillId="34" fontId="15" numFmtId="164" xfId="0" applyAlignment="1" applyBorder="1" applyFont="1" applyNumberFormat="1">
      <alignment horizontal="center" shrinkToFit="0" vertical="center" wrapText="1"/>
    </xf>
    <xf borderId="20" fillId="0" fontId="34" numFmtId="10" xfId="0" applyAlignment="1" applyBorder="1" applyFont="1" applyNumberFormat="1">
      <alignment horizontal="center" shrinkToFit="0" vertical="center" wrapText="1"/>
    </xf>
    <xf borderId="20" fillId="32" fontId="54" numFmtId="0" xfId="0" applyAlignment="1" applyBorder="1" applyFont="1">
      <alignment horizontal="center" readingOrder="0" shrinkToFit="0" vertical="center" wrapText="1"/>
    </xf>
    <xf borderId="20" fillId="17" fontId="15" numFmtId="164" xfId="0" applyAlignment="1" applyBorder="1" applyFont="1" applyNumberFormat="1">
      <alignment horizontal="center" shrinkToFit="0" vertical="center" wrapText="1"/>
    </xf>
    <xf borderId="0" fillId="0" fontId="34" numFmtId="0" xfId="0" applyAlignment="1" applyFont="1">
      <alignment horizontal="center" shrinkToFit="0" vertical="center" wrapText="1"/>
    </xf>
    <xf borderId="0" fillId="2" fontId="34" numFmtId="164" xfId="0" applyAlignment="1" applyFont="1" applyNumberFormat="1">
      <alignment horizontal="center" readingOrder="0" shrinkToFit="0" vertical="center" wrapText="1"/>
    </xf>
    <xf borderId="0" fillId="14" fontId="34" numFmtId="164" xfId="0" applyAlignment="1" applyFont="1" applyNumberFormat="1">
      <alignment horizontal="center" shrinkToFit="0" vertical="center" wrapText="1"/>
    </xf>
    <xf borderId="0" fillId="0" fontId="34" numFmtId="0" xfId="0" applyAlignment="1" applyFont="1">
      <alignment horizontal="center" readingOrder="0" shrinkToFit="0" vertical="center" wrapText="1"/>
    </xf>
    <xf borderId="0" fillId="23" fontId="58" numFmtId="164" xfId="0" applyAlignment="1" applyFont="1" applyNumberFormat="1">
      <alignment horizontal="center" readingOrder="0" shrinkToFit="0" vertical="center" wrapText="1"/>
    </xf>
    <xf borderId="0" fillId="2" fontId="34" numFmtId="49" xfId="0" applyAlignment="1" applyFont="1" applyNumberFormat="1">
      <alignment horizontal="center" readingOrder="0" shrinkToFit="0" vertical="center" wrapText="1"/>
    </xf>
    <xf borderId="0" fillId="22" fontId="34" numFmtId="164" xfId="0" applyAlignment="1" applyFont="1" applyNumberFormat="1">
      <alignment horizontal="center" vertical="center"/>
    </xf>
    <xf borderId="0" fillId="14" fontId="34" numFmtId="164" xfId="0" applyAlignment="1" applyFont="1" applyNumberFormat="1">
      <alignment horizontal="center" vertical="center"/>
    </xf>
    <xf borderId="0" fillId="0" fontId="1" numFmtId="164" xfId="0" applyFont="1" applyNumberFormat="1"/>
    <xf borderId="0" fillId="0" fontId="1" numFmtId="4" xfId="0" applyFont="1" applyNumberFormat="1"/>
    <xf borderId="0" fillId="25" fontId="34" numFmtId="0" xfId="0" applyAlignment="1" applyFont="1">
      <alignment horizontal="center" readingOrder="0" shrinkToFit="0" vertical="center" wrapText="1"/>
    </xf>
    <xf borderId="24" fillId="2" fontId="29" numFmtId="49" xfId="0" applyAlignment="1" applyBorder="1" applyFont="1" applyNumberFormat="1">
      <alignment horizontal="center" readingOrder="0" shrinkToFit="0" vertical="center" wrapText="1"/>
    </xf>
    <xf borderId="0" fillId="25" fontId="33" numFmtId="0" xfId="0" applyAlignment="1" applyFont="1">
      <alignment horizontal="center" readingOrder="0" shrinkToFit="0" vertical="center" wrapText="1"/>
    </xf>
    <xf borderId="0" fillId="22" fontId="14" numFmtId="0" xfId="0" applyAlignment="1" applyFont="1">
      <alignment horizontal="center" readingOrder="0"/>
    </xf>
    <xf borderId="0" fillId="22" fontId="14" numFmtId="2" xfId="0" applyAlignment="1" applyFont="1" applyNumberFormat="1">
      <alignment horizontal="center"/>
    </xf>
    <xf borderId="0" fillId="22" fontId="33" numFmtId="10" xfId="0" applyAlignment="1" applyFont="1" applyNumberFormat="1">
      <alignment horizontal="center" shrinkToFit="0" vertical="center" wrapText="1"/>
    </xf>
    <xf borderId="0" fillId="22" fontId="14" numFmtId="10" xfId="0" applyAlignment="1" applyFont="1" applyNumberFormat="1">
      <alignment horizontal="center"/>
    </xf>
    <xf borderId="0" fillId="2" fontId="34" numFmtId="2" xfId="0" applyAlignment="1" applyFont="1" applyNumberFormat="1">
      <alignment horizontal="center" shrinkToFit="0" vertical="center" wrapText="1"/>
    </xf>
    <xf borderId="0" fillId="2" fontId="34" numFmtId="2" xfId="0" applyAlignment="1" applyFont="1" applyNumberFormat="1">
      <alignment horizontal="center" readingOrder="0" shrinkToFit="0" vertical="center" wrapText="1"/>
    </xf>
    <xf borderId="0" fillId="14" fontId="34" numFmtId="10" xfId="0" applyAlignment="1" applyFont="1" applyNumberFormat="1">
      <alignment horizontal="center" shrinkToFit="0" vertical="center" wrapText="1"/>
    </xf>
    <xf borderId="0" fillId="14" fontId="34" numFmtId="10" xfId="0" applyAlignment="1" applyFont="1" applyNumberFormat="1">
      <alignment horizontal="center" readingOrder="0" shrinkToFit="0" vertical="center" wrapText="1"/>
    </xf>
    <xf borderId="0" fillId="23" fontId="34" numFmtId="10" xfId="0" applyAlignment="1" applyFont="1" applyNumberFormat="1">
      <alignment horizontal="center" readingOrder="0" shrinkToFit="0" vertical="center" wrapText="1"/>
    </xf>
    <xf borderId="24" fillId="2" fontId="33" numFmtId="49" xfId="0" applyAlignment="1" applyBorder="1" applyFont="1" applyNumberFormat="1">
      <alignment horizontal="center" readingOrder="0" shrinkToFit="0" wrapText="1"/>
    </xf>
    <xf borderId="0" fillId="2" fontId="34" numFmtId="2" xfId="0" applyAlignment="1" applyFont="1" applyNumberFormat="1">
      <alignment horizontal="center" readingOrder="0" vertical="center"/>
    </xf>
    <xf borderId="24" fillId="0" fontId="59" numFmtId="49" xfId="0" applyAlignment="1" applyBorder="1" applyFont="1" applyNumberFormat="1">
      <alignment horizontal="right" readingOrder="0"/>
    </xf>
    <xf borderId="0" fillId="0" fontId="1" numFmtId="164" xfId="0" applyAlignment="1" applyFont="1" applyNumberFormat="1">
      <alignment horizontal="right"/>
    </xf>
    <xf borderId="0" fillId="0" fontId="1" numFmtId="0" xfId="0" applyAlignment="1" applyFont="1">
      <alignment horizontal="right"/>
    </xf>
    <xf borderId="0" fillId="0" fontId="1" numFmtId="10" xfId="0" applyAlignment="1" applyFont="1" applyNumberFormat="1">
      <alignment horizontal="right" readingOrder="0"/>
    </xf>
    <xf borderId="0" fillId="0" fontId="59" numFmtId="49" xfId="0" applyAlignment="1" applyFont="1" applyNumberFormat="1">
      <alignment horizontal="right" readingOrder="0"/>
    </xf>
    <xf borderId="0" fillId="0" fontId="60" numFmtId="0" xfId="0" applyAlignment="1" applyFont="1">
      <alignment horizontal="center" readingOrder="0" vertical="bottom"/>
    </xf>
    <xf borderId="0" fillId="0" fontId="61" numFmtId="0" xfId="0" applyAlignment="1" applyFont="1">
      <alignment horizontal="left" readingOrder="0" vertical="bottom"/>
    </xf>
    <xf borderId="0" fillId="5" fontId="28" numFmtId="0" xfId="0" applyAlignment="1" applyFont="1">
      <alignment horizontal="center" readingOrder="0" shrinkToFit="0" vertical="center" wrapText="1"/>
    </xf>
    <xf borderId="22" fillId="5" fontId="28" numFmtId="0" xfId="0" applyAlignment="1" applyBorder="1" applyFont="1">
      <alignment horizontal="center" readingOrder="0" shrinkToFit="0" vertical="center" wrapText="1"/>
    </xf>
    <xf borderId="22" fillId="5" fontId="28" numFmtId="164" xfId="0" applyAlignment="1" applyBorder="1" applyFont="1" applyNumberFormat="1">
      <alignment horizontal="center" readingOrder="0" shrinkToFit="0" vertical="center" wrapText="1"/>
    </xf>
    <xf borderId="22" fillId="5" fontId="28" numFmtId="0" xfId="0" applyAlignment="1" applyBorder="1" applyFont="1">
      <alignment horizontal="center" shrinkToFit="0" vertical="center" wrapText="1"/>
    </xf>
    <xf borderId="22" fillId="5" fontId="28" numFmtId="10" xfId="0" applyAlignment="1" applyBorder="1" applyFont="1" applyNumberFormat="1">
      <alignment horizontal="center" readingOrder="0" shrinkToFit="0" vertical="center" wrapText="1"/>
    </xf>
    <xf borderId="0" fillId="5" fontId="28" numFmtId="164" xfId="0" applyAlignment="1" applyFont="1" applyNumberFormat="1">
      <alignment horizontal="center" readingOrder="0" shrinkToFit="0" vertical="center" wrapText="1"/>
    </xf>
    <xf borderId="0" fillId="23" fontId="33" numFmtId="2" xfId="0" applyAlignment="1" applyFont="1" applyNumberFormat="1">
      <alignment horizontal="center" readingOrder="0" vertical="center"/>
    </xf>
    <xf borderId="0" fillId="0" fontId="30" numFmtId="0" xfId="0" applyAlignment="1" applyFont="1">
      <alignment horizontal="center" readingOrder="0" vertical="center"/>
    </xf>
    <xf borderId="22" fillId="0" fontId="30" numFmtId="164" xfId="0" applyAlignment="1" applyBorder="1" applyFont="1" applyNumberFormat="1">
      <alignment horizontal="center" vertical="center"/>
    </xf>
    <xf borderId="0" fillId="0" fontId="34" numFmtId="0" xfId="0" applyAlignment="1" applyFont="1">
      <alignment horizontal="center" readingOrder="0"/>
    </xf>
    <xf borderId="25" fillId="0" fontId="30" numFmtId="10" xfId="0" applyAlignment="1" applyBorder="1" applyFont="1" applyNumberFormat="1">
      <alignment horizontal="center" vertical="center"/>
    </xf>
    <xf borderId="25" fillId="0" fontId="30" numFmtId="164" xfId="0" applyAlignment="1" applyBorder="1" applyFont="1" applyNumberFormat="1">
      <alignment horizontal="center" vertical="center"/>
    </xf>
    <xf borderId="25" fillId="21" fontId="32" numFmtId="0" xfId="0" applyAlignment="1" applyBorder="1" applyFont="1">
      <alignment horizontal="center" vertical="center"/>
    </xf>
    <xf borderId="0" fillId="21" fontId="32" numFmtId="164" xfId="0" applyAlignment="1" applyFont="1" applyNumberFormat="1">
      <alignment horizontal="center" vertical="center"/>
    </xf>
    <xf borderId="0" fillId="35" fontId="62" numFmtId="164" xfId="0" applyAlignment="1" applyFill="1" applyFont="1" applyNumberFormat="1">
      <alignment horizontal="center" vertical="center"/>
    </xf>
    <xf borderId="0" fillId="0" fontId="30" numFmtId="0" xfId="0" applyAlignment="1" applyFont="1">
      <alignment horizontal="center" readingOrder="0" vertical="center"/>
    </xf>
    <xf borderId="25" fillId="0" fontId="30" numFmtId="10" xfId="0" applyAlignment="1" applyBorder="1" applyFont="1" applyNumberFormat="1">
      <alignment horizontal="center" vertical="center"/>
    </xf>
    <xf borderId="25" fillId="21" fontId="32" numFmtId="0" xfId="0" applyAlignment="1" applyBorder="1" applyFont="1">
      <alignment horizontal="center" vertical="center"/>
    </xf>
    <xf borderId="0" fillId="23" fontId="33" numFmtId="0" xfId="0" applyAlignment="1" applyFont="1">
      <alignment horizontal="center" readingOrder="0"/>
    </xf>
    <xf borderId="0" fillId="0" fontId="34" numFmtId="0" xfId="0" applyAlignment="1" applyFont="1">
      <alignment horizontal="center"/>
    </xf>
    <xf borderId="25" fillId="0" fontId="37" numFmtId="10" xfId="0" applyBorder="1" applyFont="1" applyNumberFormat="1"/>
    <xf borderId="0" fillId="0" fontId="34" numFmtId="0" xfId="0" applyAlignment="1" applyFont="1">
      <alignment horizontal="center" vertical="bottom"/>
    </xf>
    <xf borderId="0" fillId="0" fontId="34" numFmtId="0" xfId="0" applyAlignment="1" applyFont="1">
      <alignment horizontal="center" readingOrder="0" vertical="bottom"/>
    </xf>
    <xf borderId="25" fillId="21" fontId="34" numFmtId="0" xfId="0" applyAlignment="1" applyBorder="1" applyFont="1">
      <alignment horizontal="center"/>
    </xf>
    <xf borderId="22" fillId="0" fontId="37" numFmtId="10" xfId="0" applyAlignment="1" applyBorder="1" applyFont="1" applyNumberFormat="1">
      <alignment horizontal="center"/>
    </xf>
    <xf borderId="0" fillId="23" fontId="33" numFmtId="0" xfId="0" applyAlignment="1" applyFont="1">
      <alignment horizontal="center" vertical="bottom"/>
    </xf>
    <xf borderId="22" fillId="0" fontId="34" numFmtId="164" xfId="0" applyAlignment="1" applyBorder="1" applyFont="1" applyNumberFormat="1">
      <alignment horizontal="center" vertical="bottom"/>
    </xf>
    <xf borderId="22" fillId="0" fontId="34" numFmtId="10" xfId="0" applyAlignment="1" applyBorder="1" applyFont="1" applyNumberFormat="1">
      <alignment horizontal="center" vertical="bottom"/>
    </xf>
    <xf borderId="25" fillId="0" fontId="34" numFmtId="164" xfId="0" applyAlignment="1" applyBorder="1" applyFont="1" applyNumberFormat="1">
      <alignment horizontal="center" vertical="bottom"/>
    </xf>
    <xf borderId="25" fillId="0" fontId="37" numFmtId="10" xfId="0" applyAlignment="1" applyBorder="1" applyFont="1" applyNumberFormat="1">
      <alignment vertical="bottom"/>
    </xf>
    <xf borderId="22" fillId="0" fontId="34" numFmtId="0" xfId="0" applyAlignment="1" applyBorder="1" applyFont="1">
      <alignment horizontal="center" readingOrder="0"/>
    </xf>
    <xf borderId="25" fillId="21" fontId="34" numFmtId="0" xfId="0" applyAlignment="1" applyBorder="1" applyFont="1">
      <alignment horizontal="center" vertical="bottom"/>
    </xf>
    <xf borderId="0" fillId="21" fontId="34" numFmtId="164" xfId="0" applyAlignment="1" applyFont="1" applyNumberFormat="1">
      <alignment horizontal="center" vertical="bottom"/>
    </xf>
    <xf borderId="22" fillId="0" fontId="37" numFmtId="10" xfId="0" applyAlignment="1" applyBorder="1" applyFont="1" applyNumberFormat="1">
      <alignment horizontal="center" vertical="bottom"/>
    </xf>
    <xf borderId="0" fillId="23" fontId="33" numFmtId="2" xfId="0" applyAlignment="1" applyFont="1" applyNumberFormat="1">
      <alignment horizontal="center" vertical="bottom"/>
    </xf>
    <xf borderId="0" fillId="23" fontId="33" numFmtId="0" xfId="0" applyAlignment="1" applyFont="1">
      <alignment horizontal="center" readingOrder="0" vertical="bottom"/>
    </xf>
    <xf borderId="0" fillId="5" fontId="63" numFmtId="0" xfId="0" applyAlignment="1" applyFont="1">
      <alignment horizontal="center"/>
    </xf>
    <xf borderId="21" fillId="5" fontId="64" numFmtId="0" xfId="0" applyAlignment="1" applyBorder="1" applyFont="1">
      <alignment horizontal="center" readingOrder="0" vertical="center"/>
    </xf>
    <xf borderId="21" fillId="5" fontId="29" numFmtId="164" xfId="0" applyAlignment="1" applyBorder="1" applyFont="1" applyNumberFormat="1">
      <alignment horizontal="center" vertical="center"/>
    </xf>
    <xf borderId="21" fillId="5" fontId="29" numFmtId="10" xfId="0" applyAlignment="1" applyBorder="1" applyFont="1" applyNumberFormat="1">
      <alignment horizontal="center" vertical="center"/>
    </xf>
    <xf borderId="21" fillId="5" fontId="29" numFmtId="0" xfId="0" applyAlignment="1" applyBorder="1" applyFont="1">
      <alignment horizontal="center" vertical="center"/>
    </xf>
    <xf borderId="16" fillId="5" fontId="29" numFmtId="10" xfId="0" applyAlignment="1" applyBorder="1" applyFont="1" applyNumberFormat="1">
      <alignment horizontal="center" vertical="center"/>
    </xf>
    <xf borderId="15" fillId="5" fontId="29" numFmtId="164" xfId="0" applyAlignment="1" applyBorder="1" applyFont="1" applyNumberFormat="1">
      <alignment horizontal="center" vertical="center"/>
    </xf>
    <xf borderId="0" fillId="6" fontId="28" numFmtId="0" xfId="0" applyAlignment="1" applyFont="1">
      <alignment horizontal="center" readingOrder="0" shrinkToFit="0" vertical="center" wrapText="1"/>
    </xf>
    <xf borderId="22" fillId="6" fontId="28" numFmtId="0" xfId="0" applyAlignment="1" applyBorder="1" applyFont="1">
      <alignment horizontal="center" readingOrder="0" shrinkToFit="0" vertical="center" wrapText="1"/>
    </xf>
    <xf borderId="22" fillId="6" fontId="28" numFmtId="164" xfId="0" applyAlignment="1" applyBorder="1" applyFont="1" applyNumberFormat="1">
      <alignment horizontal="center" readingOrder="0" shrinkToFit="0" vertical="center" wrapText="1"/>
    </xf>
    <xf borderId="22" fillId="6" fontId="28" numFmtId="10" xfId="0" applyAlignment="1" applyBorder="1" applyFont="1" applyNumberFormat="1">
      <alignment horizontal="center" readingOrder="0" shrinkToFit="0" vertical="center" wrapText="1"/>
    </xf>
    <xf borderId="0" fillId="34" fontId="33" numFmtId="2" xfId="0" applyAlignment="1" applyFont="1" applyNumberFormat="1">
      <alignment horizontal="center" readingOrder="0" vertical="center"/>
    </xf>
    <xf borderId="0" fillId="34" fontId="30" numFmtId="0" xfId="0" applyAlignment="1" applyFont="1">
      <alignment horizontal="center" readingOrder="0" vertical="center"/>
    </xf>
    <xf borderId="22" fillId="34" fontId="30" numFmtId="164" xfId="0" applyAlignment="1" applyBorder="1" applyFont="1" applyNumberFormat="1">
      <alignment horizontal="center" vertical="center"/>
    </xf>
    <xf borderId="22" fillId="34" fontId="30" numFmtId="10" xfId="0" applyAlignment="1" applyBorder="1" applyFont="1" applyNumberFormat="1">
      <alignment horizontal="center" vertical="center"/>
    </xf>
    <xf borderId="25" fillId="34" fontId="30" numFmtId="164" xfId="0" applyAlignment="1" applyBorder="1" applyFont="1" applyNumberFormat="1">
      <alignment horizontal="center" vertical="center"/>
    </xf>
    <xf borderId="25" fillId="34" fontId="30" numFmtId="10" xfId="0" applyAlignment="1" applyBorder="1" applyFont="1" applyNumberFormat="1">
      <alignment horizontal="center" vertical="center"/>
    </xf>
    <xf borderId="0" fillId="34" fontId="32" numFmtId="0" xfId="0" applyAlignment="1" applyFont="1">
      <alignment horizontal="center" readingOrder="0" vertical="center"/>
    </xf>
    <xf borderId="25" fillId="34" fontId="32" numFmtId="0" xfId="0" applyAlignment="1" applyBorder="1" applyFont="1">
      <alignment horizontal="center" vertical="center"/>
    </xf>
    <xf borderId="0" fillId="34" fontId="32" numFmtId="164" xfId="0" applyAlignment="1" applyFont="1" applyNumberFormat="1">
      <alignment horizontal="center" vertical="center"/>
    </xf>
    <xf borderId="0" fillId="34" fontId="65" numFmtId="164" xfId="0" applyAlignment="1" applyFont="1" applyNumberFormat="1">
      <alignment horizontal="center" vertical="center"/>
    </xf>
    <xf borderId="0" fillId="34" fontId="33" numFmtId="0" xfId="0" applyAlignment="1" applyFont="1">
      <alignment horizontal="center" readingOrder="0" vertical="center"/>
    </xf>
    <xf borderId="0" fillId="6" fontId="63" numFmtId="0" xfId="0" applyAlignment="1" applyFont="1">
      <alignment horizontal="center"/>
    </xf>
    <xf borderId="21" fillId="6" fontId="64" numFmtId="0" xfId="0" applyAlignment="1" applyBorder="1" applyFont="1">
      <alignment horizontal="center" readingOrder="0" vertical="center"/>
    </xf>
    <xf borderId="21" fillId="6" fontId="29" numFmtId="164" xfId="0" applyAlignment="1" applyBorder="1" applyFont="1" applyNumberFormat="1">
      <alignment horizontal="center" vertical="center"/>
    </xf>
    <xf borderId="21" fillId="6" fontId="29" numFmtId="10" xfId="0" applyAlignment="1" applyBorder="1" applyFont="1" applyNumberFormat="1">
      <alignment horizontal="center" vertical="center"/>
    </xf>
    <xf borderId="21" fillId="6" fontId="29" numFmtId="0" xfId="0" applyAlignment="1" applyBorder="1" applyFont="1">
      <alignment horizontal="center" vertical="center"/>
    </xf>
    <xf borderId="16" fillId="6" fontId="29" numFmtId="10" xfId="0" applyAlignment="1" applyBorder="1" applyFont="1" applyNumberFormat="1">
      <alignment horizontal="center" vertical="center"/>
    </xf>
    <xf borderId="0" fillId="0" fontId="1" numFmtId="164" xfId="0" applyAlignment="1" applyFont="1" applyNumberFormat="1">
      <alignment horizontal="left" readingOrder="0"/>
    </xf>
    <xf borderId="20" fillId="6" fontId="28" numFmtId="0" xfId="0" applyAlignment="1" applyBorder="1" applyFont="1">
      <alignment horizontal="center" readingOrder="0" shrinkToFit="0" vertical="center" wrapText="1"/>
    </xf>
    <xf borderId="20" fillId="6" fontId="28" numFmtId="1" xfId="0" applyAlignment="1" applyBorder="1" applyFont="1" applyNumberFormat="1">
      <alignment horizontal="center" readingOrder="0" shrinkToFit="0" vertical="center" wrapText="1"/>
    </xf>
    <xf borderId="0" fillId="12" fontId="29" numFmtId="0" xfId="0" applyAlignment="1" applyFont="1">
      <alignment horizontal="center" readingOrder="0" vertical="center"/>
    </xf>
    <xf borderId="0" fillId="0" fontId="32" numFmtId="0" xfId="0" applyAlignment="1" applyFont="1">
      <alignment horizontal="center" vertical="center"/>
    </xf>
    <xf borderId="22" fillId="34" fontId="30" numFmtId="2" xfId="0" applyAlignment="1" applyBorder="1" applyFont="1" applyNumberFormat="1">
      <alignment horizontal="center" vertical="center"/>
    </xf>
    <xf borderId="22" fillId="34" fontId="30" numFmtId="1" xfId="0" applyAlignment="1" applyBorder="1" applyFont="1" applyNumberFormat="1">
      <alignment horizontal="center" vertical="center"/>
    </xf>
    <xf borderId="0" fillId="0" fontId="30" numFmtId="2" xfId="0" applyAlignment="1" applyFont="1" applyNumberFormat="1">
      <alignment horizontal="center" vertical="center"/>
    </xf>
    <xf borderId="22" fillId="34" fontId="1" numFmtId="2" xfId="0" applyAlignment="1" applyBorder="1" applyFont="1" applyNumberFormat="1">
      <alignment horizontal="center"/>
    </xf>
    <xf borderId="22" fillId="34" fontId="1" numFmtId="1" xfId="0" applyAlignment="1" applyBorder="1" applyFont="1" applyNumberFormat="1">
      <alignment horizontal="center"/>
    </xf>
    <xf borderId="22" fillId="34" fontId="1" numFmtId="0" xfId="0" applyAlignment="1" applyBorder="1" applyFont="1">
      <alignment horizontal="center"/>
    </xf>
    <xf borderId="0" fillId="12" fontId="33" numFmtId="0" xfId="0" applyAlignment="1" applyFont="1">
      <alignment horizontal="center" readingOrder="0" vertical="center"/>
    </xf>
    <xf borderId="0" fillId="21" fontId="32" numFmtId="164" xfId="0" applyAlignment="1" applyFont="1" applyNumberFormat="1">
      <alignment horizontal="center" readingOrder="0" vertical="center"/>
    </xf>
    <xf borderId="22" fillId="0" fontId="30" numFmtId="10" xfId="0" applyAlignment="1" applyBorder="1" applyFont="1" applyNumberFormat="1">
      <alignment horizontal="center" readingOrder="0" vertical="center"/>
    </xf>
    <xf borderId="0" fillId="11" fontId="33" numFmtId="0" xfId="0" applyAlignment="1" applyFont="1">
      <alignment horizontal="center" readingOrder="0" vertical="center"/>
    </xf>
    <xf borderId="21" fillId="13" fontId="29" numFmtId="167" xfId="0" applyAlignment="1" applyBorder="1" applyFont="1" applyNumberFormat="1">
      <alignment horizontal="center" readingOrder="0" vertical="center"/>
    </xf>
    <xf borderId="21" fillId="13" fontId="66" numFmtId="0" xfId="0" applyAlignment="1" applyBorder="1" applyFont="1">
      <alignment horizontal="left" readingOrder="0" vertical="center"/>
    </xf>
    <xf borderId="24" fillId="23" fontId="30" numFmtId="2" xfId="0" applyAlignment="1" applyBorder="1" applyFont="1" applyNumberFormat="1">
      <alignment horizontal="center" readingOrder="0" vertical="center"/>
    </xf>
    <xf borderId="21" fillId="13" fontId="67" numFmtId="0" xfId="0" applyAlignment="1" applyBorder="1" applyFont="1">
      <alignment horizontal="left" readingOrder="0" vertical="center"/>
    </xf>
    <xf borderId="0" fillId="0" fontId="1" numFmtId="1" xfId="0" applyAlignment="1" applyFont="1" applyNumberFormat="1">
      <alignment horizontal="center"/>
    </xf>
    <xf borderId="0" fillId="0" fontId="68" numFmtId="0" xfId="0" applyAlignment="1" applyFont="1">
      <alignment readingOrder="0"/>
    </xf>
    <xf borderId="21" fillId="13" fontId="69" numFmtId="164" xfId="0" applyAlignment="1" applyBorder="1" applyFont="1" applyNumberFormat="1">
      <alignment horizontal="left" readingOrder="0" vertical="center"/>
    </xf>
    <xf borderId="21" fillId="13" fontId="29" numFmtId="164" xfId="0" applyAlignment="1" applyBorder="1" applyFont="1" applyNumberFormat="1">
      <alignment horizontal="left" readingOrder="0" vertical="center"/>
    </xf>
    <xf borderId="0" fillId="0" fontId="30" numFmtId="1" xfId="0" applyAlignment="1" applyFont="1" applyNumberFormat="1">
      <alignment horizontal="center" vertical="center"/>
    </xf>
    <xf borderId="0" fillId="0" fontId="1" numFmtId="1" xfId="0" applyAlignment="1" applyFont="1" applyNumberFormat="1">
      <alignment horizontal="center" readingOrder="0"/>
    </xf>
    <xf borderId="20" fillId="5" fontId="28" numFmtId="164" xfId="0" applyAlignment="1" applyBorder="1" applyFont="1" applyNumberFormat="1">
      <alignment horizontal="center" readingOrder="0" shrinkToFit="0" vertical="center" wrapText="1"/>
    </xf>
    <xf borderId="0" fillId="0" fontId="30" numFmtId="10" xfId="0" applyAlignment="1" applyFont="1" applyNumberFormat="1">
      <alignment horizontal="center" vertical="center"/>
    </xf>
    <xf borderId="25" fillId="23" fontId="30" numFmtId="168" xfId="0" applyAlignment="1" applyBorder="1" applyFont="1" applyNumberFormat="1">
      <alignment horizontal="center" readingOrder="0" vertical="center"/>
    </xf>
    <xf borderId="0" fillId="23" fontId="33" numFmtId="0" xfId="0" applyAlignment="1" applyFont="1">
      <alignment horizontal="center" vertical="center"/>
    </xf>
    <xf borderId="10" fillId="23" fontId="33" numFmtId="0" xfId="0" applyAlignment="1" applyBorder="1" applyFont="1">
      <alignment horizontal="center" readingOrder="0" vertical="center"/>
    </xf>
    <xf borderId="10" fillId="0" fontId="30" numFmtId="0" xfId="0" applyAlignment="1" applyBorder="1" applyFont="1">
      <alignment horizontal="center" readingOrder="0" vertical="center"/>
    </xf>
    <xf borderId="38" fillId="0" fontId="30" numFmtId="164" xfId="0" applyAlignment="1" applyBorder="1" applyFont="1" applyNumberFormat="1">
      <alignment horizontal="center" vertical="center"/>
    </xf>
    <xf borderId="39" fillId="23" fontId="30" numFmtId="164" xfId="0" applyAlignment="1" applyBorder="1" applyFont="1" applyNumberFormat="1">
      <alignment horizontal="center" readingOrder="0" vertical="center"/>
    </xf>
    <xf borderId="39" fillId="0" fontId="30" numFmtId="10" xfId="0" applyAlignment="1" applyBorder="1" applyFont="1" applyNumberFormat="1">
      <alignment horizontal="center" vertical="center"/>
    </xf>
    <xf borderId="38" fillId="0" fontId="30" numFmtId="10" xfId="0" applyAlignment="1" applyBorder="1" applyFont="1" applyNumberFormat="1">
      <alignment horizontal="center" vertical="center"/>
    </xf>
    <xf borderId="39" fillId="0" fontId="30" numFmtId="164" xfId="0" applyAlignment="1" applyBorder="1" applyFont="1" applyNumberFormat="1">
      <alignment horizontal="center" vertical="center"/>
    </xf>
    <xf borderId="39" fillId="0" fontId="30" numFmtId="10" xfId="0" applyAlignment="1" applyBorder="1" applyFont="1" applyNumberFormat="1">
      <alignment horizontal="center" vertical="center"/>
    </xf>
    <xf borderId="10" fillId="0" fontId="34" numFmtId="0" xfId="0" applyAlignment="1" applyBorder="1" applyFont="1">
      <alignment horizontal="center" readingOrder="0"/>
    </xf>
    <xf borderId="39" fillId="21" fontId="32" numFmtId="0" xfId="0" applyAlignment="1" applyBorder="1" applyFont="1">
      <alignment horizontal="center" vertical="center"/>
    </xf>
    <xf borderId="39" fillId="0" fontId="30" numFmtId="164" xfId="0" applyAlignment="1" applyBorder="1" applyFont="1" applyNumberFormat="1">
      <alignment horizontal="center" vertical="center"/>
    </xf>
    <xf borderId="10" fillId="21" fontId="32" numFmtId="164" xfId="0" applyAlignment="1" applyBorder="1" applyFont="1" applyNumberFormat="1">
      <alignment horizontal="center" vertical="center"/>
    </xf>
    <xf borderId="10" fillId="0" fontId="32" numFmtId="164" xfId="0" applyAlignment="1" applyBorder="1" applyFont="1" applyNumberFormat="1">
      <alignment horizontal="center" vertical="center"/>
    </xf>
    <xf borderId="39" fillId="23" fontId="30" numFmtId="168" xfId="0" applyAlignment="1" applyBorder="1" applyFont="1" applyNumberFormat="1">
      <alignment horizontal="center" readingOrder="0" vertical="center"/>
    </xf>
    <xf borderId="25" fillId="23" fontId="30" numFmtId="0" xfId="0" applyAlignment="1" applyBorder="1" applyFont="1">
      <alignment horizontal="center" vertical="center"/>
    </xf>
    <xf borderId="25" fillId="23" fontId="30" numFmtId="169" xfId="0" applyAlignment="1" applyBorder="1" applyFont="1" applyNumberFormat="1">
      <alignment horizontal="center" readingOrder="0" vertical="center"/>
    </xf>
    <xf borderId="0" fillId="23" fontId="33" numFmtId="0" xfId="0" applyAlignment="1" applyFont="1">
      <alignment horizontal="center" vertical="bottom"/>
    </xf>
    <xf borderId="0" fillId="35" fontId="30" numFmtId="164" xfId="0" applyAlignment="1" applyFont="1" applyNumberFormat="1">
      <alignment horizontal="center" vertical="center"/>
    </xf>
    <xf borderId="4" fillId="10" fontId="70" numFmtId="0" xfId="0" applyAlignment="1" applyBorder="1" applyFont="1">
      <alignment horizontal="center" readingOrder="0" vertical="center"/>
    </xf>
    <xf borderId="4" fillId="36" fontId="71" numFmtId="0" xfId="0" applyAlignment="1" applyBorder="1" applyFill="1" applyFont="1">
      <alignment horizontal="center" readingOrder="0" shrinkToFit="0" vertical="center" wrapText="1"/>
    </xf>
    <xf borderId="12" fillId="10" fontId="72" numFmtId="0" xfId="0" applyAlignment="1" applyBorder="1" applyFont="1">
      <alignment horizontal="center"/>
    </xf>
    <xf borderId="24" fillId="0" fontId="5" numFmtId="0" xfId="0" applyBorder="1" applyFont="1"/>
    <xf borderId="25" fillId="0" fontId="5" numFmtId="0" xfId="0" applyBorder="1" applyFont="1"/>
    <xf borderId="26" fillId="37" fontId="73" numFmtId="0" xfId="0" applyAlignment="1" applyBorder="1" applyFill="1" applyFont="1">
      <alignment horizontal="center" vertical="bottom"/>
    </xf>
    <xf borderId="26" fillId="37" fontId="74" numFmtId="0" xfId="0" applyAlignment="1" applyBorder="1" applyFont="1">
      <alignment horizontal="center" vertical="bottom"/>
    </xf>
    <xf borderId="26" fillId="37" fontId="73" numFmtId="0" xfId="0" applyAlignment="1" applyBorder="1" applyFont="1">
      <alignment horizontal="center" vertical="bottom"/>
    </xf>
    <xf borderId="0" fillId="0" fontId="37" numFmtId="0" xfId="0" applyFont="1"/>
    <xf borderId="26" fillId="21" fontId="73" numFmtId="0" xfId="0" applyAlignment="1" applyBorder="1" applyFont="1">
      <alignment horizontal="center" vertical="bottom"/>
    </xf>
    <xf borderId="26" fillId="21" fontId="73" numFmtId="0" xfId="0" applyAlignment="1" applyBorder="1" applyFont="1">
      <alignment horizontal="center" vertical="bottom"/>
    </xf>
    <xf borderId="26" fillId="21" fontId="73" numFmtId="164" xfId="0" applyAlignment="1" applyBorder="1" applyFont="1" applyNumberFormat="1">
      <alignment horizontal="center" vertical="bottom"/>
    </xf>
    <xf borderId="26" fillId="21" fontId="73" numFmtId="10" xfId="0" applyAlignment="1" applyBorder="1" applyFont="1" applyNumberFormat="1">
      <alignment horizontal="center" vertical="bottom"/>
    </xf>
    <xf borderId="12" fillId="34" fontId="73" numFmtId="0" xfId="0" applyAlignment="1" applyBorder="1" applyFont="1">
      <alignment horizontal="center" shrinkToFit="0" wrapText="1"/>
    </xf>
    <xf borderId="20" fillId="0" fontId="73" numFmtId="0" xfId="0" applyAlignment="1" applyBorder="1" applyFont="1">
      <alignment horizontal="center"/>
    </xf>
    <xf borderId="12" fillId="36" fontId="73" numFmtId="0" xfId="0" applyAlignment="1" applyBorder="1" applyFont="1">
      <alignment horizontal="center" shrinkToFit="0" wrapText="1"/>
    </xf>
    <xf borderId="26" fillId="20" fontId="73" numFmtId="0" xfId="0" applyAlignment="1" applyBorder="1" applyFont="1">
      <alignment horizontal="center" vertical="bottom"/>
    </xf>
    <xf borderId="26" fillId="20" fontId="73" numFmtId="0" xfId="0" applyAlignment="1" applyBorder="1" applyFont="1">
      <alignment horizontal="center" vertical="bottom"/>
    </xf>
    <xf borderId="26" fillId="20" fontId="73" numFmtId="164" xfId="0" applyAlignment="1" applyBorder="1" applyFont="1" applyNumberFormat="1">
      <alignment horizontal="center" vertical="bottom"/>
    </xf>
    <xf borderId="26" fillId="20" fontId="73" numFmtId="10" xfId="0" applyAlignment="1" applyBorder="1" applyFont="1" applyNumberFormat="1">
      <alignment horizontal="center" vertical="bottom"/>
    </xf>
    <xf borderId="10" fillId="0" fontId="37" numFmtId="0" xfId="0" applyAlignment="1" applyBorder="1" applyFont="1">
      <alignment vertical="bottom"/>
    </xf>
    <xf borderId="40" fillId="16" fontId="73" numFmtId="0" xfId="0" applyAlignment="1" applyBorder="1" applyFont="1">
      <alignment horizontal="center" shrinkToFit="0" wrapText="1"/>
    </xf>
    <xf borderId="27" fillId="0" fontId="5" numFmtId="0" xfId="0" applyBorder="1" applyFont="1"/>
    <xf borderId="26" fillId="0" fontId="73" numFmtId="0" xfId="0" applyAlignment="1" applyBorder="1" applyFont="1">
      <alignment horizontal="center" shrinkToFit="0" wrapText="1"/>
    </xf>
    <xf borderId="7" fillId="34" fontId="75" numFmtId="0" xfId="0" applyAlignment="1" applyBorder="1" applyFont="1">
      <alignment horizontal="center"/>
    </xf>
    <xf borderId="12" fillId="18" fontId="73" numFmtId="0" xfId="0" applyAlignment="1" applyBorder="1" applyFont="1">
      <alignment horizontal="center" shrinkToFit="0" wrapText="1"/>
    </xf>
    <xf borderId="40" fillId="16" fontId="73" numFmtId="0" xfId="0" applyAlignment="1" applyBorder="1" applyFont="1">
      <alignment horizontal="center"/>
    </xf>
    <xf borderId="12" fillId="17" fontId="73" numFmtId="0" xfId="0" applyAlignment="1" applyBorder="1" applyFont="1">
      <alignment horizontal="center" shrinkToFit="0" wrapText="1"/>
    </xf>
    <xf borderId="12" fillId="15" fontId="73" numFmtId="0" xfId="0" applyAlignment="1" applyBorder="1" applyFont="1">
      <alignment horizontal="center" shrinkToFit="0" wrapText="1"/>
    </xf>
    <xf borderId="12" fillId="38" fontId="73" numFmtId="0" xfId="0" applyAlignment="1" applyBorder="1" applyFill="1" applyFont="1">
      <alignment horizontal="center" shrinkToFit="0" wrapText="1"/>
    </xf>
    <xf borderId="20" fillId="0" fontId="73" numFmtId="10" xfId="0" applyAlignment="1" applyBorder="1" applyFont="1" applyNumberFormat="1">
      <alignment horizontal="center"/>
    </xf>
    <xf borderId="15" fillId="16" fontId="73" numFmtId="0" xfId="0" applyAlignment="1" applyBorder="1" applyFont="1">
      <alignment horizontal="center"/>
    </xf>
    <xf borderId="0" fillId="27" fontId="14" numFmtId="0" xfId="0" applyAlignment="1" applyFont="1">
      <alignment horizontal="center" readingOrder="0"/>
    </xf>
    <xf borderId="0" fillId="27" fontId="14" numFmtId="0" xfId="0" applyAlignment="1" applyFont="1">
      <alignment horizontal="center"/>
    </xf>
    <xf borderId="0" fillId="14" fontId="2" numFmtId="0" xfId="0" applyAlignment="1" applyFont="1">
      <alignment horizontal="center" readingOrder="0" vertical="center"/>
    </xf>
    <xf borderId="0" fillId="2" fontId="1" numFmtId="0" xfId="0" applyFont="1"/>
    <xf borderId="41" fillId="39" fontId="4" numFmtId="0" xfId="0" applyAlignment="1" applyBorder="1" applyFill="1" applyFont="1">
      <alignment horizontal="center" readingOrder="0" vertical="center"/>
    </xf>
    <xf borderId="0" fillId="22" fontId="1" numFmtId="0" xfId="0" applyAlignment="1" applyFont="1">
      <alignment readingOrder="0"/>
    </xf>
    <xf borderId="7" fillId="9" fontId="8" numFmtId="164" xfId="0" applyAlignment="1" applyBorder="1" applyFont="1" applyNumberFormat="1">
      <alignment horizontal="center" readingOrder="0" vertical="center"/>
    </xf>
    <xf borderId="7" fillId="10" fontId="8" numFmtId="4" xfId="0" applyAlignment="1" applyBorder="1" applyFont="1" applyNumberFormat="1">
      <alignment horizontal="center" readingOrder="0" vertical="center"/>
    </xf>
    <xf borderId="7" fillId="11" fontId="8" numFmtId="10" xfId="0" applyAlignment="1" applyBorder="1" applyFont="1" applyNumberFormat="1">
      <alignment horizontal="center" readingOrder="0" vertical="center"/>
    </xf>
    <xf borderId="4" fillId="12" fontId="8" numFmtId="4" xfId="0" applyAlignment="1" applyBorder="1" applyFont="1" applyNumberFormat="1">
      <alignment horizontal="center" readingOrder="0" vertical="center"/>
    </xf>
    <xf borderId="8" fillId="27" fontId="8" numFmtId="4" xfId="0" applyAlignment="1" applyBorder="1" applyFont="1" applyNumberFormat="1">
      <alignment horizontal="center" readingOrder="0" vertical="center"/>
    </xf>
    <xf borderId="0" fillId="0" fontId="1" numFmtId="2" xfId="0" applyFont="1" applyNumberFormat="1"/>
    <xf borderId="0" fillId="2" fontId="1" numFmtId="1" xfId="0" applyAlignment="1" applyFont="1" applyNumberFormat="1">
      <alignment readingOrder="0"/>
    </xf>
    <xf borderId="0" fillId="2" fontId="1" numFmtId="2" xfId="0" applyFont="1" applyNumberFormat="1"/>
    <xf borderId="0" fillId="2" fontId="1" numFmtId="4" xfId="0" applyAlignment="1" applyFont="1" applyNumberFormat="1">
      <alignment readingOrder="0"/>
    </xf>
    <xf borderId="0" fillId="2" fontId="1" numFmtId="10" xfId="0" applyFont="1" applyNumberFormat="1"/>
    <xf borderId="0" fillId="2" fontId="1" numFmtId="2" xfId="0" applyAlignment="1" applyFont="1" applyNumberFormat="1">
      <alignment readingOrder="0"/>
    </xf>
    <xf borderId="0" fillId="0" fontId="1" numFmtId="0" xfId="0" applyFont="1"/>
    <xf borderId="4" fillId="9" fontId="8" numFmtId="0" xfId="0" applyAlignment="1" applyBorder="1" applyFont="1">
      <alignment horizontal="center" readingOrder="0" vertical="center"/>
    </xf>
    <xf borderId="4" fillId="10" fontId="8" numFmtId="4" xfId="0" applyAlignment="1" applyBorder="1" applyFont="1" applyNumberFormat="1">
      <alignment horizontal="center" readingOrder="0" vertical="center"/>
    </xf>
    <xf borderId="4" fillId="11" fontId="8" numFmtId="10" xfId="0" applyAlignment="1" applyBorder="1" applyFont="1" applyNumberFormat="1">
      <alignment horizontal="center" readingOrder="0" vertical="center"/>
    </xf>
    <xf borderId="4" fillId="12" fontId="8" numFmtId="10" xfId="0" applyAlignment="1" applyBorder="1" applyFont="1" applyNumberFormat="1">
      <alignment horizontal="center" readingOrder="0" vertical="center"/>
    </xf>
    <xf borderId="4" fillId="13" fontId="76" numFmtId="0" xfId="0" applyAlignment="1" applyBorder="1" applyFont="1">
      <alignment horizontal="center" readingOrder="0" vertical="center"/>
    </xf>
    <xf borderId="6" fillId="40" fontId="76" numFmtId="0" xfId="0" applyAlignment="1" applyBorder="1" applyFill="1" applyFont="1">
      <alignment horizontal="center" readingOrder="0" vertical="center"/>
    </xf>
    <xf borderId="11" fillId="40" fontId="76" numFmtId="0" xfId="0" applyAlignment="1" applyBorder="1" applyFont="1">
      <alignment horizontal="center" readingOrder="0" vertical="center"/>
    </xf>
    <xf borderId="0" fillId="10" fontId="1" numFmtId="1" xfId="0" applyAlignment="1" applyFont="1" applyNumberFormat="1">
      <alignment readingOrder="0"/>
    </xf>
    <xf borderId="0" fillId="10" fontId="1" numFmtId="2" xfId="0" applyFont="1" applyNumberFormat="1"/>
    <xf borderId="0" fillId="10" fontId="1" numFmtId="4" xfId="0" applyAlignment="1" applyFont="1" applyNumberFormat="1">
      <alignment readingOrder="0"/>
    </xf>
    <xf borderId="0" fillId="10" fontId="1" numFmtId="10" xfId="0" applyFont="1" applyNumberFormat="1"/>
    <xf borderId="0" fillId="10" fontId="1" numFmtId="2" xfId="0" applyAlignment="1" applyFont="1" applyNumberFormat="1">
      <alignment readingOrder="0"/>
    </xf>
    <xf borderId="7" fillId="9" fontId="8" numFmtId="164" xfId="0" applyAlignment="1" applyBorder="1" applyFont="1" applyNumberFormat="1">
      <alignment horizontal="center" readingOrder="0" vertical="center"/>
    </xf>
    <xf borderId="4" fillId="9" fontId="8" numFmtId="164" xfId="0" applyAlignment="1" applyBorder="1" applyFont="1" applyNumberFormat="1">
      <alignment horizontal="center" readingOrder="0" vertical="center"/>
    </xf>
    <xf borderId="7" fillId="10" fontId="8" numFmtId="164" xfId="0" applyAlignment="1" applyBorder="1" applyFont="1" applyNumberFormat="1">
      <alignment horizontal="center" readingOrder="0" vertical="center"/>
    </xf>
    <xf borderId="4" fillId="10" fontId="8" numFmtId="164" xfId="0" applyAlignment="1" applyBorder="1" applyFont="1" applyNumberFormat="1">
      <alignment horizontal="center" readingOrder="0" vertical="center"/>
    </xf>
    <xf borderId="7" fillId="19" fontId="8" numFmtId="164" xfId="0" applyAlignment="1" applyBorder="1" applyFont="1" applyNumberFormat="1">
      <alignment horizontal="center" readingOrder="0" vertical="center"/>
    </xf>
    <xf borderId="4" fillId="23" fontId="8" numFmtId="0" xfId="0" applyAlignment="1" applyBorder="1" applyFont="1">
      <alignment horizontal="center" readingOrder="0" vertical="center"/>
    </xf>
    <xf borderId="5" fillId="23" fontId="8" numFmtId="164" xfId="0" applyAlignment="1" applyBorder="1" applyFont="1" applyNumberFormat="1">
      <alignment horizontal="center" readingOrder="0" vertical="center"/>
    </xf>
    <xf borderId="2" fillId="5" fontId="4" numFmtId="0" xfId="0" applyAlignment="1" applyBorder="1" applyFont="1">
      <alignment horizontal="center" readingOrder="0" vertical="center"/>
    </xf>
    <xf borderId="4" fillId="17" fontId="8" numFmtId="164" xfId="0" applyAlignment="1" applyBorder="1" applyFont="1" applyNumberFormat="1">
      <alignment horizontal="center" readingOrder="0" vertical="center"/>
    </xf>
    <xf borderId="4" fillId="0" fontId="8" numFmtId="164" xfId="0" applyAlignment="1" applyBorder="1" applyFont="1" applyNumberFormat="1">
      <alignment horizontal="center" readingOrder="0" vertical="center"/>
    </xf>
    <xf borderId="0" fillId="13" fontId="2" numFmtId="0" xfId="0" applyAlignment="1" applyFont="1">
      <alignment horizontal="center" readingOrder="0" vertical="center"/>
    </xf>
    <xf borderId="12" fillId="3" fontId="28" numFmtId="0" xfId="0" applyAlignment="1" applyBorder="1" applyFont="1">
      <alignment horizontal="center" readingOrder="0" shrinkToFit="0" vertical="center" wrapText="1"/>
    </xf>
    <xf borderId="20" fillId="6" fontId="28" numFmtId="164" xfId="0" applyAlignment="1" applyBorder="1" applyFont="1" applyNumberFormat="1">
      <alignment horizontal="center" readingOrder="0" shrinkToFit="0" vertical="center" wrapText="1"/>
    </xf>
    <xf borderId="12" fillId="41" fontId="28" numFmtId="164" xfId="0" applyAlignment="1" applyBorder="1" applyFill="1" applyFont="1" applyNumberFormat="1">
      <alignment horizontal="center" readingOrder="0" shrinkToFit="0" vertical="center" wrapText="1"/>
    </xf>
    <xf borderId="20" fillId="41" fontId="28" numFmtId="0" xfId="0" applyAlignment="1" applyBorder="1" applyFont="1">
      <alignment horizontal="center" readingOrder="0" shrinkToFit="0" vertical="center" wrapText="1"/>
    </xf>
    <xf borderId="20" fillId="41" fontId="28" numFmtId="164" xfId="0" applyAlignment="1" applyBorder="1" applyFont="1" applyNumberFormat="1">
      <alignment horizontal="center" readingOrder="0" shrinkToFit="0" vertical="center" wrapText="1"/>
    </xf>
    <xf borderId="0" fillId="0" fontId="28" numFmtId="164" xfId="0" applyAlignment="1" applyFont="1" applyNumberFormat="1">
      <alignment horizontal="center" readingOrder="0" shrinkToFit="0" vertical="center" wrapText="1"/>
    </xf>
    <xf borderId="24" fillId="23" fontId="29" numFmtId="0" xfId="0" applyAlignment="1" applyBorder="1" applyFont="1">
      <alignment horizontal="center" readingOrder="0" vertical="center"/>
    </xf>
    <xf borderId="25" fillId="0" fontId="1" numFmtId="164" xfId="0" applyBorder="1" applyFont="1" applyNumberFormat="1"/>
    <xf borderId="25" fillId="0" fontId="1" numFmtId="0" xfId="0" applyBorder="1" applyFont="1"/>
    <xf borderId="24" fillId="14" fontId="1" numFmtId="0" xfId="0" applyAlignment="1" applyBorder="1" applyFont="1">
      <alignment readingOrder="0"/>
    </xf>
    <xf borderId="0" fillId="0" fontId="1" numFmtId="10" xfId="0" applyAlignment="1" applyFont="1" applyNumberFormat="1">
      <alignment readingOrder="0"/>
    </xf>
    <xf borderId="0" fillId="0" fontId="1" numFmtId="170" xfId="0" applyAlignment="1" applyFont="1" applyNumberFormat="1">
      <alignment readingOrder="0"/>
    </xf>
    <xf borderId="25" fillId="0" fontId="1" numFmtId="170" xfId="0" applyAlignment="1" applyBorder="1" applyFont="1" applyNumberFormat="1">
      <alignment readingOrder="0"/>
    </xf>
    <xf borderId="24" fillId="23" fontId="33" numFmtId="0" xfId="0" applyAlignment="1" applyBorder="1" applyFont="1">
      <alignment horizontal="center" readingOrder="0" vertical="center"/>
    </xf>
    <xf borderId="15" fillId="14" fontId="1" numFmtId="0" xfId="0" applyAlignment="1" applyBorder="1" applyFont="1">
      <alignment readingOrder="0"/>
    </xf>
    <xf borderId="16" fillId="23" fontId="1" numFmtId="10" xfId="0" applyAlignment="1" applyBorder="1" applyFont="1" applyNumberFormat="1">
      <alignment readingOrder="0"/>
    </xf>
    <xf borderId="16" fillId="23" fontId="1" numFmtId="170" xfId="0" applyAlignment="1" applyBorder="1" applyFont="1" applyNumberFormat="1">
      <alignment readingOrder="0"/>
    </xf>
    <xf borderId="17" fillId="23" fontId="1" numFmtId="170" xfId="0" applyAlignment="1" applyBorder="1" applyFont="1" applyNumberFormat="1">
      <alignment readingOrder="0"/>
    </xf>
    <xf borderId="12" fillId="3" fontId="28" numFmtId="164" xfId="0" applyAlignment="1" applyBorder="1" applyFont="1" applyNumberFormat="1">
      <alignment horizontal="center" readingOrder="0" shrinkToFit="0" vertical="center" wrapText="1"/>
    </xf>
    <xf borderId="13" fillId="21" fontId="1" numFmtId="0" xfId="0" applyAlignment="1" applyBorder="1" applyFont="1">
      <alignment horizontal="center" readingOrder="0" shrinkToFit="0" vertical="center" wrapText="1"/>
    </xf>
    <xf borderId="12" fillId="42" fontId="28" numFmtId="164" xfId="0" applyAlignment="1" applyBorder="1" applyFill="1" applyFont="1" applyNumberFormat="1">
      <alignment horizontal="center" readingOrder="0" shrinkToFit="0" vertical="center" wrapText="1"/>
    </xf>
    <xf borderId="24" fillId="42" fontId="63" numFmtId="0" xfId="0" applyAlignment="1" applyBorder="1" applyFont="1">
      <alignment horizontal="center" readingOrder="0"/>
    </xf>
    <xf borderId="0" fillId="42" fontId="63" numFmtId="0" xfId="0" applyAlignment="1" applyFont="1">
      <alignment horizontal="center" readingOrder="0"/>
    </xf>
    <xf borderId="15" fillId="0" fontId="77" numFmtId="10" xfId="0" applyAlignment="1" applyBorder="1" applyFont="1" applyNumberFormat="1">
      <alignment horizontal="center" readingOrder="0" shrinkToFit="0" vertical="center" wrapText="1"/>
    </xf>
    <xf borderId="15" fillId="0" fontId="77" numFmtId="170" xfId="0" applyAlignment="1" applyBorder="1" applyFont="1" applyNumberFormat="1">
      <alignment horizontal="center" readingOrder="0" shrinkToFit="0" vertical="center" wrapText="1"/>
    </xf>
    <xf borderId="15" fillId="0" fontId="77" numFmtId="4" xfId="0" applyAlignment="1" applyBorder="1" applyFont="1" applyNumberFormat="1">
      <alignment horizontal="center" readingOrder="0" shrinkToFit="0" vertical="center" wrapText="1"/>
    </xf>
    <xf borderId="40" fillId="4" fontId="28" numFmtId="164" xfId="0" applyAlignment="1" applyBorder="1" applyFont="1" applyNumberFormat="1">
      <alignment horizontal="center" readingOrder="0" shrinkToFit="0" vertical="center" wrapText="1"/>
    </xf>
    <xf borderId="42" fillId="0" fontId="5" numFmtId="0" xfId="0" applyBorder="1" applyFont="1"/>
    <xf borderId="0" fillId="4" fontId="63" numFmtId="0" xfId="0" applyAlignment="1" applyFont="1">
      <alignment horizontal="center" readingOrder="0"/>
    </xf>
    <xf borderId="0" fillId="6" fontId="63" numFmtId="0" xfId="0" applyAlignment="1" applyFont="1">
      <alignment horizontal="center" readingOrder="0"/>
    </xf>
    <xf borderId="17" fillId="0" fontId="14" numFmtId="4" xfId="0" applyBorder="1" applyFont="1" applyNumberFormat="1"/>
    <xf borderId="40" fillId="13" fontId="33" numFmtId="0" xfId="0" applyAlignment="1" applyBorder="1" applyFont="1">
      <alignment horizontal="center" readingOrder="0" vertical="center"/>
    </xf>
    <xf borderId="27" fillId="13" fontId="14" numFmtId="164" xfId="0" applyBorder="1" applyFont="1" applyNumberFormat="1"/>
    <xf borderId="27" fillId="13" fontId="14" numFmtId="4" xfId="0" applyBorder="1" applyFont="1" applyNumberFormat="1"/>
    <xf borderId="0" fillId="0" fontId="14" numFmtId="164" xfId="0" applyFont="1" applyNumberFormat="1"/>
    <xf borderId="4" fillId="25" fontId="53" numFmtId="0" xfId="0" applyAlignment="1" applyBorder="1" applyFont="1">
      <alignment horizontal="center" readingOrder="0" vertical="center"/>
    </xf>
    <xf borderId="5" fillId="25" fontId="53" numFmtId="0" xfId="0" applyAlignment="1" applyBorder="1" applyFont="1">
      <alignment horizontal="center" readingOrder="0" vertical="center"/>
    </xf>
    <xf borderId="1" fillId="25" fontId="19" numFmtId="0" xfId="0" applyAlignment="1" applyBorder="1" applyFont="1">
      <alignment horizontal="center" readingOrder="0" vertical="center"/>
    </xf>
    <xf borderId="0" fillId="25" fontId="78" numFmtId="0" xfId="0" applyAlignment="1" applyFont="1">
      <alignment horizontal="center" readingOrder="0" vertical="center"/>
    </xf>
    <xf borderId="0" fillId="0" fontId="37" numFmtId="0" xfId="0" applyAlignment="1" applyFont="1">
      <alignment horizontal="center" vertical="center"/>
    </xf>
    <xf borderId="0" fillId="25" fontId="79" numFmtId="0" xfId="0" applyAlignment="1" applyFont="1">
      <alignment horizontal="center" readingOrder="0" vertical="center"/>
    </xf>
    <xf borderId="4" fillId="25" fontId="53" numFmtId="0" xfId="0" applyAlignment="1" applyBorder="1" applyFont="1">
      <alignment horizontal="center" readingOrder="0" shrinkToFit="0" vertical="center" wrapText="1"/>
    </xf>
    <xf borderId="43" fillId="14" fontId="80" numFmtId="0" xfId="0" applyAlignment="1" applyBorder="1" applyFont="1">
      <alignment horizontal="right" vertical="bottom"/>
    </xf>
    <xf borderId="44" fillId="14" fontId="80" numFmtId="0" xfId="0" applyAlignment="1" applyBorder="1" applyFont="1">
      <alignment horizontal="right" vertical="bottom"/>
    </xf>
    <xf borderId="5" fillId="14" fontId="37" numFmtId="0" xfId="0" applyAlignment="1" applyBorder="1" applyFont="1">
      <alignment vertical="bottom"/>
    </xf>
    <xf borderId="6" fillId="14" fontId="81" numFmtId="171" xfId="0" applyAlignment="1" applyBorder="1" applyFont="1" applyNumberFormat="1">
      <alignment horizontal="center" vertical="center"/>
    </xf>
    <xf borderId="0" fillId="0" fontId="37" numFmtId="0" xfId="0" applyAlignment="1" applyFont="1">
      <alignment vertical="bottom"/>
    </xf>
    <xf borderId="0" fillId="0" fontId="81" numFmtId="0" xfId="0" applyFont="1"/>
    <xf borderId="0" fillId="0" fontId="79" numFmtId="0" xfId="0" applyAlignment="1" applyFont="1">
      <alignment horizontal="center" readingOrder="0" vertical="center"/>
    </xf>
    <xf borderId="7" fillId="23" fontId="82" numFmtId="0" xfId="0" applyAlignment="1" applyBorder="1" applyFont="1">
      <alignment horizontal="center" readingOrder="0" vertical="center"/>
    </xf>
    <xf borderId="0" fillId="2" fontId="51" numFmtId="0" xfId="0" applyAlignment="1" applyFont="1">
      <alignment horizontal="center" readingOrder="0" shrinkToFit="0" vertical="center" wrapText="1"/>
    </xf>
    <xf borderId="4" fillId="25" fontId="15" numFmtId="0" xfId="0" applyAlignment="1" applyBorder="1" applyFont="1">
      <alignment horizontal="center" vertical="center"/>
    </xf>
    <xf borderId="0" fillId="0" fontId="1" numFmtId="0" xfId="0" applyAlignment="1" applyFont="1">
      <alignment horizontal="center" vertical="center"/>
    </xf>
    <xf borderId="1" fillId="25" fontId="15" numFmtId="0" xfId="0" applyAlignment="1" applyBorder="1" applyFont="1">
      <alignment horizontal="center" vertical="center"/>
    </xf>
    <xf borderId="0" fillId="0" fontId="37"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center" readingOrder="0"/>
    </xf>
    <xf borderId="45" fillId="14" fontId="83" numFmtId="0" xfId="0" applyAlignment="1" applyBorder="1" applyFont="1">
      <alignment horizontal="right" readingOrder="0" vertical="bottom"/>
    </xf>
    <xf borderId="46" fillId="14" fontId="83" numFmtId="171" xfId="0" applyAlignment="1" applyBorder="1" applyFont="1" applyNumberFormat="1">
      <alignment horizontal="center" vertical="bottom"/>
    </xf>
    <xf borderId="0" fillId="14" fontId="37" numFmtId="0" xfId="0" applyAlignment="1" applyFont="1">
      <alignment vertical="bottom"/>
    </xf>
    <xf borderId="47" fillId="25" fontId="15" numFmtId="164" xfId="0" applyAlignment="1" applyBorder="1" applyFont="1" applyNumberFormat="1">
      <alignment horizontal="center" vertical="center"/>
    </xf>
    <xf borderId="48" fillId="25" fontId="15" numFmtId="164" xfId="0" applyAlignment="1" applyBorder="1" applyFont="1" applyNumberFormat="1">
      <alignment horizontal="center" vertical="center"/>
    </xf>
    <xf borderId="7" fillId="25" fontId="15" numFmtId="164" xfId="0" applyAlignment="1" applyBorder="1" applyFont="1" applyNumberFormat="1">
      <alignment horizontal="center" vertical="center"/>
    </xf>
    <xf borderId="8" fillId="25" fontId="15" numFmtId="164" xfId="0" applyAlignment="1" applyBorder="1" applyFont="1" applyNumberFormat="1">
      <alignment horizontal="center" vertical="center"/>
    </xf>
    <xf borderId="0" fillId="20" fontId="37" numFmtId="164" xfId="0" applyAlignment="1" applyFont="1" applyNumberFormat="1">
      <alignment horizontal="center" readingOrder="0" vertical="center"/>
    </xf>
    <xf borderId="0" fillId="0" fontId="37" numFmtId="10" xfId="0" applyAlignment="1" applyFont="1" applyNumberFormat="1">
      <alignment horizontal="center" vertical="center"/>
    </xf>
    <xf borderId="0" fillId="0" fontId="37" numFmtId="4" xfId="0" applyAlignment="1" applyFont="1" applyNumberFormat="1">
      <alignment horizontal="center" readingOrder="0" vertical="center"/>
    </xf>
    <xf borderId="0" fillId="0" fontId="37" numFmtId="164" xfId="0" applyAlignment="1" applyFont="1" applyNumberFormat="1">
      <alignment horizontal="center" vertical="center"/>
    </xf>
    <xf borderId="45" fillId="14" fontId="83" numFmtId="164" xfId="0" applyAlignment="1" applyBorder="1" applyFont="1" applyNumberFormat="1">
      <alignment horizontal="right" readingOrder="0" vertical="bottom"/>
    </xf>
    <xf borderId="46" fillId="14" fontId="83" numFmtId="172" xfId="0" applyAlignment="1" applyBorder="1" applyFont="1" applyNumberFormat="1">
      <alignment horizontal="center" vertical="bottom"/>
    </xf>
    <xf borderId="0" fillId="14" fontId="37" numFmtId="164" xfId="0" applyAlignment="1" applyFont="1" applyNumberFormat="1">
      <alignment vertical="bottom"/>
    </xf>
    <xf borderId="8" fillId="14" fontId="84" numFmtId="173" xfId="0" applyAlignment="1" applyBorder="1" applyFont="1" applyNumberFormat="1">
      <alignment horizontal="center" vertical="center"/>
    </xf>
    <xf borderId="0" fillId="0" fontId="37" numFmtId="164" xfId="0" applyAlignment="1" applyFont="1" applyNumberFormat="1">
      <alignment vertical="bottom"/>
    </xf>
    <xf borderId="10" fillId="25" fontId="53" numFmtId="0" xfId="0" applyAlignment="1" applyBorder="1" applyFont="1">
      <alignment horizontal="center" readingOrder="0" shrinkToFit="0" vertical="center" wrapText="1"/>
    </xf>
    <xf borderId="7" fillId="2" fontId="85" numFmtId="4" xfId="0" applyAlignment="1" applyBorder="1" applyFont="1" applyNumberFormat="1">
      <alignment horizontal="center" readingOrder="0" vertical="center"/>
    </xf>
    <xf borderId="8" fillId="20" fontId="85" numFmtId="164" xfId="0" applyAlignment="1" applyBorder="1" applyFont="1" applyNumberFormat="1">
      <alignment horizontal="center" readingOrder="0" vertical="center"/>
    </xf>
    <xf borderId="7" fillId="20" fontId="85" numFmtId="164" xfId="0" applyAlignment="1" applyBorder="1" applyFont="1" applyNumberFormat="1">
      <alignment horizontal="center" readingOrder="0" vertical="center"/>
    </xf>
    <xf borderId="49" fillId="14" fontId="83" numFmtId="164" xfId="0" applyAlignment="1" applyBorder="1" applyFont="1" applyNumberFormat="1">
      <alignment horizontal="right" readingOrder="0" vertical="bottom"/>
    </xf>
    <xf borderId="50" fillId="14" fontId="83" numFmtId="173" xfId="0" applyAlignment="1" applyBorder="1" applyFont="1" applyNumberFormat="1">
      <alignment horizontal="center" readingOrder="0" vertical="bottom"/>
    </xf>
    <xf borderId="10" fillId="14" fontId="37" numFmtId="164" xfId="0" applyAlignment="1" applyBorder="1" applyFont="1" applyNumberFormat="1">
      <alignment vertical="bottom"/>
    </xf>
    <xf borderId="4" fillId="27" fontId="42" numFmtId="0" xfId="0" applyAlignment="1" applyBorder="1" applyFont="1">
      <alignment horizontal="center" readingOrder="0" shrinkToFit="0" vertical="center" wrapText="1"/>
    </xf>
    <xf borderId="5" fillId="27" fontId="42" numFmtId="0" xfId="0" applyAlignment="1" applyBorder="1" applyFont="1">
      <alignment horizontal="center" readingOrder="0" shrinkToFit="0" vertical="center" wrapText="1"/>
    </xf>
    <xf borderId="0" fillId="0" fontId="86" numFmtId="164" xfId="0" applyAlignment="1" applyFont="1" applyNumberFormat="1">
      <alignment vertical="bottom"/>
    </xf>
    <xf borderId="0" fillId="0" fontId="86" numFmtId="49" xfId="0" applyAlignment="1" applyFont="1" applyNumberFormat="1">
      <alignment vertical="bottom"/>
    </xf>
    <xf borderId="0" fillId="0" fontId="87" numFmtId="2" xfId="0" applyAlignment="1" applyFont="1" applyNumberFormat="1">
      <alignment horizontal="center"/>
    </xf>
    <xf borderId="51" fillId="0" fontId="88" numFmtId="164" xfId="0" applyAlignment="1" applyBorder="1" applyFont="1" applyNumberFormat="1">
      <alignment horizontal="center" vertical="bottom"/>
    </xf>
    <xf borderId="52" fillId="14" fontId="83" numFmtId="164" xfId="0" applyAlignment="1" applyBorder="1" applyFont="1" applyNumberFormat="1">
      <alignment horizontal="center" readingOrder="0" vertical="center"/>
    </xf>
    <xf borderId="5" fillId="14" fontId="83" numFmtId="164" xfId="0" applyAlignment="1" applyBorder="1" applyFont="1" applyNumberFormat="1">
      <alignment horizontal="center" readingOrder="0" vertical="bottom"/>
    </xf>
    <xf borderId="44" fillId="14" fontId="83" numFmtId="173" xfId="0" applyAlignment="1" applyBorder="1" applyFont="1" applyNumberFormat="1">
      <alignment horizontal="center" readingOrder="0" vertical="bottom"/>
    </xf>
    <xf borderId="5" fillId="14" fontId="37" numFmtId="164" xfId="0" applyAlignment="1" applyBorder="1" applyFont="1" applyNumberFormat="1">
      <alignment horizontal="center" vertical="bottom"/>
    </xf>
    <xf borderId="5" fillId="14" fontId="81" numFmtId="171" xfId="0" applyAlignment="1" applyBorder="1" applyFont="1" applyNumberFormat="1">
      <alignment horizontal="center" vertical="center"/>
    </xf>
    <xf borderId="5" fillId="14" fontId="83" numFmtId="0" xfId="0" applyAlignment="1" applyBorder="1" applyFont="1">
      <alignment horizontal="center" vertical="bottom"/>
    </xf>
    <xf borderId="53" fillId="14" fontId="88" numFmtId="0" xfId="0" applyAlignment="1" applyBorder="1" applyFont="1">
      <alignment horizontal="center" vertical="bottom"/>
    </xf>
    <xf borderId="10" fillId="27" fontId="89" numFmtId="0" xfId="0" applyAlignment="1" applyBorder="1" applyFont="1">
      <alignment horizontal="center" readingOrder="0"/>
    </xf>
    <xf borderId="7" fillId="20" fontId="85" numFmtId="2" xfId="0" applyAlignment="1" applyBorder="1" applyFont="1" applyNumberFormat="1">
      <alignment horizontal="center" readingOrder="0" vertical="center"/>
    </xf>
    <xf borderId="8" fillId="2" fontId="90" numFmtId="10" xfId="0" applyAlignment="1" applyBorder="1" applyFont="1" applyNumberFormat="1">
      <alignment horizontal="center" vertical="center"/>
    </xf>
    <xf borderId="7" fillId="20" fontId="85" numFmtId="164" xfId="0" applyAlignment="1" applyBorder="1" applyFont="1" applyNumberFormat="1">
      <alignment horizontal="center" readingOrder="0" vertical="center"/>
    </xf>
    <xf borderId="8" fillId="2" fontId="85" numFmtId="164" xfId="0" applyAlignment="1" applyBorder="1" applyFont="1" applyNumberFormat="1">
      <alignment horizontal="center" vertical="center"/>
    </xf>
    <xf borderId="54" fillId="0" fontId="5" numFmtId="0" xfId="0" applyBorder="1" applyFont="1"/>
    <xf borderId="0" fillId="14" fontId="83" numFmtId="164" xfId="0" applyAlignment="1" applyFont="1" applyNumberFormat="1">
      <alignment horizontal="center" readingOrder="0" vertical="bottom"/>
    </xf>
    <xf borderId="46" fillId="14" fontId="83" numFmtId="173" xfId="0" applyAlignment="1" applyBorder="1" applyFont="1" applyNumberFormat="1">
      <alignment horizontal="center" readingOrder="0" vertical="bottom"/>
    </xf>
    <xf borderId="0" fillId="14" fontId="37" numFmtId="164" xfId="0" applyAlignment="1" applyFont="1" applyNumberFormat="1">
      <alignment horizontal="center" vertical="bottom"/>
    </xf>
    <xf borderId="0" fillId="14" fontId="86" numFmtId="164" xfId="0" applyAlignment="1" applyFont="1" applyNumberFormat="1">
      <alignment horizontal="center" vertical="bottom"/>
    </xf>
    <xf borderId="55" fillId="14" fontId="86" numFmtId="164" xfId="0" applyAlignment="1" applyBorder="1" applyFont="1" applyNumberFormat="1">
      <alignment horizontal="center" vertical="bottom"/>
    </xf>
    <xf borderId="0" fillId="2" fontId="91" numFmtId="164" xfId="0" applyAlignment="1" applyFont="1" applyNumberFormat="1">
      <alignment horizontal="center" readingOrder="0" vertical="center"/>
    </xf>
    <xf borderId="0" fillId="2" fontId="91" numFmtId="164" xfId="0" applyAlignment="1" applyFont="1" applyNumberFormat="1">
      <alignment horizontal="center" readingOrder="0" shrinkToFit="0" vertical="center" wrapText="1"/>
    </xf>
    <xf borderId="0" fillId="20" fontId="1" numFmtId="164" xfId="0" applyAlignment="1" applyFont="1" applyNumberFormat="1">
      <alignment horizontal="center" readingOrder="0" vertical="center"/>
    </xf>
    <xf borderId="0" fillId="23" fontId="1" numFmtId="3" xfId="0" applyAlignment="1" applyFont="1" applyNumberFormat="1">
      <alignment horizontal="center" readingOrder="0" vertical="center"/>
    </xf>
    <xf borderId="46" fillId="14" fontId="83" numFmtId="164" xfId="0" applyAlignment="1" applyBorder="1" applyFont="1" applyNumberFormat="1">
      <alignment horizontal="right" vertical="bottom"/>
    </xf>
    <xf borderId="0" fillId="14" fontId="84" numFmtId="173" xfId="0" applyAlignment="1" applyFont="1" applyNumberFormat="1">
      <alignment horizontal="center" vertical="center"/>
    </xf>
    <xf borderId="0" fillId="14" fontId="83" numFmtId="164" xfId="0" applyAlignment="1" applyFont="1" applyNumberFormat="1">
      <alignment horizontal="center" vertical="bottom"/>
    </xf>
    <xf borderId="56" fillId="14" fontId="83" numFmtId="2" xfId="0" applyAlignment="1" applyBorder="1" applyFont="1" applyNumberFormat="1">
      <alignment horizontal="center" vertical="bottom"/>
    </xf>
    <xf borderId="57" fillId="14" fontId="83" numFmtId="2" xfId="0" applyAlignment="1" applyBorder="1" applyFont="1" applyNumberFormat="1">
      <alignment horizontal="center" vertical="bottom"/>
    </xf>
    <xf borderId="7" fillId="25" fontId="79" numFmtId="0" xfId="0" applyAlignment="1" applyBorder="1" applyFont="1">
      <alignment horizontal="center" readingOrder="0" vertical="center"/>
    </xf>
    <xf borderId="8" fillId="25" fontId="79" numFmtId="0" xfId="0" applyAlignment="1" applyBorder="1" applyFont="1">
      <alignment horizontal="center" readingOrder="0" vertical="center"/>
    </xf>
    <xf borderId="58" fillId="0" fontId="5" numFmtId="0" xfId="0" applyBorder="1" applyFont="1"/>
    <xf borderId="10" fillId="14" fontId="83" numFmtId="164" xfId="0" applyAlignment="1" applyBorder="1" applyFont="1" applyNumberFormat="1">
      <alignment horizontal="center" readingOrder="0" vertical="bottom"/>
    </xf>
    <xf borderId="50" fillId="14" fontId="92" numFmtId="174" xfId="0" applyAlignment="1" applyBorder="1" applyFont="1" applyNumberFormat="1">
      <alignment horizontal="center" readingOrder="0" shrinkToFit="0" vertical="bottom" wrapText="0"/>
    </xf>
    <xf borderId="10" fillId="14" fontId="37" numFmtId="164" xfId="0" applyAlignment="1" applyBorder="1" applyFont="1" applyNumberFormat="1">
      <alignment horizontal="center" vertical="bottom"/>
    </xf>
    <xf borderId="10" fillId="14" fontId="83" numFmtId="164" xfId="0" applyAlignment="1" applyBorder="1" applyFont="1" applyNumberFormat="1">
      <alignment horizontal="center" vertical="bottom"/>
    </xf>
    <xf borderId="59" fillId="14" fontId="83" numFmtId="2" xfId="0" applyAlignment="1" applyBorder="1" applyFont="1" applyNumberFormat="1">
      <alignment horizontal="center" vertical="bottom"/>
    </xf>
    <xf borderId="60" fillId="14" fontId="83" numFmtId="2" xfId="0" applyAlignment="1" applyBorder="1" applyFont="1" applyNumberFormat="1">
      <alignment horizontal="center" vertical="bottom"/>
    </xf>
    <xf borderId="5" fillId="27" fontId="42" numFmtId="164" xfId="0" applyAlignment="1" applyBorder="1" applyFont="1" applyNumberFormat="1">
      <alignment horizontal="center" readingOrder="0" shrinkToFit="0" vertical="center" wrapText="1"/>
    </xf>
    <xf borderId="5" fillId="27" fontId="93" numFmtId="0" xfId="0" applyAlignment="1" applyBorder="1" applyFont="1">
      <alignment horizontal="center" readingOrder="0" vertical="center"/>
    </xf>
    <xf borderId="7" fillId="2" fontId="85" numFmtId="10" xfId="0" applyAlignment="1" applyBorder="1" applyFont="1" applyNumberFormat="1">
      <alignment horizontal="center" vertical="center"/>
    </xf>
    <xf borderId="8" fillId="2" fontId="85" numFmtId="10" xfId="0" applyAlignment="1" applyBorder="1" applyFont="1" applyNumberFormat="1">
      <alignment horizontal="center" vertical="center"/>
    </xf>
    <xf borderId="7" fillId="2" fontId="30" numFmtId="10" xfId="0" applyAlignment="1" applyBorder="1" applyFont="1" applyNumberFormat="1">
      <alignment horizontal="center" readingOrder="0" vertical="center"/>
    </xf>
    <xf borderId="8" fillId="14" fontId="30" numFmtId="10" xfId="0" applyAlignment="1" applyBorder="1" applyFont="1" applyNumberFormat="1">
      <alignment horizontal="center" vertical="center"/>
    </xf>
    <xf borderId="0" fillId="0" fontId="86" numFmtId="164" xfId="0" applyAlignment="1" applyFont="1" applyNumberFormat="1">
      <alignment horizontal="center" vertical="center"/>
    </xf>
    <xf borderId="0" fillId="0" fontId="86" numFmtId="164" xfId="0" applyAlignment="1" applyFont="1" applyNumberFormat="1">
      <alignment horizontal="center" vertical="bottom"/>
    </xf>
    <xf borderId="0" fillId="0" fontId="37" numFmtId="164" xfId="0" applyAlignment="1" applyFont="1" applyNumberFormat="1">
      <alignment horizontal="center" vertical="bottom"/>
    </xf>
    <xf borderId="51" fillId="0" fontId="86" numFmtId="164" xfId="0" applyAlignment="1" applyBorder="1" applyFont="1" applyNumberFormat="1">
      <alignment horizontal="center" vertical="bottom"/>
    </xf>
    <xf borderId="61" fillId="17" fontId="83" numFmtId="164" xfId="0" applyAlignment="1" applyBorder="1" applyFont="1" applyNumberFormat="1">
      <alignment horizontal="center" readingOrder="0" vertical="center"/>
    </xf>
    <xf borderId="62" fillId="17" fontId="83" numFmtId="164" xfId="0" applyAlignment="1" applyBorder="1" applyFont="1" applyNumberFormat="1">
      <alignment horizontal="center" readingOrder="0" vertical="bottom"/>
    </xf>
    <xf borderId="63" fillId="17" fontId="83" numFmtId="173" xfId="0" applyAlignment="1" applyBorder="1" applyFont="1" applyNumberFormat="1">
      <alignment horizontal="center" readingOrder="0" vertical="bottom"/>
    </xf>
    <xf borderId="62" fillId="17" fontId="37" numFmtId="164" xfId="0" applyAlignment="1" applyBorder="1" applyFont="1" applyNumberFormat="1">
      <alignment horizontal="center" vertical="bottom"/>
    </xf>
    <xf borderId="62" fillId="17" fontId="81" numFmtId="171" xfId="0" applyAlignment="1" applyBorder="1" applyFont="1" applyNumberFormat="1">
      <alignment horizontal="center" vertical="center"/>
    </xf>
    <xf borderId="62" fillId="17" fontId="86" numFmtId="164" xfId="0" applyAlignment="1" applyBorder="1" applyFont="1" applyNumberFormat="1">
      <alignment horizontal="center" vertical="bottom"/>
    </xf>
    <xf borderId="64" fillId="17" fontId="86" numFmtId="164" xfId="0" applyAlignment="1" applyBorder="1" applyFont="1" applyNumberFormat="1">
      <alignment horizontal="center" vertical="bottom"/>
    </xf>
    <xf borderId="4" fillId="25" fontId="94" numFmtId="0" xfId="0" applyAlignment="1" applyBorder="1" applyFont="1">
      <alignment horizontal="center" readingOrder="0" vertical="center"/>
    </xf>
    <xf borderId="6" fillId="25" fontId="94" numFmtId="0" xfId="0" applyAlignment="1" applyBorder="1" applyFont="1">
      <alignment horizontal="center" readingOrder="0" vertical="center"/>
    </xf>
    <xf borderId="65" fillId="0" fontId="5" numFmtId="0" xfId="0" applyBorder="1" applyFont="1"/>
    <xf borderId="0" fillId="17" fontId="83" numFmtId="164" xfId="0" applyAlignment="1" applyFont="1" applyNumberFormat="1">
      <alignment horizontal="center" readingOrder="0" vertical="bottom"/>
    </xf>
    <xf borderId="46" fillId="17" fontId="83" numFmtId="173" xfId="0" applyAlignment="1" applyBorder="1" applyFont="1" applyNumberFormat="1">
      <alignment horizontal="center" readingOrder="0" vertical="bottom"/>
    </xf>
    <xf borderId="0" fillId="17" fontId="37" numFmtId="164" xfId="0" applyAlignment="1" applyFont="1" applyNumberFormat="1">
      <alignment horizontal="center" vertical="bottom"/>
    </xf>
    <xf borderId="0" fillId="17" fontId="86" numFmtId="164" xfId="0" applyAlignment="1" applyFont="1" applyNumberFormat="1">
      <alignment horizontal="center" vertical="bottom"/>
    </xf>
    <xf borderId="66" fillId="17" fontId="86" numFmtId="164" xfId="0" applyAlignment="1" applyBorder="1" applyFont="1" applyNumberFormat="1">
      <alignment horizontal="center" vertical="bottom"/>
    </xf>
    <xf borderId="4" fillId="23" fontId="95" numFmtId="0" xfId="0" applyAlignment="1" applyBorder="1" applyFont="1">
      <alignment horizontal="center" readingOrder="0" shrinkToFit="0" vertical="center" wrapText="1"/>
    </xf>
    <xf borderId="5" fillId="2" fontId="96" numFmtId="164" xfId="0" applyAlignment="1" applyBorder="1" applyFont="1" applyNumberFormat="1">
      <alignment horizontal="center" vertical="center"/>
    </xf>
    <xf borderId="5" fillId="2" fontId="48" numFmtId="10" xfId="0" applyAlignment="1" applyBorder="1" applyFont="1" applyNumberFormat="1">
      <alignment horizontal="center" vertical="center"/>
    </xf>
    <xf borderId="7" fillId="2" fontId="85" numFmtId="164" xfId="0" applyAlignment="1" applyBorder="1" applyFont="1" applyNumberFormat="1">
      <alignment horizontal="center" vertical="center"/>
    </xf>
    <xf borderId="0" fillId="0" fontId="1" numFmtId="164" xfId="0" applyAlignment="1" applyFont="1" applyNumberFormat="1">
      <alignment horizontal="center" readingOrder="0" vertical="center"/>
    </xf>
    <xf borderId="0" fillId="21" fontId="79" numFmtId="4" xfId="0" applyAlignment="1" applyFont="1" applyNumberFormat="1">
      <alignment horizontal="center" readingOrder="0" vertical="center"/>
    </xf>
    <xf borderId="0" fillId="2" fontId="85" numFmtId="164" xfId="0" applyAlignment="1" applyFont="1" applyNumberFormat="1">
      <alignment horizontal="center" vertical="center"/>
    </xf>
    <xf borderId="46" fillId="17" fontId="83" numFmtId="164" xfId="0" applyAlignment="1" applyBorder="1" applyFont="1" applyNumberFormat="1">
      <alignment horizontal="right" readingOrder="0" vertical="bottom"/>
    </xf>
    <xf borderId="0" fillId="17" fontId="84" numFmtId="173" xfId="0" applyAlignment="1" applyFont="1" applyNumberFormat="1">
      <alignment horizontal="center" vertical="center"/>
    </xf>
    <xf borderId="0" fillId="17" fontId="83" numFmtId="164" xfId="0" applyAlignment="1" applyFont="1" applyNumberFormat="1">
      <alignment horizontal="center" vertical="bottom"/>
    </xf>
    <xf borderId="56" fillId="17" fontId="83" numFmtId="2" xfId="0" applyAlignment="1" applyBorder="1" applyFont="1" applyNumberFormat="1">
      <alignment horizontal="center" vertical="bottom"/>
    </xf>
    <xf borderId="67" fillId="17" fontId="83" numFmtId="164" xfId="0" applyAlignment="1" applyBorder="1" applyFont="1" applyNumberFormat="1">
      <alignment horizontal="center" vertical="bottom"/>
    </xf>
    <xf borderId="0" fillId="0" fontId="85" numFmtId="164" xfId="0" applyAlignment="1" applyFont="1" applyNumberFormat="1">
      <alignment horizontal="center" vertical="center"/>
    </xf>
    <xf borderId="4" fillId="2" fontId="97" numFmtId="164" xfId="0" applyAlignment="1" applyBorder="1" applyFont="1" applyNumberFormat="1">
      <alignment horizontal="center" readingOrder="0" vertical="center"/>
    </xf>
    <xf borderId="6" fillId="2" fontId="48" numFmtId="10" xfId="0" applyAlignment="1" applyBorder="1" applyFont="1" applyNumberFormat="1">
      <alignment horizontal="center" vertical="center"/>
    </xf>
    <xf borderId="68" fillId="0" fontId="5" numFmtId="0" xfId="0" applyBorder="1" applyFont="1"/>
    <xf borderId="69" fillId="17" fontId="83" numFmtId="164" xfId="0" applyAlignment="1" applyBorder="1" applyFont="1" applyNumberFormat="1">
      <alignment horizontal="center" readingOrder="0" vertical="bottom"/>
    </xf>
    <xf borderId="70" fillId="17" fontId="92" numFmtId="174" xfId="0" applyAlignment="1" applyBorder="1" applyFont="1" applyNumberFormat="1">
      <alignment horizontal="center" readingOrder="0" shrinkToFit="0" vertical="bottom" wrapText="0"/>
    </xf>
    <xf borderId="69" fillId="17" fontId="37" numFmtId="0" xfId="0" applyAlignment="1" applyBorder="1" applyFont="1">
      <alignment horizontal="center" vertical="bottom"/>
    </xf>
    <xf borderId="69" fillId="0" fontId="5" numFmtId="0" xfId="0" applyBorder="1" applyFont="1"/>
    <xf borderId="69" fillId="17" fontId="83" numFmtId="164" xfId="0" applyAlignment="1" applyBorder="1" applyFont="1" applyNumberFormat="1">
      <alignment horizontal="center" vertical="bottom"/>
    </xf>
    <xf borderId="71" fillId="17" fontId="83" numFmtId="2" xfId="0" applyAlignment="1" applyBorder="1" applyFont="1" applyNumberFormat="1">
      <alignment horizontal="center" vertical="bottom"/>
    </xf>
    <xf borderId="72" fillId="17" fontId="83" numFmtId="2" xfId="0" applyAlignment="1" applyBorder="1" applyFont="1" applyNumberFormat="1">
      <alignment horizontal="center" vertical="bottom"/>
    </xf>
    <xf borderId="0" fillId="0" fontId="86" numFmtId="0" xfId="0" applyAlignment="1" applyFont="1">
      <alignment horizontal="center" vertical="center"/>
    </xf>
    <xf borderId="0" fillId="0" fontId="86" numFmtId="0" xfId="0" applyAlignment="1" applyFont="1">
      <alignment horizontal="center" vertical="bottom"/>
    </xf>
    <xf borderId="0" fillId="0" fontId="37" numFmtId="0" xfId="0" applyAlignment="1" applyFont="1">
      <alignment horizontal="center" vertical="bottom"/>
    </xf>
    <xf borderId="51" fillId="0" fontId="86" numFmtId="0" xfId="0" applyAlignment="1" applyBorder="1" applyFont="1">
      <alignment horizontal="center" vertical="bottom"/>
    </xf>
    <xf borderId="4" fillId="27" fontId="15" numFmtId="0" xfId="0" applyAlignment="1" applyBorder="1" applyFont="1">
      <alignment horizontal="center" readingOrder="0" shrinkToFit="0" vertical="center" wrapText="1"/>
    </xf>
    <xf borderId="5" fillId="27" fontId="15" numFmtId="0" xfId="0" applyAlignment="1" applyBorder="1" applyFont="1">
      <alignment horizontal="center" readingOrder="0" shrinkToFit="0" vertical="center" wrapText="1"/>
    </xf>
    <xf borderId="0" fillId="25" fontId="98" numFmtId="0" xfId="0" applyAlignment="1" applyFont="1">
      <alignment horizontal="center" readingOrder="0" vertical="center"/>
    </xf>
    <xf borderId="61" fillId="18" fontId="83" numFmtId="0" xfId="0" applyAlignment="1" applyBorder="1" applyFont="1">
      <alignment horizontal="center" readingOrder="0" vertical="center"/>
    </xf>
    <xf borderId="62" fillId="18" fontId="83" numFmtId="164" xfId="0" applyAlignment="1" applyBorder="1" applyFont="1" applyNumberFormat="1">
      <alignment horizontal="center" readingOrder="0" vertical="bottom"/>
    </xf>
    <xf borderId="63" fillId="18" fontId="83" numFmtId="173" xfId="0" applyAlignment="1" applyBorder="1" applyFont="1" applyNumberFormat="1">
      <alignment horizontal="center" readingOrder="0" vertical="bottom"/>
    </xf>
    <xf borderId="62" fillId="18" fontId="37" numFmtId="0" xfId="0" applyAlignment="1" applyBorder="1" applyFont="1">
      <alignment horizontal="center" vertical="bottom"/>
    </xf>
    <xf borderId="62" fillId="18" fontId="81" numFmtId="171" xfId="0" applyAlignment="1" applyBorder="1" applyFont="1" applyNumberFormat="1">
      <alignment horizontal="center" vertical="center"/>
    </xf>
    <xf borderId="62" fillId="18" fontId="86" numFmtId="0" xfId="0" applyAlignment="1" applyBorder="1" applyFont="1">
      <alignment horizontal="center" vertical="bottom"/>
    </xf>
    <xf borderId="64" fillId="18" fontId="86" numFmtId="0" xfId="0" applyAlignment="1" applyBorder="1" applyFont="1">
      <alignment horizontal="center" vertical="bottom"/>
    </xf>
    <xf borderId="0" fillId="0" fontId="78" numFmtId="0" xfId="0" applyAlignment="1" applyFont="1">
      <alignment horizontal="center" readingOrder="0" vertical="center"/>
    </xf>
    <xf borderId="0" fillId="23" fontId="99" numFmtId="0" xfId="0" applyAlignment="1" applyFont="1">
      <alignment horizontal="center" readingOrder="0" vertical="center"/>
    </xf>
    <xf borderId="4" fillId="14" fontId="100" numFmtId="0" xfId="0" applyAlignment="1" applyBorder="1" applyFont="1">
      <alignment horizontal="center" readingOrder="0" vertical="center"/>
    </xf>
    <xf borderId="6" fillId="0" fontId="100" numFmtId="10" xfId="0" applyAlignment="1" applyBorder="1" applyFont="1" applyNumberFormat="1">
      <alignment horizontal="center" vertical="center"/>
    </xf>
    <xf borderId="0" fillId="18" fontId="83" numFmtId="164" xfId="0" applyAlignment="1" applyFont="1" applyNumberFormat="1">
      <alignment horizontal="center" readingOrder="0" vertical="bottom"/>
    </xf>
    <xf borderId="46" fillId="18" fontId="83" numFmtId="173" xfId="0" applyAlignment="1" applyBorder="1" applyFont="1" applyNumberFormat="1">
      <alignment horizontal="center" readingOrder="0" vertical="bottom"/>
    </xf>
    <xf borderId="0" fillId="18" fontId="37" numFmtId="10" xfId="0" applyAlignment="1" applyFont="1" applyNumberFormat="1">
      <alignment horizontal="center" vertical="bottom"/>
    </xf>
    <xf borderId="0" fillId="18" fontId="86" numFmtId="10" xfId="0" applyAlignment="1" applyFont="1" applyNumberFormat="1">
      <alignment horizontal="center" vertical="bottom"/>
    </xf>
    <xf borderId="66" fillId="18" fontId="86" numFmtId="10" xfId="0" applyAlignment="1" applyBorder="1" applyFont="1" applyNumberFormat="1">
      <alignment horizontal="center" vertical="bottom"/>
    </xf>
    <xf borderId="0" fillId="0" fontId="100" numFmtId="10" xfId="0" applyAlignment="1" applyFont="1" applyNumberFormat="1">
      <alignment horizontal="center" vertical="center"/>
    </xf>
    <xf borderId="8" fillId="25" fontId="15" numFmtId="164" xfId="0" applyAlignment="1" applyBorder="1" applyFont="1" applyNumberFormat="1">
      <alignment horizontal="center" readingOrder="0" vertical="center"/>
    </xf>
    <xf borderId="1" fillId="2" fontId="27" numFmtId="164" xfId="0" applyAlignment="1" applyBorder="1" applyFont="1" applyNumberFormat="1">
      <alignment horizontal="center"/>
    </xf>
    <xf borderId="3" fillId="0" fontId="1" numFmtId="0" xfId="0" applyAlignment="1" applyBorder="1" applyFont="1">
      <alignment horizontal="center" readingOrder="0"/>
    </xf>
    <xf borderId="7" fillId="14" fontId="100" numFmtId="0" xfId="0" applyAlignment="1" applyBorder="1" applyFont="1">
      <alignment horizontal="center" readingOrder="0" vertical="center"/>
    </xf>
    <xf borderId="8" fillId="0" fontId="100" numFmtId="4" xfId="0" applyAlignment="1" applyBorder="1" applyFont="1" applyNumberFormat="1">
      <alignment horizontal="center" vertical="center"/>
    </xf>
    <xf borderId="46" fillId="18" fontId="83" numFmtId="4" xfId="0" applyAlignment="1" applyBorder="1" applyFont="1" applyNumberFormat="1">
      <alignment horizontal="right" readingOrder="0" vertical="bottom"/>
    </xf>
    <xf borderId="0" fillId="18" fontId="37" numFmtId="4" xfId="0" applyAlignment="1" applyFont="1" applyNumberFormat="1">
      <alignment horizontal="center" vertical="bottom"/>
    </xf>
    <xf borderId="0" fillId="18" fontId="84" numFmtId="173" xfId="0" applyAlignment="1" applyFont="1" applyNumberFormat="1">
      <alignment horizontal="center" vertical="center"/>
    </xf>
    <xf borderId="0" fillId="18" fontId="83" numFmtId="4" xfId="0" applyAlignment="1" applyFont="1" applyNumberFormat="1">
      <alignment horizontal="center" vertical="bottom"/>
    </xf>
    <xf borderId="56" fillId="18" fontId="83" numFmtId="2" xfId="0" applyAlignment="1" applyBorder="1" applyFont="1" applyNumberFormat="1">
      <alignment horizontal="center" vertical="bottom"/>
    </xf>
    <xf borderId="67" fillId="18" fontId="83" numFmtId="164" xfId="0" applyAlignment="1" applyBorder="1" applyFont="1" applyNumberFormat="1">
      <alignment horizontal="center" vertical="bottom"/>
    </xf>
    <xf borderId="0" fillId="0" fontId="100" numFmtId="4" xfId="0" applyAlignment="1" applyFont="1" applyNumberFormat="1">
      <alignment horizontal="center" vertical="center"/>
    </xf>
    <xf borderId="7" fillId="25" fontId="53" numFmtId="0" xfId="0" applyAlignment="1" applyBorder="1" applyFont="1">
      <alignment horizontal="center" readingOrder="0" vertical="center"/>
    </xf>
    <xf borderId="8" fillId="14" fontId="17" numFmtId="10" xfId="0" applyAlignment="1" applyBorder="1" applyFont="1" applyNumberFormat="1">
      <alignment horizontal="center" readingOrder="0" vertical="center"/>
    </xf>
    <xf borderId="8" fillId="0" fontId="100" numFmtId="4" xfId="0" applyAlignment="1" applyBorder="1" applyFont="1" applyNumberFormat="1">
      <alignment horizontal="center" readingOrder="0" vertical="center"/>
    </xf>
    <xf borderId="69" fillId="18" fontId="83" numFmtId="164" xfId="0" applyAlignment="1" applyBorder="1" applyFont="1" applyNumberFormat="1">
      <alignment horizontal="center" readingOrder="0" vertical="bottom"/>
    </xf>
    <xf borderId="70" fillId="18" fontId="92" numFmtId="174" xfId="0" applyAlignment="1" applyBorder="1" applyFont="1" applyNumberFormat="1">
      <alignment horizontal="center" readingOrder="0" shrinkToFit="0" vertical="bottom" wrapText="0"/>
    </xf>
    <xf borderId="69" fillId="18" fontId="37" numFmtId="4" xfId="0" applyAlignment="1" applyBorder="1" applyFont="1" applyNumberFormat="1">
      <alignment horizontal="center" vertical="bottom"/>
    </xf>
    <xf borderId="69" fillId="18" fontId="83" numFmtId="4" xfId="0" applyAlignment="1" applyBorder="1" applyFont="1" applyNumberFormat="1">
      <alignment horizontal="center" vertical="bottom"/>
    </xf>
    <xf borderId="71" fillId="18" fontId="83" numFmtId="2" xfId="0" applyAlignment="1" applyBorder="1" applyFont="1" applyNumberFormat="1">
      <alignment horizontal="center" vertical="bottom"/>
    </xf>
    <xf borderId="72" fillId="18" fontId="83" numFmtId="2" xfId="0" applyAlignment="1" applyBorder="1" applyFont="1" applyNumberFormat="1">
      <alignment horizontal="center" vertical="bottom"/>
    </xf>
    <xf borderId="0" fillId="0" fontId="100" numFmtId="4" xfId="0" applyAlignment="1" applyFont="1" applyNumberFormat="1">
      <alignment horizontal="center" readingOrder="0" vertical="center"/>
    </xf>
    <xf borderId="0" fillId="14" fontId="101" numFmtId="0" xfId="0" applyAlignment="1" applyFont="1">
      <alignment horizontal="center" shrinkToFit="0" vertical="center" wrapText="1"/>
    </xf>
    <xf borderId="0" fillId="14" fontId="102" numFmtId="0" xfId="0" applyAlignment="1" applyFont="1">
      <alignment horizontal="center" vertical="center"/>
    </xf>
    <xf borderId="8" fillId="23" fontId="100" numFmtId="4" xfId="0" applyAlignment="1" applyBorder="1" applyFont="1" applyNumberFormat="1">
      <alignment horizontal="center" readingOrder="0" vertical="center"/>
    </xf>
    <xf borderId="0" fillId="0" fontId="103" numFmtId="4" xfId="0" applyAlignment="1" applyFont="1" applyNumberFormat="1">
      <alignment horizontal="center" readingOrder="0" vertical="center"/>
    </xf>
    <xf borderId="0" fillId="0" fontId="104" numFmtId="49" xfId="0" applyAlignment="1" applyFont="1" applyNumberFormat="1">
      <alignment vertical="bottom"/>
    </xf>
    <xf borderId="0" fillId="0" fontId="37" numFmtId="4" xfId="0" applyAlignment="1" applyFont="1" applyNumberFormat="1">
      <alignment vertical="bottom"/>
    </xf>
    <xf borderId="4" fillId="27" fontId="15" numFmtId="0" xfId="0" applyAlignment="1" applyBorder="1" applyFont="1">
      <alignment horizontal="center" readingOrder="0" vertical="center"/>
    </xf>
    <xf borderId="5" fillId="27" fontId="15" numFmtId="0" xfId="0" applyAlignment="1" applyBorder="1" applyFont="1">
      <alignment horizontal="center" readingOrder="0" vertical="center"/>
    </xf>
    <xf borderId="0" fillId="0" fontId="1" numFmtId="10" xfId="0" applyAlignment="1" applyFont="1" applyNumberFormat="1">
      <alignment horizontal="center" vertical="center"/>
    </xf>
    <xf borderId="0" fillId="0" fontId="90" numFmtId="0" xfId="0" applyAlignment="1" applyFont="1">
      <alignment vertical="bottom"/>
    </xf>
    <xf borderId="0" fillId="0" fontId="37" numFmtId="0" xfId="0" applyAlignment="1" applyFont="1">
      <alignment readingOrder="0" vertical="bottom"/>
    </xf>
    <xf borderId="7" fillId="2" fontId="105" numFmtId="164" xfId="0" applyAlignment="1" applyBorder="1" applyFont="1" applyNumberFormat="1">
      <alignment horizontal="center" vertical="center"/>
    </xf>
    <xf borderId="0" fillId="2" fontId="105" numFmtId="4" xfId="0" applyAlignment="1" applyFont="1" applyNumberFormat="1">
      <alignment horizontal="center" vertical="center"/>
    </xf>
    <xf borderId="7" fillId="14" fontId="25" numFmtId="0" xfId="0" applyAlignment="1" applyBorder="1" applyFont="1">
      <alignment horizontal="center" readingOrder="0" vertical="center"/>
    </xf>
    <xf borderId="40" fillId="25" fontId="34" numFmtId="0" xfId="0" applyAlignment="1" applyBorder="1" applyFont="1">
      <alignment horizontal="center" vertical="center"/>
    </xf>
    <xf borderId="13" fillId="25" fontId="55" numFmtId="0" xfId="0" applyAlignment="1" applyBorder="1" applyFont="1">
      <alignment horizontal="center" readingOrder="0" vertical="center"/>
    </xf>
    <xf borderId="14" fillId="25" fontId="55" numFmtId="0" xfId="0" applyAlignment="1" applyBorder="1" applyFont="1">
      <alignment horizontal="center" readingOrder="0" vertical="center"/>
    </xf>
    <xf borderId="12" fillId="14" fontId="106" numFmtId="0" xfId="0" applyAlignment="1" applyBorder="1" applyFont="1">
      <alignment horizontal="center" readingOrder="0"/>
    </xf>
    <xf borderId="13" fillId="14" fontId="106" numFmtId="4" xfId="0" applyAlignment="1" applyBorder="1" applyFont="1" applyNumberFormat="1">
      <alignment horizontal="center" readingOrder="0"/>
    </xf>
    <xf borderId="13" fillId="14" fontId="59" numFmtId="4" xfId="0" applyAlignment="1" applyBorder="1" applyFont="1" applyNumberFormat="1">
      <alignment horizontal="center" readingOrder="0" vertical="center"/>
    </xf>
    <xf borderId="14" fillId="14" fontId="106" numFmtId="1" xfId="0" applyAlignment="1" applyBorder="1" applyFont="1" applyNumberFormat="1">
      <alignment horizontal="center"/>
    </xf>
    <xf borderId="0" fillId="0" fontId="107" numFmtId="0" xfId="0" applyAlignment="1" applyFont="1">
      <alignment horizontal="center" readingOrder="0"/>
    </xf>
    <xf borderId="18" fillId="25" fontId="15" numFmtId="0" xfId="0" applyAlignment="1" applyBorder="1" applyFont="1">
      <alignment horizontal="center" readingOrder="0" vertical="center"/>
    </xf>
    <xf borderId="8" fillId="16" fontId="100" numFmtId="4" xfId="0" applyAlignment="1" applyBorder="1" applyFont="1" applyNumberFormat="1">
      <alignment horizontal="center" readingOrder="0" vertical="center"/>
    </xf>
    <xf borderId="24" fillId="27" fontId="15" numFmtId="0" xfId="0" applyAlignment="1" applyBorder="1" applyFont="1">
      <alignment horizontal="center" readingOrder="0" vertical="center"/>
    </xf>
    <xf borderId="12" fillId="2" fontId="85" numFmtId="164" xfId="0" applyAlignment="1" applyBorder="1" applyFont="1" applyNumberFormat="1">
      <alignment horizontal="center" readingOrder="0" vertical="center"/>
    </xf>
    <xf borderId="13" fillId="2" fontId="85" numFmtId="164" xfId="0" applyAlignment="1" applyBorder="1" applyFont="1" applyNumberFormat="1">
      <alignment horizontal="center" readingOrder="0" vertical="center"/>
    </xf>
    <xf borderId="14" fillId="2" fontId="85" numFmtId="164" xfId="0" applyAlignment="1" applyBorder="1" applyFont="1" applyNumberFormat="1">
      <alignment horizontal="center" readingOrder="0" vertical="center"/>
    </xf>
    <xf borderId="24" fillId="0" fontId="106" numFmtId="0" xfId="0" applyAlignment="1" applyBorder="1" applyFont="1">
      <alignment horizontal="center" readingOrder="0"/>
    </xf>
    <xf borderId="0" fillId="0" fontId="106" numFmtId="10" xfId="0" applyAlignment="1" applyFont="1" applyNumberFormat="1">
      <alignment horizontal="center" readingOrder="0" vertical="center"/>
    </xf>
    <xf borderId="0" fillId="0" fontId="106" numFmtId="0" xfId="0" applyAlignment="1" applyFont="1">
      <alignment horizontal="center"/>
    </xf>
    <xf borderId="25" fillId="0" fontId="106" numFmtId="2" xfId="0" applyAlignment="1" applyBorder="1" applyFont="1" applyNumberFormat="1">
      <alignment horizontal="center" readingOrder="0" vertical="center"/>
    </xf>
    <xf borderId="0" fillId="0" fontId="106" numFmtId="1" xfId="0" applyAlignment="1" applyFont="1" applyNumberFormat="1">
      <alignment horizontal="center"/>
    </xf>
    <xf borderId="0" fillId="0" fontId="48" numFmtId="10" xfId="0" applyAlignment="1" applyFont="1" applyNumberFormat="1">
      <alignment horizontal="center" vertical="center"/>
    </xf>
    <xf borderId="7" fillId="27" fontId="15" numFmtId="0" xfId="0" applyAlignment="1" applyBorder="1" applyFont="1">
      <alignment horizontal="center" readingOrder="0" vertical="center"/>
    </xf>
    <xf borderId="73" fillId="0" fontId="5" numFmtId="0" xfId="0" applyBorder="1" applyFont="1"/>
    <xf borderId="4" fillId="25" fontId="100" numFmtId="0" xfId="0" applyAlignment="1" applyBorder="1" applyFont="1">
      <alignment horizontal="center" readingOrder="0" vertical="bottom"/>
    </xf>
    <xf borderId="4" fillId="25" fontId="78" numFmtId="0" xfId="0" applyAlignment="1" applyBorder="1" applyFont="1">
      <alignment horizontal="center" readingOrder="0"/>
    </xf>
    <xf borderId="24" fillId="27" fontId="15" numFmtId="0" xfId="0" applyAlignment="1" applyBorder="1" applyFont="1">
      <alignment horizontal="center" vertical="center"/>
    </xf>
    <xf borderId="24" fillId="35" fontId="85" numFmtId="10" xfId="0" applyAlignment="1" applyBorder="1" applyFont="1" applyNumberFormat="1">
      <alignment horizontal="center" vertical="center"/>
    </xf>
    <xf borderId="0" fillId="2" fontId="85" numFmtId="10" xfId="0" applyAlignment="1" applyFont="1" applyNumberFormat="1">
      <alignment horizontal="center" vertical="center"/>
    </xf>
    <xf borderId="25" fillId="2" fontId="85" numFmtId="10" xfId="0" applyAlignment="1" applyBorder="1" applyFont="1" applyNumberFormat="1">
      <alignment horizontal="center" vertical="center"/>
    </xf>
    <xf borderId="0" fillId="0" fontId="106" numFmtId="10" xfId="0" applyAlignment="1" applyFont="1" applyNumberFormat="1">
      <alignment horizontal="center"/>
    </xf>
    <xf borderId="25" fillId="0" fontId="59" numFmtId="1" xfId="0" applyAlignment="1" applyBorder="1" applyFont="1" applyNumberFormat="1">
      <alignment horizontal="center" vertical="center"/>
    </xf>
    <xf borderId="0" fillId="0" fontId="106" numFmtId="0" xfId="0" applyFont="1"/>
    <xf borderId="0" fillId="0" fontId="78" numFmtId="0" xfId="0" applyAlignment="1" applyFont="1">
      <alignment horizontal="center" readingOrder="0"/>
    </xf>
    <xf borderId="0" fillId="2" fontId="95" numFmtId="0" xfId="0" applyAlignment="1" applyFont="1">
      <alignment horizontal="center" vertical="center"/>
    </xf>
    <xf borderId="0" fillId="2" fontId="105" numFmtId="164" xfId="0" applyAlignment="1" applyFont="1" applyNumberFormat="1">
      <alignment horizontal="center" vertical="center"/>
    </xf>
    <xf borderId="7" fillId="25" fontId="25" numFmtId="0" xfId="0" applyAlignment="1" applyBorder="1" applyFont="1">
      <alignment horizontal="center" readingOrder="0" vertical="center"/>
    </xf>
    <xf borderId="0" fillId="25" fontId="25" numFmtId="0" xfId="0" applyAlignment="1" applyFont="1">
      <alignment horizontal="center" readingOrder="0" vertical="center"/>
    </xf>
    <xf borderId="7" fillId="14" fontId="108" numFmtId="2" xfId="0" applyAlignment="1" applyBorder="1" applyFont="1" applyNumberFormat="1">
      <alignment horizontal="center" vertical="center"/>
    </xf>
    <xf borderId="24" fillId="2" fontId="85" numFmtId="164" xfId="0" applyAlignment="1" applyBorder="1" applyFont="1" applyNumberFormat="1">
      <alignment horizontal="center" readingOrder="0" vertical="center"/>
    </xf>
    <xf borderId="0" fillId="2" fontId="85" numFmtId="164" xfId="0" applyAlignment="1" applyFont="1" applyNumberFormat="1">
      <alignment horizontal="center" readingOrder="0" vertical="center"/>
    </xf>
    <xf borderId="25" fillId="2" fontId="85" numFmtId="164" xfId="0" applyAlignment="1" applyBorder="1" applyFont="1" applyNumberFormat="1">
      <alignment horizontal="center" readingOrder="0" vertical="center"/>
    </xf>
    <xf borderId="15" fillId="0" fontId="106" numFmtId="0" xfId="0" applyAlignment="1" applyBorder="1" applyFont="1">
      <alignment horizontal="center" readingOrder="0"/>
    </xf>
    <xf borderId="16" fillId="0" fontId="106" numFmtId="10" xfId="0" applyAlignment="1" applyBorder="1" applyFont="1" applyNumberFormat="1">
      <alignment horizontal="center" readingOrder="0" vertical="center"/>
    </xf>
    <xf borderId="16" fillId="0" fontId="106" numFmtId="0" xfId="0" applyAlignment="1" applyBorder="1" applyFont="1">
      <alignment horizontal="center"/>
    </xf>
    <xf borderId="17" fillId="0" fontId="107" numFmtId="1" xfId="0" applyAlignment="1" applyBorder="1" applyFont="1" applyNumberFormat="1">
      <alignment horizontal="center" readingOrder="0"/>
    </xf>
    <xf borderId="16" fillId="0" fontId="106" numFmtId="0" xfId="0" applyAlignment="1" applyBorder="1" applyFont="1">
      <alignment horizontal="center" readingOrder="0"/>
    </xf>
    <xf borderId="16" fillId="0" fontId="1" numFmtId="10" xfId="0" applyAlignment="1" applyBorder="1" applyFont="1" applyNumberFormat="1">
      <alignment horizontal="center"/>
    </xf>
    <xf borderId="7" fillId="23" fontId="25" numFmtId="0" xfId="0" applyAlignment="1" applyBorder="1" applyFont="1">
      <alignment horizontal="center" readingOrder="0" vertical="center"/>
    </xf>
    <xf borderId="0" fillId="2" fontId="17" numFmtId="0" xfId="0" applyAlignment="1" applyFont="1">
      <alignment horizontal="center" shrinkToFit="0" vertical="center" wrapText="1"/>
    </xf>
    <xf borderId="0" fillId="2" fontId="17" numFmtId="164" xfId="0" applyAlignment="1" applyFont="1" applyNumberFormat="1">
      <alignment horizontal="center" shrinkToFit="0" vertical="center" wrapText="1"/>
    </xf>
    <xf borderId="0" fillId="2" fontId="17" numFmtId="4" xfId="0" applyAlignment="1" applyFont="1" applyNumberFormat="1">
      <alignment horizontal="center" shrinkToFit="0" vertical="center" wrapText="1"/>
    </xf>
    <xf borderId="73" fillId="2" fontId="97" numFmtId="164" xfId="0" applyAlignment="1" applyBorder="1" applyFont="1" applyNumberFormat="1">
      <alignment horizontal="center" readingOrder="0" vertical="center"/>
    </xf>
    <xf borderId="0" fillId="0" fontId="37" numFmtId="0" xfId="0" applyAlignment="1" applyFont="1">
      <alignment vertical="bottom"/>
    </xf>
    <xf borderId="24" fillId="14" fontId="106" numFmtId="0" xfId="0" applyAlignment="1" applyBorder="1" applyFont="1">
      <alignment horizontal="center" readingOrder="0"/>
    </xf>
    <xf borderId="0" fillId="14" fontId="106" numFmtId="0" xfId="0" applyAlignment="1" applyFont="1">
      <alignment horizontal="center" readingOrder="0"/>
    </xf>
    <xf borderId="0" fillId="14" fontId="59" numFmtId="4" xfId="0" applyAlignment="1" applyFont="1" applyNumberFormat="1">
      <alignment horizontal="center" readingOrder="0" vertical="center"/>
    </xf>
    <xf borderId="0" fillId="14" fontId="106" numFmtId="4" xfId="0" applyAlignment="1" applyFont="1" applyNumberFormat="1">
      <alignment horizontal="center" readingOrder="0"/>
    </xf>
    <xf borderId="7" fillId="0" fontId="34" numFmtId="0" xfId="0" applyAlignment="1" applyBorder="1" applyFont="1">
      <alignment horizontal="center" vertical="center"/>
    </xf>
    <xf borderId="4" fillId="22" fontId="33" numFmtId="0" xfId="0" applyAlignment="1" applyBorder="1" applyFont="1">
      <alignment horizontal="center" vertical="bottom"/>
    </xf>
    <xf borderId="5" fillId="22" fontId="1" numFmtId="0" xfId="0" applyBorder="1" applyFont="1"/>
    <xf borderId="5" fillId="22" fontId="1" numFmtId="0" xfId="0" applyAlignment="1" applyBorder="1" applyFont="1">
      <alignment horizontal="center" vertical="center"/>
    </xf>
    <xf borderId="6" fillId="22" fontId="1" numFmtId="0" xfId="0" applyBorder="1" applyFont="1"/>
    <xf borderId="0" fillId="0" fontId="109" numFmtId="10" xfId="0" applyAlignment="1" applyFont="1" applyNumberFormat="1">
      <alignment horizontal="center" readingOrder="0"/>
    </xf>
    <xf borderId="25" fillId="0" fontId="106" numFmtId="1" xfId="0" applyAlignment="1" applyBorder="1" applyFont="1" applyNumberFormat="1">
      <alignment horizontal="center"/>
    </xf>
    <xf borderId="9" fillId="23" fontId="25" numFmtId="0" xfId="0" applyAlignment="1" applyBorder="1" applyFont="1">
      <alignment horizontal="center" readingOrder="0" vertical="center"/>
    </xf>
    <xf borderId="7" fillId="22" fontId="34" numFmtId="0" xfId="0" applyAlignment="1" applyBorder="1" applyFont="1">
      <alignment shrinkToFit="0" vertical="bottom" wrapText="0"/>
    </xf>
    <xf borderId="0" fillId="22" fontId="1" numFmtId="0" xfId="0" applyAlignment="1" applyFont="1">
      <alignment horizontal="center" vertical="center"/>
    </xf>
    <xf borderId="8" fillId="22" fontId="1" numFmtId="0" xfId="0" applyBorder="1" applyFont="1"/>
    <xf borderId="24" fillId="0" fontId="1" numFmtId="0" xfId="0" applyAlignment="1" applyBorder="1" applyFont="1">
      <alignment horizontal="center" readingOrder="0"/>
    </xf>
    <xf borderId="25" fillId="0" fontId="1" numFmtId="1" xfId="0" applyAlignment="1" applyBorder="1" applyFont="1" applyNumberFormat="1">
      <alignment horizontal="center"/>
    </xf>
    <xf borderId="4" fillId="25" fontId="25" numFmtId="0" xfId="0" applyAlignment="1" applyBorder="1" applyFont="1">
      <alignment horizontal="center" readingOrder="0" vertical="center"/>
    </xf>
    <xf borderId="5" fillId="2" fontId="17" numFmtId="2" xfId="0" applyAlignment="1" applyBorder="1" applyFont="1" applyNumberFormat="1">
      <alignment horizontal="center" vertical="center"/>
    </xf>
    <xf borderId="5" fillId="14" fontId="25" numFmtId="0" xfId="0" applyAlignment="1" applyBorder="1" applyFont="1">
      <alignment horizontal="center" readingOrder="0" vertical="center"/>
    </xf>
    <xf borderId="18" fillId="2" fontId="17" numFmtId="0" xfId="0" applyAlignment="1" applyBorder="1" applyFont="1">
      <alignment horizontal="center" vertical="center"/>
    </xf>
    <xf borderId="24" fillId="2" fontId="85" numFmtId="10" xfId="0" applyAlignment="1" applyBorder="1" applyFont="1" applyNumberFormat="1">
      <alignment horizontal="center" readingOrder="0" vertical="center"/>
    </xf>
    <xf borderId="0" fillId="2" fontId="85" numFmtId="10" xfId="0" applyAlignment="1" applyFont="1" applyNumberFormat="1">
      <alignment horizontal="center" readingOrder="0" vertical="center"/>
    </xf>
    <xf borderId="25" fillId="2" fontId="85" numFmtId="10" xfId="0" applyAlignment="1" applyBorder="1" applyFont="1" applyNumberFormat="1">
      <alignment horizontal="center" readingOrder="0" vertical="center"/>
    </xf>
    <xf borderId="13" fillId="14" fontId="106" numFmtId="0" xfId="0" applyAlignment="1" applyBorder="1" applyFont="1">
      <alignment horizontal="center" readingOrder="0"/>
    </xf>
    <xf borderId="9" fillId="25" fontId="25" numFmtId="0" xfId="0" applyAlignment="1" applyBorder="1" applyFont="1">
      <alignment horizontal="center" readingOrder="0" vertical="center"/>
    </xf>
    <xf borderId="10" fillId="2" fontId="17" numFmtId="0" xfId="0" applyAlignment="1" applyBorder="1" applyFont="1">
      <alignment horizontal="center" readingOrder="0" vertical="center"/>
    </xf>
    <xf borderId="10" fillId="14" fontId="25" numFmtId="0" xfId="0" applyAlignment="1" applyBorder="1" applyFont="1">
      <alignment horizontal="center" readingOrder="0" vertical="center"/>
    </xf>
    <xf borderId="10" fillId="2" fontId="17" numFmtId="2" xfId="0" applyAlignment="1" applyBorder="1" applyFont="1" applyNumberFormat="1">
      <alignment horizontal="center" vertical="center"/>
    </xf>
    <xf borderId="0" fillId="0" fontId="106" numFmtId="10" xfId="0" applyAlignment="1" applyFont="1" applyNumberFormat="1">
      <alignment horizontal="center" vertical="center"/>
    </xf>
    <xf borderId="7" fillId="22" fontId="37" numFmtId="0" xfId="0" applyAlignment="1" applyBorder="1" applyFont="1">
      <alignment shrinkToFit="0" vertical="bottom" wrapText="0"/>
    </xf>
    <xf borderId="0" fillId="0" fontId="106" numFmtId="4" xfId="0" applyAlignment="1" applyFont="1" applyNumberFormat="1">
      <alignment horizontal="center" vertical="center"/>
    </xf>
    <xf borderId="0" fillId="0" fontId="1" numFmtId="4" xfId="0" applyAlignment="1" applyFont="1" applyNumberFormat="1">
      <alignment horizontal="center"/>
    </xf>
    <xf borderId="12" fillId="25" fontId="53" numFmtId="0" xfId="0" applyAlignment="1" applyBorder="1" applyFont="1">
      <alignment horizontal="center" readingOrder="0" vertical="center"/>
    </xf>
    <xf borderId="12" fillId="2" fontId="97" numFmtId="2" xfId="0" applyAlignment="1" applyBorder="1" applyFont="1" applyNumberFormat="1">
      <alignment horizontal="center" readingOrder="0" vertical="center"/>
    </xf>
    <xf borderId="20" fillId="35" fontId="25" numFmtId="0" xfId="0" applyAlignment="1" applyBorder="1" applyFont="1">
      <alignment horizontal="center" readingOrder="0" vertical="center"/>
    </xf>
    <xf borderId="26" fillId="0" fontId="110" numFmtId="4" xfId="0" applyAlignment="1" applyBorder="1" applyFont="1" applyNumberFormat="1">
      <alignment horizontal="center" readingOrder="0" vertical="center"/>
    </xf>
    <xf borderId="26" fillId="14" fontId="106" numFmtId="4" xfId="0" applyAlignment="1" applyBorder="1" applyFont="1" applyNumberFormat="1">
      <alignment horizontal="center" readingOrder="0" vertical="center"/>
    </xf>
    <xf borderId="15" fillId="0" fontId="1" numFmtId="0" xfId="0" applyAlignment="1" applyBorder="1" applyFont="1">
      <alignment horizontal="center" readingOrder="0"/>
    </xf>
    <xf borderId="16" fillId="0" fontId="1" numFmtId="2" xfId="0" applyAlignment="1" applyBorder="1" applyFont="1" applyNumberFormat="1">
      <alignment horizontal="center"/>
    </xf>
    <xf borderId="16" fillId="0" fontId="1" numFmtId="0" xfId="0" applyAlignment="1" applyBorder="1" applyFont="1">
      <alignment horizontal="center" readingOrder="0"/>
    </xf>
    <xf borderId="17" fillId="0" fontId="1" numFmtId="1" xfId="0" applyAlignment="1" applyBorder="1" applyFont="1" applyNumberFormat="1">
      <alignment horizontal="center"/>
    </xf>
    <xf borderId="16" fillId="0" fontId="1" numFmtId="4" xfId="0" applyAlignment="1" applyBorder="1" applyFont="1" applyNumberFormat="1">
      <alignment horizontal="center"/>
    </xf>
    <xf borderId="26" fillId="14" fontId="110" numFmtId="0" xfId="0" applyAlignment="1" applyBorder="1" applyFont="1">
      <alignment horizontal="center" vertical="bottom"/>
    </xf>
    <xf borderId="26" fillId="0" fontId="106" numFmtId="1" xfId="0" applyAlignment="1" applyBorder="1" applyFont="1" applyNumberFormat="1">
      <alignment horizontal="center"/>
    </xf>
    <xf borderId="7" fillId="22" fontId="111" numFmtId="0" xfId="0" applyAlignment="1" applyBorder="1" applyFont="1">
      <alignment shrinkToFit="0" vertical="bottom" wrapText="0"/>
    </xf>
    <xf borderId="20" fillId="2" fontId="112" numFmtId="0" xfId="0" applyAlignment="1" applyBorder="1" applyFont="1">
      <alignment horizontal="center" vertical="bottom"/>
    </xf>
    <xf borderId="0" fillId="2" fontId="37" numFmtId="0" xfId="0" applyAlignment="1" applyFont="1">
      <alignment horizontal="center" vertical="bottom"/>
    </xf>
    <xf borderId="20" fillId="2" fontId="73" numFmtId="1" xfId="0" applyAlignment="1" applyBorder="1" applyFont="1" applyNumberFormat="1">
      <alignment horizontal="center" vertical="bottom"/>
    </xf>
    <xf borderId="22" fillId="2" fontId="90" numFmtId="0" xfId="0" applyAlignment="1" applyBorder="1" applyFont="1">
      <alignment horizontal="center" shrinkToFit="0" vertical="center" wrapText="1"/>
    </xf>
    <xf borderId="24" fillId="2" fontId="85" numFmtId="4" xfId="0" applyAlignment="1" applyBorder="1" applyFont="1" applyNumberFormat="1">
      <alignment horizontal="center" readingOrder="0" vertical="center"/>
    </xf>
    <xf borderId="0" fillId="2" fontId="85" numFmtId="4" xfId="0" applyAlignment="1" applyFont="1" applyNumberFormat="1">
      <alignment horizontal="center" readingOrder="0" vertical="center"/>
    </xf>
    <xf borderId="25" fillId="2" fontId="85" numFmtId="4" xfId="0" applyAlignment="1" applyBorder="1" applyFont="1" applyNumberFormat="1">
      <alignment horizontal="center" readingOrder="0" vertical="center"/>
    </xf>
    <xf borderId="25" fillId="0" fontId="106" numFmtId="2" xfId="0" applyAlignment="1" applyBorder="1" applyFont="1" applyNumberFormat="1">
      <alignment horizontal="center"/>
    </xf>
    <xf borderId="22" fillId="2" fontId="112" numFmtId="0" xfId="0" applyAlignment="1" applyBorder="1" applyFont="1">
      <alignment horizontal="center" vertical="bottom"/>
    </xf>
    <xf borderId="22" fillId="2" fontId="14" numFmtId="1" xfId="0" applyAlignment="1" applyBorder="1" applyFont="1" applyNumberFormat="1">
      <alignment horizontal="center"/>
    </xf>
    <xf borderId="22" fillId="0" fontId="5" numFmtId="0" xfId="0" applyBorder="1" applyFont="1"/>
    <xf borderId="22" fillId="2" fontId="73" numFmtId="1" xfId="0" applyAlignment="1" applyBorder="1" applyFont="1" applyNumberFormat="1">
      <alignment horizontal="center" vertical="bottom"/>
    </xf>
    <xf borderId="0" fillId="0" fontId="113" numFmtId="0" xfId="0" applyFont="1"/>
    <xf borderId="7" fillId="2" fontId="85" numFmtId="0" xfId="0" applyAlignment="1" applyBorder="1" applyFont="1">
      <alignment horizontal="center" readingOrder="0" vertical="center"/>
    </xf>
    <xf borderId="0" fillId="23" fontId="85" numFmtId="164" xfId="0" applyAlignment="1" applyFont="1" applyNumberFormat="1">
      <alignment horizontal="center" readingOrder="0" vertical="center"/>
    </xf>
    <xf borderId="9" fillId="22" fontId="1" numFmtId="0" xfId="0" applyAlignment="1" applyBorder="1" applyFont="1">
      <alignment readingOrder="0"/>
    </xf>
    <xf borderId="10" fillId="22" fontId="1" numFmtId="0" xfId="0" applyBorder="1" applyFont="1"/>
    <xf borderId="11" fillId="22" fontId="1" numFmtId="0" xfId="0" applyBorder="1" applyFont="1"/>
    <xf borderId="0" fillId="23" fontId="85" numFmtId="164" xfId="0" applyAlignment="1" applyFont="1" applyNumberFormat="1">
      <alignment horizontal="center" readingOrder="0" vertical="center"/>
    </xf>
    <xf borderId="21" fillId="2" fontId="112" numFmtId="0" xfId="0" applyAlignment="1" applyBorder="1" applyFont="1">
      <alignment horizontal="center" vertical="bottom"/>
    </xf>
    <xf borderId="16" fillId="2" fontId="37" numFmtId="0" xfId="0" applyAlignment="1" applyBorder="1" applyFont="1">
      <alignment horizontal="center" vertical="bottom"/>
    </xf>
    <xf borderId="21" fillId="2" fontId="73" numFmtId="1" xfId="0" applyAlignment="1" applyBorder="1" applyFont="1" applyNumberFormat="1">
      <alignment horizontal="center" vertical="bottom"/>
    </xf>
    <xf borderId="26" fillId="0" fontId="106" numFmtId="0" xfId="0" applyAlignment="1" applyBorder="1" applyFont="1">
      <alignment horizontal="center" readingOrder="0"/>
    </xf>
    <xf borderId="26" fillId="0" fontId="106" numFmtId="2" xfId="0" applyAlignment="1" applyBorder="1" applyFont="1" applyNumberFormat="1">
      <alignment horizontal="center"/>
    </xf>
    <xf borderId="0" fillId="2" fontId="85" numFmtId="0" xfId="0" applyAlignment="1" applyFont="1">
      <alignment horizontal="center" readingOrder="0" vertical="center"/>
    </xf>
    <xf borderId="0" fillId="0" fontId="112" numFmtId="0" xfId="0" applyAlignment="1" applyFont="1">
      <alignment horizontal="center" readingOrder="0" vertical="center"/>
    </xf>
    <xf borderId="0" fillId="0" fontId="114" numFmtId="0" xfId="0" applyAlignment="1" applyFont="1">
      <alignment horizontal="center" shrinkToFit="0" vertical="center" wrapText="1"/>
    </xf>
    <xf borderId="24" fillId="35" fontId="85" numFmtId="10" xfId="0" applyAlignment="1" applyBorder="1" applyFont="1" applyNumberFormat="1">
      <alignment horizontal="center" readingOrder="0" vertical="center"/>
    </xf>
    <xf borderId="0" fillId="0" fontId="106" numFmtId="0" xfId="0" applyAlignment="1" applyFont="1">
      <alignment horizontal="center" readingOrder="0"/>
    </xf>
    <xf borderId="0" fillId="0" fontId="112" numFmtId="0" xfId="0" applyAlignment="1" applyFont="1">
      <alignment horizontal="center" vertical="bottom"/>
    </xf>
    <xf borderId="0" fillId="0" fontId="73" numFmtId="0" xfId="0" applyAlignment="1" applyFont="1">
      <alignment horizontal="center" vertical="bottom"/>
    </xf>
    <xf borderId="0" fillId="0" fontId="115" numFmtId="0" xfId="0" applyAlignment="1" applyFont="1">
      <alignment horizontal="center" shrinkToFit="0" vertical="center" wrapText="1"/>
    </xf>
    <xf borderId="16" fillId="0" fontId="106" numFmtId="10" xfId="0" applyAlignment="1" applyBorder="1" applyFont="1" applyNumberFormat="1">
      <alignment horizontal="center"/>
    </xf>
    <xf borderId="17" fillId="0" fontId="106" numFmtId="1" xfId="0" applyAlignment="1" applyBorder="1" applyFont="1" applyNumberFormat="1">
      <alignment horizontal="center"/>
    </xf>
    <xf borderId="0" fillId="2" fontId="14" numFmtId="0" xfId="0" applyAlignment="1" applyFont="1">
      <alignment horizontal="center" readingOrder="0" vertical="center"/>
    </xf>
    <xf borderId="15" fillId="0" fontId="1" numFmtId="0" xfId="0" applyBorder="1" applyFont="1"/>
    <xf borderId="40" fillId="14" fontId="59" numFmtId="0" xfId="0" applyAlignment="1" applyBorder="1" applyFont="1">
      <alignment horizontal="center" readingOrder="0"/>
    </xf>
    <xf borderId="27" fillId="14" fontId="106" numFmtId="2" xfId="0" applyAlignment="1" applyBorder="1" applyFont="1" applyNumberFormat="1">
      <alignment horizontal="center"/>
    </xf>
    <xf borderId="42" fillId="0" fontId="106" numFmtId="0" xfId="0" applyAlignment="1" applyBorder="1" applyFont="1">
      <alignment horizontal="center"/>
    </xf>
    <xf borderId="42" fillId="14" fontId="59" numFmtId="0" xfId="0" applyAlignment="1" applyBorder="1" applyFont="1">
      <alignment horizontal="center" readingOrder="0"/>
    </xf>
    <xf borderId="0" fillId="0" fontId="1" numFmtId="2" xfId="0" applyAlignment="1" applyFont="1" applyNumberFormat="1">
      <alignment readingOrder="0"/>
    </xf>
    <xf borderId="0" fillId="0" fontId="10" numFmtId="0" xfId="0" applyAlignment="1" applyFont="1">
      <alignment readingOrder="0"/>
    </xf>
    <xf borderId="0" fillId="14" fontId="1" numFmtId="0" xfId="0" applyAlignment="1" applyFont="1">
      <alignment horizontal="center" readingOrder="0"/>
    </xf>
    <xf borderId="0" fillId="43" fontId="1" numFmtId="4" xfId="0" applyAlignment="1" applyFill="1" applyFont="1" applyNumberFormat="1">
      <alignment horizontal="center" readingOrder="0"/>
    </xf>
    <xf borderId="0" fillId="0" fontId="116" numFmtId="0" xfId="0" applyAlignment="1" applyFont="1">
      <alignment readingOrder="0"/>
    </xf>
    <xf borderId="0" fillId="43" fontId="1" numFmtId="1" xfId="0" applyAlignment="1" applyFont="1" applyNumberFormat="1">
      <alignment horizontal="center"/>
    </xf>
    <xf borderId="0" fillId="14" fontId="1" numFmtId="0" xfId="0" applyAlignment="1" applyFont="1">
      <alignment horizontal="center"/>
    </xf>
    <xf borderId="0" fillId="43" fontId="106" numFmtId="1" xfId="0" applyAlignment="1" applyFont="1" applyNumberFormat="1">
      <alignment horizontal="center"/>
    </xf>
    <xf borderId="0" fillId="17" fontId="1" numFmtId="0" xfId="0" applyAlignment="1" applyFont="1">
      <alignment horizontal="center" readingOrder="0"/>
    </xf>
    <xf borderId="0" fillId="17" fontId="1" numFmtId="0" xfId="0" applyAlignment="1" applyFont="1">
      <alignment readingOrder="0"/>
    </xf>
    <xf borderId="15" fillId="27" fontId="15" numFmtId="0" xfId="0" applyAlignment="1" applyBorder="1" applyFont="1">
      <alignment horizontal="center" readingOrder="0" vertical="center"/>
    </xf>
    <xf borderId="15" fillId="2" fontId="85" numFmtId="10" xfId="0" applyAlignment="1" applyBorder="1" applyFont="1" applyNumberFormat="1">
      <alignment horizontal="center" readingOrder="0" vertical="center"/>
    </xf>
    <xf borderId="16" fillId="2" fontId="85" numFmtId="10" xfId="0" applyAlignment="1" applyBorder="1" applyFont="1" applyNumberFormat="1">
      <alignment horizontal="center" readingOrder="0" vertical="center"/>
    </xf>
    <xf borderId="17" fillId="2" fontId="85" numFmtId="10" xfId="0" applyAlignment="1" applyBorder="1" applyFont="1" applyNumberFormat="1">
      <alignment horizontal="center" readingOrder="0" vertical="center"/>
    </xf>
    <xf borderId="0" fillId="43" fontId="1" numFmtId="2" xfId="0" applyAlignment="1" applyFont="1" applyNumberFormat="1">
      <alignment horizontal="center"/>
    </xf>
    <xf borderId="0" fillId="0" fontId="1" numFmtId="175" xfId="0" applyFont="1" applyNumberFormat="1"/>
    <xf borderId="0" fillId="0" fontId="1" numFmtId="4" xfId="0" applyAlignment="1" applyFont="1" applyNumberFormat="1">
      <alignment readingOrder="0"/>
    </xf>
    <xf borderId="0" fillId="0" fontId="15" numFmtId="0" xfId="0" applyAlignment="1" applyFont="1">
      <alignment horizontal="center" readingOrder="0" vertical="center"/>
    </xf>
    <xf borderId="0" fillId="0" fontId="85" numFmtId="10" xfId="0" applyAlignment="1" applyFont="1" applyNumberFormat="1">
      <alignment horizontal="center" vertical="center"/>
    </xf>
    <xf borderId="0" fillId="0" fontId="37" numFmtId="10" xfId="0" applyAlignment="1" applyFont="1" applyNumberFormat="1">
      <alignment horizontal="right" vertical="bottom"/>
    </xf>
    <xf borderId="0" fillId="0" fontId="14" numFmtId="0" xfId="0" applyAlignment="1" applyFont="1">
      <alignment horizontal="center" readingOrder="0" vertical="center"/>
    </xf>
    <xf borderId="0" fillId="17" fontId="1" numFmtId="4" xfId="0" applyAlignment="1" applyFont="1" applyNumberFormat="1">
      <alignment readingOrder="0"/>
    </xf>
    <xf borderId="0" fillId="17" fontId="1" numFmtId="10" xfId="0" applyFont="1" applyNumberFormat="1"/>
    <xf borderId="0" fillId="17" fontId="1" numFmtId="0" xfId="0" applyFont="1"/>
    <xf borderId="0" fillId="25" fontId="25" numFmtId="0" xfId="0" applyAlignment="1" applyFont="1">
      <alignment horizontal="center" readingOrder="0"/>
    </xf>
    <xf borderId="0" fillId="25" fontId="100" numFmtId="0" xfId="0" applyAlignment="1" applyFont="1">
      <alignment readingOrder="0" vertical="bottom"/>
    </xf>
    <xf borderId="0" fillId="2" fontId="117" numFmtId="0" xfId="0" applyAlignment="1" applyFont="1">
      <alignment readingOrder="0" vertical="bottom"/>
    </xf>
    <xf borderId="0" fillId="2" fontId="37" numFmtId="0" xfId="0" applyAlignment="1" applyFont="1">
      <alignment vertical="bottom"/>
    </xf>
    <xf borderId="0" fillId="0" fontId="118" numFmtId="171" xfId="0" applyFont="1" applyNumberFormat="1"/>
    <xf borderId="1" fillId="44" fontId="119" numFmtId="0" xfId="0" applyAlignment="1" applyBorder="1" applyFill="1" applyFont="1">
      <alignment horizontal="center" readingOrder="0"/>
    </xf>
    <xf borderId="26" fillId="44" fontId="120" numFmtId="0" xfId="0" applyAlignment="1" applyBorder="1" applyFont="1">
      <alignment horizontal="center" readingOrder="0" shrinkToFit="0" vertical="top" wrapText="0"/>
    </xf>
    <xf borderId="12" fillId="45" fontId="63" numFmtId="0" xfId="0" applyAlignment="1" applyBorder="1" applyFill="1" applyFont="1">
      <alignment horizontal="center" readingOrder="0"/>
    </xf>
    <xf borderId="12" fillId="32" fontId="63" numFmtId="0" xfId="0" applyAlignment="1" applyBorder="1" applyFont="1">
      <alignment horizontal="center" readingOrder="0"/>
    </xf>
    <xf borderId="40" fillId="44" fontId="120" numFmtId="0" xfId="0" applyAlignment="1" applyBorder="1" applyFont="1">
      <alignment horizontal="center" readingOrder="0" shrinkToFit="0" vertical="top" wrapText="0"/>
    </xf>
    <xf borderId="4" fillId="45" fontId="63" numFmtId="0" xfId="0" applyAlignment="1" applyBorder="1" applyFont="1">
      <alignment horizontal="center" readingOrder="0"/>
    </xf>
    <xf borderId="0" fillId="45" fontId="63" numFmtId="0" xfId="0" applyAlignment="1" applyFont="1">
      <alignment horizontal="center" readingOrder="0"/>
    </xf>
    <xf borderId="74" fillId="0" fontId="106" numFmtId="0" xfId="0" applyAlignment="1" applyBorder="1" applyFont="1">
      <alignment readingOrder="0"/>
    </xf>
    <xf borderId="75" fillId="0" fontId="106" numFmtId="171" xfId="0" applyAlignment="1" applyBorder="1" applyFont="1" applyNumberFormat="1">
      <alignment readingOrder="0"/>
    </xf>
    <xf borderId="27" fillId="44" fontId="120" numFmtId="0" xfId="0" applyAlignment="1" applyBorder="1" applyFont="1">
      <alignment horizontal="center" readingOrder="0" shrinkToFit="0" vertical="top" wrapText="0"/>
    </xf>
    <xf borderId="27" fillId="46" fontId="120" numFmtId="0" xfId="0" applyAlignment="1" applyBorder="1" applyFill="1" applyFont="1">
      <alignment horizontal="center" readingOrder="0" shrinkToFit="0" vertical="top" wrapText="0"/>
    </xf>
    <xf borderId="27" fillId="47" fontId="120" numFmtId="0" xfId="0" applyAlignment="1" applyBorder="1" applyFill="1" applyFont="1">
      <alignment horizontal="center" readingOrder="0" shrinkToFit="0" vertical="top" wrapText="0"/>
    </xf>
    <xf borderId="0" fillId="0" fontId="59" numFmtId="0" xfId="0" applyAlignment="1" applyFont="1">
      <alignment horizontal="center" readingOrder="0" shrinkToFit="0" vertical="top" wrapText="0"/>
    </xf>
    <xf borderId="26" fillId="48" fontId="120" numFmtId="0" xfId="0" applyAlignment="1" applyBorder="1" applyFill="1" applyFont="1">
      <alignment horizontal="center" readingOrder="0" shrinkToFit="0" vertical="top" wrapText="0"/>
    </xf>
    <xf borderId="27" fillId="48" fontId="120" numFmtId="0" xfId="0" applyAlignment="1" applyBorder="1" applyFont="1">
      <alignment horizontal="center" readingOrder="0" shrinkToFit="0" vertical="top" wrapText="0"/>
    </xf>
    <xf borderId="76" fillId="44" fontId="120" numFmtId="0" xfId="0" applyAlignment="1" applyBorder="1" applyFont="1">
      <alignment horizontal="center" readingOrder="0" shrinkToFit="0" vertical="top" wrapText="0"/>
    </xf>
    <xf borderId="77" fillId="44" fontId="120" numFmtId="0" xfId="0" applyAlignment="1" applyBorder="1" applyFont="1">
      <alignment horizontal="center" readingOrder="0" shrinkToFit="0" vertical="top" wrapText="0"/>
    </xf>
    <xf borderId="76" fillId="0" fontId="106" numFmtId="0" xfId="0" applyAlignment="1" applyBorder="1" applyFont="1">
      <alignment readingOrder="0"/>
    </xf>
    <xf borderId="78" fillId="23" fontId="106" numFmtId="9" xfId="0" applyAlignment="1" applyBorder="1" applyFont="1" applyNumberFormat="1">
      <alignment readingOrder="0"/>
    </xf>
    <xf borderId="26" fillId="17" fontId="0" numFmtId="0" xfId="0" applyAlignment="1" applyBorder="1" applyFont="1">
      <alignment horizontal="center" readingOrder="0" shrinkToFit="0" vertical="bottom" wrapText="0"/>
    </xf>
    <xf borderId="26" fillId="0" fontId="14" numFmtId="164" xfId="0" applyAlignment="1" applyBorder="1" applyFont="1" applyNumberFormat="1">
      <alignment horizontal="center"/>
    </xf>
    <xf borderId="27" fillId="0" fontId="14" numFmtId="164" xfId="0" applyAlignment="1" applyBorder="1" applyFont="1" applyNumberFormat="1">
      <alignment horizontal="center"/>
    </xf>
    <xf borderId="42" fillId="23" fontId="0" numFmtId="164" xfId="0" applyAlignment="1" applyBorder="1" applyFont="1" applyNumberFormat="1">
      <alignment horizontal="center" readingOrder="0" shrinkToFit="0" vertical="bottom" wrapText="0"/>
    </xf>
    <xf borderId="26" fillId="0" fontId="1" numFmtId="164" xfId="0" applyAlignment="1" applyBorder="1" applyFont="1" applyNumberFormat="1">
      <alignment horizontal="center"/>
    </xf>
    <xf borderId="20" fillId="23" fontId="121" numFmtId="164" xfId="0" applyAlignment="1" applyBorder="1" applyFont="1" applyNumberFormat="1">
      <alignment horizontal="center" readingOrder="0" shrinkToFit="0" vertical="bottom" wrapText="0"/>
    </xf>
    <xf borderId="40" fillId="17" fontId="0" numFmtId="0" xfId="0" applyAlignment="1" applyBorder="1" applyFont="1">
      <alignment horizontal="center" readingOrder="0" shrinkToFit="0" vertical="bottom" wrapText="0"/>
    </xf>
    <xf borderId="76" fillId="0" fontId="14" numFmtId="164" xfId="0" applyAlignment="1" applyBorder="1" applyFont="1" applyNumberFormat="1">
      <alignment horizontal="center"/>
    </xf>
    <xf borderId="77" fillId="0" fontId="14" numFmtId="164" xfId="0" applyAlignment="1" applyBorder="1" applyFont="1" applyNumberFormat="1">
      <alignment horizontal="center"/>
    </xf>
    <xf borderId="79" fillId="0" fontId="106" numFmtId="0" xfId="0" applyAlignment="1" applyBorder="1" applyFont="1">
      <alignment readingOrder="0"/>
    </xf>
    <xf borderId="80" fillId="49" fontId="106" numFmtId="171" xfId="0" applyBorder="1" applyFill="1" applyFont="1" applyNumberFormat="1"/>
    <xf borderId="20" fillId="17" fontId="106" numFmtId="0" xfId="0" applyAlignment="1" applyBorder="1" applyFont="1">
      <alignment horizontal="center" readingOrder="0"/>
    </xf>
    <xf borderId="20" fillId="0" fontId="1" numFmtId="164" xfId="0" applyAlignment="1" applyBorder="1" applyFont="1" applyNumberFormat="1">
      <alignment horizontal="center"/>
    </xf>
    <xf borderId="14" fillId="0" fontId="1" numFmtId="164" xfId="0" applyAlignment="1" applyBorder="1" applyFont="1" applyNumberFormat="1">
      <alignment horizontal="center"/>
    </xf>
    <xf borderId="20" fillId="0" fontId="106" numFmtId="164" xfId="0" applyAlignment="1" applyBorder="1" applyFont="1" applyNumberFormat="1">
      <alignment horizontal="center"/>
    </xf>
    <xf borderId="12" fillId="17" fontId="106" numFmtId="0" xfId="0" applyAlignment="1" applyBorder="1" applyFont="1">
      <alignment horizontal="center" readingOrder="0"/>
    </xf>
    <xf borderId="81" fillId="0" fontId="1" numFmtId="164" xfId="0" applyAlignment="1" applyBorder="1" applyFont="1" applyNumberFormat="1">
      <alignment horizontal="center"/>
    </xf>
    <xf borderId="48" fillId="0" fontId="1" numFmtId="164" xfId="0" applyAlignment="1" applyBorder="1" applyFont="1" applyNumberFormat="1">
      <alignment horizontal="center"/>
    </xf>
    <xf borderId="0" fillId="0" fontId="106" numFmtId="171" xfId="0" applyFont="1" applyNumberFormat="1"/>
    <xf borderId="22" fillId="17" fontId="0" numFmtId="0" xfId="0" applyAlignment="1" applyBorder="1" applyFont="1">
      <alignment horizontal="center" readingOrder="0" shrinkToFit="0" vertical="bottom" wrapText="0"/>
    </xf>
    <xf borderId="21" fillId="0" fontId="1" numFmtId="164" xfId="0" applyAlignment="1" applyBorder="1" applyFont="1" applyNumberFormat="1">
      <alignment horizontal="center"/>
    </xf>
    <xf borderId="17" fillId="0" fontId="1" numFmtId="164" xfId="0" applyAlignment="1" applyBorder="1" applyFont="1" applyNumberFormat="1">
      <alignment horizontal="center"/>
    </xf>
    <xf borderId="22" fillId="0" fontId="0" numFmtId="164" xfId="0" applyAlignment="1" applyBorder="1" applyFont="1" applyNumberFormat="1">
      <alignment horizontal="center" readingOrder="0" shrinkToFit="0" vertical="bottom" wrapText="0"/>
    </xf>
    <xf borderId="22" fillId="0" fontId="1" numFmtId="164" xfId="0" applyAlignment="1" applyBorder="1" applyFont="1" applyNumberFormat="1">
      <alignment horizontal="center"/>
    </xf>
    <xf borderId="22" fillId="23" fontId="0" numFmtId="164" xfId="0" applyAlignment="1" applyBorder="1" applyFont="1" applyNumberFormat="1">
      <alignment horizontal="center" readingOrder="0" shrinkToFit="0" vertical="bottom" wrapText="0"/>
    </xf>
    <xf borderId="24" fillId="17" fontId="0" numFmtId="0" xfId="0" applyAlignment="1" applyBorder="1" applyFont="1">
      <alignment horizontal="center" readingOrder="0" shrinkToFit="0" vertical="bottom" wrapText="0"/>
    </xf>
    <xf borderId="74" fillId="0" fontId="1" numFmtId="164" xfId="0" applyAlignment="1" applyBorder="1" applyFont="1" applyNumberFormat="1">
      <alignment horizontal="center"/>
    </xf>
    <xf borderId="82" fillId="0" fontId="1" numFmtId="164" xfId="0" applyAlignment="1" applyBorder="1" applyFont="1" applyNumberFormat="1">
      <alignment horizontal="center"/>
    </xf>
    <xf borderId="20" fillId="18" fontId="106" numFmtId="0" xfId="0" applyAlignment="1" applyBorder="1" applyFont="1">
      <alignment horizontal="center" readingOrder="0"/>
    </xf>
    <xf borderId="12" fillId="18" fontId="106" numFmtId="0" xfId="0" applyAlignment="1" applyBorder="1" applyFont="1">
      <alignment horizontal="center" readingOrder="0"/>
    </xf>
    <xf borderId="75" fillId="23" fontId="106" numFmtId="171" xfId="0" applyAlignment="1" applyBorder="1" applyFont="1" applyNumberFormat="1">
      <alignment readingOrder="0"/>
    </xf>
    <xf borderId="22" fillId="18" fontId="1" numFmtId="0" xfId="0" applyAlignment="1" applyBorder="1" applyFont="1">
      <alignment horizontal="center" readingOrder="0"/>
    </xf>
    <xf borderId="25" fillId="0" fontId="1" numFmtId="164" xfId="0" applyAlignment="1" applyBorder="1" applyFont="1" applyNumberFormat="1">
      <alignment horizontal="center"/>
    </xf>
    <xf borderId="22" fillId="0" fontId="106" numFmtId="164" xfId="0" applyAlignment="1" applyBorder="1" applyFont="1" applyNumberFormat="1">
      <alignment horizontal="center"/>
    </xf>
    <xf borderId="22" fillId="0" fontId="1" numFmtId="164" xfId="0" applyAlignment="1" applyBorder="1" applyFont="1" applyNumberFormat="1">
      <alignment horizontal="center" readingOrder="0"/>
    </xf>
    <xf borderId="24" fillId="18" fontId="1" numFmtId="0" xfId="0" applyAlignment="1" applyBorder="1" applyFont="1">
      <alignment horizontal="center" readingOrder="0"/>
    </xf>
    <xf borderId="83" fillId="0" fontId="1" numFmtId="164" xfId="0" applyAlignment="1" applyBorder="1" applyFont="1" applyNumberFormat="1">
      <alignment horizontal="center"/>
    </xf>
    <xf borderId="8" fillId="0" fontId="1" numFmtId="164" xfId="0" applyAlignment="1" applyBorder="1" applyFont="1" applyNumberFormat="1">
      <alignment horizontal="center"/>
    </xf>
    <xf borderId="78" fillId="49" fontId="106" numFmtId="171" xfId="0" applyBorder="1" applyFont="1" applyNumberFormat="1"/>
    <xf borderId="22" fillId="18" fontId="0" numFmtId="0" xfId="0" applyAlignment="1" applyBorder="1" applyFont="1">
      <alignment horizontal="center" readingOrder="0" shrinkToFit="0" vertical="bottom" wrapText="0"/>
    </xf>
    <xf borderId="24" fillId="18" fontId="0" numFmtId="0" xfId="0" applyAlignment="1" applyBorder="1" applyFont="1">
      <alignment horizontal="center" readingOrder="0" shrinkToFit="0" vertical="bottom" wrapText="0"/>
    </xf>
    <xf borderId="21" fillId="18" fontId="0" numFmtId="0" xfId="0" applyAlignment="1" applyBorder="1" applyFont="1">
      <alignment horizontal="center" readingOrder="0" shrinkToFit="0" vertical="bottom" wrapText="0"/>
    </xf>
    <xf borderId="21" fillId="0" fontId="0" numFmtId="164" xfId="0" applyAlignment="1" applyBorder="1" applyFont="1" applyNumberFormat="1">
      <alignment horizontal="center" readingOrder="0" shrinkToFit="0" vertical="bottom" wrapText="0"/>
    </xf>
    <xf borderId="15" fillId="18" fontId="0" numFmtId="0" xfId="0" applyAlignment="1" applyBorder="1" applyFont="1">
      <alignment horizontal="center" readingOrder="0" shrinkToFit="0" vertical="bottom" wrapText="0"/>
    </xf>
    <xf borderId="21" fillId="12" fontId="0" numFmtId="0" xfId="0" applyAlignment="1" applyBorder="1" applyFont="1">
      <alignment horizontal="center" readingOrder="0" shrinkToFit="0" vertical="bottom" wrapText="0"/>
    </xf>
    <xf borderId="26" fillId="0" fontId="122" numFmtId="164" xfId="0" applyAlignment="1" applyBorder="1" applyFont="1" applyNumberFormat="1">
      <alignment horizontal="center"/>
    </xf>
    <xf borderId="22" fillId="0" fontId="122" numFmtId="164" xfId="0" applyAlignment="1" applyBorder="1" applyFont="1" applyNumberFormat="1">
      <alignment horizontal="center"/>
    </xf>
    <xf borderId="15" fillId="12" fontId="0" numFmtId="0" xfId="0" applyAlignment="1" applyBorder="1" applyFont="1">
      <alignment horizontal="center" readingOrder="0" shrinkToFit="0" vertical="bottom" wrapText="0"/>
    </xf>
    <xf borderId="76" fillId="0" fontId="122" numFmtId="164" xfId="0" applyAlignment="1" applyBorder="1" applyFont="1" applyNumberFormat="1">
      <alignment horizontal="center"/>
    </xf>
    <xf borderId="78" fillId="0" fontId="122" numFmtId="164" xfId="0" applyAlignment="1" applyBorder="1" applyFont="1" applyNumberFormat="1">
      <alignment horizontal="center"/>
    </xf>
    <xf borderId="75" fillId="23" fontId="106" numFmtId="9" xfId="0" applyAlignment="1" applyBorder="1" applyFont="1" applyNumberFormat="1">
      <alignment readingOrder="0"/>
    </xf>
    <xf borderId="20" fillId="17" fontId="0" numFmtId="0" xfId="0" applyAlignment="1" applyBorder="1" applyFont="1">
      <alignment horizontal="center" readingOrder="0" shrinkToFit="0" vertical="bottom" wrapText="0"/>
    </xf>
    <xf borderId="20" fillId="0" fontId="123" numFmtId="164" xfId="0" applyAlignment="1" applyBorder="1" applyFont="1" applyNumberFormat="1">
      <alignment horizontal="center" readingOrder="0" shrinkToFit="0" vertical="bottom" wrapText="0"/>
    </xf>
    <xf borderId="20" fillId="0" fontId="106" numFmtId="164" xfId="0" applyAlignment="1" applyBorder="1" applyFont="1" applyNumberFormat="1">
      <alignment horizontal="center" readingOrder="0" shrinkToFit="0" vertical="bottom" wrapText="0"/>
    </xf>
    <xf borderId="0" fillId="0" fontId="106" numFmtId="164" xfId="0" applyAlignment="1" applyFont="1" applyNumberFormat="1">
      <alignment horizontal="center" readingOrder="0" shrinkToFit="0" vertical="bottom" wrapText="0"/>
    </xf>
    <xf borderId="26" fillId="0" fontId="123" numFmtId="164" xfId="0" applyAlignment="1" applyBorder="1" applyFont="1" applyNumberFormat="1">
      <alignment horizontal="center" readingOrder="0" shrinkToFit="0" vertical="bottom" wrapText="0"/>
    </xf>
    <xf borderId="12" fillId="17" fontId="0" numFmtId="0" xfId="0" applyAlignment="1" applyBorder="1" applyFont="1">
      <alignment horizontal="center" readingOrder="0" shrinkToFit="0" vertical="bottom" wrapText="0"/>
    </xf>
    <xf borderId="76" fillId="0" fontId="123" numFmtId="164" xfId="0" applyAlignment="1" applyBorder="1" applyFont="1" applyNumberFormat="1">
      <alignment horizontal="center" readingOrder="0" shrinkToFit="0" vertical="bottom" wrapText="0"/>
    </xf>
    <xf borderId="78" fillId="0" fontId="123" numFmtId="164" xfId="0" applyAlignment="1" applyBorder="1" applyFont="1" applyNumberFormat="1">
      <alignment horizontal="center" readingOrder="0" shrinkToFit="0" vertical="bottom" wrapText="0"/>
    </xf>
    <xf borderId="15" fillId="17" fontId="1" numFmtId="0" xfId="0" applyAlignment="1" applyBorder="1" applyFont="1">
      <alignment horizontal="center" readingOrder="0"/>
    </xf>
    <xf borderId="42" fillId="0" fontId="1" numFmtId="10" xfId="0" applyAlignment="1" applyBorder="1" applyFont="1" applyNumberFormat="1">
      <alignment horizontal="center"/>
    </xf>
    <xf borderId="27" fillId="0" fontId="1" numFmtId="10" xfId="0" applyAlignment="1" applyBorder="1" applyFont="1" applyNumberFormat="1">
      <alignment horizontal="center"/>
    </xf>
    <xf borderId="76" fillId="0" fontId="1" numFmtId="164" xfId="0" applyAlignment="1" applyBorder="1" applyFont="1" applyNumberFormat="1">
      <alignment horizontal="center"/>
    </xf>
    <xf borderId="8" fillId="0" fontId="1" numFmtId="164" xfId="0" applyBorder="1" applyFont="1" applyNumberFormat="1"/>
    <xf borderId="24" fillId="0" fontId="1" numFmtId="164" xfId="0" applyBorder="1" applyFont="1" applyNumberFormat="1"/>
    <xf borderId="7" fillId="0" fontId="1" numFmtId="164" xfId="0" applyBorder="1" applyFont="1" applyNumberFormat="1"/>
    <xf borderId="40" fillId="44" fontId="124" numFmtId="0" xfId="0" applyAlignment="1" applyBorder="1" applyFont="1">
      <alignment horizontal="center" readingOrder="0"/>
    </xf>
    <xf borderId="26" fillId="44" fontId="120" numFmtId="164" xfId="0" applyAlignment="1" applyBorder="1" applyFont="1" applyNumberFormat="1">
      <alignment horizontal="center" readingOrder="0" shrinkToFit="0" vertical="top" wrapText="0"/>
    </xf>
    <xf borderId="14" fillId="44" fontId="120" numFmtId="164" xfId="0" applyAlignment="1" applyBorder="1" applyFont="1" applyNumberFormat="1">
      <alignment horizontal="center" readingOrder="0" shrinkToFit="0" vertical="top" wrapText="0"/>
    </xf>
    <xf borderId="0" fillId="0" fontId="121" numFmtId="10" xfId="0" applyAlignment="1" applyFont="1" applyNumberFormat="1">
      <alignment horizontal="center" readingOrder="0" shrinkToFit="0" vertical="top" wrapText="0"/>
    </xf>
    <xf borderId="26" fillId="48" fontId="120" numFmtId="164" xfId="0" applyAlignment="1" applyBorder="1" applyFont="1" applyNumberFormat="1">
      <alignment horizontal="center" readingOrder="0" shrinkToFit="0" vertical="top" wrapText="0"/>
    </xf>
    <xf borderId="14" fillId="48" fontId="120" numFmtId="164" xfId="0" applyAlignment="1" applyBorder="1" applyFont="1" applyNumberFormat="1">
      <alignment horizontal="center" readingOrder="0" shrinkToFit="0" vertical="top" wrapText="0"/>
    </xf>
    <xf borderId="76" fillId="44" fontId="120" numFmtId="164" xfId="0" applyAlignment="1" applyBorder="1" applyFont="1" applyNumberFormat="1">
      <alignment horizontal="center" readingOrder="0" shrinkToFit="0" vertical="top" wrapText="0"/>
    </xf>
    <xf borderId="77" fillId="44" fontId="120" numFmtId="164" xfId="0" applyAlignment="1" applyBorder="1" applyFont="1" applyNumberFormat="1">
      <alignment horizontal="center" readingOrder="0" shrinkToFit="0" vertical="top" wrapText="0"/>
    </xf>
    <xf borderId="27" fillId="44" fontId="120" numFmtId="164" xfId="0" applyAlignment="1" applyBorder="1" applyFont="1" applyNumberFormat="1">
      <alignment horizontal="center" readingOrder="0" shrinkToFit="0" vertical="top" wrapText="0"/>
    </xf>
    <xf borderId="75" fillId="23" fontId="106" numFmtId="176" xfId="0" applyAlignment="1" applyBorder="1" applyFont="1" applyNumberFormat="1">
      <alignment readingOrder="0"/>
    </xf>
    <xf borderId="20" fillId="18" fontId="0" numFmtId="0" xfId="0" applyAlignment="1" applyBorder="1" applyFont="1">
      <alignment horizontal="center" readingOrder="0" shrinkToFit="0" vertical="bottom" wrapText="0"/>
    </xf>
    <xf borderId="12" fillId="0" fontId="0" numFmtId="164" xfId="0" applyAlignment="1" applyBorder="1" applyFont="1" applyNumberFormat="1">
      <alignment horizontal="center" readingOrder="0" shrinkToFit="0" vertical="bottom" wrapText="0"/>
    </xf>
    <xf borderId="20" fillId="0" fontId="0" numFmtId="164" xfId="0" applyAlignment="1" applyBorder="1" applyFont="1" applyNumberFormat="1">
      <alignment horizontal="center" readingOrder="0" shrinkToFit="0" vertical="bottom" wrapText="0"/>
    </xf>
    <xf borderId="0" fillId="0" fontId="120" numFmtId="164" xfId="0" applyAlignment="1" applyFont="1" applyNumberFormat="1">
      <alignment horizontal="center" readingOrder="0" shrinkToFit="0" vertical="top" wrapText="0"/>
    </xf>
    <xf borderId="12" fillId="18" fontId="0" numFmtId="0" xfId="0" applyAlignment="1" applyBorder="1" applyFont="1">
      <alignment horizontal="center" readingOrder="0" shrinkToFit="0" vertical="bottom" wrapText="0"/>
    </xf>
    <xf borderId="81" fillId="0" fontId="0" numFmtId="164" xfId="0" applyAlignment="1" applyBorder="1" applyFont="1" applyNumberFormat="1">
      <alignment horizontal="center" readingOrder="0" shrinkToFit="0" vertical="bottom" wrapText="0"/>
    </xf>
    <xf borderId="48" fillId="0" fontId="0" numFmtId="164" xfId="0" applyAlignment="1" applyBorder="1" applyFont="1" applyNumberFormat="1">
      <alignment horizontal="center" readingOrder="0" shrinkToFit="0" vertical="bottom" wrapText="0"/>
    </xf>
    <xf borderId="14" fillId="0" fontId="0" numFmtId="164" xfId="0" applyAlignment="1" applyBorder="1" applyFont="1" applyNumberFormat="1">
      <alignment horizontal="center" readingOrder="0" shrinkToFit="0" vertical="bottom" wrapText="0"/>
    </xf>
    <xf borderId="78" fillId="0" fontId="106" numFmtId="10" xfId="0" applyAlignment="1" applyBorder="1" applyFont="1" applyNumberFormat="1">
      <alignment readingOrder="0"/>
    </xf>
    <xf borderId="24" fillId="0" fontId="1" numFmtId="164" xfId="0" applyAlignment="1" applyBorder="1" applyFont="1" applyNumberFormat="1">
      <alignment horizontal="center"/>
    </xf>
    <xf borderId="24" fillId="0" fontId="0" numFmtId="164" xfId="0" applyAlignment="1" applyBorder="1" applyFont="1" applyNumberFormat="1">
      <alignment horizontal="center" readingOrder="0" shrinkToFit="0" vertical="bottom" wrapText="0"/>
    </xf>
    <xf borderId="83" fillId="0" fontId="0" numFmtId="164" xfId="0" applyAlignment="1" applyBorder="1" applyFont="1" applyNumberFormat="1">
      <alignment horizontal="center" readingOrder="0" shrinkToFit="0" vertical="bottom" wrapText="0"/>
    </xf>
    <xf borderId="8" fillId="0" fontId="0" numFmtId="164" xfId="0" applyAlignment="1" applyBorder="1" applyFont="1" applyNumberFormat="1">
      <alignment horizontal="center" readingOrder="0" shrinkToFit="0" vertical="bottom" wrapText="0"/>
    </xf>
    <xf borderId="25" fillId="0" fontId="0" numFmtId="164" xfId="0" applyAlignment="1" applyBorder="1" applyFont="1" applyNumberFormat="1">
      <alignment horizontal="center" readingOrder="0" shrinkToFit="0" vertical="bottom" wrapText="0"/>
    </xf>
    <xf borderId="78" fillId="0" fontId="106" numFmtId="9" xfId="0" applyAlignment="1" applyBorder="1" applyFont="1" applyNumberFormat="1">
      <alignment readingOrder="0"/>
    </xf>
    <xf borderId="20" fillId="0" fontId="1" numFmtId="0" xfId="0" applyAlignment="1" applyBorder="1" applyFont="1">
      <alignment horizontal="center" readingOrder="0"/>
    </xf>
    <xf borderId="12" fillId="0" fontId="1" numFmtId="0" xfId="0" applyAlignment="1" applyBorder="1" applyFont="1">
      <alignment horizontal="center" readingOrder="0"/>
    </xf>
    <xf borderId="81" fillId="0" fontId="106" numFmtId="0" xfId="0" applyAlignment="1" applyBorder="1" applyFont="1">
      <alignment readingOrder="0"/>
    </xf>
    <xf borderId="84" fillId="49" fontId="106" numFmtId="171" xfId="0" applyBorder="1" applyFont="1" applyNumberFormat="1"/>
    <xf borderId="21" fillId="0" fontId="1" numFmtId="0" xfId="0" applyAlignment="1" applyBorder="1" applyFont="1">
      <alignment horizontal="center" readingOrder="0"/>
    </xf>
    <xf borderId="21" fillId="0" fontId="1" numFmtId="10" xfId="0" applyAlignment="1" applyBorder="1" applyFont="1" applyNumberFormat="1">
      <alignment horizontal="center"/>
    </xf>
    <xf borderId="17" fillId="0" fontId="1" numFmtId="10" xfId="0" applyAlignment="1" applyBorder="1" applyFont="1" applyNumberFormat="1">
      <alignment horizontal="center"/>
    </xf>
    <xf borderId="0" fillId="0" fontId="121" numFmtId="164" xfId="0" applyAlignment="1" applyFont="1" applyNumberFormat="1">
      <alignment horizontal="center" readingOrder="0" shrinkToFit="0" vertical="top" wrapText="0"/>
    </xf>
    <xf borderId="85" fillId="0" fontId="1" numFmtId="164" xfId="0" applyAlignment="1" applyBorder="1" applyFont="1" applyNumberFormat="1">
      <alignment horizontal="center"/>
    </xf>
    <xf borderId="11" fillId="0" fontId="1" numFmtId="164" xfId="0" applyAlignment="1" applyBorder="1" applyFont="1" applyNumberFormat="1">
      <alignment horizontal="center"/>
    </xf>
    <xf borderId="84" fillId="23" fontId="106" numFmtId="171" xfId="0" applyBorder="1" applyFont="1" applyNumberFormat="1"/>
    <xf borderId="80" fillId="49" fontId="106" numFmtId="10" xfId="0" applyBorder="1" applyFont="1" applyNumberFormat="1"/>
    <xf borderId="20" fillId="44" fontId="120" numFmtId="0" xfId="0" applyAlignment="1" applyBorder="1" applyFont="1">
      <alignment horizontal="center" readingOrder="0" shrinkToFit="0" vertical="top" wrapText="0"/>
    </xf>
    <xf borderId="14" fillId="44" fontId="120" numFmtId="0" xfId="0" applyAlignment="1" applyBorder="1" applyFont="1">
      <alignment horizontal="center" readingOrder="0" shrinkToFit="0" vertical="top" wrapText="0"/>
    </xf>
    <xf borderId="4" fillId="0" fontId="1" numFmtId="164" xfId="0" applyAlignment="1" applyBorder="1" applyFont="1" applyNumberFormat="1">
      <alignment horizontal="center" readingOrder="0"/>
    </xf>
    <xf borderId="5" fillId="23" fontId="1" numFmtId="164" xfId="0" applyAlignment="1" applyBorder="1" applyFont="1" applyNumberFormat="1">
      <alignment horizontal="center" readingOrder="0"/>
    </xf>
    <xf borderId="6" fillId="0" fontId="1" numFmtId="164" xfId="0" applyAlignment="1" applyBorder="1" applyFont="1" applyNumberFormat="1">
      <alignment horizontal="center" readingOrder="0"/>
    </xf>
    <xf borderId="40" fillId="44" fontId="119" numFmtId="0" xfId="0" applyAlignment="1" applyBorder="1" applyFont="1">
      <alignment horizontal="center" readingOrder="0"/>
    </xf>
    <xf borderId="7" fillId="0" fontId="1" numFmtId="164" xfId="0" applyAlignment="1" applyBorder="1" applyFont="1" applyNumberFormat="1">
      <alignment horizontal="center" readingOrder="0"/>
    </xf>
    <xf borderId="8" fillId="0" fontId="1" numFmtId="164" xfId="0" applyAlignment="1" applyBorder="1" applyFont="1" applyNumberFormat="1">
      <alignment horizontal="center" readingOrder="0"/>
    </xf>
    <xf borderId="26" fillId="0" fontId="106" numFmtId="0" xfId="0" applyAlignment="1" applyBorder="1" applyFont="1">
      <alignment readingOrder="0"/>
    </xf>
    <xf borderId="26" fillId="0" fontId="106" numFmtId="171" xfId="0" applyBorder="1" applyFont="1" applyNumberFormat="1"/>
    <xf borderId="7" fillId="11" fontId="1" numFmtId="164" xfId="0" applyAlignment="1" applyBorder="1" applyFont="1" applyNumberFormat="1">
      <alignment horizontal="center" readingOrder="0"/>
    </xf>
    <xf borderId="0" fillId="11" fontId="14" numFmtId="164" xfId="0" applyAlignment="1" applyFont="1" applyNumberFormat="1">
      <alignment horizontal="center" readingOrder="0"/>
    </xf>
    <xf borderId="8" fillId="11" fontId="14" numFmtId="164" xfId="0" applyAlignment="1" applyBorder="1" applyFont="1" applyNumberFormat="1">
      <alignment horizontal="center" readingOrder="0"/>
    </xf>
    <xf borderId="26" fillId="0" fontId="1" numFmtId="0" xfId="0" applyAlignment="1" applyBorder="1" applyFont="1">
      <alignment readingOrder="0"/>
    </xf>
    <xf borderId="9" fillId="17" fontId="1" numFmtId="164" xfId="0" applyAlignment="1" applyBorder="1" applyFont="1" applyNumberFormat="1">
      <alignment horizontal="center" readingOrder="0"/>
    </xf>
    <xf borderId="10" fillId="17" fontId="14" numFmtId="164" xfId="0" applyAlignment="1" applyBorder="1" applyFont="1" applyNumberFormat="1">
      <alignment horizontal="center" readingOrder="0"/>
    </xf>
    <xf borderId="11" fillId="17" fontId="14" numFmtId="164" xfId="0" applyAlignment="1" applyBorder="1" applyFont="1" applyNumberFormat="1">
      <alignment horizontal="center" readingOrder="0"/>
    </xf>
    <xf borderId="0" fillId="22" fontId="125" numFmtId="0" xfId="0" applyAlignment="1" applyFont="1">
      <alignment readingOrder="0" shrinkToFit="0" vertical="bottom" wrapText="0"/>
    </xf>
    <xf borderId="0" fillId="22" fontId="125" numFmtId="171" xfId="0" applyAlignment="1" applyFont="1" applyNumberFormat="1">
      <alignment readingOrder="0" shrinkToFit="0" vertical="bottom" wrapText="0"/>
    </xf>
    <xf borderId="0" fillId="17" fontId="126" numFmtId="0" xfId="0" applyAlignment="1" applyFont="1">
      <alignment readingOrder="0" shrinkToFit="0" vertical="bottom" wrapText="0"/>
    </xf>
    <xf borderId="0" fillId="17" fontId="126" numFmtId="171" xfId="0" applyAlignment="1" applyFont="1" applyNumberFormat="1">
      <alignment horizontal="right" readingOrder="0" shrinkToFit="0" vertical="bottom" wrapText="0"/>
    </xf>
    <xf borderId="0" fillId="16" fontId="126" numFmtId="0" xfId="0" applyAlignment="1" applyFont="1">
      <alignment readingOrder="0" shrinkToFit="0" vertical="bottom" wrapText="0"/>
    </xf>
    <xf borderId="0" fillId="16" fontId="126" numFmtId="171" xfId="0" applyAlignment="1" applyFont="1" applyNumberFormat="1">
      <alignment horizontal="right" readingOrder="0" shrinkToFit="0" vertical="bottom" wrapText="0"/>
    </xf>
    <xf borderId="1" fillId="14" fontId="1" numFmtId="0" xfId="0" applyAlignment="1" applyBorder="1" applyFont="1">
      <alignment horizontal="center" readingOrder="0"/>
    </xf>
    <xf borderId="2" fillId="14" fontId="1" numFmtId="164" xfId="0" applyAlignment="1" applyBorder="1" applyFont="1" applyNumberFormat="1">
      <alignment horizontal="center"/>
    </xf>
    <xf borderId="3" fillId="14" fontId="1" numFmtId="164" xfId="0" applyAlignment="1" applyBorder="1" applyFont="1" applyNumberFormat="1">
      <alignment horizontal="center" readingOrder="0"/>
    </xf>
    <xf borderId="0" fillId="16" fontId="126" numFmtId="4" xfId="0" applyAlignment="1" applyFont="1" applyNumberFormat="1">
      <alignment horizontal="right" readingOrder="0" shrinkToFit="0" vertical="bottom" wrapText="0"/>
    </xf>
    <xf borderId="0" fillId="15" fontId="127" numFmtId="0" xfId="0" applyAlignment="1" applyFont="1">
      <alignment readingOrder="0"/>
    </xf>
    <xf borderId="0" fillId="15" fontId="125" numFmtId="171" xfId="0" applyAlignment="1" applyFont="1" applyNumberFormat="1">
      <alignment readingOrder="0"/>
    </xf>
    <xf borderId="0" fillId="0" fontId="125" numFmtId="0" xfId="0" applyAlignment="1" applyFont="1">
      <alignment horizontal="left" readingOrder="0" shrinkToFit="0" vertical="bottom" wrapText="0"/>
    </xf>
    <xf borderId="0" fillId="0" fontId="125" numFmtId="171" xfId="0" applyAlignment="1" applyFont="1" applyNumberFormat="1">
      <alignment horizontal="left" readingOrder="0" shrinkToFit="0" vertical="bottom" wrapText="0"/>
    </xf>
    <xf borderId="0" fillId="0" fontId="125" numFmtId="0" xfId="0" applyAlignment="1" applyFont="1">
      <alignment horizontal="left" readingOrder="0" shrinkToFit="0" vertical="bottom" wrapText="0"/>
    </xf>
    <xf borderId="0" fillId="0" fontId="126" numFmtId="0" xfId="0" applyAlignment="1" applyFont="1">
      <alignment readingOrder="0" shrinkToFit="0" vertical="bottom" wrapText="0"/>
    </xf>
    <xf borderId="0" fillId="0" fontId="126" numFmtId="171" xfId="0" applyAlignment="1" applyFont="1" applyNumberFormat="1">
      <alignment readingOrder="0" shrinkToFit="0" vertical="bottom" wrapText="0"/>
    </xf>
    <xf borderId="0" fillId="16" fontId="126" numFmtId="164" xfId="0" applyAlignment="1" applyFont="1" applyNumberFormat="1">
      <alignment readingOrder="0" shrinkToFit="0" vertical="bottom" wrapText="0"/>
    </xf>
    <xf borderId="0" fillId="16" fontId="126" numFmtId="0" xfId="0" applyAlignment="1" applyFont="1">
      <alignment readingOrder="0" shrinkToFit="0" vertical="bottom" wrapText="0"/>
    </xf>
    <xf borderId="0" fillId="0" fontId="126" numFmtId="4" xfId="0" applyAlignment="1" applyFont="1" applyNumberFormat="1">
      <alignment readingOrder="0" shrinkToFit="0" vertical="bottom" wrapText="0"/>
    </xf>
    <xf borderId="0" fillId="0" fontId="126" numFmtId="164" xfId="0" applyAlignment="1" applyFont="1" applyNumberFormat="1">
      <alignment readingOrder="0" shrinkToFit="0" vertical="bottom" wrapText="0"/>
    </xf>
    <xf borderId="0" fillId="17" fontId="126" numFmtId="164" xfId="0" applyAlignment="1" applyFont="1" applyNumberFormat="1">
      <alignment readingOrder="0" shrinkToFit="0" vertical="bottom" wrapText="0"/>
    </xf>
    <xf borderId="0" fillId="15" fontId="126" numFmtId="164" xfId="0" applyAlignment="1" applyFont="1" applyNumberFormat="1">
      <alignment readingOrder="0" shrinkToFit="0" vertical="bottom" wrapText="0"/>
    </xf>
    <xf borderId="0" fillId="18" fontId="126" numFmtId="0" xfId="0" applyAlignment="1" applyFont="1">
      <alignment readingOrder="0" shrinkToFit="0" vertical="bottom" wrapText="0"/>
    </xf>
    <xf borderId="0" fillId="18" fontId="126" numFmtId="164" xfId="0" applyAlignment="1" applyFont="1" applyNumberFormat="1">
      <alignment readingOrder="0" shrinkToFit="0" vertical="bottom" wrapText="0"/>
    </xf>
    <xf borderId="0" fillId="18" fontId="126" numFmtId="0" xfId="0" applyAlignment="1" applyFont="1">
      <alignment readingOrder="0" shrinkToFit="0" vertical="bottom" wrapText="0"/>
    </xf>
    <xf borderId="0" fillId="18" fontId="126" numFmtId="4" xfId="0" applyAlignment="1" applyFont="1" applyNumberFormat="1">
      <alignment readingOrder="0" shrinkToFit="0" vertical="bottom" wrapText="0"/>
    </xf>
    <xf borderId="0" fillId="50" fontId="126" numFmtId="0" xfId="0" applyAlignment="1" applyFill="1" applyFont="1">
      <alignment readingOrder="0" shrinkToFit="0" vertical="bottom" wrapText="0"/>
    </xf>
    <xf borderId="0" fillId="50" fontId="126" numFmtId="164" xfId="0" applyAlignment="1" applyFont="1" applyNumberFormat="1">
      <alignment readingOrder="0" shrinkToFit="0" vertical="bottom" wrapText="0"/>
    </xf>
    <xf borderId="0" fillId="50" fontId="126" numFmtId="0" xfId="0" applyAlignment="1" applyFont="1">
      <alignment readingOrder="0" shrinkToFit="0" vertical="bottom" wrapText="0"/>
    </xf>
    <xf borderId="0" fillId="50" fontId="126" numFmtId="4" xfId="0" applyAlignment="1" applyFont="1" applyNumberFormat="1">
      <alignment readingOrder="0" shrinkToFit="0" vertical="bottom" wrapText="0"/>
    </xf>
    <xf borderId="12" fillId="51" fontId="106" numFmtId="0" xfId="0" applyAlignment="1" applyBorder="1" applyFill="1" applyFont="1">
      <alignment horizontal="center" readingOrder="0" vertical="center"/>
    </xf>
    <xf borderId="20" fillId="30" fontId="106" numFmtId="0" xfId="0" applyAlignment="1" applyBorder="1" applyFont="1">
      <alignment horizontal="center" readingOrder="0" vertical="center"/>
    </xf>
    <xf borderId="12" fillId="30" fontId="106" numFmtId="0" xfId="0" applyAlignment="1" applyBorder="1" applyFont="1">
      <alignment horizontal="center" readingOrder="0" vertical="center"/>
    </xf>
    <xf borderId="13" fillId="30" fontId="106" numFmtId="0" xfId="0" applyAlignment="1" applyBorder="1" applyFont="1">
      <alignment horizontal="center" readingOrder="0" vertical="center"/>
    </xf>
    <xf borderId="14" fillId="30" fontId="106" numFmtId="0" xfId="0" applyAlignment="1" applyBorder="1" applyFont="1">
      <alignment horizontal="center" readingOrder="0" vertical="center"/>
    </xf>
    <xf borderId="22" fillId="0" fontId="106" numFmtId="0" xfId="0" applyAlignment="1" applyBorder="1" applyFont="1">
      <alignment horizontal="center" readingOrder="0" vertical="center"/>
    </xf>
    <xf borderId="22" fillId="0" fontId="106" numFmtId="164" xfId="0" applyAlignment="1" applyBorder="1" applyFont="1" applyNumberFormat="1">
      <alignment horizontal="center" vertical="center"/>
    </xf>
    <xf borderId="22" fillId="0" fontId="106" numFmtId="10" xfId="0" applyAlignment="1" applyBorder="1" applyFont="1" applyNumberFormat="1">
      <alignment horizontal="center" readingOrder="0" vertical="center"/>
    </xf>
    <xf borderId="24" fillId="0" fontId="106" numFmtId="164" xfId="0" applyAlignment="1" applyBorder="1" applyFont="1" applyNumberFormat="1">
      <alignment horizontal="center" readingOrder="0" vertical="center"/>
    </xf>
    <xf borderId="0" fillId="0" fontId="106" numFmtId="164" xfId="0" applyAlignment="1" applyFont="1" applyNumberFormat="1">
      <alignment horizontal="center" readingOrder="0" vertical="center"/>
    </xf>
    <xf borderId="25" fillId="0" fontId="106" numFmtId="164" xfId="0" applyAlignment="1" applyBorder="1" applyFont="1" applyNumberFormat="1">
      <alignment horizontal="center" readingOrder="0" vertical="center"/>
    </xf>
    <xf borderId="24" fillId="0" fontId="106" numFmtId="10" xfId="0" applyAlignment="1" applyBorder="1" applyFont="1" applyNumberFormat="1">
      <alignment horizontal="center" vertical="center"/>
    </xf>
    <xf borderId="25" fillId="0" fontId="106" numFmtId="10" xfId="0" applyAlignment="1" applyBorder="1" applyFont="1" applyNumberFormat="1">
      <alignment horizontal="center" vertical="center"/>
    </xf>
    <xf borderId="22" fillId="0" fontId="106" numFmtId="10" xfId="0" applyAlignment="1" applyBorder="1" applyFont="1" applyNumberFormat="1">
      <alignment horizontal="center" vertical="center"/>
    </xf>
    <xf borderId="24" fillId="21" fontId="0" numFmtId="164" xfId="0" applyAlignment="1" applyBorder="1" applyFont="1" applyNumberFormat="1">
      <alignment horizontal="center" readingOrder="0" vertical="center"/>
    </xf>
    <xf borderId="0" fillId="0" fontId="106" numFmtId="164" xfId="0" applyAlignment="1" applyFont="1" applyNumberFormat="1">
      <alignment horizontal="center" vertical="center"/>
    </xf>
    <xf borderId="22" fillId="0" fontId="106" numFmtId="0" xfId="0" applyAlignment="1" applyBorder="1" applyFont="1">
      <alignment horizontal="center" vertical="center"/>
    </xf>
    <xf borderId="24" fillId="21" fontId="0" numFmtId="164" xfId="0" applyAlignment="1" applyBorder="1" applyFont="1" applyNumberFormat="1">
      <alignment horizontal="center" vertical="center"/>
    </xf>
    <xf borderId="25" fillId="0" fontId="106" numFmtId="164" xfId="0" applyAlignment="1" applyBorder="1" applyFont="1" applyNumberFormat="1">
      <alignment horizontal="center" vertical="center"/>
    </xf>
    <xf borderId="24" fillId="0" fontId="106" numFmtId="164" xfId="0" applyAlignment="1" applyBorder="1" applyFont="1" applyNumberFormat="1">
      <alignment horizontal="center" vertical="center"/>
    </xf>
    <xf borderId="21" fillId="0" fontId="106" numFmtId="0" xfId="0" applyAlignment="1" applyBorder="1" applyFont="1">
      <alignment horizontal="center" readingOrder="0" vertical="center"/>
    </xf>
    <xf borderId="21" fillId="0" fontId="106" numFmtId="0" xfId="0" applyAlignment="1" applyBorder="1" applyFont="1">
      <alignment horizontal="center" vertical="center"/>
    </xf>
    <xf borderId="15" fillId="0" fontId="106" numFmtId="164" xfId="0" applyAlignment="1" applyBorder="1" applyFont="1" applyNumberFormat="1">
      <alignment horizontal="center" vertical="center"/>
    </xf>
    <xf borderId="16" fillId="0" fontId="106" numFmtId="164" xfId="0" applyAlignment="1" applyBorder="1" applyFont="1" applyNumberFormat="1">
      <alignment horizontal="center" vertical="center"/>
    </xf>
    <xf borderId="17" fillId="0" fontId="106" numFmtId="164" xfId="0" applyAlignment="1" applyBorder="1" applyFont="1" applyNumberFormat="1">
      <alignment horizontal="center" vertical="center"/>
    </xf>
    <xf borderId="15" fillId="0" fontId="106" numFmtId="10" xfId="0" applyAlignment="1" applyBorder="1" applyFont="1" applyNumberFormat="1">
      <alignment horizontal="center" vertical="center"/>
    </xf>
    <xf borderId="16" fillId="0" fontId="106" numFmtId="10" xfId="0" applyAlignment="1" applyBorder="1" applyFont="1" applyNumberFormat="1">
      <alignment horizontal="center" vertical="center"/>
    </xf>
    <xf borderId="17" fillId="0" fontId="106" numFmtId="10" xfId="0" applyAlignment="1" applyBorder="1" applyFont="1" applyNumberFormat="1">
      <alignment horizontal="center" vertical="center"/>
    </xf>
    <xf borderId="0" fillId="0" fontId="128" numFmtId="0" xfId="0" applyFont="1"/>
    <xf borderId="0" fillId="0" fontId="128" numFmtId="0" xfId="0" applyAlignment="1" applyFont="1">
      <alignment horizontal="center"/>
    </xf>
    <xf borderId="0" fillId="0" fontId="128" numFmtId="0" xfId="0" applyAlignment="1" applyFont="1">
      <alignment horizontal="center" vertical="center"/>
    </xf>
    <xf borderId="0" fillId="0" fontId="128" numFmtId="177" xfId="0" applyAlignment="1" applyFont="1" applyNumberFormat="1">
      <alignment horizontal="center" vertical="center"/>
    </xf>
    <xf borderId="0" fillId="0" fontId="128" numFmtId="0" xfId="0" applyAlignment="1" applyFont="1">
      <alignment horizontal="center" readingOrder="0" vertical="center"/>
    </xf>
    <xf borderId="86" fillId="0" fontId="128" numFmtId="0" xfId="0" applyAlignment="1" applyBorder="1" applyFont="1">
      <alignment horizontal="center" readingOrder="0" vertical="center"/>
    </xf>
    <xf borderId="87" fillId="0" fontId="128" numFmtId="177" xfId="0" applyAlignment="1" applyBorder="1" applyFont="1" applyNumberFormat="1">
      <alignment horizontal="center" readingOrder="0" vertical="center"/>
    </xf>
    <xf borderId="0" fillId="0" fontId="129" numFmtId="0" xfId="0" applyAlignment="1" applyFont="1">
      <alignment horizontal="center" vertical="center"/>
    </xf>
    <xf borderId="87" fillId="0" fontId="128" numFmtId="10" xfId="0" applyAlignment="1" applyBorder="1" applyFont="1" applyNumberFormat="1">
      <alignment horizontal="center" readingOrder="0" vertical="center"/>
    </xf>
    <xf borderId="0" fillId="0" fontId="128" numFmtId="177" xfId="0" applyAlignment="1" applyFont="1" applyNumberFormat="1">
      <alignment horizontal="center" readingOrder="0" vertical="center"/>
    </xf>
    <xf borderId="88" fillId="0" fontId="128" numFmtId="0" xfId="0" applyAlignment="1" applyBorder="1" applyFont="1">
      <alignment horizontal="center" readingOrder="0" vertical="center"/>
    </xf>
    <xf borderId="88" fillId="0" fontId="130" numFmtId="177" xfId="0" applyAlignment="1" applyBorder="1" applyFont="1" applyNumberFormat="1">
      <alignment horizontal="center" readingOrder="0" vertical="center"/>
    </xf>
    <xf borderId="87" fillId="0" fontId="128" numFmtId="0" xfId="0" applyAlignment="1" applyBorder="1" applyFont="1">
      <alignment horizontal="center" readingOrder="0" vertical="center"/>
    </xf>
    <xf borderId="89" fillId="0" fontId="128" numFmtId="0" xfId="0" applyAlignment="1" applyBorder="1" applyFont="1">
      <alignment horizontal="center" readingOrder="0" vertical="center"/>
    </xf>
    <xf borderId="88" fillId="0" fontId="128" numFmtId="177" xfId="0" applyAlignment="1" applyBorder="1" applyFont="1" applyNumberFormat="1">
      <alignment horizontal="center" readingOrder="0" vertical="center"/>
    </xf>
    <xf borderId="88" fillId="0" fontId="128" numFmtId="10" xfId="0" applyAlignment="1" applyBorder="1" applyFont="1" applyNumberFormat="1">
      <alignment horizontal="center" readingOrder="0" vertical="center"/>
    </xf>
    <xf borderId="88" fillId="0" fontId="128" numFmtId="178" xfId="0" applyAlignment="1" applyBorder="1" applyFont="1" applyNumberFormat="1">
      <alignment horizontal="center" readingOrder="0" vertical="center"/>
    </xf>
    <xf borderId="0" fillId="0" fontId="128" numFmtId="0" xfId="0" applyAlignment="1" applyFont="1">
      <alignment readingOrder="0"/>
    </xf>
    <xf borderId="0" fillId="0" fontId="131" numFmtId="0" xfId="0" applyAlignment="1" applyFont="1">
      <alignment horizontal="center"/>
    </xf>
    <xf borderId="0" fillId="0" fontId="131" numFmtId="0" xfId="0" applyAlignment="1" applyFont="1">
      <alignment horizontal="center" vertical="center"/>
    </xf>
    <xf borderId="0" fillId="0" fontId="128" numFmtId="178" xfId="0" applyAlignment="1" applyFont="1" applyNumberFormat="1">
      <alignment horizontal="center" vertical="center"/>
    </xf>
    <xf borderId="0" fillId="0" fontId="128" numFmtId="175" xfId="0" applyAlignment="1" applyFont="1" applyNumberFormat="1">
      <alignment horizontal="center" vertical="center"/>
    </xf>
    <xf borderId="0" fillId="0" fontId="128" numFmtId="10" xfId="0" applyAlignment="1" applyFont="1" applyNumberFormat="1">
      <alignment horizontal="center" vertical="center"/>
    </xf>
    <xf borderId="90" fillId="0" fontId="132" numFmtId="0" xfId="0" applyAlignment="1" applyBorder="1" applyFont="1">
      <alignment horizontal="center" readingOrder="0" vertical="bottom"/>
    </xf>
    <xf borderId="91" fillId="0" fontId="133" numFmtId="0" xfId="0" applyAlignment="1" applyBorder="1" applyFont="1">
      <alignment horizontal="center" readingOrder="0" vertical="top"/>
    </xf>
    <xf borderId="91" fillId="0" fontId="134" numFmtId="10" xfId="0" applyAlignment="1" applyBorder="1" applyFont="1" applyNumberFormat="1">
      <alignment horizontal="center" readingOrder="0" vertical="top"/>
    </xf>
    <xf borderId="92" fillId="0" fontId="135" numFmtId="10" xfId="0" applyAlignment="1" applyBorder="1" applyFont="1" applyNumberFormat="1">
      <alignment horizontal="center" readingOrder="0"/>
    </xf>
    <xf borderId="91" fillId="0" fontId="136" numFmtId="10" xfId="0" applyAlignment="1" applyBorder="1" applyFont="1" applyNumberFormat="1">
      <alignment horizontal="center" readingOrder="0" vertical="top"/>
    </xf>
    <xf borderId="91" fillId="0" fontId="133" numFmtId="4" xfId="0" applyAlignment="1" applyBorder="1" applyFont="1" applyNumberFormat="1">
      <alignment horizontal="center" readingOrder="0" vertical="top"/>
    </xf>
    <xf borderId="0" fillId="0" fontId="136" numFmtId="10" xfId="0" applyAlignment="1" applyFont="1" applyNumberFormat="1">
      <alignment horizontal="center" readingOrder="0" vertical="top"/>
    </xf>
    <xf borderId="0" fillId="0" fontId="133" numFmtId="0" xfId="0" applyAlignment="1" applyFont="1">
      <alignment horizontal="center" readingOrder="0" vertical="top"/>
    </xf>
    <xf borderId="91" fillId="35" fontId="133" numFmtId="4" xfId="0" applyAlignment="1" applyBorder="1" applyFont="1" applyNumberFormat="1">
      <alignment horizontal="center" readingOrder="0" vertical="top"/>
    </xf>
    <xf borderId="91" fillId="0" fontId="137" numFmtId="10" xfId="0" applyAlignment="1" applyBorder="1" applyFont="1" applyNumberFormat="1">
      <alignment horizontal="center" readingOrder="0" vertical="top"/>
    </xf>
    <xf borderId="0" fillId="0" fontId="137" numFmtId="10" xfId="0" applyAlignment="1" applyFont="1" applyNumberFormat="1">
      <alignment horizontal="center" readingOrder="0" vertical="top"/>
    </xf>
    <xf borderId="0" fillId="0" fontId="133" numFmtId="4" xfId="0" applyAlignment="1" applyFont="1" applyNumberFormat="1">
      <alignment horizontal="center" readingOrder="0" vertical="top"/>
    </xf>
    <xf borderId="0" fillId="0" fontId="138" numFmtId="4" xfId="0" applyAlignment="1" applyFont="1" applyNumberFormat="1">
      <alignment horizontal="left" readingOrder="0" vertical="top"/>
    </xf>
    <xf borderId="43" fillId="14" fontId="80" numFmtId="0" xfId="0" applyAlignment="1" applyBorder="1" applyFont="1">
      <alignment horizontal="right" readingOrder="0" vertical="bottom"/>
    </xf>
    <xf borderId="44" fillId="14" fontId="80" numFmtId="0" xfId="0" applyAlignment="1" applyBorder="1" applyFont="1">
      <alignment horizontal="right" readingOrder="0" vertical="bottom"/>
    </xf>
    <xf borderId="6" fillId="14" fontId="81" numFmtId="171" xfId="0" applyAlignment="1" applyBorder="1" applyFont="1" applyNumberFormat="1">
      <alignment horizontal="center" readingOrder="0" vertical="center"/>
    </xf>
    <xf borderId="4" fillId="25" fontId="15" numFmtId="0" xfId="0" applyAlignment="1" applyBorder="1" applyFont="1">
      <alignment horizontal="center" readingOrder="0" vertical="center"/>
    </xf>
    <xf borderId="1" fillId="25" fontId="15" numFmtId="0" xfId="0" applyAlignment="1" applyBorder="1" applyFont="1">
      <alignment horizontal="center" readingOrder="0" vertical="center"/>
    </xf>
    <xf borderId="46" fillId="14" fontId="83" numFmtId="171" xfId="0" applyAlignment="1" applyBorder="1" applyFont="1" applyNumberFormat="1">
      <alignment horizontal="center" readingOrder="0" vertical="bottom"/>
    </xf>
    <xf borderId="47" fillId="25" fontId="15" numFmtId="164" xfId="0" applyAlignment="1" applyBorder="1" applyFont="1" applyNumberFormat="1">
      <alignment horizontal="center" readingOrder="0" vertical="center"/>
    </xf>
    <xf borderId="48" fillId="25" fontId="15" numFmtId="164" xfId="0" applyAlignment="1" applyBorder="1" applyFont="1" applyNumberFormat="1">
      <alignment horizontal="center" readingOrder="0" vertical="center"/>
    </xf>
    <xf borderId="7" fillId="25" fontId="15" numFmtId="164" xfId="0" applyAlignment="1" applyBorder="1" applyFont="1" applyNumberFormat="1">
      <alignment horizontal="center" readingOrder="0" vertical="center"/>
    </xf>
    <xf borderId="0" fillId="0" fontId="37" numFmtId="10" xfId="0" applyAlignment="1" applyFont="1" applyNumberFormat="1">
      <alignment horizontal="center" readingOrder="0" vertical="center"/>
    </xf>
    <xf borderId="0" fillId="0" fontId="37" numFmtId="164" xfId="0" applyAlignment="1" applyFont="1" applyNumberFormat="1">
      <alignment horizontal="center" readingOrder="0" vertical="center"/>
    </xf>
    <xf borderId="46" fillId="14" fontId="83" numFmtId="172" xfId="0" applyAlignment="1" applyBorder="1" applyFont="1" applyNumberFormat="1">
      <alignment horizontal="center" readingOrder="0" vertical="bottom"/>
    </xf>
    <xf borderId="8" fillId="14" fontId="84" numFmtId="173" xfId="0" applyAlignment="1" applyBorder="1" applyFont="1" applyNumberFormat="1">
      <alignment horizontal="center" readingOrder="0" vertical="center"/>
    </xf>
    <xf borderId="0" fillId="0" fontId="87" numFmtId="2" xfId="0" applyAlignment="1" applyFont="1" applyNumberFormat="1">
      <alignment horizontal="center" readingOrder="0"/>
    </xf>
    <xf borderId="51" fillId="0" fontId="88" numFmtId="164" xfId="0" applyAlignment="1" applyBorder="1" applyFont="1" applyNumberFormat="1">
      <alignment horizontal="center" readingOrder="0" vertical="bottom"/>
    </xf>
    <xf borderId="5" fillId="14" fontId="81" numFmtId="171" xfId="0" applyAlignment="1" applyBorder="1" applyFont="1" applyNumberFormat="1">
      <alignment horizontal="center" readingOrder="0" vertical="center"/>
    </xf>
    <xf borderId="5" fillId="14" fontId="83" numFmtId="0" xfId="0" applyAlignment="1" applyBorder="1" applyFont="1">
      <alignment horizontal="center" readingOrder="0" vertical="bottom"/>
    </xf>
    <xf borderId="53" fillId="14" fontId="88" numFmtId="0" xfId="0" applyAlignment="1" applyBorder="1" applyFont="1">
      <alignment horizontal="center" readingOrder="0" vertical="bottom"/>
    </xf>
    <xf borderId="8" fillId="2" fontId="90" numFmtId="10" xfId="0" applyAlignment="1" applyBorder="1" applyFont="1" applyNumberFormat="1">
      <alignment horizontal="center" readingOrder="0" vertical="center"/>
    </xf>
    <xf borderId="8" fillId="2" fontId="85" numFmtId="164" xfId="0" applyAlignment="1" applyBorder="1" applyFont="1" applyNumberFormat="1">
      <alignment horizontal="center" readingOrder="0" vertical="center"/>
    </xf>
    <xf borderId="0" fillId="23" fontId="1" numFmtId="0" xfId="0" applyAlignment="1" applyFont="1">
      <alignment horizontal="center" readingOrder="0" vertical="center"/>
    </xf>
    <xf borderId="46" fillId="14" fontId="83" numFmtId="164" xfId="0" applyAlignment="1" applyBorder="1" applyFont="1" applyNumberFormat="1">
      <alignment horizontal="right" readingOrder="0" vertical="bottom"/>
    </xf>
    <xf borderId="0" fillId="14" fontId="84" numFmtId="173" xfId="0" applyAlignment="1" applyFont="1" applyNumberFormat="1">
      <alignment horizontal="center" readingOrder="0" vertical="center"/>
    </xf>
    <xf borderId="56" fillId="14" fontId="83" numFmtId="2" xfId="0" applyAlignment="1" applyBorder="1" applyFont="1" applyNumberFormat="1">
      <alignment horizontal="center" readingOrder="0" vertical="bottom"/>
    </xf>
    <xf borderId="57" fillId="14" fontId="83" numFmtId="2" xfId="0" applyAlignment="1" applyBorder="1" applyFont="1" applyNumberFormat="1">
      <alignment horizontal="center" readingOrder="0" vertical="bottom"/>
    </xf>
    <xf borderId="59" fillId="14" fontId="83" numFmtId="2" xfId="0" applyAlignment="1" applyBorder="1" applyFont="1" applyNumberFormat="1">
      <alignment horizontal="center" readingOrder="0" vertical="bottom"/>
    </xf>
    <xf borderId="60" fillId="14" fontId="83" numFmtId="2" xfId="0" applyAlignment="1" applyBorder="1" applyFont="1" applyNumberFormat="1">
      <alignment horizontal="center" readingOrder="0" vertical="bottom"/>
    </xf>
    <xf borderId="7" fillId="2" fontId="85" numFmtId="10" xfId="0" applyAlignment="1" applyBorder="1" applyFont="1" applyNumberFormat="1">
      <alignment horizontal="center" readingOrder="0" vertical="center"/>
    </xf>
    <xf borderId="8" fillId="2" fontId="85" numFmtId="10" xfId="0" applyAlignment="1" applyBorder="1" applyFont="1" applyNumberFormat="1">
      <alignment horizontal="center" readingOrder="0" vertical="center"/>
    </xf>
    <xf borderId="8" fillId="14" fontId="30" numFmtId="10" xfId="0" applyAlignment="1" applyBorder="1" applyFont="1" applyNumberFormat="1">
      <alignment horizontal="center" readingOrder="0" vertical="center"/>
    </xf>
    <xf borderId="62" fillId="17" fontId="81" numFmtId="171" xfId="0" applyAlignment="1" applyBorder="1" applyFont="1" applyNumberFormat="1">
      <alignment horizontal="center" readingOrder="0" vertical="center"/>
    </xf>
    <xf borderId="5" fillId="2" fontId="48" numFmtId="164" xfId="0" applyAlignment="1" applyBorder="1" applyFont="1" applyNumberFormat="1">
      <alignment horizontal="center" readingOrder="0" vertical="center"/>
    </xf>
    <xf borderId="5" fillId="2" fontId="48" numFmtId="10" xfId="0" applyAlignment="1" applyBorder="1" applyFont="1" applyNumberFormat="1">
      <alignment horizontal="center" readingOrder="0" vertical="center"/>
    </xf>
    <xf borderId="7" fillId="2" fontId="85" numFmtId="164" xfId="0" applyAlignment="1" applyBorder="1" applyFont="1" applyNumberFormat="1">
      <alignment horizontal="center" readingOrder="0" vertical="center"/>
    </xf>
    <xf borderId="0" fillId="17" fontId="84" numFmtId="173" xfId="0" applyAlignment="1" applyFont="1" applyNumberFormat="1">
      <alignment horizontal="center" readingOrder="0" vertical="center"/>
    </xf>
    <xf borderId="56" fillId="17" fontId="83" numFmtId="2" xfId="0" applyAlignment="1" applyBorder="1" applyFont="1" applyNumberFormat="1">
      <alignment horizontal="center" readingOrder="0" vertical="bottom"/>
    </xf>
    <xf borderId="67" fillId="17" fontId="83" numFmtId="164" xfId="0" applyAlignment="1" applyBorder="1" applyFont="1" applyNumberFormat="1">
      <alignment horizontal="center" readingOrder="0" vertical="bottom"/>
    </xf>
    <xf borderId="6" fillId="2" fontId="48" numFmtId="10" xfId="0" applyAlignment="1" applyBorder="1" applyFont="1" applyNumberFormat="1">
      <alignment horizontal="center" readingOrder="0" vertical="center"/>
    </xf>
    <xf borderId="69" fillId="17" fontId="83" numFmtId="0" xfId="0" applyAlignment="1" applyBorder="1" applyFont="1">
      <alignment horizontal="center" readingOrder="0" vertical="bottom"/>
    </xf>
    <xf borderId="71" fillId="17" fontId="83" numFmtId="2" xfId="0" applyAlignment="1" applyBorder="1" applyFont="1" applyNumberFormat="1">
      <alignment horizontal="center" readingOrder="0" vertical="bottom"/>
    </xf>
    <xf borderId="72" fillId="17" fontId="83" numFmtId="2" xfId="0" applyAlignment="1" applyBorder="1" applyFont="1" applyNumberFormat="1">
      <alignment horizontal="center" readingOrder="0" vertical="bottom"/>
    </xf>
    <xf borderId="62" fillId="18" fontId="81" numFmtId="171" xfId="0" applyAlignment="1" applyBorder="1" applyFont="1" applyNumberFormat="1">
      <alignment horizontal="center" readingOrder="0" vertical="center"/>
    </xf>
    <xf borderId="1" fillId="2" fontId="27" numFmtId="164" xfId="0" applyAlignment="1" applyBorder="1" applyFont="1" applyNumberFormat="1">
      <alignment horizontal="center" readingOrder="0"/>
    </xf>
    <xf borderId="0" fillId="18" fontId="84" numFmtId="173" xfId="0" applyAlignment="1" applyFont="1" applyNumberFormat="1">
      <alignment horizontal="center" readingOrder="0" vertical="center"/>
    </xf>
    <xf borderId="0" fillId="18" fontId="83" numFmtId="4" xfId="0" applyAlignment="1" applyFont="1" applyNumberFormat="1">
      <alignment horizontal="center" readingOrder="0" vertical="bottom"/>
    </xf>
    <xf borderId="56" fillId="18" fontId="83" numFmtId="2" xfId="0" applyAlignment="1" applyBorder="1" applyFont="1" applyNumberFormat="1">
      <alignment horizontal="center" readingOrder="0" vertical="bottom"/>
    </xf>
    <xf borderId="67" fillId="18" fontId="83" numFmtId="164" xfId="0" applyAlignment="1" applyBorder="1" applyFont="1" applyNumberFormat="1">
      <alignment horizontal="center" readingOrder="0" vertical="bottom"/>
    </xf>
    <xf borderId="69" fillId="18" fontId="83" numFmtId="4" xfId="0" applyAlignment="1" applyBorder="1" applyFont="1" applyNumberFormat="1">
      <alignment horizontal="center" readingOrder="0" vertical="bottom"/>
    </xf>
    <xf borderId="71" fillId="18" fontId="83" numFmtId="2" xfId="0" applyAlignment="1" applyBorder="1" applyFont="1" applyNumberFormat="1">
      <alignment horizontal="center" readingOrder="0" vertical="bottom"/>
    </xf>
    <xf borderId="72" fillId="18" fontId="83" numFmtId="2" xfId="0" applyAlignment="1" applyBorder="1" applyFont="1" applyNumberFormat="1">
      <alignment horizontal="center" readingOrder="0" vertical="bottom"/>
    </xf>
    <xf borderId="0" fillId="14" fontId="101" numFmtId="0" xfId="0" applyAlignment="1" applyFont="1">
      <alignment horizontal="center" readingOrder="0" shrinkToFit="0" vertical="center" wrapText="1"/>
    </xf>
    <xf borderId="0" fillId="14" fontId="139" numFmtId="0" xfId="0" applyAlignment="1" applyFont="1">
      <alignment horizontal="center" readingOrder="0" vertical="center"/>
    </xf>
    <xf borderId="0" fillId="0" fontId="104" numFmtId="49" xfId="0" applyAlignment="1" applyFont="1" applyNumberFormat="1">
      <alignment readingOrder="0" vertical="bottom"/>
    </xf>
    <xf borderId="7" fillId="2" fontId="105" numFmtId="164" xfId="0" applyAlignment="1" applyBorder="1" applyFont="1" applyNumberFormat="1">
      <alignment horizontal="center" readingOrder="0" vertical="center"/>
    </xf>
    <xf borderId="0" fillId="2" fontId="105" numFmtId="4" xfId="0" applyAlignment="1" applyFont="1" applyNumberFormat="1">
      <alignment horizontal="center" readingOrder="0" vertical="center"/>
    </xf>
    <xf borderId="6" fillId="0" fontId="100" numFmtId="0" xfId="0" applyAlignment="1" applyBorder="1" applyFont="1">
      <alignment horizontal="center" readingOrder="0" vertical="center"/>
    </xf>
    <xf borderId="0" fillId="2" fontId="105" numFmtId="164" xfId="0" applyAlignment="1" applyFont="1" applyNumberFormat="1">
      <alignment horizontal="center" readingOrder="0" vertical="center"/>
    </xf>
    <xf borderId="0" fillId="0" fontId="140" numFmtId="4" xfId="0" applyAlignment="1" applyFont="1" applyNumberFormat="1">
      <alignment horizontal="center" readingOrder="0" vertical="center"/>
    </xf>
    <xf borderId="0" fillId="2" fontId="17" numFmtId="0" xfId="0" applyAlignment="1" applyFont="1">
      <alignment horizontal="center" readingOrder="0" shrinkToFit="0" vertical="center" wrapText="1"/>
    </xf>
    <xf borderId="0" fillId="2" fontId="17" numFmtId="164" xfId="0" applyAlignment="1" applyFont="1" applyNumberFormat="1">
      <alignment horizontal="center" readingOrder="0" shrinkToFit="0" vertical="center" wrapText="1"/>
    </xf>
    <xf borderId="0" fillId="2" fontId="17" numFmtId="4" xfId="0" applyAlignment="1" applyFont="1" applyNumberFormat="1">
      <alignment horizontal="center" readingOrder="0" shrinkToFit="0" vertical="center" wrapText="1"/>
    </xf>
    <xf borderId="5" fillId="2" fontId="17" numFmtId="2" xfId="0" applyAlignment="1" applyBorder="1" applyFont="1" applyNumberFormat="1">
      <alignment horizontal="center" readingOrder="0" vertical="center"/>
    </xf>
    <xf borderId="18" fillId="2" fontId="17" numFmtId="0" xfId="0" applyAlignment="1" applyBorder="1" applyFont="1">
      <alignment horizontal="center" readingOrder="0" vertical="center"/>
    </xf>
    <xf borderId="7" fillId="14" fontId="108" numFmtId="2" xfId="0" applyAlignment="1" applyBorder="1" applyFont="1" applyNumberFormat="1">
      <alignment horizontal="center" readingOrder="0" vertical="center"/>
    </xf>
    <xf borderId="10" fillId="2" fontId="17" numFmtId="2" xfId="0" applyAlignment="1" applyBorder="1" applyFont="1" applyNumberFormat="1">
      <alignment horizontal="center" readingOrder="0" vertical="center"/>
    </xf>
    <xf borderId="0" fillId="14" fontId="17" numFmtId="0" xfId="0" applyAlignment="1" applyFont="1">
      <alignment horizontal="center" readingOrder="0" shrinkToFit="0" vertical="center" wrapText="1"/>
    </xf>
    <xf borderId="0" fillId="14" fontId="141" numFmtId="0" xfId="0" applyAlignment="1" applyFont="1">
      <alignment horizontal="left" readingOrder="0" vertical="center"/>
    </xf>
    <xf borderId="4" fillId="22" fontId="33" numFmtId="0" xfId="0" applyAlignment="1" applyBorder="1" applyFont="1">
      <alignment horizontal="center" readingOrder="0" vertical="bottom"/>
    </xf>
    <xf borderId="7" fillId="22" fontId="34" numFmtId="0" xfId="0" applyAlignment="1" applyBorder="1" applyFont="1">
      <alignment readingOrder="0" shrinkToFit="0" vertical="bottom" wrapText="0"/>
    </xf>
    <xf borderId="7" fillId="22" fontId="37" numFmtId="0" xfId="0" applyAlignment="1" applyBorder="1" applyFont="1">
      <alignment readingOrder="0" shrinkToFit="0" vertical="bottom" wrapText="0"/>
    </xf>
    <xf borderId="7" fillId="22" fontId="111" numFmtId="0" xfId="0" applyAlignment="1" applyBorder="1" applyFont="1">
      <alignment readingOrder="0" shrinkToFit="0" vertical="bottom" wrapText="0"/>
    </xf>
    <xf borderId="0" fillId="2" fontId="1" numFmtId="0" xfId="0" applyAlignment="1" applyFont="1">
      <alignment readingOrder="0"/>
    </xf>
    <xf borderId="0" fillId="2" fontId="25" numFmtId="0" xfId="0" applyAlignment="1" applyFont="1">
      <alignment horizontal="center" readingOrder="0"/>
    </xf>
    <xf borderId="0" fillId="2" fontId="100" numFmtId="0" xfId="0" applyAlignment="1" applyFont="1">
      <alignment readingOrder="0" vertical="bottom"/>
    </xf>
    <xf borderId="0" fillId="2" fontId="90" numFmtId="0" xfId="0" applyAlignment="1" applyFont="1">
      <alignment readingOrder="0" vertical="bottom"/>
    </xf>
    <xf borderId="0" fillId="2" fontId="106" numFmtId="0" xfId="0" applyAlignment="1" applyFont="1">
      <alignment horizontal="center" readingOrder="0"/>
    </xf>
    <xf borderId="0" fillId="23" fontId="106" numFmtId="0" xfId="0" applyAlignment="1" applyFont="1">
      <alignment horizontal="center" readingOrder="0"/>
    </xf>
    <xf borderId="0" fillId="2" fontId="110" numFmtId="0" xfId="0" applyAlignment="1" applyFont="1">
      <alignment readingOrder="0" vertical="bottom"/>
    </xf>
    <xf borderId="0" fillId="23" fontId="110" numFmtId="0" xfId="0" applyAlignment="1" applyFont="1">
      <alignment readingOrder="0" vertical="bottom"/>
    </xf>
    <xf borderId="0" fillId="2" fontId="106" numFmtId="0" xfId="0" applyAlignment="1" applyFont="1">
      <alignment readingOrder="0"/>
    </xf>
    <xf borderId="0" fillId="23" fontId="106" numFmtId="0" xfId="0" applyAlignment="1" applyFont="1">
      <alignment readingOrder="0"/>
    </xf>
    <xf borderId="0" fillId="2" fontId="106" numFmtId="0" xfId="0" applyFont="1"/>
    <xf borderId="0" fillId="2" fontId="142" numFmtId="0" xfId="0" applyAlignment="1" applyFont="1">
      <alignment readingOrder="0"/>
    </xf>
    <xf borderId="0" fillId="2" fontId="106" numFmtId="0" xfId="0" applyAlignment="1" applyFont="1">
      <alignment readingOrder="0"/>
    </xf>
    <xf borderId="0" fillId="23" fontId="106" numFmtId="0" xfId="0" applyAlignment="1" applyFont="1">
      <alignment readingOrder="0"/>
    </xf>
    <xf borderId="0" fillId="2" fontId="106" numFmtId="179" xfId="0" applyAlignment="1" applyFont="1" applyNumberFormat="1">
      <alignment readingOrder="0"/>
    </xf>
    <xf borderId="0" fillId="2" fontId="43" numFmtId="0" xfId="0" applyAlignment="1" applyFont="1">
      <alignment readingOrder="0"/>
    </xf>
    <xf borderId="0" fillId="2" fontId="37" numFmtId="0" xfId="0" applyAlignment="1" applyFont="1">
      <alignment readingOrder="0" vertical="bottom"/>
    </xf>
    <xf borderId="0" fillId="23" fontId="37" numFmtId="0" xfId="0" applyAlignment="1" applyFont="1">
      <alignment readingOrder="0" vertical="bottom"/>
    </xf>
    <xf borderId="0" fillId="2" fontId="1" numFmtId="179" xfId="0" applyAlignment="1" applyFont="1" applyNumberFormat="1">
      <alignment readingOrder="0"/>
    </xf>
    <xf borderId="0" fillId="2" fontId="1" numFmtId="180" xfId="0" applyAlignment="1" applyFont="1" applyNumberFormat="1">
      <alignment readingOrder="0"/>
    </xf>
    <xf borderId="0" fillId="2" fontId="37" numFmtId="0" xfId="0" applyAlignment="1" applyFont="1">
      <alignment readingOrder="0" vertical="bottom"/>
    </xf>
    <xf borderId="0" fillId="23" fontId="37" numFmtId="0" xfId="0" applyAlignment="1" applyFont="1">
      <alignment readingOrder="0" vertical="bottom"/>
    </xf>
    <xf borderId="0" fillId="2" fontId="143" numFmtId="0" xfId="0" applyAlignment="1" applyFont="1">
      <alignment readingOrder="0" vertical="bottom"/>
    </xf>
    <xf borderId="0" fillId="2" fontId="144" numFmtId="0" xfId="0" applyAlignment="1" applyFont="1">
      <alignment readingOrder="0"/>
    </xf>
    <xf borderId="0" fillId="2" fontId="1" numFmtId="0" xfId="0" applyAlignment="1" applyFont="1">
      <alignment readingOrder="0"/>
    </xf>
    <xf borderId="0" fillId="21" fontId="145" numFmtId="0" xfId="0" applyFont="1"/>
    <xf borderId="0" fillId="52" fontId="144" numFmtId="0" xfId="0" applyFill="1" applyFont="1"/>
    <xf borderId="0" fillId="14" fontId="99" numFmtId="0" xfId="0" applyAlignment="1" applyFont="1">
      <alignment horizontal="center" readingOrder="0" vertical="center"/>
    </xf>
    <xf borderId="0" fillId="2" fontId="110" numFmtId="11" xfId="0" applyAlignment="1" applyFont="1" applyNumberFormat="1">
      <alignment readingOrder="0" vertical="bottom"/>
    </xf>
    <xf borderId="0" fillId="23" fontId="1" numFmtId="170" xfId="0" applyAlignment="1" applyFont="1" applyNumberFormat="1">
      <alignment horizontal="center" readingOrder="0" vertical="center"/>
    </xf>
  </cellXfs>
  <cellStyles count="1">
    <cellStyle xfId="0" name="Normal" builtinId="0"/>
  </cellStyles>
  <dxfs count="3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E599"/>
          <bgColor rgb="FFFFE599"/>
        </patternFill>
      </fill>
      <border/>
    </dxf>
    <dxf>
      <font/>
      <fill>
        <patternFill patternType="solid">
          <fgColor rgb="FFEA9999"/>
          <bgColor rgb="FFEA9999"/>
        </patternFill>
      </fill>
      <border/>
    </dxf>
    <dxf>
      <font/>
      <fill>
        <patternFill patternType="solid">
          <fgColor rgb="FFF1C232"/>
          <bgColor rgb="FFF1C232"/>
        </patternFill>
      </fill>
      <border/>
    </dxf>
    <dxf>
      <font/>
      <fill>
        <patternFill patternType="solid">
          <fgColor rgb="FF93C47D"/>
          <bgColor rgb="FF93C47D"/>
        </patternFill>
      </fill>
      <border/>
    </dxf>
    <dxf>
      <font/>
      <fill>
        <patternFill patternType="solid">
          <fgColor rgb="FFBF9000"/>
          <bgColor rgb="FFBF9000"/>
        </patternFill>
      </fill>
      <border/>
    </dxf>
    <dxf>
      <font>
        <color rgb="FFE06666"/>
      </font>
      <fill>
        <patternFill patternType="none"/>
      </fill>
      <border/>
    </dxf>
    <dxf>
      <font>
        <color rgb="FF0B8043"/>
      </font>
      <fill>
        <patternFill patternType="none"/>
      </fill>
      <border/>
    </dxf>
    <dxf>
      <font>
        <color rgb="FFC53929"/>
      </font>
      <fill>
        <patternFill patternType="none"/>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BDBDBD"/>
          <bgColor rgb="FFBDBDBD"/>
        </patternFill>
      </fill>
      <border/>
    </dxf>
    <dxf>
      <font/>
      <fill>
        <patternFill patternType="solid">
          <fgColor rgb="FFB7B7B7"/>
          <bgColor rgb="FFB7B7B7"/>
        </patternFill>
      </fill>
      <border/>
    </dxf>
    <dxf>
      <font>
        <b/>
        <color rgb="FFFFFFFF"/>
      </font>
      <fill>
        <patternFill patternType="solid">
          <fgColor rgb="FFBF9000"/>
          <bgColor rgb="FFBF9000"/>
        </patternFill>
      </fill>
      <border/>
    </dxf>
    <dxf>
      <font>
        <b/>
        <color rgb="FFFFFFFF"/>
      </font>
      <fill>
        <patternFill patternType="solid">
          <fgColor rgb="FF6AA84F"/>
          <bgColor rgb="FF6AA84F"/>
        </patternFill>
      </fill>
      <border/>
    </dxf>
    <dxf>
      <font>
        <b/>
        <color rgb="FFFFFFFF"/>
      </font>
      <fill>
        <patternFill patternType="solid">
          <fgColor rgb="FF3C78D8"/>
          <bgColor rgb="FF3C78D8"/>
        </patternFill>
      </fill>
      <border/>
    </dxf>
    <dxf>
      <font>
        <b/>
        <color rgb="FFFFFFFF"/>
      </font>
      <fill>
        <patternFill patternType="solid">
          <fgColor rgb="FFE69138"/>
          <bgColor rgb="FFE69138"/>
        </patternFill>
      </fill>
      <border/>
    </dxf>
    <dxf>
      <font>
        <b/>
        <color rgb="FFFFFFFF"/>
      </font>
      <fill>
        <patternFill patternType="solid">
          <fgColor rgb="FFE06666"/>
          <bgColor rgb="FFE06666"/>
        </patternFill>
      </fill>
      <border/>
    </dxf>
    <dxf>
      <font>
        <color rgb="FFCC0000"/>
      </font>
      <fill>
        <patternFill patternType="none"/>
      </fill>
      <border/>
    </dxf>
    <dxf>
      <font/>
      <fill>
        <patternFill patternType="solid">
          <fgColor rgb="FFF4CCCC"/>
          <bgColor rgb="FFF4CCCC"/>
        </patternFill>
      </fill>
      <border/>
    </dxf>
    <dxf>
      <font>
        <b/>
        <color rgb="FF38761D"/>
      </font>
      <fill>
        <patternFill patternType="none"/>
      </fill>
      <border/>
    </dxf>
    <dxf>
      <font>
        <color rgb="FFD9D9D9"/>
      </font>
      <fill>
        <patternFill patternType="none"/>
      </fill>
      <border/>
    </dxf>
    <dxf>
      <font/>
      <fill>
        <patternFill patternType="solid">
          <fgColor rgb="FFF7CB4D"/>
          <bgColor rgb="FFF7CB4D"/>
        </patternFill>
      </fill>
      <border/>
    </dxf>
    <dxf>
      <font/>
      <fill>
        <patternFill patternType="solid">
          <fgColor rgb="FFFEF8E3"/>
          <bgColor rgb="FFFEF8E3"/>
        </patternFill>
      </fill>
      <border/>
    </dxf>
    <dxf>
      <font>
        <b/>
        <color rgb="FFA53838"/>
      </font>
      <fill>
        <patternFill patternType="none"/>
      </fill>
      <border/>
    </dxf>
    <dxf>
      <font>
        <color theme="0"/>
      </font>
      <fill>
        <patternFill patternType="solid">
          <fgColor rgb="FF659F6B"/>
          <bgColor rgb="FF659F6B"/>
        </patternFill>
      </fill>
      <border/>
    </dxf>
    <dxf>
      <font>
        <color rgb="FFFFFFFF"/>
      </font>
      <fill>
        <patternFill patternType="solid">
          <fgColor rgb="FFA63838"/>
          <bgColor rgb="FFA63838"/>
        </patternFill>
      </fill>
      <border/>
    </dxf>
    <dxf>
      <font>
        <color rgb="FF1BBC9D"/>
      </font>
      <fill>
        <patternFill patternType="none"/>
      </fill>
      <border/>
    </dxf>
    <dxf>
      <font>
        <color theme="5"/>
      </font>
      <fill>
        <patternFill patternType="none"/>
      </fill>
      <border/>
    </dxf>
    <dxf>
      <font>
        <color rgb="FFFFFFFF"/>
      </font>
      <fill>
        <patternFill patternType="solid">
          <fgColor rgb="FF3C78D8"/>
          <bgColor rgb="FF3C78D8"/>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660000"/>
      </font>
      <fill>
        <patternFill patternType="solid">
          <fgColor rgb="FFF4CCCC"/>
          <bgColor rgb="FFF4CCCC"/>
        </patternFill>
      </fill>
      <border/>
    </dxf>
    <dxf>
      <font>
        <color rgb="FF274E13"/>
      </font>
      <fill>
        <patternFill patternType="solid">
          <fgColor rgb="FFD9EAD3"/>
          <bgColor rgb="FFD9EAD3"/>
        </patternFill>
      </fill>
      <border/>
    </dxf>
    <dxf>
      <font>
        <color rgb="FF990000"/>
      </font>
      <fill>
        <patternFill patternType="solid">
          <fgColor rgb="FFF4CCCC"/>
          <bgColor rgb="FFF4CCCC"/>
        </patternFill>
      </fill>
      <border/>
    </dxf>
  </dxfs>
  <tableStyles count="17">
    <tableStyle count="2" pivot="0" name="Dashboard-style">
      <tableStyleElement dxfId="1" type="firstRowStripe"/>
      <tableStyleElement dxfId="2" type="secondRowStripe"/>
    </tableStyle>
    <tableStyle count="2" pivot="0" name="Dashboard-style 2">
      <tableStyleElement dxfId="1" type="firstRowStripe"/>
      <tableStyleElement dxfId="2" type="secondRowStripe"/>
    </tableStyle>
    <tableStyle count="3" pivot="0" name="Positions-style">
      <tableStyleElement dxfId="13" type="headerRow"/>
      <tableStyleElement dxfId="1" type="firstRowStripe"/>
      <tableStyleElement dxfId="2" type="secondRowStripe"/>
    </tableStyle>
    <tableStyle count="2" pivot="0" name="Positions-style 2">
      <tableStyleElement dxfId="1" type="firstRowStripe"/>
      <tableStyleElement dxfId="2" type="secondRowStripe"/>
    </tableStyle>
    <tableStyle count="2" pivot="0" name="Positions-style 3">
      <tableStyleElement dxfId="1" type="firstRowStripe"/>
      <tableStyleElement dxfId="2" type="secondRowStripe"/>
    </tableStyle>
    <tableStyle count="2" pivot="0" name="Positions-style 4">
      <tableStyleElement dxfId="1" type="firstRowStripe"/>
      <tableStyleElement dxfId="2" type="secondRowStripe"/>
    </tableStyle>
    <tableStyle count="3" pivot="0" name="Rebalancing-style">
      <tableStyleElement dxfId="13" type="headerRow"/>
      <tableStyleElement dxfId="1" type="firstRowStripe"/>
      <tableStyleElement dxfId="2" type="secondRowStripe"/>
    </tableStyle>
    <tableStyle count="2" pivot="0" name="Rebalancing-style 2">
      <tableStyleElement dxfId="1" type="firstRowStripe"/>
      <tableStyleElement dxfId="2" type="secondRowStripe"/>
    </tableStyle>
    <tableStyle count="2" pivot="0" name="Rebalancing-style 3">
      <tableStyleElement dxfId="1" type="firstRowStripe"/>
      <tableStyleElement dxfId="2" type="secondRowStripe"/>
    </tableStyle>
    <tableStyle count="2" pivot="0" name="Rebalancing-style 4">
      <tableStyleElement dxfId="1" type="firstRowStripe"/>
      <tableStyleElement dxfId="2" type="secondRowStripe"/>
    </tableStyle>
    <tableStyle count="2" pivot="0" name="Rebalancing-style 5">
      <tableStyleElement dxfId="1" type="firstRowStripe"/>
      <tableStyleElement dxfId="2" type="secondRowStripe"/>
    </tableStyle>
    <tableStyle count="3" pivot="0" name="Watchlist-style">
      <tableStyleElement dxfId="13" type="headerRow"/>
      <tableStyleElement dxfId="1" type="firstRowStripe"/>
      <tableStyleElement dxfId="2" type="secondRowStripe"/>
    </tableStyle>
    <tableStyle count="3" pivot="0" name="Intrinsic Values List-style">
      <tableStyleElement dxfId="13" type="headerRow"/>
      <tableStyleElement dxfId="1" type="firstRowStripe"/>
      <tableStyleElement dxfId="2" type="secondRowStripe"/>
    </tableStyle>
    <tableStyle count="3" pivot="0" name="Super Investors Buys-style">
      <tableStyleElement dxfId="24" type="headerRow"/>
      <tableStyleElement dxfId="1" type="firstRowStripe"/>
      <tableStyleElement dxfId="25" type="secondRowStripe"/>
    </tableStyle>
    <tableStyle count="3" pivot="0" name="Super Investors Buys-style 2">
      <tableStyleElement dxfId="24" type="headerRow"/>
      <tableStyleElement dxfId="1" type="firstRowStripe"/>
      <tableStyleElement dxfId="25" type="secondRowStripe"/>
    </tableStyle>
    <tableStyle count="4" pivot="0" name="Salary &amp; Retirement Plan-style">
      <tableStyleElement dxfId="32" type="headerRow"/>
      <tableStyleElement dxfId="1" type="firstRowStripe"/>
      <tableStyleElement dxfId="33" type="secondRowStripe"/>
      <tableStyleElement dxfId="34" size="0" type="wholeTable"/>
    </tableStyle>
    <tableStyle count="4" pivot="0" name="Salary &amp; Retirement Plan-style 2">
      <tableStyleElement dxfId="32" type="headerRow"/>
      <tableStyleElement dxfId="1" type="firstRowStripe"/>
      <tableStyleElement dxfId="33" type="secondRowStripe"/>
      <tableStyleElement dxfId="3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Annual Dividend Income</a:t>
            </a:r>
          </a:p>
        </c:rich>
      </c:tx>
      <c:overlay val="0"/>
    </c:title>
    <c:view3D>
      <c:rotX val="15"/>
      <c:rotY val="20"/>
      <c:depthPercent val="100"/>
      <c:rAngAx val="1"/>
    </c:view3D>
    <c:plotArea>
      <c:layout/>
      <c:bar3DChart>
        <c:barDir val="col"/>
        <c:grouping val="clustered"/>
        <c:ser>
          <c:idx val="0"/>
          <c:order val="0"/>
          <c:spPr>
            <a:solidFill>
              <a:srgbClr val="BF9000"/>
            </a:solidFill>
            <a:ln cmpd="sng">
              <a:solidFill>
                <a:srgbClr val="000000"/>
              </a:solidFill>
            </a:ln>
          </c:spPr>
          <c:dPt>
            <c:idx val="5"/>
          </c:dPt>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'Annual Data'!$A$4:$A$11</c:f>
            </c:strRef>
          </c:cat>
          <c:val>
            <c:numRef>
              <c:f>'Annual Data'!$D$4:$D$11</c:f>
              <c:numCache/>
            </c:numRef>
          </c:val>
        </c:ser>
        <c:axId val="1387735977"/>
        <c:axId val="1459792638"/>
      </c:bar3DChart>
      <c:catAx>
        <c:axId val="1387735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459792638"/>
      </c:catAx>
      <c:valAx>
        <c:axId val="14597926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773597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Monthly Dividend Income</a:t>
            </a:r>
          </a:p>
        </c:rich>
      </c:tx>
      <c:overlay val="0"/>
    </c:title>
    <c:view3D>
      <c:rotX val="15"/>
      <c:rotY val="20"/>
      <c:depthPercent val="100"/>
      <c:rAngAx val="1"/>
    </c:view3D>
    <c:plotArea>
      <c:layout/>
      <c:bar3DChart>
        <c:barDir val="col"/>
        <c:grouping val="clustered"/>
        <c:ser>
          <c:idx val="0"/>
          <c:order val="0"/>
          <c:tx>
            <c:strRef>
              <c:f>'Monthly Data '!$E$3</c:f>
            </c:strRef>
          </c:tx>
          <c:spPr>
            <a:solidFill>
              <a:srgbClr val="F1C232"/>
            </a:solidFill>
            <a:ln cmpd="sng">
              <a:solidFill>
                <a:srgbClr val="000000">
                  <a:alpha val="0"/>
                </a:srgbClr>
              </a:solidFill>
            </a:ln>
          </c:spPr>
          <c:cat>
            <c:strRef>
              <c:f>'Monthly Data '!$B$4:$B$98</c:f>
            </c:strRef>
          </c:cat>
          <c:val>
            <c:numRef>
              <c:f>'Monthly Data '!$E$4:$E$98</c:f>
              <c:numCache/>
            </c:numRef>
          </c:val>
        </c:ser>
        <c:axId val="1777275607"/>
        <c:axId val="432337836"/>
      </c:bar3DChart>
      <c:catAx>
        <c:axId val="1777275607"/>
        <c:scaling>
          <c:orientation val="minMax"/>
        </c:scaling>
        <c:delete val="0"/>
        <c:axPos val="b"/>
        <c:numFmt formatCode="General" sourceLinked="1"/>
        <c:majorTickMark val="none"/>
        <c:minorTickMark val="none"/>
        <c:spPr/>
        <c:txPr>
          <a:bodyPr rot="-3600000"/>
          <a:lstStyle/>
          <a:p>
            <a:pPr lvl="0">
              <a:defRPr b="0">
                <a:solidFill>
                  <a:srgbClr val="000000"/>
                </a:solidFill>
                <a:latin typeface="+mn-lt"/>
              </a:defRPr>
            </a:pPr>
          </a:p>
        </c:txPr>
        <c:crossAx val="432337836"/>
      </c:catAx>
      <c:valAx>
        <c:axId val="432337836"/>
        <c:scaling>
          <c:orientation val="minMax"/>
        </c:scaling>
        <c:delete val="0"/>
        <c:axPos val="r"/>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7275607"/>
        <c:crosses val="max"/>
      </c:valAx>
    </c:plotArea>
    <c:legend>
      <c:legendPos val="r"/>
      <c:overlay val="0"/>
      <c:txPr>
        <a:bodyPr/>
        <a:lstStyle/>
        <a:p>
          <a:pPr lvl="0">
            <a:defRPr b="0" i="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Portfolio Value Over Time</a:t>
            </a:r>
          </a:p>
        </c:rich>
      </c:tx>
      <c:overlay val="0"/>
    </c:title>
    <c:plotArea>
      <c:layout/>
      <c:areaChart>
        <c:ser>
          <c:idx val="0"/>
          <c:order val="0"/>
          <c:tx>
            <c:strRef>
              <c:f>'Monthly Data '!$C$3</c:f>
            </c:strRef>
          </c:tx>
          <c:spPr>
            <a:solidFill>
              <a:srgbClr val="BF9000">
                <a:alpha val="30000"/>
              </a:srgbClr>
            </a:solidFill>
            <a:ln cmpd="sng">
              <a:solidFill>
                <a:srgbClr val="BF9000"/>
              </a:solidFill>
            </a:ln>
          </c:spPr>
          <c:cat>
            <c:strRef>
              <c:f>'Monthly Data '!$B$4:$B$26</c:f>
            </c:strRef>
          </c:cat>
          <c:val>
            <c:numRef>
              <c:f>'Monthly Data '!$C$4:$C$28</c:f>
              <c:numCache/>
            </c:numRef>
          </c:val>
        </c:ser>
        <c:axId val="1998450813"/>
        <c:axId val="1781937078"/>
      </c:areaChart>
      <c:catAx>
        <c:axId val="19984508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a:solidFill>
                  <a:srgbClr val="000000"/>
                </a:solidFill>
                <a:latin typeface="+mn-lt"/>
              </a:defRPr>
            </a:pPr>
          </a:p>
        </c:txPr>
        <c:crossAx val="1781937078"/>
      </c:catAx>
      <c:valAx>
        <c:axId val="178193707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00" sourceLinked="0"/>
        <c:majorTickMark val="none"/>
        <c:minorTickMark val="none"/>
        <c:tickLblPos val="nextTo"/>
        <c:spPr>
          <a:ln/>
        </c:spPr>
        <c:txPr>
          <a:bodyPr/>
          <a:lstStyle/>
          <a:p>
            <a:pPr lvl="0">
              <a:defRPr b="0">
                <a:solidFill>
                  <a:srgbClr val="000000"/>
                </a:solidFill>
                <a:latin typeface="+mn-lt"/>
              </a:defRPr>
            </a:pPr>
          </a:p>
        </c:txPr>
        <c:crossAx val="1998450813"/>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Portfolio Allocation</a:t>
            </a:r>
          </a:p>
        </c:rich>
      </c:tx>
      <c:overlay val="0"/>
    </c:title>
    <c:view3D>
      <c:rotX val="15"/>
      <c:rotY val="20"/>
      <c:depthPercent val="100"/>
      <c:rAngAx val="1"/>
    </c:view3D>
    <c:plotArea>
      <c:layout/>
      <c:bar3DChart>
        <c:barDir val="col"/>
        <c:grouping val="clustered"/>
        <c:ser>
          <c:idx val="0"/>
          <c:order val="0"/>
          <c:spPr>
            <a:solidFill>
              <a:srgbClr val="45818E"/>
            </a:solidFill>
            <a:ln cmpd="sng">
              <a:solidFill>
                <a:srgbClr val="000000"/>
              </a:solidFill>
            </a:ln>
          </c:spPr>
          <c:dPt>
            <c:idx val="7"/>
          </c:dPt>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Positions!$A$2:$A$31</c:f>
            </c:strRef>
          </c:cat>
          <c:val>
            <c:numRef>
              <c:f>Positions!$V$2:$V$31</c:f>
              <c:numCache/>
            </c:numRef>
          </c:val>
        </c:ser>
        <c:axId val="804471145"/>
        <c:axId val="749632449"/>
      </c:bar3DChart>
      <c:catAx>
        <c:axId val="804471145"/>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749632449"/>
      </c:catAx>
      <c:valAx>
        <c:axId val="7496324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804471145"/>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Total Returns %</a:t>
            </a:r>
          </a:p>
        </c:rich>
      </c:tx>
      <c:overlay val="0"/>
    </c:title>
    <c:view3D>
      <c:rotX val="15"/>
      <c:rotY val="20"/>
      <c:depthPercent val="100"/>
      <c:rAngAx val="1"/>
    </c:view3D>
    <c:plotArea>
      <c:layout/>
      <c:bar3DChart>
        <c:barDir val="bar"/>
        <c:grouping val="clustered"/>
        <c:ser>
          <c:idx val="0"/>
          <c:order val="0"/>
          <c:spPr>
            <a:solidFill>
              <a:srgbClr val="BF9000"/>
            </a:solidFill>
            <a:ln cmpd="sng">
              <a:solidFill>
                <a:srgbClr val="000000"/>
              </a:solidFill>
            </a:ln>
          </c:spPr>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Positions!$A$2:$A$31</c:f>
            </c:strRef>
          </c:cat>
          <c:val>
            <c:numRef>
              <c:f>Positions!$R$2:$R$31</c:f>
              <c:numCache/>
            </c:numRef>
          </c:val>
        </c:ser>
        <c:axId val="1898247335"/>
        <c:axId val="1621534439"/>
      </c:bar3DChart>
      <c:catAx>
        <c:axId val="1898247335"/>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solidFill/>
          </a:ln>
        </c:spPr>
        <c:txPr>
          <a:bodyPr/>
          <a:lstStyle/>
          <a:p>
            <a:pPr lvl="0">
              <a:defRPr b="1" sz="1600">
                <a:solidFill>
                  <a:srgbClr val="000000"/>
                </a:solidFill>
                <a:latin typeface="Roboto"/>
              </a:defRPr>
            </a:pPr>
          </a:p>
        </c:txPr>
        <c:crossAx val="1621534439"/>
      </c:catAx>
      <c:valAx>
        <c:axId val="1621534439"/>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Roboto"/>
              </a:defRPr>
            </a:pPr>
          </a:p>
        </c:txPr>
        <c:crossAx val="1898247335"/>
        <c:crosses val="max"/>
      </c:valAx>
    </c:plotArea>
    <c:legend>
      <c:legendPos val="r"/>
      <c:overlay val="0"/>
      <c:txPr>
        <a:bodyPr/>
        <a:lstStyle/>
        <a:p>
          <a:pPr lvl="0">
            <a:defRPr b="0">
              <a:solidFill>
                <a:srgbClr val="1A1A1A"/>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Roboto"/>
              </a:defRPr>
            </a:pPr>
            <a:r>
              <a:rPr b="1" sz="2000">
                <a:solidFill>
                  <a:srgbClr val="000000"/>
                </a:solidFill>
                <a:latin typeface="Roboto"/>
              </a:rPr>
              <a:t>Dividend Yield On Cost</a:t>
            </a:r>
          </a:p>
        </c:rich>
      </c:tx>
      <c:overlay val="0"/>
    </c:title>
    <c:plotArea>
      <c:layout/>
      <c:areaChart>
        <c:ser>
          <c:idx val="0"/>
          <c:order val="0"/>
          <c:tx>
            <c:strRef>
              <c:f>Positions!$Y$1</c:f>
            </c:strRef>
          </c:tx>
          <c:spPr>
            <a:solidFill>
              <a:srgbClr val="335036">
                <a:alpha val="30000"/>
              </a:srgbClr>
            </a:solidFill>
            <a:ln cmpd="sng">
              <a:solidFill>
                <a:srgbClr val="335036">
                  <a:alpha val="100000"/>
                </a:srgbClr>
              </a:solidFill>
              <a:prstDash val="solid"/>
            </a:ln>
          </c:spPr>
          <c:dLbls>
            <c:numFmt formatCode="General" sourceLinked="1"/>
            <c:txPr>
              <a:bodyPr/>
              <a:lstStyle/>
              <a:p>
                <a:pPr lvl="0">
                  <a:defRPr b="1" sz="1400">
                    <a:solidFill>
                      <a:srgbClr val="000000"/>
                    </a:solidFill>
                  </a:defRPr>
                </a:pPr>
              </a:p>
            </c:txPr>
            <c:showLegendKey val="0"/>
            <c:showVal val="1"/>
            <c:showCatName val="0"/>
            <c:showSerName val="0"/>
            <c:showPercent val="0"/>
            <c:showBubbleSize val="0"/>
          </c:dLbls>
          <c:cat>
            <c:strRef>
              <c:f>Positions!$A$2:$A$31</c:f>
            </c:strRef>
          </c:cat>
          <c:val>
            <c:numRef>
              <c:f>Positions!$Y$2:$Y$31</c:f>
              <c:numCache/>
            </c:numRef>
          </c:val>
        </c:ser>
        <c:axId val="303546521"/>
        <c:axId val="1114173448"/>
      </c:areaChart>
      <c:catAx>
        <c:axId val="3035465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400">
                <a:solidFill>
                  <a:srgbClr val="000000"/>
                </a:solidFill>
                <a:latin typeface="Roboto"/>
              </a:defRPr>
            </a:pPr>
          </a:p>
        </c:txPr>
        <c:crossAx val="1114173448"/>
      </c:catAx>
      <c:valAx>
        <c:axId val="111417344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354652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Roboto"/>
              </a:defRPr>
            </a:pPr>
            <a:r>
              <a:rPr b="1" sz="2000">
                <a:solidFill>
                  <a:srgbClr val="000000"/>
                </a:solidFill>
                <a:latin typeface="Roboto"/>
              </a:rPr>
              <a:t>Dividend Income by Stocks</a:t>
            </a:r>
          </a:p>
        </c:rich>
      </c:tx>
      <c:overlay val="0"/>
    </c:title>
    <c:view3D>
      <c:rotX val="15"/>
      <c:rotY val="20"/>
      <c:depthPercent val="100"/>
      <c:rAngAx val="1"/>
    </c:view3D>
    <c:plotArea>
      <c:layout/>
      <c:bar3DChart>
        <c:barDir val="bar"/>
        <c:grouping val="clustered"/>
        <c:ser>
          <c:idx val="0"/>
          <c:order val="0"/>
          <c:tx>
            <c:strRef>
              <c:f>Positions!$AD$1</c:f>
            </c:strRef>
          </c:tx>
          <c:spPr>
            <a:solidFill>
              <a:srgbClr val="BF9000"/>
            </a:solidFill>
            <a:ln cmpd="sng">
              <a:solidFill>
                <a:srgbClr val="000000"/>
              </a:solidFill>
            </a:ln>
          </c:spPr>
          <c:dPt>
            <c:idx val="2"/>
          </c:dPt>
          <c:dLbls>
            <c:numFmt formatCode="General" sourceLinked="1"/>
            <c:txPr>
              <a:bodyPr/>
              <a:lstStyle/>
              <a:p>
                <a:pPr lvl="0">
                  <a:defRPr b="1" sz="1200">
                    <a:solidFill>
                      <a:srgbClr val="000000"/>
                    </a:solidFill>
                  </a:defRPr>
                </a:pPr>
              </a:p>
            </c:txPr>
            <c:showLegendKey val="0"/>
            <c:showVal val="1"/>
            <c:showCatName val="0"/>
            <c:showSerName val="0"/>
            <c:showPercent val="0"/>
            <c:showBubbleSize val="0"/>
          </c:dLbls>
          <c:cat>
            <c:strRef>
              <c:f>Positions!$A$2:$A$31</c:f>
            </c:strRef>
          </c:cat>
          <c:val>
            <c:numRef>
              <c:f>Positions!$AD$2:$AD$31</c:f>
              <c:numCache/>
            </c:numRef>
          </c:val>
        </c:ser>
        <c:axId val="1226786544"/>
        <c:axId val="297649241"/>
      </c:bar3DChart>
      <c:catAx>
        <c:axId val="122678654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1" sz="1400">
                <a:solidFill>
                  <a:srgbClr val="000000"/>
                </a:solidFill>
                <a:latin typeface="Roboto"/>
              </a:defRPr>
            </a:pPr>
          </a:p>
        </c:txPr>
        <c:crossAx val="297649241"/>
      </c:catAx>
      <c:valAx>
        <c:axId val="297649241"/>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1">
                <a:solidFill>
                  <a:srgbClr val="000000"/>
                </a:solidFill>
                <a:latin typeface="+mn-lt"/>
              </a:defRPr>
            </a:pPr>
          </a:p>
        </c:txPr>
        <c:crossAx val="1226786544"/>
        <c:crosses val="max"/>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Roboto"/>
              </a:defRPr>
            </a:pPr>
            <a:r>
              <a:rPr b="1" sz="2000">
                <a:solidFill>
                  <a:srgbClr val="000000"/>
                </a:solidFill>
                <a:latin typeface="Roboto"/>
              </a:rPr>
              <a:t>Portfolio Bechmark</a:t>
            </a:r>
          </a:p>
        </c:rich>
      </c:tx>
      <c:overlay val="0"/>
    </c:title>
    <c:plotArea>
      <c:layout/>
      <c:areaChart>
        <c:grouping val="stacked"/>
        <c:ser>
          <c:idx val="0"/>
          <c:order val="0"/>
          <c:tx>
            <c:v>Portfolio Yield %</c:v>
          </c:tx>
          <c:spPr>
            <a:solidFill>
              <a:srgbClr val="7F6000">
                <a:alpha val="30000"/>
              </a:srgbClr>
            </a:solidFill>
            <a:ln cmpd="sng">
              <a:solidFill>
                <a:srgbClr val="7F6000">
                  <a:alpha val="100000"/>
                </a:srgbClr>
              </a:solidFill>
            </a:ln>
          </c:spPr>
          <c:dLbls>
            <c:numFmt formatCode="General" sourceLinked="1"/>
            <c:txPr>
              <a:bodyPr/>
              <a:lstStyle/>
              <a:p>
                <a:pPr lvl="0">
                  <a:defRPr b="1" sz="1400"/>
                </a:pPr>
              </a:p>
            </c:txPr>
            <c:showLegendKey val="0"/>
            <c:showVal val="1"/>
            <c:showCatName val="0"/>
            <c:showSerName val="0"/>
            <c:showPercent val="0"/>
            <c:showBubbleSize val="0"/>
          </c:dLbls>
          <c:cat>
            <c:strRef>
              <c:f>'Annual Data'!$A$4:$A$11</c:f>
            </c:strRef>
          </c:cat>
          <c:val>
            <c:numRef>
              <c:f>'Annual Data'!$F$4:$F$11</c:f>
              <c:numCache/>
            </c:numRef>
          </c:val>
        </c:ser>
        <c:ser>
          <c:idx val="1"/>
          <c:order val="1"/>
          <c:tx>
            <c:v>S&amp;P 500 Yield %</c:v>
          </c:tx>
          <c:spPr>
            <a:solidFill>
              <a:srgbClr val="666666">
                <a:alpha val="30000"/>
              </a:srgbClr>
            </a:solidFill>
            <a:ln cmpd="sng">
              <a:solidFill>
                <a:srgbClr val="666666">
                  <a:alpha val="100000"/>
                </a:srgbClr>
              </a:solidFill>
            </a:ln>
          </c:spPr>
          <c:dLbls>
            <c:numFmt formatCode="General" sourceLinked="1"/>
            <c:txPr>
              <a:bodyPr/>
              <a:lstStyle/>
              <a:p>
                <a:pPr lvl="0">
                  <a:defRPr b="1" sz="1400"/>
                </a:pPr>
              </a:p>
            </c:txPr>
            <c:showLegendKey val="0"/>
            <c:showVal val="1"/>
            <c:showCatName val="0"/>
            <c:showSerName val="0"/>
            <c:showPercent val="0"/>
            <c:showBubbleSize val="0"/>
          </c:dLbls>
          <c:cat>
            <c:strRef>
              <c:f>'Annual Data'!$A$4:$A$11</c:f>
            </c:strRef>
          </c:cat>
          <c:val>
            <c:numRef>
              <c:f>'Annual Data'!$G$4:$G$11</c:f>
              <c:numCache/>
            </c:numRef>
          </c:val>
        </c:ser>
        <c:axId val="1371978138"/>
        <c:axId val="1391965040"/>
      </c:areaChart>
      <c:catAx>
        <c:axId val="13719781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391965040"/>
      </c:catAx>
      <c:valAx>
        <c:axId val="139196504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1">
                <a:solidFill>
                  <a:srgbClr val="000000"/>
                </a:solidFill>
                <a:latin typeface="+mn-lt"/>
              </a:defRPr>
            </a:pPr>
          </a:p>
        </c:txPr>
        <c:crossAx val="1371978138"/>
      </c:valAx>
    </c:plotArea>
    <c:legend>
      <c:legendPos val="t"/>
      <c:overlay val="0"/>
      <c:txPr>
        <a:bodyPr/>
        <a:lstStyle/>
        <a:p>
          <a:pPr lvl="0">
            <a:defRPr b="1" sz="1400">
              <a:solidFill>
                <a:srgbClr val="1A1A1A"/>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Roboto"/>
              </a:defRPr>
            </a:pPr>
            <a:r>
              <a:rPr b="1" sz="2000">
                <a:solidFill>
                  <a:srgbClr val="000000"/>
                </a:solidFill>
                <a:latin typeface="Roboto"/>
              </a:rPr>
              <a:t>Total Invested vs Market Value</a:t>
            </a:r>
          </a:p>
        </c:rich>
      </c:tx>
      <c:overlay val="0"/>
    </c:title>
    <c:view3D>
      <c:rotX val="15"/>
      <c:rotY val="20"/>
      <c:depthPercent val="100"/>
      <c:rAngAx val="1"/>
    </c:view3D>
    <c:plotArea>
      <c:layout/>
      <c:bar3DChart>
        <c:barDir val="col"/>
        <c:grouping val="clustered"/>
        <c:ser>
          <c:idx val="0"/>
          <c:order val="0"/>
          <c:tx>
            <c:strRef>
              <c:f>Dashboard!$B$3</c:f>
            </c:strRef>
          </c:tx>
          <c:spPr>
            <a:solidFill>
              <a:schemeClr val="accent2"/>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val>
            <c:numRef>
              <c:f>Dashboard!$B$4</c:f>
              <c:numCache/>
            </c:numRef>
          </c:val>
        </c:ser>
        <c:ser>
          <c:idx val="1"/>
          <c:order val="1"/>
          <c:tx>
            <c:strRef>
              <c:f>Dashboard!$C$3</c:f>
            </c:strRef>
          </c:tx>
          <c:spPr>
            <a:solidFill>
              <a:srgbClr val="6AA84F"/>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val>
            <c:numRef>
              <c:f>Dashboard!$C$4</c:f>
              <c:numCache/>
            </c:numRef>
          </c:val>
        </c:ser>
        <c:ser>
          <c:idx val="2"/>
          <c:order val="2"/>
          <c:tx>
            <c:strRef>
              <c:f>Dashboard!$D$3</c:f>
            </c:strRef>
          </c:tx>
          <c:val>
            <c:numRef>
              <c:f>Dashboard!$D$4</c:f>
              <c:numCache/>
            </c:numRef>
          </c:val>
        </c:ser>
        <c:ser>
          <c:idx val="3"/>
          <c:order val="3"/>
          <c:tx>
            <c:strRef>
              <c:f>Dashboard!$E$3</c:f>
            </c:strRef>
          </c:tx>
          <c:val>
            <c:numRef>
              <c:f>Dashboard!$E$4</c:f>
              <c:numCache/>
            </c:numRef>
          </c:val>
        </c:ser>
        <c:axId val="296072712"/>
        <c:axId val="1242291264"/>
      </c:bar3DChart>
      <c:catAx>
        <c:axId val="2960727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242291264"/>
      </c:catAx>
      <c:valAx>
        <c:axId val="124229126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00" sourceLinked="0"/>
        <c:majorTickMark val="none"/>
        <c:minorTickMark val="none"/>
        <c:tickLblPos val="nextTo"/>
        <c:spPr>
          <a:ln/>
        </c:spPr>
        <c:txPr>
          <a:bodyPr/>
          <a:lstStyle/>
          <a:p>
            <a:pPr lvl="0">
              <a:defRPr b="0">
                <a:solidFill>
                  <a:srgbClr val="000000"/>
                </a:solidFill>
                <a:latin typeface="+mn-lt"/>
              </a:defRPr>
            </a:pPr>
          </a:p>
        </c:txPr>
        <c:crossAx val="296072712"/>
      </c:valAx>
    </c:plotArea>
    <c:legend>
      <c:legendPos val="b"/>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Roboto"/>
              </a:defRPr>
            </a:pPr>
            <a:r>
              <a:rPr b="1" sz="2000">
                <a:solidFill>
                  <a:srgbClr val="000000"/>
                </a:solidFill>
                <a:latin typeface="Roboto"/>
              </a:rPr>
              <a:t>Annual Contributions vs Market Vale</a:t>
            </a:r>
          </a:p>
        </c:rich>
      </c:tx>
      <c:overlay val="0"/>
    </c:title>
    <c:view3D>
      <c:rotX val="15"/>
      <c:rotY val="20"/>
      <c:depthPercent val="100"/>
      <c:rAngAx val="1"/>
    </c:view3D>
    <c:plotArea>
      <c:layout/>
      <c:bar3DChart>
        <c:barDir val="col"/>
        <c:grouping val="clustered"/>
        <c:ser>
          <c:idx val="0"/>
          <c:order val="0"/>
          <c:tx>
            <c:v>Annual Contributions</c:v>
          </c:tx>
          <c:spPr>
            <a:solidFill>
              <a:schemeClr val="accent2"/>
            </a:solidFill>
            <a:ln cmpd="sng">
              <a:solidFill>
                <a:srgbClr val="000000"/>
              </a:solidFill>
            </a:ln>
          </c:spPr>
          <c:dPt>
            <c:idx val="0"/>
          </c:dPt>
          <c:cat>
            <c:strRef>
              <c:f>'Annual Data'!$A$4:$A$11</c:f>
            </c:strRef>
          </c:cat>
          <c:val>
            <c:numRef>
              <c:f>'Annual Data'!$C$4:$C$11</c:f>
              <c:numCache/>
            </c:numRef>
          </c:val>
        </c:ser>
        <c:ser>
          <c:idx val="1"/>
          <c:order val="1"/>
          <c:tx>
            <c:v>Market Value</c:v>
          </c:tx>
          <c:spPr>
            <a:solidFill>
              <a:srgbClr val="6AA84F"/>
            </a:solidFill>
            <a:ln cmpd="sng">
              <a:solidFill>
                <a:srgbClr val="000000"/>
              </a:solidFill>
            </a:ln>
          </c:spPr>
          <c:dPt>
            <c:idx val="0"/>
          </c:dPt>
          <c:cat>
            <c:strRef>
              <c:f>'Annual Data'!$A$4:$A$11</c:f>
            </c:strRef>
          </c:cat>
          <c:val>
            <c:numRef>
              <c:f>'Annual Data'!$B$4:$B$11</c:f>
              <c:numCache/>
            </c:numRef>
          </c:val>
        </c:ser>
        <c:axId val="1377610872"/>
        <c:axId val="1881328255"/>
      </c:bar3DChart>
      <c:catAx>
        <c:axId val="13776108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1">
                <a:solidFill>
                  <a:srgbClr val="000000"/>
                </a:solidFill>
                <a:latin typeface="+mn-lt"/>
              </a:defRPr>
            </a:pPr>
          </a:p>
        </c:txPr>
        <c:crossAx val="1881328255"/>
      </c:catAx>
      <c:valAx>
        <c:axId val="188132825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377610872"/>
      </c:valAx>
    </c:plotArea>
    <c:legend>
      <c:legendPos val="t"/>
      <c:legendEntry>
        <c:idx val="0"/>
        <c:txPr>
          <a:bodyPr/>
          <a:lstStyle/>
          <a:p>
            <a:pPr lvl="0">
              <a:defRPr b="1" sz="1400">
                <a:solidFill>
                  <a:srgbClr val="000000"/>
                </a:solidFill>
              </a:defRPr>
            </a:pPr>
          </a:p>
        </c:txPr>
      </c:legendEntry>
      <c:legendEntry>
        <c:idx val="1"/>
        <c:txPr>
          <a:bodyPr/>
          <a:lstStyle/>
          <a:p>
            <a:pPr lvl="0">
              <a:defRPr b="1" sz="1400">
                <a:solidFill>
                  <a:srgbClr val="000000"/>
                </a:solidFill>
                <a:latin typeface="Roboto"/>
              </a:defRPr>
            </a:pPr>
          </a:p>
        </c:txPr>
      </c:legendEntry>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Roboto"/>
              </a:defRPr>
            </a:pPr>
            <a:r>
              <a:rPr b="1" sz="2000">
                <a:solidFill>
                  <a:srgbClr val="000000"/>
                </a:solidFill>
                <a:latin typeface="Roboto"/>
              </a:rPr>
              <a:t>Annual Average Return </a:t>
            </a:r>
          </a:p>
        </c:rich>
      </c:tx>
      <c:overlay val="0"/>
    </c:title>
    <c:view3D>
      <c:rotX val="15"/>
      <c:rotY val="20"/>
      <c:depthPercent val="100"/>
      <c:rAngAx val="1"/>
    </c:view3D>
    <c:plotArea>
      <c:layout/>
      <c:bar3DChart>
        <c:barDir val="col"/>
        <c:grouping val="clustered"/>
        <c:ser>
          <c:idx val="0"/>
          <c:order val="0"/>
          <c:spPr>
            <a:solidFill>
              <a:srgbClr val="999999"/>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Dashboard!$S$56:$S$59</c:f>
            </c:strRef>
          </c:cat>
          <c:val>
            <c:numRef>
              <c:f>Dashboard!$T$56:$T$59</c:f>
              <c:numCache/>
            </c:numRef>
          </c:val>
        </c:ser>
        <c:ser>
          <c:idx val="1"/>
          <c:order val="1"/>
          <c:cat>
            <c:strRef>
              <c:f>Dashboard!$S$56:$S$59</c:f>
            </c:strRef>
          </c:cat>
          <c:val>
            <c:numRef>
              <c:f>Dashboard!$U$56:$U$59</c:f>
              <c:numCache/>
            </c:numRef>
          </c:val>
        </c:ser>
        <c:ser>
          <c:idx val="2"/>
          <c:order val="2"/>
          <c:cat>
            <c:strRef>
              <c:f>Dashboard!$S$56:$S$59</c:f>
            </c:strRef>
          </c:cat>
          <c:val>
            <c:numRef>
              <c:f>Dashboard!$V$56:$V$59</c:f>
              <c:numCache/>
            </c:numRef>
          </c:val>
        </c:ser>
        <c:axId val="875037455"/>
        <c:axId val="997043175"/>
      </c:bar3DChart>
      <c:catAx>
        <c:axId val="875037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997043175"/>
      </c:catAx>
      <c:valAx>
        <c:axId val="99704317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5037455"/>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Moderate / Growth theoretical distribution (%)</a:t>
            </a:r>
          </a:p>
        </c:rich>
      </c:tx>
      <c:overlay val="0"/>
    </c:title>
    <c:plotArea>
      <c:layout/>
      <c:pieChart>
        <c:varyColors val="1"/>
        <c:ser>
          <c:idx val="0"/>
          <c:order val="0"/>
          <c:tx>
            <c:strRef>
              <c:f>Positions!$C$37</c:f>
            </c:strRef>
          </c:tx>
          <c:dPt>
            <c:idx val="0"/>
            <c:spPr>
              <a:solidFill>
                <a:srgbClr val="E06666"/>
              </a:solidFill>
            </c:spPr>
          </c:dPt>
          <c:dPt>
            <c:idx val="1"/>
            <c:spPr>
              <a:solidFill>
                <a:srgbClr val="674EA7"/>
              </a:solidFill>
            </c:spPr>
          </c:dPt>
          <c:dPt>
            <c:idx val="2"/>
            <c:spPr>
              <a:solidFill>
                <a:srgbClr val="6AA84F"/>
              </a:solidFill>
            </c:spPr>
          </c:dPt>
          <c:dPt>
            <c:idx val="3"/>
            <c:spPr>
              <a:solidFill>
                <a:srgbClr val="999999"/>
              </a:solidFill>
            </c:spPr>
          </c:dPt>
          <c:dPt>
            <c:idx val="4"/>
            <c:spPr>
              <a:solidFill>
                <a:srgbClr val="3C78D8"/>
              </a:solidFill>
            </c:spPr>
          </c:dPt>
          <c:dLbls>
            <c:showLegendKey val="0"/>
            <c:showVal val="0"/>
            <c:showCatName val="0"/>
            <c:showSerName val="0"/>
            <c:showPercent val="0"/>
            <c:showBubbleSize val="0"/>
            <c:showLeaderLines val="1"/>
          </c:dLbls>
          <c:cat>
            <c:strRef>
              <c:f>Positions!$B$38:$B$42</c:f>
            </c:strRef>
          </c:cat>
          <c:val>
            <c:numRef>
              <c:f>Positions!$C$38:$C$42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Dividend / Income theoretical distribution (%)</a:t>
            </a:r>
          </a:p>
        </c:rich>
      </c:tx>
      <c:overlay val="0"/>
    </c:title>
    <c:plotArea>
      <c:layout/>
      <c:pieChart>
        <c:varyColors val="1"/>
        <c:ser>
          <c:idx val="0"/>
          <c:order val="0"/>
          <c:tx>
            <c:strRef>
              <c:f>Positions!$D$37</c:f>
            </c:strRef>
          </c:tx>
          <c:dPt>
            <c:idx val="0"/>
            <c:spPr>
              <a:solidFill>
                <a:srgbClr val="E06666"/>
              </a:solidFill>
            </c:spPr>
          </c:dPt>
          <c:dPt>
            <c:idx val="1"/>
            <c:spPr>
              <a:solidFill>
                <a:srgbClr val="674EA7"/>
              </a:solidFill>
            </c:spPr>
          </c:dPt>
          <c:dPt>
            <c:idx val="2"/>
            <c:spPr>
              <a:solidFill>
                <a:srgbClr val="6AA84F"/>
              </a:solidFill>
            </c:spPr>
          </c:dPt>
          <c:dPt>
            <c:idx val="3"/>
            <c:spPr>
              <a:solidFill>
                <a:srgbClr val="999999"/>
              </a:solidFill>
            </c:spPr>
          </c:dPt>
          <c:dPt>
            <c:idx val="4"/>
            <c:spPr>
              <a:solidFill>
                <a:srgbClr val="3C78D8"/>
              </a:solidFill>
            </c:spPr>
          </c:dPt>
          <c:dLbls>
            <c:showLegendKey val="0"/>
            <c:showVal val="0"/>
            <c:showCatName val="0"/>
            <c:showSerName val="0"/>
            <c:showPercent val="0"/>
            <c:showBubbleSize val="0"/>
            <c:showLeaderLines val="1"/>
          </c:dLbls>
          <c:cat>
            <c:strRef>
              <c:f>Positions!$B$38:$B$42</c:f>
            </c:strRef>
          </c:cat>
          <c:val>
            <c:numRef>
              <c:f>Positions!$D$38:$D$42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Dividend / Income theoretical distribution (%)</a:t>
            </a:r>
          </a:p>
        </c:rich>
      </c:tx>
      <c:overlay val="0"/>
    </c:title>
    <c:plotArea>
      <c:layout/>
      <c:pieChart>
        <c:varyColors val="1"/>
        <c:ser>
          <c:idx val="0"/>
          <c:order val="0"/>
          <c:tx>
            <c:strRef>
              <c:f>Rebalancing!$D$37</c:f>
            </c:strRef>
          </c:tx>
          <c:dPt>
            <c:idx val="0"/>
            <c:spPr>
              <a:solidFill>
                <a:srgbClr val="E06666"/>
              </a:solidFill>
            </c:spPr>
          </c:dPt>
          <c:dPt>
            <c:idx val="1"/>
            <c:spPr>
              <a:solidFill>
                <a:srgbClr val="674EA7"/>
              </a:solidFill>
            </c:spPr>
          </c:dPt>
          <c:dPt>
            <c:idx val="2"/>
            <c:spPr>
              <a:solidFill>
                <a:srgbClr val="6AA84F"/>
              </a:solidFill>
            </c:spPr>
          </c:dPt>
          <c:dPt>
            <c:idx val="3"/>
            <c:spPr>
              <a:solidFill>
                <a:srgbClr val="999999"/>
              </a:solidFill>
            </c:spPr>
          </c:dPt>
          <c:dPt>
            <c:idx val="4"/>
            <c:spPr>
              <a:solidFill>
                <a:srgbClr val="3C78D8"/>
              </a:solidFill>
            </c:spPr>
          </c:dPt>
          <c:dLbls>
            <c:showLegendKey val="0"/>
            <c:showVal val="0"/>
            <c:showCatName val="0"/>
            <c:showSerName val="0"/>
            <c:showPercent val="0"/>
            <c:showBubbleSize val="0"/>
            <c:showLeaderLines val="1"/>
          </c:dLbls>
          <c:cat>
            <c:strRef>
              <c:f>Rebalancing!$B$38:$B$42</c:f>
            </c:strRef>
          </c:cat>
          <c:val>
            <c:numRef>
              <c:f>Rebalancing!$D$38:$D$42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Roboto"/>
              </a:defRPr>
            </a:pPr>
            <a:r>
              <a:rPr b="1" sz="2000">
                <a:solidFill>
                  <a:srgbClr val="000000"/>
                </a:solidFill>
                <a:latin typeface="Roboto"/>
              </a:rPr>
              <a:t>Portfolio Projection</a:t>
            </a:r>
          </a:p>
        </c:rich>
      </c:tx>
      <c:overlay val="0"/>
    </c:title>
    <c:plotArea>
      <c:layout/>
      <c:barChart>
        <c:barDir val="col"/>
        <c:grouping val="stacked"/>
        <c:ser>
          <c:idx val="0"/>
          <c:order val="0"/>
          <c:tx>
            <c:strRef>
              <c:f>'Portfolio Projections'!$Y$1:$Y$2</c:f>
            </c:strRef>
          </c:tx>
          <c:spPr>
            <a:solidFill>
              <a:schemeClr val="accent2"/>
            </a:solidFill>
            <a:ln cmpd="sng" w="9525">
              <a:solidFill>
                <a:srgbClr val="000000"/>
              </a:solidFill>
            </a:ln>
          </c:spPr>
          <c:dPt>
            <c:idx val="16"/>
          </c:dPt>
          <c:dPt>
            <c:idx val="17"/>
          </c:dPt>
          <c:dPt>
            <c:idx val="245"/>
          </c:dPt>
          <c:dPt>
            <c:idx val="257"/>
          </c:dPt>
          <c:cat>
            <c:strRef>
              <c:f>'Portfolio Projections'!$T$3:$T$998</c:f>
            </c:strRef>
          </c:cat>
          <c:val>
            <c:numRef>
              <c:f>'Portfolio Projections'!$Y$3:$Y$998</c:f>
              <c:numCache/>
            </c:numRef>
          </c:val>
        </c:ser>
        <c:ser>
          <c:idx val="1"/>
          <c:order val="1"/>
          <c:tx>
            <c:strRef>
              <c:f>'Portfolio Projections'!$X$1:$X$2</c:f>
            </c:strRef>
          </c:tx>
          <c:spPr>
            <a:solidFill>
              <a:srgbClr val="6AA84F"/>
            </a:solidFill>
            <a:ln cmpd="sng">
              <a:solidFill>
                <a:srgbClr val="000000"/>
              </a:solidFill>
            </a:ln>
          </c:spPr>
          <c:dPt>
            <c:idx val="0"/>
          </c:dPt>
          <c:dPt>
            <c:idx val="7"/>
          </c:dPt>
          <c:dPt>
            <c:idx val="16"/>
          </c:dPt>
          <c:dPt>
            <c:idx val="17"/>
          </c:dPt>
          <c:dPt>
            <c:idx val="19"/>
          </c:dPt>
          <c:dPt>
            <c:idx val="264"/>
          </c:dPt>
          <c:dPt>
            <c:idx val="271"/>
          </c:dPt>
          <c:dPt>
            <c:idx val="272"/>
          </c:dPt>
          <c:dPt>
            <c:idx val="276"/>
          </c:dPt>
          <c:dLbls>
            <c:numFmt formatCode="&quot;$&quot;#,##0" sourceLinked="0"/>
            <c:txPr>
              <a:bodyPr/>
              <a:lstStyle/>
              <a:p>
                <a:pPr lvl="0">
                  <a:defRPr b="1"/>
                </a:pPr>
              </a:p>
            </c:txPr>
            <c:showLegendKey val="0"/>
            <c:showVal val="1"/>
            <c:showCatName val="0"/>
            <c:showSerName val="0"/>
            <c:showPercent val="0"/>
            <c:showBubbleSize val="0"/>
          </c:dLbls>
          <c:cat>
            <c:strRef>
              <c:f>'Portfolio Projections'!$T$3:$T$998</c:f>
            </c:strRef>
          </c:cat>
          <c:val>
            <c:numRef>
              <c:f>'Portfolio Projections'!$X$3:$X$998</c:f>
              <c:numCache/>
            </c:numRef>
          </c:val>
        </c:ser>
        <c:overlap val="100"/>
        <c:axId val="1254422155"/>
        <c:axId val="1779594509"/>
      </c:barChart>
      <c:lineChart>
        <c:varyColors val="0"/>
        <c:ser>
          <c:idx val="2"/>
          <c:order val="2"/>
          <c:tx>
            <c:strRef>
              <c:f>'Portfolio Projections'!$Z$1:$Z$2</c:f>
            </c:strRef>
          </c:tx>
          <c:spPr>
            <a:ln cmpd="sng" w="38100">
              <a:solidFill>
                <a:srgbClr val="F1C232">
                  <a:alpha val="100000"/>
                </a:srgbClr>
              </a:solidFill>
              <a:prstDash val="solid"/>
            </a:ln>
          </c:spPr>
          <c:marker>
            <c:symbol val="none"/>
          </c:marker>
          <c:dPt>
            <c:idx val="0"/>
            <c:marker>
              <c:symbol val="none"/>
            </c:marker>
          </c:dPt>
          <c:dPt>
            <c:idx val="4"/>
            <c:marker>
              <c:symbol val="none"/>
            </c:marker>
          </c:dPt>
          <c:dPt>
            <c:idx val="18"/>
            <c:marker>
              <c:symbol val="none"/>
            </c:marker>
          </c:dPt>
          <c:cat>
            <c:strRef>
              <c:f>'Portfolio Projections'!$T$3:$T$998</c:f>
            </c:strRef>
          </c:cat>
          <c:val>
            <c:numRef>
              <c:f>'Portfolio Projections'!$Z$3:$Z$998</c:f>
              <c:numCache/>
            </c:numRef>
          </c:val>
          <c:smooth val="0"/>
        </c:ser>
        <c:axId val="1254422155"/>
        <c:axId val="1779594509"/>
      </c:lineChart>
      <c:catAx>
        <c:axId val="12544221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800">
                <a:solidFill>
                  <a:srgbClr val="000000"/>
                </a:solidFill>
                <a:latin typeface="Roboto"/>
              </a:defRPr>
            </a:pPr>
          </a:p>
        </c:txPr>
        <c:crossAx val="1779594509"/>
      </c:catAx>
      <c:valAx>
        <c:axId val="177959450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quot;$&quot;#,##0.00" sourceLinked="0"/>
        <c:majorTickMark val="cross"/>
        <c:minorTickMark val="none"/>
        <c:tickLblPos val="nextTo"/>
        <c:spPr>
          <a:ln/>
        </c:spPr>
        <c:txPr>
          <a:bodyPr/>
          <a:lstStyle/>
          <a:p>
            <a:pPr lvl="0">
              <a:defRPr b="1" sz="1400">
                <a:solidFill>
                  <a:srgbClr val="000000"/>
                </a:solidFill>
                <a:latin typeface="Roboto"/>
              </a:defRPr>
            </a:pPr>
          </a:p>
        </c:txPr>
        <c:crossAx val="1254422155"/>
      </c:valAx>
    </c:plotArea>
    <c:legend>
      <c:legendPos val="t"/>
      <c:overlay val="0"/>
      <c:txPr>
        <a:bodyPr/>
        <a:lstStyle/>
        <a:p>
          <a:pPr lvl="0">
            <a:defRPr b="1" sz="1400">
              <a:solidFill>
                <a:srgbClr val="000000"/>
              </a:solidFill>
              <a:latin typeface="Roboto"/>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Earning per Share</a:t>
            </a:r>
          </a:p>
        </c:rich>
      </c:tx>
      <c:overlay val="0"/>
    </c:title>
    <c:plotArea>
      <c:layout/>
      <c:barChart>
        <c:barDir val="col"/>
        <c:ser>
          <c:idx val="0"/>
          <c:order val="0"/>
          <c:spPr>
            <a:solidFill>
              <a:schemeClr val="accent6"/>
            </a:solidFill>
            <a:ln cmpd="sng">
              <a:solidFill>
                <a:srgbClr val="000000"/>
              </a:solidFill>
            </a:ln>
          </c:spPr>
          <c:cat>
            <c:strRef>
              <c:f>'Stock Analyzer'!$X$22:$AB$22</c:f>
            </c:strRef>
          </c:cat>
          <c:val>
            <c:numRef>
              <c:f>'Stock Analyzer'!$X$28:$AB$28</c:f>
              <c:numCache/>
            </c:numRef>
          </c:val>
        </c:ser>
        <c:axId val="1181376224"/>
        <c:axId val="140438825"/>
      </c:barChart>
      <c:catAx>
        <c:axId val="11813762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0438825"/>
      </c:catAx>
      <c:valAx>
        <c:axId val="1404388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1376224"/>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Free Cash Flow per Share</a:t>
            </a:r>
          </a:p>
        </c:rich>
      </c:tx>
      <c:overlay val="0"/>
    </c:title>
    <c:plotArea>
      <c:layout/>
      <c:barChart>
        <c:barDir val="col"/>
        <c:grouping val="stacked"/>
        <c:ser>
          <c:idx val="0"/>
          <c:order val="0"/>
          <c:tx>
            <c:strRef>
              <c:f>'Stock Analyzer'!$W$26</c:f>
            </c:strRef>
          </c:tx>
          <c:spPr>
            <a:solidFill>
              <a:schemeClr val="accent6"/>
            </a:solidFill>
            <a:ln cmpd="sng">
              <a:solidFill>
                <a:srgbClr val="000000"/>
              </a:solidFill>
            </a:ln>
          </c:spPr>
          <c:cat>
            <c:strRef>
              <c:f>'Stock Analyzer'!$X$22:$AB$22</c:f>
            </c:strRef>
          </c:cat>
          <c:val>
            <c:numRef>
              <c:f>'Stock Analyzer'!$X$26:$AB$26</c:f>
              <c:numCache/>
            </c:numRef>
          </c:val>
        </c:ser>
        <c:overlap val="100"/>
        <c:axId val="1047570689"/>
        <c:axId val="1430215377"/>
      </c:barChart>
      <c:catAx>
        <c:axId val="10475706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0215377"/>
      </c:catAx>
      <c:valAx>
        <c:axId val="1430215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7570689"/>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Gross Profit Margin (GPM)</a:t>
            </a:r>
          </a:p>
        </c:rich>
      </c:tx>
      <c:overlay val="0"/>
    </c:title>
    <c:plotArea>
      <c:layout/>
      <c:barChart>
        <c:barDir val="col"/>
        <c:grouping val="stacked"/>
        <c:ser>
          <c:idx val="0"/>
          <c:order val="0"/>
          <c:tx>
            <c:strRef>
              <c:f>'Stock Analyzer'!$W$30</c:f>
            </c:strRef>
          </c:tx>
          <c:spPr>
            <a:solidFill>
              <a:srgbClr val="2A9ED6"/>
            </a:solidFill>
            <a:ln cmpd="sng">
              <a:solidFill>
                <a:srgbClr val="000000"/>
              </a:solidFill>
            </a:ln>
          </c:spPr>
          <c:dPt>
            <c:idx val="3"/>
          </c:dPt>
          <c:dPt>
            <c:idx val="4"/>
          </c:dPt>
          <c:cat>
            <c:strRef>
              <c:f>'Stock Analyzer'!$X$22:$AB$22</c:f>
            </c:strRef>
          </c:cat>
          <c:val>
            <c:numRef>
              <c:f>'Stock Analyzer'!$X$30:$AB$30</c:f>
              <c:numCache/>
            </c:numRef>
          </c:val>
        </c:ser>
        <c:overlap val="100"/>
        <c:axId val="1558242814"/>
        <c:axId val="1930247855"/>
      </c:barChart>
      <c:catAx>
        <c:axId val="15582428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0247855"/>
      </c:catAx>
      <c:valAx>
        <c:axId val="19302478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8242814"/>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Net Profit Margin (NPM)</a:t>
            </a:r>
          </a:p>
        </c:rich>
      </c:tx>
      <c:overlay val="0"/>
    </c:title>
    <c:plotArea>
      <c:layout/>
      <c:barChart>
        <c:barDir val="col"/>
        <c:grouping val="stacked"/>
        <c:ser>
          <c:idx val="0"/>
          <c:order val="0"/>
          <c:tx>
            <c:strRef>
              <c:f>'Stock Analyzer'!$W$31</c:f>
            </c:strRef>
          </c:tx>
          <c:spPr>
            <a:solidFill>
              <a:srgbClr val="2A9ED6"/>
            </a:solidFill>
            <a:ln cmpd="sng">
              <a:solidFill>
                <a:srgbClr val="000000"/>
              </a:solidFill>
            </a:ln>
          </c:spPr>
          <c:cat>
            <c:strRef>
              <c:f>'Stock Analyzer'!$X$22:$AB$22</c:f>
            </c:strRef>
          </c:cat>
          <c:val>
            <c:numRef>
              <c:f>'Stock Analyzer'!$X$31:$AB$31</c:f>
              <c:numCache/>
            </c:numRef>
          </c:val>
        </c:ser>
        <c:overlap val="100"/>
        <c:axId val="1881034910"/>
        <c:axId val="1140630539"/>
      </c:barChart>
      <c:catAx>
        <c:axId val="18810349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40630539"/>
      </c:catAx>
      <c:valAx>
        <c:axId val="11406305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1034910"/>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FCF Margin</a:t>
            </a:r>
          </a:p>
        </c:rich>
      </c:tx>
      <c:overlay val="0"/>
    </c:title>
    <c:plotArea>
      <c:layout/>
      <c:barChart>
        <c:barDir val="col"/>
        <c:grouping val="stacked"/>
        <c:ser>
          <c:idx val="0"/>
          <c:order val="0"/>
          <c:tx>
            <c:strRef>
              <c:f>'Stock Analyzer'!$W$32</c:f>
            </c:strRef>
          </c:tx>
          <c:spPr>
            <a:solidFill>
              <a:srgbClr val="2A9ED6"/>
            </a:solidFill>
            <a:ln cmpd="sng">
              <a:solidFill>
                <a:srgbClr val="000000"/>
              </a:solidFill>
            </a:ln>
          </c:spPr>
          <c:cat>
            <c:strRef>
              <c:f>'Stock Analyzer'!$X$22:$AB$22</c:f>
            </c:strRef>
          </c:cat>
          <c:val>
            <c:numRef>
              <c:f>'Stock Analyzer'!$X$32:$AB$32</c:f>
              <c:numCache/>
            </c:numRef>
          </c:val>
        </c:ser>
        <c:overlap val="100"/>
        <c:axId val="645123942"/>
        <c:axId val="628340818"/>
      </c:barChart>
      <c:catAx>
        <c:axId val="6451239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8340818"/>
      </c:catAx>
      <c:valAx>
        <c:axId val="628340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5123942"/>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0818965517241403"/>
          <c:y val="0.044483985765124454"/>
          <c:w val="0.7383299706529713"/>
          <c:h val="0.9164135557503498"/>
        </c:manualLayout>
      </c:layout>
      <c:radarChart>
        <c:radarStyle val="marker"/>
        <c:ser>
          <c:idx val="0"/>
          <c:order val="0"/>
          <c:tx>
            <c:strRef>
              <c:f>'Stock Analyzer'!$M$33</c:f>
            </c:strRef>
          </c:tx>
          <c:spPr>
            <a:ln cmpd="sng">
              <a:solidFill>
                <a:srgbClr val="CC0000">
                  <a:alpha val="100000"/>
                </a:srgbClr>
              </a:solidFill>
            </a:ln>
          </c:spPr>
          <c:marker>
            <c:symbol val="none"/>
          </c:marker>
          <c:cat>
            <c:strRef>
              <c:f>'Stock Analyzer'!$L$34:$L$38</c:f>
            </c:strRef>
          </c:cat>
          <c:val>
            <c:numRef>
              <c:f>'Stock Analyzer'!$M$34:$M$38</c:f>
              <c:numCache/>
            </c:numRef>
          </c:val>
          <c:smooth val="1"/>
        </c:ser>
        <c:ser>
          <c:idx val="1"/>
          <c:order val="1"/>
          <c:tx>
            <c:strRef>
              <c:f>'Stock Analyzer'!$N$33</c:f>
            </c:strRef>
          </c:tx>
          <c:spPr>
            <a:ln cmpd="sng">
              <a:solidFill>
                <a:srgbClr val="1155CC">
                  <a:alpha val="100000"/>
                </a:srgbClr>
              </a:solidFill>
            </a:ln>
          </c:spPr>
          <c:marker>
            <c:symbol val="none"/>
          </c:marker>
          <c:cat>
            <c:strRef>
              <c:f>'Stock Analyzer'!$L$34:$L$38</c:f>
            </c:strRef>
          </c:cat>
          <c:val>
            <c:numRef>
              <c:f>'Stock Analyzer'!$N$34:$N$38</c:f>
              <c:numCache/>
            </c:numRef>
          </c:val>
          <c:smooth val="1"/>
        </c:ser>
        <c:axId val="902055428"/>
        <c:axId val="626623253"/>
      </c:radarChart>
      <c:catAx>
        <c:axId val="9020554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626623253"/>
      </c:catAx>
      <c:valAx>
        <c:axId val="6266232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2055428"/>
      </c:valAx>
    </c:plotArea>
    <c:legend>
      <c:legendPos val="r"/>
      <c:layout>
        <c:manualLayout>
          <c:xMode val="edge"/>
          <c:yMode val="edge"/>
          <c:x val="0.8198823258406605"/>
          <c:y val="0.12633451957295375"/>
        </c:manualLayout>
      </c:layout>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Net Debt (Billions)</a:t>
            </a:r>
          </a:p>
        </c:rich>
      </c:tx>
      <c:overlay val="0"/>
    </c:title>
    <c:plotArea>
      <c:layout/>
      <c:barChart>
        <c:barDir val="col"/>
        <c:grouping val="stacked"/>
        <c:ser>
          <c:idx val="0"/>
          <c:order val="0"/>
          <c:tx>
            <c:strRef>
              <c:f>'Stock Analyzer'!$W$33</c:f>
            </c:strRef>
          </c:tx>
          <c:spPr>
            <a:solidFill>
              <a:srgbClr val="F1C232"/>
            </a:solidFill>
            <a:ln cmpd="sng">
              <a:solidFill>
                <a:srgbClr val="000000"/>
              </a:solidFill>
            </a:ln>
          </c:spPr>
          <c:cat>
            <c:strRef>
              <c:f>'Stock Analyzer'!$X$22:$AB$22</c:f>
            </c:strRef>
          </c:cat>
          <c:val>
            <c:numRef>
              <c:f>'Stock Analyzer'!$X$33:$AB$33</c:f>
              <c:numCache/>
            </c:numRef>
          </c:val>
        </c:ser>
        <c:overlap val="100"/>
        <c:axId val="1342854955"/>
        <c:axId val="1850859370"/>
      </c:barChart>
      <c:catAx>
        <c:axId val="13428549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0859370"/>
      </c:catAx>
      <c:valAx>
        <c:axId val="18508593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2854955"/>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Net Debt to Free Cash Flow</a:t>
            </a:r>
          </a:p>
        </c:rich>
      </c:tx>
      <c:layout>
        <c:manualLayout>
          <c:xMode val="edge"/>
          <c:yMode val="edge"/>
          <c:x val="0.03091666666666667"/>
          <c:y val="0.04730458221024259"/>
        </c:manualLayout>
      </c:layout>
      <c:overlay val="0"/>
    </c:title>
    <c:plotArea>
      <c:layout/>
      <c:barChart>
        <c:barDir val="col"/>
        <c:grouping val="stacked"/>
        <c:ser>
          <c:idx val="0"/>
          <c:order val="0"/>
          <c:tx>
            <c:strRef>
              <c:f>'Stock Analyzer'!$W$35</c:f>
            </c:strRef>
          </c:tx>
          <c:spPr>
            <a:solidFill>
              <a:srgbClr val="F1C232"/>
            </a:solidFill>
            <a:ln cmpd="sng">
              <a:solidFill>
                <a:srgbClr val="000000"/>
              </a:solidFill>
            </a:ln>
          </c:spPr>
          <c:cat>
            <c:strRef>
              <c:f>'Stock Analyzer'!$X$22:$AB$22</c:f>
            </c:strRef>
          </c:cat>
          <c:val>
            <c:numRef>
              <c:f>'Stock Analyzer'!$X$35:$AB$35</c:f>
              <c:numCache/>
            </c:numRef>
          </c:val>
        </c:ser>
        <c:overlap val="100"/>
        <c:axId val="449888401"/>
        <c:axId val="519564064"/>
      </c:barChart>
      <c:catAx>
        <c:axId val="4498884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19564064"/>
      </c:catAx>
      <c:valAx>
        <c:axId val="5195640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9888401"/>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Interest Coverage</a:t>
            </a:r>
          </a:p>
        </c:rich>
      </c:tx>
      <c:layout>
        <c:manualLayout>
          <c:xMode val="edge"/>
          <c:yMode val="edge"/>
          <c:x val="0.03091666666666667"/>
          <c:y val="0.04730458221024259"/>
        </c:manualLayout>
      </c:layout>
      <c:overlay val="0"/>
    </c:title>
    <c:plotArea>
      <c:layout/>
      <c:barChart>
        <c:barDir val="col"/>
        <c:grouping val="stacked"/>
        <c:ser>
          <c:idx val="0"/>
          <c:order val="0"/>
          <c:tx>
            <c:strRef>
              <c:f>'Stock Analyzer'!$W$36</c:f>
            </c:strRef>
          </c:tx>
          <c:spPr>
            <a:solidFill>
              <a:srgbClr val="F1C232"/>
            </a:solidFill>
            <a:ln cmpd="sng">
              <a:solidFill>
                <a:srgbClr val="000000"/>
              </a:solidFill>
            </a:ln>
          </c:spPr>
          <c:cat>
            <c:strRef>
              <c:f>'Stock Analyzer'!$X$22:$AB$22</c:f>
            </c:strRef>
          </c:cat>
          <c:val>
            <c:numRef>
              <c:f>'Stock Analyzer'!$X$36:$AB$36</c:f>
              <c:numCache/>
            </c:numRef>
          </c:val>
        </c:ser>
        <c:overlap val="100"/>
        <c:axId val="746930558"/>
        <c:axId val="645446836"/>
      </c:barChart>
      <c:catAx>
        <c:axId val="7469305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5446836"/>
      </c:catAx>
      <c:valAx>
        <c:axId val="645446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6930558"/>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Dividend Yield (%)</a:t>
            </a:r>
          </a:p>
        </c:rich>
      </c:tx>
      <c:layout>
        <c:manualLayout>
          <c:xMode val="edge"/>
          <c:yMode val="edge"/>
          <c:x val="0.03091666666666667"/>
          <c:y val="0.043367574336226844"/>
        </c:manualLayout>
      </c:layout>
      <c:overlay val="0"/>
    </c:title>
    <c:plotArea>
      <c:layout/>
      <c:lineChart>
        <c:varyColors val="0"/>
        <c:ser>
          <c:idx val="0"/>
          <c:order val="0"/>
          <c:tx>
            <c:strRef>
              <c:f>'Stock Analyzer'!$W$37</c:f>
            </c:strRef>
          </c:tx>
          <c:spPr>
            <a:ln cmpd="sng" w="38100">
              <a:solidFill>
                <a:srgbClr val="E56DF8">
                  <a:alpha val="100000"/>
                </a:srgbClr>
              </a:solidFill>
            </a:ln>
          </c:spPr>
          <c:marker>
            <c:symbol val="none"/>
          </c:marker>
          <c:cat>
            <c:strRef>
              <c:f>'Stock Analyzer'!$X$22:$AB$22</c:f>
            </c:strRef>
          </c:cat>
          <c:val>
            <c:numRef>
              <c:f>'Stock Analyzer'!$X$37:$AB$37</c:f>
              <c:numCache/>
            </c:numRef>
          </c:val>
          <c:smooth val="0"/>
        </c:ser>
        <c:axId val="1393581945"/>
        <c:axId val="2034694091"/>
      </c:lineChart>
      <c:catAx>
        <c:axId val="13935819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34694091"/>
      </c:catAx>
      <c:valAx>
        <c:axId val="20346940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3581945"/>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Dividends per Share</a:t>
            </a:r>
          </a:p>
        </c:rich>
      </c:tx>
      <c:overlay val="0"/>
    </c:title>
    <c:plotArea>
      <c:layout/>
      <c:barChart>
        <c:barDir val="col"/>
        <c:grouping val="stacked"/>
        <c:ser>
          <c:idx val="0"/>
          <c:order val="0"/>
          <c:tx>
            <c:strRef>
              <c:f>'Stock Analyzer'!$W$39</c:f>
            </c:strRef>
          </c:tx>
          <c:spPr>
            <a:solidFill>
              <a:srgbClr val="E56DF8"/>
            </a:solidFill>
            <a:ln cmpd="sng">
              <a:solidFill>
                <a:srgbClr val="000000"/>
              </a:solidFill>
            </a:ln>
          </c:spPr>
          <c:cat>
            <c:strRef>
              <c:f>'Stock Analyzer'!$X$22:$AB$22</c:f>
            </c:strRef>
          </c:cat>
          <c:val>
            <c:numRef>
              <c:f>'Stock Analyzer'!$X$39:$AB$39</c:f>
              <c:numCache/>
            </c:numRef>
          </c:val>
        </c:ser>
        <c:overlap val="100"/>
        <c:axId val="653692830"/>
        <c:axId val="2122090076"/>
      </c:barChart>
      <c:catAx>
        <c:axId val="6536928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22090076"/>
      </c:catAx>
      <c:valAx>
        <c:axId val="21220900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3692830"/>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Dividend Growth (%)</a:t>
            </a:r>
          </a:p>
        </c:rich>
      </c:tx>
      <c:layout>
        <c:manualLayout>
          <c:xMode val="edge"/>
          <c:yMode val="edge"/>
          <c:x val="0.03047058823529412"/>
          <c:y val="0.04613899613899614"/>
        </c:manualLayout>
      </c:layout>
      <c:overlay val="0"/>
    </c:title>
    <c:plotArea>
      <c:layout/>
      <c:barChart>
        <c:barDir val="col"/>
        <c:grouping val="stacked"/>
        <c:ser>
          <c:idx val="0"/>
          <c:order val="0"/>
          <c:tx>
            <c:strRef>
              <c:f>'Stock Analyzer'!$W$40</c:f>
            </c:strRef>
          </c:tx>
          <c:spPr>
            <a:solidFill>
              <a:srgbClr val="E56DF8"/>
            </a:solidFill>
            <a:ln cmpd="sng">
              <a:solidFill>
                <a:srgbClr val="000000"/>
              </a:solidFill>
            </a:ln>
          </c:spPr>
          <c:cat>
            <c:strRef>
              <c:f>'Stock Analyzer'!$X$22:$AB$22</c:f>
            </c:strRef>
          </c:cat>
          <c:val>
            <c:numRef>
              <c:f>'Stock Analyzer'!$X$40:$AB$40</c:f>
              <c:numCache/>
            </c:numRef>
          </c:val>
        </c:ser>
        <c:overlap val="100"/>
        <c:axId val="2069494722"/>
        <c:axId val="2029384642"/>
      </c:barChart>
      <c:catAx>
        <c:axId val="2069494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29384642"/>
      </c:catAx>
      <c:valAx>
        <c:axId val="20293846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9494722"/>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Payout Ratio (%)</a:t>
            </a:r>
          </a:p>
        </c:rich>
      </c:tx>
      <c:overlay val="0"/>
    </c:title>
    <c:plotArea>
      <c:layout/>
      <c:barChart>
        <c:barDir val="col"/>
        <c:grouping val="stacked"/>
        <c:ser>
          <c:idx val="0"/>
          <c:order val="0"/>
          <c:tx>
            <c:strRef>
              <c:f>'Stock Analyzer'!$W$41</c:f>
            </c:strRef>
          </c:tx>
          <c:spPr>
            <a:solidFill>
              <a:srgbClr val="E56DF8"/>
            </a:solidFill>
            <a:ln cmpd="sng">
              <a:solidFill>
                <a:srgbClr val="000000"/>
              </a:solidFill>
            </a:ln>
          </c:spPr>
          <c:cat>
            <c:strRef>
              <c:f>'Stock Analyzer'!$X$22:$AB$22</c:f>
            </c:strRef>
          </c:cat>
          <c:val>
            <c:numRef>
              <c:f>'Stock Analyzer'!$X$41:$AB$41</c:f>
              <c:numCache/>
            </c:numRef>
          </c:val>
        </c:ser>
        <c:overlap val="100"/>
        <c:axId val="416960263"/>
        <c:axId val="487182842"/>
      </c:barChart>
      <c:catAx>
        <c:axId val="4169602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87182842"/>
      </c:catAx>
      <c:valAx>
        <c:axId val="487182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6960263"/>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FCF Payout Ratio (%)</a:t>
            </a:r>
          </a:p>
        </c:rich>
      </c:tx>
      <c:overlay val="0"/>
    </c:title>
    <c:plotArea>
      <c:layout/>
      <c:barChart>
        <c:barDir val="col"/>
        <c:grouping val="stacked"/>
        <c:ser>
          <c:idx val="0"/>
          <c:order val="0"/>
          <c:tx>
            <c:strRef>
              <c:f>'Stock Analyzer'!$W$42</c:f>
            </c:strRef>
          </c:tx>
          <c:spPr>
            <a:solidFill>
              <a:srgbClr val="E56DF8"/>
            </a:solidFill>
            <a:ln cmpd="sng">
              <a:solidFill>
                <a:srgbClr val="000000"/>
              </a:solidFill>
            </a:ln>
          </c:spPr>
          <c:cat>
            <c:strRef>
              <c:f>'Stock Analyzer'!$X$22:$AB$22</c:f>
            </c:strRef>
          </c:cat>
          <c:val>
            <c:numRef>
              <c:f>'Stock Analyzer'!$X$42:$AB$42</c:f>
              <c:numCache/>
            </c:numRef>
          </c:val>
        </c:ser>
        <c:overlap val="100"/>
        <c:axId val="1997524258"/>
        <c:axId val="756361275"/>
      </c:barChart>
      <c:catAx>
        <c:axId val="19975242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56361275"/>
      </c:catAx>
      <c:valAx>
        <c:axId val="7563612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7524258"/>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Shares Outstanding (Billions)</a:t>
            </a:r>
          </a:p>
        </c:rich>
      </c:tx>
      <c:overlay val="0"/>
    </c:title>
    <c:plotArea>
      <c:layout/>
      <c:barChart>
        <c:barDir val="col"/>
        <c:grouping val="stacked"/>
        <c:ser>
          <c:idx val="0"/>
          <c:order val="0"/>
          <c:tx>
            <c:strRef>
              <c:f>'Stock Analyzer'!$W$43</c:f>
            </c:strRef>
          </c:tx>
          <c:spPr>
            <a:solidFill>
              <a:srgbClr val="E56DF8"/>
            </a:solidFill>
            <a:ln cmpd="sng">
              <a:solidFill>
                <a:srgbClr val="000000"/>
              </a:solidFill>
            </a:ln>
          </c:spPr>
          <c:cat>
            <c:strRef>
              <c:f>'Stock Analyzer'!$X$22:$AB$22</c:f>
            </c:strRef>
          </c:cat>
          <c:val>
            <c:numRef>
              <c:f>'Stock Analyzer'!$X$43:$AB$43</c:f>
              <c:numCache/>
            </c:numRef>
          </c:val>
        </c:ser>
        <c:overlap val="100"/>
        <c:axId val="869147334"/>
        <c:axId val="744021370"/>
      </c:barChart>
      <c:catAx>
        <c:axId val="869147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44021370"/>
      </c:catAx>
      <c:valAx>
        <c:axId val="7440213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9147334"/>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Return on Assets (ROA)</a:t>
            </a:r>
          </a:p>
        </c:rich>
      </c:tx>
      <c:layout>
        <c:manualLayout>
          <c:xMode val="edge"/>
          <c:yMode val="edge"/>
          <c:x val="0.030957683741648107"/>
          <c:y val="0.04640287769784173"/>
        </c:manualLayout>
      </c:layout>
      <c:overlay val="0"/>
    </c:title>
    <c:plotArea>
      <c:layout/>
      <c:barChart>
        <c:barDir val="col"/>
        <c:grouping val="stacked"/>
        <c:ser>
          <c:idx val="0"/>
          <c:order val="0"/>
          <c:tx>
            <c:strRef>
              <c:f>'Stock Analyzer'!$W$45</c:f>
            </c:strRef>
          </c:tx>
          <c:spPr>
            <a:solidFill>
              <a:srgbClr val="B45F06"/>
            </a:solidFill>
            <a:ln cmpd="sng">
              <a:solidFill>
                <a:srgbClr val="000000"/>
              </a:solidFill>
            </a:ln>
          </c:spPr>
          <c:dPt>
            <c:idx val="2"/>
          </c:dPt>
          <c:cat>
            <c:strRef>
              <c:f>'Stock Analyzer'!$X$22:$AB$22</c:f>
            </c:strRef>
          </c:cat>
          <c:val>
            <c:numRef>
              <c:f>'Stock Analyzer'!$X$45:$AB$45</c:f>
              <c:numCache/>
            </c:numRef>
          </c:val>
        </c:ser>
        <c:overlap val="100"/>
        <c:axId val="1522468895"/>
        <c:axId val="1479618719"/>
      </c:barChart>
      <c:catAx>
        <c:axId val="15224688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79618719"/>
      </c:catAx>
      <c:valAx>
        <c:axId val="14796187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2468895"/>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Revenue (Billions)</a:t>
            </a:r>
          </a:p>
        </c:rich>
      </c:tx>
      <c:layout>
        <c:manualLayout>
          <c:xMode val="edge"/>
          <c:yMode val="edge"/>
          <c:x val="0.03091666666666667"/>
          <c:y val="0.04730458221024259"/>
        </c:manualLayout>
      </c:layout>
      <c:overlay val="0"/>
    </c:title>
    <c:plotArea>
      <c:layout/>
      <c:barChart>
        <c:barDir val="col"/>
        <c:ser>
          <c:idx val="0"/>
          <c:order val="0"/>
          <c:tx>
            <c:strRef>
              <c:f>'Stock Analyzer'!$W$23</c:f>
            </c:strRef>
          </c:tx>
          <c:spPr>
            <a:solidFill>
              <a:schemeClr val="accent6"/>
            </a:solidFill>
            <a:ln cmpd="sng">
              <a:solidFill>
                <a:srgbClr val="000000"/>
              </a:solidFill>
            </a:ln>
          </c:spPr>
          <c:cat>
            <c:strRef>
              <c:f>'Stock Analyzer'!$X$22:$AB$22</c:f>
            </c:strRef>
          </c:cat>
          <c:val>
            <c:numRef>
              <c:f>'Stock Analyzer'!$X$23:$AB$23</c:f>
              <c:numCache/>
            </c:numRef>
          </c:val>
        </c:ser>
        <c:axId val="366446633"/>
        <c:axId val="899982547"/>
      </c:barChart>
      <c:catAx>
        <c:axId val="3664466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9982547"/>
      </c:catAx>
      <c:valAx>
        <c:axId val="8999825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6446633"/>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Return on Equity (ROE)</a:t>
            </a:r>
          </a:p>
        </c:rich>
      </c:tx>
      <c:overlay val="0"/>
    </c:title>
    <c:plotArea>
      <c:layout/>
      <c:barChart>
        <c:barDir val="col"/>
        <c:grouping val="stacked"/>
        <c:ser>
          <c:idx val="0"/>
          <c:order val="0"/>
          <c:tx>
            <c:strRef>
              <c:f>'Stock Analyzer'!$W$46</c:f>
            </c:strRef>
          </c:tx>
          <c:spPr>
            <a:solidFill>
              <a:srgbClr val="B45F06"/>
            </a:solidFill>
            <a:ln cmpd="sng">
              <a:solidFill>
                <a:srgbClr val="000000"/>
              </a:solidFill>
            </a:ln>
          </c:spPr>
          <c:dPt>
            <c:idx val="1"/>
            <c:spPr>
              <a:solidFill>
                <a:srgbClr val="B45F06"/>
              </a:solidFill>
              <a:ln cmpd="sng">
                <a:solidFill>
                  <a:srgbClr val="000000"/>
                </a:solidFill>
              </a:ln>
            </c:spPr>
          </c:dPt>
          <c:cat>
            <c:strRef>
              <c:f>'Stock Analyzer'!$X$22:$AB$22</c:f>
            </c:strRef>
          </c:cat>
          <c:val>
            <c:numRef>
              <c:f>'Stock Analyzer'!$X$46:$AB$46</c:f>
              <c:numCache/>
            </c:numRef>
          </c:val>
        </c:ser>
        <c:overlap val="100"/>
        <c:axId val="1275419500"/>
        <c:axId val="1690245075"/>
      </c:barChart>
      <c:catAx>
        <c:axId val="12754195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90245075"/>
      </c:catAx>
      <c:valAx>
        <c:axId val="1690245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5419500"/>
      </c:valAx>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Return on Invested Capital (ROIC)</a:t>
            </a:r>
          </a:p>
        </c:rich>
      </c:tx>
      <c:overlay val="0"/>
    </c:title>
    <c:plotArea>
      <c:layout/>
      <c:barChart>
        <c:barDir val="col"/>
        <c:grouping val="stacked"/>
        <c:ser>
          <c:idx val="0"/>
          <c:order val="0"/>
          <c:tx>
            <c:strRef>
              <c:f>'Stock Analyzer'!$W$52</c:f>
            </c:strRef>
          </c:tx>
          <c:spPr>
            <a:solidFill>
              <a:srgbClr val="B45F06"/>
            </a:solidFill>
            <a:ln cmpd="sng">
              <a:solidFill>
                <a:srgbClr val="000000"/>
              </a:solidFill>
            </a:ln>
          </c:spPr>
          <c:cat>
            <c:strRef>
              <c:f>'Stock Analyzer'!$X$22:$AB$22</c:f>
            </c:strRef>
          </c:cat>
          <c:val>
            <c:numRef>
              <c:f>'Stock Analyzer'!$X$52:$AB$52</c:f>
              <c:numCache/>
            </c:numRef>
          </c:val>
        </c:ser>
        <c:overlap val="100"/>
        <c:axId val="791425888"/>
        <c:axId val="907614148"/>
      </c:barChart>
      <c:catAx>
        <c:axId val="7914258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07614148"/>
      </c:catAx>
      <c:valAx>
        <c:axId val="9076141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1425888"/>
      </c:valAx>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'Passive Income Tracking'!$C$4</c:f>
            </c:strRef>
          </c:tx>
          <c:spPr>
            <a:solidFill>
              <a:schemeClr val="accent1"/>
            </a:solidFill>
            <a:ln cmpd="sng">
              <a:solidFill>
                <a:srgbClr val="000000"/>
              </a:solidFill>
            </a:ln>
          </c:spPr>
          <c:cat>
            <c:strRef>
              <c:f>'Passive Income Tracking'!$B$5:$B$11</c:f>
            </c:strRef>
          </c:cat>
          <c:val>
            <c:numRef>
              <c:f>'Passive Income Tracking'!$C$5:$C$11</c:f>
              <c:numCache/>
            </c:numRef>
          </c:val>
        </c:ser>
        <c:axId val="943660770"/>
        <c:axId val="1984706740"/>
      </c:barChart>
      <c:catAx>
        <c:axId val="9436607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4706740"/>
      </c:catAx>
      <c:valAx>
        <c:axId val="19847067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3660770"/>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061056105610563"/>
          <c:y val="0.057951482479784364"/>
          <c:w val="0.9273102310231024"/>
          <c:h val="0.8920485175202156"/>
        </c:manualLayout>
      </c:layout>
      <c:pieChart>
        <c:varyColors val="1"/>
        <c:ser>
          <c:idx val="0"/>
          <c:order val="0"/>
          <c:dPt>
            <c:idx val="0"/>
            <c:spPr>
              <a:solidFill>
                <a:srgbClr val="5891AD"/>
              </a:solidFill>
            </c:spPr>
          </c:dPt>
          <c:dLbls>
            <c:showLegendKey val="0"/>
            <c:showVal val="0"/>
            <c:showCatName val="0"/>
            <c:showSerName val="0"/>
            <c:showPercent val="0"/>
            <c:showBubbleSize val="0"/>
            <c:showLeaderLines val="1"/>
          </c:dLbls>
          <c:cat>
            <c:strRef>
              <c:f>'Passive Income Tracking'!$I$5:$L$5</c:f>
            </c:strRef>
          </c:cat>
          <c:val>
            <c:numRef>
              <c:f>'Passive Income Tracking'!$I$5:$L$5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Annual Passive Income </a:t>
            </a:r>
          </a:p>
        </c:rich>
      </c:tx>
      <c:overlay val="0"/>
    </c:title>
    <c:plotArea>
      <c:layout/>
      <c:barChart>
        <c:barDir val="col"/>
        <c:ser>
          <c:idx val="0"/>
          <c:order val="0"/>
          <c:tx>
            <c:strRef>
              <c:f>'Passive Income Tracking'!$E$4</c:f>
            </c:strRef>
          </c:tx>
          <c:spPr>
            <a:solidFill>
              <a:schemeClr val="accent1"/>
            </a:solidFill>
            <a:ln cmpd="sng">
              <a:solidFill>
                <a:srgbClr val="000000"/>
              </a:solidFill>
            </a:ln>
          </c:spPr>
          <c:cat>
            <c:strRef>
              <c:f>'Passive Income Tracking'!$B$5:$B$6</c:f>
            </c:strRef>
          </c:cat>
          <c:val>
            <c:numRef>
              <c:f>'Passive Income Tracking'!$E$5:$E$6</c:f>
              <c:numCache/>
            </c:numRef>
          </c:val>
        </c:ser>
        <c:ser>
          <c:idx val="1"/>
          <c:order val="1"/>
          <c:tx>
            <c:strRef>
              <c:f>'Passive Income Tracking'!$F$4</c:f>
            </c:strRef>
          </c:tx>
          <c:spPr>
            <a:solidFill>
              <a:schemeClr val="accent2"/>
            </a:solidFill>
            <a:ln cmpd="sng">
              <a:solidFill>
                <a:srgbClr val="000000"/>
              </a:solidFill>
            </a:ln>
          </c:spPr>
          <c:cat>
            <c:strRef>
              <c:f>'Passive Income Tracking'!$B$5:$B$6</c:f>
            </c:strRef>
          </c:cat>
          <c:val>
            <c:numRef>
              <c:f>'Passive Income Tracking'!$F$5:$F$6</c:f>
              <c:numCache/>
            </c:numRef>
          </c:val>
        </c:ser>
        <c:ser>
          <c:idx val="2"/>
          <c:order val="2"/>
          <c:tx>
            <c:strRef>
              <c:f>'Passive Income Tracking'!$G$4</c:f>
            </c:strRef>
          </c:tx>
          <c:spPr>
            <a:solidFill>
              <a:schemeClr val="accent3"/>
            </a:solidFill>
            <a:ln cmpd="sng">
              <a:solidFill>
                <a:srgbClr val="000000"/>
              </a:solidFill>
            </a:ln>
          </c:spPr>
          <c:cat>
            <c:strRef>
              <c:f>'Passive Income Tracking'!$B$5:$B$6</c:f>
            </c:strRef>
          </c:cat>
          <c:val>
            <c:numRef>
              <c:f>'Passive Income Tracking'!$G$5:$G$6</c:f>
              <c:numCache/>
            </c:numRef>
          </c:val>
        </c:ser>
        <c:ser>
          <c:idx val="3"/>
          <c:order val="3"/>
          <c:tx>
            <c:strRef>
              <c:f>'Passive Income Tracking'!$H$4</c:f>
            </c:strRef>
          </c:tx>
          <c:spPr>
            <a:solidFill>
              <a:schemeClr val="accent4"/>
            </a:solidFill>
            <a:ln cmpd="sng">
              <a:solidFill>
                <a:srgbClr val="000000"/>
              </a:solidFill>
            </a:ln>
          </c:spPr>
          <c:cat>
            <c:strRef>
              <c:f>'Passive Income Tracking'!$B$5:$B$6</c:f>
            </c:strRef>
          </c:cat>
          <c:val>
            <c:numRef>
              <c:f>'Passive Income Tracking'!$H$5:$H$6</c:f>
              <c:numCache/>
            </c:numRef>
          </c:val>
        </c:ser>
        <c:axId val="1352415250"/>
        <c:axId val="800076220"/>
      </c:barChart>
      <c:catAx>
        <c:axId val="13524152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Annual Passive Income Tracking/Year</a:t>
                </a:r>
              </a:p>
            </c:rich>
          </c:tx>
          <c:overlay val="0"/>
        </c:title>
        <c:numFmt formatCode="General" sourceLinked="1"/>
        <c:majorTickMark val="none"/>
        <c:minorTickMark val="none"/>
        <c:spPr/>
        <c:txPr>
          <a:bodyPr/>
          <a:lstStyle/>
          <a:p>
            <a:pPr lvl="0">
              <a:defRPr b="0">
                <a:solidFill>
                  <a:srgbClr val="000000"/>
                </a:solidFill>
                <a:latin typeface="+mn-lt"/>
              </a:defRPr>
            </a:pPr>
          </a:p>
        </c:txPr>
        <c:crossAx val="800076220"/>
      </c:catAx>
      <c:valAx>
        <c:axId val="8000762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2415250"/>
      </c:valAx>
    </c:plotArea>
    <c:legend>
      <c:legendPos val="r"/>
      <c:overlay val="0"/>
      <c:txPr>
        <a:bodyPr/>
        <a:lstStyle/>
        <a:p>
          <a:pPr lvl="0">
            <a:defRPr b="0">
              <a:solidFill>
                <a:srgbClr val="1A1A1A"/>
              </a:solidFill>
              <a:latin typeface="+mn-lt"/>
            </a:defRPr>
          </a:pPr>
        </a:p>
      </c:txPr>
    </c:legend>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Balance Portafolio</a:t>
            </a:r>
          </a:p>
        </c:rich>
      </c:tx>
      <c:overlay val="0"/>
    </c:title>
    <c:plotArea>
      <c:layout/>
      <c:barChart>
        <c:barDir val="col"/>
        <c:ser>
          <c:idx val="0"/>
          <c:order val="0"/>
          <c:spPr>
            <a:solidFill>
              <a:srgbClr val="3C78D8"/>
            </a:solidFill>
            <a:ln cmpd="sng">
              <a:solidFill>
                <a:srgbClr val="000000"/>
              </a:solidFill>
            </a:ln>
          </c:spPr>
          <c:cat>
            <c:strRef>
              <c:f>'Regla 4% (20 años)'!$B$5:$B$24</c:f>
            </c:strRef>
          </c:cat>
          <c:val>
            <c:numRef>
              <c:f>'Regla 4% (20 años)'!$D$5:$D$25</c:f>
              <c:numCache/>
            </c:numRef>
          </c:val>
        </c:ser>
        <c:axId val="627008905"/>
        <c:axId val="381907219"/>
      </c:barChart>
      <c:catAx>
        <c:axId val="6270089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81907219"/>
      </c:catAx>
      <c:valAx>
        <c:axId val="3819072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7008905"/>
      </c:valAx>
    </c:plotArea>
    <c:legend>
      <c:legendPos val="r"/>
      <c:overlay val="0"/>
      <c:txPr>
        <a:bodyPr/>
        <a:lstStyle/>
        <a:p>
          <a:pPr lvl="0">
            <a:defRPr b="0">
              <a:solidFill>
                <a:srgbClr val="1A1A1A"/>
              </a:solidFill>
              <a:latin typeface="+mn-lt"/>
            </a:defRPr>
          </a:pPr>
        </a:p>
      </c:txPr>
    </c:legend>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Cantidad a Retirar</a:t>
            </a:r>
          </a:p>
        </c:rich>
      </c:tx>
      <c:overlay val="0"/>
    </c:title>
    <c:plotArea>
      <c:layout/>
      <c:barChart>
        <c:barDir val="col"/>
        <c:ser>
          <c:idx val="0"/>
          <c:order val="0"/>
          <c:spPr>
            <a:solidFill>
              <a:srgbClr val="CC0000"/>
            </a:solidFill>
            <a:ln cmpd="sng">
              <a:solidFill>
                <a:srgbClr val="000000"/>
              </a:solidFill>
            </a:ln>
          </c:spPr>
          <c:cat>
            <c:strRef>
              <c:f>'Regla 4% (20 años)'!$B$5:$B$24</c:f>
            </c:strRef>
          </c:cat>
          <c:val>
            <c:numRef>
              <c:f>'Regla 4% (20 años)'!$H$5:$H$27</c:f>
              <c:numCache/>
            </c:numRef>
          </c:val>
        </c:ser>
        <c:axId val="1798547143"/>
        <c:axId val="958669346"/>
      </c:barChart>
      <c:catAx>
        <c:axId val="17985471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8669346"/>
      </c:catAx>
      <c:valAx>
        <c:axId val="9586693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8547143"/>
      </c:valAx>
    </c:plotArea>
    <c:legend>
      <c:legendPos val="r"/>
      <c:overlay val="0"/>
      <c:txPr>
        <a:bodyPr/>
        <a:lstStyle/>
        <a:p>
          <a:pPr lvl="0">
            <a:defRPr b="0">
              <a:solidFill>
                <a:srgbClr val="1A1A1A"/>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Balance Portafolio</c:v>
          </c:tx>
          <c:spPr>
            <a:solidFill>
              <a:srgbClr val="3C78D8"/>
            </a:solidFill>
            <a:ln cmpd="sng">
              <a:solidFill>
                <a:srgbClr val="000000"/>
              </a:solidFill>
            </a:ln>
          </c:spPr>
          <c:dPt>
            <c:idx val="5"/>
          </c:dPt>
          <c:cat>
            <c:strRef>
              <c:f>'Regla 4% (20 años)'!$B$5:$B$24</c:f>
            </c:strRef>
          </c:cat>
          <c:val>
            <c:numRef>
              <c:f>'Regla 4% (20 años)'!$D$5:$D$25</c:f>
              <c:numCache/>
            </c:numRef>
          </c:val>
        </c:ser>
        <c:ser>
          <c:idx val="1"/>
          <c:order val="1"/>
          <c:tx>
            <c:v>Cantidad a Retirar</c:v>
          </c:tx>
          <c:spPr>
            <a:solidFill>
              <a:srgbClr val="CC0000"/>
            </a:solidFill>
            <a:ln cmpd="sng">
              <a:solidFill>
                <a:srgbClr val="000000"/>
              </a:solidFill>
            </a:ln>
          </c:spPr>
          <c:dPt>
            <c:idx val="6"/>
          </c:dPt>
          <c:dPt>
            <c:idx val="9"/>
            <c:spPr>
              <a:solidFill>
                <a:srgbClr val="CC0000"/>
              </a:solidFill>
              <a:ln cmpd="sng">
                <a:solidFill>
                  <a:srgbClr val="000000"/>
                </a:solidFill>
              </a:ln>
            </c:spPr>
          </c:dPt>
          <c:dPt>
            <c:idx val="11"/>
          </c:dPt>
          <c:cat>
            <c:strRef>
              <c:f>'Regla 4% (20 años)'!$B$5:$B$24</c:f>
            </c:strRef>
          </c:cat>
          <c:val>
            <c:numRef>
              <c:f>'Regla 4% (20 años)'!$H$5:$H$27</c:f>
              <c:numCache/>
            </c:numRef>
          </c:val>
        </c:ser>
        <c:overlap val="100"/>
        <c:axId val="1147385626"/>
        <c:axId val="263654451"/>
      </c:barChart>
      <c:catAx>
        <c:axId val="11473856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3654451"/>
      </c:catAx>
      <c:valAx>
        <c:axId val="2636544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7385626"/>
      </c:valAx>
    </c:plotArea>
    <c:legend>
      <c:legendPos val="r"/>
      <c:overlay val="0"/>
      <c:txPr>
        <a:bodyPr/>
        <a:lstStyle/>
        <a:p>
          <a:pPr lvl="0">
            <a:defRPr b="0">
              <a:solidFill>
                <a:srgbClr val="1A1A1A"/>
              </a:solidFill>
              <a:latin typeface="+mn-lt"/>
            </a:defRPr>
          </a:pPr>
        </a:p>
      </c:txPr>
    </c:legend>
    <c:plotVisOnly val="1"/>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Balance Portafolio</a:t>
            </a:r>
          </a:p>
        </c:rich>
      </c:tx>
      <c:overlay val="0"/>
    </c:title>
    <c:plotArea>
      <c:layout/>
      <c:barChart>
        <c:barDir val="col"/>
        <c:ser>
          <c:idx val="0"/>
          <c:order val="0"/>
          <c:spPr>
            <a:solidFill>
              <a:srgbClr val="3C78D8"/>
            </a:solidFill>
            <a:ln cmpd="sng">
              <a:solidFill>
                <a:srgbClr val="000000"/>
              </a:solidFill>
            </a:ln>
          </c:spPr>
          <c:dPt>
            <c:idx val="11"/>
          </c:dPt>
          <c:dPt>
            <c:idx val="12"/>
          </c:dPt>
          <c:cat>
            <c:strRef>
              <c:f>'Regla 4% (30 años)'!$B$5:$B$34</c:f>
            </c:strRef>
          </c:cat>
          <c:val>
            <c:numRef>
              <c:f>'Regla 4% (30 años)'!$D$5:$D$36</c:f>
              <c:numCache/>
            </c:numRef>
          </c:val>
        </c:ser>
        <c:axId val="585102113"/>
        <c:axId val="1916461985"/>
      </c:barChart>
      <c:catAx>
        <c:axId val="5851021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16461985"/>
      </c:catAx>
      <c:valAx>
        <c:axId val="19164619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5102113"/>
      </c:valAx>
    </c:plotArea>
    <c:legend>
      <c:legendPos val="r"/>
      <c:overlay val="0"/>
      <c:txPr>
        <a:bodyPr/>
        <a:lstStyle/>
        <a:p>
          <a:pPr lvl="0">
            <a:defRPr b="0">
              <a:solidFill>
                <a:srgbClr val="1A1A1A"/>
              </a:solidFill>
              <a:latin typeface="+mn-lt"/>
            </a:defRPr>
          </a:pPr>
        </a:p>
      </c:txPr>
    </c:legend>
    <c:plotVisOnly val="1"/>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Cantidad a Retirar</a:t>
            </a:r>
          </a:p>
        </c:rich>
      </c:tx>
      <c:overlay val="0"/>
    </c:title>
    <c:plotArea>
      <c:layout/>
      <c:barChart>
        <c:barDir val="col"/>
        <c:ser>
          <c:idx val="0"/>
          <c:order val="0"/>
          <c:spPr>
            <a:solidFill>
              <a:srgbClr val="CC0000"/>
            </a:solidFill>
            <a:ln cmpd="sng">
              <a:solidFill>
                <a:srgbClr val="000000"/>
              </a:solidFill>
            </a:ln>
          </c:spPr>
          <c:cat>
            <c:strRef>
              <c:f>'Regla 4% (30 años)'!$B$5:$B$34</c:f>
            </c:strRef>
          </c:cat>
          <c:val>
            <c:numRef>
              <c:f>'Regla 4% (30 años)'!$H$5:$H$36</c:f>
              <c:numCache/>
            </c:numRef>
          </c:val>
        </c:ser>
        <c:axId val="32864623"/>
        <c:axId val="973962575"/>
      </c:barChart>
      <c:catAx>
        <c:axId val="328646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73962575"/>
      </c:catAx>
      <c:valAx>
        <c:axId val="9739625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864623"/>
      </c:valAx>
    </c:plotArea>
    <c:legend>
      <c:legendPos val="r"/>
      <c:overlay val="0"/>
      <c:txPr>
        <a:bodyPr/>
        <a:lstStyle/>
        <a:p>
          <a:pPr lvl="0">
            <a:defRPr b="0">
              <a:solidFill>
                <a:srgbClr val="1A1A1A"/>
              </a:solidFill>
              <a:latin typeface="+mn-lt"/>
            </a:defRPr>
          </a:pPr>
        </a:p>
      </c:txPr>
    </c:legend>
    <c:plotVisOnly val="1"/>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Balance Portafolio</c:v>
          </c:tx>
          <c:spPr>
            <a:solidFill>
              <a:srgbClr val="3C78D8"/>
            </a:solidFill>
            <a:ln cmpd="sng">
              <a:solidFill>
                <a:srgbClr val="000000"/>
              </a:solidFill>
            </a:ln>
          </c:spPr>
          <c:dPt>
            <c:idx val="18"/>
          </c:dPt>
          <c:cat>
            <c:strRef>
              <c:f>'Regla 4% (30 años)'!$B$5:$B$34</c:f>
            </c:strRef>
          </c:cat>
          <c:val>
            <c:numRef>
              <c:f>'Regla 4% (30 años)'!$D$5:$D$36</c:f>
              <c:numCache/>
            </c:numRef>
          </c:val>
        </c:ser>
        <c:ser>
          <c:idx val="1"/>
          <c:order val="1"/>
          <c:tx>
            <c:v>Cantidad a Retirar</c:v>
          </c:tx>
          <c:spPr>
            <a:solidFill>
              <a:srgbClr val="CC0000"/>
            </a:solidFill>
            <a:ln cmpd="sng">
              <a:solidFill>
                <a:srgbClr val="000000"/>
              </a:solidFill>
            </a:ln>
          </c:spPr>
          <c:cat>
            <c:strRef>
              <c:f>'Regla 4% (30 años)'!$B$5:$B$34</c:f>
            </c:strRef>
          </c:cat>
          <c:val>
            <c:numRef>
              <c:f>'Regla 4% (30 años)'!$H$5:$H$36</c:f>
              <c:numCache/>
            </c:numRef>
          </c:val>
        </c:ser>
        <c:overlap val="100"/>
        <c:axId val="589488863"/>
        <c:axId val="1644663529"/>
      </c:barChart>
      <c:catAx>
        <c:axId val="5894888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44663529"/>
      </c:catAx>
      <c:valAx>
        <c:axId val="16446635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9488863"/>
      </c:valAx>
    </c:plotArea>
    <c:legend>
      <c:legendPos val="r"/>
      <c:overlay val="0"/>
      <c:txPr>
        <a:bodyPr/>
        <a:lstStyle/>
        <a:p>
          <a:pPr lvl="0">
            <a:defRPr b="0">
              <a:solidFill>
                <a:srgbClr val="1A1A1A"/>
              </a:solidFill>
              <a:latin typeface="+mn-lt"/>
            </a:defRPr>
          </a:pPr>
        </a:p>
      </c:txPr>
    </c:legend>
    <c:plotVisOnly val="1"/>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Balance Portafolio</a:t>
            </a:r>
          </a:p>
        </c:rich>
      </c:tx>
      <c:overlay val="0"/>
    </c:title>
    <c:plotArea>
      <c:layout/>
      <c:barChart>
        <c:barDir val="col"/>
        <c:ser>
          <c:idx val="0"/>
          <c:order val="0"/>
          <c:spPr>
            <a:solidFill>
              <a:srgbClr val="3C78D8"/>
            </a:solidFill>
            <a:ln cmpd="sng">
              <a:solidFill>
                <a:srgbClr val="000000"/>
              </a:solidFill>
            </a:ln>
          </c:spPr>
          <c:cat>
            <c:strRef>
              <c:f>'Regla 4% (40 años)'!$B$5:$B$34</c:f>
            </c:strRef>
          </c:cat>
          <c:val>
            <c:numRef>
              <c:f>'Regla 4% (40 años)'!$D$5:$D$34</c:f>
              <c:numCache/>
            </c:numRef>
          </c:val>
        </c:ser>
        <c:axId val="725551642"/>
        <c:axId val="2140858897"/>
      </c:barChart>
      <c:catAx>
        <c:axId val="7255516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40858897"/>
      </c:catAx>
      <c:valAx>
        <c:axId val="2140858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5551642"/>
      </c:valAx>
    </c:plotArea>
    <c:legend>
      <c:legendPos val="r"/>
      <c:overlay val="0"/>
      <c:txPr>
        <a:bodyPr/>
        <a:lstStyle/>
        <a:p>
          <a:pPr lvl="0">
            <a:defRPr b="0">
              <a:solidFill>
                <a:srgbClr val="1A1A1A"/>
              </a:solidFill>
              <a:latin typeface="+mn-lt"/>
            </a:defRPr>
          </a:pPr>
        </a:p>
      </c:txPr>
    </c:legend>
    <c:plotVisOnly val="1"/>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Cantidad a Retirar</a:t>
            </a:r>
          </a:p>
        </c:rich>
      </c:tx>
      <c:overlay val="0"/>
    </c:title>
    <c:plotArea>
      <c:layout/>
      <c:barChart>
        <c:barDir val="col"/>
        <c:ser>
          <c:idx val="0"/>
          <c:order val="0"/>
          <c:spPr>
            <a:solidFill>
              <a:srgbClr val="CC0000"/>
            </a:solidFill>
            <a:ln cmpd="sng">
              <a:solidFill>
                <a:srgbClr val="000000"/>
              </a:solidFill>
            </a:ln>
          </c:spPr>
          <c:cat>
            <c:strRef>
              <c:f>'Regla 4% (40 años)'!$B$5:$B$34</c:f>
            </c:strRef>
          </c:cat>
          <c:val>
            <c:numRef>
              <c:f>'Regla 4% (40 años)'!$H$5:$H$34</c:f>
              <c:numCache/>
            </c:numRef>
          </c:val>
        </c:ser>
        <c:axId val="1878284997"/>
        <c:axId val="1557034461"/>
      </c:barChart>
      <c:catAx>
        <c:axId val="18782849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57034461"/>
      </c:catAx>
      <c:valAx>
        <c:axId val="15570344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8284997"/>
      </c:valAx>
    </c:plotArea>
    <c:legend>
      <c:legendPos val="r"/>
      <c:overlay val="0"/>
      <c:txPr>
        <a:bodyPr/>
        <a:lstStyle/>
        <a:p>
          <a:pPr lvl="0">
            <a:defRPr b="0">
              <a:solidFill>
                <a:srgbClr val="1A1A1A"/>
              </a:solidFill>
              <a:latin typeface="+mn-lt"/>
            </a:defRPr>
          </a:pPr>
        </a:p>
      </c:txPr>
    </c:legend>
    <c:plotVisOnly val="1"/>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Balance Portafolio</c:v>
          </c:tx>
          <c:spPr>
            <a:solidFill>
              <a:srgbClr val="3C78D8"/>
            </a:solidFill>
            <a:ln cmpd="sng">
              <a:solidFill>
                <a:srgbClr val="000000"/>
              </a:solidFill>
            </a:ln>
          </c:spPr>
          <c:cat>
            <c:strRef>
              <c:f>'Regla 4% (40 años)'!$B$5:$B$34</c:f>
            </c:strRef>
          </c:cat>
          <c:val>
            <c:numRef>
              <c:f>'Regla 4% (40 años)'!$D$5:$D$34</c:f>
              <c:numCache/>
            </c:numRef>
          </c:val>
        </c:ser>
        <c:ser>
          <c:idx val="1"/>
          <c:order val="1"/>
          <c:tx>
            <c:v>Cantidad a Retirar</c:v>
          </c:tx>
          <c:spPr>
            <a:solidFill>
              <a:srgbClr val="CC0000"/>
            </a:solidFill>
            <a:ln cmpd="sng">
              <a:solidFill>
                <a:srgbClr val="000000"/>
              </a:solidFill>
            </a:ln>
          </c:spPr>
          <c:cat>
            <c:strRef>
              <c:f>'Regla 4% (40 años)'!$B$5:$B$34</c:f>
            </c:strRef>
          </c:cat>
          <c:val>
            <c:numRef>
              <c:f>'Regla 4% (40 años)'!$H$5:$H$34</c:f>
              <c:numCache/>
            </c:numRef>
          </c:val>
        </c:ser>
        <c:overlap val="100"/>
        <c:axId val="1212512309"/>
        <c:axId val="1903265053"/>
      </c:barChart>
      <c:catAx>
        <c:axId val="12125123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03265053"/>
      </c:catAx>
      <c:valAx>
        <c:axId val="19032650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2512309"/>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1.xml.rels><?xml version="1.0" encoding="UTF-8" standalone="yes"?><Relationships xmlns="http://schemas.openxmlformats.org/package/2006/relationships"><Relationship Id="rId11" Type="http://schemas.openxmlformats.org/officeDocument/2006/relationships/chart" Target="../charts/chart8.xml"/><Relationship Id="rId10" Type="http://schemas.openxmlformats.org/officeDocument/2006/relationships/chart" Target="../charts/chart7.xml"/><Relationship Id="rId13" Type="http://schemas.openxmlformats.org/officeDocument/2006/relationships/chart" Target="../charts/chart10.xml"/><Relationship Id="rId12" Type="http://schemas.openxmlformats.org/officeDocument/2006/relationships/chart" Target="../charts/chart9.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6.xml"/><Relationship Id="rId15" Type="http://schemas.openxmlformats.org/officeDocument/2006/relationships/chart" Target="../charts/chart11.xml"/><Relationship Id="rId14" Type="http://schemas.openxmlformats.org/officeDocument/2006/relationships/image" Target="../media/Chart14.png"/><Relationship Id="rId5" Type="http://schemas.openxmlformats.org/officeDocument/2006/relationships/chart" Target="../charts/chart5.xml"/><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Chart17.png"/><Relationship Id="rId3"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image" Target="../media/Chart17.png"/><Relationship Id="rId2" Type="http://schemas.openxmlformats.org/officeDocument/2006/relationships/chart" Target="../charts/chart14.xml"/><Relationship Id="rId3" Type="http://schemas.openxmlformats.org/officeDocument/2006/relationships/image" Target="../media/Chart21.png"/></Relationships>
</file>

<file path=xl/drawings/_rels/drawing8.xml.rels><?xml version="1.0" encoding="UTF-8" standalone="yes"?><Relationships xmlns="http://schemas.openxmlformats.org/package/2006/relationships"><Relationship Id="rId1" Type="http://schemas.openxmlformats.org/officeDocument/2006/relationships/image" Target="../media/Chart22.png"/></Relationships>
</file>

<file path=xl/drawings/_rels/drawing10.xml.rels><?xml version="1.0" encoding="UTF-8" standalone="yes"?><Relationships xmlns="http://schemas.openxmlformats.org/package/2006/relationships"><Relationship Id="rId11" Type="http://schemas.openxmlformats.org/officeDocument/2006/relationships/image" Target="../media/Chart33.png"/><Relationship Id="rId10" Type="http://schemas.openxmlformats.org/officeDocument/2006/relationships/image" Target="../media/Chart32.png"/><Relationship Id="rId12" Type="http://schemas.openxmlformats.org/officeDocument/2006/relationships/image" Target="../media/Chart34.png"/><Relationship Id="rId1" Type="http://schemas.openxmlformats.org/officeDocument/2006/relationships/image" Target="../media/Chart23.png"/><Relationship Id="rId2" Type="http://schemas.openxmlformats.org/officeDocument/2006/relationships/image" Target="../media/Chart24.png"/><Relationship Id="rId3" Type="http://schemas.openxmlformats.org/officeDocument/2006/relationships/image" Target="../media/Chart25.png"/><Relationship Id="rId4" Type="http://schemas.openxmlformats.org/officeDocument/2006/relationships/image" Target="../media/Chart26.png"/><Relationship Id="rId9" Type="http://schemas.openxmlformats.org/officeDocument/2006/relationships/image" Target="../media/Chart31.png"/><Relationship Id="rId5" Type="http://schemas.openxmlformats.org/officeDocument/2006/relationships/image" Target="../media/Chart27.png"/><Relationship Id="rId6" Type="http://schemas.openxmlformats.org/officeDocument/2006/relationships/image" Target="../media/Chart28.png"/><Relationship Id="rId7" Type="http://schemas.openxmlformats.org/officeDocument/2006/relationships/image" Target="../media/Chart29.png"/><Relationship Id="rId8" Type="http://schemas.openxmlformats.org/officeDocument/2006/relationships/image" Target="../media/Chart30.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1" Type="http://schemas.openxmlformats.org/officeDocument/2006/relationships/chart" Target="../charts/chart26.xml"/><Relationship Id="rId10" Type="http://schemas.openxmlformats.org/officeDocument/2006/relationships/chart" Target="../charts/chart25.xml"/><Relationship Id="rId13" Type="http://schemas.openxmlformats.org/officeDocument/2006/relationships/chart" Target="../charts/chart28.xml"/><Relationship Id="rId12" Type="http://schemas.openxmlformats.org/officeDocument/2006/relationships/chart" Target="../charts/chart27.xml"/><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9" Type="http://schemas.openxmlformats.org/officeDocument/2006/relationships/chart" Target="../charts/chart24.xml"/><Relationship Id="rId15" Type="http://schemas.openxmlformats.org/officeDocument/2006/relationships/chart" Target="../charts/chart30.xml"/><Relationship Id="rId14" Type="http://schemas.openxmlformats.org/officeDocument/2006/relationships/chart" Target="../charts/chart29.xml"/><Relationship Id="rId17" Type="http://schemas.openxmlformats.org/officeDocument/2006/relationships/chart" Target="../charts/chart32.xml"/><Relationship Id="rId16" Type="http://schemas.openxmlformats.org/officeDocument/2006/relationships/chart" Target="../charts/chart31.xml"/><Relationship Id="rId5" Type="http://schemas.openxmlformats.org/officeDocument/2006/relationships/chart" Target="../charts/chart20.xml"/><Relationship Id="rId19" Type="http://schemas.openxmlformats.org/officeDocument/2006/relationships/chart" Target="../charts/chart34.xml"/><Relationship Id="rId6" Type="http://schemas.openxmlformats.org/officeDocument/2006/relationships/chart" Target="../charts/chart21.xml"/><Relationship Id="rId18" Type="http://schemas.openxmlformats.org/officeDocument/2006/relationships/chart" Target="../charts/chart33.xml"/><Relationship Id="rId7" Type="http://schemas.openxmlformats.org/officeDocument/2006/relationships/chart" Target="../charts/chart22.xml"/><Relationship Id="rId8" Type="http://schemas.openxmlformats.org/officeDocument/2006/relationships/chart" Target="../charts/chart2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5.xml"/><Relationship Id="rId2" Type="http://schemas.openxmlformats.org/officeDocument/2006/relationships/chart" Target="../charts/chart36.xml"/><Relationship Id="rId3" Type="http://schemas.openxmlformats.org/officeDocument/2006/relationships/chart" Target="../charts/chart3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8.xml"/><Relationship Id="rId2" Type="http://schemas.openxmlformats.org/officeDocument/2006/relationships/chart" Target="../charts/chart39.xml"/><Relationship Id="rId3" Type="http://schemas.openxmlformats.org/officeDocument/2006/relationships/chart" Target="../charts/chart4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41.xml"/><Relationship Id="rId2" Type="http://schemas.openxmlformats.org/officeDocument/2006/relationships/chart" Target="../charts/chart42.xml"/><Relationship Id="rId3" Type="http://schemas.openxmlformats.org/officeDocument/2006/relationships/chart" Target="../charts/chart4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44.xml"/><Relationship Id="rId2" Type="http://schemas.openxmlformats.org/officeDocument/2006/relationships/chart" Target="../charts/chart45.xml"/><Relationship Id="rId3"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247650</xdr:colOff>
      <xdr:row>74</xdr:row>
      <xdr:rowOff>133350</xdr:rowOff>
    </xdr:from>
    <xdr:ext cx="7324725" cy="3962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419100</xdr:colOff>
      <xdr:row>76</xdr:row>
      <xdr:rowOff>171450</xdr:rowOff>
    </xdr:from>
    <xdr:ext cx="6962775" cy="38862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238125</xdr:colOff>
      <xdr:row>11</xdr:row>
      <xdr:rowOff>219075</xdr:rowOff>
    </xdr:from>
    <xdr:ext cx="7658100" cy="39909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123825</xdr:colOff>
      <xdr:row>31</xdr:row>
      <xdr:rowOff>190500</xdr:rowOff>
    </xdr:from>
    <xdr:ext cx="7772400" cy="39052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0</xdr:colOff>
      <xdr:row>12</xdr:row>
      <xdr:rowOff>19050</xdr:rowOff>
    </xdr:from>
    <xdr:ext cx="6391275" cy="39909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17</xdr:col>
      <xdr:colOff>123825</xdr:colOff>
      <xdr:row>10</xdr:row>
      <xdr:rowOff>123825</xdr:rowOff>
    </xdr:from>
    <xdr:ext cx="3886200" cy="2743200"/>
    <xdr:pic>
      <xdr:nvPicPr>
        <xdr:cNvPr id="1197125004"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17</xdr:col>
      <xdr:colOff>123825</xdr:colOff>
      <xdr:row>22</xdr:row>
      <xdr:rowOff>95250</xdr:rowOff>
    </xdr:from>
    <xdr:ext cx="3886200" cy="2419350"/>
    <xdr:pic>
      <xdr:nvPicPr>
        <xdr:cNvPr id="442174488"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438150</xdr:colOff>
      <xdr:row>76</xdr:row>
      <xdr:rowOff>66675</xdr:rowOff>
    </xdr:from>
    <xdr:ext cx="7124700" cy="3990975"/>
    <xdr:pic>
      <xdr:nvPicPr>
        <xdr:cNvPr id="991878877"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304800</xdr:colOff>
      <xdr:row>53</xdr:row>
      <xdr:rowOff>190500</xdr:rowOff>
    </xdr:from>
    <xdr:ext cx="7258050" cy="403860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238125</xdr:colOff>
      <xdr:row>53</xdr:row>
      <xdr:rowOff>190500</xdr:rowOff>
    </xdr:from>
    <xdr:ext cx="6953250" cy="424815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17</xdr:col>
      <xdr:colOff>104775</xdr:colOff>
      <xdr:row>32</xdr:row>
      <xdr:rowOff>219075</xdr:rowOff>
    </xdr:from>
    <xdr:ext cx="3838575" cy="364807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21</xdr:col>
      <xdr:colOff>771525</xdr:colOff>
      <xdr:row>62</xdr:row>
      <xdr:rowOff>38100</xdr:rowOff>
    </xdr:from>
    <xdr:ext cx="3562350" cy="2286000"/>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9</xdr:col>
      <xdr:colOff>114300</xdr:colOff>
      <xdr:row>31</xdr:row>
      <xdr:rowOff>123825</xdr:rowOff>
    </xdr:from>
    <xdr:ext cx="6276975" cy="4038600"/>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17</xdr:col>
      <xdr:colOff>76200</xdr:colOff>
      <xdr:row>4</xdr:row>
      <xdr:rowOff>28575</xdr:rowOff>
    </xdr:from>
    <xdr:ext cx="3886200" cy="2419350"/>
    <xdr:pic>
      <xdr:nvPicPr>
        <xdr:cNvPr id="440912166" name="Chart14" title="Chart">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17</xdr:col>
      <xdr:colOff>523875</xdr:colOff>
      <xdr:row>62</xdr:row>
      <xdr:rowOff>66675</xdr:rowOff>
    </xdr:from>
    <xdr:ext cx="3562350" cy="2228850"/>
    <xdr:graphicFrame>
      <xdr:nvGraphicFramePr>
        <xdr:cNvPr id="15"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209550</xdr:colOff>
      <xdr:row>35</xdr:row>
      <xdr:rowOff>123825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733425</xdr:colOff>
      <xdr:row>35</xdr:row>
      <xdr:rowOff>123825</xdr:rowOff>
    </xdr:from>
    <xdr:ext cx="5715000" cy="3533775"/>
    <xdr:pic>
      <xdr:nvPicPr>
        <xdr:cNvPr id="979731711" name="Chart1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209550</xdr:colOff>
      <xdr:row>35</xdr:row>
      <xdr:rowOff>123825</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361950</xdr:colOff>
      <xdr:row>33</xdr:row>
      <xdr:rowOff>419100</xdr:rowOff>
    </xdr:from>
    <xdr:ext cx="5715000" cy="3533775"/>
    <xdr:pic>
      <xdr:nvPicPr>
        <xdr:cNvPr id="661931769" name="Chart19"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590550</xdr:colOff>
      <xdr:row>33</xdr:row>
      <xdr:rowOff>419100</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542925</xdr:colOff>
      <xdr:row>33</xdr:row>
      <xdr:rowOff>419100</xdr:rowOff>
    </xdr:from>
    <xdr:ext cx="5715000" cy="3533775"/>
    <xdr:pic>
      <xdr:nvPicPr>
        <xdr:cNvPr id="244027313" name="Chart21"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85</xdr:row>
      <xdr:rowOff>95250</xdr:rowOff>
    </xdr:from>
    <xdr:ext cx="8620125" cy="5924550"/>
    <xdr:pic>
      <xdr:nvPicPr>
        <xdr:cNvPr id="637943142" name="Chart2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133350</xdr:colOff>
      <xdr:row>1</xdr:row>
      <xdr:rowOff>104775</xdr:rowOff>
    </xdr:from>
    <xdr:ext cx="3867150" cy="2381250"/>
    <xdr:pic>
      <xdr:nvPicPr>
        <xdr:cNvPr id="286106516" name="Chart2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133350</xdr:colOff>
      <xdr:row>33</xdr:row>
      <xdr:rowOff>0</xdr:rowOff>
    </xdr:from>
    <xdr:ext cx="3867150" cy="2381250"/>
    <xdr:pic>
      <xdr:nvPicPr>
        <xdr:cNvPr id="1584059307" name="Chart2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57150</xdr:colOff>
      <xdr:row>66</xdr:row>
      <xdr:rowOff>238125</xdr:rowOff>
    </xdr:from>
    <xdr:ext cx="3867150" cy="2381250"/>
    <xdr:pic>
      <xdr:nvPicPr>
        <xdr:cNvPr id="548279603" name="Chart2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28575</xdr:colOff>
      <xdr:row>99</xdr:row>
      <xdr:rowOff>76200</xdr:rowOff>
    </xdr:from>
    <xdr:ext cx="4143375" cy="2571750"/>
    <xdr:pic>
      <xdr:nvPicPr>
        <xdr:cNvPr id="1959956820" name="Chart2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28575</xdr:colOff>
      <xdr:row>165</xdr:row>
      <xdr:rowOff>76200</xdr:rowOff>
    </xdr:from>
    <xdr:ext cx="4143375" cy="2571750"/>
    <xdr:pic>
      <xdr:nvPicPr>
        <xdr:cNvPr id="1097663803" name="Chart2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28575</xdr:colOff>
      <xdr:row>231</xdr:row>
      <xdr:rowOff>76200</xdr:rowOff>
    </xdr:from>
    <xdr:ext cx="4143375" cy="2571750"/>
    <xdr:pic>
      <xdr:nvPicPr>
        <xdr:cNvPr id="507089292" name="Chart2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28575</xdr:colOff>
      <xdr:row>198</xdr:row>
      <xdr:rowOff>76200</xdr:rowOff>
    </xdr:from>
    <xdr:ext cx="4143375" cy="2571750"/>
    <xdr:pic>
      <xdr:nvPicPr>
        <xdr:cNvPr id="1828302256" name="Chart2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16</xdr:col>
      <xdr:colOff>28575</xdr:colOff>
      <xdr:row>264</xdr:row>
      <xdr:rowOff>76200</xdr:rowOff>
    </xdr:from>
    <xdr:ext cx="4143375" cy="2571750"/>
    <xdr:pic>
      <xdr:nvPicPr>
        <xdr:cNvPr id="466532281" name="Chart30"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16</xdr:col>
      <xdr:colOff>28575</xdr:colOff>
      <xdr:row>297</xdr:row>
      <xdr:rowOff>76200</xdr:rowOff>
    </xdr:from>
    <xdr:ext cx="4143375" cy="2571750"/>
    <xdr:pic>
      <xdr:nvPicPr>
        <xdr:cNvPr id="824331816" name="Chart31"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16</xdr:col>
      <xdr:colOff>28575</xdr:colOff>
      <xdr:row>132</xdr:row>
      <xdr:rowOff>76200</xdr:rowOff>
    </xdr:from>
    <xdr:ext cx="4143375" cy="2571750"/>
    <xdr:pic>
      <xdr:nvPicPr>
        <xdr:cNvPr id="412478446" name="Chart32"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15</xdr:col>
      <xdr:colOff>742950</xdr:colOff>
      <xdr:row>363</xdr:row>
      <xdr:rowOff>47625</xdr:rowOff>
    </xdr:from>
    <xdr:ext cx="4143375" cy="2571750"/>
    <xdr:pic>
      <xdr:nvPicPr>
        <xdr:cNvPr id="1947815584" name="Chart33"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16</xdr:col>
      <xdr:colOff>47625</xdr:colOff>
      <xdr:row>330</xdr:row>
      <xdr:rowOff>76200</xdr:rowOff>
    </xdr:from>
    <xdr:ext cx="4114800" cy="2571750"/>
    <xdr:pic>
      <xdr:nvPicPr>
        <xdr:cNvPr id="1431303281" name="Chart34"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12</xdr:row>
      <xdr:rowOff>95250</xdr:rowOff>
    </xdr:from>
    <xdr:ext cx="9201150" cy="5695950"/>
    <xdr:graphicFrame>
      <xdr:nvGraphicFramePr>
        <xdr:cNvPr id="35" name="Chart 3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561975</xdr:colOff>
      <xdr:row>45</xdr:row>
      <xdr:rowOff>19050</xdr:rowOff>
    </xdr:from>
    <xdr:ext cx="4276725" cy="2676525"/>
    <xdr:graphicFrame>
      <xdr:nvGraphicFramePr>
        <xdr:cNvPr id="36" name="Chart 3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104775</xdr:colOff>
      <xdr:row>45</xdr:row>
      <xdr:rowOff>47625</xdr:rowOff>
    </xdr:from>
    <xdr:ext cx="4276725" cy="2647950"/>
    <xdr:graphicFrame>
      <xdr:nvGraphicFramePr>
        <xdr:cNvPr id="37" name="Chart 3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200025</xdr:colOff>
      <xdr:row>60</xdr:row>
      <xdr:rowOff>47625</xdr:rowOff>
    </xdr:from>
    <xdr:ext cx="4276725" cy="2647950"/>
    <xdr:graphicFrame>
      <xdr:nvGraphicFramePr>
        <xdr:cNvPr id="38" name="Chart 3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561975</xdr:colOff>
      <xdr:row>60</xdr:row>
      <xdr:rowOff>47625</xdr:rowOff>
    </xdr:from>
    <xdr:ext cx="4276725" cy="2647950"/>
    <xdr:graphicFrame>
      <xdr:nvGraphicFramePr>
        <xdr:cNvPr id="39" name="Chart 3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104775</xdr:colOff>
      <xdr:row>60</xdr:row>
      <xdr:rowOff>47625</xdr:rowOff>
    </xdr:from>
    <xdr:ext cx="4276725" cy="2647950"/>
    <xdr:graphicFrame>
      <xdr:nvGraphicFramePr>
        <xdr:cNvPr id="40" name="Chart 4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1990725</xdr:colOff>
      <xdr:row>31</xdr:row>
      <xdr:rowOff>19050</xdr:rowOff>
    </xdr:from>
    <xdr:ext cx="4476750" cy="2676525"/>
    <xdr:graphicFrame>
      <xdr:nvGraphicFramePr>
        <xdr:cNvPr id="41" name="Chart 41"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200025</xdr:colOff>
      <xdr:row>76</xdr:row>
      <xdr:rowOff>47625</xdr:rowOff>
    </xdr:from>
    <xdr:ext cx="4276725" cy="2647950"/>
    <xdr:graphicFrame>
      <xdr:nvGraphicFramePr>
        <xdr:cNvPr id="42" name="Chart 42" title="Net Debt (Billions)"/>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xdr:col>
      <xdr:colOff>561975</xdr:colOff>
      <xdr:row>76</xdr:row>
      <xdr:rowOff>47625</xdr:rowOff>
    </xdr:from>
    <xdr:ext cx="4276725" cy="2647950"/>
    <xdr:graphicFrame>
      <xdr:nvGraphicFramePr>
        <xdr:cNvPr id="43" name="Chart 43"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8</xdr:col>
      <xdr:colOff>104775</xdr:colOff>
      <xdr:row>76</xdr:row>
      <xdr:rowOff>47625</xdr:rowOff>
    </xdr:from>
    <xdr:ext cx="4276725" cy="2647950"/>
    <xdr:graphicFrame>
      <xdr:nvGraphicFramePr>
        <xdr:cNvPr id="44" name="Chart 44"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11</xdr:col>
      <xdr:colOff>200025</xdr:colOff>
      <xdr:row>45</xdr:row>
      <xdr:rowOff>47625</xdr:rowOff>
    </xdr:from>
    <xdr:ext cx="4276725" cy="2647950"/>
    <xdr:graphicFrame>
      <xdr:nvGraphicFramePr>
        <xdr:cNvPr id="45" name="Chart 45"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14</xdr:col>
      <xdr:colOff>114300</xdr:colOff>
      <xdr:row>45</xdr:row>
      <xdr:rowOff>57150</xdr:rowOff>
    </xdr:from>
    <xdr:ext cx="4276725" cy="2647950"/>
    <xdr:graphicFrame>
      <xdr:nvGraphicFramePr>
        <xdr:cNvPr id="46" name="Chart 46"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18</xdr:col>
      <xdr:colOff>447675</xdr:colOff>
      <xdr:row>45</xdr:row>
      <xdr:rowOff>57150</xdr:rowOff>
    </xdr:from>
    <xdr:ext cx="4276725" cy="2647950"/>
    <xdr:graphicFrame>
      <xdr:nvGraphicFramePr>
        <xdr:cNvPr id="47" name="Chart 47"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11</xdr:col>
      <xdr:colOff>200025</xdr:colOff>
      <xdr:row>60</xdr:row>
      <xdr:rowOff>47625</xdr:rowOff>
    </xdr:from>
    <xdr:ext cx="4276725" cy="2647950"/>
    <xdr:graphicFrame>
      <xdr:nvGraphicFramePr>
        <xdr:cNvPr id="48" name="Chart 48"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14</xdr:col>
      <xdr:colOff>114300</xdr:colOff>
      <xdr:row>60</xdr:row>
      <xdr:rowOff>47625</xdr:rowOff>
    </xdr:from>
    <xdr:ext cx="4276725" cy="2647950"/>
    <xdr:graphicFrame>
      <xdr:nvGraphicFramePr>
        <xdr:cNvPr id="49" name="Chart 49"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18</xdr:col>
      <xdr:colOff>447675</xdr:colOff>
      <xdr:row>60</xdr:row>
      <xdr:rowOff>47625</xdr:rowOff>
    </xdr:from>
    <xdr:ext cx="4276725" cy="2647950"/>
    <xdr:graphicFrame>
      <xdr:nvGraphicFramePr>
        <xdr:cNvPr id="50" name="Chart 50"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11</xdr:col>
      <xdr:colOff>200025</xdr:colOff>
      <xdr:row>76</xdr:row>
      <xdr:rowOff>47625</xdr:rowOff>
    </xdr:from>
    <xdr:ext cx="4276725" cy="2647950"/>
    <xdr:graphicFrame>
      <xdr:nvGraphicFramePr>
        <xdr:cNvPr id="51" name="Chart 51"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0</xdr:col>
      <xdr:colOff>200025</xdr:colOff>
      <xdr:row>45</xdr:row>
      <xdr:rowOff>19050</xdr:rowOff>
    </xdr:from>
    <xdr:ext cx="4276725" cy="2676525"/>
    <xdr:graphicFrame>
      <xdr:nvGraphicFramePr>
        <xdr:cNvPr id="52" name="Chart 52"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14</xdr:col>
      <xdr:colOff>114300</xdr:colOff>
      <xdr:row>76</xdr:row>
      <xdr:rowOff>47625</xdr:rowOff>
    </xdr:from>
    <xdr:ext cx="4276725" cy="2647950"/>
    <xdr:graphicFrame>
      <xdr:nvGraphicFramePr>
        <xdr:cNvPr id="53" name="Chart 53"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18</xdr:col>
      <xdr:colOff>447675</xdr:colOff>
      <xdr:row>76</xdr:row>
      <xdr:rowOff>47625</xdr:rowOff>
    </xdr:from>
    <xdr:ext cx="4276725" cy="2647950"/>
    <xdr:graphicFrame>
      <xdr:nvGraphicFramePr>
        <xdr:cNvPr id="54" name="Chart 54" title="Chart"/>
        <xdr:cNvGraphicFramePr/>
      </xdr:nvGraphicFramePr>
      <xdr:xfrm>
        <a:off x="0" y="0"/>
        <a:ext cx="0" cy="0"/>
      </xdr:xfrm>
      <a:graphic>
        <a:graphicData uri="http://schemas.openxmlformats.org/drawingml/2006/chart">
          <c:chart r:id="rId19"/>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12</xdr:row>
      <xdr:rowOff>190500</xdr:rowOff>
    </xdr:from>
    <xdr:ext cx="5715000" cy="3533775"/>
    <xdr:graphicFrame>
      <xdr:nvGraphicFramePr>
        <xdr:cNvPr id="55" name="Chart 5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314325</xdr:colOff>
      <xdr:row>12</xdr:row>
      <xdr:rowOff>190500</xdr:rowOff>
    </xdr:from>
    <xdr:ext cx="5638800" cy="3419475"/>
    <xdr:graphicFrame>
      <xdr:nvGraphicFramePr>
        <xdr:cNvPr id="56" name="Chart 5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276225</xdr:colOff>
      <xdr:row>31</xdr:row>
      <xdr:rowOff>47625</xdr:rowOff>
    </xdr:from>
    <xdr:ext cx="5715000" cy="3533775"/>
    <xdr:graphicFrame>
      <xdr:nvGraphicFramePr>
        <xdr:cNvPr id="57" name="Chart 57"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27</xdr:row>
      <xdr:rowOff>114300</xdr:rowOff>
    </xdr:from>
    <xdr:ext cx="3943350" cy="2019300"/>
    <xdr:graphicFrame>
      <xdr:nvGraphicFramePr>
        <xdr:cNvPr id="58" name="Chart 5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904875</xdr:colOff>
      <xdr:row>27</xdr:row>
      <xdr:rowOff>114300</xdr:rowOff>
    </xdr:from>
    <xdr:ext cx="3943350" cy="2019300"/>
    <xdr:graphicFrame>
      <xdr:nvGraphicFramePr>
        <xdr:cNvPr id="59" name="Chart 5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476250</xdr:colOff>
      <xdr:row>38</xdr:row>
      <xdr:rowOff>161925</xdr:rowOff>
    </xdr:from>
    <xdr:ext cx="8810625" cy="2705100"/>
    <xdr:graphicFrame>
      <xdr:nvGraphicFramePr>
        <xdr:cNvPr id="60" name="Chart 60"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37</xdr:row>
      <xdr:rowOff>76200</xdr:rowOff>
    </xdr:from>
    <xdr:ext cx="3943350" cy="2019300"/>
    <xdr:graphicFrame>
      <xdr:nvGraphicFramePr>
        <xdr:cNvPr id="61" name="Chart 6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876300</xdr:colOff>
      <xdr:row>37</xdr:row>
      <xdr:rowOff>76200</xdr:rowOff>
    </xdr:from>
    <xdr:ext cx="3943350" cy="2019300"/>
    <xdr:graphicFrame>
      <xdr:nvGraphicFramePr>
        <xdr:cNvPr id="62" name="Chart 6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447675</xdr:colOff>
      <xdr:row>48</xdr:row>
      <xdr:rowOff>123825</xdr:rowOff>
    </xdr:from>
    <xdr:ext cx="8810625" cy="2705100"/>
    <xdr:graphicFrame>
      <xdr:nvGraphicFramePr>
        <xdr:cNvPr id="63" name="Chart 6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466725</xdr:colOff>
      <xdr:row>47</xdr:row>
      <xdr:rowOff>38100</xdr:rowOff>
    </xdr:from>
    <xdr:ext cx="3943350" cy="2019300"/>
    <xdr:graphicFrame>
      <xdr:nvGraphicFramePr>
        <xdr:cNvPr id="64" name="Chart 6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895350</xdr:colOff>
      <xdr:row>47</xdr:row>
      <xdr:rowOff>38100</xdr:rowOff>
    </xdr:from>
    <xdr:ext cx="3943350" cy="2019300"/>
    <xdr:graphicFrame>
      <xdr:nvGraphicFramePr>
        <xdr:cNvPr id="65" name="Chart 6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466725</xdr:colOff>
      <xdr:row>58</xdr:row>
      <xdr:rowOff>85725</xdr:rowOff>
    </xdr:from>
    <xdr:ext cx="8810625" cy="2705100"/>
    <xdr:graphicFrame>
      <xdr:nvGraphicFramePr>
        <xdr:cNvPr id="66" name="Chart 6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jandro Blanco" id="{0a7fbb58-1703-4111-9926-c98974d031b1}" providerId="google-sheets"/>
</x18tc:personList>
</file>

<file path=xl/tables/table1.xml><?xml version="1.0" encoding="utf-8"?>
<table xmlns="http://schemas.openxmlformats.org/spreadsheetml/2006/main" headerRowCount="0" ref="X29" displayName="Table_1" name="Table_1" id="1">
  <tableColumns count="1">
    <tableColumn name="Column1" id="1"/>
  </tableColumns>
  <tableStyleInfo name="Dashboard-style" showColumnStripes="0" showFirstColumn="1" showLastColumn="1" showRowStripes="1"/>
</table>
</file>

<file path=xl/tables/table2.xml><?xml version="1.0" encoding="utf-8"?>
<table xmlns="http://schemas.openxmlformats.org/spreadsheetml/2006/main" headerRowCount="0" ref="Z29" displayName="Table_2" name="Table_2" id="2">
  <tableColumns count="1">
    <tableColumn name="Column1" id="1"/>
  </tableColumns>
  <tableStyleInfo name="Dashboard-style 2" showColumnStripes="0" showFirstColumn="1" showLastColumn="1" showRowStripes="1"/>
</table>
</file>

<file path=xl/tables/table3.xml><?xml version="1.0" encoding="utf-8"?>
<table xmlns="http://schemas.openxmlformats.org/spreadsheetml/2006/main" ref="AG1:AJ2" displayName="Table_3" name="Table_3" id="3">
  <tableColumns count="4">
    <tableColumn name="Distance From Intrinsic Value" id="1"/>
    <tableColumn name="Intrinsic Value Signal" id="2"/>
    <tableColumn name="Distance From Avg. Cost" id="3"/>
    <tableColumn name="Avg. Cost Signal" id="4"/>
  </tableColumns>
  <tableStyleInfo name="Positions-style" showColumnStripes="0" showFirstColumn="1" showLastColumn="1" showRowStripes="1"/>
</table>
</file>

<file path=xl/tables/table4.xml><?xml version="1.0" encoding="utf-8"?>
<table xmlns="http://schemas.openxmlformats.org/spreadsheetml/2006/main" headerRowCount="0" ref="H2" displayName="Table_4" name="Table_4" id="4">
  <tableColumns count="1">
    <tableColumn name="Column1" id="1"/>
  </tableColumns>
  <tableStyleInfo name="Positions-style 2" showColumnStripes="0" showFirstColumn="1" showLastColumn="1" showRowStripes="1"/>
</table>
</file>

<file path=xl/tables/table5.xml><?xml version="1.0" encoding="utf-8"?>
<table xmlns="http://schemas.openxmlformats.org/spreadsheetml/2006/main" headerRowCount="0" ref="H3" displayName="Table_5" name="Table_5" id="5">
  <tableColumns count="1">
    <tableColumn name="Column1" id="1"/>
  </tableColumns>
  <tableStyleInfo name="Positions-style 3" showColumnStripes="0" showFirstColumn="1" showLastColumn="1" showRowStripes="1"/>
</table>
</file>

<file path=xl/tables/table6.xml><?xml version="1.0" encoding="utf-8"?>
<table xmlns="http://schemas.openxmlformats.org/spreadsheetml/2006/main" headerRowCount="0" ref="AG3:AJ3" displayName="Table_6" name="Table_6" id="6">
  <tableColumns count="4">
    <tableColumn name="Column1" id="1"/>
    <tableColumn name="Column2" id="2"/>
    <tableColumn name="Column3" id="3"/>
    <tableColumn name="Column4" id="4"/>
  </tableColumns>
  <tableStyleInfo name="Positions-style 4" showColumnStripes="0" showFirstColumn="1" showLastColumn="1" showRowStripes="1"/>
</table>
</file>

<file path=xl/tables/table7.xml><?xml version="1.0" encoding="utf-8"?>
<table xmlns="http://schemas.openxmlformats.org/spreadsheetml/2006/main" ref="N1:Q2" displayName="Table_7" name="Table_7" id="7">
  <tableColumns count="4">
    <tableColumn name="Distance From Intrinsic Value" id="1"/>
    <tableColumn name="Intrinsic Value Signal" id="2"/>
    <tableColumn name="Distance From Avg. Cost" id="3"/>
    <tableColumn name="Avg. Cost Signal" id="4"/>
  </tableColumns>
  <tableStyleInfo name="Rebalancing-style" showColumnStripes="0" showFirstColumn="1" showLastColumn="1" showRowStripes="1"/>
</table>
</file>

<file path=xl/tables/table8.xml><?xml version="1.0" encoding="utf-8"?>
<table xmlns="http://schemas.openxmlformats.org/spreadsheetml/2006/main" headerRowCount="0" ref="G2" displayName="Table_8" name="Table_8" id="8">
  <tableColumns count="1">
    <tableColumn name="Column1" id="1"/>
  </tableColumns>
  <tableStyleInfo name="Rebalancing-style 2" showColumnStripes="0" showFirstColumn="1" showLastColumn="1" showRowStripes="1"/>
</table>
</file>

<file path=xl/tables/table9.xml><?xml version="1.0" encoding="utf-8"?>
<table xmlns="http://schemas.openxmlformats.org/spreadsheetml/2006/main" headerRowCount="0" ref="G3" displayName="Table_9" name="Table_9" id="9">
  <tableColumns count="1">
    <tableColumn name="Column1" id="1"/>
  </tableColumns>
  <tableStyleInfo name="Rebalancing-style 3" showColumnStripes="0" showFirstColumn="1" showLastColumn="1" showRowStripes="1"/>
</table>
</file>

<file path=xl/tables/table10.xml><?xml version="1.0" encoding="utf-8"?>
<table xmlns="http://schemas.openxmlformats.org/spreadsheetml/2006/main" headerRowCount="0" ref="Q3" displayName="Table_10" name="Table_10" id="10">
  <tableColumns count="1">
    <tableColumn name="Column1" id="1"/>
  </tableColumns>
  <tableStyleInfo name="Rebalancing-style 4" showColumnStripes="0" showFirstColumn="1" showLastColumn="1" showRowStripes="1"/>
</table>
</file>

<file path=xl/tables/table11.xml><?xml version="1.0" encoding="utf-8"?>
<table xmlns="http://schemas.openxmlformats.org/spreadsheetml/2006/main" headerRowCount="0" ref="N6" displayName="Table_11" name="Table_11" id="11">
  <tableColumns count="1">
    <tableColumn name="Column1" id="1"/>
  </tableColumns>
  <tableStyleInfo name="Rebalancing-style 5" showColumnStripes="0" showFirstColumn="1" showLastColumn="1" showRowStripes="1"/>
</table>
</file>

<file path=xl/tables/table12.xml><?xml version="1.0" encoding="utf-8"?>
<table xmlns="http://schemas.openxmlformats.org/spreadsheetml/2006/main" ref="A1:W2" displayName="Table_12" name="Table_12" id="12">
  <tableColumns count="23">
    <tableColumn name="Ticker" id="1"/>
    <tableColumn name="Company Name" id="2"/>
    <tableColumn name="Share Price" id="3"/>
    <tableColumn name="Intrinsic Value" id="4"/>
    <tableColumn name="InvT SCore" id="5"/>
    <tableColumn name="Priority" id="6"/>
    <tableColumn name="Distance From Intrinsic" id="7"/>
    <tableColumn name="Day Change / Share ($)" id="8"/>
    <tableColumn name="Day Change / Share (%)" id="9"/>
    <tableColumn name="52 Week Low" id="10"/>
    <tableColumn name="52 Week Range" id="11"/>
    <tableColumn name="52 Week High" id="12"/>
    <tableColumn name="Security Type" id="13"/>
    <tableColumn name="Sector" id="14"/>
    <tableColumn name="Category" id="15"/>
    <tableColumn name="P/E Ratio" id="16"/>
    <tableColumn name="EPS" id="17"/>
    <tableColumn name="Annual Dividend" id="18"/>
    <tableColumn name="Dividend Yield" id="19"/>
    <tableColumn name="Annual Income (100 Shares)" id="20"/>
    <tableColumn name="How Much Invested For 100 Shares" id="21"/>
    <tableColumn name="DO NOT DELETE" id="22"/>
    <tableColumn name="Signal" id="23"/>
  </tableColumns>
  <tableStyleInfo name="Watchlist-style" showColumnStripes="0" showFirstColumn="1" showLastColumn="1" showRowStripes="1"/>
</table>
</file>

<file path=xl/tables/table13.xml><?xml version="1.0" encoding="utf-8"?>
<table xmlns="http://schemas.openxmlformats.org/spreadsheetml/2006/main" ref="A1:X2" displayName="Table_13" name="Table_13" id="13">
  <tableColumns count="24">
    <tableColumn name="Ticker" id="1"/>
    <tableColumn name="Company Name" id="2"/>
    <tableColumn name="Share Price" id="3"/>
    <tableColumn name="Intrinsic Value" id="4"/>
    <tableColumn name="Target Share Price" id="5"/>
    <tableColumn name="Distance From Intrinsic" id="6"/>
    <tableColumn name="InvT Score" id="7"/>
    <tableColumn name="Day Change / Share ($)" id="8"/>
    <tableColumn name="Day Change / Share (%)" id="9"/>
    <tableColumn name="52 Week Low" id="10"/>
    <tableColumn name="52 Week Range" id="11"/>
    <tableColumn name="52 Week High" id="12"/>
    <tableColumn name="Security Type" id="13"/>
    <tableColumn name="Sector" id="14"/>
    <tableColumn name="Category" id="15"/>
    <tableColumn name="P/E Ratio" id="16"/>
    <tableColumn name="EPS" id="17"/>
    <tableColumn name="Annual Dividend" id="18"/>
    <tableColumn name="Dividend Yield" id="19"/>
    <tableColumn name="Annual Income (100 Shares)" id="20"/>
    <tableColumn name="How Much Invested For 100 Shares" id="21"/>
    <tableColumn name="DO NOT DELETE" id="22"/>
    <tableColumn name="Signal" id="23"/>
    <tableColumn name="Updated" id="24"/>
  </tableColumns>
  <tableStyleInfo name="Intrinsic Values List-style" showColumnStripes="0" showFirstColumn="1" showLastColumn="1" showRowStripes="1"/>
</table>
</file>

<file path=xl/tables/table14.xml><?xml version="1.0" encoding="utf-8"?>
<table xmlns="http://schemas.openxmlformats.org/spreadsheetml/2006/main" ref="B6:B56" displayName="Table_14" name="Table_14" id="14">
  <tableColumns count="1">
    <tableColumn name="Rank" id="1"/>
  </tableColumns>
  <tableStyleInfo name="Super Investors Buys-style" showColumnStripes="0" showFirstColumn="1" showLastColumn="1" showRowStripes="1"/>
</table>
</file>

<file path=xl/tables/table15.xml><?xml version="1.0" encoding="utf-8"?>
<table xmlns="http://schemas.openxmlformats.org/spreadsheetml/2006/main" ref="C6:J56" displayName="Table_15" name="Table_15" id="15">
  <tableColumns count="8">
    <tableColumn name="Ticker" id="1"/>
    <tableColumn name="Name" id="2"/>
    <tableColumn name="Sector" id="3"/>
    <tableColumn name="Dividend" id="4"/>
    <tableColumn name="Dividend Yield" id="5"/>
    <tableColumn name="Payout Ratio" id="6"/>
    <tableColumn name="5 YR Dividend GPS" id="7"/>
    <tableColumn name="ROIC" id="8"/>
  </tableColumns>
  <tableStyleInfo name="Super Investors Buys-style 2" showColumnStripes="0" showFirstColumn="1" showLastColumn="1" showRowStripes="1"/>
</table>
</file>

<file path=xl/tables/table16.xml><?xml version="1.0" encoding="utf-8"?>
<table xmlns="http://schemas.openxmlformats.org/spreadsheetml/2006/main" ref="B40:J53" displayName="Neighborhoods" name="Neighborhoods" id="16">
  <tableColumns count="9">
    <tableColumn name="Metro" id="1"/>
    <tableColumn name="Area" id="2"/>
    <tableColumn name="Rent (mo)" id="3"/>
    <tableColumn name="NonHousingMult" id="4"/>
    <tableColumn name="HousingMult" id="5"/>
    <tableColumn name="OverallFactor" id="6"/>
    <tableColumn name="EquivalentSalary" id="7"/>
    <tableColumn name="EquivalentSalary_Rounded" id="8"/>
    <tableColumn name="EL_equivalent" id="9"/>
  </tableColumns>
  <tableStyleInfo name="Salary &amp; Retirement Plan-style" showColumnStripes="0" showFirstColumn="1" showLastColumn="1" showRowStripes="1"/>
</table>
</file>

<file path=xl/tables/table17.xml><?xml version="1.0" encoding="utf-8"?>
<table xmlns="http://schemas.openxmlformats.org/spreadsheetml/2006/main" ref="B56:J69" displayName="Suburbs" name="Suburbs" id="17">
  <tableColumns count="9">
    <tableColumn name="Metro" id="1"/>
    <tableColumn name="Area" id="2"/>
    <tableColumn name="Rent (mo)" id="3"/>
    <tableColumn name="NonHousingMult" id="4"/>
    <tableColumn name="HousingMult" id="5"/>
    <tableColumn name="OverallFactor" id="6"/>
    <tableColumn name="EquivalentSalary" id="7"/>
    <tableColumn name="EquivalentSalary_Rounded" id="8"/>
    <tableColumn name="EL_equivalent" id="9"/>
  </tableColumns>
  <tableStyleInfo name="Salary &amp; Retirement Pla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3-29T20:45:02.00" personId="{0a7fbb58-1703-4111-9926-c98974d031b1}" id="{b583a30e-f65c-439c-bc68-9ea069529d6b}" done="0">
    <x18tc:text xml:space="preserve">fff</x18tc:text>
  </x18tc:threadedComment>
  <x18tc:threadedComment ref="A1" dT="2025-02-08T00:49:28.00" personId="{0a7fbb58-1703-4111-9926-c98974d031b1}" id="{e48dd5dd-4229-4f1a-93b1-95a892f38216}" done="0">
    <x18tc:text xml:space="preserve">TGT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11-21T19:17:39.00" personId="{0a7fbb58-1703-4111-9926-c98974d031b1}" id="{1227890d-e856-417b-91d0-714c31bb548c}" done="0">
    <x18tc:text xml:space="preserve">Sold by Mistake (default Fidelity's FIFO method)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6-01-06T23:04:25.00" personId="{0a7fbb58-1703-4111-9926-c98974d031b1}" id="{35a886a9-b663-490a-ac42-743f1964524b}" done="0">
    <x18tc:text xml:space="preserve">Time-Weighted Return (TWR). Measures Jan–Dec investment performance, excluding cash flows. Used for fair comparison with the S&amp;P 500. Current year shows YTD.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23" dT="2025-03-23T17:18:58.00" personId="{0a7fbb58-1703-4111-9926-c98974d031b1}" id="{94236f50-9212-467d-bdb5-02b1a6019ffc}" done="0">
    <x18tc:text xml:space="preserve">https://fred.stlouisfed.org/series/AAA</x18tc:text>
    <x18tc:extLst>
      <ext uri="{F7C98A9C-CBB3-438F-8F68-D28B6AF4A901}">
        <xltc2:checksum/>
        <xltc2:hyperlink startIndex="0" length="38" url="https://fred.stlouisfed.org/series/AAA"/>
      </ext>
    </x18tc:extLst>
  </x18tc:threadedComment>
  <x18tc:threadedComment ref="N16" dT="2024-11-16T07:37:31.00" personId="{0a7fbb58-1703-4111-9926-c98974d031b1}" id="{197b5c33-5634-46e9-ba89-82056f30b0fc}" done="0">
    <x18tc:text xml:space="preserve">Original Formula with the FCF growth average</x18tc:text>
  </x18tc:threadedComment>
  <x18tc:threadedComment ref="T20" dT="2025-03-23T17:18:04.00" personId="{0a7fbb58-1703-4111-9926-c98974d031b1}" id="{40807d65-91e1-418b-af61-57d66aa4b134}" done="0">
    <x18tc:text xml:space="preserve">https://seekingalpha.com/
(YoY Growth)</x18tc:text>
    <x18tc:extLst>
      <ext uri="{F7C98A9C-CBB3-438F-8F68-D28B6AF4A901}">
        <xltc2:checksum/>
        <xltc2:hyperlink startIndex="0" length="25" url="https://seekingalpha.com/"/>
      </ext>
    </x18tc:extLst>
  </x18tc:threadedComment>
  <x18tc:threadedComment ref="H23" dT="2025-03-23T18:49:47.00" personId="{0a7fbb58-1703-4111-9926-c98974d031b1}" id="{8ca0067b-8154-40a9-8cf8-58d93415aaab}" done="0">
    <x18tc:text xml:space="preserve">Look for data (marker competitors) here:
https://seekingalpha.com/ 
https://digital.fidelity.com/prgw/digital/research/src</x18tc:text>
    <x18tc:extLst>
      <ext uri="{F7C98A9C-CBB3-438F-8F68-D28B6AF4A901}">
        <xltc2:checksum/>
        <xltc2:hyperlink startIndex="42" length="25" url="https://seekingalpha.com/"/>
        <xltc2:hyperlink startIndex="70" length="54" url="https://digital.fidelity.com/prgw/digital/research/src"/>
      </ext>
    </x18tc:extLst>
  </x18tc:threadedComment>
  <x18tc:threadedComment ref="K10" dT="2024-11-16T07:36:03.00" personId="{0a7fbb58-1703-4111-9926-c98974d031b1}" id="{b2f5d4b6-a4f3-40dc-becf-cd18dd4b2b0e}" done="0">
    <x18tc:text xml:space="preserve">Mean Discarding the extreme values (largest and lowest)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6" dT="2026-01-19T02:31:26.00" personId="{0a7fbb58-1703-4111-9926-c98974d031b1}" id="{ac595a44-0776-4a64-a3d8-b3107eb387f5}" done="0">
    <x18tc:text xml:space="preserve">Insert here business expenses for deduction.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9" Type="http://schemas.openxmlformats.org/officeDocument/2006/relationships/table" Target="../tables/table2.xml"/><Relationship Id="rId5" Type="http://schemas.openxmlformats.org/officeDocument/2006/relationships/vmlDrawing" Target="../drawings/vmlDrawing1.v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6.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drawing" Target="../drawings/drawing4.xml"/><Relationship Id="rId9" Type="http://schemas.openxmlformats.org/officeDocument/2006/relationships/table" Target="../tables/table9.xml"/><Relationship Id="rId7" Type="http://schemas.openxmlformats.org/officeDocument/2006/relationships/table" Target="../tables/table7.xml"/><Relationship Id="rId8"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youtu.be/BPObM0R15OA" TargetMode="External"/><Relationship Id="rId5" Type="http://schemas.openxmlformats.org/officeDocument/2006/relationships/drawing" Target="../drawings/drawing5.xml"/><Relationship Id="rId6"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finance.yahoo.com/quote/%5EGSPC/" TargetMode="External"/><Relationship Id="rId5" Type="http://schemas.openxmlformats.org/officeDocument/2006/relationships/drawing" Target="../drawings/drawing8.xml"/><Relationship Id="rId6"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youtube.com/watch?v=QtrlyUsPr3Q" TargetMode="External"/><Relationship Id="rId10" Type="http://schemas.openxmlformats.org/officeDocument/2006/relationships/hyperlink" Target="https://www.youtube.com/watch?v=IVzBOE5C4Ps" TargetMode="External"/><Relationship Id="rId13" Type="http://schemas.openxmlformats.org/officeDocument/2006/relationships/drawing" Target="../drawings/drawing10.xml"/><Relationship Id="rId12" Type="http://schemas.openxmlformats.org/officeDocument/2006/relationships/hyperlink" Target="https://www.youtube.com/watch?v=P9GqTzwCTpw" TargetMode="External"/><Relationship Id="rId1" Type="http://schemas.openxmlformats.org/officeDocument/2006/relationships/hyperlink" Target="https://www.youtube.com/watch?v=JKIcVdr2Yh0&amp;t=1592s" TargetMode="External"/><Relationship Id="rId2" Type="http://schemas.openxmlformats.org/officeDocument/2006/relationships/hyperlink" Target="https://www.youtube.com/watch?v=6-c50nhxd1s" TargetMode="External"/><Relationship Id="rId3" Type="http://schemas.openxmlformats.org/officeDocument/2006/relationships/hyperlink" Target="https://www.youtube.com/watch?v=ws2LCfG1h6k" TargetMode="External"/><Relationship Id="rId4" Type="http://schemas.openxmlformats.org/officeDocument/2006/relationships/hyperlink" Target="https://www.youtube.com/watch?v=V_X-AGDijgU&amp;t=339s" TargetMode="External"/><Relationship Id="rId9" Type="http://schemas.openxmlformats.org/officeDocument/2006/relationships/hyperlink" Target="https://www.youtube.com/watch?v=tQgKbEQZlaU" TargetMode="External"/><Relationship Id="rId5" Type="http://schemas.openxmlformats.org/officeDocument/2006/relationships/hyperlink" Target="https://www.youtube.com/watch?v=yiY9GyIGgP8" TargetMode="External"/><Relationship Id="rId6" Type="http://schemas.openxmlformats.org/officeDocument/2006/relationships/hyperlink" Target="https://www.youtube.com/watch?v=d4h8dYSgHMw&amp;t=454s" TargetMode="External"/><Relationship Id="rId7" Type="http://schemas.openxmlformats.org/officeDocument/2006/relationships/hyperlink" Target="https://www.youtube.com/watch?v=fy3XzWaNxgI" TargetMode="External"/><Relationship Id="rId8" Type="http://schemas.openxmlformats.org/officeDocument/2006/relationships/hyperlink" Target="https://www.youtube.com/watch?v=JvBIqN9sDi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hyperlink" Target="http://tickerdata.com/" TargetMode="External"/><Relationship Id="rId2" Type="http://schemas.openxmlformats.org/officeDocument/2006/relationships/drawing" Target="../drawings/drawing12.xml"/><Relationship Id="rId5" Type="http://schemas.openxmlformats.org/officeDocument/2006/relationships/table" Target="../tables/table14.xml"/><Relationship Id="rId6"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stockanalysis.com/" TargetMode="External"/><Relationship Id="rId5" Type="http://schemas.openxmlformats.org/officeDocument/2006/relationships/hyperlink" Target="https://www.youtube.com/watch?v=HytvE6YZaho" TargetMode="External"/><Relationship Id="rId6" Type="http://schemas.openxmlformats.org/officeDocument/2006/relationships/hyperlink" Target="https://site.financialmodelingprep.com/developer/docs/dashboard" TargetMode="External"/><Relationship Id="rId7" Type="http://schemas.openxmlformats.org/officeDocument/2006/relationships/drawing" Target="../drawings/drawing14.xml"/><Relationship Id="rId8"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5.xml"/><Relationship Id="rId9" Type="http://schemas.openxmlformats.org/officeDocument/2006/relationships/table" Target="../tables/table17.xml"/><Relationship Id="rId5" Type="http://schemas.openxmlformats.org/officeDocument/2006/relationships/vmlDrawing" Target="../drawings/vmlDrawing5.vml"/><Relationship Id="rId8"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minneapolisfed.org/about-us/monetary-policy/inflation-calculator/consumer-price-index-1913-"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0" Type="http://schemas.openxmlformats.org/officeDocument/2006/relationships/hyperlink" Target="https://www.sec.gov/Archives/edgar/data/789019/000095017023035122/0000950170-23-035122-index.htm" TargetMode="External"/><Relationship Id="rId22" Type="http://schemas.openxmlformats.org/officeDocument/2006/relationships/hyperlink" Target="https://www.sec.gov/Archives/edgar/data/789019/000156459022026876/0001564590-22-026876-index.htm" TargetMode="External"/><Relationship Id="rId21" Type="http://schemas.openxmlformats.org/officeDocument/2006/relationships/hyperlink" Target="https://www.sec.gov/Archives/edgar/data/789019/000095017023035122/msft-20230630.htm" TargetMode="External"/><Relationship Id="rId24" Type="http://schemas.openxmlformats.org/officeDocument/2006/relationships/hyperlink" Target="https://www.sec.gov/Archives/edgar/data/789019/000156459021039151/0001564590-21-039151-index.htm" TargetMode="External"/><Relationship Id="rId23" Type="http://schemas.openxmlformats.org/officeDocument/2006/relationships/hyperlink" Target="https://www.sec.gov/Archives/edgar/data/789019/000156459022026876/msft-10k_20220630.htm" TargetMode="External"/><Relationship Id="rId1" Type="http://schemas.openxmlformats.org/officeDocument/2006/relationships/hyperlink" Target="https://seekingalpha.com/" TargetMode="External"/><Relationship Id="rId2" Type="http://schemas.openxmlformats.org/officeDocument/2006/relationships/hyperlink" Target="https://fred.stlouisfed.org/series/AAA" TargetMode="External"/><Relationship Id="rId3" Type="http://schemas.openxmlformats.org/officeDocument/2006/relationships/hyperlink" Target="https://seekingalpha.com/" TargetMode="External"/><Relationship Id="rId4" Type="http://schemas.openxmlformats.org/officeDocument/2006/relationships/hyperlink" Target="https://digital.fidelity.com/prgw/digital/research/src" TargetMode="External"/><Relationship Id="rId9" Type="http://schemas.openxmlformats.org/officeDocument/2006/relationships/hyperlink" Target="https://www.sec.gov/Archives/edgar/data/789019/000095017024087843/msft-20240630.htm" TargetMode="External"/><Relationship Id="rId26" Type="http://schemas.openxmlformats.org/officeDocument/2006/relationships/hyperlink" Target="https://www.sec.gov/Archives/edgar/data/789019/000156459020034944/0001564590-20-034944-index.htm" TargetMode="External"/><Relationship Id="rId25" Type="http://schemas.openxmlformats.org/officeDocument/2006/relationships/hyperlink" Target="https://www.sec.gov/Archives/edgar/data/789019/000156459021039151/msft-10k_20210630.htm" TargetMode="External"/><Relationship Id="rId28" Type="http://schemas.openxmlformats.org/officeDocument/2006/relationships/hyperlink" Target="https://www.sec.gov/Archives/edgar/data/789019/000095017024087843/0000950170-24-087843-index.htm" TargetMode="External"/><Relationship Id="rId27" Type="http://schemas.openxmlformats.org/officeDocument/2006/relationships/hyperlink" Target="https://www.sec.gov/Archives/edgar/data/789019/000156459020034944/msft-10k_20200630.htm" TargetMode="External"/><Relationship Id="rId5" Type="http://schemas.openxmlformats.org/officeDocument/2006/relationships/hyperlink" Target="https://site.financialmodelingprep.com/developer/docs/dashboard" TargetMode="External"/><Relationship Id="rId6" Type="http://schemas.openxmlformats.org/officeDocument/2006/relationships/hyperlink" Target="https://www.microsoft.com" TargetMode="External"/><Relationship Id="rId29" Type="http://schemas.openxmlformats.org/officeDocument/2006/relationships/hyperlink" Target="https://www.sec.gov/Archives/edgar/data/789019/000095017024087843/msft-20240630.htm" TargetMode="External"/><Relationship Id="rId7" Type="http://schemas.openxmlformats.org/officeDocument/2006/relationships/hyperlink" Target="https://images.financialmodelingprep.com/symbol/MSFT.png" TargetMode="External"/><Relationship Id="rId8" Type="http://schemas.openxmlformats.org/officeDocument/2006/relationships/hyperlink" Target="https://www.sec.gov/Archives/edgar/data/789019/000095017024087843/0000950170-24-087843-index.htm" TargetMode="External"/><Relationship Id="rId31" Type="http://schemas.openxmlformats.org/officeDocument/2006/relationships/hyperlink" Target="https://www.sec.gov/Archives/edgar/data/789019/000095017023035122/msft-20230630.htm" TargetMode="External"/><Relationship Id="rId30" Type="http://schemas.openxmlformats.org/officeDocument/2006/relationships/hyperlink" Target="https://www.sec.gov/Archives/edgar/data/789019/000095017023035122/0000950170-23-035122-index.htm" TargetMode="External"/><Relationship Id="rId11" Type="http://schemas.openxmlformats.org/officeDocument/2006/relationships/hyperlink" Target="https://www.sec.gov/Archives/edgar/data/789019/000095017023035122/msft-20230630.htm" TargetMode="External"/><Relationship Id="rId33" Type="http://schemas.openxmlformats.org/officeDocument/2006/relationships/hyperlink" Target="https://www.sec.gov/Archives/edgar/data/789019/000156459022026876/msft-10k_20220630.htm" TargetMode="External"/><Relationship Id="rId10" Type="http://schemas.openxmlformats.org/officeDocument/2006/relationships/hyperlink" Target="https://www.sec.gov/Archives/edgar/data/789019/000095017023035122/0000950170-23-035122-index.htm" TargetMode="External"/><Relationship Id="rId32" Type="http://schemas.openxmlformats.org/officeDocument/2006/relationships/hyperlink" Target="https://www.sec.gov/Archives/edgar/data/789019/000156459022026876/0001564590-22-026876-index.htm" TargetMode="External"/><Relationship Id="rId13" Type="http://schemas.openxmlformats.org/officeDocument/2006/relationships/hyperlink" Target="https://www.sec.gov/Archives/edgar/data/789019/000156459022026876/msft-10k_20220630.htm" TargetMode="External"/><Relationship Id="rId35" Type="http://schemas.openxmlformats.org/officeDocument/2006/relationships/hyperlink" Target="https://www.sec.gov/Archives/edgar/data/789019/000156459021039151/msft-10k_20210630.htm" TargetMode="External"/><Relationship Id="rId12" Type="http://schemas.openxmlformats.org/officeDocument/2006/relationships/hyperlink" Target="https://www.sec.gov/Archives/edgar/data/789019/000156459022026876/0001564590-22-026876-index.htm" TargetMode="External"/><Relationship Id="rId34" Type="http://schemas.openxmlformats.org/officeDocument/2006/relationships/hyperlink" Target="https://www.sec.gov/Archives/edgar/data/789019/000156459021039151/0001564590-21-039151-index.htm" TargetMode="External"/><Relationship Id="rId15" Type="http://schemas.openxmlformats.org/officeDocument/2006/relationships/hyperlink" Target="https://www.sec.gov/Archives/edgar/data/789019/000156459021039151/msft-10k_20210630.htm" TargetMode="External"/><Relationship Id="rId37" Type="http://schemas.openxmlformats.org/officeDocument/2006/relationships/hyperlink" Target="https://www.sec.gov/Archives/edgar/data/789019/000156459020034944/msft-10k_20200630.htm" TargetMode="External"/><Relationship Id="rId14" Type="http://schemas.openxmlformats.org/officeDocument/2006/relationships/hyperlink" Target="https://www.sec.gov/Archives/edgar/data/789019/000156459021039151/0001564590-21-039151-index.htm" TargetMode="External"/><Relationship Id="rId36" Type="http://schemas.openxmlformats.org/officeDocument/2006/relationships/hyperlink" Target="https://www.sec.gov/Archives/edgar/data/789019/000156459020034944/0001564590-20-034944-index.htm" TargetMode="External"/><Relationship Id="rId17" Type="http://schemas.openxmlformats.org/officeDocument/2006/relationships/hyperlink" Target="https://www.sec.gov/Archives/edgar/data/789019/000156459020034944/msft-10k_20200630.htm" TargetMode="External"/><Relationship Id="rId16" Type="http://schemas.openxmlformats.org/officeDocument/2006/relationships/hyperlink" Target="https://www.sec.gov/Archives/edgar/data/789019/000156459020034944/0001564590-20-034944-index.htm" TargetMode="External"/><Relationship Id="rId38" Type="http://schemas.openxmlformats.org/officeDocument/2006/relationships/drawing" Target="../drawings/drawing21.xml"/><Relationship Id="rId19" Type="http://schemas.openxmlformats.org/officeDocument/2006/relationships/hyperlink" Target="https://www.sec.gov/Archives/edgar/data/789019/000095017024087843/msft-20240630.htm" TargetMode="External"/><Relationship Id="rId18" Type="http://schemas.openxmlformats.org/officeDocument/2006/relationships/hyperlink" Target="https://www.sec.gov/Archives/edgar/data/789019/000095017024087843/0000950170-24-087843-index.htm" TargetMode="External"/></Relationships>
</file>

<file path=xl/worksheets/_rels/sheet22.xml.rels><?xml version="1.0" encoding="UTF-8" standalone="yes"?><Relationships xmlns="http://schemas.openxmlformats.org/package/2006/relationships"><Relationship Id="rId20" Type="http://schemas.openxmlformats.org/officeDocument/2006/relationships/hyperlink" Target="https://www.sec.gov/Archives/edgar/data/1744489/000174448924000064/0001744489-24-000064-index.htm" TargetMode="External"/><Relationship Id="rId22" Type="http://schemas.openxmlformats.org/officeDocument/2006/relationships/hyperlink" Target="https://www.sec.gov/Archives/edgar/data/1744489/000119312523014219/0001193125-23-014219-index.htm" TargetMode="External"/><Relationship Id="rId21" Type="http://schemas.openxmlformats.org/officeDocument/2006/relationships/hyperlink" Target="https://www.sec.gov/Archives/edgar/data/1744489/000174448924000064/dis-20230930.htm" TargetMode="External"/><Relationship Id="rId24" Type="http://schemas.openxmlformats.org/officeDocument/2006/relationships/hyperlink" Target="https://www.sec.gov/Archives/edgar/data/1744489/000174448921000220/0001744489-21-000220-index.htm" TargetMode="External"/><Relationship Id="rId23" Type="http://schemas.openxmlformats.org/officeDocument/2006/relationships/hyperlink" Target="https://www.sec.gov/Archives/edgar/data/1744489/000119312523014219/d431948d10ka.htm" TargetMode="External"/><Relationship Id="rId1" Type="http://schemas.openxmlformats.org/officeDocument/2006/relationships/hyperlink" Target="https://seekingalpha.com/" TargetMode="External"/><Relationship Id="rId2" Type="http://schemas.openxmlformats.org/officeDocument/2006/relationships/hyperlink" Target="https://fred.stlouisfed.org/series/AAA" TargetMode="External"/><Relationship Id="rId3" Type="http://schemas.openxmlformats.org/officeDocument/2006/relationships/hyperlink" Target="https://seekingalpha.com/" TargetMode="External"/><Relationship Id="rId4" Type="http://schemas.openxmlformats.org/officeDocument/2006/relationships/hyperlink" Target="https://digital.fidelity.com/prgw/digital/research/src" TargetMode="External"/><Relationship Id="rId9" Type="http://schemas.openxmlformats.org/officeDocument/2006/relationships/hyperlink" Target="https://www.sec.gov/Archives/edgar/data/1744489/000174448924000276/dis-20240928.htm" TargetMode="External"/><Relationship Id="rId26" Type="http://schemas.openxmlformats.org/officeDocument/2006/relationships/hyperlink" Target="https://www.sec.gov/Archives/edgar/data/1744489/000174448920000197/0001744489-20-000197-index.htm" TargetMode="External"/><Relationship Id="rId25" Type="http://schemas.openxmlformats.org/officeDocument/2006/relationships/hyperlink" Target="https://www.sec.gov/Archives/edgar/data/1744489/000174448921000220/dis-20211002.htm" TargetMode="External"/><Relationship Id="rId28" Type="http://schemas.openxmlformats.org/officeDocument/2006/relationships/hyperlink" Target="https://www.sec.gov/Archives/edgar/data/1744489/000174448924000276/0001744489-24-000276-index.htm" TargetMode="External"/><Relationship Id="rId27" Type="http://schemas.openxmlformats.org/officeDocument/2006/relationships/hyperlink" Target="https://www.sec.gov/Archives/edgar/data/1744489/000174448920000197/dis-20201003.htm" TargetMode="External"/><Relationship Id="rId5" Type="http://schemas.openxmlformats.org/officeDocument/2006/relationships/hyperlink" Target="https://site.financialmodelingprep.com/developer/docs/dashboard" TargetMode="External"/><Relationship Id="rId6" Type="http://schemas.openxmlformats.org/officeDocument/2006/relationships/hyperlink" Target="https://www.thewaltdisneycompany.com" TargetMode="External"/><Relationship Id="rId29" Type="http://schemas.openxmlformats.org/officeDocument/2006/relationships/hyperlink" Target="https://www.sec.gov/Archives/edgar/data/1744489/000174448924000276/dis-20240928.htm" TargetMode="External"/><Relationship Id="rId7" Type="http://schemas.openxmlformats.org/officeDocument/2006/relationships/hyperlink" Target="https://images.financialmodelingprep.com/symbol/DIS.png" TargetMode="External"/><Relationship Id="rId8" Type="http://schemas.openxmlformats.org/officeDocument/2006/relationships/hyperlink" Target="https://www.sec.gov/Archives/edgar/data/1744489/000174448924000276/0001744489-24-000276-index.htm" TargetMode="External"/><Relationship Id="rId31" Type="http://schemas.openxmlformats.org/officeDocument/2006/relationships/hyperlink" Target="https://www.sec.gov/Archives/edgar/data/1744489/000174448924000064/dis-20230930.htm" TargetMode="External"/><Relationship Id="rId30" Type="http://schemas.openxmlformats.org/officeDocument/2006/relationships/hyperlink" Target="https://www.sec.gov/Archives/edgar/data/1744489/000174448924000064/0001744489-24-000064-index.htm" TargetMode="External"/><Relationship Id="rId11" Type="http://schemas.openxmlformats.org/officeDocument/2006/relationships/hyperlink" Target="https://www.sec.gov/Archives/edgar/data/1744489/000174448924000064/dis-20230930.htm" TargetMode="External"/><Relationship Id="rId33" Type="http://schemas.openxmlformats.org/officeDocument/2006/relationships/hyperlink" Target="https://www.sec.gov/Archives/edgar/data/1744489/000119312523014219/d431948d10ka.htm" TargetMode="External"/><Relationship Id="rId10" Type="http://schemas.openxmlformats.org/officeDocument/2006/relationships/hyperlink" Target="https://www.sec.gov/Archives/edgar/data/1744489/000174448924000064/0001744489-24-000064-index.htm" TargetMode="External"/><Relationship Id="rId32" Type="http://schemas.openxmlformats.org/officeDocument/2006/relationships/hyperlink" Target="https://www.sec.gov/Archives/edgar/data/1744489/000119312523014219/0001193125-23-014219-index.htm" TargetMode="External"/><Relationship Id="rId13" Type="http://schemas.openxmlformats.org/officeDocument/2006/relationships/hyperlink" Target="https://www.sec.gov/Archives/edgar/data/1744489/000119312523014219/d431948d10ka.htm" TargetMode="External"/><Relationship Id="rId35" Type="http://schemas.openxmlformats.org/officeDocument/2006/relationships/hyperlink" Target="https://www.sec.gov/Archives/edgar/data/1744489/000174448921000220/dis-20211002.htm" TargetMode="External"/><Relationship Id="rId12" Type="http://schemas.openxmlformats.org/officeDocument/2006/relationships/hyperlink" Target="https://www.sec.gov/Archives/edgar/data/1744489/000119312523014219/0001193125-23-014219-index.htm" TargetMode="External"/><Relationship Id="rId34" Type="http://schemas.openxmlformats.org/officeDocument/2006/relationships/hyperlink" Target="https://www.sec.gov/Archives/edgar/data/1744489/000174448921000220/0001744489-21-000220-index.htm" TargetMode="External"/><Relationship Id="rId15" Type="http://schemas.openxmlformats.org/officeDocument/2006/relationships/hyperlink" Target="https://www.sec.gov/Archives/edgar/data/1744489/000174448921000220/dis-20211002.htm" TargetMode="External"/><Relationship Id="rId37" Type="http://schemas.openxmlformats.org/officeDocument/2006/relationships/hyperlink" Target="https://www.sec.gov/Archives/edgar/data/1744489/000174448920000197/dis-20201003.htm" TargetMode="External"/><Relationship Id="rId14" Type="http://schemas.openxmlformats.org/officeDocument/2006/relationships/hyperlink" Target="https://www.sec.gov/Archives/edgar/data/1744489/000174448921000220/0001744489-21-000220-index.htm" TargetMode="External"/><Relationship Id="rId36" Type="http://schemas.openxmlformats.org/officeDocument/2006/relationships/hyperlink" Target="https://www.sec.gov/Archives/edgar/data/1744489/000174448920000197/0001744489-20-000197-index.htm" TargetMode="External"/><Relationship Id="rId17" Type="http://schemas.openxmlformats.org/officeDocument/2006/relationships/hyperlink" Target="https://www.sec.gov/Archives/edgar/data/1744489/000174448920000197/dis-20201003.htm" TargetMode="External"/><Relationship Id="rId16" Type="http://schemas.openxmlformats.org/officeDocument/2006/relationships/hyperlink" Target="https://www.sec.gov/Archives/edgar/data/1744489/000174448920000197/0001744489-20-000197-index.htm" TargetMode="External"/><Relationship Id="rId38" Type="http://schemas.openxmlformats.org/officeDocument/2006/relationships/drawing" Target="../drawings/drawing22.xml"/><Relationship Id="rId19" Type="http://schemas.openxmlformats.org/officeDocument/2006/relationships/hyperlink" Target="https://www.sec.gov/Archives/edgar/data/1744489/000174448924000276/dis-20240928.htm" TargetMode="External"/><Relationship Id="rId18" Type="http://schemas.openxmlformats.org/officeDocument/2006/relationships/hyperlink" Target="https://www.sec.gov/Archives/edgar/data/1744489/000174448924000276/0001744489-24-000276-index.htm" TargetMode="External"/></Relationships>
</file>

<file path=xl/worksheets/_rels/sheet23.xml.rels><?xml version="1.0" encoding="UTF-8" standalone="yes"?><Relationships xmlns="http://schemas.openxmlformats.org/package/2006/relationships"><Relationship Id="rId20" Type="http://schemas.openxmlformats.org/officeDocument/2006/relationships/hyperlink" Target="https://www.sec.gov/Archives/edgar/data/27419/000002741923000015/0000027419-23-000015-index.htm" TargetMode="External"/><Relationship Id="rId22" Type="http://schemas.openxmlformats.org/officeDocument/2006/relationships/hyperlink" Target="https://www.sec.gov/Archives/edgar/data/27419/000002741922000007/0000027419-22-000007-index.htm" TargetMode="External"/><Relationship Id="rId21" Type="http://schemas.openxmlformats.org/officeDocument/2006/relationships/hyperlink" Target="https://www.sec.gov/Archives/edgar/data/27419/000002741923000015/tgt-20230128.htm" TargetMode="External"/><Relationship Id="rId24" Type="http://schemas.openxmlformats.org/officeDocument/2006/relationships/hyperlink" Target="https://www.sec.gov/Archives/edgar/data/27419/000002741921000010/0000027419-21-000010-index.htm" TargetMode="External"/><Relationship Id="rId23" Type="http://schemas.openxmlformats.org/officeDocument/2006/relationships/hyperlink" Target="https://www.sec.gov/Archives/edgar/data/27419/000002741922000007/tgt-20220129.htm" TargetMode="External"/><Relationship Id="rId1" Type="http://schemas.openxmlformats.org/officeDocument/2006/relationships/hyperlink" Target="https://seekingalpha.com/" TargetMode="External"/><Relationship Id="rId2" Type="http://schemas.openxmlformats.org/officeDocument/2006/relationships/hyperlink" Target="https://fred.stlouisfed.org/series/AAA" TargetMode="External"/><Relationship Id="rId3" Type="http://schemas.openxmlformats.org/officeDocument/2006/relationships/hyperlink" Target="https://seekingalpha.com/" TargetMode="External"/><Relationship Id="rId4" Type="http://schemas.openxmlformats.org/officeDocument/2006/relationships/hyperlink" Target="https://digital.fidelity.com/prgw/digital/research/src" TargetMode="External"/><Relationship Id="rId9" Type="http://schemas.openxmlformats.org/officeDocument/2006/relationships/hyperlink" Target="https://www.sec.gov/Archives/edgar/data/27419/000002741924000032/tgt-20240203.htm" TargetMode="External"/><Relationship Id="rId26" Type="http://schemas.openxmlformats.org/officeDocument/2006/relationships/hyperlink" Target="https://www.sec.gov/Archives/edgar/data/27419/000002741920000008/0000027419-20-000008-index.htm" TargetMode="External"/><Relationship Id="rId25" Type="http://schemas.openxmlformats.org/officeDocument/2006/relationships/hyperlink" Target="https://www.sec.gov/Archives/edgar/data/27419/000002741921000010/tgt-20210130.htm" TargetMode="External"/><Relationship Id="rId28" Type="http://schemas.openxmlformats.org/officeDocument/2006/relationships/hyperlink" Target="https://www.sec.gov/Archives/edgar/data/27419/000002741924000032/0000027419-24-000032-index.htm" TargetMode="External"/><Relationship Id="rId27" Type="http://schemas.openxmlformats.org/officeDocument/2006/relationships/hyperlink" Target="https://www.sec.gov/Archives/edgar/data/27419/000002741920000008/tgt-20200201.htm" TargetMode="External"/><Relationship Id="rId5" Type="http://schemas.openxmlformats.org/officeDocument/2006/relationships/hyperlink" Target="https://site.financialmodelingprep.com/developer/docs/dashboard" TargetMode="External"/><Relationship Id="rId6" Type="http://schemas.openxmlformats.org/officeDocument/2006/relationships/hyperlink" Target="https://corporate.target.com" TargetMode="External"/><Relationship Id="rId29" Type="http://schemas.openxmlformats.org/officeDocument/2006/relationships/hyperlink" Target="https://www.sec.gov/Archives/edgar/data/27419/000002741924000032/tgt-20240203.htm" TargetMode="External"/><Relationship Id="rId7" Type="http://schemas.openxmlformats.org/officeDocument/2006/relationships/hyperlink" Target="https://images.financialmodelingprep.com/symbol/TGT.png" TargetMode="External"/><Relationship Id="rId8" Type="http://schemas.openxmlformats.org/officeDocument/2006/relationships/hyperlink" Target="https://www.sec.gov/Archives/edgar/data/27419/000002741924000032/0000027419-24-000032-index.htm" TargetMode="External"/><Relationship Id="rId31" Type="http://schemas.openxmlformats.org/officeDocument/2006/relationships/hyperlink" Target="https://www.sec.gov/Archives/edgar/data/27419/000002741923000015/tgt-20230128.htm" TargetMode="External"/><Relationship Id="rId30" Type="http://schemas.openxmlformats.org/officeDocument/2006/relationships/hyperlink" Target="https://www.sec.gov/Archives/edgar/data/27419/000002741923000015/0000027419-23-000015-index.htm" TargetMode="External"/><Relationship Id="rId11" Type="http://schemas.openxmlformats.org/officeDocument/2006/relationships/hyperlink" Target="https://www.sec.gov/Archives/edgar/data/27419/000002741923000015/tgt-20230128.htm" TargetMode="External"/><Relationship Id="rId33" Type="http://schemas.openxmlformats.org/officeDocument/2006/relationships/hyperlink" Target="https://www.sec.gov/Archives/edgar/data/27419/000002741922000007/tgt-20220129.htm" TargetMode="External"/><Relationship Id="rId10" Type="http://schemas.openxmlformats.org/officeDocument/2006/relationships/hyperlink" Target="https://www.sec.gov/Archives/edgar/data/27419/000002741923000015/0000027419-23-000015-index.htm" TargetMode="External"/><Relationship Id="rId32" Type="http://schemas.openxmlformats.org/officeDocument/2006/relationships/hyperlink" Target="https://www.sec.gov/Archives/edgar/data/27419/000002741922000007/0000027419-22-000007-index.htm" TargetMode="External"/><Relationship Id="rId13" Type="http://schemas.openxmlformats.org/officeDocument/2006/relationships/hyperlink" Target="https://www.sec.gov/Archives/edgar/data/27419/000002741922000007/tgt-20220129.htm" TargetMode="External"/><Relationship Id="rId35" Type="http://schemas.openxmlformats.org/officeDocument/2006/relationships/hyperlink" Target="https://www.sec.gov/Archives/edgar/data/27419/000002741921000010/tgt-20210130.htm" TargetMode="External"/><Relationship Id="rId12" Type="http://schemas.openxmlformats.org/officeDocument/2006/relationships/hyperlink" Target="https://www.sec.gov/Archives/edgar/data/27419/000002741922000007/0000027419-22-000007-index.htm" TargetMode="External"/><Relationship Id="rId34" Type="http://schemas.openxmlformats.org/officeDocument/2006/relationships/hyperlink" Target="https://www.sec.gov/Archives/edgar/data/27419/000002741921000010/0000027419-21-000010-index.htm" TargetMode="External"/><Relationship Id="rId15" Type="http://schemas.openxmlformats.org/officeDocument/2006/relationships/hyperlink" Target="https://www.sec.gov/Archives/edgar/data/27419/000002741921000010/tgt-20210130.htm" TargetMode="External"/><Relationship Id="rId37" Type="http://schemas.openxmlformats.org/officeDocument/2006/relationships/hyperlink" Target="https://www.sec.gov/Archives/edgar/data/27419/000002741920000008/tgt-20200201.htm" TargetMode="External"/><Relationship Id="rId14" Type="http://schemas.openxmlformats.org/officeDocument/2006/relationships/hyperlink" Target="https://www.sec.gov/Archives/edgar/data/27419/000002741921000010/0000027419-21-000010-index.htm" TargetMode="External"/><Relationship Id="rId36" Type="http://schemas.openxmlformats.org/officeDocument/2006/relationships/hyperlink" Target="https://www.sec.gov/Archives/edgar/data/27419/000002741920000008/0000027419-20-000008-index.htm" TargetMode="External"/><Relationship Id="rId17" Type="http://schemas.openxmlformats.org/officeDocument/2006/relationships/hyperlink" Target="https://www.sec.gov/Archives/edgar/data/27419/000002741920000008/tgt-20200201.htm" TargetMode="External"/><Relationship Id="rId16" Type="http://schemas.openxmlformats.org/officeDocument/2006/relationships/hyperlink" Target="https://www.sec.gov/Archives/edgar/data/27419/000002741920000008/0000027419-20-000008-index.htm" TargetMode="External"/><Relationship Id="rId38" Type="http://schemas.openxmlformats.org/officeDocument/2006/relationships/drawing" Target="../drawings/drawing23.xml"/><Relationship Id="rId19" Type="http://schemas.openxmlformats.org/officeDocument/2006/relationships/hyperlink" Target="https://www.sec.gov/Archives/edgar/data/27419/000002741924000032/tgt-20240203.htm" TargetMode="External"/><Relationship Id="rId18" Type="http://schemas.openxmlformats.org/officeDocument/2006/relationships/hyperlink" Target="https://www.sec.gov/Archives/edgar/data/27419/000002741924000032/0000027419-24-000032-index.htm" TargetMode="External"/></Relationships>
</file>

<file path=xl/worksheets/_rels/sheet24.xml.rels><?xml version="1.0" encoding="UTF-8" standalone="yes"?><Relationships xmlns="http://schemas.openxmlformats.org/package/2006/relationships"><Relationship Id="rId20" Type="http://schemas.openxmlformats.org/officeDocument/2006/relationships/hyperlink" Target="https://www.sec.gov/Archives/edgar/data/19617/000001961723000231/0000019617-23-000231-index.htm" TargetMode="External"/><Relationship Id="rId22" Type="http://schemas.openxmlformats.org/officeDocument/2006/relationships/hyperlink" Target="https://www.sec.gov/Archives/edgar/data/19617/000001961722000272/0000019617-22-000272-index.htm" TargetMode="External"/><Relationship Id="rId21" Type="http://schemas.openxmlformats.org/officeDocument/2006/relationships/hyperlink" Target="https://www.sec.gov/Archives/edgar/data/19617/000001961723000231/jpm-20221231.htm" TargetMode="External"/><Relationship Id="rId24" Type="http://schemas.openxmlformats.org/officeDocument/2006/relationships/hyperlink" Target="https://www.sec.gov/Archives/edgar/data/19617/000001961721000236/0000019617-21-000236-index.htm" TargetMode="External"/><Relationship Id="rId23" Type="http://schemas.openxmlformats.org/officeDocument/2006/relationships/hyperlink" Target="https://www.sec.gov/Archives/edgar/data/19617/000001961722000272/jpm-20211231.htm" TargetMode="External"/><Relationship Id="rId1" Type="http://schemas.openxmlformats.org/officeDocument/2006/relationships/hyperlink" Target="https://seekingalpha.com/" TargetMode="External"/><Relationship Id="rId2" Type="http://schemas.openxmlformats.org/officeDocument/2006/relationships/hyperlink" Target="https://fred.stlouisfed.org/series/AAA" TargetMode="External"/><Relationship Id="rId3" Type="http://schemas.openxmlformats.org/officeDocument/2006/relationships/hyperlink" Target="https://seekingalpha.com/" TargetMode="External"/><Relationship Id="rId4" Type="http://schemas.openxmlformats.org/officeDocument/2006/relationships/hyperlink" Target="https://digital.fidelity.com/prgw/digital/research/src" TargetMode="External"/><Relationship Id="rId9" Type="http://schemas.openxmlformats.org/officeDocument/2006/relationships/hyperlink" Target="https://www.sec.gov/Archives/edgar/data/19617/000001961724000225/jpm-20231231.htm" TargetMode="External"/><Relationship Id="rId26" Type="http://schemas.openxmlformats.org/officeDocument/2006/relationships/hyperlink" Target="https://www.sec.gov/Archives/edgar/data/19617/000001961720000257/0000019617-20-000257-index.html" TargetMode="External"/><Relationship Id="rId25" Type="http://schemas.openxmlformats.org/officeDocument/2006/relationships/hyperlink" Target="https://www.sec.gov/Archives/edgar/data/19617/000001961721000236/jpm-20201231.htm" TargetMode="External"/><Relationship Id="rId28" Type="http://schemas.openxmlformats.org/officeDocument/2006/relationships/hyperlink" Target="https://www.sec.gov/Archives/edgar/data/19617/000001961724000225/0000019617-24-000225-index.htm" TargetMode="External"/><Relationship Id="rId27" Type="http://schemas.openxmlformats.org/officeDocument/2006/relationships/hyperlink" Target="https://www.sec.gov/Archives/edgar/data/19617/000001961720000257/corp10k2019.htm" TargetMode="External"/><Relationship Id="rId5" Type="http://schemas.openxmlformats.org/officeDocument/2006/relationships/hyperlink" Target="https://site.financialmodelingprep.com/developer/docs/dashboard" TargetMode="External"/><Relationship Id="rId6" Type="http://schemas.openxmlformats.org/officeDocument/2006/relationships/hyperlink" Target="https://www.jpmorganchase.com" TargetMode="External"/><Relationship Id="rId29" Type="http://schemas.openxmlformats.org/officeDocument/2006/relationships/hyperlink" Target="https://www.sec.gov/Archives/edgar/data/19617/000001961724000225/jpm-20231231.htm" TargetMode="External"/><Relationship Id="rId7" Type="http://schemas.openxmlformats.org/officeDocument/2006/relationships/hyperlink" Target="https://images.financialmodelingprep.com/symbol/JPM.png" TargetMode="External"/><Relationship Id="rId8" Type="http://schemas.openxmlformats.org/officeDocument/2006/relationships/hyperlink" Target="https://www.sec.gov/Archives/edgar/data/19617/000001961724000225/0000019617-24-000225-index.htm" TargetMode="External"/><Relationship Id="rId31" Type="http://schemas.openxmlformats.org/officeDocument/2006/relationships/hyperlink" Target="https://www.sec.gov/Archives/edgar/data/19617/000001961723000231/jpm-20221231.htm" TargetMode="External"/><Relationship Id="rId30" Type="http://schemas.openxmlformats.org/officeDocument/2006/relationships/hyperlink" Target="https://www.sec.gov/Archives/edgar/data/19617/000001961723000231/0000019617-23-000231-index.htm" TargetMode="External"/><Relationship Id="rId11" Type="http://schemas.openxmlformats.org/officeDocument/2006/relationships/hyperlink" Target="https://www.sec.gov/Archives/edgar/data/19617/000001961723000231/jpm-20221231.htm" TargetMode="External"/><Relationship Id="rId33" Type="http://schemas.openxmlformats.org/officeDocument/2006/relationships/hyperlink" Target="https://www.sec.gov/Archives/edgar/data/19617/000001961722000272/jpm-20211231.htm" TargetMode="External"/><Relationship Id="rId10" Type="http://schemas.openxmlformats.org/officeDocument/2006/relationships/hyperlink" Target="https://www.sec.gov/Archives/edgar/data/19617/000001961723000231/0000019617-23-000231-index.htm" TargetMode="External"/><Relationship Id="rId32" Type="http://schemas.openxmlformats.org/officeDocument/2006/relationships/hyperlink" Target="https://www.sec.gov/Archives/edgar/data/19617/000001961722000272/0000019617-22-000272-index.htm" TargetMode="External"/><Relationship Id="rId13" Type="http://schemas.openxmlformats.org/officeDocument/2006/relationships/hyperlink" Target="https://www.sec.gov/Archives/edgar/data/19617/000001961722000272/jpm-20211231.htm" TargetMode="External"/><Relationship Id="rId35" Type="http://schemas.openxmlformats.org/officeDocument/2006/relationships/hyperlink" Target="https://www.sec.gov/Archives/edgar/data/19617/000001961721000236/jpm-20201231.htm" TargetMode="External"/><Relationship Id="rId12" Type="http://schemas.openxmlformats.org/officeDocument/2006/relationships/hyperlink" Target="https://www.sec.gov/Archives/edgar/data/19617/000001961722000272/0000019617-22-000272-index.htm" TargetMode="External"/><Relationship Id="rId34" Type="http://schemas.openxmlformats.org/officeDocument/2006/relationships/hyperlink" Target="https://www.sec.gov/Archives/edgar/data/19617/000001961721000236/0000019617-21-000236-index.htm" TargetMode="External"/><Relationship Id="rId15" Type="http://schemas.openxmlformats.org/officeDocument/2006/relationships/hyperlink" Target="https://www.sec.gov/Archives/edgar/data/19617/000001961721000236/jpm-20201231.htm" TargetMode="External"/><Relationship Id="rId37" Type="http://schemas.openxmlformats.org/officeDocument/2006/relationships/hyperlink" Target="https://www.sec.gov/Archives/edgar/data/19617/000001961720000257/corp10k2019.htm" TargetMode="External"/><Relationship Id="rId14" Type="http://schemas.openxmlformats.org/officeDocument/2006/relationships/hyperlink" Target="https://www.sec.gov/Archives/edgar/data/19617/000001961721000236/0000019617-21-000236-index.htm" TargetMode="External"/><Relationship Id="rId36" Type="http://schemas.openxmlformats.org/officeDocument/2006/relationships/hyperlink" Target="https://www.sec.gov/Archives/edgar/data/19617/000001961720000257/0000019617-20-000257-index.html" TargetMode="External"/><Relationship Id="rId17" Type="http://schemas.openxmlformats.org/officeDocument/2006/relationships/hyperlink" Target="https://www.sec.gov/Archives/edgar/data/19617/000001961720000257/corp10k2019.htm" TargetMode="External"/><Relationship Id="rId16" Type="http://schemas.openxmlformats.org/officeDocument/2006/relationships/hyperlink" Target="https://www.sec.gov/Archives/edgar/data/19617/000001961720000257/0000019617-20-000257-index.html" TargetMode="External"/><Relationship Id="rId38" Type="http://schemas.openxmlformats.org/officeDocument/2006/relationships/drawing" Target="../drawings/drawing24.xml"/><Relationship Id="rId19" Type="http://schemas.openxmlformats.org/officeDocument/2006/relationships/hyperlink" Target="https://www.sec.gov/Archives/edgar/data/19617/000001961724000225/jpm-20231231.htm" TargetMode="External"/><Relationship Id="rId18" Type="http://schemas.openxmlformats.org/officeDocument/2006/relationships/hyperlink" Target="https://www.sec.gov/Archives/edgar/data/19617/000001961724000225/0000019617-24-000225-index.htm" TargetMode="External"/></Relationships>
</file>

<file path=xl/worksheets/_rels/sheet25.xml.rels><?xml version="1.0" encoding="UTF-8" standalone="yes"?><Relationships xmlns="http://schemas.openxmlformats.org/package/2006/relationships"><Relationship Id="rId20" Type="http://schemas.openxmlformats.org/officeDocument/2006/relationships/hyperlink" Target="https://www.sec.gov/Archives/edgar/data/21344/000002134423000011/0000021344-23-000011-index.htm" TargetMode="External"/><Relationship Id="rId22" Type="http://schemas.openxmlformats.org/officeDocument/2006/relationships/hyperlink" Target="https://www.sec.gov/Archives/edgar/data/21344/000002134422000009/0000021344-22-000009-index.htm" TargetMode="External"/><Relationship Id="rId21" Type="http://schemas.openxmlformats.org/officeDocument/2006/relationships/hyperlink" Target="https://www.sec.gov/Archives/edgar/data/21344/000002134423000011/ko-20221231.htm" TargetMode="External"/><Relationship Id="rId24" Type="http://schemas.openxmlformats.org/officeDocument/2006/relationships/hyperlink" Target="https://www.sec.gov/Archives/edgar/data/21344/000002134421000008/0000021344-21-000008-index.htm" TargetMode="External"/><Relationship Id="rId23" Type="http://schemas.openxmlformats.org/officeDocument/2006/relationships/hyperlink" Target="https://www.sec.gov/Archives/edgar/data/21344/000002134422000009/ko-20211231.htm" TargetMode="External"/><Relationship Id="rId1" Type="http://schemas.openxmlformats.org/officeDocument/2006/relationships/hyperlink" Target="https://seekingalpha.com/" TargetMode="External"/><Relationship Id="rId2" Type="http://schemas.openxmlformats.org/officeDocument/2006/relationships/hyperlink" Target="https://fred.stlouisfed.org/series/AAA" TargetMode="External"/><Relationship Id="rId3" Type="http://schemas.openxmlformats.org/officeDocument/2006/relationships/hyperlink" Target="https://seekingalpha.com/" TargetMode="External"/><Relationship Id="rId4" Type="http://schemas.openxmlformats.org/officeDocument/2006/relationships/hyperlink" Target="https://digital.fidelity.com/prgw/digital/research/src" TargetMode="External"/><Relationship Id="rId9" Type="http://schemas.openxmlformats.org/officeDocument/2006/relationships/hyperlink" Target="https://www.sec.gov/Archives/edgar/data/21344/000002134424000009/ko-20231231.htm" TargetMode="External"/><Relationship Id="rId26" Type="http://schemas.openxmlformats.org/officeDocument/2006/relationships/hyperlink" Target="https://www.sec.gov/Archives/edgar/data/21344/000002134420000006/0000021344-20-000006-index.htm" TargetMode="External"/><Relationship Id="rId25" Type="http://schemas.openxmlformats.org/officeDocument/2006/relationships/hyperlink" Target="https://www.sec.gov/Archives/edgar/data/21344/000002134421000008/ko-20201231.htm" TargetMode="External"/><Relationship Id="rId28" Type="http://schemas.openxmlformats.org/officeDocument/2006/relationships/hyperlink" Target="https://www.sec.gov/Archives/edgar/data/21344/000002134424000009/0000021344-24-000009-index.htm" TargetMode="External"/><Relationship Id="rId27" Type="http://schemas.openxmlformats.org/officeDocument/2006/relationships/hyperlink" Target="https://www.sec.gov/Archives/edgar/data/21344/000002134420000006/a2019123110-k.htm" TargetMode="External"/><Relationship Id="rId5" Type="http://schemas.openxmlformats.org/officeDocument/2006/relationships/hyperlink" Target="https://site.financialmodelingprep.com/developer/docs/dashboard" TargetMode="External"/><Relationship Id="rId6" Type="http://schemas.openxmlformats.org/officeDocument/2006/relationships/hyperlink" Target="https://www.coca-colacompany.com" TargetMode="External"/><Relationship Id="rId29" Type="http://schemas.openxmlformats.org/officeDocument/2006/relationships/hyperlink" Target="https://www.sec.gov/Archives/edgar/data/21344/000002134424000009/ko-20231231.htm" TargetMode="External"/><Relationship Id="rId7" Type="http://schemas.openxmlformats.org/officeDocument/2006/relationships/hyperlink" Target="https://images.financialmodelingprep.com/symbol/KO.png" TargetMode="External"/><Relationship Id="rId8" Type="http://schemas.openxmlformats.org/officeDocument/2006/relationships/hyperlink" Target="https://www.sec.gov/Archives/edgar/data/21344/000002134424000009/0000021344-24-000009-index.htm" TargetMode="External"/><Relationship Id="rId31" Type="http://schemas.openxmlformats.org/officeDocument/2006/relationships/hyperlink" Target="https://www.sec.gov/Archives/edgar/data/21344/000002134423000011/ko-20221231.htm" TargetMode="External"/><Relationship Id="rId30" Type="http://schemas.openxmlformats.org/officeDocument/2006/relationships/hyperlink" Target="https://www.sec.gov/Archives/edgar/data/21344/000002134423000011/0000021344-23-000011-index.htm" TargetMode="External"/><Relationship Id="rId11" Type="http://schemas.openxmlformats.org/officeDocument/2006/relationships/hyperlink" Target="https://www.sec.gov/Archives/edgar/data/21344/000002134423000011/ko-20221231.htm" TargetMode="External"/><Relationship Id="rId33" Type="http://schemas.openxmlformats.org/officeDocument/2006/relationships/hyperlink" Target="https://www.sec.gov/Archives/edgar/data/21344/000002134422000009/ko-20211231.htm" TargetMode="External"/><Relationship Id="rId10" Type="http://schemas.openxmlformats.org/officeDocument/2006/relationships/hyperlink" Target="https://www.sec.gov/Archives/edgar/data/21344/000002134423000011/0000021344-23-000011-index.htm" TargetMode="External"/><Relationship Id="rId32" Type="http://schemas.openxmlformats.org/officeDocument/2006/relationships/hyperlink" Target="https://www.sec.gov/Archives/edgar/data/21344/000002134422000009/0000021344-22-000009-index.htm" TargetMode="External"/><Relationship Id="rId13" Type="http://schemas.openxmlformats.org/officeDocument/2006/relationships/hyperlink" Target="https://www.sec.gov/Archives/edgar/data/21344/000002134422000009/ko-20211231.htm" TargetMode="External"/><Relationship Id="rId35" Type="http://schemas.openxmlformats.org/officeDocument/2006/relationships/hyperlink" Target="https://www.sec.gov/Archives/edgar/data/21344/000002134421000008/ko-20201231.htm" TargetMode="External"/><Relationship Id="rId12" Type="http://schemas.openxmlformats.org/officeDocument/2006/relationships/hyperlink" Target="https://www.sec.gov/Archives/edgar/data/21344/000002134422000009/0000021344-22-000009-index.htm" TargetMode="External"/><Relationship Id="rId34" Type="http://schemas.openxmlformats.org/officeDocument/2006/relationships/hyperlink" Target="https://www.sec.gov/Archives/edgar/data/21344/000002134421000008/0000021344-21-000008-index.htm" TargetMode="External"/><Relationship Id="rId15" Type="http://schemas.openxmlformats.org/officeDocument/2006/relationships/hyperlink" Target="https://www.sec.gov/Archives/edgar/data/21344/000002134421000008/ko-20201231.htm" TargetMode="External"/><Relationship Id="rId37" Type="http://schemas.openxmlformats.org/officeDocument/2006/relationships/hyperlink" Target="https://www.sec.gov/Archives/edgar/data/21344/000002134420000006/a2019123110-k.htm" TargetMode="External"/><Relationship Id="rId14" Type="http://schemas.openxmlformats.org/officeDocument/2006/relationships/hyperlink" Target="https://www.sec.gov/Archives/edgar/data/21344/000002134421000008/0000021344-21-000008-index.htm" TargetMode="External"/><Relationship Id="rId36" Type="http://schemas.openxmlformats.org/officeDocument/2006/relationships/hyperlink" Target="https://www.sec.gov/Archives/edgar/data/21344/000002134420000006/0000021344-20-000006-index.htm" TargetMode="External"/><Relationship Id="rId17" Type="http://schemas.openxmlformats.org/officeDocument/2006/relationships/hyperlink" Target="https://www.sec.gov/Archives/edgar/data/21344/000002134420000006/a2019123110-k.htm" TargetMode="External"/><Relationship Id="rId16" Type="http://schemas.openxmlformats.org/officeDocument/2006/relationships/hyperlink" Target="https://www.sec.gov/Archives/edgar/data/21344/000002134420000006/0000021344-20-000006-index.htm" TargetMode="External"/><Relationship Id="rId38" Type="http://schemas.openxmlformats.org/officeDocument/2006/relationships/drawing" Target="../drawings/drawing25.xml"/><Relationship Id="rId19" Type="http://schemas.openxmlformats.org/officeDocument/2006/relationships/hyperlink" Target="https://www.sec.gov/Archives/edgar/data/21344/000002134424000009/ko-20231231.htm" TargetMode="External"/><Relationship Id="rId18" Type="http://schemas.openxmlformats.org/officeDocument/2006/relationships/hyperlink" Target="https://www.sec.gov/Archives/edgar/data/21344/000002134424000009/0000021344-24-000009-index.htm" TargetMode="External"/></Relationships>
</file>

<file path=xl/worksheets/_rels/sheet26.xml.rels><?xml version="1.0" encoding="UTF-8" standalone="yes"?><Relationships xmlns="http://schemas.openxmlformats.org/package/2006/relationships"><Relationship Id="rId20" Type="http://schemas.openxmlformats.org/officeDocument/2006/relationships/hyperlink" Target="https://www.sec.gov/Archives/edgar/data/726728/000072672823000044/0000726728-23-000044-index.htm" TargetMode="External"/><Relationship Id="rId22" Type="http://schemas.openxmlformats.org/officeDocument/2006/relationships/hyperlink" Target="https://www.sec.gov/Archives/edgar/data/726728/000072672822000046/0000726728-22-000046-index.htm" TargetMode="External"/><Relationship Id="rId21" Type="http://schemas.openxmlformats.org/officeDocument/2006/relationships/hyperlink" Target="https://www.sec.gov/Archives/edgar/data/726728/000072672823000044/o-20221231.htm" TargetMode="External"/><Relationship Id="rId24" Type="http://schemas.openxmlformats.org/officeDocument/2006/relationships/hyperlink" Target="https://www.sec.gov/Archives/edgar/data/726728/000072672821000043/0000726728-21-000043-index.htm" TargetMode="External"/><Relationship Id="rId23" Type="http://schemas.openxmlformats.org/officeDocument/2006/relationships/hyperlink" Target="https://www.sec.gov/Archives/edgar/data/726728/000072672822000046/o-20211231.htm" TargetMode="External"/><Relationship Id="rId1" Type="http://schemas.openxmlformats.org/officeDocument/2006/relationships/hyperlink" Target="https://seekingalpha.com/" TargetMode="External"/><Relationship Id="rId2" Type="http://schemas.openxmlformats.org/officeDocument/2006/relationships/hyperlink" Target="https://fred.stlouisfed.org/series/AAA" TargetMode="External"/><Relationship Id="rId3" Type="http://schemas.openxmlformats.org/officeDocument/2006/relationships/hyperlink" Target="https://seekingalpha.com/" TargetMode="External"/><Relationship Id="rId4" Type="http://schemas.openxmlformats.org/officeDocument/2006/relationships/hyperlink" Target="https://digital.fidelity.com/prgw/digital/research/src" TargetMode="External"/><Relationship Id="rId9" Type="http://schemas.openxmlformats.org/officeDocument/2006/relationships/hyperlink" Target="https://www.sec.gov/Archives/edgar/data/726728/000072672824000047/o-20231231.htm" TargetMode="External"/><Relationship Id="rId26" Type="http://schemas.openxmlformats.org/officeDocument/2006/relationships/hyperlink" Target="https://www.sec.gov/Archives/edgar/data/726728/000072672820000033/0000726728-20-000033-index.htm" TargetMode="External"/><Relationship Id="rId25" Type="http://schemas.openxmlformats.org/officeDocument/2006/relationships/hyperlink" Target="https://www.sec.gov/Archives/edgar/data/726728/000072672821000043/o-20201231.htm" TargetMode="External"/><Relationship Id="rId28" Type="http://schemas.openxmlformats.org/officeDocument/2006/relationships/hyperlink" Target="https://www.sec.gov/Archives/edgar/data/726728/000072672824000047/0000726728-24-000047-index.htm" TargetMode="External"/><Relationship Id="rId27" Type="http://schemas.openxmlformats.org/officeDocument/2006/relationships/hyperlink" Target="https://www.sec.gov/Archives/edgar/data/726728/000072672820000033/realtyincome10k2019.htm" TargetMode="External"/><Relationship Id="rId5" Type="http://schemas.openxmlformats.org/officeDocument/2006/relationships/hyperlink" Target="https://site.financialmodelingprep.com/developer/docs/dashboard" TargetMode="External"/><Relationship Id="rId6" Type="http://schemas.openxmlformats.org/officeDocument/2006/relationships/hyperlink" Target="https://www.realtyincome.com" TargetMode="External"/><Relationship Id="rId29" Type="http://schemas.openxmlformats.org/officeDocument/2006/relationships/hyperlink" Target="https://www.sec.gov/Archives/edgar/data/726728/000072672824000047/o-20231231.htm" TargetMode="External"/><Relationship Id="rId7" Type="http://schemas.openxmlformats.org/officeDocument/2006/relationships/hyperlink" Target="https://images.financialmodelingprep.com/symbol/O.png" TargetMode="External"/><Relationship Id="rId8" Type="http://schemas.openxmlformats.org/officeDocument/2006/relationships/hyperlink" Target="https://www.sec.gov/Archives/edgar/data/726728/000072672824000047/0000726728-24-000047-index.htm" TargetMode="External"/><Relationship Id="rId31" Type="http://schemas.openxmlformats.org/officeDocument/2006/relationships/hyperlink" Target="https://www.sec.gov/Archives/edgar/data/726728/000072672823000044/o-20221231.htm" TargetMode="External"/><Relationship Id="rId30" Type="http://schemas.openxmlformats.org/officeDocument/2006/relationships/hyperlink" Target="https://www.sec.gov/Archives/edgar/data/726728/000072672823000044/0000726728-23-000044-index.htm" TargetMode="External"/><Relationship Id="rId11" Type="http://schemas.openxmlformats.org/officeDocument/2006/relationships/hyperlink" Target="https://www.sec.gov/Archives/edgar/data/726728/000072672823000044/o-20221231.htm" TargetMode="External"/><Relationship Id="rId33" Type="http://schemas.openxmlformats.org/officeDocument/2006/relationships/hyperlink" Target="https://www.sec.gov/Archives/edgar/data/726728/000072672822000046/o-20211231.htm" TargetMode="External"/><Relationship Id="rId10" Type="http://schemas.openxmlformats.org/officeDocument/2006/relationships/hyperlink" Target="https://www.sec.gov/Archives/edgar/data/726728/000072672823000044/0000726728-23-000044-index.htm" TargetMode="External"/><Relationship Id="rId32" Type="http://schemas.openxmlformats.org/officeDocument/2006/relationships/hyperlink" Target="https://www.sec.gov/Archives/edgar/data/726728/000072672822000046/0000726728-22-000046-index.htm" TargetMode="External"/><Relationship Id="rId13" Type="http://schemas.openxmlformats.org/officeDocument/2006/relationships/hyperlink" Target="https://www.sec.gov/Archives/edgar/data/726728/000072672822000046/o-20211231.htm" TargetMode="External"/><Relationship Id="rId35" Type="http://schemas.openxmlformats.org/officeDocument/2006/relationships/hyperlink" Target="https://www.sec.gov/Archives/edgar/data/726728/000072672821000043/o-20201231.htm" TargetMode="External"/><Relationship Id="rId12" Type="http://schemas.openxmlformats.org/officeDocument/2006/relationships/hyperlink" Target="https://www.sec.gov/Archives/edgar/data/726728/000072672822000046/0000726728-22-000046-index.htm" TargetMode="External"/><Relationship Id="rId34" Type="http://schemas.openxmlformats.org/officeDocument/2006/relationships/hyperlink" Target="https://www.sec.gov/Archives/edgar/data/726728/000072672821000043/0000726728-21-000043-index.htm" TargetMode="External"/><Relationship Id="rId15" Type="http://schemas.openxmlformats.org/officeDocument/2006/relationships/hyperlink" Target="https://www.sec.gov/Archives/edgar/data/726728/000072672821000043/o-20201231.htm" TargetMode="External"/><Relationship Id="rId37" Type="http://schemas.openxmlformats.org/officeDocument/2006/relationships/hyperlink" Target="https://www.sec.gov/Archives/edgar/data/726728/000072672820000033/realtyincome10k2019.htm" TargetMode="External"/><Relationship Id="rId14" Type="http://schemas.openxmlformats.org/officeDocument/2006/relationships/hyperlink" Target="https://www.sec.gov/Archives/edgar/data/726728/000072672821000043/0000726728-21-000043-index.htm" TargetMode="External"/><Relationship Id="rId36" Type="http://schemas.openxmlformats.org/officeDocument/2006/relationships/hyperlink" Target="https://www.sec.gov/Archives/edgar/data/726728/000072672820000033/0000726728-20-000033-index.htm" TargetMode="External"/><Relationship Id="rId17" Type="http://schemas.openxmlformats.org/officeDocument/2006/relationships/hyperlink" Target="https://www.sec.gov/Archives/edgar/data/726728/000072672820000033/realtyincome10k2019.htm" TargetMode="External"/><Relationship Id="rId16" Type="http://schemas.openxmlformats.org/officeDocument/2006/relationships/hyperlink" Target="https://www.sec.gov/Archives/edgar/data/726728/000072672820000033/0000726728-20-000033-index.htm" TargetMode="External"/><Relationship Id="rId38" Type="http://schemas.openxmlformats.org/officeDocument/2006/relationships/drawing" Target="../drawings/drawing26.xml"/><Relationship Id="rId19" Type="http://schemas.openxmlformats.org/officeDocument/2006/relationships/hyperlink" Target="https://www.sec.gov/Archives/edgar/data/726728/000072672824000047/o-20231231.htm" TargetMode="External"/><Relationship Id="rId18" Type="http://schemas.openxmlformats.org/officeDocument/2006/relationships/hyperlink" Target="https://www.sec.gov/Archives/edgar/data/726728/000072672824000047/0000726728-24-000047-index.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5.75"/>
    <col customWidth="1" min="2" max="2" width="6.13"/>
    <col customWidth="1" min="3" max="3" width="20.25"/>
    <col customWidth="1" min="4" max="4" width="0.38"/>
    <col customWidth="1" min="5" max="5" width="24.25"/>
    <col customWidth="1" min="6" max="6" width="8.13"/>
    <col customWidth="1" min="7" max="7" width="16.38"/>
    <col customWidth="1" min="8" max="8" width="11.63"/>
    <col customWidth="1" min="9" max="9" width="12.25"/>
    <col customWidth="1" min="10" max="10" width="7.88"/>
    <col customWidth="1" min="11" max="11" width="15.63"/>
    <col customWidth="1" min="12" max="12" width="4.63"/>
    <col customWidth="1" min="13" max="13" width="16.0"/>
    <col customWidth="1" min="14" max="14" width="3.25"/>
    <col customWidth="1" min="15" max="15" width="18.88"/>
    <col customWidth="1" min="16" max="16" width="1.38"/>
    <col customWidth="1" min="17" max="17" width="20.63"/>
    <col customWidth="1" min="18" max="22" width="10.63"/>
    <col customWidth="1" min="23" max="23" width="9.88"/>
    <col customWidth="1" min="24" max="24" width="13.13"/>
    <col customWidth="1" min="25" max="25" width="10.63"/>
    <col customWidth="1" min="26" max="26" width="12.88"/>
  </cols>
  <sheetData>
    <row r="1" ht="48.0" customHeight="1">
      <c r="A1" s="1" t="s">
        <v>0</v>
      </c>
      <c r="B1" s="2" t="s">
        <v>1</v>
      </c>
      <c r="V1" s="3"/>
    </row>
    <row r="2" ht="39.0" customHeight="1">
      <c r="B2" s="4" t="s">
        <v>2</v>
      </c>
      <c r="C2" s="5"/>
      <c r="D2" s="5"/>
      <c r="E2" s="6"/>
      <c r="F2" s="7" t="s">
        <v>3</v>
      </c>
      <c r="G2" s="5"/>
      <c r="H2" s="5"/>
      <c r="I2" s="6"/>
      <c r="J2" s="8" t="s">
        <v>4</v>
      </c>
      <c r="K2" s="5"/>
      <c r="L2" s="5"/>
      <c r="M2" s="6"/>
      <c r="N2" s="9" t="s">
        <v>5</v>
      </c>
      <c r="O2" s="5"/>
      <c r="P2" s="5"/>
      <c r="Q2" s="6"/>
      <c r="S2" s="10" t="s">
        <v>6</v>
      </c>
      <c r="T2" s="5"/>
      <c r="U2" s="6"/>
      <c r="V2" s="11"/>
      <c r="W2" s="12" t="s">
        <v>7</v>
      </c>
      <c r="X2" s="13"/>
      <c r="Y2" s="13"/>
      <c r="Z2" s="14"/>
    </row>
    <row r="3" ht="33.0" customHeight="1">
      <c r="B3" s="15" t="s">
        <v>8</v>
      </c>
      <c r="D3" s="16" t="s">
        <v>9</v>
      </c>
      <c r="E3" s="17"/>
      <c r="F3" s="18" t="s">
        <v>10</v>
      </c>
      <c r="H3" s="18" t="s">
        <v>11</v>
      </c>
      <c r="I3" s="17"/>
      <c r="J3" s="19" t="s">
        <v>12</v>
      </c>
      <c r="L3" s="19" t="s">
        <v>13</v>
      </c>
      <c r="M3" s="17"/>
      <c r="N3" s="20" t="s">
        <v>14</v>
      </c>
      <c r="P3" s="20" t="s">
        <v>15</v>
      </c>
      <c r="Q3" s="17"/>
      <c r="S3" s="21">
        <f>Positions!A32</f>
        <v>17</v>
      </c>
      <c r="U3" s="17"/>
      <c r="V3" s="11"/>
      <c r="W3" s="22" t="s">
        <v>16</v>
      </c>
      <c r="X3" s="13"/>
      <c r="Y3" s="13"/>
      <c r="Z3" s="14"/>
    </row>
    <row r="4" ht="50.25" customHeight="1">
      <c r="B4" s="23">
        <f>Positions!AA32</f>
        <v>34841.69087</v>
      </c>
      <c r="D4" s="24">
        <f>Positions!AB32</f>
        <v>40306.35125</v>
      </c>
      <c r="E4" s="17"/>
      <c r="F4" s="25">
        <f>Positions!O32</f>
        <v>5464.66038</v>
      </c>
      <c r="H4" s="26">
        <f>Positions!Q32</f>
        <v>0.2032876315</v>
      </c>
      <c r="I4" s="17"/>
      <c r="J4" s="27">
        <f>Positions!X32</f>
        <v>0.02189833569</v>
      </c>
      <c r="L4" s="27">
        <f>Positions!Y32</f>
        <v>0.02533292696</v>
      </c>
      <c r="M4" s="17"/>
      <c r="N4" s="28">
        <f>Positions!AC32</f>
        <v>882.64201</v>
      </c>
      <c r="P4" s="28">
        <f>(N4/12)</f>
        <v>73.55350083</v>
      </c>
      <c r="Q4" s="17"/>
      <c r="S4" s="29"/>
      <c r="T4" s="30"/>
      <c r="U4" s="31"/>
      <c r="V4" s="11"/>
      <c r="W4" s="32" t="s">
        <v>17</v>
      </c>
      <c r="Z4" s="17"/>
    </row>
    <row r="5" ht="33.0" customHeight="1">
      <c r="B5" s="15" t="s">
        <v>18</v>
      </c>
      <c r="D5" s="16" t="s">
        <v>19</v>
      </c>
      <c r="E5" s="17"/>
      <c r="F5" s="18" t="s">
        <v>20</v>
      </c>
      <c r="H5" s="18" t="s">
        <v>21</v>
      </c>
      <c r="I5" s="17"/>
      <c r="J5" s="19" t="s">
        <v>22</v>
      </c>
      <c r="L5" s="33" t="s">
        <v>23</v>
      </c>
      <c r="M5" s="17"/>
      <c r="N5" s="20" t="s">
        <v>24</v>
      </c>
      <c r="P5" s="20" t="s">
        <v>25</v>
      </c>
      <c r="Q5" s="17"/>
      <c r="W5" s="34"/>
      <c r="Z5" s="17"/>
    </row>
    <row r="6" ht="45.75" customHeight="1">
      <c r="B6" s="35">
        <f>Positions!K32</f>
        <v>-149.30738</v>
      </c>
      <c r="C6" s="30"/>
      <c r="D6" s="36">
        <f>Positions!J32</f>
        <v>-0.003718086931</v>
      </c>
      <c r="E6" s="31"/>
      <c r="F6" s="37">
        <f>Positions!P32</f>
        <v>6471.65038</v>
      </c>
      <c r="G6" s="30"/>
      <c r="H6" s="38">
        <f>Positions!R32</f>
        <v>0.2407480769</v>
      </c>
      <c r="I6" s="31"/>
      <c r="J6" s="39">
        <f>Positions!Z32</f>
        <v>0.04559989485</v>
      </c>
      <c r="K6" s="30"/>
      <c r="L6" s="40">
        <f>Positions!AE32</f>
        <v>1006.99</v>
      </c>
      <c r="M6" s="31"/>
      <c r="N6" s="41">
        <f>(N4/52)</f>
        <v>16.97388481</v>
      </c>
      <c r="O6" s="30"/>
      <c r="P6" s="41">
        <f>(N4/365)</f>
        <v>2.418197288</v>
      </c>
      <c r="Q6" s="31"/>
      <c r="W6" s="42" t="s">
        <v>26</v>
      </c>
      <c r="Z6" s="17"/>
    </row>
    <row r="7">
      <c r="B7" s="4" t="s">
        <v>27</v>
      </c>
      <c r="C7" s="5"/>
      <c r="D7" s="5"/>
      <c r="E7" s="6"/>
      <c r="F7" s="7" t="s">
        <v>28</v>
      </c>
      <c r="G7" s="5"/>
      <c r="H7" s="5"/>
      <c r="I7" s="6"/>
      <c r="J7" s="8" t="s">
        <v>29</v>
      </c>
      <c r="K7" s="5"/>
      <c r="L7" s="5"/>
      <c r="M7" s="6"/>
      <c r="N7" s="9" t="s">
        <v>30</v>
      </c>
      <c r="O7" s="5"/>
      <c r="P7" s="5"/>
      <c r="Q7" s="6"/>
      <c r="W7" s="43" t="s">
        <v>31</v>
      </c>
      <c r="Z7" s="17"/>
    </row>
    <row r="8" ht="20.25" customHeight="1">
      <c r="B8" s="44" t="s">
        <v>32</v>
      </c>
      <c r="E8" s="17"/>
      <c r="F8" s="45" t="s">
        <v>10</v>
      </c>
      <c r="I8" s="17"/>
      <c r="J8" s="46" t="s">
        <v>33</v>
      </c>
      <c r="L8" s="33" t="s">
        <v>34</v>
      </c>
      <c r="M8" s="17"/>
      <c r="N8" s="20" t="s">
        <v>14</v>
      </c>
      <c r="P8" s="20" t="s">
        <v>15</v>
      </c>
      <c r="Q8" s="17"/>
      <c r="W8" s="34"/>
      <c r="Z8" s="17"/>
    </row>
    <row r="9" ht="34.5" customHeight="1">
      <c r="B9" s="23">
        <f>Positions!C34</f>
        <v>7960.27</v>
      </c>
      <c r="E9" s="17"/>
      <c r="F9" s="47">
        <f>'Sold Positions'!I16</f>
        <v>-95.078</v>
      </c>
      <c r="I9" s="17"/>
      <c r="J9" s="48">
        <f>'Dividend Log'!AG4</f>
        <v>9.0456</v>
      </c>
      <c r="L9" s="49">
        <f>'Sold Positions'!M16</f>
        <v>0</v>
      </c>
      <c r="M9" s="17"/>
      <c r="N9" s="50">
        <f>'Dividend Log'!N1</f>
        <v>886.2</v>
      </c>
      <c r="P9" s="28">
        <f>(N9/12)</f>
        <v>73.85</v>
      </c>
      <c r="Q9" s="17"/>
      <c r="W9" s="34"/>
      <c r="Z9" s="17"/>
    </row>
    <row r="10">
      <c r="B10" s="44" t="s">
        <v>35</v>
      </c>
      <c r="E10" s="17"/>
      <c r="F10" s="45" t="s">
        <v>20</v>
      </c>
      <c r="I10" s="17"/>
      <c r="J10" s="46" t="s">
        <v>36</v>
      </c>
      <c r="M10" s="17"/>
      <c r="N10" s="20" t="s">
        <v>24</v>
      </c>
      <c r="P10" s="20" t="s">
        <v>25</v>
      </c>
      <c r="Q10" s="17"/>
      <c r="W10" s="34"/>
      <c r="Z10" s="17"/>
    </row>
    <row r="11" ht="36.0" customHeight="1">
      <c r="B11" s="51">
        <f>Positions!C35</f>
        <v>0.1974941852</v>
      </c>
      <c r="C11" s="30"/>
      <c r="D11" s="30"/>
      <c r="E11" s="31"/>
      <c r="F11" s="52">
        <f>'Sold Positions'!J16</f>
        <v>-88.378</v>
      </c>
      <c r="G11" s="30"/>
      <c r="H11" s="30"/>
      <c r="I11" s="31"/>
      <c r="J11" s="53">
        <f>J9+L9</f>
        <v>9.0456</v>
      </c>
      <c r="K11" s="30"/>
      <c r="L11" s="30"/>
      <c r="M11" s="31"/>
      <c r="N11" s="41">
        <f>(N9/52)</f>
        <v>17.04230769</v>
      </c>
      <c r="O11" s="30"/>
      <c r="P11" s="41">
        <f>(N9/365)</f>
        <v>2.427945205</v>
      </c>
      <c r="Q11" s="31"/>
      <c r="W11" s="34"/>
      <c r="Z11" s="17"/>
    </row>
    <row r="12">
      <c r="W12" s="34"/>
      <c r="Z12" s="17"/>
    </row>
    <row r="13">
      <c r="R13" s="54"/>
      <c r="S13" s="54"/>
      <c r="T13" s="54"/>
      <c r="U13" s="54"/>
      <c r="V13" s="54"/>
      <c r="W13" s="34"/>
      <c r="Z13" s="17"/>
    </row>
    <row r="14">
      <c r="W14" s="34"/>
      <c r="Z14" s="17"/>
    </row>
    <row r="15">
      <c r="F15" s="55"/>
      <c r="W15" s="34"/>
      <c r="Z15" s="17"/>
    </row>
    <row r="16">
      <c r="W16" s="34"/>
      <c r="Z16" s="17"/>
    </row>
    <row r="17">
      <c r="W17" s="34"/>
      <c r="Z17" s="17"/>
    </row>
    <row r="18">
      <c r="W18" s="34"/>
      <c r="Z18" s="17"/>
    </row>
    <row r="19">
      <c r="A19" s="56"/>
      <c r="W19" s="34"/>
      <c r="Z19" s="17"/>
    </row>
    <row r="20">
      <c r="W20" s="34"/>
      <c r="Z20" s="17"/>
    </row>
    <row r="21">
      <c r="W21" s="34"/>
      <c r="Z21" s="17"/>
    </row>
    <row r="22">
      <c r="W22" s="34"/>
      <c r="Z22" s="17"/>
    </row>
    <row r="23">
      <c r="W23" s="34"/>
      <c r="Z23" s="17"/>
    </row>
    <row r="24">
      <c r="W24" s="29"/>
      <c r="X24" s="30"/>
      <c r="Y24" s="30"/>
      <c r="Z24" s="31"/>
    </row>
    <row r="25">
      <c r="W25" s="57" t="s">
        <v>37</v>
      </c>
      <c r="X25" s="13"/>
      <c r="Y25" s="13"/>
      <c r="Z25" s="14"/>
    </row>
    <row r="26">
      <c r="W26" s="29"/>
      <c r="X26" s="30"/>
      <c r="Y26" s="30"/>
      <c r="Z26" s="31"/>
    </row>
    <row r="27">
      <c r="W27" s="58" t="s">
        <v>38</v>
      </c>
      <c r="X27" s="14"/>
      <c r="Y27" s="59" t="s">
        <v>39</v>
      </c>
      <c r="Z27" s="14"/>
    </row>
    <row r="28">
      <c r="W28" s="29"/>
      <c r="X28" s="31"/>
      <c r="Y28" s="30"/>
      <c r="Z28" s="31"/>
    </row>
    <row r="29">
      <c r="W29" s="60" t="str">
        <f>Watchlist!A2</f>
        <v>AAPL</v>
      </c>
      <c r="X29" s="61" t="str">
        <f>Watchlist!W2</f>
        <v>Overrated</v>
      </c>
      <c r="Y29" s="60" t="str">
        <f>Positions!A2</f>
        <v>GOOGL</v>
      </c>
      <c r="Z29" s="62" t="str">
        <f>Positions!AJ2</f>
        <v>Hold</v>
      </c>
    </row>
    <row r="30">
      <c r="W30" s="63" t="str">
        <f>Watchlist!A3</f>
        <v>V</v>
      </c>
      <c r="X30" s="61" t="str">
        <f>Watchlist!W3</f>
        <v>Overrated</v>
      </c>
      <c r="Y30" s="63" t="str">
        <f>Positions!A3</f>
        <v>MSFT</v>
      </c>
      <c r="Z30" s="64" t="str">
        <f>Positions!AJ3</f>
        <v>Avg. Cost</v>
      </c>
    </row>
    <row r="31">
      <c r="W31" s="63" t="str">
        <f>Watchlist!A4</f>
        <v>PEP</v>
      </c>
      <c r="X31" s="61" t="str">
        <f>Watchlist!W4</f>
        <v>Overrated</v>
      </c>
      <c r="Y31" s="63" t="str">
        <f>Positions!A4</f>
        <v>DIS</v>
      </c>
      <c r="Z31" s="64" t="str">
        <f>Positions!AJ4</f>
        <v>Overcost</v>
      </c>
    </row>
    <row r="32">
      <c r="W32" s="63" t="str">
        <f>Watchlist!A5</f>
        <v>MO</v>
      </c>
      <c r="X32" s="61" t="str">
        <f>Watchlist!W5</f>
        <v>Strong Buy</v>
      </c>
      <c r="Y32" s="63" t="str">
        <f>Positions!A5</f>
        <v>TGT</v>
      </c>
      <c r="Z32" s="64" t="str">
        <f>Positions!AJ5</f>
        <v>Avg. Cost</v>
      </c>
    </row>
    <row r="33">
      <c r="W33" s="63" t="str">
        <f>Watchlist!A6</f>
        <v>ABBV</v>
      </c>
      <c r="X33" s="61" t="str">
        <f>Watchlist!W6</f>
        <v>Overrated</v>
      </c>
      <c r="Y33" s="63" t="str">
        <f>Positions!A6</f>
        <v>SBUX</v>
      </c>
      <c r="Z33" s="64" t="str">
        <f>Positions!AJ6</f>
        <v>Hold</v>
      </c>
    </row>
    <row r="34">
      <c r="W34" s="63" t="str">
        <f>Watchlist!A7</f>
        <v>JNJ</v>
      </c>
      <c r="X34" s="61" t="str">
        <f>Watchlist!W7</f>
        <v>Overrated</v>
      </c>
      <c r="Y34" s="63" t="str">
        <f>Positions!A7</f>
        <v>JPM</v>
      </c>
      <c r="Z34" s="64" t="str">
        <f>Positions!AJ7</f>
        <v>Hold</v>
      </c>
    </row>
    <row r="35">
      <c r="W35" s="63" t="str">
        <f>Watchlist!A8</f>
        <v>COST</v>
      </c>
      <c r="X35" s="61" t="str">
        <f>Watchlist!W8</f>
        <v>Overrated</v>
      </c>
      <c r="Y35" s="63" t="str">
        <f>Positions!A8</f>
        <v>KO</v>
      </c>
      <c r="Z35" s="64" t="str">
        <f>Positions!AJ8</f>
        <v>Hold</v>
      </c>
    </row>
    <row r="36">
      <c r="W36" s="63" t="str">
        <f>Watchlist!A9</f>
        <v>TXRH</v>
      </c>
      <c r="X36" s="61" t="str">
        <f>Watchlist!W9</f>
        <v>Overrated</v>
      </c>
      <c r="Y36" s="63" t="str">
        <f>Positions!A9</f>
        <v>O</v>
      </c>
      <c r="Z36" s="64" t="str">
        <f>Positions!AJ9</f>
        <v>Hold</v>
      </c>
    </row>
    <row r="37">
      <c r="W37" s="63" t="str">
        <f>Watchlist!A10</f>
        <v>CMG</v>
      </c>
      <c r="X37" s="65" t="str">
        <f>Watchlist!W10</f>
        <v>Overrated</v>
      </c>
      <c r="Y37" s="63" t="str">
        <f>Positions!A10</f>
        <v>VICI</v>
      </c>
      <c r="Z37" s="64" t="str">
        <f>Positions!AJ10</f>
        <v>Avg. Cost</v>
      </c>
    </row>
    <row r="38">
      <c r="W38" s="63" t="str">
        <f>Watchlist!A11</f>
        <v>STZ</v>
      </c>
      <c r="X38" s="65" t="str">
        <f>Watchlist!W11</f>
        <v>Expensive</v>
      </c>
      <c r="Y38" s="63" t="str">
        <f>Positions!A11</f>
        <v>UNH</v>
      </c>
      <c r="Z38" s="64" t="str">
        <f>Positions!AJ11</f>
        <v>Overcost</v>
      </c>
    </row>
    <row r="39">
      <c r="W39" s="63" t="str">
        <f>Watchlist!A12</f>
        <v>CMCSA</v>
      </c>
      <c r="X39" s="65" t="str">
        <f>Watchlist!W12</f>
        <v>Strong Buy</v>
      </c>
      <c r="Y39" s="63" t="str">
        <f>Positions!A12</f>
        <v>VGT</v>
      </c>
      <c r="Z39" s="64" t="str">
        <f>Positions!AJ12</f>
        <v>Hold</v>
      </c>
    </row>
    <row r="40">
      <c r="W40" s="63" t="str">
        <f>Watchlist!A13</f>
        <v>CVX</v>
      </c>
      <c r="X40" s="65" t="str">
        <f>Watchlist!W13</f>
        <v>Buy</v>
      </c>
      <c r="Y40" s="63" t="str">
        <f>Positions!A13</f>
        <v>VOO</v>
      </c>
      <c r="Z40" s="64" t="str">
        <f>Positions!AJ13</f>
        <v>Hold</v>
      </c>
    </row>
    <row r="41">
      <c r="W41" s="63" t="str">
        <f>Watchlist!A14</f>
        <v>PG</v>
      </c>
      <c r="X41" s="65" t="str">
        <f>Watchlist!W14</f>
        <v>Expensive</v>
      </c>
      <c r="Y41" s="63" t="str">
        <f>Positions!A14</f>
        <v>VTI</v>
      </c>
      <c r="Z41" s="64" t="str">
        <f>Positions!AJ14</f>
        <v>Hold</v>
      </c>
    </row>
    <row r="42">
      <c r="W42" s="63" t="str">
        <f>Watchlist!A15</f>
        <v>HD</v>
      </c>
      <c r="X42" s="65" t="str">
        <f>Watchlist!W15</f>
        <v>Overrated</v>
      </c>
      <c r="Y42" s="63" t="str">
        <f>Positions!A15</f>
        <v>SCHD</v>
      </c>
      <c r="Z42" s="64" t="str">
        <f>Positions!AJ15</f>
        <v>Hold</v>
      </c>
    </row>
    <row r="43">
      <c r="W43" s="63" t="str">
        <f>Watchlist!A16</f>
        <v/>
      </c>
      <c r="X43" s="65" t="str">
        <f>Watchlist!W16</f>
        <v/>
      </c>
      <c r="Y43" s="63" t="str">
        <f>Positions!A16</f>
        <v>VIG</v>
      </c>
      <c r="Z43" s="64" t="str">
        <f>Positions!AJ16</f>
        <v>Hold</v>
      </c>
    </row>
    <row r="44">
      <c r="W44" s="63" t="str">
        <f>Watchlist!A17</f>
        <v/>
      </c>
      <c r="X44" s="65" t="str">
        <f>Watchlist!W17</f>
        <v/>
      </c>
      <c r="Y44" s="63" t="str">
        <f>Positions!A17</f>
        <v>VXUS</v>
      </c>
      <c r="Z44" s="64" t="str">
        <f>Positions!AJ17</f>
        <v>Hold</v>
      </c>
    </row>
    <row r="45">
      <c r="W45" s="63" t="str">
        <f>Watchlist!A18</f>
        <v/>
      </c>
      <c r="X45" s="65" t="str">
        <f>Watchlist!W18</f>
        <v/>
      </c>
      <c r="Y45" s="63" t="str">
        <f>Positions!A18</f>
        <v>BND</v>
      </c>
      <c r="Z45" s="66" t="str">
        <f>Positions!AJ18</f>
        <v>Avg. Cost</v>
      </c>
    </row>
    <row r="46">
      <c r="W46" s="63" t="str">
        <f>Watchlist!A19</f>
        <v/>
      </c>
      <c r="X46" s="65" t="str">
        <f>Watchlist!W19</f>
        <v/>
      </c>
      <c r="Y46" s="63" t="str">
        <f>Positions!A19</f>
        <v/>
      </c>
      <c r="Z46" s="66" t="str">
        <f>Positions!AJ19</f>
        <v/>
      </c>
    </row>
    <row r="47">
      <c r="W47" s="63" t="str">
        <f>Watchlist!A20</f>
        <v/>
      </c>
      <c r="X47" s="65" t="str">
        <f>Watchlist!W20</f>
        <v/>
      </c>
      <c r="Y47" s="63" t="str">
        <f>Positions!A20</f>
        <v/>
      </c>
      <c r="Z47" s="66" t="str">
        <f>Positions!AJ20</f>
        <v/>
      </c>
    </row>
    <row r="48">
      <c r="W48" s="63" t="str">
        <f>Watchlist!A21</f>
        <v/>
      </c>
      <c r="X48" s="65" t="str">
        <f>Watchlist!W21</f>
        <v/>
      </c>
      <c r="Y48" s="63" t="str">
        <f>Positions!A21</f>
        <v/>
      </c>
      <c r="Z48" s="66" t="str">
        <f>Positions!AJ21</f>
        <v/>
      </c>
    </row>
    <row r="49">
      <c r="W49" s="63" t="str">
        <f>Watchlist!A22</f>
        <v/>
      </c>
      <c r="X49" s="65" t="str">
        <f>Watchlist!W22</f>
        <v/>
      </c>
      <c r="Y49" s="63" t="str">
        <f>Positions!A22</f>
        <v/>
      </c>
      <c r="Z49" s="66" t="str">
        <f>Positions!AJ22</f>
        <v/>
      </c>
    </row>
    <row r="50">
      <c r="B50" s="67"/>
      <c r="W50" s="68" t="str">
        <f>Watchlist!A23</f>
        <v/>
      </c>
      <c r="X50" s="69" t="str">
        <f>Watchlist!W23</f>
        <v/>
      </c>
      <c r="Y50" s="70"/>
      <c r="Z50" s="71" t="str">
        <f>Positions!AJ23</f>
        <v/>
      </c>
    </row>
    <row r="52">
      <c r="B52" s="72" t="s">
        <v>40</v>
      </c>
      <c r="C52" s="73"/>
      <c r="D52" s="73"/>
      <c r="E52" s="73"/>
      <c r="F52" s="73"/>
      <c r="G52" s="73"/>
      <c r="H52" s="73"/>
      <c r="I52" s="73"/>
      <c r="J52" s="73"/>
      <c r="K52" s="73"/>
      <c r="L52" s="73"/>
      <c r="M52" s="73"/>
      <c r="N52" s="73"/>
      <c r="O52" s="73"/>
      <c r="P52" s="73"/>
      <c r="Q52" s="74"/>
      <c r="R52" s="75"/>
      <c r="S52" s="76" t="s">
        <v>41</v>
      </c>
      <c r="T52" s="73"/>
      <c r="U52" s="73"/>
      <c r="V52" s="73"/>
      <c r="W52" s="73"/>
      <c r="X52" s="73"/>
      <c r="Y52" s="73"/>
      <c r="Z52" s="74"/>
    </row>
    <row r="53">
      <c r="B53" s="77"/>
      <c r="C53" s="78"/>
      <c r="D53" s="78"/>
      <c r="E53" s="78"/>
      <c r="F53" s="78"/>
      <c r="G53" s="78"/>
      <c r="H53" s="78"/>
      <c r="I53" s="78"/>
      <c r="J53" s="78"/>
      <c r="K53" s="78"/>
      <c r="L53" s="78"/>
      <c r="M53" s="78"/>
      <c r="N53" s="78"/>
      <c r="O53" s="78"/>
      <c r="P53" s="78"/>
      <c r="Q53" s="79"/>
      <c r="R53" s="80"/>
      <c r="S53" s="77"/>
      <c r="T53" s="78"/>
      <c r="U53" s="78"/>
      <c r="V53" s="78"/>
      <c r="W53" s="78"/>
      <c r="X53" s="78"/>
      <c r="Y53" s="78"/>
      <c r="Z53" s="79"/>
    </row>
    <row r="55">
      <c r="S55" s="81" t="s">
        <v>42</v>
      </c>
      <c r="T55" s="5"/>
      <c r="U55" s="5"/>
      <c r="V55" s="6"/>
      <c r="W55" s="82" t="s">
        <v>43</v>
      </c>
      <c r="X55" s="5"/>
      <c r="Y55" s="5"/>
      <c r="Z55" s="6"/>
    </row>
    <row r="56">
      <c r="S56" s="83" t="s">
        <v>39</v>
      </c>
      <c r="T56" s="13"/>
      <c r="U56" s="14"/>
      <c r="V56" s="84">
        <f>'Annual Data'!F3</f>
        <v>0</v>
      </c>
      <c r="W56" s="85" t="s">
        <v>44</v>
      </c>
      <c r="X56" s="17"/>
      <c r="Y56" s="86">
        <f>'Portfolio Projections'!N3</f>
        <v>20</v>
      </c>
      <c r="Z56" s="17"/>
    </row>
    <row r="57">
      <c r="S57" s="29"/>
      <c r="T57" s="30"/>
      <c r="U57" s="31"/>
      <c r="V57" s="87"/>
      <c r="W57" s="29"/>
      <c r="X57" s="31"/>
      <c r="Y57" s="29"/>
      <c r="Z57" s="31"/>
    </row>
    <row r="58">
      <c r="S58" s="88" t="s">
        <v>45</v>
      </c>
      <c r="T58" s="13"/>
      <c r="U58" s="14"/>
      <c r="V58" s="89">
        <f>'Annual Data'!G3</f>
        <v>0.1788</v>
      </c>
      <c r="W58" s="90" t="s">
        <v>46</v>
      </c>
      <c r="X58" s="14"/>
      <c r="Y58" s="91">
        <f>'Portfolio Projections'!L15</f>
        <v>1628754.825</v>
      </c>
      <c r="Z58" s="14"/>
    </row>
    <row r="59">
      <c r="S59" s="29"/>
      <c r="T59" s="30"/>
      <c r="U59" s="31"/>
      <c r="V59" s="87"/>
      <c r="W59" s="29"/>
      <c r="X59" s="31"/>
      <c r="Y59" s="29"/>
      <c r="Z59" s="31"/>
    </row>
    <row r="60">
      <c r="S60" s="92" t="s">
        <v>47</v>
      </c>
      <c r="T60" s="13"/>
      <c r="U60" s="14"/>
      <c r="V60" s="93">
        <f>V56-V58</f>
        <v>-0.1788</v>
      </c>
      <c r="W60" s="92" t="s">
        <v>48</v>
      </c>
      <c r="X60" s="14"/>
      <c r="Y60" s="94">
        <f>'Portfolio Projections'!B6</f>
        <v>1500</v>
      </c>
      <c r="Z60" s="14"/>
    </row>
    <row r="61">
      <c r="S61" s="29"/>
      <c r="T61" s="30"/>
      <c r="U61" s="31"/>
      <c r="V61" s="31"/>
      <c r="W61" s="29"/>
      <c r="X61" s="31"/>
      <c r="Y61" s="29"/>
      <c r="Z61" s="31"/>
    </row>
    <row r="94">
      <c r="U94" s="95"/>
    </row>
    <row r="98">
      <c r="B98" s="96" t="s">
        <v>49</v>
      </c>
      <c r="C98" s="73"/>
      <c r="D98" s="73"/>
      <c r="E98" s="73"/>
      <c r="F98" s="73"/>
      <c r="G98" s="73"/>
      <c r="H98" s="73"/>
      <c r="I98" s="73"/>
      <c r="J98" s="73"/>
      <c r="K98" s="73"/>
      <c r="L98" s="73"/>
      <c r="M98" s="73"/>
      <c r="N98" s="73"/>
      <c r="O98" s="73"/>
      <c r="P98" s="73"/>
      <c r="Q98" s="74"/>
      <c r="S98" s="76" t="s">
        <v>50</v>
      </c>
      <c r="T98" s="73"/>
      <c r="U98" s="73"/>
      <c r="V98" s="73"/>
      <c r="W98" s="73"/>
      <c r="X98" s="73"/>
      <c r="Y98" s="73"/>
      <c r="Z98" s="74"/>
    </row>
    <row r="99">
      <c r="B99" s="77"/>
      <c r="C99" s="78"/>
      <c r="D99" s="78"/>
      <c r="E99" s="78"/>
      <c r="F99" s="78"/>
      <c r="G99" s="78"/>
      <c r="H99" s="78"/>
      <c r="I99" s="78"/>
      <c r="J99" s="78"/>
      <c r="K99" s="78"/>
      <c r="L99" s="78"/>
      <c r="M99" s="78"/>
      <c r="N99" s="78"/>
      <c r="O99" s="78"/>
      <c r="P99" s="78"/>
      <c r="Q99" s="79"/>
      <c r="S99" s="77"/>
      <c r="T99" s="78"/>
      <c r="U99" s="78"/>
      <c r="V99" s="78"/>
      <c r="W99" s="78"/>
      <c r="X99" s="78"/>
      <c r="Y99" s="78"/>
      <c r="Z99" s="79"/>
    </row>
    <row r="100">
      <c r="B100" s="97" t="s">
        <v>51</v>
      </c>
      <c r="C100" s="74"/>
      <c r="D100" s="97" t="s">
        <v>52</v>
      </c>
      <c r="E100" s="74"/>
      <c r="F100" s="97" t="s">
        <v>53</v>
      </c>
      <c r="G100" s="74"/>
      <c r="H100" s="97" t="s">
        <v>54</v>
      </c>
      <c r="I100" s="74"/>
      <c r="J100" s="97" t="s">
        <v>55</v>
      </c>
      <c r="K100" s="74"/>
      <c r="L100" s="97" t="s">
        <v>56</v>
      </c>
      <c r="M100" s="74"/>
      <c r="N100" s="97" t="s">
        <v>57</v>
      </c>
      <c r="O100" s="74"/>
      <c r="P100" s="97" t="s">
        <v>58</v>
      </c>
      <c r="Q100" s="74"/>
      <c r="S100" s="98" t="s">
        <v>59</v>
      </c>
      <c r="T100" s="73"/>
      <c r="U100" s="73"/>
      <c r="V100" s="74"/>
      <c r="W100" s="98" t="s">
        <v>60</v>
      </c>
      <c r="X100" s="73"/>
      <c r="Y100" s="73"/>
      <c r="Z100" s="74"/>
    </row>
    <row r="101">
      <c r="B101" s="77"/>
      <c r="C101" s="79"/>
      <c r="D101" s="77"/>
      <c r="E101" s="79"/>
      <c r="F101" s="77"/>
      <c r="G101" s="79"/>
      <c r="H101" s="77"/>
      <c r="I101" s="79"/>
      <c r="J101" s="77"/>
      <c r="K101" s="79"/>
      <c r="L101" s="77"/>
      <c r="M101" s="79"/>
      <c r="N101" s="77"/>
      <c r="O101" s="79"/>
      <c r="P101" s="77"/>
      <c r="Q101" s="79"/>
      <c r="S101" s="99" t="s">
        <v>61</v>
      </c>
      <c r="T101" s="100" t="str">
        <f t="array" ref="T101">INDEX('Dividend Log'!$B$2:$AF$2, MATCH(LARGE('Dividend Log'!$B$3:$AF$3, 1), 'Dividend Log'!$B$3:$AF$3, 0))</f>
        <v>SCHD</v>
      </c>
      <c r="U101" s="73"/>
      <c r="V101" s="101">
        <f>LARGE('Dividend Log'!$B$3:$AF$3, 1)</f>
        <v>197.34</v>
      </c>
      <c r="W101" s="102" t="s">
        <v>61</v>
      </c>
      <c r="X101" s="103" t="str">
        <f>IFERROR(__xludf.DUMMYFUNCTION("INDEX('Dividend Log'!$B$2:$AF$2, MATCH(SMALL(FILTER('Dividend Log'!$B$3:$AF$3,'Dividend Log'!$B$3:$AF$3&gt;0), 1), 'Dividend Log'!$B$3:$AF$3, 0))"),"GOOGL")</f>
        <v>GOOGL</v>
      </c>
      <c r="Y101" s="73"/>
      <c r="Z101" s="104">
        <f>IFERROR(__xludf.DUMMYFUNCTION("SMALL(FILTER('Dividend Log'!$B$3:$AF$3,'Dividend Log'!$B$3:$AF$3&gt;0), 1)"),5.67)</f>
        <v>5.67</v>
      </c>
    </row>
    <row r="102">
      <c r="B102" s="105" t="str">
        <f>IF($P$6/1&gt;1, "✅ Achieved",  "⏳ In Progress: " &amp; TEXT($P$6/1, "0%"))
</f>
        <v>✅ Achieved</v>
      </c>
      <c r="C102" s="74"/>
      <c r="D102" s="105" t="str">
        <f>IF($P$4/50&gt;1, "✅ Achieved",  "⏳ In Progress: " &amp; TEXT($P$4/50, "0%"))</f>
        <v>✅ Achieved</v>
      </c>
      <c r="E102" s="74"/>
      <c r="F102" s="105" t="str">
        <f>IF($P$4/100&gt;1, "✅ Achieved",  "⏳ In Progress: " &amp; TEXT($P$4/100, "0%"))</f>
        <v>⏳ In Progress: 74%</v>
      </c>
      <c r="G102" s="74"/>
      <c r="H102" s="105" t="str">
        <f>IF($P$6/5&gt;1, "✅ Achieved",  "⏳ In Progress: " &amp; TEXT($P$6/5, "0%"))
</f>
        <v>⏳ In Progress: 48%</v>
      </c>
      <c r="I102" s="74"/>
      <c r="J102" s="105" t="str">
        <f>IF($P$4/200&gt;1, "✅ Achieved",  "⏳ In Progress: " &amp; TEXT($P$4/200, "0%"))</f>
        <v>⏳ In Progress: 37%</v>
      </c>
      <c r="K102" s="74"/>
      <c r="L102" s="105" t="str">
        <f>IF($P$4/500&gt;1, "✅ Achieved",  "⏳ In Progress: " &amp; TEXT($P$4/500, "0%"))</f>
        <v>⏳ In Progress: 15%</v>
      </c>
      <c r="M102" s="74"/>
      <c r="N102" s="105" t="str">
        <f>IF($P$4/1000&gt;1, "✅ Achieved",  "⏳ In Progress: " &amp; TEXT($P$4/1000, "0%"))</f>
        <v>⏳ In Progress: 7%</v>
      </c>
      <c r="O102" s="74"/>
      <c r="P102" s="105" t="str">
        <f>IF($P$4/2000&gt;1, "✅ Achieved",  "⏳ In Progress: " &amp; TEXT($P$4/2000, "0%"))</f>
        <v>⏳ In Progress: 4%</v>
      </c>
      <c r="Q102" s="74"/>
      <c r="S102" s="106"/>
      <c r="T102" s="77"/>
      <c r="U102" s="78"/>
      <c r="V102" s="79"/>
      <c r="W102" s="106"/>
      <c r="X102" s="77"/>
      <c r="Y102" s="78"/>
      <c r="Z102" s="79"/>
    </row>
    <row r="103">
      <c r="B103" s="77"/>
      <c r="C103" s="79"/>
      <c r="D103" s="77"/>
      <c r="E103" s="79"/>
      <c r="F103" s="77"/>
      <c r="G103" s="79"/>
      <c r="H103" s="77"/>
      <c r="I103" s="79"/>
      <c r="J103" s="77"/>
      <c r="K103" s="79"/>
      <c r="L103" s="77"/>
      <c r="M103" s="79"/>
      <c r="N103" s="77"/>
      <c r="O103" s="79"/>
      <c r="P103" s="77"/>
      <c r="Q103" s="79"/>
      <c r="S103" s="99" t="s">
        <v>62</v>
      </c>
      <c r="T103" s="100" t="str">
        <f t="array" ref="T103">INDEX('Dividend Log'!$B$2:$AF$2, MATCH(LARGE('Dividend Log'!$B$3:$AF$3, 2), 'Dividend Log'!$B$3:$AF$3, 0))</f>
        <v>SPAXX</v>
      </c>
      <c r="U103" s="73"/>
      <c r="V103" s="101">
        <f>LARGE('Dividend Log'!$B$3:$AF$3, 2)</f>
        <v>180.66</v>
      </c>
      <c r="W103" s="102" t="s">
        <v>62</v>
      </c>
      <c r="X103" s="103" t="str">
        <f>IFERROR(__xludf.DUMMYFUNCTION("INDEX('Dividend Log'!$B$2:$AF$2, MATCH(SMALL(FILTER('Dividend Log'!$B$3:$AF$3,'Dividend Log'!$B$3:$AF$3&gt;0), 2), 'Dividend Log'!$B$3:$AF$3, 0))"),"VIG")</f>
        <v>VIG</v>
      </c>
      <c r="Y103" s="73"/>
      <c r="Z103" s="104">
        <f>IFERROR(__xludf.DUMMYFUNCTION("SMALL(FILTER('Dividend Log'!$B$3:$AF$3,'Dividend Log'!$B$3:$AF$3&gt;0), 2)"),6.25)</f>
        <v>6.25</v>
      </c>
    </row>
    <row r="104">
      <c r="S104" s="106"/>
      <c r="T104" s="77"/>
      <c r="U104" s="78"/>
      <c r="V104" s="79"/>
      <c r="W104" s="106"/>
      <c r="X104" s="77"/>
      <c r="Y104" s="78"/>
      <c r="Z104" s="79"/>
    </row>
    <row r="105">
      <c r="S105" s="99" t="s">
        <v>63</v>
      </c>
      <c r="T105" s="100" t="str">
        <f t="array" ref="T105">INDEX('Dividend Log'!$B$2:$AF$2, MATCH(LARGE('Dividend Log'!$B$3:$AF$3, 3), 'Dividend Log'!$B$3:$AF$3, 0))</f>
        <v>TGT</v>
      </c>
      <c r="U105" s="73"/>
      <c r="V105" s="101">
        <f>LARGE('Dividend Log'!$B$3:$AF$3, 3)</f>
        <v>172.39</v>
      </c>
      <c r="W105" s="102" t="s">
        <v>63</v>
      </c>
      <c r="X105" s="103" t="str">
        <f>IFERROR(__xludf.DUMMYFUNCTION("INDEX('Dividend Log'!$B$2:$AF$2, MATCH(SMALL(FILTER('Dividend Log'!$B$3:$AF$3,'Dividend Log'!$B$3:$AF$3&gt;0), 3), 'Dividend Log'!$B$3:$AF$3, 0))"),"BND")</f>
        <v>BND</v>
      </c>
      <c r="Y105" s="73"/>
      <c r="Z105" s="104">
        <f>IFERROR(__xludf.DUMMYFUNCTION("SMALL(FILTER('Dividend Log'!$B$3:$AF$3,'Dividend Log'!$B$3:$AF$3&gt;0), 3)"),8.45)</f>
        <v>8.45</v>
      </c>
    </row>
    <row r="106">
      <c r="S106" s="106"/>
      <c r="T106" s="77"/>
      <c r="U106" s="78"/>
      <c r="V106" s="79"/>
      <c r="W106" s="106"/>
      <c r="X106" s="77"/>
      <c r="Y106" s="78"/>
      <c r="Z106" s="79"/>
    </row>
    <row r="107">
      <c r="S107" s="99" t="s">
        <v>64</v>
      </c>
      <c r="T107" s="100" t="str">
        <f t="array" ref="T107">INDEX('Dividend Log'!$B$2:$AF$2, MATCH(LARGE('Dividend Log'!$B$3:$AF$3, 4), 'Dividend Log'!$B$3:$AF$3, 0))</f>
        <v>O</v>
      </c>
      <c r="U107" s="73"/>
      <c r="V107" s="101">
        <f>LARGE('Dividend Log'!$B$3:$AF$3, 4)</f>
        <v>124</v>
      </c>
      <c r="W107" s="102" t="s">
        <v>64</v>
      </c>
      <c r="X107" s="103" t="str">
        <f>IFERROR(__xludf.DUMMYFUNCTION("INDEX('Dividend Log'!$B$2:$AF$2, MATCH(SMALL(FILTER('Dividend Log'!$B$3:$AF$3,'Dividend Log'!$B$3:$AF$3&gt;0), 4), 'Dividend Log'!$B$3:$AF$3, 0))"),"VGT")</f>
        <v>VGT</v>
      </c>
      <c r="Y107" s="73"/>
      <c r="Z107" s="104">
        <f>IFERROR(__xludf.DUMMYFUNCTION("SMALL(FILTER('Dividend Log'!$B$3:$AF$3,'Dividend Log'!$B$3:$AF$3&gt;0), 4)"),10.16)</f>
        <v>10.16</v>
      </c>
    </row>
    <row r="108">
      <c r="S108" s="106"/>
      <c r="T108" s="77"/>
      <c r="U108" s="78"/>
      <c r="V108" s="79"/>
      <c r="W108" s="106"/>
      <c r="X108" s="77"/>
      <c r="Y108" s="78"/>
      <c r="Z108" s="79"/>
    </row>
    <row r="109">
      <c r="S109" s="99" t="s">
        <v>65</v>
      </c>
      <c r="T109" s="100" t="str">
        <f t="array" ref="T109">INDEX('Dividend Log'!$B$2:$AF$2, MATCH(LARGE('Dividend Log'!$B$3:$AF$3, 5), 'Dividend Log'!$B$3:$AF$3, 0))</f>
        <v>VXUS</v>
      </c>
      <c r="U109" s="73"/>
      <c r="V109" s="101">
        <f>LARGE('Dividend Log'!$B$3:$AF$3, 5)</f>
        <v>51.61</v>
      </c>
      <c r="W109" s="102" t="s">
        <v>65</v>
      </c>
      <c r="X109" s="103" t="str">
        <f>IFERROR(__xludf.DUMMYFUNCTION("INDEX('Dividend Log'!$B$2:$AF$2, MATCH(SMALL(FILTER('Dividend Log'!$B$3:$AF$3,'Dividend Log'!$B$3:$AF$3&gt;0), 5), 'Dividend Log'!$B$3:$AF$3, 0))"),"SBUX")</f>
        <v>SBUX</v>
      </c>
      <c r="Y109" s="73"/>
      <c r="Z109" s="104">
        <f>IFERROR(__xludf.DUMMYFUNCTION("SMALL(FILTER('Dividend Log'!$B$3:$AF$3,'Dividend Log'!$B$3:$AF$3&gt;0), 5)"),12.43)</f>
        <v>12.43</v>
      </c>
    </row>
    <row r="110">
      <c r="S110" s="106"/>
      <c r="T110" s="77"/>
      <c r="U110" s="78"/>
      <c r="V110" s="79"/>
      <c r="W110" s="106"/>
      <c r="X110" s="77"/>
      <c r="Y110" s="78"/>
      <c r="Z110" s="79"/>
    </row>
    <row r="111">
      <c r="S111" s="107" t="s">
        <v>66</v>
      </c>
      <c r="T111" s="73"/>
      <c r="U111" s="74"/>
      <c r="V111" s="108">
        <f>SUM(V101:V110)/$N$9</f>
        <v>0.8192281652</v>
      </c>
      <c r="W111" s="109" t="s">
        <v>66</v>
      </c>
      <c r="X111" s="73"/>
      <c r="Y111" s="74"/>
      <c r="Z111" s="110">
        <f>SUM(Z101:Z110)/$N$9</f>
        <v>0.04847664184</v>
      </c>
    </row>
    <row r="112">
      <c r="S112" s="77"/>
      <c r="T112" s="78"/>
      <c r="U112" s="79"/>
      <c r="V112" s="79"/>
      <c r="W112" s="77"/>
      <c r="X112" s="78"/>
      <c r="Y112" s="79"/>
      <c r="Z112" s="79"/>
    </row>
  </sheetData>
  <mergeCells count="143">
    <mergeCell ref="L8:M8"/>
    <mergeCell ref="N8:O8"/>
    <mergeCell ref="B7:E7"/>
    <mergeCell ref="F7:I7"/>
    <mergeCell ref="J7:M7"/>
    <mergeCell ref="N7:Q7"/>
    <mergeCell ref="B8:E8"/>
    <mergeCell ref="F8:I8"/>
    <mergeCell ref="J8:K8"/>
    <mergeCell ref="P8:Q8"/>
    <mergeCell ref="J10:M10"/>
    <mergeCell ref="N10:O10"/>
    <mergeCell ref="B9:E9"/>
    <mergeCell ref="F9:I9"/>
    <mergeCell ref="J9:K9"/>
    <mergeCell ref="L9:M9"/>
    <mergeCell ref="N9:O9"/>
    <mergeCell ref="B10:E10"/>
    <mergeCell ref="F10:I10"/>
    <mergeCell ref="P3:Q3"/>
    <mergeCell ref="S3:U4"/>
    <mergeCell ref="W3:Z3"/>
    <mergeCell ref="P4:Q4"/>
    <mergeCell ref="W4:Z5"/>
    <mergeCell ref="P5:Q5"/>
    <mergeCell ref="P6:Q6"/>
    <mergeCell ref="W6:Z6"/>
    <mergeCell ref="W7:Z24"/>
    <mergeCell ref="P9:Q9"/>
    <mergeCell ref="P10:Q10"/>
    <mergeCell ref="P11:Q11"/>
    <mergeCell ref="W25:Z26"/>
    <mergeCell ref="V60:V61"/>
    <mergeCell ref="W60:X61"/>
    <mergeCell ref="V56:V57"/>
    <mergeCell ref="W56:X57"/>
    <mergeCell ref="S58:U59"/>
    <mergeCell ref="V58:V59"/>
    <mergeCell ref="W58:X59"/>
    <mergeCell ref="Y58:Z59"/>
    <mergeCell ref="S60:U61"/>
    <mergeCell ref="Y60:Z61"/>
    <mergeCell ref="L100:M101"/>
    <mergeCell ref="N100:O101"/>
    <mergeCell ref="B52:Q53"/>
    <mergeCell ref="B98:Q99"/>
    <mergeCell ref="D100:E101"/>
    <mergeCell ref="F100:G101"/>
    <mergeCell ref="H100:I101"/>
    <mergeCell ref="J100:K101"/>
    <mergeCell ref="P100:Q101"/>
    <mergeCell ref="N102:O103"/>
    <mergeCell ref="P102:Q103"/>
    <mergeCell ref="B100:C101"/>
    <mergeCell ref="B102:C103"/>
    <mergeCell ref="D102:E103"/>
    <mergeCell ref="F102:G103"/>
    <mergeCell ref="H102:I103"/>
    <mergeCell ref="J102:K103"/>
    <mergeCell ref="L102:M103"/>
    <mergeCell ref="X101:Y102"/>
    <mergeCell ref="Z101:Z102"/>
    <mergeCell ref="S98:Z99"/>
    <mergeCell ref="S100:V100"/>
    <mergeCell ref="W100:Z100"/>
    <mergeCell ref="S101:S102"/>
    <mergeCell ref="T101:U102"/>
    <mergeCell ref="V101:V102"/>
    <mergeCell ref="W101:W102"/>
    <mergeCell ref="W105:W106"/>
    <mergeCell ref="X105:Y106"/>
    <mergeCell ref="X107:Y108"/>
    <mergeCell ref="Z107:Z108"/>
    <mergeCell ref="S103:S104"/>
    <mergeCell ref="T103:U104"/>
    <mergeCell ref="V103:V104"/>
    <mergeCell ref="W103:W104"/>
    <mergeCell ref="X103:Y104"/>
    <mergeCell ref="Z103:Z104"/>
    <mergeCell ref="S105:S106"/>
    <mergeCell ref="Z105:Z106"/>
    <mergeCell ref="T109:U110"/>
    <mergeCell ref="V109:V110"/>
    <mergeCell ref="X109:Y110"/>
    <mergeCell ref="Z109:Z110"/>
    <mergeCell ref="S109:S110"/>
    <mergeCell ref="S111:U112"/>
    <mergeCell ref="V111:V112"/>
    <mergeCell ref="W111:Y112"/>
    <mergeCell ref="Z111:Z112"/>
    <mergeCell ref="T105:U106"/>
    <mergeCell ref="V105:V106"/>
    <mergeCell ref="S107:S108"/>
    <mergeCell ref="T107:U108"/>
    <mergeCell ref="V107:V108"/>
    <mergeCell ref="W107:W108"/>
    <mergeCell ref="W109:W110"/>
    <mergeCell ref="B1:Q1"/>
    <mergeCell ref="B2:E2"/>
    <mergeCell ref="F2:I2"/>
    <mergeCell ref="J2:M2"/>
    <mergeCell ref="N2:Q2"/>
    <mergeCell ref="S2:U2"/>
    <mergeCell ref="W2:Z2"/>
    <mergeCell ref="B3:C3"/>
    <mergeCell ref="D3:E3"/>
    <mergeCell ref="F3:G3"/>
    <mergeCell ref="H3:I3"/>
    <mergeCell ref="J3:K3"/>
    <mergeCell ref="L3:M3"/>
    <mergeCell ref="N3:O3"/>
    <mergeCell ref="B4:C4"/>
    <mergeCell ref="D4:E4"/>
    <mergeCell ref="F4:G4"/>
    <mergeCell ref="H4:I4"/>
    <mergeCell ref="J4:K4"/>
    <mergeCell ref="L4:M4"/>
    <mergeCell ref="N4:O4"/>
    <mergeCell ref="B5:C5"/>
    <mergeCell ref="D5:E5"/>
    <mergeCell ref="F5:G5"/>
    <mergeCell ref="H5:I5"/>
    <mergeCell ref="J5:K5"/>
    <mergeCell ref="L5:M5"/>
    <mergeCell ref="N5:O5"/>
    <mergeCell ref="B11:E11"/>
    <mergeCell ref="F11:I11"/>
    <mergeCell ref="J11:M11"/>
    <mergeCell ref="N11:O11"/>
    <mergeCell ref="B6:C6"/>
    <mergeCell ref="D6:E6"/>
    <mergeCell ref="F6:G6"/>
    <mergeCell ref="H6:I6"/>
    <mergeCell ref="J6:K6"/>
    <mergeCell ref="L6:M6"/>
    <mergeCell ref="N6:O6"/>
    <mergeCell ref="W27:X28"/>
    <mergeCell ref="Y27:Z28"/>
    <mergeCell ref="S52:Z53"/>
    <mergeCell ref="S55:V55"/>
    <mergeCell ref="W55:Z55"/>
    <mergeCell ref="S56:U57"/>
    <mergeCell ref="Y56:Z57"/>
  </mergeCells>
  <conditionalFormatting sqref="X29:X44">
    <cfRule type="containsText" dxfId="3" priority="1" operator="containsText" text="Expensive">
      <formula>NOT(ISERROR(SEARCH(("Expensive"),(X29))))</formula>
    </cfRule>
  </conditionalFormatting>
  <conditionalFormatting sqref="X29:X44">
    <cfRule type="containsText" dxfId="4" priority="2" operator="containsText" text="Overrated">
      <formula>NOT(ISERROR(SEARCH(("Overrated"),(X29))))</formula>
    </cfRule>
  </conditionalFormatting>
  <conditionalFormatting sqref="X29:X44 Z29:Z44">
    <cfRule type="containsText" dxfId="3" priority="3" operator="containsText" text="Avg. Cost">
      <formula>NOT(ISERROR(SEARCH(("Avg. Cost"),(X29))))</formula>
    </cfRule>
  </conditionalFormatting>
  <conditionalFormatting sqref="Z29:Z44">
    <cfRule type="containsText" dxfId="5" priority="4" operator="containsText" text="Overcost">
      <formula>NOT(ISERROR(SEARCH(("Overcost"),(Z29))))</formula>
    </cfRule>
  </conditionalFormatting>
  <conditionalFormatting sqref="Z29:Z44">
    <cfRule type="containsText" dxfId="3" priority="5" operator="containsText" text="Avg. Price">
      <formula>NOT(ISERROR(SEARCH(("Avg. Price"),(Z29))))</formula>
    </cfRule>
  </conditionalFormatting>
  <conditionalFormatting sqref="X29:X50 Z29:Z50">
    <cfRule type="containsText" dxfId="6" priority="6" operator="containsText" text="Strong Buy">
      <formula>NOT(ISERROR(SEARCH(("Strong Buy"),(X29))))</formula>
    </cfRule>
  </conditionalFormatting>
  <conditionalFormatting sqref="Z29:Z50">
    <cfRule type="containsText" dxfId="3" priority="7" operator="containsText" text="Average">
      <formula>NOT(ISERROR(SEARCH(("Average"),(Z29))))</formula>
    </cfRule>
  </conditionalFormatting>
  <conditionalFormatting sqref="X29:X44 Z29:Z50">
    <cfRule type="containsText" dxfId="7" priority="8" operator="containsText" text="Hold">
      <formula>NOT(ISERROR(SEARCH(("Hold"),(X29))))</formula>
    </cfRule>
  </conditionalFormatting>
  <conditionalFormatting sqref="F4:H4 F9:H9">
    <cfRule type="cellIs" dxfId="8" priority="9" operator="lessThan">
      <formula>0</formula>
    </cfRule>
  </conditionalFormatting>
  <conditionalFormatting sqref="H4:J4 J9">
    <cfRule type="cellIs" dxfId="8" priority="10" operator="lessThan">
      <formula>0</formula>
    </cfRule>
  </conditionalFormatting>
  <conditionalFormatting sqref="D6:F6 H6:J6 F11 H11:J11 V60">
    <cfRule type="cellIs" dxfId="8" priority="11" operator="lessThan">
      <formula>0</formula>
    </cfRule>
  </conditionalFormatting>
  <conditionalFormatting sqref="B6:E6 V60">
    <cfRule type="cellIs" dxfId="9" priority="12" operator="greaterThan">
      <formula>0</formula>
    </cfRule>
  </conditionalFormatting>
  <conditionalFormatting sqref="B6:E6 V60">
    <cfRule type="cellIs" dxfId="10" priority="13" operator="lessThan">
      <formula>0</formula>
    </cfRule>
  </conditionalFormatting>
  <conditionalFormatting sqref="X29:X50">
    <cfRule type="containsText" dxfId="11" priority="14" operator="containsText" text="Wait">
      <formula>NOT(ISERROR(SEARCH(("Wait"),(X29))))</formula>
    </cfRule>
  </conditionalFormatting>
  <conditionalFormatting sqref="X29:X50 Z29:Z50">
    <cfRule type="containsText" dxfId="12" priority="15" operator="containsText" text="Buy">
      <formula>NOT(ISERROR(SEARCH(("Buy"),(X29))))</formula>
    </cfRule>
  </conditionalFormatting>
  <conditionalFormatting sqref="Z29:Z50">
    <cfRule type="notContainsBlanks" dxfId="12" priority="16">
      <formula>LEN(TRIM(Z29))&gt;0</formula>
    </cfRule>
  </conditionalFormatting>
  <drawing r:id="rId4"/>
  <legacyDrawing r:id="rId5"/>
  <tableParts count="2">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11" t="s">
        <v>67</v>
      </c>
      <c r="B1" s="112"/>
      <c r="C1" s="113"/>
    </row>
    <row r="2">
      <c r="A2" s="111" t="s">
        <v>68</v>
      </c>
      <c r="B2" s="114" t="s">
        <v>69</v>
      </c>
      <c r="C2" s="111" t="s">
        <v>70</v>
      </c>
    </row>
    <row r="3">
      <c r="B3" s="115"/>
    </row>
    <row r="4">
      <c r="B4" s="115"/>
    </row>
    <row r="5">
      <c r="B5" s="115"/>
    </row>
    <row r="6">
      <c r="B6" s="115"/>
    </row>
    <row r="7">
      <c r="B7" s="115"/>
    </row>
    <row r="8">
      <c r="B8" s="115"/>
    </row>
    <row r="9">
      <c r="B9" s="115"/>
    </row>
    <row r="10">
      <c r="B10" s="115"/>
    </row>
    <row r="11">
      <c r="B11" s="115"/>
    </row>
    <row r="12">
      <c r="B12" s="115"/>
    </row>
    <row r="13">
      <c r="B13" s="115"/>
    </row>
    <row r="14">
      <c r="B14" s="115"/>
    </row>
    <row r="15">
      <c r="B15" s="115"/>
    </row>
    <row r="16">
      <c r="B16" s="115"/>
    </row>
    <row r="17">
      <c r="B17" s="115"/>
    </row>
    <row r="18">
      <c r="B18" s="115"/>
    </row>
    <row r="19">
      <c r="B19" s="115"/>
    </row>
    <row r="20">
      <c r="B20" s="115"/>
    </row>
    <row r="21">
      <c r="B21" s="115"/>
    </row>
    <row r="22">
      <c r="B22" s="115"/>
    </row>
    <row r="23">
      <c r="B23" s="115"/>
    </row>
    <row r="24">
      <c r="B24" s="115"/>
    </row>
    <row r="25">
      <c r="B25" s="115"/>
    </row>
    <row r="26">
      <c r="B26" s="115"/>
    </row>
    <row r="27">
      <c r="B27" s="115"/>
    </row>
    <row r="28">
      <c r="B28" s="115"/>
    </row>
    <row r="29">
      <c r="B29" s="115"/>
    </row>
    <row r="30">
      <c r="B30" s="115"/>
    </row>
    <row r="31">
      <c r="B31" s="115"/>
    </row>
    <row r="32">
      <c r="B32" s="115"/>
    </row>
    <row r="33">
      <c r="B33" s="115"/>
    </row>
    <row r="34">
      <c r="B34" s="115"/>
    </row>
    <row r="35">
      <c r="B35" s="115"/>
    </row>
    <row r="36">
      <c r="B36" s="115"/>
    </row>
    <row r="37">
      <c r="B37" s="115"/>
    </row>
    <row r="38">
      <c r="B38" s="115"/>
    </row>
    <row r="39">
      <c r="B39" s="115"/>
    </row>
    <row r="40">
      <c r="B40" s="115"/>
    </row>
    <row r="41">
      <c r="B41" s="115"/>
    </row>
    <row r="42">
      <c r="B42" s="115"/>
    </row>
    <row r="43">
      <c r="B43" s="115"/>
    </row>
    <row r="44">
      <c r="B44" s="115"/>
    </row>
    <row r="45">
      <c r="B45" s="115"/>
    </row>
    <row r="46">
      <c r="B46" s="115"/>
    </row>
    <row r="47">
      <c r="B47" s="115"/>
    </row>
    <row r="48">
      <c r="B48" s="115"/>
    </row>
    <row r="49">
      <c r="B49" s="115"/>
    </row>
    <row r="50">
      <c r="B50" s="115"/>
    </row>
    <row r="51">
      <c r="B51" s="115"/>
    </row>
    <row r="52">
      <c r="B52" s="115"/>
    </row>
    <row r="53">
      <c r="B53" s="115"/>
    </row>
    <row r="54">
      <c r="B54" s="115"/>
    </row>
    <row r="55">
      <c r="B55" s="115"/>
    </row>
    <row r="56">
      <c r="B56" s="115"/>
    </row>
    <row r="57">
      <c r="B57" s="115"/>
    </row>
    <row r="58">
      <c r="B58" s="115"/>
    </row>
    <row r="59">
      <c r="B59" s="115"/>
    </row>
    <row r="60">
      <c r="B60" s="115"/>
    </row>
    <row r="61">
      <c r="B61" s="115"/>
    </row>
    <row r="62">
      <c r="B62" s="115"/>
    </row>
    <row r="63">
      <c r="B63" s="115"/>
    </row>
    <row r="64">
      <c r="B64" s="115"/>
    </row>
    <row r="65">
      <c r="B65" s="115"/>
    </row>
    <row r="66">
      <c r="B66" s="115"/>
    </row>
    <row r="67">
      <c r="B67" s="115"/>
    </row>
    <row r="68">
      <c r="B68" s="115"/>
    </row>
    <row r="69">
      <c r="B69" s="115"/>
    </row>
    <row r="70">
      <c r="B70" s="115"/>
    </row>
    <row r="71">
      <c r="B71" s="115"/>
    </row>
    <row r="72">
      <c r="B72" s="115"/>
    </row>
    <row r="73">
      <c r="B73" s="115"/>
    </row>
    <row r="74">
      <c r="B74" s="115"/>
    </row>
    <row r="75">
      <c r="B75" s="115"/>
    </row>
    <row r="76">
      <c r="B76" s="115"/>
    </row>
    <row r="77">
      <c r="B77" s="115"/>
    </row>
    <row r="78">
      <c r="B78" s="115"/>
    </row>
    <row r="79">
      <c r="B79" s="115"/>
    </row>
    <row r="80">
      <c r="B80" s="115"/>
    </row>
    <row r="81">
      <c r="B81" s="115"/>
    </row>
    <row r="82">
      <c r="B82" s="115"/>
    </row>
    <row r="83">
      <c r="B83" s="115"/>
    </row>
    <row r="84">
      <c r="B84" s="115"/>
    </row>
    <row r="85">
      <c r="B85" s="115"/>
    </row>
    <row r="86">
      <c r="B86" s="115"/>
    </row>
    <row r="87">
      <c r="B87" s="115"/>
    </row>
    <row r="88">
      <c r="B88" s="115"/>
    </row>
    <row r="89">
      <c r="B89" s="115"/>
    </row>
    <row r="90">
      <c r="B90" s="115"/>
    </row>
    <row r="91">
      <c r="B91" s="115"/>
    </row>
    <row r="92">
      <c r="B92" s="115"/>
    </row>
    <row r="93">
      <c r="B93" s="115"/>
    </row>
    <row r="94">
      <c r="B94" s="115"/>
    </row>
    <row r="95">
      <c r="B95" s="115"/>
    </row>
    <row r="96">
      <c r="B96" s="115"/>
    </row>
    <row r="97">
      <c r="B97" s="115"/>
    </row>
    <row r="98">
      <c r="B98" s="115"/>
    </row>
    <row r="99">
      <c r="B99" s="115"/>
    </row>
    <row r="100">
      <c r="B100" s="1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25"/>
    <col customWidth="1" min="2" max="2" width="40.13"/>
    <col customWidth="1" min="3" max="3" width="14.75"/>
    <col customWidth="1" min="4" max="4" width="10.25"/>
    <col customWidth="1" min="5" max="5" width="11.63"/>
    <col customWidth="1" min="6" max="6" width="10.5"/>
    <col customWidth="1" min="7" max="9" width="11.25"/>
    <col customWidth="1" min="10" max="10" width="13.0"/>
    <col customWidth="1" min="11" max="11" width="11.5"/>
    <col customWidth="1" min="12" max="12" width="10.5"/>
    <col customWidth="1" min="13" max="13" width="12.88"/>
    <col customWidth="1" min="14" max="14" width="10.5"/>
    <col customWidth="1" min="15" max="15" width="11.38"/>
    <col customWidth="1" min="16" max="16" width="10.75"/>
    <col customWidth="1" min="17" max="17" width="9.75"/>
    <col customWidth="1" min="18" max="18" width="10.75"/>
    <col customWidth="1" min="19" max="19" width="14.75"/>
    <col customWidth="1" min="20" max="20" width="22.38"/>
    <col customWidth="1" min="21" max="21" width="18.0"/>
    <col customWidth="1" min="22" max="22" width="9.38"/>
    <col customWidth="1" min="23" max="24" width="8.38"/>
    <col customWidth="1" min="25" max="25" width="8.0"/>
    <col customWidth="1" min="26" max="26" width="13.25"/>
    <col customWidth="1" min="27" max="27" width="9.63"/>
    <col customWidth="1" min="28" max="28" width="12.13"/>
    <col customWidth="1" min="29" max="29" width="11.75"/>
    <col customWidth="1" min="30" max="30" width="10.38"/>
    <col customWidth="1" min="31" max="31" width="9.25"/>
    <col customWidth="1" min="32" max="32" width="12.0"/>
    <col customWidth="1" min="33" max="33" width="10.75"/>
    <col customWidth="1" min="34" max="34" width="12.38"/>
    <col customWidth="1" min="35" max="35" width="11.13"/>
    <col customWidth="1" min="36" max="36" width="16.75"/>
    <col customWidth="1" min="37" max="37" width="10.63"/>
  </cols>
  <sheetData>
    <row r="1">
      <c r="A1" s="116" t="s">
        <v>71</v>
      </c>
      <c r="B1" s="117" t="s">
        <v>72</v>
      </c>
      <c r="C1" s="117" t="s">
        <v>73</v>
      </c>
      <c r="D1" s="117" t="s">
        <v>74</v>
      </c>
      <c r="E1" s="118" t="s">
        <v>75</v>
      </c>
      <c r="F1" s="118" t="s">
        <v>76</v>
      </c>
      <c r="G1" s="118" t="s">
        <v>77</v>
      </c>
      <c r="H1" s="118" t="s">
        <v>78</v>
      </c>
      <c r="I1" s="118" t="s">
        <v>79</v>
      </c>
      <c r="J1" s="118" t="s">
        <v>80</v>
      </c>
      <c r="K1" s="118" t="s">
        <v>81</v>
      </c>
      <c r="L1" s="118" t="s">
        <v>82</v>
      </c>
      <c r="M1" s="118" t="s">
        <v>83</v>
      </c>
      <c r="N1" s="118" t="s">
        <v>84</v>
      </c>
      <c r="O1" s="118" t="s">
        <v>10</v>
      </c>
      <c r="P1" s="118" t="s">
        <v>20</v>
      </c>
      <c r="Q1" s="118" t="s">
        <v>11</v>
      </c>
      <c r="R1" s="118" t="s">
        <v>21</v>
      </c>
      <c r="S1" s="119" t="s">
        <v>85</v>
      </c>
      <c r="T1" s="119" t="s">
        <v>86</v>
      </c>
      <c r="U1" s="119" t="s">
        <v>87</v>
      </c>
      <c r="V1" s="120" t="s">
        <v>88</v>
      </c>
      <c r="W1" s="118" t="s">
        <v>89</v>
      </c>
      <c r="X1" s="121" t="s">
        <v>12</v>
      </c>
      <c r="Y1" s="121" t="s">
        <v>13</v>
      </c>
      <c r="Z1" s="117" t="s">
        <v>90</v>
      </c>
      <c r="AA1" s="118" t="s">
        <v>8</v>
      </c>
      <c r="AB1" s="118" t="s">
        <v>9</v>
      </c>
      <c r="AC1" s="117" t="s">
        <v>91</v>
      </c>
      <c r="AD1" s="117" t="s">
        <v>92</v>
      </c>
      <c r="AE1" s="117" t="s">
        <v>93</v>
      </c>
      <c r="AF1" s="122" t="s">
        <v>94</v>
      </c>
      <c r="AG1" s="123" t="s">
        <v>95</v>
      </c>
      <c r="AH1" s="124" t="s">
        <v>96</v>
      </c>
      <c r="AI1" s="117" t="s">
        <v>97</v>
      </c>
      <c r="AJ1" s="125" t="s">
        <v>98</v>
      </c>
      <c r="AK1" s="126" t="s">
        <v>99</v>
      </c>
    </row>
    <row r="2">
      <c r="A2" s="127" t="s">
        <v>100</v>
      </c>
      <c r="B2" s="128" t="str">
        <f>IFERROR(__xludf.DUMMYFUNCTION("IF(ISBLANK(A2),"""", googlefinance(A2, ""name""))"),"Alphabet Inc Class A")</f>
        <v>Alphabet Inc Class A</v>
      </c>
      <c r="C2" s="129" t="str">
        <f t="shared" ref="C2:C31" si="1">IF(ISBLANK(A2),"", HYPERLINK("https://seekingalpha.com/symbol/" &amp; A2,"View"))</f>
        <v>View</v>
      </c>
      <c r="D2" s="130">
        <v>9.025</v>
      </c>
      <c r="E2" s="131">
        <v>154.48</v>
      </c>
      <c r="F2" s="132">
        <f>IFERROR(__xludf.DUMMYFUNCTION("IF(ISBLANK(A2),"""", googlefinance(A2, ""price""))"),300.88)</f>
        <v>300.88</v>
      </c>
      <c r="G2" s="133">
        <f>IF(ISBLANK(A2),"",IFERROR(VLOOKUP(A2, 'Intrinsic Values List'!$A$2:$D$70, 4, FALSE), "Not Found" ))</f>
        <v>187.26</v>
      </c>
      <c r="H2" s="134">
        <f>IF(ISBLANK(A2),"",IFERROR(VLOOKUP(A2, 'Intrinsic Values List'!$A$2:$G$70, 7, FALSE), "Not Found" ))</f>
        <v>8.58</v>
      </c>
      <c r="I2" s="135">
        <f>IFERROR(__xludf.DUMMYFUNCTION("IFERROR(googlefinance(A2,""change""),"""")"),-2.25)</f>
        <v>-2.25</v>
      </c>
      <c r="J2" s="136">
        <f>IFERROR(__xludf.DUMMYFUNCTION("iferror(GOOGLEFINANCE(A2,""changepct"")/100,"""")"),-0.0074)</f>
        <v>-0.0074</v>
      </c>
      <c r="K2" s="132">
        <f t="shared" ref="K2:K31" si="2">if(isblank(A2),"",(D2*I2))</f>
        <v>-20.30625</v>
      </c>
      <c r="L2" s="132">
        <f>IFERROR(__xludf.DUMMYFUNCTION("IF(ISBLANK(A2),"""", googlefinance(A2, ""low52""))"),140.53)</f>
        <v>140.53</v>
      </c>
      <c r="M2" s="132" t="str">
        <f>IFERROR(__xludf.DUMMYFUNCTION("IF(ISBLANK(A2),"""",IFERROR(SPARKLINE((F2-L2)/(N2-L2),{""charttype"",""bar"";""max"",1;""min"",0;""color1"",""2c79b5""}),""n/a""))"),"")</f>
        <v/>
      </c>
      <c r="N2" s="132">
        <f>IFERROR(__xludf.DUMMYFUNCTION("IF(ISBLANK(A2),"""", googlefinance(A2, ""high52""))"),349.0)</f>
        <v>349</v>
      </c>
      <c r="O2" s="135">
        <f t="shared" ref="O2:O31" si="3">if(isblank(A2),"",(F2-E2)*D2)</f>
        <v>1321.26</v>
      </c>
      <c r="P2" s="132">
        <f t="shared" ref="P2:P31" si="4">if(isblank(A2),"",O2+AE2)</f>
        <v>1326.93</v>
      </c>
      <c r="Q2" s="136">
        <f t="shared" ref="Q2:Q31" si="5">iferror(if(D2&lt;0,0,O2/(E2*D2)),"")</f>
        <v>0.9476954946</v>
      </c>
      <c r="R2" s="137">
        <f t="shared" ref="R2:R31" si="6">if(isblank(A2),"",P2/(E2*D2))</f>
        <v>0.9517623954</v>
      </c>
      <c r="S2" s="138" t="s">
        <v>101</v>
      </c>
      <c r="T2" s="138" t="s">
        <v>102</v>
      </c>
      <c r="U2" s="138" t="s">
        <v>103</v>
      </c>
      <c r="V2" s="139">
        <f t="shared" ref="V2:V31" si="7">if(isblank(A2),"",AB2/$AB$32)</f>
        <v>0.06737007732</v>
      </c>
      <c r="W2" s="140">
        <f>IFERROR(__xludf.DUMMYFUNCTION("IfError(IF(isblank(A2),"""",split(AK2, ""()"")))"),0.83)</f>
        <v>0.83</v>
      </c>
      <c r="X2" s="136">
        <f>IFERROR(__xludf.DUMMYFUNCTION("""COMPUTED_VALUE"""),0.0028)</f>
        <v>0.0028</v>
      </c>
      <c r="Y2" s="136">
        <f t="shared" ref="Y2:Y31" si="8">IFERROR(W2/E2,"")</f>
        <v>0.005372863801</v>
      </c>
      <c r="Z2" s="141">
        <v>0.0</v>
      </c>
      <c r="AA2" s="142">
        <f t="shared" ref="AA2:AA31" si="9">iferror(if(isblank(A2),"",D2*E2),0)</f>
        <v>1394.182</v>
      </c>
      <c r="AB2" s="135">
        <f t="shared" ref="AB2:AB31" si="10">IF(ISBLANK(A2),"",D2*F2)</f>
        <v>2715.442</v>
      </c>
      <c r="AC2" s="135">
        <f t="shared" ref="AC2:AC31" si="11">IFERROR(IF(ISBLANK(A2),"",D2*W2),"")</f>
        <v>7.49075</v>
      </c>
      <c r="AD2" s="136">
        <f t="shared" ref="AD2:AD31" si="12">if(isblank(A2),"",AC2/$AC$32)</f>
        <v>0.008486736316</v>
      </c>
      <c r="AE2" s="135">
        <f>IF(ISBLANK($A2),"",SUM(OFFSET('Dividend Log'!$B$17, 0, ROW($A2)-2), OFFSET('Dividend Log'!$B$31, 0, ROW($A2)-2), OFFSET('Dividend Log'!$B$45, 0, ROW($A2)-2), OFFSET('Dividend Log'!$B$59, 0, ROW($A2)-2), OFFSET('Dividend Log'!$B$73, 0, ROW($A2)-2)))</f>
        <v>5.67</v>
      </c>
      <c r="AF2" s="143">
        <f t="shared" ref="AF2:AF31" si="13">IFERROR(AC2/F2,"")</f>
        <v>0.024896138</v>
      </c>
      <c r="AG2" s="144">
        <f t="shared" ref="AG2:AG18" si="14">iferror(IF(ISBLANK(G2),"",(F2-G2)/G2),"")
</f>
        <v>0.6067499733</v>
      </c>
      <c r="AH2" s="145" t="str">
        <f t="shared" ref="AH2:AH18" si="15">IF(AG2="", "", IF(AG2&lt;=-15%, "Strong Buy", IF(AG2&lt;0%, "Buy", IF(AG2&lt;=15%, "Expensive", "Overrated"))))</f>
        <v>Overrated</v>
      </c>
      <c r="AI2" s="136">
        <f t="shared" ref="AI2:AI31" si="16">IF(ISBLANK(A2),"",(F2-E2)/E2)
</f>
        <v>0.9476954946</v>
      </c>
      <c r="AJ2" s="146" t="str">
        <f t="shared" ref="AJ2:AJ31" si="17">IF(A2="", "", IF(AI2&lt;-15%, "Strong Buy", IF(AI2&lt;-5%, "Buy", IF(AI2&lt;5%, "Avg. Cost", IF(AI2&lt;=15%, "Overcost", "Hold")))))</f>
        <v>Hold</v>
      </c>
      <c r="AK2" s="147" t="str">
        <f>IFERROR(__xludf.DUMMYFUNCTION("LET(t, A2,
  IF(t="""","""",
    IFERROR(
      SUBSTITUTE(
        INDEX(
          IMPORTXML(
            ""https://finviz.com/quote.ashx?t=""&amp;t&amp;""&amp;ty=dv"",
            ""(//td[normalize-space()='Dividend TTM' or contains(.,'Dividend TTM')]/following-si"&amp;"bling::td[1])[1]""
          ),1,1),
      ""*"",""""),
      IFERROR(
        SUBSTITUTE(
          INDEX(
            IMPORTXML(
              ""https://finviz.com/quote.ashx?t=""&amp;t,
              ""(//td[normalize-space()='Dividend']/following-sibling:"&amp;":td[1])[1]""
            ),1,1),
        ""*"",""""),
      """")
    )
  )
)
"),"0.83 (0.28%)")</f>
        <v>0.83 (0.28%)</v>
      </c>
    </row>
    <row r="3">
      <c r="A3" s="127" t="s">
        <v>104</v>
      </c>
      <c r="B3" s="128" t="str">
        <f>IFERROR(__xludf.DUMMYFUNCTION("IF(ISBLANK(A3),"""", googlefinance(A3, ""name""))"),"Microsoft Corp")</f>
        <v>Microsoft Corp</v>
      </c>
      <c r="C3" s="129" t="str">
        <f t="shared" si="1"/>
        <v>View</v>
      </c>
      <c r="D3" s="130">
        <v>9.552</v>
      </c>
      <c r="E3" s="131">
        <v>393.4</v>
      </c>
      <c r="F3" s="132">
        <f>IFERROR(__xludf.DUMMYFUNCTION("IF(ISBLANK(A3),"""", googlefinance(A3, ""price""))"),410.68)</f>
        <v>410.68</v>
      </c>
      <c r="G3" s="133">
        <f>IF(ISBLANK(A3),"",IFERROR(VLOOKUP(A3, 'Intrinsic Values List'!$A$2:$D$70, 4, FALSE), "Not Found" ))</f>
        <v>334</v>
      </c>
      <c r="H3" s="134">
        <f>IF(ISBLANK(A3),"",IFERROR(VLOOKUP(A3, 'Intrinsic Values List'!$A$2:$G$70, 7, FALSE), "Not Found" ))</f>
        <v>8.74</v>
      </c>
      <c r="I3" s="135">
        <f>IFERROR(__xludf.DUMMYFUNCTION("IFERROR(googlefinance(A3,""change""),"""")"),5.48)</f>
        <v>5.48</v>
      </c>
      <c r="J3" s="136">
        <f>IFERROR(__xludf.DUMMYFUNCTION("iferror(GOOGLEFINANCE(A3,""changepct"")/100,"""")"),0.013500000000000002)</f>
        <v>0.0135</v>
      </c>
      <c r="K3" s="132">
        <f t="shared" si="2"/>
        <v>52.34496</v>
      </c>
      <c r="L3" s="132">
        <f>IFERROR(__xludf.DUMMYFUNCTION("IF(ISBLANK(A3),"""", googlefinance(A3, ""low52""))"),344.79)</f>
        <v>344.79</v>
      </c>
      <c r="M3" s="132" t="str">
        <f>IFERROR(__xludf.DUMMYFUNCTION("IF(ISBLANK(A3),"""",IFERROR(SPARKLINE((F3-L3)/(N3-L3),{""charttype"",""bar"";""max"",1;""min"",0;""color1"",""2c79b5""}),""n/a""))"),"")</f>
        <v/>
      </c>
      <c r="N3" s="132">
        <f>IFERROR(__xludf.DUMMYFUNCTION("IF(ISBLANK(A3),"""", googlefinance(A3, ""high52""))"),555.45)</f>
        <v>555.45</v>
      </c>
      <c r="O3" s="135">
        <f t="shared" si="3"/>
        <v>165.05856</v>
      </c>
      <c r="P3" s="132">
        <f t="shared" si="4"/>
        <v>198.08856</v>
      </c>
      <c r="Q3" s="136">
        <f t="shared" si="5"/>
        <v>0.04392475852</v>
      </c>
      <c r="R3" s="137">
        <f t="shared" si="6"/>
        <v>0.05271457695</v>
      </c>
      <c r="S3" s="138" t="s">
        <v>101</v>
      </c>
      <c r="T3" s="138" t="s">
        <v>102</v>
      </c>
      <c r="U3" s="138" t="s">
        <v>103</v>
      </c>
      <c r="V3" s="139">
        <f t="shared" si="7"/>
        <v>0.09732499317</v>
      </c>
      <c r="W3" s="140" t="str">
        <f>IFERROR(__xludf.DUMMYFUNCTION("IfError(IF(isblank(A3),"""",split(AK3, ""()"")))"),"")</f>
        <v/>
      </c>
      <c r="X3" s="136"/>
      <c r="Y3" s="136">
        <f t="shared" si="8"/>
        <v>0</v>
      </c>
      <c r="Z3" s="141">
        <v>0.102</v>
      </c>
      <c r="AA3" s="142">
        <f t="shared" si="9"/>
        <v>3757.7568</v>
      </c>
      <c r="AB3" s="135">
        <f t="shared" si="10"/>
        <v>3922.81536</v>
      </c>
      <c r="AC3" s="135">
        <f t="shared" si="11"/>
        <v>0</v>
      </c>
      <c r="AD3" s="136">
        <f t="shared" si="12"/>
        <v>0</v>
      </c>
      <c r="AE3" s="135">
        <f>IF(ISBLANK($A3),"",SUM(OFFSET('Dividend Log'!$B$17, 0, ROW($A3)-2), OFFSET('Dividend Log'!$B$31, 0, ROW($A3)-2), OFFSET('Dividend Log'!$B$45, 0, ROW($A3)-2), OFFSET('Dividend Log'!$B$59, 0, ROW($A3)-2), OFFSET('Dividend Log'!$B$73, 0, ROW($A3)-2)))</f>
        <v>33.03</v>
      </c>
      <c r="AF3" s="143">
        <f t="shared" si="13"/>
        <v>0</v>
      </c>
      <c r="AG3" s="144">
        <f t="shared" si="14"/>
        <v>0.2295808383</v>
      </c>
      <c r="AH3" s="145" t="str">
        <f t="shared" si="15"/>
        <v>Overrated</v>
      </c>
      <c r="AI3" s="136">
        <f t="shared" si="16"/>
        <v>0.04392475852</v>
      </c>
      <c r="AJ3" s="146" t="str">
        <f t="shared" si="17"/>
        <v>Avg. Cost</v>
      </c>
      <c r="AK3" s="147" t="str">
        <f>IFERROR(__xludf.DUMMYFUNCTION("LET(t, A3,
  IF(t="""","""",
    IFERROR(
      SUBSTITUTE(
        INDEX(
          IMPORTXML(
            ""https://finviz.com/quote.ashx?t=""&amp;t&amp;""&amp;ty=dv"",
            ""(//td[normalize-space()='Dividend TTM' or contains(.,'Dividend TTM')]/following-si"&amp;"bling::td[1])[1]""
          ),1,1),
      ""*"",""""),
      IFERROR(
        SUBSTITUTE(
          INDEX(
            IMPORTXML(
              ""https://finviz.com/quote.ashx?t=""&amp;t,
              ""(//td[normalize-space()='Dividend']/following-sibling:"&amp;":td[1])[1]""
            ),1,1),
        ""*"",""""),
      """")
    )
  )
)
"),"")</f>
        <v/>
      </c>
    </row>
    <row r="4">
      <c r="A4" s="127" t="s">
        <v>105</v>
      </c>
      <c r="B4" s="128" t="str">
        <f>IFERROR(__xludf.DUMMYFUNCTION("IF(ISBLANK(A4),"""", googlefinance(A4, ""name""))"),"Walt Disney Co")</f>
        <v>Walt Disney Co</v>
      </c>
      <c r="C4" s="129" t="str">
        <f t="shared" si="1"/>
        <v>View</v>
      </c>
      <c r="D4" s="130">
        <v>17.264</v>
      </c>
      <c r="E4" s="131">
        <v>93.48</v>
      </c>
      <c r="F4" s="132">
        <f>IFERROR(__xludf.DUMMYFUNCTION("IF(ISBLANK(A4),"""", googlefinance(A4, ""price""))"),102.41)</f>
        <v>102.41</v>
      </c>
      <c r="G4" s="133">
        <f>IF(ISBLANK(A4),"",IFERROR(VLOOKUP(A4, 'Intrinsic Values List'!$A$2:$D$70, 4, FALSE), "Not Found" ))</f>
        <v>89.15</v>
      </c>
      <c r="H4" s="134">
        <f>IF(ISBLANK(A4),"",IFERROR(VLOOKUP(A4, 'Intrinsic Values List'!$A$2:$G$70, 7, FALSE), "Not Found" ))</f>
        <v>3.29</v>
      </c>
      <c r="I4" s="135">
        <f>IFERROR(__xludf.DUMMYFUNCTION("IFERROR(googlefinance(A4,""change""),"""")"),-0.63)</f>
        <v>-0.63</v>
      </c>
      <c r="J4" s="136">
        <f>IFERROR(__xludf.DUMMYFUNCTION("iferror(GOOGLEFINANCE(A4,""changepct"")/100,"""")"),-0.0060999999999999995)</f>
        <v>-0.0061</v>
      </c>
      <c r="K4" s="132">
        <f t="shared" si="2"/>
        <v>-10.87632</v>
      </c>
      <c r="L4" s="132">
        <f>IFERROR(__xludf.DUMMYFUNCTION("IF(ISBLANK(A4),"""", googlefinance(A4, ""low52""))"),80.1)</f>
        <v>80.1</v>
      </c>
      <c r="M4" s="132" t="str">
        <f>IFERROR(__xludf.DUMMYFUNCTION("IF(ISBLANK(A4),"""",IFERROR(SPARKLINE((F4-L4)/(N4-L4),{""charttype"",""bar"";""max"",1;""min"",0;""color1"",""2c79b5""}),""n/a""))"),"")</f>
        <v/>
      </c>
      <c r="N4" s="132">
        <f>IFERROR(__xludf.DUMMYFUNCTION("IF(ISBLANK(A4),"""", googlefinance(A4, ""high52""))"),124.69)</f>
        <v>124.69</v>
      </c>
      <c r="O4" s="135">
        <f t="shared" si="3"/>
        <v>154.16752</v>
      </c>
      <c r="P4" s="132">
        <f t="shared" si="4"/>
        <v>183.87752</v>
      </c>
      <c r="Q4" s="136">
        <f t="shared" si="5"/>
        <v>0.09552845528</v>
      </c>
      <c r="R4" s="137">
        <f t="shared" si="6"/>
        <v>0.1139379776</v>
      </c>
      <c r="S4" s="138" t="s">
        <v>101</v>
      </c>
      <c r="T4" s="138" t="s">
        <v>106</v>
      </c>
      <c r="U4" s="138" t="s">
        <v>103</v>
      </c>
      <c r="V4" s="139">
        <f t="shared" si="7"/>
        <v>0.04386420961</v>
      </c>
      <c r="W4" s="140">
        <f>IFERROR(__xludf.DUMMYFUNCTION("IfError(IF(isblank(A4),"""",split(AK4, ""()"")))"),1.25)</f>
        <v>1.25</v>
      </c>
      <c r="X4" s="136">
        <f>IFERROR(__xludf.DUMMYFUNCTION("""COMPUTED_VALUE"""),0.0122)</f>
        <v>0.0122</v>
      </c>
      <c r="Y4" s="136">
        <f t="shared" si="8"/>
        <v>0.01337184424</v>
      </c>
      <c r="Z4" s="141">
        <v>-0.2948</v>
      </c>
      <c r="AA4" s="142">
        <f t="shared" si="9"/>
        <v>1613.83872</v>
      </c>
      <c r="AB4" s="135">
        <f t="shared" si="10"/>
        <v>1768.00624</v>
      </c>
      <c r="AC4" s="135">
        <f t="shared" si="11"/>
        <v>21.58</v>
      </c>
      <c r="AD4" s="136">
        <f t="shared" si="12"/>
        <v>0.02444932346</v>
      </c>
      <c r="AE4" s="135">
        <f>IF(ISBLANK($A4),"",SUM(OFFSET('Dividend Log'!$B$17, 0, ROW($A4)-2), OFFSET('Dividend Log'!$B$31, 0, ROW($A4)-2), OFFSET('Dividend Log'!$B$45, 0, ROW($A4)-2), OFFSET('Dividend Log'!$B$59, 0, ROW($A4)-2), OFFSET('Dividend Log'!$B$73, 0, ROW($A4)-2)))</f>
        <v>29.71</v>
      </c>
      <c r="AF4" s="143">
        <f t="shared" si="13"/>
        <v>0.2107216092</v>
      </c>
      <c r="AG4" s="144">
        <f t="shared" si="14"/>
        <v>0.1487380819</v>
      </c>
      <c r="AH4" s="145" t="str">
        <f t="shared" si="15"/>
        <v>Expensive</v>
      </c>
      <c r="AI4" s="148">
        <f t="shared" si="16"/>
        <v>0.09552845528</v>
      </c>
      <c r="AJ4" s="146" t="str">
        <f t="shared" si="17"/>
        <v>Overcost</v>
      </c>
      <c r="AK4" s="147" t="str">
        <f>IFERROR(__xludf.DUMMYFUNCTION("LET(t, A4,
  IF(t="""","""",
    IFERROR(
      SUBSTITUTE(
        INDEX(
          IMPORTXML(
            ""https://finviz.com/quote.ashx?t=""&amp;t&amp;""&amp;ty=dv"",
            ""(//td[normalize-space()='Dividend TTM' or contains(.,'Dividend TTM')]/following-si"&amp;"bling::td[1])[1]""
          ),1,1),
      ""*"",""""),
      IFERROR(
        SUBSTITUTE(
          INDEX(
            IMPORTXML(
              ""https://finviz.com/quote.ashx?t=""&amp;t,
              ""(//td[normalize-space()='Dividend']/following-sibling:"&amp;":td[1])[1]""
            ),1,1),
        ""*"",""""),
      """")
    )
  )
)
"),"1.25 (1.22%)")</f>
        <v>1.25 (1.22%)</v>
      </c>
    </row>
    <row r="5">
      <c r="A5" s="149" t="s">
        <v>107</v>
      </c>
      <c r="B5" s="128" t="str">
        <f>IFERROR(__xludf.DUMMYFUNCTION("IF(ISBLANK(A5),"""", googlefinance(A5, ""name""))"),"Target Corp")</f>
        <v>Target Corp</v>
      </c>
      <c r="C5" s="129" t="str">
        <f t="shared" si="1"/>
        <v>View</v>
      </c>
      <c r="D5" s="130">
        <v>31.358</v>
      </c>
      <c r="E5" s="131">
        <v>117.78</v>
      </c>
      <c r="F5" s="132">
        <f>IFERROR(__xludf.DUMMYFUNCTION("IF(ISBLANK(A5),"""", googlefinance(A5, ""price""))"),120.36)</f>
        <v>120.36</v>
      </c>
      <c r="G5" s="133">
        <f>IF(ISBLANK(A5),"",IFERROR(VLOOKUP(A5, 'Intrinsic Values List'!$A$2:$D$70, 4, FALSE), "Not Found" ))</f>
        <v>226.6</v>
      </c>
      <c r="H5" s="134">
        <f>IF(ISBLANK(A5),"",IFERROR(VLOOKUP(A5, 'Intrinsic Values List'!$A$2:$G$70, 7, FALSE), "Not Found" ))</f>
        <v>6.59</v>
      </c>
      <c r="I5" s="135">
        <f>IFERROR(__xludf.DUMMYFUNCTION("IFERROR(googlefinance(A5,""change""),"""")"),0.28)</f>
        <v>0.28</v>
      </c>
      <c r="J5" s="136">
        <f>IFERROR(__xludf.DUMMYFUNCTION("iferror(GOOGLEFINANCE(A5,""changepct"")/100,"""")"),0.0023)</f>
        <v>0.0023</v>
      </c>
      <c r="K5" s="132">
        <f t="shared" si="2"/>
        <v>8.78024</v>
      </c>
      <c r="L5" s="132">
        <f>IFERROR(__xludf.DUMMYFUNCTION("IF(ISBLANK(A5),"""", googlefinance(A5, ""low52""))"),83.44)</f>
        <v>83.44</v>
      </c>
      <c r="M5" s="132" t="str">
        <f>IFERROR(__xludf.DUMMYFUNCTION("IF(ISBLANK(A5),"""",IFERROR(SPARKLINE((F5-L5)/(N5-L5),{""charttype"",""bar"";""max"",1;""min"",0;""color1"",""2c79b5""}),""n/a""))"),"")</f>
        <v/>
      </c>
      <c r="N5" s="132">
        <f>IFERROR(__xludf.DUMMYFUNCTION("IF(ISBLANK(A5),"""", googlefinance(A5, ""high52""))"),126.0)</f>
        <v>126</v>
      </c>
      <c r="O5" s="135">
        <f t="shared" si="3"/>
        <v>80.90364</v>
      </c>
      <c r="P5" s="132">
        <f t="shared" si="4"/>
        <v>253.29364</v>
      </c>
      <c r="Q5" s="136">
        <f t="shared" si="5"/>
        <v>0.02190524707</v>
      </c>
      <c r="R5" s="137">
        <f t="shared" si="6"/>
        <v>0.06858108938</v>
      </c>
      <c r="S5" s="138" t="s">
        <v>101</v>
      </c>
      <c r="T5" s="138" t="s">
        <v>108</v>
      </c>
      <c r="U5" s="138" t="s">
        <v>103</v>
      </c>
      <c r="V5" s="139">
        <f t="shared" si="7"/>
        <v>0.09363906092</v>
      </c>
      <c r="W5" s="140">
        <f>IFERROR(__xludf.DUMMYFUNCTION("IfError(IF(isblank(A5),"""",split(AK5, ""()"")))"),4.54)</f>
        <v>4.54</v>
      </c>
      <c r="X5" s="136">
        <f>IFERROR(__xludf.DUMMYFUNCTION("""COMPUTED_VALUE"""),0.0377)</f>
        <v>0.0377</v>
      </c>
      <c r="Y5" s="136">
        <f t="shared" si="8"/>
        <v>0.03854644252</v>
      </c>
      <c r="Z5" s="141">
        <v>0.1151</v>
      </c>
      <c r="AA5" s="142">
        <f t="shared" si="9"/>
        <v>3693.34524</v>
      </c>
      <c r="AB5" s="135">
        <f t="shared" si="10"/>
        <v>3774.24888</v>
      </c>
      <c r="AC5" s="135">
        <f t="shared" si="11"/>
        <v>142.36532</v>
      </c>
      <c r="AD5" s="136">
        <f t="shared" si="12"/>
        <v>0.1612945208</v>
      </c>
      <c r="AE5" s="135">
        <f>IF(ISBLANK($A5),"",SUM(OFFSET('Dividend Log'!$B$17, 0, ROW($A5)-2), OFFSET('Dividend Log'!$B$31, 0, ROW($A5)-2), OFFSET('Dividend Log'!$B$45, 0, ROW($A5)-2), OFFSET('Dividend Log'!$B$59, 0, ROW($A5)-2), OFFSET('Dividend Log'!$B$73, 0, ROW($A5)-2)))</f>
        <v>172.39</v>
      </c>
      <c r="AF5" s="143">
        <f t="shared" si="13"/>
        <v>1.182829179</v>
      </c>
      <c r="AG5" s="144">
        <f t="shared" si="14"/>
        <v>-0.4688437776</v>
      </c>
      <c r="AH5" s="145" t="str">
        <f t="shared" si="15"/>
        <v>Strong Buy</v>
      </c>
      <c r="AI5" s="136">
        <f t="shared" si="16"/>
        <v>0.02190524707</v>
      </c>
      <c r="AJ5" s="146" t="str">
        <f t="shared" si="17"/>
        <v>Avg. Cost</v>
      </c>
      <c r="AK5" s="147" t="str">
        <f>IFERROR(__xludf.DUMMYFUNCTION("LET(t, A5,
  IF(t="""","""",
    IFERROR(
      SUBSTITUTE(
        INDEX(
          IMPORTXML(
            ""https://finviz.com/quote.ashx?t=""&amp;t&amp;""&amp;ty=dv"",
            ""(//td[normalize-space()='Dividend TTM' or contains(.,'Dividend TTM')]/following-si"&amp;"bling::td[1])[1]""
          ),1,1),
      ""*"",""""),
      IFERROR(
        SUBSTITUTE(
          INDEX(
            IMPORTXML(
              ""https://finviz.com/quote.ashx?t=""&amp;t,
              ""(//td[normalize-space()='Dividend']/following-sibling:"&amp;":td[1])[1]""
            ),1,1),
        ""*"",""""),
      """")
    )
  )
)
"),"4.54 (3.77%)")</f>
        <v>4.54 (3.77%)</v>
      </c>
    </row>
    <row r="6">
      <c r="A6" s="149" t="s">
        <v>109</v>
      </c>
      <c r="B6" s="128" t="str">
        <f>IFERROR(__xludf.DUMMYFUNCTION("IF(ISBLANK(A6),"""", googlefinance(A6, ""name""))"),"Starbucks Corp")</f>
        <v>Starbucks Corp</v>
      </c>
      <c r="C6" s="129" t="str">
        <f t="shared" si="1"/>
        <v>View</v>
      </c>
      <c r="D6" s="130">
        <v>5.071</v>
      </c>
      <c r="E6" s="131">
        <v>81.62</v>
      </c>
      <c r="F6" s="132">
        <f>IFERROR(__xludf.DUMMYFUNCTION("IF(ISBLANK(A6),"""", googlefinance(A6, ""price""))"),98.69)</f>
        <v>98.69</v>
      </c>
      <c r="G6" s="133">
        <f>IF(ISBLANK(A6),"",IFERROR(VLOOKUP(A6, 'Intrinsic Values List'!$A$2:$D$70, 4, FALSE), "Not Found" ))</f>
        <v>89.57</v>
      </c>
      <c r="H6" s="134">
        <f>IF(ISBLANK(A6),"",IFERROR(VLOOKUP(A6, 'Intrinsic Values List'!$A$2:$G$70, 7, FALSE), "Not Found" ))</f>
        <v>5.17</v>
      </c>
      <c r="I6" s="135">
        <f>IFERROR(__xludf.DUMMYFUNCTION("IFERROR(googlefinance(A6,""change""),"""")"),1.54)</f>
        <v>1.54</v>
      </c>
      <c r="J6" s="136">
        <f>IFERROR(__xludf.DUMMYFUNCTION("iferror(GOOGLEFINANCE(A6,""changepct"")/100,"""")"),0.0159)</f>
        <v>0.0159</v>
      </c>
      <c r="K6" s="132">
        <f t="shared" si="2"/>
        <v>7.80934</v>
      </c>
      <c r="L6" s="132">
        <f>IFERROR(__xludf.DUMMYFUNCTION("IF(ISBLANK(A6),"""", googlefinance(A6, ""low52""))"),75.5)</f>
        <v>75.5</v>
      </c>
      <c r="M6" s="132" t="str">
        <f>IFERROR(__xludf.DUMMYFUNCTION("IF(ISBLANK(A6),"""",IFERROR(SPARKLINE((F6-L6)/(N6-L6),{""charttype"",""bar"";""max"",1;""min"",0;""color1"",""2c79b5""}),""n/a""))"),"")</f>
        <v/>
      </c>
      <c r="N6" s="132">
        <f>IFERROR(__xludf.DUMMYFUNCTION("IF(ISBLANK(A6),"""", googlefinance(A6, ""high52""))"),110.43)</f>
        <v>110.43</v>
      </c>
      <c r="O6" s="135">
        <f t="shared" si="3"/>
        <v>86.56197</v>
      </c>
      <c r="P6" s="132">
        <f t="shared" si="4"/>
        <v>98.99197</v>
      </c>
      <c r="Q6" s="136">
        <f t="shared" si="5"/>
        <v>0.2091399167</v>
      </c>
      <c r="R6" s="137">
        <f t="shared" si="6"/>
        <v>0.2391716866</v>
      </c>
      <c r="S6" s="138" t="s">
        <v>101</v>
      </c>
      <c r="T6" s="138" t="s">
        <v>110</v>
      </c>
      <c r="U6" s="138" t="s">
        <v>103</v>
      </c>
      <c r="V6" s="139">
        <f t="shared" si="7"/>
        <v>0.01241633079</v>
      </c>
      <c r="W6" s="140">
        <f>IFERROR(__xludf.DUMMYFUNCTION("IfError(IF(isblank(A6),"""",split(AK6, ""()"")))"),2.46)</f>
        <v>2.46</v>
      </c>
      <c r="X6" s="136">
        <f>IFERROR(__xludf.DUMMYFUNCTION("""COMPUTED_VALUE"""),0.0249)</f>
        <v>0.0249</v>
      </c>
      <c r="Y6" s="136">
        <f t="shared" si="8"/>
        <v>0.03013967165</v>
      </c>
      <c r="Z6" s="141">
        <v>0.075</v>
      </c>
      <c r="AA6" s="142">
        <f t="shared" si="9"/>
        <v>413.89502</v>
      </c>
      <c r="AB6" s="135">
        <f t="shared" si="10"/>
        <v>500.45699</v>
      </c>
      <c r="AC6" s="135">
        <f t="shared" si="11"/>
        <v>12.47466</v>
      </c>
      <c r="AD6" s="136">
        <f t="shared" si="12"/>
        <v>0.01413331776</v>
      </c>
      <c r="AE6" s="135">
        <f>IF(ISBLANK($A6),"",SUM(OFFSET('Dividend Log'!$B$17, 0, ROW($A6)-2), OFFSET('Dividend Log'!$B$31, 0, ROW($A6)-2), OFFSET('Dividend Log'!$B$45, 0, ROW($A6)-2), OFFSET('Dividend Log'!$B$59, 0, ROW($A6)-2), OFFSET('Dividend Log'!$B$73, 0, ROW($A6)-2)))</f>
        <v>12.43</v>
      </c>
      <c r="AF6" s="143">
        <f t="shared" si="13"/>
        <v>0.1264024724</v>
      </c>
      <c r="AG6" s="144">
        <f t="shared" si="14"/>
        <v>0.1018198057</v>
      </c>
      <c r="AH6" s="145" t="str">
        <f t="shared" si="15"/>
        <v>Expensive</v>
      </c>
      <c r="AI6" s="136">
        <f t="shared" si="16"/>
        <v>0.2091399167</v>
      </c>
      <c r="AJ6" s="146" t="str">
        <f t="shared" si="17"/>
        <v>Hold</v>
      </c>
      <c r="AK6" s="147" t="str">
        <f>IFERROR(__xludf.DUMMYFUNCTION("LET(t, A6,
  IF(t="""","""",
    IFERROR(
      SUBSTITUTE(
        INDEX(
          IMPORTXML(
            ""https://finviz.com/quote.ashx?t=""&amp;t&amp;""&amp;ty=dv"",
            ""(//td[normalize-space()='Dividend TTM' or contains(.,'Dividend TTM')]/following-si"&amp;"bling::td[1])[1]""
          ),1,1),
      ""*"",""""),
      IFERROR(
        SUBSTITUTE(
          INDEX(
            IMPORTXML(
              ""https://finviz.com/quote.ashx?t=""&amp;t,
              ""(//td[normalize-space()='Dividend']/following-sibling:"&amp;":td[1])[1]""
            ),1,1),
        ""*"",""""),
      """")
    )
  )
)
"),"2.46 (2.49%)")</f>
        <v>2.46 (2.49%)</v>
      </c>
    </row>
    <row r="7">
      <c r="A7" s="149" t="s">
        <v>111</v>
      </c>
      <c r="B7" s="128" t="str">
        <f>IFERROR(__xludf.DUMMYFUNCTION("IF(ISBLANK(A7),"""", googlefinance(A7, ""name""))"),"JPMorgan Chase &amp; Co")</f>
        <v>JPMorgan Chase &amp; Co</v>
      </c>
      <c r="C7" s="129" t="str">
        <f t="shared" si="1"/>
        <v>View</v>
      </c>
      <c r="D7" s="130">
        <v>2.057</v>
      </c>
      <c r="E7" s="131">
        <v>199.07</v>
      </c>
      <c r="F7" s="132">
        <f>IFERROR(__xludf.DUMMYFUNCTION("IF(ISBLANK(A7),"""", googlefinance(A7, ""price""))"),293.55)</f>
        <v>293.55</v>
      </c>
      <c r="G7" s="133">
        <f>IF(ISBLANK(A7),"",IFERROR(VLOOKUP(A7, 'Intrinsic Values List'!$A$2:$D$70, 4, FALSE), "Not Found" ))</f>
        <v>287.74</v>
      </c>
      <c r="H7" s="134">
        <f>IF(ISBLANK(A7),"",IFERROR(VLOOKUP(A7, 'Intrinsic Values List'!$A$2:$G$70, 7, FALSE), "Not Found" ))</f>
        <v>6.82</v>
      </c>
      <c r="I7" s="135">
        <f>IFERROR(__xludf.DUMMYFUNCTION("IFERROR(googlefinance(A7,""change""),"""")"),-5.84)</f>
        <v>-5.84</v>
      </c>
      <c r="J7" s="136">
        <f>IFERROR(__xludf.DUMMYFUNCTION("iferror(GOOGLEFINANCE(A7,""changepct"")/100,"""")"),-0.0195)</f>
        <v>-0.0195</v>
      </c>
      <c r="K7" s="132">
        <f t="shared" si="2"/>
        <v>-12.01288</v>
      </c>
      <c r="L7" s="132">
        <f>IFERROR(__xludf.DUMMYFUNCTION("IF(ISBLANK(A7),"""", googlefinance(A7, ""low52""))"),202.16)</f>
        <v>202.16</v>
      </c>
      <c r="M7" s="132" t="str">
        <f>IFERROR(__xludf.DUMMYFUNCTION("IF(ISBLANK(A7),"""",IFERROR(SPARKLINE((F7-L7)/(N7-L7),{""charttype"",""bar"";""max"",1;""min"",0;""color1"",""2c79b5""}),""n/a""))"),"")</f>
        <v/>
      </c>
      <c r="N7" s="132">
        <f>IFERROR(__xludf.DUMMYFUNCTION("IF(ISBLANK(A7),"""", googlefinance(A7, ""high52""))"),337.25)</f>
        <v>337.25</v>
      </c>
      <c r="O7" s="135">
        <f t="shared" si="3"/>
        <v>194.34536</v>
      </c>
      <c r="P7" s="132">
        <f t="shared" si="4"/>
        <v>212.37536</v>
      </c>
      <c r="Q7" s="136">
        <f t="shared" si="5"/>
        <v>0.4746069222</v>
      </c>
      <c r="R7" s="137">
        <f t="shared" si="6"/>
        <v>0.5186376251</v>
      </c>
      <c r="S7" s="138" t="s">
        <v>101</v>
      </c>
      <c r="T7" s="138" t="s">
        <v>112</v>
      </c>
      <c r="U7" s="138" t="s">
        <v>113</v>
      </c>
      <c r="V7" s="139">
        <f t="shared" si="7"/>
        <v>0.014981072</v>
      </c>
      <c r="W7" s="140">
        <f>IFERROR(__xludf.DUMMYFUNCTION("IfError(IF(isblank(A7),"""",split(AK7, ""()"")))"),5.8)</f>
        <v>5.8</v>
      </c>
      <c r="X7" s="136">
        <f>IFERROR(__xludf.DUMMYFUNCTION("""COMPUTED_VALUE"""),0.0198)</f>
        <v>0.0198</v>
      </c>
      <c r="Y7" s="136">
        <f t="shared" si="8"/>
        <v>0.02913547998</v>
      </c>
      <c r="Z7" s="141">
        <v>0.075</v>
      </c>
      <c r="AA7" s="142">
        <f t="shared" si="9"/>
        <v>409.48699</v>
      </c>
      <c r="AB7" s="135">
        <f t="shared" si="10"/>
        <v>603.83235</v>
      </c>
      <c r="AC7" s="135">
        <f t="shared" si="11"/>
        <v>11.9306</v>
      </c>
      <c r="AD7" s="136">
        <f t="shared" si="12"/>
        <v>0.01351691837</v>
      </c>
      <c r="AE7" s="135">
        <f>IF(ISBLANK($A7),"",SUM(OFFSET('Dividend Log'!$B$17, 0, ROW($A7)-2), OFFSET('Dividend Log'!$B$31, 0, ROW($A7)-2), OFFSET('Dividend Log'!$B$45, 0, ROW($A7)-2), OFFSET('Dividend Log'!$B$59, 0, ROW($A7)-2), OFFSET('Dividend Log'!$B$73, 0, ROW($A7)-2)))</f>
        <v>18.03</v>
      </c>
      <c r="AF7" s="143">
        <f t="shared" si="13"/>
        <v>0.04064247999</v>
      </c>
      <c r="AG7" s="144">
        <f t="shared" si="14"/>
        <v>0.02019183986</v>
      </c>
      <c r="AH7" s="145" t="str">
        <f t="shared" si="15"/>
        <v>Expensive</v>
      </c>
      <c r="AI7" s="136">
        <f t="shared" si="16"/>
        <v>0.4746069222</v>
      </c>
      <c r="AJ7" s="146" t="str">
        <f t="shared" si="17"/>
        <v>Hold</v>
      </c>
      <c r="AK7" s="147" t="str">
        <f>IFERROR(__xludf.DUMMYFUNCTION("LET(t, A7,
  IF(t="""","""",
    IFERROR(
      SUBSTITUTE(
        INDEX(
          IMPORTXML(
            ""https://finviz.com/quote.ashx?t=""&amp;t&amp;""&amp;ty=dv"",
            ""(//td[normalize-space()='Dividend TTM' or contains(.,'Dividend TTM')]/following-si"&amp;"bling::td[1])[1]""
          ),1,1),
      ""*"",""""),
      IFERROR(
        SUBSTITUTE(
          INDEX(
            IMPORTXML(
              ""https://finviz.com/quote.ashx?t=""&amp;t,
              ""(//td[normalize-space()='Dividend']/following-sibling:"&amp;":td[1])[1]""
            ),1,1),
        ""*"",""""),
      """")
    )
  )
)
"),"5.80 (1.98%)")</f>
        <v>5.80 (1.98%)</v>
      </c>
    </row>
    <row r="8">
      <c r="A8" s="149" t="s">
        <v>114</v>
      </c>
      <c r="B8" s="128" t="str">
        <f>IFERROR(__xludf.DUMMYFUNCTION("IF(ISBLANK(A8),"""", googlefinance(A8, ""name""))"),"Coca-Cola Co")</f>
        <v>Coca-Cola Co</v>
      </c>
      <c r="C8" s="129" t="str">
        <f t="shared" si="1"/>
        <v>View</v>
      </c>
      <c r="D8" s="130">
        <v>11.418</v>
      </c>
      <c r="E8" s="131">
        <v>63.85</v>
      </c>
      <c r="F8" s="132">
        <f>IFERROR(__xludf.DUMMYFUNCTION("IF(ISBLANK(A8),"""", googlefinance(A8, ""price""))"),77.03)</f>
        <v>77.03</v>
      </c>
      <c r="G8" s="133">
        <f>IF(ISBLANK(A8),"",IFERROR(VLOOKUP(A8, 'Intrinsic Values List'!$A$2:$D$70, 4, FALSE), "Not Found" ))</f>
        <v>40.7</v>
      </c>
      <c r="H8" s="134">
        <f>IF(ISBLANK(A8),"",IFERROR(VLOOKUP(A8, 'Intrinsic Values List'!$A$2:$G$70, 7, FALSE), "Not Found" ))</f>
        <v>6</v>
      </c>
      <c r="I8" s="135">
        <f>IFERROR(__xludf.DUMMYFUNCTION("IFERROR(googlefinance(A8,""change""),"""")"),-1.07)</f>
        <v>-1.07</v>
      </c>
      <c r="J8" s="136">
        <f>IFERROR(__xludf.DUMMYFUNCTION("iferror(GOOGLEFINANCE(A8,""changepct"")/100,"""")"),-0.0137)</f>
        <v>-0.0137</v>
      </c>
      <c r="K8" s="132">
        <f t="shared" si="2"/>
        <v>-12.21726</v>
      </c>
      <c r="L8" s="132">
        <f>IFERROR(__xludf.DUMMYFUNCTION("IF(ISBLANK(A8),"""", googlefinance(A8, ""low52""))"),65.35)</f>
        <v>65.35</v>
      </c>
      <c r="M8" s="132" t="str">
        <f>IFERROR(__xludf.DUMMYFUNCTION("IF(ISBLANK(A8),"""",IFERROR(SPARKLINE((F8-L8)/(N8-L8),{""charttype"",""bar"";""max"",1;""min"",0;""color1"",""2c79b5""}),""n/a""))"),"")</f>
        <v/>
      </c>
      <c r="N8" s="132">
        <f>IFERROR(__xludf.DUMMYFUNCTION("IF(ISBLANK(A8),"""", googlefinance(A8, ""high52""))"),82.0)</f>
        <v>82</v>
      </c>
      <c r="O8" s="135">
        <f t="shared" si="3"/>
        <v>150.48924</v>
      </c>
      <c r="P8" s="132">
        <f t="shared" si="4"/>
        <v>179.22924</v>
      </c>
      <c r="Q8" s="136">
        <f t="shared" si="5"/>
        <v>0.2064212999</v>
      </c>
      <c r="R8" s="137">
        <f t="shared" si="6"/>
        <v>0.245843043</v>
      </c>
      <c r="S8" s="138" t="s">
        <v>101</v>
      </c>
      <c r="T8" s="138" t="s">
        <v>108</v>
      </c>
      <c r="U8" s="138" t="s">
        <v>113</v>
      </c>
      <c r="V8" s="139">
        <f t="shared" si="7"/>
        <v>0.02182109054</v>
      </c>
      <c r="W8" s="140">
        <f>IFERROR(__xludf.DUMMYFUNCTION("IfError(IF(isblank(A8),"""",split(AK8, ""()"")))"),2.04)</f>
        <v>2.04</v>
      </c>
      <c r="X8" s="136">
        <f>IFERROR(__xludf.DUMMYFUNCTION("""COMPUTED_VALUE"""),0.0265)</f>
        <v>0.0265</v>
      </c>
      <c r="Y8" s="136">
        <f t="shared" si="8"/>
        <v>0.03194988254</v>
      </c>
      <c r="Z8" s="141">
        <v>0.035</v>
      </c>
      <c r="AA8" s="142">
        <f t="shared" si="9"/>
        <v>729.0393</v>
      </c>
      <c r="AB8" s="135">
        <f t="shared" si="10"/>
        <v>879.52854</v>
      </c>
      <c r="AC8" s="135">
        <f t="shared" si="11"/>
        <v>23.29272</v>
      </c>
      <c r="AD8" s="136">
        <f t="shared" si="12"/>
        <v>0.02638977041</v>
      </c>
      <c r="AE8" s="135">
        <f>IF(ISBLANK($A8),"",SUM(OFFSET('Dividend Log'!$B$17, 0, ROW($A8)-2), OFFSET('Dividend Log'!$B$31, 0, ROW($A8)-2), OFFSET('Dividend Log'!$B$45, 0, ROW($A8)-2), OFFSET('Dividend Log'!$B$59, 0, ROW($A8)-2), OFFSET('Dividend Log'!$B$73, 0, ROW($A8)-2)))</f>
        <v>28.74</v>
      </c>
      <c r="AF8" s="143">
        <f t="shared" si="13"/>
        <v>0.3023850448</v>
      </c>
      <c r="AG8" s="144">
        <f t="shared" si="14"/>
        <v>0.8926289926</v>
      </c>
      <c r="AH8" s="145" t="str">
        <f t="shared" si="15"/>
        <v>Overrated</v>
      </c>
      <c r="AI8" s="136">
        <f t="shared" si="16"/>
        <v>0.2064212999</v>
      </c>
      <c r="AJ8" s="146" t="str">
        <f t="shared" si="17"/>
        <v>Hold</v>
      </c>
      <c r="AK8" s="147" t="str">
        <f>IFERROR(__xludf.DUMMYFUNCTION("LET(t, A8,
  IF(t="""","""",
    IFERROR(
      SUBSTITUTE(
        INDEX(
          IMPORTXML(
            ""https://finviz.com/quote.ashx?t=""&amp;t&amp;""&amp;ty=dv"",
            ""(//td[normalize-space()='Dividend TTM' or contains(.,'Dividend TTM')]/following-si"&amp;"bling::td[1])[1]""
          ),1,1),
      ""*"",""""),
      IFERROR(
        SUBSTITUTE(
          INDEX(
            IMPORTXML(
              ""https://finviz.com/quote.ashx?t=""&amp;t,
              ""(//td[normalize-space()='Dividend']/following-sibling:"&amp;":td[1])[1]""
            ),1,1),
        ""*"",""""),
      """")
    )
  )
)
"),"2.04 (2.65%)")</f>
        <v>2.04 (2.65%)</v>
      </c>
    </row>
    <row r="9">
      <c r="A9" s="149" t="s">
        <v>115</v>
      </c>
      <c r="B9" s="128" t="str">
        <f>IFERROR(__xludf.DUMMYFUNCTION("IF(ISBLANK(A9),"""", googlefinance(A9, ""name""))"),"Realty Income Corp")</f>
        <v>Realty Income Corp</v>
      </c>
      <c r="C9" s="129" t="str">
        <f t="shared" si="1"/>
        <v>View</v>
      </c>
      <c r="D9" s="130">
        <v>31.001</v>
      </c>
      <c r="E9" s="131">
        <v>54.62</v>
      </c>
      <c r="F9" s="132">
        <f>IFERROR(__xludf.DUMMYFUNCTION("IF(ISBLANK(A9),"""", googlefinance(A9, ""price""))"),64.8)</f>
        <v>64.8</v>
      </c>
      <c r="G9" s="133">
        <f>IF(ISBLANK(A9),"",IFERROR(VLOOKUP(A9, 'Intrinsic Values List'!$A$2:$D$70, 4, FALSE), "Not Found" ))</f>
        <v>33.62</v>
      </c>
      <c r="H9" s="134">
        <f>IF(ISBLANK(A9),"",IFERROR(VLOOKUP(A9, 'Intrinsic Values List'!$A$2:$G$70, 7, FALSE), "Not Found" ))</f>
        <v>3.92</v>
      </c>
      <c r="I9" s="135">
        <f>IFERROR(__xludf.DUMMYFUNCTION("IFERROR(googlefinance(A9,""change""),"""")"),-1.2)</f>
        <v>-1.2</v>
      </c>
      <c r="J9" s="136">
        <f>IFERROR(__xludf.DUMMYFUNCTION("iferror(GOOGLEFINANCE(A9,""changepct"")/100,"""")"),-0.0182)</f>
        <v>-0.0182</v>
      </c>
      <c r="K9" s="132">
        <f t="shared" si="2"/>
        <v>-37.2012</v>
      </c>
      <c r="L9" s="132">
        <f>IFERROR(__xludf.DUMMYFUNCTION("IF(ISBLANK(A9),"""", googlefinance(A9, ""low52""))"),50.71)</f>
        <v>50.71</v>
      </c>
      <c r="M9" s="132" t="str">
        <f>IFERROR(__xludf.DUMMYFUNCTION("IF(ISBLANK(A9),"""",IFERROR(SPARKLINE((F9-L9)/(N9-L9),{""charttype"",""bar"";""max"",1;""min"",0;""color1"",""2c79b5""}),""n/a""))"),"")</f>
        <v/>
      </c>
      <c r="N9" s="132">
        <f>IFERROR(__xludf.DUMMYFUNCTION("IF(ISBLANK(A9),"""", googlefinance(A9, ""high52""))"),67.94)</f>
        <v>67.94</v>
      </c>
      <c r="O9" s="135">
        <f t="shared" si="3"/>
        <v>315.59018</v>
      </c>
      <c r="P9" s="132">
        <f t="shared" si="4"/>
        <v>439.59018</v>
      </c>
      <c r="Q9" s="136">
        <f t="shared" si="5"/>
        <v>0.1863786159</v>
      </c>
      <c r="R9" s="137">
        <f t="shared" si="6"/>
        <v>0.2596095015</v>
      </c>
      <c r="S9" s="138" t="s">
        <v>101</v>
      </c>
      <c r="T9" s="138" t="s">
        <v>116</v>
      </c>
      <c r="U9" s="138" t="s">
        <v>113</v>
      </c>
      <c r="V9" s="139">
        <f t="shared" si="7"/>
        <v>0.04983990705</v>
      </c>
      <c r="W9" s="140">
        <f>IFERROR(__xludf.DUMMYFUNCTION("IfError(IF(isblank(A9),"""",split(AK9, ""()"")))"),3.5)</f>
        <v>3.5</v>
      </c>
      <c r="X9" s="136">
        <f>IFERROR(__xludf.DUMMYFUNCTION("""COMPUTED_VALUE"""),0.054)</f>
        <v>0.054</v>
      </c>
      <c r="Y9" s="136">
        <f t="shared" si="8"/>
        <v>0.06407909191</v>
      </c>
      <c r="Z9" s="141">
        <v>0.0355</v>
      </c>
      <c r="AA9" s="142">
        <f t="shared" si="9"/>
        <v>1693.27462</v>
      </c>
      <c r="AB9" s="135">
        <f t="shared" si="10"/>
        <v>2008.8648</v>
      </c>
      <c r="AC9" s="135">
        <f t="shared" si="11"/>
        <v>108.5035</v>
      </c>
      <c r="AD9" s="136">
        <f t="shared" si="12"/>
        <v>0.12293036</v>
      </c>
      <c r="AE9" s="135">
        <f>IF(ISBLANK($A9),"",SUM(OFFSET('Dividend Log'!$B$17, 0, ROW($A9)-2), OFFSET('Dividend Log'!$B$31, 0, ROW($A9)-2), OFFSET('Dividend Log'!$B$45, 0, ROW($A9)-2), OFFSET('Dividend Log'!$B$59, 0, ROW($A9)-2), OFFSET('Dividend Log'!$B$73, 0, ROW($A9)-2)))</f>
        <v>124</v>
      </c>
      <c r="AF9" s="143">
        <f t="shared" si="13"/>
        <v>1.674436728</v>
      </c>
      <c r="AG9" s="144">
        <f t="shared" si="14"/>
        <v>0.9274241523</v>
      </c>
      <c r="AH9" s="145" t="str">
        <f t="shared" si="15"/>
        <v>Overrated</v>
      </c>
      <c r="AI9" s="136">
        <f t="shared" si="16"/>
        <v>0.1863786159</v>
      </c>
      <c r="AJ9" s="146" t="str">
        <f t="shared" si="17"/>
        <v>Hold</v>
      </c>
      <c r="AK9" s="147" t="str">
        <f>IFERROR(__xludf.DUMMYFUNCTION("LET(t, A9,
  IF(t="""","""",
    IFERROR(
      SUBSTITUTE(
        INDEX(
          IMPORTXML(
            ""https://finviz.com/quote.ashx?t=""&amp;t&amp;""&amp;ty=dv"",
            ""(//td[normalize-space()='Dividend TTM' or contains(.,'Dividend TTM')]/following-si"&amp;"bling::td[1])[1]""
          ),1,1),
      ""*"",""""),
      IFERROR(
        SUBSTITUTE(
          INDEX(
            IMPORTXML(
              ""https://finviz.com/quote.ashx?t=""&amp;t,
              ""(//td[normalize-space()='Dividend']/following-sibling:"&amp;":td[1])[1]""
            ),1,1),
        ""*"",""""),
      """")
    )
  )
)
"),"3.50 (5.40%)")</f>
        <v>3.50 (5.40%)</v>
      </c>
    </row>
    <row r="10">
      <c r="A10" s="149" t="s">
        <v>117</v>
      </c>
      <c r="B10" s="128" t="str">
        <f>IFERROR(__xludf.DUMMYFUNCTION("IF(ISBLANK(A10),"""", googlefinance(A10, ""name""))"),"VICI Properties Inc")</f>
        <v>VICI Properties Inc</v>
      </c>
      <c r="C10" s="129" t="str">
        <f t="shared" si="1"/>
        <v>View</v>
      </c>
      <c r="D10" s="130">
        <v>15.874</v>
      </c>
      <c r="E10" s="131">
        <v>29.95</v>
      </c>
      <c r="F10" s="132">
        <f>IFERROR(__xludf.DUMMYFUNCTION("IF(ISBLANK(A10),"""", googlefinance(A10, ""price""))"),29.69)</f>
        <v>29.69</v>
      </c>
      <c r="G10" s="133">
        <f>IF(ISBLANK(A10),"",IFERROR(VLOOKUP(A10, 'Intrinsic Values List'!$A$2:$D$70, 4, FALSE), "Not Found" ))</f>
        <v>86.13</v>
      </c>
      <c r="H10" s="134">
        <f>IF(ISBLANK(A10),"",IFERROR(VLOOKUP(A10, 'Intrinsic Values List'!$A$2:$G$70, 7, FALSE), "Not Found" ))</f>
        <v>5.78</v>
      </c>
      <c r="I10" s="135">
        <f>IFERROR(__xludf.DUMMYFUNCTION("IFERROR(googlefinance(A10,""change""),"""")"),-0.2)</f>
        <v>-0.2</v>
      </c>
      <c r="J10" s="136">
        <f>IFERROR(__xludf.DUMMYFUNCTION("iferror(GOOGLEFINANCE(A10,""changepct"")/100,"""")"),-0.0067)</f>
        <v>-0.0067</v>
      </c>
      <c r="K10" s="135">
        <f t="shared" si="2"/>
        <v>-3.1748</v>
      </c>
      <c r="L10" s="132">
        <f>IFERROR(__xludf.DUMMYFUNCTION("IF(ISBLANK(A10),"""", googlefinance(A10, ""low52""))"),27.48)</f>
        <v>27.48</v>
      </c>
      <c r="M10" s="132" t="str">
        <f>IFERROR(__xludf.DUMMYFUNCTION("IF(ISBLANK(A10),"""",IFERROR(SPARKLINE((F10-L10)/(N10-L10),{""charttype"",""bar"";""max"",1;""min"",0;""color1"",""2c79b5""}),""n/a""))"),"")</f>
        <v/>
      </c>
      <c r="N10" s="132">
        <f>IFERROR(__xludf.DUMMYFUNCTION("IF(ISBLANK(A10),"""", googlefinance(A10, ""high52""))"),34.03)</f>
        <v>34.03</v>
      </c>
      <c r="O10" s="135">
        <f t="shared" si="3"/>
        <v>-4.12724</v>
      </c>
      <c r="P10" s="132">
        <f t="shared" si="4"/>
        <v>22.89276</v>
      </c>
      <c r="Q10" s="136">
        <f t="shared" si="5"/>
        <v>-0.008681135225</v>
      </c>
      <c r="R10" s="137">
        <f t="shared" si="6"/>
        <v>0.048152069</v>
      </c>
      <c r="S10" s="138" t="s">
        <v>101</v>
      </c>
      <c r="T10" s="138" t="s">
        <v>116</v>
      </c>
      <c r="U10" s="138" t="s">
        <v>113</v>
      </c>
      <c r="V10" s="136">
        <f t="shared" si="7"/>
        <v>0.01169292296</v>
      </c>
      <c r="W10" s="140">
        <f>IFERROR(__xludf.DUMMYFUNCTION("IfError(IF(isblank(A10),"""",split(AK10, ""()"")))"),1.76)</f>
        <v>1.76</v>
      </c>
      <c r="X10" s="136">
        <f>IFERROR(__xludf.DUMMYFUNCTION("""COMPUTED_VALUE"""),0.0594)</f>
        <v>0.0594</v>
      </c>
      <c r="Y10" s="136">
        <f t="shared" si="8"/>
        <v>0.05876460768</v>
      </c>
      <c r="Z10" s="141">
        <v>0.0664</v>
      </c>
      <c r="AA10" s="142">
        <f t="shared" si="9"/>
        <v>475.4263</v>
      </c>
      <c r="AB10" s="135">
        <f t="shared" si="10"/>
        <v>471.29906</v>
      </c>
      <c r="AC10" s="135">
        <f t="shared" si="11"/>
        <v>27.93824</v>
      </c>
      <c r="AD10" s="136">
        <f t="shared" si="12"/>
        <v>0.0316529688</v>
      </c>
      <c r="AE10" s="135">
        <f>IF(ISBLANK($A10),"",SUM(OFFSET('Dividend Log'!$B$17, 0, ROW($A10)-2), OFFSET('Dividend Log'!$B$31, 0, ROW($A10)-2), OFFSET('Dividend Log'!$B$45, 0, ROW($A10)-2), OFFSET('Dividend Log'!$B$59, 0, ROW($A10)-2), OFFSET('Dividend Log'!$B$73, 0, ROW($A10)-2)))</f>
        <v>27.02</v>
      </c>
      <c r="AF10" s="143">
        <f t="shared" si="13"/>
        <v>0.9409983159</v>
      </c>
      <c r="AG10" s="144">
        <f t="shared" si="14"/>
        <v>-0.6552885174</v>
      </c>
      <c r="AH10" s="145" t="str">
        <f t="shared" si="15"/>
        <v>Strong Buy</v>
      </c>
      <c r="AI10" s="136">
        <f t="shared" si="16"/>
        <v>-0.008681135225</v>
      </c>
      <c r="AJ10" s="146" t="str">
        <f t="shared" si="17"/>
        <v>Avg. Cost</v>
      </c>
      <c r="AK10" s="147" t="str">
        <f>IFERROR(__xludf.DUMMYFUNCTION("LET(t, A10,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"),"1.76 (5.94%)")</f>
        <v>1.76 (5.94%)</v>
      </c>
    </row>
    <row r="11">
      <c r="A11" s="149" t="s">
        <v>118</v>
      </c>
      <c r="B11" s="128" t="str">
        <f>IFERROR(__xludf.DUMMYFUNCTION("IF(ISBLANK(A11),"""", googlefinance(A11, ""name""))"),"UnitedHealth Group Inc")</f>
        <v>UnitedHealth Group Inc</v>
      </c>
      <c r="C11" s="129" t="str">
        <f t="shared" si="1"/>
        <v>View</v>
      </c>
      <c r="D11" s="130">
        <v>5.066</v>
      </c>
      <c r="E11" s="131">
        <v>261.98</v>
      </c>
      <c r="F11" s="132">
        <f>IFERROR(__xludf.DUMMYFUNCTION("IF(ISBLANK(A11),"""", googlefinance(A11, ""price""))"),288.77)</f>
        <v>288.77</v>
      </c>
      <c r="G11" s="133">
        <f>IF(ISBLANK(A11),"",IFERROR(VLOOKUP(A11, 'Intrinsic Values List'!$A$2:$D$70, 4, FALSE), "Not Found" ))</f>
        <v>362.68</v>
      </c>
      <c r="H11" s="134">
        <f>IF(ISBLANK(A11),"",IFERROR(VLOOKUP(A11, 'Intrinsic Values List'!$A$2:$G$70, 7, FALSE), "Not Found" ))</f>
        <v>5</v>
      </c>
      <c r="I11" s="135">
        <f>IFERROR(__xludf.DUMMYFUNCTION("IFERROR(googlefinance(A11,""change""),"""")"),-3.19)</f>
        <v>-3.19</v>
      </c>
      <c r="J11" s="136">
        <f>IFERROR(__xludf.DUMMYFUNCTION("iferror(GOOGLEFINANCE(A11,""changepct"")/100,"""")"),-0.0109)</f>
        <v>-0.0109</v>
      </c>
      <c r="K11" s="132">
        <f t="shared" si="2"/>
        <v>-16.16054</v>
      </c>
      <c r="L11" s="132">
        <f>IFERROR(__xludf.DUMMYFUNCTION("IF(ISBLANK(A11),"""", googlefinance(A11, ""low52""))"),234.6)</f>
        <v>234.6</v>
      </c>
      <c r="M11" s="132" t="str">
        <f>IFERROR(__xludf.DUMMYFUNCTION("IF(ISBLANK(A11),"""",IFERROR(SPARKLINE((F11-L11)/(N11-L11),{""charttype"",""bar"";""max"",1;""min"",0;""color1"",""2c79b5""}),""n/a""))"),"")</f>
        <v/>
      </c>
      <c r="N11" s="132">
        <f>IFERROR(__xludf.DUMMYFUNCTION("IF(ISBLANK(A11),"""", googlefinance(A11, ""high52""))"),606.36)</f>
        <v>606.36</v>
      </c>
      <c r="O11" s="135">
        <f t="shared" si="3"/>
        <v>135.71814</v>
      </c>
      <c r="P11" s="132">
        <f t="shared" si="4"/>
        <v>157.88814</v>
      </c>
      <c r="Q11" s="136">
        <f t="shared" si="5"/>
        <v>0.1022597145</v>
      </c>
      <c r="R11" s="137">
        <f t="shared" si="6"/>
        <v>0.1189641717</v>
      </c>
      <c r="S11" s="138" t="s">
        <v>101</v>
      </c>
      <c r="T11" s="138" t="s">
        <v>119</v>
      </c>
      <c r="U11" s="138" t="s">
        <v>113</v>
      </c>
      <c r="V11" s="139">
        <f t="shared" si="7"/>
        <v>0.03629474697</v>
      </c>
      <c r="W11" s="140">
        <f>IFERROR(__xludf.DUMMYFUNCTION("IfError(IF(isblank(A11),"""",split(AK11, ""()"")))"),8.73)</f>
        <v>8.73</v>
      </c>
      <c r="X11" s="136">
        <f>IFERROR(__xludf.DUMMYFUNCTION("""COMPUTED_VALUE"""),0.0302)</f>
        <v>0.0302</v>
      </c>
      <c r="Y11" s="136">
        <f t="shared" si="8"/>
        <v>0.03332315444</v>
      </c>
      <c r="Z11" s="141">
        <v>0.0875</v>
      </c>
      <c r="AA11" s="142">
        <f t="shared" si="9"/>
        <v>1327.19068</v>
      </c>
      <c r="AB11" s="135">
        <f t="shared" si="10"/>
        <v>1462.90882</v>
      </c>
      <c r="AC11" s="135">
        <f t="shared" si="11"/>
        <v>44.22618</v>
      </c>
      <c r="AD11" s="136">
        <f t="shared" si="12"/>
        <v>0.05010658851</v>
      </c>
      <c r="AE11" s="135">
        <f>IF(ISBLANK($A11),"",SUM(OFFSET('Dividend Log'!$B$17, 0, ROW($A11)-2), OFFSET('Dividend Log'!$B$31, 0, ROW($A11)-2), OFFSET('Dividend Log'!$B$45, 0, ROW($A11)-2), OFFSET('Dividend Log'!$B$59, 0, ROW($A11)-2), OFFSET('Dividend Log'!$B$73, 0, ROW($A11)-2)))</f>
        <v>22.17</v>
      </c>
      <c r="AF11" s="143">
        <f t="shared" si="13"/>
        <v>0.1531536517</v>
      </c>
      <c r="AG11" s="144">
        <f t="shared" si="14"/>
        <v>-0.2037884637</v>
      </c>
      <c r="AH11" s="145" t="str">
        <f t="shared" si="15"/>
        <v>Strong Buy</v>
      </c>
      <c r="AI11" s="136">
        <f t="shared" si="16"/>
        <v>0.1022597145</v>
      </c>
      <c r="AJ11" s="146" t="str">
        <f t="shared" si="17"/>
        <v>Overcost</v>
      </c>
      <c r="AK11" s="147" t="str">
        <f>IFERROR(__xludf.DUMMYFUNCTION("LET(t, A11,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"),"8.73 (3.02%)")</f>
        <v>8.73 (3.02%)</v>
      </c>
    </row>
    <row r="12">
      <c r="A12" s="150" t="s">
        <v>120</v>
      </c>
      <c r="B12" s="151" t="str">
        <f>IFERROR(__xludf.DUMMYFUNCTION("IF(ISBLANK(A12),"""", googlefinance(A12, ""name""))"),"Vanguard Information Technology Index Fund ETF")</f>
        <v>Vanguard Information Technology Index Fund ETF</v>
      </c>
      <c r="C12" s="152" t="str">
        <f t="shared" si="1"/>
        <v>View</v>
      </c>
      <c r="D12" s="153">
        <v>3.015</v>
      </c>
      <c r="E12" s="154">
        <v>507.59</v>
      </c>
      <c r="F12" s="155">
        <f>IFERROR(__xludf.DUMMYFUNCTION("IF(ISBLANK(A12),"""", googlefinance(A12, ""price""))"),733.27)</f>
        <v>733.27</v>
      </c>
      <c r="G12" s="156" t="str">
        <f>IF(ISBLANK(A12),"",IFERROR(VLOOKUP(A12, 'Intrinsic Values List'!$A$2:$D$70, 4, FALSE), "Not Found" ))</f>
        <v>Not Found</v>
      </c>
      <c r="H12" s="157" t="str">
        <f>IF(ISBLANK(A12),"",IFERROR(VLOOKUP(A12, 'Intrinsic Values List'!$A$2:$G$70, 7, FALSE), "Not Found" ))</f>
        <v>Not Found</v>
      </c>
      <c r="I12" s="158">
        <f>IFERROR(__xludf.DUMMYFUNCTION("IFERROR(googlefinance(A12,""change""),"""")"),0.14)</f>
        <v>0.14</v>
      </c>
      <c r="J12" s="159">
        <f>IFERROR(__xludf.DUMMYFUNCTION("iferror(GOOGLEFINANCE(A12,""changepct"")/100,"""")"),2.0E-4)</f>
        <v>0.0002</v>
      </c>
      <c r="K12" s="155">
        <f t="shared" si="2"/>
        <v>0.4221</v>
      </c>
      <c r="L12" s="155">
        <f>IFERROR(__xludf.DUMMYFUNCTION("IF(ISBLANK(A12),"""", googlefinance(A12, ""low52""))"),451.0)</f>
        <v>451</v>
      </c>
      <c r="M12" s="160" t="str">
        <f>IFERROR(__xludf.DUMMYFUNCTION("IF(ISBLANK(A12),"""",IFERROR(SPARKLINE((F12-L12)/(N12-L12),{""charttype"",""bar"";""max"",1;""min"",0;""color1"",""2c79b5""}),""n/a""))"),"")</f>
        <v/>
      </c>
      <c r="N12" s="155">
        <f>IFERROR(__xludf.DUMMYFUNCTION("IF(ISBLANK(A12),"""", googlefinance(A12, ""high52""))"),806.99)</f>
        <v>806.99</v>
      </c>
      <c r="O12" s="158">
        <f t="shared" si="3"/>
        <v>680.4252</v>
      </c>
      <c r="P12" s="161">
        <f t="shared" si="4"/>
        <v>690.5852</v>
      </c>
      <c r="Q12" s="159">
        <f t="shared" si="5"/>
        <v>0.4446108079</v>
      </c>
      <c r="R12" s="162">
        <f t="shared" si="6"/>
        <v>0.4512496652</v>
      </c>
      <c r="S12" s="163" t="s">
        <v>121</v>
      </c>
      <c r="T12" s="163" t="s">
        <v>122</v>
      </c>
      <c r="U12" s="163" t="s">
        <v>103</v>
      </c>
      <c r="V12" s="164">
        <f t="shared" si="7"/>
        <v>0.05485014102</v>
      </c>
      <c r="W12" s="165">
        <f>IFERROR(__xludf.DUMMYFUNCTION("IfError(IF(isblank(A12),"""",split(AK12, ""()"")))"),3.05)</f>
        <v>3.05</v>
      </c>
      <c r="X12" s="164">
        <f>IFERROR(__xludf.DUMMYFUNCTION("""COMPUTED_VALUE"""),0.0042)</f>
        <v>0.0042</v>
      </c>
      <c r="Y12" s="164">
        <f t="shared" si="8"/>
        <v>0.006008786619</v>
      </c>
      <c r="Z12" s="166">
        <v>0.0875</v>
      </c>
      <c r="AA12" s="167">
        <f t="shared" si="9"/>
        <v>1530.38385</v>
      </c>
      <c r="AB12" s="167">
        <f t="shared" si="10"/>
        <v>2210.80905</v>
      </c>
      <c r="AC12" s="167">
        <f t="shared" si="11"/>
        <v>9.19575</v>
      </c>
      <c r="AD12" s="164">
        <f t="shared" si="12"/>
        <v>0.0104184368</v>
      </c>
      <c r="AE12" s="167">
        <f>IF(ISBLANK($A12),"",SUM(OFFSET('Dividend Log'!$B$17, 0, ROW($A12)-2), OFFSET('Dividend Log'!$B$31, 0, ROW($A12)-2), OFFSET('Dividend Log'!$B$45, 0, ROW($A12)-2), OFFSET('Dividend Log'!$B$59, 0, ROW($A12)-2), OFFSET('Dividend Log'!$B$73, 0, ROW($A12)-2)))</f>
        <v>10.16</v>
      </c>
      <c r="AF12" s="168">
        <f t="shared" si="13"/>
        <v>0.01254074216</v>
      </c>
      <c r="AG12" s="169" t="str">
        <f t="shared" si="14"/>
        <v/>
      </c>
      <c r="AH12" s="170" t="str">
        <f t="shared" si="15"/>
        <v/>
      </c>
      <c r="AI12" s="159">
        <f t="shared" si="16"/>
        <v>0.4446108079</v>
      </c>
      <c r="AJ12" s="171" t="str">
        <f t="shared" si="17"/>
        <v>Hold</v>
      </c>
      <c r="AK12" s="147" t="str">
        <f>IFERROR(__xludf.DUMMYFUNCTION("LET(t, A12,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"),"3.05 (0.42%)")</f>
        <v>3.05 (0.42%)</v>
      </c>
    </row>
    <row r="13">
      <c r="A13" s="150" t="s">
        <v>123</v>
      </c>
      <c r="B13" s="151" t="str">
        <f>IFERROR(__xludf.DUMMYFUNCTION("IF(ISBLANK(A13),"""", googlefinance(A13, ""name""))"),"Vanguard S&amp;P 500 ETF")</f>
        <v>Vanguard S&amp;P 500 ETF</v>
      </c>
      <c r="C13" s="152" t="str">
        <f t="shared" si="1"/>
        <v>View</v>
      </c>
      <c r="D13" s="153">
        <v>3.064</v>
      </c>
      <c r="E13" s="154">
        <v>480.16</v>
      </c>
      <c r="F13" s="155">
        <f>IFERROR(__xludf.DUMMYFUNCTION("IF(ISBLANK(A13),"""", googlefinance(A13, ""price""))"),626.81)</f>
        <v>626.81</v>
      </c>
      <c r="G13" s="156" t="str">
        <f>IF(ISBLANK(A13),"",IFERROR(VLOOKUP(A13, 'Intrinsic Values List'!$A$2:$D$70, 4, FALSE), "Not Found" ))</f>
        <v>Not Found</v>
      </c>
      <c r="H13" s="157" t="str">
        <f>IF(ISBLANK(A13),"",IFERROR(VLOOKUP(A13, 'Intrinsic Values List'!$A$2:$G$70, 7, FALSE), "Not Found" ))</f>
        <v>Not Found</v>
      </c>
      <c r="I13" s="158">
        <f>IFERROR(__xludf.DUMMYFUNCTION("IFERROR(googlefinance(A13,""change""),"""")"),-3.37)</f>
        <v>-3.37</v>
      </c>
      <c r="J13" s="159">
        <f>IFERROR(__xludf.DUMMYFUNCTION("iferror(GOOGLEFINANCE(A13,""changepct"")/100,"""")"),-0.0053)</f>
        <v>-0.0053</v>
      </c>
      <c r="K13" s="155">
        <f t="shared" si="2"/>
        <v>-10.32568</v>
      </c>
      <c r="L13" s="155">
        <f>IFERROR(__xludf.DUMMYFUNCTION("IF(ISBLANK(A13),"""", googlefinance(A13, ""low52""))"),442.8)</f>
        <v>442.8</v>
      </c>
      <c r="M13" s="160" t="str">
        <f>IFERROR(__xludf.DUMMYFUNCTION("IF(ISBLANK(A13),"""",IFERROR(SPARKLINE((F13-L13)/(N13-L13),{""charttype"",""bar"";""max"",1;""min"",0;""color1"",""2c79b5""}),""n/a""))"),"")</f>
        <v/>
      </c>
      <c r="N13" s="155">
        <f>IFERROR(__xludf.DUMMYFUNCTION("IF(ISBLANK(A13),"""", googlefinance(A13, ""high52""))"),641.8)</f>
        <v>641.8</v>
      </c>
      <c r="O13" s="158">
        <f t="shared" si="3"/>
        <v>449.3356</v>
      </c>
      <c r="P13" s="161">
        <f t="shared" si="4"/>
        <v>484.5656</v>
      </c>
      <c r="Q13" s="159">
        <f t="shared" si="5"/>
        <v>0.305419027</v>
      </c>
      <c r="R13" s="162">
        <f t="shared" si="6"/>
        <v>0.3293652986</v>
      </c>
      <c r="S13" s="163" t="s">
        <v>121</v>
      </c>
      <c r="T13" s="163" t="s">
        <v>122</v>
      </c>
      <c r="U13" s="163" t="s">
        <v>124</v>
      </c>
      <c r="V13" s="164">
        <f t="shared" si="7"/>
        <v>0.04764871492</v>
      </c>
      <c r="W13" s="165">
        <f>IFERROR(__xludf.DUMMYFUNCTION("IfError(IF(isblank(A13),"""",split(AK13, ""()"")))"),7.07)</f>
        <v>7.07</v>
      </c>
      <c r="X13" s="164">
        <f>IFERROR(__xludf.DUMMYFUNCTION("""COMPUTED_VALUE"""),0.0113)</f>
        <v>0.0113</v>
      </c>
      <c r="Y13" s="164">
        <f t="shared" si="8"/>
        <v>0.01472425858</v>
      </c>
      <c r="Z13" s="166">
        <v>0.0465</v>
      </c>
      <c r="AA13" s="167">
        <f t="shared" si="9"/>
        <v>1471.21024</v>
      </c>
      <c r="AB13" s="167">
        <f t="shared" si="10"/>
        <v>1920.54584</v>
      </c>
      <c r="AC13" s="167">
        <f t="shared" si="11"/>
        <v>21.66248</v>
      </c>
      <c r="AD13" s="164">
        <f t="shared" si="12"/>
        <v>0.02454277018</v>
      </c>
      <c r="AE13" s="167">
        <f>IF(ISBLANK($A13),"",SUM(OFFSET('Dividend Log'!$B$17, 0, ROW($A13)-2), OFFSET('Dividend Log'!$B$31, 0, ROW($A13)-2), OFFSET('Dividend Log'!$B$45, 0, ROW($A13)-2), OFFSET('Dividend Log'!$B$59, 0, ROW($A13)-2), OFFSET('Dividend Log'!$B$73, 0, ROW($A13)-2)))</f>
        <v>35.23</v>
      </c>
      <c r="AF13" s="168">
        <f t="shared" si="13"/>
        <v>0.03455988258</v>
      </c>
      <c r="AG13" s="169" t="str">
        <f t="shared" si="14"/>
        <v/>
      </c>
      <c r="AH13" s="170" t="str">
        <f t="shared" si="15"/>
        <v/>
      </c>
      <c r="AI13" s="159">
        <f t="shared" si="16"/>
        <v>0.305419027</v>
      </c>
      <c r="AJ13" s="171" t="str">
        <f t="shared" si="17"/>
        <v>Hold</v>
      </c>
      <c r="AK13" s="147" t="str">
        <f>IFERROR(__xludf.DUMMYFUNCTION("LET(t, A13,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"),"7.07 (1.13%)")</f>
        <v>7.07 (1.13%)</v>
      </c>
    </row>
    <row r="14">
      <c r="A14" s="150" t="s">
        <v>125</v>
      </c>
      <c r="B14" s="151" t="str">
        <f>IFERROR(__xludf.DUMMYFUNCTION("IF(ISBLANK(A14),"""", googlefinance(A14, ""name""))"),"Vanguard Total Stock Market Index Fund ETF")</f>
        <v>Vanguard Total Stock Market Index Fund ETF</v>
      </c>
      <c r="C14" s="152" t="str">
        <f t="shared" si="1"/>
        <v>View</v>
      </c>
      <c r="D14" s="153">
        <v>8.147</v>
      </c>
      <c r="E14" s="154">
        <v>260.86</v>
      </c>
      <c r="F14" s="155">
        <f>IFERROR(__xludf.DUMMYFUNCTION("IF(ISBLANK(A14),"""", googlefinance(A14, ""price""))"),336.0)</f>
        <v>336</v>
      </c>
      <c r="G14" s="156" t="str">
        <f>IF(ISBLANK(A14),"",IFERROR(VLOOKUP(A14, 'Intrinsic Values List'!$A$2:$D$70, 4, FALSE), "Not Found" ))</f>
        <v>Not Found</v>
      </c>
      <c r="H14" s="157" t="str">
        <f>IF(ISBLANK(A14),"",IFERROR(VLOOKUP(A14, 'Intrinsic Values List'!$A$2:$G$70, 7, FALSE), "Not Found" ))</f>
        <v>Not Found</v>
      </c>
      <c r="I14" s="158">
        <f>IFERROR(__xludf.DUMMYFUNCTION("IFERROR(googlefinance(A14,""change""),"""")"),-2.19)</f>
        <v>-2.19</v>
      </c>
      <c r="J14" s="159">
        <f>IFERROR(__xludf.DUMMYFUNCTION("iferror(GOOGLEFINANCE(A14,""changepct"")/100,"""")"),-0.006500000000000001)</f>
        <v>-0.0065</v>
      </c>
      <c r="K14" s="155">
        <f t="shared" si="2"/>
        <v>-17.84193</v>
      </c>
      <c r="L14" s="155">
        <f>IFERROR(__xludf.DUMMYFUNCTION("IF(ISBLANK(A14),"""", googlefinance(A14, ""low52""))"),236.5)</f>
        <v>236.5</v>
      </c>
      <c r="M14" s="160" t="str">
        <f>IFERROR(__xludf.DUMMYFUNCTION("IF(ISBLANK(A14),"""",IFERROR(SPARKLINE((F14-L14)/(N14-L14),{""charttype"",""bar"";""max"",1;""min"",0;""color1"",""2c79b5""}),""n/a""))"),"")</f>
        <v/>
      </c>
      <c r="N14" s="155">
        <f>IFERROR(__xludf.DUMMYFUNCTION("IF(ISBLANK(A14),"""", googlefinance(A14, ""high52""))"),344.4)</f>
        <v>344.4</v>
      </c>
      <c r="O14" s="158">
        <f t="shared" si="3"/>
        <v>612.16558</v>
      </c>
      <c r="P14" s="161">
        <f t="shared" si="4"/>
        <v>656.26558</v>
      </c>
      <c r="Q14" s="159">
        <f t="shared" si="5"/>
        <v>0.2880472284</v>
      </c>
      <c r="R14" s="162">
        <f t="shared" si="6"/>
        <v>0.3087979586</v>
      </c>
      <c r="S14" s="163" t="s">
        <v>121</v>
      </c>
      <c r="T14" s="163" t="s">
        <v>122</v>
      </c>
      <c r="U14" s="163" t="s">
        <v>124</v>
      </c>
      <c r="V14" s="164">
        <f t="shared" si="7"/>
        <v>0.0679146565</v>
      </c>
      <c r="W14" s="165">
        <f>IFERROR(__xludf.DUMMYFUNCTION("IfError(IF(isblank(A14),"""",split(AK14, ""()"")))"),3.76)</f>
        <v>3.76</v>
      </c>
      <c r="X14" s="164">
        <f>IFERROR(__xludf.DUMMYFUNCTION("""COMPUTED_VALUE"""),0.0112)</f>
        <v>0.0112</v>
      </c>
      <c r="Y14" s="164">
        <f t="shared" si="8"/>
        <v>0.01441386184</v>
      </c>
      <c r="Z14" s="166">
        <v>0.0471</v>
      </c>
      <c r="AA14" s="167">
        <f t="shared" si="9"/>
        <v>2125.22642</v>
      </c>
      <c r="AB14" s="167">
        <f t="shared" si="10"/>
        <v>2737.392</v>
      </c>
      <c r="AC14" s="167">
        <f t="shared" si="11"/>
        <v>30.63272</v>
      </c>
      <c r="AD14" s="164">
        <f t="shared" si="12"/>
        <v>0.03470571268</v>
      </c>
      <c r="AE14" s="167">
        <f>IF(ISBLANK($A14),"",SUM(OFFSET('Dividend Log'!$B$17, 0, ROW($A14)-2), OFFSET('Dividend Log'!$B$31, 0, ROW($A14)-2), OFFSET('Dividend Log'!$B$45, 0, ROW($A14)-2), OFFSET('Dividend Log'!$B$59, 0, ROW($A14)-2), OFFSET('Dividend Log'!$B$73, 0, ROW($A14)-2)))</f>
        <v>44.1</v>
      </c>
      <c r="AF14" s="168">
        <f t="shared" si="13"/>
        <v>0.09116880952</v>
      </c>
      <c r="AG14" s="169" t="str">
        <f t="shared" si="14"/>
        <v/>
      </c>
      <c r="AH14" s="170" t="str">
        <f t="shared" si="15"/>
        <v/>
      </c>
      <c r="AI14" s="159">
        <f t="shared" si="16"/>
        <v>0.2880472284</v>
      </c>
      <c r="AJ14" s="171" t="str">
        <f t="shared" si="17"/>
        <v>Hold</v>
      </c>
      <c r="AK14" s="147" t="str">
        <f>IFERROR(__xludf.DUMMYFUNCTION("LET(t, A14,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"),"3.76 (1.12%)")</f>
        <v>3.76 (1.12%)</v>
      </c>
    </row>
    <row r="15">
      <c r="A15" s="150" t="s">
        <v>126</v>
      </c>
      <c r="B15" s="151" t="str">
        <f>IFERROR(__xludf.DUMMYFUNCTION("IF(ISBLANK(A15),"""", googlefinance(A15, ""name""))"),"Schwab US Dividend Equity ETF")</f>
        <v>Schwab US Dividend Equity ETF</v>
      </c>
      <c r="C15" s="152" t="str">
        <f t="shared" si="1"/>
        <v>View</v>
      </c>
      <c r="D15" s="153">
        <v>186.205</v>
      </c>
      <c r="E15" s="154">
        <v>26.98</v>
      </c>
      <c r="F15" s="155">
        <f>IFERROR(__xludf.DUMMYFUNCTION("IF(ISBLANK(A15),"""", googlefinance(A15, ""price""))"),31.26)</f>
        <v>31.26</v>
      </c>
      <c r="G15" s="156" t="str">
        <f>IF(ISBLANK(A15),"",IFERROR(VLOOKUP(A15, 'Intrinsic Values List'!$A$2:$D$70, 4, FALSE), "Not Found" ))</f>
        <v>Not Found</v>
      </c>
      <c r="H15" s="157" t="str">
        <f>IF(ISBLANK(A15),"",IFERROR(VLOOKUP(A15, 'Intrinsic Values List'!$A$2:$G$70, 7, FALSE), "Not Found" ))</f>
        <v>Not Found</v>
      </c>
      <c r="I15" s="158">
        <f>IFERROR(__xludf.DUMMYFUNCTION("IFERROR(googlefinance(A15,""change""),"""")"),-0.28)</f>
        <v>-0.28</v>
      </c>
      <c r="J15" s="159">
        <f>IFERROR(__xludf.DUMMYFUNCTION("iferror(GOOGLEFINANCE(A15,""changepct"")/100,"""")"),-0.0089)</f>
        <v>-0.0089</v>
      </c>
      <c r="K15" s="155">
        <f t="shared" si="2"/>
        <v>-52.1374</v>
      </c>
      <c r="L15" s="155">
        <f>IFERROR(__xludf.DUMMYFUNCTION("IF(ISBLANK(A15),"""", googlefinance(A15, ""low52""))"),23.88)</f>
        <v>23.88</v>
      </c>
      <c r="M15" s="160" t="str">
        <f>IFERROR(__xludf.DUMMYFUNCTION("IF(ISBLANK(A15),"""",IFERROR(SPARKLINE((F15-L15)/(N15-L15),{""charttype"",""bar"";""max"",1;""min"",0;""color1"",""2c79b5""}),""n/a""))"),"")</f>
        <v/>
      </c>
      <c r="N15" s="155">
        <f>IFERROR(__xludf.DUMMYFUNCTION("IF(ISBLANK(A15),"""", googlefinance(A15, ""high52""))"),31.95)</f>
        <v>31.95</v>
      </c>
      <c r="O15" s="158">
        <f t="shared" si="3"/>
        <v>796.9574</v>
      </c>
      <c r="P15" s="161">
        <f t="shared" si="4"/>
        <v>994.2974</v>
      </c>
      <c r="Q15" s="159">
        <f t="shared" si="5"/>
        <v>0.1586360267</v>
      </c>
      <c r="R15" s="162">
        <f t="shared" si="6"/>
        <v>0.1979169638</v>
      </c>
      <c r="S15" s="163" t="s">
        <v>121</v>
      </c>
      <c r="T15" s="163" t="s">
        <v>122</v>
      </c>
      <c r="U15" s="163" t="s">
        <v>113</v>
      </c>
      <c r="V15" s="164">
        <f t="shared" si="7"/>
        <v>0.1444131786</v>
      </c>
      <c r="W15" s="165">
        <f>IFERROR(__xludf.DUMMYFUNCTION("IfError(IF(isblank(A15),"""",split(AK15, ""()"")))"),1.05)</f>
        <v>1.05</v>
      </c>
      <c r="X15" s="164">
        <f>IFERROR(__xludf.DUMMYFUNCTION("""COMPUTED_VALUE"""),0.0335)</f>
        <v>0.0335</v>
      </c>
      <c r="Y15" s="164">
        <f t="shared" si="8"/>
        <v>0.03891771683</v>
      </c>
      <c r="Z15" s="166">
        <v>0.118</v>
      </c>
      <c r="AA15" s="167">
        <f t="shared" si="9"/>
        <v>5023.8109</v>
      </c>
      <c r="AB15" s="167">
        <f t="shared" si="10"/>
        <v>5820.7683</v>
      </c>
      <c r="AC15" s="167">
        <f t="shared" si="11"/>
        <v>195.51525</v>
      </c>
      <c r="AD15" s="164">
        <f t="shared" si="12"/>
        <v>0.2215113804</v>
      </c>
      <c r="AE15" s="167">
        <f>IF(ISBLANK($A15),"",SUM(OFFSET('Dividend Log'!$B$17, 0, ROW($A15)-2), OFFSET('Dividend Log'!$B$31, 0, ROW($A15)-2), OFFSET('Dividend Log'!$B$45, 0, ROW($A15)-2), OFFSET('Dividend Log'!$B$59, 0, ROW($A15)-2), OFFSET('Dividend Log'!$B$73, 0, ROW($A15)-2)))</f>
        <v>197.34</v>
      </c>
      <c r="AF15" s="168">
        <f t="shared" si="13"/>
        <v>6.254486564</v>
      </c>
      <c r="AG15" s="169" t="str">
        <f t="shared" si="14"/>
        <v/>
      </c>
      <c r="AH15" s="170" t="str">
        <f t="shared" si="15"/>
        <v/>
      </c>
      <c r="AI15" s="159">
        <f t="shared" si="16"/>
        <v>0.1586360267</v>
      </c>
      <c r="AJ15" s="172" t="str">
        <f t="shared" si="17"/>
        <v>Hold</v>
      </c>
      <c r="AK15" s="147" t="str">
        <f>IFERROR(__xludf.DUMMYFUNCTION("LET(t, A15,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"),"1.05 (3.35%)")</f>
        <v>1.05 (3.35%)</v>
      </c>
    </row>
    <row r="16">
      <c r="A16" s="150" t="s">
        <v>127</v>
      </c>
      <c r="B16" s="151" t="str">
        <f>IFERROR(__xludf.DUMMYFUNCTION("IF(ISBLANK(A16),"""", googlefinance(A16, ""name""))"),"Vanguard Dividend Appreciation Index Fund ETF")</f>
        <v>Vanguard Dividend Appreciation Index Fund ETF</v>
      </c>
      <c r="C16" s="152" t="str">
        <f t="shared" si="1"/>
        <v>View</v>
      </c>
      <c r="D16" s="153">
        <v>1.03</v>
      </c>
      <c r="E16" s="154">
        <v>179.84</v>
      </c>
      <c r="F16" s="155">
        <f>IFERROR(__xludf.DUMMYFUNCTION("IF(ISBLANK(A16),"""", googlefinance(A16, ""price""))"),223.45)</f>
        <v>223.45</v>
      </c>
      <c r="G16" s="156" t="str">
        <f>IF(ISBLANK(A16),"",IFERROR(VLOOKUP(A16, 'Intrinsic Values List'!$A$2:$D$70, 4, FALSE), "Not Found" ))</f>
        <v>Not Found</v>
      </c>
      <c r="H16" s="157" t="str">
        <f>IF(ISBLANK(A16),"",IFERROR(VLOOKUP(A16, 'Intrinsic Values List'!$A$2:$G$70, 7, FALSE), "Not Found" ))</f>
        <v>Not Found</v>
      </c>
      <c r="I16" s="158">
        <f>IFERROR(__xludf.DUMMYFUNCTION("IFERROR(googlefinance(A16,""change""),"""")"),-2.07)</f>
        <v>-2.07</v>
      </c>
      <c r="J16" s="159">
        <f>IFERROR(__xludf.DUMMYFUNCTION("iferror(GOOGLEFINANCE(A16,""changepct"")/100,"""")"),-0.0092)</f>
        <v>-0.0092</v>
      </c>
      <c r="K16" s="155">
        <f t="shared" si="2"/>
        <v>-2.1321</v>
      </c>
      <c r="L16" s="155">
        <f>IFERROR(__xludf.DUMMYFUNCTION("IF(ISBLANK(A16),"""", googlefinance(A16, ""low52""))"),169.32)</f>
        <v>169.32</v>
      </c>
      <c r="M16" s="160" t="str">
        <f>IFERROR(__xludf.DUMMYFUNCTION("IF(ISBLANK(A16),"""",IFERROR(SPARKLINE((F16-L16)/(N16-L16),{""charttype"",""bar"";""max"",1;""min"",0;""color1"",""2c79b5""}),""n/a""))"),"")</f>
        <v/>
      </c>
      <c r="N16" s="155">
        <f>IFERROR(__xludf.DUMMYFUNCTION("IF(ISBLANK(A16),"""", googlefinance(A16, ""high52""))"),230.5)</f>
        <v>230.5</v>
      </c>
      <c r="O16" s="158">
        <f t="shared" si="3"/>
        <v>44.9183</v>
      </c>
      <c r="P16" s="161">
        <f t="shared" si="4"/>
        <v>51.1683</v>
      </c>
      <c r="Q16" s="159">
        <f t="shared" si="5"/>
        <v>0.2424933274</v>
      </c>
      <c r="R16" s="162">
        <f t="shared" si="6"/>
        <v>0.2762342147</v>
      </c>
      <c r="S16" s="163" t="s">
        <v>121</v>
      </c>
      <c r="T16" s="163" t="s">
        <v>122</v>
      </c>
      <c r="U16" s="163" t="s">
        <v>113</v>
      </c>
      <c r="V16" s="164">
        <f t="shared" si="7"/>
        <v>0.005710105054</v>
      </c>
      <c r="W16" s="165">
        <f>IFERROR(__xludf.DUMMYFUNCTION("IfError(IF(isblank(A16),"""",split(AK16, ""()"")))"),3.56)</f>
        <v>3.56</v>
      </c>
      <c r="X16" s="164">
        <f>IFERROR(__xludf.DUMMYFUNCTION("""COMPUTED_VALUE"""),0.0159)</f>
        <v>0.0159</v>
      </c>
      <c r="Y16" s="164">
        <f t="shared" si="8"/>
        <v>0.01979537367</v>
      </c>
      <c r="Z16" s="166">
        <v>0.0846</v>
      </c>
      <c r="AA16" s="167">
        <f t="shared" si="9"/>
        <v>185.2352</v>
      </c>
      <c r="AB16" s="167">
        <f t="shared" si="10"/>
        <v>230.1535</v>
      </c>
      <c r="AC16" s="167">
        <f t="shared" si="11"/>
        <v>3.6668</v>
      </c>
      <c r="AD16" s="164">
        <f t="shared" si="12"/>
        <v>0.004154345656</v>
      </c>
      <c r="AE16" s="167">
        <f>IF(ISBLANK($A16),"",SUM(OFFSET('Dividend Log'!$B$17, 0, ROW($A16)-2), OFFSET('Dividend Log'!$B$31, 0, ROW($A16)-2), OFFSET('Dividend Log'!$B$45, 0, ROW($A16)-2), OFFSET('Dividend Log'!$B$59, 0, ROW($A16)-2), OFFSET('Dividend Log'!$B$73, 0, ROW($A16)-2)))</f>
        <v>6.25</v>
      </c>
      <c r="AF16" s="168">
        <f t="shared" si="13"/>
        <v>0.01640993511</v>
      </c>
      <c r="AG16" s="169" t="str">
        <f t="shared" si="14"/>
        <v/>
      </c>
      <c r="AH16" s="170" t="str">
        <f t="shared" si="15"/>
        <v/>
      </c>
      <c r="AI16" s="159">
        <f t="shared" si="16"/>
        <v>0.2424933274</v>
      </c>
      <c r="AJ16" s="171" t="str">
        <f t="shared" si="17"/>
        <v>Hold</v>
      </c>
      <c r="AK16" s="147" t="str">
        <f>IFERROR(__xludf.DUMMYFUNCTION("LET(t, A16,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"),"3.56 (1.59%)")</f>
        <v>3.56 (1.59%)</v>
      </c>
    </row>
    <row r="17">
      <c r="A17" s="150" t="s">
        <v>128</v>
      </c>
      <c r="B17" s="151" t="str">
        <f>IFERROR(__xludf.DUMMYFUNCTION("IF(ISBLANK(A17),"""", googlefinance(A17, ""name""))"),"Vanguard Total International Stock Index Fund ETF")</f>
        <v>Vanguard Total International Stock Index Fund ETF</v>
      </c>
      <c r="C17" s="152" t="str">
        <f t="shared" si="1"/>
        <v>View</v>
      </c>
      <c r="D17" s="153">
        <v>14.765</v>
      </c>
      <c r="E17" s="154">
        <v>59.99</v>
      </c>
      <c r="F17" s="155">
        <f>IFERROR(__xludf.DUMMYFUNCTION("IF(ISBLANK(A17),"""", googlefinance(A17, ""price""))"),78.72)</f>
        <v>78.72</v>
      </c>
      <c r="G17" s="156" t="str">
        <f>IF(ISBLANK(A17),"",IFERROR(VLOOKUP(A17, 'Intrinsic Values List'!$A$2:$D$70, 4, FALSE), "Not Found" ))</f>
        <v>Not Found</v>
      </c>
      <c r="H17" s="157" t="str">
        <f>IF(ISBLANK(A17),"",IFERROR(VLOOKUP(A17, 'Intrinsic Values List'!$A$2:$G$70, 7, FALSE), "Not Found" ))</f>
        <v>Not Found</v>
      </c>
      <c r="I17" s="158">
        <f>IFERROR(__xludf.DUMMYFUNCTION("IFERROR(googlefinance(A17,""change""),"""")"),-1.62)</f>
        <v>-1.62</v>
      </c>
      <c r="J17" s="159">
        <f>IFERROR(__xludf.DUMMYFUNCTION("iferror(GOOGLEFINANCE(A17,""changepct"")/100,"""")"),-0.0202)</f>
        <v>-0.0202</v>
      </c>
      <c r="K17" s="155">
        <f t="shared" si="2"/>
        <v>-23.9193</v>
      </c>
      <c r="L17" s="155">
        <f>IFERROR(__xludf.DUMMYFUNCTION("IF(ISBLANK(A17),"""", googlefinance(A17, ""low52""))"),54.98)</f>
        <v>54.98</v>
      </c>
      <c r="M17" s="160" t="str">
        <f>IFERROR(__xludf.DUMMYFUNCTION("IF(ISBLANK(A17),"""",IFERROR(SPARKLINE((F17-L17)/(N17-L17),{""charttype"",""bar"";""max"",1;""min"",0;""color1"",""2c79b5""}),""n/a""))"),"")</f>
        <v/>
      </c>
      <c r="N17" s="155">
        <f>IFERROR(__xludf.DUMMYFUNCTION("IF(ISBLANK(A17),"""", googlefinance(A17, ""high52""))"),84.28)</f>
        <v>84.28</v>
      </c>
      <c r="O17" s="158">
        <f t="shared" si="3"/>
        <v>276.54845</v>
      </c>
      <c r="P17" s="161">
        <f t="shared" si="4"/>
        <v>328.15845</v>
      </c>
      <c r="Q17" s="159">
        <f t="shared" si="5"/>
        <v>0.3122187031</v>
      </c>
      <c r="R17" s="162">
        <f t="shared" si="6"/>
        <v>0.3704855539</v>
      </c>
      <c r="S17" s="163" t="s">
        <v>121</v>
      </c>
      <c r="T17" s="163" t="s">
        <v>122</v>
      </c>
      <c r="U17" s="163" t="s">
        <v>129</v>
      </c>
      <c r="V17" s="164">
        <f t="shared" si="7"/>
        <v>0.02883666628</v>
      </c>
      <c r="W17" s="165">
        <f>IFERROR(__xludf.DUMMYFUNCTION("IfError(IF(isblank(A17),"""",split(AK17, ""()"")))"),2.4)</f>
        <v>2.4</v>
      </c>
      <c r="X17" s="164">
        <f>IFERROR(__xludf.DUMMYFUNCTION("""COMPUTED_VALUE"""),0.0305)</f>
        <v>0.0305</v>
      </c>
      <c r="Y17" s="164">
        <f t="shared" si="8"/>
        <v>0.04000666778</v>
      </c>
      <c r="Z17" s="166">
        <v>0.0543</v>
      </c>
      <c r="AA17" s="167">
        <f t="shared" si="9"/>
        <v>885.75235</v>
      </c>
      <c r="AB17" s="167">
        <f t="shared" si="10"/>
        <v>1162.3008</v>
      </c>
      <c r="AC17" s="167">
        <f t="shared" si="11"/>
        <v>35.436</v>
      </c>
      <c r="AD17" s="164">
        <f t="shared" si="12"/>
        <v>0.04014764718</v>
      </c>
      <c r="AE17" s="167">
        <f>IF(ISBLANK($A17),"",SUM(OFFSET('Dividend Log'!$B$17, 0, ROW($A17)-2), OFFSET('Dividend Log'!$B$31, 0, ROW($A17)-2), OFFSET('Dividend Log'!$B$45, 0, ROW($A17)-2), OFFSET('Dividend Log'!$B$59, 0, ROW($A17)-2), OFFSET('Dividend Log'!$B$73, 0, ROW($A17)-2)))</f>
        <v>51.61</v>
      </c>
      <c r="AF17" s="168">
        <f t="shared" si="13"/>
        <v>0.450152439</v>
      </c>
      <c r="AG17" s="169" t="str">
        <f t="shared" si="14"/>
        <v/>
      </c>
      <c r="AH17" s="170" t="str">
        <f t="shared" si="15"/>
        <v/>
      </c>
      <c r="AI17" s="159">
        <f t="shared" si="16"/>
        <v>0.3122187031</v>
      </c>
      <c r="AJ17" s="171" t="str">
        <f t="shared" si="17"/>
        <v>Hold</v>
      </c>
      <c r="AK17" s="147" t="str">
        <f>IFERROR(__xludf.DUMMYFUNCTION("LET(t, A17,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"),"2.40 (3.05%)")</f>
        <v>2.40 (3.05%)</v>
      </c>
    </row>
    <row r="18">
      <c r="A18" s="150" t="s">
        <v>130</v>
      </c>
      <c r="B18" s="151" t="str">
        <f>IFERROR(__xludf.DUMMYFUNCTION("IF(ISBLANK(A18),"""", googlefinance(A18, ""name""))"),"Vanguard Total Bond Market Index Fund ETF")</f>
        <v>Vanguard Total Bond Market Index Fund ETF</v>
      </c>
      <c r="C18" s="152" t="str">
        <f t="shared" si="1"/>
        <v>View</v>
      </c>
      <c r="D18" s="153">
        <v>2.108</v>
      </c>
      <c r="E18" s="154">
        <v>72.28</v>
      </c>
      <c r="F18" s="155">
        <f>IFERROR(__xludf.DUMMYFUNCTION("IF(ISBLANK(A18),"""", googlefinance(A18, ""price""))"),74.34)</f>
        <v>74.34</v>
      </c>
      <c r="G18" s="156" t="str">
        <f>IF(ISBLANK(A18),"",IFERROR(VLOOKUP(A18, 'Intrinsic Values List'!$A$2:$D$70, 4, FALSE), "Not Found" ))</f>
        <v>Not Found</v>
      </c>
      <c r="H18" s="157" t="str">
        <f>IF(ISBLANK(A18),"",IFERROR(VLOOKUP(A18, 'Intrinsic Values List'!$A$2:$G$70, 7, FALSE), "Not Found" ))</f>
        <v>Not Found</v>
      </c>
      <c r="I18" s="173">
        <f>IFERROR(__xludf.DUMMYFUNCTION("IFERROR(googlefinance(A18,""change""),"""")"),-0.17)</f>
        <v>-0.17</v>
      </c>
      <c r="J18" s="174">
        <f>IFERROR(__xludf.DUMMYFUNCTION("iferror(GOOGLEFINANCE(A18,""changepct"")/100,"""")"),-0.0023)</f>
        <v>-0.0023</v>
      </c>
      <c r="K18" s="155">
        <f t="shared" si="2"/>
        <v>-0.35836</v>
      </c>
      <c r="L18" s="155">
        <f>IFERROR(__xludf.DUMMYFUNCTION("IF(ISBLANK(A18),"""", googlefinance(A18, ""low52""))"),71.41)</f>
        <v>71.41</v>
      </c>
      <c r="M18" s="160" t="str">
        <f>IFERROR(__xludf.DUMMYFUNCTION("IF(ISBLANK(A18),"""",IFERROR(SPARKLINE((F18-L18)/(N18-L18),{""charttype"",""bar"";""max"",1;""min"",0;""color1"",""2c79b5""}),""n/a""))"),"")</f>
        <v/>
      </c>
      <c r="N18" s="155">
        <f>IFERROR(__xludf.DUMMYFUNCTION("IF(ISBLANK(A18),"""", googlefinance(A18, ""high52""))"),75.23)</f>
        <v>75.23</v>
      </c>
      <c r="O18" s="158">
        <f t="shared" si="3"/>
        <v>4.34248</v>
      </c>
      <c r="P18" s="161">
        <f t="shared" si="4"/>
        <v>12.79248</v>
      </c>
      <c r="Q18" s="159">
        <f t="shared" si="5"/>
        <v>0.0285002767</v>
      </c>
      <c r="R18" s="162">
        <f t="shared" si="6"/>
        <v>0.08395875622</v>
      </c>
      <c r="S18" s="163" t="s">
        <v>121</v>
      </c>
      <c r="T18" s="163" t="s">
        <v>131</v>
      </c>
      <c r="U18" s="163" t="s">
        <v>132</v>
      </c>
      <c r="V18" s="164">
        <f t="shared" si="7"/>
        <v>0.00388794111</v>
      </c>
      <c r="W18" s="165">
        <f>IFERROR(__xludf.DUMMYFUNCTION("IfError(IF(isblank(A18),"""",split(AK18, ""()"")))"),2.88)</f>
        <v>2.88</v>
      </c>
      <c r="X18" s="164">
        <f>IFERROR(__xludf.DUMMYFUNCTION("""COMPUTED_VALUE"""),0.0387)</f>
        <v>0.0387</v>
      </c>
      <c r="Y18" s="164">
        <f t="shared" si="8"/>
        <v>0.03984504704</v>
      </c>
      <c r="Z18" s="166">
        <v>-0.0045</v>
      </c>
      <c r="AA18" s="167">
        <f t="shared" si="9"/>
        <v>152.36624</v>
      </c>
      <c r="AB18" s="167">
        <f t="shared" si="10"/>
        <v>156.70872</v>
      </c>
      <c r="AC18" s="167">
        <f t="shared" si="11"/>
        <v>6.07104</v>
      </c>
      <c r="AD18" s="164">
        <f t="shared" si="12"/>
        <v>0.006878258605</v>
      </c>
      <c r="AE18" s="167">
        <f>IF(ISBLANK($A18),"",SUM(OFFSET('Dividend Log'!$B$17, 0, ROW($A18)-2), OFFSET('Dividend Log'!$B$31, 0, ROW($A18)-2), OFFSET('Dividend Log'!$B$45, 0, ROW($A18)-2), OFFSET('Dividend Log'!$B$59, 0, ROW($A18)-2), OFFSET('Dividend Log'!$B$73, 0, ROW($A18)-2)))</f>
        <v>8.45</v>
      </c>
      <c r="AF18" s="168">
        <f t="shared" si="13"/>
        <v>0.08166585956</v>
      </c>
      <c r="AG18" s="169" t="str">
        <f t="shared" si="14"/>
        <v/>
      </c>
      <c r="AH18" s="170" t="str">
        <f t="shared" si="15"/>
        <v/>
      </c>
      <c r="AI18" s="159">
        <f t="shared" si="16"/>
        <v>0.0285002767</v>
      </c>
      <c r="AJ18" s="172" t="str">
        <f t="shared" si="17"/>
        <v>Avg. Cost</v>
      </c>
      <c r="AK18" s="147" t="str">
        <f>IFERROR(__xludf.DUMMYFUNCTION("LET(t, A18,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"),"2.88 (3.87%)")</f>
        <v>2.88 (3.87%)</v>
      </c>
    </row>
    <row r="19" hidden="1">
      <c r="A19" s="149"/>
      <c r="B19" s="128" t="str">
        <f>IFERROR(__xludf.DUMMYFUNCTION("IF(ISBLANK(A19),"""", googlefinance(A19, ""name""))"),"")</f>
        <v/>
      </c>
      <c r="C19" s="175" t="str">
        <f t="shared" si="1"/>
        <v/>
      </c>
      <c r="D19" s="176"/>
      <c r="E19" s="131"/>
      <c r="F19" s="132" t="str">
        <f>IFERROR(__xludf.DUMMYFUNCTION("IF(ISBLANK(A19),"""", googlefinance(A19, ""price""))"),"")</f>
        <v/>
      </c>
      <c r="G19" s="177"/>
      <c r="H19" s="134" t="str">
        <f>IF(ISBLANK(A19),"",IFERROR(VLOOKUP(A19, 'Intrinsic Values List'!$A$2:$G$45, 7, FALSE), "Not found" ))</f>
        <v/>
      </c>
      <c r="I19" s="135" t="str">
        <f>IFERROR(__xludf.DUMMYFUNCTION("IFERROR(googlefinance(A19,""change""),"""")"),"")</f>
        <v/>
      </c>
      <c r="J19" s="136" t="str">
        <f>IFERROR(__xludf.DUMMYFUNCTION("iferror(GOOGLEFINANCE(A19,""changepct"")/100,"""")"),"")</f>
        <v/>
      </c>
      <c r="K19" s="135" t="str">
        <f t="shared" si="2"/>
        <v/>
      </c>
      <c r="L19" s="132" t="str">
        <f>IFERROR(__xludf.DUMMYFUNCTION("IF(ISBLANK(A19),"""", googlefinance(A19, ""low52""))"),"")</f>
        <v/>
      </c>
      <c r="M19" s="132" t="str">
        <f>IFERROR(__xludf.DUMMYFUNCTION("IF(ISBLANK(A19),"""",IFERROR(SPARKLINE((F19-L19)/(N19-L19),{""charttype"",""bar"";""max"",1;""min"",0;""color1"",""2c79b5""}),""n/a""))"),"")</f>
        <v/>
      </c>
      <c r="N19" s="132" t="str">
        <f>IFERROR(__xludf.DUMMYFUNCTION("IF(ISBLANK(A19),"""", googlefinance(A19, ""high52""))"),"")</f>
        <v/>
      </c>
      <c r="O19" s="135" t="str">
        <f t="shared" si="3"/>
        <v/>
      </c>
      <c r="P19" s="132" t="str">
        <f t="shared" si="4"/>
        <v/>
      </c>
      <c r="Q19" s="136" t="str">
        <f t="shared" si="5"/>
        <v/>
      </c>
      <c r="R19" s="137" t="str">
        <f t="shared" si="6"/>
        <v/>
      </c>
      <c r="S19" s="138" t="s">
        <v>133</v>
      </c>
      <c r="T19" s="138" t="s">
        <v>134</v>
      </c>
      <c r="U19" s="138" t="s">
        <v>134</v>
      </c>
      <c r="V19" s="136" t="str">
        <f t="shared" si="7"/>
        <v/>
      </c>
      <c r="W19" s="140" t="str">
        <f>IFERROR(__xludf.DUMMYFUNCTION("IfError(IF(isblank(A19),"""",split(AK19, ""()"")))"),"")</f>
        <v/>
      </c>
      <c r="X19" s="136"/>
      <c r="Y19" s="136" t="str">
        <f t="shared" si="8"/>
        <v/>
      </c>
      <c r="Z19" s="141"/>
      <c r="AA19" s="142" t="str">
        <f t="shared" si="9"/>
        <v/>
      </c>
      <c r="AB19" s="135" t="str">
        <f t="shared" si="10"/>
        <v/>
      </c>
      <c r="AC19" s="135" t="str">
        <f t="shared" si="11"/>
        <v/>
      </c>
      <c r="AD19" s="136" t="str">
        <f t="shared" si="12"/>
        <v/>
      </c>
      <c r="AE19" s="135" t="str">
        <f>if(isblank(A19),"",SUM('Dividend Log'!S17,'Dividend Log'!S31,'Dividend Log'!S45,'Dividend Log'!S59,'Dividend Log'!S73))</f>
        <v/>
      </c>
      <c r="AF19" s="143" t="str">
        <f t="shared" si="13"/>
        <v/>
      </c>
      <c r="AG19" s="144" t="str">
        <f t="shared" ref="AG19:AG31" si="18">IF(ISBLANK(G19),"",(F19-G19)/G19)
</f>
        <v/>
      </c>
      <c r="AH19" s="145" t="str">
        <f t="shared" ref="AH19:AH31" si="19">IF(G19="", "", IF(AG19&lt;=-15%, "Strong Buy", IF(AG19&lt;0%, "Buy", IF(AG19&lt;=15%, "Expensive", "Overrated"))))</f>
        <v/>
      </c>
      <c r="AI19" s="136" t="str">
        <f t="shared" si="16"/>
        <v/>
      </c>
      <c r="AJ19" s="146" t="str">
        <f t="shared" si="17"/>
        <v/>
      </c>
      <c r="AK19" s="178" t="str">
        <f>IFERROR(__xludf.DUMMYFUNCTION("IF(S19=""Stocks"", 
    IfError(IF(isblank(A19),"""", substitute(index(IMPORTHTML(""http://finviz.com/quote.ashx?t=""&amp;A19,""table"", 10),8,2),""*"","""")), 0), 
    IfError(IF(isblank(A19),"""", substitute(index(IMPORTHTML(""http://finviz.com/quote.ashx?t"&amp;"=""&amp;A19,""table"", 10),7,2),""*"","""")), 0)
)"),"")</f>
        <v/>
      </c>
    </row>
    <row r="20" hidden="1">
      <c r="A20" s="149"/>
      <c r="B20" s="128" t="str">
        <f>IFERROR(__xludf.DUMMYFUNCTION("IF(ISBLANK(A20),"""", googlefinance(A20, ""name""))"),"")</f>
        <v/>
      </c>
      <c r="C20" s="175" t="str">
        <f t="shared" si="1"/>
        <v/>
      </c>
      <c r="D20" s="176"/>
      <c r="E20" s="131"/>
      <c r="F20" s="132" t="str">
        <f>IFERROR(__xludf.DUMMYFUNCTION("IF(ISBLANK(A20),"""", googlefinance(A20, ""price""))"),"")</f>
        <v/>
      </c>
      <c r="G20" s="177"/>
      <c r="H20" s="134" t="str">
        <f>IF(ISBLANK(A20),"",IFERROR(VLOOKUP(A20, 'Intrinsic Values List'!$A$2:$G$45, 7, FALSE), "Not found" ))</f>
        <v/>
      </c>
      <c r="I20" s="135" t="str">
        <f>IFERROR(__xludf.DUMMYFUNCTION("IFERROR(googlefinance(A20,""change""),"""")"),"")</f>
        <v/>
      </c>
      <c r="J20" s="136" t="str">
        <f>IFERROR(__xludf.DUMMYFUNCTION("iferror(GOOGLEFINANCE(A20,""changepct"")/100,"""")"),"")</f>
        <v/>
      </c>
      <c r="K20" s="135" t="str">
        <f t="shared" si="2"/>
        <v/>
      </c>
      <c r="L20" s="132" t="str">
        <f>IFERROR(__xludf.DUMMYFUNCTION("IF(ISBLANK(A20),"""", googlefinance(A20, ""low52""))"),"")</f>
        <v/>
      </c>
      <c r="M20" s="132" t="str">
        <f>IFERROR(__xludf.DUMMYFUNCTION("IF(ISBLANK(A20),"""",IFERROR(SPARKLINE((F20-L20)/(N20-L20),{""charttype"",""bar"";""max"",1;""min"",0;""color1"",""2c79b5""}),""n/a""))"),"")</f>
        <v/>
      </c>
      <c r="N20" s="132" t="str">
        <f>IFERROR(__xludf.DUMMYFUNCTION("IF(ISBLANK(A20),"""", googlefinance(A20, ""high52""))"),"")</f>
        <v/>
      </c>
      <c r="O20" s="135" t="str">
        <f t="shared" si="3"/>
        <v/>
      </c>
      <c r="P20" s="132" t="str">
        <f t="shared" si="4"/>
        <v/>
      </c>
      <c r="Q20" s="136" t="str">
        <f t="shared" si="5"/>
        <v/>
      </c>
      <c r="R20" s="137" t="str">
        <f t="shared" si="6"/>
        <v/>
      </c>
      <c r="S20" s="138" t="s">
        <v>133</v>
      </c>
      <c r="T20" s="138" t="s">
        <v>134</v>
      </c>
      <c r="U20" s="138" t="s">
        <v>134</v>
      </c>
      <c r="V20" s="136" t="str">
        <f t="shared" si="7"/>
        <v/>
      </c>
      <c r="W20" s="140" t="str">
        <f>IFERROR(__xludf.DUMMYFUNCTION("IfError(IF(isblank(A20),"""",split(AK20, ""()"")))"),"")</f>
        <v/>
      </c>
      <c r="X20" s="136"/>
      <c r="Y20" s="136" t="str">
        <f t="shared" si="8"/>
        <v/>
      </c>
      <c r="Z20" s="141"/>
      <c r="AA20" s="142" t="str">
        <f t="shared" si="9"/>
        <v/>
      </c>
      <c r="AB20" s="135" t="str">
        <f t="shared" si="10"/>
        <v/>
      </c>
      <c r="AC20" s="135" t="str">
        <f t="shared" si="11"/>
        <v/>
      </c>
      <c r="AD20" s="136" t="str">
        <f t="shared" si="12"/>
        <v/>
      </c>
      <c r="AE20" s="135" t="str">
        <f>if(isblank(A20),"",SUM('Dividend Log'!T17,'Dividend Log'!T31,'Dividend Log'!T45,'Dividend Log'!T59,'Dividend Log'!T73))</f>
        <v/>
      </c>
      <c r="AF20" s="143" t="str">
        <f t="shared" si="13"/>
        <v/>
      </c>
      <c r="AG20" s="144" t="str">
        <f t="shared" si="18"/>
        <v/>
      </c>
      <c r="AH20" s="145" t="str">
        <f t="shared" si="19"/>
        <v/>
      </c>
      <c r="AI20" s="136" t="str">
        <f t="shared" si="16"/>
        <v/>
      </c>
      <c r="AJ20" s="146" t="str">
        <f t="shared" si="17"/>
        <v/>
      </c>
      <c r="AK20" s="178" t="str">
        <f>IFERROR(__xludf.DUMMYFUNCTION("IF(S20=""Stocks"", 
    IfError(IF(isblank(A20),"""", substitute(index(IMPORTHTML(""http://finviz.com/quote.ashx?t=""&amp;A20,""table"", 10),8,2),""*"","""")), 0), 
    IfError(IF(isblank(A20),"""", substitute(index(IMPORTHTML(""http://finviz.com/quote.ashx?t"&amp;"=""&amp;A20,""table"", 10),7,2),""*"","""")), 0)
)"),"")</f>
        <v/>
      </c>
    </row>
    <row r="21" hidden="1">
      <c r="A21" s="149"/>
      <c r="B21" s="128" t="str">
        <f>IFERROR(__xludf.DUMMYFUNCTION("IF(ISBLANK(A21),"""", googlefinance(A21, ""name""))"),"")</f>
        <v/>
      </c>
      <c r="C21" s="175" t="str">
        <f t="shared" si="1"/>
        <v/>
      </c>
      <c r="D21" s="176"/>
      <c r="E21" s="131"/>
      <c r="F21" s="132" t="str">
        <f>IFERROR(__xludf.DUMMYFUNCTION("IF(ISBLANK(A21),"""", googlefinance(A21, ""price""))"),"")</f>
        <v/>
      </c>
      <c r="G21" s="177"/>
      <c r="H21" s="134" t="str">
        <f>IF(ISBLANK(A21),"",IFERROR(VLOOKUP(A21, 'Intrinsic Values List'!$A$2:$G$45, 7, FALSE), "Not found" ))</f>
        <v/>
      </c>
      <c r="I21" s="135" t="str">
        <f>IFERROR(__xludf.DUMMYFUNCTION("IFERROR(googlefinance(A21,""change""),"""")"),"")</f>
        <v/>
      </c>
      <c r="J21" s="136" t="str">
        <f>IFERROR(__xludf.DUMMYFUNCTION("iferror(GOOGLEFINANCE(A21,""changepct"")/100,"""")"),"")</f>
        <v/>
      </c>
      <c r="K21" s="135" t="str">
        <f t="shared" si="2"/>
        <v/>
      </c>
      <c r="L21" s="132" t="str">
        <f>IFERROR(__xludf.DUMMYFUNCTION("IF(ISBLANK(A21),"""", googlefinance(A21, ""low52""))"),"")</f>
        <v/>
      </c>
      <c r="M21" s="132" t="str">
        <f>IFERROR(__xludf.DUMMYFUNCTION("IF(ISBLANK(A21),"""",IFERROR(SPARKLINE((F21-L21)/(N21-L21),{""charttype"",""bar"";""max"",1;""min"",0;""color1"",""2c79b5""}),""n/a""))"),"")</f>
        <v/>
      </c>
      <c r="N21" s="132" t="str">
        <f>IFERROR(__xludf.DUMMYFUNCTION("IF(ISBLANK(A21),"""", googlefinance(A21, ""high52""))"),"")</f>
        <v/>
      </c>
      <c r="O21" s="135" t="str">
        <f t="shared" si="3"/>
        <v/>
      </c>
      <c r="P21" s="132" t="str">
        <f t="shared" si="4"/>
        <v/>
      </c>
      <c r="Q21" s="136" t="str">
        <f t="shared" si="5"/>
        <v/>
      </c>
      <c r="R21" s="137" t="str">
        <f t="shared" si="6"/>
        <v/>
      </c>
      <c r="S21" s="138" t="s">
        <v>133</v>
      </c>
      <c r="T21" s="138" t="s">
        <v>134</v>
      </c>
      <c r="U21" s="138" t="s">
        <v>134</v>
      </c>
      <c r="V21" s="136" t="str">
        <f t="shared" si="7"/>
        <v/>
      </c>
      <c r="W21" s="140" t="str">
        <f>IFERROR(__xludf.DUMMYFUNCTION("IfError(IF(isblank(A21),"""",split(AK21, ""()"")))"),"")</f>
        <v/>
      </c>
      <c r="X21" s="136"/>
      <c r="Y21" s="136" t="str">
        <f t="shared" si="8"/>
        <v/>
      </c>
      <c r="Z21" s="141"/>
      <c r="AA21" s="142" t="str">
        <f t="shared" si="9"/>
        <v/>
      </c>
      <c r="AB21" s="135" t="str">
        <f t="shared" si="10"/>
        <v/>
      </c>
      <c r="AC21" s="135" t="str">
        <f t="shared" si="11"/>
        <v/>
      </c>
      <c r="AD21" s="136" t="str">
        <f t="shared" si="12"/>
        <v/>
      </c>
      <c r="AE21" s="135" t="str">
        <f>if(isblank(A21),"",SUM('Dividend Log'!U17,'Dividend Log'!U31,'Dividend Log'!U45,'Dividend Log'!U59,'Dividend Log'!U73))</f>
        <v/>
      </c>
      <c r="AF21" s="143" t="str">
        <f t="shared" si="13"/>
        <v/>
      </c>
      <c r="AG21" s="144" t="str">
        <f t="shared" si="18"/>
        <v/>
      </c>
      <c r="AH21" s="145" t="str">
        <f t="shared" si="19"/>
        <v/>
      </c>
      <c r="AI21" s="136" t="str">
        <f t="shared" si="16"/>
        <v/>
      </c>
      <c r="AJ21" s="146" t="str">
        <f t="shared" si="17"/>
        <v/>
      </c>
      <c r="AK21" s="178" t="str">
        <f>IFERROR(__xludf.DUMMYFUNCTION("IF(S21=""Stocks"", 
    IfError(IF(isblank(A21),"""", substitute(index(IMPORTHTML(""http://finviz.com/quote.ashx?t=""&amp;A21,""table"", 10),8,2),""*"","""")), 0), 
    IfError(IF(isblank(A21),"""", substitute(index(IMPORTHTML(""http://finviz.com/quote.ashx?t"&amp;"=""&amp;A21,""table"", 10),7,2),""*"","""")), 0)
)"),"")</f>
        <v/>
      </c>
    </row>
    <row r="22" hidden="1">
      <c r="A22" s="149"/>
      <c r="B22" s="128" t="str">
        <f>IFERROR(__xludf.DUMMYFUNCTION("IF(ISBLANK(A22),"""", googlefinance(A22, ""name""))"),"")</f>
        <v/>
      </c>
      <c r="C22" s="175" t="str">
        <f t="shared" si="1"/>
        <v/>
      </c>
      <c r="D22" s="176"/>
      <c r="E22" s="131"/>
      <c r="F22" s="132" t="str">
        <f>IFERROR(__xludf.DUMMYFUNCTION("IF(ISBLANK(A22),"""", googlefinance(A22, ""price""))"),"")</f>
        <v/>
      </c>
      <c r="G22" s="177"/>
      <c r="H22" s="134" t="str">
        <f>IF(ISBLANK(A22),"",IFERROR(VLOOKUP(A22, 'Intrinsic Values List'!$A$2:$G$45, 7, FALSE), "Not found" ))</f>
        <v/>
      </c>
      <c r="I22" s="135" t="str">
        <f>IFERROR(__xludf.DUMMYFUNCTION("IFERROR(googlefinance(A22,""change""),"""")"),"")</f>
        <v/>
      </c>
      <c r="J22" s="136" t="str">
        <f>IFERROR(__xludf.DUMMYFUNCTION("iferror(GOOGLEFINANCE(A22,""changepct"")/100,"""")"),"")</f>
        <v/>
      </c>
      <c r="K22" s="135" t="str">
        <f t="shared" si="2"/>
        <v/>
      </c>
      <c r="L22" s="132" t="str">
        <f>IFERROR(__xludf.DUMMYFUNCTION("IF(ISBLANK(A22),"""", googlefinance(A22, ""low52""))"),"")</f>
        <v/>
      </c>
      <c r="M22" s="132" t="str">
        <f>IFERROR(__xludf.DUMMYFUNCTION("IF(ISBLANK(A22),"""",IFERROR(SPARKLINE((F22-L22)/(N22-L22),{""charttype"",""bar"";""max"",1;""min"",0;""color1"",""2c79b5""}),""n/a""))"),"")</f>
        <v/>
      </c>
      <c r="N22" s="132" t="str">
        <f>IFERROR(__xludf.DUMMYFUNCTION("IF(ISBLANK(A22),"""", googlefinance(A22, ""high52""))"),"")</f>
        <v/>
      </c>
      <c r="O22" s="135" t="str">
        <f t="shared" si="3"/>
        <v/>
      </c>
      <c r="P22" s="132" t="str">
        <f t="shared" si="4"/>
        <v/>
      </c>
      <c r="Q22" s="136" t="str">
        <f t="shared" si="5"/>
        <v/>
      </c>
      <c r="R22" s="137" t="str">
        <f t="shared" si="6"/>
        <v/>
      </c>
      <c r="S22" s="138" t="s">
        <v>133</v>
      </c>
      <c r="T22" s="138" t="s">
        <v>134</v>
      </c>
      <c r="U22" s="138" t="s">
        <v>134</v>
      </c>
      <c r="V22" s="136" t="str">
        <f t="shared" si="7"/>
        <v/>
      </c>
      <c r="W22" s="140" t="str">
        <f>IFERROR(__xludf.DUMMYFUNCTION("IfError(IF(isblank(A22),"""",split(AK22, ""()"")))"),"")</f>
        <v/>
      </c>
      <c r="X22" s="136"/>
      <c r="Y22" s="136" t="str">
        <f t="shared" si="8"/>
        <v/>
      </c>
      <c r="Z22" s="141"/>
      <c r="AA22" s="142" t="str">
        <f t="shared" si="9"/>
        <v/>
      </c>
      <c r="AB22" s="135" t="str">
        <f t="shared" si="10"/>
        <v/>
      </c>
      <c r="AC22" s="135" t="str">
        <f t="shared" si="11"/>
        <v/>
      </c>
      <c r="AD22" s="136" t="str">
        <f t="shared" si="12"/>
        <v/>
      </c>
      <c r="AE22" s="135" t="str">
        <f>if(isblank(A22),"",SUM('Dividend Log'!V17,'Dividend Log'!V31,'Dividend Log'!V45,'Dividend Log'!V59,'Dividend Log'!V73))</f>
        <v/>
      </c>
      <c r="AF22" s="143" t="str">
        <f t="shared" si="13"/>
        <v/>
      </c>
      <c r="AG22" s="144" t="str">
        <f t="shared" si="18"/>
        <v/>
      </c>
      <c r="AH22" s="145" t="str">
        <f t="shared" si="19"/>
        <v/>
      </c>
      <c r="AI22" s="136" t="str">
        <f t="shared" si="16"/>
        <v/>
      </c>
      <c r="AJ22" s="146" t="str">
        <f t="shared" si="17"/>
        <v/>
      </c>
      <c r="AK22" s="178" t="str">
        <f>IFERROR(__xludf.DUMMYFUNCTION("IF(S22=""Stocks"", 
    IfError(IF(isblank(A22),"""", substitute(index(IMPORTHTML(""http://finviz.com/quote.ashx?t=""&amp;A22,""table"", 10),8,2),""*"","""")), 0), 
    IfError(IF(isblank(A22),"""", substitute(index(IMPORTHTML(""http://finviz.com/quote.ashx?t"&amp;"=""&amp;A22,""table"", 10),7,2),""*"","""")), 0)
)"),"")</f>
        <v/>
      </c>
    </row>
    <row r="23" hidden="1">
      <c r="A23" s="149"/>
      <c r="B23" s="128" t="str">
        <f>IFERROR(__xludf.DUMMYFUNCTION("IF(ISBLANK(A23),"""", googlefinance(A23, ""name""))"),"")</f>
        <v/>
      </c>
      <c r="C23" s="175" t="str">
        <f t="shared" si="1"/>
        <v/>
      </c>
      <c r="D23" s="176"/>
      <c r="E23" s="131"/>
      <c r="F23" s="132" t="str">
        <f>IFERROR(__xludf.DUMMYFUNCTION("IF(ISBLANK(A23),"""", googlefinance(A23, ""price""))"),"")</f>
        <v/>
      </c>
      <c r="G23" s="177"/>
      <c r="H23" s="134" t="str">
        <f>IF(ISBLANK(A23),"",IFERROR(VLOOKUP(A23, 'Intrinsic Values List'!$A$2:$G$45, 7, FALSE), "Not found" ))</f>
        <v/>
      </c>
      <c r="I23" s="135" t="str">
        <f>IFERROR(__xludf.DUMMYFUNCTION("IFERROR(googlefinance(A23,""change""),"""")"),"")</f>
        <v/>
      </c>
      <c r="J23" s="136" t="str">
        <f>IFERROR(__xludf.DUMMYFUNCTION("iferror(GOOGLEFINANCE(A23,""changepct"")/100,"""")"),"")</f>
        <v/>
      </c>
      <c r="K23" s="135" t="str">
        <f t="shared" si="2"/>
        <v/>
      </c>
      <c r="L23" s="132" t="str">
        <f>IFERROR(__xludf.DUMMYFUNCTION("IF(ISBLANK(A23),"""", googlefinance(A23, ""low52""))"),"")</f>
        <v/>
      </c>
      <c r="M23" s="132" t="str">
        <f>IFERROR(__xludf.DUMMYFUNCTION("IF(ISBLANK(A23),"""",IFERROR(SPARKLINE((F23-L23)/(N23-L23),{""charttype"",""bar"";""max"",1;""min"",0;""color1"",""2c79b5""}),""n/a""))"),"")</f>
        <v/>
      </c>
      <c r="N23" s="132" t="str">
        <f>IFERROR(__xludf.DUMMYFUNCTION("IF(ISBLANK(A23),"""", googlefinance(A23, ""high52""))"),"")</f>
        <v/>
      </c>
      <c r="O23" s="135" t="str">
        <f t="shared" si="3"/>
        <v/>
      </c>
      <c r="P23" s="132" t="str">
        <f t="shared" si="4"/>
        <v/>
      </c>
      <c r="Q23" s="136" t="str">
        <f t="shared" si="5"/>
        <v/>
      </c>
      <c r="R23" s="137" t="str">
        <f t="shared" si="6"/>
        <v/>
      </c>
      <c r="S23" s="138" t="s">
        <v>133</v>
      </c>
      <c r="T23" s="138" t="s">
        <v>134</v>
      </c>
      <c r="U23" s="138" t="s">
        <v>134</v>
      </c>
      <c r="V23" s="136" t="str">
        <f t="shared" si="7"/>
        <v/>
      </c>
      <c r="W23" s="140" t="str">
        <f>IFERROR(__xludf.DUMMYFUNCTION("IfError(IF(isblank(A23),"""",split(AK23, ""()"")))"),"")</f>
        <v/>
      </c>
      <c r="X23" s="136"/>
      <c r="Y23" s="136" t="str">
        <f t="shared" si="8"/>
        <v/>
      </c>
      <c r="Z23" s="141"/>
      <c r="AA23" s="142" t="str">
        <f t="shared" si="9"/>
        <v/>
      </c>
      <c r="AB23" s="135" t="str">
        <f t="shared" si="10"/>
        <v/>
      </c>
      <c r="AC23" s="135" t="str">
        <f t="shared" si="11"/>
        <v/>
      </c>
      <c r="AD23" s="136" t="str">
        <f t="shared" si="12"/>
        <v/>
      </c>
      <c r="AE23" s="135" t="str">
        <f>if(isblank(A23),"",SUM('Dividend Log'!W17,'Dividend Log'!W31,'Dividend Log'!W45,'Dividend Log'!W59,'Dividend Log'!W73))</f>
        <v/>
      </c>
      <c r="AF23" s="143" t="str">
        <f t="shared" si="13"/>
        <v/>
      </c>
      <c r="AG23" s="144" t="str">
        <f t="shared" si="18"/>
        <v/>
      </c>
      <c r="AH23" s="145" t="str">
        <f t="shared" si="19"/>
        <v/>
      </c>
      <c r="AI23" s="136" t="str">
        <f t="shared" si="16"/>
        <v/>
      </c>
      <c r="AJ23" s="146" t="str">
        <f t="shared" si="17"/>
        <v/>
      </c>
      <c r="AK23" s="178" t="str">
        <f>IFERROR(__xludf.DUMMYFUNCTION("IF(S23=""Stocks"", 
    IfError(IF(isblank(A23),"""", substitute(index(IMPORTHTML(""http://finviz.com/quote.ashx?t=""&amp;A23,""table"", 10),8,2),""*"","""")), 0), 
    IfError(IF(isblank(A23),"""", substitute(index(IMPORTHTML(""http://finviz.com/quote.ashx?t"&amp;"=""&amp;A23,""table"", 10),7,2),""*"","""")), 0)
)"),"")</f>
        <v/>
      </c>
    </row>
    <row r="24" hidden="1">
      <c r="A24" s="149"/>
      <c r="B24" s="128" t="str">
        <f>IFERROR(__xludf.DUMMYFUNCTION("IF(ISBLANK(A24),"""", googlefinance(A24, ""name""))"),"")</f>
        <v/>
      </c>
      <c r="C24" s="175" t="str">
        <f t="shared" si="1"/>
        <v/>
      </c>
      <c r="D24" s="176"/>
      <c r="E24" s="131"/>
      <c r="F24" s="132" t="str">
        <f>IFERROR(__xludf.DUMMYFUNCTION("IF(ISBLANK(A24),"""", googlefinance(A24, ""price""))"),"")</f>
        <v/>
      </c>
      <c r="G24" s="177"/>
      <c r="H24" s="134" t="str">
        <f>IF(ISBLANK(A24),"",IFERROR(VLOOKUP(A24, 'Intrinsic Values List'!$A$2:$G$45, 7, FALSE), "Not found" ))</f>
        <v/>
      </c>
      <c r="I24" s="135" t="str">
        <f>IFERROR(__xludf.DUMMYFUNCTION("IFERROR(googlefinance(A24,""change""),"""")"),"")</f>
        <v/>
      </c>
      <c r="J24" s="136" t="str">
        <f>IFERROR(__xludf.DUMMYFUNCTION("iferror(GOOGLEFINANCE(A24,""changepct"")/100,"""")"),"")</f>
        <v/>
      </c>
      <c r="K24" s="135" t="str">
        <f t="shared" si="2"/>
        <v/>
      </c>
      <c r="L24" s="132" t="str">
        <f>IFERROR(__xludf.DUMMYFUNCTION("IF(ISBLANK(A24),"""", googlefinance(A24, ""low52""))"),"")</f>
        <v/>
      </c>
      <c r="M24" s="132" t="str">
        <f>IFERROR(__xludf.DUMMYFUNCTION("IF(ISBLANK(A24),"""",IFERROR(SPARKLINE((F24-L24)/(N24-L24),{""charttype"",""bar"";""max"",1;""min"",0;""color1"",""2c79b5""}),""n/a""))"),"")</f>
        <v/>
      </c>
      <c r="N24" s="132" t="str">
        <f>IFERROR(__xludf.DUMMYFUNCTION("IF(ISBLANK(A24),"""", googlefinance(A24, ""high52""))"),"")</f>
        <v/>
      </c>
      <c r="O24" s="135" t="str">
        <f t="shared" si="3"/>
        <v/>
      </c>
      <c r="P24" s="132" t="str">
        <f t="shared" si="4"/>
        <v/>
      </c>
      <c r="Q24" s="136" t="str">
        <f t="shared" si="5"/>
        <v/>
      </c>
      <c r="R24" s="137" t="str">
        <f t="shared" si="6"/>
        <v/>
      </c>
      <c r="S24" s="138" t="s">
        <v>133</v>
      </c>
      <c r="T24" s="138" t="s">
        <v>134</v>
      </c>
      <c r="U24" s="138" t="s">
        <v>134</v>
      </c>
      <c r="V24" s="136" t="str">
        <f t="shared" si="7"/>
        <v/>
      </c>
      <c r="W24" s="140" t="str">
        <f>IFERROR(__xludf.DUMMYFUNCTION("IfError(IF(isblank(A24),"""",split(AK24, ""()"")))"),"")</f>
        <v/>
      </c>
      <c r="X24" s="136"/>
      <c r="Y24" s="136" t="str">
        <f t="shared" si="8"/>
        <v/>
      </c>
      <c r="Z24" s="141"/>
      <c r="AA24" s="142" t="str">
        <f t="shared" si="9"/>
        <v/>
      </c>
      <c r="AB24" s="135" t="str">
        <f t="shared" si="10"/>
        <v/>
      </c>
      <c r="AC24" s="135" t="str">
        <f t="shared" si="11"/>
        <v/>
      </c>
      <c r="AD24" s="136" t="str">
        <f t="shared" si="12"/>
        <v/>
      </c>
      <c r="AE24" s="135" t="str">
        <f>if(isblank(A24),"",SUM('Dividend Log'!X17,'Dividend Log'!X31,'Dividend Log'!X45,'Dividend Log'!X59,'Dividend Log'!X73))</f>
        <v/>
      </c>
      <c r="AF24" s="143" t="str">
        <f t="shared" si="13"/>
        <v/>
      </c>
      <c r="AG24" s="144" t="str">
        <f t="shared" si="18"/>
        <v/>
      </c>
      <c r="AH24" s="145" t="str">
        <f t="shared" si="19"/>
        <v/>
      </c>
      <c r="AI24" s="136" t="str">
        <f t="shared" si="16"/>
        <v/>
      </c>
      <c r="AJ24" s="146" t="str">
        <f t="shared" si="17"/>
        <v/>
      </c>
      <c r="AK24" s="178" t="str">
        <f>IFERROR(__xludf.DUMMYFUNCTION("IF(S24=""Stocks"", 
    IfError(IF(isblank(A24),"""", substitute(index(IMPORTHTML(""http://finviz.com/quote.ashx?t=""&amp;A24,""table"", 10),8,2),""*"","""")), 0), 
    IfError(IF(isblank(A24),"""", substitute(index(IMPORTHTML(""http://finviz.com/quote.ashx?t"&amp;"=""&amp;A24,""table"", 10),7,2),""*"","""")), 0)
)"),"")</f>
        <v/>
      </c>
    </row>
    <row r="25" hidden="1">
      <c r="A25" s="149"/>
      <c r="B25" s="128" t="str">
        <f>IFERROR(__xludf.DUMMYFUNCTION("IF(ISBLANK(A25),"""", googlefinance(A25, ""name""))"),"")</f>
        <v/>
      </c>
      <c r="C25" s="175" t="str">
        <f t="shared" si="1"/>
        <v/>
      </c>
      <c r="D25" s="176"/>
      <c r="E25" s="131"/>
      <c r="F25" s="132" t="str">
        <f>IFERROR(__xludf.DUMMYFUNCTION("IF(ISBLANK(A25),"""", googlefinance(A25, ""price""))"),"")</f>
        <v/>
      </c>
      <c r="G25" s="177"/>
      <c r="H25" s="134" t="str">
        <f>IF(ISBLANK(A25),"",IFERROR(VLOOKUP(A25, 'Intrinsic Values List'!$A$2:$G$45, 7, FALSE), "Not found" ))</f>
        <v/>
      </c>
      <c r="I25" s="135" t="str">
        <f>IFERROR(__xludf.DUMMYFUNCTION("IFERROR(googlefinance(A25,""change""),"""")"),"")</f>
        <v/>
      </c>
      <c r="J25" s="136" t="str">
        <f>IFERROR(__xludf.DUMMYFUNCTION("iferror(GOOGLEFINANCE(A25,""changepct"")/100,"""")"),"")</f>
        <v/>
      </c>
      <c r="K25" s="135" t="str">
        <f t="shared" si="2"/>
        <v/>
      </c>
      <c r="L25" s="132" t="str">
        <f>IFERROR(__xludf.DUMMYFUNCTION("IF(ISBLANK(A25),"""", googlefinance(A25, ""low52""))"),"")</f>
        <v/>
      </c>
      <c r="M25" s="132" t="str">
        <f>IFERROR(__xludf.DUMMYFUNCTION("IF(ISBLANK(A25),"""",IFERROR(SPARKLINE((F25-L25)/(N25-L25),{""charttype"",""bar"";""max"",1;""min"",0;""color1"",""2c79b5""}),""n/a""))"),"")</f>
        <v/>
      </c>
      <c r="N25" s="132" t="str">
        <f>IFERROR(__xludf.DUMMYFUNCTION("IF(ISBLANK(A25),"""", googlefinance(A25, ""high52""))"),"")</f>
        <v/>
      </c>
      <c r="O25" s="135" t="str">
        <f t="shared" si="3"/>
        <v/>
      </c>
      <c r="P25" s="132" t="str">
        <f t="shared" si="4"/>
        <v/>
      </c>
      <c r="Q25" s="136" t="str">
        <f t="shared" si="5"/>
        <v/>
      </c>
      <c r="R25" s="137" t="str">
        <f t="shared" si="6"/>
        <v/>
      </c>
      <c r="S25" s="138" t="s">
        <v>133</v>
      </c>
      <c r="T25" s="138" t="s">
        <v>134</v>
      </c>
      <c r="U25" s="138" t="s">
        <v>134</v>
      </c>
      <c r="V25" s="136" t="str">
        <f t="shared" si="7"/>
        <v/>
      </c>
      <c r="W25" s="140" t="str">
        <f>IFERROR(__xludf.DUMMYFUNCTION("IfError(IF(isblank(A25),"""",split(AK25, ""()"")))"),"")</f>
        <v/>
      </c>
      <c r="X25" s="136"/>
      <c r="Y25" s="136" t="str">
        <f t="shared" si="8"/>
        <v/>
      </c>
      <c r="Z25" s="141"/>
      <c r="AA25" s="142" t="str">
        <f t="shared" si="9"/>
        <v/>
      </c>
      <c r="AB25" s="135" t="str">
        <f t="shared" si="10"/>
        <v/>
      </c>
      <c r="AC25" s="135" t="str">
        <f t="shared" si="11"/>
        <v/>
      </c>
      <c r="AD25" s="136" t="str">
        <f t="shared" si="12"/>
        <v/>
      </c>
      <c r="AE25" s="135" t="str">
        <f>if(isblank(A25),"",SUM('Dividend Log'!Y17,'Dividend Log'!Y31,'Dividend Log'!Y45,'Dividend Log'!Y59,'Dividend Log'!Y73))</f>
        <v/>
      </c>
      <c r="AF25" s="143" t="str">
        <f t="shared" si="13"/>
        <v/>
      </c>
      <c r="AG25" s="144" t="str">
        <f t="shared" si="18"/>
        <v/>
      </c>
      <c r="AH25" s="145" t="str">
        <f t="shared" si="19"/>
        <v/>
      </c>
      <c r="AI25" s="136" t="str">
        <f t="shared" si="16"/>
        <v/>
      </c>
      <c r="AJ25" s="146" t="str">
        <f t="shared" si="17"/>
        <v/>
      </c>
      <c r="AK25" s="178" t="str">
        <f>IFERROR(__xludf.DUMMYFUNCTION("IF(S25=""Stocks"", 
    IfError(IF(isblank(A25),"""", substitute(index(IMPORTHTML(""http://finviz.com/quote.ashx?t=""&amp;A25,""table"", 10),8,2),""*"","""")), 0), 
    IfError(IF(isblank(A25),"""", substitute(index(IMPORTHTML(""http://finviz.com/quote.ashx?t"&amp;"=""&amp;A25,""table"", 10),7,2),""*"","""")), 0)
)"),"")</f>
        <v/>
      </c>
    </row>
    <row r="26" hidden="1">
      <c r="A26" s="149"/>
      <c r="B26" s="128" t="str">
        <f>IFERROR(__xludf.DUMMYFUNCTION("IF(ISBLANK(A26),"""", googlefinance(A26, ""name""))"),"")</f>
        <v/>
      </c>
      <c r="C26" s="175" t="str">
        <f t="shared" si="1"/>
        <v/>
      </c>
      <c r="D26" s="176"/>
      <c r="E26" s="131"/>
      <c r="F26" s="132" t="str">
        <f>IFERROR(__xludf.DUMMYFUNCTION("IF(ISBLANK(A26),"""", googlefinance(A26, ""price""))"),"")</f>
        <v/>
      </c>
      <c r="G26" s="177"/>
      <c r="H26" s="134" t="str">
        <f>IF(ISBLANK(A26),"",IFERROR(VLOOKUP(A26, 'Intrinsic Values List'!$A$2:$G$45, 7, FALSE), "Not found" ))</f>
        <v/>
      </c>
      <c r="I26" s="135" t="str">
        <f>IFERROR(__xludf.DUMMYFUNCTION("IFERROR(googlefinance(A26,""change""),"""")"),"")</f>
        <v/>
      </c>
      <c r="J26" s="136" t="str">
        <f>IFERROR(__xludf.DUMMYFUNCTION("iferror(GOOGLEFINANCE(A26,""changepct"")/100,"""")"),"")</f>
        <v/>
      </c>
      <c r="K26" s="135" t="str">
        <f t="shared" si="2"/>
        <v/>
      </c>
      <c r="L26" s="132" t="str">
        <f>IFERROR(__xludf.DUMMYFUNCTION("IF(ISBLANK(A26),"""", googlefinance(A26, ""low52""))"),"")</f>
        <v/>
      </c>
      <c r="M26" s="132" t="str">
        <f>IFERROR(__xludf.DUMMYFUNCTION("IF(ISBLANK(A26),"""",IFERROR(SPARKLINE((F26-L26)/(N26-L26),{""charttype"",""bar"";""max"",1;""min"",0;""color1"",""2c79b5""}),""n/a""))"),"")</f>
        <v/>
      </c>
      <c r="N26" s="132" t="str">
        <f>IFERROR(__xludf.DUMMYFUNCTION("IF(ISBLANK(A26),"""", googlefinance(A26, ""high52""))"),"")</f>
        <v/>
      </c>
      <c r="O26" s="135" t="str">
        <f t="shared" si="3"/>
        <v/>
      </c>
      <c r="P26" s="132" t="str">
        <f t="shared" si="4"/>
        <v/>
      </c>
      <c r="Q26" s="136" t="str">
        <f t="shared" si="5"/>
        <v/>
      </c>
      <c r="R26" s="137" t="str">
        <f t="shared" si="6"/>
        <v/>
      </c>
      <c r="S26" s="138" t="s">
        <v>133</v>
      </c>
      <c r="T26" s="138" t="s">
        <v>134</v>
      </c>
      <c r="U26" s="138" t="s">
        <v>134</v>
      </c>
      <c r="V26" s="136" t="str">
        <f t="shared" si="7"/>
        <v/>
      </c>
      <c r="W26" s="140" t="str">
        <f>IFERROR(__xludf.DUMMYFUNCTION("IfError(IF(isblank(A26),"""",split(AK26, ""()"")))"),"")</f>
        <v/>
      </c>
      <c r="X26" s="136"/>
      <c r="Y26" s="136" t="str">
        <f t="shared" si="8"/>
        <v/>
      </c>
      <c r="Z26" s="141"/>
      <c r="AA26" s="142" t="str">
        <f t="shared" si="9"/>
        <v/>
      </c>
      <c r="AB26" s="135" t="str">
        <f t="shared" si="10"/>
        <v/>
      </c>
      <c r="AC26" s="135" t="str">
        <f t="shared" si="11"/>
        <v/>
      </c>
      <c r="AD26" s="136" t="str">
        <f t="shared" si="12"/>
        <v/>
      </c>
      <c r="AE26" s="135" t="str">
        <f>if(isblank(A26),"",SUM('Dividend Log'!Z17,'Dividend Log'!Z31,'Dividend Log'!Z45,'Dividend Log'!Z59,'Dividend Log'!Z73))</f>
        <v/>
      </c>
      <c r="AF26" s="143" t="str">
        <f t="shared" si="13"/>
        <v/>
      </c>
      <c r="AG26" s="144" t="str">
        <f t="shared" si="18"/>
        <v/>
      </c>
      <c r="AH26" s="145" t="str">
        <f t="shared" si="19"/>
        <v/>
      </c>
      <c r="AI26" s="136" t="str">
        <f t="shared" si="16"/>
        <v/>
      </c>
      <c r="AJ26" s="146" t="str">
        <f t="shared" si="17"/>
        <v/>
      </c>
      <c r="AK26" s="178" t="str">
        <f>IFERROR(__xludf.DUMMYFUNCTION("IF(S26=""Stocks"", 
    IfError(IF(isblank(A26),"""", substitute(index(IMPORTHTML(""http://finviz.com/quote.ashx?t=""&amp;A26,""table"", 10),8,2),""*"","""")), 0), 
    IfError(IF(isblank(A26),"""", substitute(index(IMPORTHTML(""http://finviz.com/quote.ashx?t"&amp;"=""&amp;A26,""table"", 10),7,2),""*"","""")), 0)
)"),"")</f>
        <v/>
      </c>
    </row>
    <row r="27" hidden="1">
      <c r="A27" s="149"/>
      <c r="B27" s="128" t="str">
        <f>IFERROR(__xludf.DUMMYFUNCTION("IF(ISBLANK(A27),"""", googlefinance(A27, ""name""))"),"")</f>
        <v/>
      </c>
      <c r="C27" s="175" t="str">
        <f t="shared" si="1"/>
        <v/>
      </c>
      <c r="D27" s="176"/>
      <c r="E27" s="131"/>
      <c r="F27" s="132" t="str">
        <f>IFERROR(__xludf.DUMMYFUNCTION("IF(ISBLANK(A27),"""", googlefinance(A27, ""price""))"),"")</f>
        <v/>
      </c>
      <c r="G27" s="177"/>
      <c r="H27" s="134" t="str">
        <f>IF(ISBLANK(A27),"",IFERROR(VLOOKUP(A27, 'Intrinsic Values List'!$A$2:$G$45, 7, FALSE), "Not found" ))</f>
        <v/>
      </c>
      <c r="I27" s="135" t="str">
        <f>IFERROR(__xludf.DUMMYFUNCTION("IFERROR(googlefinance(A27,""change""),"""")"),"")</f>
        <v/>
      </c>
      <c r="J27" s="136" t="str">
        <f>IFERROR(__xludf.DUMMYFUNCTION("iferror(GOOGLEFINANCE(A27,""changepct"")/100,"""")"),"")</f>
        <v/>
      </c>
      <c r="K27" s="135" t="str">
        <f t="shared" si="2"/>
        <v/>
      </c>
      <c r="L27" s="132" t="str">
        <f>IFERROR(__xludf.DUMMYFUNCTION("IF(ISBLANK(A27),"""", googlefinance(A27, ""low52""))"),"")</f>
        <v/>
      </c>
      <c r="M27" s="132" t="str">
        <f>IFERROR(__xludf.DUMMYFUNCTION("IF(ISBLANK(A27),"""",IFERROR(SPARKLINE((F27-L27)/(N27-L27),{""charttype"",""bar"";""max"",1;""min"",0;""color1"",""2c79b5""}),""n/a""))"),"")</f>
        <v/>
      </c>
      <c r="N27" s="132" t="str">
        <f>IFERROR(__xludf.DUMMYFUNCTION("IF(ISBLANK(A27),"""", googlefinance(A27, ""high52""))"),"")</f>
        <v/>
      </c>
      <c r="O27" s="135" t="str">
        <f t="shared" si="3"/>
        <v/>
      </c>
      <c r="P27" s="132" t="str">
        <f t="shared" si="4"/>
        <v/>
      </c>
      <c r="Q27" s="136" t="str">
        <f t="shared" si="5"/>
        <v/>
      </c>
      <c r="R27" s="137" t="str">
        <f t="shared" si="6"/>
        <v/>
      </c>
      <c r="S27" s="138" t="s">
        <v>133</v>
      </c>
      <c r="T27" s="138" t="s">
        <v>134</v>
      </c>
      <c r="U27" s="138" t="s">
        <v>134</v>
      </c>
      <c r="V27" s="136" t="str">
        <f t="shared" si="7"/>
        <v/>
      </c>
      <c r="W27" s="140" t="str">
        <f>IFERROR(__xludf.DUMMYFUNCTION("IfError(IF(isblank(A27),"""",split(AK27, ""()"")))"),"")</f>
        <v/>
      </c>
      <c r="X27" s="136"/>
      <c r="Y27" s="136" t="str">
        <f t="shared" si="8"/>
        <v/>
      </c>
      <c r="Z27" s="141"/>
      <c r="AA27" s="142" t="str">
        <f t="shared" si="9"/>
        <v/>
      </c>
      <c r="AB27" s="135" t="str">
        <f t="shared" si="10"/>
        <v/>
      </c>
      <c r="AC27" s="135" t="str">
        <f t="shared" si="11"/>
        <v/>
      </c>
      <c r="AD27" s="136" t="str">
        <f t="shared" si="12"/>
        <v/>
      </c>
      <c r="AE27" s="135" t="str">
        <f>if(isblank(A27),"",SUM('Dividend Log'!AA17,'Dividend Log'!AA31,'Dividend Log'!AA45,'Dividend Log'!AA59,'Dividend Log'!AA73))</f>
        <v/>
      </c>
      <c r="AF27" s="143" t="str">
        <f t="shared" si="13"/>
        <v/>
      </c>
      <c r="AG27" s="144" t="str">
        <f t="shared" si="18"/>
        <v/>
      </c>
      <c r="AH27" s="145" t="str">
        <f t="shared" si="19"/>
        <v/>
      </c>
      <c r="AI27" s="136" t="str">
        <f t="shared" si="16"/>
        <v/>
      </c>
      <c r="AJ27" s="146" t="str">
        <f t="shared" si="17"/>
        <v/>
      </c>
      <c r="AK27" s="178" t="str">
        <f>IFERROR(__xludf.DUMMYFUNCTION("IF(S27=""Stocks"", 
    IfError(IF(isblank(A27),"""", substitute(index(IMPORTHTML(""http://finviz.com/quote.ashx?t=""&amp;A27,""table"", 10),8,2),""*"","""")), 0), 
    IfError(IF(isblank(A27),"""", substitute(index(IMPORTHTML(""http://finviz.com/quote.ashx?t"&amp;"=""&amp;A27,""table"", 10),7,2),""*"","""")), 0)
)"),"")</f>
        <v/>
      </c>
    </row>
    <row r="28" hidden="1">
      <c r="A28" s="149"/>
      <c r="B28" s="128" t="str">
        <f>IFERROR(__xludf.DUMMYFUNCTION("IF(ISBLANK(A28),"""", googlefinance(A28, ""name""))"),"")</f>
        <v/>
      </c>
      <c r="C28" s="175" t="str">
        <f t="shared" si="1"/>
        <v/>
      </c>
      <c r="D28" s="176"/>
      <c r="E28" s="131"/>
      <c r="F28" s="132" t="str">
        <f>IFERROR(__xludf.DUMMYFUNCTION("IF(ISBLANK(A28),"""", googlefinance(A28, ""price""))"),"")</f>
        <v/>
      </c>
      <c r="G28" s="177"/>
      <c r="H28" s="134" t="str">
        <f>IF(ISBLANK(A28),"",IFERROR(VLOOKUP(A28, 'Intrinsic Values List'!$A$2:$G$45, 7, FALSE), "Not found" ))</f>
        <v/>
      </c>
      <c r="I28" s="135" t="str">
        <f>IFERROR(__xludf.DUMMYFUNCTION("IFERROR(googlefinance(A28,""change""),"""")"),"")</f>
        <v/>
      </c>
      <c r="J28" s="136" t="str">
        <f>IFERROR(__xludf.DUMMYFUNCTION("iferror(GOOGLEFINANCE(A28,""changepct"")/100,"""")"),"")</f>
        <v/>
      </c>
      <c r="K28" s="135" t="str">
        <f t="shared" si="2"/>
        <v/>
      </c>
      <c r="L28" s="132" t="str">
        <f>IFERROR(__xludf.DUMMYFUNCTION("IF(ISBLANK(A28),"""", googlefinance(A28, ""low52""))"),"")</f>
        <v/>
      </c>
      <c r="M28" s="132" t="str">
        <f>IFERROR(__xludf.DUMMYFUNCTION("IF(ISBLANK(A28),"""",IFERROR(SPARKLINE((F28-L28)/(N28-L28),{""charttype"",""bar"";""max"",1;""min"",0;""color1"",""2c79b5""}),""n/a""))"),"")</f>
        <v/>
      </c>
      <c r="N28" s="132" t="str">
        <f>IFERROR(__xludf.DUMMYFUNCTION("IF(ISBLANK(A28),"""", googlefinance(A28, ""high52""))"),"")</f>
        <v/>
      </c>
      <c r="O28" s="135" t="str">
        <f t="shared" si="3"/>
        <v/>
      </c>
      <c r="P28" s="132" t="str">
        <f t="shared" si="4"/>
        <v/>
      </c>
      <c r="Q28" s="136" t="str">
        <f t="shared" si="5"/>
        <v/>
      </c>
      <c r="R28" s="137" t="str">
        <f t="shared" si="6"/>
        <v/>
      </c>
      <c r="S28" s="138" t="s">
        <v>133</v>
      </c>
      <c r="T28" s="138" t="s">
        <v>134</v>
      </c>
      <c r="U28" s="138" t="s">
        <v>134</v>
      </c>
      <c r="V28" s="136" t="str">
        <f t="shared" si="7"/>
        <v/>
      </c>
      <c r="W28" s="140" t="str">
        <f>IFERROR(__xludf.DUMMYFUNCTION("IfError(IF(isblank(A28),"""",split(AK28, ""()"")))"),"")</f>
        <v/>
      </c>
      <c r="X28" s="136"/>
      <c r="Y28" s="136" t="str">
        <f t="shared" si="8"/>
        <v/>
      </c>
      <c r="Z28" s="141"/>
      <c r="AA28" s="142" t="str">
        <f t="shared" si="9"/>
        <v/>
      </c>
      <c r="AB28" s="135" t="str">
        <f t="shared" si="10"/>
        <v/>
      </c>
      <c r="AC28" s="135" t="str">
        <f t="shared" si="11"/>
        <v/>
      </c>
      <c r="AD28" s="136" t="str">
        <f t="shared" si="12"/>
        <v/>
      </c>
      <c r="AE28" s="135" t="str">
        <f>if(isblank(A28),"",SUM('Dividend Log'!AB17,'Dividend Log'!AB31,'Dividend Log'!AB45,'Dividend Log'!AB59,'Dividend Log'!AB73))</f>
        <v/>
      </c>
      <c r="AF28" s="143" t="str">
        <f t="shared" si="13"/>
        <v/>
      </c>
      <c r="AG28" s="144" t="str">
        <f t="shared" si="18"/>
        <v/>
      </c>
      <c r="AH28" s="145" t="str">
        <f t="shared" si="19"/>
        <v/>
      </c>
      <c r="AI28" s="136" t="str">
        <f t="shared" si="16"/>
        <v/>
      </c>
      <c r="AJ28" s="146" t="str">
        <f t="shared" si="17"/>
        <v/>
      </c>
      <c r="AK28" s="178" t="str">
        <f>IFERROR(__xludf.DUMMYFUNCTION("IF(S28=""Stocks"", 
    IfError(IF(isblank(A28),"""", substitute(index(IMPORTHTML(""http://finviz.com/quote.ashx?t=""&amp;A28,""table"", 10),8,2),""*"","""")), 0), 
    IfError(IF(isblank(A28),"""", substitute(index(IMPORTHTML(""http://finviz.com/quote.ashx?t"&amp;"=""&amp;A28,""table"", 10),7,2),""*"","""")), 0)
)"),"")</f>
        <v/>
      </c>
    </row>
    <row r="29" hidden="1">
      <c r="A29" s="149"/>
      <c r="B29" s="128" t="str">
        <f>IFERROR(__xludf.DUMMYFUNCTION("IF(ISBLANK(A29),"""", googlefinance(A29, ""name""))"),"")</f>
        <v/>
      </c>
      <c r="C29" s="175" t="str">
        <f t="shared" si="1"/>
        <v/>
      </c>
      <c r="D29" s="176"/>
      <c r="E29" s="131"/>
      <c r="F29" s="132" t="str">
        <f>IFERROR(__xludf.DUMMYFUNCTION("IF(ISBLANK(A29),"""", googlefinance(A29, ""price""))"),"")</f>
        <v/>
      </c>
      <c r="G29" s="177"/>
      <c r="H29" s="134" t="str">
        <f>IF(ISBLANK(A29),"",IFERROR(VLOOKUP(A29, 'Intrinsic Values List'!$A$2:$G$45, 7, FALSE), "Not found" ))</f>
        <v/>
      </c>
      <c r="I29" s="135" t="str">
        <f>IFERROR(__xludf.DUMMYFUNCTION("IFERROR(googlefinance(A29,""change""),"""")"),"")</f>
        <v/>
      </c>
      <c r="J29" s="136" t="str">
        <f>IFERROR(__xludf.DUMMYFUNCTION("iferror(GOOGLEFINANCE(A29,""changepct"")/100,"""")"),"")</f>
        <v/>
      </c>
      <c r="K29" s="135" t="str">
        <f t="shared" si="2"/>
        <v/>
      </c>
      <c r="L29" s="132" t="str">
        <f>IFERROR(__xludf.DUMMYFUNCTION("IF(ISBLANK(A29),"""", googlefinance(A29, ""low52""))"),"")</f>
        <v/>
      </c>
      <c r="M29" s="132" t="str">
        <f>IFERROR(__xludf.DUMMYFUNCTION("IF(ISBLANK(A29),"""",IFERROR(SPARKLINE((F29-L29)/(N29-L29),{""charttype"",""bar"";""max"",1;""min"",0;""color1"",""2c79b5""}),""n/a""))"),"")</f>
        <v/>
      </c>
      <c r="N29" s="132" t="str">
        <f>IFERROR(__xludf.DUMMYFUNCTION("IF(ISBLANK(A29),"""", googlefinance(A29, ""high52""))"),"")</f>
        <v/>
      </c>
      <c r="O29" s="135" t="str">
        <f t="shared" si="3"/>
        <v/>
      </c>
      <c r="P29" s="132" t="str">
        <f t="shared" si="4"/>
        <v/>
      </c>
      <c r="Q29" s="136" t="str">
        <f t="shared" si="5"/>
        <v/>
      </c>
      <c r="R29" s="137" t="str">
        <f t="shared" si="6"/>
        <v/>
      </c>
      <c r="S29" s="138" t="s">
        <v>133</v>
      </c>
      <c r="T29" s="138" t="s">
        <v>134</v>
      </c>
      <c r="U29" s="138" t="s">
        <v>134</v>
      </c>
      <c r="V29" s="136" t="str">
        <f t="shared" si="7"/>
        <v/>
      </c>
      <c r="W29" s="140" t="str">
        <f>IFERROR(__xludf.DUMMYFUNCTION("IfError(IF(isblank(A29),"""",split(AK29, ""()"")))"),"")</f>
        <v/>
      </c>
      <c r="X29" s="136"/>
      <c r="Y29" s="136" t="str">
        <f t="shared" si="8"/>
        <v/>
      </c>
      <c r="Z29" s="141"/>
      <c r="AA29" s="142" t="str">
        <f t="shared" si="9"/>
        <v/>
      </c>
      <c r="AB29" s="135" t="str">
        <f t="shared" si="10"/>
        <v/>
      </c>
      <c r="AC29" s="135" t="str">
        <f t="shared" si="11"/>
        <v/>
      </c>
      <c r="AD29" s="136" t="str">
        <f t="shared" si="12"/>
        <v/>
      </c>
      <c r="AE29" s="135" t="str">
        <f>if(isblank(A29),"",SUM('Dividend Log'!AC17,'Dividend Log'!AC31,'Dividend Log'!AC45,'Dividend Log'!AC59,'Dividend Log'!AC73))</f>
        <v/>
      </c>
      <c r="AF29" s="143" t="str">
        <f t="shared" si="13"/>
        <v/>
      </c>
      <c r="AG29" s="144" t="str">
        <f t="shared" si="18"/>
        <v/>
      </c>
      <c r="AH29" s="145" t="str">
        <f t="shared" si="19"/>
        <v/>
      </c>
      <c r="AI29" s="136" t="str">
        <f t="shared" si="16"/>
        <v/>
      </c>
      <c r="AJ29" s="146" t="str">
        <f t="shared" si="17"/>
        <v/>
      </c>
      <c r="AK29" s="178" t="str">
        <f>IFERROR(__xludf.DUMMYFUNCTION("IF(S29=""Stocks"", 
    IfError(IF(isblank(A29),"""", substitute(index(IMPORTHTML(""http://finviz.com/quote.ashx?t=""&amp;A29,""table"", 10),8,2),""*"","""")), 0), 
    IfError(IF(isblank(A29),"""", substitute(index(IMPORTHTML(""http://finviz.com/quote.ashx?t"&amp;"=""&amp;A29,""table"", 10),7,2),""*"","""")), 0)
)"),"")</f>
        <v/>
      </c>
    </row>
    <row r="30" hidden="1">
      <c r="A30" s="149"/>
      <c r="B30" s="128" t="str">
        <f>IFERROR(__xludf.DUMMYFUNCTION("IF(ISBLANK(A30),"""", googlefinance(A30, ""name""))"),"")</f>
        <v/>
      </c>
      <c r="C30" s="175" t="str">
        <f t="shared" si="1"/>
        <v/>
      </c>
      <c r="D30" s="176"/>
      <c r="E30" s="131"/>
      <c r="F30" s="132" t="str">
        <f>IFERROR(__xludf.DUMMYFUNCTION("IF(ISBLANK(A30),"""", googlefinance(A30, ""price""))"),"")</f>
        <v/>
      </c>
      <c r="G30" s="177"/>
      <c r="H30" s="134" t="str">
        <f>IF(ISBLANK(A30),"",IFERROR(VLOOKUP(A30, 'Intrinsic Values List'!$A$2:$G$45, 7, FALSE), "Not found" ))</f>
        <v/>
      </c>
      <c r="I30" s="135" t="str">
        <f>IFERROR(__xludf.DUMMYFUNCTION("IFERROR(googlefinance(A30,""change""),"""")"),"")</f>
        <v/>
      </c>
      <c r="J30" s="136" t="str">
        <f>IFERROR(__xludf.DUMMYFUNCTION("iferror(GOOGLEFINANCE(A30,""changepct"")/100,"""")"),"")</f>
        <v/>
      </c>
      <c r="K30" s="135" t="str">
        <f t="shared" si="2"/>
        <v/>
      </c>
      <c r="L30" s="132" t="str">
        <f>IFERROR(__xludf.DUMMYFUNCTION("IF(ISBLANK(A30),"""", googlefinance(A30, ""low52""))"),"")</f>
        <v/>
      </c>
      <c r="M30" s="132" t="str">
        <f>IFERROR(__xludf.DUMMYFUNCTION("IF(ISBLANK(A30),"""",IFERROR(SPARKLINE((F30-L30)/(N30-L30),{""charttype"",""bar"";""max"",1;""min"",0;""color1"",""2c79b5""}),""n/a""))"),"")</f>
        <v/>
      </c>
      <c r="N30" s="132" t="str">
        <f>IFERROR(__xludf.DUMMYFUNCTION("IF(ISBLANK(A30),"""", googlefinance(A30, ""high52""))"),"")</f>
        <v/>
      </c>
      <c r="O30" s="135" t="str">
        <f t="shared" si="3"/>
        <v/>
      </c>
      <c r="P30" s="132" t="str">
        <f t="shared" si="4"/>
        <v/>
      </c>
      <c r="Q30" s="136" t="str">
        <f t="shared" si="5"/>
        <v/>
      </c>
      <c r="R30" s="137" t="str">
        <f t="shared" si="6"/>
        <v/>
      </c>
      <c r="S30" s="138" t="s">
        <v>133</v>
      </c>
      <c r="T30" s="138" t="s">
        <v>134</v>
      </c>
      <c r="U30" s="138" t="s">
        <v>134</v>
      </c>
      <c r="V30" s="136" t="str">
        <f t="shared" si="7"/>
        <v/>
      </c>
      <c r="W30" s="140" t="str">
        <f>IFERROR(__xludf.DUMMYFUNCTION("IfError(IF(isblank(A30),"""",split(AK30, ""()"")))"),"")</f>
        <v/>
      </c>
      <c r="X30" s="136"/>
      <c r="Y30" s="136" t="str">
        <f t="shared" si="8"/>
        <v/>
      </c>
      <c r="Z30" s="141"/>
      <c r="AA30" s="142" t="str">
        <f t="shared" si="9"/>
        <v/>
      </c>
      <c r="AB30" s="135" t="str">
        <f t="shared" si="10"/>
        <v/>
      </c>
      <c r="AC30" s="135" t="str">
        <f t="shared" si="11"/>
        <v/>
      </c>
      <c r="AD30" s="136" t="str">
        <f t="shared" si="12"/>
        <v/>
      </c>
      <c r="AE30" s="135" t="str">
        <f>if(isblank(A30),"",SUM('Dividend Log'!AD17,'Dividend Log'!AD31,'Dividend Log'!AD45,'Dividend Log'!AD59,'Dividend Log'!AD73))</f>
        <v/>
      </c>
      <c r="AF30" s="143" t="str">
        <f t="shared" si="13"/>
        <v/>
      </c>
      <c r="AG30" s="144" t="str">
        <f t="shared" si="18"/>
        <v/>
      </c>
      <c r="AH30" s="145" t="str">
        <f t="shared" si="19"/>
        <v/>
      </c>
      <c r="AI30" s="136" t="str">
        <f t="shared" si="16"/>
        <v/>
      </c>
      <c r="AJ30" s="146" t="str">
        <f t="shared" si="17"/>
        <v/>
      </c>
      <c r="AK30" s="178" t="str">
        <f>IFERROR(__xludf.DUMMYFUNCTION("IF(S30=""Stocks"", 
    IfError(IF(isblank(A30),"""", substitute(index(IMPORTHTML(""http://finviz.com/quote.ashx?t=""&amp;A30,""table"", 10),8,2),""*"","""")), 0), 
    IfError(IF(isblank(A30),"""", substitute(index(IMPORTHTML(""http://finviz.com/quote.ashx?t"&amp;"=""&amp;A30,""table"", 10),7,2),""*"","""")), 0)
)"),"")</f>
        <v/>
      </c>
    </row>
    <row r="31" hidden="1">
      <c r="A31" s="149"/>
      <c r="B31" s="128" t="str">
        <f>IFERROR(__xludf.DUMMYFUNCTION("IF(ISBLANK(A31),"""", googlefinance(A31, ""name""))"),"")</f>
        <v/>
      </c>
      <c r="C31" s="175" t="str">
        <f t="shared" si="1"/>
        <v/>
      </c>
      <c r="D31" s="176"/>
      <c r="E31" s="131"/>
      <c r="F31" s="132" t="str">
        <f>IFERROR(__xludf.DUMMYFUNCTION("IF(ISBLANK(A31),"""", googlefinance(A31, ""price""))"),"")</f>
        <v/>
      </c>
      <c r="G31" s="177"/>
      <c r="H31" s="134" t="str">
        <f>IF(ISBLANK(A31),"",IFERROR(VLOOKUP(A31, 'Intrinsic Values List'!$A$2:$G$45, 7, FALSE), "Not found" ))</f>
        <v/>
      </c>
      <c r="I31" s="135" t="str">
        <f>IFERROR(__xludf.DUMMYFUNCTION("IFERROR(googlefinance(A31,""change""),"""")"),"")</f>
        <v/>
      </c>
      <c r="J31" s="136" t="str">
        <f>IFERROR(__xludf.DUMMYFUNCTION("iferror(GOOGLEFINANCE(A31,""changepct"")/100,"""")"),"")</f>
        <v/>
      </c>
      <c r="K31" s="135" t="str">
        <f t="shared" si="2"/>
        <v/>
      </c>
      <c r="L31" s="132" t="str">
        <f>IFERROR(__xludf.DUMMYFUNCTION("IF(ISBLANK(A31),"""", googlefinance(A31, ""low52""))"),"")</f>
        <v/>
      </c>
      <c r="M31" s="132" t="str">
        <f>IFERROR(__xludf.DUMMYFUNCTION("IF(ISBLANK(A31),"""",IFERROR(SPARKLINE((F31-L31)/(N31-L31),{""charttype"",""bar"";""max"",1;""min"",0;""color1"",""2c79b5""}),""n/a""))"),"")</f>
        <v/>
      </c>
      <c r="N31" s="132" t="str">
        <f>IFERROR(__xludf.DUMMYFUNCTION("IF(ISBLANK(A31),"""", googlefinance(A31, ""high52""))"),"")</f>
        <v/>
      </c>
      <c r="O31" s="135" t="str">
        <f t="shared" si="3"/>
        <v/>
      </c>
      <c r="P31" s="132" t="str">
        <f t="shared" si="4"/>
        <v/>
      </c>
      <c r="Q31" s="136" t="str">
        <f t="shared" si="5"/>
        <v/>
      </c>
      <c r="R31" s="137" t="str">
        <f t="shared" si="6"/>
        <v/>
      </c>
      <c r="S31" s="138" t="s">
        <v>133</v>
      </c>
      <c r="T31" s="138" t="s">
        <v>134</v>
      </c>
      <c r="U31" s="138" t="s">
        <v>134</v>
      </c>
      <c r="V31" s="136" t="str">
        <f t="shared" si="7"/>
        <v/>
      </c>
      <c r="W31" s="140" t="str">
        <f>IFERROR(__xludf.DUMMYFUNCTION("IfError(IF(isblank(A31),"""",split(AK31, ""()"")))"),"")</f>
        <v/>
      </c>
      <c r="X31" s="136"/>
      <c r="Y31" s="136" t="str">
        <f t="shared" si="8"/>
        <v/>
      </c>
      <c r="Z31" s="141"/>
      <c r="AA31" s="142" t="str">
        <f t="shared" si="9"/>
        <v/>
      </c>
      <c r="AB31" s="135" t="str">
        <f t="shared" si="10"/>
        <v/>
      </c>
      <c r="AC31" s="135" t="str">
        <f t="shared" si="11"/>
        <v/>
      </c>
      <c r="AD31" s="136" t="str">
        <f t="shared" si="12"/>
        <v/>
      </c>
      <c r="AE31" s="135" t="str">
        <f>if(isblank(A31),"",SUM('Dividend Log'!AE17,'Dividend Log'!AE31,'Dividend Log'!AE45,'Dividend Log'!AE59,'Dividend Log'!AE73))</f>
        <v/>
      </c>
      <c r="AF31" s="143" t="str">
        <f t="shared" si="13"/>
        <v/>
      </c>
      <c r="AG31" s="144" t="str">
        <f t="shared" si="18"/>
        <v/>
      </c>
      <c r="AH31" s="145" t="str">
        <f t="shared" si="19"/>
        <v/>
      </c>
      <c r="AI31" s="136" t="str">
        <f t="shared" si="16"/>
        <v/>
      </c>
      <c r="AJ31" s="146" t="str">
        <f t="shared" si="17"/>
        <v/>
      </c>
      <c r="AK31" s="178" t="str">
        <f>IFERROR(__xludf.DUMMYFUNCTION("IF(S31=""Stocks"", 
    IfError(IF(isblank(A31),"""", substitute(index(IMPORTHTML(""http://finviz.com/quote.ashx?t=""&amp;A31,""table"", 10),8,2),""*"","""")), 0), 
    IfError(IF(isblank(A31),"""", substitute(index(IMPORTHTML(""http://finviz.com/quote.ashx?t"&amp;"=""&amp;A31,""table"", 10),7,2),""*"","""")), 0)
)"),"")</f>
        <v/>
      </c>
    </row>
    <row r="32">
      <c r="A32" s="179">
        <f>COUNTA(A2:A31)</f>
        <v>17</v>
      </c>
      <c r="B32" s="180" t="s">
        <v>135</v>
      </c>
      <c r="C32" s="179"/>
      <c r="D32" s="179"/>
      <c r="E32" s="181"/>
      <c r="F32" s="181"/>
      <c r="G32" s="181"/>
      <c r="H32" s="181"/>
      <c r="I32" s="181"/>
      <c r="J32" s="182">
        <f>K32/(AB32+K32)</f>
        <v>-0.003718086931</v>
      </c>
      <c r="K32" s="181">
        <f>SUM(K2:K31)</f>
        <v>-149.30738</v>
      </c>
      <c r="L32" s="181"/>
      <c r="M32" s="181"/>
      <c r="N32" s="181"/>
      <c r="O32" s="181">
        <f>SUM(O2:O31)</f>
        <v>5464.66038</v>
      </c>
      <c r="P32" s="181">
        <f>SUM(O32,AE32)</f>
        <v>6471.65038</v>
      </c>
      <c r="Q32" s="182">
        <f>O32/(AA32-C34)</f>
        <v>0.2032876315</v>
      </c>
      <c r="R32" s="182">
        <f>P32/(AA32-C34)</f>
        <v>0.2407480769</v>
      </c>
      <c r="S32" s="179"/>
      <c r="T32" s="179"/>
      <c r="U32" s="179"/>
      <c r="V32" s="182">
        <f>SUM(V2:V31)+C35</f>
        <v>1</v>
      </c>
      <c r="W32" s="181"/>
      <c r="X32" s="182">
        <f>AC32/AB32</f>
        <v>0.02189833569</v>
      </c>
      <c r="Y32" s="182">
        <f>AC32/AA32</f>
        <v>0.02533292696</v>
      </c>
      <c r="Z32" s="182">
        <f>((Z2*V2)+(Z3*V3)+(Z4*V4)+(Z5*V5)+(Z6*V6)+(Z7*V7)+(Z8*V8)+(Z9*V9)+(Z10*V10)+(Z11*V11)+(Z12*V12)+(Z13*V13)+(Z14*V14)+(Z15*V15)+(Z16*V16)+(Z17*V17)+(Z18*V18)+(Z19*V19)+(Z20*V20)+(Z21*V21)+(Z22*V22)+(Z23*V23)+(Z24*V24)+(Z25*V25)+(Z26*V26)+(Z27*V27)+(Z28*V28)+(Z29*V29)+(Z30*V30)+(Z31*V31))/V32</f>
        <v>0.04559989485</v>
      </c>
      <c r="AA32" s="181">
        <f>sum(AA2:AA31)+C34</f>
        <v>34841.69087</v>
      </c>
      <c r="AB32" s="181">
        <f>SUM(AB2:AB31)+C34</f>
        <v>40306.35125</v>
      </c>
      <c r="AC32" s="181">
        <f>SUM(AC2:AC31)+SUM('Dividend Log'!AF17,'Dividend Log'!AF31,'Dividend Log'!AF45,'Dividend Log'!AF59,'Dividend Log'!AF73)</f>
        <v>882.64201</v>
      </c>
      <c r="AD32" s="182">
        <f>SUM(AD2:AD31)+(SUM('Dividend Log'!AF17,'Dividend Log'!AF31,'Dividend Log'!AF45,'Dividend Log'!AF59,'Dividend Log'!AF73))/AC32</f>
        <v>1</v>
      </c>
      <c r="AE32" s="181">
        <f>SUM(AE2:AE31)+SUM('Dividend Log'!AG17,'Dividend Log'!AG31,'Dividend Log'!AG45,'Dividend Log'!AG59,'Dividend Log'!AG73)+SUM('Dividend Log'!AF17,'Dividend Log'!AF31,'Dividend Log'!AF45,'Dividend Log'!AF59,'Dividend Log'!AF73)</f>
        <v>1006.99</v>
      </c>
      <c r="AF32" s="179"/>
      <c r="AG32" s="183"/>
      <c r="AH32" s="181"/>
      <c r="AI32" s="179"/>
      <c r="AJ32" s="179"/>
      <c r="AK32" s="184"/>
    </row>
    <row r="33">
      <c r="A33" s="185"/>
      <c r="B33" s="67"/>
      <c r="C33" s="67"/>
      <c r="D33" s="67"/>
      <c r="E33" s="186"/>
      <c r="F33" s="186"/>
      <c r="G33" s="186"/>
      <c r="H33" s="186"/>
      <c r="I33" s="186"/>
      <c r="J33" s="186"/>
      <c r="K33" s="186"/>
      <c r="L33" s="186"/>
      <c r="M33" s="186"/>
      <c r="N33" s="186"/>
      <c r="O33" s="186"/>
      <c r="P33" s="186"/>
      <c r="Q33" s="186"/>
      <c r="R33" s="186"/>
      <c r="S33" s="67"/>
      <c r="T33" s="67"/>
      <c r="U33" s="67"/>
      <c r="V33" s="187"/>
      <c r="W33" s="186"/>
      <c r="X33" s="187"/>
      <c r="Y33" s="187"/>
      <c r="Z33" s="187"/>
      <c r="AA33" s="186"/>
      <c r="AB33" s="186"/>
      <c r="AC33" s="67"/>
      <c r="AD33" s="67"/>
      <c r="AE33" s="67"/>
      <c r="AH33" s="186"/>
      <c r="AK33" s="186"/>
    </row>
    <row r="34" ht="37.5" customHeight="1">
      <c r="A34" s="185"/>
      <c r="B34" s="188" t="s">
        <v>136</v>
      </c>
      <c r="C34" s="189">
        <f>Rebalancing!C34</f>
        <v>7960.27</v>
      </c>
      <c r="D34" s="190"/>
      <c r="J34" s="67"/>
      <c r="K34" s="67"/>
      <c r="L34" s="67"/>
      <c r="M34" s="187"/>
      <c r="N34" s="186"/>
      <c r="O34" s="186"/>
      <c r="P34" s="187"/>
      <c r="Q34" s="187"/>
      <c r="R34" s="191"/>
      <c r="S34" s="191"/>
      <c r="T34" s="67"/>
      <c r="U34" s="67"/>
      <c r="V34" s="67"/>
      <c r="AC34" s="186"/>
      <c r="AJ34" s="192"/>
    </row>
    <row r="35">
      <c r="A35" s="185"/>
      <c r="B35" s="193" t="s">
        <v>137</v>
      </c>
      <c r="C35" s="194">
        <f>C34/AB32</f>
        <v>0.1974941852</v>
      </c>
      <c r="D35" s="190"/>
      <c r="J35" s="195"/>
      <c r="K35" s="195"/>
      <c r="L35" s="196"/>
      <c r="M35" s="196"/>
      <c r="N35" s="186"/>
      <c r="O35" s="187"/>
      <c r="P35" s="187"/>
      <c r="Q35" s="187"/>
      <c r="R35" s="191"/>
      <c r="S35" s="191"/>
      <c r="T35" s="67"/>
      <c r="U35" s="67"/>
      <c r="V35" s="67"/>
      <c r="AC35" s="186"/>
      <c r="AI35" s="197"/>
    </row>
    <row r="36">
      <c r="A36" s="185"/>
      <c r="B36" s="198"/>
      <c r="C36" s="190"/>
      <c r="D36" s="190"/>
      <c r="K36" s="199"/>
      <c r="L36" s="196"/>
      <c r="M36" s="196"/>
      <c r="N36" s="186"/>
      <c r="O36" s="187"/>
      <c r="P36" s="187"/>
      <c r="Q36" s="187"/>
      <c r="R36" s="191"/>
      <c r="S36" s="191"/>
      <c r="T36" s="67"/>
      <c r="U36" s="67"/>
      <c r="V36" s="67"/>
      <c r="AC36" s="186"/>
    </row>
    <row r="37">
      <c r="A37" s="185"/>
      <c r="B37" s="200" t="s">
        <v>87</v>
      </c>
      <c r="C37" s="200" t="s">
        <v>138</v>
      </c>
      <c r="D37" s="200" t="s">
        <v>139</v>
      </c>
      <c r="J37" s="67"/>
      <c r="K37" s="196"/>
      <c r="L37" s="196"/>
      <c r="M37" s="186"/>
      <c r="N37" s="187"/>
      <c r="O37" s="187"/>
      <c r="P37" s="187"/>
      <c r="Q37" s="186"/>
      <c r="R37" s="186"/>
      <c r="S37" s="67"/>
      <c r="T37" s="67"/>
      <c r="U37" s="67"/>
      <c r="AB37" s="186"/>
    </row>
    <row r="38">
      <c r="A38" s="185"/>
      <c r="B38" s="200" t="s">
        <v>132</v>
      </c>
      <c r="C38" s="200">
        <v>0.5</v>
      </c>
      <c r="D38" s="200">
        <v>1.0</v>
      </c>
      <c r="J38" s="67"/>
      <c r="K38" s="196"/>
      <c r="L38" s="196"/>
      <c r="M38" s="186"/>
      <c r="N38" s="187"/>
      <c r="O38" s="187"/>
      <c r="P38" s="187"/>
      <c r="Q38" s="186"/>
      <c r="R38" s="186"/>
      <c r="S38" s="67"/>
      <c r="T38" s="67"/>
      <c r="U38" s="67"/>
      <c r="AB38" s="186"/>
    </row>
    <row r="39">
      <c r="A39" s="185"/>
      <c r="B39" s="200" t="s">
        <v>129</v>
      </c>
      <c r="C39" s="200">
        <v>9.5</v>
      </c>
      <c r="D39" s="200">
        <v>4.0</v>
      </c>
      <c r="J39" s="67"/>
      <c r="K39" s="67"/>
      <c r="L39" s="196"/>
      <c r="M39" s="186"/>
      <c r="N39" s="187"/>
      <c r="O39" s="187"/>
      <c r="P39" s="187"/>
      <c r="Q39" s="186"/>
      <c r="R39" s="186"/>
      <c r="S39" s="67"/>
      <c r="T39" s="67"/>
      <c r="U39" s="67"/>
      <c r="AB39" s="186"/>
    </row>
    <row r="40">
      <c r="A40" s="185"/>
      <c r="B40" s="200" t="s">
        <v>140</v>
      </c>
      <c r="C40" s="200">
        <v>20.0</v>
      </c>
      <c r="D40" s="200">
        <v>40.0</v>
      </c>
      <c r="J40" s="67"/>
      <c r="K40" s="67"/>
      <c r="L40" s="196"/>
      <c r="M40" s="186"/>
      <c r="N40" s="187"/>
      <c r="O40" s="187"/>
      <c r="P40" s="187"/>
      <c r="Q40" s="186"/>
      <c r="R40" s="186"/>
      <c r="S40" s="67"/>
      <c r="T40" s="67"/>
      <c r="U40" s="67"/>
      <c r="AB40" s="186"/>
    </row>
    <row r="41">
      <c r="A41" s="185"/>
      <c r="B41" s="200" t="s">
        <v>141</v>
      </c>
      <c r="C41" s="200">
        <v>40.0</v>
      </c>
      <c r="D41" s="200">
        <v>15.0</v>
      </c>
      <c r="J41" s="67"/>
      <c r="K41" s="67"/>
      <c r="L41" s="196"/>
      <c r="M41" s="186"/>
      <c r="N41" s="187"/>
      <c r="O41" s="187"/>
      <c r="P41" s="187"/>
      <c r="Q41" s="186"/>
      <c r="R41" s="186"/>
      <c r="S41" s="67"/>
      <c r="T41" s="67"/>
      <c r="U41" s="67"/>
      <c r="AB41" s="186"/>
    </row>
    <row r="42">
      <c r="A42" s="185"/>
      <c r="B42" s="200" t="s">
        <v>103</v>
      </c>
      <c r="C42" s="200">
        <v>30.0</v>
      </c>
      <c r="D42" s="200">
        <v>40.0</v>
      </c>
      <c r="F42" s="186"/>
      <c r="G42" s="186"/>
      <c r="H42" s="67"/>
      <c r="I42" s="67"/>
      <c r="J42" s="67"/>
      <c r="K42" s="67"/>
      <c r="L42" s="196"/>
      <c r="M42" s="186"/>
      <c r="N42" s="187"/>
      <c r="O42" s="187"/>
      <c r="P42" s="187"/>
      <c r="Q42" s="186"/>
      <c r="R42" s="186"/>
      <c r="S42" s="67"/>
      <c r="T42" s="67"/>
      <c r="U42" s="67"/>
      <c r="AB42" s="186"/>
    </row>
    <row r="43">
      <c r="A43" s="185"/>
      <c r="B43" s="67"/>
      <c r="G43" s="186"/>
      <c r="H43" s="186"/>
      <c r="I43" s="186"/>
      <c r="J43" s="67"/>
      <c r="K43" s="67"/>
      <c r="L43" s="67"/>
      <c r="M43" s="196"/>
      <c r="N43" s="186"/>
      <c r="O43" s="187"/>
      <c r="P43" s="187"/>
      <c r="Q43" s="187"/>
      <c r="R43" s="186"/>
      <c r="S43" s="186"/>
      <c r="T43" s="67"/>
      <c r="U43" s="67"/>
      <c r="V43" s="67"/>
      <c r="AC43" s="186"/>
    </row>
    <row r="44">
      <c r="A44" s="185"/>
      <c r="B44" s="67"/>
      <c r="G44" s="186"/>
      <c r="H44" s="186"/>
      <c r="I44" s="186"/>
      <c r="J44" s="67"/>
      <c r="K44" s="67"/>
      <c r="L44" s="67"/>
      <c r="M44" s="196"/>
      <c r="N44" s="186"/>
      <c r="O44" s="187"/>
      <c r="P44" s="187"/>
      <c r="Q44" s="187"/>
      <c r="R44" s="186"/>
      <c r="S44" s="186"/>
      <c r="T44" s="67"/>
      <c r="U44" s="67"/>
      <c r="V44" s="67"/>
      <c r="AC44" s="186"/>
    </row>
    <row r="45">
      <c r="A45" s="185"/>
      <c r="B45" s="67"/>
      <c r="G45" s="186"/>
      <c r="H45" s="186"/>
      <c r="I45" s="186"/>
      <c r="J45" s="67"/>
      <c r="K45" s="67"/>
      <c r="L45" s="67"/>
      <c r="M45" s="196"/>
      <c r="R45" s="186"/>
      <c r="S45" s="186"/>
      <c r="T45" s="67"/>
      <c r="U45" s="67"/>
      <c r="V45" s="67"/>
      <c r="AC45" s="186"/>
    </row>
    <row r="46">
      <c r="A46" s="185"/>
      <c r="B46" s="67"/>
      <c r="C46" s="67"/>
      <c r="D46" s="67"/>
      <c r="E46" s="186"/>
      <c r="F46" s="186"/>
      <c r="G46" s="186"/>
      <c r="H46" s="186"/>
      <c r="I46" s="186"/>
      <c r="J46" s="67"/>
      <c r="K46" s="67"/>
      <c r="L46" s="67"/>
      <c r="M46" s="196"/>
      <c r="R46" s="186"/>
      <c r="S46" s="186"/>
      <c r="T46" s="67"/>
      <c r="U46" s="67"/>
      <c r="V46" s="67"/>
      <c r="AC46" s="186"/>
    </row>
    <row r="47">
      <c r="A47" s="185"/>
      <c r="B47" s="67"/>
      <c r="C47" s="67"/>
      <c r="D47" s="67"/>
      <c r="E47" s="186"/>
      <c r="F47" s="186"/>
      <c r="G47" s="186"/>
      <c r="H47" s="186"/>
      <c r="I47" s="186"/>
      <c r="J47" s="67"/>
      <c r="K47" s="67"/>
      <c r="L47" s="67"/>
      <c r="M47" s="196"/>
      <c r="R47" s="186"/>
      <c r="S47" s="186"/>
      <c r="T47" s="67"/>
      <c r="U47" s="67"/>
      <c r="V47" s="67"/>
      <c r="AC47" s="186"/>
    </row>
    <row r="48">
      <c r="A48" s="185"/>
      <c r="B48" s="67"/>
      <c r="C48" s="67"/>
      <c r="D48" s="67"/>
      <c r="E48" s="186"/>
      <c r="F48" s="186"/>
      <c r="G48" s="186"/>
      <c r="H48" s="186"/>
      <c r="I48" s="186"/>
      <c r="J48" s="186"/>
      <c r="K48" s="186"/>
      <c r="L48" s="186"/>
      <c r="M48" s="186"/>
      <c r="R48" s="186"/>
      <c r="S48" s="67"/>
      <c r="T48" s="67"/>
      <c r="U48" s="67"/>
      <c r="V48" s="196"/>
      <c r="W48" s="186"/>
      <c r="X48" s="187"/>
      <c r="Y48" s="187"/>
      <c r="Z48" s="187"/>
      <c r="AA48" s="186"/>
      <c r="AB48" s="186"/>
      <c r="AC48" s="67"/>
      <c r="AD48" s="67"/>
      <c r="AE48" s="67"/>
      <c r="AH48" s="186"/>
      <c r="AK48" s="186"/>
    </row>
    <row r="49">
      <c r="A49" s="185"/>
      <c r="B49" s="67"/>
      <c r="C49" s="67"/>
      <c r="D49" s="67"/>
      <c r="E49" s="186"/>
      <c r="F49" s="186"/>
      <c r="G49" s="186"/>
      <c r="H49" s="186"/>
      <c r="I49" s="186"/>
      <c r="J49" s="186"/>
      <c r="K49" s="186"/>
      <c r="L49" s="186"/>
      <c r="M49" s="186"/>
      <c r="R49" s="186"/>
      <c r="S49" s="67"/>
      <c r="T49" s="67"/>
      <c r="U49" s="67"/>
      <c r="V49" s="196"/>
      <c r="W49" s="186"/>
      <c r="X49" s="187"/>
      <c r="Y49" s="187"/>
      <c r="Z49" s="187"/>
      <c r="AA49" s="186"/>
      <c r="AB49" s="186"/>
      <c r="AC49" s="67"/>
      <c r="AD49" s="67"/>
      <c r="AE49" s="67"/>
      <c r="AH49" s="186"/>
      <c r="AK49" s="186"/>
    </row>
    <row r="50">
      <c r="A50" s="185"/>
      <c r="B50" s="67"/>
      <c r="C50" s="67"/>
      <c r="D50" s="67"/>
      <c r="E50" s="186"/>
      <c r="F50" s="186"/>
      <c r="G50" s="186"/>
      <c r="H50" s="186"/>
      <c r="I50" s="186"/>
      <c r="J50" s="186"/>
      <c r="K50" s="186"/>
      <c r="L50" s="186"/>
      <c r="M50" s="186"/>
      <c r="R50" s="186"/>
      <c r="S50" s="67"/>
      <c r="T50" s="67"/>
      <c r="U50" s="67"/>
      <c r="V50" s="196"/>
      <c r="W50" s="186"/>
      <c r="X50" s="187"/>
      <c r="Y50" s="187"/>
      <c r="Z50" s="187"/>
      <c r="AA50" s="186"/>
      <c r="AB50" s="186"/>
      <c r="AC50" s="67"/>
      <c r="AD50" s="67"/>
      <c r="AE50" s="67"/>
      <c r="AH50" s="186"/>
      <c r="AK50" s="186"/>
    </row>
    <row r="51">
      <c r="A51" s="185"/>
      <c r="B51" s="67"/>
      <c r="C51" s="67"/>
      <c r="D51" s="67"/>
      <c r="E51" s="186"/>
      <c r="F51" s="186"/>
      <c r="G51" s="186"/>
      <c r="H51" s="186"/>
      <c r="I51" s="186"/>
      <c r="J51" s="186"/>
      <c r="K51" s="186"/>
      <c r="L51" s="186"/>
      <c r="M51" s="186"/>
      <c r="N51" s="186"/>
      <c r="O51" s="186"/>
      <c r="P51" s="186"/>
      <c r="Q51" s="186"/>
      <c r="R51" s="186"/>
      <c r="S51" s="67"/>
      <c r="T51" s="67"/>
      <c r="U51" s="67"/>
      <c r="V51" s="187"/>
      <c r="W51" s="186"/>
      <c r="X51" s="187"/>
      <c r="Y51" s="187"/>
      <c r="Z51" s="187"/>
      <c r="AA51" s="186"/>
      <c r="AB51" s="186"/>
      <c r="AC51" s="67"/>
      <c r="AD51" s="67"/>
      <c r="AE51" s="67"/>
      <c r="AH51" s="186"/>
      <c r="AK51" s="186"/>
    </row>
    <row r="52">
      <c r="A52" s="185"/>
      <c r="B52" s="67"/>
      <c r="C52" s="67"/>
      <c r="D52" s="67"/>
      <c r="E52" s="186"/>
      <c r="F52" s="186"/>
      <c r="G52" s="186"/>
      <c r="H52" s="186"/>
      <c r="I52" s="186"/>
      <c r="J52" s="186"/>
      <c r="K52" s="186"/>
      <c r="L52" s="186"/>
      <c r="M52" s="186"/>
      <c r="N52" s="186"/>
      <c r="O52" s="186"/>
      <c r="P52" s="186"/>
      <c r="Q52" s="186"/>
      <c r="R52" s="186"/>
      <c r="S52" s="67"/>
      <c r="T52" s="67"/>
      <c r="U52" s="67"/>
      <c r="V52" s="187"/>
      <c r="W52" s="186"/>
      <c r="X52" s="187"/>
      <c r="Y52" s="187"/>
      <c r="Z52" s="187"/>
      <c r="AA52" s="186"/>
      <c r="AB52" s="186"/>
      <c r="AC52" s="67"/>
      <c r="AD52" s="67"/>
      <c r="AE52" s="67"/>
      <c r="AH52" s="186"/>
      <c r="AK52" s="186"/>
    </row>
    <row r="53">
      <c r="A53" s="185"/>
      <c r="B53" s="67"/>
      <c r="C53" s="67"/>
      <c r="D53" s="67"/>
      <c r="E53" s="186"/>
      <c r="F53" s="186"/>
      <c r="G53" s="186"/>
      <c r="H53" s="186"/>
      <c r="I53" s="186"/>
      <c r="J53" s="186"/>
      <c r="K53" s="186"/>
      <c r="L53" s="186"/>
      <c r="M53" s="186"/>
      <c r="N53" s="186"/>
      <c r="O53" s="186"/>
      <c r="P53" s="186"/>
      <c r="Q53" s="186"/>
      <c r="R53" s="186"/>
      <c r="S53" s="67"/>
      <c r="T53" s="67"/>
      <c r="U53" s="67"/>
      <c r="V53" s="187"/>
      <c r="W53" s="186"/>
      <c r="X53" s="187"/>
      <c r="Y53" s="187"/>
      <c r="Z53" s="187"/>
      <c r="AA53" s="186"/>
      <c r="AB53" s="186"/>
      <c r="AC53" s="67"/>
      <c r="AD53" s="67"/>
      <c r="AE53" s="67"/>
      <c r="AH53" s="186"/>
      <c r="AK53" s="186"/>
    </row>
    <row r="54">
      <c r="A54" s="185"/>
      <c r="B54" s="67"/>
      <c r="C54" s="67"/>
      <c r="D54" s="67"/>
      <c r="E54" s="186"/>
      <c r="F54" s="186"/>
      <c r="G54" s="186"/>
      <c r="H54" s="186"/>
      <c r="I54" s="186"/>
      <c r="J54" s="186"/>
      <c r="K54" s="186"/>
      <c r="L54" s="186"/>
      <c r="M54" s="186"/>
      <c r="N54" s="186"/>
      <c r="O54" s="186"/>
      <c r="P54" s="186"/>
      <c r="Q54" s="186"/>
      <c r="R54" s="186"/>
      <c r="S54" s="67"/>
      <c r="T54" s="67"/>
      <c r="U54" s="67"/>
      <c r="V54" s="187"/>
      <c r="W54" s="186"/>
      <c r="X54" s="187"/>
      <c r="Y54" s="187"/>
      <c r="Z54" s="187"/>
      <c r="AA54" s="186"/>
      <c r="AB54" s="186"/>
      <c r="AC54" s="67"/>
      <c r="AD54" s="67"/>
      <c r="AE54" s="67"/>
      <c r="AH54" s="186"/>
      <c r="AK54" s="186"/>
    </row>
    <row r="55">
      <c r="A55" s="185"/>
      <c r="B55" s="67"/>
      <c r="C55" s="67"/>
      <c r="D55" s="67"/>
      <c r="E55" s="186"/>
      <c r="F55" s="186"/>
      <c r="G55" s="186"/>
      <c r="H55" s="186"/>
      <c r="I55" s="186"/>
      <c r="J55" s="186"/>
      <c r="K55" s="186"/>
      <c r="L55" s="186"/>
      <c r="M55" s="186"/>
      <c r="N55" s="186"/>
      <c r="O55" s="186"/>
      <c r="P55" s="186"/>
      <c r="Q55" s="186"/>
      <c r="R55" s="186"/>
      <c r="S55" s="67"/>
      <c r="T55" s="67"/>
      <c r="U55" s="67"/>
      <c r="V55" s="187"/>
      <c r="W55" s="186"/>
      <c r="X55" s="187"/>
      <c r="Y55" s="187"/>
      <c r="Z55" s="187"/>
      <c r="AA55" s="186"/>
      <c r="AB55" s="186"/>
      <c r="AC55" s="67"/>
      <c r="AD55" s="67"/>
      <c r="AE55" s="67"/>
      <c r="AH55" s="186"/>
      <c r="AK55" s="186"/>
    </row>
    <row r="56">
      <c r="A56" s="185"/>
      <c r="B56" s="67"/>
      <c r="C56" s="67"/>
      <c r="D56" s="67"/>
      <c r="E56" s="186"/>
      <c r="F56" s="186"/>
      <c r="G56" s="186"/>
      <c r="H56" s="186"/>
      <c r="I56" s="186"/>
      <c r="J56" s="186"/>
      <c r="K56" s="186"/>
      <c r="L56" s="186"/>
      <c r="M56" s="186"/>
      <c r="N56" s="186"/>
      <c r="O56" s="186"/>
      <c r="P56" s="186"/>
      <c r="Q56" s="186"/>
      <c r="R56" s="186"/>
      <c r="S56" s="67"/>
      <c r="T56" s="67"/>
      <c r="U56" s="67"/>
      <c r="V56" s="187"/>
      <c r="W56" s="186"/>
      <c r="X56" s="187"/>
      <c r="Y56" s="187"/>
      <c r="Z56" s="187"/>
      <c r="AA56" s="186"/>
      <c r="AB56" s="186"/>
      <c r="AC56" s="67"/>
      <c r="AD56" s="67"/>
      <c r="AE56" s="67"/>
      <c r="AH56" s="186"/>
      <c r="AK56" s="186"/>
    </row>
    <row r="57">
      <c r="A57" s="185"/>
      <c r="B57" s="67"/>
      <c r="C57" s="67"/>
      <c r="D57" s="67"/>
      <c r="E57" s="186"/>
      <c r="F57" s="186"/>
      <c r="G57" s="186"/>
      <c r="H57" s="186"/>
      <c r="I57" s="186"/>
      <c r="J57" s="186"/>
      <c r="K57" s="186"/>
      <c r="L57" s="186"/>
      <c r="M57" s="186"/>
      <c r="N57" s="186"/>
      <c r="O57" s="186"/>
      <c r="P57" s="186"/>
      <c r="Q57" s="186"/>
      <c r="R57" s="186"/>
      <c r="S57" s="67"/>
      <c r="T57" s="67"/>
      <c r="U57" s="67"/>
      <c r="V57" s="187"/>
      <c r="W57" s="186"/>
      <c r="X57" s="187"/>
      <c r="Y57" s="187"/>
      <c r="Z57" s="187"/>
      <c r="AA57" s="186"/>
      <c r="AB57" s="186"/>
      <c r="AC57" s="67"/>
      <c r="AD57" s="67"/>
      <c r="AE57" s="67"/>
      <c r="AH57" s="186"/>
      <c r="AK57" s="186"/>
    </row>
    <row r="58">
      <c r="A58" s="185"/>
      <c r="B58" s="67"/>
      <c r="C58" s="67"/>
      <c r="D58" s="67"/>
      <c r="E58" s="186"/>
      <c r="F58" s="186"/>
      <c r="G58" s="186"/>
      <c r="H58" s="186"/>
      <c r="I58" s="186"/>
      <c r="J58" s="186"/>
      <c r="K58" s="186"/>
      <c r="L58" s="186"/>
      <c r="M58" s="186"/>
      <c r="N58" s="186"/>
      <c r="O58" s="186"/>
      <c r="P58" s="186"/>
      <c r="Q58" s="186"/>
      <c r="R58" s="186"/>
      <c r="S58" s="67"/>
      <c r="T58" s="67"/>
      <c r="U58" s="67"/>
      <c r="V58" s="187"/>
      <c r="W58" s="186"/>
      <c r="X58" s="187"/>
      <c r="Y58" s="187"/>
      <c r="Z58" s="187"/>
      <c r="AA58" s="186"/>
      <c r="AB58" s="186"/>
      <c r="AC58" s="67"/>
      <c r="AD58" s="67"/>
      <c r="AE58" s="67"/>
      <c r="AH58" s="186"/>
      <c r="AK58" s="186"/>
    </row>
    <row r="59">
      <c r="A59" s="185"/>
      <c r="B59" s="67"/>
      <c r="C59" s="67"/>
      <c r="D59" s="67"/>
      <c r="E59" s="186"/>
      <c r="F59" s="186"/>
      <c r="G59" s="186"/>
      <c r="H59" s="186"/>
      <c r="I59" s="186"/>
      <c r="J59" s="186"/>
      <c r="K59" s="186"/>
      <c r="L59" s="186"/>
      <c r="M59" s="186"/>
      <c r="N59" s="186"/>
      <c r="O59" s="186"/>
      <c r="P59" s="186"/>
      <c r="Q59" s="186"/>
      <c r="R59" s="186"/>
      <c r="S59" s="67"/>
      <c r="T59" s="67"/>
      <c r="U59" s="67"/>
      <c r="V59" s="187"/>
      <c r="W59" s="186"/>
      <c r="X59" s="187"/>
      <c r="Y59" s="187"/>
      <c r="Z59" s="187"/>
      <c r="AA59" s="186"/>
      <c r="AB59" s="186"/>
      <c r="AC59" s="67"/>
      <c r="AD59" s="67"/>
      <c r="AE59" s="67"/>
      <c r="AH59" s="186"/>
      <c r="AK59" s="186"/>
    </row>
    <row r="60">
      <c r="A60" s="185"/>
      <c r="B60" s="67"/>
      <c r="C60" s="67"/>
      <c r="D60" s="67"/>
      <c r="E60" s="186"/>
      <c r="F60" s="186"/>
      <c r="G60" s="186"/>
      <c r="H60" s="186"/>
      <c r="I60" s="186"/>
      <c r="J60" s="186"/>
      <c r="K60" s="186"/>
      <c r="L60" s="186"/>
      <c r="M60" s="186"/>
      <c r="N60" s="186"/>
      <c r="O60" s="186"/>
      <c r="P60" s="186"/>
      <c r="Q60" s="186"/>
      <c r="R60" s="186"/>
      <c r="S60" s="67"/>
      <c r="T60" s="67"/>
      <c r="U60" s="67"/>
      <c r="V60" s="187"/>
      <c r="W60" s="186"/>
      <c r="X60" s="187"/>
      <c r="Y60" s="187"/>
      <c r="Z60" s="187"/>
      <c r="AA60" s="186"/>
      <c r="AB60" s="186"/>
      <c r="AC60" s="67"/>
      <c r="AD60" s="67"/>
      <c r="AE60" s="67"/>
      <c r="AH60" s="186"/>
      <c r="AK60" s="186"/>
    </row>
    <row r="61">
      <c r="A61" s="185"/>
      <c r="B61" s="67"/>
      <c r="C61" s="67"/>
      <c r="D61" s="67"/>
      <c r="E61" s="186"/>
      <c r="F61" s="186"/>
      <c r="G61" s="186"/>
      <c r="H61" s="186"/>
      <c r="I61" s="186"/>
      <c r="J61" s="186"/>
      <c r="K61" s="186"/>
      <c r="L61" s="186"/>
      <c r="M61" s="186"/>
      <c r="N61" s="186"/>
      <c r="O61" s="186"/>
      <c r="P61" s="186"/>
      <c r="Q61" s="186"/>
      <c r="R61" s="186"/>
      <c r="S61" s="67"/>
      <c r="T61" s="67"/>
      <c r="U61" s="67"/>
      <c r="V61" s="187"/>
      <c r="W61" s="186"/>
      <c r="X61" s="187"/>
      <c r="Y61" s="187"/>
      <c r="Z61" s="187"/>
      <c r="AA61" s="186"/>
      <c r="AB61" s="186"/>
      <c r="AC61" s="67"/>
      <c r="AD61" s="67"/>
      <c r="AE61" s="67"/>
      <c r="AH61" s="186"/>
      <c r="AK61" s="186"/>
    </row>
    <row r="62">
      <c r="A62" s="185"/>
      <c r="B62" s="67"/>
      <c r="C62" s="67"/>
      <c r="D62" s="67"/>
      <c r="E62" s="186"/>
      <c r="F62" s="186"/>
      <c r="G62" s="186"/>
      <c r="H62" s="186"/>
      <c r="I62" s="186"/>
      <c r="J62" s="186"/>
      <c r="K62" s="186"/>
      <c r="L62" s="186"/>
      <c r="M62" s="186"/>
      <c r="N62" s="186"/>
      <c r="O62" s="186"/>
      <c r="P62" s="186"/>
      <c r="Q62" s="186"/>
      <c r="R62" s="186"/>
      <c r="S62" s="67"/>
      <c r="T62" s="67"/>
      <c r="U62" s="67"/>
      <c r="V62" s="187"/>
      <c r="W62" s="186"/>
      <c r="X62" s="187"/>
      <c r="Y62" s="187"/>
      <c r="Z62" s="187"/>
      <c r="AA62" s="186"/>
      <c r="AB62" s="186"/>
      <c r="AC62" s="67"/>
      <c r="AD62" s="67"/>
      <c r="AE62" s="67"/>
      <c r="AH62" s="186"/>
      <c r="AK62" s="186"/>
    </row>
    <row r="63">
      <c r="A63" s="185"/>
      <c r="B63" s="67"/>
      <c r="C63" s="67"/>
      <c r="D63" s="67"/>
      <c r="E63" s="186"/>
      <c r="F63" s="186"/>
      <c r="G63" s="186"/>
      <c r="H63" s="186"/>
      <c r="I63" s="186"/>
      <c r="J63" s="186"/>
      <c r="K63" s="186"/>
      <c r="L63" s="186"/>
      <c r="M63" s="186"/>
      <c r="N63" s="186"/>
      <c r="O63" s="186"/>
      <c r="P63" s="186"/>
      <c r="Q63" s="186"/>
      <c r="R63" s="186"/>
      <c r="S63" s="67"/>
      <c r="T63" s="67"/>
      <c r="U63" s="67"/>
      <c r="V63" s="187"/>
      <c r="W63" s="186"/>
      <c r="X63" s="187"/>
      <c r="Y63" s="187"/>
      <c r="Z63" s="187"/>
      <c r="AA63" s="186"/>
      <c r="AB63" s="186"/>
      <c r="AC63" s="67"/>
      <c r="AD63" s="67"/>
      <c r="AE63" s="67"/>
      <c r="AH63" s="186"/>
      <c r="AK63" s="186"/>
    </row>
    <row r="64">
      <c r="A64" s="185"/>
      <c r="B64" s="67"/>
      <c r="C64" s="67"/>
      <c r="D64" s="67"/>
      <c r="E64" s="186"/>
      <c r="F64" s="186"/>
      <c r="G64" s="186"/>
      <c r="H64" s="186"/>
      <c r="I64" s="186"/>
      <c r="J64" s="186"/>
      <c r="K64" s="186"/>
      <c r="L64" s="186"/>
      <c r="M64" s="186"/>
      <c r="N64" s="186"/>
      <c r="O64" s="186"/>
      <c r="P64" s="186"/>
      <c r="Q64" s="186"/>
      <c r="R64" s="186"/>
      <c r="S64" s="67"/>
      <c r="T64" s="67"/>
      <c r="U64" s="67"/>
      <c r="V64" s="187"/>
      <c r="W64" s="186"/>
      <c r="X64" s="187"/>
      <c r="Y64" s="187"/>
      <c r="Z64" s="187"/>
      <c r="AA64" s="186"/>
      <c r="AB64" s="186"/>
      <c r="AC64" s="67"/>
      <c r="AD64" s="67"/>
      <c r="AE64" s="67"/>
      <c r="AH64" s="186"/>
      <c r="AK64" s="186"/>
    </row>
    <row r="65">
      <c r="A65" s="185"/>
      <c r="B65" s="67"/>
      <c r="C65" s="67"/>
      <c r="D65" s="67"/>
      <c r="E65" s="186"/>
      <c r="F65" s="186"/>
      <c r="G65" s="186"/>
      <c r="H65" s="186"/>
      <c r="I65" s="186"/>
      <c r="J65" s="186"/>
      <c r="K65" s="186"/>
      <c r="L65" s="186"/>
      <c r="M65" s="186"/>
      <c r="N65" s="186"/>
      <c r="O65" s="186"/>
      <c r="P65" s="186"/>
      <c r="Q65" s="186"/>
      <c r="R65" s="186"/>
      <c r="S65" s="67"/>
      <c r="T65" s="67"/>
      <c r="U65" s="67"/>
      <c r="V65" s="187"/>
      <c r="W65" s="186"/>
      <c r="X65" s="187"/>
      <c r="Y65" s="187"/>
      <c r="Z65" s="187"/>
      <c r="AA65" s="186"/>
      <c r="AB65" s="186"/>
      <c r="AC65" s="67"/>
      <c r="AD65" s="67"/>
      <c r="AE65" s="67"/>
      <c r="AH65" s="186"/>
      <c r="AK65" s="186"/>
    </row>
    <row r="66">
      <c r="A66" s="185"/>
      <c r="B66" s="67"/>
      <c r="C66" s="67"/>
      <c r="D66" s="67"/>
      <c r="E66" s="186"/>
      <c r="F66" s="186"/>
      <c r="G66" s="186"/>
      <c r="H66" s="186"/>
      <c r="I66" s="186"/>
      <c r="J66" s="186"/>
      <c r="K66" s="186"/>
      <c r="L66" s="186"/>
      <c r="M66" s="186"/>
      <c r="N66" s="186"/>
      <c r="O66" s="186"/>
      <c r="P66" s="186"/>
      <c r="Q66" s="186"/>
      <c r="R66" s="186"/>
      <c r="S66" s="67"/>
      <c r="T66" s="67"/>
      <c r="U66" s="67"/>
      <c r="V66" s="187"/>
      <c r="W66" s="186"/>
      <c r="X66" s="187"/>
      <c r="Y66" s="187"/>
      <c r="Z66" s="187"/>
      <c r="AA66" s="186"/>
      <c r="AB66" s="186"/>
      <c r="AC66" s="67"/>
      <c r="AD66" s="67"/>
      <c r="AE66" s="67"/>
      <c r="AH66" s="186"/>
      <c r="AK66" s="186"/>
    </row>
    <row r="67">
      <c r="A67" s="185"/>
      <c r="B67" s="67"/>
      <c r="C67" s="67"/>
      <c r="D67" s="67"/>
      <c r="E67" s="186"/>
      <c r="F67" s="186"/>
      <c r="G67" s="186"/>
      <c r="H67" s="186"/>
      <c r="I67" s="186"/>
      <c r="J67" s="186"/>
      <c r="K67" s="186"/>
      <c r="L67" s="186"/>
      <c r="M67" s="186"/>
      <c r="N67" s="186"/>
      <c r="O67" s="186"/>
      <c r="P67" s="186"/>
      <c r="Q67" s="186"/>
      <c r="R67" s="186"/>
      <c r="S67" s="67"/>
      <c r="T67" s="67"/>
      <c r="U67" s="67"/>
      <c r="V67" s="187"/>
      <c r="W67" s="186"/>
      <c r="X67" s="187"/>
      <c r="Y67" s="187"/>
      <c r="Z67" s="187"/>
      <c r="AA67" s="186"/>
      <c r="AB67" s="186"/>
      <c r="AC67" s="67"/>
      <c r="AD67" s="67"/>
      <c r="AE67" s="67"/>
      <c r="AH67" s="186"/>
      <c r="AK67" s="186"/>
    </row>
    <row r="68">
      <c r="A68" s="185"/>
      <c r="B68" s="67"/>
      <c r="C68" s="67"/>
      <c r="D68" s="67"/>
      <c r="E68" s="186"/>
      <c r="F68" s="186"/>
      <c r="G68" s="186"/>
      <c r="H68" s="186"/>
      <c r="I68" s="186"/>
      <c r="J68" s="186"/>
      <c r="K68" s="186"/>
      <c r="L68" s="186"/>
      <c r="M68" s="186"/>
      <c r="N68" s="186"/>
      <c r="O68" s="186"/>
      <c r="P68" s="186"/>
      <c r="Q68" s="186"/>
      <c r="R68" s="186"/>
      <c r="S68" s="67"/>
      <c r="T68" s="67"/>
      <c r="U68" s="67"/>
      <c r="V68" s="187"/>
      <c r="W68" s="186"/>
      <c r="X68" s="187"/>
      <c r="Y68" s="187"/>
      <c r="Z68" s="187"/>
      <c r="AA68" s="186"/>
      <c r="AB68" s="186"/>
      <c r="AC68" s="67"/>
      <c r="AD68" s="67"/>
      <c r="AE68" s="67"/>
      <c r="AH68" s="186"/>
      <c r="AK68" s="186"/>
    </row>
    <row r="69">
      <c r="A69" s="185"/>
      <c r="B69" s="67"/>
      <c r="C69" s="67"/>
      <c r="D69" s="67"/>
      <c r="E69" s="186"/>
      <c r="F69" s="186"/>
      <c r="G69" s="186"/>
      <c r="H69" s="186"/>
      <c r="I69" s="186"/>
      <c r="J69" s="186"/>
      <c r="K69" s="186"/>
      <c r="L69" s="186"/>
      <c r="M69" s="186"/>
      <c r="N69" s="186"/>
      <c r="O69" s="186"/>
      <c r="P69" s="186"/>
      <c r="Q69" s="186"/>
      <c r="R69" s="186"/>
      <c r="S69" s="67"/>
      <c r="T69" s="67"/>
      <c r="U69" s="67"/>
      <c r="V69" s="187"/>
      <c r="W69" s="186"/>
      <c r="X69" s="187"/>
      <c r="Y69" s="187"/>
      <c r="Z69" s="187"/>
      <c r="AA69" s="186"/>
      <c r="AB69" s="186"/>
      <c r="AC69" s="67"/>
      <c r="AD69" s="67"/>
      <c r="AE69" s="67"/>
      <c r="AH69" s="186"/>
      <c r="AK69" s="186"/>
    </row>
    <row r="70">
      <c r="A70" s="185"/>
      <c r="B70" s="67"/>
      <c r="C70" s="67"/>
      <c r="D70" s="67"/>
      <c r="E70" s="186"/>
      <c r="F70" s="186"/>
      <c r="G70" s="186"/>
      <c r="H70" s="186"/>
      <c r="I70" s="186"/>
      <c r="J70" s="186"/>
      <c r="K70" s="186"/>
      <c r="L70" s="186"/>
      <c r="M70" s="186"/>
      <c r="N70" s="186"/>
      <c r="O70" s="186"/>
      <c r="P70" s="186"/>
      <c r="Q70" s="186"/>
      <c r="R70" s="186"/>
      <c r="S70" s="67"/>
      <c r="T70" s="67"/>
      <c r="U70" s="67"/>
      <c r="V70" s="187"/>
      <c r="W70" s="186"/>
      <c r="X70" s="187"/>
      <c r="Y70" s="187"/>
      <c r="Z70" s="187"/>
      <c r="AA70" s="186"/>
      <c r="AB70" s="186"/>
      <c r="AC70" s="67"/>
      <c r="AD70" s="67"/>
      <c r="AE70" s="67"/>
      <c r="AH70" s="186"/>
      <c r="AK70" s="186"/>
    </row>
    <row r="71">
      <c r="A71" s="185"/>
      <c r="B71" s="67"/>
      <c r="C71" s="67"/>
      <c r="D71" s="67"/>
      <c r="E71" s="186"/>
      <c r="F71" s="186"/>
      <c r="G71" s="186"/>
      <c r="H71" s="186"/>
      <c r="I71" s="186"/>
      <c r="J71" s="186"/>
      <c r="K71" s="186"/>
      <c r="L71" s="186"/>
      <c r="M71" s="186"/>
      <c r="N71" s="186"/>
      <c r="O71" s="186"/>
      <c r="P71" s="186"/>
      <c r="Q71" s="186"/>
      <c r="R71" s="186"/>
      <c r="S71" s="67"/>
      <c r="T71" s="67"/>
      <c r="U71" s="67"/>
      <c r="V71" s="187"/>
      <c r="W71" s="186"/>
      <c r="X71" s="187"/>
      <c r="Y71" s="187"/>
      <c r="Z71" s="187"/>
      <c r="AA71" s="186"/>
      <c r="AB71" s="186"/>
      <c r="AC71" s="67"/>
      <c r="AD71" s="67"/>
      <c r="AE71" s="67"/>
      <c r="AH71" s="186"/>
      <c r="AK71" s="186"/>
    </row>
    <row r="72">
      <c r="A72" s="185"/>
      <c r="B72" s="67"/>
      <c r="C72" s="67"/>
      <c r="D72" s="67"/>
      <c r="E72" s="186"/>
      <c r="F72" s="186"/>
      <c r="G72" s="186"/>
      <c r="H72" s="186"/>
      <c r="I72" s="186"/>
      <c r="J72" s="186"/>
      <c r="K72" s="186"/>
      <c r="L72" s="186"/>
      <c r="M72" s="186"/>
      <c r="N72" s="186"/>
      <c r="O72" s="186"/>
      <c r="P72" s="186"/>
      <c r="Q72" s="186"/>
      <c r="R72" s="186"/>
      <c r="S72" s="67"/>
      <c r="T72" s="67"/>
      <c r="U72" s="67"/>
      <c r="V72" s="187"/>
      <c r="W72" s="186"/>
      <c r="X72" s="187"/>
      <c r="Y72" s="187"/>
      <c r="Z72" s="187"/>
      <c r="AA72" s="186"/>
      <c r="AB72" s="186"/>
      <c r="AC72" s="67"/>
      <c r="AD72" s="67"/>
      <c r="AE72" s="67"/>
      <c r="AH72" s="186"/>
      <c r="AK72" s="186"/>
    </row>
    <row r="73">
      <c r="A73" s="185"/>
      <c r="B73" s="67"/>
      <c r="C73" s="67"/>
      <c r="D73" s="67"/>
      <c r="E73" s="186"/>
      <c r="F73" s="186"/>
      <c r="G73" s="186"/>
      <c r="H73" s="186"/>
      <c r="I73" s="186"/>
      <c r="J73" s="186"/>
      <c r="K73" s="186"/>
      <c r="L73" s="186"/>
      <c r="M73" s="186"/>
      <c r="N73" s="186"/>
      <c r="O73" s="186"/>
      <c r="P73" s="186"/>
      <c r="Q73" s="186"/>
      <c r="R73" s="186"/>
      <c r="S73" s="67"/>
      <c r="T73" s="67"/>
      <c r="U73" s="67"/>
      <c r="V73" s="187"/>
      <c r="W73" s="186"/>
      <c r="X73" s="187"/>
      <c r="Y73" s="187"/>
      <c r="Z73" s="187"/>
      <c r="AA73" s="186"/>
      <c r="AB73" s="186"/>
      <c r="AC73" s="67"/>
      <c r="AD73" s="67"/>
      <c r="AE73" s="67"/>
      <c r="AH73" s="186"/>
      <c r="AK73" s="186"/>
    </row>
    <row r="74">
      <c r="A74" s="185"/>
      <c r="B74" s="67"/>
      <c r="C74" s="67"/>
      <c r="D74" s="67"/>
      <c r="E74" s="186"/>
      <c r="F74" s="186"/>
      <c r="G74" s="186"/>
      <c r="H74" s="186"/>
      <c r="I74" s="186"/>
      <c r="J74" s="186"/>
      <c r="K74" s="186"/>
      <c r="L74" s="186"/>
      <c r="M74" s="186"/>
      <c r="N74" s="186"/>
      <c r="O74" s="186"/>
      <c r="P74" s="186"/>
      <c r="Q74" s="186"/>
      <c r="R74" s="186"/>
      <c r="S74" s="67"/>
      <c r="T74" s="67"/>
      <c r="U74" s="67"/>
      <c r="V74" s="187"/>
      <c r="W74" s="186"/>
      <c r="X74" s="187"/>
      <c r="Y74" s="187"/>
      <c r="Z74" s="187"/>
      <c r="AA74" s="186"/>
      <c r="AB74" s="186"/>
      <c r="AC74" s="67"/>
      <c r="AD74" s="67"/>
      <c r="AE74" s="67"/>
      <c r="AH74" s="186"/>
      <c r="AK74" s="186"/>
    </row>
    <row r="75">
      <c r="A75" s="185"/>
      <c r="B75" s="67"/>
      <c r="C75" s="67"/>
      <c r="D75" s="67"/>
      <c r="E75" s="186"/>
      <c r="F75" s="186"/>
      <c r="G75" s="186"/>
      <c r="H75" s="186"/>
      <c r="I75" s="186"/>
      <c r="J75" s="186"/>
      <c r="K75" s="186"/>
      <c r="L75" s="186"/>
      <c r="M75" s="186"/>
      <c r="N75" s="186"/>
      <c r="O75" s="186"/>
      <c r="P75" s="186"/>
      <c r="Q75" s="186"/>
      <c r="R75" s="186"/>
      <c r="S75" s="67"/>
      <c r="T75" s="67"/>
      <c r="U75" s="67"/>
      <c r="V75" s="187"/>
      <c r="W75" s="186"/>
      <c r="X75" s="187"/>
      <c r="Y75" s="187"/>
      <c r="Z75" s="187"/>
      <c r="AA75" s="186"/>
      <c r="AB75" s="186"/>
      <c r="AC75" s="67"/>
      <c r="AD75" s="67"/>
      <c r="AE75" s="67"/>
      <c r="AH75" s="186"/>
      <c r="AK75" s="186"/>
    </row>
    <row r="76">
      <c r="A76" s="185"/>
      <c r="B76" s="67"/>
      <c r="C76" s="67"/>
      <c r="D76" s="67"/>
      <c r="E76" s="186"/>
      <c r="F76" s="186"/>
      <c r="G76" s="186"/>
      <c r="H76" s="186"/>
      <c r="I76" s="186"/>
      <c r="J76" s="186"/>
      <c r="K76" s="186"/>
      <c r="L76" s="186"/>
      <c r="M76" s="186"/>
      <c r="N76" s="186"/>
      <c r="O76" s="186"/>
      <c r="P76" s="186"/>
      <c r="Q76" s="186"/>
      <c r="R76" s="186"/>
      <c r="S76" s="67"/>
      <c r="T76" s="67"/>
      <c r="U76" s="67"/>
      <c r="V76" s="187"/>
      <c r="W76" s="186"/>
      <c r="X76" s="187"/>
      <c r="Y76" s="187"/>
      <c r="Z76" s="187"/>
      <c r="AA76" s="186"/>
      <c r="AB76" s="186"/>
      <c r="AC76" s="67"/>
      <c r="AD76" s="67"/>
      <c r="AE76" s="67"/>
      <c r="AH76" s="186"/>
      <c r="AK76" s="186"/>
    </row>
    <row r="77">
      <c r="A77" s="185"/>
      <c r="B77" s="67"/>
      <c r="C77" s="67"/>
      <c r="D77" s="67"/>
      <c r="E77" s="186"/>
      <c r="F77" s="186"/>
      <c r="G77" s="186"/>
      <c r="H77" s="186"/>
      <c r="I77" s="186"/>
      <c r="J77" s="186"/>
      <c r="K77" s="186"/>
      <c r="L77" s="186"/>
      <c r="M77" s="186"/>
      <c r="N77" s="186"/>
      <c r="O77" s="186"/>
      <c r="P77" s="186"/>
      <c r="Q77" s="186"/>
      <c r="R77" s="186"/>
      <c r="S77" s="67"/>
      <c r="T77" s="67"/>
      <c r="U77" s="67"/>
      <c r="V77" s="187"/>
      <c r="W77" s="186"/>
      <c r="X77" s="187"/>
      <c r="Y77" s="187"/>
      <c r="Z77" s="187"/>
      <c r="AA77" s="186"/>
      <c r="AB77" s="186"/>
      <c r="AC77" s="67"/>
      <c r="AD77" s="67"/>
      <c r="AE77" s="67"/>
      <c r="AH77" s="186"/>
      <c r="AK77" s="186"/>
    </row>
    <row r="78">
      <c r="A78" s="185"/>
      <c r="B78" s="67"/>
      <c r="C78" s="67"/>
      <c r="D78" s="67"/>
      <c r="E78" s="186"/>
      <c r="F78" s="186"/>
      <c r="G78" s="186"/>
      <c r="H78" s="186"/>
      <c r="I78" s="186"/>
      <c r="J78" s="186"/>
      <c r="K78" s="186"/>
      <c r="L78" s="186"/>
      <c r="M78" s="186"/>
      <c r="N78" s="186"/>
      <c r="O78" s="186"/>
      <c r="P78" s="186"/>
      <c r="Q78" s="186"/>
      <c r="R78" s="186"/>
      <c r="S78" s="67"/>
      <c r="T78" s="67"/>
      <c r="U78" s="67"/>
      <c r="V78" s="187"/>
      <c r="W78" s="186"/>
      <c r="X78" s="187"/>
      <c r="Y78" s="187"/>
      <c r="Z78" s="187"/>
      <c r="AA78" s="186"/>
      <c r="AB78" s="186"/>
      <c r="AC78" s="67"/>
      <c r="AD78" s="67"/>
      <c r="AE78" s="67"/>
      <c r="AH78" s="186"/>
      <c r="AK78" s="186"/>
    </row>
    <row r="79">
      <c r="A79" s="185"/>
      <c r="B79" s="67"/>
      <c r="C79" s="67"/>
      <c r="D79" s="67"/>
      <c r="E79" s="186"/>
      <c r="F79" s="186"/>
      <c r="G79" s="186"/>
      <c r="H79" s="186"/>
      <c r="I79" s="186"/>
      <c r="J79" s="186"/>
      <c r="K79" s="186"/>
      <c r="L79" s="186"/>
      <c r="M79" s="186"/>
      <c r="N79" s="186"/>
      <c r="O79" s="186"/>
      <c r="P79" s="186"/>
      <c r="Q79" s="186"/>
      <c r="R79" s="186"/>
      <c r="S79" s="67"/>
      <c r="T79" s="67"/>
      <c r="U79" s="67"/>
      <c r="V79" s="187"/>
      <c r="W79" s="186"/>
      <c r="X79" s="187"/>
      <c r="Y79" s="187"/>
      <c r="Z79" s="187"/>
      <c r="AA79" s="186"/>
      <c r="AB79" s="186"/>
      <c r="AC79" s="67"/>
      <c r="AD79" s="67"/>
      <c r="AE79" s="67"/>
      <c r="AH79" s="186"/>
      <c r="AK79" s="186"/>
    </row>
    <row r="80">
      <c r="A80" s="185"/>
      <c r="B80" s="67"/>
      <c r="C80" s="67"/>
      <c r="D80" s="67"/>
      <c r="E80" s="186"/>
      <c r="F80" s="186"/>
      <c r="G80" s="186"/>
      <c r="H80" s="186"/>
      <c r="I80" s="186"/>
      <c r="J80" s="186"/>
      <c r="K80" s="186"/>
      <c r="L80" s="186"/>
      <c r="M80" s="186"/>
      <c r="N80" s="186"/>
      <c r="O80" s="186"/>
      <c r="P80" s="186"/>
      <c r="Q80" s="186"/>
      <c r="R80" s="186"/>
      <c r="S80" s="67"/>
      <c r="T80" s="67"/>
      <c r="U80" s="67"/>
      <c r="V80" s="187"/>
      <c r="W80" s="186"/>
      <c r="X80" s="187"/>
      <c r="Y80" s="187"/>
      <c r="Z80" s="187"/>
      <c r="AA80" s="186"/>
      <c r="AB80" s="186"/>
      <c r="AC80" s="67"/>
      <c r="AD80" s="67"/>
      <c r="AE80" s="67"/>
      <c r="AH80" s="186"/>
      <c r="AK80" s="186"/>
    </row>
    <row r="81">
      <c r="A81" s="185"/>
      <c r="B81" s="67"/>
      <c r="C81" s="67"/>
      <c r="D81" s="67"/>
      <c r="E81" s="186"/>
      <c r="F81" s="186"/>
      <c r="G81" s="186"/>
      <c r="H81" s="186"/>
      <c r="I81" s="186"/>
      <c r="J81" s="186"/>
      <c r="K81" s="186"/>
      <c r="L81" s="186"/>
      <c r="M81" s="186"/>
      <c r="N81" s="186"/>
      <c r="O81" s="186"/>
      <c r="P81" s="186"/>
      <c r="Q81" s="186"/>
      <c r="R81" s="186"/>
      <c r="S81" s="67"/>
      <c r="T81" s="67"/>
      <c r="U81" s="67"/>
      <c r="V81" s="187"/>
      <c r="W81" s="186"/>
      <c r="X81" s="187"/>
      <c r="Y81" s="187"/>
      <c r="Z81" s="187"/>
      <c r="AA81" s="186"/>
      <c r="AB81" s="186"/>
      <c r="AC81" s="67"/>
      <c r="AD81" s="67"/>
      <c r="AE81" s="67"/>
      <c r="AH81" s="186"/>
      <c r="AK81" s="186"/>
    </row>
    <row r="82">
      <c r="A82" s="185"/>
      <c r="B82" s="67"/>
      <c r="C82" s="67"/>
      <c r="D82" s="67"/>
      <c r="E82" s="186"/>
      <c r="F82" s="186"/>
      <c r="G82" s="186"/>
      <c r="H82" s="186"/>
      <c r="I82" s="186"/>
      <c r="J82" s="186"/>
      <c r="K82" s="186"/>
      <c r="L82" s="186"/>
      <c r="M82" s="186"/>
      <c r="N82" s="186"/>
      <c r="O82" s="186"/>
      <c r="P82" s="186"/>
      <c r="Q82" s="186"/>
      <c r="R82" s="186"/>
      <c r="S82" s="67"/>
      <c r="T82" s="67"/>
      <c r="U82" s="67"/>
      <c r="V82" s="187"/>
      <c r="W82" s="186"/>
      <c r="X82" s="187"/>
      <c r="Y82" s="187"/>
      <c r="Z82" s="187"/>
      <c r="AA82" s="186"/>
      <c r="AB82" s="186"/>
      <c r="AC82" s="67"/>
      <c r="AD82" s="67"/>
      <c r="AE82" s="67"/>
      <c r="AH82" s="186"/>
      <c r="AK82" s="186"/>
    </row>
    <row r="83">
      <c r="A83" s="185"/>
      <c r="B83" s="67"/>
      <c r="C83" s="67"/>
      <c r="D83" s="67"/>
      <c r="E83" s="186"/>
      <c r="F83" s="186"/>
      <c r="G83" s="186"/>
      <c r="H83" s="186"/>
      <c r="I83" s="186"/>
      <c r="J83" s="186"/>
      <c r="K83" s="186"/>
      <c r="L83" s="186"/>
      <c r="M83" s="186"/>
      <c r="N83" s="186"/>
      <c r="O83" s="186"/>
      <c r="P83" s="186"/>
      <c r="Q83" s="186"/>
      <c r="R83" s="186"/>
      <c r="S83" s="67"/>
      <c r="T83" s="67"/>
      <c r="U83" s="67"/>
      <c r="V83" s="187"/>
      <c r="W83" s="186"/>
      <c r="X83" s="187"/>
      <c r="Y83" s="187"/>
      <c r="Z83" s="187"/>
      <c r="AA83" s="186"/>
      <c r="AB83" s="186"/>
      <c r="AC83" s="67"/>
      <c r="AD83" s="67"/>
      <c r="AE83" s="67"/>
      <c r="AH83" s="186"/>
      <c r="AK83" s="186"/>
    </row>
    <row r="84">
      <c r="A84" s="185"/>
      <c r="B84" s="67"/>
      <c r="C84" s="67"/>
      <c r="D84" s="67"/>
      <c r="E84" s="186"/>
      <c r="F84" s="186"/>
      <c r="G84" s="186"/>
      <c r="H84" s="186"/>
      <c r="I84" s="186"/>
      <c r="J84" s="186"/>
      <c r="K84" s="186"/>
      <c r="L84" s="186"/>
      <c r="M84" s="186"/>
      <c r="N84" s="186"/>
      <c r="O84" s="186"/>
      <c r="P84" s="186"/>
      <c r="Q84" s="186"/>
      <c r="R84" s="186"/>
      <c r="S84" s="67"/>
      <c r="T84" s="67"/>
      <c r="U84" s="67"/>
      <c r="V84" s="187"/>
      <c r="W84" s="186"/>
      <c r="X84" s="187"/>
      <c r="Y84" s="187"/>
      <c r="Z84" s="187"/>
      <c r="AA84" s="186"/>
      <c r="AB84" s="186"/>
      <c r="AC84" s="67"/>
      <c r="AD84" s="67"/>
      <c r="AE84" s="67"/>
      <c r="AH84" s="186"/>
      <c r="AK84" s="186"/>
    </row>
    <row r="85">
      <c r="A85" s="185"/>
      <c r="B85" s="67"/>
      <c r="C85" s="67"/>
      <c r="D85" s="67"/>
      <c r="E85" s="186"/>
      <c r="F85" s="186"/>
      <c r="G85" s="186"/>
      <c r="H85" s="186"/>
      <c r="I85" s="186"/>
      <c r="J85" s="186"/>
      <c r="K85" s="186"/>
      <c r="L85" s="186"/>
      <c r="M85" s="186"/>
      <c r="N85" s="186"/>
      <c r="O85" s="186"/>
      <c r="P85" s="186"/>
      <c r="Q85" s="186"/>
      <c r="R85" s="186"/>
      <c r="S85" s="67"/>
      <c r="T85" s="67"/>
      <c r="U85" s="67"/>
      <c r="V85" s="187"/>
      <c r="W85" s="186"/>
      <c r="X85" s="187"/>
      <c r="Y85" s="187"/>
      <c r="Z85" s="187"/>
      <c r="AA85" s="186"/>
      <c r="AB85" s="186"/>
      <c r="AC85" s="67"/>
      <c r="AD85" s="67"/>
      <c r="AE85" s="67"/>
      <c r="AH85" s="186"/>
      <c r="AK85" s="186"/>
    </row>
    <row r="86">
      <c r="A86" s="185"/>
      <c r="B86" s="67"/>
      <c r="C86" s="67"/>
      <c r="D86" s="67"/>
      <c r="E86" s="186"/>
      <c r="F86" s="186"/>
      <c r="G86" s="186"/>
      <c r="H86" s="186"/>
      <c r="I86" s="186"/>
      <c r="J86" s="186"/>
      <c r="K86" s="186"/>
      <c r="L86" s="186"/>
      <c r="M86" s="186"/>
      <c r="N86" s="186"/>
      <c r="O86" s="186"/>
      <c r="P86" s="186"/>
      <c r="Q86" s="186"/>
      <c r="R86" s="186"/>
      <c r="S86" s="67"/>
      <c r="T86" s="67"/>
      <c r="U86" s="67"/>
      <c r="V86" s="187"/>
      <c r="W86" s="186"/>
      <c r="X86" s="187"/>
      <c r="Y86" s="187"/>
      <c r="Z86" s="187"/>
      <c r="AA86" s="186"/>
      <c r="AB86" s="186"/>
      <c r="AC86" s="67"/>
      <c r="AD86" s="67"/>
      <c r="AE86" s="67"/>
      <c r="AH86" s="186"/>
      <c r="AK86" s="186"/>
    </row>
    <row r="87">
      <c r="A87" s="185"/>
      <c r="B87" s="67"/>
      <c r="C87" s="67"/>
      <c r="D87" s="67"/>
      <c r="E87" s="186"/>
      <c r="F87" s="186"/>
      <c r="G87" s="186"/>
      <c r="H87" s="186"/>
      <c r="I87" s="186"/>
      <c r="J87" s="186"/>
      <c r="K87" s="186"/>
      <c r="L87" s="186"/>
      <c r="M87" s="186"/>
      <c r="N87" s="186"/>
      <c r="O87" s="186"/>
      <c r="P87" s="186"/>
      <c r="Q87" s="186"/>
      <c r="R87" s="186"/>
      <c r="S87" s="67"/>
      <c r="T87" s="67"/>
      <c r="U87" s="67"/>
      <c r="V87" s="187"/>
      <c r="W87" s="186"/>
      <c r="X87" s="187"/>
      <c r="Y87" s="187"/>
      <c r="Z87" s="187"/>
      <c r="AA87" s="186"/>
      <c r="AB87" s="186"/>
      <c r="AC87" s="67"/>
      <c r="AD87" s="67"/>
      <c r="AE87" s="67"/>
      <c r="AH87" s="186"/>
      <c r="AK87" s="186"/>
    </row>
    <row r="88">
      <c r="A88" s="185"/>
      <c r="B88" s="67"/>
      <c r="C88" s="67"/>
      <c r="D88" s="67"/>
      <c r="E88" s="186"/>
      <c r="F88" s="186"/>
      <c r="G88" s="186"/>
      <c r="H88" s="186"/>
      <c r="I88" s="186"/>
      <c r="J88" s="186"/>
      <c r="K88" s="186"/>
      <c r="L88" s="186"/>
      <c r="M88" s="186"/>
      <c r="N88" s="186"/>
      <c r="O88" s="186"/>
      <c r="P88" s="186"/>
      <c r="Q88" s="186"/>
      <c r="R88" s="186"/>
      <c r="S88" s="67"/>
      <c r="T88" s="67"/>
      <c r="U88" s="67"/>
      <c r="V88" s="187"/>
      <c r="W88" s="186"/>
      <c r="X88" s="187"/>
      <c r="Y88" s="187"/>
      <c r="Z88" s="187"/>
      <c r="AA88" s="186"/>
      <c r="AB88" s="186"/>
      <c r="AC88" s="67"/>
      <c r="AD88" s="67"/>
      <c r="AE88" s="67"/>
      <c r="AH88" s="186"/>
      <c r="AK88" s="186"/>
    </row>
    <row r="89">
      <c r="A89" s="185"/>
      <c r="B89" s="67"/>
      <c r="C89" s="67"/>
      <c r="D89" s="67"/>
      <c r="E89" s="186"/>
      <c r="F89" s="186"/>
      <c r="G89" s="186"/>
      <c r="H89" s="186"/>
      <c r="I89" s="186"/>
      <c r="J89" s="186"/>
      <c r="K89" s="186"/>
      <c r="L89" s="186"/>
      <c r="M89" s="186"/>
      <c r="N89" s="186"/>
      <c r="O89" s="186"/>
      <c r="P89" s="186"/>
      <c r="Q89" s="186"/>
      <c r="R89" s="186"/>
      <c r="S89" s="67"/>
      <c r="T89" s="67"/>
      <c r="U89" s="67"/>
      <c r="V89" s="187"/>
      <c r="W89" s="186"/>
      <c r="X89" s="187"/>
      <c r="Y89" s="187"/>
      <c r="Z89" s="187"/>
      <c r="AA89" s="186"/>
      <c r="AB89" s="186"/>
      <c r="AC89" s="67"/>
      <c r="AD89" s="67"/>
      <c r="AE89" s="67"/>
      <c r="AH89" s="186"/>
      <c r="AK89" s="186"/>
    </row>
    <row r="90">
      <c r="A90" s="185"/>
      <c r="B90" s="67"/>
      <c r="C90" s="67"/>
      <c r="D90" s="67"/>
      <c r="E90" s="186"/>
      <c r="F90" s="186"/>
      <c r="G90" s="186"/>
      <c r="H90" s="186"/>
      <c r="I90" s="186"/>
      <c r="J90" s="186"/>
      <c r="K90" s="186"/>
      <c r="L90" s="186"/>
      <c r="M90" s="186"/>
      <c r="N90" s="186"/>
      <c r="O90" s="186"/>
      <c r="P90" s="186"/>
      <c r="Q90" s="186"/>
      <c r="R90" s="186"/>
      <c r="S90" s="67"/>
      <c r="T90" s="67"/>
      <c r="U90" s="67"/>
      <c r="V90" s="187"/>
      <c r="W90" s="186"/>
      <c r="X90" s="187"/>
      <c r="Y90" s="187"/>
      <c r="Z90" s="187"/>
      <c r="AA90" s="186"/>
      <c r="AB90" s="186"/>
      <c r="AC90" s="67"/>
      <c r="AD90" s="67"/>
      <c r="AE90" s="67"/>
      <c r="AH90" s="186"/>
      <c r="AK90" s="186"/>
    </row>
    <row r="91">
      <c r="A91" s="185"/>
      <c r="B91" s="67"/>
      <c r="C91" s="67"/>
      <c r="D91" s="67"/>
      <c r="E91" s="186"/>
      <c r="F91" s="186"/>
      <c r="G91" s="186"/>
      <c r="H91" s="186"/>
      <c r="I91" s="186"/>
      <c r="J91" s="186"/>
      <c r="K91" s="186"/>
      <c r="L91" s="186"/>
      <c r="M91" s="186"/>
      <c r="N91" s="186"/>
      <c r="O91" s="186"/>
      <c r="P91" s="186"/>
      <c r="Q91" s="186"/>
      <c r="R91" s="186"/>
      <c r="S91" s="67"/>
      <c r="T91" s="67"/>
      <c r="U91" s="67"/>
      <c r="V91" s="187"/>
      <c r="W91" s="186"/>
      <c r="X91" s="187"/>
      <c r="Y91" s="187"/>
      <c r="Z91" s="187"/>
      <c r="AA91" s="186"/>
      <c r="AB91" s="186"/>
      <c r="AC91" s="67"/>
      <c r="AD91" s="67"/>
      <c r="AE91" s="67"/>
      <c r="AH91" s="186"/>
      <c r="AK91" s="186"/>
    </row>
    <row r="92">
      <c r="A92" s="185"/>
      <c r="B92" s="67"/>
      <c r="C92" s="67"/>
      <c r="D92" s="67"/>
      <c r="E92" s="186"/>
      <c r="F92" s="186"/>
      <c r="G92" s="186"/>
      <c r="H92" s="186"/>
      <c r="I92" s="186"/>
      <c r="J92" s="186"/>
      <c r="K92" s="186"/>
      <c r="L92" s="186"/>
      <c r="M92" s="186"/>
      <c r="N92" s="186"/>
      <c r="O92" s="186"/>
      <c r="P92" s="186"/>
      <c r="Q92" s="186"/>
      <c r="R92" s="186"/>
      <c r="S92" s="67"/>
      <c r="T92" s="67"/>
      <c r="U92" s="67"/>
      <c r="V92" s="187"/>
      <c r="W92" s="186"/>
      <c r="X92" s="187"/>
      <c r="Y92" s="187"/>
      <c r="Z92" s="187"/>
      <c r="AA92" s="186"/>
      <c r="AB92" s="186"/>
      <c r="AC92" s="67"/>
      <c r="AD92" s="67"/>
      <c r="AE92" s="67"/>
      <c r="AH92" s="186"/>
      <c r="AK92" s="186"/>
    </row>
    <row r="93">
      <c r="A93" s="185"/>
      <c r="B93" s="67"/>
      <c r="C93" s="67"/>
      <c r="D93" s="67"/>
      <c r="E93" s="186"/>
      <c r="F93" s="186"/>
      <c r="G93" s="186"/>
      <c r="H93" s="186"/>
      <c r="I93" s="186"/>
      <c r="J93" s="186"/>
      <c r="K93" s="186"/>
      <c r="L93" s="186"/>
      <c r="M93" s="186"/>
      <c r="N93" s="186"/>
      <c r="O93" s="186"/>
      <c r="P93" s="186"/>
      <c r="Q93" s="186"/>
      <c r="R93" s="186"/>
      <c r="S93" s="67"/>
      <c r="T93" s="67"/>
      <c r="U93" s="67"/>
      <c r="V93" s="187"/>
      <c r="W93" s="186"/>
      <c r="X93" s="187"/>
      <c r="Y93" s="187"/>
      <c r="Z93" s="187"/>
      <c r="AA93" s="186"/>
      <c r="AB93" s="186"/>
      <c r="AC93" s="67"/>
      <c r="AD93" s="67"/>
      <c r="AE93" s="67"/>
      <c r="AH93" s="186"/>
      <c r="AK93" s="186"/>
    </row>
    <row r="94">
      <c r="A94" s="185"/>
      <c r="B94" s="67"/>
      <c r="C94" s="67"/>
      <c r="D94" s="67"/>
      <c r="E94" s="186"/>
      <c r="F94" s="186"/>
      <c r="G94" s="186"/>
      <c r="H94" s="186"/>
      <c r="I94" s="186"/>
      <c r="J94" s="186"/>
      <c r="K94" s="186"/>
      <c r="L94" s="186"/>
      <c r="M94" s="186"/>
      <c r="N94" s="186"/>
      <c r="O94" s="186"/>
      <c r="P94" s="186"/>
      <c r="Q94" s="186"/>
      <c r="R94" s="186"/>
      <c r="S94" s="67"/>
      <c r="T94" s="67"/>
      <c r="U94" s="67"/>
      <c r="V94" s="187"/>
      <c r="W94" s="186"/>
      <c r="X94" s="187"/>
      <c r="Y94" s="187"/>
      <c r="Z94" s="187"/>
      <c r="AA94" s="186"/>
      <c r="AB94" s="186"/>
      <c r="AC94" s="67"/>
      <c r="AD94" s="67"/>
      <c r="AE94" s="67"/>
      <c r="AH94" s="186"/>
      <c r="AK94" s="186"/>
    </row>
    <row r="95">
      <c r="A95" s="185"/>
      <c r="B95" s="67"/>
      <c r="C95" s="67"/>
      <c r="D95" s="67"/>
      <c r="E95" s="186"/>
      <c r="F95" s="186"/>
      <c r="G95" s="186"/>
      <c r="H95" s="186"/>
      <c r="I95" s="186"/>
      <c r="J95" s="186"/>
      <c r="K95" s="186"/>
      <c r="L95" s="186"/>
      <c r="M95" s="186"/>
      <c r="N95" s="186"/>
      <c r="O95" s="186"/>
      <c r="P95" s="186"/>
      <c r="Q95" s="186"/>
      <c r="R95" s="186"/>
      <c r="S95" s="67"/>
      <c r="T95" s="67"/>
      <c r="U95" s="67"/>
      <c r="V95" s="187"/>
      <c r="W95" s="186"/>
      <c r="X95" s="187"/>
      <c r="Y95" s="187"/>
      <c r="Z95" s="187"/>
      <c r="AA95" s="186"/>
      <c r="AB95" s="186"/>
      <c r="AC95" s="67"/>
      <c r="AD95" s="67"/>
      <c r="AE95" s="67"/>
      <c r="AH95" s="186"/>
      <c r="AK95" s="186"/>
    </row>
    <row r="96">
      <c r="A96" s="185"/>
      <c r="B96" s="67"/>
      <c r="C96" s="67"/>
      <c r="D96" s="67"/>
      <c r="E96" s="186"/>
      <c r="F96" s="186"/>
      <c r="G96" s="186"/>
      <c r="H96" s="186"/>
      <c r="I96" s="186"/>
      <c r="J96" s="186"/>
      <c r="K96" s="186"/>
      <c r="L96" s="186"/>
      <c r="M96" s="186"/>
      <c r="N96" s="186"/>
      <c r="O96" s="186"/>
      <c r="P96" s="186"/>
      <c r="Q96" s="186"/>
      <c r="R96" s="186"/>
      <c r="S96" s="67"/>
      <c r="T96" s="67"/>
      <c r="U96" s="67"/>
      <c r="V96" s="187"/>
      <c r="W96" s="186"/>
      <c r="X96" s="187"/>
      <c r="Y96" s="187"/>
      <c r="Z96" s="187"/>
      <c r="AA96" s="186"/>
      <c r="AB96" s="186"/>
      <c r="AC96" s="67"/>
      <c r="AD96" s="67"/>
      <c r="AE96" s="67"/>
      <c r="AH96" s="186"/>
      <c r="AK96" s="186"/>
    </row>
    <row r="97">
      <c r="A97" s="185"/>
      <c r="B97" s="67"/>
      <c r="C97" s="67"/>
      <c r="D97" s="67"/>
      <c r="E97" s="186"/>
      <c r="F97" s="186"/>
      <c r="G97" s="186"/>
      <c r="H97" s="186"/>
      <c r="I97" s="186"/>
      <c r="J97" s="186"/>
      <c r="K97" s="186"/>
      <c r="L97" s="186"/>
      <c r="M97" s="186"/>
      <c r="N97" s="186"/>
      <c r="O97" s="186"/>
      <c r="P97" s="186"/>
      <c r="Q97" s="186"/>
      <c r="R97" s="186"/>
      <c r="S97" s="67"/>
      <c r="T97" s="67"/>
      <c r="U97" s="67"/>
      <c r="V97" s="187"/>
      <c r="W97" s="186"/>
      <c r="X97" s="187"/>
      <c r="Y97" s="187"/>
      <c r="Z97" s="187"/>
      <c r="AA97" s="186"/>
      <c r="AB97" s="186"/>
      <c r="AC97" s="67"/>
      <c r="AD97" s="67"/>
      <c r="AE97" s="67"/>
      <c r="AH97" s="186"/>
      <c r="AK97" s="186"/>
    </row>
    <row r="98">
      <c r="A98" s="185"/>
      <c r="B98" s="67"/>
      <c r="C98" s="67"/>
      <c r="D98" s="67"/>
      <c r="E98" s="186"/>
      <c r="F98" s="186"/>
      <c r="G98" s="186"/>
      <c r="H98" s="186"/>
      <c r="I98" s="186"/>
      <c r="J98" s="186"/>
      <c r="K98" s="186"/>
      <c r="L98" s="186"/>
      <c r="M98" s="186"/>
      <c r="N98" s="186"/>
      <c r="O98" s="186"/>
      <c r="P98" s="186"/>
      <c r="Q98" s="186"/>
      <c r="R98" s="186"/>
      <c r="S98" s="67"/>
      <c r="T98" s="67"/>
      <c r="U98" s="67"/>
      <c r="V98" s="187"/>
      <c r="W98" s="186"/>
      <c r="X98" s="187"/>
      <c r="Y98" s="187"/>
      <c r="Z98" s="187"/>
      <c r="AA98" s="186"/>
      <c r="AB98" s="186"/>
      <c r="AC98" s="67"/>
      <c r="AD98" s="67"/>
      <c r="AE98" s="67"/>
      <c r="AH98" s="186"/>
      <c r="AK98" s="186"/>
    </row>
    <row r="99">
      <c r="A99" s="185"/>
      <c r="B99" s="67"/>
      <c r="C99" s="67"/>
      <c r="D99" s="67"/>
      <c r="E99" s="186"/>
      <c r="F99" s="186"/>
      <c r="G99" s="186"/>
      <c r="H99" s="186"/>
      <c r="I99" s="186"/>
      <c r="J99" s="186"/>
      <c r="K99" s="186"/>
      <c r="L99" s="186"/>
      <c r="M99" s="186"/>
      <c r="N99" s="186"/>
      <c r="O99" s="186"/>
      <c r="P99" s="186"/>
      <c r="Q99" s="186"/>
      <c r="R99" s="186"/>
      <c r="S99" s="67"/>
      <c r="T99" s="67"/>
      <c r="U99" s="67"/>
      <c r="V99" s="187"/>
      <c r="W99" s="186"/>
      <c r="X99" s="187"/>
      <c r="Y99" s="187"/>
      <c r="Z99" s="187"/>
      <c r="AA99" s="186"/>
      <c r="AB99" s="186"/>
      <c r="AC99" s="67"/>
      <c r="AD99" s="67"/>
      <c r="AE99" s="67"/>
      <c r="AH99" s="186"/>
      <c r="AK99" s="186"/>
    </row>
    <row r="100">
      <c r="A100" s="185"/>
      <c r="B100" s="67"/>
      <c r="C100" s="67"/>
      <c r="D100" s="67"/>
      <c r="E100" s="186"/>
      <c r="F100" s="186"/>
      <c r="G100" s="186"/>
      <c r="H100" s="186"/>
      <c r="I100" s="186"/>
      <c r="J100" s="186"/>
      <c r="K100" s="186"/>
      <c r="L100" s="186"/>
      <c r="M100" s="186"/>
      <c r="N100" s="186"/>
      <c r="O100" s="186"/>
      <c r="P100" s="186"/>
      <c r="Q100" s="186"/>
      <c r="R100" s="186"/>
      <c r="S100" s="67"/>
      <c r="T100" s="67"/>
      <c r="U100" s="67"/>
      <c r="V100" s="187"/>
      <c r="W100" s="186"/>
      <c r="X100" s="187"/>
      <c r="Y100" s="187"/>
      <c r="Z100" s="187"/>
      <c r="AA100" s="186"/>
      <c r="AB100" s="186"/>
      <c r="AC100" s="67"/>
      <c r="AD100" s="67"/>
      <c r="AE100" s="67"/>
      <c r="AH100" s="186"/>
      <c r="AK100" s="186"/>
    </row>
    <row r="101">
      <c r="A101" s="185"/>
      <c r="B101" s="67"/>
      <c r="C101" s="67"/>
      <c r="D101" s="67"/>
      <c r="E101" s="186"/>
      <c r="F101" s="186"/>
      <c r="G101" s="186"/>
      <c r="H101" s="186"/>
      <c r="I101" s="186"/>
      <c r="J101" s="186"/>
      <c r="K101" s="186"/>
      <c r="L101" s="186"/>
      <c r="M101" s="186"/>
      <c r="N101" s="186"/>
      <c r="O101" s="186"/>
      <c r="P101" s="186"/>
      <c r="Q101" s="186"/>
      <c r="R101" s="186"/>
      <c r="S101" s="67"/>
      <c r="T101" s="67"/>
      <c r="U101" s="67"/>
      <c r="V101" s="187"/>
      <c r="W101" s="186"/>
      <c r="X101" s="187"/>
      <c r="Y101" s="187"/>
      <c r="Z101" s="187"/>
      <c r="AA101" s="186"/>
      <c r="AB101" s="186"/>
      <c r="AC101" s="67"/>
      <c r="AD101" s="67"/>
      <c r="AE101" s="67"/>
      <c r="AH101" s="186"/>
      <c r="AK101" s="186"/>
    </row>
    <row r="102">
      <c r="A102" s="185"/>
      <c r="B102" s="67"/>
      <c r="C102" s="67"/>
      <c r="D102" s="67"/>
      <c r="E102" s="186"/>
      <c r="F102" s="186"/>
      <c r="G102" s="186"/>
      <c r="H102" s="186"/>
      <c r="I102" s="186"/>
      <c r="J102" s="186"/>
      <c r="K102" s="186"/>
      <c r="L102" s="186"/>
      <c r="M102" s="186"/>
      <c r="N102" s="186"/>
      <c r="O102" s="186"/>
      <c r="P102" s="186"/>
      <c r="Q102" s="186"/>
      <c r="R102" s="186"/>
      <c r="S102" s="67"/>
      <c r="T102" s="67"/>
      <c r="U102" s="67"/>
      <c r="V102" s="187"/>
      <c r="W102" s="186"/>
      <c r="X102" s="187"/>
      <c r="Y102" s="187"/>
      <c r="Z102" s="187"/>
      <c r="AA102" s="186"/>
      <c r="AB102" s="186"/>
      <c r="AC102" s="67"/>
      <c r="AD102" s="67"/>
      <c r="AE102" s="67"/>
      <c r="AH102" s="186"/>
      <c r="AK102" s="186"/>
    </row>
    <row r="103">
      <c r="A103" s="185"/>
      <c r="B103" s="67"/>
      <c r="C103" s="67"/>
      <c r="D103" s="67"/>
      <c r="E103" s="186"/>
      <c r="F103" s="186"/>
      <c r="G103" s="186"/>
      <c r="H103" s="186"/>
      <c r="I103" s="186"/>
      <c r="J103" s="186"/>
      <c r="K103" s="186"/>
      <c r="L103" s="186"/>
      <c r="M103" s="186"/>
      <c r="N103" s="186"/>
      <c r="O103" s="186"/>
      <c r="P103" s="186"/>
      <c r="Q103" s="186"/>
      <c r="R103" s="186"/>
      <c r="S103" s="67"/>
      <c r="T103" s="67"/>
      <c r="U103" s="67"/>
      <c r="V103" s="187"/>
      <c r="W103" s="186"/>
      <c r="X103" s="187"/>
      <c r="Y103" s="187"/>
      <c r="Z103" s="187"/>
      <c r="AA103" s="186"/>
      <c r="AB103" s="186"/>
      <c r="AC103" s="67"/>
      <c r="AD103" s="67"/>
      <c r="AE103" s="67"/>
      <c r="AH103" s="186"/>
      <c r="AK103" s="186"/>
    </row>
    <row r="104">
      <c r="A104" s="185"/>
      <c r="B104" s="67"/>
      <c r="C104" s="67"/>
      <c r="D104" s="67"/>
      <c r="E104" s="186"/>
      <c r="F104" s="186"/>
      <c r="G104" s="186"/>
      <c r="H104" s="186"/>
      <c r="I104" s="186"/>
      <c r="J104" s="186"/>
      <c r="K104" s="186"/>
      <c r="L104" s="186"/>
      <c r="M104" s="186"/>
      <c r="N104" s="186"/>
      <c r="O104" s="186"/>
      <c r="P104" s="186"/>
      <c r="Q104" s="186"/>
      <c r="R104" s="186"/>
      <c r="S104" s="67"/>
      <c r="T104" s="67"/>
      <c r="U104" s="67"/>
      <c r="V104" s="187"/>
      <c r="W104" s="186"/>
      <c r="X104" s="187"/>
      <c r="Y104" s="187"/>
      <c r="Z104" s="187"/>
      <c r="AA104" s="186"/>
      <c r="AB104" s="186"/>
      <c r="AC104" s="67"/>
      <c r="AD104" s="67"/>
      <c r="AE104" s="67"/>
      <c r="AH104" s="186"/>
      <c r="AK104" s="186"/>
    </row>
    <row r="105">
      <c r="A105" s="185"/>
      <c r="B105" s="67"/>
      <c r="C105" s="67"/>
      <c r="D105" s="67"/>
      <c r="E105" s="186"/>
      <c r="F105" s="186"/>
      <c r="G105" s="186"/>
      <c r="H105" s="186"/>
      <c r="I105" s="186"/>
      <c r="J105" s="186"/>
      <c r="K105" s="186"/>
      <c r="L105" s="186"/>
      <c r="M105" s="186"/>
      <c r="N105" s="186"/>
      <c r="O105" s="186"/>
      <c r="P105" s="186"/>
      <c r="Q105" s="186"/>
      <c r="R105" s="186"/>
      <c r="S105" s="67"/>
      <c r="T105" s="67"/>
      <c r="U105" s="67"/>
      <c r="V105" s="187"/>
      <c r="W105" s="186"/>
      <c r="X105" s="187"/>
      <c r="Y105" s="187"/>
      <c r="Z105" s="187"/>
      <c r="AA105" s="186"/>
      <c r="AB105" s="186"/>
      <c r="AC105" s="67"/>
      <c r="AD105" s="67"/>
      <c r="AE105" s="67"/>
      <c r="AH105" s="186"/>
      <c r="AK105" s="186"/>
    </row>
    <row r="106">
      <c r="A106" s="185"/>
      <c r="B106" s="67"/>
      <c r="C106" s="67"/>
      <c r="D106" s="67"/>
      <c r="E106" s="186"/>
      <c r="F106" s="186"/>
      <c r="G106" s="186"/>
      <c r="H106" s="186"/>
      <c r="I106" s="186"/>
      <c r="J106" s="186"/>
      <c r="K106" s="186"/>
      <c r="L106" s="186"/>
      <c r="M106" s="186"/>
      <c r="N106" s="186"/>
      <c r="O106" s="186"/>
      <c r="P106" s="186"/>
      <c r="Q106" s="186"/>
      <c r="R106" s="186"/>
      <c r="S106" s="67"/>
      <c r="T106" s="67"/>
      <c r="U106" s="67"/>
      <c r="V106" s="187"/>
      <c r="W106" s="186"/>
      <c r="X106" s="187"/>
      <c r="Y106" s="187"/>
      <c r="Z106" s="187"/>
      <c r="AA106" s="186"/>
      <c r="AB106" s="186"/>
      <c r="AC106" s="67"/>
      <c r="AD106" s="67"/>
      <c r="AE106" s="67"/>
      <c r="AH106" s="186"/>
      <c r="AK106" s="186"/>
    </row>
    <row r="107">
      <c r="A107" s="185"/>
      <c r="B107" s="67"/>
      <c r="C107" s="67"/>
      <c r="D107" s="67"/>
      <c r="E107" s="186"/>
      <c r="F107" s="186"/>
      <c r="G107" s="186"/>
      <c r="H107" s="186"/>
      <c r="I107" s="186"/>
      <c r="J107" s="186"/>
      <c r="K107" s="186"/>
      <c r="L107" s="186"/>
      <c r="M107" s="186"/>
      <c r="N107" s="186"/>
      <c r="O107" s="186"/>
      <c r="P107" s="186"/>
      <c r="Q107" s="186"/>
      <c r="R107" s="186"/>
      <c r="S107" s="67"/>
      <c r="T107" s="67"/>
      <c r="U107" s="67"/>
      <c r="V107" s="187"/>
      <c r="W107" s="186"/>
      <c r="X107" s="187"/>
      <c r="Y107" s="187"/>
      <c r="Z107" s="187"/>
      <c r="AA107" s="186"/>
      <c r="AB107" s="186"/>
      <c r="AC107" s="67"/>
      <c r="AD107" s="67"/>
      <c r="AE107" s="67"/>
      <c r="AH107" s="186"/>
      <c r="AK107" s="186"/>
    </row>
    <row r="108">
      <c r="A108" s="185"/>
      <c r="B108" s="67"/>
      <c r="C108" s="67"/>
      <c r="D108" s="67"/>
      <c r="E108" s="186"/>
      <c r="F108" s="186"/>
      <c r="G108" s="186"/>
      <c r="H108" s="186"/>
      <c r="I108" s="186"/>
      <c r="J108" s="186"/>
      <c r="K108" s="186"/>
      <c r="L108" s="186"/>
      <c r="M108" s="186"/>
      <c r="N108" s="186"/>
      <c r="O108" s="186"/>
      <c r="P108" s="186"/>
      <c r="Q108" s="186"/>
      <c r="R108" s="186"/>
      <c r="S108" s="67"/>
      <c r="T108" s="67"/>
      <c r="U108" s="67"/>
      <c r="V108" s="187"/>
      <c r="W108" s="186"/>
      <c r="X108" s="187"/>
      <c r="Y108" s="187"/>
      <c r="Z108" s="187"/>
      <c r="AA108" s="186"/>
      <c r="AB108" s="186"/>
      <c r="AC108" s="67"/>
      <c r="AD108" s="67"/>
      <c r="AE108" s="67"/>
      <c r="AH108" s="186"/>
      <c r="AK108" s="186"/>
    </row>
    <row r="109">
      <c r="A109" s="185"/>
      <c r="B109" s="67"/>
      <c r="C109" s="67"/>
      <c r="D109" s="67"/>
      <c r="E109" s="186"/>
      <c r="F109" s="186"/>
      <c r="G109" s="186"/>
      <c r="H109" s="186"/>
      <c r="I109" s="186"/>
      <c r="J109" s="186"/>
      <c r="K109" s="186"/>
      <c r="L109" s="186"/>
      <c r="M109" s="186"/>
      <c r="N109" s="186"/>
      <c r="O109" s="186"/>
      <c r="P109" s="186"/>
      <c r="Q109" s="186"/>
      <c r="R109" s="186"/>
      <c r="S109" s="67"/>
      <c r="T109" s="67"/>
      <c r="U109" s="67"/>
      <c r="V109" s="187"/>
      <c r="W109" s="186"/>
      <c r="X109" s="187"/>
      <c r="Y109" s="187"/>
      <c r="Z109" s="187"/>
      <c r="AA109" s="186"/>
      <c r="AB109" s="186"/>
      <c r="AC109" s="67"/>
      <c r="AD109" s="67"/>
      <c r="AE109" s="67"/>
      <c r="AH109" s="186"/>
      <c r="AK109" s="186"/>
    </row>
    <row r="110">
      <c r="A110" s="185"/>
      <c r="B110" s="67"/>
      <c r="C110" s="67"/>
      <c r="D110" s="67"/>
      <c r="E110" s="186"/>
      <c r="F110" s="186"/>
      <c r="G110" s="186"/>
      <c r="H110" s="186"/>
      <c r="I110" s="186"/>
      <c r="J110" s="186"/>
      <c r="K110" s="186"/>
      <c r="L110" s="186"/>
      <c r="M110" s="186"/>
      <c r="N110" s="186"/>
      <c r="O110" s="186"/>
      <c r="P110" s="186"/>
      <c r="Q110" s="186"/>
      <c r="R110" s="186"/>
      <c r="S110" s="67"/>
      <c r="T110" s="67"/>
      <c r="U110" s="67"/>
      <c r="V110" s="187"/>
      <c r="W110" s="186"/>
      <c r="X110" s="187"/>
      <c r="Y110" s="187"/>
      <c r="Z110" s="187"/>
      <c r="AA110" s="186"/>
      <c r="AB110" s="186"/>
      <c r="AC110" s="67"/>
      <c r="AD110" s="67"/>
      <c r="AE110" s="67"/>
      <c r="AH110" s="186"/>
      <c r="AK110" s="186"/>
    </row>
    <row r="111">
      <c r="A111" s="185"/>
      <c r="B111" s="67"/>
      <c r="C111" s="67"/>
      <c r="D111" s="67"/>
      <c r="E111" s="186"/>
      <c r="F111" s="186"/>
      <c r="G111" s="186"/>
      <c r="H111" s="186"/>
      <c r="I111" s="186"/>
      <c r="J111" s="186"/>
      <c r="K111" s="186"/>
      <c r="L111" s="186"/>
      <c r="M111" s="186"/>
      <c r="N111" s="186"/>
      <c r="O111" s="186"/>
      <c r="P111" s="186"/>
      <c r="Q111" s="186"/>
      <c r="R111" s="186"/>
      <c r="S111" s="67"/>
      <c r="T111" s="67"/>
      <c r="U111" s="67"/>
      <c r="V111" s="187"/>
      <c r="W111" s="186"/>
      <c r="X111" s="187"/>
      <c r="Y111" s="187"/>
      <c r="Z111" s="187"/>
      <c r="AA111" s="186"/>
      <c r="AB111" s="186"/>
      <c r="AC111" s="67"/>
      <c r="AD111" s="67"/>
      <c r="AE111" s="67"/>
      <c r="AH111" s="186"/>
      <c r="AK111" s="186"/>
    </row>
    <row r="112">
      <c r="A112" s="185"/>
      <c r="B112" s="67"/>
      <c r="C112" s="67"/>
      <c r="D112" s="67"/>
      <c r="E112" s="186"/>
      <c r="F112" s="186"/>
      <c r="G112" s="186"/>
      <c r="H112" s="186"/>
      <c r="I112" s="186"/>
      <c r="J112" s="186"/>
      <c r="K112" s="186"/>
      <c r="L112" s="186"/>
      <c r="M112" s="186"/>
      <c r="N112" s="186"/>
      <c r="O112" s="186"/>
      <c r="P112" s="186"/>
      <c r="Q112" s="186"/>
      <c r="R112" s="186"/>
      <c r="S112" s="67"/>
      <c r="T112" s="67"/>
      <c r="U112" s="67"/>
      <c r="V112" s="187"/>
      <c r="W112" s="186"/>
      <c r="X112" s="187"/>
      <c r="Y112" s="187"/>
      <c r="Z112" s="187"/>
      <c r="AA112" s="186"/>
      <c r="AB112" s="186"/>
      <c r="AC112" s="67"/>
      <c r="AD112" s="67"/>
      <c r="AE112" s="67"/>
      <c r="AH112" s="186"/>
      <c r="AK112" s="186"/>
    </row>
    <row r="113">
      <c r="A113" s="185"/>
      <c r="B113" s="67"/>
      <c r="C113" s="67"/>
      <c r="D113" s="67"/>
      <c r="E113" s="186"/>
      <c r="F113" s="186"/>
      <c r="G113" s="186"/>
      <c r="H113" s="186"/>
      <c r="I113" s="186"/>
      <c r="J113" s="186"/>
      <c r="K113" s="186"/>
      <c r="L113" s="186"/>
      <c r="M113" s="186"/>
      <c r="N113" s="186"/>
      <c r="O113" s="186"/>
      <c r="P113" s="186"/>
      <c r="Q113" s="186"/>
      <c r="R113" s="186"/>
      <c r="S113" s="67"/>
      <c r="T113" s="67"/>
      <c r="U113" s="67"/>
      <c r="V113" s="187"/>
      <c r="W113" s="186"/>
      <c r="X113" s="187"/>
      <c r="Y113" s="187"/>
      <c r="Z113" s="187"/>
      <c r="AA113" s="186"/>
      <c r="AB113" s="186"/>
      <c r="AC113" s="67"/>
      <c r="AD113" s="67"/>
      <c r="AE113" s="67"/>
      <c r="AH113" s="186"/>
      <c r="AK113" s="186"/>
    </row>
    <row r="114">
      <c r="A114" s="185"/>
      <c r="B114" s="67"/>
      <c r="C114" s="67"/>
      <c r="D114" s="67"/>
      <c r="E114" s="186"/>
      <c r="F114" s="186"/>
      <c r="G114" s="186"/>
      <c r="H114" s="186"/>
      <c r="I114" s="186"/>
      <c r="J114" s="186"/>
      <c r="K114" s="186"/>
      <c r="L114" s="186"/>
      <c r="M114" s="186"/>
      <c r="N114" s="186"/>
      <c r="O114" s="186"/>
      <c r="P114" s="186"/>
      <c r="Q114" s="186"/>
      <c r="R114" s="186"/>
      <c r="S114" s="67"/>
      <c r="T114" s="67"/>
      <c r="U114" s="67"/>
      <c r="V114" s="187"/>
      <c r="W114" s="186"/>
      <c r="X114" s="187"/>
      <c r="Y114" s="187"/>
      <c r="Z114" s="187"/>
      <c r="AA114" s="186"/>
      <c r="AB114" s="186"/>
      <c r="AC114" s="67"/>
      <c r="AD114" s="67"/>
      <c r="AE114" s="67"/>
      <c r="AH114" s="186"/>
      <c r="AK114" s="186"/>
    </row>
    <row r="115">
      <c r="A115" s="185"/>
      <c r="B115" s="67"/>
      <c r="C115" s="67"/>
      <c r="D115" s="67"/>
      <c r="E115" s="186"/>
      <c r="F115" s="186"/>
      <c r="G115" s="186"/>
      <c r="H115" s="186"/>
      <c r="I115" s="186"/>
      <c r="J115" s="186"/>
      <c r="K115" s="186"/>
      <c r="L115" s="186"/>
      <c r="M115" s="186"/>
      <c r="N115" s="186"/>
      <c r="O115" s="186"/>
      <c r="P115" s="186"/>
      <c r="Q115" s="186"/>
      <c r="R115" s="186"/>
      <c r="S115" s="67"/>
      <c r="T115" s="67"/>
      <c r="U115" s="67"/>
      <c r="V115" s="187"/>
      <c r="W115" s="186"/>
      <c r="X115" s="187"/>
      <c r="Y115" s="187"/>
      <c r="Z115" s="187"/>
      <c r="AA115" s="186"/>
      <c r="AB115" s="186"/>
      <c r="AC115" s="67"/>
      <c r="AD115" s="67"/>
      <c r="AE115" s="67"/>
      <c r="AH115" s="186"/>
      <c r="AK115" s="186"/>
    </row>
    <row r="116">
      <c r="A116" s="185"/>
      <c r="B116" s="67"/>
      <c r="C116" s="67"/>
      <c r="D116" s="67"/>
      <c r="E116" s="186"/>
      <c r="F116" s="186"/>
      <c r="G116" s="186"/>
      <c r="H116" s="186"/>
      <c r="I116" s="186"/>
      <c r="J116" s="186"/>
      <c r="K116" s="186"/>
      <c r="L116" s="186"/>
      <c r="M116" s="186"/>
      <c r="N116" s="186"/>
      <c r="O116" s="186"/>
      <c r="P116" s="186"/>
      <c r="Q116" s="186"/>
      <c r="R116" s="186"/>
      <c r="S116" s="67"/>
      <c r="T116" s="67"/>
      <c r="U116" s="67"/>
      <c r="V116" s="187"/>
      <c r="W116" s="186"/>
      <c r="X116" s="187"/>
      <c r="Y116" s="187"/>
      <c r="Z116" s="187"/>
      <c r="AA116" s="186"/>
      <c r="AB116" s="186"/>
      <c r="AC116" s="67"/>
      <c r="AD116" s="67"/>
      <c r="AE116" s="67"/>
      <c r="AH116" s="186"/>
      <c r="AK116" s="186"/>
    </row>
    <row r="117">
      <c r="A117" s="185"/>
      <c r="B117" s="67"/>
      <c r="C117" s="67"/>
      <c r="D117" s="67"/>
      <c r="E117" s="186"/>
      <c r="F117" s="186"/>
      <c r="G117" s="186"/>
      <c r="H117" s="186"/>
      <c r="I117" s="186"/>
      <c r="J117" s="186"/>
      <c r="K117" s="186"/>
      <c r="L117" s="186"/>
      <c r="M117" s="186"/>
      <c r="N117" s="186"/>
      <c r="O117" s="186"/>
      <c r="P117" s="186"/>
      <c r="Q117" s="186"/>
      <c r="R117" s="186"/>
      <c r="S117" s="67"/>
      <c r="T117" s="67"/>
      <c r="U117" s="67"/>
      <c r="V117" s="187"/>
      <c r="W117" s="186"/>
      <c r="X117" s="187"/>
      <c r="Y117" s="187"/>
      <c r="Z117" s="187"/>
      <c r="AA117" s="186"/>
      <c r="AB117" s="186"/>
      <c r="AC117" s="67"/>
      <c r="AD117" s="67"/>
      <c r="AE117" s="67"/>
      <c r="AH117" s="186"/>
      <c r="AK117" s="186"/>
    </row>
    <row r="118">
      <c r="A118" s="185"/>
      <c r="B118" s="67"/>
      <c r="C118" s="67"/>
      <c r="D118" s="67"/>
      <c r="E118" s="186"/>
      <c r="F118" s="186"/>
      <c r="G118" s="186"/>
      <c r="H118" s="186"/>
      <c r="I118" s="186"/>
      <c r="J118" s="186"/>
      <c r="K118" s="186"/>
      <c r="L118" s="186"/>
      <c r="M118" s="186"/>
      <c r="N118" s="186"/>
      <c r="O118" s="186"/>
      <c r="P118" s="186"/>
      <c r="Q118" s="186"/>
      <c r="R118" s="186"/>
      <c r="S118" s="67"/>
      <c r="T118" s="67"/>
      <c r="U118" s="67"/>
      <c r="V118" s="187"/>
      <c r="W118" s="186"/>
      <c r="X118" s="187"/>
      <c r="Y118" s="187"/>
      <c r="Z118" s="187"/>
      <c r="AA118" s="186"/>
      <c r="AB118" s="186"/>
      <c r="AC118" s="67"/>
      <c r="AD118" s="67"/>
      <c r="AE118" s="67"/>
      <c r="AH118" s="186"/>
      <c r="AK118" s="186"/>
    </row>
    <row r="119">
      <c r="A119" s="185"/>
      <c r="B119" s="67"/>
      <c r="C119" s="67"/>
      <c r="D119" s="67"/>
      <c r="E119" s="186"/>
      <c r="F119" s="186"/>
      <c r="G119" s="186"/>
      <c r="H119" s="186"/>
      <c r="I119" s="186"/>
      <c r="J119" s="186"/>
      <c r="K119" s="186"/>
      <c r="L119" s="186"/>
      <c r="M119" s="186"/>
      <c r="N119" s="186"/>
      <c r="O119" s="186"/>
      <c r="P119" s="186"/>
      <c r="Q119" s="186"/>
      <c r="R119" s="186"/>
      <c r="S119" s="67"/>
      <c r="T119" s="67"/>
      <c r="U119" s="67"/>
      <c r="V119" s="187"/>
      <c r="W119" s="186"/>
      <c r="X119" s="187"/>
      <c r="Y119" s="187"/>
      <c r="Z119" s="187"/>
      <c r="AA119" s="186"/>
      <c r="AB119" s="186"/>
      <c r="AC119" s="67"/>
      <c r="AD119" s="67"/>
      <c r="AE119" s="67"/>
      <c r="AH119" s="186"/>
      <c r="AK119" s="186"/>
    </row>
    <row r="120">
      <c r="A120" s="185"/>
      <c r="B120" s="67"/>
      <c r="C120" s="67"/>
      <c r="D120" s="67"/>
      <c r="E120" s="186"/>
      <c r="F120" s="186"/>
      <c r="G120" s="186"/>
      <c r="H120" s="186"/>
      <c r="I120" s="186"/>
      <c r="J120" s="186"/>
      <c r="K120" s="186"/>
      <c r="L120" s="186"/>
      <c r="M120" s="186"/>
      <c r="N120" s="186"/>
      <c r="O120" s="186"/>
      <c r="P120" s="186"/>
      <c r="Q120" s="186"/>
      <c r="R120" s="186"/>
      <c r="S120" s="67"/>
      <c r="T120" s="67"/>
      <c r="U120" s="67"/>
      <c r="V120" s="187"/>
      <c r="W120" s="186"/>
      <c r="X120" s="187"/>
      <c r="Y120" s="187"/>
      <c r="Z120" s="187"/>
      <c r="AA120" s="186"/>
      <c r="AB120" s="186"/>
      <c r="AC120" s="67"/>
      <c r="AD120" s="67"/>
      <c r="AE120" s="67"/>
      <c r="AH120" s="186"/>
      <c r="AK120" s="186"/>
    </row>
    <row r="121">
      <c r="A121" s="185"/>
      <c r="B121" s="67"/>
      <c r="C121" s="67"/>
      <c r="D121" s="67"/>
      <c r="E121" s="186"/>
      <c r="F121" s="186"/>
      <c r="G121" s="186"/>
      <c r="H121" s="186"/>
      <c r="I121" s="186"/>
      <c r="J121" s="186"/>
      <c r="K121" s="186"/>
      <c r="L121" s="186"/>
      <c r="M121" s="186"/>
      <c r="N121" s="186"/>
      <c r="O121" s="186"/>
      <c r="P121" s="186"/>
      <c r="Q121" s="186"/>
      <c r="R121" s="186"/>
      <c r="S121" s="67"/>
      <c r="T121" s="67"/>
      <c r="U121" s="67"/>
      <c r="V121" s="187"/>
      <c r="W121" s="186"/>
      <c r="X121" s="187"/>
      <c r="Y121" s="187"/>
      <c r="Z121" s="187"/>
      <c r="AA121" s="186"/>
      <c r="AB121" s="186"/>
      <c r="AC121" s="67"/>
      <c r="AD121" s="67"/>
      <c r="AE121" s="67"/>
      <c r="AH121" s="186"/>
      <c r="AK121" s="186"/>
    </row>
    <row r="122">
      <c r="A122" s="185"/>
      <c r="B122" s="67"/>
      <c r="C122" s="67"/>
      <c r="D122" s="67"/>
      <c r="E122" s="186"/>
      <c r="F122" s="186"/>
      <c r="G122" s="186"/>
      <c r="H122" s="186"/>
      <c r="I122" s="186"/>
      <c r="J122" s="186"/>
      <c r="K122" s="186"/>
      <c r="L122" s="186"/>
      <c r="M122" s="186"/>
      <c r="N122" s="186"/>
      <c r="O122" s="186"/>
      <c r="P122" s="186"/>
      <c r="Q122" s="186"/>
      <c r="R122" s="186"/>
      <c r="S122" s="67"/>
      <c r="T122" s="67"/>
      <c r="U122" s="67"/>
      <c r="V122" s="187"/>
      <c r="W122" s="186"/>
      <c r="X122" s="187"/>
      <c r="Y122" s="187"/>
      <c r="Z122" s="187"/>
      <c r="AA122" s="186"/>
      <c r="AB122" s="186"/>
      <c r="AC122" s="67"/>
      <c r="AD122" s="67"/>
      <c r="AE122" s="67"/>
      <c r="AH122" s="186"/>
      <c r="AK122" s="186"/>
    </row>
    <row r="123">
      <c r="A123" s="185"/>
      <c r="B123" s="67"/>
      <c r="C123" s="67"/>
      <c r="D123" s="67"/>
      <c r="E123" s="186"/>
      <c r="F123" s="186"/>
      <c r="G123" s="186"/>
      <c r="H123" s="186"/>
      <c r="I123" s="186"/>
      <c r="J123" s="186"/>
      <c r="K123" s="186"/>
      <c r="L123" s="186"/>
      <c r="M123" s="186"/>
      <c r="N123" s="186"/>
      <c r="O123" s="186"/>
      <c r="P123" s="186"/>
      <c r="Q123" s="186"/>
      <c r="R123" s="186"/>
      <c r="S123" s="67"/>
      <c r="T123" s="67"/>
      <c r="U123" s="67"/>
      <c r="V123" s="187"/>
      <c r="W123" s="186"/>
      <c r="X123" s="187"/>
      <c r="Y123" s="187"/>
      <c r="Z123" s="187"/>
      <c r="AA123" s="186"/>
      <c r="AB123" s="186"/>
      <c r="AC123" s="67"/>
      <c r="AD123" s="67"/>
      <c r="AE123" s="67"/>
      <c r="AH123" s="186"/>
      <c r="AK123" s="186"/>
    </row>
    <row r="124">
      <c r="A124" s="185"/>
      <c r="B124" s="67"/>
      <c r="C124" s="67"/>
      <c r="D124" s="67"/>
      <c r="E124" s="186"/>
      <c r="F124" s="186"/>
      <c r="G124" s="186"/>
      <c r="H124" s="186"/>
      <c r="I124" s="186"/>
      <c r="J124" s="186"/>
      <c r="K124" s="186"/>
      <c r="L124" s="186"/>
      <c r="M124" s="186"/>
      <c r="N124" s="186"/>
      <c r="O124" s="186"/>
      <c r="P124" s="186"/>
      <c r="Q124" s="186"/>
      <c r="R124" s="186"/>
      <c r="S124" s="67"/>
      <c r="T124" s="67"/>
      <c r="U124" s="67"/>
      <c r="V124" s="187"/>
      <c r="W124" s="186"/>
      <c r="X124" s="187"/>
      <c r="Y124" s="187"/>
      <c r="Z124" s="187"/>
      <c r="AA124" s="186"/>
      <c r="AB124" s="186"/>
      <c r="AC124" s="67"/>
      <c r="AD124" s="67"/>
      <c r="AE124" s="67"/>
      <c r="AH124" s="186"/>
      <c r="AK124" s="186"/>
    </row>
    <row r="125">
      <c r="A125" s="185"/>
      <c r="B125" s="67"/>
      <c r="C125" s="67"/>
      <c r="D125" s="67"/>
      <c r="E125" s="186"/>
      <c r="F125" s="186"/>
      <c r="G125" s="186"/>
      <c r="H125" s="186"/>
      <c r="I125" s="186"/>
      <c r="J125" s="186"/>
      <c r="K125" s="186"/>
      <c r="L125" s="186"/>
      <c r="M125" s="186"/>
      <c r="N125" s="186"/>
      <c r="O125" s="186"/>
      <c r="P125" s="186"/>
      <c r="Q125" s="186"/>
      <c r="R125" s="186"/>
      <c r="S125" s="67"/>
      <c r="T125" s="67"/>
      <c r="U125" s="67"/>
      <c r="V125" s="187"/>
      <c r="W125" s="186"/>
      <c r="X125" s="187"/>
      <c r="Y125" s="187"/>
      <c r="Z125" s="187"/>
      <c r="AA125" s="186"/>
      <c r="AB125" s="186"/>
      <c r="AC125" s="67"/>
      <c r="AD125" s="67"/>
      <c r="AE125" s="67"/>
      <c r="AH125" s="186"/>
      <c r="AK125" s="186"/>
    </row>
    <row r="126">
      <c r="A126" s="185"/>
      <c r="B126" s="67"/>
      <c r="C126" s="67"/>
      <c r="D126" s="67"/>
      <c r="E126" s="186"/>
      <c r="F126" s="186"/>
      <c r="G126" s="186"/>
      <c r="H126" s="186"/>
      <c r="I126" s="186"/>
      <c r="J126" s="186"/>
      <c r="K126" s="186"/>
      <c r="L126" s="186"/>
      <c r="M126" s="186"/>
      <c r="N126" s="186"/>
      <c r="O126" s="186"/>
      <c r="P126" s="186"/>
      <c r="Q126" s="186"/>
      <c r="R126" s="186"/>
      <c r="S126" s="67"/>
      <c r="T126" s="67"/>
      <c r="U126" s="67"/>
      <c r="V126" s="187"/>
      <c r="W126" s="186"/>
      <c r="X126" s="187"/>
      <c r="Y126" s="187"/>
      <c r="Z126" s="187"/>
      <c r="AA126" s="186"/>
      <c r="AB126" s="186"/>
      <c r="AC126" s="67"/>
      <c r="AD126" s="67"/>
      <c r="AE126" s="67"/>
      <c r="AH126" s="186"/>
      <c r="AK126" s="186"/>
    </row>
    <row r="127">
      <c r="A127" s="185"/>
      <c r="B127" s="67"/>
      <c r="C127" s="67"/>
      <c r="D127" s="67"/>
      <c r="E127" s="186"/>
      <c r="F127" s="186"/>
      <c r="G127" s="186"/>
      <c r="H127" s="186"/>
      <c r="I127" s="186"/>
      <c r="J127" s="186"/>
      <c r="K127" s="186"/>
      <c r="L127" s="186"/>
      <c r="M127" s="186"/>
      <c r="N127" s="186"/>
      <c r="O127" s="186"/>
      <c r="P127" s="186"/>
      <c r="Q127" s="186"/>
      <c r="R127" s="186"/>
      <c r="S127" s="67"/>
      <c r="T127" s="67"/>
      <c r="U127" s="67"/>
      <c r="V127" s="187"/>
      <c r="W127" s="186"/>
      <c r="X127" s="187"/>
      <c r="Y127" s="187"/>
      <c r="Z127" s="187"/>
      <c r="AA127" s="186"/>
      <c r="AB127" s="186"/>
      <c r="AC127" s="67"/>
      <c r="AD127" s="67"/>
      <c r="AE127" s="67"/>
      <c r="AH127" s="186"/>
      <c r="AK127" s="186"/>
    </row>
    <row r="128">
      <c r="A128" s="185"/>
      <c r="B128" s="67"/>
      <c r="C128" s="67"/>
      <c r="D128" s="67"/>
      <c r="E128" s="186"/>
      <c r="F128" s="186"/>
      <c r="G128" s="186"/>
      <c r="H128" s="186"/>
      <c r="I128" s="186"/>
      <c r="J128" s="186"/>
      <c r="K128" s="186"/>
      <c r="L128" s="186"/>
      <c r="M128" s="186"/>
      <c r="N128" s="186"/>
      <c r="O128" s="186"/>
      <c r="P128" s="186"/>
      <c r="Q128" s="186"/>
      <c r="R128" s="186"/>
      <c r="S128" s="67"/>
      <c r="T128" s="67"/>
      <c r="U128" s="67"/>
      <c r="V128" s="187"/>
      <c r="W128" s="186"/>
      <c r="X128" s="187"/>
      <c r="Y128" s="187"/>
      <c r="Z128" s="187"/>
      <c r="AA128" s="186"/>
      <c r="AB128" s="186"/>
      <c r="AC128" s="67"/>
      <c r="AD128" s="67"/>
      <c r="AE128" s="67"/>
      <c r="AH128" s="186"/>
      <c r="AK128" s="186"/>
    </row>
    <row r="129">
      <c r="A129" s="185"/>
      <c r="B129" s="67"/>
      <c r="C129" s="67"/>
      <c r="D129" s="67"/>
      <c r="E129" s="186"/>
      <c r="F129" s="186"/>
      <c r="G129" s="186"/>
      <c r="H129" s="186"/>
      <c r="I129" s="186"/>
      <c r="J129" s="186"/>
      <c r="K129" s="186"/>
      <c r="L129" s="186"/>
      <c r="M129" s="186"/>
      <c r="N129" s="186"/>
      <c r="O129" s="186"/>
      <c r="P129" s="186"/>
      <c r="Q129" s="186"/>
      <c r="R129" s="186"/>
      <c r="S129" s="67"/>
      <c r="T129" s="67"/>
      <c r="U129" s="67"/>
      <c r="V129" s="187"/>
      <c r="W129" s="186"/>
      <c r="X129" s="187"/>
      <c r="Y129" s="187"/>
      <c r="Z129" s="187"/>
      <c r="AA129" s="186"/>
      <c r="AB129" s="186"/>
      <c r="AC129" s="67"/>
      <c r="AD129" s="67"/>
      <c r="AE129" s="67"/>
      <c r="AH129" s="186"/>
      <c r="AK129" s="186"/>
    </row>
    <row r="130">
      <c r="A130" s="185"/>
      <c r="B130" s="67"/>
      <c r="C130" s="67"/>
      <c r="D130" s="67"/>
      <c r="E130" s="186"/>
      <c r="F130" s="186"/>
      <c r="G130" s="186"/>
      <c r="H130" s="186"/>
      <c r="I130" s="186"/>
      <c r="J130" s="186"/>
      <c r="K130" s="186"/>
      <c r="L130" s="186"/>
      <c r="M130" s="186"/>
      <c r="N130" s="186"/>
      <c r="O130" s="186"/>
      <c r="P130" s="186"/>
      <c r="Q130" s="186"/>
      <c r="R130" s="186"/>
      <c r="S130" s="67"/>
      <c r="T130" s="67"/>
      <c r="U130" s="67"/>
      <c r="V130" s="187"/>
      <c r="W130" s="186"/>
      <c r="X130" s="187"/>
      <c r="Y130" s="187"/>
      <c r="Z130" s="187"/>
      <c r="AA130" s="186"/>
      <c r="AB130" s="186"/>
      <c r="AC130" s="67"/>
      <c r="AD130" s="67"/>
      <c r="AE130" s="67"/>
      <c r="AH130" s="186"/>
      <c r="AK130" s="186"/>
    </row>
    <row r="131">
      <c r="A131" s="185"/>
      <c r="B131" s="67"/>
      <c r="C131" s="67"/>
      <c r="D131" s="67"/>
      <c r="E131" s="186"/>
      <c r="F131" s="186"/>
      <c r="G131" s="186"/>
      <c r="H131" s="186"/>
      <c r="I131" s="186"/>
      <c r="J131" s="186"/>
      <c r="K131" s="186"/>
      <c r="L131" s="186"/>
      <c r="M131" s="186"/>
      <c r="N131" s="186"/>
      <c r="O131" s="186"/>
      <c r="P131" s="186"/>
      <c r="Q131" s="186"/>
      <c r="R131" s="186"/>
      <c r="S131" s="67"/>
      <c r="T131" s="67"/>
      <c r="U131" s="67"/>
      <c r="V131" s="187"/>
      <c r="W131" s="186"/>
      <c r="X131" s="187"/>
      <c r="Y131" s="187"/>
      <c r="Z131" s="187"/>
      <c r="AA131" s="186"/>
      <c r="AB131" s="186"/>
      <c r="AC131" s="67"/>
      <c r="AD131" s="67"/>
      <c r="AE131" s="67"/>
      <c r="AH131" s="186"/>
      <c r="AK131" s="186"/>
    </row>
    <row r="132">
      <c r="A132" s="185"/>
      <c r="B132" s="67"/>
      <c r="C132" s="67"/>
      <c r="D132" s="67"/>
      <c r="E132" s="186"/>
      <c r="F132" s="186"/>
      <c r="G132" s="186"/>
      <c r="H132" s="186"/>
      <c r="I132" s="186"/>
      <c r="J132" s="186"/>
      <c r="K132" s="186"/>
      <c r="L132" s="186"/>
      <c r="M132" s="186"/>
      <c r="N132" s="186"/>
      <c r="O132" s="186"/>
      <c r="P132" s="186"/>
      <c r="Q132" s="186"/>
      <c r="R132" s="186"/>
      <c r="S132" s="67"/>
      <c r="T132" s="67"/>
      <c r="U132" s="67"/>
      <c r="V132" s="187"/>
      <c r="W132" s="186"/>
      <c r="X132" s="187"/>
      <c r="Y132" s="187"/>
      <c r="Z132" s="187"/>
      <c r="AA132" s="186"/>
      <c r="AB132" s="186"/>
      <c r="AC132" s="67"/>
      <c r="AD132" s="67"/>
      <c r="AE132" s="67"/>
      <c r="AH132" s="186"/>
      <c r="AK132" s="186"/>
    </row>
    <row r="133">
      <c r="A133" s="185"/>
      <c r="B133" s="67"/>
      <c r="C133" s="67"/>
      <c r="D133" s="67"/>
      <c r="E133" s="186"/>
      <c r="F133" s="186"/>
      <c r="G133" s="186"/>
      <c r="H133" s="186"/>
      <c r="I133" s="186"/>
      <c r="J133" s="186"/>
      <c r="K133" s="186"/>
      <c r="L133" s="186"/>
      <c r="M133" s="186"/>
      <c r="N133" s="186"/>
      <c r="O133" s="186"/>
      <c r="P133" s="186"/>
      <c r="Q133" s="186"/>
      <c r="R133" s="186"/>
      <c r="S133" s="67"/>
      <c r="T133" s="67"/>
      <c r="U133" s="67"/>
      <c r="V133" s="187"/>
      <c r="W133" s="186"/>
      <c r="X133" s="187"/>
      <c r="Y133" s="187"/>
      <c r="Z133" s="187"/>
      <c r="AA133" s="186"/>
      <c r="AB133" s="186"/>
      <c r="AC133" s="67"/>
      <c r="AD133" s="67"/>
      <c r="AE133" s="67"/>
      <c r="AH133" s="186"/>
      <c r="AK133" s="186"/>
    </row>
    <row r="134">
      <c r="A134" s="185"/>
      <c r="B134" s="67"/>
      <c r="C134" s="67"/>
      <c r="D134" s="67"/>
      <c r="E134" s="186"/>
      <c r="F134" s="186"/>
      <c r="G134" s="186"/>
      <c r="H134" s="186"/>
      <c r="I134" s="186"/>
      <c r="J134" s="186"/>
      <c r="K134" s="186"/>
      <c r="L134" s="186"/>
      <c r="M134" s="186"/>
      <c r="N134" s="186"/>
      <c r="O134" s="186"/>
      <c r="P134" s="186"/>
      <c r="Q134" s="186"/>
      <c r="R134" s="186"/>
      <c r="S134" s="67"/>
      <c r="T134" s="67"/>
      <c r="U134" s="67"/>
      <c r="V134" s="187"/>
      <c r="W134" s="186"/>
      <c r="X134" s="187"/>
      <c r="Y134" s="187"/>
      <c r="Z134" s="187"/>
      <c r="AA134" s="186"/>
      <c r="AB134" s="186"/>
      <c r="AC134" s="67"/>
      <c r="AD134" s="67"/>
      <c r="AE134" s="67"/>
      <c r="AH134" s="186"/>
      <c r="AK134" s="186"/>
    </row>
    <row r="135">
      <c r="A135" s="185"/>
      <c r="B135" s="67"/>
      <c r="C135" s="67"/>
      <c r="D135" s="67"/>
      <c r="E135" s="186"/>
      <c r="F135" s="186"/>
      <c r="G135" s="186"/>
      <c r="H135" s="186"/>
      <c r="I135" s="186"/>
      <c r="J135" s="186"/>
      <c r="K135" s="186"/>
      <c r="L135" s="186"/>
      <c r="M135" s="186"/>
      <c r="N135" s="186"/>
      <c r="O135" s="186"/>
      <c r="P135" s="186"/>
      <c r="Q135" s="186"/>
      <c r="R135" s="186"/>
      <c r="S135" s="67"/>
      <c r="T135" s="67"/>
      <c r="U135" s="67"/>
      <c r="V135" s="187"/>
      <c r="W135" s="186"/>
      <c r="X135" s="187"/>
      <c r="Y135" s="187"/>
      <c r="Z135" s="187"/>
      <c r="AA135" s="186"/>
      <c r="AB135" s="186"/>
      <c r="AC135" s="67"/>
      <c r="AD135" s="67"/>
      <c r="AE135" s="67"/>
      <c r="AH135" s="186"/>
      <c r="AK135" s="186"/>
    </row>
    <row r="136">
      <c r="A136" s="185"/>
      <c r="B136" s="67"/>
      <c r="C136" s="67"/>
      <c r="D136" s="67"/>
      <c r="E136" s="186"/>
      <c r="F136" s="186"/>
      <c r="G136" s="186"/>
      <c r="H136" s="186"/>
      <c r="I136" s="186"/>
      <c r="J136" s="186"/>
      <c r="K136" s="186"/>
      <c r="L136" s="186"/>
      <c r="M136" s="186"/>
      <c r="N136" s="186"/>
      <c r="O136" s="186"/>
      <c r="P136" s="186"/>
      <c r="Q136" s="186"/>
      <c r="R136" s="186"/>
      <c r="S136" s="67"/>
      <c r="T136" s="67"/>
      <c r="U136" s="67"/>
      <c r="V136" s="187"/>
      <c r="W136" s="186"/>
      <c r="X136" s="187"/>
      <c r="Y136" s="187"/>
      <c r="Z136" s="187"/>
      <c r="AA136" s="186"/>
      <c r="AB136" s="186"/>
      <c r="AC136" s="67"/>
      <c r="AD136" s="67"/>
      <c r="AE136" s="67"/>
      <c r="AH136" s="186"/>
      <c r="AK136" s="186"/>
    </row>
    <row r="137">
      <c r="A137" s="185"/>
      <c r="B137" s="67"/>
      <c r="C137" s="67"/>
      <c r="D137" s="67"/>
      <c r="E137" s="186"/>
      <c r="F137" s="186"/>
      <c r="G137" s="186"/>
      <c r="H137" s="186"/>
      <c r="I137" s="186"/>
      <c r="J137" s="186"/>
      <c r="K137" s="186"/>
      <c r="L137" s="186"/>
      <c r="M137" s="186"/>
      <c r="N137" s="186"/>
      <c r="O137" s="186"/>
      <c r="P137" s="186"/>
      <c r="Q137" s="186"/>
      <c r="R137" s="186"/>
      <c r="S137" s="67"/>
      <c r="T137" s="67"/>
      <c r="U137" s="67"/>
      <c r="V137" s="187"/>
      <c r="W137" s="186"/>
      <c r="X137" s="187"/>
      <c r="Y137" s="187"/>
      <c r="Z137" s="187"/>
      <c r="AA137" s="186"/>
      <c r="AB137" s="186"/>
      <c r="AC137" s="67"/>
      <c r="AD137" s="67"/>
      <c r="AE137" s="67"/>
      <c r="AH137" s="186"/>
      <c r="AK137" s="186"/>
    </row>
    <row r="138">
      <c r="A138" s="185"/>
      <c r="B138" s="67"/>
      <c r="C138" s="67"/>
      <c r="D138" s="67"/>
      <c r="E138" s="186"/>
      <c r="F138" s="186"/>
      <c r="G138" s="186"/>
      <c r="H138" s="186"/>
      <c r="I138" s="186"/>
      <c r="J138" s="186"/>
      <c r="K138" s="186"/>
      <c r="L138" s="186"/>
      <c r="M138" s="186"/>
      <c r="N138" s="186"/>
      <c r="O138" s="186"/>
      <c r="P138" s="186"/>
      <c r="Q138" s="186"/>
      <c r="R138" s="186"/>
      <c r="S138" s="67"/>
      <c r="T138" s="67"/>
      <c r="U138" s="67"/>
      <c r="V138" s="187"/>
      <c r="W138" s="186"/>
      <c r="X138" s="187"/>
      <c r="Y138" s="187"/>
      <c r="Z138" s="187"/>
      <c r="AA138" s="186"/>
      <c r="AB138" s="186"/>
      <c r="AC138" s="67"/>
      <c r="AD138" s="67"/>
      <c r="AE138" s="67"/>
      <c r="AH138" s="186"/>
      <c r="AK138" s="186"/>
    </row>
    <row r="139">
      <c r="A139" s="185"/>
      <c r="B139" s="67"/>
      <c r="C139" s="67"/>
      <c r="D139" s="67"/>
      <c r="E139" s="186"/>
      <c r="F139" s="186"/>
      <c r="G139" s="186"/>
      <c r="H139" s="186"/>
      <c r="I139" s="186"/>
      <c r="J139" s="186"/>
      <c r="K139" s="186"/>
      <c r="L139" s="186"/>
      <c r="M139" s="186"/>
      <c r="N139" s="186"/>
      <c r="O139" s="186"/>
      <c r="P139" s="186"/>
      <c r="Q139" s="186"/>
      <c r="R139" s="186"/>
      <c r="S139" s="67"/>
      <c r="T139" s="67"/>
      <c r="U139" s="67"/>
      <c r="V139" s="187"/>
      <c r="W139" s="186"/>
      <c r="X139" s="187"/>
      <c r="Y139" s="187"/>
      <c r="Z139" s="187"/>
      <c r="AA139" s="186"/>
      <c r="AB139" s="186"/>
      <c r="AC139" s="67"/>
      <c r="AD139" s="67"/>
      <c r="AE139" s="67"/>
      <c r="AH139" s="186"/>
      <c r="AK139" s="186"/>
    </row>
    <row r="140">
      <c r="A140" s="185"/>
      <c r="B140" s="67"/>
      <c r="C140" s="67"/>
      <c r="D140" s="67"/>
      <c r="E140" s="186"/>
      <c r="F140" s="186"/>
      <c r="G140" s="186"/>
      <c r="H140" s="186"/>
      <c r="I140" s="186"/>
      <c r="J140" s="186"/>
      <c r="K140" s="186"/>
      <c r="L140" s="186"/>
      <c r="M140" s="186"/>
      <c r="N140" s="186"/>
      <c r="O140" s="186"/>
      <c r="P140" s="186"/>
      <c r="Q140" s="186"/>
      <c r="R140" s="186"/>
      <c r="S140" s="67"/>
      <c r="T140" s="67"/>
      <c r="U140" s="67"/>
      <c r="V140" s="187"/>
      <c r="W140" s="186"/>
      <c r="X140" s="187"/>
      <c r="Y140" s="187"/>
      <c r="Z140" s="187"/>
      <c r="AA140" s="186"/>
      <c r="AB140" s="186"/>
      <c r="AC140" s="67"/>
      <c r="AD140" s="67"/>
      <c r="AE140" s="67"/>
      <c r="AH140" s="186"/>
      <c r="AK140" s="186"/>
    </row>
    <row r="141">
      <c r="A141" s="185"/>
      <c r="B141" s="67"/>
      <c r="C141" s="67"/>
      <c r="D141" s="67"/>
      <c r="E141" s="186"/>
      <c r="F141" s="186"/>
      <c r="G141" s="186"/>
      <c r="H141" s="186"/>
      <c r="I141" s="186"/>
      <c r="J141" s="186"/>
      <c r="K141" s="186"/>
      <c r="L141" s="186"/>
      <c r="M141" s="186"/>
      <c r="N141" s="186"/>
      <c r="O141" s="186"/>
      <c r="P141" s="186"/>
      <c r="Q141" s="186"/>
      <c r="R141" s="186"/>
      <c r="S141" s="67"/>
      <c r="T141" s="67"/>
      <c r="U141" s="67"/>
      <c r="V141" s="187"/>
      <c r="W141" s="186"/>
      <c r="X141" s="187"/>
      <c r="Y141" s="187"/>
      <c r="Z141" s="187"/>
      <c r="AA141" s="186"/>
      <c r="AB141" s="186"/>
      <c r="AC141" s="67"/>
      <c r="AD141" s="67"/>
      <c r="AE141" s="67"/>
      <c r="AH141" s="186"/>
      <c r="AK141" s="186"/>
    </row>
    <row r="142">
      <c r="A142" s="185"/>
      <c r="B142" s="67"/>
      <c r="C142" s="67"/>
      <c r="D142" s="67"/>
      <c r="E142" s="186"/>
      <c r="F142" s="186"/>
      <c r="G142" s="186"/>
      <c r="H142" s="186"/>
      <c r="I142" s="186"/>
      <c r="J142" s="186"/>
      <c r="K142" s="186"/>
      <c r="L142" s="186"/>
      <c r="M142" s="186"/>
      <c r="N142" s="186"/>
      <c r="O142" s="186"/>
      <c r="P142" s="186"/>
      <c r="Q142" s="186"/>
      <c r="R142" s="186"/>
      <c r="S142" s="67"/>
      <c r="T142" s="67"/>
      <c r="U142" s="67"/>
      <c r="V142" s="187"/>
      <c r="W142" s="186"/>
      <c r="X142" s="187"/>
      <c r="Y142" s="187"/>
      <c r="Z142" s="187"/>
      <c r="AA142" s="186"/>
      <c r="AB142" s="186"/>
      <c r="AC142" s="67"/>
      <c r="AD142" s="67"/>
      <c r="AE142" s="67"/>
      <c r="AH142" s="186"/>
      <c r="AK142" s="186"/>
    </row>
    <row r="143">
      <c r="A143" s="185"/>
      <c r="B143" s="67"/>
      <c r="C143" s="67"/>
      <c r="D143" s="67"/>
      <c r="E143" s="186"/>
      <c r="F143" s="186"/>
      <c r="G143" s="186"/>
      <c r="H143" s="186"/>
      <c r="I143" s="186"/>
      <c r="J143" s="186"/>
      <c r="K143" s="186"/>
      <c r="L143" s="186"/>
      <c r="M143" s="186"/>
      <c r="N143" s="186"/>
      <c r="O143" s="186"/>
      <c r="P143" s="186"/>
      <c r="Q143" s="186"/>
      <c r="R143" s="186"/>
      <c r="S143" s="67"/>
      <c r="T143" s="67"/>
      <c r="U143" s="67"/>
      <c r="V143" s="187"/>
      <c r="W143" s="186"/>
      <c r="X143" s="187"/>
      <c r="Y143" s="187"/>
      <c r="Z143" s="187"/>
      <c r="AA143" s="186"/>
      <c r="AB143" s="186"/>
      <c r="AC143" s="67"/>
      <c r="AD143" s="67"/>
      <c r="AE143" s="67"/>
      <c r="AH143" s="186"/>
      <c r="AK143" s="186"/>
    </row>
    <row r="144">
      <c r="A144" s="185"/>
      <c r="B144" s="67"/>
      <c r="C144" s="67"/>
      <c r="D144" s="67"/>
      <c r="E144" s="186"/>
      <c r="F144" s="186"/>
      <c r="G144" s="186"/>
      <c r="H144" s="186"/>
      <c r="I144" s="186"/>
      <c r="J144" s="186"/>
      <c r="K144" s="186"/>
      <c r="L144" s="186"/>
      <c r="M144" s="186"/>
      <c r="N144" s="186"/>
      <c r="O144" s="186"/>
      <c r="P144" s="186"/>
      <c r="Q144" s="186"/>
      <c r="R144" s="186"/>
      <c r="S144" s="67"/>
      <c r="T144" s="67"/>
      <c r="U144" s="67"/>
      <c r="V144" s="187"/>
      <c r="W144" s="186"/>
      <c r="X144" s="187"/>
      <c r="Y144" s="187"/>
      <c r="Z144" s="187"/>
      <c r="AA144" s="186"/>
      <c r="AB144" s="186"/>
      <c r="AC144" s="67"/>
      <c r="AD144" s="67"/>
      <c r="AE144" s="67"/>
      <c r="AH144" s="186"/>
      <c r="AK144" s="186"/>
    </row>
    <row r="145">
      <c r="A145" s="185"/>
      <c r="B145" s="67"/>
      <c r="C145" s="67"/>
      <c r="D145" s="67"/>
      <c r="E145" s="186"/>
      <c r="F145" s="186"/>
      <c r="G145" s="186"/>
      <c r="H145" s="186"/>
      <c r="I145" s="186"/>
      <c r="J145" s="186"/>
      <c r="K145" s="186"/>
      <c r="L145" s="186"/>
      <c r="M145" s="186"/>
      <c r="N145" s="186"/>
      <c r="O145" s="186"/>
      <c r="P145" s="186"/>
      <c r="Q145" s="186"/>
      <c r="R145" s="186"/>
      <c r="S145" s="67"/>
      <c r="T145" s="67"/>
      <c r="U145" s="67"/>
      <c r="V145" s="187"/>
      <c r="W145" s="186"/>
      <c r="X145" s="187"/>
      <c r="Y145" s="187"/>
      <c r="Z145" s="187"/>
      <c r="AA145" s="186"/>
      <c r="AB145" s="186"/>
      <c r="AC145" s="67"/>
      <c r="AD145" s="67"/>
      <c r="AE145" s="67"/>
      <c r="AH145" s="186"/>
      <c r="AK145" s="186"/>
    </row>
    <row r="146">
      <c r="A146" s="185"/>
      <c r="B146" s="67"/>
      <c r="C146" s="67"/>
      <c r="D146" s="67"/>
      <c r="E146" s="186"/>
      <c r="F146" s="186"/>
      <c r="G146" s="186"/>
      <c r="H146" s="186"/>
      <c r="I146" s="186"/>
      <c r="J146" s="186"/>
      <c r="K146" s="186"/>
      <c r="L146" s="186"/>
      <c r="M146" s="186"/>
      <c r="N146" s="186"/>
      <c r="O146" s="186"/>
      <c r="P146" s="186"/>
      <c r="Q146" s="186"/>
      <c r="R146" s="186"/>
      <c r="S146" s="67"/>
      <c r="T146" s="67"/>
      <c r="U146" s="67"/>
      <c r="V146" s="187"/>
      <c r="W146" s="186"/>
      <c r="X146" s="187"/>
      <c r="Y146" s="187"/>
      <c r="Z146" s="187"/>
      <c r="AA146" s="186"/>
      <c r="AB146" s="186"/>
      <c r="AC146" s="67"/>
      <c r="AD146" s="67"/>
      <c r="AE146" s="67"/>
      <c r="AH146" s="186"/>
      <c r="AK146" s="186"/>
    </row>
    <row r="147">
      <c r="A147" s="185"/>
      <c r="B147" s="67"/>
      <c r="C147" s="67"/>
      <c r="D147" s="67"/>
      <c r="E147" s="186"/>
      <c r="F147" s="186"/>
      <c r="G147" s="186"/>
      <c r="H147" s="186"/>
      <c r="I147" s="186"/>
      <c r="J147" s="186"/>
      <c r="K147" s="186"/>
      <c r="L147" s="186"/>
      <c r="M147" s="186"/>
      <c r="N147" s="186"/>
      <c r="O147" s="186"/>
      <c r="P147" s="186"/>
      <c r="Q147" s="186"/>
      <c r="R147" s="186"/>
      <c r="S147" s="67"/>
      <c r="T147" s="67"/>
      <c r="U147" s="67"/>
      <c r="V147" s="187"/>
      <c r="W147" s="186"/>
      <c r="X147" s="187"/>
      <c r="Y147" s="187"/>
      <c r="Z147" s="187"/>
      <c r="AA147" s="186"/>
      <c r="AB147" s="186"/>
      <c r="AC147" s="67"/>
      <c r="AD147" s="67"/>
      <c r="AE147" s="67"/>
      <c r="AH147" s="186"/>
      <c r="AK147" s="186"/>
    </row>
    <row r="148">
      <c r="A148" s="185"/>
      <c r="B148" s="67"/>
      <c r="C148" s="67"/>
      <c r="D148" s="67"/>
      <c r="E148" s="186"/>
      <c r="F148" s="186"/>
      <c r="G148" s="186"/>
      <c r="H148" s="186"/>
      <c r="I148" s="186"/>
      <c r="J148" s="186"/>
      <c r="K148" s="186"/>
      <c r="L148" s="186"/>
      <c r="M148" s="186"/>
      <c r="N148" s="186"/>
      <c r="O148" s="186"/>
      <c r="P148" s="186"/>
      <c r="Q148" s="186"/>
      <c r="R148" s="186"/>
      <c r="S148" s="67"/>
      <c r="T148" s="67"/>
      <c r="U148" s="67"/>
      <c r="V148" s="187"/>
      <c r="W148" s="186"/>
      <c r="X148" s="187"/>
      <c r="Y148" s="187"/>
      <c r="Z148" s="187"/>
      <c r="AA148" s="186"/>
      <c r="AB148" s="186"/>
      <c r="AC148" s="67"/>
      <c r="AD148" s="67"/>
      <c r="AE148" s="67"/>
      <c r="AH148" s="186"/>
      <c r="AK148" s="186"/>
    </row>
    <row r="149">
      <c r="A149" s="185"/>
      <c r="B149" s="67"/>
      <c r="C149" s="67"/>
      <c r="D149" s="67"/>
      <c r="E149" s="186"/>
      <c r="F149" s="186"/>
      <c r="G149" s="186"/>
      <c r="H149" s="186"/>
      <c r="I149" s="186"/>
      <c r="J149" s="186"/>
      <c r="K149" s="186"/>
      <c r="L149" s="186"/>
      <c r="M149" s="186"/>
      <c r="N149" s="186"/>
      <c r="O149" s="186"/>
      <c r="P149" s="186"/>
      <c r="Q149" s="186"/>
      <c r="R149" s="186"/>
      <c r="S149" s="67"/>
      <c r="T149" s="67"/>
      <c r="U149" s="67"/>
      <c r="V149" s="187"/>
      <c r="W149" s="186"/>
      <c r="X149" s="187"/>
      <c r="Y149" s="187"/>
      <c r="Z149" s="187"/>
      <c r="AA149" s="186"/>
      <c r="AB149" s="186"/>
      <c r="AC149" s="67"/>
      <c r="AD149" s="67"/>
      <c r="AE149" s="67"/>
      <c r="AH149" s="186"/>
      <c r="AK149" s="186"/>
    </row>
    <row r="150">
      <c r="A150" s="185"/>
      <c r="B150" s="67"/>
      <c r="C150" s="67"/>
      <c r="D150" s="67"/>
      <c r="E150" s="186"/>
      <c r="F150" s="186"/>
      <c r="G150" s="186"/>
      <c r="H150" s="186"/>
      <c r="I150" s="186"/>
      <c r="J150" s="186"/>
      <c r="K150" s="186"/>
      <c r="L150" s="186"/>
      <c r="M150" s="186"/>
      <c r="N150" s="186"/>
      <c r="O150" s="186"/>
      <c r="P150" s="186"/>
      <c r="Q150" s="186"/>
      <c r="R150" s="186"/>
      <c r="S150" s="67"/>
      <c r="T150" s="67"/>
      <c r="U150" s="67"/>
      <c r="V150" s="187"/>
      <c r="W150" s="186"/>
      <c r="X150" s="187"/>
      <c r="Y150" s="187"/>
      <c r="Z150" s="187"/>
      <c r="AA150" s="186"/>
      <c r="AB150" s="186"/>
      <c r="AC150" s="67"/>
      <c r="AD150" s="67"/>
      <c r="AE150" s="67"/>
      <c r="AH150" s="186"/>
      <c r="AK150" s="186"/>
    </row>
    <row r="151">
      <c r="A151" s="185"/>
      <c r="B151" s="67"/>
      <c r="C151" s="67"/>
      <c r="D151" s="67"/>
      <c r="E151" s="186"/>
      <c r="F151" s="186"/>
      <c r="G151" s="186"/>
      <c r="H151" s="186"/>
      <c r="I151" s="186"/>
      <c r="J151" s="186"/>
      <c r="K151" s="186"/>
      <c r="L151" s="186"/>
      <c r="M151" s="186"/>
      <c r="N151" s="186"/>
      <c r="O151" s="186"/>
      <c r="P151" s="186"/>
      <c r="Q151" s="186"/>
      <c r="R151" s="186"/>
      <c r="S151" s="67"/>
      <c r="T151" s="67"/>
      <c r="U151" s="67"/>
      <c r="V151" s="187"/>
      <c r="W151" s="186"/>
      <c r="X151" s="187"/>
      <c r="Y151" s="187"/>
      <c r="Z151" s="187"/>
      <c r="AA151" s="186"/>
      <c r="AB151" s="186"/>
      <c r="AC151" s="67"/>
      <c r="AD151" s="67"/>
      <c r="AE151" s="67"/>
      <c r="AH151" s="186"/>
      <c r="AK151" s="186"/>
    </row>
    <row r="152">
      <c r="A152" s="185"/>
      <c r="B152" s="67"/>
      <c r="C152" s="67"/>
      <c r="D152" s="67"/>
      <c r="E152" s="186"/>
      <c r="F152" s="186"/>
      <c r="G152" s="186"/>
      <c r="H152" s="186"/>
      <c r="I152" s="186"/>
      <c r="J152" s="186"/>
      <c r="K152" s="186"/>
      <c r="L152" s="186"/>
      <c r="M152" s="186"/>
      <c r="N152" s="186"/>
      <c r="O152" s="186"/>
      <c r="P152" s="186"/>
      <c r="Q152" s="186"/>
      <c r="R152" s="186"/>
      <c r="S152" s="67"/>
      <c r="T152" s="67"/>
      <c r="U152" s="67"/>
      <c r="V152" s="187"/>
      <c r="W152" s="186"/>
      <c r="X152" s="187"/>
      <c r="Y152" s="187"/>
      <c r="Z152" s="187"/>
      <c r="AA152" s="186"/>
      <c r="AB152" s="186"/>
      <c r="AC152" s="67"/>
      <c r="AD152" s="67"/>
      <c r="AE152" s="67"/>
      <c r="AH152" s="186"/>
      <c r="AK152" s="186"/>
    </row>
    <row r="153">
      <c r="A153" s="185"/>
      <c r="B153" s="67"/>
      <c r="C153" s="67"/>
      <c r="D153" s="67"/>
      <c r="E153" s="186"/>
      <c r="F153" s="186"/>
      <c r="G153" s="186"/>
      <c r="H153" s="186"/>
      <c r="I153" s="186"/>
      <c r="J153" s="186"/>
      <c r="K153" s="186"/>
      <c r="L153" s="186"/>
      <c r="M153" s="186"/>
      <c r="N153" s="186"/>
      <c r="O153" s="186"/>
      <c r="P153" s="186"/>
      <c r="Q153" s="186"/>
      <c r="R153" s="186"/>
      <c r="S153" s="67"/>
      <c r="T153" s="67"/>
      <c r="U153" s="67"/>
      <c r="V153" s="187"/>
      <c r="W153" s="186"/>
      <c r="X153" s="187"/>
      <c r="Y153" s="187"/>
      <c r="Z153" s="187"/>
      <c r="AA153" s="186"/>
      <c r="AB153" s="186"/>
      <c r="AC153" s="67"/>
      <c r="AD153" s="67"/>
      <c r="AE153" s="67"/>
      <c r="AH153" s="186"/>
      <c r="AK153" s="186"/>
    </row>
    <row r="154">
      <c r="A154" s="185"/>
      <c r="B154" s="67"/>
      <c r="C154" s="67"/>
      <c r="D154" s="67"/>
      <c r="E154" s="186"/>
      <c r="F154" s="186"/>
      <c r="G154" s="186"/>
      <c r="H154" s="186"/>
      <c r="I154" s="186"/>
      <c r="J154" s="186"/>
      <c r="K154" s="186"/>
      <c r="L154" s="186"/>
      <c r="M154" s="186"/>
      <c r="N154" s="186"/>
      <c r="O154" s="186"/>
      <c r="P154" s="186"/>
      <c r="Q154" s="186"/>
      <c r="R154" s="186"/>
      <c r="S154" s="67"/>
      <c r="T154" s="67"/>
      <c r="U154" s="67"/>
      <c r="V154" s="187"/>
      <c r="W154" s="186"/>
      <c r="X154" s="187"/>
      <c r="Y154" s="187"/>
      <c r="Z154" s="187"/>
      <c r="AA154" s="186"/>
      <c r="AB154" s="186"/>
      <c r="AC154" s="67"/>
      <c r="AD154" s="67"/>
      <c r="AE154" s="67"/>
      <c r="AH154" s="186"/>
      <c r="AK154" s="186"/>
    </row>
    <row r="155">
      <c r="A155" s="185"/>
      <c r="B155" s="67"/>
      <c r="C155" s="67"/>
      <c r="D155" s="67"/>
      <c r="E155" s="186"/>
      <c r="F155" s="186"/>
      <c r="G155" s="186"/>
      <c r="H155" s="186"/>
      <c r="I155" s="186"/>
      <c r="J155" s="186"/>
      <c r="K155" s="186"/>
      <c r="L155" s="186"/>
      <c r="M155" s="186"/>
      <c r="N155" s="186"/>
      <c r="O155" s="186"/>
      <c r="P155" s="186"/>
      <c r="Q155" s="186"/>
      <c r="R155" s="186"/>
      <c r="S155" s="67"/>
      <c r="T155" s="67"/>
      <c r="U155" s="67"/>
      <c r="V155" s="187"/>
      <c r="W155" s="186"/>
      <c r="X155" s="187"/>
      <c r="Y155" s="187"/>
      <c r="Z155" s="187"/>
      <c r="AA155" s="186"/>
      <c r="AB155" s="186"/>
      <c r="AC155" s="67"/>
      <c r="AD155" s="67"/>
      <c r="AE155" s="67"/>
      <c r="AH155" s="186"/>
      <c r="AK155" s="186"/>
    </row>
    <row r="156">
      <c r="A156" s="185"/>
      <c r="B156" s="67"/>
      <c r="C156" s="67"/>
      <c r="D156" s="67"/>
      <c r="E156" s="186"/>
      <c r="F156" s="186"/>
      <c r="G156" s="186"/>
      <c r="H156" s="186"/>
      <c r="I156" s="186"/>
      <c r="J156" s="186"/>
      <c r="K156" s="186"/>
      <c r="L156" s="186"/>
      <c r="M156" s="186"/>
      <c r="N156" s="186"/>
      <c r="O156" s="186"/>
      <c r="P156" s="186"/>
      <c r="Q156" s="186"/>
      <c r="R156" s="186"/>
      <c r="S156" s="67"/>
      <c r="T156" s="67"/>
      <c r="U156" s="67"/>
      <c r="V156" s="187"/>
      <c r="W156" s="186"/>
      <c r="X156" s="187"/>
      <c r="Y156" s="187"/>
      <c r="Z156" s="187"/>
      <c r="AA156" s="186"/>
      <c r="AB156" s="186"/>
      <c r="AC156" s="67"/>
      <c r="AD156" s="67"/>
      <c r="AE156" s="67"/>
      <c r="AH156" s="186"/>
      <c r="AK156" s="186"/>
    </row>
    <row r="157">
      <c r="A157" s="185"/>
      <c r="B157" s="67"/>
      <c r="C157" s="67"/>
      <c r="D157" s="67"/>
      <c r="E157" s="186"/>
      <c r="F157" s="186"/>
      <c r="G157" s="186"/>
      <c r="H157" s="186"/>
      <c r="I157" s="186"/>
      <c r="J157" s="186"/>
      <c r="K157" s="186"/>
      <c r="L157" s="186"/>
      <c r="M157" s="186"/>
      <c r="N157" s="186"/>
      <c r="O157" s="186"/>
      <c r="P157" s="186"/>
      <c r="Q157" s="186"/>
      <c r="R157" s="186"/>
      <c r="S157" s="67"/>
      <c r="T157" s="67"/>
      <c r="U157" s="67"/>
      <c r="V157" s="187"/>
      <c r="W157" s="186"/>
      <c r="X157" s="187"/>
      <c r="Y157" s="187"/>
      <c r="Z157" s="187"/>
      <c r="AA157" s="186"/>
      <c r="AB157" s="186"/>
      <c r="AC157" s="67"/>
      <c r="AD157" s="67"/>
      <c r="AE157" s="67"/>
      <c r="AH157" s="186"/>
      <c r="AK157" s="186"/>
    </row>
    <row r="158">
      <c r="A158" s="185"/>
      <c r="B158" s="67"/>
      <c r="C158" s="67"/>
      <c r="D158" s="67"/>
      <c r="E158" s="186"/>
      <c r="F158" s="186"/>
      <c r="G158" s="186"/>
      <c r="H158" s="186"/>
      <c r="I158" s="186"/>
      <c r="J158" s="186"/>
      <c r="K158" s="186"/>
      <c r="L158" s="186"/>
      <c r="M158" s="186"/>
      <c r="N158" s="186"/>
      <c r="O158" s="186"/>
      <c r="P158" s="186"/>
      <c r="Q158" s="186"/>
      <c r="R158" s="186"/>
      <c r="S158" s="67"/>
      <c r="T158" s="67"/>
      <c r="U158" s="67"/>
      <c r="V158" s="187"/>
      <c r="W158" s="186"/>
      <c r="X158" s="187"/>
      <c r="Y158" s="187"/>
      <c r="Z158" s="187"/>
      <c r="AA158" s="186"/>
      <c r="AB158" s="186"/>
      <c r="AC158" s="67"/>
      <c r="AD158" s="67"/>
      <c r="AE158" s="67"/>
      <c r="AH158" s="186"/>
      <c r="AK158" s="186"/>
    </row>
    <row r="159">
      <c r="A159" s="185"/>
      <c r="B159" s="67"/>
      <c r="C159" s="67"/>
      <c r="D159" s="67"/>
      <c r="E159" s="186"/>
      <c r="F159" s="186"/>
      <c r="G159" s="186"/>
      <c r="H159" s="186"/>
      <c r="I159" s="186"/>
      <c r="J159" s="186"/>
      <c r="K159" s="186"/>
      <c r="L159" s="186"/>
      <c r="M159" s="186"/>
      <c r="N159" s="186"/>
      <c r="O159" s="186"/>
      <c r="P159" s="186"/>
      <c r="Q159" s="186"/>
      <c r="R159" s="186"/>
      <c r="S159" s="67"/>
      <c r="T159" s="67"/>
      <c r="U159" s="67"/>
      <c r="V159" s="187"/>
      <c r="W159" s="186"/>
      <c r="X159" s="187"/>
      <c r="Y159" s="187"/>
      <c r="Z159" s="187"/>
      <c r="AA159" s="186"/>
      <c r="AB159" s="186"/>
      <c r="AC159" s="67"/>
      <c r="AD159" s="67"/>
      <c r="AE159" s="67"/>
      <c r="AH159" s="186"/>
      <c r="AK159" s="186"/>
    </row>
    <row r="160">
      <c r="A160" s="185"/>
      <c r="B160" s="67"/>
      <c r="C160" s="67"/>
      <c r="D160" s="67"/>
      <c r="E160" s="186"/>
      <c r="F160" s="186"/>
      <c r="G160" s="186"/>
      <c r="H160" s="186"/>
      <c r="I160" s="186"/>
      <c r="J160" s="186"/>
      <c r="K160" s="186"/>
      <c r="L160" s="186"/>
      <c r="M160" s="186"/>
      <c r="N160" s="186"/>
      <c r="O160" s="186"/>
      <c r="P160" s="186"/>
      <c r="Q160" s="186"/>
      <c r="R160" s="186"/>
      <c r="S160" s="67"/>
      <c r="T160" s="67"/>
      <c r="U160" s="67"/>
      <c r="V160" s="187"/>
      <c r="W160" s="186"/>
      <c r="X160" s="187"/>
      <c r="Y160" s="187"/>
      <c r="Z160" s="187"/>
      <c r="AA160" s="186"/>
      <c r="AB160" s="186"/>
      <c r="AC160" s="67"/>
      <c r="AD160" s="67"/>
      <c r="AE160" s="67"/>
      <c r="AH160" s="186"/>
      <c r="AK160" s="186"/>
    </row>
    <row r="161">
      <c r="A161" s="185"/>
      <c r="B161" s="67"/>
      <c r="C161" s="67"/>
      <c r="D161" s="67"/>
      <c r="E161" s="186"/>
      <c r="F161" s="186"/>
      <c r="G161" s="186"/>
      <c r="H161" s="186"/>
      <c r="I161" s="186"/>
      <c r="J161" s="186"/>
      <c r="K161" s="186"/>
      <c r="L161" s="186"/>
      <c r="M161" s="186"/>
      <c r="N161" s="186"/>
      <c r="O161" s="186"/>
      <c r="P161" s="186"/>
      <c r="Q161" s="186"/>
      <c r="R161" s="186"/>
      <c r="S161" s="67"/>
      <c r="T161" s="67"/>
      <c r="U161" s="67"/>
      <c r="V161" s="187"/>
      <c r="W161" s="186"/>
      <c r="X161" s="187"/>
      <c r="Y161" s="187"/>
      <c r="Z161" s="187"/>
      <c r="AA161" s="186"/>
      <c r="AB161" s="186"/>
      <c r="AC161" s="67"/>
      <c r="AD161" s="67"/>
      <c r="AE161" s="67"/>
      <c r="AH161" s="186"/>
      <c r="AK161" s="186"/>
    </row>
    <row r="162">
      <c r="A162" s="185"/>
      <c r="B162" s="67"/>
      <c r="C162" s="67"/>
      <c r="D162" s="67"/>
      <c r="E162" s="186"/>
      <c r="F162" s="186"/>
      <c r="G162" s="186"/>
      <c r="H162" s="186"/>
      <c r="I162" s="186"/>
      <c r="J162" s="186"/>
      <c r="K162" s="186"/>
      <c r="L162" s="186"/>
      <c r="M162" s="186"/>
      <c r="N162" s="186"/>
      <c r="O162" s="186"/>
      <c r="P162" s="186"/>
      <c r="Q162" s="186"/>
      <c r="R162" s="186"/>
      <c r="S162" s="67"/>
      <c r="T162" s="67"/>
      <c r="U162" s="67"/>
      <c r="V162" s="187"/>
      <c r="W162" s="186"/>
      <c r="X162" s="187"/>
      <c r="Y162" s="187"/>
      <c r="Z162" s="187"/>
      <c r="AA162" s="186"/>
      <c r="AB162" s="186"/>
      <c r="AC162" s="67"/>
      <c r="AD162" s="67"/>
      <c r="AE162" s="67"/>
      <c r="AH162" s="186"/>
      <c r="AK162" s="186"/>
    </row>
    <row r="163">
      <c r="A163" s="185"/>
      <c r="B163" s="67"/>
      <c r="C163" s="67"/>
      <c r="D163" s="67"/>
      <c r="E163" s="186"/>
      <c r="F163" s="186"/>
      <c r="G163" s="186"/>
      <c r="H163" s="186"/>
      <c r="I163" s="186"/>
      <c r="J163" s="186"/>
      <c r="K163" s="186"/>
      <c r="L163" s="186"/>
      <c r="M163" s="186"/>
      <c r="N163" s="186"/>
      <c r="O163" s="186"/>
      <c r="P163" s="186"/>
      <c r="Q163" s="186"/>
      <c r="R163" s="186"/>
      <c r="S163" s="67"/>
      <c r="T163" s="67"/>
      <c r="U163" s="67"/>
      <c r="V163" s="187"/>
      <c r="W163" s="186"/>
      <c r="X163" s="187"/>
      <c r="Y163" s="187"/>
      <c r="Z163" s="187"/>
      <c r="AA163" s="186"/>
      <c r="AB163" s="186"/>
      <c r="AC163" s="67"/>
      <c r="AD163" s="67"/>
      <c r="AE163" s="67"/>
      <c r="AH163" s="186"/>
      <c r="AK163" s="186"/>
    </row>
    <row r="164">
      <c r="A164" s="185"/>
      <c r="B164" s="67"/>
      <c r="C164" s="67"/>
      <c r="D164" s="67"/>
      <c r="E164" s="186"/>
      <c r="F164" s="186"/>
      <c r="G164" s="186"/>
      <c r="H164" s="186"/>
      <c r="I164" s="186"/>
      <c r="J164" s="186"/>
      <c r="K164" s="186"/>
      <c r="L164" s="186"/>
      <c r="M164" s="186"/>
      <c r="N164" s="186"/>
      <c r="O164" s="186"/>
      <c r="P164" s="186"/>
      <c r="Q164" s="186"/>
      <c r="R164" s="186"/>
      <c r="S164" s="67"/>
      <c r="T164" s="67"/>
      <c r="U164" s="67"/>
      <c r="V164" s="187"/>
      <c r="W164" s="186"/>
      <c r="X164" s="187"/>
      <c r="Y164" s="187"/>
      <c r="Z164" s="187"/>
      <c r="AA164" s="186"/>
      <c r="AB164" s="186"/>
      <c r="AC164" s="67"/>
      <c r="AD164" s="67"/>
      <c r="AE164" s="67"/>
      <c r="AH164" s="186"/>
      <c r="AK164" s="186"/>
    </row>
    <row r="165">
      <c r="A165" s="185"/>
      <c r="B165" s="67"/>
      <c r="C165" s="67"/>
      <c r="D165" s="67"/>
      <c r="E165" s="186"/>
      <c r="F165" s="186"/>
      <c r="G165" s="186"/>
      <c r="H165" s="186"/>
      <c r="I165" s="186"/>
      <c r="J165" s="186"/>
      <c r="K165" s="186"/>
      <c r="L165" s="186"/>
      <c r="M165" s="186"/>
      <c r="N165" s="186"/>
      <c r="O165" s="186"/>
      <c r="P165" s="186"/>
      <c r="Q165" s="186"/>
      <c r="R165" s="186"/>
      <c r="S165" s="67"/>
      <c r="T165" s="67"/>
      <c r="U165" s="67"/>
      <c r="V165" s="187"/>
      <c r="W165" s="186"/>
      <c r="X165" s="187"/>
      <c r="Y165" s="187"/>
      <c r="Z165" s="187"/>
      <c r="AA165" s="186"/>
      <c r="AB165" s="186"/>
      <c r="AC165" s="67"/>
      <c r="AD165" s="67"/>
      <c r="AE165" s="67"/>
      <c r="AH165" s="186"/>
      <c r="AK165" s="186"/>
    </row>
    <row r="166">
      <c r="A166" s="185"/>
      <c r="B166" s="67"/>
      <c r="C166" s="67"/>
      <c r="D166" s="67"/>
      <c r="E166" s="186"/>
      <c r="F166" s="186"/>
      <c r="G166" s="186"/>
      <c r="H166" s="186"/>
      <c r="I166" s="186"/>
      <c r="J166" s="186"/>
      <c r="K166" s="186"/>
      <c r="L166" s="186"/>
      <c r="M166" s="186"/>
      <c r="N166" s="186"/>
      <c r="O166" s="186"/>
      <c r="P166" s="186"/>
      <c r="Q166" s="186"/>
      <c r="R166" s="186"/>
      <c r="S166" s="67"/>
      <c r="T166" s="67"/>
      <c r="U166" s="67"/>
      <c r="V166" s="187"/>
      <c r="W166" s="186"/>
      <c r="X166" s="187"/>
      <c r="Y166" s="187"/>
      <c r="Z166" s="187"/>
      <c r="AA166" s="186"/>
      <c r="AB166" s="186"/>
      <c r="AC166" s="67"/>
      <c r="AD166" s="67"/>
      <c r="AE166" s="67"/>
      <c r="AH166" s="186"/>
      <c r="AK166" s="186"/>
    </row>
    <row r="167">
      <c r="A167" s="185"/>
      <c r="B167" s="67"/>
      <c r="C167" s="67"/>
      <c r="D167" s="67"/>
      <c r="E167" s="186"/>
      <c r="F167" s="186"/>
      <c r="G167" s="186"/>
      <c r="H167" s="186"/>
      <c r="I167" s="186"/>
      <c r="J167" s="186"/>
      <c r="K167" s="186"/>
      <c r="L167" s="186"/>
      <c r="M167" s="186"/>
      <c r="N167" s="186"/>
      <c r="O167" s="186"/>
      <c r="P167" s="186"/>
      <c r="Q167" s="186"/>
      <c r="R167" s="186"/>
      <c r="S167" s="67"/>
      <c r="T167" s="67"/>
      <c r="U167" s="67"/>
      <c r="V167" s="187"/>
      <c r="W167" s="186"/>
      <c r="X167" s="187"/>
      <c r="Y167" s="187"/>
      <c r="Z167" s="187"/>
      <c r="AA167" s="186"/>
      <c r="AB167" s="186"/>
      <c r="AC167" s="67"/>
      <c r="AD167" s="67"/>
      <c r="AE167" s="67"/>
      <c r="AH167" s="186"/>
      <c r="AK167" s="186"/>
    </row>
    <row r="168">
      <c r="A168" s="185"/>
      <c r="B168" s="67"/>
      <c r="C168" s="67"/>
      <c r="D168" s="67"/>
      <c r="E168" s="186"/>
      <c r="F168" s="186"/>
      <c r="G168" s="186"/>
      <c r="H168" s="186"/>
      <c r="I168" s="186"/>
      <c r="J168" s="186"/>
      <c r="K168" s="186"/>
      <c r="L168" s="186"/>
      <c r="M168" s="186"/>
      <c r="N168" s="186"/>
      <c r="O168" s="186"/>
      <c r="P168" s="186"/>
      <c r="Q168" s="186"/>
      <c r="R168" s="186"/>
      <c r="S168" s="67"/>
      <c r="T168" s="67"/>
      <c r="U168" s="67"/>
      <c r="V168" s="187"/>
      <c r="W168" s="186"/>
      <c r="X168" s="187"/>
      <c r="Y168" s="187"/>
      <c r="Z168" s="187"/>
      <c r="AA168" s="186"/>
      <c r="AB168" s="186"/>
      <c r="AC168" s="67"/>
      <c r="AD168" s="67"/>
      <c r="AE168" s="67"/>
      <c r="AH168" s="186"/>
      <c r="AK168" s="186"/>
    </row>
    <row r="169">
      <c r="A169" s="185"/>
      <c r="B169" s="67"/>
      <c r="C169" s="67"/>
      <c r="D169" s="67"/>
      <c r="E169" s="186"/>
      <c r="F169" s="186"/>
      <c r="G169" s="186"/>
      <c r="H169" s="186"/>
      <c r="I169" s="186"/>
      <c r="J169" s="186"/>
      <c r="K169" s="186"/>
      <c r="L169" s="186"/>
      <c r="M169" s="186"/>
      <c r="N169" s="186"/>
      <c r="O169" s="186"/>
      <c r="P169" s="186"/>
      <c r="Q169" s="186"/>
      <c r="R169" s="186"/>
      <c r="S169" s="67"/>
      <c r="T169" s="67"/>
      <c r="U169" s="67"/>
      <c r="V169" s="187"/>
      <c r="W169" s="186"/>
      <c r="X169" s="187"/>
      <c r="Y169" s="187"/>
      <c r="Z169" s="187"/>
      <c r="AA169" s="186"/>
      <c r="AB169" s="186"/>
      <c r="AC169" s="67"/>
      <c r="AD169" s="67"/>
      <c r="AE169" s="67"/>
      <c r="AH169" s="186"/>
      <c r="AK169" s="186"/>
    </row>
    <row r="170">
      <c r="A170" s="185"/>
      <c r="B170" s="67"/>
      <c r="C170" s="67"/>
      <c r="D170" s="67"/>
      <c r="E170" s="186"/>
      <c r="F170" s="186"/>
      <c r="G170" s="186"/>
      <c r="H170" s="186"/>
      <c r="I170" s="186"/>
      <c r="J170" s="186"/>
      <c r="K170" s="186"/>
      <c r="L170" s="186"/>
      <c r="M170" s="186"/>
      <c r="N170" s="186"/>
      <c r="O170" s="186"/>
      <c r="P170" s="186"/>
      <c r="Q170" s="186"/>
      <c r="R170" s="186"/>
      <c r="S170" s="67"/>
      <c r="T170" s="67"/>
      <c r="U170" s="67"/>
      <c r="V170" s="187"/>
      <c r="W170" s="186"/>
      <c r="X170" s="187"/>
      <c r="Y170" s="187"/>
      <c r="Z170" s="187"/>
      <c r="AA170" s="186"/>
      <c r="AB170" s="186"/>
      <c r="AC170" s="67"/>
      <c r="AD170" s="67"/>
      <c r="AE170" s="67"/>
      <c r="AH170" s="186"/>
      <c r="AK170" s="186"/>
    </row>
    <row r="171">
      <c r="A171" s="185"/>
      <c r="B171" s="67"/>
      <c r="C171" s="67"/>
      <c r="D171" s="67"/>
      <c r="E171" s="186"/>
      <c r="F171" s="186"/>
      <c r="G171" s="186"/>
      <c r="H171" s="186"/>
      <c r="I171" s="186"/>
      <c r="J171" s="186"/>
      <c r="K171" s="186"/>
      <c r="L171" s="186"/>
      <c r="M171" s="186"/>
      <c r="N171" s="186"/>
      <c r="O171" s="186"/>
      <c r="P171" s="186"/>
      <c r="Q171" s="186"/>
      <c r="R171" s="186"/>
      <c r="S171" s="67"/>
      <c r="T171" s="67"/>
      <c r="U171" s="67"/>
      <c r="V171" s="187"/>
      <c r="W171" s="186"/>
      <c r="X171" s="187"/>
      <c r="Y171" s="187"/>
      <c r="Z171" s="187"/>
      <c r="AA171" s="186"/>
      <c r="AB171" s="186"/>
      <c r="AC171" s="67"/>
      <c r="AD171" s="67"/>
      <c r="AE171" s="67"/>
      <c r="AH171" s="186"/>
      <c r="AK171" s="186"/>
    </row>
    <row r="172">
      <c r="A172" s="185"/>
      <c r="B172" s="67"/>
      <c r="C172" s="67"/>
      <c r="D172" s="67"/>
      <c r="E172" s="186"/>
      <c r="F172" s="186"/>
      <c r="G172" s="186"/>
      <c r="H172" s="186"/>
      <c r="I172" s="186"/>
      <c r="J172" s="186"/>
      <c r="K172" s="186"/>
      <c r="L172" s="186"/>
      <c r="M172" s="186"/>
      <c r="N172" s="186"/>
      <c r="O172" s="186"/>
      <c r="P172" s="186"/>
      <c r="Q172" s="186"/>
      <c r="R172" s="186"/>
      <c r="S172" s="67"/>
      <c r="T172" s="67"/>
      <c r="U172" s="67"/>
      <c r="V172" s="187"/>
      <c r="W172" s="186"/>
      <c r="X172" s="187"/>
      <c r="Y172" s="187"/>
      <c r="Z172" s="187"/>
      <c r="AA172" s="186"/>
      <c r="AB172" s="186"/>
      <c r="AC172" s="67"/>
      <c r="AD172" s="67"/>
      <c r="AE172" s="67"/>
      <c r="AH172" s="186"/>
      <c r="AK172" s="186"/>
    </row>
    <row r="173">
      <c r="A173" s="185"/>
      <c r="B173" s="67"/>
      <c r="C173" s="67"/>
      <c r="D173" s="67"/>
      <c r="E173" s="186"/>
      <c r="F173" s="186"/>
      <c r="G173" s="186"/>
      <c r="H173" s="186"/>
      <c r="I173" s="186"/>
      <c r="J173" s="186"/>
      <c r="K173" s="186"/>
      <c r="L173" s="186"/>
      <c r="M173" s="186"/>
      <c r="N173" s="186"/>
      <c r="O173" s="186"/>
      <c r="P173" s="186"/>
      <c r="Q173" s="186"/>
      <c r="R173" s="186"/>
      <c r="S173" s="67"/>
      <c r="T173" s="67"/>
      <c r="U173" s="67"/>
      <c r="V173" s="187"/>
      <c r="W173" s="186"/>
      <c r="X173" s="187"/>
      <c r="Y173" s="187"/>
      <c r="Z173" s="187"/>
      <c r="AA173" s="186"/>
      <c r="AB173" s="186"/>
      <c r="AC173" s="67"/>
      <c r="AD173" s="67"/>
      <c r="AE173" s="67"/>
      <c r="AH173" s="186"/>
      <c r="AK173" s="186"/>
    </row>
    <row r="174">
      <c r="A174" s="185"/>
      <c r="B174" s="67"/>
      <c r="C174" s="67"/>
      <c r="D174" s="67"/>
      <c r="E174" s="186"/>
      <c r="F174" s="186"/>
      <c r="G174" s="186"/>
      <c r="H174" s="186"/>
      <c r="I174" s="186"/>
      <c r="J174" s="186"/>
      <c r="K174" s="186"/>
      <c r="L174" s="186"/>
      <c r="M174" s="186"/>
      <c r="N174" s="186"/>
      <c r="O174" s="186"/>
      <c r="P174" s="186"/>
      <c r="Q174" s="186"/>
      <c r="R174" s="186"/>
      <c r="S174" s="67"/>
      <c r="T174" s="67"/>
      <c r="U174" s="67"/>
      <c r="V174" s="187"/>
      <c r="W174" s="186"/>
      <c r="X174" s="187"/>
      <c r="Y174" s="187"/>
      <c r="Z174" s="187"/>
      <c r="AA174" s="186"/>
      <c r="AB174" s="186"/>
      <c r="AC174" s="67"/>
      <c r="AD174" s="67"/>
      <c r="AE174" s="67"/>
      <c r="AH174" s="186"/>
      <c r="AK174" s="186"/>
    </row>
    <row r="175">
      <c r="A175" s="185"/>
      <c r="B175" s="67"/>
      <c r="C175" s="67"/>
      <c r="D175" s="67"/>
      <c r="E175" s="186"/>
      <c r="F175" s="186"/>
      <c r="G175" s="186"/>
      <c r="H175" s="186"/>
      <c r="I175" s="186"/>
      <c r="J175" s="186"/>
      <c r="K175" s="186"/>
      <c r="L175" s="186"/>
      <c r="M175" s="186"/>
      <c r="N175" s="186"/>
      <c r="O175" s="186"/>
      <c r="P175" s="186"/>
      <c r="Q175" s="186"/>
      <c r="R175" s="186"/>
      <c r="S175" s="67"/>
      <c r="T175" s="67"/>
      <c r="U175" s="67"/>
      <c r="V175" s="187"/>
      <c r="W175" s="186"/>
      <c r="X175" s="187"/>
      <c r="Y175" s="187"/>
      <c r="Z175" s="187"/>
      <c r="AA175" s="186"/>
      <c r="AB175" s="186"/>
      <c r="AC175" s="67"/>
      <c r="AD175" s="67"/>
      <c r="AE175" s="67"/>
      <c r="AH175" s="186"/>
      <c r="AK175" s="186"/>
    </row>
    <row r="176">
      <c r="A176" s="185"/>
      <c r="B176" s="67"/>
      <c r="C176" s="67"/>
      <c r="D176" s="67"/>
      <c r="E176" s="186"/>
      <c r="F176" s="186"/>
      <c r="G176" s="186"/>
      <c r="H176" s="186"/>
      <c r="I176" s="186"/>
      <c r="J176" s="186"/>
      <c r="K176" s="186"/>
      <c r="L176" s="186"/>
      <c r="M176" s="186"/>
      <c r="N176" s="186"/>
      <c r="O176" s="186"/>
      <c r="P176" s="186"/>
      <c r="Q176" s="186"/>
      <c r="R176" s="186"/>
      <c r="S176" s="67"/>
      <c r="T176" s="67"/>
      <c r="U176" s="67"/>
      <c r="V176" s="187"/>
      <c r="W176" s="186"/>
      <c r="X176" s="187"/>
      <c r="Y176" s="187"/>
      <c r="Z176" s="187"/>
      <c r="AA176" s="186"/>
      <c r="AB176" s="186"/>
      <c r="AC176" s="67"/>
      <c r="AD176" s="67"/>
      <c r="AE176" s="67"/>
      <c r="AH176" s="186"/>
      <c r="AK176" s="186"/>
    </row>
    <row r="177">
      <c r="A177" s="185"/>
      <c r="B177" s="67"/>
      <c r="C177" s="67"/>
      <c r="D177" s="67"/>
      <c r="E177" s="186"/>
      <c r="F177" s="186"/>
      <c r="G177" s="186"/>
      <c r="H177" s="186"/>
      <c r="I177" s="186"/>
      <c r="J177" s="186"/>
      <c r="K177" s="186"/>
      <c r="L177" s="186"/>
      <c r="M177" s="186"/>
      <c r="N177" s="186"/>
      <c r="O177" s="186"/>
      <c r="P177" s="186"/>
      <c r="Q177" s="186"/>
      <c r="R177" s="186"/>
      <c r="S177" s="67"/>
      <c r="T177" s="67"/>
      <c r="U177" s="67"/>
      <c r="V177" s="187"/>
      <c r="W177" s="186"/>
      <c r="X177" s="187"/>
      <c r="Y177" s="187"/>
      <c r="Z177" s="187"/>
      <c r="AA177" s="186"/>
      <c r="AB177" s="186"/>
      <c r="AC177" s="67"/>
      <c r="AD177" s="67"/>
      <c r="AE177" s="67"/>
      <c r="AH177" s="186"/>
      <c r="AK177" s="186"/>
    </row>
    <row r="178">
      <c r="A178" s="185"/>
      <c r="B178" s="67"/>
      <c r="C178" s="67"/>
      <c r="D178" s="67"/>
      <c r="E178" s="186"/>
      <c r="F178" s="186"/>
      <c r="G178" s="186"/>
      <c r="H178" s="186"/>
      <c r="I178" s="186"/>
      <c r="J178" s="186"/>
      <c r="K178" s="186"/>
      <c r="L178" s="186"/>
      <c r="M178" s="186"/>
      <c r="N178" s="186"/>
      <c r="O178" s="186"/>
      <c r="P178" s="186"/>
      <c r="Q178" s="186"/>
      <c r="R178" s="186"/>
      <c r="S178" s="67"/>
      <c r="T178" s="67"/>
      <c r="U178" s="67"/>
      <c r="V178" s="187"/>
      <c r="W178" s="186"/>
      <c r="X178" s="187"/>
      <c r="Y178" s="187"/>
      <c r="Z178" s="187"/>
      <c r="AA178" s="186"/>
      <c r="AB178" s="186"/>
      <c r="AC178" s="67"/>
      <c r="AD178" s="67"/>
      <c r="AE178" s="67"/>
      <c r="AH178" s="186"/>
      <c r="AK178" s="186"/>
    </row>
    <row r="179">
      <c r="A179" s="185"/>
      <c r="B179" s="67"/>
      <c r="C179" s="67"/>
      <c r="D179" s="67"/>
      <c r="E179" s="186"/>
      <c r="F179" s="186"/>
      <c r="G179" s="186"/>
      <c r="H179" s="186"/>
      <c r="I179" s="186"/>
      <c r="J179" s="186"/>
      <c r="K179" s="186"/>
      <c r="L179" s="186"/>
      <c r="M179" s="186"/>
      <c r="N179" s="186"/>
      <c r="O179" s="186"/>
      <c r="P179" s="186"/>
      <c r="Q179" s="186"/>
      <c r="R179" s="186"/>
      <c r="S179" s="67"/>
      <c r="T179" s="67"/>
      <c r="U179" s="67"/>
      <c r="V179" s="187"/>
      <c r="W179" s="186"/>
      <c r="X179" s="187"/>
      <c r="Y179" s="187"/>
      <c r="Z179" s="187"/>
      <c r="AA179" s="186"/>
      <c r="AB179" s="186"/>
      <c r="AC179" s="67"/>
      <c r="AD179" s="67"/>
      <c r="AE179" s="67"/>
      <c r="AH179" s="186"/>
      <c r="AK179" s="186"/>
    </row>
    <row r="180">
      <c r="A180" s="185"/>
      <c r="B180" s="67"/>
      <c r="C180" s="67"/>
      <c r="D180" s="67"/>
      <c r="E180" s="186"/>
      <c r="F180" s="186"/>
      <c r="G180" s="186"/>
      <c r="H180" s="186"/>
      <c r="I180" s="186"/>
      <c r="J180" s="186"/>
      <c r="K180" s="186"/>
      <c r="L180" s="186"/>
      <c r="M180" s="186"/>
      <c r="N180" s="186"/>
      <c r="O180" s="186"/>
      <c r="P180" s="186"/>
      <c r="Q180" s="186"/>
      <c r="R180" s="186"/>
      <c r="S180" s="67"/>
      <c r="T180" s="67"/>
      <c r="U180" s="67"/>
      <c r="V180" s="187"/>
      <c r="W180" s="186"/>
      <c r="X180" s="187"/>
      <c r="Y180" s="187"/>
      <c r="Z180" s="187"/>
      <c r="AA180" s="186"/>
      <c r="AB180" s="186"/>
      <c r="AC180" s="67"/>
      <c r="AD180" s="67"/>
      <c r="AE180" s="67"/>
      <c r="AH180" s="186"/>
      <c r="AK180" s="186"/>
    </row>
    <row r="181">
      <c r="A181" s="185"/>
      <c r="B181" s="67"/>
      <c r="C181" s="67"/>
      <c r="D181" s="67"/>
      <c r="E181" s="186"/>
      <c r="F181" s="186"/>
      <c r="G181" s="186"/>
      <c r="H181" s="186"/>
      <c r="I181" s="186"/>
      <c r="J181" s="186"/>
      <c r="K181" s="186"/>
      <c r="L181" s="186"/>
      <c r="M181" s="186"/>
      <c r="N181" s="186"/>
      <c r="O181" s="186"/>
      <c r="P181" s="186"/>
      <c r="Q181" s="186"/>
      <c r="R181" s="186"/>
      <c r="S181" s="67"/>
      <c r="T181" s="67"/>
      <c r="U181" s="67"/>
      <c r="V181" s="187"/>
      <c r="W181" s="186"/>
      <c r="X181" s="187"/>
      <c r="Y181" s="187"/>
      <c r="Z181" s="187"/>
      <c r="AA181" s="186"/>
      <c r="AB181" s="186"/>
      <c r="AC181" s="67"/>
      <c r="AD181" s="67"/>
      <c r="AE181" s="67"/>
      <c r="AH181" s="186"/>
      <c r="AK181" s="186"/>
    </row>
    <row r="182">
      <c r="A182" s="185"/>
      <c r="B182" s="67"/>
      <c r="C182" s="67"/>
      <c r="D182" s="67"/>
      <c r="E182" s="186"/>
      <c r="F182" s="186"/>
      <c r="G182" s="186"/>
      <c r="H182" s="186"/>
      <c r="I182" s="186"/>
      <c r="J182" s="186"/>
      <c r="K182" s="186"/>
      <c r="L182" s="186"/>
      <c r="M182" s="186"/>
      <c r="N182" s="186"/>
      <c r="O182" s="186"/>
      <c r="P182" s="186"/>
      <c r="Q182" s="186"/>
      <c r="R182" s="186"/>
      <c r="S182" s="67"/>
      <c r="T182" s="67"/>
      <c r="U182" s="67"/>
      <c r="V182" s="187"/>
      <c r="W182" s="186"/>
      <c r="X182" s="187"/>
      <c r="Y182" s="187"/>
      <c r="Z182" s="187"/>
      <c r="AA182" s="186"/>
      <c r="AB182" s="186"/>
      <c r="AC182" s="67"/>
      <c r="AD182" s="67"/>
      <c r="AE182" s="67"/>
      <c r="AH182" s="186"/>
      <c r="AK182" s="186"/>
    </row>
    <row r="183">
      <c r="A183" s="185"/>
      <c r="B183" s="67"/>
      <c r="C183" s="67"/>
      <c r="D183" s="67"/>
      <c r="E183" s="186"/>
      <c r="F183" s="186"/>
      <c r="G183" s="186"/>
      <c r="H183" s="186"/>
      <c r="I183" s="186"/>
      <c r="J183" s="186"/>
      <c r="K183" s="186"/>
      <c r="L183" s="186"/>
      <c r="M183" s="186"/>
      <c r="N183" s="186"/>
      <c r="O183" s="186"/>
      <c r="P183" s="186"/>
      <c r="Q183" s="186"/>
      <c r="R183" s="186"/>
      <c r="S183" s="67"/>
      <c r="T183" s="67"/>
      <c r="U183" s="67"/>
      <c r="V183" s="187"/>
      <c r="W183" s="186"/>
      <c r="X183" s="187"/>
      <c r="Y183" s="187"/>
      <c r="Z183" s="187"/>
      <c r="AA183" s="186"/>
      <c r="AB183" s="186"/>
      <c r="AC183" s="67"/>
      <c r="AD183" s="67"/>
      <c r="AE183" s="67"/>
      <c r="AH183" s="186"/>
      <c r="AK183" s="186"/>
    </row>
    <row r="184">
      <c r="A184" s="185"/>
      <c r="B184" s="67"/>
      <c r="C184" s="67"/>
      <c r="D184" s="67"/>
      <c r="E184" s="186"/>
      <c r="F184" s="186"/>
      <c r="G184" s="186"/>
      <c r="H184" s="186"/>
      <c r="I184" s="186"/>
      <c r="J184" s="186"/>
      <c r="K184" s="186"/>
      <c r="L184" s="186"/>
      <c r="M184" s="186"/>
      <c r="N184" s="186"/>
      <c r="O184" s="186"/>
      <c r="P184" s="186"/>
      <c r="Q184" s="186"/>
      <c r="R184" s="186"/>
      <c r="S184" s="67"/>
      <c r="T184" s="67"/>
      <c r="U184" s="67"/>
      <c r="V184" s="187"/>
      <c r="W184" s="186"/>
      <c r="X184" s="187"/>
      <c r="Y184" s="187"/>
      <c r="Z184" s="187"/>
      <c r="AA184" s="186"/>
      <c r="AB184" s="186"/>
      <c r="AC184" s="67"/>
      <c r="AD184" s="67"/>
      <c r="AE184" s="67"/>
      <c r="AH184" s="186"/>
      <c r="AK184" s="186"/>
    </row>
    <row r="185">
      <c r="A185" s="185"/>
      <c r="B185" s="67"/>
      <c r="C185" s="67"/>
      <c r="D185" s="67"/>
      <c r="E185" s="186"/>
      <c r="F185" s="186"/>
      <c r="G185" s="186"/>
      <c r="H185" s="186"/>
      <c r="I185" s="186"/>
      <c r="J185" s="186"/>
      <c r="K185" s="186"/>
      <c r="L185" s="186"/>
      <c r="M185" s="186"/>
      <c r="N185" s="186"/>
      <c r="O185" s="186"/>
      <c r="P185" s="186"/>
      <c r="Q185" s="186"/>
      <c r="R185" s="186"/>
      <c r="S185" s="67"/>
      <c r="T185" s="67"/>
      <c r="U185" s="67"/>
      <c r="V185" s="187"/>
      <c r="W185" s="186"/>
      <c r="X185" s="187"/>
      <c r="Y185" s="187"/>
      <c r="Z185" s="187"/>
      <c r="AA185" s="186"/>
      <c r="AB185" s="186"/>
      <c r="AC185" s="67"/>
      <c r="AD185" s="67"/>
      <c r="AE185" s="67"/>
      <c r="AH185" s="186"/>
      <c r="AK185" s="186"/>
    </row>
    <row r="186">
      <c r="A186" s="185"/>
      <c r="B186" s="67"/>
      <c r="C186" s="67"/>
      <c r="D186" s="67"/>
      <c r="E186" s="186"/>
      <c r="F186" s="186"/>
      <c r="G186" s="186"/>
      <c r="H186" s="186"/>
      <c r="I186" s="186"/>
      <c r="J186" s="186"/>
      <c r="K186" s="186"/>
      <c r="L186" s="186"/>
      <c r="M186" s="186"/>
      <c r="N186" s="186"/>
      <c r="O186" s="186"/>
      <c r="P186" s="186"/>
      <c r="Q186" s="186"/>
      <c r="R186" s="186"/>
      <c r="S186" s="67"/>
      <c r="T186" s="67"/>
      <c r="U186" s="67"/>
      <c r="V186" s="187"/>
      <c r="W186" s="186"/>
      <c r="X186" s="187"/>
      <c r="Y186" s="187"/>
      <c r="Z186" s="187"/>
      <c r="AA186" s="186"/>
      <c r="AB186" s="186"/>
      <c r="AC186" s="67"/>
      <c r="AD186" s="67"/>
      <c r="AE186" s="67"/>
      <c r="AH186" s="186"/>
      <c r="AK186" s="186"/>
    </row>
    <row r="187">
      <c r="A187" s="185"/>
      <c r="B187" s="67"/>
      <c r="C187" s="67"/>
      <c r="D187" s="67"/>
      <c r="E187" s="186"/>
      <c r="F187" s="186"/>
      <c r="G187" s="186"/>
      <c r="H187" s="186"/>
      <c r="I187" s="186"/>
      <c r="J187" s="186"/>
      <c r="K187" s="186"/>
      <c r="L187" s="186"/>
      <c r="M187" s="186"/>
      <c r="N187" s="186"/>
      <c r="O187" s="186"/>
      <c r="P187" s="186"/>
      <c r="Q187" s="186"/>
      <c r="R187" s="186"/>
      <c r="S187" s="67"/>
      <c r="T187" s="67"/>
      <c r="U187" s="67"/>
      <c r="V187" s="187"/>
      <c r="W187" s="186"/>
      <c r="X187" s="187"/>
      <c r="Y187" s="187"/>
      <c r="Z187" s="187"/>
      <c r="AA187" s="186"/>
      <c r="AB187" s="186"/>
      <c r="AC187" s="67"/>
      <c r="AD187" s="67"/>
      <c r="AE187" s="67"/>
      <c r="AH187" s="186"/>
      <c r="AK187" s="186"/>
    </row>
    <row r="188">
      <c r="A188" s="185"/>
      <c r="B188" s="67"/>
      <c r="C188" s="67"/>
      <c r="D188" s="67"/>
      <c r="E188" s="186"/>
      <c r="F188" s="186"/>
      <c r="G188" s="186"/>
      <c r="H188" s="186"/>
      <c r="I188" s="186"/>
      <c r="J188" s="186"/>
      <c r="K188" s="186"/>
      <c r="L188" s="186"/>
      <c r="M188" s="186"/>
      <c r="N188" s="186"/>
      <c r="O188" s="186"/>
      <c r="P188" s="186"/>
      <c r="Q188" s="186"/>
      <c r="R188" s="186"/>
      <c r="S188" s="67"/>
      <c r="T188" s="67"/>
      <c r="U188" s="67"/>
      <c r="V188" s="187"/>
      <c r="W188" s="186"/>
      <c r="X188" s="187"/>
      <c r="Y188" s="187"/>
      <c r="Z188" s="187"/>
      <c r="AA188" s="186"/>
      <c r="AB188" s="186"/>
      <c r="AC188" s="67"/>
      <c r="AD188" s="67"/>
      <c r="AE188" s="67"/>
      <c r="AH188" s="186"/>
      <c r="AK188" s="186"/>
    </row>
    <row r="189">
      <c r="A189" s="185"/>
      <c r="B189" s="67"/>
      <c r="C189" s="67"/>
      <c r="D189" s="67"/>
      <c r="E189" s="186"/>
      <c r="F189" s="186"/>
      <c r="G189" s="186"/>
      <c r="H189" s="186"/>
      <c r="I189" s="186"/>
      <c r="J189" s="186"/>
      <c r="K189" s="186"/>
      <c r="L189" s="186"/>
      <c r="M189" s="186"/>
      <c r="N189" s="186"/>
      <c r="O189" s="186"/>
      <c r="P189" s="186"/>
      <c r="Q189" s="186"/>
      <c r="R189" s="186"/>
      <c r="S189" s="67"/>
      <c r="T189" s="67"/>
      <c r="U189" s="67"/>
      <c r="V189" s="187"/>
      <c r="W189" s="186"/>
      <c r="X189" s="187"/>
      <c r="Y189" s="187"/>
      <c r="Z189" s="187"/>
      <c r="AA189" s="186"/>
      <c r="AB189" s="186"/>
      <c r="AC189" s="67"/>
      <c r="AD189" s="67"/>
      <c r="AE189" s="67"/>
      <c r="AH189" s="186"/>
      <c r="AK189" s="186"/>
    </row>
    <row r="190">
      <c r="A190" s="185"/>
      <c r="B190" s="67"/>
      <c r="C190" s="67"/>
      <c r="D190" s="67"/>
      <c r="E190" s="186"/>
      <c r="F190" s="186"/>
      <c r="G190" s="186"/>
      <c r="H190" s="186"/>
      <c r="I190" s="186"/>
      <c r="J190" s="186"/>
      <c r="K190" s="186"/>
      <c r="L190" s="186"/>
      <c r="M190" s="186"/>
      <c r="N190" s="186"/>
      <c r="O190" s="186"/>
      <c r="P190" s="186"/>
      <c r="Q190" s="186"/>
      <c r="R190" s="186"/>
      <c r="S190" s="67"/>
      <c r="T190" s="67"/>
      <c r="U190" s="67"/>
      <c r="V190" s="187"/>
      <c r="W190" s="186"/>
      <c r="X190" s="187"/>
      <c r="Y190" s="187"/>
      <c r="Z190" s="187"/>
      <c r="AA190" s="186"/>
      <c r="AB190" s="186"/>
      <c r="AC190" s="67"/>
      <c r="AD190" s="67"/>
      <c r="AE190" s="67"/>
      <c r="AH190" s="186"/>
      <c r="AK190" s="186"/>
    </row>
    <row r="191">
      <c r="A191" s="185"/>
      <c r="B191" s="67"/>
      <c r="C191" s="67"/>
      <c r="D191" s="67"/>
      <c r="E191" s="186"/>
      <c r="F191" s="186"/>
      <c r="G191" s="186"/>
      <c r="H191" s="186"/>
      <c r="I191" s="186"/>
      <c r="J191" s="186"/>
      <c r="K191" s="186"/>
      <c r="L191" s="186"/>
      <c r="M191" s="186"/>
      <c r="N191" s="186"/>
      <c r="O191" s="186"/>
      <c r="P191" s="186"/>
      <c r="Q191" s="186"/>
      <c r="R191" s="186"/>
      <c r="S191" s="67"/>
      <c r="T191" s="67"/>
      <c r="U191" s="67"/>
      <c r="V191" s="187"/>
      <c r="W191" s="186"/>
      <c r="X191" s="187"/>
      <c r="Y191" s="187"/>
      <c r="Z191" s="187"/>
      <c r="AA191" s="186"/>
      <c r="AB191" s="186"/>
      <c r="AC191" s="67"/>
      <c r="AD191" s="67"/>
      <c r="AE191" s="67"/>
      <c r="AH191" s="186"/>
      <c r="AK191" s="186"/>
    </row>
    <row r="192">
      <c r="A192" s="185"/>
      <c r="B192" s="67"/>
      <c r="C192" s="67"/>
      <c r="D192" s="67"/>
      <c r="E192" s="186"/>
      <c r="F192" s="186"/>
      <c r="G192" s="186"/>
      <c r="H192" s="186"/>
      <c r="I192" s="186"/>
      <c r="J192" s="186"/>
      <c r="K192" s="186"/>
      <c r="L192" s="186"/>
      <c r="M192" s="186"/>
      <c r="N192" s="186"/>
      <c r="O192" s="186"/>
      <c r="P192" s="186"/>
      <c r="Q192" s="186"/>
      <c r="R192" s="186"/>
      <c r="S192" s="67"/>
      <c r="T192" s="67"/>
      <c r="U192" s="67"/>
      <c r="V192" s="187"/>
      <c r="W192" s="186"/>
      <c r="X192" s="187"/>
      <c r="Y192" s="187"/>
      <c r="Z192" s="187"/>
      <c r="AA192" s="186"/>
      <c r="AB192" s="186"/>
      <c r="AC192" s="67"/>
      <c r="AD192" s="67"/>
      <c r="AE192" s="67"/>
      <c r="AH192" s="186"/>
      <c r="AK192" s="186"/>
    </row>
    <row r="193">
      <c r="A193" s="185"/>
      <c r="B193" s="67"/>
      <c r="C193" s="67"/>
      <c r="D193" s="67"/>
      <c r="E193" s="186"/>
      <c r="F193" s="186"/>
      <c r="G193" s="186"/>
      <c r="H193" s="186"/>
      <c r="I193" s="186"/>
      <c r="J193" s="186"/>
      <c r="K193" s="186"/>
      <c r="L193" s="186"/>
      <c r="M193" s="186"/>
      <c r="N193" s="186"/>
      <c r="O193" s="186"/>
      <c r="P193" s="186"/>
      <c r="Q193" s="186"/>
      <c r="R193" s="186"/>
      <c r="S193" s="67"/>
      <c r="T193" s="67"/>
      <c r="U193" s="67"/>
      <c r="V193" s="187"/>
      <c r="W193" s="186"/>
      <c r="X193" s="187"/>
      <c r="Y193" s="187"/>
      <c r="Z193" s="187"/>
      <c r="AA193" s="186"/>
      <c r="AB193" s="186"/>
      <c r="AC193" s="67"/>
      <c r="AD193" s="67"/>
      <c r="AE193" s="67"/>
      <c r="AH193" s="186"/>
      <c r="AK193" s="186"/>
    </row>
    <row r="194">
      <c r="A194" s="185"/>
      <c r="B194" s="67"/>
      <c r="C194" s="67"/>
      <c r="D194" s="67"/>
      <c r="E194" s="186"/>
      <c r="F194" s="186"/>
      <c r="G194" s="186"/>
      <c r="H194" s="186"/>
      <c r="I194" s="186"/>
      <c r="J194" s="186"/>
      <c r="K194" s="186"/>
      <c r="L194" s="186"/>
      <c r="M194" s="186"/>
      <c r="N194" s="186"/>
      <c r="O194" s="186"/>
      <c r="P194" s="186"/>
      <c r="Q194" s="186"/>
      <c r="R194" s="186"/>
      <c r="S194" s="67"/>
      <c r="T194" s="67"/>
      <c r="U194" s="67"/>
      <c r="V194" s="187"/>
      <c r="W194" s="186"/>
      <c r="X194" s="187"/>
      <c r="Y194" s="187"/>
      <c r="Z194" s="187"/>
      <c r="AA194" s="186"/>
      <c r="AB194" s="186"/>
      <c r="AC194" s="67"/>
      <c r="AD194" s="67"/>
      <c r="AE194" s="67"/>
      <c r="AH194" s="186"/>
      <c r="AK194" s="186"/>
    </row>
    <row r="195">
      <c r="A195" s="185"/>
      <c r="B195" s="67"/>
      <c r="C195" s="67"/>
      <c r="D195" s="67"/>
      <c r="E195" s="186"/>
      <c r="F195" s="186"/>
      <c r="G195" s="186"/>
      <c r="H195" s="186"/>
      <c r="I195" s="186"/>
      <c r="J195" s="186"/>
      <c r="K195" s="186"/>
      <c r="L195" s="186"/>
      <c r="M195" s="186"/>
      <c r="N195" s="186"/>
      <c r="O195" s="186"/>
      <c r="P195" s="186"/>
      <c r="Q195" s="186"/>
      <c r="R195" s="186"/>
      <c r="S195" s="67"/>
      <c r="T195" s="67"/>
      <c r="U195" s="67"/>
      <c r="V195" s="187"/>
      <c r="W195" s="186"/>
      <c r="X195" s="187"/>
      <c r="Y195" s="187"/>
      <c r="Z195" s="187"/>
      <c r="AA195" s="186"/>
      <c r="AB195" s="186"/>
      <c r="AC195" s="67"/>
      <c r="AD195" s="67"/>
      <c r="AE195" s="67"/>
      <c r="AH195" s="186"/>
      <c r="AK195" s="186"/>
    </row>
    <row r="196">
      <c r="A196" s="185"/>
      <c r="B196" s="67"/>
      <c r="C196" s="67"/>
      <c r="D196" s="67"/>
      <c r="E196" s="186"/>
      <c r="F196" s="186"/>
      <c r="G196" s="186"/>
      <c r="H196" s="186"/>
      <c r="I196" s="186"/>
      <c r="J196" s="186"/>
      <c r="K196" s="186"/>
      <c r="L196" s="186"/>
      <c r="M196" s="186"/>
      <c r="N196" s="186"/>
      <c r="O196" s="186"/>
      <c r="P196" s="186"/>
      <c r="Q196" s="186"/>
      <c r="R196" s="186"/>
      <c r="S196" s="67"/>
      <c r="T196" s="67"/>
      <c r="U196" s="67"/>
      <c r="V196" s="187"/>
      <c r="W196" s="186"/>
      <c r="X196" s="187"/>
      <c r="Y196" s="187"/>
      <c r="Z196" s="187"/>
      <c r="AA196" s="186"/>
      <c r="AB196" s="186"/>
      <c r="AC196" s="67"/>
      <c r="AD196" s="67"/>
      <c r="AE196" s="67"/>
      <c r="AH196" s="186"/>
      <c r="AK196" s="186"/>
    </row>
    <row r="197">
      <c r="A197" s="185"/>
      <c r="B197" s="67"/>
      <c r="C197" s="67"/>
      <c r="D197" s="67"/>
      <c r="E197" s="186"/>
      <c r="F197" s="186"/>
      <c r="G197" s="186"/>
      <c r="H197" s="186"/>
      <c r="I197" s="186"/>
      <c r="J197" s="186"/>
      <c r="K197" s="186"/>
      <c r="L197" s="186"/>
      <c r="M197" s="186"/>
      <c r="N197" s="186"/>
      <c r="O197" s="186"/>
      <c r="P197" s="186"/>
      <c r="Q197" s="186"/>
      <c r="R197" s="186"/>
      <c r="S197" s="67"/>
      <c r="T197" s="67"/>
      <c r="U197" s="67"/>
      <c r="V197" s="187"/>
      <c r="W197" s="186"/>
      <c r="X197" s="187"/>
      <c r="Y197" s="187"/>
      <c r="Z197" s="187"/>
      <c r="AA197" s="186"/>
      <c r="AB197" s="186"/>
      <c r="AC197" s="67"/>
      <c r="AD197" s="67"/>
      <c r="AE197" s="67"/>
      <c r="AH197" s="186"/>
      <c r="AK197" s="186"/>
    </row>
    <row r="198">
      <c r="A198" s="185"/>
      <c r="B198" s="67"/>
      <c r="C198" s="67"/>
      <c r="D198" s="67"/>
      <c r="E198" s="186"/>
      <c r="F198" s="186"/>
      <c r="G198" s="186"/>
      <c r="H198" s="186"/>
      <c r="I198" s="186"/>
      <c r="J198" s="186"/>
      <c r="K198" s="186"/>
      <c r="L198" s="186"/>
      <c r="M198" s="186"/>
      <c r="N198" s="186"/>
      <c r="O198" s="186"/>
      <c r="P198" s="186"/>
      <c r="Q198" s="186"/>
      <c r="R198" s="186"/>
      <c r="S198" s="67"/>
      <c r="T198" s="67"/>
      <c r="U198" s="67"/>
      <c r="V198" s="187"/>
      <c r="W198" s="186"/>
      <c r="X198" s="187"/>
      <c r="Y198" s="187"/>
      <c r="Z198" s="187"/>
      <c r="AA198" s="186"/>
      <c r="AB198" s="186"/>
      <c r="AC198" s="67"/>
      <c r="AD198" s="67"/>
      <c r="AE198" s="67"/>
      <c r="AH198" s="186"/>
      <c r="AK198" s="186"/>
    </row>
    <row r="199">
      <c r="A199" s="185"/>
      <c r="B199" s="67"/>
      <c r="C199" s="67"/>
      <c r="D199" s="67"/>
      <c r="E199" s="186"/>
      <c r="F199" s="186"/>
      <c r="G199" s="186"/>
      <c r="H199" s="186"/>
      <c r="I199" s="186"/>
      <c r="J199" s="186"/>
      <c r="K199" s="186"/>
      <c r="L199" s="186"/>
      <c r="M199" s="186"/>
      <c r="N199" s="186"/>
      <c r="O199" s="186"/>
      <c r="P199" s="186"/>
      <c r="Q199" s="186"/>
      <c r="R199" s="186"/>
      <c r="S199" s="67"/>
      <c r="T199" s="67"/>
      <c r="U199" s="67"/>
      <c r="V199" s="187"/>
      <c r="W199" s="186"/>
      <c r="X199" s="187"/>
      <c r="Y199" s="187"/>
      <c r="Z199" s="187"/>
      <c r="AA199" s="186"/>
      <c r="AB199" s="186"/>
      <c r="AC199" s="67"/>
      <c r="AD199" s="67"/>
      <c r="AE199" s="67"/>
      <c r="AH199" s="186"/>
      <c r="AK199" s="186"/>
    </row>
    <row r="200">
      <c r="A200" s="185"/>
      <c r="B200" s="67"/>
      <c r="C200" s="67"/>
      <c r="D200" s="67"/>
      <c r="E200" s="186"/>
      <c r="F200" s="186"/>
      <c r="G200" s="186"/>
      <c r="H200" s="186"/>
      <c r="I200" s="186"/>
      <c r="J200" s="186"/>
      <c r="K200" s="186"/>
      <c r="L200" s="186"/>
      <c r="M200" s="186"/>
      <c r="N200" s="186"/>
      <c r="O200" s="186"/>
      <c r="P200" s="186"/>
      <c r="Q200" s="186"/>
      <c r="R200" s="186"/>
      <c r="S200" s="67"/>
      <c r="T200" s="67"/>
      <c r="U200" s="67"/>
      <c r="V200" s="187"/>
      <c r="W200" s="186"/>
      <c r="X200" s="187"/>
      <c r="Y200" s="187"/>
      <c r="Z200" s="187"/>
      <c r="AA200" s="186"/>
      <c r="AB200" s="186"/>
      <c r="AC200" s="67"/>
      <c r="AD200" s="67"/>
      <c r="AE200" s="67"/>
      <c r="AH200" s="186"/>
      <c r="AK200" s="186"/>
    </row>
    <row r="201">
      <c r="A201" s="185"/>
      <c r="B201" s="67"/>
      <c r="C201" s="67"/>
      <c r="D201" s="67"/>
      <c r="E201" s="186"/>
      <c r="F201" s="186"/>
      <c r="G201" s="186"/>
      <c r="H201" s="186"/>
      <c r="I201" s="186"/>
      <c r="J201" s="186"/>
      <c r="K201" s="186"/>
      <c r="L201" s="186"/>
      <c r="M201" s="186"/>
      <c r="N201" s="186"/>
      <c r="O201" s="186"/>
      <c r="P201" s="186"/>
      <c r="Q201" s="186"/>
      <c r="R201" s="186"/>
      <c r="S201" s="67"/>
      <c r="T201" s="67"/>
      <c r="U201" s="67"/>
      <c r="V201" s="187"/>
      <c r="W201" s="186"/>
      <c r="X201" s="187"/>
      <c r="Y201" s="187"/>
      <c r="Z201" s="187"/>
      <c r="AA201" s="186"/>
      <c r="AB201" s="186"/>
      <c r="AC201" s="67"/>
      <c r="AD201" s="67"/>
      <c r="AE201" s="67"/>
      <c r="AH201" s="186"/>
      <c r="AK201" s="186"/>
    </row>
    <row r="202">
      <c r="A202" s="185"/>
      <c r="B202" s="67"/>
      <c r="C202" s="67"/>
      <c r="D202" s="67"/>
      <c r="E202" s="186"/>
      <c r="F202" s="186"/>
      <c r="G202" s="186"/>
      <c r="H202" s="186"/>
      <c r="I202" s="186"/>
      <c r="J202" s="186"/>
      <c r="K202" s="186"/>
      <c r="L202" s="186"/>
      <c r="M202" s="186"/>
      <c r="N202" s="186"/>
      <c r="O202" s="186"/>
      <c r="P202" s="186"/>
      <c r="Q202" s="186"/>
      <c r="R202" s="186"/>
      <c r="S202" s="67"/>
      <c r="T202" s="67"/>
      <c r="U202" s="67"/>
      <c r="V202" s="187"/>
      <c r="W202" s="186"/>
      <c r="X202" s="187"/>
      <c r="Y202" s="187"/>
      <c r="Z202" s="187"/>
      <c r="AA202" s="186"/>
      <c r="AB202" s="186"/>
      <c r="AC202" s="67"/>
      <c r="AD202" s="67"/>
      <c r="AE202" s="67"/>
      <c r="AH202" s="186"/>
      <c r="AK202" s="186"/>
    </row>
    <row r="203">
      <c r="A203" s="185"/>
      <c r="B203" s="67"/>
      <c r="C203" s="67"/>
      <c r="D203" s="67"/>
      <c r="E203" s="186"/>
      <c r="F203" s="186"/>
      <c r="G203" s="186"/>
      <c r="H203" s="186"/>
      <c r="I203" s="186"/>
      <c r="J203" s="186"/>
      <c r="K203" s="186"/>
      <c r="L203" s="186"/>
      <c r="M203" s="186"/>
      <c r="N203" s="186"/>
      <c r="O203" s="186"/>
      <c r="P203" s="186"/>
      <c r="Q203" s="186"/>
      <c r="R203" s="186"/>
      <c r="S203" s="67"/>
      <c r="T203" s="67"/>
      <c r="U203" s="67"/>
      <c r="V203" s="187"/>
      <c r="W203" s="186"/>
      <c r="X203" s="187"/>
      <c r="Y203" s="187"/>
      <c r="Z203" s="187"/>
      <c r="AA203" s="186"/>
      <c r="AB203" s="186"/>
      <c r="AC203" s="67"/>
      <c r="AD203" s="67"/>
      <c r="AE203" s="67"/>
      <c r="AH203" s="186"/>
      <c r="AK203" s="186"/>
    </row>
    <row r="204">
      <c r="A204" s="185"/>
      <c r="B204" s="67"/>
      <c r="C204" s="67"/>
      <c r="D204" s="67"/>
      <c r="E204" s="186"/>
      <c r="F204" s="186"/>
      <c r="G204" s="186"/>
      <c r="H204" s="186"/>
      <c r="I204" s="186"/>
      <c r="J204" s="186"/>
      <c r="K204" s="186"/>
      <c r="L204" s="186"/>
      <c r="M204" s="186"/>
      <c r="N204" s="186"/>
      <c r="O204" s="186"/>
      <c r="P204" s="186"/>
      <c r="Q204" s="186"/>
      <c r="R204" s="186"/>
      <c r="S204" s="67"/>
      <c r="T204" s="67"/>
      <c r="U204" s="67"/>
      <c r="V204" s="187"/>
      <c r="W204" s="186"/>
      <c r="X204" s="187"/>
      <c r="Y204" s="187"/>
      <c r="Z204" s="187"/>
      <c r="AA204" s="186"/>
      <c r="AB204" s="186"/>
      <c r="AC204" s="67"/>
      <c r="AD204" s="67"/>
      <c r="AE204" s="67"/>
      <c r="AH204" s="186"/>
      <c r="AK204" s="186"/>
    </row>
    <row r="205">
      <c r="A205" s="185"/>
      <c r="B205" s="67"/>
      <c r="C205" s="67"/>
      <c r="D205" s="67"/>
      <c r="E205" s="186"/>
      <c r="F205" s="186"/>
      <c r="G205" s="186"/>
      <c r="H205" s="186"/>
      <c r="I205" s="186"/>
      <c r="J205" s="186"/>
      <c r="K205" s="186"/>
      <c r="L205" s="186"/>
      <c r="M205" s="186"/>
      <c r="N205" s="186"/>
      <c r="O205" s="186"/>
      <c r="P205" s="186"/>
      <c r="Q205" s="186"/>
      <c r="R205" s="186"/>
      <c r="S205" s="67"/>
      <c r="T205" s="67"/>
      <c r="U205" s="67"/>
      <c r="V205" s="187"/>
      <c r="W205" s="186"/>
      <c r="X205" s="187"/>
      <c r="Y205" s="187"/>
      <c r="Z205" s="187"/>
      <c r="AA205" s="186"/>
      <c r="AB205" s="186"/>
      <c r="AC205" s="67"/>
      <c r="AD205" s="67"/>
      <c r="AE205" s="67"/>
      <c r="AH205" s="186"/>
      <c r="AK205" s="186"/>
    </row>
    <row r="206">
      <c r="A206" s="185"/>
      <c r="B206" s="67"/>
      <c r="C206" s="67"/>
      <c r="D206" s="67"/>
      <c r="E206" s="186"/>
      <c r="F206" s="186"/>
      <c r="G206" s="186"/>
      <c r="H206" s="186"/>
      <c r="I206" s="186"/>
      <c r="J206" s="186"/>
      <c r="K206" s="186"/>
      <c r="L206" s="186"/>
      <c r="M206" s="186"/>
      <c r="N206" s="186"/>
      <c r="O206" s="186"/>
      <c r="P206" s="186"/>
      <c r="Q206" s="186"/>
      <c r="R206" s="186"/>
      <c r="S206" s="67"/>
      <c r="T206" s="67"/>
      <c r="U206" s="67"/>
      <c r="V206" s="187"/>
      <c r="W206" s="186"/>
      <c r="X206" s="187"/>
      <c r="Y206" s="187"/>
      <c r="Z206" s="187"/>
      <c r="AA206" s="186"/>
      <c r="AB206" s="186"/>
      <c r="AC206" s="67"/>
      <c r="AD206" s="67"/>
      <c r="AE206" s="67"/>
      <c r="AH206" s="186"/>
      <c r="AK206" s="186"/>
    </row>
    <row r="207">
      <c r="A207" s="185"/>
      <c r="B207" s="67"/>
      <c r="C207" s="67"/>
      <c r="D207" s="67"/>
      <c r="E207" s="186"/>
      <c r="F207" s="186"/>
      <c r="G207" s="186"/>
      <c r="H207" s="186"/>
      <c r="I207" s="186"/>
      <c r="J207" s="186"/>
      <c r="K207" s="186"/>
      <c r="L207" s="186"/>
      <c r="M207" s="186"/>
      <c r="N207" s="186"/>
      <c r="O207" s="186"/>
      <c r="P207" s="186"/>
      <c r="Q207" s="186"/>
      <c r="R207" s="186"/>
      <c r="S207" s="67"/>
      <c r="T207" s="67"/>
      <c r="U207" s="67"/>
      <c r="V207" s="187"/>
      <c r="W207" s="186"/>
      <c r="X207" s="187"/>
      <c r="Y207" s="187"/>
      <c r="Z207" s="187"/>
      <c r="AA207" s="186"/>
      <c r="AB207" s="186"/>
      <c r="AC207" s="67"/>
      <c r="AD207" s="67"/>
      <c r="AE207" s="67"/>
      <c r="AH207" s="186"/>
      <c r="AK207" s="186"/>
    </row>
    <row r="208">
      <c r="A208" s="185"/>
      <c r="B208" s="67"/>
      <c r="C208" s="67"/>
      <c r="D208" s="67"/>
      <c r="E208" s="186"/>
      <c r="F208" s="186"/>
      <c r="G208" s="186"/>
      <c r="H208" s="186"/>
      <c r="I208" s="186"/>
      <c r="J208" s="186"/>
      <c r="K208" s="186"/>
      <c r="L208" s="186"/>
      <c r="M208" s="186"/>
      <c r="N208" s="186"/>
      <c r="O208" s="186"/>
      <c r="P208" s="186"/>
      <c r="Q208" s="186"/>
      <c r="R208" s="186"/>
      <c r="S208" s="67"/>
      <c r="T208" s="67"/>
      <c r="U208" s="67"/>
      <c r="V208" s="187"/>
      <c r="W208" s="186"/>
      <c r="X208" s="187"/>
      <c r="Y208" s="187"/>
      <c r="Z208" s="187"/>
      <c r="AA208" s="186"/>
      <c r="AB208" s="186"/>
      <c r="AC208" s="67"/>
      <c r="AD208" s="67"/>
      <c r="AE208" s="67"/>
      <c r="AH208" s="186"/>
      <c r="AK208" s="186"/>
    </row>
    <row r="209">
      <c r="A209" s="185"/>
      <c r="B209" s="67"/>
      <c r="C209" s="67"/>
      <c r="D209" s="67"/>
      <c r="E209" s="186"/>
      <c r="F209" s="186"/>
      <c r="G209" s="186"/>
      <c r="H209" s="186"/>
      <c r="I209" s="186"/>
      <c r="J209" s="186"/>
      <c r="K209" s="186"/>
      <c r="L209" s="186"/>
      <c r="M209" s="186"/>
      <c r="N209" s="186"/>
      <c r="O209" s="186"/>
      <c r="P209" s="186"/>
      <c r="Q209" s="186"/>
      <c r="R209" s="186"/>
      <c r="S209" s="67"/>
      <c r="T209" s="67"/>
      <c r="U209" s="67"/>
      <c r="V209" s="187"/>
      <c r="W209" s="186"/>
      <c r="X209" s="187"/>
      <c r="Y209" s="187"/>
      <c r="Z209" s="187"/>
      <c r="AA209" s="186"/>
      <c r="AB209" s="186"/>
      <c r="AC209" s="67"/>
      <c r="AD209" s="67"/>
      <c r="AE209" s="67"/>
      <c r="AH209" s="186"/>
      <c r="AK209" s="186"/>
    </row>
    <row r="210">
      <c r="A210" s="185"/>
      <c r="B210" s="67"/>
      <c r="C210" s="67"/>
      <c r="D210" s="67"/>
      <c r="E210" s="186"/>
      <c r="F210" s="186"/>
      <c r="G210" s="186"/>
      <c r="H210" s="186"/>
      <c r="I210" s="186"/>
      <c r="J210" s="186"/>
      <c r="K210" s="186"/>
      <c r="L210" s="186"/>
      <c r="M210" s="186"/>
      <c r="N210" s="186"/>
      <c r="O210" s="186"/>
      <c r="P210" s="186"/>
      <c r="Q210" s="186"/>
      <c r="R210" s="186"/>
      <c r="S210" s="67"/>
      <c r="T210" s="67"/>
      <c r="U210" s="67"/>
      <c r="V210" s="187"/>
      <c r="W210" s="186"/>
      <c r="X210" s="187"/>
      <c r="Y210" s="187"/>
      <c r="Z210" s="187"/>
      <c r="AA210" s="186"/>
      <c r="AB210" s="186"/>
      <c r="AC210" s="67"/>
      <c r="AD210" s="67"/>
      <c r="AE210" s="67"/>
      <c r="AH210" s="186"/>
      <c r="AK210" s="186"/>
    </row>
    <row r="211">
      <c r="A211" s="185"/>
      <c r="B211" s="67"/>
      <c r="C211" s="67"/>
      <c r="D211" s="67"/>
      <c r="E211" s="186"/>
      <c r="F211" s="186"/>
      <c r="G211" s="186"/>
      <c r="H211" s="186"/>
      <c r="I211" s="186"/>
      <c r="J211" s="186"/>
      <c r="K211" s="186"/>
      <c r="L211" s="186"/>
      <c r="M211" s="186"/>
      <c r="N211" s="186"/>
      <c r="O211" s="186"/>
      <c r="P211" s="186"/>
      <c r="Q211" s="186"/>
      <c r="R211" s="186"/>
      <c r="S211" s="67"/>
      <c r="T211" s="67"/>
      <c r="U211" s="67"/>
      <c r="V211" s="187"/>
      <c r="W211" s="186"/>
      <c r="X211" s="187"/>
      <c r="Y211" s="187"/>
      <c r="Z211" s="187"/>
      <c r="AA211" s="186"/>
      <c r="AB211" s="186"/>
      <c r="AC211" s="67"/>
      <c r="AD211" s="67"/>
      <c r="AE211" s="67"/>
      <c r="AH211" s="186"/>
      <c r="AK211" s="186"/>
    </row>
    <row r="212">
      <c r="A212" s="185"/>
      <c r="B212" s="67"/>
      <c r="C212" s="67"/>
      <c r="D212" s="67"/>
      <c r="E212" s="186"/>
      <c r="F212" s="186"/>
      <c r="G212" s="186"/>
      <c r="H212" s="186"/>
      <c r="I212" s="186"/>
      <c r="J212" s="186"/>
      <c r="K212" s="186"/>
      <c r="L212" s="186"/>
      <c r="M212" s="186"/>
      <c r="N212" s="186"/>
      <c r="O212" s="186"/>
      <c r="P212" s="186"/>
      <c r="Q212" s="186"/>
      <c r="R212" s="186"/>
      <c r="S212" s="67"/>
      <c r="T212" s="67"/>
      <c r="U212" s="67"/>
      <c r="V212" s="187"/>
      <c r="W212" s="186"/>
      <c r="X212" s="187"/>
      <c r="Y212" s="187"/>
      <c r="Z212" s="187"/>
      <c r="AA212" s="186"/>
      <c r="AB212" s="186"/>
      <c r="AC212" s="67"/>
      <c r="AD212" s="67"/>
      <c r="AE212" s="67"/>
      <c r="AH212" s="186"/>
      <c r="AK212" s="186"/>
    </row>
    <row r="213">
      <c r="A213" s="185"/>
      <c r="B213" s="67"/>
      <c r="C213" s="67"/>
      <c r="D213" s="67"/>
      <c r="E213" s="186"/>
      <c r="F213" s="186"/>
      <c r="G213" s="186"/>
      <c r="H213" s="186"/>
      <c r="I213" s="186"/>
      <c r="J213" s="186"/>
      <c r="K213" s="186"/>
      <c r="L213" s="186"/>
      <c r="M213" s="186"/>
      <c r="N213" s="186"/>
      <c r="O213" s="186"/>
      <c r="P213" s="186"/>
      <c r="Q213" s="186"/>
      <c r="R213" s="186"/>
      <c r="S213" s="67"/>
      <c r="T213" s="67"/>
      <c r="U213" s="67"/>
      <c r="V213" s="187"/>
      <c r="W213" s="186"/>
      <c r="X213" s="187"/>
      <c r="Y213" s="187"/>
      <c r="Z213" s="187"/>
      <c r="AA213" s="186"/>
      <c r="AB213" s="186"/>
      <c r="AC213" s="67"/>
      <c r="AD213" s="67"/>
      <c r="AE213" s="67"/>
      <c r="AH213" s="186"/>
      <c r="AK213" s="186"/>
    </row>
    <row r="214">
      <c r="A214" s="185"/>
      <c r="B214" s="67"/>
      <c r="C214" s="67"/>
      <c r="D214" s="67"/>
      <c r="E214" s="186"/>
      <c r="F214" s="186"/>
      <c r="G214" s="186"/>
      <c r="H214" s="186"/>
      <c r="I214" s="186"/>
      <c r="J214" s="186"/>
      <c r="K214" s="186"/>
      <c r="L214" s="186"/>
      <c r="M214" s="186"/>
      <c r="N214" s="186"/>
      <c r="O214" s="186"/>
      <c r="P214" s="186"/>
      <c r="Q214" s="186"/>
      <c r="R214" s="186"/>
      <c r="S214" s="67"/>
      <c r="T214" s="67"/>
      <c r="U214" s="67"/>
      <c r="V214" s="187"/>
      <c r="W214" s="186"/>
      <c r="X214" s="187"/>
      <c r="Y214" s="187"/>
      <c r="Z214" s="187"/>
      <c r="AA214" s="186"/>
      <c r="AB214" s="186"/>
      <c r="AC214" s="67"/>
      <c r="AD214" s="67"/>
      <c r="AE214" s="67"/>
      <c r="AH214" s="186"/>
      <c r="AK214" s="186"/>
    </row>
    <row r="215">
      <c r="A215" s="185"/>
      <c r="B215" s="67"/>
      <c r="C215" s="67"/>
      <c r="D215" s="67"/>
      <c r="E215" s="186"/>
      <c r="F215" s="186"/>
      <c r="G215" s="186"/>
      <c r="H215" s="186"/>
      <c r="I215" s="186"/>
      <c r="J215" s="186"/>
      <c r="K215" s="186"/>
      <c r="L215" s="186"/>
      <c r="M215" s="186"/>
      <c r="N215" s="186"/>
      <c r="O215" s="186"/>
      <c r="P215" s="186"/>
      <c r="Q215" s="186"/>
      <c r="R215" s="186"/>
      <c r="S215" s="67"/>
      <c r="T215" s="67"/>
      <c r="U215" s="67"/>
      <c r="V215" s="187"/>
      <c r="W215" s="186"/>
      <c r="X215" s="187"/>
      <c r="Y215" s="187"/>
      <c r="Z215" s="187"/>
      <c r="AA215" s="186"/>
      <c r="AB215" s="186"/>
      <c r="AC215" s="67"/>
      <c r="AD215" s="67"/>
      <c r="AE215" s="67"/>
      <c r="AH215" s="186"/>
      <c r="AK215" s="186"/>
    </row>
    <row r="216">
      <c r="A216" s="185"/>
      <c r="B216" s="67"/>
      <c r="C216" s="67"/>
      <c r="D216" s="67"/>
      <c r="E216" s="186"/>
      <c r="F216" s="186"/>
      <c r="G216" s="186"/>
      <c r="H216" s="186"/>
      <c r="I216" s="186"/>
      <c r="J216" s="186"/>
      <c r="K216" s="186"/>
      <c r="L216" s="186"/>
      <c r="M216" s="186"/>
      <c r="N216" s="186"/>
      <c r="O216" s="186"/>
      <c r="P216" s="186"/>
      <c r="Q216" s="186"/>
      <c r="R216" s="186"/>
      <c r="S216" s="67"/>
      <c r="T216" s="67"/>
      <c r="U216" s="67"/>
      <c r="V216" s="187"/>
      <c r="W216" s="186"/>
      <c r="X216" s="187"/>
      <c r="Y216" s="187"/>
      <c r="Z216" s="187"/>
      <c r="AA216" s="186"/>
      <c r="AB216" s="186"/>
      <c r="AC216" s="67"/>
      <c r="AD216" s="67"/>
      <c r="AE216" s="67"/>
      <c r="AH216" s="186"/>
      <c r="AK216" s="186"/>
    </row>
    <row r="217">
      <c r="A217" s="185"/>
      <c r="B217" s="67"/>
      <c r="C217" s="67"/>
      <c r="D217" s="67"/>
      <c r="E217" s="186"/>
      <c r="F217" s="186"/>
      <c r="G217" s="186"/>
      <c r="H217" s="186"/>
      <c r="I217" s="186"/>
      <c r="J217" s="186"/>
      <c r="K217" s="186"/>
      <c r="L217" s="186"/>
      <c r="M217" s="186"/>
      <c r="N217" s="186"/>
      <c r="O217" s="186"/>
      <c r="P217" s="186"/>
      <c r="Q217" s="186"/>
      <c r="R217" s="186"/>
      <c r="S217" s="67"/>
      <c r="T217" s="67"/>
      <c r="U217" s="67"/>
      <c r="V217" s="187"/>
      <c r="W217" s="186"/>
      <c r="X217" s="187"/>
      <c r="Y217" s="187"/>
      <c r="Z217" s="187"/>
      <c r="AA217" s="186"/>
      <c r="AB217" s="186"/>
      <c r="AC217" s="67"/>
      <c r="AD217" s="67"/>
      <c r="AE217" s="67"/>
      <c r="AH217" s="186"/>
      <c r="AK217" s="186"/>
    </row>
    <row r="218">
      <c r="A218" s="185"/>
      <c r="B218" s="67"/>
      <c r="C218" s="67"/>
      <c r="D218" s="67"/>
      <c r="E218" s="186"/>
      <c r="F218" s="186"/>
      <c r="G218" s="186"/>
      <c r="H218" s="186"/>
      <c r="I218" s="186"/>
      <c r="J218" s="186"/>
      <c r="K218" s="186"/>
      <c r="L218" s="186"/>
      <c r="M218" s="186"/>
      <c r="N218" s="186"/>
      <c r="O218" s="186"/>
      <c r="P218" s="186"/>
      <c r="Q218" s="186"/>
      <c r="R218" s="186"/>
      <c r="S218" s="67"/>
      <c r="T218" s="67"/>
      <c r="U218" s="67"/>
      <c r="V218" s="187"/>
      <c r="W218" s="186"/>
      <c r="X218" s="187"/>
      <c r="Y218" s="187"/>
      <c r="Z218" s="187"/>
      <c r="AA218" s="186"/>
      <c r="AB218" s="186"/>
      <c r="AC218" s="67"/>
      <c r="AD218" s="67"/>
      <c r="AE218" s="67"/>
      <c r="AH218" s="186"/>
      <c r="AK218" s="186"/>
    </row>
    <row r="219">
      <c r="A219" s="185"/>
      <c r="B219" s="67"/>
      <c r="C219" s="67"/>
      <c r="D219" s="67"/>
      <c r="E219" s="186"/>
      <c r="F219" s="186"/>
      <c r="G219" s="186"/>
      <c r="H219" s="186"/>
      <c r="I219" s="186"/>
      <c r="J219" s="186"/>
      <c r="K219" s="186"/>
      <c r="L219" s="186"/>
      <c r="M219" s="186"/>
      <c r="N219" s="186"/>
      <c r="O219" s="186"/>
      <c r="P219" s="186"/>
      <c r="Q219" s="186"/>
      <c r="R219" s="186"/>
      <c r="S219" s="67"/>
      <c r="T219" s="67"/>
      <c r="U219" s="67"/>
      <c r="V219" s="187"/>
      <c r="W219" s="186"/>
      <c r="X219" s="187"/>
      <c r="Y219" s="187"/>
      <c r="Z219" s="187"/>
      <c r="AA219" s="186"/>
      <c r="AB219" s="186"/>
      <c r="AC219" s="67"/>
      <c r="AD219" s="67"/>
      <c r="AE219" s="67"/>
      <c r="AH219" s="186"/>
      <c r="AK219" s="186"/>
    </row>
    <row r="220">
      <c r="A220" s="185"/>
      <c r="B220" s="67"/>
      <c r="C220" s="67"/>
      <c r="D220" s="67"/>
      <c r="E220" s="186"/>
      <c r="F220" s="186"/>
      <c r="G220" s="186"/>
      <c r="H220" s="186"/>
      <c r="I220" s="186"/>
      <c r="J220" s="186"/>
      <c r="K220" s="186"/>
      <c r="L220" s="186"/>
      <c r="M220" s="186"/>
      <c r="N220" s="186"/>
      <c r="O220" s="186"/>
      <c r="P220" s="186"/>
      <c r="Q220" s="186"/>
      <c r="R220" s="186"/>
      <c r="S220" s="67"/>
      <c r="T220" s="67"/>
      <c r="U220" s="67"/>
      <c r="V220" s="187"/>
      <c r="W220" s="186"/>
      <c r="X220" s="187"/>
      <c r="Y220" s="187"/>
      <c r="Z220" s="187"/>
      <c r="AA220" s="186"/>
      <c r="AB220" s="186"/>
      <c r="AC220" s="67"/>
      <c r="AD220" s="67"/>
      <c r="AE220" s="67"/>
      <c r="AH220" s="186"/>
      <c r="AK220" s="186"/>
    </row>
    <row r="221">
      <c r="A221" s="185"/>
      <c r="B221" s="67"/>
      <c r="C221" s="67"/>
      <c r="D221" s="67"/>
      <c r="E221" s="186"/>
      <c r="F221" s="186"/>
      <c r="G221" s="186"/>
      <c r="H221" s="186"/>
      <c r="I221" s="186"/>
      <c r="J221" s="186"/>
      <c r="K221" s="186"/>
      <c r="L221" s="186"/>
      <c r="M221" s="186"/>
      <c r="N221" s="186"/>
      <c r="O221" s="186"/>
      <c r="P221" s="186"/>
      <c r="Q221" s="186"/>
      <c r="R221" s="186"/>
      <c r="S221" s="67"/>
      <c r="T221" s="67"/>
      <c r="U221" s="67"/>
      <c r="V221" s="187"/>
      <c r="W221" s="186"/>
      <c r="X221" s="187"/>
      <c r="Y221" s="187"/>
      <c r="Z221" s="187"/>
      <c r="AA221" s="186"/>
      <c r="AB221" s="186"/>
      <c r="AC221" s="67"/>
      <c r="AD221" s="67"/>
      <c r="AE221" s="67"/>
      <c r="AH221" s="186"/>
      <c r="AK221" s="186"/>
    </row>
    <row r="222">
      <c r="A222" s="185"/>
      <c r="B222" s="67"/>
      <c r="C222" s="67"/>
      <c r="D222" s="67"/>
      <c r="E222" s="186"/>
      <c r="F222" s="186"/>
      <c r="G222" s="186"/>
      <c r="H222" s="186"/>
      <c r="I222" s="186"/>
      <c r="J222" s="186"/>
      <c r="K222" s="186"/>
      <c r="L222" s="186"/>
      <c r="M222" s="186"/>
      <c r="N222" s="186"/>
      <c r="O222" s="186"/>
      <c r="P222" s="186"/>
      <c r="Q222" s="186"/>
      <c r="R222" s="186"/>
      <c r="S222" s="67"/>
      <c r="T222" s="67"/>
      <c r="U222" s="67"/>
      <c r="V222" s="187"/>
      <c r="W222" s="186"/>
      <c r="X222" s="187"/>
      <c r="Y222" s="187"/>
      <c r="Z222" s="187"/>
      <c r="AA222" s="186"/>
      <c r="AB222" s="186"/>
      <c r="AC222" s="67"/>
      <c r="AD222" s="67"/>
      <c r="AE222" s="67"/>
      <c r="AH222" s="186"/>
      <c r="AK222" s="186"/>
    </row>
    <row r="223">
      <c r="A223" s="185"/>
      <c r="B223" s="67"/>
      <c r="C223" s="67"/>
      <c r="D223" s="67"/>
      <c r="E223" s="186"/>
      <c r="F223" s="186"/>
      <c r="G223" s="186"/>
      <c r="H223" s="186"/>
      <c r="I223" s="186"/>
      <c r="J223" s="186"/>
      <c r="K223" s="186"/>
      <c r="L223" s="186"/>
      <c r="M223" s="186"/>
      <c r="N223" s="186"/>
      <c r="O223" s="186"/>
      <c r="P223" s="186"/>
      <c r="Q223" s="186"/>
      <c r="R223" s="186"/>
      <c r="S223" s="67"/>
      <c r="T223" s="67"/>
      <c r="U223" s="67"/>
      <c r="V223" s="187"/>
      <c r="W223" s="186"/>
      <c r="X223" s="187"/>
      <c r="Y223" s="187"/>
      <c r="Z223" s="187"/>
      <c r="AA223" s="186"/>
      <c r="AB223" s="186"/>
      <c r="AC223" s="67"/>
      <c r="AD223" s="67"/>
      <c r="AE223" s="67"/>
      <c r="AH223" s="186"/>
      <c r="AK223" s="186"/>
    </row>
    <row r="224">
      <c r="A224" s="185"/>
      <c r="B224" s="67"/>
      <c r="C224" s="67"/>
      <c r="D224" s="67"/>
      <c r="E224" s="186"/>
      <c r="F224" s="186"/>
      <c r="G224" s="186"/>
      <c r="H224" s="186"/>
      <c r="I224" s="186"/>
      <c r="J224" s="186"/>
      <c r="K224" s="186"/>
      <c r="L224" s="186"/>
      <c r="M224" s="186"/>
      <c r="N224" s="186"/>
      <c r="O224" s="186"/>
      <c r="P224" s="186"/>
      <c r="Q224" s="186"/>
      <c r="R224" s="186"/>
      <c r="S224" s="67"/>
      <c r="T224" s="67"/>
      <c r="U224" s="67"/>
      <c r="V224" s="187"/>
      <c r="W224" s="186"/>
      <c r="X224" s="187"/>
      <c r="Y224" s="187"/>
      <c r="Z224" s="187"/>
      <c r="AA224" s="186"/>
      <c r="AB224" s="186"/>
      <c r="AC224" s="67"/>
      <c r="AD224" s="67"/>
      <c r="AE224" s="67"/>
      <c r="AH224" s="186"/>
      <c r="AK224" s="186"/>
    </row>
    <row r="225">
      <c r="A225" s="185"/>
      <c r="B225" s="67"/>
      <c r="C225" s="67"/>
      <c r="D225" s="67"/>
      <c r="E225" s="186"/>
      <c r="F225" s="186"/>
      <c r="G225" s="186"/>
      <c r="H225" s="186"/>
      <c r="I225" s="186"/>
      <c r="J225" s="186"/>
      <c r="K225" s="186"/>
      <c r="L225" s="186"/>
      <c r="M225" s="186"/>
      <c r="N225" s="186"/>
      <c r="O225" s="186"/>
      <c r="P225" s="186"/>
      <c r="Q225" s="186"/>
      <c r="R225" s="186"/>
      <c r="S225" s="67"/>
      <c r="T225" s="67"/>
      <c r="U225" s="67"/>
      <c r="V225" s="187"/>
      <c r="W225" s="186"/>
      <c r="X225" s="187"/>
      <c r="Y225" s="187"/>
      <c r="Z225" s="187"/>
      <c r="AA225" s="186"/>
      <c r="AB225" s="186"/>
      <c r="AC225" s="67"/>
      <c r="AD225" s="67"/>
      <c r="AE225" s="67"/>
      <c r="AH225" s="186"/>
      <c r="AK225" s="186"/>
    </row>
    <row r="226">
      <c r="A226" s="185"/>
      <c r="B226" s="67"/>
      <c r="C226" s="67"/>
      <c r="D226" s="67"/>
      <c r="E226" s="186"/>
      <c r="F226" s="186"/>
      <c r="G226" s="186"/>
      <c r="H226" s="186"/>
      <c r="I226" s="186"/>
      <c r="J226" s="186"/>
      <c r="K226" s="186"/>
      <c r="L226" s="186"/>
      <c r="M226" s="186"/>
      <c r="N226" s="186"/>
      <c r="O226" s="186"/>
      <c r="P226" s="186"/>
      <c r="Q226" s="186"/>
      <c r="R226" s="186"/>
      <c r="S226" s="67"/>
      <c r="T226" s="67"/>
      <c r="U226" s="67"/>
      <c r="V226" s="187"/>
      <c r="W226" s="186"/>
      <c r="X226" s="187"/>
      <c r="Y226" s="187"/>
      <c r="Z226" s="187"/>
      <c r="AA226" s="186"/>
      <c r="AB226" s="186"/>
      <c r="AC226" s="67"/>
      <c r="AD226" s="67"/>
      <c r="AE226" s="67"/>
      <c r="AH226" s="186"/>
      <c r="AK226" s="186"/>
    </row>
    <row r="227">
      <c r="A227" s="185"/>
      <c r="B227" s="67"/>
      <c r="C227" s="67"/>
      <c r="D227" s="67"/>
      <c r="E227" s="186"/>
      <c r="F227" s="186"/>
      <c r="G227" s="186"/>
      <c r="H227" s="186"/>
      <c r="I227" s="186"/>
      <c r="J227" s="186"/>
      <c r="K227" s="186"/>
      <c r="L227" s="186"/>
      <c r="M227" s="186"/>
      <c r="N227" s="186"/>
      <c r="O227" s="186"/>
      <c r="P227" s="186"/>
      <c r="Q227" s="186"/>
      <c r="R227" s="186"/>
      <c r="S227" s="67"/>
      <c r="T227" s="67"/>
      <c r="U227" s="67"/>
      <c r="V227" s="187"/>
      <c r="W227" s="186"/>
      <c r="X227" s="187"/>
      <c r="Y227" s="187"/>
      <c r="Z227" s="187"/>
      <c r="AA227" s="186"/>
      <c r="AB227" s="186"/>
      <c r="AC227" s="67"/>
      <c r="AD227" s="67"/>
      <c r="AE227" s="67"/>
      <c r="AH227" s="186"/>
      <c r="AK227" s="186"/>
    </row>
    <row r="228">
      <c r="A228" s="185"/>
      <c r="B228" s="67"/>
      <c r="C228" s="67"/>
      <c r="D228" s="67"/>
      <c r="E228" s="186"/>
      <c r="F228" s="186"/>
      <c r="G228" s="186"/>
      <c r="H228" s="186"/>
      <c r="I228" s="186"/>
      <c r="J228" s="186"/>
      <c r="K228" s="186"/>
      <c r="L228" s="186"/>
      <c r="M228" s="186"/>
      <c r="N228" s="186"/>
      <c r="O228" s="186"/>
      <c r="P228" s="186"/>
      <c r="Q228" s="186"/>
      <c r="R228" s="186"/>
      <c r="S228" s="67"/>
      <c r="T228" s="67"/>
      <c r="U228" s="67"/>
      <c r="V228" s="187"/>
      <c r="W228" s="186"/>
      <c r="X228" s="187"/>
      <c r="Y228" s="187"/>
      <c r="Z228" s="187"/>
      <c r="AA228" s="186"/>
      <c r="AB228" s="186"/>
      <c r="AC228" s="67"/>
      <c r="AD228" s="67"/>
      <c r="AE228" s="67"/>
      <c r="AH228" s="186"/>
      <c r="AK228" s="186"/>
    </row>
    <row r="229">
      <c r="A229" s="185"/>
      <c r="B229" s="67"/>
      <c r="C229" s="67"/>
      <c r="D229" s="67"/>
      <c r="E229" s="186"/>
      <c r="F229" s="186"/>
      <c r="G229" s="186"/>
      <c r="H229" s="186"/>
      <c r="I229" s="186"/>
      <c r="J229" s="186"/>
      <c r="K229" s="186"/>
      <c r="L229" s="186"/>
      <c r="M229" s="186"/>
      <c r="N229" s="186"/>
      <c r="O229" s="186"/>
      <c r="P229" s="186"/>
      <c r="Q229" s="186"/>
      <c r="R229" s="186"/>
      <c r="S229" s="67"/>
      <c r="T229" s="67"/>
      <c r="U229" s="67"/>
      <c r="V229" s="187"/>
      <c r="W229" s="186"/>
      <c r="X229" s="187"/>
      <c r="Y229" s="187"/>
      <c r="Z229" s="187"/>
      <c r="AA229" s="186"/>
      <c r="AB229" s="186"/>
      <c r="AC229" s="67"/>
      <c r="AD229" s="67"/>
      <c r="AE229" s="67"/>
      <c r="AH229" s="186"/>
      <c r="AK229" s="186"/>
    </row>
    <row r="230">
      <c r="A230" s="185"/>
      <c r="B230" s="67"/>
      <c r="C230" s="67"/>
      <c r="D230" s="67"/>
      <c r="E230" s="186"/>
      <c r="F230" s="186"/>
      <c r="G230" s="186"/>
      <c r="H230" s="186"/>
      <c r="I230" s="186"/>
      <c r="J230" s="186"/>
      <c r="K230" s="186"/>
      <c r="L230" s="186"/>
      <c r="M230" s="186"/>
      <c r="N230" s="186"/>
      <c r="O230" s="186"/>
      <c r="P230" s="186"/>
      <c r="Q230" s="186"/>
      <c r="R230" s="186"/>
      <c r="S230" s="67"/>
      <c r="T230" s="67"/>
      <c r="U230" s="67"/>
      <c r="V230" s="187"/>
      <c r="W230" s="186"/>
      <c r="X230" s="187"/>
      <c r="Y230" s="187"/>
      <c r="Z230" s="187"/>
      <c r="AA230" s="186"/>
      <c r="AB230" s="186"/>
      <c r="AC230" s="67"/>
      <c r="AD230" s="67"/>
      <c r="AE230" s="67"/>
      <c r="AH230" s="186"/>
      <c r="AK230" s="186"/>
    </row>
    <row r="231">
      <c r="A231" s="185"/>
      <c r="B231" s="67"/>
      <c r="C231" s="67"/>
      <c r="D231" s="67"/>
      <c r="E231" s="186"/>
      <c r="F231" s="186"/>
      <c r="G231" s="186"/>
      <c r="H231" s="186"/>
      <c r="I231" s="186"/>
      <c r="J231" s="186"/>
      <c r="K231" s="186"/>
      <c r="L231" s="186"/>
      <c r="M231" s="186"/>
      <c r="N231" s="186"/>
      <c r="O231" s="186"/>
      <c r="P231" s="186"/>
      <c r="Q231" s="186"/>
      <c r="R231" s="186"/>
      <c r="S231" s="67"/>
      <c r="T231" s="67"/>
      <c r="U231" s="67"/>
      <c r="V231" s="187"/>
      <c r="W231" s="186"/>
      <c r="X231" s="187"/>
      <c r="Y231" s="187"/>
      <c r="Z231" s="187"/>
      <c r="AA231" s="186"/>
      <c r="AB231" s="186"/>
      <c r="AC231" s="67"/>
      <c r="AD231" s="67"/>
      <c r="AE231" s="67"/>
      <c r="AH231" s="186"/>
      <c r="AK231" s="186"/>
    </row>
    <row r="232">
      <c r="A232" s="185"/>
      <c r="B232" s="67"/>
      <c r="C232" s="67"/>
      <c r="D232" s="67"/>
      <c r="E232" s="186"/>
      <c r="F232" s="186"/>
      <c r="G232" s="186"/>
      <c r="H232" s="186"/>
      <c r="I232" s="186"/>
      <c r="J232" s="186"/>
      <c r="K232" s="186"/>
      <c r="L232" s="186"/>
      <c r="M232" s="186"/>
      <c r="N232" s="186"/>
      <c r="O232" s="186"/>
      <c r="P232" s="186"/>
      <c r="Q232" s="186"/>
      <c r="R232" s="186"/>
      <c r="S232" s="67"/>
      <c r="T232" s="67"/>
      <c r="U232" s="67"/>
      <c r="V232" s="187"/>
      <c r="W232" s="186"/>
      <c r="X232" s="187"/>
      <c r="Y232" s="187"/>
      <c r="Z232" s="187"/>
      <c r="AA232" s="186"/>
      <c r="AB232" s="186"/>
      <c r="AC232" s="67"/>
      <c r="AD232" s="67"/>
      <c r="AE232" s="67"/>
      <c r="AH232" s="186"/>
      <c r="AK232" s="186"/>
    </row>
    <row r="233">
      <c r="A233" s="185"/>
      <c r="B233" s="67"/>
      <c r="C233" s="67"/>
      <c r="D233" s="67"/>
      <c r="E233" s="186"/>
      <c r="F233" s="186"/>
      <c r="G233" s="186"/>
      <c r="H233" s="186"/>
      <c r="I233" s="186"/>
      <c r="J233" s="186"/>
      <c r="K233" s="186"/>
      <c r="L233" s="186"/>
      <c r="M233" s="186"/>
      <c r="N233" s="186"/>
      <c r="O233" s="186"/>
      <c r="P233" s="186"/>
      <c r="Q233" s="186"/>
      <c r="R233" s="186"/>
      <c r="S233" s="67"/>
      <c r="T233" s="67"/>
      <c r="U233" s="67"/>
      <c r="V233" s="187"/>
      <c r="W233" s="186"/>
      <c r="X233" s="187"/>
      <c r="Y233" s="187"/>
      <c r="Z233" s="187"/>
      <c r="AA233" s="186"/>
      <c r="AB233" s="186"/>
      <c r="AC233" s="67"/>
      <c r="AD233" s="67"/>
      <c r="AE233" s="67"/>
      <c r="AH233" s="186"/>
      <c r="AK233" s="186"/>
    </row>
    <row r="234">
      <c r="A234" s="185"/>
      <c r="B234" s="67"/>
      <c r="C234" s="67"/>
      <c r="D234" s="67"/>
      <c r="E234" s="186"/>
      <c r="F234" s="186"/>
      <c r="G234" s="186"/>
      <c r="H234" s="186"/>
      <c r="I234" s="186"/>
      <c r="J234" s="186"/>
      <c r="K234" s="186"/>
      <c r="L234" s="186"/>
      <c r="M234" s="186"/>
      <c r="N234" s="186"/>
      <c r="O234" s="186"/>
      <c r="P234" s="186"/>
      <c r="Q234" s="186"/>
      <c r="R234" s="186"/>
      <c r="S234" s="67"/>
      <c r="T234" s="67"/>
      <c r="U234" s="67"/>
      <c r="V234" s="187"/>
      <c r="W234" s="186"/>
      <c r="X234" s="187"/>
      <c r="Y234" s="187"/>
      <c r="Z234" s="187"/>
      <c r="AA234" s="186"/>
      <c r="AB234" s="186"/>
      <c r="AC234" s="67"/>
      <c r="AD234" s="67"/>
      <c r="AE234" s="67"/>
      <c r="AH234" s="186"/>
      <c r="AK234" s="186"/>
    </row>
    <row r="235">
      <c r="A235" s="185"/>
      <c r="B235" s="67"/>
      <c r="C235" s="67"/>
      <c r="D235" s="67"/>
      <c r="E235" s="186"/>
      <c r="F235" s="186"/>
      <c r="G235" s="186"/>
      <c r="H235" s="186"/>
      <c r="I235" s="186"/>
      <c r="J235" s="186"/>
      <c r="K235" s="186"/>
      <c r="L235" s="186"/>
      <c r="M235" s="186"/>
      <c r="N235" s="186"/>
      <c r="O235" s="186"/>
      <c r="P235" s="186"/>
      <c r="Q235" s="186"/>
      <c r="R235" s="186"/>
      <c r="S235" s="67"/>
      <c r="T235" s="67"/>
      <c r="U235" s="67"/>
      <c r="V235" s="187"/>
      <c r="W235" s="186"/>
      <c r="X235" s="187"/>
      <c r="Y235" s="187"/>
      <c r="Z235" s="187"/>
      <c r="AA235" s="186"/>
      <c r="AB235" s="186"/>
      <c r="AC235" s="67"/>
      <c r="AD235" s="67"/>
      <c r="AE235" s="67"/>
      <c r="AH235" s="186"/>
      <c r="AK235" s="186"/>
    </row>
    <row r="236">
      <c r="A236" s="185"/>
      <c r="B236" s="67"/>
      <c r="C236" s="67"/>
      <c r="D236" s="67"/>
      <c r="E236" s="186"/>
      <c r="F236" s="186"/>
      <c r="G236" s="186"/>
      <c r="H236" s="186"/>
      <c r="I236" s="186"/>
      <c r="J236" s="186"/>
      <c r="K236" s="186"/>
      <c r="L236" s="186"/>
      <c r="M236" s="186"/>
      <c r="N236" s="186"/>
      <c r="O236" s="186"/>
      <c r="P236" s="186"/>
      <c r="Q236" s="186"/>
      <c r="R236" s="186"/>
      <c r="S236" s="67"/>
      <c r="T236" s="67"/>
      <c r="U236" s="67"/>
      <c r="V236" s="187"/>
      <c r="W236" s="186"/>
      <c r="X236" s="187"/>
      <c r="Y236" s="187"/>
      <c r="Z236" s="187"/>
      <c r="AA236" s="186"/>
      <c r="AB236" s="186"/>
      <c r="AC236" s="67"/>
      <c r="AD236" s="67"/>
      <c r="AE236" s="67"/>
      <c r="AH236" s="186"/>
      <c r="AK236" s="186"/>
    </row>
    <row r="237">
      <c r="A237" s="185"/>
      <c r="B237" s="67"/>
      <c r="C237" s="67"/>
      <c r="D237" s="67"/>
      <c r="E237" s="186"/>
      <c r="F237" s="186"/>
      <c r="G237" s="186"/>
      <c r="H237" s="186"/>
      <c r="I237" s="186"/>
      <c r="J237" s="186"/>
      <c r="K237" s="186"/>
      <c r="L237" s="186"/>
      <c r="M237" s="186"/>
      <c r="N237" s="186"/>
      <c r="O237" s="186"/>
      <c r="P237" s="186"/>
      <c r="Q237" s="186"/>
      <c r="R237" s="186"/>
      <c r="S237" s="67"/>
      <c r="T237" s="67"/>
      <c r="U237" s="67"/>
      <c r="V237" s="187"/>
      <c r="W237" s="186"/>
      <c r="X237" s="187"/>
      <c r="Y237" s="187"/>
      <c r="Z237" s="187"/>
      <c r="AA237" s="186"/>
      <c r="AB237" s="186"/>
      <c r="AC237" s="67"/>
      <c r="AD237" s="67"/>
      <c r="AE237" s="67"/>
      <c r="AH237" s="186"/>
      <c r="AK237" s="186"/>
    </row>
    <row r="238">
      <c r="A238" s="185"/>
      <c r="B238" s="67"/>
      <c r="C238" s="67"/>
      <c r="D238" s="67"/>
      <c r="E238" s="186"/>
      <c r="F238" s="186"/>
      <c r="G238" s="186"/>
      <c r="H238" s="186"/>
      <c r="I238" s="186"/>
      <c r="J238" s="186"/>
      <c r="K238" s="186"/>
      <c r="L238" s="186"/>
      <c r="M238" s="186"/>
      <c r="N238" s="186"/>
      <c r="O238" s="186"/>
      <c r="P238" s="186"/>
      <c r="Q238" s="186"/>
      <c r="R238" s="186"/>
      <c r="S238" s="67"/>
      <c r="T238" s="67"/>
      <c r="U238" s="67"/>
      <c r="V238" s="187"/>
      <c r="W238" s="186"/>
      <c r="X238" s="187"/>
      <c r="Y238" s="187"/>
      <c r="Z238" s="187"/>
      <c r="AA238" s="186"/>
      <c r="AB238" s="186"/>
      <c r="AC238" s="67"/>
      <c r="AD238" s="67"/>
      <c r="AE238" s="67"/>
      <c r="AH238" s="186"/>
      <c r="AK238" s="186"/>
    </row>
    <row r="239">
      <c r="A239" s="185"/>
      <c r="B239" s="67"/>
      <c r="C239" s="67"/>
      <c r="D239" s="67"/>
      <c r="E239" s="186"/>
      <c r="F239" s="186"/>
      <c r="G239" s="186"/>
      <c r="H239" s="186"/>
      <c r="I239" s="186"/>
      <c r="J239" s="186"/>
      <c r="K239" s="186"/>
      <c r="L239" s="186"/>
      <c r="M239" s="186"/>
      <c r="N239" s="186"/>
      <c r="O239" s="186"/>
      <c r="P239" s="186"/>
      <c r="Q239" s="186"/>
      <c r="R239" s="186"/>
      <c r="S239" s="67"/>
      <c r="T239" s="67"/>
      <c r="U239" s="67"/>
      <c r="V239" s="187"/>
      <c r="W239" s="186"/>
      <c r="X239" s="187"/>
      <c r="Y239" s="187"/>
      <c r="Z239" s="187"/>
      <c r="AA239" s="186"/>
      <c r="AB239" s="186"/>
      <c r="AC239" s="67"/>
      <c r="AD239" s="67"/>
      <c r="AE239" s="67"/>
      <c r="AH239" s="186"/>
      <c r="AK239" s="186"/>
    </row>
    <row r="240">
      <c r="A240" s="185"/>
      <c r="B240" s="67"/>
      <c r="C240" s="67"/>
      <c r="D240" s="67"/>
      <c r="E240" s="186"/>
      <c r="F240" s="186"/>
      <c r="G240" s="186"/>
      <c r="H240" s="186"/>
      <c r="I240" s="186"/>
      <c r="J240" s="186"/>
      <c r="K240" s="186"/>
      <c r="L240" s="186"/>
      <c r="M240" s="186"/>
      <c r="N240" s="186"/>
      <c r="O240" s="186"/>
      <c r="P240" s="186"/>
      <c r="Q240" s="186"/>
      <c r="R240" s="186"/>
      <c r="S240" s="67"/>
      <c r="T240" s="67"/>
      <c r="U240" s="67"/>
      <c r="V240" s="187"/>
      <c r="W240" s="186"/>
      <c r="X240" s="187"/>
      <c r="Y240" s="187"/>
      <c r="Z240" s="187"/>
      <c r="AA240" s="186"/>
      <c r="AB240" s="186"/>
      <c r="AC240" s="67"/>
      <c r="AD240" s="67"/>
      <c r="AE240" s="67"/>
      <c r="AH240" s="186"/>
      <c r="AK240" s="186"/>
    </row>
    <row r="241">
      <c r="A241" s="185"/>
      <c r="B241" s="67"/>
      <c r="C241" s="67"/>
      <c r="D241" s="67"/>
      <c r="E241" s="186"/>
      <c r="F241" s="186"/>
      <c r="G241" s="186"/>
      <c r="H241" s="186"/>
      <c r="I241" s="186"/>
      <c r="J241" s="186"/>
      <c r="K241" s="186"/>
      <c r="L241" s="186"/>
      <c r="M241" s="186"/>
      <c r="N241" s="186"/>
      <c r="O241" s="186"/>
      <c r="P241" s="186"/>
      <c r="Q241" s="186"/>
      <c r="R241" s="186"/>
      <c r="S241" s="67"/>
      <c r="T241" s="67"/>
      <c r="U241" s="67"/>
      <c r="V241" s="187"/>
      <c r="W241" s="186"/>
      <c r="X241" s="187"/>
      <c r="Y241" s="187"/>
      <c r="Z241" s="187"/>
      <c r="AA241" s="186"/>
      <c r="AB241" s="186"/>
      <c r="AC241" s="67"/>
      <c r="AD241" s="67"/>
      <c r="AE241" s="67"/>
      <c r="AH241" s="186"/>
      <c r="AK241" s="186"/>
    </row>
    <row r="242">
      <c r="A242" s="185"/>
      <c r="B242" s="67"/>
      <c r="C242" s="67"/>
      <c r="D242" s="67"/>
      <c r="E242" s="186"/>
      <c r="F242" s="186"/>
      <c r="G242" s="186"/>
      <c r="H242" s="186"/>
      <c r="I242" s="186"/>
      <c r="J242" s="186"/>
      <c r="K242" s="186"/>
      <c r="L242" s="186"/>
      <c r="M242" s="186"/>
      <c r="N242" s="186"/>
      <c r="O242" s="186"/>
      <c r="P242" s="186"/>
      <c r="Q242" s="186"/>
      <c r="R242" s="186"/>
      <c r="S242" s="67"/>
      <c r="T242" s="67"/>
      <c r="U242" s="67"/>
      <c r="V242" s="187"/>
      <c r="W242" s="186"/>
      <c r="X242" s="187"/>
      <c r="Y242" s="187"/>
      <c r="Z242" s="187"/>
      <c r="AA242" s="186"/>
      <c r="AB242" s="186"/>
      <c r="AC242" s="67"/>
      <c r="AD242" s="67"/>
      <c r="AE242" s="67"/>
      <c r="AH242" s="186"/>
      <c r="AK242" s="186"/>
    </row>
    <row r="243">
      <c r="A243" s="185"/>
      <c r="B243" s="67"/>
      <c r="C243" s="67"/>
      <c r="D243" s="67"/>
      <c r="E243" s="186"/>
      <c r="F243" s="186"/>
      <c r="G243" s="186"/>
      <c r="H243" s="186"/>
      <c r="I243" s="186"/>
      <c r="J243" s="186"/>
      <c r="K243" s="186"/>
      <c r="L243" s="186"/>
      <c r="M243" s="186"/>
      <c r="N243" s="186"/>
      <c r="O243" s="186"/>
      <c r="P243" s="186"/>
      <c r="Q243" s="186"/>
      <c r="R243" s="186"/>
      <c r="S243" s="67"/>
      <c r="T243" s="67"/>
      <c r="U243" s="67"/>
      <c r="V243" s="187"/>
      <c r="W243" s="186"/>
      <c r="X243" s="187"/>
      <c r="Y243" s="187"/>
      <c r="Z243" s="187"/>
      <c r="AA243" s="186"/>
      <c r="AB243" s="186"/>
      <c r="AC243" s="67"/>
      <c r="AD243" s="67"/>
      <c r="AE243" s="67"/>
      <c r="AH243" s="186"/>
      <c r="AK243" s="186"/>
    </row>
    <row r="244">
      <c r="A244" s="185"/>
      <c r="B244" s="67"/>
      <c r="C244" s="67"/>
      <c r="D244" s="67"/>
      <c r="E244" s="186"/>
      <c r="F244" s="186"/>
      <c r="G244" s="186"/>
      <c r="H244" s="186"/>
      <c r="I244" s="186"/>
      <c r="J244" s="186"/>
      <c r="K244" s="186"/>
      <c r="L244" s="186"/>
      <c r="M244" s="186"/>
      <c r="N244" s="186"/>
      <c r="O244" s="186"/>
      <c r="P244" s="186"/>
      <c r="Q244" s="186"/>
      <c r="R244" s="186"/>
      <c r="S244" s="67"/>
      <c r="T244" s="67"/>
      <c r="U244" s="67"/>
      <c r="V244" s="187"/>
      <c r="W244" s="186"/>
      <c r="X244" s="187"/>
      <c r="Y244" s="187"/>
      <c r="Z244" s="187"/>
      <c r="AA244" s="186"/>
      <c r="AB244" s="186"/>
      <c r="AC244" s="67"/>
      <c r="AD244" s="67"/>
      <c r="AE244" s="67"/>
      <c r="AH244" s="186"/>
      <c r="AK244" s="186"/>
    </row>
    <row r="245">
      <c r="A245" s="185"/>
      <c r="B245" s="67"/>
      <c r="C245" s="67"/>
      <c r="D245" s="67"/>
      <c r="E245" s="186"/>
      <c r="F245" s="186"/>
      <c r="G245" s="186"/>
      <c r="H245" s="186"/>
      <c r="I245" s="186"/>
      <c r="J245" s="186"/>
      <c r="K245" s="186"/>
      <c r="L245" s="186"/>
      <c r="M245" s="186"/>
      <c r="N245" s="186"/>
      <c r="O245" s="186"/>
      <c r="P245" s="186"/>
      <c r="Q245" s="186"/>
      <c r="R245" s="186"/>
      <c r="S245" s="67"/>
      <c r="T245" s="67"/>
      <c r="U245" s="67"/>
      <c r="V245" s="187"/>
      <c r="W245" s="186"/>
      <c r="X245" s="187"/>
      <c r="Y245" s="187"/>
      <c r="Z245" s="187"/>
      <c r="AA245" s="186"/>
      <c r="AB245" s="186"/>
      <c r="AC245" s="67"/>
      <c r="AD245" s="67"/>
      <c r="AE245" s="67"/>
      <c r="AH245" s="186"/>
      <c r="AK245" s="186"/>
    </row>
    <row r="246">
      <c r="A246" s="185"/>
      <c r="B246" s="67"/>
      <c r="C246" s="67"/>
      <c r="D246" s="67"/>
      <c r="E246" s="186"/>
      <c r="F246" s="186"/>
      <c r="G246" s="186"/>
      <c r="H246" s="186"/>
      <c r="I246" s="186"/>
      <c r="J246" s="186"/>
      <c r="K246" s="186"/>
      <c r="L246" s="186"/>
      <c r="M246" s="186"/>
      <c r="N246" s="186"/>
      <c r="O246" s="186"/>
      <c r="P246" s="186"/>
      <c r="Q246" s="186"/>
      <c r="R246" s="186"/>
      <c r="S246" s="67"/>
      <c r="T246" s="67"/>
      <c r="U246" s="67"/>
      <c r="V246" s="187"/>
      <c r="W246" s="186"/>
      <c r="X246" s="187"/>
      <c r="Y246" s="187"/>
      <c r="Z246" s="187"/>
      <c r="AA246" s="186"/>
      <c r="AB246" s="186"/>
      <c r="AC246" s="67"/>
      <c r="AD246" s="67"/>
      <c r="AE246" s="67"/>
      <c r="AH246" s="186"/>
      <c r="AK246" s="186"/>
    </row>
    <row r="247">
      <c r="A247" s="185"/>
      <c r="B247" s="67"/>
      <c r="C247" s="67"/>
      <c r="D247" s="67"/>
      <c r="E247" s="186"/>
      <c r="F247" s="186"/>
      <c r="G247" s="186"/>
      <c r="H247" s="186"/>
      <c r="I247" s="186"/>
      <c r="J247" s="186"/>
      <c r="K247" s="186"/>
      <c r="L247" s="186"/>
      <c r="M247" s="186"/>
      <c r="N247" s="186"/>
      <c r="O247" s="186"/>
      <c r="P247" s="186"/>
      <c r="Q247" s="186"/>
      <c r="R247" s="186"/>
      <c r="S247" s="67"/>
      <c r="T247" s="67"/>
      <c r="U247" s="67"/>
      <c r="V247" s="187"/>
      <c r="W247" s="186"/>
      <c r="X247" s="187"/>
      <c r="Y247" s="187"/>
      <c r="Z247" s="187"/>
      <c r="AA247" s="186"/>
      <c r="AB247" s="186"/>
      <c r="AC247" s="67"/>
      <c r="AD247" s="67"/>
      <c r="AE247" s="67"/>
      <c r="AH247" s="186"/>
      <c r="AK247" s="186"/>
    </row>
    <row r="248">
      <c r="A248" s="185"/>
      <c r="B248" s="67"/>
      <c r="C248" s="67"/>
      <c r="D248" s="67"/>
      <c r="E248" s="186"/>
      <c r="F248" s="186"/>
      <c r="G248" s="186"/>
      <c r="H248" s="186"/>
      <c r="I248" s="186"/>
      <c r="J248" s="186"/>
      <c r="K248" s="186"/>
      <c r="L248" s="186"/>
      <c r="M248" s="186"/>
      <c r="N248" s="186"/>
      <c r="O248" s="186"/>
      <c r="P248" s="186"/>
      <c r="Q248" s="186"/>
      <c r="R248" s="186"/>
      <c r="S248" s="67"/>
      <c r="T248" s="67"/>
      <c r="U248" s="67"/>
      <c r="V248" s="187"/>
      <c r="W248" s="186"/>
      <c r="X248" s="187"/>
      <c r="Y248" s="187"/>
      <c r="Z248" s="187"/>
      <c r="AA248" s="186"/>
      <c r="AB248" s="186"/>
      <c r="AC248" s="67"/>
      <c r="AD248" s="67"/>
      <c r="AE248" s="67"/>
      <c r="AH248" s="186"/>
      <c r="AK248" s="186"/>
    </row>
    <row r="249">
      <c r="A249" s="185"/>
      <c r="B249" s="67"/>
      <c r="C249" s="67"/>
      <c r="D249" s="67"/>
      <c r="E249" s="186"/>
      <c r="F249" s="186"/>
      <c r="G249" s="186"/>
      <c r="H249" s="186"/>
      <c r="I249" s="186"/>
      <c r="J249" s="186"/>
      <c r="K249" s="186"/>
      <c r="L249" s="186"/>
      <c r="M249" s="186"/>
      <c r="N249" s="186"/>
      <c r="O249" s="186"/>
      <c r="P249" s="186"/>
      <c r="Q249" s="186"/>
      <c r="R249" s="186"/>
      <c r="S249" s="67"/>
      <c r="T249" s="67"/>
      <c r="U249" s="67"/>
      <c r="V249" s="187"/>
      <c r="W249" s="186"/>
      <c r="X249" s="187"/>
      <c r="Y249" s="187"/>
      <c r="Z249" s="187"/>
      <c r="AA249" s="186"/>
      <c r="AB249" s="186"/>
      <c r="AC249" s="67"/>
      <c r="AD249" s="67"/>
      <c r="AE249" s="67"/>
      <c r="AH249" s="186"/>
      <c r="AK249" s="186"/>
    </row>
    <row r="250">
      <c r="A250" s="185"/>
      <c r="B250" s="67"/>
      <c r="C250" s="67"/>
      <c r="D250" s="67"/>
      <c r="E250" s="186"/>
      <c r="F250" s="186"/>
      <c r="G250" s="186"/>
      <c r="H250" s="186"/>
      <c r="I250" s="186"/>
      <c r="J250" s="186"/>
      <c r="K250" s="186"/>
      <c r="L250" s="186"/>
      <c r="M250" s="186"/>
      <c r="N250" s="186"/>
      <c r="O250" s="186"/>
      <c r="P250" s="186"/>
      <c r="Q250" s="186"/>
      <c r="R250" s="186"/>
      <c r="S250" s="67"/>
      <c r="T250" s="67"/>
      <c r="U250" s="67"/>
      <c r="V250" s="187"/>
      <c r="W250" s="186"/>
      <c r="X250" s="187"/>
      <c r="Y250" s="187"/>
      <c r="Z250" s="187"/>
      <c r="AA250" s="186"/>
      <c r="AB250" s="186"/>
      <c r="AC250" s="67"/>
      <c r="AD250" s="67"/>
      <c r="AE250" s="67"/>
      <c r="AH250" s="186"/>
      <c r="AK250" s="186"/>
    </row>
    <row r="251">
      <c r="A251" s="185"/>
      <c r="B251" s="67"/>
      <c r="C251" s="67"/>
      <c r="D251" s="67"/>
      <c r="E251" s="186"/>
      <c r="F251" s="186"/>
      <c r="G251" s="186"/>
      <c r="H251" s="186"/>
      <c r="I251" s="186"/>
      <c r="J251" s="186"/>
      <c r="K251" s="186"/>
      <c r="L251" s="186"/>
      <c r="M251" s="186"/>
      <c r="N251" s="186"/>
      <c r="O251" s="186"/>
      <c r="P251" s="186"/>
      <c r="Q251" s="186"/>
      <c r="R251" s="186"/>
      <c r="S251" s="67"/>
      <c r="T251" s="67"/>
      <c r="U251" s="67"/>
      <c r="V251" s="187"/>
      <c r="W251" s="186"/>
      <c r="X251" s="187"/>
      <c r="Y251" s="187"/>
      <c r="Z251" s="187"/>
      <c r="AA251" s="186"/>
      <c r="AB251" s="186"/>
      <c r="AC251" s="67"/>
      <c r="AD251" s="67"/>
      <c r="AE251" s="67"/>
      <c r="AH251" s="186"/>
      <c r="AK251" s="186"/>
    </row>
    <row r="252">
      <c r="A252" s="185"/>
      <c r="B252" s="67"/>
      <c r="C252" s="67"/>
      <c r="D252" s="67"/>
      <c r="E252" s="186"/>
      <c r="F252" s="186"/>
      <c r="G252" s="186"/>
      <c r="H252" s="186"/>
      <c r="I252" s="186"/>
      <c r="J252" s="186"/>
      <c r="K252" s="186"/>
      <c r="L252" s="186"/>
      <c r="M252" s="186"/>
      <c r="N252" s="186"/>
      <c r="O252" s="186"/>
      <c r="P252" s="186"/>
      <c r="Q252" s="186"/>
      <c r="R252" s="186"/>
      <c r="S252" s="67"/>
      <c r="T252" s="67"/>
      <c r="U252" s="67"/>
      <c r="V252" s="187"/>
      <c r="W252" s="186"/>
      <c r="X252" s="187"/>
      <c r="Y252" s="187"/>
      <c r="Z252" s="187"/>
      <c r="AA252" s="186"/>
      <c r="AB252" s="186"/>
      <c r="AC252" s="67"/>
      <c r="AD252" s="67"/>
      <c r="AE252" s="67"/>
      <c r="AH252" s="186"/>
      <c r="AK252" s="186"/>
    </row>
    <row r="253">
      <c r="A253" s="185"/>
      <c r="B253" s="67"/>
      <c r="C253" s="67"/>
      <c r="D253" s="67"/>
      <c r="E253" s="186"/>
      <c r="F253" s="186"/>
      <c r="G253" s="186"/>
      <c r="H253" s="186"/>
      <c r="I253" s="186"/>
      <c r="J253" s="186"/>
      <c r="K253" s="186"/>
      <c r="L253" s="186"/>
      <c r="M253" s="186"/>
      <c r="N253" s="186"/>
      <c r="O253" s="186"/>
      <c r="P253" s="186"/>
      <c r="Q253" s="186"/>
      <c r="R253" s="186"/>
      <c r="S253" s="67"/>
      <c r="T253" s="67"/>
      <c r="U253" s="67"/>
      <c r="V253" s="187"/>
      <c r="W253" s="186"/>
      <c r="X253" s="187"/>
      <c r="Y253" s="187"/>
      <c r="Z253" s="187"/>
      <c r="AA253" s="186"/>
      <c r="AB253" s="186"/>
      <c r="AC253" s="67"/>
      <c r="AD253" s="67"/>
      <c r="AE253" s="67"/>
      <c r="AH253" s="186"/>
      <c r="AK253" s="186"/>
    </row>
    <row r="254">
      <c r="A254" s="185"/>
      <c r="B254" s="67"/>
      <c r="C254" s="67"/>
      <c r="D254" s="67"/>
      <c r="E254" s="186"/>
      <c r="F254" s="186"/>
      <c r="G254" s="186"/>
      <c r="H254" s="186"/>
      <c r="I254" s="186"/>
      <c r="J254" s="186"/>
      <c r="K254" s="186"/>
      <c r="L254" s="186"/>
      <c r="M254" s="186"/>
      <c r="N254" s="186"/>
      <c r="O254" s="186"/>
      <c r="P254" s="186"/>
      <c r="Q254" s="186"/>
      <c r="R254" s="186"/>
      <c r="S254" s="67"/>
      <c r="T254" s="67"/>
      <c r="U254" s="67"/>
      <c r="V254" s="187"/>
      <c r="W254" s="186"/>
      <c r="X254" s="187"/>
      <c r="Y254" s="187"/>
      <c r="Z254" s="187"/>
      <c r="AA254" s="186"/>
      <c r="AB254" s="186"/>
      <c r="AC254" s="67"/>
      <c r="AD254" s="67"/>
      <c r="AE254" s="67"/>
      <c r="AH254" s="186"/>
      <c r="AK254" s="186"/>
    </row>
    <row r="255">
      <c r="A255" s="185"/>
      <c r="B255" s="67"/>
      <c r="C255" s="67"/>
      <c r="D255" s="67"/>
      <c r="E255" s="186"/>
      <c r="F255" s="186"/>
      <c r="G255" s="186"/>
      <c r="H255" s="186"/>
      <c r="I255" s="186"/>
      <c r="J255" s="186"/>
      <c r="K255" s="186"/>
      <c r="L255" s="186"/>
      <c r="M255" s="186"/>
      <c r="N255" s="186"/>
      <c r="O255" s="186"/>
      <c r="P255" s="186"/>
      <c r="Q255" s="186"/>
      <c r="R255" s="186"/>
      <c r="S255" s="67"/>
      <c r="T255" s="67"/>
      <c r="U255" s="67"/>
      <c r="V255" s="187"/>
      <c r="W255" s="186"/>
      <c r="X255" s="187"/>
      <c r="Y255" s="187"/>
      <c r="Z255" s="187"/>
      <c r="AA255" s="186"/>
      <c r="AB255" s="186"/>
      <c r="AC255" s="67"/>
      <c r="AD255" s="67"/>
      <c r="AE255" s="67"/>
      <c r="AH255" s="186"/>
      <c r="AK255" s="186"/>
    </row>
    <row r="256">
      <c r="A256" s="185"/>
      <c r="B256" s="67"/>
      <c r="C256" s="67"/>
      <c r="D256" s="67"/>
      <c r="E256" s="186"/>
      <c r="F256" s="186"/>
      <c r="G256" s="186"/>
      <c r="H256" s="186"/>
      <c r="I256" s="186"/>
      <c r="J256" s="186"/>
      <c r="K256" s="186"/>
      <c r="L256" s="186"/>
      <c r="M256" s="186"/>
      <c r="N256" s="186"/>
      <c r="O256" s="186"/>
      <c r="P256" s="186"/>
      <c r="Q256" s="186"/>
      <c r="R256" s="186"/>
      <c r="S256" s="67"/>
      <c r="T256" s="67"/>
      <c r="U256" s="67"/>
      <c r="V256" s="187"/>
      <c r="W256" s="186"/>
      <c r="X256" s="187"/>
      <c r="Y256" s="187"/>
      <c r="Z256" s="187"/>
      <c r="AA256" s="186"/>
      <c r="AB256" s="186"/>
      <c r="AC256" s="67"/>
      <c r="AD256" s="67"/>
      <c r="AE256" s="67"/>
      <c r="AH256" s="186"/>
      <c r="AK256" s="186"/>
    </row>
    <row r="257">
      <c r="A257" s="185"/>
      <c r="B257" s="67"/>
      <c r="C257" s="67"/>
      <c r="D257" s="67"/>
      <c r="E257" s="186"/>
      <c r="F257" s="186"/>
      <c r="G257" s="186"/>
      <c r="H257" s="186"/>
      <c r="I257" s="186"/>
      <c r="J257" s="186"/>
      <c r="K257" s="186"/>
      <c r="L257" s="186"/>
      <c r="M257" s="186"/>
      <c r="N257" s="186"/>
      <c r="O257" s="186"/>
      <c r="P257" s="186"/>
      <c r="Q257" s="186"/>
      <c r="R257" s="186"/>
      <c r="S257" s="67"/>
      <c r="T257" s="67"/>
      <c r="U257" s="67"/>
      <c r="V257" s="187"/>
      <c r="W257" s="186"/>
      <c r="X257" s="187"/>
      <c r="Y257" s="187"/>
      <c r="Z257" s="187"/>
      <c r="AA257" s="186"/>
      <c r="AB257" s="186"/>
      <c r="AC257" s="67"/>
      <c r="AD257" s="67"/>
      <c r="AE257" s="67"/>
      <c r="AH257" s="186"/>
      <c r="AK257" s="186"/>
    </row>
    <row r="258">
      <c r="A258" s="185"/>
      <c r="B258" s="67"/>
      <c r="C258" s="67"/>
      <c r="D258" s="67"/>
      <c r="E258" s="186"/>
      <c r="F258" s="186"/>
      <c r="G258" s="186"/>
      <c r="H258" s="186"/>
      <c r="I258" s="186"/>
      <c r="J258" s="186"/>
      <c r="K258" s="186"/>
      <c r="L258" s="186"/>
      <c r="M258" s="186"/>
      <c r="N258" s="186"/>
      <c r="O258" s="186"/>
      <c r="P258" s="186"/>
      <c r="Q258" s="186"/>
      <c r="R258" s="186"/>
      <c r="S258" s="67"/>
      <c r="T258" s="67"/>
      <c r="U258" s="67"/>
      <c r="V258" s="187"/>
      <c r="W258" s="186"/>
      <c r="X258" s="187"/>
      <c r="Y258" s="187"/>
      <c r="Z258" s="187"/>
      <c r="AA258" s="186"/>
      <c r="AB258" s="186"/>
      <c r="AC258" s="67"/>
      <c r="AD258" s="67"/>
      <c r="AE258" s="67"/>
      <c r="AH258" s="186"/>
      <c r="AK258" s="186"/>
    </row>
    <row r="259">
      <c r="A259" s="185"/>
      <c r="B259" s="67"/>
      <c r="C259" s="67"/>
      <c r="D259" s="67"/>
      <c r="E259" s="186"/>
      <c r="F259" s="186"/>
      <c r="G259" s="186"/>
      <c r="H259" s="186"/>
      <c r="I259" s="186"/>
      <c r="J259" s="186"/>
      <c r="K259" s="186"/>
      <c r="L259" s="186"/>
      <c r="M259" s="186"/>
      <c r="N259" s="186"/>
      <c r="O259" s="186"/>
      <c r="P259" s="186"/>
      <c r="Q259" s="186"/>
      <c r="R259" s="186"/>
      <c r="S259" s="67"/>
      <c r="T259" s="67"/>
      <c r="U259" s="67"/>
      <c r="V259" s="187"/>
      <c r="W259" s="186"/>
      <c r="X259" s="187"/>
      <c r="Y259" s="187"/>
      <c r="Z259" s="187"/>
      <c r="AA259" s="186"/>
      <c r="AB259" s="186"/>
      <c r="AC259" s="67"/>
      <c r="AD259" s="67"/>
      <c r="AE259" s="67"/>
      <c r="AH259" s="186"/>
      <c r="AK259" s="186"/>
    </row>
    <row r="260">
      <c r="A260" s="185"/>
      <c r="B260" s="67"/>
      <c r="C260" s="67"/>
      <c r="D260" s="67"/>
      <c r="E260" s="186"/>
      <c r="F260" s="186"/>
      <c r="G260" s="186"/>
      <c r="H260" s="186"/>
      <c r="I260" s="186"/>
      <c r="J260" s="186"/>
      <c r="K260" s="186"/>
      <c r="L260" s="186"/>
      <c r="M260" s="186"/>
      <c r="N260" s="186"/>
      <c r="O260" s="186"/>
      <c r="P260" s="186"/>
      <c r="Q260" s="186"/>
      <c r="R260" s="186"/>
      <c r="S260" s="67"/>
      <c r="T260" s="67"/>
      <c r="U260" s="67"/>
      <c r="V260" s="187"/>
      <c r="W260" s="186"/>
      <c r="X260" s="187"/>
      <c r="Y260" s="187"/>
      <c r="Z260" s="187"/>
      <c r="AA260" s="186"/>
      <c r="AB260" s="186"/>
      <c r="AC260" s="67"/>
      <c r="AD260" s="67"/>
      <c r="AE260" s="67"/>
      <c r="AH260" s="186"/>
      <c r="AK260" s="186"/>
    </row>
    <row r="261">
      <c r="A261" s="185"/>
      <c r="B261" s="67"/>
      <c r="C261" s="67"/>
      <c r="D261" s="67"/>
      <c r="E261" s="186"/>
      <c r="F261" s="186"/>
      <c r="G261" s="186"/>
      <c r="H261" s="186"/>
      <c r="I261" s="186"/>
      <c r="J261" s="186"/>
      <c r="K261" s="186"/>
      <c r="L261" s="186"/>
      <c r="M261" s="186"/>
      <c r="N261" s="186"/>
      <c r="O261" s="186"/>
      <c r="P261" s="186"/>
      <c r="Q261" s="186"/>
      <c r="R261" s="186"/>
      <c r="S261" s="67"/>
      <c r="T261" s="67"/>
      <c r="U261" s="67"/>
      <c r="V261" s="187"/>
      <c r="W261" s="186"/>
      <c r="X261" s="187"/>
      <c r="Y261" s="187"/>
      <c r="Z261" s="187"/>
      <c r="AA261" s="186"/>
      <c r="AB261" s="186"/>
      <c r="AC261" s="67"/>
      <c r="AD261" s="67"/>
      <c r="AE261" s="67"/>
      <c r="AH261" s="186"/>
      <c r="AK261" s="186"/>
    </row>
    <row r="262">
      <c r="A262" s="185"/>
      <c r="B262" s="67"/>
      <c r="C262" s="67"/>
      <c r="D262" s="67"/>
      <c r="E262" s="186"/>
      <c r="F262" s="186"/>
      <c r="G262" s="186"/>
      <c r="H262" s="186"/>
      <c r="I262" s="186"/>
      <c r="J262" s="186"/>
      <c r="K262" s="186"/>
      <c r="L262" s="186"/>
      <c r="M262" s="186"/>
      <c r="N262" s="186"/>
      <c r="O262" s="186"/>
      <c r="P262" s="186"/>
      <c r="Q262" s="186"/>
      <c r="R262" s="186"/>
      <c r="S262" s="67"/>
      <c r="T262" s="67"/>
      <c r="U262" s="67"/>
      <c r="V262" s="187"/>
      <c r="W262" s="186"/>
      <c r="X262" s="187"/>
      <c r="Y262" s="187"/>
      <c r="Z262" s="187"/>
      <c r="AA262" s="186"/>
      <c r="AB262" s="186"/>
      <c r="AC262" s="67"/>
      <c r="AD262" s="67"/>
      <c r="AE262" s="67"/>
      <c r="AH262" s="186"/>
      <c r="AK262" s="186"/>
    </row>
    <row r="263">
      <c r="A263" s="185"/>
      <c r="B263" s="67"/>
      <c r="C263" s="67"/>
      <c r="D263" s="67"/>
      <c r="E263" s="186"/>
      <c r="F263" s="186"/>
      <c r="G263" s="186"/>
      <c r="H263" s="186"/>
      <c r="I263" s="186"/>
      <c r="J263" s="186"/>
      <c r="K263" s="186"/>
      <c r="L263" s="186"/>
      <c r="M263" s="186"/>
      <c r="N263" s="186"/>
      <c r="O263" s="186"/>
      <c r="P263" s="186"/>
      <c r="Q263" s="186"/>
      <c r="R263" s="186"/>
      <c r="S263" s="67"/>
      <c r="T263" s="67"/>
      <c r="U263" s="67"/>
      <c r="V263" s="187"/>
      <c r="W263" s="186"/>
      <c r="X263" s="187"/>
      <c r="Y263" s="187"/>
      <c r="Z263" s="187"/>
      <c r="AA263" s="186"/>
      <c r="AB263" s="186"/>
      <c r="AC263" s="67"/>
      <c r="AD263" s="67"/>
      <c r="AE263" s="67"/>
      <c r="AH263" s="186"/>
      <c r="AK263" s="186"/>
    </row>
    <row r="264">
      <c r="A264" s="185"/>
      <c r="B264" s="67"/>
      <c r="C264" s="67"/>
      <c r="D264" s="67"/>
      <c r="E264" s="186"/>
      <c r="F264" s="186"/>
      <c r="G264" s="186"/>
      <c r="H264" s="186"/>
      <c r="I264" s="186"/>
      <c r="J264" s="186"/>
      <c r="K264" s="186"/>
      <c r="L264" s="186"/>
      <c r="M264" s="186"/>
      <c r="N264" s="186"/>
      <c r="O264" s="186"/>
      <c r="P264" s="186"/>
      <c r="Q264" s="186"/>
      <c r="R264" s="186"/>
      <c r="S264" s="67"/>
      <c r="T264" s="67"/>
      <c r="U264" s="67"/>
      <c r="V264" s="187"/>
      <c r="W264" s="186"/>
      <c r="X264" s="187"/>
      <c r="Y264" s="187"/>
      <c r="Z264" s="187"/>
      <c r="AA264" s="186"/>
      <c r="AB264" s="186"/>
      <c r="AC264" s="67"/>
      <c r="AD264" s="67"/>
      <c r="AE264" s="67"/>
      <c r="AH264" s="186"/>
      <c r="AK264" s="186"/>
    </row>
    <row r="265">
      <c r="A265" s="185"/>
      <c r="B265" s="67"/>
      <c r="C265" s="67"/>
      <c r="D265" s="67"/>
      <c r="E265" s="186"/>
      <c r="F265" s="186"/>
      <c r="G265" s="186"/>
      <c r="H265" s="186"/>
      <c r="I265" s="186"/>
      <c r="J265" s="186"/>
      <c r="K265" s="186"/>
      <c r="L265" s="186"/>
      <c r="M265" s="186"/>
      <c r="N265" s="186"/>
      <c r="O265" s="186"/>
      <c r="P265" s="186"/>
      <c r="Q265" s="186"/>
      <c r="R265" s="186"/>
      <c r="S265" s="67"/>
      <c r="T265" s="67"/>
      <c r="U265" s="67"/>
      <c r="V265" s="187"/>
      <c r="W265" s="186"/>
      <c r="X265" s="187"/>
      <c r="Y265" s="187"/>
      <c r="Z265" s="187"/>
      <c r="AA265" s="186"/>
      <c r="AB265" s="186"/>
      <c r="AC265" s="67"/>
      <c r="AD265" s="67"/>
      <c r="AE265" s="67"/>
      <c r="AH265" s="186"/>
      <c r="AK265" s="186"/>
    </row>
    <row r="266">
      <c r="A266" s="185"/>
      <c r="B266" s="67"/>
      <c r="C266" s="67"/>
      <c r="D266" s="67"/>
      <c r="E266" s="186"/>
      <c r="F266" s="186"/>
      <c r="G266" s="186"/>
      <c r="H266" s="186"/>
      <c r="I266" s="186"/>
      <c r="J266" s="186"/>
      <c r="K266" s="186"/>
      <c r="L266" s="186"/>
      <c r="M266" s="186"/>
      <c r="N266" s="186"/>
      <c r="O266" s="186"/>
      <c r="P266" s="186"/>
      <c r="Q266" s="186"/>
      <c r="R266" s="186"/>
      <c r="S266" s="67"/>
      <c r="T266" s="67"/>
      <c r="U266" s="67"/>
      <c r="V266" s="187"/>
      <c r="W266" s="186"/>
      <c r="X266" s="187"/>
      <c r="Y266" s="187"/>
      <c r="Z266" s="187"/>
      <c r="AA266" s="186"/>
      <c r="AB266" s="186"/>
      <c r="AC266" s="67"/>
      <c r="AD266" s="67"/>
      <c r="AE266" s="67"/>
      <c r="AH266" s="186"/>
      <c r="AK266" s="186"/>
    </row>
    <row r="267">
      <c r="A267" s="185"/>
      <c r="B267" s="67"/>
      <c r="C267" s="67"/>
      <c r="D267" s="67"/>
      <c r="E267" s="186"/>
      <c r="F267" s="186"/>
      <c r="G267" s="186"/>
      <c r="H267" s="186"/>
      <c r="I267" s="186"/>
      <c r="J267" s="186"/>
      <c r="K267" s="186"/>
      <c r="L267" s="186"/>
      <c r="M267" s="186"/>
      <c r="N267" s="186"/>
      <c r="O267" s="186"/>
      <c r="P267" s="186"/>
      <c r="Q267" s="186"/>
      <c r="R267" s="186"/>
      <c r="S267" s="67"/>
      <c r="T267" s="67"/>
      <c r="U267" s="67"/>
      <c r="V267" s="187"/>
      <c r="W267" s="186"/>
      <c r="X267" s="187"/>
      <c r="Y267" s="187"/>
      <c r="Z267" s="187"/>
      <c r="AA267" s="186"/>
      <c r="AB267" s="186"/>
      <c r="AC267" s="67"/>
      <c r="AD267" s="67"/>
      <c r="AE267" s="67"/>
      <c r="AH267" s="186"/>
      <c r="AK267" s="186"/>
    </row>
    <row r="268">
      <c r="A268" s="185"/>
      <c r="B268" s="67"/>
      <c r="C268" s="67"/>
      <c r="D268" s="67"/>
      <c r="E268" s="186"/>
      <c r="F268" s="186"/>
      <c r="G268" s="186"/>
      <c r="H268" s="186"/>
      <c r="I268" s="186"/>
      <c r="J268" s="186"/>
      <c r="K268" s="186"/>
      <c r="L268" s="186"/>
      <c r="M268" s="186"/>
      <c r="N268" s="186"/>
      <c r="O268" s="186"/>
      <c r="P268" s="186"/>
      <c r="Q268" s="186"/>
      <c r="R268" s="186"/>
      <c r="S268" s="67"/>
      <c r="T268" s="67"/>
      <c r="U268" s="67"/>
      <c r="V268" s="187"/>
      <c r="W268" s="186"/>
      <c r="X268" s="187"/>
      <c r="Y268" s="187"/>
      <c r="Z268" s="187"/>
      <c r="AA268" s="186"/>
      <c r="AB268" s="186"/>
      <c r="AC268" s="67"/>
      <c r="AD268" s="67"/>
      <c r="AE268" s="67"/>
      <c r="AH268" s="186"/>
      <c r="AK268" s="186"/>
    </row>
    <row r="269">
      <c r="A269" s="185"/>
      <c r="B269" s="67"/>
      <c r="C269" s="67"/>
      <c r="D269" s="67"/>
      <c r="E269" s="186"/>
      <c r="F269" s="186"/>
      <c r="G269" s="186"/>
      <c r="H269" s="186"/>
      <c r="I269" s="186"/>
      <c r="J269" s="186"/>
      <c r="K269" s="186"/>
      <c r="L269" s="186"/>
      <c r="M269" s="186"/>
      <c r="N269" s="186"/>
      <c r="O269" s="186"/>
      <c r="P269" s="186"/>
      <c r="Q269" s="186"/>
      <c r="R269" s="186"/>
      <c r="S269" s="67"/>
      <c r="T269" s="67"/>
      <c r="U269" s="67"/>
      <c r="V269" s="187"/>
      <c r="W269" s="186"/>
      <c r="X269" s="187"/>
      <c r="Y269" s="187"/>
      <c r="Z269" s="187"/>
      <c r="AA269" s="186"/>
      <c r="AB269" s="186"/>
      <c r="AC269" s="67"/>
      <c r="AD269" s="67"/>
      <c r="AE269" s="67"/>
      <c r="AH269" s="186"/>
      <c r="AK269" s="186"/>
    </row>
    <row r="270">
      <c r="A270" s="185"/>
      <c r="B270" s="67"/>
      <c r="C270" s="67"/>
      <c r="D270" s="67"/>
      <c r="E270" s="186"/>
      <c r="F270" s="186"/>
      <c r="G270" s="186"/>
      <c r="H270" s="186"/>
      <c r="I270" s="186"/>
      <c r="J270" s="186"/>
      <c r="K270" s="186"/>
      <c r="L270" s="186"/>
      <c r="M270" s="186"/>
      <c r="N270" s="186"/>
      <c r="O270" s="186"/>
      <c r="P270" s="186"/>
      <c r="Q270" s="186"/>
      <c r="R270" s="186"/>
      <c r="S270" s="67"/>
      <c r="T270" s="67"/>
      <c r="U270" s="67"/>
      <c r="V270" s="187"/>
      <c r="W270" s="186"/>
      <c r="X270" s="187"/>
      <c r="Y270" s="187"/>
      <c r="Z270" s="187"/>
      <c r="AA270" s="186"/>
      <c r="AB270" s="186"/>
      <c r="AC270" s="67"/>
      <c r="AD270" s="67"/>
      <c r="AE270" s="67"/>
      <c r="AH270" s="186"/>
      <c r="AK270" s="186"/>
    </row>
    <row r="271">
      <c r="A271" s="185"/>
      <c r="B271" s="67"/>
      <c r="C271" s="67"/>
      <c r="D271" s="67"/>
      <c r="E271" s="186"/>
      <c r="F271" s="186"/>
      <c r="G271" s="186"/>
      <c r="H271" s="186"/>
      <c r="I271" s="186"/>
      <c r="J271" s="186"/>
      <c r="K271" s="186"/>
      <c r="L271" s="186"/>
      <c r="M271" s="186"/>
      <c r="N271" s="186"/>
      <c r="O271" s="186"/>
      <c r="P271" s="186"/>
      <c r="Q271" s="186"/>
      <c r="R271" s="186"/>
      <c r="S271" s="67"/>
      <c r="T271" s="67"/>
      <c r="U271" s="67"/>
      <c r="V271" s="187"/>
      <c r="W271" s="186"/>
      <c r="X271" s="187"/>
      <c r="Y271" s="187"/>
      <c r="Z271" s="187"/>
      <c r="AA271" s="186"/>
      <c r="AB271" s="186"/>
      <c r="AC271" s="67"/>
      <c r="AD271" s="67"/>
      <c r="AE271" s="67"/>
      <c r="AH271" s="186"/>
      <c r="AK271" s="186"/>
    </row>
    <row r="272">
      <c r="A272" s="185"/>
      <c r="B272" s="67"/>
      <c r="C272" s="67"/>
      <c r="D272" s="67"/>
      <c r="E272" s="186"/>
      <c r="F272" s="186"/>
      <c r="G272" s="186"/>
      <c r="H272" s="186"/>
      <c r="I272" s="186"/>
      <c r="J272" s="186"/>
      <c r="K272" s="186"/>
      <c r="L272" s="186"/>
      <c r="M272" s="186"/>
      <c r="N272" s="186"/>
      <c r="O272" s="186"/>
      <c r="P272" s="186"/>
      <c r="Q272" s="186"/>
      <c r="R272" s="186"/>
      <c r="S272" s="67"/>
      <c r="T272" s="67"/>
      <c r="U272" s="67"/>
      <c r="V272" s="187"/>
      <c r="W272" s="186"/>
      <c r="X272" s="187"/>
      <c r="Y272" s="187"/>
      <c r="Z272" s="187"/>
      <c r="AA272" s="186"/>
      <c r="AB272" s="186"/>
      <c r="AC272" s="67"/>
      <c r="AD272" s="67"/>
      <c r="AE272" s="67"/>
      <c r="AH272" s="186"/>
      <c r="AK272" s="186"/>
    </row>
    <row r="273">
      <c r="A273" s="185"/>
      <c r="B273" s="67"/>
      <c r="C273" s="67"/>
      <c r="D273" s="67"/>
      <c r="E273" s="186"/>
      <c r="F273" s="186"/>
      <c r="G273" s="186"/>
      <c r="H273" s="186"/>
      <c r="I273" s="186"/>
      <c r="J273" s="186"/>
      <c r="K273" s="186"/>
      <c r="L273" s="186"/>
      <c r="M273" s="186"/>
      <c r="N273" s="186"/>
      <c r="O273" s="186"/>
      <c r="P273" s="186"/>
      <c r="Q273" s="186"/>
      <c r="R273" s="186"/>
      <c r="S273" s="67"/>
      <c r="T273" s="67"/>
      <c r="U273" s="67"/>
      <c r="V273" s="187"/>
      <c r="W273" s="186"/>
      <c r="X273" s="187"/>
      <c r="Y273" s="187"/>
      <c r="Z273" s="187"/>
      <c r="AA273" s="186"/>
      <c r="AB273" s="186"/>
      <c r="AC273" s="67"/>
      <c r="AD273" s="67"/>
      <c r="AE273" s="67"/>
      <c r="AH273" s="186"/>
      <c r="AK273" s="186"/>
    </row>
    <row r="274">
      <c r="A274" s="185"/>
      <c r="B274" s="67"/>
      <c r="C274" s="67"/>
      <c r="D274" s="67"/>
      <c r="E274" s="186"/>
      <c r="F274" s="186"/>
      <c r="G274" s="186"/>
      <c r="H274" s="186"/>
      <c r="I274" s="186"/>
      <c r="J274" s="186"/>
      <c r="K274" s="186"/>
      <c r="L274" s="186"/>
      <c r="M274" s="186"/>
      <c r="N274" s="186"/>
      <c r="O274" s="186"/>
      <c r="P274" s="186"/>
      <c r="Q274" s="186"/>
      <c r="R274" s="186"/>
      <c r="S274" s="67"/>
      <c r="T274" s="67"/>
      <c r="U274" s="67"/>
      <c r="V274" s="187"/>
      <c r="W274" s="186"/>
      <c r="X274" s="187"/>
      <c r="Y274" s="187"/>
      <c r="Z274" s="187"/>
      <c r="AA274" s="186"/>
      <c r="AB274" s="186"/>
      <c r="AC274" s="67"/>
      <c r="AD274" s="67"/>
      <c r="AE274" s="67"/>
      <c r="AH274" s="186"/>
      <c r="AK274" s="186"/>
    </row>
    <row r="275">
      <c r="A275" s="185"/>
      <c r="B275" s="67"/>
      <c r="C275" s="67"/>
      <c r="D275" s="67"/>
      <c r="E275" s="186"/>
      <c r="F275" s="186"/>
      <c r="G275" s="186"/>
      <c r="H275" s="186"/>
      <c r="I275" s="186"/>
      <c r="J275" s="186"/>
      <c r="K275" s="186"/>
      <c r="L275" s="186"/>
      <c r="M275" s="186"/>
      <c r="N275" s="186"/>
      <c r="O275" s="186"/>
      <c r="P275" s="186"/>
      <c r="Q275" s="186"/>
      <c r="R275" s="186"/>
      <c r="S275" s="67"/>
      <c r="T275" s="67"/>
      <c r="U275" s="67"/>
      <c r="V275" s="187"/>
      <c r="W275" s="186"/>
      <c r="X275" s="187"/>
      <c r="Y275" s="187"/>
      <c r="Z275" s="187"/>
      <c r="AA275" s="186"/>
      <c r="AB275" s="186"/>
      <c r="AC275" s="67"/>
      <c r="AD275" s="67"/>
      <c r="AE275" s="67"/>
      <c r="AH275" s="186"/>
      <c r="AK275" s="186"/>
    </row>
    <row r="276">
      <c r="A276" s="185"/>
      <c r="B276" s="67"/>
      <c r="C276" s="67"/>
      <c r="D276" s="67"/>
      <c r="E276" s="186"/>
      <c r="F276" s="186"/>
      <c r="G276" s="186"/>
      <c r="H276" s="186"/>
      <c r="I276" s="186"/>
      <c r="J276" s="186"/>
      <c r="K276" s="186"/>
      <c r="L276" s="186"/>
      <c r="M276" s="186"/>
      <c r="N276" s="186"/>
      <c r="O276" s="186"/>
      <c r="P276" s="186"/>
      <c r="Q276" s="186"/>
      <c r="R276" s="186"/>
      <c r="S276" s="67"/>
      <c r="T276" s="67"/>
      <c r="U276" s="67"/>
      <c r="V276" s="187"/>
      <c r="W276" s="186"/>
      <c r="X276" s="187"/>
      <c r="Y276" s="187"/>
      <c r="Z276" s="187"/>
      <c r="AA276" s="186"/>
      <c r="AB276" s="186"/>
      <c r="AC276" s="67"/>
      <c r="AD276" s="67"/>
      <c r="AE276" s="67"/>
      <c r="AH276" s="186"/>
      <c r="AK276" s="186"/>
    </row>
    <row r="277">
      <c r="A277" s="185"/>
      <c r="B277" s="67"/>
      <c r="C277" s="67"/>
      <c r="D277" s="67"/>
      <c r="E277" s="186"/>
      <c r="F277" s="186"/>
      <c r="G277" s="186"/>
      <c r="H277" s="186"/>
      <c r="I277" s="186"/>
      <c r="J277" s="186"/>
      <c r="K277" s="186"/>
      <c r="L277" s="186"/>
      <c r="M277" s="186"/>
      <c r="N277" s="186"/>
      <c r="O277" s="186"/>
      <c r="P277" s="186"/>
      <c r="Q277" s="186"/>
      <c r="R277" s="186"/>
      <c r="S277" s="67"/>
      <c r="T277" s="67"/>
      <c r="U277" s="67"/>
      <c r="V277" s="187"/>
      <c r="W277" s="186"/>
      <c r="X277" s="187"/>
      <c r="Y277" s="187"/>
      <c r="Z277" s="187"/>
      <c r="AA277" s="186"/>
      <c r="AB277" s="186"/>
      <c r="AC277" s="67"/>
      <c r="AD277" s="67"/>
      <c r="AE277" s="67"/>
      <c r="AH277" s="186"/>
      <c r="AK277" s="186"/>
    </row>
    <row r="278">
      <c r="A278" s="185"/>
      <c r="B278" s="67"/>
      <c r="C278" s="67"/>
      <c r="D278" s="67"/>
      <c r="E278" s="186"/>
      <c r="F278" s="186"/>
      <c r="G278" s="186"/>
      <c r="H278" s="186"/>
      <c r="I278" s="186"/>
      <c r="J278" s="186"/>
      <c r="K278" s="186"/>
      <c r="L278" s="186"/>
      <c r="M278" s="186"/>
      <c r="N278" s="186"/>
      <c r="O278" s="186"/>
      <c r="P278" s="186"/>
      <c r="Q278" s="186"/>
      <c r="R278" s="186"/>
      <c r="S278" s="67"/>
      <c r="T278" s="67"/>
      <c r="U278" s="67"/>
      <c r="V278" s="187"/>
      <c r="W278" s="186"/>
      <c r="X278" s="187"/>
      <c r="Y278" s="187"/>
      <c r="Z278" s="187"/>
      <c r="AA278" s="186"/>
      <c r="AB278" s="186"/>
      <c r="AC278" s="67"/>
      <c r="AD278" s="67"/>
      <c r="AE278" s="67"/>
      <c r="AH278" s="186"/>
      <c r="AK278" s="186"/>
    </row>
    <row r="279">
      <c r="A279" s="185"/>
      <c r="B279" s="67"/>
      <c r="C279" s="67"/>
      <c r="D279" s="67"/>
      <c r="E279" s="186"/>
      <c r="F279" s="186"/>
      <c r="G279" s="186"/>
      <c r="H279" s="186"/>
      <c r="I279" s="186"/>
      <c r="J279" s="186"/>
      <c r="K279" s="186"/>
      <c r="L279" s="186"/>
      <c r="M279" s="186"/>
      <c r="N279" s="186"/>
      <c r="O279" s="186"/>
      <c r="P279" s="186"/>
      <c r="Q279" s="186"/>
      <c r="R279" s="186"/>
      <c r="S279" s="67"/>
      <c r="T279" s="67"/>
      <c r="U279" s="67"/>
      <c r="V279" s="187"/>
      <c r="W279" s="186"/>
      <c r="X279" s="187"/>
      <c r="Y279" s="187"/>
      <c r="Z279" s="187"/>
      <c r="AA279" s="186"/>
      <c r="AB279" s="186"/>
      <c r="AC279" s="67"/>
      <c r="AD279" s="67"/>
      <c r="AE279" s="67"/>
      <c r="AH279" s="186"/>
      <c r="AK279" s="186"/>
    </row>
    <row r="280">
      <c r="A280" s="185"/>
      <c r="B280" s="67"/>
      <c r="C280" s="67"/>
      <c r="D280" s="67"/>
      <c r="E280" s="186"/>
      <c r="F280" s="186"/>
      <c r="G280" s="186"/>
      <c r="H280" s="186"/>
      <c r="I280" s="186"/>
      <c r="J280" s="186"/>
      <c r="K280" s="186"/>
      <c r="L280" s="186"/>
      <c r="M280" s="186"/>
      <c r="N280" s="186"/>
      <c r="O280" s="186"/>
      <c r="P280" s="186"/>
      <c r="Q280" s="186"/>
      <c r="R280" s="186"/>
      <c r="S280" s="67"/>
      <c r="T280" s="67"/>
      <c r="U280" s="67"/>
      <c r="V280" s="187"/>
      <c r="W280" s="186"/>
      <c r="X280" s="187"/>
      <c r="Y280" s="187"/>
      <c r="Z280" s="187"/>
      <c r="AA280" s="186"/>
      <c r="AB280" s="186"/>
      <c r="AC280" s="67"/>
      <c r="AD280" s="67"/>
      <c r="AE280" s="67"/>
      <c r="AH280" s="186"/>
      <c r="AK280" s="186"/>
    </row>
    <row r="281">
      <c r="A281" s="185"/>
      <c r="B281" s="67"/>
      <c r="C281" s="67"/>
      <c r="D281" s="67"/>
      <c r="E281" s="186"/>
      <c r="F281" s="186"/>
      <c r="G281" s="186"/>
      <c r="H281" s="186"/>
      <c r="I281" s="186"/>
      <c r="J281" s="186"/>
      <c r="K281" s="186"/>
      <c r="L281" s="186"/>
      <c r="M281" s="186"/>
      <c r="N281" s="186"/>
      <c r="O281" s="186"/>
      <c r="P281" s="186"/>
      <c r="Q281" s="186"/>
      <c r="R281" s="186"/>
      <c r="S281" s="67"/>
      <c r="T281" s="67"/>
      <c r="U281" s="67"/>
      <c r="V281" s="187"/>
      <c r="W281" s="186"/>
      <c r="X281" s="187"/>
      <c r="Y281" s="187"/>
      <c r="Z281" s="187"/>
      <c r="AA281" s="186"/>
      <c r="AB281" s="186"/>
      <c r="AC281" s="67"/>
      <c r="AD281" s="67"/>
      <c r="AE281" s="67"/>
      <c r="AH281" s="186"/>
      <c r="AK281" s="186"/>
    </row>
    <row r="282">
      <c r="A282" s="185"/>
      <c r="B282" s="67"/>
      <c r="C282" s="67"/>
      <c r="D282" s="67"/>
      <c r="E282" s="186"/>
      <c r="F282" s="186"/>
      <c r="G282" s="186"/>
      <c r="H282" s="186"/>
      <c r="I282" s="186"/>
      <c r="J282" s="186"/>
      <c r="K282" s="186"/>
      <c r="L282" s="186"/>
      <c r="M282" s="186"/>
      <c r="N282" s="186"/>
      <c r="O282" s="186"/>
      <c r="P282" s="186"/>
      <c r="Q282" s="186"/>
      <c r="R282" s="186"/>
      <c r="S282" s="67"/>
      <c r="T282" s="67"/>
      <c r="U282" s="67"/>
      <c r="V282" s="187"/>
      <c r="W282" s="186"/>
      <c r="X282" s="187"/>
      <c r="Y282" s="187"/>
      <c r="Z282" s="187"/>
      <c r="AA282" s="186"/>
      <c r="AB282" s="186"/>
      <c r="AC282" s="67"/>
      <c r="AD282" s="67"/>
      <c r="AE282" s="67"/>
      <c r="AH282" s="186"/>
      <c r="AK282" s="186"/>
    </row>
    <row r="283">
      <c r="A283" s="185"/>
      <c r="B283" s="67"/>
      <c r="C283" s="67"/>
      <c r="D283" s="67"/>
      <c r="E283" s="186"/>
      <c r="F283" s="186"/>
      <c r="G283" s="186"/>
      <c r="H283" s="186"/>
      <c r="I283" s="186"/>
      <c r="J283" s="186"/>
      <c r="K283" s="186"/>
      <c r="L283" s="186"/>
      <c r="M283" s="186"/>
      <c r="N283" s="186"/>
      <c r="O283" s="186"/>
      <c r="P283" s="186"/>
      <c r="Q283" s="186"/>
      <c r="R283" s="186"/>
      <c r="S283" s="67"/>
      <c r="T283" s="67"/>
      <c r="U283" s="67"/>
      <c r="V283" s="187"/>
      <c r="W283" s="186"/>
      <c r="X283" s="187"/>
      <c r="Y283" s="187"/>
      <c r="Z283" s="187"/>
      <c r="AA283" s="186"/>
      <c r="AB283" s="186"/>
      <c r="AC283" s="67"/>
      <c r="AD283" s="67"/>
      <c r="AE283" s="67"/>
      <c r="AH283" s="186"/>
      <c r="AK283" s="186"/>
    </row>
    <row r="284">
      <c r="A284" s="185"/>
      <c r="B284" s="67"/>
      <c r="C284" s="67"/>
      <c r="D284" s="67"/>
      <c r="E284" s="186"/>
      <c r="F284" s="186"/>
      <c r="G284" s="186"/>
      <c r="H284" s="186"/>
      <c r="I284" s="186"/>
      <c r="J284" s="186"/>
      <c r="K284" s="186"/>
      <c r="L284" s="186"/>
      <c r="M284" s="186"/>
      <c r="N284" s="186"/>
      <c r="O284" s="186"/>
      <c r="P284" s="186"/>
      <c r="Q284" s="186"/>
      <c r="R284" s="186"/>
      <c r="S284" s="67"/>
      <c r="T284" s="67"/>
      <c r="U284" s="67"/>
      <c r="V284" s="187"/>
      <c r="W284" s="186"/>
      <c r="X284" s="187"/>
      <c r="Y284" s="187"/>
      <c r="Z284" s="187"/>
      <c r="AA284" s="186"/>
      <c r="AB284" s="186"/>
      <c r="AC284" s="67"/>
      <c r="AD284" s="67"/>
      <c r="AE284" s="67"/>
      <c r="AH284" s="186"/>
      <c r="AK284" s="186"/>
    </row>
    <row r="285">
      <c r="A285" s="185"/>
      <c r="B285" s="67"/>
      <c r="C285" s="67"/>
      <c r="D285" s="67"/>
      <c r="E285" s="186"/>
      <c r="F285" s="186"/>
      <c r="G285" s="186"/>
      <c r="H285" s="186"/>
      <c r="I285" s="186"/>
      <c r="J285" s="186"/>
      <c r="K285" s="186"/>
      <c r="L285" s="186"/>
      <c r="M285" s="186"/>
      <c r="N285" s="186"/>
      <c r="O285" s="186"/>
      <c r="P285" s="186"/>
      <c r="Q285" s="186"/>
      <c r="R285" s="186"/>
      <c r="S285" s="67"/>
      <c r="T285" s="67"/>
      <c r="U285" s="67"/>
      <c r="V285" s="187"/>
      <c r="W285" s="186"/>
      <c r="X285" s="187"/>
      <c r="Y285" s="187"/>
      <c r="Z285" s="187"/>
      <c r="AA285" s="186"/>
      <c r="AB285" s="186"/>
      <c r="AC285" s="67"/>
      <c r="AD285" s="67"/>
      <c r="AE285" s="67"/>
      <c r="AH285" s="186"/>
      <c r="AK285" s="186"/>
    </row>
    <row r="286">
      <c r="A286" s="185"/>
      <c r="B286" s="67"/>
      <c r="C286" s="67"/>
      <c r="D286" s="67"/>
      <c r="E286" s="186"/>
      <c r="F286" s="186"/>
      <c r="G286" s="186"/>
      <c r="H286" s="186"/>
      <c r="I286" s="186"/>
      <c r="J286" s="186"/>
      <c r="K286" s="186"/>
      <c r="L286" s="186"/>
      <c r="M286" s="186"/>
      <c r="N286" s="186"/>
      <c r="O286" s="186"/>
      <c r="P286" s="186"/>
      <c r="Q286" s="186"/>
      <c r="R286" s="186"/>
      <c r="S286" s="67"/>
      <c r="T286" s="67"/>
      <c r="U286" s="67"/>
      <c r="V286" s="187"/>
      <c r="W286" s="186"/>
      <c r="X286" s="187"/>
      <c r="Y286" s="187"/>
      <c r="Z286" s="187"/>
      <c r="AA286" s="186"/>
      <c r="AB286" s="186"/>
      <c r="AC286" s="67"/>
      <c r="AD286" s="67"/>
      <c r="AE286" s="67"/>
      <c r="AH286" s="186"/>
      <c r="AK286" s="186"/>
    </row>
    <row r="287">
      <c r="A287" s="185"/>
      <c r="B287" s="67"/>
      <c r="C287" s="67"/>
      <c r="D287" s="67"/>
      <c r="E287" s="186"/>
      <c r="F287" s="186"/>
      <c r="G287" s="186"/>
      <c r="H287" s="186"/>
      <c r="I287" s="186"/>
      <c r="J287" s="186"/>
      <c r="K287" s="186"/>
      <c r="L287" s="186"/>
      <c r="M287" s="186"/>
      <c r="N287" s="186"/>
      <c r="O287" s="186"/>
      <c r="P287" s="186"/>
      <c r="Q287" s="186"/>
      <c r="R287" s="186"/>
      <c r="S287" s="67"/>
      <c r="T287" s="67"/>
      <c r="U287" s="67"/>
      <c r="V287" s="187"/>
      <c r="W287" s="186"/>
      <c r="X287" s="187"/>
      <c r="Y287" s="187"/>
      <c r="Z287" s="187"/>
      <c r="AA287" s="186"/>
      <c r="AB287" s="186"/>
      <c r="AC287" s="67"/>
      <c r="AD287" s="67"/>
      <c r="AE287" s="67"/>
      <c r="AH287" s="186"/>
      <c r="AK287" s="186"/>
    </row>
    <row r="288">
      <c r="A288" s="185"/>
      <c r="B288" s="67"/>
      <c r="C288" s="67"/>
      <c r="D288" s="67"/>
      <c r="E288" s="186"/>
      <c r="F288" s="186"/>
      <c r="G288" s="186"/>
      <c r="H288" s="186"/>
      <c r="I288" s="186"/>
      <c r="J288" s="186"/>
      <c r="K288" s="186"/>
      <c r="L288" s="186"/>
      <c r="M288" s="186"/>
      <c r="N288" s="186"/>
      <c r="O288" s="186"/>
      <c r="P288" s="186"/>
      <c r="Q288" s="186"/>
      <c r="R288" s="186"/>
      <c r="S288" s="67"/>
      <c r="T288" s="67"/>
      <c r="U288" s="67"/>
      <c r="V288" s="187"/>
      <c r="W288" s="186"/>
      <c r="X288" s="187"/>
      <c r="Y288" s="187"/>
      <c r="Z288" s="187"/>
      <c r="AA288" s="186"/>
      <c r="AB288" s="186"/>
      <c r="AC288" s="67"/>
      <c r="AD288" s="67"/>
      <c r="AE288" s="67"/>
      <c r="AH288" s="186"/>
      <c r="AK288" s="186"/>
    </row>
    <row r="289">
      <c r="A289" s="185"/>
      <c r="B289" s="67"/>
      <c r="C289" s="67"/>
      <c r="D289" s="67"/>
      <c r="E289" s="186"/>
      <c r="F289" s="186"/>
      <c r="G289" s="186"/>
      <c r="H289" s="186"/>
      <c r="I289" s="186"/>
      <c r="J289" s="186"/>
      <c r="K289" s="186"/>
      <c r="L289" s="186"/>
      <c r="M289" s="186"/>
      <c r="N289" s="186"/>
      <c r="O289" s="186"/>
      <c r="P289" s="186"/>
      <c r="Q289" s="186"/>
      <c r="R289" s="186"/>
      <c r="S289" s="67"/>
      <c r="T289" s="67"/>
      <c r="U289" s="67"/>
      <c r="V289" s="187"/>
      <c r="W289" s="186"/>
      <c r="X289" s="187"/>
      <c r="Y289" s="187"/>
      <c r="Z289" s="187"/>
      <c r="AA289" s="186"/>
      <c r="AB289" s="186"/>
      <c r="AC289" s="67"/>
      <c r="AD289" s="67"/>
      <c r="AE289" s="67"/>
      <c r="AH289" s="186"/>
      <c r="AK289" s="186"/>
    </row>
    <row r="290">
      <c r="A290" s="185"/>
      <c r="B290" s="67"/>
      <c r="C290" s="67"/>
      <c r="D290" s="67"/>
      <c r="E290" s="186"/>
      <c r="F290" s="186"/>
      <c r="G290" s="186"/>
      <c r="H290" s="186"/>
      <c r="I290" s="186"/>
      <c r="J290" s="186"/>
      <c r="K290" s="186"/>
      <c r="L290" s="186"/>
      <c r="M290" s="186"/>
      <c r="N290" s="186"/>
      <c r="O290" s="186"/>
      <c r="P290" s="186"/>
      <c r="Q290" s="186"/>
      <c r="R290" s="186"/>
      <c r="S290" s="67"/>
      <c r="T290" s="67"/>
      <c r="U290" s="67"/>
      <c r="V290" s="187"/>
      <c r="W290" s="186"/>
      <c r="X290" s="187"/>
      <c r="Y290" s="187"/>
      <c r="Z290" s="187"/>
      <c r="AA290" s="186"/>
      <c r="AB290" s="186"/>
      <c r="AC290" s="67"/>
      <c r="AD290" s="67"/>
      <c r="AE290" s="67"/>
      <c r="AH290" s="186"/>
      <c r="AK290" s="186"/>
    </row>
    <row r="291">
      <c r="A291" s="185"/>
      <c r="B291" s="67"/>
      <c r="C291" s="67"/>
      <c r="D291" s="67"/>
      <c r="E291" s="186"/>
      <c r="F291" s="186"/>
      <c r="G291" s="186"/>
      <c r="H291" s="186"/>
      <c r="I291" s="186"/>
      <c r="J291" s="186"/>
      <c r="K291" s="186"/>
      <c r="L291" s="186"/>
      <c r="M291" s="186"/>
      <c r="N291" s="186"/>
      <c r="O291" s="186"/>
      <c r="P291" s="186"/>
      <c r="Q291" s="186"/>
      <c r="R291" s="186"/>
      <c r="S291" s="67"/>
      <c r="T291" s="67"/>
      <c r="U291" s="67"/>
      <c r="V291" s="187"/>
      <c r="W291" s="186"/>
      <c r="X291" s="187"/>
      <c r="Y291" s="187"/>
      <c r="Z291" s="187"/>
      <c r="AA291" s="186"/>
      <c r="AB291" s="186"/>
      <c r="AC291" s="67"/>
      <c r="AD291" s="67"/>
      <c r="AE291" s="67"/>
      <c r="AH291" s="186"/>
      <c r="AK291" s="186"/>
    </row>
    <row r="292">
      <c r="A292" s="185"/>
      <c r="B292" s="67"/>
      <c r="C292" s="67"/>
      <c r="D292" s="67"/>
      <c r="E292" s="186"/>
      <c r="F292" s="186"/>
      <c r="G292" s="186"/>
      <c r="H292" s="186"/>
      <c r="I292" s="186"/>
      <c r="J292" s="186"/>
      <c r="K292" s="186"/>
      <c r="L292" s="186"/>
      <c r="M292" s="186"/>
      <c r="N292" s="186"/>
      <c r="O292" s="186"/>
      <c r="P292" s="186"/>
      <c r="Q292" s="186"/>
      <c r="R292" s="186"/>
      <c r="S292" s="67"/>
      <c r="T292" s="67"/>
      <c r="U292" s="67"/>
      <c r="V292" s="187"/>
      <c r="W292" s="186"/>
      <c r="X292" s="187"/>
      <c r="Y292" s="187"/>
      <c r="Z292" s="187"/>
      <c r="AA292" s="186"/>
      <c r="AB292" s="186"/>
      <c r="AC292" s="67"/>
      <c r="AD292" s="67"/>
      <c r="AE292" s="67"/>
      <c r="AH292" s="186"/>
      <c r="AK292" s="186"/>
    </row>
    <row r="293">
      <c r="A293" s="185"/>
      <c r="B293" s="67"/>
      <c r="C293" s="67"/>
      <c r="D293" s="67"/>
      <c r="E293" s="186"/>
      <c r="F293" s="186"/>
      <c r="G293" s="186"/>
      <c r="H293" s="186"/>
      <c r="I293" s="186"/>
      <c r="J293" s="186"/>
      <c r="K293" s="186"/>
      <c r="L293" s="186"/>
      <c r="M293" s="186"/>
      <c r="N293" s="186"/>
      <c r="O293" s="186"/>
      <c r="P293" s="186"/>
      <c r="Q293" s="186"/>
      <c r="R293" s="186"/>
      <c r="S293" s="67"/>
      <c r="T293" s="67"/>
      <c r="U293" s="67"/>
      <c r="V293" s="187"/>
      <c r="W293" s="186"/>
      <c r="X293" s="187"/>
      <c r="Y293" s="187"/>
      <c r="Z293" s="187"/>
      <c r="AA293" s="186"/>
      <c r="AB293" s="186"/>
      <c r="AC293" s="67"/>
      <c r="AD293" s="67"/>
      <c r="AE293" s="67"/>
      <c r="AH293" s="186"/>
      <c r="AK293" s="186"/>
    </row>
    <row r="294">
      <c r="A294" s="185"/>
      <c r="B294" s="67"/>
      <c r="C294" s="67"/>
      <c r="D294" s="67"/>
      <c r="E294" s="186"/>
      <c r="F294" s="186"/>
      <c r="G294" s="186"/>
      <c r="H294" s="186"/>
      <c r="I294" s="186"/>
      <c r="J294" s="186"/>
      <c r="K294" s="186"/>
      <c r="L294" s="186"/>
      <c r="M294" s="186"/>
      <c r="N294" s="186"/>
      <c r="O294" s="186"/>
      <c r="P294" s="186"/>
      <c r="Q294" s="186"/>
      <c r="R294" s="186"/>
      <c r="S294" s="67"/>
      <c r="T294" s="67"/>
      <c r="U294" s="67"/>
      <c r="V294" s="187"/>
      <c r="W294" s="186"/>
      <c r="X294" s="187"/>
      <c r="Y294" s="187"/>
      <c r="Z294" s="187"/>
      <c r="AA294" s="186"/>
      <c r="AB294" s="186"/>
      <c r="AC294" s="67"/>
      <c r="AD294" s="67"/>
      <c r="AE294" s="67"/>
      <c r="AH294" s="186"/>
      <c r="AK294" s="186"/>
    </row>
    <row r="295">
      <c r="A295" s="185"/>
      <c r="B295" s="67"/>
      <c r="C295" s="67"/>
      <c r="D295" s="67"/>
      <c r="E295" s="186"/>
      <c r="F295" s="186"/>
      <c r="G295" s="186"/>
      <c r="H295" s="186"/>
      <c r="I295" s="186"/>
      <c r="J295" s="186"/>
      <c r="K295" s="186"/>
      <c r="L295" s="186"/>
      <c r="M295" s="186"/>
      <c r="N295" s="186"/>
      <c r="O295" s="186"/>
      <c r="P295" s="186"/>
      <c r="Q295" s="186"/>
      <c r="R295" s="186"/>
      <c r="S295" s="67"/>
      <c r="T295" s="67"/>
      <c r="U295" s="67"/>
      <c r="V295" s="187"/>
      <c r="W295" s="186"/>
      <c r="X295" s="187"/>
      <c r="Y295" s="187"/>
      <c r="Z295" s="187"/>
      <c r="AA295" s="186"/>
      <c r="AB295" s="186"/>
      <c r="AC295" s="67"/>
      <c r="AD295" s="67"/>
      <c r="AE295" s="67"/>
      <c r="AH295" s="186"/>
      <c r="AK295" s="186"/>
    </row>
    <row r="296">
      <c r="A296" s="185"/>
      <c r="B296" s="67"/>
      <c r="C296" s="67"/>
      <c r="D296" s="67"/>
      <c r="E296" s="186"/>
      <c r="F296" s="186"/>
      <c r="G296" s="186"/>
      <c r="H296" s="186"/>
      <c r="I296" s="186"/>
      <c r="J296" s="186"/>
      <c r="K296" s="186"/>
      <c r="L296" s="186"/>
      <c r="M296" s="186"/>
      <c r="N296" s="186"/>
      <c r="O296" s="186"/>
      <c r="P296" s="186"/>
      <c r="Q296" s="186"/>
      <c r="R296" s="186"/>
      <c r="S296" s="67"/>
      <c r="T296" s="67"/>
      <c r="U296" s="67"/>
      <c r="V296" s="187"/>
      <c r="W296" s="186"/>
      <c r="X296" s="187"/>
      <c r="Y296" s="187"/>
      <c r="Z296" s="187"/>
      <c r="AA296" s="186"/>
      <c r="AB296" s="186"/>
      <c r="AC296" s="67"/>
      <c r="AD296" s="67"/>
      <c r="AE296" s="67"/>
      <c r="AH296" s="186"/>
      <c r="AK296" s="186"/>
    </row>
    <row r="297">
      <c r="A297" s="185"/>
      <c r="B297" s="67"/>
      <c r="C297" s="67"/>
      <c r="D297" s="67"/>
      <c r="E297" s="186"/>
      <c r="F297" s="186"/>
      <c r="G297" s="186"/>
      <c r="H297" s="186"/>
      <c r="I297" s="186"/>
      <c r="J297" s="186"/>
      <c r="K297" s="186"/>
      <c r="L297" s="186"/>
      <c r="M297" s="186"/>
      <c r="N297" s="186"/>
      <c r="O297" s="186"/>
      <c r="P297" s="186"/>
      <c r="Q297" s="186"/>
      <c r="R297" s="186"/>
      <c r="S297" s="67"/>
      <c r="T297" s="67"/>
      <c r="U297" s="67"/>
      <c r="V297" s="187"/>
      <c r="W297" s="186"/>
      <c r="X297" s="187"/>
      <c r="Y297" s="187"/>
      <c r="Z297" s="187"/>
      <c r="AA297" s="186"/>
      <c r="AB297" s="186"/>
      <c r="AC297" s="67"/>
      <c r="AD297" s="67"/>
      <c r="AE297" s="67"/>
      <c r="AH297" s="186"/>
      <c r="AK297" s="186"/>
    </row>
    <row r="298">
      <c r="A298" s="185"/>
      <c r="B298" s="67"/>
      <c r="C298" s="67"/>
      <c r="D298" s="67"/>
      <c r="E298" s="186"/>
      <c r="F298" s="186"/>
      <c r="G298" s="186"/>
      <c r="H298" s="186"/>
      <c r="I298" s="186"/>
      <c r="J298" s="186"/>
      <c r="K298" s="186"/>
      <c r="L298" s="186"/>
      <c r="M298" s="186"/>
      <c r="N298" s="186"/>
      <c r="O298" s="186"/>
      <c r="P298" s="186"/>
      <c r="Q298" s="186"/>
      <c r="R298" s="186"/>
      <c r="S298" s="67"/>
      <c r="T298" s="67"/>
      <c r="U298" s="67"/>
      <c r="V298" s="187"/>
      <c r="W298" s="186"/>
      <c r="X298" s="187"/>
      <c r="Y298" s="187"/>
      <c r="Z298" s="187"/>
      <c r="AA298" s="186"/>
      <c r="AB298" s="186"/>
      <c r="AC298" s="67"/>
      <c r="AD298" s="67"/>
      <c r="AE298" s="67"/>
      <c r="AH298" s="186"/>
      <c r="AK298" s="186"/>
    </row>
    <row r="299">
      <c r="A299" s="185"/>
      <c r="B299" s="67"/>
      <c r="C299" s="67"/>
      <c r="D299" s="67"/>
      <c r="E299" s="186"/>
      <c r="F299" s="186"/>
      <c r="G299" s="186"/>
      <c r="H299" s="186"/>
      <c r="I299" s="186"/>
      <c r="J299" s="186"/>
      <c r="K299" s="186"/>
      <c r="L299" s="186"/>
      <c r="M299" s="186"/>
      <c r="N299" s="186"/>
      <c r="O299" s="186"/>
      <c r="P299" s="186"/>
      <c r="Q299" s="186"/>
      <c r="R299" s="186"/>
      <c r="S299" s="67"/>
      <c r="T299" s="67"/>
      <c r="U299" s="67"/>
      <c r="V299" s="187"/>
      <c r="W299" s="186"/>
      <c r="X299" s="187"/>
      <c r="Y299" s="187"/>
      <c r="Z299" s="187"/>
      <c r="AA299" s="186"/>
      <c r="AB299" s="186"/>
      <c r="AC299" s="67"/>
      <c r="AD299" s="67"/>
      <c r="AE299" s="67"/>
      <c r="AH299" s="186"/>
      <c r="AK299" s="186"/>
    </row>
    <row r="300">
      <c r="A300" s="185"/>
      <c r="B300" s="67"/>
      <c r="C300" s="67"/>
      <c r="D300" s="67"/>
      <c r="E300" s="186"/>
      <c r="F300" s="186"/>
      <c r="G300" s="186"/>
      <c r="H300" s="186"/>
      <c r="I300" s="186"/>
      <c r="J300" s="186"/>
      <c r="K300" s="186"/>
      <c r="L300" s="186"/>
      <c r="M300" s="186"/>
      <c r="N300" s="186"/>
      <c r="O300" s="186"/>
      <c r="P300" s="186"/>
      <c r="Q300" s="186"/>
      <c r="R300" s="186"/>
      <c r="S300" s="67"/>
      <c r="T300" s="67"/>
      <c r="U300" s="67"/>
      <c r="V300" s="187"/>
      <c r="W300" s="186"/>
      <c r="X300" s="187"/>
      <c r="Y300" s="187"/>
      <c r="Z300" s="187"/>
      <c r="AA300" s="186"/>
      <c r="AB300" s="186"/>
      <c r="AC300" s="67"/>
      <c r="AD300" s="67"/>
      <c r="AE300" s="67"/>
      <c r="AH300" s="186"/>
      <c r="AK300" s="186"/>
    </row>
    <row r="301">
      <c r="A301" s="185"/>
      <c r="B301" s="67"/>
      <c r="C301" s="67"/>
      <c r="D301" s="67"/>
      <c r="E301" s="186"/>
      <c r="F301" s="186"/>
      <c r="G301" s="186"/>
      <c r="H301" s="186"/>
      <c r="I301" s="186"/>
      <c r="J301" s="186"/>
      <c r="K301" s="186"/>
      <c r="L301" s="186"/>
      <c r="M301" s="186"/>
      <c r="N301" s="186"/>
      <c r="O301" s="186"/>
      <c r="P301" s="186"/>
      <c r="Q301" s="186"/>
      <c r="R301" s="186"/>
      <c r="S301" s="67"/>
      <c r="T301" s="67"/>
      <c r="U301" s="67"/>
      <c r="V301" s="187"/>
      <c r="W301" s="186"/>
      <c r="X301" s="187"/>
      <c r="Y301" s="187"/>
      <c r="Z301" s="187"/>
      <c r="AA301" s="186"/>
      <c r="AB301" s="186"/>
      <c r="AC301" s="67"/>
      <c r="AD301" s="67"/>
      <c r="AE301" s="67"/>
      <c r="AH301" s="186"/>
      <c r="AK301" s="186"/>
    </row>
    <row r="302">
      <c r="A302" s="185"/>
      <c r="B302" s="67"/>
      <c r="C302" s="67"/>
      <c r="D302" s="67"/>
      <c r="E302" s="186"/>
      <c r="F302" s="186"/>
      <c r="G302" s="186"/>
      <c r="H302" s="186"/>
      <c r="I302" s="186"/>
      <c r="J302" s="186"/>
      <c r="K302" s="186"/>
      <c r="L302" s="186"/>
      <c r="M302" s="186"/>
      <c r="N302" s="186"/>
      <c r="O302" s="186"/>
      <c r="P302" s="186"/>
      <c r="Q302" s="186"/>
      <c r="R302" s="186"/>
      <c r="S302" s="67"/>
      <c r="T302" s="67"/>
      <c r="U302" s="67"/>
      <c r="V302" s="187"/>
      <c r="W302" s="186"/>
      <c r="X302" s="187"/>
      <c r="Y302" s="187"/>
      <c r="Z302" s="187"/>
      <c r="AA302" s="186"/>
      <c r="AB302" s="186"/>
      <c r="AC302" s="67"/>
      <c r="AD302" s="67"/>
      <c r="AE302" s="67"/>
      <c r="AH302" s="186"/>
      <c r="AK302" s="186"/>
    </row>
    <row r="303">
      <c r="A303" s="185"/>
      <c r="B303" s="67"/>
      <c r="C303" s="67"/>
      <c r="D303" s="67"/>
      <c r="E303" s="186"/>
      <c r="F303" s="186"/>
      <c r="G303" s="186"/>
      <c r="H303" s="186"/>
      <c r="I303" s="186"/>
      <c r="J303" s="186"/>
      <c r="K303" s="186"/>
      <c r="L303" s="186"/>
      <c r="M303" s="186"/>
      <c r="N303" s="186"/>
      <c r="O303" s="186"/>
      <c r="P303" s="186"/>
      <c r="Q303" s="186"/>
      <c r="R303" s="186"/>
      <c r="S303" s="67"/>
      <c r="T303" s="67"/>
      <c r="U303" s="67"/>
      <c r="V303" s="187"/>
      <c r="W303" s="186"/>
      <c r="X303" s="187"/>
      <c r="Y303" s="187"/>
      <c r="Z303" s="187"/>
      <c r="AA303" s="186"/>
      <c r="AB303" s="186"/>
      <c r="AC303" s="67"/>
      <c r="AD303" s="67"/>
      <c r="AE303" s="67"/>
      <c r="AH303" s="186"/>
      <c r="AK303" s="186"/>
    </row>
    <row r="304">
      <c r="A304" s="185"/>
      <c r="B304" s="67"/>
      <c r="C304" s="67"/>
      <c r="D304" s="67"/>
      <c r="E304" s="186"/>
      <c r="F304" s="186"/>
      <c r="G304" s="186"/>
      <c r="H304" s="186"/>
      <c r="I304" s="186"/>
      <c r="J304" s="186"/>
      <c r="K304" s="186"/>
      <c r="L304" s="186"/>
      <c r="M304" s="186"/>
      <c r="N304" s="186"/>
      <c r="O304" s="186"/>
      <c r="P304" s="186"/>
      <c r="Q304" s="186"/>
      <c r="R304" s="186"/>
      <c r="S304" s="67"/>
      <c r="T304" s="67"/>
      <c r="U304" s="67"/>
      <c r="V304" s="187"/>
      <c r="W304" s="186"/>
      <c r="X304" s="187"/>
      <c r="Y304" s="187"/>
      <c r="Z304" s="187"/>
      <c r="AA304" s="186"/>
      <c r="AB304" s="186"/>
      <c r="AC304" s="67"/>
      <c r="AD304" s="67"/>
      <c r="AE304" s="67"/>
      <c r="AH304" s="186"/>
      <c r="AK304" s="186"/>
    </row>
    <row r="305">
      <c r="A305" s="185"/>
      <c r="B305" s="67"/>
      <c r="C305" s="67"/>
      <c r="D305" s="67"/>
      <c r="E305" s="186"/>
      <c r="F305" s="186"/>
      <c r="G305" s="186"/>
      <c r="H305" s="186"/>
      <c r="I305" s="186"/>
      <c r="J305" s="186"/>
      <c r="K305" s="186"/>
      <c r="L305" s="186"/>
      <c r="M305" s="186"/>
      <c r="N305" s="186"/>
      <c r="O305" s="186"/>
      <c r="P305" s="186"/>
      <c r="Q305" s="186"/>
      <c r="R305" s="186"/>
      <c r="S305" s="67"/>
      <c r="T305" s="67"/>
      <c r="U305" s="67"/>
      <c r="V305" s="187"/>
      <c r="W305" s="186"/>
      <c r="X305" s="187"/>
      <c r="Y305" s="187"/>
      <c r="Z305" s="187"/>
      <c r="AA305" s="186"/>
      <c r="AB305" s="186"/>
      <c r="AC305" s="67"/>
      <c r="AD305" s="67"/>
      <c r="AE305" s="67"/>
      <c r="AH305" s="186"/>
      <c r="AK305" s="186"/>
    </row>
    <row r="306">
      <c r="A306" s="185"/>
      <c r="B306" s="67"/>
      <c r="C306" s="67"/>
      <c r="D306" s="67"/>
      <c r="E306" s="186"/>
      <c r="F306" s="186"/>
      <c r="G306" s="186"/>
      <c r="H306" s="186"/>
      <c r="I306" s="186"/>
      <c r="J306" s="186"/>
      <c r="K306" s="186"/>
      <c r="L306" s="186"/>
      <c r="M306" s="186"/>
      <c r="N306" s="186"/>
      <c r="O306" s="186"/>
      <c r="P306" s="186"/>
      <c r="Q306" s="186"/>
      <c r="R306" s="186"/>
      <c r="S306" s="67"/>
      <c r="T306" s="67"/>
      <c r="U306" s="67"/>
      <c r="V306" s="187"/>
      <c r="W306" s="186"/>
      <c r="X306" s="187"/>
      <c r="Y306" s="187"/>
      <c r="Z306" s="187"/>
      <c r="AA306" s="186"/>
      <c r="AB306" s="186"/>
      <c r="AC306" s="67"/>
      <c r="AD306" s="67"/>
      <c r="AE306" s="67"/>
      <c r="AH306" s="186"/>
      <c r="AK306" s="186"/>
    </row>
    <row r="307">
      <c r="A307" s="185"/>
      <c r="B307" s="67"/>
      <c r="C307" s="67"/>
      <c r="D307" s="67"/>
      <c r="E307" s="186"/>
      <c r="F307" s="186"/>
      <c r="G307" s="186"/>
      <c r="H307" s="186"/>
      <c r="I307" s="186"/>
      <c r="J307" s="186"/>
      <c r="K307" s="186"/>
      <c r="L307" s="186"/>
      <c r="M307" s="186"/>
      <c r="N307" s="186"/>
      <c r="O307" s="186"/>
      <c r="P307" s="186"/>
      <c r="Q307" s="186"/>
      <c r="R307" s="186"/>
      <c r="S307" s="67"/>
      <c r="T307" s="67"/>
      <c r="U307" s="67"/>
      <c r="V307" s="187"/>
      <c r="W307" s="186"/>
      <c r="X307" s="187"/>
      <c r="Y307" s="187"/>
      <c r="Z307" s="187"/>
      <c r="AA307" s="186"/>
      <c r="AB307" s="186"/>
      <c r="AC307" s="67"/>
      <c r="AD307" s="67"/>
      <c r="AE307" s="67"/>
      <c r="AH307" s="186"/>
      <c r="AK307" s="186"/>
    </row>
    <row r="308">
      <c r="A308" s="185"/>
      <c r="B308" s="67"/>
      <c r="C308" s="67"/>
      <c r="D308" s="67"/>
      <c r="E308" s="186"/>
      <c r="F308" s="186"/>
      <c r="G308" s="186"/>
      <c r="H308" s="186"/>
      <c r="I308" s="186"/>
      <c r="J308" s="186"/>
      <c r="K308" s="186"/>
      <c r="L308" s="186"/>
      <c r="M308" s="186"/>
      <c r="N308" s="186"/>
      <c r="O308" s="186"/>
      <c r="P308" s="186"/>
      <c r="Q308" s="186"/>
      <c r="R308" s="186"/>
      <c r="S308" s="67"/>
      <c r="T308" s="67"/>
      <c r="U308" s="67"/>
      <c r="V308" s="187"/>
      <c r="W308" s="186"/>
      <c r="X308" s="187"/>
      <c r="Y308" s="187"/>
      <c r="Z308" s="187"/>
      <c r="AA308" s="186"/>
      <c r="AB308" s="186"/>
      <c r="AC308" s="67"/>
      <c r="AD308" s="67"/>
      <c r="AE308" s="67"/>
      <c r="AH308" s="186"/>
      <c r="AK308" s="186"/>
    </row>
    <row r="309">
      <c r="A309" s="185"/>
      <c r="B309" s="67"/>
      <c r="C309" s="67"/>
      <c r="D309" s="67"/>
      <c r="E309" s="186"/>
      <c r="F309" s="186"/>
      <c r="G309" s="186"/>
      <c r="H309" s="186"/>
      <c r="I309" s="186"/>
      <c r="J309" s="186"/>
      <c r="K309" s="186"/>
      <c r="L309" s="186"/>
      <c r="M309" s="186"/>
      <c r="N309" s="186"/>
      <c r="O309" s="186"/>
      <c r="P309" s="186"/>
      <c r="Q309" s="186"/>
      <c r="R309" s="186"/>
      <c r="S309" s="67"/>
      <c r="T309" s="67"/>
      <c r="U309" s="67"/>
      <c r="V309" s="187"/>
      <c r="W309" s="186"/>
      <c r="X309" s="187"/>
      <c r="Y309" s="187"/>
      <c r="Z309" s="187"/>
      <c r="AA309" s="186"/>
      <c r="AB309" s="186"/>
      <c r="AC309" s="67"/>
      <c r="AD309" s="67"/>
      <c r="AE309" s="67"/>
      <c r="AH309" s="186"/>
      <c r="AK309" s="186"/>
    </row>
    <row r="310">
      <c r="A310" s="185"/>
      <c r="B310" s="67"/>
      <c r="C310" s="67"/>
      <c r="D310" s="67"/>
      <c r="E310" s="186"/>
      <c r="F310" s="186"/>
      <c r="G310" s="186"/>
      <c r="H310" s="186"/>
      <c r="I310" s="186"/>
      <c r="J310" s="186"/>
      <c r="K310" s="186"/>
      <c r="L310" s="186"/>
      <c r="M310" s="186"/>
      <c r="N310" s="186"/>
      <c r="O310" s="186"/>
      <c r="P310" s="186"/>
      <c r="Q310" s="186"/>
      <c r="R310" s="186"/>
      <c r="S310" s="67"/>
      <c r="T310" s="67"/>
      <c r="U310" s="67"/>
      <c r="V310" s="187"/>
      <c r="W310" s="186"/>
      <c r="X310" s="187"/>
      <c r="Y310" s="187"/>
      <c r="Z310" s="187"/>
      <c r="AA310" s="186"/>
      <c r="AB310" s="186"/>
      <c r="AC310" s="67"/>
      <c r="AD310" s="67"/>
      <c r="AE310" s="67"/>
      <c r="AH310" s="186"/>
      <c r="AK310" s="186"/>
    </row>
    <row r="311">
      <c r="A311" s="185"/>
      <c r="B311" s="67"/>
      <c r="C311" s="67"/>
      <c r="D311" s="67"/>
      <c r="E311" s="186"/>
      <c r="F311" s="186"/>
      <c r="G311" s="186"/>
      <c r="H311" s="186"/>
      <c r="I311" s="186"/>
      <c r="J311" s="186"/>
      <c r="K311" s="186"/>
      <c r="L311" s="186"/>
      <c r="M311" s="186"/>
      <c r="N311" s="186"/>
      <c r="O311" s="186"/>
      <c r="P311" s="186"/>
      <c r="Q311" s="186"/>
      <c r="R311" s="186"/>
      <c r="S311" s="67"/>
      <c r="T311" s="67"/>
      <c r="U311" s="67"/>
      <c r="V311" s="187"/>
      <c r="W311" s="186"/>
      <c r="X311" s="187"/>
      <c r="Y311" s="187"/>
      <c r="Z311" s="187"/>
      <c r="AA311" s="186"/>
      <c r="AB311" s="186"/>
      <c r="AC311" s="67"/>
      <c r="AD311" s="67"/>
      <c r="AE311" s="67"/>
      <c r="AH311" s="186"/>
      <c r="AK311" s="186"/>
    </row>
    <row r="312">
      <c r="A312" s="185"/>
      <c r="B312" s="67"/>
      <c r="C312" s="67"/>
      <c r="D312" s="67"/>
      <c r="E312" s="186"/>
      <c r="F312" s="186"/>
      <c r="G312" s="186"/>
      <c r="H312" s="186"/>
      <c r="I312" s="186"/>
      <c r="J312" s="186"/>
      <c r="K312" s="186"/>
      <c r="L312" s="186"/>
      <c r="M312" s="186"/>
      <c r="N312" s="186"/>
      <c r="O312" s="186"/>
      <c r="P312" s="186"/>
      <c r="Q312" s="186"/>
      <c r="R312" s="186"/>
      <c r="S312" s="67"/>
      <c r="T312" s="67"/>
      <c r="U312" s="67"/>
      <c r="V312" s="187"/>
      <c r="W312" s="186"/>
      <c r="X312" s="187"/>
      <c r="Y312" s="187"/>
      <c r="Z312" s="187"/>
      <c r="AA312" s="186"/>
      <c r="AB312" s="186"/>
      <c r="AC312" s="67"/>
      <c r="AD312" s="67"/>
      <c r="AE312" s="67"/>
      <c r="AH312" s="186"/>
      <c r="AK312" s="186"/>
    </row>
    <row r="313">
      <c r="A313" s="185"/>
      <c r="B313" s="67"/>
      <c r="C313" s="67"/>
      <c r="D313" s="67"/>
      <c r="E313" s="186"/>
      <c r="F313" s="186"/>
      <c r="G313" s="186"/>
      <c r="H313" s="186"/>
      <c r="I313" s="186"/>
      <c r="J313" s="186"/>
      <c r="K313" s="186"/>
      <c r="L313" s="186"/>
      <c r="M313" s="186"/>
      <c r="N313" s="186"/>
      <c r="O313" s="186"/>
      <c r="P313" s="186"/>
      <c r="Q313" s="186"/>
      <c r="R313" s="186"/>
      <c r="S313" s="67"/>
      <c r="T313" s="67"/>
      <c r="U313" s="67"/>
      <c r="V313" s="187"/>
      <c r="W313" s="186"/>
      <c r="X313" s="187"/>
      <c r="Y313" s="187"/>
      <c r="Z313" s="187"/>
      <c r="AA313" s="186"/>
      <c r="AB313" s="186"/>
      <c r="AC313" s="67"/>
      <c r="AD313" s="67"/>
      <c r="AE313" s="67"/>
      <c r="AH313" s="186"/>
      <c r="AK313" s="186"/>
    </row>
    <row r="314">
      <c r="A314" s="185"/>
      <c r="B314" s="67"/>
      <c r="C314" s="67"/>
      <c r="D314" s="67"/>
      <c r="E314" s="186"/>
      <c r="F314" s="186"/>
      <c r="G314" s="186"/>
      <c r="H314" s="186"/>
      <c r="I314" s="186"/>
      <c r="J314" s="186"/>
      <c r="K314" s="186"/>
      <c r="L314" s="186"/>
      <c r="M314" s="186"/>
      <c r="N314" s="186"/>
      <c r="O314" s="186"/>
      <c r="P314" s="186"/>
      <c r="Q314" s="186"/>
      <c r="R314" s="186"/>
      <c r="S314" s="67"/>
      <c r="T314" s="67"/>
      <c r="U314" s="67"/>
      <c r="V314" s="187"/>
      <c r="W314" s="186"/>
      <c r="X314" s="187"/>
      <c r="Y314" s="187"/>
      <c r="Z314" s="187"/>
      <c r="AA314" s="186"/>
      <c r="AB314" s="186"/>
      <c r="AC314" s="67"/>
      <c r="AD314" s="67"/>
      <c r="AE314" s="67"/>
      <c r="AH314" s="186"/>
      <c r="AK314" s="186"/>
    </row>
    <row r="315">
      <c r="A315" s="185"/>
      <c r="B315" s="67"/>
      <c r="C315" s="67"/>
      <c r="D315" s="67"/>
      <c r="E315" s="186"/>
      <c r="F315" s="186"/>
      <c r="G315" s="186"/>
      <c r="H315" s="186"/>
      <c r="I315" s="186"/>
      <c r="J315" s="186"/>
      <c r="K315" s="186"/>
      <c r="L315" s="186"/>
      <c r="M315" s="186"/>
      <c r="N315" s="186"/>
      <c r="O315" s="186"/>
      <c r="P315" s="186"/>
      <c r="Q315" s="186"/>
      <c r="R315" s="186"/>
      <c r="S315" s="67"/>
      <c r="T315" s="67"/>
      <c r="U315" s="67"/>
      <c r="V315" s="187"/>
      <c r="W315" s="186"/>
      <c r="X315" s="187"/>
      <c r="Y315" s="187"/>
      <c r="Z315" s="187"/>
      <c r="AA315" s="186"/>
      <c r="AB315" s="186"/>
      <c r="AC315" s="67"/>
      <c r="AD315" s="67"/>
      <c r="AE315" s="67"/>
      <c r="AH315" s="186"/>
      <c r="AK315" s="186"/>
    </row>
    <row r="316">
      <c r="A316" s="185"/>
      <c r="B316" s="67"/>
      <c r="C316" s="67"/>
      <c r="D316" s="67"/>
      <c r="E316" s="186"/>
      <c r="F316" s="186"/>
      <c r="G316" s="186"/>
      <c r="H316" s="186"/>
      <c r="I316" s="186"/>
      <c r="J316" s="186"/>
      <c r="K316" s="186"/>
      <c r="L316" s="186"/>
      <c r="M316" s="186"/>
      <c r="N316" s="186"/>
      <c r="O316" s="186"/>
      <c r="P316" s="186"/>
      <c r="Q316" s="186"/>
      <c r="R316" s="186"/>
      <c r="S316" s="67"/>
      <c r="T316" s="67"/>
      <c r="U316" s="67"/>
      <c r="V316" s="187"/>
      <c r="W316" s="186"/>
      <c r="X316" s="187"/>
      <c r="Y316" s="187"/>
      <c r="Z316" s="187"/>
      <c r="AA316" s="186"/>
      <c r="AB316" s="186"/>
      <c r="AC316" s="67"/>
      <c r="AD316" s="67"/>
      <c r="AE316" s="67"/>
      <c r="AH316" s="186"/>
      <c r="AK316" s="186"/>
    </row>
    <row r="317">
      <c r="A317" s="185"/>
      <c r="B317" s="67"/>
      <c r="C317" s="67"/>
      <c r="D317" s="67"/>
      <c r="E317" s="186"/>
      <c r="F317" s="186"/>
      <c r="G317" s="186"/>
      <c r="H317" s="186"/>
      <c r="I317" s="186"/>
      <c r="J317" s="186"/>
      <c r="K317" s="186"/>
      <c r="L317" s="186"/>
      <c r="M317" s="186"/>
      <c r="N317" s="186"/>
      <c r="O317" s="186"/>
      <c r="P317" s="186"/>
      <c r="Q317" s="186"/>
      <c r="R317" s="186"/>
      <c r="S317" s="67"/>
      <c r="T317" s="67"/>
      <c r="U317" s="67"/>
      <c r="V317" s="187"/>
      <c r="W317" s="186"/>
      <c r="X317" s="187"/>
      <c r="Y317" s="187"/>
      <c r="Z317" s="187"/>
      <c r="AA317" s="186"/>
      <c r="AB317" s="186"/>
      <c r="AC317" s="67"/>
      <c r="AD317" s="67"/>
      <c r="AE317" s="67"/>
      <c r="AH317" s="186"/>
      <c r="AK317" s="186"/>
    </row>
    <row r="318">
      <c r="A318" s="185"/>
      <c r="B318" s="67"/>
      <c r="C318" s="67"/>
      <c r="D318" s="67"/>
      <c r="E318" s="186"/>
      <c r="F318" s="186"/>
      <c r="G318" s="186"/>
      <c r="H318" s="186"/>
      <c r="I318" s="186"/>
      <c r="J318" s="186"/>
      <c r="K318" s="186"/>
      <c r="L318" s="186"/>
      <c r="M318" s="186"/>
      <c r="N318" s="186"/>
      <c r="O318" s="186"/>
      <c r="P318" s="186"/>
      <c r="Q318" s="186"/>
      <c r="R318" s="186"/>
      <c r="S318" s="67"/>
      <c r="T318" s="67"/>
      <c r="U318" s="67"/>
      <c r="V318" s="187"/>
      <c r="W318" s="186"/>
      <c r="X318" s="187"/>
      <c r="Y318" s="187"/>
      <c r="Z318" s="187"/>
      <c r="AA318" s="186"/>
      <c r="AB318" s="186"/>
      <c r="AC318" s="67"/>
      <c r="AD318" s="67"/>
      <c r="AE318" s="67"/>
      <c r="AH318" s="186"/>
      <c r="AK318" s="186"/>
    </row>
    <row r="319">
      <c r="A319" s="185"/>
      <c r="B319" s="67"/>
      <c r="C319" s="67"/>
      <c r="D319" s="67"/>
      <c r="E319" s="186"/>
      <c r="F319" s="186"/>
      <c r="G319" s="186"/>
      <c r="H319" s="186"/>
      <c r="I319" s="186"/>
      <c r="J319" s="186"/>
      <c r="K319" s="186"/>
      <c r="L319" s="186"/>
      <c r="M319" s="186"/>
      <c r="N319" s="186"/>
      <c r="O319" s="186"/>
      <c r="P319" s="186"/>
      <c r="Q319" s="186"/>
      <c r="R319" s="186"/>
      <c r="S319" s="67"/>
      <c r="T319" s="67"/>
      <c r="U319" s="67"/>
      <c r="V319" s="187"/>
      <c r="W319" s="186"/>
      <c r="X319" s="187"/>
      <c r="Y319" s="187"/>
      <c r="Z319" s="187"/>
      <c r="AA319" s="186"/>
      <c r="AB319" s="186"/>
      <c r="AC319" s="67"/>
      <c r="AD319" s="67"/>
      <c r="AE319" s="67"/>
      <c r="AH319" s="186"/>
      <c r="AK319" s="186"/>
    </row>
    <row r="320">
      <c r="A320" s="185"/>
      <c r="B320" s="67"/>
      <c r="C320" s="67"/>
      <c r="D320" s="67"/>
      <c r="E320" s="186"/>
      <c r="F320" s="186"/>
      <c r="G320" s="186"/>
      <c r="H320" s="186"/>
      <c r="I320" s="186"/>
      <c r="J320" s="186"/>
      <c r="K320" s="186"/>
      <c r="L320" s="186"/>
      <c r="M320" s="186"/>
      <c r="N320" s="186"/>
      <c r="O320" s="186"/>
      <c r="P320" s="186"/>
      <c r="Q320" s="186"/>
      <c r="R320" s="186"/>
      <c r="S320" s="67"/>
      <c r="T320" s="67"/>
      <c r="U320" s="67"/>
      <c r="V320" s="187"/>
      <c r="W320" s="186"/>
      <c r="X320" s="187"/>
      <c r="Y320" s="187"/>
      <c r="Z320" s="187"/>
      <c r="AA320" s="186"/>
      <c r="AB320" s="186"/>
      <c r="AC320" s="67"/>
      <c r="AD320" s="67"/>
      <c r="AE320" s="67"/>
      <c r="AH320" s="186"/>
      <c r="AK320" s="186"/>
    </row>
    <row r="321">
      <c r="A321" s="185"/>
      <c r="B321" s="67"/>
      <c r="C321" s="67"/>
      <c r="D321" s="67"/>
      <c r="E321" s="186"/>
      <c r="F321" s="186"/>
      <c r="G321" s="186"/>
      <c r="H321" s="186"/>
      <c r="I321" s="186"/>
      <c r="J321" s="186"/>
      <c r="K321" s="186"/>
      <c r="L321" s="186"/>
      <c r="M321" s="186"/>
      <c r="N321" s="186"/>
      <c r="O321" s="186"/>
      <c r="P321" s="186"/>
      <c r="Q321" s="186"/>
      <c r="R321" s="186"/>
      <c r="S321" s="67"/>
      <c r="T321" s="67"/>
      <c r="U321" s="67"/>
      <c r="V321" s="187"/>
      <c r="W321" s="186"/>
      <c r="X321" s="187"/>
      <c r="Y321" s="187"/>
      <c r="Z321" s="187"/>
      <c r="AA321" s="186"/>
      <c r="AB321" s="186"/>
      <c r="AC321" s="67"/>
      <c r="AD321" s="67"/>
      <c r="AE321" s="67"/>
      <c r="AH321" s="186"/>
      <c r="AK321" s="186"/>
    </row>
    <row r="322">
      <c r="A322" s="185"/>
      <c r="B322" s="67"/>
      <c r="C322" s="67"/>
      <c r="D322" s="67"/>
      <c r="E322" s="186"/>
      <c r="F322" s="186"/>
      <c r="G322" s="186"/>
      <c r="H322" s="186"/>
      <c r="I322" s="186"/>
      <c r="J322" s="186"/>
      <c r="K322" s="186"/>
      <c r="L322" s="186"/>
      <c r="M322" s="186"/>
      <c r="N322" s="186"/>
      <c r="O322" s="186"/>
      <c r="P322" s="186"/>
      <c r="Q322" s="186"/>
      <c r="R322" s="186"/>
      <c r="S322" s="67"/>
      <c r="T322" s="67"/>
      <c r="U322" s="67"/>
      <c r="V322" s="187"/>
      <c r="W322" s="186"/>
      <c r="X322" s="187"/>
      <c r="Y322" s="187"/>
      <c r="Z322" s="187"/>
      <c r="AA322" s="186"/>
      <c r="AB322" s="186"/>
      <c r="AC322" s="67"/>
      <c r="AD322" s="67"/>
      <c r="AE322" s="67"/>
      <c r="AH322" s="186"/>
      <c r="AK322" s="186"/>
    </row>
    <row r="323">
      <c r="A323" s="185"/>
      <c r="B323" s="67"/>
      <c r="C323" s="67"/>
      <c r="D323" s="67"/>
      <c r="E323" s="186"/>
      <c r="F323" s="186"/>
      <c r="G323" s="186"/>
      <c r="H323" s="186"/>
      <c r="I323" s="186"/>
      <c r="J323" s="186"/>
      <c r="K323" s="186"/>
      <c r="L323" s="186"/>
      <c r="M323" s="186"/>
      <c r="N323" s="186"/>
      <c r="O323" s="186"/>
      <c r="P323" s="186"/>
      <c r="Q323" s="186"/>
      <c r="R323" s="186"/>
      <c r="S323" s="67"/>
      <c r="T323" s="67"/>
      <c r="U323" s="67"/>
      <c r="V323" s="187"/>
      <c r="W323" s="186"/>
      <c r="X323" s="187"/>
      <c r="Y323" s="187"/>
      <c r="Z323" s="187"/>
      <c r="AA323" s="186"/>
      <c r="AB323" s="186"/>
      <c r="AC323" s="67"/>
      <c r="AD323" s="67"/>
      <c r="AE323" s="67"/>
      <c r="AH323" s="186"/>
      <c r="AK323" s="186"/>
    </row>
    <row r="324">
      <c r="A324" s="185"/>
      <c r="B324" s="67"/>
      <c r="C324" s="67"/>
      <c r="D324" s="67"/>
      <c r="E324" s="186"/>
      <c r="F324" s="186"/>
      <c r="G324" s="186"/>
      <c r="H324" s="186"/>
      <c r="I324" s="186"/>
      <c r="J324" s="186"/>
      <c r="K324" s="186"/>
      <c r="L324" s="186"/>
      <c r="M324" s="186"/>
      <c r="N324" s="186"/>
      <c r="O324" s="186"/>
      <c r="P324" s="186"/>
      <c r="Q324" s="186"/>
      <c r="R324" s="186"/>
      <c r="S324" s="67"/>
      <c r="T324" s="67"/>
      <c r="U324" s="67"/>
      <c r="V324" s="187"/>
      <c r="W324" s="186"/>
      <c r="X324" s="187"/>
      <c r="Y324" s="187"/>
      <c r="Z324" s="187"/>
      <c r="AA324" s="186"/>
      <c r="AB324" s="186"/>
      <c r="AC324" s="67"/>
      <c r="AD324" s="67"/>
      <c r="AE324" s="67"/>
      <c r="AH324" s="186"/>
      <c r="AK324" s="186"/>
    </row>
    <row r="325">
      <c r="A325" s="185"/>
      <c r="B325" s="67"/>
      <c r="C325" s="67"/>
      <c r="D325" s="67"/>
      <c r="E325" s="186"/>
      <c r="F325" s="186"/>
      <c r="G325" s="186"/>
      <c r="H325" s="186"/>
      <c r="I325" s="186"/>
      <c r="J325" s="186"/>
      <c r="K325" s="186"/>
      <c r="L325" s="186"/>
      <c r="M325" s="186"/>
      <c r="N325" s="186"/>
      <c r="O325" s="186"/>
      <c r="P325" s="186"/>
      <c r="Q325" s="186"/>
      <c r="R325" s="186"/>
      <c r="S325" s="67"/>
      <c r="T325" s="67"/>
      <c r="U325" s="67"/>
      <c r="V325" s="187"/>
      <c r="W325" s="186"/>
      <c r="X325" s="187"/>
      <c r="Y325" s="187"/>
      <c r="Z325" s="187"/>
      <c r="AA325" s="186"/>
      <c r="AB325" s="186"/>
      <c r="AC325" s="67"/>
      <c r="AD325" s="67"/>
      <c r="AE325" s="67"/>
      <c r="AH325" s="186"/>
      <c r="AK325" s="186"/>
    </row>
    <row r="326">
      <c r="A326" s="185"/>
      <c r="B326" s="67"/>
      <c r="C326" s="67"/>
      <c r="D326" s="67"/>
      <c r="E326" s="186"/>
      <c r="F326" s="186"/>
      <c r="G326" s="186"/>
      <c r="H326" s="186"/>
      <c r="I326" s="186"/>
      <c r="J326" s="186"/>
      <c r="K326" s="186"/>
      <c r="L326" s="186"/>
      <c r="M326" s="186"/>
      <c r="N326" s="186"/>
      <c r="O326" s="186"/>
      <c r="P326" s="186"/>
      <c r="Q326" s="186"/>
      <c r="R326" s="186"/>
      <c r="S326" s="67"/>
      <c r="T326" s="67"/>
      <c r="U326" s="67"/>
      <c r="V326" s="187"/>
      <c r="W326" s="186"/>
      <c r="X326" s="187"/>
      <c r="Y326" s="187"/>
      <c r="Z326" s="187"/>
      <c r="AA326" s="186"/>
      <c r="AB326" s="186"/>
      <c r="AC326" s="67"/>
      <c r="AD326" s="67"/>
      <c r="AE326" s="67"/>
      <c r="AH326" s="186"/>
      <c r="AK326" s="186"/>
    </row>
    <row r="327">
      <c r="A327" s="185"/>
      <c r="B327" s="67"/>
      <c r="C327" s="67"/>
      <c r="D327" s="67"/>
      <c r="E327" s="186"/>
      <c r="F327" s="186"/>
      <c r="G327" s="186"/>
      <c r="H327" s="186"/>
      <c r="I327" s="186"/>
      <c r="J327" s="186"/>
      <c r="K327" s="186"/>
      <c r="L327" s="186"/>
      <c r="M327" s="186"/>
      <c r="N327" s="186"/>
      <c r="O327" s="186"/>
      <c r="P327" s="186"/>
      <c r="Q327" s="186"/>
      <c r="R327" s="186"/>
      <c r="S327" s="67"/>
      <c r="T327" s="67"/>
      <c r="U327" s="67"/>
      <c r="V327" s="187"/>
      <c r="W327" s="186"/>
      <c r="X327" s="187"/>
      <c r="Y327" s="187"/>
      <c r="Z327" s="187"/>
      <c r="AA327" s="186"/>
      <c r="AB327" s="186"/>
      <c r="AC327" s="67"/>
      <c r="AD327" s="67"/>
      <c r="AE327" s="67"/>
      <c r="AH327" s="186"/>
      <c r="AK327" s="186"/>
    </row>
    <row r="328">
      <c r="A328" s="185"/>
      <c r="B328" s="67"/>
      <c r="C328" s="67"/>
      <c r="D328" s="67"/>
      <c r="E328" s="186"/>
      <c r="F328" s="186"/>
      <c r="G328" s="186"/>
      <c r="H328" s="186"/>
      <c r="I328" s="186"/>
      <c r="J328" s="186"/>
      <c r="K328" s="186"/>
      <c r="L328" s="186"/>
      <c r="M328" s="186"/>
      <c r="N328" s="186"/>
      <c r="O328" s="186"/>
      <c r="P328" s="186"/>
      <c r="Q328" s="186"/>
      <c r="R328" s="186"/>
      <c r="S328" s="67"/>
      <c r="T328" s="67"/>
      <c r="U328" s="67"/>
      <c r="V328" s="187"/>
      <c r="W328" s="186"/>
      <c r="X328" s="187"/>
      <c r="Y328" s="187"/>
      <c r="Z328" s="187"/>
      <c r="AA328" s="186"/>
      <c r="AB328" s="186"/>
      <c r="AC328" s="67"/>
      <c r="AD328" s="67"/>
      <c r="AE328" s="67"/>
      <c r="AH328" s="186"/>
      <c r="AK328" s="186"/>
    </row>
    <row r="329">
      <c r="A329" s="185"/>
      <c r="B329" s="67"/>
      <c r="C329" s="67"/>
      <c r="D329" s="67"/>
      <c r="E329" s="186"/>
      <c r="F329" s="186"/>
      <c r="G329" s="186"/>
      <c r="H329" s="186"/>
      <c r="I329" s="186"/>
      <c r="J329" s="186"/>
      <c r="K329" s="186"/>
      <c r="L329" s="186"/>
      <c r="M329" s="186"/>
      <c r="N329" s="186"/>
      <c r="O329" s="186"/>
      <c r="P329" s="186"/>
      <c r="Q329" s="186"/>
      <c r="R329" s="186"/>
      <c r="S329" s="67"/>
      <c r="T329" s="67"/>
      <c r="U329" s="67"/>
      <c r="V329" s="187"/>
      <c r="W329" s="186"/>
      <c r="X329" s="187"/>
      <c r="Y329" s="187"/>
      <c r="Z329" s="187"/>
      <c r="AA329" s="186"/>
      <c r="AB329" s="186"/>
      <c r="AC329" s="67"/>
      <c r="AD329" s="67"/>
      <c r="AE329" s="67"/>
      <c r="AH329" s="186"/>
      <c r="AK329" s="186"/>
    </row>
    <row r="330">
      <c r="A330" s="185"/>
      <c r="B330" s="67"/>
      <c r="C330" s="67"/>
      <c r="D330" s="67"/>
      <c r="E330" s="186"/>
      <c r="F330" s="186"/>
      <c r="G330" s="186"/>
      <c r="H330" s="186"/>
      <c r="I330" s="186"/>
      <c r="J330" s="186"/>
      <c r="K330" s="186"/>
      <c r="L330" s="186"/>
      <c r="M330" s="186"/>
      <c r="N330" s="186"/>
      <c r="O330" s="186"/>
      <c r="P330" s="186"/>
      <c r="Q330" s="186"/>
      <c r="R330" s="186"/>
      <c r="S330" s="67"/>
      <c r="T330" s="67"/>
      <c r="U330" s="67"/>
      <c r="V330" s="187"/>
      <c r="W330" s="186"/>
      <c r="X330" s="187"/>
      <c r="Y330" s="187"/>
      <c r="Z330" s="187"/>
      <c r="AA330" s="186"/>
      <c r="AB330" s="186"/>
      <c r="AC330" s="67"/>
      <c r="AD330" s="67"/>
      <c r="AE330" s="67"/>
      <c r="AH330" s="186"/>
      <c r="AK330" s="186"/>
    </row>
    <row r="331">
      <c r="A331" s="185"/>
      <c r="B331" s="67"/>
      <c r="C331" s="67"/>
      <c r="D331" s="67"/>
      <c r="E331" s="186"/>
      <c r="F331" s="186"/>
      <c r="G331" s="186"/>
      <c r="H331" s="186"/>
      <c r="I331" s="186"/>
      <c r="J331" s="186"/>
      <c r="K331" s="186"/>
      <c r="L331" s="186"/>
      <c r="M331" s="186"/>
      <c r="N331" s="186"/>
      <c r="O331" s="186"/>
      <c r="P331" s="186"/>
      <c r="Q331" s="186"/>
      <c r="R331" s="186"/>
      <c r="S331" s="67"/>
      <c r="T331" s="67"/>
      <c r="U331" s="67"/>
      <c r="V331" s="187"/>
      <c r="W331" s="186"/>
      <c r="X331" s="187"/>
      <c r="Y331" s="187"/>
      <c r="Z331" s="187"/>
      <c r="AA331" s="186"/>
      <c r="AB331" s="186"/>
      <c r="AC331" s="67"/>
      <c r="AD331" s="67"/>
      <c r="AE331" s="67"/>
      <c r="AH331" s="186"/>
      <c r="AK331" s="186"/>
    </row>
    <row r="332">
      <c r="A332" s="185"/>
      <c r="B332" s="67"/>
      <c r="C332" s="67"/>
      <c r="D332" s="67"/>
      <c r="E332" s="186"/>
      <c r="F332" s="186"/>
      <c r="G332" s="186"/>
      <c r="H332" s="186"/>
      <c r="I332" s="186"/>
      <c r="J332" s="186"/>
      <c r="K332" s="186"/>
      <c r="L332" s="186"/>
      <c r="M332" s="186"/>
      <c r="N332" s="186"/>
      <c r="O332" s="186"/>
      <c r="P332" s="186"/>
      <c r="Q332" s="186"/>
      <c r="R332" s="186"/>
      <c r="S332" s="67"/>
      <c r="T332" s="67"/>
      <c r="U332" s="67"/>
      <c r="V332" s="187"/>
      <c r="W332" s="186"/>
      <c r="X332" s="187"/>
      <c r="Y332" s="187"/>
      <c r="Z332" s="187"/>
      <c r="AA332" s="186"/>
      <c r="AB332" s="186"/>
      <c r="AC332" s="67"/>
      <c r="AD332" s="67"/>
      <c r="AE332" s="67"/>
      <c r="AH332" s="186"/>
      <c r="AK332" s="186"/>
    </row>
    <row r="333">
      <c r="A333" s="185"/>
      <c r="B333" s="67"/>
      <c r="C333" s="67"/>
      <c r="D333" s="67"/>
      <c r="E333" s="186"/>
      <c r="F333" s="186"/>
      <c r="G333" s="186"/>
      <c r="H333" s="186"/>
      <c r="I333" s="186"/>
      <c r="J333" s="186"/>
      <c r="K333" s="186"/>
      <c r="L333" s="186"/>
      <c r="M333" s="186"/>
      <c r="N333" s="186"/>
      <c r="O333" s="186"/>
      <c r="P333" s="186"/>
      <c r="Q333" s="186"/>
      <c r="R333" s="186"/>
      <c r="S333" s="67"/>
      <c r="T333" s="67"/>
      <c r="U333" s="67"/>
      <c r="V333" s="187"/>
      <c r="W333" s="186"/>
      <c r="X333" s="187"/>
      <c r="Y333" s="187"/>
      <c r="Z333" s="187"/>
      <c r="AA333" s="186"/>
      <c r="AB333" s="186"/>
      <c r="AC333" s="67"/>
      <c r="AD333" s="67"/>
      <c r="AE333" s="67"/>
      <c r="AH333" s="186"/>
      <c r="AK333" s="186"/>
    </row>
    <row r="334">
      <c r="A334" s="185"/>
      <c r="B334" s="67"/>
      <c r="C334" s="67"/>
      <c r="D334" s="67"/>
      <c r="E334" s="186"/>
      <c r="F334" s="186"/>
      <c r="G334" s="186"/>
      <c r="H334" s="186"/>
      <c r="I334" s="186"/>
      <c r="J334" s="186"/>
      <c r="K334" s="186"/>
      <c r="L334" s="186"/>
      <c r="M334" s="186"/>
      <c r="N334" s="186"/>
      <c r="O334" s="186"/>
      <c r="P334" s="186"/>
      <c r="Q334" s="186"/>
      <c r="R334" s="186"/>
      <c r="S334" s="67"/>
      <c r="T334" s="67"/>
      <c r="U334" s="67"/>
      <c r="V334" s="187"/>
      <c r="W334" s="186"/>
      <c r="X334" s="187"/>
      <c r="Y334" s="187"/>
      <c r="Z334" s="187"/>
      <c r="AA334" s="186"/>
      <c r="AB334" s="186"/>
      <c r="AC334" s="67"/>
      <c r="AD334" s="67"/>
      <c r="AE334" s="67"/>
      <c r="AH334" s="186"/>
      <c r="AK334" s="186"/>
    </row>
    <row r="335">
      <c r="A335" s="185"/>
      <c r="B335" s="67"/>
      <c r="C335" s="67"/>
      <c r="D335" s="67"/>
      <c r="E335" s="186"/>
      <c r="F335" s="186"/>
      <c r="G335" s="186"/>
      <c r="H335" s="186"/>
      <c r="I335" s="186"/>
      <c r="J335" s="186"/>
      <c r="K335" s="186"/>
      <c r="L335" s="186"/>
      <c r="M335" s="186"/>
      <c r="N335" s="186"/>
      <c r="O335" s="186"/>
      <c r="P335" s="186"/>
      <c r="Q335" s="186"/>
      <c r="R335" s="186"/>
      <c r="S335" s="67"/>
      <c r="T335" s="67"/>
      <c r="U335" s="67"/>
      <c r="V335" s="187"/>
      <c r="W335" s="186"/>
      <c r="X335" s="187"/>
      <c r="Y335" s="187"/>
      <c r="Z335" s="187"/>
      <c r="AA335" s="186"/>
      <c r="AB335" s="186"/>
      <c r="AC335" s="67"/>
      <c r="AD335" s="67"/>
      <c r="AE335" s="67"/>
      <c r="AH335" s="186"/>
      <c r="AK335" s="186"/>
    </row>
    <row r="336">
      <c r="A336" s="185"/>
      <c r="B336" s="67"/>
      <c r="C336" s="67"/>
      <c r="D336" s="67"/>
      <c r="E336" s="186"/>
      <c r="F336" s="186"/>
      <c r="G336" s="186"/>
      <c r="H336" s="186"/>
      <c r="I336" s="186"/>
      <c r="J336" s="186"/>
      <c r="K336" s="186"/>
      <c r="L336" s="186"/>
      <c r="M336" s="186"/>
      <c r="N336" s="186"/>
      <c r="O336" s="186"/>
      <c r="P336" s="186"/>
      <c r="Q336" s="186"/>
      <c r="R336" s="186"/>
      <c r="S336" s="67"/>
      <c r="T336" s="67"/>
      <c r="U336" s="67"/>
      <c r="V336" s="187"/>
      <c r="W336" s="186"/>
      <c r="X336" s="187"/>
      <c r="Y336" s="187"/>
      <c r="Z336" s="187"/>
      <c r="AA336" s="186"/>
      <c r="AB336" s="186"/>
      <c r="AC336" s="67"/>
      <c r="AD336" s="67"/>
      <c r="AE336" s="67"/>
      <c r="AH336" s="186"/>
      <c r="AK336" s="186"/>
    </row>
    <row r="337">
      <c r="A337" s="185"/>
      <c r="B337" s="67"/>
      <c r="C337" s="67"/>
      <c r="D337" s="67"/>
      <c r="E337" s="186"/>
      <c r="F337" s="186"/>
      <c r="G337" s="186"/>
      <c r="H337" s="186"/>
      <c r="I337" s="186"/>
      <c r="J337" s="186"/>
      <c r="K337" s="186"/>
      <c r="L337" s="186"/>
      <c r="M337" s="186"/>
      <c r="N337" s="186"/>
      <c r="O337" s="186"/>
      <c r="P337" s="186"/>
      <c r="Q337" s="186"/>
      <c r="R337" s="186"/>
      <c r="S337" s="67"/>
      <c r="T337" s="67"/>
      <c r="U337" s="67"/>
      <c r="V337" s="187"/>
      <c r="W337" s="186"/>
      <c r="X337" s="187"/>
      <c r="Y337" s="187"/>
      <c r="Z337" s="187"/>
      <c r="AA337" s="186"/>
      <c r="AB337" s="186"/>
      <c r="AC337" s="67"/>
      <c r="AD337" s="67"/>
      <c r="AE337" s="67"/>
      <c r="AH337" s="186"/>
      <c r="AK337" s="186"/>
    </row>
    <row r="338">
      <c r="A338" s="185"/>
      <c r="B338" s="67"/>
      <c r="C338" s="67"/>
      <c r="D338" s="67"/>
      <c r="E338" s="186"/>
      <c r="F338" s="186"/>
      <c r="G338" s="186"/>
      <c r="H338" s="186"/>
      <c r="I338" s="186"/>
      <c r="J338" s="186"/>
      <c r="K338" s="186"/>
      <c r="L338" s="186"/>
      <c r="M338" s="186"/>
      <c r="N338" s="186"/>
      <c r="O338" s="186"/>
      <c r="P338" s="186"/>
      <c r="Q338" s="186"/>
      <c r="R338" s="186"/>
      <c r="S338" s="67"/>
      <c r="T338" s="67"/>
      <c r="U338" s="67"/>
      <c r="V338" s="187"/>
      <c r="W338" s="186"/>
      <c r="X338" s="187"/>
      <c r="Y338" s="187"/>
      <c r="Z338" s="187"/>
      <c r="AA338" s="186"/>
      <c r="AB338" s="186"/>
      <c r="AC338" s="67"/>
      <c r="AD338" s="67"/>
      <c r="AE338" s="67"/>
      <c r="AH338" s="186"/>
      <c r="AK338" s="186"/>
    </row>
    <row r="339">
      <c r="A339" s="185"/>
      <c r="B339" s="67"/>
      <c r="C339" s="67"/>
      <c r="D339" s="67"/>
      <c r="E339" s="186"/>
      <c r="F339" s="186"/>
      <c r="G339" s="186"/>
      <c r="H339" s="186"/>
      <c r="I339" s="186"/>
      <c r="J339" s="186"/>
      <c r="K339" s="186"/>
      <c r="L339" s="186"/>
      <c r="M339" s="186"/>
      <c r="N339" s="186"/>
      <c r="O339" s="186"/>
      <c r="P339" s="186"/>
      <c r="Q339" s="186"/>
      <c r="R339" s="186"/>
      <c r="S339" s="67"/>
      <c r="T339" s="67"/>
      <c r="U339" s="67"/>
      <c r="V339" s="187"/>
      <c r="W339" s="186"/>
      <c r="X339" s="187"/>
      <c r="Y339" s="187"/>
      <c r="Z339" s="187"/>
      <c r="AA339" s="186"/>
      <c r="AB339" s="186"/>
      <c r="AC339" s="67"/>
      <c r="AD339" s="67"/>
      <c r="AE339" s="67"/>
      <c r="AH339" s="186"/>
      <c r="AK339" s="186"/>
    </row>
    <row r="340">
      <c r="A340" s="185"/>
      <c r="B340" s="67"/>
      <c r="C340" s="67"/>
      <c r="D340" s="67"/>
      <c r="E340" s="186"/>
      <c r="F340" s="186"/>
      <c r="G340" s="186"/>
      <c r="H340" s="186"/>
      <c r="I340" s="186"/>
      <c r="J340" s="186"/>
      <c r="K340" s="186"/>
      <c r="L340" s="186"/>
      <c r="M340" s="186"/>
      <c r="N340" s="186"/>
      <c r="O340" s="186"/>
      <c r="P340" s="186"/>
      <c r="Q340" s="186"/>
      <c r="R340" s="186"/>
      <c r="S340" s="67"/>
      <c r="T340" s="67"/>
      <c r="U340" s="67"/>
      <c r="V340" s="187"/>
      <c r="W340" s="186"/>
      <c r="X340" s="187"/>
      <c r="Y340" s="187"/>
      <c r="Z340" s="187"/>
      <c r="AA340" s="186"/>
      <c r="AB340" s="186"/>
      <c r="AC340" s="67"/>
      <c r="AD340" s="67"/>
      <c r="AE340" s="67"/>
      <c r="AH340" s="186"/>
      <c r="AK340" s="186"/>
    </row>
    <row r="341">
      <c r="A341" s="185"/>
      <c r="B341" s="67"/>
      <c r="C341" s="67"/>
      <c r="D341" s="67"/>
      <c r="E341" s="186"/>
      <c r="F341" s="186"/>
      <c r="G341" s="186"/>
      <c r="H341" s="186"/>
      <c r="I341" s="186"/>
      <c r="J341" s="186"/>
      <c r="K341" s="186"/>
      <c r="L341" s="186"/>
      <c r="M341" s="186"/>
      <c r="N341" s="186"/>
      <c r="O341" s="186"/>
      <c r="P341" s="186"/>
      <c r="Q341" s="186"/>
      <c r="R341" s="186"/>
      <c r="S341" s="67"/>
      <c r="T341" s="67"/>
      <c r="U341" s="67"/>
      <c r="V341" s="187"/>
      <c r="W341" s="186"/>
      <c r="X341" s="187"/>
      <c r="Y341" s="187"/>
      <c r="Z341" s="187"/>
      <c r="AA341" s="186"/>
      <c r="AB341" s="186"/>
      <c r="AC341" s="67"/>
      <c r="AD341" s="67"/>
      <c r="AE341" s="67"/>
      <c r="AH341" s="186"/>
      <c r="AK341" s="186"/>
    </row>
    <row r="342">
      <c r="A342" s="185"/>
      <c r="B342" s="67"/>
      <c r="C342" s="67"/>
      <c r="D342" s="67"/>
      <c r="E342" s="186"/>
      <c r="F342" s="186"/>
      <c r="G342" s="186"/>
      <c r="H342" s="186"/>
      <c r="I342" s="186"/>
      <c r="J342" s="186"/>
      <c r="K342" s="186"/>
      <c r="L342" s="186"/>
      <c r="M342" s="186"/>
      <c r="N342" s="186"/>
      <c r="O342" s="186"/>
      <c r="P342" s="186"/>
      <c r="Q342" s="186"/>
      <c r="R342" s="186"/>
      <c r="S342" s="67"/>
      <c r="T342" s="67"/>
      <c r="U342" s="67"/>
      <c r="V342" s="187"/>
      <c r="W342" s="186"/>
      <c r="X342" s="187"/>
      <c r="Y342" s="187"/>
      <c r="Z342" s="187"/>
      <c r="AA342" s="186"/>
      <c r="AB342" s="186"/>
      <c r="AC342" s="67"/>
      <c r="AD342" s="67"/>
      <c r="AE342" s="67"/>
      <c r="AH342" s="186"/>
      <c r="AK342" s="186"/>
    </row>
    <row r="343">
      <c r="A343" s="185"/>
      <c r="B343" s="67"/>
      <c r="C343" s="67"/>
      <c r="D343" s="67"/>
      <c r="E343" s="186"/>
      <c r="F343" s="186"/>
      <c r="G343" s="186"/>
      <c r="H343" s="186"/>
      <c r="I343" s="186"/>
      <c r="J343" s="186"/>
      <c r="K343" s="186"/>
      <c r="L343" s="186"/>
      <c r="M343" s="186"/>
      <c r="N343" s="186"/>
      <c r="O343" s="186"/>
      <c r="P343" s="186"/>
      <c r="Q343" s="186"/>
      <c r="R343" s="186"/>
      <c r="S343" s="67"/>
      <c r="T343" s="67"/>
      <c r="U343" s="67"/>
      <c r="V343" s="187"/>
      <c r="W343" s="186"/>
      <c r="X343" s="187"/>
      <c r="Y343" s="187"/>
      <c r="Z343" s="187"/>
      <c r="AA343" s="186"/>
      <c r="AB343" s="186"/>
      <c r="AC343" s="67"/>
      <c r="AD343" s="67"/>
      <c r="AE343" s="67"/>
      <c r="AH343" s="186"/>
      <c r="AK343" s="186"/>
    </row>
    <row r="344">
      <c r="A344" s="185"/>
      <c r="B344" s="67"/>
      <c r="C344" s="67"/>
      <c r="D344" s="67"/>
      <c r="E344" s="186"/>
      <c r="F344" s="186"/>
      <c r="G344" s="186"/>
      <c r="H344" s="186"/>
      <c r="I344" s="186"/>
      <c r="J344" s="186"/>
      <c r="K344" s="186"/>
      <c r="L344" s="186"/>
      <c r="M344" s="186"/>
      <c r="N344" s="186"/>
      <c r="O344" s="186"/>
      <c r="P344" s="186"/>
      <c r="Q344" s="186"/>
      <c r="R344" s="186"/>
      <c r="S344" s="67"/>
      <c r="T344" s="67"/>
      <c r="U344" s="67"/>
      <c r="V344" s="187"/>
      <c r="W344" s="186"/>
      <c r="X344" s="187"/>
      <c r="Y344" s="187"/>
      <c r="Z344" s="187"/>
      <c r="AA344" s="186"/>
      <c r="AB344" s="186"/>
      <c r="AC344" s="67"/>
      <c r="AD344" s="67"/>
      <c r="AE344" s="67"/>
      <c r="AH344" s="186"/>
      <c r="AK344" s="186"/>
    </row>
    <row r="345">
      <c r="A345" s="185"/>
      <c r="B345" s="67"/>
      <c r="C345" s="67"/>
      <c r="D345" s="67"/>
      <c r="E345" s="186"/>
      <c r="F345" s="186"/>
      <c r="G345" s="186"/>
      <c r="H345" s="186"/>
      <c r="I345" s="186"/>
      <c r="J345" s="186"/>
      <c r="K345" s="186"/>
      <c r="L345" s="186"/>
      <c r="M345" s="186"/>
      <c r="N345" s="186"/>
      <c r="O345" s="186"/>
      <c r="P345" s="186"/>
      <c r="Q345" s="186"/>
      <c r="R345" s="186"/>
      <c r="S345" s="67"/>
      <c r="T345" s="67"/>
      <c r="U345" s="67"/>
      <c r="V345" s="187"/>
      <c r="W345" s="186"/>
      <c r="X345" s="187"/>
      <c r="Y345" s="187"/>
      <c r="Z345" s="187"/>
      <c r="AA345" s="186"/>
      <c r="AB345" s="186"/>
      <c r="AC345" s="67"/>
      <c r="AD345" s="67"/>
      <c r="AE345" s="67"/>
      <c r="AH345" s="186"/>
      <c r="AK345" s="186"/>
    </row>
    <row r="346">
      <c r="A346" s="185"/>
      <c r="B346" s="67"/>
      <c r="C346" s="67"/>
      <c r="D346" s="67"/>
      <c r="E346" s="186"/>
      <c r="F346" s="186"/>
      <c r="G346" s="186"/>
      <c r="H346" s="186"/>
      <c r="I346" s="186"/>
      <c r="J346" s="186"/>
      <c r="K346" s="186"/>
      <c r="L346" s="186"/>
      <c r="M346" s="186"/>
      <c r="N346" s="186"/>
      <c r="O346" s="186"/>
      <c r="P346" s="186"/>
      <c r="Q346" s="186"/>
      <c r="R346" s="186"/>
      <c r="S346" s="67"/>
      <c r="T346" s="67"/>
      <c r="U346" s="67"/>
      <c r="V346" s="187"/>
      <c r="W346" s="186"/>
      <c r="X346" s="187"/>
      <c r="Y346" s="187"/>
      <c r="Z346" s="187"/>
      <c r="AA346" s="186"/>
      <c r="AB346" s="186"/>
      <c r="AC346" s="67"/>
      <c r="AD346" s="67"/>
      <c r="AE346" s="67"/>
      <c r="AH346" s="186"/>
      <c r="AK346" s="186"/>
    </row>
    <row r="347">
      <c r="A347" s="185"/>
      <c r="B347" s="67"/>
      <c r="C347" s="67"/>
      <c r="D347" s="67"/>
      <c r="E347" s="186"/>
      <c r="F347" s="186"/>
      <c r="G347" s="186"/>
      <c r="H347" s="186"/>
      <c r="I347" s="186"/>
      <c r="J347" s="186"/>
      <c r="K347" s="186"/>
      <c r="L347" s="186"/>
      <c r="M347" s="186"/>
      <c r="N347" s="186"/>
      <c r="O347" s="186"/>
      <c r="P347" s="186"/>
      <c r="Q347" s="186"/>
      <c r="R347" s="186"/>
      <c r="S347" s="67"/>
      <c r="T347" s="67"/>
      <c r="U347" s="67"/>
      <c r="V347" s="187"/>
      <c r="W347" s="186"/>
      <c r="X347" s="187"/>
      <c r="Y347" s="187"/>
      <c r="Z347" s="187"/>
      <c r="AA347" s="186"/>
      <c r="AB347" s="186"/>
      <c r="AC347" s="67"/>
      <c r="AD347" s="67"/>
      <c r="AE347" s="67"/>
      <c r="AH347" s="186"/>
      <c r="AK347" s="186"/>
    </row>
    <row r="348">
      <c r="A348" s="185"/>
      <c r="B348" s="67"/>
      <c r="C348" s="67"/>
      <c r="D348" s="67"/>
      <c r="E348" s="186"/>
      <c r="F348" s="186"/>
      <c r="G348" s="186"/>
      <c r="H348" s="186"/>
      <c r="I348" s="186"/>
      <c r="J348" s="186"/>
      <c r="K348" s="186"/>
      <c r="L348" s="186"/>
      <c r="M348" s="186"/>
      <c r="N348" s="186"/>
      <c r="O348" s="186"/>
      <c r="P348" s="186"/>
      <c r="Q348" s="186"/>
      <c r="R348" s="186"/>
      <c r="S348" s="67"/>
      <c r="T348" s="67"/>
      <c r="U348" s="67"/>
      <c r="V348" s="187"/>
      <c r="W348" s="186"/>
      <c r="X348" s="187"/>
      <c r="Y348" s="187"/>
      <c r="Z348" s="187"/>
      <c r="AA348" s="186"/>
      <c r="AB348" s="186"/>
      <c r="AC348" s="67"/>
      <c r="AD348" s="67"/>
      <c r="AE348" s="67"/>
      <c r="AH348" s="186"/>
      <c r="AK348" s="186"/>
    </row>
    <row r="349">
      <c r="A349" s="185"/>
      <c r="B349" s="67"/>
      <c r="C349" s="67"/>
      <c r="D349" s="67"/>
      <c r="E349" s="186"/>
      <c r="F349" s="186"/>
      <c r="G349" s="186"/>
      <c r="H349" s="186"/>
      <c r="I349" s="186"/>
      <c r="J349" s="186"/>
      <c r="K349" s="186"/>
      <c r="L349" s="186"/>
      <c r="M349" s="186"/>
      <c r="N349" s="186"/>
      <c r="O349" s="186"/>
      <c r="P349" s="186"/>
      <c r="Q349" s="186"/>
      <c r="R349" s="186"/>
      <c r="S349" s="67"/>
      <c r="T349" s="67"/>
      <c r="U349" s="67"/>
      <c r="V349" s="187"/>
      <c r="W349" s="186"/>
      <c r="X349" s="187"/>
      <c r="Y349" s="187"/>
      <c r="Z349" s="187"/>
      <c r="AA349" s="186"/>
      <c r="AB349" s="186"/>
      <c r="AC349" s="67"/>
      <c r="AD349" s="67"/>
      <c r="AE349" s="67"/>
      <c r="AH349" s="186"/>
      <c r="AK349" s="186"/>
    </row>
    <row r="350">
      <c r="A350" s="185"/>
      <c r="B350" s="67"/>
      <c r="C350" s="67"/>
      <c r="D350" s="67"/>
      <c r="E350" s="186"/>
      <c r="F350" s="186"/>
      <c r="G350" s="186"/>
      <c r="H350" s="186"/>
      <c r="I350" s="186"/>
      <c r="J350" s="186"/>
      <c r="K350" s="186"/>
      <c r="L350" s="186"/>
      <c r="M350" s="186"/>
      <c r="N350" s="186"/>
      <c r="O350" s="186"/>
      <c r="P350" s="186"/>
      <c r="Q350" s="186"/>
      <c r="R350" s="186"/>
      <c r="S350" s="67"/>
      <c r="T350" s="67"/>
      <c r="U350" s="67"/>
      <c r="V350" s="187"/>
      <c r="W350" s="186"/>
      <c r="X350" s="187"/>
      <c r="Y350" s="187"/>
      <c r="Z350" s="187"/>
      <c r="AA350" s="186"/>
      <c r="AB350" s="186"/>
      <c r="AC350" s="67"/>
      <c r="AD350" s="67"/>
      <c r="AE350" s="67"/>
      <c r="AH350" s="186"/>
      <c r="AK350" s="186"/>
    </row>
    <row r="351">
      <c r="A351" s="185"/>
      <c r="B351" s="67"/>
      <c r="C351" s="67"/>
      <c r="D351" s="67"/>
      <c r="E351" s="186"/>
      <c r="F351" s="186"/>
      <c r="G351" s="186"/>
      <c r="H351" s="186"/>
      <c r="I351" s="186"/>
      <c r="J351" s="186"/>
      <c r="K351" s="186"/>
      <c r="L351" s="186"/>
      <c r="M351" s="186"/>
      <c r="N351" s="186"/>
      <c r="O351" s="186"/>
      <c r="P351" s="186"/>
      <c r="Q351" s="186"/>
      <c r="R351" s="186"/>
      <c r="S351" s="67"/>
      <c r="T351" s="67"/>
      <c r="U351" s="67"/>
      <c r="V351" s="187"/>
      <c r="W351" s="186"/>
      <c r="X351" s="187"/>
      <c r="Y351" s="187"/>
      <c r="Z351" s="187"/>
      <c r="AA351" s="186"/>
      <c r="AB351" s="186"/>
      <c r="AC351" s="67"/>
      <c r="AD351" s="67"/>
      <c r="AE351" s="67"/>
      <c r="AH351" s="186"/>
      <c r="AK351" s="186"/>
    </row>
    <row r="352">
      <c r="A352" s="185"/>
      <c r="B352" s="67"/>
      <c r="C352" s="67"/>
      <c r="D352" s="67"/>
      <c r="E352" s="186"/>
      <c r="F352" s="186"/>
      <c r="G352" s="186"/>
      <c r="H352" s="186"/>
      <c r="I352" s="186"/>
      <c r="J352" s="186"/>
      <c r="K352" s="186"/>
      <c r="L352" s="186"/>
      <c r="M352" s="186"/>
      <c r="N352" s="186"/>
      <c r="O352" s="186"/>
      <c r="P352" s="186"/>
      <c r="Q352" s="186"/>
      <c r="R352" s="186"/>
      <c r="S352" s="67"/>
      <c r="T352" s="67"/>
      <c r="U352" s="67"/>
      <c r="V352" s="187"/>
      <c r="W352" s="186"/>
      <c r="X352" s="187"/>
      <c r="Y352" s="187"/>
      <c r="Z352" s="187"/>
      <c r="AA352" s="186"/>
      <c r="AB352" s="186"/>
      <c r="AC352" s="67"/>
      <c r="AD352" s="67"/>
      <c r="AE352" s="67"/>
      <c r="AH352" s="186"/>
      <c r="AK352" s="186"/>
    </row>
    <row r="353">
      <c r="A353" s="185"/>
      <c r="B353" s="67"/>
      <c r="C353" s="67"/>
      <c r="D353" s="67"/>
      <c r="E353" s="186"/>
      <c r="F353" s="186"/>
      <c r="G353" s="186"/>
      <c r="H353" s="186"/>
      <c r="I353" s="186"/>
      <c r="J353" s="186"/>
      <c r="K353" s="186"/>
      <c r="L353" s="186"/>
      <c r="M353" s="186"/>
      <c r="N353" s="186"/>
      <c r="O353" s="186"/>
      <c r="P353" s="186"/>
      <c r="Q353" s="186"/>
      <c r="R353" s="186"/>
      <c r="S353" s="67"/>
      <c r="T353" s="67"/>
      <c r="U353" s="67"/>
      <c r="V353" s="187"/>
      <c r="W353" s="186"/>
      <c r="X353" s="187"/>
      <c r="Y353" s="187"/>
      <c r="Z353" s="187"/>
      <c r="AA353" s="186"/>
      <c r="AB353" s="186"/>
      <c r="AC353" s="67"/>
      <c r="AD353" s="67"/>
      <c r="AE353" s="67"/>
      <c r="AH353" s="186"/>
      <c r="AK353" s="186"/>
    </row>
    <row r="354">
      <c r="A354" s="185"/>
      <c r="B354" s="67"/>
      <c r="C354" s="67"/>
      <c r="D354" s="67"/>
      <c r="E354" s="186"/>
      <c r="F354" s="186"/>
      <c r="G354" s="186"/>
      <c r="H354" s="186"/>
      <c r="I354" s="186"/>
      <c r="J354" s="186"/>
      <c r="K354" s="186"/>
      <c r="L354" s="186"/>
      <c r="M354" s="186"/>
      <c r="N354" s="186"/>
      <c r="O354" s="186"/>
      <c r="P354" s="186"/>
      <c r="Q354" s="186"/>
      <c r="R354" s="186"/>
      <c r="S354" s="67"/>
      <c r="T354" s="67"/>
      <c r="U354" s="67"/>
      <c r="V354" s="187"/>
      <c r="W354" s="186"/>
      <c r="X354" s="187"/>
      <c r="Y354" s="187"/>
      <c r="Z354" s="187"/>
      <c r="AA354" s="186"/>
      <c r="AB354" s="186"/>
      <c r="AC354" s="67"/>
      <c r="AD354" s="67"/>
      <c r="AE354" s="67"/>
      <c r="AH354" s="186"/>
      <c r="AK354" s="186"/>
    </row>
    <row r="355">
      <c r="A355" s="185"/>
      <c r="B355" s="67"/>
      <c r="C355" s="67"/>
      <c r="D355" s="67"/>
      <c r="E355" s="186"/>
      <c r="F355" s="186"/>
      <c r="G355" s="186"/>
      <c r="H355" s="186"/>
      <c r="I355" s="186"/>
      <c r="J355" s="186"/>
      <c r="K355" s="186"/>
      <c r="L355" s="186"/>
      <c r="M355" s="186"/>
      <c r="N355" s="186"/>
      <c r="O355" s="186"/>
      <c r="P355" s="186"/>
      <c r="Q355" s="186"/>
      <c r="R355" s="186"/>
      <c r="S355" s="67"/>
      <c r="T355" s="67"/>
      <c r="U355" s="67"/>
      <c r="V355" s="187"/>
      <c r="W355" s="186"/>
      <c r="X355" s="187"/>
      <c r="Y355" s="187"/>
      <c r="Z355" s="187"/>
      <c r="AA355" s="186"/>
      <c r="AB355" s="186"/>
      <c r="AC355" s="67"/>
      <c r="AD355" s="67"/>
      <c r="AE355" s="67"/>
      <c r="AH355" s="186"/>
      <c r="AK355" s="186"/>
    </row>
    <row r="356">
      <c r="A356" s="185"/>
      <c r="B356" s="67"/>
      <c r="C356" s="67"/>
      <c r="D356" s="67"/>
      <c r="E356" s="186"/>
      <c r="F356" s="186"/>
      <c r="G356" s="186"/>
      <c r="H356" s="186"/>
      <c r="I356" s="186"/>
      <c r="J356" s="186"/>
      <c r="K356" s="186"/>
      <c r="L356" s="186"/>
      <c r="M356" s="186"/>
      <c r="N356" s="186"/>
      <c r="O356" s="186"/>
      <c r="P356" s="186"/>
      <c r="Q356" s="186"/>
      <c r="R356" s="186"/>
      <c r="S356" s="67"/>
      <c r="T356" s="67"/>
      <c r="U356" s="67"/>
      <c r="V356" s="187"/>
      <c r="W356" s="186"/>
      <c r="X356" s="187"/>
      <c r="Y356" s="187"/>
      <c r="Z356" s="187"/>
      <c r="AA356" s="186"/>
      <c r="AB356" s="186"/>
      <c r="AC356" s="67"/>
      <c r="AD356" s="67"/>
      <c r="AE356" s="67"/>
      <c r="AH356" s="186"/>
      <c r="AK356" s="186"/>
    </row>
    <row r="357">
      <c r="A357" s="185"/>
      <c r="B357" s="67"/>
      <c r="C357" s="67"/>
      <c r="D357" s="67"/>
      <c r="E357" s="186"/>
      <c r="F357" s="186"/>
      <c r="G357" s="186"/>
      <c r="H357" s="186"/>
      <c r="I357" s="186"/>
      <c r="J357" s="186"/>
      <c r="K357" s="186"/>
      <c r="L357" s="186"/>
      <c r="M357" s="186"/>
      <c r="N357" s="186"/>
      <c r="O357" s="186"/>
      <c r="P357" s="186"/>
      <c r="Q357" s="186"/>
      <c r="R357" s="186"/>
      <c r="S357" s="67"/>
      <c r="T357" s="67"/>
      <c r="U357" s="67"/>
      <c r="V357" s="187"/>
      <c r="W357" s="186"/>
      <c r="X357" s="187"/>
      <c r="Y357" s="187"/>
      <c r="Z357" s="187"/>
      <c r="AA357" s="186"/>
      <c r="AB357" s="186"/>
      <c r="AC357" s="67"/>
      <c r="AD357" s="67"/>
      <c r="AE357" s="67"/>
      <c r="AH357" s="186"/>
      <c r="AK357" s="186"/>
    </row>
    <row r="358">
      <c r="A358" s="185"/>
      <c r="B358" s="67"/>
      <c r="C358" s="67"/>
      <c r="D358" s="67"/>
      <c r="E358" s="186"/>
      <c r="F358" s="186"/>
      <c r="G358" s="186"/>
      <c r="H358" s="186"/>
      <c r="I358" s="186"/>
      <c r="J358" s="186"/>
      <c r="K358" s="186"/>
      <c r="L358" s="186"/>
      <c r="M358" s="186"/>
      <c r="N358" s="186"/>
      <c r="O358" s="186"/>
      <c r="P358" s="186"/>
      <c r="Q358" s="186"/>
      <c r="R358" s="186"/>
      <c r="S358" s="67"/>
      <c r="T358" s="67"/>
      <c r="U358" s="67"/>
      <c r="V358" s="187"/>
      <c r="W358" s="186"/>
      <c r="X358" s="187"/>
      <c r="Y358" s="187"/>
      <c r="Z358" s="187"/>
      <c r="AA358" s="186"/>
      <c r="AB358" s="186"/>
      <c r="AC358" s="67"/>
      <c r="AD358" s="67"/>
      <c r="AE358" s="67"/>
      <c r="AH358" s="186"/>
      <c r="AK358" s="186"/>
    </row>
    <row r="359">
      <c r="A359" s="185"/>
      <c r="B359" s="67"/>
      <c r="C359" s="67"/>
      <c r="D359" s="67"/>
      <c r="E359" s="186"/>
      <c r="F359" s="186"/>
      <c r="G359" s="186"/>
      <c r="H359" s="186"/>
      <c r="I359" s="186"/>
      <c r="J359" s="186"/>
      <c r="K359" s="186"/>
      <c r="L359" s="186"/>
      <c r="M359" s="186"/>
      <c r="N359" s="186"/>
      <c r="O359" s="186"/>
      <c r="P359" s="186"/>
      <c r="Q359" s="186"/>
      <c r="R359" s="186"/>
      <c r="S359" s="67"/>
      <c r="T359" s="67"/>
      <c r="U359" s="67"/>
      <c r="V359" s="187"/>
      <c r="W359" s="186"/>
      <c r="X359" s="187"/>
      <c r="Y359" s="187"/>
      <c r="Z359" s="187"/>
      <c r="AA359" s="186"/>
      <c r="AB359" s="186"/>
      <c r="AC359" s="67"/>
      <c r="AD359" s="67"/>
      <c r="AE359" s="67"/>
      <c r="AH359" s="186"/>
      <c r="AK359" s="186"/>
    </row>
    <row r="360">
      <c r="A360" s="185"/>
      <c r="B360" s="67"/>
      <c r="C360" s="67"/>
      <c r="D360" s="67"/>
      <c r="E360" s="186"/>
      <c r="F360" s="186"/>
      <c r="G360" s="186"/>
      <c r="H360" s="186"/>
      <c r="I360" s="186"/>
      <c r="J360" s="186"/>
      <c r="K360" s="186"/>
      <c r="L360" s="186"/>
      <c r="M360" s="186"/>
      <c r="N360" s="186"/>
      <c r="O360" s="186"/>
      <c r="P360" s="186"/>
      <c r="Q360" s="186"/>
      <c r="R360" s="186"/>
      <c r="S360" s="67"/>
      <c r="T360" s="67"/>
      <c r="U360" s="67"/>
      <c r="V360" s="187"/>
      <c r="W360" s="186"/>
      <c r="X360" s="187"/>
      <c r="Y360" s="187"/>
      <c r="Z360" s="187"/>
      <c r="AA360" s="186"/>
      <c r="AB360" s="186"/>
      <c r="AC360" s="67"/>
      <c r="AD360" s="67"/>
      <c r="AE360" s="67"/>
      <c r="AH360" s="186"/>
      <c r="AK360" s="186"/>
    </row>
    <row r="361">
      <c r="A361" s="185"/>
      <c r="B361" s="67"/>
      <c r="C361" s="67"/>
      <c r="D361" s="67"/>
      <c r="E361" s="186"/>
      <c r="F361" s="186"/>
      <c r="G361" s="186"/>
      <c r="H361" s="186"/>
      <c r="I361" s="186"/>
      <c r="J361" s="186"/>
      <c r="K361" s="186"/>
      <c r="L361" s="186"/>
      <c r="M361" s="186"/>
      <c r="N361" s="186"/>
      <c r="O361" s="186"/>
      <c r="P361" s="186"/>
      <c r="Q361" s="186"/>
      <c r="R361" s="186"/>
      <c r="S361" s="67"/>
      <c r="T361" s="67"/>
      <c r="U361" s="67"/>
      <c r="V361" s="187"/>
      <c r="W361" s="186"/>
      <c r="X361" s="187"/>
      <c r="Y361" s="187"/>
      <c r="Z361" s="187"/>
      <c r="AA361" s="186"/>
      <c r="AB361" s="186"/>
      <c r="AC361" s="67"/>
      <c r="AD361" s="67"/>
      <c r="AE361" s="67"/>
      <c r="AH361" s="186"/>
      <c r="AK361" s="186"/>
    </row>
    <row r="362">
      <c r="A362" s="185"/>
      <c r="B362" s="67"/>
      <c r="C362" s="67"/>
      <c r="D362" s="67"/>
      <c r="E362" s="186"/>
      <c r="F362" s="186"/>
      <c r="G362" s="186"/>
      <c r="H362" s="186"/>
      <c r="I362" s="186"/>
      <c r="J362" s="186"/>
      <c r="K362" s="186"/>
      <c r="L362" s="186"/>
      <c r="M362" s="186"/>
      <c r="N362" s="186"/>
      <c r="O362" s="186"/>
      <c r="P362" s="186"/>
      <c r="Q362" s="186"/>
      <c r="R362" s="186"/>
      <c r="S362" s="67"/>
      <c r="T362" s="67"/>
      <c r="U362" s="67"/>
      <c r="V362" s="187"/>
      <c r="W362" s="186"/>
      <c r="X362" s="187"/>
      <c r="Y362" s="187"/>
      <c r="Z362" s="187"/>
      <c r="AA362" s="186"/>
      <c r="AB362" s="186"/>
      <c r="AC362" s="67"/>
      <c r="AD362" s="67"/>
      <c r="AE362" s="67"/>
      <c r="AH362" s="186"/>
      <c r="AK362" s="186"/>
    </row>
    <row r="363">
      <c r="A363" s="185"/>
      <c r="B363" s="67"/>
      <c r="C363" s="67"/>
      <c r="D363" s="67"/>
      <c r="E363" s="186"/>
      <c r="F363" s="186"/>
      <c r="G363" s="186"/>
      <c r="H363" s="186"/>
      <c r="I363" s="186"/>
      <c r="J363" s="186"/>
      <c r="K363" s="186"/>
      <c r="L363" s="186"/>
      <c r="M363" s="186"/>
      <c r="N363" s="186"/>
      <c r="O363" s="186"/>
      <c r="P363" s="186"/>
      <c r="Q363" s="186"/>
      <c r="R363" s="186"/>
      <c r="S363" s="67"/>
      <c r="T363" s="67"/>
      <c r="U363" s="67"/>
      <c r="V363" s="187"/>
      <c r="W363" s="186"/>
      <c r="X363" s="187"/>
      <c r="Y363" s="187"/>
      <c r="Z363" s="187"/>
      <c r="AA363" s="186"/>
      <c r="AB363" s="186"/>
      <c r="AC363" s="67"/>
      <c r="AD363" s="67"/>
      <c r="AE363" s="67"/>
      <c r="AH363" s="186"/>
      <c r="AK363" s="186"/>
    </row>
    <row r="364">
      <c r="A364" s="185"/>
      <c r="B364" s="67"/>
      <c r="C364" s="67"/>
      <c r="D364" s="67"/>
      <c r="E364" s="186"/>
      <c r="F364" s="186"/>
      <c r="G364" s="186"/>
      <c r="H364" s="186"/>
      <c r="I364" s="186"/>
      <c r="J364" s="186"/>
      <c r="K364" s="186"/>
      <c r="L364" s="186"/>
      <c r="M364" s="186"/>
      <c r="N364" s="186"/>
      <c r="O364" s="186"/>
      <c r="P364" s="186"/>
      <c r="Q364" s="186"/>
      <c r="R364" s="186"/>
      <c r="S364" s="67"/>
      <c r="T364" s="67"/>
      <c r="U364" s="67"/>
      <c r="V364" s="187"/>
      <c r="W364" s="186"/>
      <c r="X364" s="187"/>
      <c r="Y364" s="187"/>
      <c r="Z364" s="187"/>
      <c r="AA364" s="186"/>
      <c r="AB364" s="186"/>
      <c r="AC364" s="67"/>
      <c r="AD364" s="67"/>
      <c r="AE364" s="67"/>
      <c r="AH364" s="186"/>
      <c r="AK364" s="186"/>
    </row>
    <row r="365">
      <c r="A365" s="185"/>
      <c r="B365" s="67"/>
      <c r="C365" s="67"/>
      <c r="D365" s="67"/>
      <c r="E365" s="186"/>
      <c r="F365" s="186"/>
      <c r="G365" s="186"/>
      <c r="H365" s="186"/>
      <c r="I365" s="186"/>
      <c r="J365" s="186"/>
      <c r="K365" s="186"/>
      <c r="L365" s="186"/>
      <c r="M365" s="186"/>
      <c r="N365" s="186"/>
      <c r="O365" s="186"/>
      <c r="P365" s="186"/>
      <c r="Q365" s="186"/>
      <c r="R365" s="186"/>
      <c r="S365" s="67"/>
      <c r="T365" s="67"/>
      <c r="U365" s="67"/>
      <c r="V365" s="187"/>
      <c r="W365" s="186"/>
      <c r="X365" s="187"/>
      <c r="Y365" s="187"/>
      <c r="Z365" s="187"/>
      <c r="AA365" s="186"/>
      <c r="AB365" s="186"/>
      <c r="AC365" s="67"/>
      <c r="AD365" s="67"/>
      <c r="AE365" s="67"/>
      <c r="AH365" s="186"/>
      <c r="AK365" s="186"/>
    </row>
    <row r="366">
      <c r="A366" s="185"/>
      <c r="B366" s="67"/>
      <c r="C366" s="67"/>
      <c r="D366" s="67"/>
      <c r="E366" s="186"/>
      <c r="F366" s="186"/>
      <c r="G366" s="186"/>
      <c r="H366" s="186"/>
      <c r="I366" s="186"/>
      <c r="J366" s="186"/>
      <c r="K366" s="186"/>
      <c r="L366" s="186"/>
      <c r="M366" s="186"/>
      <c r="N366" s="186"/>
      <c r="O366" s="186"/>
      <c r="P366" s="186"/>
      <c r="Q366" s="186"/>
      <c r="R366" s="186"/>
      <c r="S366" s="67"/>
      <c r="T366" s="67"/>
      <c r="U366" s="67"/>
      <c r="V366" s="187"/>
      <c r="W366" s="186"/>
      <c r="X366" s="187"/>
      <c r="Y366" s="187"/>
      <c r="Z366" s="187"/>
      <c r="AA366" s="186"/>
      <c r="AB366" s="186"/>
      <c r="AC366" s="67"/>
      <c r="AD366" s="67"/>
      <c r="AE366" s="67"/>
      <c r="AH366" s="186"/>
      <c r="AK366" s="186"/>
    </row>
    <row r="367">
      <c r="A367" s="185"/>
      <c r="B367" s="67"/>
      <c r="C367" s="67"/>
      <c r="D367" s="67"/>
      <c r="E367" s="186"/>
      <c r="F367" s="186"/>
      <c r="G367" s="186"/>
      <c r="H367" s="186"/>
      <c r="I367" s="186"/>
      <c r="J367" s="186"/>
      <c r="K367" s="186"/>
      <c r="L367" s="186"/>
      <c r="M367" s="186"/>
      <c r="N367" s="186"/>
      <c r="O367" s="186"/>
      <c r="P367" s="186"/>
      <c r="Q367" s="186"/>
      <c r="R367" s="186"/>
      <c r="S367" s="67"/>
      <c r="T367" s="67"/>
      <c r="U367" s="67"/>
      <c r="V367" s="187"/>
      <c r="W367" s="186"/>
      <c r="X367" s="187"/>
      <c r="Y367" s="187"/>
      <c r="Z367" s="187"/>
      <c r="AA367" s="186"/>
      <c r="AB367" s="186"/>
      <c r="AC367" s="67"/>
      <c r="AD367" s="67"/>
      <c r="AE367" s="67"/>
      <c r="AH367" s="186"/>
      <c r="AK367" s="186"/>
    </row>
    <row r="368">
      <c r="A368" s="185"/>
      <c r="B368" s="67"/>
      <c r="C368" s="67"/>
      <c r="D368" s="67"/>
      <c r="E368" s="186"/>
      <c r="F368" s="186"/>
      <c r="G368" s="186"/>
      <c r="H368" s="186"/>
      <c r="I368" s="186"/>
      <c r="J368" s="186"/>
      <c r="K368" s="186"/>
      <c r="L368" s="186"/>
      <c r="M368" s="186"/>
      <c r="N368" s="186"/>
      <c r="O368" s="186"/>
      <c r="P368" s="186"/>
      <c r="Q368" s="186"/>
      <c r="R368" s="186"/>
      <c r="S368" s="67"/>
      <c r="T368" s="67"/>
      <c r="U368" s="67"/>
      <c r="V368" s="187"/>
      <c r="W368" s="186"/>
      <c r="X368" s="187"/>
      <c r="Y368" s="187"/>
      <c r="Z368" s="187"/>
      <c r="AA368" s="186"/>
      <c r="AB368" s="186"/>
      <c r="AC368" s="67"/>
      <c r="AD368" s="67"/>
      <c r="AE368" s="67"/>
      <c r="AH368" s="186"/>
      <c r="AK368" s="186"/>
    </row>
    <row r="369">
      <c r="A369" s="185"/>
      <c r="B369" s="67"/>
      <c r="C369" s="67"/>
      <c r="D369" s="67"/>
      <c r="E369" s="186"/>
      <c r="F369" s="186"/>
      <c r="G369" s="186"/>
      <c r="H369" s="186"/>
      <c r="I369" s="186"/>
      <c r="J369" s="186"/>
      <c r="K369" s="186"/>
      <c r="L369" s="186"/>
      <c r="M369" s="186"/>
      <c r="N369" s="186"/>
      <c r="O369" s="186"/>
      <c r="P369" s="186"/>
      <c r="Q369" s="186"/>
      <c r="R369" s="186"/>
      <c r="S369" s="67"/>
      <c r="T369" s="67"/>
      <c r="U369" s="67"/>
      <c r="V369" s="187"/>
      <c r="W369" s="186"/>
      <c r="X369" s="187"/>
      <c r="Y369" s="187"/>
      <c r="Z369" s="187"/>
      <c r="AA369" s="186"/>
      <c r="AB369" s="186"/>
      <c r="AC369" s="67"/>
      <c r="AD369" s="67"/>
      <c r="AE369" s="67"/>
      <c r="AH369" s="186"/>
      <c r="AK369" s="186"/>
    </row>
    <row r="370">
      <c r="A370" s="185"/>
      <c r="B370" s="67"/>
      <c r="C370" s="67"/>
      <c r="D370" s="67"/>
      <c r="E370" s="186"/>
      <c r="F370" s="186"/>
      <c r="G370" s="186"/>
      <c r="H370" s="186"/>
      <c r="I370" s="186"/>
      <c r="J370" s="186"/>
      <c r="K370" s="186"/>
      <c r="L370" s="186"/>
      <c r="M370" s="186"/>
      <c r="N370" s="186"/>
      <c r="O370" s="186"/>
      <c r="P370" s="186"/>
      <c r="Q370" s="186"/>
      <c r="R370" s="186"/>
      <c r="S370" s="67"/>
      <c r="T370" s="67"/>
      <c r="U370" s="67"/>
      <c r="V370" s="187"/>
      <c r="W370" s="186"/>
      <c r="X370" s="187"/>
      <c r="Y370" s="187"/>
      <c r="Z370" s="187"/>
      <c r="AA370" s="186"/>
      <c r="AB370" s="186"/>
      <c r="AC370" s="67"/>
      <c r="AD370" s="67"/>
      <c r="AE370" s="67"/>
      <c r="AH370" s="186"/>
      <c r="AK370" s="186"/>
    </row>
    <row r="371">
      <c r="A371" s="185"/>
      <c r="B371" s="67"/>
      <c r="C371" s="67"/>
      <c r="D371" s="67"/>
      <c r="E371" s="186"/>
      <c r="F371" s="186"/>
      <c r="G371" s="186"/>
      <c r="H371" s="186"/>
      <c r="I371" s="186"/>
      <c r="J371" s="186"/>
      <c r="K371" s="186"/>
      <c r="L371" s="186"/>
      <c r="M371" s="186"/>
      <c r="N371" s="186"/>
      <c r="O371" s="186"/>
      <c r="P371" s="186"/>
      <c r="Q371" s="186"/>
      <c r="R371" s="186"/>
      <c r="S371" s="67"/>
      <c r="T371" s="67"/>
      <c r="U371" s="67"/>
      <c r="V371" s="187"/>
      <c r="W371" s="186"/>
      <c r="X371" s="187"/>
      <c r="Y371" s="187"/>
      <c r="Z371" s="187"/>
      <c r="AA371" s="186"/>
      <c r="AB371" s="186"/>
      <c r="AC371" s="67"/>
      <c r="AD371" s="67"/>
      <c r="AE371" s="67"/>
      <c r="AH371" s="186"/>
      <c r="AK371" s="186"/>
    </row>
    <row r="372">
      <c r="A372" s="185"/>
      <c r="B372" s="67"/>
      <c r="C372" s="67"/>
      <c r="D372" s="67"/>
      <c r="E372" s="186"/>
      <c r="F372" s="186"/>
      <c r="G372" s="186"/>
      <c r="H372" s="186"/>
      <c r="I372" s="186"/>
      <c r="J372" s="186"/>
      <c r="K372" s="186"/>
      <c r="L372" s="186"/>
      <c r="M372" s="186"/>
      <c r="N372" s="186"/>
      <c r="O372" s="186"/>
      <c r="P372" s="186"/>
      <c r="Q372" s="186"/>
      <c r="R372" s="186"/>
      <c r="S372" s="67"/>
      <c r="T372" s="67"/>
      <c r="U372" s="67"/>
      <c r="V372" s="187"/>
      <c r="W372" s="186"/>
      <c r="X372" s="187"/>
      <c r="Y372" s="187"/>
      <c r="Z372" s="187"/>
      <c r="AA372" s="186"/>
      <c r="AB372" s="186"/>
      <c r="AC372" s="67"/>
      <c r="AD372" s="67"/>
      <c r="AE372" s="67"/>
      <c r="AH372" s="186"/>
      <c r="AK372" s="186"/>
    </row>
    <row r="373">
      <c r="A373" s="185"/>
      <c r="B373" s="67"/>
      <c r="C373" s="67"/>
      <c r="D373" s="67"/>
      <c r="E373" s="186"/>
      <c r="F373" s="186"/>
      <c r="G373" s="186"/>
      <c r="H373" s="186"/>
      <c r="I373" s="186"/>
      <c r="J373" s="186"/>
      <c r="K373" s="186"/>
      <c r="L373" s="186"/>
      <c r="M373" s="186"/>
      <c r="N373" s="186"/>
      <c r="O373" s="186"/>
      <c r="P373" s="186"/>
      <c r="Q373" s="186"/>
      <c r="R373" s="186"/>
      <c r="S373" s="67"/>
      <c r="T373" s="67"/>
      <c r="U373" s="67"/>
      <c r="V373" s="187"/>
      <c r="W373" s="186"/>
      <c r="X373" s="187"/>
      <c r="Y373" s="187"/>
      <c r="Z373" s="187"/>
      <c r="AA373" s="186"/>
      <c r="AB373" s="186"/>
      <c r="AC373" s="67"/>
      <c r="AD373" s="67"/>
      <c r="AE373" s="67"/>
      <c r="AH373" s="186"/>
      <c r="AK373" s="186"/>
    </row>
    <row r="374">
      <c r="A374" s="185"/>
      <c r="B374" s="67"/>
      <c r="C374" s="67"/>
      <c r="D374" s="67"/>
      <c r="E374" s="186"/>
      <c r="F374" s="186"/>
      <c r="G374" s="186"/>
      <c r="H374" s="186"/>
      <c r="I374" s="186"/>
      <c r="J374" s="186"/>
      <c r="K374" s="186"/>
      <c r="L374" s="186"/>
      <c r="M374" s="186"/>
      <c r="N374" s="186"/>
      <c r="O374" s="186"/>
      <c r="P374" s="186"/>
      <c r="Q374" s="186"/>
      <c r="R374" s="186"/>
      <c r="S374" s="67"/>
      <c r="T374" s="67"/>
      <c r="U374" s="67"/>
      <c r="V374" s="187"/>
      <c r="W374" s="186"/>
      <c r="X374" s="187"/>
      <c r="Y374" s="187"/>
      <c r="Z374" s="187"/>
      <c r="AA374" s="186"/>
      <c r="AB374" s="186"/>
      <c r="AC374" s="67"/>
      <c r="AD374" s="67"/>
      <c r="AE374" s="67"/>
      <c r="AH374" s="186"/>
      <c r="AK374" s="186"/>
    </row>
    <row r="375">
      <c r="A375" s="185"/>
      <c r="B375" s="67"/>
      <c r="C375" s="67"/>
      <c r="D375" s="67"/>
      <c r="E375" s="186"/>
      <c r="F375" s="186"/>
      <c r="G375" s="186"/>
      <c r="H375" s="186"/>
      <c r="I375" s="186"/>
      <c r="J375" s="186"/>
      <c r="K375" s="186"/>
      <c r="L375" s="186"/>
      <c r="M375" s="186"/>
      <c r="N375" s="186"/>
      <c r="O375" s="186"/>
      <c r="P375" s="186"/>
      <c r="Q375" s="186"/>
      <c r="R375" s="186"/>
      <c r="S375" s="67"/>
      <c r="T375" s="67"/>
      <c r="U375" s="67"/>
      <c r="V375" s="187"/>
      <c r="W375" s="186"/>
      <c r="X375" s="187"/>
      <c r="Y375" s="187"/>
      <c r="Z375" s="187"/>
      <c r="AA375" s="186"/>
      <c r="AB375" s="186"/>
      <c r="AC375" s="67"/>
      <c r="AD375" s="67"/>
      <c r="AE375" s="67"/>
      <c r="AH375" s="186"/>
      <c r="AK375" s="186"/>
    </row>
    <row r="376">
      <c r="A376" s="185"/>
      <c r="B376" s="67"/>
      <c r="C376" s="67"/>
      <c r="D376" s="67"/>
      <c r="E376" s="186"/>
      <c r="F376" s="186"/>
      <c r="G376" s="186"/>
      <c r="H376" s="186"/>
      <c r="I376" s="186"/>
      <c r="J376" s="186"/>
      <c r="K376" s="186"/>
      <c r="L376" s="186"/>
      <c r="M376" s="186"/>
      <c r="N376" s="186"/>
      <c r="O376" s="186"/>
      <c r="P376" s="186"/>
      <c r="Q376" s="186"/>
      <c r="R376" s="186"/>
      <c r="S376" s="67"/>
      <c r="T376" s="67"/>
      <c r="U376" s="67"/>
      <c r="V376" s="187"/>
      <c r="W376" s="186"/>
      <c r="X376" s="187"/>
      <c r="Y376" s="187"/>
      <c r="Z376" s="187"/>
      <c r="AA376" s="186"/>
      <c r="AB376" s="186"/>
      <c r="AC376" s="67"/>
      <c r="AD376" s="67"/>
      <c r="AE376" s="67"/>
      <c r="AH376" s="186"/>
      <c r="AK376" s="186"/>
    </row>
    <row r="377">
      <c r="A377" s="185"/>
      <c r="B377" s="67"/>
      <c r="C377" s="67"/>
      <c r="D377" s="67"/>
      <c r="E377" s="186"/>
      <c r="F377" s="186"/>
      <c r="G377" s="186"/>
      <c r="H377" s="186"/>
      <c r="I377" s="186"/>
      <c r="J377" s="186"/>
      <c r="K377" s="186"/>
      <c r="L377" s="186"/>
      <c r="M377" s="186"/>
      <c r="N377" s="186"/>
      <c r="O377" s="186"/>
      <c r="P377" s="186"/>
      <c r="Q377" s="186"/>
      <c r="R377" s="186"/>
      <c r="S377" s="67"/>
      <c r="T377" s="67"/>
      <c r="U377" s="67"/>
      <c r="V377" s="187"/>
      <c r="W377" s="186"/>
      <c r="X377" s="187"/>
      <c r="Y377" s="187"/>
      <c r="Z377" s="187"/>
      <c r="AA377" s="186"/>
      <c r="AB377" s="186"/>
      <c r="AC377" s="67"/>
      <c r="AD377" s="67"/>
      <c r="AE377" s="67"/>
      <c r="AH377" s="186"/>
      <c r="AK377" s="186"/>
    </row>
    <row r="378">
      <c r="A378" s="185"/>
      <c r="B378" s="67"/>
      <c r="C378" s="67"/>
      <c r="D378" s="67"/>
      <c r="E378" s="186"/>
      <c r="F378" s="186"/>
      <c r="G378" s="186"/>
      <c r="H378" s="186"/>
      <c r="I378" s="186"/>
      <c r="J378" s="186"/>
      <c r="K378" s="186"/>
      <c r="L378" s="186"/>
      <c r="M378" s="186"/>
      <c r="N378" s="186"/>
      <c r="O378" s="186"/>
      <c r="P378" s="186"/>
      <c r="Q378" s="186"/>
      <c r="R378" s="186"/>
      <c r="S378" s="67"/>
      <c r="T378" s="67"/>
      <c r="U378" s="67"/>
      <c r="V378" s="187"/>
      <c r="W378" s="186"/>
      <c r="X378" s="187"/>
      <c r="Y378" s="187"/>
      <c r="Z378" s="187"/>
      <c r="AA378" s="186"/>
      <c r="AB378" s="186"/>
      <c r="AC378" s="67"/>
      <c r="AD378" s="67"/>
      <c r="AE378" s="67"/>
      <c r="AH378" s="186"/>
      <c r="AK378" s="186"/>
    </row>
    <row r="379">
      <c r="A379" s="185"/>
      <c r="B379" s="67"/>
      <c r="C379" s="67"/>
      <c r="D379" s="67"/>
      <c r="E379" s="186"/>
      <c r="F379" s="186"/>
      <c r="G379" s="186"/>
      <c r="H379" s="186"/>
      <c r="I379" s="186"/>
      <c r="J379" s="186"/>
      <c r="K379" s="186"/>
      <c r="L379" s="186"/>
      <c r="M379" s="186"/>
      <c r="N379" s="186"/>
      <c r="O379" s="186"/>
      <c r="P379" s="186"/>
      <c r="Q379" s="186"/>
      <c r="R379" s="186"/>
      <c r="S379" s="67"/>
      <c r="T379" s="67"/>
      <c r="U379" s="67"/>
      <c r="V379" s="187"/>
      <c r="W379" s="186"/>
      <c r="X379" s="187"/>
      <c r="Y379" s="187"/>
      <c r="Z379" s="187"/>
      <c r="AA379" s="186"/>
      <c r="AB379" s="186"/>
      <c r="AC379" s="67"/>
      <c r="AD379" s="67"/>
      <c r="AE379" s="67"/>
      <c r="AH379" s="186"/>
      <c r="AK379" s="186"/>
    </row>
    <row r="380">
      <c r="A380" s="185"/>
      <c r="B380" s="67"/>
      <c r="C380" s="67"/>
      <c r="D380" s="67"/>
      <c r="E380" s="186"/>
      <c r="F380" s="186"/>
      <c r="G380" s="186"/>
      <c r="H380" s="186"/>
      <c r="I380" s="186"/>
      <c r="J380" s="186"/>
      <c r="K380" s="186"/>
      <c r="L380" s="186"/>
      <c r="M380" s="186"/>
      <c r="N380" s="186"/>
      <c r="O380" s="186"/>
      <c r="P380" s="186"/>
      <c r="Q380" s="186"/>
      <c r="R380" s="186"/>
      <c r="S380" s="67"/>
      <c r="T380" s="67"/>
      <c r="U380" s="67"/>
      <c r="V380" s="187"/>
      <c r="W380" s="186"/>
      <c r="X380" s="187"/>
      <c r="Y380" s="187"/>
      <c r="Z380" s="187"/>
      <c r="AA380" s="186"/>
      <c r="AB380" s="186"/>
      <c r="AC380" s="67"/>
      <c r="AD380" s="67"/>
      <c r="AE380" s="67"/>
      <c r="AH380" s="186"/>
      <c r="AK380" s="186"/>
    </row>
    <row r="381">
      <c r="A381" s="185"/>
      <c r="B381" s="67"/>
      <c r="C381" s="67"/>
      <c r="D381" s="67"/>
      <c r="E381" s="186"/>
      <c r="F381" s="186"/>
      <c r="G381" s="186"/>
      <c r="H381" s="186"/>
      <c r="I381" s="186"/>
      <c r="J381" s="186"/>
      <c r="K381" s="186"/>
      <c r="L381" s="186"/>
      <c r="M381" s="186"/>
      <c r="N381" s="186"/>
      <c r="O381" s="186"/>
      <c r="P381" s="186"/>
      <c r="Q381" s="186"/>
      <c r="R381" s="186"/>
      <c r="S381" s="67"/>
      <c r="T381" s="67"/>
      <c r="U381" s="67"/>
      <c r="V381" s="187"/>
      <c r="W381" s="186"/>
      <c r="X381" s="187"/>
      <c r="Y381" s="187"/>
      <c r="Z381" s="187"/>
      <c r="AA381" s="186"/>
      <c r="AB381" s="186"/>
      <c r="AC381" s="67"/>
      <c r="AD381" s="67"/>
      <c r="AE381" s="67"/>
      <c r="AH381" s="186"/>
      <c r="AK381" s="186"/>
    </row>
    <row r="382">
      <c r="A382" s="185"/>
      <c r="B382" s="67"/>
      <c r="C382" s="67"/>
      <c r="D382" s="67"/>
      <c r="E382" s="186"/>
      <c r="F382" s="186"/>
      <c r="G382" s="186"/>
      <c r="H382" s="186"/>
      <c r="I382" s="186"/>
      <c r="J382" s="186"/>
      <c r="K382" s="186"/>
      <c r="L382" s="186"/>
      <c r="M382" s="186"/>
      <c r="N382" s="186"/>
      <c r="O382" s="186"/>
      <c r="P382" s="186"/>
      <c r="Q382" s="186"/>
      <c r="R382" s="186"/>
      <c r="S382" s="67"/>
      <c r="T382" s="67"/>
      <c r="U382" s="67"/>
      <c r="V382" s="187"/>
      <c r="W382" s="186"/>
      <c r="X382" s="187"/>
      <c r="Y382" s="187"/>
      <c r="Z382" s="187"/>
      <c r="AA382" s="186"/>
      <c r="AB382" s="186"/>
      <c r="AC382" s="67"/>
      <c r="AD382" s="67"/>
      <c r="AE382" s="67"/>
      <c r="AH382" s="186"/>
      <c r="AK382" s="186"/>
    </row>
    <row r="383">
      <c r="A383" s="185"/>
      <c r="B383" s="67"/>
      <c r="C383" s="67"/>
      <c r="D383" s="67"/>
      <c r="E383" s="186"/>
      <c r="F383" s="186"/>
      <c r="G383" s="186"/>
      <c r="H383" s="186"/>
      <c r="I383" s="186"/>
      <c r="J383" s="186"/>
      <c r="K383" s="186"/>
      <c r="L383" s="186"/>
      <c r="M383" s="186"/>
      <c r="N383" s="186"/>
      <c r="O383" s="186"/>
      <c r="P383" s="186"/>
      <c r="Q383" s="186"/>
      <c r="R383" s="186"/>
      <c r="S383" s="67"/>
      <c r="T383" s="67"/>
      <c r="U383" s="67"/>
      <c r="V383" s="187"/>
      <c r="W383" s="186"/>
      <c r="X383" s="187"/>
      <c r="Y383" s="187"/>
      <c r="Z383" s="187"/>
      <c r="AA383" s="186"/>
      <c r="AB383" s="186"/>
      <c r="AC383" s="67"/>
      <c r="AD383" s="67"/>
      <c r="AE383" s="67"/>
      <c r="AH383" s="186"/>
      <c r="AK383" s="186"/>
    </row>
    <row r="384">
      <c r="A384" s="185"/>
      <c r="B384" s="67"/>
      <c r="C384" s="67"/>
      <c r="D384" s="67"/>
      <c r="E384" s="186"/>
      <c r="F384" s="186"/>
      <c r="G384" s="186"/>
      <c r="H384" s="186"/>
      <c r="I384" s="186"/>
      <c r="J384" s="186"/>
      <c r="K384" s="186"/>
      <c r="L384" s="186"/>
      <c r="M384" s="186"/>
      <c r="N384" s="186"/>
      <c r="O384" s="186"/>
      <c r="P384" s="186"/>
      <c r="Q384" s="186"/>
      <c r="R384" s="186"/>
      <c r="S384" s="67"/>
      <c r="T384" s="67"/>
      <c r="U384" s="67"/>
      <c r="V384" s="187"/>
      <c r="W384" s="186"/>
      <c r="X384" s="187"/>
      <c r="Y384" s="187"/>
      <c r="Z384" s="187"/>
      <c r="AA384" s="186"/>
      <c r="AB384" s="186"/>
      <c r="AC384" s="67"/>
      <c r="AD384" s="67"/>
      <c r="AE384" s="67"/>
      <c r="AH384" s="186"/>
      <c r="AK384" s="186"/>
    </row>
    <row r="385">
      <c r="A385" s="185"/>
      <c r="B385" s="67"/>
      <c r="C385" s="67"/>
      <c r="D385" s="67"/>
      <c r="E385" s="186"/>
      <c r="F385" s="186"/>
      <c r="G385" s="186"/>
      <c r="H385" s="186"/>
      <c r="I385" s="186"/>
      <c r="J385" s="186"/>
      <c r="K385" s="186"/>
      <c r="L385" s="186"/>
      <c r="M385" s="186"/>
      <c r="N385" s="186"/>
      <c r="O385" s="186"/>
      <c r="P385" s="186"/>
      <c r="Q385" s="186"/>
      <c r="R385" s="186"/>
      <c r="S385" s="67"/>
      <c r="T385" s="67"/>
      <c r="U385" s="67"/>
      <c r="V385" s="187"/>
      <c r="W385" s="186"/>
      <c r="X385" s="187"/>
      <c r="Y385" s="187"/>
      <c r="Z385" s="187"/>
      <c r="AA385" s="186"/>
      <c r="AB385" s="186"/>
      <c r="AC385" s="67"/>
      <c r="AD385" s="67"/>
      <c r="AE385" s="67"/>
      <c r="AH385" s="186"/>
      <c r="AK385" s="186"/>
    </row>
    <row r="386">
      <c r="A386" s="185"/>
      <c r="B386" s="67"/>
      <c r="C386" s="67"/>
      <c r="D386" s="67"/>
      <c r="E386" s="186"/>
      <c r="F386" s="186"/>
      <c r="G386" s="186"/>
      <c r="H386" s="186"/>
      <c r="I386" s="186"/>
      <c r="J386" s="186"/>
      <c r="K386" s="186"/>
      <c r="L386" s="186"/>
      <c r="M386" s="186"/>
      <c r="N386" s="186"/>
      <c r="O386" s="186"/>
      <c r="P386" s="186"/>
      <c r="Q386" s="186"/>
      <c r="R386" s="186"/>
      <c r="S386" s="67"/>
      <c r="T386" s="67"/>
      <c r="U386" s="67"/>
      <c r="V386" s="187"/>
      <c r="W386" s="186"/>
      <c r="X386" s="187"/>
      <c r="Y386" s="187"/>
      <c r="Z386" s="187"/>
      <c r="AA386" s="186"/>
      <c r="AB386" s="186"/>
      <c r="AC386" s="67"/>
      <c r="AD386" s="67"/>
      <c r="AE386" s="67"/>
      <c r="AH386" s="186"/>
      <c r="AK386" s="186"/>
    </row>
    <row r="387">
      <c r="A387" s="185"/>
      <c r="B387" s="67"/>
      <c r="C387" s="67"/>
      <c r="D387" s="67"/>
      <c r="E387" s="186"/>
      <c r="F387" s="186"/>
      <c r="G387" s="186"/>
      <c r="H387" s="186"/>
      <c r="I387" s="186"/>
      <c r="J387" s="186"/>
      <c r="K387" s="186"/>
      <c r="L387" s="186"/>
      <c r="M387" s="186"/>
      <c r="N387" s="186"/>
      <c r="O387" s="186"/>
      <c r="P387" s="186"/>
      <c r="Q387" s="186"/>
      <c r="R387" s="186"/>
      <c r="S387" s="67"/>
      <c r="T387" s="67"/>
      <c r="U387" s="67"/>
      <c r="V387" s="187"/>
      <c r="W387" s="186"/>
      <c r="X387" s="187"/>
      <c r="Y387" s="187"/>
      <c r="Z387" s="187"/>
      <c r="AA387" s="186"/>
      <c r="AB387" s="186"/>
      <c r="AC387" s="67"/>
      <c r="AD387" s="67"/>
      <c r="AE387" s="67"/>
      <c r="AH387" s="186"/>
      <c r="AK387" s="186"/>
    </row>
    <row r="388">
      <c r="A388" s="185"/>
      <c r="B388" s="67"/>
      <c r="C388" s="67"/>
      <c r="D388" s="67"/>
      <c r="E388" s="186"/>
      <c r="F388" s="186"/>
      <c r="G388" s="186"/>
      <c r="H388" s="186"/>
      <c r="I388" s="186"/>
      <c r="J388" s="186"/>
      <c r="K388" s="186"/>
      <c r="L388" s="186"/>
      <c r="M388" s="186"/>
      <c r="N388" s="186"/>
      <c r="O388" s="186"/>
      <c r="P388" s="186"/>
      <c r="Q388" s="186"/>
      <c r="R388" s="186"/>
      <c r="S388" s="67"/>
      <c r="T388" s="67"/>
      <c r="U388" s="67"/>
      <c r="V388" s="187"/>
      <c r="W388" s="186"/>
      <c r="X388" s="187"/>
      <c r="Y388" s="187"/>
      <c r="Z388" s="187"/>
      <c r="AA388" s="186"/>
      <c r="AB388" s="186"/>
      <c r="AC388" s="67"/>
      <c r="AD388" s="67"/>
      <c r="AE388" s="67"/>
      <c r="AH388" s="186"/>
      <c r="AK388" s="186"/>
    </row>
    <row r="389">
      <c r="A389" s="185"/>
      <c r="B389" s="67"/>
      <c r="C389" s="67"/>
      <c r="D389" s="67"/>
      <c r="E389" s="186"/>
      <c r="F389" s="186"/>
      <c r="G389" s="186"/>
      <c r="H389" s="186"/>
      <c r="I389" s="186"/>
      <c r="J389" s="186"/>
      <c r="K389" s="186"/>
      <c r="L389" s="186"/>
      <c r="M389" s="186"/>
      <c r="N389" s="186"/>
      <c r="O389" s="186"/>
      <c r="P389" s="186"/>
      <c r="Q389" s="186"/>
      <c r="R389" s="186"/>
      <c r="S389" s="67"/>
      <c r="T389" s="67"/>
      <c r="U389" s="67"/>
      <c r="V389" s="187"/>
      <c r="W389" s="186"/>
      <c r="X389" s="187"/>
      <c r="Y389" s="187"/>
      <c r="Z389" s="187"/>
      <c r="AA389" s="186"/>
      <c r="AB389" s="186"/>
      <c r="AC389" s="67"/>
      <c r="AD389" s="67"/>
      <c r="AE389" s="67"/>
      <c r="AH389" s="186"/>
      <c r="AK389" s="186"/>
    </row>
    <row r="390">
      <c r="A390" s="185"/>
      <c r="B390" s="67"/>
      <c r="C390" s="67"/>
      <c r="D390" s="67"/>
      <c r="E390" s="186"/>
      <c r="F390" s="186"/>
      <c r="G390" s="186"/>
      <c r="H390" s="186"/>
      <c r="I390" s="186"/>
      <c r="J390" s="186"/>
      <c r="K390" s="186"/>
      <c r="L390" s="186"/>
      <c r="M390" s="186"/>
      <c r="N390" s="186"/>
      <c r="O390" s="186"/>
      <c r="P390" s="186"/>
      <c r="Q390" s="186"/>
      <c r="R390" s="186"/>
      <c r="S390" s="67"/>
      <c r="T390" s="67"/>
      <c r="U390" s="67"/>
      <c r="V390" s="187"/>
      <c r="W390" s="186"/>
      <c r="X390" s="187"/>
      <c r="Y390" s="187"/>
      <c r="Z390" s="187"/>
      <c r="AA390" s="186"/>
      <c r="AB390" s="186"/>
      <c r="AC390" s="67"/>
      <c r="AD390" s="67"/>
      <c r="AE390" s="67"/>
      <c r="AH390" s="186"/>
      <c r="AK390" s="186"/>
    </row>
    <row r="391">
      <c r="A391" s="185"/>
      <c r="B391" s="67"/>
      <c r="C391" s="67"/>
      <c r="D391" s="67"/>
      <c r="E391" s="186"/>
      <c r="F391" s="186"/>
      <c r="G391" s="186"/>
      <c r="H391" s="186"/>
      <c r="I391" s="186"/>
      <c r="J391" s="186"/>
      <c r="K391" s="186"/>
      <c r="L391" s="186"/>
      <c r="M391" s="186"/>
      <c r="N391" s="186"/>
      <c r="O391" s="186"/>
      <c r="P391" s="186"/>
      <c r="Q391" s="186"/>
      <c r="R391" s="186"/>
      <c r="S391" s="67"/>
      <c r="T391" s="67"/>
      <c r="U391" s="67"/>
      <c r="V391" s="187"/>
      <c r="W391" s="186"/>
      <c r="X391" s="187"/>
      <c r="Y391" s="187"/>
      <c r="Z391" s="187"/>
      <c r="AA391" s="186"/>
      <c r="AB391" s="186"/>
      <c r="AC391" s="67"/>
      <c r="AD391" s="67"/>
      <c r="AE391" s="67"/>
      <c r="AH391" s="186"/>
      <c r="AK391" s="186"/>
    </row>
    <row r="392">
      <c r="A392" s="185"/>
      <c r="B392" s="67"/>
      <c r="C392" s="67"/>
      <c r="D392" s="67"/>
      <c r="E392" s="186"/>
      <c r="F392" s="186"/>
      <c r="G392" s="186"/>
      <c r="H392" s="186"/>
      <c r="I392" s="186"/>
      <c r="J392" s="186"/>
      <c r="K392" s="186"/>
      <c r="L392" s="186"/>
      <c r="M392" s="186"/>
      <c r="N392" s="186"/>
      <c r="O392" s="186"/>
      <c r="P392" s="186"/>
      <c r="Q392" s="186"/>
      <c r="R392" s="186"/>
      <c r="S392" s="67"/>
      <c r="T392" s="67"/>
      <c r="U392" s="67"/>
      <c r="V392" s="187"/>
      <c r="W392" s="186"/>
      <c r="X392" s="187"/>
      <c r="Y392" s="187"/>
      <c r="Z392" s="187"/>
      <c r="AA392" s="186"/>
      <c r="AB392" s="186"/>
      <c r="AC392" s="67"/>
      <c r="AD392" s="67"/>
      <c r="AE392" s="67"/>
      <c r="AH392" s="186"/>
      <c r="AK392" s="186"/>
    </row>
    <row r="393">
      <c r="A393" s="185"/>
      <c r="B393" s="67"/>
      <c r="C393" s="67"/>
      <c r="D393" s="67"/>
      <c r="E393" s="186"/>
      <c r="F393" s="186"/>
      <c r="G393" s="186"/>
      <c r="H393" s="186"/>
      <c r="I393" s="186"/>
      <c r="J393" s="186"/>
      <c r="K393" s="186"/>
      <c r="L393" s="186"/>
      <c r="M393" s="186"/>
      <c r="N393" s="186"/>
      <c r="O393" s="186"/>
      <c r="P393" s="186"/>
      <c r="Q393" s="186"/>
      <c r="R393" s="186"/>
      <c r="S393" s="67"/>
      <c r="T393" s="67"/>
      <c r="U393" s="67"/>
      <c r="V393" s="187"/>
      <c r="W393" s="186"/>
      <c r="X393" s="187"/>
      <c r="Y393" s="187"/>
      <c r="Z393" s="187"/>
      <c r="AA393" s="186"/>
      <c r="AB393" s="186"/>
      <c r="AC393" s="67"/>
      <c r="AD393" s="67"/>
      <c r="AE393" s="67"/>
      <c r="AH393" s="186"/>
      <c r="AK393" s="186"/>
    </row>
    <row r="394">
      <c r="A394" s="185"/>
      <c r="B394" s="67"/>
      <c r="C394" s="67"/>
      <c r="D394" s="67"/>
      <c r="E394" s="186"/>
      <c r="F394" s="186"/>
      <c r="G394" s="186"/>
      <c r="H394" s="186"/>
      <c r="I394" s="186"/>
      <c r="J394" s="186"/>
      <c r="K394" s="186"/>
      <c r="L394" s="186"/>
      <c r="M394" s="186"/>
      <c r="N394" s="186"/>
      <c r="O394" s="186"/>
      <c r="P394" s="186"/>
      <c r="Q394" s="186"/>
      <c r="R394" s="186"/>
      <c r="S394" s="67"/>
      <c r="T394" s="67"/>
      <c r="U394" s="67"/>
      <c r="V394" s="187"/>
      <c r="W394" s="186"/>
      <c r="X394" s="187"/>
      <c r="Y394" s="187"/>
      <c r="Z394" s="187"/>
      <c r="AA394" s="186"/>
      <c r="AB394" s="186"/>
      <c r="AC394" s="67"/>
      <c r="AD394" s="67"/>
      <c r="AE394" s="67"/>
      <c r="AH394" s="186"/>
      <c r="AK394" s="186"/>
    </row>
    <row r="395">
      <c r="A395" s="185"/>
      <c r="B395" s="67"/>
      <c r="C395" s="67"/>
      <c r="D395" s="67"/>
      <c r="E395" s="186"/>
      <c r="F395" s="186"/>
      <c r="G395" s="186"/>
      <c r="H395" s="186"/>
      <c r="I395" s="186"/>
      <c r="J395" s="186"/>
      <c r="K395" s="186"/>
      <c r="L395" s="186"/>
      <c r="M395" s="186"/>
      <c r="N395" s="186"/>
      <c r="O395" s="186"/>
      <c r="P395" s="186"/>
      <c r="Q395" s="186"/>
      <c r="R395" s="186"/>
      <c r="S395" s="67"/>
      <c r="T395" s="67"/>
      <c r="U395" s="67"/>
      <c r="V395" s="187"/>
      <c r="W395" s="186"/>
      <c r="X395" s="187"/>
      <c r="Y395" s="187"/>
      <c r="Z395" s="187"/>
      <c r="AA395" s="186"/>
      <c r="AB395" s="186"/>
      <c r="AC395" s="67"/>
      <c r="AD395" s="67"/>
      <c r="AE395" s="67"/>
      <c r="AH395" s="186"/>
      <c r="AK395" s="186"/>
    </row>
    <row r="396">
      <c r="A396" s="185"/>
      <c r="B396" s="67"/>
      <c r="C396" s="67"/>
      <c r="D396" s="67"/>
      <c r="E396" s="186"/>
      <c r="F396" s="186"/>
      <c r="G396" s="186"/>
      <c r="H396" s="186"/>
      <c r="I396" s="186"/>
      <c r="J396" s="186"/>
      <c r="K396" s="186"/>
      <c r="L396" s="186"/>
      <c r="M396" s="186"/>
      <c r="N396" s="186"/>
      <c r="O396" s="186"/>
      <c r="P396" s="186"/>
      <c r="Q396" s="186"/>
      <c r="R396" s="186"/>
      <c r="S396" s="67"/>
      <c r="T396" s="67"/>
      <c r="U396" s="67"/>
      <c r="V396" s="187"/>
      <c r="W396" s="186"/>
      <c r="X396" s="187"/>
      <c r="Y396" s="187"/>
      <c r="Z396" s="187"/>
      <c r="AA396" s="186"/>
      <c r="AB396" s="186"/>
      <c r="AC396" s="67"/>
      <c r="AD396" s="67"/>
      <c r="AE396" s="67"/>
      <c r="AH396" s="186"/>
      <c r="AK396" s="186"/>
    </row>
    <row r="397">
      <c r="A397" s="185"/>
      <c r="B397" s="67"/>
      <c r="C397" s="67"/>
      <c r="D397" s="67"/>
      <c r="E397" s="186"/>
      <c r="F397" s="186"/>
      <c r="G397" s="186"/>
      <c r="H397" s="186"/>
      <c r="I397" s="186"/>
      <c r="J397" s="186"/>
      <c r="K397" s="186"/>
      <c r="L397" s="186"/>
      <c r="M397" s="186"/>
      <c r="N397" s="186"/>
      <c r="O397" s="186"/>
      <c r="P397" s="186"/>
      <c r="Q397" s="186"/>
      <c r="R397" s="186"/>
      <c r="S397" s="67"/>
      <c r="T397" s="67"/>
      <c r="U397" s="67"/>
      <c r="V397" s="187"/>
      <c r="W397" s="186"/>
      <c r="X397" s="187"/>
      <c r="Y397" s="187"/>
      <c r="Z397" s="187"/>
      <c r="AA397" s="186"/>
      <c r="AB397" s="186"/>
      <c r="AC397" s="67"/>
      <c r="AD397" s="67"/>
      <c r="AE397" s="67"/>
      <c r="AH397" s="186"/>
      <c r="AK397" s="186"/>
    </row>
    <row r="398">
      <c r="A398" s="185"/>
      <c r="B398" s="67"/>
      <c r="C398" s="67"/>
      <c r="D398" s="67"/>
      <c r="E398" s="186"/>
      <c r="F398" s="186"/>
      <c r="G398" s="186"/>
      <c r="H398" s="186"/>
      <c r="I398" s="186"/>
      <c r="J398" s="186"/>
      <c r="K398" s="186"/>
      <c r="L398" s="186"/>
      <c r="M398" s="186"/>
      <c r="N398" s="186"/>
      <c r="O398" s="186"/>
      <c r="P398" s="186"/>
      <c r="Q398" s="186"/>
      <c r="R398" s="186"/>
      <c r="S398" s="67"/>
      <c r="T398" s="67"/>
      <c r="U398" s="67"/>
      <c r="V398" s="187"/>
      <c r="W398" s="186"/>
      <c r="X398" s="187"/>
      <c r="Y398" s="187"/>
      <c r="Z398" s="187"/>
      <c r="AA398" s="186"/>
      <c r="AB398" s="186"/>
      <c r="AC398" s="67"/>
      <c r="AD398" s="67"/>
      <c r="AE398" s="67"/>
      <c r="AH398" s="186"/>
      <c r="AK398" s="186"/>
    </row>
    <row r="399">
      <c r="A399" s="185"/>
      <c r="B399" s="67"/>
      <c r="C399" s="67"/>
      <c r="D399" s="67"/>
      <c r="E399" s="186"/>
      <c r="F399" s="186"/>
      <c r="G399" s="186"/>
      <c r="H399" s="186"/>
      <c r="I399" s="186"/>
      <c r="J399" s="186"/>
      <c r="K399" s="186"/>
      <c r="L399" s="186"/>
      <c r="M399" s="186"/>
      <c r="N399" s="186"/>
      <c r="O399" s="186"/>
      <c r="P399" s="186"/>
      <c r="Q399" s="186"/>
      <c r="R399" s="186"/>
      <c r="S399" s="67"/>
      <c r="T399" s="67"/>
      <c r="U399" s="67"/>
      <c r="V399" s="187"/>
      <c r="W399" s="186"/>
      <c r="X399" s="187"/>
      <c r="Y399" s="187"/>
      <c r="Z399" s="187"/>
      <c r="AA399" s="186"/>
      <c r="AB399" s="186"/>
      <c r="AC399" s="67"/>
      <c r="AD399" s="67"/>
      <c r="AE399" s="67"/>
      <c r="AH399" s="186"/>
      <c r="AK399" s="186"/>
    </row>
    <row r="400">
      <c r="A400" s="185"/>
      <c r="B400" s="67"/>
      <c r="C400" s="67"/>
      <c r="D400" s="67"/>
      <c r="E400" s="186"/>
      <c r="F400" s="186"/>
      <c r="G400" s="186"/>
      <c r="H400" s="186"/>
      <c r="I400" s="186"/>
      <c r="J400" s="186"/>
      <c r="K400" s="186"/>
      <c r="L400" s="186"/>
      <c r="M400" s="186"/>
      <c r="N400" s="186"/>
      <c r="O400" s="186"/>
      <c r="P400" s="186"/>
      <c r="Q400" s="186"/>
      <c r="R400" s="186"/>
      <c r="S400" s="67"/>
      <c r="T400" s="67"/>
      <c r="U400" s="67"/>
      <c r="V400" s="187"/>
      <c r="W400" s="186"/>
      <c r="X400" s="187"/>
      <c r="Y400" s="187"/>
      <c r="Z400" s="187"/>
      <c r="AA400" s="186"/>
      <c r="AB400" s="186"/>
      <c r="AC400" s="67"/>
      <c r="AD400" s="67"/>
      <c r="AE400" s="67"/>
      <c r="AH400" s="186"/>
      <c r="AK400" s="186"/>
    </row>
    <row r="401">
      <c r="A401" s="185"/>
      <c r="B401" s="67"/>
      <c r="C401" s="67"/>
      <c r="D401" s="67"/>
      <c r="E401" s="186"/>
      <c r="F401" s="186"/>
      <c r="G401" s="186"/>
      <c r="H401" s="186"/>
      <c r="I401" s="186"/>
      <c r="J401" s="186"/>
      <c r="K401" s="186"/>
      <c r="L401" s="186"/>
      <c r="M401" s="186"/>
      <c r="N401" s="186"/>
      <c r="O401" s="186"/>
      <c r="P401" s="186"/>
      <c r="Q401" s="186"/>
      <c r="R401" s="186"/>
      <c r="S401" s="67"/>
      <c r="T401" s="67"/>
      <c r="U401" s="67"/>
      <c r="V401" s="187"/>
      <c r="W401" s="186"/>
      <c r="X401" s="187"/>
      <c r="Y401" s="187"/>
      <c r="Z401" s="187"/>
      <c r="AA401" s="186"/>
      <c r="AB401" s="186"/>
      <c r="AC401" s="67"/>
      <c r="AD401" s="67"/>
      <c r="AE401" s="67"/>
      <c r="AH401" s="186"/>
      <c r="AK401" s="186"/>
    </row>
    <row r="402">
      <c r="A402" s="185"/>
      <c r="B402" s="67"/>
      <c r="C402" s="67"/>
      <c r="D402" s="67"/>
      <c r="E402" s="186"/>
      <c r="F402" s="186"/>
      <c r="G402" s="186"/>
      <c r="H402" s="186"/>
      <c r="I402" s="186"/>
      <c r="J402" s="186"/>
      <c r="K402" s="186"/>
      <c r="L402" s="186"/>
      <c r="M402" s="186"/>
      <c r="N402" s="186"/>
      <c r="O402" s="186"/>
      <c r="P402" s="186"/>
      <c r="Q402" s="186"/>
      <c r="R402" s="186"/>
      <c r="S402" s="67"/>
      <c r="T402" s="67"/>
      <c r="U402" s="67"/>
      <c r="V402" s="187"/>
      <c r="W402" s="186"/>
      <c r="X402" s="187"/>
      <c r="Y402" s="187"/>
      <c r="Z402" s="187"/>
      <c r="AA402" s="186"/>
      <c r="AB402" s="186"/>
      <c r="AC402" s="67"/>
      <c r="AD402" s="67"/>
      <c r="AE402" s="67"/>
      <c r="AH402" s="186"/>
      <c r="AK402" s="186"/>
    </row>
    <row r="403">
      <c r="A403" s="185"/>
      <c r="B403" s="67"/>
      <c r="C403" s="67"/>
      <c r="D403" s="67"/>
      <c r="E403" s="186"/>
      <c r="F403" s="186"/>
      <c r="G403" s="186"/>
      <c r="H403" s="186"/>
      <c r="I403" s="186"/>
      <c r="J403" s="186"/>
      <c r="K403" s="186"/>
      <c r="L403" s="186"/>
      <c r="M403" s="186"/>
      <c r="N403" s="186"/>
      <c r="O403" s="186"/>
      <c r="P403" s="186"/>
      <c r="Q403" s="186"/>
      <c r="R403" s="186"/>
      <c r="S403" s="67"/>
      <c r="T403" s="67"/>
      <c r="U403" s="67"/>
      <c r="V403" s="187"/>
      <c r="W403" s="186"/>
      <c r="X403" s="187"/>
      <c r="Y403" s="187"/>
      <c r="Z403" s="187"/>
      <c r="AA403" s="186"/>
      <c r="AB403" s="186"/>
      <c r="AC403" s="67"/>
      <c r="AD403" s="67"/>
      <c r="AE403" s="67"/>
      <c r="AH403" s="186"/>
      <c r="AK403" s="186"/>
    </row>
    <row r="404">
      <c r="A404" s="185"/>
      <c r="B404" s="67"/>
      <c r="C404" s="67"/>
      <c r="D404" s="67"/>
      <c r="E404" s="186"/>
      <c r="F404" s="186"/>
      <c r="G404" s="186"/>
      <c r="H404" s="186"/>
      <c r="I404" s="186"/>
      <c r="J404" s="186"/>
      <c r="K404" s="186"/>
      <c r="L404" s="186"/>
      <c r="M404" s="186"/>
      <c r="N404" s="186"/>
      <c r="O404" s="186"/>
      <c r="P404" s="186"/>
      <c r="Q404" s="186"/>
      <c r="R404" s="186"/>
      <c r="S404" s="67"/>
      <c r="T404" s="67"/>
      <c r="U404" s="67"/>
      <c r="V404" s="187"/>
      <c r="W404" s="186"/>
      <c r="X404" s="187"/>
      <c r="Y404" s="187"/>
      <c r="Z404" s="187"/>
      <c r="AA404" s="186"/>
      <c r="AB404" s="186"/>
      <c r="AC404" s="67"/>
      <c r="AD404" s="67"/>
      <c r="AE404" s="67"/>
      <c r="AH404" s="186"/>
      <c r="AK404" s="186"/>
    </row>
    <row r="405">
      <c r="A405" s="185"/>
      <c r="B405" s="67"/>
      <c r="C405" s="67"/>
      <c r="D405" s="67"/>
      <c r="E405" s="186"/>
      <c r="F405" s="186"/>
      <c r="G405" s="186"/>
      <c r="H405" s="186"/>
      <c r="I405" s="186"/>
      <c r="J405" s="186"/>
      <c r="K405" s="186"/>
      <c r="L405" s="186"/>
      <c r="M405" s="186"/>
      <c r="N405" s="186"/>
      <c r="O405" s="186"/>
      <c r="P405" s="186"/>
      <c r="Q405" s="186"/>
      <c r="R405" s="186"/>
      <c r="S405" s="67"/>
      <c r="T405" s="67"/>
      <c r="U405" s="67"/>
      <c r="V405" s="187"/>
      <c r="W405" s="186"/>
      <c r="X405" s="187"/>
      <c r="Y405" s="187"/>
      <c r="Z405" s="187"/>
      <c r="AA405" s="186"/>
      <c r="AB405" s="186"/>
      <c r="AC405" s="67"/>
      <c r="AD405" s="67"/>
      <c r="AE405" s="67"/>
      <c r="AH405" s="186"/>
      <c r="AK405" s="186"/>
    </row>
    <row r="406">
      <c r="A406" s="185"/>
      <c r="B406" s="67"/>
      <c r="C406" s="67"/>
      <c r="D406" s="67"/>
      <c r="E406" s="186"/>
      <c r="F406" s="186"/>
      <c r="G406" s="186"/>
      <c r="H406" s="186"/>
      <c r="I406" s="186"/>
      <c r="J406" s="186"/>
      <c r="K406" s="186"/>
      <c r="L406" s="186"/>
      <c r="M406" s="186"/>
      <c r="N406" s="186"/>
      <c r="O406" s="186"/>
      <c r="P406" s="186"/>
      <c r="Q406" s="186"/>
      <c r="R406" s="186"/>
      <c r="S406" s="67"/>
      <c r="T406" s="67"/>
      <c r="U406" s="67"/>
      <c r="V406" s="187"/>
      <c r="W406" s="186"/>
      <c r="X406" s="187"/>
      <c r="Y406" s="187"/>
      <c r="Z406" s="187"/>
      <c r="AA406" s="186"/>
      <c r="AB406" s="186"/>
      <c r="AC406" s="67"/>
      <c r="AD406" s="67"/>
      <c r="AE406" s="67"/>
      <c r="AH406" s="186"/>
      <c r="AK406" s="186"/>
    </row>
    <row r="407">
      <c r="A407" s="185"/>
      <c r="B407" s="67"/>
      <c r="C407" s="67"/>
      <c r="D407" s="67"/>
      <c r="E407" s="186"/>
      <c r="F407" s="186"/>
      <c r="G407" s="186"/>
      <c r="H407" s="186"/>
      <c r="I407" s="186"/>
      <c r="J407" s="186"/>
      <c r="K407" s="186"/>
      <c r="L407" s="186"/>
      <c r="M407" s="186"/>
      <c r="N407" s="186"/>
      <c r="O407" s="186"/>
      <c r="P407" s="186"/>
      <c r="Q407" s="186"/>
      <c r="R407" s="186"/>
      <c r="S407" s="67"/>
      <c r="T407" s="67"/>
      <c r="U407" s="67"/>
      <c r="V407" s="187"/>
      <c r="W407" s="186"/>
      <c r="X407" s="187"/>
      <c r="Y407" s="187"/>
      <c r="Z407" s="187"/>
      <c r="AA407" s="186"/>
      <c r="AB407" s="186"/>
      <c r="AC407" s="67"/>
      <c r="AD407" s="67"/>
      <c r="AE407" s="67"/>
      <c r="AH407" s="186"/>
      <c r="AK407" s="186"/>
    </row>
    <row r="408">
      <c r="A408" s="185"/>
      <c r="B408" s="67"/>
      <c r="C408" s="67"/>
      <c r="D408" s="67"/>
      <c r="E408" s="186"/>
      <c r="F408" s="186"/>
      <c r="G408" s="186"/>
      <c r="H408" s="186"/>
      <c r="I408" s="186"/>
      <c r="J408" s="186"/>
      <c r="K408" s="186"/>
      <c r="L408" s="186"/>
      <c r="M408" s="186"/>
      <c r="N408" s="186"/>
      <c r="O408" s="186"/>
      <c r="P408" s="186"/>
      <c r="Q408" s="186"/>
      <c r="R408" s="186"/>
      <c r="S408" s="67"/>
      <c r="T408" s="67"/>
      <c r="U408" s="67"/>
      <c r="V408" s="187"/>
      <c r="W408" s="186"/>
      <c r="X408" s="187"/>
      <c r="Y408" s="187"/>
      <c r="Z408" s="187"/>
      <c r="AA408" s="186"/>
      <c r="AB408" s="186"/>
      <c r="AC408" s="67"/>
      <c r="AD408" s="67"/>
      <c r="AE408" s="67"/>
      <c r="AH408" s="186"/>
      <c r="AK408" s="186"/>
    </row>
    <row r="409">
      <c r="A409" s="185"/>
      <c r="B409" s="67"/>
      <c r="C409" s="67"/>
      <c r="D409" s="67"/>
      <c r="E409" s="186"/>
      <c r="F409" s="186"/>
      <c r="G409" s="186"/>
      <c r="H409" s="186"/>
      <c r="I409" s="186"/>
      <c r="J409" s="186"/>
      <c r="K409" s="186"/>
      <c r="L409" s="186"/>
      <c r="M409" s="186"/>
      <c r="N409" s="186"/>
      <c r="O409" s="186"/>
      <c r="P409" s="186"/>
      <c r="Q409" s="186"/>
      <c r="R409" s="186"/>
      <c r="S409" s="67"/>
      <c r="T409" s="67"/>
      <c r="U409" s="67"/>
      <c r="V409" s="187"/>
      <c r="W409" s="186"/>
      <c r="X409" s="187"/>
      <c r="Y409" s="187"/>
      <c r="Z409" s="187"/>
      <c r="AA409" s="186"/>
      <c r="AB409" s="186"/>
      <c r="AC409" s="67"/>
      <c r="AD409" s="67"/>
      <c r="AE409" s="67"/>
      <c r="AH409" s="186"/>
      <c r="AK409" s="186"/>
    </row>
    <row r="410">
      <c r="A410" s="185"/>
      <c r="B410" s="67"/>
      <c r="C410" s="67"/>
      <c r="D410" s="67"/>
      <c r="E410" s="186"/>
      <c r="F410" s="186"/>
      <c r="G410" s="186"/>
      <c r="H410" s="186"/>
      <c r="I410" s="186"/>
      <c r="J410" s="186"/>
      <c r="K410" s="186"/>
      <c r="L410" s="186"/>
      <c r="M410" s="186"/>
      <c r="N410" s="186"/>
      <c r="O410" s="186"/>
      <c r="P410" s="186"/>
      <c r="Q410" s="186"/>
      <c r="R410" s="186"/>
      <c r="S410" s="67"/>
      <c r="T410" s="67"/>
      <c r="U410" s="67"/>
      <c r="V410" s="187"/>
      <c r="W410" s="186"/>
      <c r="X410" s="187"/>
      <c r="Y410" s="187"/>
      <c r="Z410" s="187"/>
      <c r="AA410" s="186"/>
      <c r="AB410" s="186"/>
      <c r="AC410" s="67"/>
      <c r="AD410" s="67"/>
      <c r="AE410" s="67"/>
      <c r="AH410" s="186"/>
      <c r="AK410" s="186"/>
    </row>
    <row r="411">
      <c r="A411" s="185"/>
      <c r="B411" s="67"/>
      <c r="C411" s="67"/>
      <c r="D411" s="67"/>
      <c r="E411" s="186"/>
      <c r="F411" s="186"/>
      <c r="G411" s="186"/>
      <c r="H411" s="186"/>
      <c r="I411" s="186"/>
      <c r="J411" s="186"/>
      <c r="K411" s="186"/>
      <c r="L411" s="186"/>
      <c r="M411" s="186"/>
      <c r="N411" s="186"/>
      <c r="O411" s="186"/>
      <c r="P411" s="186"/>
      <c r="Q411" s="186"/>
      <c r="R411" s="186"/>
      <c r="S411" s="67"/>
      <c r="T411" s="67"/>
      <c r="U411" s="67"/>
      <c r="V411" s="187"/>
      <c r="W411" s="186"/>
      <c r="X411" s="187"/>
      <c r="Y411" s="187"/>
      <c r="Z411" s="187"/>
      <c r="AA411" s="186"/>
      <c r="AB411" s="186"/>
      <c r="AC411" s="67"/>
      <c r="AD411" s="67"/>
      <c r="AE411" s="67"/>
      <c r="AH411" s="186"/>
      <c r="AK411" s="186"/>
    </row>
    <row r="412">
      <c r="A412" s="185"/>
      <c r="B412" s="67"/>
      <c r="C412" s="67"/>
      <c r="D412" s="67"/>
      <c r="E412" s="186"/>
      <c r="F412" s="186"/>
      <c r="G412" s="186"/>
      <c r="H412" s="186"/>
      <c r="I412" s="186"/>
      <c r="J412" s="186"/>
      <c r="K412" s="186"/>
      <c r="L412" s="186"/>
      <c r="M412" s="186"/>
      <c r="N412" s="186"/>
      <c r="O412" s="186"/>
      <c r="P412" s="186"/>
      <c r="Q412" s="186"/>
      <c r="R412" s="186"/>
      <c r="S412" s="67"/>
      <c r="T412" s="67"/>
      <c r="U412" s="67"/>
      <c r="V412" s="187"/>
      <c r="W412" s="186"/>
      <c r="X412" s="187"/>
      <c r="Y412" s="187"/>
      <c r="Z412" s="187"/>
      <c r="AA412" s="186"/>
      <c r="AB412" s="186"/>
      <c r="AC412" s="67"/>
      <c r="AD412" s="67"/>
      <c r="AE412" s="67"/>
      <c r="AH412" s="186"/>
      <c r="AK412" s="186"/>
    </row>
    <row r="413">
      <c r="A413" s="185"/>
      <c r="B413" s="67"/>
      <c r="C413" s="67"/>
      <c r="D413" s="67"/>
      <c r="E413" s="186"/>
      <c r="F413" s="186"/>
      <c r="G413" s="186"/>
      <c r="H413" s="186"/>
      <c r="I413" s="186"/>
      <c r="J413" s="186"/>
      <c r="K413" s="186"/>
      <c r="L413" s="186"/>
      <c r="M413" s="186"/>
      <c r="N413" s="186"/>
      <c r="O413" s="186"/>
      <c r="P413" s="186"/>
      <c r="Q413" s="186"/>
      <c r="R413" s="186"/>
      <c r="S413" s="67"/>
      <c r="T413" s="67"/>
      <c r="U413" s="67"/>
      <c r="V413" s="187"/>
      <c r="W413" s="186"/>
      <c r="X413" s="187"/>
      <c r="Y413" s="187"/>
      <c r="Z413" s="187"/>
      <c r="AA413" s="186"/>
      <c r="AB413" s="186"/>
      <c r="AC413" s="67"/>
      <c r="AD413" s="67"/>
      <c r="AE413" s="67"/>
      <c r="AH413" s="186"/>
      <c r="AK413" s="186"/>
    </row>
    <row r="414">
      <c r="A414" s="185"/>
      <c r="B414" s="67"/>
      <c r="C414" s="67"/>
      <c r="D414" s="67"/>
      <c r="E414" s="186"/>
      <c r="F414" s="186"/>
      <c r="G414" s="186"/>
      <c r="H414" s="186"/>
      <c r="I414" s="186"/>
      <c r="J414" s="186"/>
      <c r="K414" s="186"/>
      <c r="L414" s="186"/>
      <c r="M414" s="186"/>
      <c r="N414" s="186"/>
      <c r="O414" s="186"/>
      <c r="P414" s="186"/>
      <c r="Q414" s="186"/>
      <c r="R414" s="186"/>
      <c r="S414" s="67"/>
      <c r="T414" s="67"/>
      <c r="U414" s="67"/>
      <c r="V414" s="187"/>
      <c r="W414" s="186"/>
      <c r="X414" s="187"/>
      <c r="Y414" s="187"/>
      <c r="Z414" s="187"/>
      <c r="AA414" s="186"/>
      <c r="AB414" s="186"/>
      <c r="AC414" s="67"/>
      <c r="AD414" s="67"/>
      <c r="AE414" s="67"/>
      <c r="AH414" s="186"/>
      <c r="AK414" s="186"/>
    </row>
    <row r="415">
      <c r="A415" s="185"/>
      <c r="B415" s="67"/>
      <c r="C415" s="67"/>
      <c r="D415" s="67"/>
      <c r="E415" s="186"/>
      <c r="F415" s="186"/>
      <c r="G415" s="186"/>
      <c r="H415" s="186"/>
      <c r="I415" s="186"/>
      <c r="J415" s="186"/>
      <c r="K415" s="186"/>
      <c r="L415" s="186"/>
      <c r="M415" s="186"/>
      <c r="N415" s="186"/>
      <c r="O415" s="186"/>
      <c r="P415" s="186"/>
      <c r="Q415" s="186"/>
      <c r="R415" s="186"/>
      <c r="S415" s="67"/>
      <c r="T415" s="67"/>
      <c r="U415" s="67"/>
      <c r="V415" s="187"/>
      <c r="W415" s="186"/>
      <c r="X415" s="187"/>
      <c r="Y415" s="187"/>
      <c r="Z415" s="187"/>
      <c r="AA415" s="186"/>
      <c r="AB415" s="186"/>
      <c r="AC415" s="67"/>
      <c r="AD415" s="67"/>
      <c r="AE415" s="67"/>
      <c r="AH415" s="186"/>
      <c r="AK415" s="186"/>
    </row>
    <row r="416">
      <c r="A416" s="185"/>
      <c r="B416" s="67"/>
      <c r="C416" s="67"/>
      <c r="D416" s="67"/>
      <c r="E416" s="186"/>
      <c r="F416" s="186"/>
      <c r="G416" s="186"/>
      <c r="H416" s="186"/>
      <c r="I416" s="186"/>
      <c r="J416" s="186"/>
      <c r="K416" s="186"/>
      <c r="L416" s="186"/>
      <c r="M416" s="186"/>
      <c r="N416" s="186"/>
      <c r="O416" s="186"/>
      <c r="P416" s="186"/>
      <c r="Q416" s="186"/>
      <c r="R416" s="186"/>
      <c r="S416" s="67"/>
      <c r="T416" s="67"/>
      <c r="U416" s="67"/>
      <c r="V416" s="187"/>
      <c r="W416" s="186"/>
      <c r="X416" s="187"/>
      <c r="Y416" s="187"/>
      <c r="Z416" s="187"/>
      <c r="AA416" s="186"/>
      <c r="AB416" s="186"/>
      <c r="AC416" s="67"/>
      <c r="AD416" s="67"/>
      <c r="AE416" s="67"/>
      <c r="AH416" s="186"/>
      <c r="AK416" s="186"/>
    </row>
    <row r="417">
      <c r="A417" s="185"/>
      <c r="B417" s="67"/>
      <c r="C417" s="67"/>
      <c r="D417" s="67"/>
      <c r="E417" s="186"/>
      <c r="F417" s="186"/>
      <c r="G417" s="186"/>
      <c r="H417" s="186"/>
      <c r="I417" s="186"/>
      <c r="J417" s="186"/>
      <c r="K417" s="186"/>
      <c r="L417" s="186"/>
      <c r="M417" s="186"/>
      <c r="N417" s="186"/>
      <c r="O417" s="186"/>
      <c r="P417" s="186"/>
      <c r="Q417" s="186"/>
      <c r="R417" s="186"/>
      <c r="S417" s="67"/>
      <c r="T417" s="67"/>
      <c r="U417" s="67"/>
      <c r="V417" s="187"/>
      <c r="W417" s="186"/>
      <c r="X417" s="187"/>
      <c r="Y417" s="187"/>
      <c r="Z417" s="187"/>
      <c r="AA417" s="186"/>
      <c r="AB417" s="186"/>
      <c r="AC417" s="67"/>
      <c r="AD417" s="67"/>
      <c r="AE417" s="67"/>
      <c r="AH417" s="186"/>
      <c r="AK417" s="186"/>
    </row>
    <row r="418">
      <c r="A418" s="185"/>
      <c r="B418" s="67"/>
      <c r="C418" s="67"/>
      <c r="D418" s="67"/>
      <c r="E418" s="186"/>
      <c r="F418" s="186"/>
      <c r="G418" s="186"/>
      <c r="H418" s="186"/>
      <c r="I418" s="186"/>
      <c r="J418" s="186"/>
      <c r="K418" s="186"/>
      <c r="L418" s="186"/>
      <c r="M418" s="186"/>
      <c r="N418" s="186"/>
      <c r="O418" s="186"/>
      <c r="P418" s="186"/>
      <c r="Q418" s="186"/>
      <c r="R418" s="186"/>
      <c r="S418" s="67"/>
      <c r="T418" s="67"/>
      <c r="U418" s="67"/>
      <c r="V418" s="187"/>
      <c r="W418" s="186"/>
      <c r="X418" s="187"/>
      <c r="Y418" s="187"/>
      <c r="Z418" s="187"/>
      <c r="AA418" s="186"/>
      <c r="AB418" s="186"/>
      <c r="AC418" s="67"/>
      <c r="AD418" s="67"/>
      <c r="AE418" s="67"/>
      <c r="AH418" s="186"/>
      <c r="AK418" s="186"/>
    </row>
    <row r="419">
      <c r="A419" s="185"/>
      <c r="B419" s="67"/>
      <c r="C419" s="67"/>
      <c r="D419" s="67"/>
      <c r="E419" s="186"/>
      <c r="F419" s="186"/>
      <c r="G419" s="186"/>
      <c r="H419" s="186"/>
      <c r="I419" s="186"/>
      <c r="J419" s="186"/>
      <c r="K419" s="186"/>
      <c r="L419" s="186"/>
      <c r="M419" s="186"/>
      <c r="N419" s="186"/>
      <c r="O419" s="186"/>
      <c r="P419" s="186"/>
      <c r="Q419" s="186"/>
      <c r="R419" s="186"/>
      <c r="S419" s="67"/>
      <c r="T419" s="67"/>
      <c r="U419" s="67"/>
      <c r="V419" s="187"/>
      <c r="W419" s="186"/>
      <c r="X419" s="187"/>
      <c r="Y419" s="187"/>
      <c r="Z419" s="187"/>
      <c r="AA419" s="186"/>
      <c r="AB419" s="186"/>
      <c r="AC419" s="67"/>
      <c r="AD419" s="67"/>
      <c r="AE419" s="67"/>
      <c r="AH419" s="186"/>
      <c r="AK419" s="186"/>
    </row>
    <row r="420">
      <c r="A420" s="185"/>
      <c r="B420" s="67"/>
      <c r="C420" s="67"/>
      <c r="D420" s="67"/>
      <c r="E420" s="186"/>
      <c r="F420" s="186"/>
      <c r="G420" s="186"/>
      <c r="H420" s="186"/>
      <c r="I420" s="186"/>
      <c r="J420" s="186"/>
      <c r="K420" s="186"/>
      <c r="L420" s="186"/>
      <c r="M420" s="186"/>
      <c r="N420" s="186"/>
      <c r="O420" s="186"/>
      <c r="P420" s="186"/>
      <c r="Q420" s="186"/>
      <c r="R420" s="186"/>
      <c r="S420" s="67"/>
      <c r="T420" s="67"/>
      <c r="U420" s="67"/>
      <c r="V420" s="187"/>
      <c r="W420" s="186"/>
      <c r="X420" s="187"/>
      <c r="Y420" s="187"/>
      <c r="Z420" s="187"/>
      <c r="AA420" s="186"/>
      <c r="AB420" s="186"/>
      <c r="AC420" s="67"/>
      <c r="AD420" s="67"/>
      <c r="AE420" s="67"/>
      <c r="AH420" s="186"/>
      <c r="AK420" s="186"/>
    </row>
    <row r="421">
      <c r="A421" s="185"/>
      <c r="B421" s="67"/>
      <c r="C421" s="67"/>
      <c r="D421" s="67"/>
      <c r="E421" s="186"/>
      <c r="F421" s="186"/>
      <c r="G421" s="186"/>
      <c r="H421" s="186"/>
      <c r="I421" s="186"/>
      <c r="J421" s="186"/>
      <c r="K421" s="186"/>
      <c r="L421" s="186"/>
      <c r="M421" s="186"/>
      <c r="N421" s="186"/>
      <c r="O421" s="186"/>
      <c r="P421" s="186"/>
      <c r="Q421" s="186"/>
      <c r="R421" s="186"/>
      <c r="S421" s="67"/>
      <c r="T421" s="67"/>
      <c r="U421" s="67"/>
      <c r="V421" s="187"/>
      <c r="W421" s="186"/>
      <c r="X421" s="187"/>
      <c r="Y421" s="187"/>
      <c r="Z421" s="187"/>
      <c r="AA421" s="186"/>
      <c r="AB421" s="186"/>
      <c r="AC421" s="67"/>
      <c r="AD421" s="67"/>
      <c r="AE421" s="67"/>
      <c r="AH421" s="186"/>
      <c r="AK421" s="186"/>
    </row>
    <row r="422">
      <c r="A422" s="185"/>
      <c r="B422" s="67"/>
      <c r="C422" s="67"/>
      <c r="D422" s="67"/>
      <c r="E422" s="186"/>
      <c r="F422" s="186"/>
      <c r="G422" s="186"/>
      <c r="H422" s="186"/>
      <c r="I422" s="186"/>
      <c r="J422" s="186"/>
      <c r="K422" s="186"/>
      <c r="L422" s="186"/>
      <c r="M422" s="186"/>
      <c r="N422" s="186"/>
      <c r="O422" s="186"/>
      <c r="P422" s="186"/>
      <c r="Q422" s="186"/>
      <c r="R422" s="186"/>
      <c r="S422" s="67"/>
      <c r="T422" s="67"/>
      <c r="U422" s="67"/>
      <c r="V422" s="187"/>
      <c r="W422" s="186"/>
      <c r="X422" s="187"/>
      <c r="Y422" s="187"/>
      <c r="Z422" s="187"/>
      <c r="AA422" s="186"/>
      <c r="AB422" s="186"/>
      <c r="AC422" s="67"/>
      <c r="AD422" s="67"/>
      <c r="AE422" s="67"/>
      <c r="AH422" s="186"/>
      <c r="AK422" s="186"/>
    </row>
    <row r="423">
      <c r="A423" s="185"/>
      <c r="B423" s="67"/>
      <c r="C423" s="67"/>
      <c r="D423" s="67"/>
      <c r="E423" s="186"/>
      <c r="F423" s="186"/>
      <c r="G423" s="186"/>
      <c r="H423" s="186"/>
      <c r="I423" s="186"/>
      <c r="J423" s="186"/>
      <c r="K423" s="186"/>
      <c r="L423" s="186"/>
      <c r="M423" s="186"/>
      <c r="N423" s="186"/>
      <c r="O423" s="186"/>
      <c r="P423" s="186"/>
      <c r="Q423" s="186"/>
      <c r="R423" s="186"/>
      <c r="S423" s="67"/>
      <c r="T423" s="67"/>
      <c r="U423" s="67"/>
      <c r="V423" s="187"/>
      <c r="W423" s="186"/>
      <c r="X423" s="187"/>
      <c r="Y423" s="187"/>
      <c r="Z423" s="187"/>
      <c r="AA423" s="186"/>
      <c r="AB423" s="186"/>
      <c r="AC423" s="67"/>
      <c r="AD423" s="67"/>
      <c r="AE423" s="67"/>
      <c r="AH423" s="186"/>
      <c r="AK423" s="186"/>
    </row>
    <row r="424">
      <c r="A424" s="185"/>
      <c r="B424" s="67"/>
      <c r="C424" s="67"/>
      <c r="D424" s="67"/>
      <c r="E424" s="186"/>
      <c r="F424" s="186"/>
      <c r="G424" s="186"/>
      <c r="H424" s="186"/>
      <c r="I424" s="186"/>
      <c r="J424" s="186"/>
      <c r="K424" s="186"/>
      <c r="L424" s="186"/>
      <c r="M424" s="186"/>
      <c r="N424" s="186"/>
      <c r="O424" s="186"/>
      <c r="P424" s="186"/>
      <c r="Q424" s="186"/>
      <c r="R424" s="186"/>
      <c r="S424" s="67"/>
      <c r="T424" s="67"/>
      <c r="U424" s="67"/>
      <c r="V424" s="187"/>
      <c r="W424" s="186"/>
      <c r="X424" s="187"/>
      <c r="Y424" s="187"/>
      <c r="Z424" s="187"/>
      <c r="AA424" s="186"/>
      <c r="AB424" s="186"/>
      <c r="AC424" s="67"/>
      <c r="AD424" s="67"/>
      <c r="AE424" s="67"/>
      <c r="AH424" s="186"/>
      <c r="AK424" s="186"/>
    </row>
    <row r="425">
      <c r="A425" s="185"/>
      <c r="B425" s="67"/>
      <c r="C425" s="67"/>
      <c r="D425" s="67"/>
      <c r="E425" s="186"/>
      <c r="F425" s="186"/>
      <c r="G425" s="186"/>
      <c r="H425" s="186"/>
      <c r="I425" s="186"/>
      <c r="J425" s="186"/>
      <c r="K425" s="186"/>
      <c r="L425" s="186"/>
      <c r="M425" s="186"/>
      <c r="N425" s="186"/>
      <c r="O425" s="186"/>
      <c r="P425" s="186"/>
      <c r="Q425" s="186"/>
      <c r="R425" s="186"/>
      <c r="S425" s="67"/>
      <c r="T425" s="67"/>
      <c r="U425" s="67"/>
      <c r="V425" s="187"/>
      <c r="W425" s="186"/>
      <c r="X425" s="187"/>
      <c r="Y425" s="187"/>
      <c r="Z425" s="187"/>
      <c r="AA425" s="186"/>
      <c r="AB425" s="186"/>
      <c r="AC425" s="67"/>
      <c r="AD425" s="67"/>
      <c r="AE425" s="67"/>
      <c r="AH425" s="186"/>
      <c r="AK425" s="186"/>
    </row>
    <row r="426">
      <c r="A426" s="185"/>
      <c r="B426" s="67"/>
      <c r="C426" s="67"/>
      <c r="D426" s="67"/>
      <c r="E426" s="186"/>
      <c r="F426" s="186"/>
      <c r="G426" s="186"/>
      <c r="H426" s="186"/>
      <c r="I426" s="186"/>
      <c r="J426" s="186"/>
      <c r="K426" s="186"/>
      <c r="L426" s="186"/>
      <c r="M426" s="186"/>
      <c r="N426" s="186"/>
      <c r="O426" s="186"/>
      <c r="P426" s="186"/>
      <c r="Q426" s="186"/>
      <c r="R426" s="186"/>
      <c r="S426" s="67"/>
      <c r="T426" s="67"/>
      <c r="U426" s="67"/>
      <c r="V426" s="187"/>
      <c r="W426" s="186"/>
      <c r="X426" s="187"/>
      <c r="Y426" s="187"/>
      <c r="Z426" s="187"/>
      <c r="AA426" s="186"/>
      <c r="AB426" s="186"/>
      <c r="AC426" s="67"/>
      <c r="AD426" s="67"/>
      <c r="AE426" s="67"/>
      <c r="AH426" s="186"/>
      <c r="AK426" s="186"/>
    </row>
    <row r="427">
      <c r="A427" s="185"/>
      <c r="B427" s="67"/>
      <c r="C427" s="67"/>
      <c r="D427" s="67"/>
      <c r="E427" s="186"/>
      <c r="F427" s="186"/>
      <c r="G427" s="186"/>
      <c r="H427" s="186"/>
      <c r="I427" s="186"/>
      <c r="J427" s="186"/>
      <c r="K427" s="186"/>
      <c r="L427" s="186"/>
      <c r="M427" s="186"/>
      <c r="N427" s="186"/>
      <c r="O427" s="186"/>
      <c r="P427" s="186"/>
      <c r="Q427" s="186"/>
      <c r="R427" s="186"/>
      <c r="S427" s="67"/>
      <c r="T427" s="67"/>
      <c r="U427" s="67"/>
      <c r="V427" s="187"/>
      <c r="W427" s="186"/>
      <c r="X427" s="187"/>
      <c r="Y427" s="187"/>
      <c r="Z427" s="187"/>
      <c r="AA427" s="186"/>
      <c r="AB427" s="186"/>
      <c r="AC427" s="67"/>
      <c r="AD427" s="67"/>
      <c r="AE427" s="67"/>
      <c r="AH427" s="186"/>
      <c r="AK427" s="186"/>
    </row>
    <row r="428">
      <c r="A428" s="185"/>
      <c r="B428" s="67"/>
      <c r="C428" s="67"/>
      <c r="D428" s="67"/>
      <c r="E428" s="186"/>
      <c r="F428" s="186"/>
      <c r="G428" s="186"/>
      <c r="H428" s="186"/>
      <c r="I428" s="186"/>
      <c r="J428" s="186"/>
      <c r="K428" s="186"/>
      <c r="L428" s="186"/>
      <c r="M428" s="186"/>
      <c r="N428" s="186"/>
      <c r="O428" s="186"/>
      <c r="P428" s="186"/>
      <c r="Q428" s="186"/>
      <c r="R428" s="186"/>
      <c r="S428" s="67"/>
      <c r="T428" s="67"/>
      <c r="U428" s="67"/>
      <c r="V428" s="187"/>
      <c r="W428" s="186"/>
      <c r="X428" s="187"/>
      <c r="Y428" s="187"/>
      <c r="Z428" s="187"/>
      <c r="AA428" s="186"/>
      <c r="AB428" s="186"/>
      <c r="AC428" s="67"/>
      <c r="AD428" s="67"/>
      <c r="AE428" s="67"/>
      <c r="AH428" s="186"/>
      <c r="AK428" s="186"/>
    </row>
    <row r="429">
      <c r="A429" s="185"/>
      <c r="B429" s="67"/>
      <c r="C429" s="67"/>
      <c r="D429" s="67"/>
      <c r="E429" s="186"/>
      <c r="F429" s="186"/>
      <c r="G429" s="186"/>
      <c r="H429" s="186"/>
      <c r="I429" s="186"/>
      <c r="J429" s="186"/>
      <c r="K429" s="186"/>
      <c r="L429" s="186"/>
      <c r="M429" s="186"/>
      <c r="N429" s="186"/>
      <c r="O429" s="186"/>
      <c r="P429" s="186"/>
      <c r="Q429" s="186"/>
      <c r="R429" s="186"/>
      <c r="S429" s="67"/>
      <c r="T429" s="67"/>
      <c r="U429" s="67"/>
      <c r="V429" s="187"/>
      <c r="W429" s="186"/>
      <c r="X429" s="187"/>
      <c r="Y429" s="187"/>
      <c r="Z429" s="187"/>
      <c r="AA429" s="186"/>
      <c r="AB429" s="186"/>
      <c r="AC429" s="67"/>
      <c r="AD429" s="67"/>
      <c r="AE429" s="67"/>
      <c r="AH429" s="186"/>
      <c r="AK429" s="186"/>
    </row>
    <row r="430">
      <c r="A430" s="185"/>
      <c r="B430" s="67"/>
      <c r="C430" s="67"/>
      <c r="D430" s="67"/>
      <c r="E430" s="186"/>
      <c r="F430" s="186"/>
      <c r="G430" s="186"/>
      <c r="H430" s="186"/>
      <c r="I430" s="186"/>
      <c r="J430" s="186"/>
      <c r="K430" s="186"/>
      <c r="L430" s="186"/>
      <c r="M430" s="186"/>
      <c r="N430" s="186"/>
      <c r="O430" s="186"/>
      <c r="P430" s="186"/>
      <c r="Q430" s="186"/>
      <c r="R430" s="186"/>
      <c r="S430" s="67"/>
      <c r="T430" s="67"/>
      <c r="U430" s="67"/>
      <c r="V430" s="187"/>
      <c r="W430" s="186"/>
      <c r="X430" s="187"/>
      <c r="Y430" s="187"/>
      <c r="Z430" s="187"/>
      <c r="AA430" s="186"/>
      <c r="AB430" s="186"/>
      <c r="AC430" s="67"/>
      <c r="AD430" s="67"/>
      <c r="AE430" s="67"/>
      <c r="AH430" s="186"/>
      <c r="AK430" s="186"/>
    </row>
    <row r="431">
      <c r="A431" s="185"/>
      <c r="B431" s="67"/>
      <c r="C431" s="67"/>
      <c r="D431" s="67"/>
      <c r="E431" s="186"/>
      <c r="F431" s="186"/>
      <c r="G431" s="186"/>
      <c r="H431" s="186"/>
      <c r="I431" s="186"/>
      <c r="J431" s="186"/>
      <c r="K431" s="186"/>
      <c r="L431" s="186"/>
      <c r="M431" s="186"/>
      <c r="N431" s="186"/>
      <c r="O431" s="186"/>
      <c r="P431" s="186"/>
      <c r="Q431" s="186"/>
      <c r="R431" s="186"/>
      <c r="S431" s="67"/>
      <c r="T431" s="67"/>
      <c r="U431" s="67"/>
      <c r="V431" s="187"/>
      <c r="W431" s="186"/>
      <c r="X431" s="187"/>
      <c r="Y431" s="187"/>
      <c r="Z431" s="187"/>
      <c r="AA431" s="186"/>
      <c r="AB431" s="186"/>
      <c r="AC431" s="67"/>
      <c r="AD431" s="67"/>
      <c r="AE431" s="67"/>
      <c r="AH431" s="186"/>
      <c r="AK431" s="186"/>
    </row>
    <row r="432">
      <c r="A432" s="185"/>
      <c r="B432" s="67"/>
      <c r="C432" s="67"/>
      <c r="D432" s="67"/>
      <c r="E432" s="186"/>
      <c r="F432" s="186"/>
      <c r="G432" s="186"/>
      <c r="H432" s="186"/>
      <c r="I432" s="186"/>
      <c r="J432" s="186"/>
      <c r="K432" s="186"/>
      <c r="L432" s="186"/>
      <c r="M432" s="186"/>
      <c r="N432" s="186"/>
      <c r="O432" s="186"/>
      <c r="P432" s="186"/>
      <c r="Q432" s="186"/>
      <c r="R432" s="186"/>
      <c r="S432" s="67"/>
      <c r="T432" s="67"/>
      <c r="U432" s="67"/>
      <c r="V432" s="187"/>
      <c r="W432" s="186"/>
      <c r="X432" s="187"/>
      <c r="Y432" s="187"/>
      <c r="Z432" s="187"/>
      <c r="AA432" s="186"/>
      <c r="AB432" s="186"/>
      <c r="AC432" s="67"/>
      <c r="AD432" s="67"/>
      <c r="AE432" s="67"/>
      <c r="AH432" s="186"/>
      <c r="AK432" s="186"/>
    </row>
    <row r="433">
      <c r="A433" s="185"/>
      <c r="B433" s="67"/>
      <c r="C433" s="67"/>
      <c r="D433" s="67"/>
      <c r="E433" s="186"/>
      <c r="F433" s="186"/>
      <c r="G433" s="186"/>
      <c r="H433" s="186"/>
      <c r="I433" s="186"/>
      <c r="J433" s="186"/>
      <c r="K433" s="186"/>
      <c r="L433" s="186"/>
      <c r="M433" s="186"/>
      <c r="N433" s="186"/>
      <c r="O433" s="186"/>
      <c r="P433" s="186"/>
      <c r="Q433" s="186"/>
      <c r="R433" s="186"/>
      <c r="S433" s="67"/>
      <c r="T433" s="67"/>
      <c r="U433" s="67"/>
      <c r="V433" s="187"/>
      <c r="W433" s="186"/>
      <c r="X433" s="187"/>
      <c r="Y433" s="187"/>
      <c r="Z433" s="187"/>
      <c r="AA433" s="186"/>
      <c r="AB433" s="186"/>
      <c r="AC433" s="67"/>
      <c r="AD433" s="67"/>
      <c r="AE433" s="67"/>
      <c r="AH433" s="186"/>
      <c r="AK433" s="186"/>
    </row>
    <row r="434">
      <c r="A434" s="185"/>
      <c r="B434" s="67"/>
      <c r="C434" s="67"/>
      <c r="D434" s="67"/>
      <c r="E434" s="186"/>
      <c r="F434" s="186"/>
      <c r="G434" s="186"/>
      <c r="H434" s="186"/>
      <c r="I434" s="186"/>
      <c r="J434" s="186"/>
      <c r="K434" s="186"/>
      <c r="L434" s="186"/>
      <c r="M434" s="186"/>
      <c r="N434" s="186"/>
      <c r="O434" s="186"/>
      <c r="P434" s="186"/>
      <c r="Q434" s="186"/>
      <c r="R434" s="186"/>
      <c r="S434" s="67"/>
      <c r="T434" s="67"/>
      <c r="U434" s="67"/>
      <c r="V434" s="187"/>
      <c r="W434" s="186"/>
      <c r="X434" s="187"/>
      <c r="Y434" s="187"/>
      <c r="Z434" s="187"/>
      <c r="AA434" s="186"/>
      <c r="AB434" s="186"/>
      <c r="AC434" s="67"/>
      <c r="AD434" s="67"/>
      <c r="AE434" s="67"/>
      <c r="AH434" s="186"/>
      <c r="AK434" s="186"/>
    </row>
    <row r="435">
      <c r="A435" s="185"/>
      <c r="B435" s="67"/>
      <c r="C435" s="67"/>
      <c r="D435" s="67"/>
      <c r="E435" s="186"/>
      <c r="F435" s="186"/>
      <c r="G435" s="186"/>
      <c r="H435" s="186"/>
      <c r="I435" s="186"/>
      <c r="J435" s="186"/>
      <c r="K435" s="186"/>
      <c r="L435" s="186"/>
      <c r="M435" s="186"/>
      <c r="N435" s="186"/>
      <c r="O435" s="186"/>
      <c r="P435" s="186"/>
      <c r="Q435" s="186"/>
      <c r="R435" s="186"/>
      <c r="S435" s="67"/>
      <c r="T435" s="67"/>
      <c r="U435" s="67"/>
      <c r="V435" s="187"/>
      <c r="W435" s="186"/>
      <c r="X435" s="187"/>
      <c r="Y435" s="187"/>
      <c r="Z435" s="187"/>
      <c r="AA435" s="186"/>
      <c r="AB435" s="186"/>
      <c r="AC435" s="67"/>
      <c r="AD435" s="67"/>
      <c r="AE435" s="67"/>
      <c r="AH435" s="186"/>
      <c r="AK435" s="186"/>
    </row>
    <row r="436">
      <c r="A436" s="185"/>
      <c r="B436" s="67"/>
      <c r="C436" s="67"/>
      <c r="D436" s="67"/>
      <c r="E436" s="186"/>
      <c r="F436" s="186"/>
      <c r="G436" s="186"/>
      <c r="H436" s="186"/>
      <c r="I436" s="186"/>
      <c r="J436" s="186"/>
      <c r="K436" s="186"/>
      <c r="L436" s="186"/>
      <c r="M436" s="186"/>
      <c r="N436" s="186"/>
      <c r="O436" s="186"/>
      <c r="P436" s="186"/>
      <c r="Q436" s="186"/>
      <c r="R436" s="186"/>
      <c r="S436" s="67"/>
      <c r="T436" s="67"/>
      <c r="U436" s="67"/>
      <c r="V436" s="187"/>
      <c r="W436" s="186"/>
      <c r="X436" s="187"/>
      <c r="Y436" s="187"/>
      <c r="Z436" s="187"/>
      <c r="AA436" s="186"/>
      <c r="AB436" s="186"/>
      <c r="AC436" s="67"/>
      <c r="AD436" s="67"/>
      <c r="AE436" s="67"/>
      <c r="AH436" s="186"/>
      <c r="AK436" s="186"/>
    </row>
    <row r="437">
      <c r="A437" s="185"/>
      <c r="B437" s="67"/>
      <c r="C437" s="67"/>
      <c r="D437" s="67"/>
      <c r="E437" s="186"/>
      <c r="F437" s="186"/>
      <c r="G437" s="186"/>
      <c r="H437" s="186"/>
      <c r="I437" s="186"/>
      <c r="J437" s="186"/>
      <c r="K437" s="186"/>
      <c r="L437" s="186"/>
      <c r="M437" s="186"/>
      <c r="N437" s="186"/>
      <c r="O437" s="186"/>
      <c r="P437" s="186"/>
      <c r="Q437" s="186"/>
      <c r="R437" s="186"/>
      <c r="S437" s="67"/>
      <c r="T437" s="67"/>
      <c r="U437" s="67"/>
      <c r="V437" s="187"/>
      <c r="W437" s="186"/>
      <c r="X437" s="187"/>
      <c r="Y437" s="187"/>
      <c r="Z437" s="187"/>
      <c r="AA437" s="186"/>
      <c r="AB437" s="186"/>
      <c r="AC437" s="67"/>
      <c r="AD437" s="67"/>
      <c r="AE437" s="67"/>
      <c r="AH437" s="186"/>
      <c r="AK437" s="186"/>
    </row>
    <row r="438">
      <c r="A438" s="185"/>
      <c r="B438" s="67"/>
      <c r="C438" s="67"/>
      <c r="D438" s="67"/>
      <c r="E438" s="186"/>
      <c r="F438" s="186"/>
      <c r="G438" s="186"/>
      <c r="H438" s="186"/>
      <c r="I438" s="186"/>
      <c r="J438" s="186"/>
      <c r="K438" s="186"/>
      <c r="L438" s="186"/>
      <c r="M438" s="186"/>
      <c r="N438" s="186"/>
      <c r="O438" s="186"/>
      <c r="P438" s="186"/>
      <c r="Q438" s="186"/>
      <c r="R438" s="186"/>
      <c r="S438" s="67"/>
      <c r="T438" s="67"/>
      <c r="U438" s="67"/>
      <c r="V438" s="187"/>
      <c r="W438" s="186"/>
      <c r="X438" s="187"/>
      <c r="Y438" s="187"/>
      <c r="Z438" s="187"/>
      <c r="AA438" s="186"/>
      <c r="AB438" s="186"/>
      <c r="AC438" s="67"/>
      <c r="AD438" s="67"/>
      <c r="AE438" s="67"/>
      <c r="AH438" s="186"/>
      <c r="AK438" s="186"/>
    </row>
    <row r="439">
      <c r="A439" s="185"/>
      <c r="B439" s="67"/>
      <c r="C439" s="67"/>
      <c r="D439" s="67"/>
      <c r="E439" s="186"/>
      <c r="F439" s="186"/>
      <c r="G439" s="186"/>
      <c r="H439" s="186"/>
      <c r="I439" s="186"/>
      <c r="J439" s="186"/>
      <c r="K439" s="186"/>
      <c r="L439" s="186"/>
      <c r="M439" s="186"/>
      <c r="N439" s="186"/>
      <c r="O439" s="186"/>
      <c r="P439" s="186"/>
      <c r="Q439" s="186"/>
      <c r="R439" s="186"/>
      <c r="S439" s="67"/>
      <c r="T439" s="67"/>
      <c r="U439" s="67"/>
      <c r="V439" s="187"/>
      <c r="W439" s="186"/>
      <c r="X439" s="187"/>
      <c r="Y439" s="187"/>
      <c r="Z439" s="187"/>
      <c r="AA439" s="186"/>
      <c r="AB439" s="186"/>
      <c r="AC439" s="67"/>
      <c r="AD439" s="67"/>
      <c r="AE439" s="67"/>
      <c r="AH439" s="186"/>
      <c r="AK439" s="186"/>
    </row>
    <row r="440">
      <c r="A440" s="185"/>
      <c r="B440" s="67"/>
      <c r="C440" s="67"/>
      <c r="D440" s="67"/>
      <c r="E440" s="186"/>
      <c r="F440" s="186"/>
      <c r="G440" s="186"/>
      <c r="H440" s="186"/>
      <c r="I440" s="186"/>
      <c r="J440" s="186"/>
      <c r="K440" s="186"/>
      <c r="L440" s="186"/>
      <c r="M440" s="186"/>
      <c r="N440" s="186"/>
      <c r="O440" s="186"/>
      <c r="P440" s="186"/>
      <c r="Q440" s="186"/>
      <c r="R440" s="186"/>
      <c r="S440" s="67"/>
      <c r="T440" s="67"/>
      <c r="U440" s="67"/>
      <c r="V440" s="187"/>
      <c r="W440" s="186"/>
      <c r="X440" s="187"/>
      <c r="Y440" s="187"/>
      <c r="Z440" s="187"/>
      <c r="AA440" s="186"/>
      <c r="AB440" s="186"/>
      <c r="AC440" s="67"/>
      <c r="AD440" s="67"/>
      <c r="AE440" s="67"/>
      <c r="AH440" s="186"/>
      <c r="AK440" s="186"/>
    </row>
    <row r="441">
      <c r="A441" s="185"/>
      <c r="B441" s="67"/>
      <c r="C441" s="67"/>
      <c r="D441" s="67"/>
      <c r="E441" s="186"/>
      <c r="F441" s="186"/>
      <c r="G441" s="186"/>
      <c r="H441" s="186"/>
      <c r="I441" s="186"/>
      <c r="J441" s="186"/>
      <c r="K441" s="186"/>
      <c r="L441" s="186"/>
      <c r="M441" s="186"/>
      <c r="N441" s="186"/>
      <c r="O441" s="186"/>
      <c r="P441" s="186"/>
      <c r="Q441" s="186"/>
      <c r="R441" s="186"/>
      <c r="S441" s="67"/>
      <c r="T441" s="67"/>
      <c r="U441" s="67"/>
      <c r="V441" s="187"/>
      <c r="W441" s="186"/>
      <c r="X441" s="187"/>
      <c r="Y441" s="187"/>
      <c r="Z441" s="187"/>
      <c r="AA441" s="186"/>
      <c r="AB441" s="186"/>
      <c r="AC441" s="67"/>
      <c r="AD441" s="67"/>
      <c r="AE441" s="67"/>
      <c r="AH441" s="186"/>
      <c r="AK441" s="186"/>
    </row>
    <row r="442">
      <c r="A442" s="185"/>
      <c r="B442" s="67"/>
      <c r="C442" s="67"/>
      <c r="D442" s="67"/>
      <c r="E442" s="186"/>
      <c r="F442" s="186"/>
      <c r="G442" s="186"/>
      <c r="H442" s="186"/>
      <c r="I442" s="186"/>
      <c r="J442" s="186"/>
      <c r="K442" s="186"/>
      <c r="L442" s="186"/>
      <c r="M442" s="186"/>
      <c r="N442" s="186"/>
      <c r="O442" s="186"/>
      <c r="P442" s="186"/>
      <c r="Q442" s="186"/>
      <c r="R442" s="186"/>
      <c r="S442" s="67"/>
      <c r="T442" s="67"/>
      <c r="U442" s="67"/>
      <c r="V442" s="187"/>
      <c r="W442" s="186"/>
      <c r="X442" s="187"/>
      <c r="Y442" s="187"/>
      <c r="Z442" s="187"/>
      <c r="AA442" s="186"/>
      <c r="AB442" s="186"/>
      <c r="AC442" s="67"/>
      <c r="AD442" s="67"/>
      <c r="AE442" s="67"/>
      <c r="AH442" s="186"/>
      <c r="AK442" s="186"/>
    </row>
    <row r="443">
      <c r="A443" s="185"/>
      <c r="B443" s="67"/>
      <c r="C443" s="67"/>
      <c r="D443" s="67"/>
      <c r="E443" s="186"/>
      <c r="F443" s="186"/>
      <c r="G443" s="186"/>
      <c r="H443" s="186"/>
      <c r="I443" s="186"/>
      <c r="J443" s="186"/>
      <c r="K443" s="186"/>
      <c r="L443" s="186"/>
      <c r="M443" s="186"/>
      <c r="N443" s="186"/>
      <c r="O443" s="186"/>
      <c r="P443" s="186"/>
      <c r="Q443" s="186"/>
      <c r="R443" s="186"/>
      <c r="S443" s="67"/>
      <c r="T443" s="67"/>
      <c r="U443" s="67"/>
      <c r="V443" s="187"/>
      <c r="W443" s="186"/>
      <c r="X443" s="187"/>
      <c r="Y443" s="187"/>
      <c r="Z443" s="187"/>
      <c r="AA443" s="186"/>
      <c r="AB443" s="186"/>
      <c r="AC443" s="67"/>
      <c r="AD443" s="67"/>
      <c r="AE443" s="67"/>
      <c r="AH443" s="186"/>
      <c r="AK443" s="186"/>
    </row>
    <row r="444">
      <c r="A444" s="185"/>
      <c r="B444" s="67"/>
      <c r="C444" s="67"/>
      <c r="D444" s="67"/>
      <c r="E444" s="186"/>
      <c r="F444" s="186"/>
      <c r="G444" s="186"/>
      <c r="H444" s="186"/>
      <c r="I444" s="186"/>
      <c r="J444" s="186"/>
      <c r="K444" s="186"/>
      <c r="L444" s="186"/>
      <c r="M444" s="186"/>
      <c r="N444" s="186"/>
      <c r="O444" s="186"/>
      <c r="P444" s="186"/>
      <c r="Q444" s="186"/>
      <c r="R444" s="186"/>
      <c r="S444" s="67"/>
      <c r="T444" s="67"/>
      <c r="U444" s="67"/>
      <c r="V444" s="187"/>
      <c r="W444" s="186"/>
      <c r="X444" s="187"/>
      <c r="Y444" s="187"/>
      <c r="Z444" s="187"/>
      <c r="AA444" s="186"/>
      <c r="AB444" s="186"/>
      <c r="AC444" s="67"/>
      <c r="AD444" s="67"/>
      <c r="AE444" s="67"/>
      <c r="AH444" s="186"/>
      <c r="AK444" s="186"/>
    </row>
    <row r="445">
      <c r="A445" s="185"/>
      <c r="B445" s="67"/>
      <c r="C445" s="67"/>
      <c r="D445" s="67"/>
      <c r="E445" s="186"/>
      <c r="F445" s="186"/>
      <c r="G445" s="186"/>
      <c r="H445" s="186"/>
      <c r="I445" s="186"/>
      <c r="J445" s="186"/>
      <c r="K445" s="186"/>
      <c r="L445" s="186"/>
      <c r="M445" s="186"/>
      <c r="N445" s="186"/>
      <c r="O445" s="186"/>
      <c r="P445" s="186"/>
      <c r="Q445" s="186"/>
      <c r="R445" s="186"/>
      <c r="S445" s="67"/>
      <c r="T445" s="67"/>
      <c r="U445" s="67"/>
      <c r="V445" s="187"/>
      <c r="W445" s="186"/>
      <c r="X445" s="187"/>
      <c r="Y445" s="187"/>
      <c r="Z445" s="187"/>
      <c r="AA445" s="186"/>
      <c r="AB445" s="186"/>
      <c r="AC445" s="67"/>
      <c r="AD445" s="67"/>
      <c r="AE445" s="67"/>
      <c r="AH445" s="186"/>
      <c r="AK445" s="186"/>
    </row>
    <row r="446">
      <c r="A446" s="185"/>
      <c r="B446" s="67"/>
      <c r="C446" s="67"/>
      <c r="D446" s="67"/>
      <c r="E446" s="186"/>
      <c r="F446" s="186"/>
      <c r="G446" s="186"/>
      <c r="H446" s="186"/>
      <c r="I446" s="186"/>
      <c r="J446" s="186"/>
      <c r="K446" s="186"/>
      <c r="L446" s="186"/>
      <c r="M446" s="186"/>
      <c r="N446" s="186"/>
      <c r="O446" s="186"/>
      <c r="P446" s="186"/>
      <c r="Q446" s="186"/>
      <c r="R446" s="186"/>
      <c r="S446" s="67"/>
      <c r="T446" s="67"/>
      <c r="U446" s="67"/>
      <c r="V446" s="187"/>
      <c r="W446" s="186"/>
      <c r="X446" s="187"/>
      <c r="Y446" s="187"/>
      <c r="Z446" s="187"/>
      <c r="AA446" s="186"/>
      <c r="AB446" s="186"/>
      <c r="AC446" s="67"/>
      <c r="AD446" s="67"/>
      <c r="AE446" s="67"/>
      <c r="AH446" s="186"/>
      <c r="AK446" s="186"/>
    </row>
    <row r="447">
      <c r="A447" s="185"/>
      <c r="B447" s="67"/>
      <c r="C447" s="67"/>
      <c r="D447" s="67"/>
      <c r="E447" s="186"/>
      <c r="F447" s="186"/>
      <c r="G447" s="186"/>
      <c r="H447" s="186"/>
      <c r="I447" s="186"/>
      <c r="J447" s="186"/>
      <c r="K447" s="186"/>
      <c r="L447" s="186"/>
      <c r="M447" s="186"/>
      <c r="N447" s="186"/>
      <c r="O447" s="186"/>
      <c r="P447" s="186"/>
      <c r="Q447" s="186"/>
      <c r="R447" s="186"/>
      <c r="S447" s="67"/>
      <c r="T447" s="67"/>
      <c r="U447" s="67"/>
      <c r="V447" s="187"/>
      <c r="W447" s="186"/>
      <c r="X447" s="187"/>
      <c r="Y447" s="187"/>
      <c r="Z447" s="187"/>
      <c r="AA447" s="186"/>
      <c r="AB447" s="186"/>
      <c r="AC447" s="67"/>
      <c r="AD447" s="67"/>
      <c r="AE447" s="67"/>
      <c r="AH447" s="186"/>
      <c r="AK447" s="186"/>
    </row>
    <row r="448">
      <c r="A448" s="185"/>
      <c r="B448" s="67"/>
      <c r="C448" s="67"/>
      <c r="D448" s="67"/>
      <c r="E448" s="186"/>
      <c r="F448" s="186"/>
      <c r="G448" s="186"/>
      <c r="H448" s="186"/>
      <c r="I448" s="186"/>
      <c r="J448" s="186"/>
      <c r="K448" s="186"/>
      <c r="L448" s="186"/>
      <c r="M448" s="186"/>
      <c r="N448" s="186"/>
      <c r="O448" s="186"/>
      <c r="P448" s="186"/>
      <c r="Q448" s="186"/>
      <c r="R448" s="186"/>
      <c r="S448" s="67"/>
      <c r="T448" s="67"/>
      <c r="U448" s="67"/>
      <c r="V448" s="187"/>
      <c r="W448" s="186"/>
      <c r="X448" s="187"/>
      <c r="Y448" s="187"/>
      <c r="Z448" s="187"/>
      <c r="AA448" s="186"/>
      <c r="AB448" s="186"/>
      <c r="AC448" s="67"/>
      <c r="AD448" s="67"/>
      <c r="AE448" s="67"/>
      <c r="AH448" s="186"/>
      <c r="AK448" s="186"/>
    </row>
    <row r="449">
      <c r="A449" s="185"/>
      <c r="B449" s="67"/>
      <c r="C449" s="67"/>
      <c r="D449" s="67"/>
      <c r="E449" s="186"/>
      <c r="F449" s="186"/>
      <c r="G449" s="186"/>
      <c r="H449" s="186"/>
      <c r="I449" s="186"/>
      <c r="J449" s="186"/>
      <c r="K449" s="186"/>
      <c r="L449" s="186"/>
      <c r="M449" s="186"/>
      <c r="N449" s="186"/>
      <c r="O449" s="186"/>
      <c r="P449" s="186"/>
      <c r="Q449" s="186"/>
      <c r="R449" s="186"/>
      <c r="S449" s="67"/>
      <c r="T449" s="67"/>
      <c r="U449" s="67"/>
      <c r="V449" s="187"/>
      <c r="W449" s="186"/>
      <c r="X449" s="187"/>
      <c r="Y449" s="187"/>
      <c r="Z449" s="187"/>
      <c r="AA449" s="186"/>
      <c r="AB449" s="186"/>
      <c r="AC449" s="67"/>
      <c r="AD449" s="67"/>
      <c r="AE449" s="67"/>
      <c r="AH449" s="186"/>
      <c r="AK449" s="186"/>
    </row>
    <row r="450">
      <c r="A450" s="185"/>
      <c r="B450" s="67"/>
      <c r="C450" s="67"/>
      <c r="D450" s="67"/>
      <c r="E450" s="186"/>
      <c r="F450" s="186"/>
      <c r="G450" s="186"/>
      <c r="H450" s="186"/>
      <c r="I450" s="186"/>
      <c r="J450" s="186"/>
      <c r="K450" s="186"/>
      <c r="L450" s="186"/>
      <c r="M450" s="186"/>
      <c r="N450" s="186"/>
      <c r="O450" s="186"/>
      <c r="P450" s="186"/>
      <c r="Q450" s="186"/>
      <c r="R450" s="186"/>
      <c r="S450" s="67"/>
      <c r="T450" s="67"/>
      <c r="U450" s="67"/>
      <c r="V450" s="187"/>
      <c r="W450" s="186"/>
      <c r="X450" s="187"/>
      <c r="Y450" s="187"/>
      <c r="Z450" s="187"/>
      <c r="AA450" s="186"/>
      <c r="AB450" s="186"/>
      <c r="AC450" s="67"/>
      <c r="AD450" s="67"/>
      <c r="AE450" s="67"/>
      <c r="AH450" s="186"/>
      <c r="AK450" s="186"/>
    </row>
    <row r="451">
      <c r="A451" s="185"/>
      <c r="B451" s="67"/>
      <c r="C451" s="67"/>
      <c r="D451" s="67"/>
      <c r="E451" s="186"/>
      <c r="F451" s="186"/>
      <c r="G451" s="186"/>
      <c r="H451" s="186"/>
      <c r="I451" s="186"/>
      <c r="J451" s="186"/>
      <c r="K451" s="186"/>
      <c r="L451" s="186"/>
      <c r="M451" s="186"/>
      <c r="N451" s="186"/>
      <c r="O451" s="186"/>
      <c r="P451" s="186"/>
      <c r="Q451" s="186"/>
      <c r="R451" s="186"/>
      <c r="S451" s="67"/>
      <c r="T451" s="67"/>
      <c r="U451" s="67"/>
      <c r="V451" s="187"/>
      <c r="W451" s="186"/>
      <c r="X451" s="187"/>
      <c r="Y451" s="187"/>
      <c r="Z451" s="187"/>
      <c r="AA451" s="186"/>
      <c r="AB451" s="186"/>
      <c r="AC451" s="67"/>
      <c r="AD451" s="67"/>
      <c r="AE451" s="67"/>
      <c r="AH451" s="186"/>
      <c r="AK451" s="186"/>
    </row>
    <row r="452">
      <c r="A452" s="185"/>
      <c r="B452" s="67"/>
      <c r="C452" s="67"/>
      <c r="D452" s="67"/>
      <c r="E452" s="186"/>
      <c r="F452" s="186"/>
      <c r="G452" s="186"/>
      <c r="H452" s="186"/>
      <c r="I452" s="186"/>
      <c r="J452" s="186"/>
      <c r="K452" s="186"/>
      <c r="L452" s="186"/>
      <c r="M452" s="186"/>
      <c r="N452" s="186"/>
      <c r="O452" s="186"/>
      <c r="P452" s="186"/>
      <c r="Q452" s="186"/>
      <c r="R452" s="186"/>
      <c r="S452" s="67"/>
      <c r="T452" s="67"/>
      <c r="U452" s="67"/>
      <c r="V452" s="187"/>
      <c r="W452" s="186"/>
      <c r="X452" s="187"/>
      <c r="Y452" s="187"/>
      <c r="Z452" s="187"/>
      <c r="AA452" s="186"/>
      <c r="AB452" s="186"/>
      <c r="AC452" s="67"/>
      <c r="AD452" s="67"/>
      <c r="AE452" s="67"/>
      <c r="AH452" s="186"/>
      <c r="AK452" s="186"/>
    </row>
    <row r="453">
      <c r="A453" s="185"/>
      <c r="B453" s="67"/>
      <c r="C453" s="67"/>
      <c r="D453" s="67"/>
      <c r="E453" s="186"/>
      <c r="F453" s="186"/>
      <c r="G453" s="186"/>
      <c r="H453" s="186"/>
      <c r="I453" s="186"/>
      <c r="J453" s="186"/>
      <c r="K453" s="186"/>
      <c r="L453" s="186"/>
      <c r="M453" s="186"/>
      <c r="N453" s="186"/>
      <c r="O453" s="186"/>
      <c r="P453" s="186"/>
      <c r="Q453" s="186"/>
      <c r="R453" s="186"/>
      <c r="S453" s="67"/>
      <c r="T453" s="67"/>
      <c r="U453" s="67"/>
      <c r="V453" s="187"/>
      <c r="W453" s="186"/>
      <c r="X453" s="187"/>
      <c r="Y453" s="187"/>
      <c r="Z453" s="187"/>
      <c r="AA453" s="186"/>
      <c r="AB453" s="186"/>
      <c r="AC453" s="67"/>
      <c r="AD453" s="67"/>
      <c r="AE453" s="67"/>
      <c r="AH453" s="186"/>
      <c r="AK453" s="186"/>
    </row>
    <row r="454">
      <c r="A454" s="185"/>
      <c r="B454" s="67"/>
      <c r="C454" s="67"/>
      <c r="D454" s="67"/>
      <c r="E454" s="186"/>
      <c r="F454" s="186"/>
      <c r="G454" s="186"/>
      <c r="H454" s="186"/>
      <c r="I454" s="186"/>
      <c r="J454" s="186"/>
      <c r="K454" s="186"/>
      <c r="L454" s="186"/>
      <c r="M454" s="186"/>
      <c r="N454" s="186"/>
      <c r="O454" s="186"/>
      <c r="P454" s="186"/>
      <c r="Q454" s="186"/>
      <c r="R454" s="186"/>
      <c r="S454" s="67"/>
      <c r="T454" s="67"/>
      <c r="U454" s="67"/>
      <c r="V454" s="187"/>
      <c r="W454" s="186"/>
      <c r="X454" s="187"/>
      <c r="Y454" s="187"/>
      <c r="Z454" s="187"/>
      <c r="AA454" s="186"/>
      <c r="AB454" s="186"/>
      <c r="AC454" s="67"/>
      <c r="AD454" s="67"/>
      <c r="AE454" s="67"/>
      <c r="AH454" s="186"/>
      <c r="AK454" s="186"/>
    </row>
    <row r="455">
      <c r="A455" s="185"/>
      <c r="B455" s="67"/>
      <c r="C455" s="67"/>
      <c r="D455" s="67"/>
      <c r="E455" s="186"/>
      <c r="F455" s="186"/>
      <c r="G455" s="186"/>
      <c r="H455" s="186"/>
      <c r="I455" s="186"/>
      <c r="J455" s="186"/>
      <c r="K455" s="186"/>
      <c r="L455" s="186"/>
      <c r="M455" s="186"/>
      <c r="N455" s="186"/>
      <c r="O455" s="186"/>
      <c r="P455" s="186"/>
      <c r="Q455" s="186"/>
      <c r="R455" s="186"/>
      <c r="S455" s="67"/>
      <c r="T455" s="67"/>
      <c r="U455" s="67"/>
      <c r="V455" s="187"/>
      <c r="W455" s="186"/>
      <c r="X455" s="187"/>
      <c r="Y455" s="187"/>
      <c r="Z455" s="187"/>
      <c r="AA455" s="186"/>
      <c r="AB455" s="186"/>
      <c r="AC455" s="67"/>
      <c r="AD455" s="67"/>
      <c r="AE455" s="67"/>
      <c r="AH455" s="186"/>
      <c r="AK455" s="186"/>
    </row>
    <row r="456">
      <c r="A456" s="185"/>
      <c r="B456" s="67"/>
      <c r="C456" s="67"/>
      <c r="D456" s="67"/>
      <c r="E456" s="186"/>
      <c r="F456" s="186"/>
      <c r="G456" s="186"/>
      <c r="H456" s="186"/>
      <c r="I456" s="186"/>
      <c r="J456" s="186"/>
      <c r="K456" s="186"/>
      <c r="L456" s="186"/>
      <c r="M456" s="186"/>
      <c r="N456" s="186"/>
      <c r="O456" s="186"/>
      <c r="P456" s="186"/>
      <c r="Q456" s="186"/>
      <c r="R456" s="186"/>
      <c r="S456" s="67"/>
      <c r="T456" s="67"/>
      <c r="U456" s="67"/>
      <c r="V456" s="187"/>
      <c r="W456" s="186"/>
      <c r="X456" s="187"/>
      <c r="Y456" s="187"/>
      <c r="Z456" s="187"/>
      <c r="AA456" s="186"/>
      <c r="AB456" s="186"/>
      <c r="AC456" s="67"/>
      <c r="AD456" s="67"/>
      <c r="AE456" s="67"/>
      <c r="AH456" s="186"/>
      <c r="AK456" s="186"/>
    </row>
    <row r="457">
      <c r="A457" s="185"/>
      <c r="B457" s="67"/>
      <c r="C457" s="67"/>
      <c r="D457" s="67"/>
      <c r="E457" s="186"/>
      <c r="F457" s="186"/>
      <c r="G457" s="186"/>
      <c r="H457" s="186"/>
      <c r="I457" s="186"/>
      <c r="J457" s="186"/>
      <c r="K457" s="186"/>
      <c r="L457" s="186"/>
      <c r="M457" s="186"/>
      <c r="N457" s="186"/>
      <c r="O457" s="186"/>
      <c r="P457" s="186"/>
      <c r="Q457" s="186"/>
      <c r="R457" s="186"/>
      <c r="S457" s="67"/>
      <c r="T457" s="67"/>
      <c r="U457" s="67"/>
      <c r="V457" s="187"/>
      <c r="W457" s="186"/>
      <c r="X457" s="187"/>
      <c r="Y457" s="187"/>
      <c r="Z457" s="187"/>
      <c r="AA457" s="186"/>
      <c r="AB457" s="186"/>
      <c r="AC457" s="67"/>
      <c r="AD457" s="67"/>
      <c r="AE457" s="67"/>
      <c r="AH457" s="186"/>
      <c r="AK457" s="186"/>
    </row>
    <row r="458">
      <c r="A458" s="185"/>
      <c r="B458" s="67"/>
      <c r="C458" s="67"/>
      <c r="D458" s="67"/>
      <c r="E458" s="186"/>
      <c r="F458" s="186"/>
      <c r="G458" s="186"/>
      <c r="H458" s="186"/>
      <c r="I458" s="186"/>
      <c r="J458" s="186"/>
      <c r="K458" s="186"/>
      <c r="L458" s="186"/>
      <c r="M458" s="186"/>
      <c r="N458" s="186"/>
      <c r="O458" s="186"/>
      <c r="P458" s="186"/>
      <c r="Q458" s="186"/>
      <c r="R458" s="186"/>
      <c r="S458" s="67"/>
      <c r="T458" s="67"/>
      <c r="U458" s="67"/>
      <c r="V458" s="187"/>
      <c r="W458" s="186"/>
      <c r="X458" s="187"/>
      <c r="Y458" s="187"/>
      <c r="Z458" s="187"/>
      <c r="AA458" s="186"/>
      <c r="AB458" s="186"/>
      <c r="AC458" s="67"/>
      <c r="AD458" s="67"/>
      <c r="AE458" s="67"/>
      <c r="AH458" s="186"/>
      <c r="AK458" s="186"/>
    </row>
    <row r="459">
      <c r="A459" s="185"/>
      <c r="B459" s="67"/>
      <c r="C459" s="67"/>
      <c r="D459" s="67"/>
      <c r="E459" s="186"/>
      <c r="F459" s="186"/>
      <c r="G459" s="186"/>
      <c r="H459" s="186"/>
      <c r="I459" s="186"/>
      <c r="J459" s="186"/>
      <c r="K459" s="186"/>
      <c r="L459" s="186"/>
      <c r="M459" s="186"/>
      <c r="N459" s="186"/>
      <c r="O459" s="186"/>
      <c r="P459" s="186"/>
      <c r="Q459" s="186"/>
      <c r="R459" s="186"/>
      <c r="S459" s="67"/>
      <c r="T459" s="67"/>
      <c r="U459" s="67"/>
      <c r="V459" s="187"/>
      <c r="W459" s="186"/>
      <c r="X459" s="187"/>
      <c r="Y459" s="187"/>
      <c r="Z459" s="187"/>
      <c r="AA459" s="186"/>
      <c r="AB459" s="186"/>
      <c r="AC459" s="67"/>
      <c r="AD459" s="67"/>
      <c r="AE459" s="67"/>
      <c r="AH459" s="186"/>
      <c r="AK459" s="186"/>
    </row>
    <row r="460">
      <c r="A460" s="185"/>
      <c r="B460" s="67"/>
      <c r="C460" s="67"/>
      <c r="D460" s="67"/>
      <c r="E460" s="186"/>
      <c r="F460" s="186"/>
      <c r="G460" s="186"/>
      <c r="H460" s="186"/>
      <c r="I460" s="186"/>
      <c r="J460" s="186"/>
      <c r="K460" s="186"/>
      <c r="L460" s="186"/>
      <c r="M460" s="186"/>
      <c r="N460" s="186"/>
      <c r="O460" s="186"/>
      <c r="P460" s="186"/>
      <c r="Q460" s="186"/>
      <c r="R460" s="186"/>
      <c r="S460" s="67"/>
      <c r="T460" s="67"/>
      <c r="U460" s="67"/>
      <c r="V460" s="187"/>
      <c r="W460" s="186"/>
      <c r="X460" s="187"/>
      <c r="Y460" s="187"/>
      <c r="Z460" s="187"/>
      <c r="AA460" s="186"/>
      <c r="AB460" s="186"/>
      <c r="AC460" s="67"/>
      <c r="AD460" s="67"/>
      <c r="AE460" s="67"/>
      <c r="AH460" s="186"/>
      <c r="AK460" s="186"/>
    </row>
    <row r="461">
      <c r="A461" s="185"/>
      <c r="B461" s="67"/>
      <c r="C461" s="67"/>
      <c r="D461" s="67"/>
      <c r="E461" s="186"/>
      <c r="F461" s="186"/>
      <c r="G461" s="186"/>
      <c r="H461" s="186"/>
      <c r="I461" s="186"/>
      <c r="J461" s="186"/>
      <c r="K461" s="186"/>
      <c r="L461" s="186"/>
      <c r="M461" s="186"/>
      <c r="N461" s="186"/>
      <c r="O461" s="186"/>
      <c r="P461" s="186"/>
      <c r="Q461" s="186"/>
      <c r="R461" s="186"/>
      <c r="S461" s="67"/>
      <c r="T461" s="67"/>
      <c r="U461" s="67"/>
      <c r="V461" s="187"/>
      <c r="W461" s="186"/>
      <c r="X461" s="187"/>
      <c r="Y461" s="187"/>
      <c r="Z461" s="187"/>
      <c r="AA461" s="186"/>
      <c r="AB461" s="186"/>
      <c r="AC461" s="67"/>
      <c r="AD461" s="67"/>
      <c r="AE461" s="67"/>
      <c r="AH461" s="186"/>
      <c r="AK461" s="186"/>
    </row>
    <row r="462">
      <c r="A462" s="185"/>
      <c r="B462" s="67"/>
      <c r="C462" s="67"/>
      <c r="D462" s="67"/>
      <c r="E462" s="186"/>
      <c r="F462" s="186"/>
      <c r="G462" s="186"/>
      <c r="H462" s="186"/>
      <c r="I462" s="186"/>
      <c r="J462" s="186"/>
      <c r="K462" s="186"/>
      <c r="L462" s="186"/>
      <c r="M462" s="186"/>
      <c r="N462" s="186"/>
      <c r="O462" s="186"/>
      <c r="P462" s="186"/>
      <c r="Q462" s="186"/>
      <c r="R462" s="186"/>
      <c r="S462" s="67"/>
      <c r="T462" s="67"/>
      <c r="U462" s="67"/>
      <c r="V462" s="187"/>
      <c r="W462" s="186"/>
      <c r="X462" s="187"/>
      <c r="Y462" s="187"/>
      <c r="Z462" s="187"/>
      <c r="AA462" s="186"/>
      <c r="AB462" s="186"/>
      <c r="AC462" s="67"/>
      <c r="AD462" s="67"/>
      <c r="AE462" s="67"/>
      <c r="AH462" s="186"/>
      <c r="AK462" s="186"/>
    </row>
    <row r="463">
      <c r="A463" s="185"/>
      <c r="B463" s="67"/>
      <c r="C463" s="67"/>
      <c r="D463" s="67"/>
      <c r="E463" s="186"/>
      <c r="F463" s="186"/>
      <c r="G463" s="186"/>
      <c r="H463" s="186"/>
      <c r="I463" s="186"/>
      <c r="J463" s="186"/>
      <c r="K463" s="186"/>
      <c r="L463" s="186"/>
      <c r="M463" s="186"/>
      <c r="N463" s="186"/>
      <c r="O463" s="186"/>
      <c r="P463" s="186"/>
      <c r="Q463" s="186"/>
      <c r="R463" s="186"/>
      <c r="S463" s="67"/>
      <c r="T463" s="67"/>
      <c r="U463" s="67"/>
      <c r="V463" s="187"/>
      <c r="W463" s="186"/>
      <c r="X463" s="187"/>
      <c r="Y463" s="187"/>
      <c r="Z463" s="187"/>
      <c r="AA463" s="186"/>
      <c r="AB463" s="186"/>
      <c r="AC463" s="67"/>
      <c r="AD463" s="67"/>
      <c r="AE463" s="67"/>
      <c r="AH463" s="186"/>
      <c r="AK463" s="186"/>
    </row>
    <row r="464">
      <c r="A464" s="185"/>
      <c r="B464" s="67"/>
      <c r="C464" s="67"/>
      <c r="D464" s="67"/>
      <c r="E464" s="186"/>
      <c r="F464" s="186"/>
      <c r="G464" s="186"/>
      <c r="H464" s="186"/>
      <c r="I464" s="186"/>
      <c r="J464" s="186"/>
      <c r="K464" s="186"/>
      <c r="L464" s="186"/>
      <c r="M464" s="186"/>
      <c r="N464" s="186"/>
      <c r="O464" s="186"/>
      <c r="P464" s="186"/>
      <c r="Q464" s="186"/>
      <c r="R464" s="186"/>
      <c r="S464" s="67"/>
      <c r="T464" s="67"/>
      <c r="U464" s="67"/>
      <c r="V464" s="187"/>
      <c r="W464" s="186"/>
      <c r="X464" s="187"/>
      <c r="Y464" s="187"/>
      <c r="Z464" s="187"/>
      <c r="AA464" s="186"/>
      <c r="AB464" s="186"/>
      <c r="AC464" s="67"/>
      <c r="AD464" s="67"/>
      <c r="AE464" s="67"/>
      <c r="AH464" s="186"/>
      <c r="AK464" s="186"/>
    </row>
    <row r="465">
      <c r="A465" s="185"/>
      <c r="B465" s="67"/>
      <c r="C465" s="67"/>
      <c r="D465" s="67"/>
      <c r="E465" s="186"/>
      <c r="F465" s="186"/>
      <c r="G465" s="186"/>
      <c r="H465" s="186"/>
      <c r="I465" s="186"/>
      <c r="J465" s="186"/>
      <c r="K465" s="186"/>
      <c r="L465" s="186"/>
      <c r="M465" s="186"/>
      <c r="N465" s="186"/>
      <c r="O465" s="186"/>
      <c r="P465" s="186"/>
      <c r="Q465" s="186"/>
      <c r="R465" s="186"/>
      <c r="S465" s="67"/>
      <c r="T465" s="67"/>
      <c r="U465" s="67"/>
      <c r="V465" s="187"/>
      <c r="W465" s="186"/>
      <c r="X465" s="187"/>
      <c r="Y465" s="187"/>
      <c r="Z465" s="187"/>
      <c r="AA465" s="186"/>
      <c r="AB465" s="186"/>
      <c r="AC465" s="67"/>
      <c r="AD465" s="67"/>
      <c r="AE465" s="67"/>
      <c r="AH465" s="186"/>
      <c r="AK465" s="186"/>
    </row>
    <row r="466">
      <c r="A466" s="185"/>
      <c r="B466" s="67"/>
      <c r="C466" s="67"/>
      <c r="D466" s="67"/>
      <c r="E466" s="186"/>
      <c r="F466" s="186"/>
      <c r="G466" s="186"/>
      <c r="H466" s="186"/>
      <c r="I466" s="186"/>
      <c r="J466" s="186"/>
      <c r="K466" s="186"/>
      <c r="L466" s="186"/>
      <c r="M466" s="186"/>
      <c r="N466" s="186"/>
      <c r="O466" s="186"/>
      <c r="P466" s="186"/>
      <c r="Q466" s="186"/>
      <c r="R466" s="186"/>
      <c r="S466" s="67"/>
      <c r="T466" s="67"/>
      <c r="U466" s="67"/>
      <c r="V466" s="187"/>
      <c r="W466" s="186"/>
      <c r="X466" s="187"/>
      <c r="Y466" s="187"/>
      <c r="Z466" s="187"/>
      <c r="AA466" s="186"/>
      <c r="AB466" s="186"/>
      <c r="AC466" s="67"/>
      <c r="AD466" s="67"/>
      <c r="AE466" s="67"/>
      <c r="AH466" s="186"/>
      <c r="AK466" s="186"/>
    </row>
    <row r="467">
      <c r="A467" s="185"/>
      <c r="B467" s="67"/>
      <c r="C467" s="67"/>
      <c r="D467" s="67"/>
      <c r="E467" s="186"/>
      <c r="F467" s="186"/>
      <c r="G467" s="186"/>
      <c r="H467" s="186"/>
      <c r="I467" s="186"/>
      <c r="J467" s="186"/>
      <c r="K467" s="186"/>
      <c r="L467" s="186"/>
      <c r="M467" s="186"/>
      <c r="N467" s="186"/>
      <c r="O467" s="186"/>
      <c r="P467" s="186"/>
      <c r="Q467" s="186"/>
      <c r="R467" s="186"/>
      <c r="S467" s="67"/>
      <c r="T467" s="67"/>
      <c r="U467" s="67"/>
      <c r="V467" s="187"/>
      <c r="W467" s="186"/>
      <c r="X467" s="187"/>
      <c r="Y467" s="187"/>
      <c r="Z467" s="187"/>
      <c r="AA467" s="186"/>
      <c r="AB467" s="186"/>
      <c r="AC467" s="67"/>
      <c r="AD467" s="67"/>
      <c r="AE467" s="67"/>
      <c r="AH467" s="186"/>
      <c r="AK467" s="186"/>
    </row>
    <row r="468">
      <c r="A468" s="185"/>
      <c r="B468" s="67"/>
      <c r="C468" s="67"/>
      <c r="D468" s="67"/>
      <c r="E468" s="186"/>
      <c r="F468" s="186"/>
      <c r="G468" s="186"/>
      <c r="H468" s="186"/>
      <c r="I468" s="186"/>
      <c r="J468" s="186"/>
      <c r="K468" s="186"/>
      <c r="L468" s="186"/>
      <c r="M468" s="186"/>
      <c r="N468" s="186"/>
      <c r="O468" s="186"/>
      <c r="P468" s="186"/>
      <c r="Q468" s="186"/>
      <c r="R468" s="186"/>
      <c r="S468" s="67"/>
      <c r="T468" s="67"/>
      <c r="U468" s="67"/>
      <c r="V468" s="187"/>
      <c r="W468" s="186"/>
      <c r="X468" s="187"/>
      <c r="Y468" s="187"/>
      <c r="Z468" s="187"/>
      <c r="AA468" s="186"/>
      <c r="AB468" s="186"/>
      <c r="AC468" s="67"/>
      <c r="AD468" s="67"/>
      <c r="AE468" s="67"/>
      <c r="AH468" s="186"/>
      <c r="AK468" s="186"/>
    </row>
    <row r="469">
      <c r="A469" s="185"/>
      <c r="B469" s="67"/>
      <c r="C469" s="67"/>
      <c r="D469" s="67"/>
      <c r="E469" s="186"/>
      <c r="F469" s="186"/>
      <c r="G469" s="186"/>
      <c r="H469" s="186"/>
      <c r="I469" s="186"/>
      <c r="J469" s="186"/>
      <c r="K469" s="186"/>
      <c r="L469" s="186"/>
      <c r="M469" s="186"/>
      <c r="N469" s="186"/>
      <c r="O469" s="186"/>
      <c r="P469" s="186"/>
      <c r="Q469" s="186"/>
      <c r="R469" s="186"/>
      <c r="S469" s="67"/>
      <c r="T469" s="67"/>
      <c r="U469" s="67"/>
      <c r="V469" s="187"/>
      <c r="W469" s="186"/>
      <c r="X469" s="187"/>
      <c r="Y469" s="187"/>
      <c r="Z469" s="187"/>
      <c r="AA469" s="186"/>
      <c r="AB469" s="186"/>
      <c r="AC469" s="67"/>
      <c r="AD469" s="67"/>
      <c r="AE469" s="67"/>
      <c r="AH469" s="186"/>
      <c r="AK469" s="186"/>
    </row>
    <row r="470">
      <c r="A470" s="185"/>
      <c r="B470" s="67"/>
      <c r="C470" s="67"/>
      <c r="D470" s="67"/>
      <c r="E470" s="186"/>
      <c r="F470" s="186"/>
      <c r="G470" s="186"/>
      <c r="H470" s="186"/>
      <c r="I470" s="186"/>
      <c r="J470" s="186"/>
      <c r="K470" s="186"/>
      <c r="L470" s="186"/>
      <c r="M470" s="186"/>
      <c r="N470" s="186"/>
      <c r="O470" s="186"/>
      <c r="P470" s="186"/>
      <c r="Q470" s="186"/>
      <c r="R470" s="186"/>
      <c r="S470" s="67"/>
      <c r="T470" s="67"/>
      <c r="U470" s="67"/>
      <c r="V470" s="187"/>
      <c r="W470" s="186"/>
      <c r="X470" s="187"/>
      <c r="Y470" s="187"/>
      <c r="Z470" s="187"/>
      <c r="AA470" s="186"/>
      <c r="AB470" s="186"/>
      <c r="AC470" s="67"/>
      <c r="AD470" s="67"/>
      <c r="AE470" s="67"/>
      <c r="AH470" s="186"/>
      <c r="AK470" s="186"/>
    </row>
    <row r="471">
      <c r="A471" s="185"/>
      <c r="B471" s="67"/>
      <c r="C471" s="67"/>
      <c r="D471" s="67"/>
      <c r="E471" s="186"/>
      <c r="F471" s="186"/>
      <c r="G471" s="186"/>
      <c r="H471" s="186"/>
      <c r="I471" s="186"/>
      <c r="J471" s="186"/>
      <c r="K471" s="186"/>
      <c r="L471" s="186"/>
      <c r="M471" s="186"/>
      <c r="N471" s="186"/>
      <c r="O471" s="186"/>
      <c r="P471" s="186"/>
      <c r="Q471" s="186"/>
      <c r="R471" s="186"/>
      <c r="S471" s="67"/>
      <c r="T471" s="67"/>
      <c r="U471" s="67"/>
      <c r="V471" s="187"/>
      <c r="W471" s="186"/>
      <c r="X471" s="187"/>
      <c r="Y471" s="187"/>
      <c r="Z471" s="187"/>
      <c r="AA471" s="186"/>
      <c r="AB471" s="186"/>
      <c r="AC471" s="67"/>
      <c r="AD471" s="67"/>
      <c r="AE471" s="67"/>
      <c r="AH471" s="186"/>
      <c r="AK471" s="186"/>
    </row>
    <row r="472">
      <c r="A472" s="185"/>
      <c r="B472" s="67"/>
      <c r="C472" s="67"/>
      <c r="D472" s="67"/>
      <c r="E472" s="186"/>
      <c r="F472" s="186"/>
      <c r="G472" s="186"/>
      <c r="H472" s="186"/>
      <c r="I472" s="186"/>
      <c r="J472" s="186"/>
      <c r="K472" s="186"/>
      <c r="L472" s="186"/>
      <c r="M472" s="186"/>
      <c r="N472" s="186"/>
      <c r="O472" s="186"/>
      <c r="P472" s="186"/>
      <c r="Q472" s="186"/>
      <c r="R472" s="186"/>
      <c r="S472" s="67"/>
      <c r="T472" s="67"/>
      <c r="U472" s="67"/>
      <c r="V472" s="187"/>
      <c r="W472" s="186"/>
      <c r="X472" s="187"/>
      <c r="Y472" s="187"/>
      <c r="Z472" s="187"/>
      <c r="AA472" s="186"/>
      <c r="AB472" s="186"/>
      <c r="AC472" s="67"/>
      <c r="AD472" s="67"/>
      <c r="AE472" s="67"/>
      <c r="AH472" s="186"/>
      <c r="AK472" s="186"/>
    </row>
    <row r="473">
      <c r="A473" s="185"/>
      <c r="B473" s="67"/>
      <c r="C473" s="67"/>
      <c r="D473" s="67"/>
      <c r="E473" s="186"/>
      <c r="F473" s="186"/>
      <c r="G473" s="186"/>
      <c r="H473" s="186"/>
      <c r="I473" s="186"/>
      <c r="J473" s="186"/>
      <c r="K473" s="186"/>
      <c r="L473" s="186"/>
      <c r="M473" s="186"/>
      <c r="N473" s="186"/>
      <c r="O473" s="186"/>
      <c r="P473" s="186"/>
      <c r="Q473" s="186"/>
      <c r="R473" s="186"/>
      <c r="S473" s="67"/>
      <c r="T473" s="67"/>
      <c r="U473" s="67"/>
      <c r="V473" s="187"/>
      <c r="W473" s="186"/>
      <c r="X473" s="187"/>
      <c r="Y473" s="187"/>
      <c r="Z473" s="187"/>
      <c r="AA473" s="186"/>
      <c r="AB473" s="186"/>
      <c r="AC473" s="67"/>
      <c r="AD473" s="67"/>
      <c r="AE473" s="67"/>
      <c r="AH473" s="186"/>
      <c r="AK473" s="186"/>
    </row>
    <row r="474">
      <c r="A474" s="185"/>
      <c r="B474" s="67"/>
      <c r="C474" s="67"/>
      <c r="D474" s="67"/>
      <c r="E474" s="186"/>
      <c r="F474" s="186"/>
      <c r="G474" s="186"/>
      <c r="H474" s="186"/>
      <c r="I474" s="186"/>
      <c r="J474" s="186"/>
      <c r="K474" s="186"/>
      <c r="L474" s="186"/>
      <c r="M474" s="186"/>
      <c r="N474" s="186"/>
      <c r="O474" s="186"/>
      <c r="P474" s="186"/>
      <c r="Q474" s="186"/>
      <c r="R474" s="186"/>
      <c r="S474" s="67"/>
      <c r="T474" s="67"/>
      <c r="U474" s="67"/>
      <c r="V474" s="187"/>
      <c r="W474" s="186"/>
      <c r="X474" s="187"/>
      <c r="Y474" s="187"/>
      <c r="Z474" s="187"/>
      <c r="AA474" s="186"/>
      <c r="AB474" s="186"/>
      <c r="AC474" s="67"/>
      <c r="AD474" s="67"/>
      <c r="AE474" s="67"/>
      <c r="AH474" s="186"/>
      <c r="AK474" s="186"/>
    </row>
    <row r="475">
      <c r="A475" s="185"/>
      <c r="B475" s="67"/>
      <c r="C475" s="67"/>
      <c r="D475" s="67"/>
      <c r="E475" s="186"/>
      <c r="F475" s="186"/>
      <c r="G475" s="186"/>
      <c r="H475" s="186"/>
      <c r="I475" s="186"/>
      <c r="J475" s="186"/>
      <c r="K475" s="186"/>
      <c r="L475" s="186"/>
      <c r="M475" s="186"/>
      <c r="N475" s="186"/>
      <c r="O475" s="186"/>
      <c r="P475" s="186"/>
      <c r="Q475" s="186"/>
      <c r="R475" s="186"/>
      <c r="S475" s="67"/>
      <c r="T475" s="67"/>
      <c r="U475" s="67"/>
      <c r="V475" s="187"/>
      <c r="W475" s="186"/>
      <c r="X475" s="187"/>
      <c r="Y475" s="187"/>
      <c r="Z475" s="187"/>
      <c r="AA475" s="186"/>
      <c r="AB475" s="186"/>
      <c r="AC475" s="67"/>
      <c r="AD475" s="67"/>
      <c r="AE475" s="67"/>
      <c r="AH475" s="186"/>
      <c r="AK475" s="186"/>
    </row>
    <row r="476">
      <c r="A476" s="185"/>
      <c r="B476" s="67"/>
      <c r="C476" s="67"/>
      <c r="D476" s="67"/>
      <c r="E476" s="186"/>
      <c r="F476" s="186"/>
      <c r="G476" s="186"/>
      <c r="H476" s="186"/>
      <c r="I476" s="186"/>
      <c r="J476" s="186"/>
      <c r="K476" s="186"/>
      <c r="L476" s="186"/>
      <c r="M476" s="186"/>
      <c r="N476" s="186"/>
      <c r="O476" s="186"/>
      <c r="P476" s="186"/>
      <c r="Q476" s="186"/>
      <c r="R476" s="186"/>
      <c r="S476" s="67"/>
      <c r="T476" s="67"/>
      <c r="U476" s="67"/>
      <c r="V476" s="187"/>
      <c r="W476" s="186"/>
      <c r="X476" s="187"/>
      <c r="Y476" s="187"/>
      <c r="Z476" s="187"/>
      <c r="AA476" s="186"/>
      <c r="AB476" s="186"/>
      <c r="AC476" s="67"/>
      <c r="AD476" s="67"/>
      <c r="AE476" s="67"/>
      <c r="AH476" s="186"/>
      <c r="AK476" s="186"/>
    </row>
    <row r="477">
      <c r="A477" s="185"/>
      <c r="B477" s="67"/>
      <c r="C477" s="67"/>
      <c r="D477" s="67"/>
      <c r="E477" s="186"/>
      <c r="F477" s="186"/>
      <c r="G477" s="186"/>
      <c r="H477" s="186"/>
      <c r="I477" s="186"/>
      <c r="J477" s="186"/>
      <c r="K477" s="186"/>
      <c r="L477" s="186"/>
      <c r="M477" s="186"/>
      <c r="N477" s="186"/>
      <c r="O477" s="186"/>
      <c r="P477" s="186"/>
      <c r="Q477" s="186"/>
      <c r="R477" s="186"/>
      <c r="S477" s="67"/>
      <c r="T477" s="67"/>
      <c r="U477" s="67"/>
      <c r="V477" s="187"/>
      <c r="W477" s="186"/>
      <c r="X477" s="187"/>
      <c r="Y477" s="187"/>
      <c r="Z477" s="187"/>
      <c r="AA477" s="186"/>
      <c r="AB477" s="186"/>
      <c r="AC477" s="67"/>
      <c r="AD477" s="67"/>
      <c r="AE477" s="67"/>
      <c r="AH477" s="186"/>
      <c r="AK477" s="186"/>
    </row>
    <row r="478">
      <c r="A478" s="185"/>
      <c r="B478" s="67"/>
      <c r="C478" s="67"/>
      <c r="D478" s="67"/>
      <c r="E478" s="186"/>
      <c r="F478" s="186"/>
      <c r="G478" s="186"/>
      <c r="H478" s="186"/>
      <c r="I478" s="186"/>
      <c r="J478" s="186"/>
      <c r="K478" s="186"/>
      <c r="L478" s="186"/>
      <c r="M478" s="186"/>
      <c r="N478" s="186"/>
      <c r="O478" s="186"/>
      <c r="P478" s="186"/>
      <c r="Q478" s="186"/>
      <c r="R478" s="186"/>
      <c r="S478" s="67"/>
      <c r="T478" s="67"/>
      <c r="U478" s="67"/>
      <c r="V478" s="187"/>
      <c r="W478" s="186"/>
      <c r="X478" s="187"/>
      <c r="Y478" s="187"/>
      <c r="Z478" s="187"/>
      <c r="AA478" s="186"/>
      <c r="AB478" s="186"/>
      <c r="AC478" s="67"/>
      <c r="AD478" s="67"/>
      <c r="AE478" s="67"/>
      <c r="AH478" s="186"/>
      <c r="AK478" s="186"/>
    </row>
    <row r="479">
      <c r="A479" s="185"/>
      <c r="B479" s="67"/>
      <c r="C479" s="67"/>
      <c r="D479" s="67"/>
      <c r="E479" s="186"/>
      <c r="F479" s="186"/>
      <c r="G479" s="186"/>
      <c r="H479" s="186"/>
      <c r="I479" s="186"/>
      <c r="J479" s="186"/>
      <c r="K479" s="186"/>
      <c r="L479" s="186"/>
      <c r="M479" s="186"/>
      <c r="N479" s="186"/>
      <c r="O479" s="186"/>
      <c r="P479" s="186"/>
      <c r="Q479" s="186"/>
      <c r="R479" s="186"/>
      <c r="S479" s="67"/>
      <c r="T479" s="67"/>
      <c r="U479" s="67"/>
      <c r="V479" s="187"/>
      <c r="W479" s="186"/>
      <c r="X479" s="187"/>
      <c r="Y479" s="187"/>
      <c r="Z479" s="187"/>
      <c r="AA479" s="186"/>
      <c r="AB479" s="186"/>
      <c r="AC479" s="67"/>
      <c r="AD479" s="67"/>
      <c r="AE479" s="67"/>
      <c r="AH479" s="186"/>
      <c r="AK479" s="186"/>
    </row>
    <row r="480">
      <c r="A480" s="185"/>
      <c r="B480" s="67"/>
      <c r="C480" s="67"/>
      <c r="D480" s="67"/>
      <c r="E480" s="186"/>
      <c r="F480" s="186"/>
      <c r="G480" s="186"/>
      <c r="H480" s="186"/>
      <c r="I480" s="186"/>
      <c r="J480" s="186"/>
      <c r="K480" s="186"/>
      <c r="L480" s="186"/>
      <c r="M480" s="186"/>
      <c r="N480" s="186"/>
      <c r="O480" s="186"/>
      <c r="P480" s="186"/>
      <c r="Q480" s="186"/>
      <c r="R480" s="186"/>
      <c r="S480" s="67"/>
      <c r="T480" s="67"/>
      <c r="U480" s="67"/>
      <c r="V480" s="187"/>
      <c r="W480" s="186"/>
      <c r="X480" s="187"/>
      <c r="Y480" s="187"/>
      <c r="Z480" s="187"/>
      <c r="AA480" s="186"/>
      <c r="AB480" s="186"/>
      <c r="AC480" s="67"/>
      <c r="AD480" s="67"/>
      <c r="AE480" s="67"/>
      <c r="AH480" s="186"/>
      <c r="AK480" s="186"/>
    </row>
    <row r="481">
      <c r="A481" s="185"/>
      <c r="B481" s="67"/>
      <c r="C481" s="67"/>
      <c r="D481" s="67"/>
      <c r="E481" s="186"/>
      <c r="F481" s="186"/>
      <c r="G481" s="186"/>
      <c r="H481" s="186"/>
      <c r="I481" s="186"/>
      <c r="J481" s="186"/>
      <c r="K481" s="186"/>
      <c r="L481" s="186"/>
      <c r="M481" s="186"/>
      <c r="N481" s="186"/>
      <c r="O481" s="186"/>
      <c r="P481" s="186"/>
      <c r="Q481" s="186"/>
      <c r="R481" s="186"/>
      <c r="S481" s="67"/>
      <c r="T481" s="67"/>
      <c r="U481" s="67"/>
      <c r="V481" s="187"/>
      <c r="W481" s="186"/>
      <c r="X481" s="187"/>
      <c r="Y481" s="187"/>
      <c r="Z481" s="187"/>
      <c r="AA481" s="186"/>
      <c r="AB481" s="186"/>
      <c r="AC481" s="67"/>
      <c r="AD481" s="67"/>
      <c r="AE481" s="67"/>
      <c r="AH481" s="186"/>
      <c r="AK481" s="186"/>
    </row>
    <row r="482">
      <c r="A482" s="185"/>
      <c r="B482" s="67"/>
      <c r="C482" s="67"/>
      <c r="D482" s="67"/>
      <c r="E482" s="186"/>
      <c r="F482" s="186"/>
      <c r="G482" s="186"/>
      <c r="H482" s="186"/>
      <c r="I482" s="186"/>
      <c r="J482" s="186"/>
      <c r="K482" s="186"/>
      <c r="L482" s="186"/>
      <c r="M482" s="186"/>
      <c r="N482" s="186"/>
      <c r="O482" s="186"/>
      <c r="P482" s="186"/>
      <c r="Q482" s="186"/>
      <c r="R482" s="186"/>
      <c r="S482" s="67"/>
      <c r="T482" s="67"/>
      <c r="U482" s="67"/>
      <c r="V482" s="187"/>
      <c r="W482" s="186"/>
      <c r="X482" s="187"/>
      <c r="Y482" s="187"/>
      <c r="Z482" s="187"/>
      <c r="AA482" s="186"/>
      <c r="AB482" s="186"/>
      <c r="AC482" s="67"/>
      <c r="AD482" s="67"/>
      <c r="AE482" s="67"/>
      <c r="AH482" s="186"/>
      <c r="AK482" s="186"/>
    </row>
    <row r="483">
      <c r="A483" s="185"/>
      <c r="B483" s="67"/>
      <c r="C483" s="67"/>
      <c r="D483" s="67"/>
      <c r="E483" s="186"/>
      <c r="F483" s="186"/>
      <c r="G483" s="186"/>
      <c r="H483" s="186"/>
      <c r="I483" s="186"/>
      <c r="J483" s="186"/>
      <c r="K483" s="186"/>
      <c r="L483" s="186"/>
      <c r="M483" s="186"/>
      <c r="N483" s="186"/>
      <c r="O483" s="186"/>
      <c r="P483" s="186"/>
      <c r="Q483" s="186"/>
      <c r="R483" s="186"/>
      <c r="S483" s="67"/>
      <c r="T483" s="67"/>
      <c r="U483" s="67"/>
      <c r="V483" s="187"/>
      <c r="W483" s="186"/>
      <c r="X483" s="187"/>
      <c r="Y483" s="187"/>
      <c r="Z483" s="187"/>
      <c r="AA483" s="186"/>
      <c r="AB483" s="186"/>
      <c r="AC483" s="67"/>
      <c r="AD483" s="67"/>
      <c r="AE483" s="67"/>
      <c r="AH483" s="186"/>
      <c r="AK483" s="186"/>
    </row>
    <row r="484">
      <c r="A484" s="185"/>
      <c r="B484" s="67"/>
      <c r="C484" s="67"/>
      <c r="D484" s="67"/>
      <c r="E484" s="186"/>
      <c r="F484" s="186"/>
      <c r="G484" s="186"/>
      <c r="H484" s="186"/>
      <c r="I484" s="186"/>
      <c r="J484" s="186"/>
      <c r="K484" s="186"/>
      <c r="L484" s="186"/>
      <c r="M484" s="186"/>
      <c r="N484" s="186"/>
      <c r="O484" s="186"/>
      <c r="P484" s="186"/>
      <c r="Q484" s="186"/>
      <c r="R484" s="186"/>
      <c r="S484" s="67"/>
      <c r="T484" s="67"/>
      <c r="U484" s="67"/>
      <c r="V484" s="187"/>
      <c r="W484" s="186"/>
      <c r="X484" s="187"/>
      <c r="Y484" s="187"/>
      <c r="Z484" s="187"/>
      <c r="AA484" s="186"/>
      <c r="AB484" s="186"/>
      <c r="AC484" s="67"/>
      <c r="AD484" s="67"/>
      <c r="AE484" s="67"/>
      <c r="AH484" s="186"/>
      <c r="AK484" s="186"/>
    </row>
    <row r="485">
      <c r="A485" s="185"/>
      <c r="B485" s="67"/>
      <c r="C485" s="67"/>
      <c r="D485" s="67"/>
      <c r="E485" s="186"/>
      <c r="F485" s="186"/>
      <c r="G485" s="186"/>
      <c r="H485" s="186"/>
      <c r="I485" s="186"/>
      <c r="J485" s="186"/>
      <c r="K485" s="186"/>
      <c r="L485" s="186"/>
      <c r="M485" s="186"/>
      <c r="N485" s="186"/>
      <c r="O485" s="186"/>
      <c r="P485" s="186"/>
      <c r="Q485" s="186"/>
      <c r="R485" s="186"/>
      <c r="S485" s="67"/>
      <c r="T485" s="67"/>
      <c r="U485" s="67"/>
      <c r="V485" s="187"/>
      <c r="W485" s="186"/>
      <c r="X485" s="187"/>
      <c r="Y485" s="187"/>
      <c r="Z485" s="187"/>
      <c r="AA485" s="186"/>
      <c r="AB485" s="186"/>
      <c r="AC485" s="67"/>
      <c r="AD485" s="67"/>
      <c r="AE485" s="67"/>
      <c r="AH485" s="186"/>
      <c r="AK485" s="186"/>
    </row>
    <row r="486">
      <c r="A486" s="185"/>
      <c r="B486" s="67"/>
      <c r="C486" s="67"/>
      <c r="D486" s="67"/>
      <c r="E486" s="186"/>
      <c r="F486" s="186"/>
      <c r="G486" s="186"/>
      <c r="H486" s="186"/>
      <c r="I486" s="186"/>
      <c r="J486" s="186"/>
      <c r="K486" s="186"/>
      <c r="L486" s="186"/>
      <c r="M486" s="186"/>
      <c r="N486" s="186"/>
      <c r="O486" s="186"/>
      <c r="P486" s="186"/>
      <c r="Q486" s="186"/>
      <c r="R486" s="186"/>
      <c r="S486" s="67"/>
      <c r="T486" s="67"/>
      <c r="U486" s="67"/>
      <c r="V486" s="187"/>
      <c r="W486" s="186"/>
      <c r="X486" s="187"/>
      <c r="Y486" s="187"/>
      <c r="Z486" s="187"/>
      <c r="AA486" s="186"/>
      <c r="AB486" s="186"/>
      <c r="AC486" s="67"/>
      <c r="AD486" s="67"/>
      <c r="AE486" s="67"/>
      <c r="AH486" s="186"/>
      <c r="AK486" s="186"/>
    </row>
    <row r="487">
      <c r="A487" s="185"/>
      <c r="B487" s="67"/>
      <c r="C487" s="67"/>
      <c r="D487" s="67"/>
      <c r="E487" s="186"/>
      <c r="F487" s="186"/>
      <c r="G487" s="186"/>
      <c r="H487" s="186"/>
      <c r="I487" s="186"/>
      <c r="J487" s="186"/>
      <c r="K487" s="186"/>
      <c r="L487" s="186"/>
      <c r="M487" s="186"/>
      <c r="N487" s="186"/>
      <c r="O487" s="186"/>
      <c r="P487" s="186"/>
      <c r="Q487" s="186"/>
      <c r="R487" s="186"/>
      <c r="S487" s="67"/>
      <c r="T487" s="67"/>
      <c r="U487" s="67"/>
      <c r="V487" s="187"/>
      <c r="W487" s="186"/>
      <c r="X487" s="187"/>
      <c r="Y487" s="187"/>
      <c r="Z487" s="187"/>
      <c r="AA487" s="186"/>
      <c r="AB487" s="186"/>
      <c r="AC487" s="67"/>
      <c r="AD487" s="67"/>
      <c r="AE487" s="67"/>
      <c r="AH487" s="186"/>
      <c r="AK487" s="186"/>
    </row>
    <row r="488">
      <c r="A488" s="185"/>
      <c r="B488" s="67"/>
      <c r="C488" s="67"/>
      <c r="D488" s="67"/>
      <c r="E488" s="186"/>
      <c r="F488" s="186"/>
      <c r="G488" s="186"/>
      <c r="H488" s="186"/>
      <c r="I488" s="186"/>
      <c r="J488" s="186"/>
      <c r="K488" s="186"/>
      <c r="L488" s="186"/>
      <c r="M488" s="186"/>
      <c r="N488" s="186"/>
      <c r="O488" s="186"/>
      <c r="P488" s="186"/>
      <c r="Q488" s="186"/>
      <c r="R488" s="186"/>
      <c r="S488" s="67"/>
      <c r="T488" s="67"/>
      <c r="U488" s="67"/>
      <c r="V488" s="187"/>
      <c r="W488" s="186"/>
      <c r="X488" s="187"/>
      <c r="Y488" s="187"/>
      <c r="Z488" s="187"/>
      <c r="AA488" s="186"/>
      <c r="AB488" s="186"/>
      <c r="AC488" s="67"/>
      <c r="AD488" s="67"/>
      <c r="AE488" s="67"/>
      <c r="AH488" s="186"/>
      <c r="AK488" s="186"/>
    </row>
    <row r="489">
      <c r="A489" s="185"/>
      <c r="B489" s="67"/>
      <c r="C489" s="67"/>
      <c r="D489" s="67"/>
      <c r="E489" s="186"/>
      <c r="F489" s="186"/>
      <c r="G489" s="186"/>
      <c r="H489" s="186"/>
      <c r="I489" s="186"/>
      <c r="J489" s="186"/>
      <c r="K489" s="186"/>
      <c r="L489" s="186"/>
      <c r="M489" s="186"/>
      <c r="N489" s="186"/>
      <c r="O489" s="186"/>
      <c r="P489" s="186"/>
      <c r="Q489" s="186"/>
      <c r="R489" s="186"/>
      <c r="S489" s="67"/>
      <c r="T489" s="67"/>
      <c r="U489" s="67"/>
      <c r="V489" s="187"/>
      <c r="W489" s="186"/>
      <c r="X489" s="187"/>
      <c r="Y489" s="187"/>
      <c r="Z489" s="187"/>
      <c r="AA489" s="186"/>
      <c r="AB489" s="186"/>
      <c r="AC489" s="67"/>
      <c r="AD489" s="67"/>
      <c r="AE489" s="67"/>
      <c r="AH489" s="186"/>
      <c r="AK489" s="186"/>
    </row>
    <row r="490">
      <c r="A490" s="185"/>
      <c r="B490" s="67"/>
      <c r="C490" s="67"/>
      <c r="D490" s="67"/>
      <c r="E490" s="186"/>
      <c r="F490" s="186"/>
      <c r="G490" s="186"/>
      <c r="H490" s="186"/>
      <c r="I490" s="186"/>
      <c r="J490" s="186"/>
      <c r="K490" s="186"/>
      <c r="L490" s="186"/>
      <c r="M490" s="186"/>
      <c r="N490" s="186"/>
      <c r="O490" s="186"/>
      <c r="P490" s="186"/>
      <c r="Q490" s="186"/>
      <c r="R490" s="186"/>
      <c r="S490" s="67"/>
      <c r="T490" s="67"/>
      <c r="U490" s="67"/>
      <c r="V490" s="187"/>
      <c r="W490" s="186"/>
      <c r="X490" s="187"/>
      <c r="Y490" s="187"/>
      <c r="Z490" s="187"/>
      <c r="AA490" s="186"/>
      <c r="AB490" s="186"/>
      <c r="AC490" s="67"/>
      <c r="AD490" s="67"/>
      <c r="AE490" s="67"/>
      <c r="AH490" s="186"/>
      <c r="AK490" s="186"/>
    </row>
    <row r="491">
      <c r="A491" s="185"/>
      <c r="B491" s="67"/>
      <c r="C491" s="67"/>
      <c r="D491" s="67"/>
      <c r="E491" s="186"/>
      <c r="F491" s="186"/>
      <c r="G491" s="186"/>
      <c r="H491" s="186"/>
      <c r="I491" s="186"/>
      <c r="J491" s="186"/>
      <c r="K491" s="186"/>
      <c r="L491" s="186"/>
      <c r="M491" s="186"/>
      <c r="N491" s="186"/>
      <c r="O491" s="186"/>
      <c r="P491" s="186"/>
      <c r="Q491" s="186"/>
      <c r="R491" s="186"/>
      <c r="S491" s="67"/>
      <c r="T491" s="67"/>
      <c r="U491" s="67"/>
      <c r="V491" s="187"/>
      <c r="W491" s="186"/>
      <c r="X491" s="187"/>
      <c r="Y491" s="187"/>
      <c r="Z491" s="187"/>
      <c r="AA491" s="186"/>
      <c r="AB491" s="186"/>
      <c r="AC491" s="67"/>
      <c r="AD491" s="67"/>
      <c r="AE491" s="67"/>
      <c r="AH491" s="186"/>
      <c r="AK491" s="186"/>
    </row>
    <row r="492">
      <c r="A492" s="185"/>
      <c r="B492" s="67"/>
      <c r="C492" s="67"/>
      <c r="D492" s="67"/>
      <c r="E492" s="186"/>
      <c r="F492" s="186"/>
      <c r="G492" s="186"/>
      <c r="H492" s="186"/>
      <c r="I492" s="186"/>
      <c r="J492" s="186"/>
      <c r="K492" s="186"/>
      <c r="L492" s="186"/>
      <c r="M492" s="186"/>
      <c r="N492" s="186"/>
      <c r="O492" s="186"/>
      <c r="P492" s="186"/>
      <c r="Q492" s="186"/>
      <c r="R492" s="186"/>
      <c r="S492" s="67"/>
      <c r="T492" s="67"/>
      <c r="U492" s="67"/>
      <c r="V492" s="187"/>
      <c r="W492" s="186"/>
      <c r="X492" s="187"/>
      <c r="Y492" s="187"/>
      <c r="Z492" s="187"/>
      <c r="AA492" s="186"/>
      <c r="AB492" s="186"/>
      <c r="AC492" s="67"/>
      <c r="AD492" s="67"/>
      <c r="AE492" s="67"/>
      <c r="AH492" s="186"/>
      <c r="AK492" s="186"/>
    </row>
    <row r="493">
      <c r="A493" s="185"/>
      <c r="B493" s="67"/>
      <c r="C493" s="67"/>
      <c r="D493" s="67"/>
      <c r="E493" s="186"/>
      <c r="F493" s="186"/>
      <c r="G493" s="186"/>
      <c r="H493" s="186"/>
      <c r="I493" s="186"/>
      <c r="J493" s="186"/>
      <c r="K493" s="186"/>
      <c r="L493" s="186"/>
      <c r="M493" s="186"/>
      <c r="N493" s="186"/>
      <c r="O493" s="186"/>
      <c r="P493" s="186"/>
      <c r="Q493" s="186"/>
      <c r="R493" s="186"/>
      <c r="S493" s="67"/>
      <c r="T493" s="67"/>
      <c r="U493" s="67"/>
      <c r="V493" s="187"/>
      <c r="W493" s="186"/>
      <c r="X493" s="187"/>
      <c r="Y493" s="187"/>
      <c r="Z493" s="187"/>
      <c r="AA493" s="186"/>
      <c r="AB493" s="186"/>
      <c r="AC493" s="67"/>
      <c r="AD493" s="67"/>
      <c r="AE493" s="67"/>
      <c r="AH493" s="186"/>
      <c r="AK493" s="186"/>
    </row>
    <row r="494">
      <c r="A494" s="185"/>
      <c r="B494" s="67"/>
      <c r="C494" s="67"/>
      <c r="D494" s="67"/>
      <c r="E494" s="186"/>
      <c r="F494" s="186"/>
      <c r="G494" s="186"/>
      <c r="H494" s="186"/>
      <c r="I494" s="186"/>
      <c r="J494" s="186"/>
      <c r="K494" s="186"/>
      <c r="L494" s="186"/>
      <c r="M494" s="186"/>
      <c r="N494" s="186"/>
      <c r="O494" s="186"/>
      <c r="P494" s="186"/>
      <c r="Q494" s="186"/>
      <c r="R494" s="186"/>
      <c r="S494" s="67"/>
      <c r="T494" s="67"/>
      <c r="U494" s="67"/>
      <c r="V494" s="187"/>
      <c r="W494" s="186"/>
      <c r="X494" s="187"/>
      <c r="Y494" s="187"/>
      <c r="Z494" s="187"/>
      <c r="AA494" s="186"/>
      <c r="AB494" s="186"/>
      <c r="AC494" s="67"/>
      <c r="AD494" s="67"/>
      <c r="AE494" s="67"/>
      <c r="AH494" s="186"/>
      <c r="AK494" s="186"/>
    </row>
    <row r="495">
      <c r="A495" s="185"/>
      <c r="B495" s="67"/>
      <c r="C495" s="67"/>
      <c r="D495" s="67"/>
      <c r="E495" s="186"/>
      <c r="F495" s="186"/>
      <c r="G495" s="186"/>
      <c r="H495" s="186"/>
      <c r="I495" s="186"/>
      <c r="J495" s="186"/>
      <c r="K495" s="186"/>
      <c r="L495" s="186"/>
      <c r="M495" s="186"/>
      <c r="N495" s="186"/>
      <c r="O495" s="186"/>
      <c r="P495" s="186"/>
      <c r="Q495" s="186"/>
      <c r="R495" s="186"/>
      <c r="S495" s="67"/>
      <c r="T495" s="67"/>
      <c r="U495" s="67"/>
      <c r="V495" s="187"/>
      <c r="W495" s="186"/>
      <c r="X495" s="187"/>
      <c r="Y495" s="187"/>
      <c r="Z495" s="187"/>
      <c r="AA495" s="186"/>
      <c r="AB495" s="186"/>
      <c r="AC495" s="67"/>
      <c r="AD495" s="67"/>
      <c r="AE495" s="67"/>
      <c r="AH495" s="186"/>
      <c r="AK495" s="186"/>
    </row>
    <row r="496">
      <c r="A496" s="185"/>
      <c r="B496" s="67"/>
      <c r="C496" s="67"/>
      <c r="D496" s="67"/>
      <c r="E496" s="186"/>
      <c r="F496" s="186"/>
      <c r="G496" s="186"/>
      <c r="H496" s="186"/>
      <c r="I496" s="186"/>
      <c r="J496" s="186"/>
      <c r="K496" s="186"/>
      <c r="L496" s="186"/>
      <c r="M496" s="186"/>
      <c r="N496" s="186"/>
      <c r="O496" s="186"/>
      <c r="P496" s="186"/>
      <c r="Q496" s="186"/>
      <c r="R496" s="186"/>
      <c r="S496" s="67"/>
      <c r="T496" s="67"/>
      <c r="U496" s="67"/>
      <c r="V496" s="187"/>
      <c r="W496" s="186"/>
      <c r="X496" s="187"/>
      <c r="Y496" s="187"/>
      <c r="Z496" s="187"/>
      <c r="AA496" s="186"/>
      <c r="AB496" s="186"/>
      <c r="AC496" s="67"/>
      <c r="AD496" s="67"/>
      <c r="AE496" s="67"/>
      <c r="AH496" s="186"/>
      <c r="AK496" s="186"/>
    </row>
    <row r="497">
      <c r="A497" s="185"/>
      <c r="B497" s="67"/>
      <c r="C497" s="67"/>
      <c r="D497" s="67"/>
      <c r="E497" s="186"/>
      <c r="F497" s="186"/>
      <c r="G497" s="186"/>
      <c r="H497" s="186"/>
      <c r="I497" s="186"/>
      <c r="J497" s="186"/>
      <c r="K497" s="186"/>
      <c r="L497" s="186"/>
      <c r="M497" s="186"/>
      <c r="N497" s="186"/>
      <c r="O497" s="186"/>
      <c r="P497" s="186"/>
      <c r="Q497" s="186"/>
      <c r="R497" s="186"/>
      <c r="S497" s="67"/>
      <c r="T497" s="67"/>
      <c r="U497" s="67"/>
      <c r="V497" s="187"/>
      <c r="W497" s="186"/>
      <c r="X497" s="187"/>
      <c r="Y497" s="187"/>
      <c r="Z497" s="187"/>
      <c r="AA497" s="186"/>
      <c r="AB497" s="186"/>
      <c r="AC497" s="67"/>
      <c r="AD497" s="67"/>
      <c r="AE497" s="67"/>
      <c r="AH497" s="186"/>
      <c r="AK497" s="186"/>
    </row>
    <row r="498">
      <c r="A498" s="185"/>
      <c r="B498" s="67"/>
      <c r="C498" s="67"/>
      <c r="D498" s="67"/>
      <c r="E498" s="186"/>
      <c r="F498" s="186"/>
      <c r="G498" s="186"/>
      <c r="H498" s="186"/>
      <c r="I498" s="186"/>
      <c r="J498" s="186"/>
      <c r="K498" s="186"/>
      <c r="L498" s="186"/>
      <c r="M498" s="186"/>
      <c r="N498" s="186"/>
      <c r="O498" s="186"/>
      <c r="P498" s="186"/>
      <c r="Q498" s="186"/>
      <c r="R498" s="186"/>
      <c r="S498" s="67"/>
      <c r="T498" s="67"/>
      <c r="U498" s="67"/>
      <c r="V498" s="187"/>
      <c r="W498" s="186"/>
      <c r="X498" s="187"/>
      <c r="Y498" s="187"/>
      <c r="Z498" s="187"/>
      <c r="AA498" s="186"/>
      <c r="AB498" s="186"/>
      <c r="AC498" s="67"/>
      <c r="AD498" s="67"/>
      <c r="AE498" s="67"/>
      <c r="AH498" s="186"/>
      <c r="AK498" s="186"/>
    </row>
    <row r="499">
      <c r="A499" s="185"/>
      <c r="B499" s="67"/>
      <c r="C499" s="67"/>
      <c r="D499" s="67"/>
      <c r="E499" s="186"/>
      <c r="F499" s="186"/>
      <c r="G499" s="186"/>
      <c r="H499" s="186"/>
      <c r="I499" s="186"/>
      <c r="J499" s="186"/>
      <c r="K499" s="186"/>
      <c r="L499" s="186"/>
      <c r="M499" s="186"/>
      <c r="N499" s="186"/>
      <c r="O499" s="186"/>
      <c r="P499" s="186"/>
      <c r="Q499" s="186"/>
      <c r="R499" s="186"/>
      <c r="S499" s="67"/>
      <c r="T499" s="67"/>
      <c r="U499" s="67"/>
      <c r="V499" s="187"/>
      <c r="W499" s="186"/>
      <c r="X499" s="187"/>
      <c r="Y499" s="187"/>
      <c r="Z499" s="187"/>
      <c r="AA499" s="186"/>
      <c r="AB499" s="186"/>
      <c r="AC499" s="67"/>
      <c r="AD499" s="67"/>
      <c r="AE499" s="67"/>
      <c r="AH499" s="186"/>
      <c r="AK499" s="186"/>
    </row>
    <row r="500">
      <c r="A500" s="185"/>
      <c r="B500" s="67"/>
      <c r="C500" s="67"/>
      <c r="D500" s="67"/>
      <c r="E500" s="186"/>
      <c r="F500" s="186"/>
      <c r="G500" s="186"/>
      <c r="H500" s="186"/>
      <c r="I500" s="186"/>
      <c r="J500" s="186"/>
      <c r="K500" s="186"/>
      <c r="L500" s="186"/>
      <c r="M500" s="186"/>
      <c r="N500" s="186"/>
      <c r="O500" s="186"/>
      <c r="P500" s="186"/>
      <c r="Q500" s="186"/>
      <c r="R500" s="186"/>
      <c r="S500" s="67"/>
      <c r="T500" s="67"/>
      <c r="U500" s="67"/>
      <c r="V500" s="187"/>
      <c r="W500" s="186"/>
      <c r="X500" s="187"/>
      <c r="Y500" s="187"/>
      <c r="Z500" s="187"/>
      <c r="AA500" s="186"/>
      <c r="AB500" s="186"/>
      <c r="AC500" s="67"/>
      <c r="AD500" s="67"/>
      <c r="AE500" s="67"/>
      <c r="AH500" s="186"/>
      <c r="AK500" s="186"/>
    </row>
    <row r="501">
      <c r="A501" s="185"/>
      <c r="B501" s="67"/>
      <c r="C501" s="67"/>
      <c r="D501" s="67"/>
      <c r="E501" s="186"/>
      <c r="F501" s="186"/>
      <c r="G501" s="186"/>
      <c r="H501" s="186"/>
      <c r="I501" s="186"/>
      <c r="J501" s="186"/>
      <c r="K501" s="186"/>
      <c r="L501" s="186"/>
      <c r="M501" s="186"/>
      <c r="N501" s="186"/>
      <c r="O501" s="186"/>
      <c r="P501" s="186"/>
      <c r="Q501" s="186"/>
      <c r="R501" s="186"/>
      <c r="S501" s="67"/>
      <c r="T501" s="67"/>
      <c r="U501" s="67"/>
      <c r="V501" s="187"/>
      <c r="W501" s="186"/>
      <c r="X501" s="187"/>
      <c r="Y501" s="187"/>
      <c r="Z501" s="187"/>
      <c r="AA501" s="186"/>
      <c r="AB501" s="186"/>
      <c r="AC501" s="67"/>
      <c r="AD501" s="67"/>
      <c r="AE501" s="67"/>
      <c r="AH501" s="186"/>
      <c r="AK501" s="186"/>
    </row>
    <row r="502">
      <c r="A502" s="185"/>
      <c r="B502" s="67"/>
      <c r="C502" s="67"/>
      <c r="D502" s="67"/>
      <c r="E502" s="186"/>
      <c r="F502" s="186"/>
      <c r="G502" s="186"/>
      <c r="H502" s="186"/>
      <c r="I502" s="186"/>
      <c r="J502" s="186"/>
      <c r="K502" s="186"/>
      <c r="L502" s="186"/>
      <c r="M502" s="186"/>
      <c r="N502" s="186"/>
      <c r="O502" s="186"/>
      <c r="P502" s="186"/>
      <c r="Q502" s="186"/>
      <c r="R502" s="186"/>
      <c r="S502" s="67"/>
      <c r="T502" s="67"/>
      <c r="U502" s="67"/>
      <c r="V502" s="187"/>
      <c r="W502" s="186"/>
      <c r="X502" s="187"/>
      <c r="Y502" s="187"/>
      <c r="Z502" s="187"/>
      <c r="AA502" s="186"/>
      <c r="AB502" s="186"/>
      <c r="AC502" s="67"/>
      <c r="AD502" s="67"/>
      <c r="AE502" s="67"/>
      <c r="AH502" s="186"/>
      <c r="AK502" s="186"/>
    </row>
    <row r="503">
      <c r="A503" s="185"/>
      <c r="B503" s="67"/>
      <c r="C503" s="67"/>
      <c r="D503" s="67"/>
      <c r="E503" s="186"/>
      <c r="F503" s="186"/>
      <c r="G503" s="186"/>
      <c r="H503" s="186"/>
      <c r="I503" s="186"/>
      <c r="J503" s="186"/>
      <c r="K503" s="186"/>
      <c r="L503" s="186"/>
      <c r="M503" s="186"/>
      <c r="N503" s="186"/>
      <c r="O503" s="186"/>
      <c r="P503" s="186"/>
      <c r="Q503" s="186"/>
      <c r="R503" s="186"/>
      <c r="S503" s="67"/>
      <c r="T503" s="67"/>
      <c r="U503" s="67"/>
      <c r="V503" s="187"/>
      <c r="W503" s="186"/>
      <c r="X503" s="187"/>
      <c r="Y503" s="187"/>
      <c r="Z503" s="187"/>
      <c r="AA503" s="186"/>
      <c r="AB503" s="186"/>
      <c r="AC503" s="67"/>
      <c r="AD503" s="67"/>
      <c r="AE503" s="67"/>
      <c r="AH503" s="186"/>
      <c r="AK503" s="186"/>
    </row>
    <row r="504">
      <c r="A504" s="185"/>
      <c r="B504" s="67"/>
      <c r="C504" s="67"/>
      <c r="D504" s="67"/>
      <c r="E504" s="186"/>
      <c r="F504" s="186"/>
      <c r="G504" s="186"/>
      <c r="H504" s="186"/>
      <c r="I504" s="186"/>
      <c r="J504" s="186"/>
      <c r="K504" s="186"/>
      <c r="L504" s="186"/>
      <c r="M504" s="186"/>
      <c r="N504" s="186"/>
      <c r="O504" s="186"/>
      <c r="P504" s="186"/>
      <c r="Q504" s="186"/>
      <c r="R504" s="186"/>
      <c r="S504" s="67"/>
      <c r="T504" s="67"/>
      <c r="U504" s="67"/>
      <c r="V504" s="187"/>
      <c r="W504" s="186"/>
      <c r="X504" s="187"/>
      <c r="Y504" s="187"/>
      <c r="Z504" s="187"/>
      <c r="AA504" s="186"/>
      <c r="AB504" s="186"/>
      <c r="AC504" s="67"/>
      <c r="AD504" s="67"/>
      <c r="AE504" s="67"/>
      <c r="AH504" s="186"/>
      <c r="AK504" s="186"/>
    </row>
    <row r="505">
      <c r="A505" s="185"/>
      <c r="B505" s="67"/>
      <c r="C505" s="67"/>
      <c r="D505" s="67"/>
      <c r="E505" s="186"/>
      <c r="F505" s="186"/>
      <c r="G505" s="186"/>
      <c r="H505" s="186"/>
      <c r="I505" s="186"/>
      <c r="J505" s="186"/>
      <c r="K505" s="186"/>
      <c r="L505" s="186"/>
      <c r="M505" s="186"/>
      <c r="N505" s="186"/>
      <c r="O505" s="186"/>
      <c r="P505" s="186"/>
      <c r="Q505" s="186"/>
      <c r="R505" s="186"/>
      <c r="S505" s="67"/>
      <c r="T505" s="67"/>
      <c r="U505" s="67"/>
      <c r="V505" s="187"/>
      <c r="W505" s="186"/>
      <c r="X505" s="187"/>
      <c r="Y505" s="187"/>
      <c r="Z505" s="187"/>
      <c r="AA505" s="186"/>
      <c r="AB505" s="186"/>
      <c r="AC505" s="67"/>
      <c r="AD505" s="67"/>
      <c r="AE505" s="67"/>
      <c r="AH505" s="186"/>
      <c r="AK505" s="186"/>
    </row>
    <row r="506">
      <c r="A506" s="185"/>
      <c r="B506" s="67"/>
      <c r="C506" s="67"/>
      <c r="D506" s="67"/>
      <c r="E506" s="186"/>
      <c r="F506" s="186"/>
      <c r="G506" s="186"/>
      <c r="H506" s="186"/>
      <c r="I506" s="186"/>
      <c r="J506" s="186"/>
      <c r="K506" s="186"/>
      <c r="L506" s="186"/>
      <c r="M506" s="186"/>
      <c r="N506" s="186"/>
      <c r="O506" s="186"/>
      <c r="P506" s="186"/>
      <c r="Q506" s="186"/>
      <c r="R506" s="186"/>
      <c r="S506" s="67"/>
      <c r="T506" s="67"/>
      <c r="U506" s="67"/>
      <c r="V506" s="187"/>
      <c r="W506" s="186"/>
      <c r="X506" s="187"/>
      <c r="Y506" s="187"/>
      <c r="Z506" s="187"/>
      <c r="AA506" s="186"/>
      <c r="AB506" s="186"/>
      <c r="AC506" s="67"/>
      <c r="AD506" s="67"/>
      <c r="AE506" s="67"/>
      <c r="AH506" s="186"/>
      <c r="AK506" s="186"/>
    </row>
    <row r="507">
      <c r="A507" s="185"/>
      <c r="B507" s="67"/>
      <c r="C507" s="67"/>
      <c r="D507" s="67"/>
      <c r="E507" s="186"/>
      <c r="F507" s="186"/>
      <c r="G507" s="186"/>
      <c r="H507" s="186"/>
      <c r="I507" s="186"/>
      <c r="J507" s="186"/>
      <c r="K507" s="186"/>
      <c r="L507" s="186"/>
      <c r="M507" s="186"/>
      <c r="N507" s="186"/>
      <c r="O507" s="186"/>
      <c r="P507" s="186"/>
      <c r="Q507" s="186"/>
      <c r="R507" s="186"/>
      <c r="S507" s="67"/>
      <c r="T507" s="67"/>
      <c r="U507" s="67"/>
      <c r="V507" s="187"/>
      <c r="W507" s="186"/>
      <c r="X507" s="187"/>
      <c r="Y507" s="187"/>
      <c r="Z507" s="187"/>
      <c r="AA507" s="186"/>
      <c r="AB507" s="186"/>
      <c r="AC507" s="67"/>
      <c r="AD507" s="67"/>
      <c r="AE507" s="67"/>
      <c r="AH507" s="186"/>
      <c r="AK507" s="186"/>
    </row>
    <row r="508">
      <c r="A508" s="185"/>
      <c r="B508" s="67"/>
      <c r="C508" s="67"/>
      <c r="D508" s="67"/>
      <c r="E508" s="186"/>
      <c r="F508" s="186"/>
      <c r="G508" s="186"/>
      <c r="H508" s="186"/>
      <c r="I508" s="186"/>
      <c r="J508" s="186"/>
      <c r="K508" s="186"/>
      <c r="L508" s="186"/>
      <c r="M508" s="186"/>
      <c r="N508" s="186"/>
      <c r="O508" s="186"/>
      <c r="P508" s="186"/>
      <c r="Q508" s="186"/>
      <c r="R508" s="186"/>
      <c r="S508" s="67"/>
      <c r="T508" s="67"/>
      <c r="U508" s="67"/>
      <c r="V508" s="187"/>
      <c r="W508" s="186"/>
      <c r="X508" s="187"/>
      <c r="Y508" s="187"/>
      <c r="Z508" s="187"/>
      <c r="AA508" s="186"/>
      <c r="AB508" s="186"/>
      <c r="AC508" s="67"/>
      <c r="AD508" s="67"/>
      <c r="AE508" s="67"/>
      <c r="AH508" s="186"/>
      <c r="AK508" s="186"/>
    </row>
    <row r="509">
      <c r="A509" s="185"/>
      <c r="B509" s="67"/>
      <c r="C509" s="67"/>
      <c r="D509" s="67"/>
      <c r="E509" s="186"/>
      <c r="F509" s="186"/>
      <c r="G509" s="186"/>
      <c r="H509" s="186"/>
      <c r="I509" s="186"/>
      <c r="J509" s="186"/>
      <c r="K509" s="186"/>
      <c r="L509" s="186"/>
      <c r="M509" s="186"/>
      <c r="N509" s="186"/>
      <c r="O509" s="186"/>
      <c r="P509" s="186"/>
      <c r="Q509" s="186"/>
      <c r="R509" s="186"/>
      <c r="S509" s="67"/>
      <c r="T509" s="67"/>
      <c r="U509" s="67"/>
      <c r="V509" s="187"/>
      <c r="W509" s="186"/>
      <c r="X509" s="187"/>
      <c r="Y509" s="187"/>
      <c r="Z509" s="187"/>
      <c r="AA509" s="186"/>
      <c r="AB509" s="186"/>
      <c r="AC509" s="67"/>
      <c r="AD509" s="67"/>
      <c r="AE509" s="67"/>
      <c r="AH509" s="186"/>
      <c r="AK509" s="186"/>
    </row>
    <row r="510">
      <c r="A510" s="185"/>
      <c r="B510" s="67"/>
      <c r="C510" s="67"/>
      <c r="D510" s="67"/>
      <c r="E510" s="186"/>
      <c r="F510" s="186"/>
      <c r="G510" s="186"/>
      <c r="H510" s="186"/>
      <c r="I510" s="186"/>
      <c r="J510" s="186"/>
      <c r="K510" s="186"/>
      <c r="L510" s="186"/>
      <c r="M510" s="186"/>
      <c r="N510" s="186"/>
      <c r="O510" s="186"/>
      <c r="P510" s="186"/>
      <c r="Q510" s="186"/>
      <c r="R510" s="186"/>
      <c r="S510" s="67"/>
      <c r="T510" s="67"/>
      <c r="U510" s="67"/>
      <c r="V510" s="187"/>
      <c r="W510" s="186"/>
      <c r="X510" s="187"/>
      <c r="Y510" s="187"/>
      <c r="Z510" s="187"/>
      <c r="AA510" s="186"/>
      <c r="AB510" s="186"/>
      <c r="AC510" s="67"/>
      <c r="AD510" s="67"/>
      <c r="AE510" s="67"/>
      <c r="AH510" s="186"/>
      <c r="AK510" s="186"/>
    </row>
    <row r="511">
      <c r="A511" s="185"/>
      <c r="B511" s="67"/>
      <c r="C511" s="67"/>
      <c r="D511" s="67"/>
      <c r="E511" s="186"/>
      <c r="F511" s="186"/>
      <c r="G511" s="186"/>
      <c r="H511" s="186"/>
      <c r="I511" s="186"/>
      <c r="J511" s="186"/>
      <c r="K511" s="186"/>
      <c r="L511" s="186"/>
      <c r="M511" s="186"/>
      <c r="N511" s="186"/>
      <c r="O511" s="186"/>
      <c r="P511" s="186"/>
      <c r="Q511" s="186"/>
      <c r="R511" s="186"/>
      <c r="S511" s="67"/>
      <c r="T511" s="67"/>
      <c r="U511" s="67"/>
      <c r="V511" s="187"/>
      <c r="W511" s="186"/>
      <c r="X511" s="187"/>
      <c r="Y511" s="187"/>
      <c r="Z511" s="187"/>
      <c r="AA511" s="186"/>
      <c r="AB511" s="186"/>
      <c r="AC511" s="67"/>
      <c r="AD511" s="67"/>
      <c r="AE511" s="67"/>
      <c r="AH511" s="186"/>
      <c r="AK511" s="186"/>
    </row>
    <row r="512">
      <c r="A512" s="185"/>
      <c r="B512" s="67"/>
      <c r="C512" s="67"/>
      <c r="D512" s="67"/>
      <c r="E512" s="186"/>
      <c r="F512" s="186"/>
      <c r="G512" s="186"/>
      <c r="H512" s="186"/>
      <c r="I512" s="186"/>
      <c r="J512" s="186"/>
      <c r="K512" s="186"/>
      <c r="L512" s="186"/>
      <c r="M512" s="186"/>
      <c r="N512" s="186"/>
      <c r="O512" s="186"/>
      <c r="P512" s="186"/>
      <c r="Q512" s="186"/>
      <c r="R512" s="186"/>
      <c r="S512" s="67"/>
      <c r="T512" s="67"/>
      <c r="U512" s="67"/>
      <c r="V512" s="187"/>
      <c r="W512" s="186"/>
      <c r="X512" s="187"/>
      <c r="Y512" s="187"/>
      <c r="Z512" s="187"/>
      <c r="AA512" s="186"/>
      <c r="AB512" s="186"/>
      <c r="AC512" s="67"/>
      <c r="AD512" s="67"/>
      <c r="AE512" s="67"/>
      <c r="AH512" s="186"/>
      <c r="AK512" s="186"/>
    </row>
    <row r="513">
      <c r="A513" s="185"/>
      <c r="B513" s="67"/>
      <c r="C513" s="67"/>
      <c r="D513" s="67"/>
      <c r="E513" s="186"/>
      <c r="F513" s="186"/>
      <c r="G513" s="186"/>
      <c r="H513" s="186"/>
      <c r="I513" s="186"/>
      <c r="J513" s="186"/>
      <c r="K513" s="186"/>
      <c r="L513" s="186"/>
      <c r="M513" s="186"/>
      <c r="N513" s="186"/>
      <c r="O513" s="186"/>
      <c r="P513" s="186"/>
      <c r="Q513" s="186"/>
      <c r="R513" s="186"/>
      <c r="S513" s="67"/>
      <c r="T513" s="67"/>
      <c r="U513" s="67"/>
      <c r="V513" s="187"/>
      <c r="W513" s="186"/>
      <c r="X513" s="187"/>
      <c r="Y513" s="187"/>
      <c r="Z513" s="187"/>
      <c r="AA513" s="186"/>
      <c r="AB513" s="186"/>
      <c r="AC513" s="67"/>
      <c r="AD513" s="67"/>
      <c r="AE513" s="67"/>
      <c r="AH513" s="186"/>
      <c r="AK513" s="186"/>
    </row>
    <row r="514">
      <c r="A514" s="185"/>
      <c r="B514" s="67"/>
      <c r="C514" s="67"/>
      <c r="D514" s="67"/>
      <c r="E514" s="186"/>
      <c r="F514" s="186"/>
      <c r="G514" s="186"/>
      <c r="H514" s="186"/>
      <c r="I514" s="186"/>
      <c r="J514" s="186"/>
      <c r="K514" s="186"/>
      <c r="L514" s="186"/>
      <c r="M514" s="186"/>
      <c r="N514" s="186"/>
      <c r="O514" s="186"/>
      <c r="P514" s="186"/>
      <c r="Q514" s="186"/>
      <c r="R514" s="186"/>
      <c r="S514" s="67"/>
      <c r="T514" s="67"/>
      <c r="U514" s="67"/>
      <c r="V514" s="187"/>
      <c r="W514" s="186"/>
      <c r="X514" s="187"/>
      <c r="Y514" s="187"/>
      <c r="Z514" s="187"/>
      <c r="AA514" s="186"/>
      <c r="AB514" s="186"/>
      <c r="AC514" s="67"/>
      <c r="AD514" s="67"/>
      <c r="AE514" s="67"/>
      <c r="AH514" s="186"/>
      <c r="AK514" s="186"/>
    </row>
    <row r="515">
      <c r="A515" s="185"/>
      <c r="B515" s="67"/>
      <c r="C515" s="67"/>
      <c r="D515" s="67"/>
      <c r="E515" s="186"/>
      <c r="F515" s="186"/>
      <c r="G515" s="186"/>
      <c r="H515" s="186"/>
      <c r="I515" s="186"/>
      <c r="J515" s="186"/>
      <c r="K515" s="186"/>
      <c r="L515" s="186"/>
      <c r="M515" s="186"/>
      <c r="N515" s="186"/>
      <c r="O515" s="186"/>
      <c r="P515" s="186"/>
      <c r="Q515" s="186"/>
      <c r="R515" s="186"/>
      <c r="S515" s="67"/>
      <c r="T515" s="67"/>
      <c r="U515" s="67"/>
      <c r="V515" s="187"/>
      <c r="W515" s="186"/>
      <c r="X515" s="187"/>
      <c r="Y515" s="187"/>
      <c r="Z515" s="187"/>
      <c r="AA515" s="186"/>
      <c r="AB515" s="186"/>
      <c r="AC515" s="67"/>
      <c r="AD515" s="67"/>
      <c r="AE515" s="67"/>
      <c r="AH515" s="186"/>
      <c r="AK515" s="186"/>
    </row>
    <row r="516">
      <c r="A516" s="185"/>
      <c r="B516" s="67"/>
      <c r="C516" s="67"/>
      <c r="D516" s="67"/>
      <c r="E516" s="186"/>
      <c r="F516" s="186"/>
      <c r="G516" s="186"/>
      <c r="H516" s="186"/>
      <c r="I516" s="186"/>
      <c r="J516" s="186"/>
      <c r="K516" s="186"/>
      <c r="L516" s="186"/>
      <c r="M516" s="186"/>
      <c r="N516" s="186"/>
      <c r="O516" s="186"/>
      <c r="P516" s="186"/>
      <c r="Q516" s="186"/>
      <c r="R516" s="186"/>
      <c r="S516" s="67"/>
      <c r="T516" s="67"/>
      <c r="U516" s="67"/>
      <c r="V516" s="187"/>
      <c r="W516" s="186"/>
      <c r="X516" s="187"/>
      <c r="Y516" s="187"/>
      <c r="Z516" s="187"/>
      <c r="AA516" s="186"/>
      <c r="AB516" s="186"/>
      <c r="AC516" s="67"/>
      <c r="AD516" s="67"/>
      <c r="AE516" s="67"/>
      <c r="AH516" s="186"/>
      <c r="AK516" s="186"/>
    </row>
    <row r="517">
      <c r="A517" s="185"/>
      <c r="B517" s="67"/>
      <c r="C517" s="67"/>
      <c r="D517" s="67"/>
      <c r="E517" s="186"/>
      <c r="F517" s="186"/>
      <c r="G517" s="186"/>
      <c r="H517" s="186"/>
      <c r="I517" s="186"/>
      <c r="J517" s="186"/>
      <c r="K517" s="186"/>
      <c r="L517" s="186"/>
      <c r="M517" s="186"/>
      <c r="N517" s="186"/>
      <c r="O517" s="186"/>
      <c r="P517" s="186"/>
      <c r="Q517" s="186"/>
      <c r="R517" s="186"/>
      <c r="S517" s="67"/>
      <c r="T517" s="67"/>
      <c r="U517" s="67"/>
      <c r="V517" s="187"/>
      <c r="W517" s="186"/>
      <c r="X517" s="187"/>
      <c r="Y517" s="187"/>
      <c r="Z517" s="187"/>
      <c r="AA517" s="186"/>
      <c r="AB517" s="186"/>
      <c r="AC517" s="67"/>
      <c r="AD517" s="67"/>
      <c r="AE517" s="67"/>
      <c r="AH517" s="186"/>
      <c r="AK517" s="186"/>
    </row>
    <row r="518">
      <c r="A518" s="185"/>
      <c r="B518" s="67"/>
      <c r="C518" s="67"/>
      <c r="D518" s="67"/>
      <c r="E518" s="186"/>
      <c r="F518" s="186"/>
      <c r="G518" s="186"/>
      <c r="H518" s="186"/>
      <c r="I518" s="186"/>
      <c r="J518" s="186"/>
      <c r="K518" s="186"/>
      <c r="L518" s="186"/>
      <c r="M518" s="186"/>
      <c r="N518" s="186"/>
      <c r="O518" s="186"/>
      <c r="P518" s="186"/>
      <c r="Q518" s="186"/>
      <c r="R518" s="186"/>
      <c r="S518" s="67"/>
      <c r="T518" s="67"/>
      <c r="U518" s="67"/>
      <c r="V518" s="187"/>
      <c r="W518" s="186"/>
      <c r="X518" s="187"/>
      <c r="Y518" s="187"/>
      <c r="Z518" s="187"/>
      <c r="AA518" s="186"/>
      <c r="AB518" s="186"/>
      <c r="AC518" s="67"/>
      <c r="AD518" s="67"/>
      <c r="AE518" s="67"/>
      <c r="AH518" s="186"/>
      <c r="AK518" s="186"/>
    </row>
    <row r="519">
      <c r="A519" s="185"/>
      <c r="B519" s="67"/>
      <c r="C519" s="67"/>
      <c r="D519" s="67"/>
      <c r="E519" s="186"/>
      <c r="F519" s="186"/>
      <c r="G519" s="186"/>
      <c r="H519" s="186"/>
      <c r="I519" s="186"/>
      <c r="J519" s="186"/>
      <c r="K519" s="186"/>
      <c r="L519" s="186"/>
      <c r="M519" s="186"/>
      <c r="N519" s="186"/>
      <c r="O519" s="186"/>
      <c r="P519" s="186"/>
      <c r="Q519" s="186"/>
      <c r="R519" s="186"/>
      <c r="S519" s="67"/>
      <c r="T519" s="67"/>
      <c r="U519" s="67"/>
      <c r="V519" s="187"/>
      <c r="W519" s="186"/>
      <c r="X519" s="187"/>
      <c r="Y519" s="187"/>
      <c r="Z519" s="187"/>
      <c r="AA519" s="186"/>
      <c r="AB519" s="186"/>
      <c r="AC519" s="67"/>
      <c r="AD519" s="67"/>
      <c r="AE519" s="67"/>
      <c r="AH519" s="186"/>
      <c r="AK519" s="186"/>
    </row>
    <row r="520">
      <c r="A520" s="185"/>
      <c r="B520" s="67"/>
      <c r="C520" s="67"/>
      <c r="D520" s="67"/>
      <c r="E520" s="186"/>
      <c r="F520" s="186"/>
      <c r="G520" s="186"/>
      <c r="H520" s="186"/>
      <c r="I520" s="186"/>
      <c r="J520" s="186"/>
      <c r="K520" s="186"/>
      <c r="L520" s="186"/>
      <c r="M520" s="186"/>
      <c r="N520" s="186"/>
      <c r="O520" s="186"/>
      <c r="P520" s="186"/>
      <c r="Q520" s="186"/>
      <c r="R520" s="186"/>
      <c r="S520" s="67"/>
      <c r="T520" s="67"/>
      <c r="U520" s="67"/>
      <c r="V520" s="187"/>
      <c r="W520" s="186"/>
      <c r="X520" s="187"/>
      <c r="Y520" s="187"/>
      <c r="Z520" s="187"/>
      <c r="AA520" s="186"/>
      <c r="AB520" s="186"/>
      <c r="AC520" s="67"/>
      <c r="AD520" s="67"/>
      <c r="AE520" s="67"/>
      <c r="AH520" s="186"/>
      <c r="AK520" s="186"/>
    </row>
    <row r="521">
      <c r="A521" s="185"/>
      <c r="B521" s="67"/>
      <c r="C521" s="67"/>
      <c r="D521" s="67"/>
      <c r="E521" s="186"/>
      <c r="F521" s="186"/>
      <c r="G521" s="186"/>
      <c r="H521" s="186"/>
      <c r="I521" s="186"/>
      <c r="J521" s="186"/>
      <c r="K521" s="186"/>
      <c r="L521" s="186"/>
      <c r="M521" s="186"/>
      <c r="N521" s="186"/>
      <c r="O521" s="186"/>
      <c r="P521" s="186"/>
      <c r="Q521" s="186"/>
      <c r="R521" s="186"/>
      <c r="S521" s="67"/>
      <c r="T521" s="67"/>
      <c r="U521" s="67"/>
      <c r="V521" s="187"/>
      <c r="W521" s="186"/>
      <c r="X521" s="187"/>
      <c r="Y521" s="187"/>
      <c r="Z521" s="187"/>
      <c r="AA521" s="186"/>
      <c r="AB521" s="186"/>
      <c r="AC521" s="67"/>
      <c r="AD521" s="67"/>
      <c r="AE521" s="67"/>
      <c r="AH521" s="186"/>
      <c r="AK521" s="186"/>
    </row>
    <row r="522">
      <c r="A522" s="185"/>
      <c r="B522" s="67"/>
      <c r="C522" s="67"/>
      <c r="D522" s="67"/>
      <c r="E522" s="186"/>
      <c r="F522" s="186"/>
      <c r="G522" s="186"/>
      <c r="H522" s="186"/>
      <c r="I522" s="186"/>
      <c r="J522" s="186"/>
      <c r="K522" s="186"/>
      <c r="L522" s="186"/>
      <c r="M522" s="186"/>
      <c r="N522" s="186"/>
      <c r="O522" s="186"/>
      <c r="P522" s="186"/>
      <c r="Q522" s="186"/>
      <c r="R522" s="186"/>
      <c r="S522" s="67"/>
      <c r="T522" s="67"/>
      <c r="U522" s="67"/>
      <c r="V522" s="187"/>
      <c r="W522" s="186"/>
      <c r="X522" s="187"/>
      <c r="Y522" s="187"/>
      <c r="Z522" s="187"/>
      <c r="AA522" s="186"/>
      <c r="AB522" s="186"/>
      <c r="AC522" s="67"/>
      <c r="AD522" s="67"/>
      <c r="AE522" s="67"/>
      <c r="AH522" s="186"/>
      <c r="AK522" s="186"/>
    </row>
    <row r="523">
      <c r="A523" s="185"/>
      <c r="B523" s="67"/>
      <c r="C523" s="67"/>
      <c r="D523" s="67"/>
      <c r="E523" s="186"/>
      <c r="F523" s="186"/>
      <c r="G523" s="186"/>
      <c r="H523" s="186"/>
      <c r="I523" s="186"/>
      <c r="J523" s="186"/>
      <c r="K523" s="186"/>
      <c r="L523" s="186"/>
      <c r="M523" s="186"/>
      <c r="N523" s="186"/>
      <c r="O523" s="186"/>
      <c r="P523" s="186"/>
      <c r="Q523" s="186"/>
      <c r="R523" s="186"/>
      <c r="S523" s="67"/>
      <c r="T523" s="67"/>
      <c r="U523" s="67"/>
      <c r="V523" s="187"/>
      <c r="W523" s="186"/>
      <c r="X523" s="187"/>
      <c r="Y523" s="187"/>
      <c r="Z523" s="187"/>
      <c r="AA523" s="186"/>
      <c r="AB523" s="186"/>
      <c r="AC523" s="67"/>
      <c r="AD523" s="67"/>
      <c r="AE523" s="67"/>
      <c r="AH523" s="186"/>
      <c r="AK523" s="186"/>
    </row>
    <row r="524">
      <c r="A524" s="185"/>
      <c r="B524" s="67"/>
      <c r="C524" s="67"/>
      <c r="D524" s="67"/>
      <c r="E524" s="186"/>
      <c r="F524" s="186"/>
      <c r="G524" s="186"/>
      <c r="H524" s="186"/>
      <c r="I524" s="186"/>
      <c r="J524" s="186"/>
      <c r="K524" s="186"/>
      <c r="L524" s="186"/>
      <c r="M524" s="186"/>
      <c r="N524" s="186"/>
      <c r="O524" s="186"/>
      <c r="P524" s="186"/>
      <c r="Q524" s="186"/>
      <c r="R524" s="186"/>
      <c r="S524" s="67"/>
      <c r="T524" s="67"/>
      <c r="U524" s="67"/>
      <c r="V524" s="187"/>
      <c r="W524" s="186"/>
      <c r="X524" s="187"/>
      <c r="Y524" s="187"/>
      <c r="Z524" s="187"/>
      <c r="AA524" s="186"/>
      <c r="AB524" s="186"/>
      <c r="AC524" s="67"/>
      <c r="AD524" s="67"/>
      <c r="AE524" s="67"/>
      <c r="AH524" s="186"/>
      <c r="AK524" s="186"/>
    </row>
    <row r="525">
      <c r="A525" s="185"/>
      <c r="B525" s="67"/>
      <c r="C525" s="67"/>
      <c r="D525" s="67"/>
      <c r="E525" s="186"/>
      <c r="F525" s="186"/>
      <c r="G525" s="186"/>
      <c r="H525" s="186"/>
      <c r="I525" s="186"/>
      <c r="J525" s="186"/>
      <c r="K525" s="186"/>
      <c r="L525" s="186"/>
      <c r="M525" s="186"/>
      <c r="N525" s="186"/>
      <c r="O525" s="186"/>
      <c r="P525" s="186"/>
      <c r="Q525" s="186"/>
      <c r="R525" s="186"/>
      <c r="S525" s="67"/>
      <c r="T525" s="67"/>
      <c r="U525" s="67"/>
      <c r="V525" s="187"/>
      <c r="W525" s="186"/>
      <c r="X525" s="187"/>
      <c r="Y525" s="187"/>
      <c r="Z525" s="187"/>
      <c r="AA525" s="186"/>
      <c r="AB525" s="186"/>
      <c r="AC525" s="67"/>
      <c r="AD525" s="67"/>
      <c r="AE525" s="67"/>
      <c r="AH525" s="186"/>
      <c r="AK525" s="186"/>
    </row>
    <row r="526">
      <c r="A526" s="185"/>
      <c r="B526" s="67"/>
      <c r="C526" s="67"/>
      <c r="D526" s="67"/>
      <c r="E526" s="186"/>
      <c r="F526" s="186"/>
      <c r="G526" s="186"/>
      <c r="H526" s="186"/>
      <c r="I526" s="186"/>
      <c r="J526" s="186"/>
      <c r="K526" s="186"/>
      <c r="L526" s="186"/>
      <c r="M526" s="186"/>
      <c r="N526" s="186"/>
      <c r="O526" s="186"/>
      <c r="P526" s="186"/>
      <c r="Q526" s="186"/>
      <c r="R526" s="186"/>
      <c r="S526" s="67"/>
      <c r="T526" s="67"/>
      <c r="U526" s="67"/>
      <c r="V526" s="187"/>
      <c r="W526" s="186"/>
      <c r="X526" s="187"/>
      <c r="Y526" s="187"/>
      <c r="Z526" s="187"/>
      <c r="AA526" s="186"/>
      <c r="AB526" s="186"/>
      <c r="AC526" s="67"/>
      <c r="AD526" s="67"/>
      <c r="AE526" s="67"/>
      <c r="AH526" s="186"/>
      <c r="AK526" s="186"/>
    </row>
    <row r="527">
      <c r="A527" s="185"/>
      <c r="B527" s="67"/>
      <c r="C527" s="67"/>
      <c r="D527" s="67"/>
      <c r="E527" s="186"/>
      <c r="F527" s="186"/>
      <c r="G527" s="186"/>
      <c r="H527" s="186"/>
      <c r="I527" s="186"/>
      <c r="J527" s="186"/>
      <c r="K527" s="186"/>
      <c r="L527" s="186"/>
      <c r="M527" s="186"/>
      <c r="N527" s="186"/>
      <c r="O527" s="186"/>
      <c r="P527" s="186"/>
      <c r="Q527" s="186"/>
      <c r="R527" s="186"/>
      <c r="S527" s="67"/>
      <c r="T527" s="67"/>
      <c r="U527" s="67"/>
      <c r="V527" s="187"/>
      <c r="W527" s="186"/>
      <c r="X527" s="187"/>
      <c r="Y527" s="187"/>
      <c r="Z527" s="187"/>
      <c r="AA527" s="186"/>
      <c r="AB527" s="186"/>
      <c r="AC527" s="67"/>
      <c r="AD527" s="67"/>
      <c r="AE527" s="67"/>
      <c r="AH527" s="186"/>
      <c r="AK527" s="186"/>
    </row>
    <row r="528">
      <c r="A528" s="185"/>
      <c r="B528" s="67"/>
      <c r="C528" s="67"/>
      <c r="D528" s="67"/>
      <c r="E528" s="186"/>
      <c r="F528" s="186"/>
      <c r="G528" s="186"/>
      <c r="H528" s="186"/>
      <c r="I528" s="186"/>
      <c r="J528" s="186"/>
      <c r="K528" s="186"/>
      <c r="L528" s="186"/>
      <c r="M528" s="186"/>
      <c r="N528" s="186"/>
      <c r="O528" s="186"/>
      <c r="P528" s="186"/>
      <c r="Q528" s="186"/>
      <c r="R528" s="186"/>
      <c r="S528" s="67"/>
      <c r="T528" s="67"/>
      <c r="U528" s="67"/>
      <c r="V528" s="187"/>
      <c r="W528" s="186"/>
      <c r="X528" s="187"/>
      <c r="Y528" s="187"/>
      <c r="Z528" s="187"/>
      <c r="AA528" s="186"/>
      <c r="AB528" s="186"/>
      <c r="AC528" s="67"/>
      <c r="AD528" s="67"/>
      <c r="AE528" s="67"/>
      <c r="AH528" s="186"/>
      <c r="AK528" s="186"/>
    </row>
    <row r="529">
      <c r="A529" s="185"/>
      <c r="B529" s="67"/>
      <c r="C529" s="67"/>
      <c r="D529" s="67"/>
      <c r="E529" s="186"/>
      <c r="F529" s="186"/>
      <c r="G529" s="186"/>
      <c r="H529" s="186"/>
      <c r="I529" s="186"/>
      <c r="J529" s="186"/>
      <c r="K529" s="186"/>
      <c r="L529" s="186"/>
      <c r="M529" s="186"/>
      <c r="N529" s="186"/>
      <c r="O529" s="186"/>
      <c r="P529" s="186"/>
      <c r="Q529" s="186"/>
      <c r="R529" s="186"/>
      <c r="S529" s="67"/>
      <c r="T529" s="67"/>
      <c r="U529" s="67"/>
      <c r="V529" s="187"/>
      <c r="W529" s="186"/>
      <c r="X529" s="187"/>
      <c r="Y529" s="187"/>
      <c r="Z529" s="187"/>
      <c r="AA529" s="186"/>
      <c r="AB529" s="186"/>
      <c r="AC529" s="67"/>
      <c r="AD529" s="67"/>
      <c r="AE529" s="67"/>
      <c r="AH529" s="186"/>
      <c r="AK529" s="186"/>
    </row>
    <row r="530">
      <c r="A530" s="185"/>
      <c r="B530" s="67"/>
      <c r="C530" s="67"/>
      <c r="D530" s="67"/>
      <c r="E530" s="186"/>
      <c r="F530" s="186"/>
      <c r="G530" s="186"/>
      <c r="H530" s="186"/>
      <c r="I530" s="186"/>
      <c r="J530" s="186"/>
      <c r="K530" s="186"/>
      <c r="L530" s="186"/>
      <c r="M530" s="186"/>
      <c r="N530" s="186"/>
      <c r="O530" s="186"/>
      <c r="P530" s="186"/>
      <c r="Q530" s="186"/>
      <c r="R530" s="186"/>
      <c r="S530" s="67"/>
      <c r="T530" s="67"/>
      <c r="U530" s="67"/>
      <c r="V530" s="187"/>
      <c r="W530" s="186"/>
      <c r="X530" s="187"/>
      <c r="Y530" s="187"/>
      <c r="Z530" s="187"/>
      <c r="AA530" s="186"/>
      <c r="AB530" s="186"/>
      <c r="AC530" s="67"/>
      <c r="AD530" s="67"/>
      <c r="AE530" s="67"/>
      <c r="AH530" s="186"/>
      <c r="AK530" s="186"/>
    </row>
    <row r="531">
      <c r="A531" s="185"/>
      <c r="B531" s="67"/>
      <c r="C531" s="67"/>
      <c r="D531" s="67"/>
      <c r="E531" s="186"/>
      <c r="F531" s="186"/>
      <c r="G531" s="186"/>
      <c r="H531" s="186"/>
      <c r="I531" s="186"/>
      <c r="J531" s="186"/>
      <c r="K531" s="186"/>
      <c r="L531" s="186"/>
      <c r="M531" s="186"/>
      <c r="N531" s="186"/>
      <c r="O531" s="186"/>
      <c r="P531" s="186"/>
      <c r="Q531" s="186"/>
      <c r="R531" s="186"/>
      <c r="S531" s="67"/>
      <c r="T531" s="67"/>
      <c r="U531" s="67"/>
      <c r="V531" s="187"/>
      <c r="W531" s="186"/>
      <c r="X531" s="187"/>
      <c r="Y531" s="187"/>
      <c r="Z531" s="187"/>
      <c r="AA531" s="186"/>
      <c r="AB531" s="186"/>
      <c r="AC531" s="67"/>
      <c r="AD531" s="67"/>
      <c r="AE531" s="67"/>
      <c r="AH531" s="186"/>
      <c r="AK531" s="186"/>
    </row>
    <row r="532">
      <c r="A532" s="185"/>
      <c r="B532" s="67"/>
      <c r="C532" s="67"/>
      <c r="D532" s="67"/>
      <c r="E532" s="186"/>
      <c r="F532" s="186"/>
      <c r="G532" s="186"/>
      <c r="H532" s="186"/>
      <c r="I532" s="186"/>
      <c r="J532" s="186"/>
      <c r="K532" s="186"/>
      <c r="L532" s="186"/>
      <c r="M532" s="186"/>
      <c r="N532" s="186"/>
      <c r="O532" s="186"/>
      <c r="P532" s="186"/>
      <c r="Q532" s="186"/>
      <c r="R532" s="186"/>
      <c r="S532" s="67"/>
      <c r="T532" s="67"/>
      <c r="U532" s="67"/>
      <c r="V532" s="187"/>
      <c r="W532" s="186"/>
      <c r="X532" s="187"/>
      <c r="Y532" s="187"/>
      <c r="Z532" s="187"/>
      <c r="AA532" s="186"/>
      <c r="AB532" s="186"/>
      <c r="AC532" s="67"/>
      <c r="AD532" s="67"/>
      <c r="AE532" s="67"/>
      <c r="AH532" s="186"/>
      <c r="AK532" s="186"/>
    </row>
    <row r="533">
      <c r="A533" s="185"/>
      <c r="B533" s="67"/>
      <c r="C533" s="67"/>
      <c r="D533" s="67"/>
      <c r="E533" s="186"/>
      <c r="F533" s="186"/>
      <c r="G533" s="186"/>
      <c r="H533" s="186"/>
      <c r="I533" s="186"/>
      <c r="J533" s="186"/>
      <c r="K533" s="186"/>
      <c r="L533" s="186"/>
      <c r="M533" s="186"/>
      <c r="N533" s="186"/>
      <c r="O533" s="186"/>
      <c r="P533" s="186"/>
      <c r="Q533" s="186"/>
      <c r="R533" s="186"/>
      <c r="S533" s="67"/>
      <c r="T533" s="67"/>
      <c r="U533" s="67"/>
      <c r="V533" s="187"/>
      <c r="W533" s="186"/>
      <c r="X533" s="187"/>
      <c r="Y533" s="187"/>
      <c r="Z533" s="187"/>
      <c r="AA533" s="186"/>
      <c r="AB533" s="186"/>
      <c r="AC533" s="67"/>
      <c r="AD533" s="67"/>
      <c r="AE533" s="67"/>
      <c r="AH533" s="186"/>
      <c r="AK533" s="186"/>
    </row>
    <row r="534">
      <c r="A534" s="185"/>
      <c r="B534" s="67"/>
      <c r="C534" s="67"/>
      <c r="D534" s="67"/>
      <c r="E534" s="186"/>
      <c r="F534" s="186"/>
      <c r="G534" s="186"/>
      <c r="H534" s="186"/>
      <c r="I534" s="186"/>
      <c r="J534" s="186"/>
      <c r="K534" s="186"/>
      <c r="L534" s="186"/>
      <c r="M534" s="186"/>
      <c r="N534" s="186"/>
      <c r="O534" s="186"/>
      <c r="P534" s="186"/>
      <c r="Q534" s="186"/>
      <c r="R534" s="186"/>
      <c r="S534" s="67"/>
      <c r="T534" s="67"/>
      <c r="U534" s="67"/>
      <c r="V534" s="187"/>
      <c r="W534" s="186"/>
      <c r="X534" s="187"/>
      <c r="Y534" s="187"/>
      <c r="Z534" s="187"/>
      <c r="AA534" s="186"/>
      <c r="AB534" s="186"/>
      <c r="AC534" s="67"/>
      <c r="AD534" s="67"/>
      <c r="AE534" s="67"/>
      <c r="AH534" s="186"/>
      <c r="AK534" s="186"/>
    </row>
    <row r="535">
      <c r="A535" s="185"/>
      <c r="B535" s="67"/>
      <c r="C535" s="67"/>
      <c r="D535" s="67"/>
      <c r="E535" s="186"/>
      <c r="F535" s="186"/>
      <c r="G535" s="186"/>
      <c r="H535" s="186"/>
      <c r="I535" s="186"/>
      <c r="J535" s="186"/>
      <c r="K535" s="186"/>
      <c r="L535" s="186"/>
      <c r="M535" s="186"/>
      <c r="N535" s="186"/>
      <c r="O535" s="186"/>
      <c r="P535" s="186"/>
      <c r="Q535" s="186"/>
      <c r="R535" s="186"/>
      <c r="S535" s="67"/>
      <c r="T535" s="67"/>
      <c r="U535" s="67"/>
      <c r="V535" s="187"/>
      <c r="W535" s="186"/>
      <c r="X535" s="187"/>
      <c r="Y535" s="187"/>
      <c r="Z535" s="187"/>
      <c r="AA535" s="186"/>
      <c r="AB535" s="186"/>
      <c r="AC535" s="67"/>
      <c r="AD535" s="67"/>
      <c r="AE535" s="67"/>
      <c r="AH535" s="186"/>
      <c r="AK535" s="186"/>
    </row>
    <row r="536">
      <c r="A536" s="185"/>
      <c r="B536" s="67"/>
      <c r="C536" s="67"/>
      <c r="D536" s="67"/>
      <c r="E536" s="186"/>
      <c r="F536" s="186"/>
      <c r="G536" s="186"/>
      <c r="H536" s="186"/>
      <c r="I536" s="186"/>
      <c r="J536" s="186"/>
      <c r="K536" s="186"/>
      <c r="L536" s="186"/>
      <c r="M536" s="186"/>
      <c r="N536" s="186"/>
      <c r="O536" s="186"/>
      <c r="P536" s="186"/>
      <c r="Q536" s="186"/>
      <c r="R536" s="186"/>
      <c r="S536" s="67"/>
      <c r="T536" s="67"/>
      <c r="U536" s="67"/>
      <c r="V536" s="187"/>
      <c r="W536" s="186"/>
      <c r="X536" s="187"/>
      <c r="Y536" s="187"/>
      <c r="Z536" s="187"/>
      <c r="AA536" s="186"/>
      <c r="AB536" s="186"/>
      <c r="AC536" s="67"/>
      <c r="AD536" s="67"/>
      <c r="AE536" s="67"/>
      <c r="AH536" s="186"/>
      <c r="AK536" s="186"/>
    </row>
    <row r="537">
      <c r="A537" s="185"/>
      <c r="B537" s="67"/>
      <c r="C537" s="67"/>
      <c r="D537" s="67"/>
      <c r="E537" s="186"/>
      <c r="F537" s="186"/>
      <c r="G537" s="186"/>
      <c r="H537" s="186"/>
      <c r="I537" s="186"/>
      <c r="J537" s="186"/>
      <c r="K537" s="186"/>
      <c r="L537" s="186"/>
      <c r="M537" s="186"/>
      <c r="N537" s="186"/>
      <c r="O537" s="186"/>
      <c r="P537" s="186"/>
      <c r="Q537" s="186"/>
      <c r="R537" s="186"/>
      <c r="S537" s="67"/>
      <c r="T537" s="67"/>
      <c r="U537" s="67"/>
      <c r="V537" s="187"/>
      <c r="W537" s="186"/>
      <c r="X537" s="187"/>
      <c r="Y537" s="187"/>
      <c r="Z537" s="187"/>
      <c r="AA537" s="186"/>
      <c r="AB537" s="186"/>
      <c r="AC537" s="67"/>
      <c r="AD537" s="67"/>
      <c r="AE537" s="67"/>
      <c r="AH537" s="186"/>
      <c r="AK537" s="186"/>
    </row>
    <row r="538">
      <c r="A538" s="185"/>
      <c r="B538" s="67"/>
      <c r="C538" s="67"/>
      <c r="D538" s="67"/>
      <c r="E538" s="186"/>
      <c r="F538" s="186"/>
      <c r="G538" s="186"/>
      <c r="H538" s="186"/>
      <c r="I538" s="186"/>
      <c r="J538" s="186"/>
      <c r="K538" s="186"/>
      <c r="L538" s="186"/>
      <c r="M538" s="186"/>
      <c r="N538" s="186"/>
      <c r="O538" s="186"/>
      <c r="P538" s="186"/>
      <c r="Q538" s="186"/>
      <c r="R538" s="186"/>
      <c r="S538" s="67"/>
      <c r="T538" s="67"/>
      <c r="U538" s="67"/>
      <c r="V538" s="187"/>
      <c r="W538" s="186"/>
      <c r="X538" s="187"/>
      <c r="Y538" s="187"/>
      <c r="Z538" s="187"/>
      <c r="AA538" s="186"/>
      <c r="AB538" s="186"/>
      <c r="AC538" s="67"/>
      <c r="AD538" s="67"/>
      <c r="AE538" s="67"/>
      <c r="AH538" s="186"/>
      <c r="AK538" s="186"/>
    </row>
    <row r="539">
      <c r="A539" s="185"/>
      <c r="B539" s="67"/>
      <c r="C539" s="67"/>
      <c r="D539" s="67"/>
      <c r="E539" s="186"/>
      <c r="F539" s="186"/>
      <c r="G539" s="186"/>
      <c r="H539" s="186"/>
      <c r="I539" s="186"/>
      <c r="J539" s="186"/>
      <c r="K539" s="186"/>
      <c r="L539" s="186"/>
      <c r="M539" s="186"/>
      <c r="N539" s="186"/>
      <c r="O539" s="186"/>
      <c r="P539" s="186"/>
      <c r="Q539" s="186"/>
      <c r="R539" s="186"/>
      <c r="S539" s="67"/>
      <c r="T539" s="67"/>
      <c r="U539" s="67"/>
      <c r="V539" s="187"/>
      <c r="W539" s="186"/>
      <c r="X539" s="187"/>
      <c r="Y539" s="187"/>
      <c r="Z539" s="187"/>
      <c r="AA539" s="186"/>
      <c r="AB539" s="186"/>
      <c r="AC539" s="67"/>
      <c r="AD539" s="67"/>
      <c r="AE539" s="67"/>
      <c r="AH539" s="186"/>
      <c r="AK539" s="186"/>
    </row>
    <row r="540">
      <c r="A540" s="185"/>
      <c r="B540" s="67"/>
      <c r="C540" s="67"/>
      <c r="D540" s="67"/>
      <c r="E540" s="186"/>
      <c r="F540" s="186"/>
      <c r="G540" s="186"/>
      <c r="H540" s="186"/>
      <c r="I540" s="186"/>
      <c r="J540" s="186"/>
      <c r="K540" s="186"/>
      <c r="L540" s="186"/>
      <c r="M540" s="186"/>
      <c r="N540" s="186"/>
      <c r="O540" s="186"/>
      <c r="P540" s="186"/>
      <c r="Q540" s="186"/>
      <c r="R540" s="186"/>
      <c r="S540" s="67"/>
      <c r="T540" s="67"/>
      <c r="U540" s="67"/>
      <c r="V540" s="187"/>
      <c r="W540" s="186"/>
      <c r="X540" s="187"/>
      <c r="Y540" s="187"/>
      <c r="Z540" s="187"/>
      <c r="AA540" s="186"/>
      <c r="AB540" s="186"/>
      <c r="AC540" s="67"/>
      <c r="AD540" s="67"/>
      <c r="AE540" s="67"/>
      <c r="AH540" s="186"/>
      <c r="AK540" s="186"/>
    </row>
    <row r="541">
      <c r="A541" s="185"/>
      <c r="B541" s="67"/>
      <c r="C541" s="67"/>
      <c r="D541" s="67"/>
      <c r="E541" s="186"/>
      <c r="F541" s="186"/>
      <c r="G541" s="186"/>
      <c r="H541" s="186"/>
      <c r="I541" s="186"/>
      <c r="J541" s="186"/>
      <c r="K541" s="186"/>
      <c r="L541" s="186"/>
      <c r="M541" s="186"/>
      <c r="N541" s="186"/>
      <c r="O541" s="186"/>
      <c r="P541" s="186"/>
      <c r="Q541" s="186"/>
      <c r="R541" s="186"/>
      <c r="S541" s="67"/>
      <c r="T541" s="67"/>
      <c r="U541" s="67"/>
      <c r="V541" s="187"/>
      <c r="W541" s="186"/>
      <c r="X541" s="187"/>
      <c r="Y541" s="187"/>
      <c r="Z541" s="187"/>
      <c r="AA541" s="186"/>
      <c r="AB541" s="186"/>
      <c r="AC541" s="67"/>
      <c r="AD541" s="67"/>
      <c r="AE541" s="67"/>
      <c r="AH541" s="186"/>
      <c r="AK541" s="186"/>
    </row>
    <row r="542">
      <c r="A542" s="185"/>
      <c r="B542" s="67"/>
      <c r="C542" s="67"/>
      <c r="D542" s="67"/>
      <c r="E542" s="186"/>
      <c r="F542" s="186"/>
      <c r="G542" s="186"/>
      <c r="H542" s="186"/>
      <c r="I542" s="186"/>
      <c r="J542" s="186"/>
      <c r="K542" s="186"/>
      <c r="L542" s="186"/>
      <c r="M542" s="186"/>
      <c r="N542" s="186"/>
      <c r="O542" s="186"/>
      <c r="P542" s="186"/>
      <c r="Q542" s="186"/>
      <c r="R542" s="186"/>
      <c r="S542" s="67"/>
      <c r="T542" s="67"/>
      <c r="U542" s="67"/>
      <c r="V542" s="187"/>
      <c r="W542" s="186"/>
      <c r="X542" s="187"/>
      <c r="Y542" s="187"/>
      <c r="Z542" s="187"/>
      <c r="AA542" s="186"/>
      <c r="AB542" s="186"/>
      <c r="AC542" s="67"/>
      <c r="AD542" s="67"/>
      <c r="AE542" s="67"/>
      <c r="AH542" s="186"/>
      <c r="AK542" s="186"/>
    </row>
    <row r="543">
      <c r="A543" s="185"/>
      <c r="B543" s="67"/>
      <c r="C543" s="67"/>
      <c r="D543" s="67"/>
      <c r="E543" s="186"/>
      <c r="F543" s="186"/>
      <c r="G543" s="186"/>
      <c r="H543" s="186"/>
      <c r="I543" s="186"/>
      <c r="J543" s="186"/>
      <c r="K543" s="186"/>
      <c r="L543" s="186"/>
      <c r="M543" s="186"/>
      <c r="N543" s="186"/>
      <c r="O543" s="186"/>
      <c r="P543" s="186"/>
      <c r="Q543" s="186"/>
      <c r="R543" s="186"/>
      <c r="S543" s="67"/>
      <c r="T543" s="67"/>
      <c r="U543" s="67"/>
      <c r="V543" s="187"/>
      <c r="W543" s="186"/>
      <c r="X543" s="187"/>
      <c r="Y543" s="187"/>
      <c r="Z543" s="187"/>
      <c r="AA543" s="186"/>
      <c r="AB543" s="186"/>
      <c r="AC543" s="67"/>
      <c r="AD543" s="67"/>
      <c r="AE543" s="67"/>
      <c r="AH543" s="186"/>
      <c r="AK543" s="186"/>
    </row>
    <row r="544">
      <c r="A544" s="185"/>
      <c r="B544" s="67"/>
      <c r="C544" s="67"/>
      <c r="D544" s="67"/>
      <c r="E544" s="186"/>
      <c r="F544" s="186"/>
      <c r="G544" s="186"/>
      <c r="H544" s="186"/>
      <c r="I544" s="186"/>
      <c r="J544" s="186"/>
      <c r="K544" s="186"/>
      <c r="L544" s="186"/>
      <c r="M544" s="186"/>
      <c r="N544" s="186"/>
      <c r="O544" s="186"/>
      <c r="P544" s="186"/>
      <c r="Q544" s="186"/>
      <c r="R544" s="186"/>
      <c r="S544" s="67"/>
      <c r="T544" s="67"/>
      <c r="U544" s="67"/>
      <c r="V544" s="187"/>
      <c r="W544" s="186"/>
      <c r="X544" s="187"/>
      <c r="Y544" s="187"/>
      <c r="Z544" s="187"/>
      <c r="AA544" s="186"/>
      <c r="AB544" s="186"/>
      <c r="AC544" s="67"/>
      <c r="AD544" s="67"/>
      <c r="AE544" s="67"/>
      <c r="AH544" s="186"/>
      <c r="AK544" s="186"/>
    </row>
    <row r="545">
      <c r="A545" s="185"/>
      <c r="B545" s="67"/>
      <c r="C545" s="67"/>
      <c r="D545" s="67"/>
      <c r="E545" s="186"/>
      <c r="F545" s="186"/>
      <c r="G545" s="186"/>
      <c r="H545" s="186"/>
      <c r="I545" s="186"/>
      <c r="J545" s="186"/>
      <c r="K545" s="186"/>
      <c r="L545" s="186"/>
      <c r="M545" s="186"/>
      <c r="N545" s="186"/>
      <c r="O545" s="186"/>
      <c r="P545" s="186"/>
      <c r="Q545" s="186"/>
      <c r="R545" s="186"/>
      <c r="S545" s="67"/>
      <c r="T545" s="67"/>
      <c r="U545" s="67"/>
      <c r="V545" s="187"/>
      <c r="W545" s="186"/>
      <c r="X545" s="187"/>
      <c r="Y545" s="187"/>
      <c r="Z545" s="187"/>
      <c r="AA545" s="186"/>
      <c r="AB545" s="186"/>
      <c r="AC545" s="67"/>
      <c r="AD545" s="67"/>
      <c r="AE545" s="67"/>
      <c r="AH545" s="186"/>
      <c r="AK545" s="186"/>
    </row>
    <row r="546">
      <c r="A546" s="185"/>
      <c r="B546" s="67"/>
      <c r="C546" s="67"/>
      <c r="D546" s="67"/>
      <c r="E546" s="186"/>
      <c r="F546" s="186"/>
      <c r="G546" s="186"/>
      <c r="H546" s="186"/>
      <c r="I546" s="186"/>
      <c r="J546" s="186"/>
      <c r="K546" s="186"/>
      <c r="L546" s="186"/>
      <c r="M546" s="186"/>
      <c r="N546" s="186"/>
      <c r="O546" s="186"/>
      <c r="P546" s="186"/>
      <c r="Q546" s="186"/>
      <c r="R546" s="186"/>
      <c r="S546" s="67"/>
      <c r="T546" s="67"/>
      <c r="U546" s="67"/>
      <c r="V546" s="187"/>
      <c r="W546" s="186"/>
      <c r="X546" s="187"/>
      <c r="Y546" s="187"/>
      <c r="Z546" s="187"/>
      <c r="AA546" s="186"/>
      <c r="AB546" s="186"/>
      <c r="AC546" s="67"/>
      <c r="AD546" s="67"/>
      <c r="AE546" s="67"/>
      <c r="AH546" s="186"/>
      <c r="AK546" s="186"/>
    </row>
    <row r="547">
      <c r="A547" s="185"/>
      <c r="B547" s="67"/>
      <c r="C547" s="67"/>
      <c r="D547" s="67"/>
      <c r="E547" s="186"/>
      <c r="F547" s="186"/>
      <c r="G547" s="186"/>
      <c r="H547" s="186"/>
      <c r="I547" s="186"/>
      <c r="J547" s="186"/>
      <c r="K547" s="186"/>
      <c r="L547" s="186"/>
      <c r="M547" s="186"/>
      <c r="N547" s="186"/>
      <c r="O547" s="186"/>
      <c r="P547" s="186"/>
      <c r="Q547" s="186"/>
      <c r="R547" s="186"/>
      <c r="S547" s="67"/>
      <c r="T547" s="67"/>
      <c r="U547" s="67"/>
      <c r="V547" s="187"/>
      <c r="W547" s="186"/>
      <c r="X547" s="187"/>
      <c r="Y547" s="187"/>
      <c r="Z547" s="187"/>
      <c r="AA547" s="186"/>
      <c r="AB547" s="186"/>
      <c r="AC547" s="67"/>
      <c r="AD547" s="67"/>
      <c r="AE547" s="67"/>
      <c r="AH547" s="186"/>
      <c r="AK547" s="186"/>
    </row>
    <row r="548">
      <c r="A548" s="185"/>
      <c r="B548" s="67"/>
      <c r="C548" s="67"/>
      <c r="D548" s="67"/>
      <c r="E548" s="186"/>
      <c r="F548" s="186"/>
      <c r="G548" s="186"/>
      <c r="H548" s="186"/>
      <c r="I548" s="186"/>
      <c r="J548" s="186"/>
      <c r="K548" s="186"/>
      <c r="L548" s="186"/>
      <c r="M548" s="186"/>
      <c r="N548" s="186"/>
      <c r="O548" s="186"/>
      <c r="P548" s="186"/>
      <c r="Q548" s="186"/>
      <c r="R548" s="186"/>
      <c r="S548" s="67"/>
      <c r="T548" s="67"/>
      <c r="U548" s="67"/>
      <c r="V548" s="187"/>
      <c r="W548" s="186"/>
      <c r="X548" s="187"/>
      <c r="Y548" s="187"/>
      <c r="Z548" s="187"/>
      <c r="AA548" s="186"/>
      <c r="AB548" s="186"/>
      <c r="AC548" s="67"/>
      <c r="AD548" s="67"/>
      <c r="AE548" s="67"/>
      <c r="AH548" s="186"/>
      <c r="AK548" s="186"/>
    </row>
    <row r="549">
      <c r="A549" s="185"/>
      <c r="B549" s="67"/>
      <c r="C549" s="67"/>
      <c r="D549" s="67"/>
      <c r="E549" s="186"/>
      <c r="F549" s="186"/>
      <c r="G549" s="186"/>
      <c r="H549" s="186"/>
      <c r="I549" s="186"/>
      <c r="J549" s="186"/>
      <c r="K549" s="186"/>
      <c r="L549" s="186"/>
      <c r="M549" s="186"/>
      <c r="N549" s="186"/>
      <c r="O549" s="186"/>
      <c r="P549" s="186"/>
      <c r="Q549" s="186"/>
      <c r="R549" s="186"/>
      <c r="S549" s="67"/>
      <c r="T549" s="67"/>
      <c r="U549" s="67"/>
      <c r="V549" s="187"/>
      <c r="W549" s="186"/>
      <c r="X549" s="187"/>
      <c r="Y549" s="187"/>
      <c r="Z549" s="187"/>
      <c r="AA549" s="186"/>
      <c r="AB549" s="186"/>
      <c r="AC549" s="67"/>
      <c r="AD549" s="67"/>
      <c r="AE549" s="67"/>
      <c r="AH549" s="186"/>
      <c r="AK549" s="186"/>
    </row>
    <row r="550">
      <c r="A550" s="185"/>
      <c r="B550" s="67"/>
      <c r="C550" s="67"/>
      <c r="D550" s="67"/>
      <c r="E550" s="186"/>
      <c r="F550" s="186"/>
      <c r="G550" s="186"/>
      <c r="H550" s="186"/>
      <c r="I550" s="186"/>
      <c r="J550" s="186"/>
      <c r="K550" s="186"/>
      <c r="L550" s="186"/>
      <c r="M550" s="186"/>
      <c r="N550" s="186"/>
      <c r="O550" s="186"/>
      <c r="P550" s="186"/>
      <c r="Q550" s="186"/>
      <c r="R550" s="186"/>
      <c r="S550" s="67"/>
      <c r="T550" s="67"/>
      <c r="U550" s="67"/>
      <c r="V550" s="187"/>
      <c r="W550" s="186"/>
      <c r="X550" s="187"/>
      <c r="Y550" s="187"/>
      <c r="Z550" s="187"/>
      <c r="AA550" s="186"/>
      <c r="AB550" s="186"/>
      <c r="AC550" s="67"/>
      <c r="AD550" s="67"/>
      <c r="AE550" s="67"/>
      <c r="AH550" s="186"/>
      <c r="AK550" s="186"/>
    </row>
    <row r="551">
      <c r="A551" s="185"/>
      <c r="B551" s="67"/>
      <c r="C551" s="67"/>
      <c r="D551" s="67"/>
      <c r="E551" s="186"/>
      <c r="F551" s="186"/>
      <c r="G551" s="186"/>
      <c r="H551" s="186"/>
      <c r="I551" s="186"/>
      <c r="J551" s="186"/>
      <c r="K551" s="186"/>
      <c r="L551" s="186"/>
      <c r="M551" s="186"/>
      <c r="N551" s="186"/>
      <c r="O551" s="186"/>
      <c r="P551" s="186"/>
      <c r="Q551" s="186"/>
      <c r="R551" s="186"/>
      <c r="S551" s="67"/>
      <c r="T551" s="67"/>
      <c r="U551" s="67"/>
      <c r="V551" s="187"/>
      <c r="W551" s="186"/>
      <c r="X551" s="187"/>
      <c r="Y551" s="187"/>
      <c r="Z551" s="187"/>
      <c r="AA551" s="186"/>
      <c r="AB551" s="186"/>
      <c r="AC551" s="67"/>
      <c r="AD551" s="67"/>
      <c r="AE551" s="67"/>
      <c r="AH551" s="186"/>
      <c r="AK551" s="186"/>
    </row>
    <row r="552">
      <c r="A552" s="185"/>
      <c r="B552" s="67"/>
      <c r="C552" s="67"/>
      <c r="D552" s="67"/>
      <c r="E552" s="186"/>
      <c r="F552" s="186"/>
      <c r="G552" s="186"/>
      <c r="H552" s="186"/>
      <c r="I552" s="186"/>
      <c r="J552" s="186"/>
      <c r="K552" s="186"/>
      <c r="L552" s="186"/>
      <c r="M552" s="186"/>
      <c r="N552" s="186"/>
      <c r="O552" s="186"/>
      <c r="P552" s="186"/>
      <c r="Q552" s="186"/>
      <c r="R552" s="186"/>
      <c r="S552" s="67"/>
      <c r="T552" s="67"/>
      <c r="U552" s="67"/>
      <c r="V552" s="187"/>
      <c r="W552" s="186"/>
      <c r="X552" s="187"/>
      <c r="Y552" s="187"/>
      <c r="Z552" s="187"/>
      <c r="AA552" s="186"/>
      <c r="AB552" s="186"/>
      <c r="AC552" s="67"/>
      <c r="AD552" s="67"/>
      <c r="AE552" s="67"/>
      <c r="AH552" s="186"/>
      <c r="AK552" s="186"/>
    </row>
    <row r="553">
      <c r="A553" s="185"/>
      <c r="B553" s="67"/>
      <c r="C553" s="67"/>
      <c r="D553" s="67"/>
      <c r="E553" s="186"/>
      <c r="F553" s="186"/>
      <c r="G553" s="186"/>
      <c r="H553" s="186"/>
      <c r="I553" s="186"/>
      <c r="J553" s="186"/>
      <c r="K553" s="186"/>
      <c r="L553" s="186"/>
      <c r="M553" s="186"/>
      <c r="N553" s="186"/>
      <c r="O553" s="186"/>
      <c r="P553" s="186"/>
      <c r="Q553" s="186"/>
      <c r="R553" s="186"/>
      <c r="S553" s="67"/>
      <c r="T553" s="67"/>
      <c r="U553" s="67"/>
      <c r="V553" s="187"/>
      <c r="W553" s="186"/>
      <c r="X553" s="187"/>
      <c r="Y553" s="187"/>
      <c r="Z553" s="187"/>
      <c r="AA553" s="186"/>
      <c r="AB553" s="186"/>
      <c r="AC553" s="67"/>
      <c r="AD553" s="67"/>
      <c r="AE553" s="67"/>
      <c r="AH553" s="186"/>
      <c r="AK553" s="186"/>
    </row>
    <row r="554">
      <c r="A554" s="185"/>
      <c r="B554" s="67"/>
      <c r="C554" s="67"/>
      <c r="D554" s="67"/>
      <c r="E554" s="186"/>
      <c r="F554" s="186"/>
      <c r="G554" s="186"/>
      <c r="H554" s="186"/>
      <c r="I554" s="186"/>
      <c r="J554" s="186"/>
      <c r="K554" s="186"/>
      <c r="L554" s="186"/>
      <c r="M554" s="186"/>
      <c r="N554" s="186"/>
      <c r="O554" s="186"/>
      <c r="P554" s="186"/>
      <c r="Q554" s="186"/>
      <c r="R554" s="186"/>
      <c r="S554" s="67"/>
      <c r="T554" s="67"/>
      <c r="U554" s="67"/>
      <c r="V554" s="187"/>
      <c r="W554" s="186"/>
      <c r="X554" s="187"/>
      <c r="Y554" s="187"/>
      <c r="Z554" s="187"/>
      <c r="AA554" s="186"/>
      <c r="AB554" s="186"/>
      <c r="AC554" s="67"/>
      <c r="AD554" s="67"/>
      <c r="AE554" s="67"/>
      <c r="AH554" s="186"/>
      <c r="AK554" s="186"/>
    </row>
    <row r="555">
      <c r="A555" s="185"/>
      <c r="B555" s="67"/>
      <c r="C555" s="67"/>
      <c r="D555" s="67"/>
      <c r="E555" s="186"/>
      <c r="F555" s="186"/>
      <c r="G555" s="186"/>
      <c r="H555" s="186"/>
      <c r="I555" s="186"/>
      <c r="J555" s="186"/>
      <c r="K555" s="186"/>
      <c r="L555" s="186"/>
      <c r="M555" s="186"/>
      <c r="N555" s="186"/>
      <c r="O555" s="186"/>
      <c r="P555" s="186"/>
      <c r="Q555" s="186"/>
      <c r="R555" s="186"/>
      <c r="S555" s="67"/>
      <c r="T555" s="67"/>
      <c r="U555" s="67"/>
      <c r="V555" s="187"/>
      <c r="W555" s="186"/>
      <c r="X555" s="187"/>
      <c r="Y555" s="187"/>
      <c r="Z555" s="187"/>
      <c r="AA555" s="186"/>
      <c r="AB555" s="186"/>
      <c r="AC555" s="67"/>
      <c r="AD555" s="67"/>
      <c r="AE555" s="67"/>
      <c r="AH555" s="186"/>
      <c r="AK555" s="186"/>
    </row>
    <row r="556">
      <c r="A556" s="185"/>
      <c r="B556" s="67"/>
      <c r="C556" s="67"/>
      <c r="D556" s="67"/>
      <c r="E556" s="186"/>
      <c r="F556" s="186"/>
      <c r="G556" s="186"/>
      <c r="H556" s="186"/>
      <c r="I556" s="186"/>
      <c r="J556" s="186"/>
      <c r="K556" s="186"/>
      <c r="L556" s="186"/>
      <c r="M556" s="186"/>
      <c r="N556" s="186"/>
      <c r="O556" s="186"/>
      <c r="P556" s="186"/>
      <c r="Q556" s="186"/>
      <c r="R556" s="186"/>
      <c r="S556" s="67"/>
      <c r="T556" s="67"/>
      <c r="U556" s="67"/>
      <c r="V556" s="187"/>
      <c r="W556" s="186"/>
      <c r="X556" s="187"/>
      <c r="Y556" s="187"/>
      <c r="Z556" s="187"/>
      <c r="AA556" s="186"/>
      <c r="AB556" s="186"/>
      <c r="AC556" s="67"/>
      <c r="AD556" s="67"/>
      <c r="AE556" s="67"/>
      <c r="AH556" s="186"/>
      <c r="AK556" s="186"/>
    </row>
    <row r="557">
      <c r="A557" s="185"/>
      <c r="B557" s="67"/>
      <c r="C557" s="67"/>
      <c r="D557" s="67"/>
      <c r="E557" s="186"/>
      <c r="F557" s="186"/>
      <c r="G557" s="186"/>
      <c r="H557" s="186"/>
      <c r="I557" s="186"/>
      <c r="J557" s="186"/>
      <c r="K557" s="186"/>
      <c r="L557" s="186"/>
      <c r="M557" s="186"/>
      <c r="N557" s="186"/>
      <c r="O557" s="186"/>
      <c r="P557" s="186"/>
      <c r="Q557" s="186"/>
      <c r="R557" s="186"/>
      <c r="S557" s="67"/>
      <c r="T557" s="67"/>
      <c r="U557" s="67"/>
      <c r="V557" s="187"/>
      <c r="W557" s="186"/>
      <c r="X557" s="187"/>
      <c r="Y557" s="187"/>
      <c r="Z557" s="187"/>
      <c r="AA557" s="186"/>
      <c r="AB557" s="186"/>
      <c r="AC557" s="67"/>
      <c r="AD557" s="67"/>
      <c r="AE557" s="67"/>
      <c r="AH557" s="186"/>
      <c r="AK557" s="186"/>
    </row>
    <row r="558">
      <c r="A558" s="185"/>
      <c r="B558" s="67"/>
      <c r="C558" s="67"/>
      <c r="D558" s="67"/>
      <c r="E558" s="186"/>
      <c r="F558" s="186"/>
      <c r="G558" s="186"/>
      <c r="H558" s="186"/>
      <c r="I558" s="186"/>
      <c r="J558" s="186"/>
      <c r="K558" s="186"/>
      <c r="L558" s="186"/>
      <c r="M558" s="186"/>
      <c r="N558" s="186"/>
      <c r="O558" s="186"/>
      <c r="P558" s="186"/>
      <c r="Q558" s="186"/>
      <c r="R558" s="186"/>
      <c r="S558" s="67"/>
      <c r="T558" s="67"/>
      <c r="U558" s="67"/>
      <c r="V558" s="187"/>
      <c r="W558" s="186"/>
      <c r="X558" s="187"/>
      <c r="Y558" s="187"/>
      <c r="Z558" s="187"/>
      <c r="AA558" s="186"/>
      <c r="AB558" s="186"/>
      <c r="AC558" s="67"/>
      <c r="AD558" s="67"/>
      <c r="AE558" s="67"/>
      <c r="AH558" s="186"/>
      <c r="AK558" s="186"/>
    </row>
    <row r="559">
      <c r="A559" s="185"/>
      <c r="B559" s="67"/>
      <c r="C559" s="67"/>
      <c r="D559" s="67"/>
      <c r="E559" s="186"/>
      <c r="F559" s="186"/>
      <c r="G559" s="186"/>
      <c r="H559" s="186"/>
      <c r="I559" s="186"/>
      <c r="J559" s="186"/>
      <c r="K559" s="186"/>
      <c r="L559" s="186"/>
      <c r="M559" s="186"/>
      <c r="N559" s="186"/>
      <c r="O559" s="186"/>
      <c r="P559" s="186"/>
      <c r="Q559" s="186"/>
      <c r="R559" s="186"/>
      <c r="S559" s="67"/>
      <c r="T559" s="67"/>
      <c r="U559" s="67"/>
      <c r="V559" s="187"/>
      <c r="W559" s="186"/>
      <c r="X559" s="187"/>
      <c r="Y559" s="187"/>
      <c r="Z559" s="187"/>
      <c r="AA559" s="186"/>
      <c r="AB559" s="186"/>
      <c r="AC559" s="67"/>
      <c r="AD559" s="67"/>
      <c r="AE559" s="67"/>
      <c r="AH559" s="186"/>
      <c r="AK559" s="186"/>
    </row>
    <row r="560">
      <c r="A560" s="185"/>
      <c r="B560" s="67"/>
      <c r="C560" s="67"/>
      <c r="D560" s="67"/>
      <c r="E560" s="186"/>
      <c r="F560" s="186"/>
      <c r="G560" s="186"/>
      <c r="H560" s="186"/>
      <c r="I560" s="186"/>
      <c r="J560" s="186"/>
      <c r="K560" s="186"/>
      <c r="L560" s="186"/>
      <c r="M560" s="186"/>
      <c r="N560" s="186"/>
      <c r="O560" s="186"/>
      <c r="P560" s="186"/>
      <c r="Q560" s="186"/>
      <c r="R560" s="186"/>
      <c r="S560" s="67"/>
      <c r="T560" s="67"/>
      <c r="U560" s="67"/>
      <c r="V560" s="187"/>
      <c r="W560" s="186"/>
      <c r="X560" s="187"/>
      <c r="Y560" s="187"/>
      <c r="Z560" s="187"/>
      <c r="AA560" s="186"/>
      <c r="AB560" s="186"/>
      <c r="AC560" s="67"/>
      <c r="AD560" s="67"/>
      <c r="AE560" s="67"/>
      <c r="AH560" s="186"/>
      <c r="AK560" s="186"/>
    </row>
    <row r="561">
      <c r="A561" s="185"/>
      <c r="B561" s="67"/>
      <c r="C561" s="67"/>
      <c r="D561" s="67"/>
      <c r="E561" s="186"/>
      <c r="F561" s="186"/>
      <c r="G561" s="186"/>
      <c r="H561" s="186"/>
      <c r="I561" s="186"/>
      <c r="J561" s="186"/>
      <c r="K561" s="186"/>
      <c r="L561" s="186"/>
      <c r="M561" s="186"/>
      <c r="N561" s="186"/>
      <c r="O561" s="186"/>
      <c r="P561" s="186"/>
      <c r="Q561" s="186"/>
      <c r="R561" s="186"/>
      <c r="S561" s="67"/>
      <c r="T561" s="67"/>
      <c r="U561" s="67"/>
      <c r="V561" s="187"/>
      <c r="W561" s="186"/>
      <c r="X561" s="187"/>
      <c r="Y561" s="187"/>
      <c r="Z561" s="187"/>
      <c r="AA561" s="186"/>
      <c r="AB561" s="186"/>
      <c r="AC561" s="67"/>
      <c r="AD561" s="67"/>
      <c r="AE561" s="67"/>
      <c r="AH561" s="186"/>
      <c r="AK561" s="186"/>
    </row>
    <row r="562">
      <c r="A562" s="185"/>
      <c r="B562" s="67"/>
      <c r="C562" s="67"/>
      <c r="D562" s="67"/>
      <c r="E562" s="186"/>
      <c r="F562" s="186"/>
      <c r="G562" s="186"/>
      <c r="H562" s="186"/>
      <c r="I562" s="186"/>
      <c r="J562" s="186"/>
      <c r="K562" s="186"/>
      <c r="L562" s="186"/>
      <c r="M562" s="186"/>
      <c r="N562" s="186"/>
      <c r="O562" s="186"/>
      <c r="P562" s="186"/>
      <c r="Q562" s="186"/>
      <c r="R562" s="186"/>
      <c r="S562" s="67"/>
      <c r="T562" s="67"/>
      <c r="U562" s="67"/>
      <c r="V562" s="187"/>
      <c r="W562" s="186"/>
      <c r="X562" s="187"/>
      <c r="Y562" s="187"/>
      <c r="Z562" s="187"/>
      <c r="AA562" s="186"/>
      <c r="AB562" s="186"/>
      <c r="AC562" s="67"/>
      <c r="AD562" s="67"/>
      <c r="AE562" s="67"/>
      <c r="AH562" s="186"/>
      <c r="AK562" s="186"/>
    </row>
    <row r="563">
      <c r="A563" s="185"/>
      <c r="B563" s="67"/>
      <c r="C563" s="67"/>
      <c r="D563" s="67"/>
      <c r="E563" s="186"/>
      <c r="F563" s="186"/>
      <c r="G563" s="186"/>
      <c r="H563" s="186"/>
      <c r="I563" s="186"/>
      <c r="J563" s="186"/>
      <c r="K563" s="186"/>
      <c r="L563" s="186"/>
      <c r="M563" s="186"/>
      <c r="N563" s="186"/>
      <c r="O563" s="186"/>
      <c r="P563" s="186"/>
      <c r="Q563" s="186"/>
      <c r="R563" s="186"/>
      <c r="S563" s="67"/>
      <c r="T563" s="67"/>
      <c r="U563" s="67"/>
      <c r="V563" s="187"/>
      <c r="W563" s="186"/>
      <c r="X563" s="187"/>
      <c r="Y563" s="187"/>
      <c r="Z563" s="187"/>
      <c r="AA563" s="186"/>
      <c r="AB563" s="186"/>
      <c r="AC563" s="67"/>
      <c r="AD563" s="67"/>
      <c r="AE563" s="67"/>
      <c r="AH563" s="186"/>
      <c r="AK563" s="186"/>
    </row>
    <row r="564">
      <c r="A564" s="185"/>
      <c r="B564" s="67"/>
      <c r="C564" s="67"/>
      <c r="D564" s="67"/>
      <c r="E564" s="186"/>
      <c r="F564" s="186"/>
      <c r="G564" s="186"/>
      <c r="H564" s="186"/>
      <c r="I564" s="186"/>
      <c r="J564" s="186"/>
      <c r="K564" s="186"/>
      <c r="L564" s="186"/>
      <c r="M564" s="186"/>
      <c r="N564" s="186"/>
      <c r="O564" s="186"/>
      <c r="P564" s="186"/>
      <c r="Q564" s="186"/>
      <c r="R564" s="186"/>
      <c r="S564" s="67"/>
      <c r="T564" s="67"/>
      <c r="U564" s="67"/>
      <c r="V564" s="187"/>
      <c r="W564" s="186"/>
      <c r="X564" s="187"/>
      <c r="Y564" s="187"/>
      <c r="Z564" s="187"/>
      <c r="AA564" s="186"/>
      <c r="AB564" s="186"/>
      <c r="AC564" s="67"/>
      <c r="AD564" s="67"/>
      <c r="AE564" s="67"/>
      <c r="AH564" s="186"/>
      <c r="AK564" s="186"/>
    </row>
    <row r="565">
      <c r="A565" s="185"/>
      <c r="B565" s="67"/>
      <c r="C565" s="67"/>
      <c r="D565" s="67"/>
      <c r="E565" s="186"/>
      <c r="F565" s="186"/>
      <c r="G565" s="186"/>
      <c r="H565" s="186"/>
      <c r="I565" s="186"/>
      <c r="J565" s="186"/>
      <c r="K565" s="186"/>
      <c r="L565" s="186"/>
      <c r="M565" s="186"/>
      <c r="N565" s="186"/>
      <c r="O565" s="186"/>
      <c r="P565" s="186"/>
      <c r="Q565" s="186"/>
      <c r="R565" s="186"/>
      <c r="S565" s="67"/>
      <c r="T565" s="67"/>
      <c r="U565" s="67"/>
      <c r="V565" s="187"/>
      <c r="W565" s="186"/>
      <c r="X565" s="187"/>
      <c r="Y565" s="187"/>
      <c r="Z565" s="187"/>
      <c r="AA565" s="186"/>
      <c r="AB565" s="186"/>
      <c r="AC565" s="67"/>
      <c r="AD565" s="67"/>
      <c r="AE565" s="67"/>
      <c r="AH565" s="186"/>
      <c r="AK565" s="186"/>
    </row>
    <row r="566">
      <c r="A566" s="185"/>
      <c r="B566" s="67"/>
      <c r="C566" s="67"/>
      <c r="D566" s="67"/>
      <c r="E566" s="186"/>
      <c r="F566" s="186"/>
      <c r="G566" s="186"/>
      <c r="H566" s="186"/>
      <c r="I566" s="186"/>
      <c r="J566" s="186"/>
      <c r="K566" s="186"/>
      <c r="L566" s="186"/>
      <c r="M566" s="186"/>
      <c r="N566" s="186"/>
      <c r="O566" s="186"/>
      <c r="P566" s="186"/>
      <c r="Q566" s="186"/>
      <c r="R566" s="186"/>
      <c r="S566" s="67"/>
      <c r="T566" s="67"/>
      <c r="U566" s="67"/>
      <c r="V566" s="187"/>
      <c r="W566" s="186"/>
      <c r="X566" s="187"/>
      <c r="Y566" s="187"/>
      <c r="Z566" s="187"/>
      <c r="AA566" s="186"/>
      <c r="AB566" s="186"/>
      <c r="AC566" s="67"/>
      <c r="AD566" s="67"/>
      <c r="AE566" s="67"/>
      <c r="AH566" s="186"/>
      <c r="AK566" s="186"/>
    </row>
    <row r="567">
      <c r="A567" s="185"/>
      <c r="B567" s="67"/>
      <c r="C567" s="67"/>
      <c r="D567" s="67"/>
      <c r="E567" s="186"/>
      <c r="F567" s="186"/>
      <c r="G567" s="186"/>
      <c r="H567" s="186"/>
      <c r="I567" s="186"/>
      <c r="J567" s="186"/>
      <c r="K567" s="186"/>
      <c r="L567" s="186"/>
      <c r="M567" s="186"/>
      <c r="N567" s="186"/>
      <c r="O567" s="186"/>
      <c r="P567" s="186"/>
      <c r="Q567" s="186"/>
      <c r="R567" s="186"/>
      <c r="S567" s="67"/>
      <c r="T567" s="67"/>
      <c r="U567" s="67"/>
      <c r="V567" s="187"/>
      <c r="W567" s="186"/>
      <c r="X567" s="187"/>
      <c r="Y567" s="187"/>
      <c r="Z567" s="187"/>
      <c r="AA567" s="186"/>
      <c r="AB567" s="186"/>
      <c r="AC567" s="67"/>
      <c r="AD567" s="67"/>
      <c r="AE567" s="67"/>
      <c r="AH567" s="186"/>
      <c r="AK567" s="186"/>
    </row>
    <row r="568">
      <c r="A568" s="185"/>
      <c r="B568" s="67"/>
      <c r="C568" s="67"/>
      <c r="D568" s="67"/>
      <c r="E568" s="186"/>
      <c r="F568" s="186"/>
      <c r="G568" s="186"/>
      <c r="H568" s="186"/>
      <c r="I568" s="186"/>
      <c r="J568" s="186"/>
      <c r="K568" s="186"/>
      <c r="L568" s="186"/>
      <c r="M568" s="186"/>
      <c r="N568" s="186"/>
      <c r="O568" s="186"/>
      <c r="P568" s="186"/>
      <c r="Q568" s="186"/>
      <c r="R568" s="186"/>
      <c r="S568" s="67"/>
      <c r="T568" s="67"/>
      <c r="U568" s="67"/>
      <c r="V568" s="187"/>
      <c r="W568" s="186"/>
      <c r="X568" s="187"/>
      <c r="Y568" s="187"/>
      <c r="Z568" s="187"/>
      <c r="AA568" s="186"/>
      <c r="AB568" s="186"/>
      <c r="AC568" s="67"/>
      <c r="AD568" s="67"/>
      <c r="AE568" s="67"/>
      <c r="AH568" s="186"/>
      <c r="AK568" s="186"/>
    </row>
    <row r="569">
      <c r="A569" s="185"/>
      <c r="B569" s="67"/>
      <c r="C569" s="67"/>
      <c r="D569" s="67"/>
      <c r="E569" s="186"/>
      <c r="F569" s="186"/>
      <c r="G569" s="186"/>
      <c r="H569" s="186"/>
      <c r="I569" s="186"/>
      <c r="J569" s="186"/>
      <c r="K569" s="186"/>
      <c r="L569" s="186"/>
      <c r="M569" s="186"/>
      <c r="N569" s="186"/>
      <c r="O569" s="186"/>
      <c r="P569" s="186"/>
      <c r="Q569" s="186"/>
      <c r="R569" s="186"/>
      <c r="S569" s="67"/>
      <c r="T569" s="67"/>
      <c r="U569" s="67"/>
      <c r="V569" s="187"/>
      <c r="W569" s="186"/>
      <c r="X569" s="187"/>
      <c r="Y569" s="187"/>
      <c r="Z569" s="187"/>
      <c r="AA569" s="186"/>
      <c r="AB569" s="186"/>
      <c r="AC569" s="67"/>
      <c r="AD569" s="67"/>
      <c r="AE569" s="67"/>
      <c r="AH569" s="186"/>
      <c r="AK569" s="186"/>
    </row>
    <row r="570">
      <c r="A570" s="185"/>
      <c r="B570" s="67"/>
      <c r="C570" s="67"/>
      <c r="D570" s="67"/>
      <c r="E570" s="186"/>
      <c r="F570" s="186"/>
      <c r="G570" s="186"/>
      <c r="H570" s="186"/>
      <c r="I570" s="186"/>
      <c r="J570" s="186"/>
      <c r="K570" s="186"/>
      <c r="L570" s="186"/>
      <c r="M570" s="186"/>
      <c r="N570" s="186"/>
      <c r="O570" s="186"/>
      <c r="P570" s="186"/>
      <c r="Q570" s="186"/>
      <c r="R570" s="186"/>
      <c r="S570" s="67"/>
      <c r="T570" s="67"/>
      <c r="U570" s="67"/>
      <c r="V570" s="187"/>
      <c r="W570" s="186"/>
      <c r="X570" s="187"/>
      <c r="Y570" s="187"/>
      <c r="Z570" s="187"/>
      <c r="AA570" s="186"/>
      <c r="AB570" s="186"/>
      <c r="AC570" s="67"/>
      <c r="AD570" s="67"/>
      <c r="AE570" s="67"/>
      <c r="AH570" s="186"/>
      <c r="AK570" s="186"/>
    </row>
    <row r="571">
      <c r="A571" s="185"/>
      <c r="B571" s="67"/>
      <c r="C571" s="67"/>
      <c r="D571" s="67"/>
      <c r="E571" s="186"/>
      <c r="F571" s="186"/>
      <c r="G571" s="186"/>
      <c r="H571" s="186"/>
      <c r="I571" s="186"/>
      <c r="J571" s="186"/>
      <c r="K571" s="186"/>
      <c r="L571" s="186"/>
      <c r="M571" s="186"/>
      <c r="N571" s="186"/>
      <c r="O571" s="186"/>
      <c r="P571" s="186"/>
      <c r="Q571" s="186"/>
      <c r="R571" s="186"/>
      <c r="S571" s="67"/>
      <c r="T571" s="67"/>
      <c r="U571" s="67"/>
      <c r="V571" s="187"/>
      <c r="W571" s="186"/>
      <c r="X571" s="187"/>
      <c r="Y571" s="187"/>
      <c r="Z571" s="187"/>
      <c r="AA571" s="186"/>
      <c r="AB571" s="186"/>
      <c r="AC571" s="67"/>
      <c r="AD571" s="67"/>
      <c r="AE571" s="67"/>
      <c r="AH571" s="186"/>
      <c r="AK571" s="186"/>
    </row>
    <row r="572">
      <c r="A572" s="185"/>
      <c r="B572" s="67"/>
      <c r="C572" s="67"/>
      <c r="D572" s="67"/>
      <c r="E572" s="186"/>
      <c r="F572" s="186"/>
      <c r="G572" s="186"/>
      <c r="H572" s="186"/>
      <c r="I572" s="186"/>
      <c r="J572" s="186"/>
      <c r="K572" s="186"/>
      <c r="L572" s="186"/>
      <c r="M572" s="186"/>
      <c r="N572" s="186"/>
      <c r="O572" s="186"/>
      <c r="P572" s="186"/>
      <c r="Q572" s="186"/>
      <c r="R572" s="186"/>
      <c r="S572" s="67"/>
      <c r="T572" s="67"/>
      <c r="U572" s="67"/>
      <c r="V572" s="187"/>
      <c r="W572" s="186"/>
      <c r="X572" s="187"/>
      <c r="Y572" s="187"/>
      <c r="Z572" s="187"/>
      <c r="AA572" s="186"/>
      <c r="AB572" s="186"/>
      <c r="AC572" s="67"/>
      <c r="AD572" s="67"/>
      <c r="AE572" s="67"/>
      <c r="AH572" s="186"/>
      <c r="AK572" s="186"/>
    </row>
    <row r="573">
      <c r="A573" s="185"/>
      <c r="B573" s="67"/>
      <c r="C573" s="67"/>
      <c r="D573" s="67"/>
      <c r="E573" s="186"/>
      <c r="F573" s="186"/>
      <c r="G573" s="186"/>
      <c r="H573" s="186"/>
      <c r="I573" s="186"/>
      <c r="J573" s="186"/>
      <c r="K573" s="186"/>
      <c r="L573" s="186"/>
      <c r="M573" s="186"/>
      <c r="N573" s="186"/>
      <c r="O573" s="186"/>
      <c r="P573" s="186"/>
      <c r="Q573" s="186"/>
      <c r="R573" s="186"/>
      <c r="S573" s="67"/>
      <c r="T573" s="67"/>
      <c r="U573" s="67"/>
      <c r="V573" s="187"/>
      <c r="W573" s="186"/>
      <c r="X573" s="187"/>
      <c r="Y573" s="187"/>
      <c r="Z573" s="187"/>
      <c r="AA573" s="186"/>
      <c r="AB573" s="186"/>
      <c r="AC573" s="67"/>
      <c r="AD573" s="67"/>
      <c r="AE573" s="67"/>
      <c r="AH573" s="186"/>
      <c r="AK573" s="186"/>
    </row>
    <row r="574">
      <c r="A574" s="185"/>
      <c r="B574" s="67"/>
      <c r="C574" s="67"/>
      <c r="D574" s="67"/>
      <c r="E574" s="186"/>
      <c r="F574" s="186"/>
      <c r="G574" s="186"/>
      <c r="H574" s="186"/>
      <c r="I574" s="186"/>
      <c r="J574" s="186"/>
      <c r="K574" s="186"/>
      <c r="L574" s="186"/>
      <c r="M574" s="186"/>
      <c r="N574" s="186"/>
      <c r="O574" s="186"/>
      <c r="P574" s="186"/>
      <c r="Q574" s="186"/>
      <c r="R574" s="186"/>
      <c r="S574" s="67"/>
      <c r="T574" s="67"/>
      <c r="U574" s="67"/>
      <c r="V574" s="187"/>
      <c r="W574" s="186"/>
      <c r="X574" s="187"/>
      <c r="Y574" s="187"/>
      <c r="Z574" s="187"/>
      <c r="AA574" s="186"/>
      <c r="AB574" s="186"/>
      <c r="AC574" s="67"/>
      <c r="AD574" s="67"/>
      <c r="AE574" s="67"/>
      <c r="AH574" s="186"/>
      <c r="AK574" s="186"/>
    </row>
    <row r="575">
      <c r="A575" s="185"/>
      <c r="B575" s="67"/>
      <c r="C575" s="67"/>
      <c r="D575" s="67"/>
      <c r="E575" s="186"/>
      <c r="F575" s="186"/>
      <c r="G575" s="186"/>
      <c r="H575" s="186"/>
      <c r="I575" s="186"/>
      <c r="J575" s="186"/>
      <c r="K575" s="186"/>
      <c r="L575" s="186"/>
      <c r="M575" s="186"/>
      <c r="N575" s="186"/>
      <c r="O575" s="186"/>
      <c r="P575" s="186"/>
      <c r="Q575" s="186"/>
      <c r="R575" s="186"/>
      <c r="S575" s="67"/>
      <c r="T575" s="67"/>
      <c r="U575" s="67"/>
      <c r="V575" s="187"/>
      <c r="W575" s="186"/>
      <c r="X575" s="187"/>
      <c r="Y575" s="187"/>
      <c r="Z575" s="187"/>
      <c r="AA575" s="186"/>
      <c r="AB575" s="186"/>
      <c r="AC575" s="67"/>
      <c r="AD575" s="67"/>
      <c r="AE575" s="67"/>
      <c r="AH575" s="186"/>
      <c r="AK575" s="186"/>
    </row>
    <row r="576">
      <c r="A576" s="185"/>
      <c r="B576" s="67"/>
      <c r="C576" s="67"/>
      <c r="D576" s="67"/>
      <c r="E576" s="186"/>
      <c r="F576" s="186"/>
      <c r="G576" s="186"/>
      <c r="H576" s="186"/>
      <c r="I576" s="186"/>
      <c r="J576" s="186"/>
      <c r="K576" s="186"/>
      <c r="L576" s="186"/>
      <c r="M576" s="186"/>
      <c r="N576" s="186"/>
      <c r="O576" s="186"/>
      <c r="P576" s="186"/>
      <c r="Q576" s="186"/>
      <c r="R576" s="186"/>
      <c r="S576" s="67"/>
      <c r="T576" s="67"/>
      <c r="U576" s="67"/>
      <c r="V576" s="187"/>
      <c r="W576" s="186"/>
      <c r="X576" s="187"/>
      <c r="Y576" s="187"/>
      <c r="Z576" s="187"/>
      <c r="AA576" s="186"/>
      <c r="AB576" s="186"/>
      <c r="AC576" s="67"/>
      <c r="AD576" s="67"/>
      <c r="AE576" s="67"/>
      <c r="AH576" s="186"/>
      <c r="AK576" s="186"/>
    </row>
    <row r="577">
      <c r="A577" s="185"/>
      <c r="B577" s="67"/>
      <c r="C577" s="67"/>
      <c r="D577" s="67"/>
      <c r="E577" s="186"/>
      <c r="F577" s="186"/>
      <c r="G577" s="186"/>
      <c r="H577" s="186"/>
      <c r="I577" s="186"/>
      <c r="J577" s="186"/>
      <c r="K577" s="186"/>
      <c r="L577" s="186"/>
      <c r="M577" s="186"/>
      <c r="N577" s="186"/>
      <c r="O577" s="186"/>
      <c r="P577" s="186"/>
      <c r="Q577" s="186"/>
      <c r="R577" s="186"/>
      <c r="S577" s="67"/>
      <c r="T577" s="67"/>
      <c r="U577" s="67"/>
      <c r="V577" s="187"/>
      <c r="W577" s="186"/>
      <c r="X577" s="187"/>
      <c r="Y577" s="187"/>
      <c r="Z577" s="187"/>
      <c r="AA577" s="186"/>
      <c r="AB577" s="186"/>
      <c r="AC577" s="67"/>
      <c r="AD577" s="67"/>
      <c r="AE577" s="67"/>
      <c r="AH577" s="186"/>
      <c r="AK577" s="186"/>
    </row>
    <row r="578">
      <c r="A578" s="185"/>
      <c r="B578" s="67"/>
      <c r="C578" s="67"/>
      <c r="D578" s="67"/>
      <c r="E578" s="186"/>
      <c r="F578" s="186"/>
      <c r="G578" s="186"/>
      <c r="H578" s="186"/>
      <c r="I578" s="186"/>
      <c r="J578" s="186"/>
      <c r="K578" s="186"/>
      <c r="L578" s="186"/>
      <c r="M578" s="186"/>
      <c r="N578" s="186"/>
      <c r="O578" s="186"/>
      <c r="P578" s="186"/>
      <c r="Q578" s="186"/>
      <c r="R578" s="186"/>
      <c r="S578" s="67"/>
      <c r="T578" s="67"/>
      <c r="U578" s="67"/>
      <c r="V578" s="187"/>
      <c r="W578" s="186"/>
      <c r="X578" s="187"/>
      <c r="Y578" s="187"/>
      <c r="Z578" s="187"/>
      <c r="AA578" s="186"/>
      <c r="AB578" s="186"/>
      <c r="AC578" s="67"/>
      <c r="AD578" s="67"/>
      <c r="AE578" s="67"/>
      <c r="AH578" s="186"/>
      <c r="AK578" s="186"/>
    </row>
    <row r="579">
      <c r="A579" s="185"/>
      <c r="B579" s="67"/>
      <c r="C579" s="67"/>
      <c r="D579" s="67"/>
      <c r="E579" s="186"/>
      <c r="F579" s="186"/>
      <c r="G579" s="186"/>
      <c r="H579" s="186"/>
      <c r="I579" s="186"/>
      <c r="J579" s="186"/>
      <c r="K579" s="186"/>
      <c r="L579" s="186"/>
      <c r="M579" s="186"/>
      <c r="N579" s="186"/>
      <c r="O579" s="186"/>
      <c r="P579" s="186"/>
      <c r="Q579" s="186"/>
      <c r="R579" s="186"/>
      <c r="S579" s="67"/>
      <c r="T579" s="67"/>
      <c r="U579" s="67"/>
      <c r="V579" s="187"/>
      <c r="W579" s="186"/>
      <c r="X579" s="187"/>
      <c r="Y579" s="187"/>
      <c r="Z579" s="187"/>
      <c r="AA579" s="186"/>
      <c r="AB579" s="186"/>
      <c r="AC579" s="67"/>
      <c r="AD579" s="67"/>
      <c r="AE579" s="67"/>
      <c r="AH579" s="186"/>
      <c r="AK579" s="186"/>
    </row>
    <row r="580">
      <c r="A580" s="185"/>
      <c r="B580" s="67"/>
      <c r="C580" s="67"/>
      <c r="D580" s="67"/>
      <c r="E580" s="186"/>
      <c r="F580" s="186"/>
      <c r="G580" s="186"/>
      <c r="H580" s="186"/>
      <c r="I580" s="186"/>
      <c r="J580" s="186"/>
      <c r="K580" s="186"/>
      <c r="L580" s="186"/>
      <c r="M580" s="186"/>
      <c r="N580" s="186"/>
      <c r="O580" s="186"/>
      <c r="P580" s="186"/>
      <c r="Q580" s="186"/>
      <c r="R580" s="186"/>
      <c r="S580" s="67"/>
      <c r="T580" s="67"/>
      <c r="U580" s="67"/>
      <c r="V580" s="187"/>
      <c r="W580" s="186"/>
      <c r="X580" s="187"/>
      <c r="Y580" s="187"/>
      <c r="Z580" s="187"/>
      <c r="AA580" s="186"/>
      <c r="AB580" s="186"/>
      <c r="AC580" s="67"/>
      <c r="AD580" s="67"/>
      <c r="AE580" s="67"/>
      <c r="AH580" s="186"/>
      <c r="AK580" s="186"/>
    </row>
    <row r="581">
      <c r="A581" s="185"/>
      <c r="B581" s="67"/>
      <c r="C581" s="67"/>
      <c r="D581" s="67"/>
      <c r="E581" s="186"/>
      <c r="F581" s="186"/>
      <c r="G581" s="186"/>
      <c r="H581" s="186"/>
      <c r="I581" s="186"/>
      <c r="J581" s="186"/>
      <c r="K581" s="186"/>
      <c r="L581" s="186"/>
      <c r="M581" s="186"/>
      <c r="N581" s="186"/>
      <c r="O581" s="186"/>
      <c r="P581" s="186"/>
      <c r="Q581" s="186"/>
      <c r="R581" s="186"/>
      <c r="S581" s="67"/>
      <c r="T581" s="67"/>
      <c r="U581" s="67"/>
      <c r="V581" s="187"/>
      <c r="W581" s="186"/>
      <c r="X581" s="187"/>
      <c r="Y581" s="187"/>
      <c r="Z581" s="187"/>
      <c r="AA581" s="186"/>
      <c r="AB581" s="186"/>
      <c r="AC581" s="67"/>
      <c r="AD581" s="67"/>
      <c r="AE581" s="67"/>
      <c r="AH581" s="186"/>
      <c r="AK581" s="186"/>
    </row>
    <row r="582">
      <c r="A582" s="185"/>
      <c r="B582" s="67"/>
      <c r="C582" s="67"/>
      <c r="D582" s="67"/>
      <c r="E582" s="186"/>
      <c r="F582" s="186"/>
      <c r="G582" s="186"/>
      <c r="H582" s="186"/>
      <c r="I582" s="186"/>
      <c r="J582" s="186"/>
      <c r="K582" s="186"/>
      <c r="L582" s="186"/>
      <c r="M582" s="186"/>
      <c r="N582" s="186"/>
      <c r="O582" s="186"/>
      <c r="P582" s="186"/>
      <c r="Q582" s="186"/>
      <c r="R582" s="186"/>
      <c r="S582" s="67"/>
      <c r="T582" s="67"/>
      <c r="U582" s="67"/>
      <c r="V582" s="187"/>
      <c r="W582" s="186"/>
      <c r="X582" s="187"/>
      <c r="Y582" s="187"/>
      <c r="Z582" s="187"/>
      <c r="AA582" s="186"/>
      <c r="AB582" s="186"/>
      <c r="AC582" s="67"/>
      <c r="AD582" s="67"/>
      <c r="AE582" s="67"/>
      <c r="AH582" s="186"/>
      <c r="AK582" s="186"/>
    </row>
    <row r="583">
      <c r="A583" s="185"/>
      <c r="B583" s="67"/>
      <c r="C583" s="67"/>
      <c r="D583" s="67"/>
      <c r="E583" s="186"/>
      <c r="F583" s="186"/>
      <c r="G583" s="186"/>
      <c r="H583" s="186"/>
      <c r="I583" s="186"/>
      <c r="J583" s="186"/>
      <c r="K583" s="186"/>
      <c r="L583" s="186"/>
      <c r="M583" s="186"/>
      <c r="N583" s="186"/>
      <c r="O583" s="186"/>
      <c r="P583" s="186"/>
      <c r="Q583" s="186"/>
      <c r="R583" s="186"/>
      <c r="S583" s="67"/>
      <c r="T583" s="67"/>
      <c r="U583" s="67"/>
      <c r="V583" s="187"/>
      <c r="W583" s="186"/>
      <c r="X583" s="187"/>
      <c r="Y583" s="187"/>
      <c r="Z583" s="187"/>
      <c r="AA583" s="186"/>
      <c r="AB583" s="186"/>
      <c r="AC583" s="67"/>
      <c r="AD583" s="67"/>
      <c r="AE583" s="67"/>
      <c r="AH583" s="186"/>
      <c r="AK583" s="186"/>
    </row>
    <row r="584">
      <c r="A584" s="185"/>
      <c r="B584" s="67"/>
      <c r="C584" s="67"/>
      <c r="D584" s="67"/>
      <c r="E584" s="186"/>
      <c r="F584" s="186"/>
      <c r="G584" s="186"/>
      <c r="H584" s="186"/>
      <c r="I584" s="186"/>
      <c r="J584" s="186"/>
      <c r="K584" s="186"/>
      <c r="L584" s="186"/>
      <c r="M584" s="186"/>
      <c r="N584" s="186"/>
      <c r="O584" s="186"/>
      <c r="P584" s="186"/>
      <c r="Q584" s="186"/>
      <c r="R584" s="186"/>
      <c r="S584" s="67"/>
      <c r="T584" s="67"/>
      <c r="U584" s="67"/>
      <c r="V584" s="187"/>
      <c r="W584" s="186"/>
      <c r="X584" s="187"/>
      <c r="Y584" s="187"/>
      <c r="Z584" s="187"/>
      <c r="AA584" s="186"/>
      <c r="AB584" s="186"/>
      <c r="AC584" s="67"/>
      <c r="AD584" s="67"/>
      <c r="AE584" s="67"/>
      <c r="AH584" s="186"/>
      <c r="AK584" s="186"/>
    </row>
    <row r="585">
      <c r="A585" s="185"/>
      <c r="B585" s="67"/>
      <c r="C585" s="67"/>
      <c r="D585" s="67"/>
      <c r="E585" s="186"/>
      <c r="F585" s="186"/>
      <c r="G585" s="186"/>
      <c r="H585" s="186"/>
      <c r="I585" s="186"/>
      <c r="J585" s="186"/>
      <c r="K585" s="186"/>
      <c r="L585" s="186"/>
      <c r="M585" s="186"/>
      <c r="N585" s="186"/>
      <c r="O585" s="186"/>
      <c r="P585" s="186"/>
      <c r="Q585" s="186"/>
      <c r="R585" s="186"/>
      <c r="S585" s="67"/>
      <c r="T585" s="67"/>
      <c r="U585" s="67"/>
      <c r="V585" s="187"/>
      <c r="W585" s="186"/>
      <c r="X585" s="187"/>
      <c r="Y585" s="187"/>
      <c r="Z585" s="187"/>
      <c r="AA585" s="186"/>
      <c r="AB585" s="186"/>
      <c r="AC585" s="67"/>
      <c r="AD585" s="67"/>
      <c r="AE585" s="67"/>
      <c r="AH585" s="186"/>
      <c r="AK585" s="186"/>
    </row>
    <row r="586">
      <c r="A586" s="185"/>
      <c r="B586" s="67"/>
      <c r="C586" s="67"/>
      <c r="D586" s="67"/>
      <c r="E586" s="186"/>
      <c r="F586" s="186"/>
      <c r="G586" s="186"/>
      <c r="H586" s="186"/>
      <c r="I586" s="186"/>
      <c r="J586" s="186"/>
      <c r="K586" s="186"/>
      <c r="L586" s="186"/>
      <c r="M586" s="186"/>
      <c r="N586" s="186"/>
      <c r="O586" s="186"/>
      <c r="P586" s="186"/>
      <c r="Q586" s="186"/>
      <c r="R586" s="186"/>
      <c r="S586" s="67"/>
      <c r="T586" s="67"/>
      <c r="U586" s="67"/>
      <c r="V586" s="187"/>
      <c r="W586" s="186"/>
      <c r="X586" s="187"/>
      <c r="Y586" s="187"/>
      <c r="Z586" s="187"/>
      <c r="AA586" s="186"/>
      <c r="AB586" s="186"/>
      <c r="AC586" s="67"/>
      <c r="AD586" s="67"/>
      <c r="AE586" s="67"/>
      <c r="AH586" s="186"/>
      <c r="AK586" s="186"/>
    </row>
    <row r="587">
      <c r="A587" s="185"/>
      <c r="B587" s="67"/>
      <c r="C587" s="67"/>
      <c r="D587" s="67"/>
      <c r="E587" s="186"/>
      <c r="F587" s="186"/>
      <c r="G587" s="186"/>
      <c r="H587" s="186"/>
      <c r="I587" s="186"/>
      <c r="J587" s="186"/>
      <c r="K587" s="186"/>
      <c r="L587" s="186"/>
      <c r="M587" s="186"/>
      <c r="N587" s="186"/>
      <c r="O587" s="186"/>
      <c r="P587" s="186"/>
      <c r="Q587" s="186"/>
      <c r="R587" s="186"/>
      <c r="S587" s="67"/>
      <c r="T587" s="67"/>
      <c r="U587" s="67"/>
      <c r="V587" s="187"/>
      <c r="W587" s="186"/>
      <c r="X587" s="187"/>
      <c r="Y587" s="187"/>
      <c r="Z587" s="187"/>
      <c r="AA587" s="186"/>
      <c r="AB587" s="186"/>
      <c r="AC587" s="67"/>
      <c r="AD587" s="67"/>
      <c r="AE587" s="67"/>
      <c r="AH587" s="186"/>
      <c r="AK587" s="186"/>
    </row>
    <row r="588">
      <c r="A588" s="185"/>
      <c r="B588" s="67"/>
      <c r="C588" s="67"/>
      <c r="D588" s="67"/>
      <c r="E588" s="186"/>
      <c r="F588" s="186"/>
      <c r="G588" s="186"/>
      <c r="H588" s="186"/>
      <c r="I588" s="186"/>
      <c r="J588" s="186"/>
      <c r="K588" s="186"/>
      <c r="L588" s="186"/>
      <c r="M588" s="186"/>
      <c r="N588" s="186"/>
      <c r="O588" s="186"/>
      <c r="P588" s="186"/>
      <c r="Q588" s="186"/>
      <c r="R588" s="186"/>
      <c r="S588" s="67"/>
      <c r="T588" s="67"/>
      <c r="U588" s="67"/>
      <c r="V588" s="187"/>
      <c r="W588" s="186"/>
      <c r="X588" s="187"/>
      <c r="Y588" s="187"/>
      <c r="Z588" s="187"/>
      <c r="AA588" s="186"/>
      <c r="AB588" s="186"/>
      <c r="AC588" s="67"/>
      <c r="AD588" s="67"/>
      <c r="AE588" s="67"/>
      <c r="AH588" s="186"/>
      <c r="AK588" s="186"/>
    </row>
    <row r="589">
      <c r="A589" s="185"/>
      <c r="B589" s="67"/>
      <c r="C589" s="67"/>
      <c r="D589" s="67"/>
      <c r="E589" s="186"/>
      <c r="F589" s="186"/>
      <c r="G589" s="186"/>
      <c r="H589" s="186"/>
      <c r="I589" s="186"/>
      <c r="J589" s="186"/>
      <c r="K589" s="186"/>
      <c r="L589" s="186"/>
      <c r="M589" s="186"/>
      <c r="N589" s="186"/>
      <c r="O589" s="186"/>
      <c r="P589" s="186"/>
      <c r="Q589" s="186"/>
      <c r="R589" s="186"/>
      <c r="S589" s="67"/>
      <c r="T589" s="67"/>
      <c r="U589" s="67"/>
      <c r="V589" s="187"/>
      <c r="W589" s="186"/>
      <c r="X589" s="187"/>
      <c r="Y589" s="187"/>
      <c r="Z589" s="187"/>
      <c r="AA589" s="186"/>
      <c r="AB589" s="186"/>
      <c r="AC589" s="67"/>
      <c r="AD589" s="67"/>
      <c r="AE589" s="67"/>
      <c r="AH589" s="186"/>
      <c r="AK589" s="186"/>
    </row>
    <row r="590">
      <c r="A590" s="185"/>
      <c r="B590" s="67"/>
      <c r="C590" s="67"/>
      <c r="D590" s="67"/>
      <c r="E590" s="186"/>
      <c r="F590" s="186"/>
      <c r="G590" s="186"/>
      <c r="H590" s="186"/>
      <c r="I590" s="186"/>
      <c r="J590" s="186"/>
      <c r="K590" s="186"/>
      <c r="L590" s="186"/>
      <c r="M590" s="186"/>
      <c r="N590" s="186"/>
      <c r="O590" s="186"/>
      <c r="P590" s="186"/>
      <c r="Q590" s="186"/>
      <c r="R590" s="186"/>
      <c r="S590" s="67"/>
      <c r="T590" s="67"/>
      <c r="U590" s="67"/>
      <c r="V590" s="187"/>
      <c r="W590" s="186"/>
      <c r="X590" s="187"/>
      <c r="Y590" s="187"/>
      <c r="Z590" s="187"/>
      <c r="AA590" s="186"/>
      <c r="AB590" s="186"/>
      <c r="AC590" s="67"/>
      <c r="AD590" s="67"/>
      <c r="AE590" s="67"/>
      <c r="AH590" s="186"/>
      <c r="AK590" s="186"/>
    </row>
    <row r="591">
      <c r="A591" s="185"/>
      <c r="B591" s="67"/>
      <c r="C591" s="67"/>
      <c r="D591" s="67"/>
      <c r="E591" s="186"/>
      <c r="F591" s="186"/>
      <c r="G591" s="186"/>
      <c r="H591" s="186"/>
      <c r="I591" s="186"/>
      <c r="J591" s="186"/>
      <c r="K591" s="186"/>
      <c r="L591" s="186"/>
      <c r="M591" s="186"/>
      <c r="N591" s="186"/>
      <c r="O591" s="186"/>
      <c r="P591" s="186"/>
      <c r="Q591" s="186"/>
      <c r="R591" s="186"/>
      <c r="S591" s="67"/>
      <c r="T591" s="67"/>
      <c r="U591" s="67"/>
      <c r="V591" s="187"/>
      <c r="W591" s="186"/>
      <c r="X591" s="187"/>
      <c r="Y591" s="187"/>
      <c r="Z591" s="187"/>
      <c r="AA591" s="186"/>
      <c r="AB591" s="186"/>
      <c r="AC591" s="67"/>
      <c r="AD591" s="67"/>
      <c r="AE591" s="67"/>
      <c r="AH591" s="186"/>
      <c r="AK591" s="186"/>
    </row>
    <row r="592">
      <c r="A592" s="185"/>
      <c r="B592" s="67"/>
      <c r="C592" s="67"/>
      <c r="D592" s="67"/>
      <c r="E592" s="186"/>
      <c r="F592" s="186"/>
      <c r="G592" s="186"/>
      <c r="H592" s="186"/>
      <c r="I592" s="186"/>
      <c r="J592" s="186"/>
      <c r="K592" s="186"/>
      <c r="L592" s="186"/>
      <c r="M592" s="186"/>
      <c r="N592" s="186"/>
      <c r="O592" s="186"/>
      <c r="P592" s="186"/>
      <c r="Q592" s="186"/>
      <c r="R592" s="186"/>
      <c r="S592" s="67"/>
      <c r="T592" s="67"/>
      <c r="U592" s="67"/>
      <c r="V592" s="187"/>
      <c r="W592" s="186"/>
      <c r="X592" s="187"/>
      <c r="Y592" s="187"/>
      <c r="Z592" s="187"/>
      <c r="AA592" s="186"/>
      <c r="AB592" s="186"/>
      <c r="AC592" s="67"/>
      <c r="AD592" s="67"/>
      <c r="AE592" s="67"/>
      <c r="AH592" s="186"/>
      <c r="AK592" s="186"/>
    </row>
    <row r="593">
      <c r="A593" s="185"/>
      <c r="B593" s="67"/>
      <c r="C593" s="67"/>
      <c r="D593" s="67"/>
      <c r="E593" s="186"/>
      <c r="F593" s="186"/>
      <c r="G593" s="186"/>
      <c r="H593" s="186"/>
      <c r="I593" s="186"/>
      <c r="J593" s="186"/>
      <c r="K593" s="186"/>
      <c r="L593" s="186"/>
      <c r="M593" s="186"/>
      <c r="N593" s="186"/>
      <c r="O593" s="186"/>
      <c r="P593" s="186"/>
      <c r="Q593" s="186"/>
      <c r="R593" s="186"/>
      <c r="S593" s="67"/>
      <c r="T593" s="67"/>
      <c r="U593" s="67"/>
      <c r="V593" s="187"/>
      <c r="W593" s="186"/>
      <c r="X593" s="187"/>
      <c r="Y593" s="187"/>
      <c r="Z593" s="187"/>
      <c r="AA593" s="186"/>
      <c r="AB593" s="186"/>
      <c r="AC593" s="67"/>
      <c r="AD593" s="67"/>
      <c r="AE593" s="67"/>
      <c r="AH593" s="186"/>
      <c r="AK593" s="186"/>
    </row>
    <row r="594">
      <c r="A594" s="185"/>
      <c r="B594" s="67"/>
      <c r="C594" s="67"/>
      <c r="D594" s="67"/>
      <c r="E594" s="186"/>
      <c r="F594" s="186"/>
      <c r="G594" s="186"/>
      <c r="H594" s="186"/>
      <c r="I594" s="186"/>
      <c r="J594" s="186"/>
      <c r="K594" s="186"/>
      <c r="L594" s="186"/>
      <c r="M594" s="186"/>
      <c r="N594" s="186"/>
      <c r="O594" s="186"/>
      <c r="P594" s="186"/>
      <c r="Q594" s="186"/>
      <c r="R594" s="186"/>
      <c r="S594" s="67"/>
      <c r="T594" s="67"/>
      <c r="U594" s="67"/>
      <c r="V594" s="187"/>
      <c r="W594" s="186"/>
      <c r="X594" s="187"/>
      <c r="Y594" s="187"/>
      <c r="Z594" s="187"/>
      <c r="AA594" s="186"/>
      <c r="AB594" s="186"/>
      <c r="AC594" s="67"/>
      <c r="AD594" s="67"/>
      <c r="AE594" s="67"/>
      <c r="AH594" s="186"/>
      <c r="AK594" s="186"/>
    </row>
    <row r="595">
      <c r="A595" s="185"/>
      <c r="B595" s="67"/>
      <c r="C595" s="67"/>
      <c r="D595" s="67"/>
      <c r="E595" s="186"/>
      <c r="F595" s="186"/>
      <c r="G595" s="186"/>
      <c r="H595" s="186"/>
      <c r="I595" s="186"/>
      <c r="J595" s="186"/>
      <c r="K595" s="186"/>
      <c r="L595" s="186"/>
      <c r="M595" s="186"/>
      <c r="N595" s="186"/>
      <c r="O595" s="186"/>
      <c r="P595" s="186"/>
      <c r="Q595" s="186"/>
      <c r="R595" s="186"/>
      <c r="S595" s="67"/>
      <c r="T595" s="67"/>
      <c r="U595" s="67"/>
      <c r="V595" s="187"/>
      <c r="W595" s="186"/>
      <c r="X595" s="187"/>
      <c r="Y595" s="187"/>
      <c r="Z595" s="187"/>
      <c r="AA595" s="186"/>
      <c r="AB595" s="186"/>
      <c r="AC595" s="67"/>
      <c r="AD595" s="67"/>
      <c r="AE595" s="67"/>
      <c r="AH595" s="186"/>
      <c r="AK595" s="186"/>
    </row>
    <row r="596">
      <c r="A596" s="185"/>
      <c r="B596" s="67"/>
      <c r="C596" s="67"/>
      <c r="D596" s="67"/>
      <c r="E596" s="186"/>
      <c r="F596" s="186"/>
      <c r="G596" s="186"/>
      <c r="H596" s="186"/>
      <c r="I596" s="186"/>
      <c r="J596" s="186"/>
      <c r="K596" s="186"/>
      <c r="L596" s="186"/>
      <c r="M596" s="186"/>
      <c r="N596" s="186"/>
      <c r="O596" s="186"/>
      <c r="P596" s="186"/>
      <c r="Q596" s="186"/>
      <c r="R596" s="186"/>
      <c r="S596" s="67"/>
      <c r="T596" s="67"/>
      <c r="U596" s="67"/>
      <c r="V596" s="187"/>
      <c r="W596" s="186"/>
      <c r="X596" s="187"/>
      <c r="Y596" s="187"/>
      <c r="Z596" s="187"/>
      <c r="AA596" s="186"/>
      <c r="AB596" s="186"/>
      <c r="AC596" s="67"/>
      <c r="AD596" s="67"/>
      <c r="AE596" s="67"/>
      <c r="AH596" s="186"/>
      <c r="AK596" s="186"/>
    </row>
    <row r="597">
      <c r="A597" s="185"/>
      <c r="B597" s="67"/>
      <c r="C597" s="67"/>
      <c r="D597" s="67"/>
      <c r="E597" s="186"/>
      <c r="F597" s="186"/>
      <c r="G597" s="186"/>
      <c r="H597" s="186"/>
      <c r="I597" s="186"/>
      <c r="J597" s="186"/>
      <c r="K597" s="186"/>
      <c r="L597" s="186"/>
      <c r="M597" s="186"/>
      <c r="N597" s="186"/>
      <c r="O597" s="186"/>
      <c r="P597" s="186"/>
      <c r="Q597" s="186"/>
      <c r="R597" s="186"/>
      <c r="S597" s="67"/>
      <c r="T597" s="67"/>
      <c r="U597" s="67"/>
      <c r="V597" s="187"/>
      <c r="W597" s="186"/>
      <c r="X597" s="187"/>
      <c r="Y597" s="187"/>
      <c r="Z597" s="187"/>
      <c r="AA597" s="186"/>
      <c r="AB597" s="186"/>
      <c r="AC597" s="67"/>
      <c r="AD597" s="67"/>
      <c r="AE597" s="67"/>
      <c r="AH597" s="186"/>
      <c r="AK597" s="186"/>
    </row>
    <row r="598">
      <c r="A598" s="185"/>
      <c r="B598" s="67"/>
      <c r="C598" s="67"/>
      <c r="D598" s="67"/>
      <c r="E598" s="186"/>
      <c r="F598" s="186"/>
      <c r="G598" s="186"/>
      <c r="H598" s="186"/>
      <c r="I598" s="186"/>
      <c r="J598" s="186"/>
      <c r="K598" s="186"/>
      <c r="L598" s="186"/>
      <c r="M598" s="186"/>
      <c r="N598" s="186"/>
      <c r="O598" s="186"/>
      <c r="P598" s="186"/>
      <c r="Q598" s="186"/>
      <c r="R598" s="186"/>
      <c r="S598" s="67"/>
      <c r="T598" s="67"/>
      <c r="U598" s="67"/>
      <c r="V598" s="187"/>
      <c r="W598" s="186"/>
      <c r="X598" s="187"/>
      <c r="Y598" s="187"/>
      <c r="Z598" s="187"/>
      <c r="AA598" s="186"/>
      <c r="AB598" s="186"/>
      <c r="AC598" s="67"/>
      <c r="AD598" s="67"/>
      <c r="AE598" s="67"/>
      <c r="AH598" s="186"/>
      <c r="AK598" s="186"/>
    </row>
    <row r="599">
      <c r="A599" s="185"/>
      <c r="B599" s="67"/>
      <c r="C599" s="67"/>
      <c r="D599" s="67"/>
      <c r="E599" s="186"/>
      <c r="F599" s="186"/>
      <c r="G599" s="186"/>
      <c r="H599" s="186"/>
      <c r="I599" s="186"/>
      <c r="J599" s="186"/>
      <c r="K599" s="186"/>
      <c r="L599" s="186"/>
      <c r="M599" s="186"/>
      <c r="N599" s="186"/>
      <c r="O599" s="186"/>
      <c r="P599" s="186"/>
      <c r="Q599" s="186"/>
      <c r="R599" s="186"/>
      <c r="S599" s="67"/>
      <c r="T599" s="67"/>
      <c r="U599" s="67"/>
      <c r="V599" s="187"/>
      <c r="W599" s="186"/>
      <c r="X599" s="187"/>
      <c r="Y599" s="187"/>
      <c r="Z599" s="187"/>
      <c r="AA599" s="186"/>
      <c r="AB599" s="186"/>
      <c r="AC599" s="67"/>
      <c r="AD599" s="67"/>
      <c r="AE599" s="67"/>
      <c r="AH599" s="186"/>
      <c r="AK599" s="186"/>
    </row>
    <row r="600">
      <c r="A600" s="185"/>
      <c r="B600" s="67"/>
      <c r="C600" s="67"/>
      <c r="D600" s="67"/>
      <c r="E600" s="186"/>
      <c r="F600" s="186"/>
      <c r="G600" s="186"/>
      <c r="H600" s="186"/>
      <c r="I600" s="186"/>
      <c r="J600" s="186"/>
      <c r="K600" s="186"/>
      <c r="L600" s="186"/>
      <c r="M600" s="186"/>
      <c r="N600" s="186"/>
      <c r="O600" s="186"/>
      <c r="P600" s="186"/>
      <c r="Q600" s="186"/>
      <c r="R600" s="186"/>
      <c r="S600" s="67"/>
      <c r="T600" s="67"/>
      <c r="U600" s="67"/>
      <c r="V600" s="187"/>
      <c r="W600" s="186"/>
      <c r="X600" s="187"/>
      <c r="Y600" s="187"/>
      <c r="Z600" s="187"/>
      <c r="AA600" s="186"/>
      <c r="AB600" s="186"/>
      <c r="AC600" s="67"/>
      <c r="AD600" s="67"/>
      <c r="AE600" s="67"/>
      <c r="AH600" s="186"/>
      <c r="AK600" s="186"/>
    </row>
    <row r="601">
      <c r="A601" s="185"/>
      <c r="B601" s="67"/>
      <c r="C601" s="67"/>
      <c r="D601" s="67"/>
      <c r="E601" s="186"/>
      <c r="F601" s="186"/>
      <c r="G601" s="186"/>
      <c r="H601" s="186"/>
      <c r="I601" s="186"/>
      <c r="J601" s="186"/>
      <c r="K601" s="186"/>
      <c r="L601" s="186"/>
      <c r="M601" s="186"/>
      <c r="N601" s="186"/>
      <c r="O601" s="186"/>
      <c r="P601" s="186"/>
      <c r="Q601" s="186"/>
      <c r="R601" s="186"/>
      <c r="S601" s="67"/>
      <c r="T601" s="67"/>
      <c r="U601" s="67"/>
      <c r="V601" s="187"/>
      <c r="W601" s="186"/>
      <c r="X601" s="187"/>
      <c r="Y601" s="187"/>
      <c r="Z601" s="187"/>
      <c r="AA601" s="186"/>
      <c r="AB601" s="186"/>
      <c r="AC601" s="67"/>
      <c r="AD601" s="67"/>
      <c r="AE601" s="67"/>
      <c r="AH601" s="186"/>
      <c r="AK601" s="186"/>
    </row>
    <row r="602">
      <c r="A602" s="185"/>
      <c r="B602" s="67"/>
      <c r="C602" s="67"/>
      <c r="D602" s="67"/>
      <c r="E602" s="186"/>
      <c r="F602" s="186"/>
      <c r="G602" s="186"/>
      <c r="H602" s="186"/>
      <c r="I602" s="186"/>
      <c r="J602" s="186"/>
      <c r="K602" s="186"/>
      <c r="L602" s="186"/>
      <c r="M602" s="186"/>
      <c r="N602" s="186"/>
      <c r="O602" s="186"/>
      <c r="P602" s="186"/>
      <c r="Q602" s="186"/>
      <c r="R602" s="186"/>
      <c r="S602" s="67"/>
      <c r="T602" s="67"/>
      <c r="U602" s="67"/>
      <c r="V602" s="187"/>
      <c r="W602" s="186"/>
      <c r="X602" s="187"/>
      <c r="Y602" s="187"/>
      <c r="Z602" s="187"/>
      <c r="AA602" s="186"/>
      <c r="AB602" s="186"/>
      <c r="AC602" s="67"/>
      <c r="AD602" s="67"/>
      <c r="AE602" s="67"/>
      <c r="AH602" s="186"/>
      <c r="AK602" s="186"/>
    </row>
    <row r="603">
      <c r="A603" s="185"/>
      <c r="B603" s="67"/>
      <c r="C603" s="67"/>
      <c r="D603" s="67"/>
      <c r="E603" s="186"/>
      <c r="F603" s="186"/>
      <c r="G603" s="186"/>
      <c r="H603" s="186"/>
      <c r="I603" s="186"/>
      <c r="J603" s="186"/>
      <c r="K603" s="186"/>
      <c r="L603" s="186"/>
      <c r="M603" s="186"/>
      <c r="N603" s="186"/>
      <c r="O603" s="186"/>
      <c r="P603" s="186"/>
      <c r="Q603" s="186"/>
      <c r="R603" s="186"/>
      <c r="S603" s="67"/>
      <c r="T603" s="67"/>
      <c r="U603" s="67"/>
      <c r="V603" s="187"/>
      <c r="W603" s="186"/>
      <c r="X603" s="187"/>
      <c r="Y603" s="187"/>
      <c r="Z603" s="187"/>
      <c r="AA603" s="186"/>
      <c r="AB603" s="186"/>
      <c r="AC603" s="67"/>
      <c r="AD603" s="67"/>
      <c r="AE603" s="67"/>
      <c r="AH603" s="186"/>
      <c r="AK603" s="186"/>
    </row>
    <row r="604">
      <c r="A604" s="185"/>
      <c r="B604" s="67"/>
      <c r="C604" s="67"/>
      <c r="D604" s="67"/>
      <c r="E604" s="186"/>
      <c r="F604" s="186"/>
      <c r="G604" s="186"/>
      <c r="H604" s="186"/>
      <c r="I604" s="186"/>
      <c r="J604" s="186"/>
      <c r="K604" s="186"/>
      <c r="L604" s="186"/>
      <c r="M604" s="186"/>
      <c r="N604" s="186"/>
      <c r="O604" s="186"/>
      <c r="P604" s="186"/>
      <c r="Q604" s="186"/>
      <c r="R604" s="186"/>
      <c r="S604" s="67"/>
      <c r="T604" s="67"/>
      <c r="U604" s="67"/>
      <c r="V604" s="187"/>
      <c r="W604" s="186"/>
      <c r="X604" s="187"/>
      <c r="Y604" s="187"/>
      <c r="Z604" s="187"/>
      <c r="AA604" s="186"/>
      <c r="AB604" s="186"/>
      <c r="AC604" s="67"/>
      <c r="AD604" s="67"/>
      <c r="AE604" s="67"/>
      <c r="AH604" s="186"/>
      <c r="AK604" s="186"/>
    </row>
    <row r="605">
      <c r="A605" s="185"/>
      <c r="B605" s="67"/>
      <c r="C605" s="67"/>
      <c r="D605" s="67"/>
      <c r="E605" s="186"/>
      <c r="F605" s="186"/>
      <c r="G605" s="186"/>
      <c r="H605" s="186"/>
      <c r="I605" s="186"/>
      <c r="J605" s="186"/>
      <c r="K605" s="186"/>
      <c r="L605" s="186"/>
      <c r="M605" s="186"/>
      <c r="N605" s="186"/>
      <c r="O605" s="186"/>
      <c r="P605" s="186"/>
      <c r="Q605" s="186"/>
      <c r="R605" s="186"/>
      <c r="S605" s="67"/>
      <c r="T605" s="67"/>
      <c r="U605" s="67"/>
      <c r="V605" s="187"/>
      <c r="W605" s="186"/>
      <c r="X605" s="187"/>
      <c r="Y605" s="187"/>
      <c r="Z605" s="187"/>
      <c r="AA605" s="186"/>
      <c r="AB605" s="186"/>
      <c r="AC605" s="67"/>
      <c r="AD605" s="67"/>
      <c r="AE605" s="67"/>
      <c r="AH605" s="186"/>
      <c r="AK605" s="186"/>
    </row>
    <row r="606">
      <c r="A606" s="185"/>
      <c r="B606" s="67"/>
      <c r="C606" s="67"/>
      <c r="D606" s="67"/>
      <c r="E606" s="186"/>
      <c r="F606" s="186"/>
      <c r="G606" s="186"/>
      <c r="H606" s="186"/>
      <c r="I606" s="186"/>
      <c r="J606" s="186"/>
      <c r="K606" s="186"/>
      <c r="L606" s="186"/>
      <c r="M606" s="186"/>
      <c r="N606" s="186"/>
      <c r="O606" s="186"/>
      <c r="P606" s="186"/>
      <c r="Q606" s="186"/>
      <c r="R606" s="186"/>
      <c r="S606" s="67"/>
      <c r="T606" s="67"/>
      <c r="U606" s="67"/>
      <c r="V606" s="187"/>
      <c r="W606" s="186"/>
      <c r="X606" s="187"/>
      <c r="Y606" s="187"/>
      <c r="Z606" s="187"/>
      <c r="AA606" s="186"/>
      <c r="AB606" s="186"/>
      <c r="AC606" s="67"/>
      <c r="AD606" s="67"/>
      <c r="AE606" s="67"/>
      <c r="AH606" s="186"/>
      <c r="AK606" s="186"/>
    </row>
    <row r="607">
      <c r="A607" s="185"/>
      <c r="B607" s="67"/>
      <c r="C607" s="67"/>
      <c r="D607" s="67"/>
      <c r="E607" s="186"/>
      <c r="F607" s="186"/>
      <c r="G607" s="186"/>
      <c r="H607" s="186"/>
      <c r="I607" s="186"/>
      <c r="J607" s="186"/>
      <c r="K607" s="186"/>
      <c r="L607" s="186"/>
      <c r="M607" s="186"/>
      <c r="N607" s="186"/>
      <c r="O607" s="186"/>
      <c r="P607" s="186"/>
      <c r="Q607" s="186"/>
      <c r="R607" s="186"/>
      <c r="S607" s="67"/>
      <c r="T607" s="67"/>
      <c r="U607" s="67"/>
      <c r="V607" s="187"/>
      <c r="W607" s="186"/>
      <c r="X607" s="187"/>
      <c r="Y607" s="187"/>
      <c r="Z607" s="187"/>
      <c r="AA607" s="186"/>
      <c r="AB607" s="186"/>
      <c r="AC607" s="67"/>
      <c r="AD607" s="67"/>
      <c r="AE607" s="67"/>
      <c r="AH607" s="186"/>
      <c r="AK607" s="186"/>
    </row>
    <row r="608">
      <c r="A608" s="185"/>
      <c r="B608" s="67"/>
      <c r="C608" s="67"/>
      <c r="D608" s="67"/>
      <c r="E608" s="186"/>
      <c r="F608" s="186"/>
      <c r="G608" s="186"/>
      <c r="H608" s="186"/>
      <c r="I608" s="186"/>
      <c r="J608" s="186"/>
      <c r="K608" s="186"/>
      <c r="L608" s="186"/>
      <c r="M608" s="186"/>
      <c r="N608" s="186"/>
      <c r="O608" s="186"/>
      <c r="P608" s="186"/>
      <c r="Q608" s="186"/>
      <c r="R608" s="186"/>
      <c r="S608" s="67"/>
      <c r="T608" s="67"/>
      <c r="U608" s="67"/>
      <c r="V608" s="187"/>
      <c r="W608" s="186"/>
      <c r="X608" s="187"/>
      <c r="Y608" s="187"/>
      <c r="Z608" s="187"/>
      <c r="AA608" s="186"/>
      <c r="AB608" s="186"/>
      <c r="AC608" s="67"/>
      <c r="AD608" s="67"/>
      <c r="AE608" s="67"/>
      <c r="AH608" s="186"/>
      <c r="AK608" s="186"/>
    </row>
    <row r="609">
      <c r="A609" s="185"/>
      <c r="B609" s="67"/>
      <c r="C609" s="67"/>
      <c r="D609" s="67"/>
      <c r="E609" s="186"/>
      <c r="F609" s="186"/>
      <c r="G609" s="186"/>
      <c r="H609" s="186"/>
      <c r="I609" s="186"/>
      <c r="J609" s="186"/>
      <c r="K609" s="186"/>
      <c r="L609" s="186"/>
      <c r="M609" s="186"/>
      <c r="N609" s="186"/>
      <c r="O609" s="186"/>
      <c r="P609" s="186"/>
      <c r="Q609" s="186"/>
      <c r="R609" s="186"/>
      <c r="S609" s="67"/>
      <c r="T609" s="67"/>
      <c r="U609" s="67"/>
      <c r="V609" s="187"/>
      <c r="W609" s="186"/>
      <c r="X609" s="187"/>
      <c r="Y609" s="187"/>
      <c r="Z609" s="187"/>
      <c r="AA609" s="186"/>
      <c r="AB609" s="186"/>
      <c r="AC609" s="67"/>
      <c r="AD609" s="67"/>
      <c r="AE609" s="67"/>
      <c r="AH609" s="186"/>
      <c r="AK609" s="186"/>
    </row>
    <row r="610">
      <c r="A610" s="185"/>
      <c r="B610" s="67"/>
      <c r="C610" s="67"/>
      <c r="D610" s="67"/>
      <c r="E610" s="186"/>
      <c r="F610" s="186"/>
      <c r="G610" s="186"/>
      <c r="H610" s="186"/>
      <c r="I610" s="186"/>
      <c r="J610" s="186"/>
      <c r="K610" s="186"/>
      <c r="L610" s="186"/>
      <c r="M610" s="186"/>
      <c r="N610" s="186"/>
      <c r="O610" s="186"/>
      <c r="P610" s="186"/>
      <c r="Q610" s="186"/>
      <c r="R610" s="186"/>
      <c r="S610" s="67"/>
      <c r="T610" s="67"/>
      <c r="U610" s="67"/>
      <c r="V610" s="187"/>
      <c r="W610" s="186"/>
      <c r="X610" s="187"/>
      <c r="Y610" s="187"/>
      <c r="Z610" s="187"/>
      <c r="AA610" s="186"/>
      <c r="AB610" s="186"/>
      <c r="AC610" s="67"/>
      <c r="AD610" s="67"/>
      <c r="AE610" s="67"/>
      <c r="AH610" s="186"/>
      <c r="AK610" s="186"/>
    </row>
    <row r="611">
      <c r="A611" s="185"/>
      <c r="B611" s="67"/>
      <c r="C611" s="67"/>
      <c r="D611" s="67"/>
      <c r="E611" s="186"/>
      <c r="F611" s="186"/>
      <c r="G611" s="186"/>
      <c r="H611" s="186"/>
      <c r="I611" s="186"/>
      <c r="J611" s="186"/>
      <c r="K611" s="186"/>
      <c r="L611" s="186"/>
      <c r="M611" s="186"/>
      <c r="N611" s="186"/>
      <c r="O611" s="186"/>
      <c r="P611" s="186"/>
      <c r="Q611" s="186"/>
      <c r="R611" s="186"/>
      <c r="S611" s="67"/>
      <c r="T611" s="67"/>
      <c r="U611" s="67"/>
      <c r="V611" s="187"/>
      <c r="W611" s="186"/>
      <c r="X611" s="187"/>
      <c r="Y611" s="187"/>
      <c r="Z611" s="187"/>
      <c r="AA611" s="186"/>
      <c r="AB611" s="186"/>
      <c r="AC611" s="67"/>
      <c r="AD611" s="67"/>
      <c r="AE611" s="67"/>
      <c r="AH611" s="186"/>
      <c r="AK611" s="186"/>
    </row>
    <row r="612">
      <c r="A612" s="185"/>
      <c r="B612" s="67"/>
      <c r="C612" s="67"/>
      <c r="D612" s="67"/>
      <c r="E612" s="186"/>
      <c r="F612" s="186"/>
      <c r="G612" s="186"/>
      <c r="H612" s="186"/>
      <c r="I612" s="186"/>
      <c r="J612" s="186"/>
      <c r="K612" s="186"/>
      <c r="L612" s="186"/>
      <c r="M612" s="186"/>
      <c r="N612" s="186"/>
      <c r="O612" s="186"/>
      <c r="P612" s="186"/>
      <c r="Q612" s="186"/>
      <c r="R612" s="186"/>
      <c r="S612" s="67"/>
      <c r="T612" s="67"/>
      <c r="U612" s="67"/>
      <c r="V612" s="187"/>
      <c r="W612" s="186"/>
      <c r="X612" s="187"/>
      <c r="Y612" s="187"/>
      <c r="Z612" s="187"/>
      <c r="AA612" s="186"/>
      <c r="AB612" s="186"/>
      <c r="AC612" s="67"/>
      <c r="AD612" s="67"/>
      <c r="AE612" s="67"/>
      <c r="AH612" s="186"/>
      <c r="AK612" s="186"/>
    </row>
    <row r="613">
      <c r="A613" s="185"/>
      <c r="B613" s="67"/>
      <c r="C613" s="67"/>
      <c r="D613" s="67"/>
      <c r="E613" s="186"/>
      <c r="F613" s="186"/>
      <c r="G613" s="186"/>
      <c r="H613" s="186"/>
      <c r="I613" s="186"/>
      <c r="J613" s="186"/>
      <c r="K613" s="186"/>
      <c r="L613" s="186"/>
      <c r="M613" s="186"/>
      <c r="N613" s="186"/>
      <c r="O613" s="186"/>
      <c r="P613" s="186"/>
      <c r="Q613" s="186"/>
      <c r="R613" s="186"/>
      <c r="S613" s="67"/>
      <c r="T613" s="67"/>
      <c r="U613" s="67"/>
      <c r="V613" s="187"/>
      <c r="W613" s="186"/>
      <c r="X613" s="187"/>
      <c r="Y613" s="187"/>
      <c r="Z613" s="187"/>
      <c r="AA613" s="186"/>
      <c r="AB613" s="186"/>
      <c r="AC613" s="67"/>
      <c r="AD613" s="67"/>
      <c r="AE613" s="67"/>
      <c r="AH613" s="186"/>
      <c r="AK613" s="186"/>
    </row>
    <row r="614">
      <c r="A614" s="185"/>
      <c r="B614" s="67"/>
      <c r="C614" s="67"/>
      <c r="D614" s="67"/>
      <c r="E614" s="186"/>
      <c r="F614" s="186"/>
      <c r="G614" s="186"/>
      <c r="H614" s="186"/>
      <c r="I614" s="186"/>
      <c r="J614" s="186"/>
      <c r="K614" s="186"/>
      <c r="L614" s="186"/>
      <c r="M614" s="186"/>
      <c r="N614" s="186"/>
      <c r="O614" s="186"/>
      <c r="P614" s="186"/>
      <c r="Q614" s="186"/>
      <c r="R614" s="186"/>
      <c r="S614" s="67"/>
      <c r="T614" s="67"/>
      <c r="U614" s="67"/>
      <c r="V614" s="187"/>
      <c r="W614" s="186"/>
      <c r="X614" s="187"/>
      <c r="Y614" s="187"/>
      <c r="Z614" s="187"/>
      <c r="AA614" s="186"/>
      <c r="AB614" s="186"/>
      <c r="AC614" s="67"/>
      <c r="AD614" s="67"/>
      <c r="AE614" s="67"/>
      <c r="AH614" s="186"/>
      <c r="AK614" s="186"/>
    </row>
    <row r="615">
      <c r="A615" s="185"/>
      <c r="B615" s="67"/>
      <c r="C615" s="67"/>
      <c r="D615" s="67"/>
      <c r="E615" s="186"/>
      <c r="F615" s="186"/>
      <c r="G615" s="186"/>
      <c r="H615" s="186"/>
      <c r="I615" s="186"/>
      <c r="J615" s="186"/>
      <c r="K615" s="186"/>
      <c r="L615" s="186"/>
      <c r="M615" s="186"/>
      <c r="N615" s="186"/>
      <c r="O615" s="186"/>
      <c r="P615" s="186"/>
      <c r="Q615" s="186"/>
      <c r="R615" s="186"/>
      <c r="S615" s="67"/>
      <c r="T615" s="67"/>
      <c r="U615" s="67"/>
      <c r="V615" s="187"/>
      <c r="W615" s="186"/>
      <c r="X615" s="187"/>
      <c r="Y615" s="187"/>
      <c r="Z615" s="187"/>
      <c r="AA615" s="186"/>
      <c r="AB615" s="186"/>
      <c r="AC615" s="67"/>
      <c r="AD615" s="67"/>
      <c r="AE615" s="67"/>
      <c r="AH615" s="186"/>
      <c r="AK615" s="186"/>
    </row>
    <row r="616">
      <c r="A616" s="185"/>
      <c r="B616" s="67"/>
      <c r="C616" s="67"/>
      <c r="D616" s="67"/>
      <c r="E616" s="186"/>
      <c r="F616" s="186"/>
      <c r="G616" s="186"/>
      <c r="H616" s="186"/>
      <c r="I616" s="186"/>
      <c r="J616" s="186"/>
      <c r="K616" s="186"/>
      <c r="L616" s="186"/>
      <c r="M616" s="186"/>
      <c r="N616" s="186"/>
      <c r="O616" s="186"/>
      <c r="P616" s="186"/>
      <c r="Q616" s="186"/>
      <c r="R616" s="186"/>
      <c r="S616" s="67"/>
      <c r="T616" s="67"/>
      <c r="U616" s="67"/>
      <c r="V616" s="187"/>
      <c r="W616" s="186"/>
      <c r="X616" s="187"/>
      <c r="Y616" s="187"/>
      <c r="Z616" s="187"/>
      <c r="AA616" s="186"/>
      <c r="AB616" s="186"/>
      <c r="AC616" s="67"/>
      <c r="AD616" s="67"/>
      <c r="AE616" s="67"/>
      <c r="AH616" s="186"/>
      <c r="AK616" s="186"/>
    </row>
    <row r="617">
      <c r="A617" s="185"/>
      <c r="B617" s="67"/>
      <c r="C617" s="67"/>
      <c r="D617" s="67"/>
      <c r="E617" s="186"/>
      <c r="F617" s="186"/>
      <c r="G617" s="186"/>
      <c r="H617" s="186"/>
      <c r="I617" s="186"/>
      <c r="J617" s="186"/>
      <c r="K617" s="186"/>
      <c r="L617" s="186"/>
      <c r="M617" s="186"/>
      <c r="N617" s="186"/>
      <c r="O617" s="186"/>
      <c r="P617" s="186"/>
      <c r="Q617" s="186"/>
      <c r="R617" s="186"/>
      <c r="S617" s="67"/>
      <c r="T617" s="67"/>
      <c r="U617" s="67"/>
      <c r="V617" s="187"/>
      <c r="W617" s="186"/>
      <c r="X617" s="187"/>
      <c r="Y617" s="187"/>
      <c r="Z617" s="187"/>
      <c r="AA617" s="186"/>
      <c r="AB617" s="186"/>
      <c r="AC617" s="67"/>
      <c r="AD617" s="67"/>
      <c r="AE617" s="67"/>
      <c r="AH617" s="186"/>
      <c r="AK617" s="186"/>
    </row>
    <row r="618">
      <c r="A618" s="185"/>
      <c r="B618" s="67"/>
      <c r="C618" s="67"/>
      <c r="D618" s="67"/>
      <c r="E618" s="186"/>
      <c r="F618" s="186"/>
      <c r="G618" s="186"/>
      <c r="H618" s="186"/>
      <c r="I618" s="186"/>
      <c r="J618" s="186"/>
      <c r="K618" s="186"/>
      <c r="L618" s="186"/>
      <c r="M618" s="186"/>
      <c r="N618" s="186"/>
      <c r="O618" s="186"/>
      <c r="P618" s="186"/>
      <c r="Q618" s="186"/>
      <c r="R618" s="186"/>
      <c r="S618" s="67"/>
      <c r="T618" s="67"/>
      <c r="U618" s="67"/>
      <c r="V618" s="187"/>
      <c r="W618" s="186"/>
      <c r="X618" s="187"/>
      <c r="Y618" s="187"/>
      <c r="Z618" s="187"/>
      <c r="AA618" s="186"/>
      <c r="AB618" s="186"/>
      <c r="AC618" s="67"/>
      <c r="AD618" s="67"/>
      <c r="AE618" s="67"/>
      <c r="AH618" s="186"/>
      <c r="AK618" s="186"/>
    </row>
    <row r="619">
      <c r="A619" s="185"/>
      <c r="B619" s="67"/>
      <c r="C619" s="67"/>
      <c r="D619" s="67"/>
      <c r="E619" s="186"/>
      <c r="F619" s="186"/>
      <c r="G619" s="186"/>
      <c r="H619" s="186"/>
      <c r="I619" s="186"/>
      <c r="J619" s="186"/>
      <c r="K619" s="186"/>
      <c r="L619" s="186"/>
      <c r="M619" s="186"/>
      <c r="N619" s="186"/>
      <c r="O619" s="186"/>
      <c r="P619" s="186"/>
      <c r="Q619" s="186"/>
      <c r="R619" s="186"/>
      <c r="S619" s="67"/>
      <c r="T619" s="67"/>
      <c r="U619" s="67"/>
      <c r="V619" s="187"/>
      <c r="W619" s="186"/>
      <c r="X619" s="187"/>
      <c r="Y619" s="187"/>
      <c r="Z619" s="187"/>
      <c r="AA619" s="186"/>
      <c r="AB619" s="186"/>
      <c r="AC619" s="67"/>
      <c r="AD619" s="67"/>
      <c r="AE619" s="67"/>
      <c r="AH619" s="186"/>
      <c r="AK619" s="186"/>
    </row>
    <row r="620">
      <c r="A620" s="185"/>
      <c r="B620" s="67"/>
      <c r="C620" s="67"/>
      <c r="D620" s="67"/>
      <c r="E620" s="186"/>
      <c r="F620" s="186"/>
      <c r="G620" s="186"/>
      <c r="H620" s="186"/>
      <c r="I620" s="186"/>
      <c r="J620" s="186"/>
      <c r="K620" s="186"/>
      <c r="L620" s="186"/>
      <c r="M620" s="186"/>
      <c r="N620" s="186"/>
      <c r="O620" s="186"/>
      <c r="P620" s="186"/>
      <c r="Q620" s="186"/>
      <c r="R620" s="186"/>
      <c r="S620" s="67"/>
      <c r="T620" s="67"/>
      <c r="U620" s="67"/>
      <c r="V620" s="187"/>
      <c r="W620" s="186"/>
      <c r="X620" s="187"/>
      <c r="Y620" s="187"/>
      <c r="Z620" s="187"/>
      <c r="AA620" s="186"/>
      <c r="AB620" s="186"/>
      <c r="AC620" s="67"/>
      <c r="AD620" s="67"/>
      <c r="AE620" s="67"/>
      <c r="AH620" s="186"/>
      <c r="AK620" s="186"/>
    </row>
    <row r="621">
      <c r="A621" s="185"/>
      <c r="B621" s="67"/>
      <c r="C621" s="67"/>
      <c r="D621" s="67"/>
      <c r="E621" s="186"/>
      <c r="F621" s="186"/>
      <c r="G621" s="186"/>
      <c r="H621" s="186"/>
      <c r="I621" s="186"/>
      <c r="J621" s="186"/>
      <c r="K621" s="186"/>
      <c r="L621" s="186"/>
      <c r="M621" s="186"/>
      <c r="N621" s="186"/>
      <c r="O621" s="186"/>
      <c r="P621" s="186"/>
      <c r="Q621" s="186"/>
      <c r="R621" s="186"/>
      <c r="S621" s="67"/>
      <c r="T621" s="67"/>
      <c r="U621" s="67"/>
      <c r="V621" s="187"/>
      <c r="W621" s="186"/>
      <c r="X621" s="187"/>
      <c r="Y621" s="187"/>
      <c r="Z621" s="187"/>
      <c r="AA621" s="186"/>
      <c r="AB621" s="186"/>
      <c r="AC621" s="67"/>
      <c r="AD621" s="67"/>
      <c r="AE621" s="67"/>
      <c r="AH621" s="186"/>
      <c r="AK621" s="186"/>
    </row>
    <row r="622">
      <c r="A622" s="185"/>
      <c r="B622" s="67"/>
      <c r="C622" s="67"/>
      <c r="D622" s="67"/>
      <c r="E622" s="186"/>
      <c r="F622" s="186"/>
      <c r="G622" s="186"/>
      <c r="H622" s="186"/>
      <c r="I622" s="186"/>
      <c r="J622" s="186"/>
      <c r="K622" s="186"/>
      <c r="L622" s="186"/>
      <c r="M622" s="186"/>
      <c r="N622" s="186"/>
      <c r="O622" s="186"/>
      <c r="P622" s="186"/>
      <c r="Q622" s="186"/>
      <c r="R622" s="186"/>
      <c r="S622" s="67"/>
      <c r="T622" s="67"/>
      <c r="U622" s="67"/>
      <c r="V622" s="187"/>
      <c r="W622" s="186"/>
      <c r="X622" s="187"/>
      <c r="Y622" s="187"/>
      <c r="Z622" s="187"/>
      <c r="AA622" s="186"/>
      <c r="AB622" s="186"/>
      <c r="AC622" s="67"/>
      <c r="AD622" s="67"/>
      <c r="AE622" s="67"/>
      <c r="AH622" s="186"/>
      <c r="AK622" s="186"/>
    </row>
    <row r="623">
      <c r="A623" s="185"/>
      <c r="B623" s="67"/>
      <c r="C623" s="67"/>
      <c r="D623" s="67"/>
      <c r="E623" s="186"/>
      <c r="F623" s="186"/>
      <c r="G623" s="186"/>
      <c r="H623" s="186"/>
      <c r="I623" s="186"/>
      <c r="J623" s="186"/>
      <c r="K623" s="186"/>
      <c r="L623" s="186"/>
      <c r="M623" s="186"/>
      <c r="N623" s="186"/>
      <c r="O623" s="186"/>
      <c r="P623" s="186"/>
      <c r="Q623" s="186"/>
      <c r="R623" s="186"/>
      <c r="S623" s="67"/>
      <c r="T623" s="67"/>
      <c r="U623" s="67"/>
      <c r="V623" s="187"/>
      <c r="W623" s="186"/>
      <c r="X623" s="187"/>
      <c r="Y623" s="187"/>
      <c r="Z623" s="187"/>
      <c r="AA623" s="186"/>
      <c r="AB623" s="186"/>
      <c r="AC623" s="67"/>
      <c r="AD623" s="67"/>
      <c r="AE623" s="67"/>
      <c r="AH623" s="186"/>
      <c r="AK623" s="186"/>
    </row>
    <row r="624">
      <c r="A624" s="185"/>
      <c r="B624" s="67"/>
      <c r="C624" s="67"/>
      <c r="D624" s="67"/>
      <c r="E624" s="186"/>
      <c r="F624" s="186"/>
      <c r="G624" s="186"/>
      <c r="H624" s="186"/>
      <c r="I624" s="186"/>
      <c r="J624" s="186"/>
      <c r="K624" s="186"/>
      <c r="L624" s="186"/>
      <c r="M624" s="186"/>
      <c r="N624" s="186"/>
      <c r="O624" s="186"/>
      <c r="P624" s="186"/>
      <c r="Q624" s="186"/>
      <c r="R624" s="186"/>
      <c r="S624" s="67"/>
      <c r="T624" s="67"/>
      <c r="U624" s="67"/>
      <c r="V624" s="187"/>
      <c r="W624" s="186"/>
      <c r="X624" s="187"/>
      <c r="Y624" s="187"/>
      <c r="Z624" s="187"/>
      <c r="AA624" s="186"/>
      <c r="AB624" s="186"/>
      <c r="AC624" s="67"/>
      <c r="AD624" s="67"/>
      <c r="AE624" s="67"/>
      <c r="AH624" s="186"/>
      <c r="AK624" s="186"/>
    </row>
    <row r="625">
      <c r="A625" s="185"/>
      <c r="B625" s="67"/>
      <c r="C625" s="67"/>
      <c r="D625" s="67"/>
      <c r="E625" s="186"/>
      <c r="F625" s="186"/>
      <c r="G625" s="186"/>
      <c r="H625" s="186"/>
      <c r="I625" s="186"/>
      <c r="J625" s="186"/>
      <c r="K625" s="186"/>
      <c r="L625" s="186"/>
      <c r="M625" s="186"/>
      <c r="N625" s="186"/>
      <c r="O625" s="186"/>
      <c r="P625" s="186"/>
      <c r="Q625" s="186"/>
      <c r="R625" s="186"/>
      <c r="S625" s="67"/>
      <c r="T625" s="67"/>
      <c r="U625" s="67"/>
      <c r="V625" s="187"/>
      <c r="W625" s="186"/>
      <c r="X625" s="187"/>
      <c r="Y625" s="187"/>
      <c r="Z625" s="187"/>
      <c r="AA625" s="186"/>
      <c r="AB625" s="186"/>
      <c r="AC625" s="67"/>
      <c r="AD625" s="67"/>
      <c r="AE625" s="67"/>
      <c r="AH625" s="186"/>
      <c r="AK625" s="186"/>
    </row>
    <row r="626">
      <c r="A626" s="185"/>
      <c r="B626" s="67"/>
      <c r="C626" s="67"/>
      <c r="D626" s="67"/>
      <c r="E626" s="186"/>
      <c r="F626" s="186"/>
      <c r="G626" s="186"/>
      <c r="H626" s="186"/>
      <c r="I626" s="186"/>
      <c r="J626" s="186"/>
      <c r="K626" s="186"/>
      <c r="L626" s="186"/>
      <c r="M626" s="186"/>
      <c r="N626" s="186"/>
      <c r="O626" s="186"/>
      <c r="P626" s="186"/>
      <c r="Q626" s="186"/>
      <c r="R626" s="186"/>
      <c r="S626" s="67"/>
      <c r="T626" s="67"/>
      <c r="U626" s="67"/>
      <c r="V626" s="187"/>
      <c r="W626" s="186"/>
      <c r="X626" s="187"/>
      <c r="Y626" s="187"/>
      <c r="Z626" s="187"/>
      <c r="AA626" s="186"/>
      <c r="AB626" s="186"/>
      <c r="AC626" s="67"/>
      <c r="AD626" s="67"/>
      <c r="AE626" s="67"/>
      <c r="AH626" s="186"/>
      <c r="AK626" s="186"/>
    </row>
    <row r="627">
      <c r="A627" s="185"/>
      <c r="B627" s="67"/>
      <c r="C627" s="67"/>
      <c r="D627" s="67"/>
      <c r="E627" s="186"/>
      <c r="F627" s="186"/>
      <c r="G627" s="186"/>
      <c r="H627" s="186"/>
      <c r="I627" s="186"/>
      <c r="J627" s="186"/>
      <c r="K627" s="186"/>
      <c r="L627" s="186"/>
      <c r="M627" s="186"/>
      <c r="N627" s="186"/>
      <c r="O627" s="186"/>
      <c r="P627" s="186"/>
      <c r="Q627" s="186"/>
      <c r="R627" s="186"/>
      <c r="S627" s="67"/>
      <c r="T627" s="67"/>
      <c r="U627" s="67"/>
      <c r="V627" s="187"/>
      <c r="W627" s="186"/>
      <c r="X627" s="187"/>
      <c r="Y627" s="187"/>
      <c r="Z627" s="187"/>
      <c r="AA627" s="186"/>
      <c r="AB627" s="186"/>
      <c r="AC627" s="67"/>
      <c r="AD627" s="67"/>
      <c r="AE627" s="67"/>
      <c r="AH627" s="186"/>
      <c r="AK627" s="186"/>
    </row>
    <row r="628">
      <c r="A628" s="185"/>
      <c r="B628" s="67"/>
      <c r="C628" s="67"/>
      <c r="D628" s="67"/>
      <c r="E628" s="186"/>
      <c r="F628" s="186"/>
      <c r="G628" s="186"/>
      <c r="H628" s="186"/>
      <c r="I628" s="186"/>
      <c r="J628" s="186"/>
      <c r="K628" s="186"/>
      <c r="L628" s="186"/>
      <c r="M628" s="186"/>
      <c r="N628" s="186"/>
      <c r="O628" s="186"/>
      <c r="P628" s="186"/>
      <c r="Q628" s="186"/>
      <c r="R628" s="186"/>
      <c r="S628" s="67"/>
      <c r="T628" s="67"/>
      <c r="U628" s="67"/>
      <c r="V628" s="187"/>
      <c r="W628" s="186"/>
      <c r="X628" s="187"/>
      <c r="Y628" s="187"/>
      <c r="Z628" s="187"/>
      <c r="AA628" s="186"/>
      <c r="AB628" s="186"/>
      <c r="AC628" s="67"/>
      <c r="AD628" s="67"/>
      <c r="AE628" s="67"/>
      <c r="AH628" s="186"/>
      <c r="AK628" s="186"/>
    </row>
    <row r="629">
      <c r="A629" s="185"/>
      <c r="B629" s="67"/>
      <c r="C629" s="67"/>
      <c r="D629" s="67"/>
      <c r="E629" s="186"/>
      <c r="F629" s="186"/>
      <c r="G629" s="186"/>
      <c r="H629" s="186"/>
      <c r="I629" s="186"/>
      <c r="J629" s="186"/>
      <c r="K629" s="186"/>
      <c r="L629" s="186"/>
      <c r="M629" s="186"/>
      <c r="N629" s="186"/>
      <c r="O629" s="186"/>
      <c r="P629" s="186"/>
      <c r="Q629" s="186"/>
      <c r="R629" s="186"/>
      <c r="S629" s="67"/>
      <c r="T629" s="67"/>
      <c r="U629" s="67"/>
      <c r="V629" s="187"/>
      <c r="W629" s="186"/>
      <c r="X629" s="187"/>
      <c r="Y629" s="187"/>
      <c r="Z629" s="187"/>
      <c r="AA629" s="186"/>
      <c r="AB629" s="186"/>
      <c r="AC629" s="67"/>
      <c r="AD629" s="67"/>
      <c r="AE629" s="67"/>
      <c r="AH629" s="186"/>
      <c r="AK629" s="186"/>
    </row>
    <row r="630">
      <c r="A630" s="185"/>
      <c r="B630" s="67"/>
      <c r="C630" s="67"/>
      <c r="D630" s="67"/>
      <c r="E630" s="186"/>
      <c r="F630" s="186"/>
      <c r="G630" s="186"/>
      <c r="H630" s="186"/>
      <c r="I630" s="186"/>
      <c r="J630" s="186"/>
      <c r="K630" s="186"/>
      <c r="L630" s="186"/>
      <c r="M630" s="186"/>
      <c r="N630" s="186"/>
      <c r="O630" s="186"/>
      <c r="P630" s="186"/>
      <c r="Q630" s="186"/>
      <c r="R630" s="186"/>
      <c r="S630" s="67"/>
      <c r="T630" s="67"/>
      <c r="U630" s="67"/>
      <c r="V630" s="187"/>
      <c r="W630" s="186"/>
      <c r="X630" s="187"/>
      <c r="Y630" s="187"/>
      <c r="Z630" s="187"/>
      <c r="AA630" s="186"/>
      <c r="AB630" s="186"/>
      <c r="AC630" s="67"/>
      <c r="AD630" s="67"/>
      <c r="AE630" s="67"/>
      <c r="AH630" s="186"/>
      <c r="AK630" s="186"/>
    </row>
    <row r="631">
      <c r="A631" s="185"/>
      <c r="B631" s="67"/>
      <c r="C631" s="67"/>
      <c r="D631" s="67"/>
      <c r="E631" s="186"/>
      <c r="F631" s="186"/>
      <c r="G631" s="186"/>
      <c r="H631" s="186"/>
      <c r="I631" s="186"/>
      <c r="J631" s="186"/>
      <c r="K631" s="186"/>
      <c r="L631" s="186"/>
      <c r="M631" s="186"/>
      <c r="N631" s="186"/>
      <c r="O631" s="186"/>
      <c r="P631" s="186"/>
      <c r="Q631" s="186"/>
      <c r="R631" s="186"/>
      <c r="S631" s="67"/>
      <c r="T631" s="67"/>
      <c r="U631" s="67"/>
      <c r="V631" s="187"/>
      <c r="W631" s="186"/>
      <c r="X631" s="187"/>
      <c r="Y631" s="187"/>
      <c r="Z631" s="187"/>
      <c r="AA631" s="186"/>
      <c r="AB631" s="186"/>
      <c r="AC631" s="67"/>
      <c r="AD631" s="67"/>
      <c r="AE631" s="67"/>
      <c r="AH631" s="186"/>
      <c r="AK631" s="186"/>
    </row>
    <row r="632">
      <c r="A632" s="185"/>
      <c r="B632" s="67"/>
      <c r="C632" s="67"/>
      <c r="D632" s="67"/>
      <c r="E632" s="186"/>
      <c r="F632" s="186"/>
      <c r="G632" s="186"/>
      <c r="H632" s="186"/>
      <c r="I632" s="186"/>
      <c r="J632" s="186"/>
      <c r="K632" s="186"/>
      <c r="L632" s="186"/>
      <c r="M632" s="186"/>
      <c r="N632" s="186"/>
      <c r="O632" s="186"/>
      <c r="P632" s="186"/>
      <c r="Q632" s="186"/>
      <c r="R632" s="186"/>
      <c r="S632" s="67"/>
      <c r="T632" s="67"/>
      <c r="U632" s="67"/>
      <c r="V632" s="187"/>
      <c r="W632" s="186"/>
      <c r="X632" s="187"/>
      <c r="Y632" s="187"/>
      <c r="Z632" s="187"/>
      <c r="AA632" s="186"/>
      <c r="AB632" s="186"/>
      <c r="AC632" s="67"/>
      <c r="AD632" s="67"/>
      <c r="AE632" s="67"/>
      <c r="AH632" s="186"/>
      <c r="AK632" s="186"/>
    </row>
    <row r="633">
      <c r="A633" s="185"/>
      <c r="B633" s="67"/>
      <c r="C633" s="67"/>
      <c r="D633" s="67"/>
      <c r="E633" s="186"/>
      <c r="F633" s="186"/>
      <c r="G633" s="186"/>
      <c r="H633" s="186"/>
      <c r="I633" s="186"/>
      <c r="J633" s="186"/>
      <c r="K633" s="186"/>
      <c r="L633" s="186"/>
      <c r="M633" s="186"/>
      <c r="N633" s="186"/>
      <c r="O633" s="186"/>
      <c r="P633" s="186"/>
      <c r="Q633" s="186"/>
      <c r="R633" s="186"/>
      <c r="S633" s="67"/>
      <c r="T633" s="67"/>
      <c r="U633" s="67"/>
      <c r="V633" s="187"/>
      <c r="W633" s="186"/>
      <c r="X633" s="187"/>
      <c r="Y633" s="187"/>
      <c r="Z633" s="187"/>
      <c r="AA633" s="186"/>
      <c r="AB633" s="186"/>
      <c r="AC633" s="67"/>
      <c r="AD633" s="67"/>
      <c r="AE633" s="67"/>
      <c r="AH633" s="186"/>
      <c r="AK633" s="186"/>
    </row>
    <row r="634">
      <c r="A634" s="185"/>
      <c r="B634" s="67"/>
      <c r="C634" s="67"/>
      <c r="D634" s="67"/>
      <c r="E634" s="186"/>
      <c r="F634" s="186"/>
      <c r="G634" s="186"/>
      <c r="H634" s="186"/>
      <c r="I634" s="186"/>
      <c r="J634" s="186"/>
      <c r="K634" s="186"/>
      <c r="L634" s="186"/>
      <c r="M634" s="186"/>
      <c r="N634" s="186"/>
      <c r="O634" s="186"/>
      <c r="P634" s="186"/>
      <c r="Q634" s="186"/>
      <c r="R634" s="186"/>
      <c r="S634" s="67"/>
      <c r="T634" s="67"/>
      <c r="U634" s="67"/>
      <c r="V634" s="187"/>
      <c r="W634" s="186"/>
      <c r="X634" s="187"/>
      <c r="Y634" s="187"/>
      <c r="Z634" s="187"/>
      <c r="AA634" s="186"/>
      <c r="AB634" s="186"/>
      <c r="AC634" s="67"/>
      <c r="AD634" s="67"/>
      <c r="AE634" s="67"/>
      <c r="AH634" s="186"/>
      <c r="AK634" s="186"/>
    </row>
    <row r="635">
      <c r="A635" s="185"/>
      <c r="B635" s="67"/>
      <c r="C635" s="67"/>
      <c r="D635" s="67"/>
      <c r="E635" s="186"/>
      <c r="F635" s="186"/>
      <c r="G635" s="186"/>
      <c r="H635" s="186"/>
      <c r="I635" s="186"/>
      <c r="J635" s="186"/>
      <c r="K635" s="186"/>
      <c r="L635" s="186"/>
      <c r="M635" s="186"/>
      <c r="N635" s="186"/>
      <c r="O635" s="186"/>
      <c r="P635" s="186"/>
      <c r="Q635" s="186"/>
      <c r="R635" s="186"/>
      <c r="S635" s="67"/>
      <c r="T635" s="67"/>
      <c r="U635" s="67"/>
      <c r="V635" s="187"/>
      <c r="W635" s="186"/>
      <c r="X635" s="187"/>
      <c r="Y635" s="187"/>
      <c r="Z635" s="187"/>
      <c r="AA635" s="186"/>
      <c r="AB635" s="186"/>
      <c r="AC635" s="67"/>
      <c r="AD635" s="67"/>
      <c r="AE635" s="67"/>
      <c r="AH635" s="186"/>
      <c r="AK635" s="186"/>
    </row>
    <row r="636">
      <c r="A636" s="185"/>
      <c r="B636" s="67"/>
      <c r="C636" s="67"/>
      <c r="D636" s="67"/>
      <c r="E636" s="186"/>
      <c r="F636" s="186"/>
      <c r="G636" s="186"/>
      <c r="H636" s="186"/>
      <c r="I636" s="186"/>
      <c r="J636" s="186"/>
      <c r="K636" s="186"/>
      <c r="L636" s="186"/>
      <c r="M636" s="186"/>
      <c r="N636" s="186"/>
      <c r="O636" s="186"/>
      <c r="P636" s="186"/>
      <c r="Q636" s="186"/>
      <c r="R636" s="186"/>
      <c r="S636" s="67"/>
      <c r="T636" s="67"/>
      <c r="U636" s="67"/>
      <c r="V636" s="187"/>
      <c r="W636" s="186"/>
      <c r="X636" s="187"/>
      <c r="Y636" s="187"/>
      <c r="Z636" s="187"/>
      <c r="AA636" s="186"/>
      <c r="AB636" s="186"/>
      <c r="AC636" s="67"/>
      <c r="AD636" s="67"/>
      <c r="AE636" s="67"/>
      <c r="AH636" s="186"/>
      <c r="AK636" s="186"/>
    </row>
    <row r="637">
      <c r="A637" s="185"/>
      <c r="B637" s="67"/>
      <c r="C637" s="67"/>
      <c r="D637" s="67"/>
      <c r="E637" s="186"/>
      <c r="F637" s="186"/>
      <c r="G637" s="186"/>
      <c r="H637" s="186"/>
      <c r="I637" s="186"/>
      <c r="J637" s="186"/>
      <c r="K637" s="186"/>
      <c r="L637" s="186"/>
      <c r="M637" s="186"/>
      <c r="N637" s="186"/>
      <c r="O637" s="186"/>
      <c r="P637" s="186"/>
      <c r="Q637" s="186"/>
      <c r="R637" s="186"/>
      <c r="S637" s="67"/>
      <c r="T637" s="67"/>
      <c r="U637" s="67"/>
      <c r="V637" s="187"/>
      <c r="W637" s="186"/>
      <c r="X637" s="187"/>
      <c r="Y637" s="187"/>
      <c r="Z637" s="187"/>
      <c r="AA637" s="186"/>
      <c r="AB637" s="186"/>
      <c r="AC637" s="67"/>
      <c r="AD637" s="67"/>
      <c r="AE637" s="67"/>
      <c r="AH637" s="186"/>
      <c r="AK637" s="186"/>
    </row>
    <row r="638">
      <c r="A638" s="185"/>
      <c r="B638" s="67"/>
      <c r="C638" s="67"/>
      <c r="D638" s="67"/>
      <c r="E638" s="186"/>
      <c r="F638" s="186"/>
      <c r="G638" s="186"/>
      <c r="H638" s="186"/>
      <c r="I638" s="186"/>
      <c r="J638" s="186"/>
      <c r="K638" s="186"/>
      <c r="L638" s="186"/>
      <c r="M638" s="186"/>
      <c r="N638" s="186"/>
      <c r="O638" s="186"/>
      <c r="P638" s="186"/>
      <c r="Q638" s="186"/>
      <c r="R638" s="186"/>
      <c r="S638" s="67"/>
      <c r="T638" s="67"/>
      <c r="U638" s="67"/>
      <c r="V638" s="187"/>
      <c r="W638" s="186"/>
      <c r="X638" s="187"/>
      <c r="Y638" s="187"/>
      <c r="Z638" s="187"/>
      <c r="AA638" s="186"/>
      <c r="AB638" s="186"/>
      <c r="AC638" s="67"/>
      <c r="AD638" s="67"/>
      <c r="AE638" s="67"/>
      <c r="AH638" s="186"/>
      <c r="AK638" s="186"/>
    </row>
    <row r="639">
      <c r="A639" s="185"/>
      <c r="B639" s="67"/>
      <c r="C639" s="67"/>
      <c r="D639" s="67"/>
      <c r="E639" s="186"/>
      <c r="F639" s="186"/>
      <c r="G639" s="186"/>
      <c r="H639" s="186"/>
      <c r="I639" s="186"/>
      <c r="J639" s="186"/>
      <c r="K639" s="186"/>
      <c r="L639" s="186"/>
      <c r="M639" s="186"/>
      <c r="N639" s="186"/>
      <c r="O639" s="186"/>
      <c r="P639" s="186"/>
      <c r="Q639" s="186"/>
      <c r="R639" s="186"/>
      <c r="S639" s="67"/>
      <c r="T639" s="67"/>
      <c r="U639" s="67"/>
      <c r="V639" s="187"/>
      <c r="W639" s="186"/>
      <c r="X639" s="187"/>
      <c r="Y639" s="187"/>
      <c r="Z639" s="187"/>
      <c r="AA639" s="186"/>
      <c r="AB639" s="186"/>
      <c r="AC639" s="67"/>
      <c r="AD639" s="67"/>
      <c r="AE639" s="67"/>
      <c r="AH639" s="186"/>
      <c r="AK639" s="186"/>
    </row>
    <row r="640">
      <c r="A640" s="185"/>
      <c r="B640" s="67"/>
      <c r="C640" s="67"/>
      <c r="D640" s="67"/>
      <c r="E640" s="186"/>
      <c r="F640" s="186"/>
      <c r="G640" s="186"/>
      <c r="H640" s="186"/>
      <c r="I640" s="186"/>
      <c r="J640" s="186"/>
      <c r="K640" s="186"/>
      <c r="L640" s="186"/>
      <c r="M640" s="186"/>
      <c r="N640" s="186"/>
      <c r="O640" s="186"/>
      <c r="P640" s="186"/>
      <c r="Q640" s="186"/>
      <c r="R640" s="186"/>
      <c r="S640" s="67"/>
      <c r="T640" s="67"/>
      <c r="U640" s="67"/>
      <c r="V640" s="187"/>
      <c r="W640" s="186"/>
      <c r="X640" s="187"/>
      <c r="Y640" s="187"/>
      <c r="Z640" s="187"/>
      <c r="AA640" s="186"/>
      <c r="AB640" s="186"/>
      <c r="AC640" s="67"/>
      <c r="AD640" s="67"/>
      <c r="AE640" s="67"/>
      <c r="AH640" s="186"/>
      <c r="AK640" s="186"/>
    </row>
    <row r="641">
      <c r="A641" s="185"/>
      <c r="B641" s="67"/>
      <c r="C641" s="67"/>
      <c r="D641" s="67"/>
      <c r="E641" s="186"/>
      <c r="F641" s="186"/>
      <c r="G641" s="186"/>
      <c r="H641" s="186"/>
      <c r="I641" s="186"/>
      <c r="J641" s="186"/>
      <c r="K641" s="186"/>
      <c r="L641" s="186"/>
      <c r="M641" s="186"/>
      <c r="N641" s="186"/>
      <c r="O641" s="186"/>
      <c r="P641" s="186"/>
      <c r="Q641" s="186"/>
      <c r="R641" s="186"/>
      <c r="S641" s="67"/>
      <c r="T641" s="67"/>
      <c r="U641" s="67"/>
      <c r="V641" s="187"/>
      <c r="W641" s="186"/>
      <c r="X641" s="187"/>
      <c r="Y641" s="187"/>
      <c r="Z641" s="187"/>
      <c r="AA641" s="186"/>
      <c r="AB641" s="186"/>
      <c r="AC641" s="67"/>
      <c r="AD641" s="67"/>
      <c r="AE641" s="67"/>
      <c r="AH641" s="186"/>
      <c r="AK641" s="186"/>
    </row>
    <row r="642">
      <c r="A642" s="185"/>
      <c r="B642" s="67"/>
      <c r="C642" s="67"/>
      <c r="D642" s="67"/>
      <c r="E642" s="186"/>
      <c r="F642" s="186"/>
      <c r="G642" s="186"/>
      <c r="H642" s="186"/>
      <c r="I642" s="186"/>
      <c r="J642" s="186"/>
      <c r="K642" s="186"/>
      <c r="L642" s="186"/>
      <c r="M642" s="186"/>
      <c r="N642" s="186"/>
      <c r="O642" s="186"/>
      <c r="P642" s="186"/>
      <c r="Q642" s="186"/>
      <c r="R642" s="186"/>
      <c r="S642" s="67"/>
      <c r="T642" s="67"/>
      <c r="U642" s="67"/>
      <c r="V642" s="187"/>
      <c r="W642" s="186"/>
      <c r="X642" s="187"/>
      <c r="Y642" s="187"/>
      <c r="Z642" s="187"/>
      <c r="AA642" s="186"/>
      <c r="AB642" s="186"/>
      <c r="AC642" s="67"/>
      <c r="AD642" s="67"/>
      <c r="AE642" s="67"/>
      <c r="AH642" s="186"/>
      <c r="AK642" s="186"/>
    </row>
    <row r="643">
      <c r="A643" s="185"/>
      <c r="B643" s="67"/>
      <c r="C643" s="67"/>
      <c r="D643" s="67"/>
      <c r="E643" s="186"/>
      <c r="F643" s="186"/>
      <c r="G643" s="186"/>
      <c r="H643" s="186"/>
      <c r="I643" s="186"/>
      <c r="J643" s="186"/>
      <c r="K643" s="186"/>
      <c r="L643" s="186"/>
      <c r="M643" s="186"/>
      <c r="N643" s="186"/>
      <c r="O643" s="186"/>
      <c r="P643" s="186"/>
      <c r="Q643" s="186"/>
      <c r="R643" s="186"/>
      <c r="S643" s="67"/>
      <c r="T643" s="67"/>
      <c r="U643" s="67"/>
      <c r="V643" s="187"/>
      <c r="W643" s="186"/>
      <c r="X643" s="187"/>
      <c r="Y643" s="187"/>
      <c r="Z643" s="187"/>
      <c r="AA643" s="186"/>
      <c r="AB643" s="186"/>
      <c r="AC643" s="67"/>
      <c r="AD643" s="67"/>
      <c r="AE643" s="67"/>
      <c r="AH643" s="186"/>
      <c r="AK643" s="186"/>
    </row>
    <row r="644">
      <c r="A644" s="185"/>
      <c r="B644" s="67"/>
      <c r="C644" s="67"/>
      <c r="D644" s="67"/>
      <c r="E644" s="186"/>
      <c r="F644" s="186"/>
      <c r="G644" s="186"/>
      <c r="H644" s="186"/>
      <c r="I644" s="186"/>
      <c r="J644" s="186"/>
      <c r="K644" s="186"/>
      <c r="L644" s="186"/>
      <c r="M644" s="186"/>
      <c r="N644" s="186"/>
      <c r="O644" s="186"/>
      <c r="P644" s="186"/>
      <c r="Q644" s="186"/>
      <c r="R644" s="186"/>
      <c r="S644" s="67"/>
      <c r="T644" s="67"/>
      <c r="U644" s="67"/>
      <c r="V644" s="187"/>
      <c r="W644" s="186"/>
      <c r="X644" s="187"/>
      <c r="Y644" s="187"/>
      <c r="Z644" s="187"/>
      <c r="AA644" s="186"/>
      <c r="AB644" s="186"/>
      <c r="AC644" s="67"/>
      <c r="AD644" s="67"/>
      <c r="AE644" s="67"/>
      <c r="AH644" s="186"/>
      <c r="AK644" s="186"/>
    </row>
    <row r="645">
      <c r="A645" s="185"/>
      <c r="B645" s="67"/>
      <c r="C645" s="67"/>
      <c r="D645" s="67"/>
      <c r="E645" s="186"/>
      <c r="F645" s="186"/>
      <c r="G645" s="186"/>
      <c r="H645" s="186"/>
      <c r="I645" s="186"/>
      <c r="J645" s="186"/>
      <c r="K645" s="186"/>
      <c r="L645" s="186"/>
      <c r="M645" s="186"/>
      <c r="N645" s="186"/>
      <c r="O645" s="186"/>
      <c r="P645" s="186"/>
      <c r="Q645" s="186"/>
      <c r="R645" s="186"/>
      <c r="S645" s="67"/>
      <c r="T645" s="67"/>
      <c r="U645" s="67"/>
      <c r="V645" s="187"/>
      <c r="W645" s="186"/>
      <c r="X645" s="187"/>
      <c r="Y645" s="187"/>
      <c r="Z645" s="187"/>
      <c r="AA645" s="186"/>
      <c r="AB645" s="186"/>
      <c r="AC645" s="67"/>
      <c r="AD645" s="67"/>
      <c r="AE645" s="67"/>
      <c r="AH645" s="186"/>
      <c r="AK645" s="186"/>
    </row>
    <row r="646">
      <c r="A646" s="185"/>
      <c r="B646" s="67"/>
      <c r="C646" s="67"/>
      <c r="D646" s="67"/>
      <c r="E646" s="186"/>
      <c r="F646" s="186"/>
      <c r="G646" s="186"/>
      <c r="H646" s="186"/>
      <c r="I646" s="186"/>
      <c r="J646" s="186"/>
      <c r="K646" s="186"/>
      <c r="L646" s="186"/>
      <c r="M646" s="186"/>
      <c r="N646" s="186"/>
      <c r="O646" s="186"/>
      <c r="P646" s="186"/>
      <c r="Q646" s="186"/>
      <c r="R646" s="186"/>
      <c r="S646" s="67"/>
      <c r="T646" s="67"/>
      <c r="U646" s="67"/>
      <c r="V646" s="187"/>
      <c r="W646" s="186"/>
      <c r="X646" s="187"/>
      <c r="Y646" s="187"/>
      <c r="Z646" s="187"/>
      <c r="AA646" s="186"/>
      <c r="AB646" s="186"/>
      <c r="AC646" s="67"/>
      <c r="AD646" s="67"/>
      <c r="AE646" s="67"/>
      <c r="AH646" s="186"/>
      <c r="AK646" s="186"/>
    </row>
    <row r="647">
      <c r="A647" s="185"/>
      <c r="B647" s="67"/>
      <c r="C647" s="67"/>
      <c r="D647" s="67"/>
      <c r="E647" s="186"/>
      <c r="F647" s="186"/>
      <c r="G647" s="186"/>
      <c r="H647" s="186"/>
      <c r="I647" s="186"/>
      <c r="J647" s="186"/>
      <c r="K647" s="186"/>
      <c r="L647" s="186"/>
      <c r="M647" s="186"/>
      <c r="N647" s="186"/>
      <c r="O647" s="186"/>
      <c r="P647" s="186"/>
      <c r="Q647" s="186"/>
      <c r="R647" s="186"/>
      <c r="S647" s="67"/>
      <c r="T647" s="67"/>
      <c r="U647" s="67"/>
      <c r="V647" s="187"/>
      <c r="W647" s="186"/>
      <c r="X647" s="187"/>
      <c r="Y647" s="187"/>
      <c r="Z647" s="187"/>
      <c r="AA647" s="186"/>
      <c r="AB647" s="186"/>
      <c r="AC647" s="67"/>
      <c r="AD647" s="67"/>
      <c r="AE647" s="67"/>
      <c r="AH647" s="186"/>
      <c r="AK647" s="186"/>
    </row>
    <row r="648">
      <c r="A648" s="185"/>
      <c r="B648" s="67"/>
      <c r="C648" s="67"/>
      <c r="D648" s="67"/>
      <c r="E648" s="186"/>
      <c r="F648" s="186"/>
      <c r="G648" s="186"/>
      <c r="H648" s="186"/>
      <c r="I648" s="186"/>
      <c r="J648" s="186"/>
      <c r="K648" s="186"/>
      <c r="L648" s="186"/>
      <c r="M648" s="186"/>
      <c r="N648" s="186"/>
      <c r="O648" s="186"/>
      <c r="P648" s="186"/>
      <c r="Q648" s="186"/>
      <c r="R648" s="186"/>
      <c r="S648" s="67"/>
      <c r="T648" s="67"/>
      <c r="U648" s="67"/>
      <c r="V648" s="187"/>
      <c r="W648" s="186"/>
      <c r="X648" s="187"/>
      <c r="Y648" s="187"/>
      <c r="Z648" s="187"/>
      <c r="AA648" s="186"/>
      <c r="AB648" s="186"/>
      <c r="AC648" s="67"/>
      <c r="AD648" s="67"/>
      <c r="AE648" s="67"/>
      <c r="AH648" s="186"/>
      <c r="AK648" s="186"/>
    </row>
    <row r="649">
      <c r="A649" s="185"/>
      <c r="B649" s="67"/>
      <c r="C649" s="67"/>
      <c r="D649" s="67"/>
      <c r="E649" s="186"/>
      <c r="F649" s="186"/>
      <c r="G649" s="186"/>
      <c r="H649" s="186"/>
      <c r="I649" s="186"/>
      <c r="J649" s="186"/>
      <c r="K649" s="186"/>
      <c r="L649" s="186"/>
      <c r="M649" s="186"/>
      <c r="N649" s="186"/>
      <c r="O649" s="186"/>
      <c r="P649" s="186"/>
      <c r="Q649" s="186"/>
      <c r="R649" s="186"/>
      <c r="S649" s="67"/>
      <c r="T649" s="67"/>
      <c r="U649" s="67"/>
      <c r="V649" s="187"/>
      <c r="W649" s="186"/>
      <c r="X649" s="187"/>
      <c r="Y649" s="187"/>
      <c r="Z649" s="187"/>
      <c r="AA649" s="186"/>
      <c r="AB649" s="186"/>
      <c r="AC649" s="67"/>
      <c r="AD649" s="67"/>
      <c r="AE649" s="67"/>
      <c r="AH649" s="186"/>
      <c r="AK649" s="186"/>
    </row>
    <row r="650">
      <c r="A650" s="185"/>
      <c r="B650" s="67"/>
      <c r="C650" s="67"/>
      <c r="D650" s="67"/>
      <c r="E650" s="186"/>
      <c r="F650" s="186"/>
      <c r="G650" s="186"/>
      <c r="H650" s="186"/>
      <c r="I650" s="186"/>
      <c r="J650" s="186"/>
      <c r="K650" s="186"/>
      <c r="L650" s="186"/>
      <c r="M650" s="186"/>
      <c r="N650" s="186"/>
      <c r="O650" s="186"/>
      <c r="P650" s="186"/>
      <c r="Q650" s="186"/>
      <c r="R650" s="186"/>
      <c r="S650" s="67"/>
      <c r="T650" s="67"/>
      <c r="U650" s="67"/>
      <c r="V650" s="187"/>
      <c r="W650" s="186"/>
      <c r="X650" s="187"/>
      <c r="Y650" s="187"/>
      <c r="Z650" s="187"/>
      <c r="AA650" s="186"/>
      <c r="AB650" s="186"/>
      <c r="AC650" s="67"/>
      <c r="AD650" s="67"/>
      <c r="AE650" s="67"/>
      <c r="AH650" s="186"/>
      <c r="AK650" s="186"/>
    </row>
    <row r="651">
      <c r="A651" s="185"/>
      <c r="B651" s="67"/>
      <c r="C651" s="67"/>
      <c r="D651" s="67"/>
      <c r="E651" s="186"/>
      <c r="F651" s="186"/>
      <c r="G651" s="186"/>
      <c r="H651" s="186"/>
      <c r="I651" s="186"/>
      <c r="J651" s="186"/>
      <c r="K651" s="186"/>
      <c r="L651" s="186"/>
      <c r="M651" s="186"/>
      <c r="N651" s="186"/>
      <c r="O651" s="186"/>
      <c r="P651" s="186"/>
      <c r="Q651" s="186"/>
      <c r="R651" s="186"/>
      <c r="S651" s="67"/>
      <c r="T651" s="67"/>
      <c r="U651" s="67"/>
      <c r="V651" s="187"/>
      <c r="W651" s="186"/>
      <c r="X651" s="187"/>
      <c r="Y651" s="187"/>
      <c r="Z651" s="187"/>
      <c r="AA651" s="186"/>
      <c r="AB651" s="186"/>
      <c r="AC651" s="67"/>
      <c r="AD651" s="67"/>
      <c r="AE651" s="67"/>
      <c r="AH651" s="186"/>
      <c r="AK651" s="186"/>
    </row>
    <row r="652">
      <c r="A652" s="185"/>
      <c r="B652" s="67"/>
      <c r="C652" s="67"/>
      <c r="D652" s="67"/>
      <c r="E652" s="186"/>
      <c r="F652" s="186"/>
      <c r="G652" s="186"/>
      <c r="H652" s="186"/>
      <c r="I652" s="186"/>
      <c r="J652" s="186"/>
      <c r="K652" s="186"/>
      <c r="L652" s="186"/>
      <c r="M652" s="186"/>
      <c r="N652" s="186"/>
      <c r="O652" s="186"/>
      <c r="P652" s="186"/>
      <c r="Q652" s="186"/>
      <c r="R652" s="186"/>
      <c r="S652" s="67"/>
      <c r="T652" s="67"/>
      <c r="U652" s="67"/>
      <c r="V652" s="187"/>
      <c r="W652" s="186"/>
      <c r="X652" s="187"/>
      <c r="Y652" s="187"/>
      <c r="Z652" s="187"/>
      <c r="AA652" s="186"/>
      <c r="AB652" s="186"/>
      <c r="AC652" s="67"/>
      <c r="AD652" s="67"/>
      <c r="AE652" s="67"/>
      <c r="AH652" s="186"/>
      <c r="AK652" s="186"/>
    </row>
    <row r="653">
      <c r="A653" s="185"/>
      <c r="B653" s="67"/>
      <c r="C653" s="67"/>
      <c r="D653" s="67"/>
      <c r="E653" s="186"/>
      <c r="F653" s="186"/>
      <c r="G653" s="186"/>
      <c r="H653" s="186"/>
      <c r="I653" s="186"/>
      <c r="J653" s="186"/>
      <c r="K653" s="186"/>
      <c r="L653" s="186"/>
      <c r="M653" s="186"/>
      <c r="N653" s="186"/>
      <c r="O653" s="186"/>
      <c r="P653" s="186"/>
      <c r="Q653" s="186"/>
      <c r="R653" s="186"/>
      <c r="S653" s="67"/>
      <c r="T653" s="67"/>
      <c r="U653" s="67"/>
      <c r="V653" s="187"/>
      <c r="W653" s="186"/>
      <c r="X653" s="187"/>
      <c r="Y653" s="187"/>
      <c r="Z653" s="187"/>
      <c r="AA653" s="186"/>
      <c r="AB653" s="186"/>
      <c r="AC653" s="67"/>
      <c r="AD653" s="67"/>
      <c r="AE653" s="67"/>
      <c r="AH653" s="186"/>
      <c r="AK653" s="186"/>
    </row>
    <row r="654">
      <c r="A654" s="185"/>
      <c r="B654" s="67"/>
      <c r="C654" s="67"/>
      <c r="D654" s="67"/>
      <c r="E654" s="186"/>
      <c r="F654" s="186"/>
      <c r="G654" s="186"/>
      <c r="H654" s="186"/>
      <c r="I654" s="186"/>
      <c r="J654" s="186"/>
      <c r="K654" s="186"/>
      <c r="L654" s="186"/>
      <c r="M654" s="186"/>
      <c r="N654" s="186"/>
      <c r="O654" s="186"/>
      <c r="P654" s="186"/>
      <c r="Q654" s="186"/>
      <c r="R654" s="186"/>
      <c r="S654" s="67"/>
      <c r="T654" s="67"/>
      <c r="U654" s="67"/>
      <c r="V654" s="187"/>
      <c r="W654" s="186"/>
      <c r="X654" s="187"/>
      <c r="Y654" s="187"/>
      <c r="Z654" s="187"/>
      <c r="AA654" s="186"/>
      <c r="AB654" s="186"/>
      <c r="AC654" s="67"/>
      <c r="AD654" s="67"/>
      <c r="AE654" s="67"/>
      <c r="AH654" s="186"/>
      <c r="AK654" s="186"/>
    </row>
    <row r="655">
      <c r="A655" s="185"/>
      <c r="B655" s="67"/>
      <c r="C655" s="67"/>
      <c r="D655" s="67"/>
      <c r="E655" s="186"/>
      <c r="F655" s="186"/>
      <c r="G655" s="186"/>
      <c r="H655" s="186"/>
      <c r="I655" s="186"/>
      <c r="J655" s="186"/>
      <c r="K655" s="186"/>
      <c r="L655" s="186"/>
      <c r="M655" s="186"/>
      <c r="N655" s="186"/>
      <c r="O655" s="186"/>
      <c r="P655" s="186"/>
      <c r="Q655" s="186"/>
      <c r="R655" s="186"/>
      <c r="S655" s="67"/>
      <c r="T655" s="67"/>
      <c r="U655" s="67"/>
      <c r="V655" s="187"/>
      <c r="W655" s="186"/>
      <c r="X655" s="187"/>
      <c r="Y655" s="187"/>
      <c r="Z655" s="187"/>
      <c r="AA655" s="186"/>
      <c r="AB655" s="186"/>
      <c r="AC655" s="67"/>
      <c r="AD655" s="67"/>
      <c r="AE655" s="67"/>
      <c r="AH655" s="186"/>
      <c r="AK655" s="186"/>
    </row>
    <row r="656">
      <c r="A656" s="185"/>
      <c r="B656" s="67"/>
      <c r="C656" s="67"/>
      <c r="D656" s="67"/>
      <c r="E656" s="186"/>
      <c r="F656" s="186"/>
      <c r="G656" s="186"/>
      <c r="H656" s="186"/>
      <c r="I656" s="186"/>
      <c r="J656" s="186"/>
      <c r="K656" s="186"/>
      <c r="L656" s="186"/>
      <c r="M656" s="186"/>
      <c r="N656" s="186"/>
      <c r="O656" s="186"/>
      <c r="P656" s="186"/>
      <c r="Q656" s="186"/>
      <c r="R656" s="186"/>
      <c r="S656" s="67"/>
      <c r="T656" s="67"/>
      <c r="U656" s="67"/>
      <c r="V656" s="187"/>
      <c r="W656" s="186"/>
      <c r="X656" s="187"/>
      <c r="Y656" s="187"/>
      <c r="Z656" s="187"/>
      <c r="AA656" s="186"/>
      <c r="AB656" s="186"/>
      <c r="AC656" s="67"/>
      <c r="AD656" s="67"/>
      <c r="AE656" s="67"/>
      <c r="AH656" s="186"/>
      <c r="AK656" s="186"/>
    </row>
    <row r="657">
      <c r="A657" s="185"/>
      <c r="B657" s="67"/>
      <c r="C657" s="67"/>
      <c r="D657" s="67"/>
      <c r="E657" s="186"/>
      <c r="F657" s="186"/>
      <c r="G657" s="186"/>
      <c r="H657" s="186"/>
      <c r="I657" s="186"/>
      <c r="J657" s="186"/>
      <c r="K657" s="186"/>
      <c r="L657" s="186"/>
      <c r="M657" s="186"/>
      <c r="N657" s="186"/>
      <c r="O657" s="186"/>
      <c r="P657" s="186"/>
      <c r="Q657" s="186"/>
      <c r="R657" s="186"/>
      <c r="S657" s="67"/>
      <c r="T657" s="67"/>
      <c r="U657" s="67"/>
      <c r="V657" s="187"/>
      <c r="W657" s="186"/>
      <c r="X657" s="187"/>
      <c r="Y657" s="187"/>
      <c r="Z657" s="187"/>
      <c r="AA657" s="186"/>
      <c r="AB657" s="186"/>
      <c r="AC657" s="67"/>
      <c r="AD657" s="67"/>
      <c r="AE657" s="67"/>
      <c r="AH657" s="186"/>
      <c r="AK657" s="186"/>
    </row>
    <row r="658">
      <c r="A658" s="185"/>
      <c r="B658" s="67"/>
      <c r="C658" s="67"/>
      <c r="D658" s="67"/>
      <c r="E658" s="186"/>
      <c r="F658" s="186"/>
      <c r="G658" s="186"/>
      <c r="H658" s="186"/>
      <c r="I658" s="186"/>
      <c r="J658" s="186"/>
      <c r="K658" s="186"/>
      <c r="L658" s="186"/>
      <c r="M658" s="186"/>
      <c r="N658" s="186"/>
      <c r="O658" s="186"/>
      <c r="P658" s="186"/>
      <c r="Q658" s="186"/>
      <c r="R658" s="186"/>
      <c r="S658" s="67"/>
      <c r="T658" s="67"/>
      <c r="U658" s="67"/>
      <c r="V658" s="187"/>
      <c r="W658" s="186"/>
      <c r="X658" s="187"/>
      <c r="Y658" s="187"/>
      <c r="Z658" s="187"/>
      <c r="AA658" s="186"/>
      <c r="AB658" s="186"/>
      <c r="AC658" s="67"/>
      <c r="AD658" s="67"/>
      <c r="AE658" s="67"/>
      <c r="AH658" s="186"/>
      <c r="AK658" s="186"/>
    </row>
    <row r="659">
      <c r="A659" s="185"/>
      <c r="B659" s="67"/>
      <c r="C659" s="67"/>
      <c r="D659" s="67"/>
      <c r="E659" s="186"/>
      <c r="F659" s="186"/>
      <c r="G659" s="186"/>
      <c r="H659" s="186"/>
      <c r="I659" s="186"/>
      <c r="J659" s="186"/>
      <c r="K659" s="186"/>
      <c r="L659" s="186"/>
      <c r="M659" s="186"/>
      <c r="N659" s="186"/>
      <c r="O659" s="186"/>
      <c r="P659" s="186"/>
      <c r="Q659" s="186"/>
      <c r="R659" s="186"/>
      <c r="S659" s="67"/>
      <c r="T659" s="67"/>
      <c r="U659" s="67"/>
      <c r="V659" s="187"/>
      <c r="W659" s="186"/>
      <c r="X659" s="187"/>
      <c r="Y659" s="187"/>
      <c r="Z659" s="187"/>
      <c r="AA659" s="186"/>
      <c r="AB659" s="186"/>
      <c r="AC659" s="67"/>
      <c r="AD659" s="67"/>
      <c r="AE659" s="67"/>
      <c r="AH659" s="186"/>
      <c r="AK659" s="186"/>
    </row>
    <row r="660">
      <c r="A660" s="185"/>
      <c r="B660" s="67"/>
      <c r="C660" s="67"/>
      <c r="D660" s="67"/>
      <c r="E660" s="186"/>
      <c r="F660" s="186"/>
      <c r="G660" s="186"/>
      <c r="H660" s="186"/>
      <c r="I660" s="186"/>
      <c r="J660" s="186"/>
      <c r="K660" s="186"/>
      <c r="L660" s="186"/>
      <c r="M660" s="186"/>
      <c r="N660" s="186"/>
      <c r="O660" s="186"/>
      <c r="P660" s="186"/>
      <c r="Q660" s="186"/>
      <c r="R660" s="186"/>
      <c r="S660" s="67"/>
      <c r="T660" s="67"/>
      <c r="U660" s="67"/>
      <c r="V660" s="187"/>
      <c r="W660" s="186"/>
      <c r="X660" s="187"/>
      <c r="Y660" s="187"/>
      <c r="Z660" s="187"/>
      <c r="AA660" s="186"/>
      <c r="AB660" s="186"/>
      <c r="AC660" s="67"/>
      <c r="AD660" s="67"/>
      <c r="AE660" s="67"/>
      <c r="AH660" s="186"/>
      <c r="AK660" s="186"/>
    </row>
    <row r="661">
      <c r="A661" s="185"/>
      <c r="B661" s="67"/>
      <c r="C661" s="67"/>
      <c r="D661" s="67"/>
      <c r="E661" s="186"/>
      <c r="F661" s="186"/>
      <c r="G661" s="186"/>
      <c r="H661" s="186"/>
      <c r="I661" s="186"/>
      <c r="J661" s="186"/>
      <c r="K661" s="186"/>
      <c r="L661" s="186"/>
      <c r="M661" s="186"/>
      <c r="N661" s="186"/>
      <c r="O661" s="186"/>
      <c r="P661" s="186"/>
      <c r="Q661" s="186"/>
      <c r="R661" s="186"/>
      <c r="S661" s="67"/>
      <c r="T661" s="67"/>
      <c r="U661" s="67"/>
      <c r="V661" s="187"/>
      <c r="W661" s="186"/>
      <c r="X661" s="187"/>
      <c r="Y661" s="187"/>
      <c r="Z661" s="187"/>
      <c r="AA661" s="186"/>
      <c r="AB661" s="186"/>
      <c r="AC661" s="67"/>
      <c r="AD661" s="67"/>
      <c r="AE661" s="67"/>
      <c r="AH661" s="186"/>
      <c r="AK661" s="186"/>
    </row>
    <row r="662">
      <c r="A662" s="185"/>
      <c r="B662" s="67"/>
      <c r="C662" s="67"/>
      <c r="D662" s="67"/>
      <c r="E662" s="186"/>
      <c r="F662" s="186"/>
      <c r="G662" s="186"/>
      <c r="H662" s="186"/>
      <c r="I662" s="186"/>
      <c r="J662" s="186"/>
      <c r="K662" s="186"/>
      <c r="L662" s="186"/>
      <c r="M662" s="186"/>
      <c r="N662" s="186"/>
      <c r="O662" s="186"/>
      <c r="P662" s="186"/>
      <c r="Q662" s="186"/>
      <c r="R662" s="186"/>
      <c r="S662" s="67"/>
      <c r="T662" s="67"/>
      <c r="U662" s="67"/>
      <c r="V662" s="187"/>
      <c r="W662" s="186"/>
      <c r="X662" s="187"/>
      <c r="Y662" s="187"/>
      <c r="Z662" s="187"/>
      <c r="AA662" s="186"/>
      <c r="AB662" s="186"/>
      <c r="AC662" s="67"/>
      <c r="AD662" s="67"/>
      <c r="AE662" s="67"/>
      <c r="AH662" s="186"/>
      <c r="AK662" s="186"/>
    </row>
    <row r="663">
      <c r="A663" s="185"/>
      <c r="B663" s="67"/>
      <c r="C663" s="67"/>
      <c r="D663" s="67"/>
      <c r="E663" s="186"/>
      <c r="F663" s="186"/>
      <c r="G663" s="186"/>
      <c r="H663" s="186"/>
      <c r="I663" s="186"/>
      <c r="J663" s="186"/>
      <c r="K663" s="186"/>
      <c r="L663" s="186"/>
      <c r="M663" s="186"/>
      <c r="N663" s="186"/>
      <c r="O663" s="186"/>
      <c r="P663" s="186"/>
      <c r="Q663" s="186"/>
      <c r="R663" s="186"/>
      <c r="S663" s="67"/>
      <c r="T663" s="67"/>
      <c r="U663" s="67"/>
      <c r="V663" s="187"/>
      <c r="W663" s="186"/>
      <c r="X663" s="187"/>
      <c r="Y663" s="187"/>
      <c r="Z663" s="187"/>
      <c r="AA663" s="186"/>
      <c r="AB663" s="186"/>
      <c r="AC663" s="67"/>
      <c r="AD663" s="67"/>
      <c r="AE663" s="67"/>
      <c r="AH663" s="186"/>
      <c r="AK663" s="186"/>
    </row>
    <row r="664">
      <c r="A664" s="185"/>
      <c r="B664" s="67"/>
      <c r="C664" s="67"/>
      <c r="D664" s="67"/>
      <c r="E664" s="186"/>
      <c r="F664" s="186"/>
      <c r="G664" s="186"/>
      <c r="H664" s="186"/>
      <c r="I664" s="186"/>
      <c r="J664" s="186"/>
      <c r="K664" s="186"/>
      <c r="L664" s="186"/>
      <c r="M664" s="186"/>
      <c r="N664" s="186"/>
      <c r="O664" s="186"/>
      <c r="P664" s="186"/>
      <c r="Q664" s="186"/>
      <c r="R664" s="186"/>
      <c r="S664" s="67"/>
      <c r="T664" s="67"/>
      <c r="U664" s="67"/>
      <c r="V664" s="187"/>
      <c r="W664" s="186"/>
      <c r="X664" s="187"/>
      <c r="Y664" s="187"/>
      <c r="Z664" s="187"/>
      <c r="AA664" s="186"/>
      <c r="AB664" s="186"/>
      <c r="AC664" s="67"/>
      <c r="AD664" s="67"/>
      <c r="AE664" s="67"/>
      <c r="AH664" s="186"/>
      <c r="AK664" s="186"/>
    </row>
    <row r="665">
      <c r="A665" s="185"/>
      <c r="B665" s="67"/>
      <c r="C665" s="67"/>
      <c r="D665" s="67"/>
      <c r="E665" s="186"/>
      <c r="F665" s="186"/>
      <c r="G665" s="186"/>
      <c r="H665" s="186"/>
      <c r="I665" s="186"/>
      <c r="J665" s="186"/>
      <c r="K665" s="186"/>
      <c r="L665" s="186"/>
      <c r="M665" s="186"/>
      <c r="N665" s="186"/>
      <c r="O665" s="186"/>
      <c r="P665" s="186"/>
      <c r="Q665" s="186"/>
      <c r="R665" s="186"/>
      <c r="S665" s="67"/>
      <c r="T665" s="67"/>
      <c r="U665" s="67"/>
      <c r="V665" s="187"/>
      <c r="W665" s="186"/>
      <c r="X665" s="187"/>
      <c r="Y665" s="187"/>
      <c r="Z665" s="187"/>
      <c r="AA665" s="186"/>
      <c r="AB665" s="186"/>
      <c r="AC665" s="67"/>
      <c r="AD665" s="67"/>
      <c r="AE665" s="67"/>
      <c r="AH665" s="186"/>
      <c r="AK665" s="186"/>
    </row>
    <row r="666">
      <c r="A666" s="185"/>
      <c r="B666" s="67"/>
      <c r="C666" s="67"/>
      <c r="D666" s="67"/>
      <c r="E666" s="186"/>
      <c r="F666" s="186"/>
      <c r="G666" s="186"/>
      <c r="H666" s="186"/>
      <c r="I666" s="186"/>
      <c r="J666" s="186"/>
      <c r="K666" s="186"/>
      <c r="L666" s="186"/>
      <c r="M666" s="186"/>
      <c r="N666" s="186"/>
      <c r="O666" s="186"/>
      <c r="P666" s="186"/>
      <c r="Q666" s="186"/>
      <c r="R666" s="186"/>
      <c r="S666" s="67"/>
      <c r="T666" s="67"/>
      <c r="U666" s="67"/>
      <c r="V666" s="187"/>
      <c r="W666" s="186"/>
      <c r="X666" s="187"/>
      <c r="Y666" s="187"/>
      <c r="Z666" s="187"/>
      <c r="AA666" s="186"/>
      <c r="AB666" s="186"/>
      <c r="AC666" s="67"/>
      <c r="AD666" s="67"/>
      <c r="AE666" s="67"/>
      <c r="AH666" s="186"/>
      <c r="AK666" s="186"/>
    </row>
    <row r="667">
      <c r="A667" s="185"/>
      <c r="B667" s="67"/>
      <c r="C667" s="67"/>
      <c r="D667" s="67"/>
      <c r="E667" s="186"/>
      <c r="F667" s="186"/>
      <c r="G667" s="186"/>
      <c r="H667" s="186"/>
      <c r="I667" s="186"/>
      <c r="J667" s="186"/>
      <c r="K667" s="186"/>
      <c r="L667" s="186"/>
      <c r="M667" s="186"/>
      <c r="N667" s="186"/>
      <c r="O667" s="186"/>
      <c r="P667" s="186"/>
      <c r="Q667" s="186"/>
      <c r="R667" s="186"/>
      <c r="S667" s="67"/>
      <c r="T667" s="67"/>
      <c r="U667" s="67"/>
      <c r="V667" s="187"/>
      <c r="W667" s="186"/>
      <c r="X667" s="187"/>
      <c r="Y667" s="187"/>
      <c r="Z667" s="187"/>
      <c r="AA667" s="186"/>
      <c r="AB667" s="186"/>
      <c r="AC667" s="67"/>
      <c r="AD667" s="67"/>
      <c r="AE667" s="67"/>
      <c r="AH667" s="186"/>
      <c r="AK667" s="186"/>
    </row>
    <row r="668">
      <c r="A668" s="185"/>
      <c r="B668" s="67"/>
      <c r="C668" s="67"/>
      <c r="D668" s="67"/>
      <c r="E668" s="186"/>
      <c r="F668" s="186"/>
      <c r="G668" s="186"/>
      <c r="H668" s="186"/>
      <c r="I668" s="186"/>
      <c r="J668" s="186"/>
      <c r="K668" s="186"/>
      <c r="L668" s="186"/>
      <c r="M668" s="186"/>
      <c r="N668" s="186"/>
      <c r="O668" s="186"/>
      <c r="P668" s="186"/>
      <c r="Q668" s="186"/>
      <c r="R668" s="186"/>
      <c r="S668" s="67"/>
      <c r="T668" s="67"/>
      <c r="U668" s="67"/>
      <c r="V668" s="187"/>
      <c r="W668" s="186"/>
      <c r="X668" s="187"/>
      <c r="Y668" s="187"/>
      <c r="Z668" s="187"/>
      <c r="AA668" s="186"/>
      <c r="AB668" s="186"/>
      <c r="AC668" s="67"/>
      <c r="AD668" s="67"/>
      <c r="AE668" s="67"/>
      <c r="AH668" s="186"/>
      <c r="AK668" s="186"/>
    </row>
    <row r="669">
      <c r="A669" s="185"/>
      <c r="B669" s="67"/>
      <c r="C669" s="67"/>
      <c r="D669" s="67"/>
      <c r="E669" s="186"/>
      <c r="F669" s="186"/>
      <c r="G669" s="186"/>
      <c r="H669" s="186"/>
      <c r="I669" s="186"/>
      <c r="J669" s="186"/>
      <c r="K669" s="186"/>
      <c r="L669" s="186"/>
      <c r="M669" s="186"/>
      <c r="N669" s="186"/>
      <c r="O669" s="186"/>
      <c r="P669" s="186"/>
      <c r="Q669" s="186"/>
      <c r="R669" s="186"/>
      <c r="S669" s="67"/>
      <c r="T669" s="67"/>
      <c r="U669" s="67"/>
      <c r="V669" s="187"/>
      <c r="W669" s="186"/>
      <c r="X669" s="187"/>
      <c r="Y669" s="187"/>
      <c r="Z669" s="187"/>
      <c r="AA669" s="186"/>
      <c r="AB669" s="186"/>
      <c r="AC669" s="67"/>
      <c r="AD669" s="67"/>
      <c r="AE669" s="67"/>
      <c r="AH669" s="186"/>
      <c r="AK669" s="186"/>
    </row>
    <row r="670">
      <c r="A670" s="185"/>
      <c r="B670" s="67"/>
      <c r="C670" s="67"/>
      <c r="D670" s="67"/>
      <c r="E670" s="186"/>
      <c r="F670" s="186"/>
      <c r="G670" s="186"/>
      <c r="H670" s="186"/>
      <c r="I670" s="186"/>
      <c r="J670" s="186"/>
      <c r="K670" s="186"/>
      <c r="L670" s="186"/>
      <c r="M670" s="186"/>
      <c r="N670" s="186"/>
      <c r="O670" s="186"/>
      <c r="P670" s="186"/>
      <c r="Q670" s="186"/>
      <c r="R670" s="186"/>
      <c r="S670" s="67"/>
      <c r="T670" s="67"/>
      <c r="U670" s="67"/>
      <c r="V670" s="187"/>
      <c r="W670" s="186"/>
      <c r="X670" s="187"/>
      <c r="Y670" s="187"/>
      <c r="Z670" s="187"/>
      <c r="AA670" s="186"/>
      <c r="AB670" s="186"/>
      <c r="AC670" s="67"/>
      <c r="AD670" s="67"/>
      <c r="AE670" s="67"/>
      <c r="AH670" s="186"/>
      <c r="AK670" s="186"/>
    </row>
    <row r="671">
      <c r="A671" s="185"/>
      <c r="B671" s="67"/>
      <c r="C671" s="67"/>
      <c r="D671" s="67"/>
      <c r="E671" s="186"/>
      <c r="F671" s="186"/>
      <c r="G671" s="186"/>
      <c r="H671" s="186"/>
      <c r="I671" s="186"/>
      <c r="J671" s="186"/>
      <c r="K671" s="186"/>
      <c r="L671" s="186"/>
      <c r="M671" s="186"/>
      <c r="N671" s="186"/>
      <c r="O671" s="186"/>
      <c r="P671" s="186"/>
      <c r="Q671" s="186"/>
      <c r="R671" s="186"/>
      <c r="S671" s="67"/>
      <c r="T671" s="67"/>
      <c r="U671" s="67"/>
      <c r="V671" s="187"/>
      <c r="W671" s="186"/>
      <c r="X671" s="187"/>
      <c r="Y671" s="187"/>
      <c r="Z671" s="187"/>
      <c r="AA671" s="186"/>
      <c r="AB671" s="186"/>
      <c r="AC671" s="67"/>
      <c r="AD671" s="67"/>
      <c r="AE671" s="67"/>
      <c r="AH671" s="186"/>
      <c r="AK671" s="186"/>
    </row>
    <row r="672">
      <c r="A672" s="185"/>
      <c r="B672" s="67"/>
      <c r="C672" s="67"/>
      <c r="D672" s="67"/>
      <c r="E672" s="186"/>
      <c r="F672" s="186"/>
      <c r="G672" s="186"/>
      <c r="H672" s="186"/>
      <c r="I672" s="186"/>
      <c r="J672" s="186"/>
      <c r="K672" s="186"/>
      <c r="L672" s="186"/>
      <c r="M672" s="186"/>
      <c r="N672" s="186"/>
      <c r="O672" s="186"/>
      <c r="P672" s="186"/>
      <c r="Q672" s="186"/>
      <c r="R672" s="186"/>
      <c r="S672" s="67"/>
      <c r="T672" s="67"/>
      <c r="U672" s="67"/>
      <c r="V672" s="187"/>
      <c r="W672" s="186"/>
      <c r="X672" s="187"/>
      <c r="Y672" s="187"/>
      <c r="Z672" s="187"/>
      <c r="AA672" s="186"/>
      <c r="AB672" s="186"/>
      <c r="AC672" s="67"/>
      <c r="AD672" s="67"/>
      <c r="AE672" s="67"/>
      <c r="AH672" s="186"/>
      <c r="AK672" s="186"/>
    </row>
    <row r="673">
      <c r="A673" s="185"/>
      <c r="B673" s="67"/>
      <c r="C673" s="67"/>
      <c r="D673" s="67"/>
      <c r="E673" s="186"/>
      <c r="F673" s="186"/>
      <c r="G673" s="186"/>
      <c r="H673" s="186"/>
      <c r="I673" s="186"/>
      <c r="J673" s="186"/>
      <c r="K673" s="186"/>
      <c r="L673" s="186"/>
      <c r="M673" s="186"/>
      <c r="N673" s="186"/>
      <c r="O673" s="186"/>
      <c r="P673" s="186"/>
      <c r="Q673" s="186"/>
      <c r="R673" s="186"/>
      <c r="S673" s="67"/>
      <c r="T673" s="67"/>
      <c r="U673" s="67"/>
      <c r="V673" s="187"/>
      <c r="W673" s="186"/>
      <c r="X673" s="187"/>
      <c r="Y673" s="187"/>
      <c r="Z673" s="187"/>
      <c r="AA673" s="186"/>
      <c r="AB673" s="186"/>
      <c r="AC673" s="67"/>
      <c r="AD673" s="67"/>
      <c r="AE673" s="67"/>
      <c r="AH673" s="186"/>
      <c r="AK673" s="186"/>
    </row>
    <row r="674">
      <c r="A674" s="185"/>
      <c r="B674" s="67"/>
      <c r="C674" s="67"/>
      <c r="D674" s="67"/>
      <c r="E674" s="186"/>
      <c r="F674" s="186"/>
      <c r="G674" s="186"/>
      <c r="H674" s="186"/>
      <c r="I674" s="186"/>
      <c r="J674" s="186"/>
      <c r="K674" s="186"/>
      <c r="L674" s="186"/>
      <c r="M674" s="186"/>
      <c r="N674" s="186"/>
      <c r="O674" s="186"/>
      <c r="P674" s="186"/>
      <c r="Q674" s="186"/>
      <c r="R674" s="186"/>
      <c r="S674" s="67"/>
      <c r="T674" s="67"/>
      <c r="U674" s="67"/>
      <c r="V674" s="187"/>
      <c r="W674" s="186"/>
      <c r="X674" s="187"/>
      <c r="Y674" s="187"/>
      <c r="Z674" s="187"/>
      <c r="AA674" s="186"/>
      <c r="AB674" s="186"/>
      <c r="AC674" s="67"/>
      <c r="AD674" s="67"/>
      <c r="AE674" s="67"/>
      <c r="AH674" s="186"/>
      <c r="AK674" s="186"/>
    </row>
    <row r="675">
      <c r="A675" s="185"/>
      <c r="B675" s="67"/>
      <c r="C675" s="67"/>
      <c r="D675" s="67"/>
      <c r="E675" s="186"/>
      <c r="F675" s="186"/>
      <c r="G675" s="186"/>
      <c r="H675" s="186"/>
      <c r="I675" s="186"/>
      <c r="J675" s="186"/>
      <c r="K675" s="186"/>
      <c r="L675" s="186"/>
      <c r="M675" s="186"/>
      <c r="N675" s="186"/>
      <c r="O675" s="186"/>
      <c r="P675" s="186"/>
      <c r="Q675" s="186"/>
      <c r="R675" s="186"/>
      <c r="S675" s="67"/>
      <c r="T675" s="67"/>
      <c r="U675" s="67"/>
      <c r="V675" s="187"/>
      <c r="W675" s="186"/>
      <c r="X675" s="187"/>
      <c r="Y675" s="187"/>
      <c r="Z675" s="187"/>
      <c r="AA675" s="186"/>
      <c r="AB675" s="186"/>
      <c r="AC675" s="67"/>
      <c r="AD675" s="67"/>
      <c r="AE675" s="67"/>
      <c r="AH675" s="186"/>
      <c r="AK675" s="186"/>
    </row>
    <row r="676">
      <c r="A676" s="185"/>
      <c r="B676" s="67"/>
      <c r="C676" s="67"/>
      <c r="D676" s="67"/>
      <c r="E676" s="186"/>
      <c r="F676" s="186"/>
      <c r="G676" s="186"/>
      <c r="H676" s="186"/>
      <c r="I676" s="186"/>
      <c r="J676" s="186"/>
      <c r="K676" s="186"/>
      <c r="L676" s="186"/>
      <c r="M676" s="186"/>
      <c r="N676" s="186"/>
      <c r="O676" s="186"/>
      <c r="P676" s="186"/>
      <c r="Q676" s="186"/>
      <c r="R676" s="186"/>
      <c r="S676" s="67"/>
      <c r="T676" s="67"/>
      <c r="U676" s="67"/>
      <c r="V676" s="187"/>
      <c r="W676" s="186"/>
      <c r="X676" s="187"/>
      <c r="Y676" s="187"/>
      <c r="Z676" s="187"/>
      <c r="AA676" s="186"/>
      <c r="AB676" s="186"/>
      <c r="AC676" s="67"/>
      <c r="AD676" s="67"/>
      <c r="AE676" s="67"/>
      <c r="AH676" s="186"/>
      <c r="AK676" s="186"/>
    </row>
    <row r="677">
      <c r="A677" s="185"/>
      <c r="B677" s="67"/>
      <c r="C677" s="67"/>
      <c r="D677" s="67"/>
      <c r="E677" s="186"/>
      <c r="F677" s="186"/>
      <c r="G677" s="186"/>
      <c r="H677" s="186"/>
      <c r="I677" s="186"/>
      <c r="J677" s="186"/>
      <c r="K677" s="186"/>
      <c r="L677" s="186"/>
      <c r="M677" s="186"/>
      <c r="N677" s="186"/>
      <c r="O677" s="186"/>
      <c r="P677" s="186"/>
      <c r="Q677" s="186"/>
      <c r="R677" s="186"/>
      <c r="S677" s="67"/>
      <c r="T677" s="67"/>
      <c r="U677" s="67"/>
      <c r="V677" s="187"/>
      <c r="W677" s="186"/>
      <c r="X677" s="187"/>
      <c r="Y677" s="187"/>
      <c r="Z677" s="187"/>
      <c r="AA677" s="186"/>
      <c r="AB677" s="186"/>
      <c r="AC677" s="67"/>
      <c r="AD677" s="67"/>
      <c r="AE677" s="67"/>
      <c r="AH677" s="186"/>
      <c r="AK677" s="186"/>
    </row>
    <row r="678">
      <c r="A678" s="185"/>
      <c r="B678" s="67"/>
      <c r="C678" s="67"/>
      <c r="D678" s="67"/>
      <c r="E678" s="186"/>
      <c r="F678" s="186"/>
      <c r="G678" s="186"/>
      <c r="H678" s="186"/>
      <c r="I678" s="186"/>
      <c r="J678" s="186"/>
      <c r="K678" s="186"/>
      <c r="L678" s="186"/>
      <c r="M678" s="186"/>
      <c r="N678" s="186"/>
      <c r="O678" s="186"/>
      <c r="P678" s="186"/>
      <c r="Q678" s="186"/>
      <c r="R678" s="186"/>
      <c r="S678" s="67"/>
      <c r="T678" s="67"/>
      <c r="U678" s="67"/>
      <c r="V678" s="187"/>
      <c r="W678" s="186"/>
      <c r="X678" s="187"/>
      <c r="Y678" s="187"/>
      <c r="Z678" s="187"/>
      <c r="AA678" s="186"/>
      <c r="AB678" s="186"/>
      <c r="AC678" s="67"/>
      <c r="AD678" s="67"/>
      <c r="AE678" s="67"/>
      <c r="AH678" s="186"/>
      <c r="AK678" s="186"/>
    </row>
    <row r="679">
      <c r="A679" s="185"/>
      <c r="B679" s="67"/>
      <c r="C679" s="67"/>
      <c r="D679" s="67"/>
      <c r="E679" s="186"/>
      <c r="F679" s="186"/>
      <c r="G679" s="186"/>
      <c r="H679" s="186"/>
      <c r="I679" s="186"/>
      <c r="J679" s="186"/>
      <c r="K679" s="186"/>
      <c r="L679" s="186"/>
      <c r="M679" s="186"/>
      <c r="N679" s="186"/>
      <c r="O679" s="186"/>
      <c r="P679" s="186"/>
      <c r="Q679" s="186"/>
      <c r="R679" s="186"/>
      <c r="S679" s="67"/>
      <c r="T679" s="67"/>
      <c r="U679" s="67"/>
      <c r="V679" s="187"/>
      <c r="W679" s="186"/>
      <c r="X679" s="187"/>
      <c r="Y679" s="187"/>
      <c r="Z679" s="187"/>
      <c r="AA679" s="186"/>
      <c r="AB679" s="186"/>
      <c r="AC679" s="67"/>
      <c r="AD679" s="67"/>
      <c r="AE679" s="67"/>
      <c r="AH679" s="186"/>
      <c r="AK679" s="186"/>
    </row>
    <row r="680">
      <c r="A680" s="185"/>
      <c r="B680" s="67"/>
      <c r="C680" s="67"/>
      <c r="D680" s="67"/>
      <c r="E680" s="186"/>
      <c r="F680" s="186"/>
      <c r="G680" s="186"/>
      <c r="H680" s="186"/>
      <c r="I680" s="186"/>
      <c r="J680" s="186"/>
      <c r="K680" s="186"/>
      <c r="L680" s="186"/>
      <c r="M680" s="186"/>
      <c r="N680" s="186"/>
      <c r="O680" s="186"/>
      <c r="P680" s="186"/>
      <c r="Q680" s="186"/>
      <c r="R680" s="186"/>
      <c r="S680" s="67"/>
      <c r="T680" s="67"/>
      <c r="U680" s="67"/>
      <c r="V680" s="187"/>
      <c r="W680" s="186"/>
      <c r="X680" s="187"/>
      <c r="Y680" s="187"/>
      <c r="Z680" s="187"/>
      <c r="AA680" s="186"/>
      <c r="AB680" s="186"/>
      <c r="AC680" s="67"/>
      <c r="AD680" s="67"/>
      <c r="AE680" s="67"/>
      <c r="AH680" s="186"/>
      <c r="AK680" s="186"/>
    </row>
    <row r="681">
      <c r="A681" s="185"/>
      <c r="B681" s="67"/>
      <c r="C681" s="67"/>
      <c r="D681" s="67"/>
      <c r="E681" s="186"/>
      <c r="F681" s="186"/>
      <c r="G681" s="186"/>
      <c r="H681" s="186"/>
      <c r="I681" s="186"/>
      <c r="J681" s="186"/>
      <c r="K681" s="186"/>
      <c r="L681" s="186"/>
      <c r="M681" s="186"/>
      <c r="N681" s="186"/>
      <c r="O681" s="186"/>
      <c r="P681" s="186"/>
      <c r="Q681" s="186"/>
      <c r="R681" s="186"/>
      <c r="S681" s="67"/>
      <c r="T681" s="67"/>
      <c r="U681" s="67"/>
      <c r="V681" s="187"/>
      <c r="W681" s="186"/>
      <c r="X681" s="187"/>
      <c r="Y681" s="187"/>
      <c r="Z681" s="187"/>
      <c r="AA681" s="186"/>
      <c r="AB681" s="186"/>
      <c r="AC681" s="67"/>
      <c r="AD681" s="67"/>
      <c r="AE681" s="67"/>
      <c r="AH681" s="186"/>
      <c r="AK681" s="186"/>
    </row>
    <row r="682">
      <c r="A682" s="185"/>
      <c r="B682" s="67"/>
      <c r="C682" s="67"/>
      <c r="D682" s="67"/>
      <c r="E682" s="186"/>
      <c r="F682" s="186"/>
      <c r="G682" s="186"/>
      <c r="H682" s="186"/>
      <c r="I682" s="186"/>
      <c r="J682" s="186"/>
      <c r="K682" s="186"/>
      <c r="L682" s="186"/>
      <c r="M682" s="186"/>
      <c r="N682" s="186"/>
      <c r="O682" s="186"/>
      <c r="P682" s="186"/>
      <c r="Q682" s="186"/>
      <c r="R682" s="186"/>
      <c r="S682" s="67"/>
      <c r="T682" s="67"/>
      <c r="U682" s="67"/>
      <c r="V682" s="187"/>
      <c r="W682" s="186"/>
      <c r="X682" s="187"/>
      <c r="Y682" s="187"/>
      <c r="Z682" s="187"/>
      <c r="AA682" s="186"/>
      <c r="AB682" s="186"/>
      <c r="AC682" s="67"/>
      <c r="AD682" s="67"/>
      <c r="AE682" s="67"/>
      <c r="AH682" s="186"/>
      <c r="AK682" s="186"/>
    </row>
    <row r="683">
      <c r="A683" s="185"/>
      <c r="B683" s="67"/>
      <c r="C683" s="67"/>
      <c r="D683" s="67"/>
      <c r="E683" s="186"/>
      <c r="F683" s="186"/>
      <c r="G683" s="186"/>
      <c r="H683" s="186"/>
      <c r="I683" s="186"/>
      <c r="J683" s="186"/>
      <c r="K683" s="186"/>
      <c r="L683" s="186"/>
      <c r="M683" s="186"/>
      <c r="N683" s="186"/>
      <c r="O683" s="186"/>
      <c r="P683" s="186"/>
      <c r="Q683" s="186"/>
      <c r="R683" s="186"/>
      <c r="S683" s="67"/>
      <c r="T683" s="67"/>
      <c r="U683" s="67"/>
      <c r="V683" s="187"/>
      <c r="W683" s="186"/>
      <c r="X683" s="187"/>
      <c r="Y683" s="187"/>
      <c r="Z683" s="187"/>
      <c r="AA683" s="186"/>
      <c r="AB683" s="186"/>
      <c r="AC683" s="67"/>
      <c r="AD683" s="67"/>
      <c r="AE683" s="67"/>
      <c r="AH683" s="186"/>
      <c r="AK683" s="186"/>
    </row>
    <row r="684">
      <c r="A684" s="185"/>
      <c r="B684" s="67"/>
      <c r="C684" s="67"/>
      <c r="D684" s="67"/>
      <c r="E684" s="186"/>
      <c r="F684" s="186"/>
      <c r="G684" s="186"/>
      <c r="H684" s="186"/>
      <c r="I684" s="186"/>
      <c r="J684" s="186"/>
      <c r="K684" s="186"/>
      <c r="L684" s="186"/>
      <c r="M684" s="186"/>
      <c r="N684" s="186"/>
      <c r="O684" s="186"/>
      <c r="P684" s="186"/>
      <c r="Q684" s="186"/>
      <c r="R684" s="186"/>
      <c r="S684" s="67"/>
      <c r="T684" s="67"/>
      <c r="U684" s="67"/>
      <c r="V684" s="187"/>
      <c r="W684" s="186"/>
      <c r="X684" s="187"/>
      <c r="Y684" s="187"/>
      <c r="Z684" s="187"/>
      <c r="AA684" s="186"/>
      <c r="AB684" s="186"/>
      <c r="AC684" s="67"/>
      <c r="AD684" s="67"/>
      <c r="AE684" s="67"/>
      <c r="AH684" s="186"/>
      <c r="AK684" s="186"/>
    </row>
    <row r="685">
      <c r="A685" s="185"/>
      <c r="B685" s="67"/>
      <c r="C685" s="67"/>
      <c r="D685" s="67"/>
      <c r="E685" s="186"/>
      <c r="F685" s="186"/>
      <c r="G685" s="186"/>
      <c r="H685" s="186"/>
      <c r="I685" s="186"/>
      <c r="J685" s="186"/>
      <c r="K685" s="186"/>
      <c r="L685" s="186"/>
      <c r="M685" s="186"/>
      <c r="N685" s="186"/>
      <c r="O685" s="186"/>
      <c r="P685" s="186"/>
      <c r="Q685" s="186"/>
      <c r="R685" s="186"/>
      <c r="S685" s="67"/>
      <c r="T685" s="67"/>
      <c r="U685" s="67"/>
      <c r="V685" s="187"/>
      <c r="W685" s="186"/>
      <c r="X685" s="187"/>
      <c r="Y685" s="187"/>
      <c r="Z685" s="187"/>
      <c r="AA685" s="186"/>
      <c r="AB685" s="186"/>
      <c r="AC685" s="67"/>
      <c r="AD685" s="67"/>
      <c r="AE685" s="67"/>
      <c r="AH685" s="186"/>
      <c r="AK685" s="186"/>
    </row>
    <row r="686">
      <c r="A686" s="185"/>
      <c r="B686" s="67"/>
      <c r="C686" s="67"/>
      <c r="D686" s="67"/>
      <c r="E686" s="186"/>
      <c r="F686" s="186"/>
      <c r="G686" s="186"/>
      <c r="H686" s="186"/>
      <c r="I686" s="186"/>
      <c r="J686" s="186"/>
      <c r="K686" s="186"/>
      <c r="L686" s="186"/>
      <c r="M686" s="186"/>
      <c r="N686" s="186"/>
      <c r="O686" s="186"/>
      <c r="P686" s="186"/>
      <c r="Q686" s="186"/>
      <c r="R686" s="186"/>
      <c r="S686" s="67"/>
      <c r="T686" s="67"/>
      <c r="U686" s="67"/>
      <c r="V686" s="187"/>
      <c r="W686" s="186"/>
      <c r="X686" s="187"/>
      <c r="Y686" s="187"/>
      <c r="Z686" s="187"/>
      <c r="AA686" s="186"/>
      <c r="AB686" s="186"/>
      <c r="AC686" s="67"/>
      <c r="AD686" s="67"/>
      <c r="AE686" s="67"/>
      <c r="AH686" s="186"/>
      <c r="AK686" s="186"/>
    </row>
    <row r="687">
      <c r="A687" s="185"/>
      <c r="B687" s="67"/>
      <c r="C687" s="67"/>
      <c r="D687" s="67"/>
      <c r="E687" s="186"/>
      <c r="F687" s="186"/>
      <c r="G687" s="186"/>
      <c r="H687" s="186"/>
      <c r="I687" s="186"/>
      <c r="J687" s="186"/>
      <c r="K687" s="186"/>
      <c r="L687" s="186"/>
      <c r="M687" s="186"/>
      <c r="N687" s="186"/>
      <c r="O687" s="186"/>
      <c r="P687" s="186"/>
      <c r="Q687" s="186"/>
      <c r="R687" s="186"/>
      <c r="S687" s="67"/>
      <c r="T687" s="67"/>
      <c r="U687" s="67"/>
      <c r="V687" s="187"/>
      <c r="W687" s="186"/>
      <c r="X687" s="187"/>
      <c r="Y687" s="187"/>
      <c r="Z687" s="187"/>
      <c r="AA687" s="186"/>
      <c r="AB687" s="186"/>
      <c r="AC687" s="67"/>
      <c r="AD687" s="67"/>
      <c r="AE687" s="67"/>
      <c r="AH687" s="186"/>
      <c r="AK687" s="186"/>
    </row>
    <row r="688">
      <c r="A688" s="185"/>
      <c r="B688" s="67"/>
      <c r="C688" s="67"/>
      <c r="D688" s="67"/>
      <c r="E688" s="186"/>
      <c r="F688" s="186"/>
      <c r="G688" s="186"/>
      <c r="H688" s="186"/>
      <c r="I688" s="186"/>
      <c r="J688" s="186"/>
      <c r="K688" s="186"/>
      <c r="L688" s="186"/>
      <c r="M688" s="186"/>
      <c r="N688" s="186"/>
      <c r="O688" s="186"/>
      <c r="P688" s="186"/>
      <c r="Q688" s="186"/>
      <c r="R688" s="186"/>
      <c r="S688" s="67"/>
      <c r="T688" s="67"/>
      <c r="U688" s="67"/>
      <c r="V688" s="187"/>
      <c r="W688" s="186"/>
      <c r="X688" s="187"/>
      <c r="Y688" s="187"/>
      <c r="Z688" s="187"/>
      <c r="AA688" s="186"/>
      <c r="AB688" s="186"/>
      <c r="AC688" s="67"/>
      <c r="AD688" s="67"/>
      <c r="AE688" s="67"/>
      <c r="AH688" s="186"/>
      <c r="AK688" s="186"/>
    </row>
    <row r="689">
      <c r="A689" s="185"/>
      <c r="B689" s="67"/>
      <c r="C689" s="67"/>
      <c r="D689" s="67"/>
      <c r="E689" s="186"/>
      <c r="F689" s="186"/>
      <c r="G689" s="186"/>
      <c r="H689" s="186"/>
      <c r="I689" s="186"/>
      <c r="J689" s="186"/>
      <c r="K689" s="186"/>
      <c r="L689" s="186"/>
      <c r="M689" s="186"/>
      <c r="N689" s="186"/>
      <c r="O689" s="186"/>
      <c r="P689" s="186"/>
      <c r="Q689" s="186"/>
      <c r="R689" s="186"/>
      <c r="S689" s="67"/>
      <c r="T689" s="67"/>
      <c r="U689" s="67"/>
      <c r="V689" s="187"/>
      <c r="W689" s="186"/>
      <c r="X689" s="187"/>
      <c r="Y689" s="187"/>
      <c r="Z689" s="187"/>
      <c r="AA689" s="186"/>
      <c r="AB689" s="186"/>
      <c r="AC689" s="67"/>
      <c r="AD689" s="67"/>
      <c r="AE689" s="67"/>
      <c r="AH689" s="186"/>
      <c r="AK689" s="186"/>
    </row>
    <row r="690">
      <c r="A690" s="185"/>
      <c r="B690" s="67"/>
      <c r="C690" s="67"/>
      <c r="D690" s="67"/>
      <c r="E690" s="186"/>
      <c r="F690" s="186"/>
      <c r="G690" s="186"/>
      <c r="H690" s="186"/>
      <c r="I690" s="186"/>
      <c r="J690" s="186"/>
      <c r="K690" s="186"/>
      <c r="L690" s="186"/>
      <c r="M690" s="186"/>
      <c r="N690" s="186"/>
      <c r="O690" s="186"/>
      <c r="P690" s="186"/>
      <c r="Q690" s="186"/>
      <c r="R690" s="186"/>
      <c r="S690" s="67"/>
      <c r="T690" s="67"/>
      <c r="U690" s="67"/>
      <c r="V690" s="187"/>
      <c r="W690" s="186"/>
      <c r="X690" s="187"/>
      <c r="Y690" s="187"/>
      <c r="Z690" s="187"/>
      <c r="AA690" s="186"/>
      <c r="AB690" s="186"/>
      <c r="AC690" s="67"/>
      <c r="AD690" s="67"/>
      <c r="AE690" s="67"/>
      <c r="AH690" s="186"/>
      <c r="AK690" s="186"/>
    </row>
    <row r="691">
      <c r="A691" s="185"/>
      <c r="B691" s="67"/>
      <c r="C691" s="67"/>
      <c r="D691" s="67"/>
      <c r="E691" s="186"/>
      <c r="F691" s="186"/>
      <c r="G691" s="186"/>
      <c r="H691" s="186"/>
      <c r="I691" s="186"/>
      <c r="J691" s="186"/>
      <c r="K691" s="186"/>
      <c r="L691" s="186"/>
      <c r="M691" s="186"/>
      <c r="N691" s="186"/>
      <c r="O691" s="186"/>
      <c r="P691" s="186"/>
      <c r="Q691" s="186"/>
      <c r="R691" s="186"/>
      <c r="S691" s="67"/>
      <c r="T691" s="67"/>
      <c r="U691" s="67"/>
      <c r="V691" s="187"/>
      <c r="W691" s="186"/>
      <c r="X691" s="187"/>
      <c r="Y691" s="187"/>
      <c r="Z691" s="187"/>
      <c r="AA691" s="186"/>
      <c r="AB691" s="186"/>
      <c r="AC691" s="67"/>
      <c r="AD691" s="67"/>
      <c r="AE691" s="67"/>
      <c r="AH691" s="186"/>
      <c r="AK691" s="186"/>
    </row>
    <row r="692">
      <c r="A692" s="185"/>
      <c r="B692" s="67"/>
      <c r="C692" s="67"/>
      <c r="D692" s="67"/>
      <c r="E692" s="186"/>
      <c r="F692" s="186"/>
      <c r="G692" s="186"/>
      <c r="H692" s="186"/>
      <c r="I692" s="186"/>
      <c r="J692" s="186"/>
      <c r="K692" s="186"/>
      <c r="L692" s="186"/>
      <c r="M692" s="186"/>
      <c r="N692" s="186"/>
      <c r="O692" s="186"/>
      <c r="P692" s="186"/>
      <c r="Q692" s="186"/>
      <c r="R692" s="186"/>
      <c r="S692" s="67"/>
      <c r="T692" s="67"/>
      <c r="U692" s="67"/>
      <c r="V692" s="187"/>
      <c r="W692" s="186"/>
      <c r="X692" s="187"/>
      <c r="Y692" s="187"/>
      <c r="Z692" s="187"/>
      <c r="AA692" s="186"/>
      <c r="AB692" s="186"/>
      <c r="AC692" s="67"/>
      <c r="AD692" s="67"/>
      <c r="AE692" s="67"/>
      <c r="AH692" s="186"/>
      <c r="AK692" s="186"/>
    </row>
    <row r="693">
      <c r="A693" s="185"/>
      <c r="B693" s="67"/>
      <c r="C693" s="67"/>
      <c r="D693" s="67"/>
      <c r="E693" s="186"/>
      <c r="F693" s="186"/>
      <c r="G693" s="186"/>
      <c r="H693" s="186"/>
      <c r="I693" s="186"/>
      <c r="J693" s="186"/>
      <c r="K693" s="186"/>
      <c r="L693" s="186"/>
      <c r="M693" s="186"/>
      <c r="N693" s="186"/>
      <c r="O693" s="186"/>
      <c r="P693" s="186"/>
      <c r="Q693" s="186"/>
      <c r="R693" s="186"/>
      <c r="S693" s="67"/>
      <c r="T693" s="67"/>
      <c r="U693" s="67"/>
      <c r="V693" s="187"/>
      <c r="W693" s="186"/>
      <c r="X693" s="187"/>
      <c r="Y693" s="187"/>
      <c r="Z693" s="187"/>
      <c r="AA693" s="186"/>
      <c r="AB693" s="186"/>
      <c r="AC693" s="67"/>
      <c r="AD693" s="67"/>
      <c r="AE693" s="67"/>
      <c r="AH693" s="186"/>
      <c r="AK693" s="186"/>
    </row>
    <row r="694">
      <c r="A694" s="185"/>
      <c r="B694" s="67"/>
      <c r="C694" s="67"/>
      <c r="D694" s="67"/>
      <c r="E694" s="186"/>
      <c r="F694" s="186"/>
      <c r="G694" s="186"/>
      <c r="H694" s="186"/>
      <c r="I694" s="186"/>
      <c r="J694" s="186"/>
      <c r="K694" s="186"/>
      <c r="L694" s="186"/>
      <c r="M694" s="186"/>
      <c r="N694" s="186"/>
      <c r="O694" s="186"/>
      <c r="P694" s="186"/>
      <c r="Q694" s="186"/>
      <c r="R694" s="186"/>
      <c r="S694" s="67"/>
      <c r="T694" s="67"/>
      <c r="U694" s="67"/>
      <c r="V694" s="187"/>
      <c r="W694" s="186"/>
      <c r="X694" s="187"/>
      <c r="Y694" s="187"/>
      <c r="Z694" s="187"/>
      <c r="AA694" s="186"/>
      <c r="AB694" s="186"/>
      <c r="AC694" s="67"/>
      <c r="AD694" s="67"/>
      <c r="AE694" s="67"/>
      <c r="AH694" s="186"/>
      <c r="AK694" s="186"/>
    </row>
    <row r="695">
      <c r="A695" s="185"/>
      <c r="B695" s="67"/>
      <c r="C695" s="67"/>
      <c r="D695" s="67"/>
      <c r="E695" s="186"/>
      <c r="F695" s="186"/>
      <c r="G695" s="186"/>
      <c r="H695" s="186"/>
      <c r="I695" s="186"/>
      <c r="J695" s="186"/>
      <c r="K695" s="186"/>
      <c r="L695" s="186"/>
      <c r="M695" s="186"/>
      <c r="N695" s="186"/>
      <c r="O695" s="186"/>
      <c r="P695" s="186"/>
      <c r="Q695" s="186"/>
      <c r="R695" s="186"/>
      <c r="S695" s="67"/>
      <c r="T695" s="67"/>
      <c r="U695" s="67"/>
      <c r="V695" s="187"/>
      <c r="W695" s="186"/>
      <c r="X695" s="187"/>
      <c r="Y695" s="187"/>
      <c r="Z695" s="187"/>
      <c r="AA695" s="186"/>
      <c r="AB695" s="186"/>
      <c r="AC695" s="67"/>
      <c r="AD695" s="67"/>
      <c r="AE695" s="67"/>
      <c r="AH695" s="186"/>
      <c r="AK695" s="186"/>
    </row>
    <row r="696">
      <c r="A696" s="185"/>
      <c r="B696" s="67"/>
      <c r="C696" s="67"/>
      <c r="D696" s="67"/>
      <c r="E696" s="186"/>
      <c r="F696" s="186"/>
      <c r="G696" s="186"/>
      <c r="H696" s="186"/>
      <c r="I696" s="186"/>
      <c r="J696" s="186"/>
      <c r="K696" s="186"/>
      <c r="L696" s="186"/>
      <c r="M696" s="186"/>
      <c r="N696" s="186"/>
      <c r="O696" s="186"/>
      <c r="P696" s="186"/>
      <c r="Q696" s="186"/>
      <c r="R696" s="186"/>
      <c r="S696" s="67"/>
      <c r="T696" s="67"/>
      <c r="U696" s="67"/>
      <c r="V696" s="187"/>
      <c r="W696" s="186"/>
      <c r="X696" s="187"/>
      <c r="Y696" s="187"/>
      <c r="Z696" s="187"/>
      <c r="AA696" s="186"/>
      <c r="AB696" s="186"/>
      <c r="AC696" s="67"/>
      <c r="AD696" s="67"/>
      <c r="AE696" s="67"/>
      <c r="AH696" s="186"/>
      <c r="AK696" s="186"/>
    </row>
    <row r="697">
      <c r="A697" s="185"/>
      <c r="B697" s="67"/>
      <c r="C697" s="67"/>
      <c r="D697" s="67"/>
      <c r="E697" s="186"/>
      <c r="F697" s="186"/>
      <c r="G697" s="186"/>
      <c r="H697" s="186"/>
      <c r="I697" s="186"/>
      <c r="J697" s="186"/>
      <c r="K697" s="186"/>
      <c r="L697" s="186"/>
      <c r="M697" s="186"/>
      <c r="N697" s="186"/>
      <c r="O697" s="186"/>
      <c r="P697" s="186"/>
      <c r="Q697" s="186"/>
      <c r="R697" s="186"/>
      <c r="S697" s="67"/>
      <c r="T697" s="67"/>
      <c r="U697" s="67"/>
      <c r="V697" s="187"/>
      <c r="W697" s="186"/>
      <c r="X697" s="187"/>
      <c r="Y697" s="187"/>
      <c r="Z697" s="187"/>
      <c r="AA697" s="186"/>
      <c r="AB697" s="186"/>
      <c r="AC697" s="67"/>
      <c r="AD697" s="67"/>
      <c r="AE697" s="67"/>
      <c r="AH697" s="186"/>
      <c r="AK697" s="186"/>
    </row>
    <row r="698">
      <c r="A698" s="185"/>
      <c r="B698" s="67"/>
      <c r="C698" s="67"/>
      <c r="D698" s="67"/>
      <c r="E698" s="186"/>
      <c r="F698" s="186"/>
      <c r="G698" s="186"/>
      <c r="H698" s="186"/>
      <c r="I698" s="186"/>
      <c r="J698" s="186"/>
      <c r="K698" s="186"/>
      <c r="L698" s="186"/>
      <c r="M698" s="186"/>
      <c r="N698" s="186"/>
      <c r="O698" s="186"/>
      <c r="P698" s="186"/>
      <c r="Q698" s="186"/>
      <c r="R698" s="186"/>
      <c r="S698" s="67"/>
      <c r="T698" s="67"/>
      <c r="U698" s="67"/>
      <c r="V698" s="187"/>
      <c r="W698" s="186"/>
      <c r="X698" s="187"/>
      <c r="Y698" s="187"/>
      <c r="Z698" s="187"/>
      <c r="AA698" s="186"/>
      <c r="AB698" s="186"/>
      <c r="AC698" s="67"/>
      <c r="AD698" s="67"/>
      <c r="AE698" s="67"/>
      <c r="AH698" s="186"/>
      <c r="AK698" s="186"/>
    </row>
    <row r="699">
      <c r="A699" s="185"/>
      <c r="B699" s="67"/>
      <c r="C699" s="67"/>
      <c r="D699" s="67"/>
      <c r="E699" s="186"/>
      <c r="F699" s="186"/>
      <c r="G699" s="186"/>
      <c r="H699" s="186"/>
      <c r="I699" s="186"/>
      <c r="J699" s="186"/>
      <c r="K699" s="186"/>
      <c r="L699" s="186"/>
      <c r="M699" s="186"/>
      <c r="N699" s="186"/>
      <c r="O699" s="186"/>
      <c r="P699" s="186"/>
      <c r="Q699" s="186"/>
      <c r="R699" s="186"/>
      <c r="S699" s="67"/>
      <c r="T699" s="67"/>
      <c r="U699" s="67"/>
      <c r="V699" s="187"/>
      <c r="W699" s="186"/>
      <c r="X699" s="187"/>
      <c r="Y699" s="187"/>
      <c r="Z699" s="187"/>
      <c r="AA699" s="186"/>
      <c r="AB699" s="186"/>
      <c r="AC699" s="67"/>
      <c r="AD699" s="67"/>
      <c r="AE699" s="67"/>
      <c r="AH699" s="186"/>
      <c r="AK699" s="186"/>
    </row>
    <row r="700">
      <c r="A700" s="185"/>
      <c r="B700" s="67"/>
      <c r="C700" s="67"/>
      <c r="D700" s="67"/>
      <c r="E700" s="186"/>
      <c r="F700" s="186"/>
      <c r="G700" s="186"/>
      <c r="H700" s="186"/>
      <c r="I700" s="186"/>
      <c r="J700" s="186"/>
      <c r="K700" s="186"/>
      <c r="L700" s="186"/>
      <c r="M700" s="186"/>
      <c r="N700" s="186"/>
      <c r="O700" s="186"/>
      <c r="P700" s="186"/>
      <c r="Q700" s="186"/>
      <c r="R700" s="186"/>
      <c r="S700" s="67"/>
      <c r="T700" s="67"/>
      <c r="U700" s="67"/>
      <c r="V700" s="187"/>
      <c r="W700" s="186"/>
      <c r="X700" s="187"/>
      <c r="Y700" s="187"/>
      <c r="Z700" s="187"/>
      <c r="AA700" s="186"/>
      <c r="AB700" s="186"/>
      <c r="AC700" s="67"/>
      <c r="AD700" s="67"/>
      <c r="AE700" s="67"/>
      <c r="AH700" s="186"/>
      <c r="AK700" s="186"/>
    </row>
    <row r="701">
      <c r="A701" s="185"/>
      <c r="B701" s="67"/>
      <c r="C701" s="67"/>
      <c r="D701" s="67"/>
      <c r="E701" s="186"/>
      <c r="F701" s="186"/>
      <c r="G701" s="186"/>
      <c r="H701" s="186"/>
      <c r="I701" s="186"/>
      <c r="J701" s="186"/>
      <c r="K701" s="186"/>
      <c r="L701" s="186"/>
      <c r="M701" s="186"/>
      <c r="N701" s="186"/>
      <c r="O701" s="186"/>
      <c r="P701" s="186"/>
      <c r="Q701" s="186"/>
      <c r="R701" s="186"/>
      <c r="S701" s="67"/>
      <c r="T701" s="67"/>
      <c r="U701" s="67"/>
      <c r="V701" s="187"/>
      <c r="W701" s="186"/>
      <c r="X701" s="187"/>
      <c r="Y701" s="187"/>
      <c r="Z701" s="187"/>
      <c r="AA701" s="186"/>
      <c r="AB701" s="186"/>
      <c r="AC701" s="67"/>
      <c r="AD701" s="67"/>
      <c r="AE701" s="67"/>
      <c r="AH701" s="186"/>
      <c r="AK701" s="186"/>
    </row>
    <row r="702">
      <c r="A702" s="185"/>
      <c r="B702" s="67"/>
      <c r="C702" s="67"/>
      <c r="D702" s="67"/>
      <c r="E702" s="186"/>
      <c r="F702" s="186"/>
      <c r="G702" s="186"/>
      <c r="H702" s="186"/>
      <c r="I702" s="186"/>
      <c r="J702" s="186"/>
      <c r="K702" s="186"/>
      <c r="L702" s="186"/>
      <c r="M702" s="186"/>
      <c r="N702" s="186"/>
      <c r="O702" s="186"/>
      <c r="P702" s="186"/>
      <c r="Q702" s="186"/>
      <c r="R702" s="186"/>
      <c r="S702" s="67"/>
      <c r="T702" s="67"/>
      <c r="U702" s="67"/>
      <c r="V702" s="187"/>
      <c r="W702" s="186"/>
      <c r="X702" s="187"/>
      <c r="Y702" s="187"/>
      <c r="Z702" s="187"/>
      <c r="AA702" s="186"/>
      <c r="AB702" s="186"/>
      <c r="AC702" s="67"/>
      <c r="AD702" s="67"/>
      <c r="AE702" s="67"/>
      <c r="AH702" s="186"/>
      <c r="AK702" s="186"/>
    </row>
    <row r="703">
      <c r="A703" s="185"/>
      <c r="B703" s="67"/>
      <c r="C703" s="67"/>
      <c r="D703" s="67"/>
      <c r="E703" s="186"/>
      <c r="F703" s="186"/>
      <c r="G703" s="186"/>
      <c r="H703" s="186"/>
      <c r="I703" s="186"/>
      <c r="J703" s="186"/>
      <c r="K703" s="186"/>
      <c r="L703" s="186"/>
      <c r="M703" s="186"/>
      <c r="N703" s="186"/>
      <c r="O703" s="186"/>
      <c r="P703" s="186"/>
      <c r="Q703" s="186"/>
      <c r="R703" s="186"/>
      <c r="S703" s="67"/>
      <c r="T703" s="67"/>
      <c r="U703" s="67"/>
      <c r="V703" s="187"/>
      <c r="W703" s="186"/>
      <c r="X703" s="187"/>
      <c r="Y703" s="187"/>
      <c r="Z703" s="187"/>
      <c r="AA703" s="186"/>
      <c r="AB703" s="186"/>
      <c r="AC703" s="67"/>
      <c r="AD703" s="67"/>
      <c r="AE703" s="67"/>
      <c r="AH703" s="186"/>
      <c r="AK703" s="186"/>
    </row>
    <row r="704">
      <c r="A704" s="185"/>
      <c r="B704" s="67"/>
      <c r="C704" s="67"/>
      <c r="D704" s="67"/>
      <c r="E704" s="186"/>
      <c r="F704" s="186"/>
      <c r="G704" s="186"/>
      <c r="H704" s="186"/>
      <c r="I704" s="186"/>
      <c r="J704" s="186"/>
      <c r="K704" s="186"/>
      <c r="L704" s="186"/>
      <c r="M704" s="186"/>
      <c r="N704" s="186"/>
      <c r="O704" s="186"/>
      <c r="P704" s="186"/>
      <c r="Q704" s="186"/>
      <c r="R704" s="186"/>
      <c r="S704" s="67"/>
      <c r="T704" s="67"/>
      <c r="U704" s="67"/>
      <c r="V704" s="187"/>
      <c r="W704" s="186"/>
      <c r="X704" s="187"/>
      <c r="Y704" s="187"/>
      <c r="Z704" s="187"/>
      <c r="AA704" s="186"/>
      <c r="AB704" s="186"/>
      <c r="AC704" s="67"/>
      <c r="AD704" s="67"/>
      <c r="AE704" s="67"/>
      <c r="AH704" s="186"/>
      <c r="AK704" s="186"/>
    </row>
    <row r="705">
      <c r="A705" s="185"/>
      <c r="B705" s="67"/>
      <c r="C705" s="67"/>
      <c r="D705" s="67"/>
      <c r="E705" s="186"/>
      <c r="F705" s="186"/>
      <c r="G705" s="186"/>
      <c r="H705" s="186"/>
      <c r="I705" s="186"/>
      <c r="J705" s="186"/>
      <c r="K705" s="186"/>
      <c r="L705" s="186"/>
      <c r="M705" s="186"/>
      <c r="N705" s="186"/>
      <c r="O705" s="186"/>
      <c r="P705" s="186"/>
      <c r="Q705" s="186"/>
      <c r="R705" s="186"/>
      <c r="S705" s="67"/>
      <c r="T705" s="67"/>
      <c r="U705" s="67"/>
      <c r="V705" s="187"/>
      <c r="W705" s="186"/>
      <c r="X705" s="187"/>
      <c r="Y705" s="187"/>
      <c r="Z705" s="187"/>
      <c r="AA705" s="186"/>
      <c r="AB705" s="186"/>
      <c r="AC705" s="67"/>
      <c r="AD705" s="67"/>
      <c r="AE705" s="67"/>
      <c r="AH705" s="186"/>
      <c r="AK705" s="186"/>
    </row>
    <row r="706">
      <c r="A706" s="185"/>
      <c r="B706" s="67"/>
      <c r="C706" s="67"/>
      <c r="D706" s="67"/>
      <c r="E706" s="186"/>
      <c r="F706" s="186"/>
      <c r="G706" s="186"/>
      <c r="H706" s="186"/>
      <c r="I706" s="186"/>
      <c r="J706" s="186"/>
      <c r="K706" s="186"/>
      <c r="L706" s="186"/>
      <c r="M706" s="186"/>
      <c r="N706" s="186"/>
      <c r="O706" s="186"/>
      <c r="P706" s="186"/>
      <c r="Q706" s="186"/>
      <c r="R706" s="186"/>
      <c r="S706" s="67"/>
      <c r="T706" s="67"/>
      <c r="U706" s="67"/>
      <c r="V706" s="187"/>
      <c r="W706" s="186"/>
      <c r="X706" s="187"/>
      <c r="Y706" s="187"/>
      <c r="Z706" s="187"/>
      <c r="AA706" s="186"/>
      <c r="AB706" s="186"/>
      <c r="AC706" s="67"/>
      <c r="AD706" s="67"/>
      <c r="AE706" s="67"/>
      <c r="AH706" s="186"/>
      <c r="AK706" s="186"/>
    </row>
    <row r="707">
      <c r="A707" s="185"/>
      <c r="B707" s="67"/>
      <c r="C707" s="67"/>
      <c r="D707" s="67"/>
      <c r="E707" s="186"/>
      <c r="F707" s="186"/>
      <c r="G707" s="186"/>
      <c r="H707" s="186"/>
      <c r="I707" s="186"/>
      <c r="J707" s="186"/>
      <c r="K707" s="186"/>
      <c r="L707" s="186"/>
      <c r="M707" s="186"/>
      <c r="N707" s="186"/>
      <c r="O707" s="186"/>
      <c r="P707" s="186"/>
      <c r="Q707" s="186"/>
      <c r="R707" s="186"/>
      <c r="S707" s="67"/>
      <c r="T707" s="67"/>
      <c r="U707" s="67"/>
      <c r="V707" s="187"/>
      <c r="W707" s="186"/>
      <c r="X707" s="187"/>
      <c r="Y707" s="187"/>
      <c r="Z707" s="187"/>
      <c r="AA707" s="186"/>
      <c r="AB707" s="186"/>
      <c r="AC707" s="67"/>
      <c r="AD707" s="67"/>
      <c r="AE707" s="67"/>
      <c r="AH707" s="186"/>
      <c r="AK707" s="186"/>
    </row>
    <row r="708">
      <c r="A708" s="185"/>
      <c r="B708" s="67"/>
      <c r="C708" s="67"/>
      <c r="D708" s="67"/>
      <c r="E708" s="186"/>
      <c r="F708" s="186"/>
      <c r="G708" s="186"/>
      <c r="H708" s="186"/>
      <c r="I708" s="186"/>
      <c r="J708" s="186"/>
      <c r="K708" s="186"/>
      <c r="L708" s="186"/>
      <c r="M708" s="186"/>
      <c r="N708" s="186"/>
      <c r="O708" s="186"/>
      <c r="P708" s="186"/>
      <c r="Q708" s="186"/>
      <c r="R708" s="186"/>
      <c r="S708" s="67"/>
      <c r="T708" s="67"/>
      <c r="U708" s="67"/>
      <c r="V708" s="187"/>
      <c r="W708" s="186"/>
      <c r="X708" s="187"/>
      <c r="Y708" s="187"/>
      <c r="Z708" s="187"/>
      <c r="AA708" s="186"/>
      <c r="AB708" s="186"/>
      <c r="AC708" s="67"/>
      <c r="AD708" s="67"/>
      <c r="AE708" s="67"/>
      <c r="AH708" s="186"/>
      <c r="AK708" s="186"/>
    </row>
    <row r="709">
      <c r="A709" s="185"/>
      <c r="B709" s="67"/>
      <c r="C709" s="67"/>
      <c r="D709" s="67"/>
      <c r="E709" s="186"/>
      <c r="F709" s="186"/>
      <c r="G709" s="186"/>
      <c r="H709" s="186"/>
      <c r="I709" s="186"/>
      <c r="J709" s="186"/>
      <c r="K709" s="186"/>
      <c r="L709" s="186"/>
      <c r="M709" s="186"/>
      <c r="N709" s="186"/>
      <c r="O709" s="186"/>
      <c r="P709" s="186"/>
      <c r="Q709" s="186"/>
      <c r="R709" s="186"/>
      <c r="S709" s="67"/>
      <c r="T709" s="67"/>
      <c r="U709" s="67"/>
      <c r="V709" s="187"/>
      <c r="W709" s="186"/>
      <c r="X709" s="187"/>
      <c r="Y709" s="187"/>
      <c r="Z709" s="187"/>
      <c r="AA709" s="186"/>
      <c r="AB709" s="186"/>
      <c r="AC709" s="67"/>
      <c r="AD709" s="67"/>
      <c r="AE709" s="67"/>
      <c r="AH709" s="186"/>
      <c r="AK709" s="186"/>
    </row>
    <row r="710">
      <c r="A710" s="185"/>
      <c r="B710" s="67"/>
      <c r="C710" s="67"/>
      <c r="D710" s="67"/>
      <c r="E710" s="186"/>
      <c r="F710" s="186"/>
      <c r="G710" s="186"/>
      <c r="H710" s="186"/>
      <c r="I710" s="186"/>
      <c r="J710" s="186"/>
      <c r="K710" s="186"/>
      <c r="L710" s="186"/>
      <c r="M710" s="186"/>
      <c r="N710" s="186"/>
      <c r="O710" s="186"/>
      <c r="P710" s="186"/>
      <c r="Q710" s="186"/>
      <c r="R710" s="186"/>
      <c r="S710" s="67"/>
      <c r="T710" s="67"/>
      <c r="U710" s="67"/>
      <c r="V710" s="187"/>
      <c r="W710" s="186"/>
      <c r="X710" s="187"/>
      <c r="Y710" s="187"/>
      <c r="Z710" s="187"/>
      <c r="AA710" s="186"/>
      <c r="AB710" s="186"/>
      <c r="AC710" s="67"/>
      <c r="AD710" s="67"/>
      <c r="AE710" s="67"/>
      <c r="AH710" s="186"/>
      <c r="AK710" s="186"/>
    </row>
    <row r="711">
      <c r="A711" s="185"/>
      <c r="B711" s="67"/>
      <c r="C711" s="67"/>
      <c r="D711" s="67"/>
      <c r="E711" s="186"/>
      <c r="F711" s="186"/>
      <c r="G711" s="186"/>
      <c r="H711" s="186"/>
      <c r="I711" s="186"/>
      <c r="J711" s="186"/>
      <c r="K711" s="186"/>
      <c r="L711" s="186"/>
      <c r="M711" s="186"/>
      <c r="N711" s="186"/>
      <c r="O711" s="186"/>
      <c r="P711" s="186"/>
      <c r="Q711" s="186"/>
      <c r="R711" s="186"/>
      <c r="S711" s="67"/>
      <c r="T711" s="67"/>
      <c r="U711" s="67"/>
      <c r="V711" s="187"/>
      <c r="W711" s="186"/>
      <c r="X711" s="187"/>
      <c r="Y711" s="187"/>
      <c r="Z711" s="187"/>
      <c r="AA711" s="186"/>
      <c r="AB711" s="186"/>
      <c r="AC711" s="67"/>
      <c r="AD711" s="67"/>
      <c r="AE711" s="67"/>
      <c r="AH711" s="186"/>
      <c r="AK711" s="186"/>
    </row>
    <row r="712">
      <c r="A712" s="185"/>
      <c r="B712" s="67"/>
      <c r="C712" s="67"/>
      <c r="D712" s="67"/>
      <c r="E712" s="186"/>
      <c r="F712" s="186"/>
      <c r="G712" s="186"/>
      <c r="H712" s="186"/>
      <c r="I712" s="186"/>
      <c r="J712" s="186"/>
      <c r="K712" s="186"/>
      <c r="L712" s="186"/>
      <c r="M712" s="186"/>
      <c r="N712" s="186"/>
      <c r="O712" s="186"/>
      <c r="P712" s="186"/>
      <c r="Q712" s="186"/>
      <c r="R712" s="186"/>
      <c r="S712" s="67"/>
      <c r="T712" s="67"/>
      <c r="U712" s="67"/>
      <c r="V712" s="187"/>
      <c r="W712" s="186"/>
      <c r="X712" s="187"/>
      <c r="Y712" s="187"/>
      <c r="Z712" s="187"/>
      <c r="AA712" s="186"/>
      <c r="AB712" s="186"/>
      <c r="AC712" s="67"/>
      <c r="AD712" s="67"/>
      <c r="AE712" s="67"/>
      <c r="AH712" s="186"/>
      <c r="AK712" s="186"/>
    </row>
    <row r="713">
      <c r="A713" s="185"/>
      <c r="B713" s="67"/>
      <c r="C713" s="67"/>
      <c r="D713" s="67"/>
      <c r="E713" s="186"/>
      <c r="F713" s="186"/>
      <c r="G713" s="186"/>
      <c r="H713" s="186"/>
      <c r="I713" s="186"/>
      <c r="J713" s="186"/>
      <c r="K713" s="186"/>
      <c r="L713" s="186"/>
      <c r="M713" s="186"/>
      <c r="N713" s="186"/>
      <c r="O713" s="186"/>
      <c r="P713" s="186"/>
      <c r="Q713" s="186"/>
      <c r="R713" s="186"/>
      <c r="S713" s="67"/>
      <c r="T713" s="67"/>
      <c r="U713" s="67"/>
      <c r="V713" s="187"/>
      <c r="W713" s="186"/>
      <c r="X713" s="187"/>
      <c r="Y713" s="187"/>
      <c r="Z713" s="187"/>
      <c r="AA713" s="186"/>
      <c r="AB713" s="186"/>
      <c r="AC713" s="67"/>
      <c r="AD713" s="67"/>
      <c r="AE713" s="67"/>
      <c r="AH713" s="186"/>
      <c r="AK713" s="186"/>
    </row>
    <row r="714">
      <c r="A714" s="185"/>
      <c r="B714" s="67"/>
      <c r="C714" s="67"/>
      <c r="D714" s="67"/>
      <c r="E714" s="186"/>
      <c r="F714" s="186"/>
      <c r="G714" s="186"/>
      <c r="H714" s="186"/>
      <c r="I714" s="186"/>
      <c r="J714" s="186"/>
      <c r="K714" s="186"/>
      <c r="L714" s="186"/>
      <c r="M714" s="186"/>
      <c r="N714" s="186"/>
      <c r="O714" s="186"/>
      <c r="P714" s="186"/>
      <c r="Q714" s="186"/>
      <c r="R714" s="186"/>
      <c r="S714" s="67"/>
      <c r="T714" s="67"/>
      <c r="U714" s="67"/>
      <c r="V714" s="187"/>
      <c r="W714" s="186"/>
      <c r="X714" s="187"/>
      <c r="Y714" s="187"/>
      <c r="Z714" s="187"/>
      <c r="AA714" s="186"/>
      <c r="AB714" s="186"/>
      <c r="AC714" s="67"/>
      <c r="AD714" s="67"/>
      <c r="AE714" s="67"/>
      <c r="AH714" s="186"/>
      <c r="AK714" s="186"/>
    </row>
    <row r="715">
      <c r="A715" s="185"/>
      <c r="B715" s="67"/>
      <c r="C715" s="67"/>
      <c r="D715" s="67"/>
      <c r="E715" s="186"/>
      <c r="F715" s="186"/>
      <c r="G715" s="186"/>
      <c r="H715" s="186"/>
      <c r="I715" s="186"/>
      <c r="J715" s="186"/>
      <c r="K715" s="186"/>
      <c r="L715" s="186"/>
      <c r="M715" s="186"/>
      <c r="N715" s="186"/>
      <c r="O715" s="186"/>
      <c r="P715" s="186"/>
      <c r="Q715" s="186"/>
      <c r="R715" s="186"/>
      <c r="S715" s="67"/>
      <c r="T715" s="67"/>
      <c r="U715" s="67"/>
      <c r="V715" s="187"/>
      <c r="W715" s="186"/>
      <c r="X715" s="187"/>
      <c r="Y715" s="187"/>
      <c r="Z715" s="187"/>
      <c r="AA715" s="186"/>
      <c r="AB715" s="186"/>
      <c r="AC715" s="67"/>
      <c r="AD715" s="67"/>
      <c r="AE715" s="67"/>
      <c r="AH715" s="186"/>
      <c r="AK715" s="186"/>
    </row>
    <row r="716">
      <c r="A716" s="185"/>
      <c r="B716" s="67"/>
      <c r="C716" s="67"/>
      <c r="D716" s="67"/>
      <c r="E716" s="186"/>
      <c r="F716" s="186"/>
      <c r="G716" s="186"/>
      <c r="H716" s="186"/>
      <c r="I716" s="186"/>
      <c r="J716" s="186"/>
      <c r="K716" s="186"/>
      <c r="L716" s="186"/>
      <c r="M716" s="186"/>
      <c r="N716" s="186"/>
      <c r="O716" s="186"/>
      <c r="P716" s="186"/>
      <c r="Q716" s="186"/>
      <c r="R716" s="186"/>
      <c r="S716" s="67"/>
      <c r="T716" s="67"/>
      <c r="U716" s="67"/>
      <c r="V716" s="187"/>
      <c r="W716" s="186"/>
      <c r="X716" s="187"/>
      <c r="Y716" s="187"/>
      <c r="Z716" s="187"/>
      <c r="AA716" s="186"/>
      <c r="AB716" s="186"/>
      <c r="AC716" s="67"/>
      <c r="AD716" s="67"/>
      <c r="AE716" s="67"/>
      <c r="AH716" s="186"/>
      <c r="AK716" s="186"/>
    </row>
    <row r="717">
      <c r="A717" s="185"/>
      <c r="B717" s="67"/>
      <c r="C717" s="67"/>
      <c r="D717" s="67"/>
      <c r="E717" s="186"/>
      <c r="F717" s="186"/>
      <c r="G717" s="186"/>
      <c r="H717" s="186"/>
      <c r="I717" s="186"/>
      <c r="J717" s="186"/>
      <c r="K717" s="186"/>
      <c r="L717" s="186"/>
      <c r="M717" s="186"/>
      <c r="N717" s="186"/>
      <c r="O717" s="186"/>
      <c r="P717" s="186"/>
      <c r="Q717" s="186"/>
      <c r="R717" s="186"/>
      <c r="S717" s="67"/>
      <c r="T717" s="67"/>
      <c r="U717" s="67"/>
      <c r="V717" s="187"/>
      <c r="W717" s="186"/>
      <c r="X717" s="187"/>
      <c r="Y717" s="187"/>
      <c r="Z717" s="187"/>
      <c r="AA717" s="186"/>
      <c r="AB717" s="186"/>
      <c r="AC717" s="67"/>
      <c r="AD717" s="67"/>
      <c r="AE717" s="67"/>
      <c r="AH717" s="186"/>
      <c r="AK717" s="186"/>
    </row>
    <row r="718">
      <c r="A718" s="185"/>
      <c r="B718" s="67"/>
      <c r="C718" s="67"/>
      <c r="D718" s="67"/>
      <c r="E718" s="186"/>
      <c r="F718" s="186"/>
      <c r="G718" s="186"/>
      <c r="H718" s="186"/>
      <c r="I718" s="186"/>
      <c r="J718" s="186"/>
      <c r="K718" s="186"/>
      <c r="L718" s="186"/>
      <c r="M718" s="186"/>
      <c r="N718" s="186"/>
      <c r="O718" s="186"/>
      <c r="P718" s="186"/>
      <c r="Q718" s="186"/>
      <c r="R718" s="186"/>
      <c r="S718" s="67"/>
      <c r="T718" s="67"/>
      <c r="U718" s="67"/>
      <c r="V718" s="187"/>
      <c r="W718" s="186"/>
      <c r="X718" s="187"/>
      <c r="Y718" s="187"/>
      <c r="Z718" s="187"/>
      <c r="AA718" s="186"/>
      <c r="AB718" s="186"/>
      <c r="AC718" s="67"/>
      <c r="AD718" s="67"/>
      <c r="AE718" s="67"/>
      <c r="AH718" s="186"/>
      <c r="AK718" s="186"/>
    </row>
    <row r="719">
      <c r="A719" s="185"/>
      <c r="B719" s="67"/>
      <c r="C719" s="67"/>
      <c r="D719" s="67"/>
      <c r="E719" s="186"/>
      <c r="F719" s="186"/>
      <c r="G719" s="186"/>
      <c r="H719" s="186"/>
      <c r="I719" s="186"/>
      <c r="J719" s="186"/>
      <c r="K719" s="186"/>
      <c r="L719" s="186"/>
      <c r="M719" s="186"/>
      <c r="N719" s="186"/>
      <c r="O719" s="186"/>
      <c r="P719" s="186"/>
      <c r="Q719" s="186"/>
      <c r="R719" s="186"/>
      <c r="S719" s="67"/>
      <c r="T719" s="67"/>
      <c r="U719" s="67"/>
      <c r="V719" s="187"/>
      <c r="W719" s="186"/>
      <c r="X719" s="187"/>
      <c r="Y719" s="187"/>
      <c r="Z719" s="187"/>
      <c r="AA719" s="186"/>
      <c r="AB719" s="186"/>
      <c r="AC719" s="67"/>
      <c r="AD719" s="67"/>
      <c r="AE719" s="67"/>
      <c r="AH719" s="186"/>
      <c r="AK719" s="186"/>
    </row>
    <row r="720">
      <c r="A720" s="185"/>
      <c r="B720" s="67"/>
      <c r="C720" s="67"/>
      <c r="D720" s="67"/>
      <c r="E720" s="186"/>
      <c r="F720" s="186"/>
      <c r="G720" s="186"/>
      <c r="H720" s="186"/>
      <c r="I720" s="186"/>
      <c r="J720" s="186"/>
      <c r="K720" s="186"/>
      <c r="L720" s="186"/>
      <c r="M720" s="186"/>
      <c r="N720" s="186"/>
      <c r="O720" s="186"/>
      <c r="P720" s="186"/>
      <c r="Q720" s="186"/>
      <c r="R720" s="186"/>
      <c r="S720" s="67"/>
      <c r="T720" s="67"/>
      <c r="U720" s="67"/>
      <c r="V720" s="187"/>
      <c r="W720" s="186"/>
      <c r="X720" s="187"/>
      <c r="Y720" s="187"/>
      <c r="Z720" s="187"/>
      <c r="AA720" s="186"/>
      <c r="AB720" s="186"/>
      <c r="AC720" s="67"/>
      <c r="AD720" s="67"/>
      <c r="AE720" s="67"/>
      <c r="AH720" s="186"/>
      <c r="AK720" s="186"/>
    </row>
    <row r="721">
      <c r="A721" s="185"/>
      <c r="B721" s="67"/>
      <c r="C721" s="67"/>
      <c r="D721" s="67"/>
      <c r="E721" s="186"/>
      <c r="F721" s="186"/>
      <c r="G721" s="186"/>
      <c r="H721" s="186"/>
      <c r="I721" s="186"/>
      <c r="J721" s="186"/>
      <c r="K721" s="186"/>
      <c r="L721" s="186"/>
      <c r="M721" s="186"/>
      <c r="N721" s="186"/>
      <c r="O721" s="186"/>
      <c r="P721" s="186"/>
      <c r="Q721" s="186"/>
      <c r="R721" s="186"/>
      <c r="S721" s="67"/>
      <c r="T721" s="67"/>
      <c r="U721" s="67"/>
      <c r="V721" s="187"/>
      <c r="W721" s="186"/>
      <c r="X721" s="187"/>
      <c r="Y721" s="187"/>
      <c r="Z721" s="187"/>
      <c r="AA721" s="186"/>
      <c r="AB721" s="186"/>
      <c r="AC721" s="67"/>
      <c r="AD721" s="67"/>
      <c r="AE721" s="67"/>
      <c r="AH721" s="186"/>
      <c r="AK721" s="186"/>
    </row>
    <row r="722">
      <c r="A722" s="185"/>
      <c r="B722" s="67"/>
      <c r="C722" s="67"/>
      <c r="D722" s="67"/>
      <c r="E722" s="186"/>
      <c r="F722" s="186"/>
      <c r="G722" s="186"/>
      <c r="H722" s="186"/>
      <c r="I722" s="186"/>
      <c r="J722" s="186"/>
      <c r="K722" s="186"/>
      <c r="L722" s="186"/>
      <c r="M722" s="186"/>
      <c r="N722" s="186"/>
      <c r="O722" s="186"/>
      <c r="P722" s="186"/>
      <c r="Q722" s="186"/>
      <c r="R722" s="186"/>
      <c r="S722" s="67"/>
      <c r="T722" s="67"/>
      <c r="U722" s="67"/>
      <c r="V722" s="187"/>
      <c r="W722" s="186"/>
      <c r="X722" s="187"/>
      <c r="Y722" s="187"/>
      <c r="Z722" s="187"/>
      <c r="AA722" s="186"/>
      <c r="AB722" s="186"/>
      <c r="AC722" s="67"/>
      <c r="AD722" s="67"/>
      <c r="AE722" s="67"/>
      <c r="AH722" s="186"/>
      <c r="AK722" s="186"/>
    </row>
    <row r="723">
      <c r="A723" s="185"/>
      <c r="B723" s="67"/>
      <c r="C723" s="67"/>
      <c r="D723" s="67"/>
      <c r="E723" s="186"/>
      <c r="F723" s="186"/>
      <c r="G723" s="186"/>
      <c r="H723" s="186"/>
      <c r="I723" s="186"/>
      <c r="J723" s="186"/>
      <c r="K723" s="186"/>
      <c r="L723" s="186"/>
      <c r="M723" s="186"/>
      <c r="N723" s="186"/>
      <c r="O723" s="186"/>
      <c r="P723" s="186"/>
      <c r="Q723" s="186"/>
      <c r="R723" s="186"/>
      <c r="S723" s="67"/>
      <c r="T723" s="67"/>
      <c r="U723" s="67"/>
      <c r="V723" s="187"/>
      <c r="W723" s="186"/>
      <c r="X723" s="187"/>
      <c r="Y723" s="187"/>
      <c r="Z723" s="187"/>
      <c r="AA723" s="186"/>
      <c r="AB723" s="186"/>
      <c r="AC723" s="67"/>
      <c r="AD723" s="67"/>
      <c r="AE723" s="67"/>
      <c r="AH723" s="186"/>
      <c r="AK723" s="186"/>
    </row>
    <row r="724">
      <c r="A724" s="185"/>
      <c r="B724" s="67"/>
      <c r="C724" s="67"/>
      <c r="D724" s="67"/>
      <c r="E724" s="186"/>
      <c r="F724" s="186"/>
      <c r="G724" s="186"/>
      <c r="H724" s="186"/>
      <c r="I724" s="186"/>
      <c r="J724" s="186"/>
      <c r="K724" s="186"/>
      <c r="L724" s="186"/>
      <c r="M724" s="186"/>
      <c r="N724" s="186"/>
      <c r="O724" s="186"/>
      <c r="P724" s="186"/>
      <c r="Q724" s="186"/>
      <c r="R724" s="186"/>
      <c r="S724" s="67"/>
      <c r="T724" s="67"/>
      <c r="U724" s="67"/>
      <c r="V724" s="187"/>
      <c r="W724" s="186"/>
      <c r="X724" s="187"/>
      <c r="Y724" s="187"/>
      <c r="Z724" s="187"/>
      <c r="AA724" s="186"/>
      <c r="AB724" s="186"/>
      <c r="AC724" s="67"/>
      <c r="AD724" s="67"/>
      <c r="AE724" s="67"/>
      <c r="AH724" s="186"/>
      <c r="AK724" s="186"/>
    </row>
    <row r="725">
      <c r="A725" s="185"/>
      <c r="B725" s="67"/>
      <c r="C725" s="67"/>
      <c r="D725" s="67"/>
      <c r="E725" s="186"/>
      <c r="F725" s="186"/>
      <c r="G725" s="186"/>
      <c r="H725" s="186"/>
      <c r="I725" s="186"/>
      <c r="J725" s="186"/>
      <c r="K725" s="186"/>
      <c r="L725" s="186"/>
      <c r="M725" s="186"/>
      <c r="N725" s="186"/>
      <c r="O725" s="186"/>
      <c r="P725" s="186"/>
      <c r="Q725" s="186"/>
      <c r="R725" s="186"/>
      <c r="S725" s="67"/>
      <c r="T725" s="67"/>
      <c r="U725" s="67"/>
      <c r="V725" s="187"/>
      <c r="W725" s="186"/>
      <c r="X725" s="187"/>
      <c r="Y725" s="187"/>
      <c r="Z725" s="187"/>
      <c r="AA725" s="186"/>
      <c r="AB725" s="186"/>
      <c r="AC725" s="67"/>
      <c r="AD725" s="67"/>
      <c r="AE725" s="67"/>
      <c r="AH725" s="186"/>
      <c r="AK725" s="186"/>
    </row>
    <row r="726">
      <c r="A726" s="185"/>
      <c r="B726" s="67"/>
      <c r="C726" s="67"/>
      <c r="D726" s="67"/>
      <c r="E726" s="186"/>
      <c r="F726" s="186"/>
      <c r="G726" s="186"/>
      <c r="H726" s="186"/>
      <c r="I726" s="186"/>
      <c r="J726" s="186"/>
      <c r="K726" s="186"/>
      <c r="L726" s="186"/>
      <c r="M726" s="186"/>
      <c r="N726" s="186"/>
      <c r="O726" s="186"/>
      <c r="P726" s="186"/>
      <c r="Q726" s="186"/>
      <c r="R726" s="186"/>
      <c r="S726" s="67"/>
      <c r="T726" s="67"/>
      <c r="U726" s="67"/>
      <c r="V726" s="187"/>
      <c r="W726" s="186"/>
      <c r="X726" s="187"/>
      <c r="Y726" s="187"/>
      <c r="Z726" s="187"/>
      <c r="AA726" s="186"/>
      <c r="AB726" s="186"/>
      <c r="AC726" s="67"/>
      <c r="AD726" s="67"/>
      <c r="AE726" s="67"/>
      <c r="AH726" s="186"/>
      <c r="AK726" s="186"/>
    </row>
    <row r="727">
      <c r="A727" s="185"/>
      <c r="B727" s="67"/>
      <c r="C727" s="67"/>
      <c r="D727" s="67"/>
      <c r="E727" s="186"/>
      <c r="F727" s="186"/>
      <c r="G727" s="186"/>
      <c r="H727" s="186"/>
      <c r="I727" s="186"/>
      <c r="J727" s="186"/>
      <c r="K727" s="186"/>
      <c r="L727" s="186"/>
      <c r="M727" s="186"/>
      <c r="N727" s="186"/>
      <c r="O727" s="186"/>
      <c r="P727" s="186"/>
      <c r="Q727" s="186"/>
      <c r="R727" s="186"/>
      <c r="S727" s="67"/>
      <c r="T727" s="67"/>
      <c r="U727" s="67"/>
      <c r="V727" s="187"/>
      <c r="W727" s="186"/>
      <c r="X727" s="187"/>
      <c r="Y727" s="187"/>
      <c r="Z727" s="187"/>
      <c r="AA727" s="186"/>
      <c r="AB727" s="186"/>
      <c r="AC727" s="67"/>
      <c r="AD727" s="67"/>
      <c r="AE727" s="67"/>
      <c r="AH727" s="186"/>
      <c r="AK727" s="186"/>
    </row>
    <row r="728">
      <c r="A728" s="185"/>
      <c r="B728" s="67"/>
      <c r="C728" s="67"/>
      <c r="D728" s="67"/>
      <c r="E728" s="186"/>
      <c r="F728" s="186"/>
      <c r="G728" s="186"/>
      <c r="H728" s="186"/>
      <c r="I728" s="186"/>
      <c r="J728" s="186"/>
      <c r="K728" s="186"/>
      <c r="L728" s="186"/>
      <c r="M728" s="186"/>
      <c r="N728" s="186"/>
      <c r="O728" s="186"/>
      <c r="P728" s="186"/>
      <c r="Q728" s="186"/>
      <c r="R728" s="186"/>
      <c r="S728" s="67"/>
      <c r="T728" s="67"/>
      <c r="U728" s="67"/>
      <c r="V728" s="187"/>
      <c r="W728" s="186"/>
      <c r="X728" s="187"/>
      <c r="Y728" s="187"/>
      <c r="Z728" s="187"/>
      <c r="AA728" s="186"/>
      <c r="AB728" s="186"/>
      <c r="AC728" s="67"/>
      <c r="AD728" s="67"/>
      <c r="AE728" s="67"/>
      <c r="AH728" s="186"/>
      <c r="AK728" s="186"/>
    </row>
    <row r="729">
      <c r="A729" s="185"/>
      <c r="B729" s="67"/>
      <c r="C729" s="67"/>
      <c r="D729" s="67"/>
      <c r="E729" s="186"/>
      <c r="F729" s="186"/>
      <c r="G729" s="186"/>
      <c r="H729" s="186"/>
      <c r="I729" s="186"/>
      <c r="J729" s="186"/>
      <c r="K729" s="186"/>
      <c r="L729" s="186"/>
      <c r="M729" s="186"/>
      <c r="N729" s="186"/>
      <c r="O729" s="186"/>
      <c r="P729" s="186"/>
      <c r="Q729" s="186"/>
      <c r="R729" s="186"/>
      <c r="S729" s="67"/>
      <c r="T729" s="67"/>
      <c r="U729" s="67"/>
      <c r="V729" s="187"/>
      <c r="W729" s="186"/>
      <c r="X729" s="187"/>
      <c r="Y729" s="187"/>
      <c r="Z729" s="187"/>
      <c r="AA729" s="186"/>
      <c r="AB729" s="186"/>
      <c r="AC729" s="67"/>
      <c r="AD729" s="67"/>
      <c r="AE729" s="67"/>
      <c r="AH729" s="186"/>
      <c r="AK729" s="186"/>
    </row>
    <row r="730">
      <c r="A730" s="185"/>
      <c r="B730" s="67"/>
      <c r="C730" s="67"/>
      <c r="D730" s="67"/>
      <c r="E730" s="186"/>
      <c r="F730" s="186"/>
      <c r="G730" s="186"/>
      <c r="H730" s="186"/>
      <c r="I730" s="186"/>
      <c r="J730" s="186"/>
      <c r="K730" s="186"/>
      <c r="L730" s="186"/>
      <c r="M730" s="186"/>
      <c r="N730" s="186"/>
      <c r="O730" s="186"/>
      <c r="P730" s="186"/>
      <c r="Q730" s="186"/>
      <c r="R730" s="186"/>
      <c r="S730" s="67"/>
      <c r="T730" s="67"/>
      <c r="U730" s="67"/>
      <c r="V730" s="187"/>
      <c r="W730" s="186"/>
      <c r="X730" s="187"/>
      <c r="Y730" s="187"/>
      <c r="Z730" s="187"/>
      <c r="AA730" s="186"/>
      <c r="AB730" s="186"/>
      <c r="AC730" s="67"/>
      <c r="AD730" s="67"/>
      <c r="AE730" s="67"/>
      <c r="AH730" s="186"/>
      <c r="AK730" s="186"/>
    </row>
    <row r="731">
      <c r="A731" s="185"/>
      <c r="B731" s="67"/>
      <c r="C731" s="67"/>
      <c r="D731" s="67"/>
      <c r="E731" s="186"/>
      <c r="F731" s="186"/>
      <c r="G731" s="186"/>
      <c r="H731" s="186"/>
      <c r="I731" s="186"/>
      <c r="J731" s="186"/>
      <c r="K731" s="186"/>
      <c r="L731" s="186"/>
      <c r="M731" s="186"/>
      <c r="N731" s="186"/>
      <c r="O731" s="186"/>
      <c r="P731" s="186"/>
      <c r="Q731" s="186"/>
      <c r="R731" s="186"/>
      <c r="S731" s="67"/>
      <c r="T731" s="67"/>
      <c r="U731" s="67"/>
      <c r="V731" s="187"/>
      <c r="W731" s="186"/>
      <c r="X731" s="187"/>
      <c r="Y731" s="187"/>
      <c r="Z731" s="187"/>
      <c r="AA731" s="186"/>
      <c r="AB731" s="186"/>
      <c r="AC731" s="67"/>
      <c r="AD731" s="67"/>
      <c r="AE731" s="67"/>
      <c r="AH731" s="186"/>
      <c r="AK731" s="186"/>
    </row>
    <row r="732">
      <c r="A732" s="185"/>
      <c r="B732" s="67"/>
      <c r="C732" s="67"/>
      <c r="D732" s="67"/>
      <c r="E732" s="186"/>
      <c r="F732" s="186"/>
      <c r="G732" s="186"/>
      <c r="H732" s="186"/>
      <c r="I732" s="186"/>
      <c r="J732" s="186"/>
      <c r="K732" s="186"/>
      <c r="L732" s="186"/>
      <c r="M732" s="186"/>
      <c r="N732" s="186"/>
      <c r="O732" s="186"/>
      <c r="P732" s="186"/>
      <c r="Q732" s="186"/>
      <c r="R732" s="186"/>
      <c r="S732" s="67"/>
      <c r="T732" s="67"/>
      <c r="U732" s="67"/>
      <c r="V732" s="187"/>
      <c r="W732" s="186"/>
      <c r="X732" s="187"/>
      <c r="Y732" s="187"/>
      <c r="Z732" s="187"/>
      <c r="AA732" s="186"/>
      <c r="AB732" s="186"/>
      <c r="AC732" s="67"/>
      <c r="AD732" s="67"/>
      <c r="AE732" s="67"/>
      <c r="AH732" s="186"/>
      <c r="AK732" s="186"/>
    </row>
    <row r="733">
      <c r="A733" s="185"/>
      <c r="B733" s="67"/>
      <c r="C733" s="67"/>
      <c r="D733" s="67"/>
      <c r="E733" s="186"/>
      <c r="F733" s="186"/>
      <c r="G733" s="186"/>
      <c r="H733" s="186"/>
      <c r="I733" s="186"/>
      <c r="J733" s="186"/>
      <c r="K733" s="186"/>
      <c r="L733" s="186"/>
      <c r="M733" s="186"/>
      <c r="N733" s="186"/>
      <c r="O733" s="186"/>
      <c r="P733" s="186"/>
      <c r="Q733" s="186"/>
      <c r="R733" s="186"/>
      <c r="S733" s="67"/>
      <c r="T733" s="67"/>
      <c r="U733" s="67"/>
      <c r="V733" s="187"/>
      <c r="W733" s="186"/>
      <c r="X733" s="187"/>
      <c r="Y733" s="187"/>
      <c r="Z733" s="187"/>
      <c r="AA733" s="186"/>
      <c r="AB733" s="186"/>
      <c r="AC733" s="67"/>
      <c r="AD733" s="67"/>
      <c r="AE733" s="67"/>
      <c r="AH733" s="186"/>
      <c r="AK733" s="186"/>
    </row>
    <row r="734">
      <c r="A734" s="185"/>
      <c r="B734" s="67"/>
      <c r="C734" s="67"/>
      <c r="D734" s="67"/>
      <c r="E734" s="186"/>
      <c r="F734" s="186"/>
      <c r="G734" s="186"/>
      <c r="H734" s="186"/>
      <c r="I734" s="186"/>
      <c r="J734" s="186"/>
      <c r="K734" s="186"/>
      <c r="L734" s="186"/>
      <c r="M734" s="186"/>
      <c r="N734" s="186"/>
      <c r="O734" s="186"/>
      <c r="P734" s="186"/>
      <c r="Q734" s="186"/>
      <c r="R734" s="186"/>
      <c r="S734" s="67"/>
      <c r="T734" s="67"/>
      <c r="U734" s="67"/>
      <c r="V734" s="187"/>
      <c r="W734" s="186"/>
      <c r="X734" s="187"/>
      <c r="Y734" s="187"/>
      <c r="Z734" s="187"/>
      <c r="AA734" s="186"/>
      <c r="AB734" s="186"/>
      <c r="AC734" s="67"/>
      <c r="AD734" s="67"/>
      <c r="AE734" s="67"/>
      <c r="AH734" s="186"/>
      <c r="AK734" s="186"/>
    </row>
    <row r="735">
      <c r="A735" s="185"/>
      <c r="B735" s="67"/>
      <c r="C735" s="67"/>
      <c r="D735" s="67"/>
      <c r="E735" s="186"/>
      <c r="F735" s="186"/>
      <c r="G735" s="186"/>
      <c r="H735" s="186"/>
      <c r="I735" s="186"/>
      <c r="J735" s="186"/>
      <c r="K735" s="186"/>
      <c r="L735" s="186"/>
      <c r="M735" s="186"/>
      <c r="N735" s="186"/>
      <c r="O735" s="186"/>
      <c r="P735" s="186"/>
      <c r="Q735" s="186"/>
      <c r="R735" s="186"/>
      <c r="S735" s="67"/>
      <c r="T735" s="67"/>
      <c r="U735" s="67"/>
      <c r="V735" s="187"/>
      <c r="W735" s="186"/>
      <c r="X735" s="187"/>
      <c r="Y735" s="187"/>
      <c r="Z735" s="187"/>
      <c r="AA735" s="186"/>
      <c r="AB735" s="186"/>
      <c r="AC735" s="67"/>
      <c r="AD735" s="67"/>
      <c r="AE735" s="67"/>
      <c r="AH735" s="186"/>
      <c r="AK735" s="186"/>
    </row>
    <row r="736">
      <c r="A736" s="185"/>
      <c r="B736" s="67"/>
      <c r="C736" s="67"/>
      <c r="D736" s="67"/>
      <c r="E736" s="186"/>
      <c r="F736" s="186"/>
      <c r="G736" s="186"/>
      <c r="H736" s="186"/>
      <c r="I736" s="186"/>
      <c r="J736" s="186"/>
      <c r="K736" s="186"/>
      <c r="L736" s="186"/>
      <c r="M736" s="186"/>
      <c r="N736" s="186"/>
      <c r="O736" s="186"/>
      <c r="P736" s="186"/>
      <c r="Q736" s="186"/>
      <c r="R736" s="186"/>
      <c r="S736" s="67"/>
      <c r="T736" s="67"/>
      <c r="U736" s="67"/>
      <c r="V736" s="187"/>
      <c r="W736" s="186"/>
      <c r="X736" s="187"/>
      <c r="Y736" s="187"/>
      <c r="Z736" s="187"/>
      <c r="AA736" s="186"/>
      <c r="AB736" s="186"/>
      <c r="AC736" s="67"/>
      <c r="AD736" s="67"/>
      <c r="AE736" s="67"/>
      <c r="AH736" s="186"/>
      <c r="AK736" s="186"/>
    </row>
    <row r="737">
      <c r="A737" s="185"/>
      <c r="B737" s="67"/>
      <c r="C737" s="67"/>
      <c r="D737" s="67"/>
      <c r="E737" s="186"/>
      <c r="F737" s="186"/>
      <c r="G737" s="186"/>
      <c r="H737" s="186"/>
      <c r="I737" s="186"/>
      <c r="J737" s="186"/>
      <c r="K737" s="186"/>
      <c r="L737" s="186"/>
      <c r="M737" s="186"/>
      <c r="N737" s="186"/>
      <c r="O737" s="186"/>
      <c r="P737" s="186"/>
      <c r="Q737" s="186"/>
      <c r="R737" s="186"/>
      <c r="S737" s="67"/>
      <c r="T737" s="67"/>
      <c r="U737" s="67"/>
      <c r="V737" s="187"/>
      <c r="W737" s="186"/>
      <c r="X737" s="187"/>
      <c r="Y737" s="187"/>
      <c r="Z737" s="187"/>
      <c r="AA737" s="186"/>
      <c r="AB737" s="186"/>
      <c r="AC737" s="67"/>
      <c r="AD737" s="67"/>
      <c r="AE737" s="67"/>
      <c r="AH737" s="186"/>
      <c r="AK737" s="186"/>
    </row>
    <row r="738">
      <c r="A738" s="185"/>
      <c r="B738" s="67"/>
      <c r="C738" s="67"/>
      <c r="D738" s="67"/>
      <c r="E738" s="186"/>
      <c r="F738" s="186"/>
      <c r="G738" s="186"/>
      <c r="H738" s="186"/>
      <c r="I738" s="186"/>
      <c r="J738" s="186"/>
      <c r="K738" s="186"/>
      <c r="L738" s="186"/>
      <c r="M738" s="186"/>
      <c r="N738" s="186"/>
      <c r="O738" s="186"/>
      <c r="P738" s="186"/>
      <c r="Q738" s="186"/>
      <c r="R738" s="186"/>
      <c r="S738" s="67"/>
      <c r="T738" s="67"/>
      <c r="U738" s="67"/>
      <c r="V738" s="187"/>
      <c r="W738" s="186"/>
      <c r="X738" s="187"/>
      <c r="Y738" s="187"/>
      <c r="Z738" s="187"/>
      <c r="AA738" s="186"/>
      <c r="AB738" s="186"/>
      <c r="AC738" s="67"/>
      <c r="AD738" s="67"/>
      <c r="AE738" s="67"/>
      <c r="AH738" s="186"/>
      <c r="AK738" s="186"/>
    </row>
    <row r="739">
      <c r="A739" s="185"/>
      <c r="B739" s="67"/>
      <c r="C739" s="67"/>
      <c r="D739" s="67"/>
      <c r="E739" s="186"/>
      <c r="F739" s="186"/>
      <c r="G739" s="186"/>
      <c r="H739" s="186"/>
      <c r="I739" s="186"/>
      <c r="J739" s="186"/>
      <c r="K739" s="186"/>
      <c r="L739" s="186"/>
      <c r="M739" s="186"/>
      <c r="N739" s="186"/>
      <c r="O739" s="186"/>
      <c r="P739" s="186"/>
      <c r="Q739" s="186"/>
      <c r="R739" s="186"/>
      <c r="S739" s="67"/>
      <c r="T739" s="67"/>
      <c r="U739" s="67"/>
      <c r="V739" s="187"/>
      <c r="W739" s="186"/>
      <c r="X739" s="187"/>
      <c r="Y739" s="187"/>
      <c r="Z739" s="187"/>
      <c r="AA739" s="186"/>
      <c r="AB739" s="186"/>
      <c r="AC739" s="67"/>
      <c r="AD739" s="67"/>
      <c r="AE739" s="67"/>
      <c r="AH739" s="186"/>
      <c r="AK739" s="186"/>
    </row>
    <row r="740">
      <c r="A740" s="185"/>
      <c r="B740" s="67"/>
      <c r="C740" s="67"/>
      <c r="D740" s="67"/>
      <c r="E740" s="186"/>
      <c r="F740" s="186"/>
      <c r="G740" s="186"/>
      <c r="H740" s="186"/>
      <c r="I740" s="186"/>
      <c r="J740" s="186"/>
      <c r="K740" s="186"/>
      <c r="L740" s="186"/>
      <c r="M740" s="186"/>
      <c r="N740" s="186"/>
      <c r="O740" s="186"/>
      <c r="P740" s="186"/>
      <c r="Q740" s="186"/>
      <c r="R740" s="186"/>
      <c r="S740" s="67"/>
      <c r="T740" s="67"/>
      <c r="U740" s="67"/>
      <c r="V740" s="187"/>
      <c r="W740" s="186"/>
      <c r="X740" s="187"/>
      <c r="Y740" s="187"/>
      <c r="Z740" s="187"/>
      <c r="AA740" s="186"/>
      <c r="AB740" s="186"/>
      <c r="AC740" s="67"/>
      <c r="AD740" s="67"/>
      <c r="AE740" s="67"/>
      <c r="AH740" s="186"/>
      <c r="AK740" s="186"/>
    </row>
    <row r="741">
      <c r="A741" s="185"/>
      <c r="B741" s="67"/>
      <c r="C741" s="67"/>
      <c r="D741" s="67"/>
      <c r="E741" s="186"/>
      <c r="F741" s="186"/>
      <c r="G741" s="186"/>
      <c r="H741" s="186"/>
      <c r="I741" s="186"/>
      <c r="J741" s="186"/>
      <c r="K741" s="186"/>
      <c r="L741" s="186"/>
      <c r="M741" s="186"/>
      <c r="N741" s="186"/>
      <c r="O741" s="186"/>
      <c r="P741" s="186"/>
      <c r="Q741" s="186"/>
      <c r="R741" s="186"/>
      <c r="S741" s="67"/>
      <c r="T741" s="67"/>
      <c r="U741" s="67"/>
      <c r="V741" s="187"/>
      <c r="W741" s="186"/>
      <c r="X741" s="187"/>
      <c r="Y741" s="187"/>
      <c r="Z741" s="187"/>
      <c r="AA741" s="186"/>
      <c r="AB741" s="186"/>
      <c r="AC741" s="67"/>
      <c r="AD741" s="67"/>
      <c r="AE741" s="67"/>
      <c r="AH741" s="186"/>
      <c r="AK741" s="186"/>
    </row>
    <row r="742">
      <c r="A742" s="185"/>
      <c r="B742" s="67"/>
      <c r="C742" s="67"/>
      <c r="D742" s="67"/>
      <c r="E742" s="186"/>
      <c r="F742" s="186"/>
      <c r="G742" s="186"/>
      <c r="H742" s="186"/>
      <c r="I742" s="186"/>
      <c r="J742" s="186"/>
      <c r="K742" s="186"/>
      <c r="L742" s="186"/>
      <c r="M742" s="186"/>
      <c r="N742" s="186"/>
      <c r="O742" s="186"/>
      <c r="P742" s="186"/>
      <c r="Q742" s="186"/>
      <c r="R742" s="186"/>
      <c r="S742" s="67"/>
      <c r="T742" s="67"/>
      <c r="U742" s="67"/>
      <c r="V742" s="187"/>
      <c r="W742" s="186"/>
      <c r="X742" s="187"/>
      <c r="Y742" s="187"/>
      <c r="Z742" s="187"/>
      <c r="AA742" s="186"/>
      <c r="AB742" s="186"/>
      <c r="AC742" s="67"/>
      <c r="AD742" s="67"/>
      <c r="AE742" s="67"/>
      <c r="AH742" s="186"/>
      <c r="AK742" s="186"/>
    </row>
    <row r="743">
      <c r="A743" s="185"/>
      <c r="B743" s="67"/>
      <c r="C743" s="67"/>
      <c r="D743" s="67"/>
      <c r="E743" s="186"/>
      <c r="F743" s="186"/>
      <c r="G743" s="186"/>
      <c r="H743" s="186"/>
      <c r="I743" s="186"/>
      <c r="J743" s="186"/>
      <c r="K743" s="186"/>
      <c r="L743" s="186"/>
      <c r="M743" s="186"/>
      <c r="N743" s="186"/>
      <c r="O743" s="186"/>
      <c r="P743" s="186"/>
      <c r="Q743" s="186"/>
      <c r="R743" s="186"/>
      <c r="S743" s="67"/>
      <c r="T743" s="67"/>
      <c r="U743" s="67"/>
      <c r="V743" s="187"/>
      <c r="W743" s="186"/>
      <c r="X743" s="187"/>
      <c r="Y743" s="187"/>
      <c r="Z743" s="187"/>
      <c r="AA743" s="186"/>
      <c r="AB743" s="186"/>
      <c r="AC743" s="67"/>
      <c r="AD743" s="67"/>
      <c r="AE743" s="67"/>
      <c r="AH743" s="186"/>
      <c r="AK743" s="186"/>
    </row>
    <row r="744">
      <c r="A744" s="185"/>
      <c r="B744" s="67"/>
      <c r="C744" s="67"/>
      <c r="D744" s="67"/>
      <c r="E744" s="186"/>
      <c r="F744" s="186"/>
      <c r="G744" s="186"/>
      <c r="H744" s="186"/>
      <c r="I744" s="186"/>
      <c r="J744" s="186"/>
      <c r="K744" s="186"/>
      <c r="L744" s="186"/>
      <c r="M744" s="186"/>
      <c r="N744" s="186"/>
      <c r="O744" s="186"/>
      <c r="P744" s="186"/>
      <c r="Q744" s="186"/>
      <c r="R744" s="186"/>
      <c r="S744" s="67"/>
      <c r="T744" s="67"/>
      <c r="U744" s="67"/>
      <c r="V744" s="187"/>
      <c r="W744" s="186"/>
      <c r="X744" s="187"/>
      <c r="Y744" s="187"/>
      <c r="Z744" s="187"/>
      <c r="AA744" s="186"/>
      <c r="AB744" s="186"/>
      <c r="AC744" s="67"/>
      <c r="AD744" s="67"/>
      <c r="AE744" s="67"/>
      <c r="AH744" s="186"/>
      <c r="AK744" s="186"/>
    </row>
    <row r="745">
      <c r="A745" s="185"/>
      <c r="B745" s="67"/>
      <c r="C745" s="67"/>
      <c r="D745" s="67"/>
      <c r="E745" s="186"/>
      <c r="F745" s="186"/>
      <c r="G745" s="186"/>
      <c r="H745" s="186"/>
      <c r="I745" s="186"/>
      <c r="J745" s="186"/>
      <c r="K745" s="186"/>
      <c r="L745" s="186"/>
      <c r="M745" s="186"/>
      <c r="N745" s="186"/>
      <c r="O745" s="186"/>
      <c r="P745" s="186"/>
      <c r="Q745" s="186"/>
      <c r="R745" s="186"/>
      <c r="S745" s="67"/>
      <c r="T745" s="67"/>
      <c r="U745" s="67"/>
      <c r="V745" s="187"/>
      <c r="W745" s="186"/>
      <c r="X745" s="187"/>
      <c r="Y745" s="187"/>
      <c r="Z745" s="187"/>
      <c r="AA745" s="186"/>
      <c r="AB745" s="186"/>
      <c r="AC745" s="67"/>
      <c r="AD745" s="67"/>
      <c r="AE745" s="67"/>
      <c r="AH745" s="186"/>
      <c r="AK745" s="186"/>
    </row>
    <row r="746">
      <c r="A746" s="185"/>
      <c r="B746" s="67"/>
      <c r="C746" s="67"/>
      <c r="D746" s="67"/>
      <c r="E746" s="186"/>
      <c r="F746" s="186"/>
      <c r="G746" s="186"/>
      <c r="H746" s="186"/>
      <c r="I746" s="186"/>
      <c r="J746" s="186"/>
      <c r="K746" s="186"/>
      <c r="L746" s="186"/>
      <c r="M746" s="186"/>
      <c r="N746" s="186"/>
      <c r="O746" s="186"/>
      <c r="P746" s="186"/>
      <c r="Q746" s="186"/>
      <c r="R746" s="186"/>
      <c r="S746" s="67"/>
      <c r="T746" s="67"/>
      <c r="U746" s="67"/>
      <c r="V746" s="187"/>
      <c r="W746" s="186"/>
      <c r="X746" s="187"/>
      <c r="Y746" s="187"/>
      <c r="Z746" s="187"/>
      <c r="AA746" s="186"/>
      <c r="AB746" s="186"/>
      <c r="AC746" s="67"/>
      <c r="AD746" s="67"/>
      <c r="AE746" s="67"/>
      <c r="AH746" s="186"/>
      <c r="AK746" s="186"/>
    </row>
    <row r="747">
      <c r="A747" s="185"/>
      <c r="B747" s="67"/>
      <c r="C747" s="67"/>
      <c r="D747" s="67"/>
      <c r="E747" s="186"/>
      <c r="F747" s="186"/>
      <c r="G747" s="186"/>
      <c r="H747" s="186"/>
      <c r="I747" s="186"/>
      <c r="J747" s="186"/>
      <c r="K747" s="186"/>
      <c r="L747" s="186"/>
      <c r="M747" s="186"/>
      <c r="N747" s="186"/>
      <c r="O747" s="186"/>
      <c r="P747" s="186"/>
      <c r="Q747" s="186"/>
      <c r="R747" s="186"/>
      <c r="S747" s="67"/>
      <c r="T747" s="67"/>
      <c r="U747" s="67"/>
      <c r="V747" s="187"/>
      <c r="W747" s="186"/>
      <c r="X747" s="187"/>
      <c r="Y747" s="187"/>
      <c r="Z747" s="187"/>
      <c r="AA747" s="186"/>
      <c r="AB747" s="186"/>
      <c r="AC747" s="67"/>
      <c r="AD747" s="67"/>
      <c r="AE747" s="67"/>
      <c r="AH747" s="186"/>
      <c r="AK747" s="186"/>
    </row>
    <row r="748">
      <c r="A748" s="185"/>
      <c r="B748" s="67"/>
      <c r="C748" s="67"/>
      <c r="D748" s="67"/>
      <c r="E748" s="186"/>
      <c r="F748" s="186"/>
      <c r="G748" s="186"/>
      <c r="H748" s="186"/>
      <c r="I748" s="186"/>
      <c r="J748" s="186"/>
      <c r="K748" s="186"/>
      <c r="L748" s="186"/>
      <c r="M748" s="186"/>
      <c r="N748" s="186"/>
      <c r="O748" s="186"/>
      <c r="P748" s="186"/>
      <c r="Q748" s="186"/>
      <c r="R748" s="186"/>
      <c r="S748" s="67"/>
      <c r="T748" s="67"/>
      <c r="U748" s="67"/>
      <c r="V748" s="187"/>
      <c r="W748" s="186"/>
      <c r="X748" s="187"/>
      <c r="Y748" s="187"/>
      <c r="Z748" s="187"/>
      <c r="AA748" s="186"/>
      <c r="AB748" s="186"/>
      <c r="AC748" s="67"/>
      <c r="AD748" s="67"/>
      <c r="AE748" s="67"/>
      <c r="AH748" s="186"/>
      <c r="AK748" s="186"/>
    </row>
    <row r="749">
      <c r="A749" s="185"/>
      <c r="B749" s="67"/>
      <c r="C749" s="67"/>
      <c r="D749" s="67"/>
      <c r="E749" s="186"/>
      <c r="F749" s="186"/>
      <c r="G749" s="186"/>
      <c r="H749" s="186"/>
      <c r="I749" s="186"/>
      <c r="J749" s="186"/>
      <c r="K749" s="186"/>
      <c r="L749" s="186"/>
      <c r="M749" s="186"/>
      <c r="N749" s="186"/>
      <c r="O749" s="186"/>
      <c r="P749" s="186"/>
      <c r="Q749" s="186"/>
      <c r="R749" s="186"/>
      <c r="S749" s="67"/>
      <c r="T749" s="67"/>
      <c r="U749" s="67"/>
      <c r="V749" s="187"/>
      <c r="W749" s="186"/>
      <c r="X749" s="187"/>
      <c r="Y749" s="187"/>
      <c r="Z749" s="187"/>
      <c r="AA749" s="186"/>
      <c r="AB749" s="186"/>
      <c r="AC749" s="67"/>
      <c r="AD749" s="67"/>
      <c r="AE749" s="67"/>
      <c r="AH749" s="186"/>
      <c r="AK749" s="186"/>
    </row>
    <row r="750">
      <c r="A750" s="185"/>
      <c r="B750" s="67"/>
      <c r="C750" s="67"/>
      <c r="D750" s="67"/>
      <c r="E750" s="186"/>
      <c r="F750" s="186"/>
      <c r="G750" s="186"/>
      <c r="H750" s="186"/>
      <c r="I750" s="186"/>
      <c r="J750" s="186"/>
      <c r="K750" s="186"/>
      <c r="L750" s="186"/>
      <c r="M750" s="186"/>
      <c r="N750" s="186"/>
      <c r="O750" s="186"/>
      <c r="P750" s="186"/>
      <c r="Q750" s="186"/>
      <c r="R750" s="186"/>
      <c r="S750" s="67"/>
      <c r="T750" s="67"/>
      <c r="U750" s="67"/>
      <c r="V750" s="187"/>
      <c r="W750" s="186"/>
      <c r="X750" s="187"/>
      <c r="Y750" s="187"/>
      <c r="Z750" s="187"/>
      <c r="AA750" s="186"/>
      <c r="AB750" s="186"/>
      <c r="AC750" s="67"/>
      <c r="AD750" s="67"/>
      <c r="AE750" s="67"/>
      <c r="AH750" s="186"/>
      <c r="AK750" s="186"/>
    </row>
    <row r="751">
      <c r="A751" s="185"/>
      <c r="B751" s="67"/>
      <c r="C751" s="67"/>
      <c r="D751" s="67"/>
      <c r="E751" s="186"/>
      <c r="F751" s="186"/>
      <c r="G751" s="186"/>
      <c r="H751" s="186"/>
      <c r="I751" s="186"/>
      <c r="J751" s="186"/>
      <c r="K751" s="186"/>
      <c r="L751" s="186"/>
      <c r="M751" s="186"/>
      <c r="N751" s="186"/>
      <c r="O751" s="186"/>
      <c r="P751" s="186"/>
      <c r="Q751" s="186"/>
      <c r="R751" s="186"/>
      <c r="S751" s="67"/>
      <c r="T751" s="67"/>
      <c r="U751" s="67"/>
      <c r="V751" s="187"/>
      <c r="W751" s="186"/>
      <c r="X751" s="187"/>
      <c r="Y751" s="187"/>
      <c r="Z751" s="187"/>
      <c r="AA751" s="186"/>
      <c r="AB751" s="186"/>
      <c r="AC751" s="67"/>
      <c r="AD751" s="67"/>
      <c r="AE751" s="67"/>
      <c r="AH751" s="186"/>
      <c r="AK751" s="186"/>
    </row>
    <row r="752">
      <c r="A752" s="185"/>
      <c r="B752" s="67"/>
      <c r="C752" s="67"/>
      <c r="D752" s="67"/>
      <c r="E752" s="186"/>
      <c r="F752" s="186"/>
      <c r="G752" s="186"/>
      <c r="H752" s="186"/>
      <c r="I752" s="186"/>
      <c r="J752" s="186"/>
      <c r="K752" s="186"/>
      <c r="L752" s="186"/>
      <c r="M752" s="186"/>
      <c r="N752" s="186"/>
      <c r="O752" s="186"/>
      <c r="P752" s="186"/>
      <c r="Q752" s="186"/>
      <c r="R752" s="186"/>
      <c r="S752" s="67"/>
      <c r="T752" s="67"/>
      <c r="U752" s="67"/>
      <c r="V752" s="187"/>
      <c r="W752" s="186"/>
      <c r="X752" s="187"/>
      <c r="Y752" s="187"/>
      <c r="Z752" s="187"/>
      <c r="AA752" s="186"/>
      <c r="AB752" s="186"/>
      <c r="AC752" s="67"/>
      <c r="AD752" s="67"/>
      <c r="AE752" s="67"/>
      <c r="AH752" s="186"/>
      <c r="AK752" s="186"/>
    </row>
    <row r="753">
      <c r="A753" s="185"/>
      <c r="B753" s="67"/>
      <c r="C753" s="67"/>
      <c r="D753" s="67"/>
      <c r="E753" s="186"/>
      <c r="F753" s="186"/>
      <c r="G753" s="186"/>
      <c r="H753" s="186"/>
      <c r="I753" s="186"/>
      <c r="J753" s="186"/>
      <c r="K753" s="186"/>
      <c r="L753" s="186"/>
      <c r="M753" s="186"/>
      <c r="N753" s="186"/>
      <c r="O753" s="186"/>
      <c r="P753" s="186"/>
      <c r="Q753" s="186"/>
      <c r="R753" s="186"/>
      <c r="S753" s="67"/>
      <c r="T753" s="67"/>
      <c r="U753" s="67"/>
      <c r="V753" s="187"/>
      <c r="W753" s="186"/>
      <c r="X753" s="187"/>
      <c r="Y753" s="187"/>
      <c r="Z753" s="187"/>
      <c r="AA753" s="186"/>
      <c r="AB753" s="186"/>
      <c r="AC753" s="67"/>
      <c r="AD753" s="67"/>
      <c r="AE753" s="67"/>
      <c r="AH753" s="186"/>
      <c r="AK753" s="186"/>
    </row>
    <row r="754">
      <c r="A754" s="185"/>
      <c r="B754" s="67"/>
      <c r="C754" s="67"/>
      <c r="D754" s="67"/>
      <c r="E754" s="186"/>
      <c r="F754" s="186"/>
      <c r="G754" s="186"/>
      <c r="H754" s="186"/>
      <c r="I754" s="186"/>
      <c r="J754" s="186"/>
      <c r="K754" s="186"/>
      <c r="L754" s="186"/>
      <c r="M754" s="186"/>
      <c r="N754" s="186"/>
      <c r="O754" s="186"/>
      <c r="P754" s="186"/>
      <c r="Q754" s="186"/>
      <c r="R754" s="186"/>
      <c r="S754" s="67"/>
      <c r="T754" s="67"/>
      <c r="U754" s="67"/>
      <c r="V754" s="187"/>
      <c r="W754" s="186"/>
      <c r="X754" s="187"/>
      <c r="Y754" s="187"/>
      <c r="Z754" s="187"/>
      <c r="AA754" s="186"/>
      <c r="AB754" s="186"/>
      <c r="AC754" s="67"/>
      <c r="AD754" s="67"/>
      <c r="AE754" s="67"/>
      <c r="AH754" s="186"/>
      <c r="AK754" s="186"/>
    </row>
    <row r="755">
      <c r="A755" s="185"/>
      <c r="B755" s="67"/>
      <c r="C755" s="67"/>
      <c r="D755" s="67"/>
      <c r="E755" s="186"/>
      <c r="F755" s="186"/>
      <c r="G755" s="186"/>
      <c r="H755" s="186"/>
      <c r="I755" s="186"/>
      <c r="J755" s="186"/>
      <c r="K755" s="186"/>
      <c r="L755" s="186"/>
      <c r="M755" s="186"/>
      <c r="N755" s="186"/>
      <c r="O755" s="186"/>
      <c r="P755" s="186"/>
      <c r="Q755" s="186"/>
      <c r="R755" s="186"/>
      <c r="S755" s="67"/>
      <c r="T755" s="67"/>
      <c r="U755" s="67"/>
      <c r="V755" s="187"/>
      <c r="W755" s="186"/>
      <c r="X755" s="187"/>
      <c r="Y755" s="187"/>
      <c r="Z755" s="187"/>
      <c r="AA755" s="186"/>
      <c r="AB755" s="186"/>
      <c r="AC755" s="67"/>
      <c r="AD755" s="67"/>
      <c r="AE755" s="67"/>
      <c r="AH755" s="186"/>
      <c r="AK755" s="186"/>
    </row>
    <row r="756">
      <c r="A756" s="185"/>
      <c r="B756" s="67"/>
      <c r="C756" s="67"/>
      <c r="D756" s="67"/>
      <c r="E756" s="186"/>
      <c r="F756" s="186"/>
      <c r="G756" s="186"/>
      <c r="H756" s="186"/>
      <c r="I756" s="186"/>
      <c r="J756" s="186"/>
      <c r="K756" s="186"/>
      <c r="L756" s="186"/>
      <c r="M756" s="186"/>
      <c r="N756" s="186"/>
      <c r="O756" s="186"/>
      <c r="P756" s="186"/>
      <c r="Q756" s="186"/>
      <c r="R756" s="186"/>
      <c r="S756" s="67"/>
      <c r="T756" s="67"/>
      <c r="U756" s="67"/>
      <c r="V756" s="187"/>
      <c r="W756" s="186"/>
      <c r="X756" s="187"/>
      <c r="Y756" s="187"/>
      <c r="Z756" s="187"/>
      <c r="AA756" s="186"/>
      <c r="AB756" s="186"/>
      <c r="AC756" s="67"/>
      <c r="AD756" s="67"/>
      <c r="AE756" s="67"/>
      <c r="AH756" s="186"/>
      <c r="AK756" s="186"/>
    </row>
    <row r="757">
      <c r="A757" s="185"/>
      <c r="B757" s="67"/>
      <c r="C757" s="67"/>
      <c r="D757" s="67"/>
      <c r="E757" s="186"/>
      <c r="F757" s="186"/>
      <c r="G757" s="186"/>
      <c r="H757" s="186"/>
      <c r="I757" s="186"/>
      <c r="J757" s="186"/>
      <c r="K757" s="186"/>
      <c r="L757" s="186"/>
      <c r="M757" s="186"/>
      <c r="N757" s="186"/>
      <c r="O757" s="186"/>
      <c r="P757" s="186"/>
      <c r="Q757" s="186"/>
      <c r="R757" s="186"/>
      <c r="S757" s="67"/>
      <c r="T757" s="67"/>
      <c r="U757" s="67"/>
      <c r="V757" s="187"/>
      <c r="W757" s="186"/>
      <c r="X757" s="187"/>
      <c r="Y757" s="187"/>
      <c r="Z757" s="187"/>
      <c r="AA757" s="186"/>
      <c r="AB757" s="186"/>
      <c r="AC757" s="67"/>
      <c r="AD757" s="67"/>
      <c r="AE757" s="67"/>
      <c r="AH757" s="186"/>
      <c r="AK757" s="186"/>
    </row>
    <row r="758">
      <c r="A758" s="185"/>
      <c r="B758" s="67"/>
      <c r="C758" s="67"/>
      <c r="D758" s="67"/>
      <c r="E758" s="186"/>
      <c r="F758" s="186"/>
      <c r="G758" s="186"/>
      <c r="H758" s="186"/>
      <c r="I758" s="186"/>
      <c r="J758" s="186"/>
      <c r="K758" s="186"/>
      <c r="L758" s="186"/>
      <c r="M758" s="186"/>
      <c r="N758" s="186"/>
      <c r="O758" s="186"/>
      <c r="P758" s="186"/>
      <c r="Q758" s="186"/>
      <c r="R758" s="186"/>
      <c r="S758" s="67"/>
      <c r="T758" s="67"/>
      <c r="U758" s="67"/>
      <c r="V758" s="187"/>
      <c r="W758" s="186"/>
      <c r="X758" s="187"/>
      <c r="Y758" s="187"/>
      <c r="Z758" s="187"/>
      <c r="AA758" s="186"/>
      <c r="AB758" s="186"/>
      <c r="AC758" s="67"/>
      <c r="AD758" s="67"/>
      <c r="AE758" s="67"/>
      <c r="AH758" s="186"/>
      <c r="AK758" s="186"/>
    </row>
    <row r="759">
      <c r="A759" s="185"/>
      <c r="B759" s="67"/>
      <c r="C759" s="67"/>
      <c r="D759" s="67"/>
      <c r="E759" s="186"/>
      <c r="F759" s="186"/>
      <c r="G759" s="186"/>
      <c r="H759" s="186"/>
      <c r="I759" s="186"/>
      <c r="J759" s="186"/>
      <c r="K759" s="186"/>
      <c r="L759" s="186"/>
      <c r="M759" s="186"/>
      <c r="N759" s="186"/>
      <c r="O759" s="186"/>
      <c r="P759" s="186"/>
      <c r="Q759" s="186"/>
      <c r="R759" s="186"/>
      <c r="S759" s="67"/>
      <c r="T759" s="67"/>
      <c r="U759" s="67"/>
      <c r="V759" s="187"/>
      <c r="W759" s="186"/>
      <c r="X759" s="187"/>
      <c r="Y759" s="187"/>
      <c r="Z759" s="187"/>
      <c r="AA759" s="186"/>
      <c r="AB759" s="186"/>
      <c r="AC759" s="67"/>
      <c r="AD759" s="67"/>
      <c r="AE759" s="67"/>
      <c r="AH759" s="186"/>
      <c r="AK759" s="186"/>
    </row>
    <row r="760">
      <c r="A760" s="185"/>
      <c r="B760" s="67"/>
      <c r="C760" s="67"/>
      <c r="D760" s="67"/>
      <c r="E760" s="186"/>
      <c r="F760" s="186"/>
      <c r="G760" s="186"/>
      <c r="H760" s="186"/>
      <c r="I760" s="186"/>
      <c r="J760" s="186"/>
      <c r="K760" s="186"/>
      <c r="L760" s="186"/>
      <c r="M760" s="186"/>
      <c r="N760" s="186"/>
      <c r="O760" s="186"/>
      <c r="P760" s="186"/>
      <c r="Q760" s="186"/>
      <c r="R760" s="186"/>
      <c r="S760" s="67"/>
      <c r="T760" s="67"/>
      <c r="U760" s="67"/>
      <c r="V760" s="187"/>
      <c r="W760" s="186"/>
      <c r="X760" s="187"/>
      <c r="Y760" s="187"/>
      <c r="Z760" s="187"/>
      <c r="AA760" s="186"/>
      <c r="AB760" s="186"/>
      <c r="AC760" s="67"/>
      <c r="AD760" s="67"/>
      <c r="AE760" s="67"/>
      <c r="AH760" s="186"/>
      <c r="AK760" s="186"/>
    </row>
    <row r="761">
      <c r="A761" s="185"/>
      <c r="B761" s="67"/>
      <c r="C761" s="67"/>
      <c r="D761" s="67"/>
      <c r="E761" s="186"/>
      <c r="F761" s="186"/>
      <c r="G761" s="186"/>
      <c r="H761" s="186"/>
      <c r="I761" s="186"/>
      <c r="J761" s="186"/>
      <c r="K761" s="186"/>
      <c r="L761" s="186"/>
      <c r="M761" s="186"/>
      <c r="N761" s="186"/>
      <c r="O761" s="186"/>
      <c r="P761" s="186"/>
      <c r="Q761" s="186"/>
      <c r="R761" s="186"/>
      <c r="S761" s="67"/>
      <c r="T761" s="67"/>
      <c r="U761" s="67"/>
      <c r="V761" s="187"/>
      <c r="W761" s="186"/>
      <c r="X761" s="187"/>
      <c r="Y761" s="187"/>
      <c r="Z761" s="187"/>
      <c r="AA761" s="186"/>
      <c r="AB761" s="186"/>
      <c r="AC761" s="67"/>
      <c r="AD761" s="67"/>
      <c r="AE761" s="67"/>
      <c r="AH761" s="186"/>
      <c r="AK761" s="186"/>
    </row>
    <row r="762">
      <c r="A762" s="185"/>
      <c r="B762" s="67"/>
      <c r="C762" s="67"/>
      <c r="D762" s="67"/>
      <c r="E762" s="186"/>
      <c r="F762" s="186"/>
      <c r="G762" s="186"/>
      <c r="H762" s="186"/>
      <c r="I762" s="186"/>
      <c r="J762" s="186"/>
      <c r="K762" s="186"/>
      <c r="L762" s="186"/>
      <c r="M762" s="186"/>
      <c r="N762" s="186"/>
      <c r="O762" s="186"/>
      <c r="P762" s="186"/>
      <c r="Q762" s="186"/>
      <c r="R762" s="186"/>
      <c r="S762" s="67"/>
      <c r="T762" s="67"/>
      <c r="U762" s="67"/>
      <c r="V762" s="187"/>
      <c r="W762" s="186"/>
      <c r="X762" s="187"/>
      <c r="Y762" s="187"/>
      <c r="Z762" s="187"/>
      <c r="AA762" s="186"/>
      <c r="AB762" s="186"/>
      <c r="AC762" s="67"/>
      <c r="AD762" s="67"/>
      <c r="AE762" s="67"/>
      <c r="AH762" s="186"/>
      <c r="AK762" s="186"/>
    </row>
    <row r="763">
      <c r="A763" s="185"/>
      <c r="B763" s="67"/>
      <c r="C763" s="67"/>
      <c r="D763" s="67"/>
      <c r="E763" s="186"/>
      <c r="F763" s="186"/>
      <c r="G763" s="186"/>
      <c r="H763" s="186"/>
      <c r="I763" s="186"/>
      <c r="J763" s="186"/>
      <c r="K763" s="186"/>
      <c r="L763" s="186"/>
      <c r="M763" s="186"/>
      <c r="N763" s="186"/>
      <c r="O763" s="186"/>
      <c r="P763" s="186"/>
      <c r="Q763" s="186"/>
      <c r="R763" s="186"/>
      <c r="S763" s="67"/>
      <c r="T763" s="67"/>
      <c r="U763" s="67"/>
      <c r="V763" s="187"/>
      <c r="W763" s="186"/>
      <c r="X763" s="187"/>
      <c r="Y763" s="187"/>
      <c r="Z763" s="187"/>
      <c r="AA763" s="186"/>
      <c r="AB763" s="186"/>
      <c r="AC763" s="67"/>
      <c r="AD763" s="67"/>
      <c r="AE763" s="67"/>
      <c r="AH763" s="186"/>
      <c r="AK763" s="186"/>
    </row>
    <row r="764">
      <c r="A764" s="185"/>
      <c r="B764" s="67"/>
      <c r="C764" s="67"/>
      <c r="D764" s="67"/>
      <c r="E764" s="186"/>
      <c r="F764" s="186"/>
      <c r="G764" s="186"/>
      <c r="H764" s="186"/>
      <c r="I764" s="186"/>
      <c r="J764" s="186"/>
      <c r="K764" s="186"/>
      <c r="L764" s="186"/>
      <c r="M764" s="186"/>
      <c r="N764" s="186"/>
      <c r="O764" s="186"/>
      <c r="P764" s="186"/>
      <c r="Q764" s="186"/>
      <c r="R764" s="186"/>
      <c r="S764" s="67"/>
      <c r="T764" s="67"/>
      <c r="U764" s="67"/>
      <c r="V764" s="187"/>
      <c r="W764" s="186"/>
      <c r="X764" s="187"/>
      <c r="Y764" s="187"/>
      <c r="Z764" s="187"/>
      <c r="AA764" s="186"/>
      <c r="AB764" s="186"/>
      <c r="AC764" s="67"/>
      <c r="AD764" s="67"/>
      <c r="AE764" s="67"/>
      <c r="AH764" s="186"/>
      <c r="AK764" s="186"/>
    </row>
    <row r="765">
      <c r="A765" s="185"/>
      <c r="B765" s="67"/>
      <c r="C765" s="67"/>
      <c r="D765" s="67"/>
      <c r="E765" s="186"/>
      <c r="F765" s="186"/>
      <c r="G765" s="186"/>
      <c r="H765" s="186"/>
      <c r="I765" s="186"/>
      <c r="J765" s="186"/>
      <c r="K765" s="186"/>
      <c r="L765" s="186"/>
      <c r="M765" s="186"/>
      <c r="N765" s="186"/>
      <c r="O765" s="186"/>
      <c r="P765" s="186"/>
      <c r="Q765" s="186"/>
      <c r="R765" s="186"/>
      <c r="S765" s="67"/>
      <c r="T765" s="67"/>
      <c r="U765" s="67"/>
      <c r="V765" s="187"/>
      <c r="W765" s="186"/>
      <c r="X765" s="187"/>
      <c r="Y765" s="187"/>
      <c r="Z765" s="187"/>
      <c r="AA765" s="186"/>
      <c r="AB765" s="186"/>
      <c r="AC765" s="67"/>
      <c r="AD765" s="67"/>
      <c r="AE765" s="67"/>
      <c r="AH765" s="186"/>
      <c r="AK765" s="186"/>
    </row>
    <row r="766">
      <c r="A766" s="185"/>
      <c r="B766" s="67"/>
      <c r="C766" s="67"/>
      <c r="D766" s="67"/>
      <c r="E766" s="186"/>
      <c r="F766" s="186"/>
      <c r="G766" s="186"/>
      <c r="H766" s="186"/>
      <c r="I766" s="186"/>
      <c r="J766" s="186"/>
      <c r="K766" s="186"/>
      <c r="L766" s="186"/>
      <c r="M766" s="186"/>
      <c r="N766" s="186"/>
      <c r="O766" s="186"/>
      <c r="P766" s="186"/>
      <c r="Q766" s="186"/>
      <c r="R766" s="186"/>
      <c r="S766" s="67"/>
      <c r="T766" s="67"/>
      <c r="U766" s="67"/>
      <c r="V766" s="187"/>
      <c r="W766" s="186"/>
      <c r="X766" s="187"/>
      <c r="Y766" s="187"/>
      <c r="Z766" s="187"/>
      <c r="AA766" s="186"/>
      <c r="AB766" s="186"/>
      <c r="AC766" s="67"/>
      <c r="AD766" s="67"/>
      <c r="AE766" s="67"/>
      <c r="AH766" s="186"/>
      <c r="AK766" s="186"/>
    </row>
    <row r="767">
      <c r="A767" s="185"/>
      <c r="B767" s="67"/>
      <c r="C767" s="67"/>
      <c r="D767" s="67"/>
      <c r="E767" s="186"/>
      <c r="F767" s="186"/>
      <c r="G767" s="186"/>
      <c r="H767" s="186"/>
      <c r="I767" s="186"/>
      <c r="J767" s="186"/>
      <c r="K767" s="186"/>
      <c r="L767" s="186"/>
      <c r="M767" s="186"/>
      <c r="N767" s="186"/>
      <c r="O767" s="186"/>
      <c r="P767" s="186"/>
      <c r="Q767" s="186"/>
      <c r="R767" s="186"/>
      <c r="S767" s="67"/>
      <c r="T767" s="67"/>
      <c r="U767" s="67"/>
      <c r="V767" s="187"/>
      <c r="W767" s="186"/>
      <c r="X767" s="187"/>
      <c r="Y767" s="187"/>
      <c r="Z767" s="187"/>
      <c r="AA767" s="186"/>
      <c r="AB767" s="186"/>
      <c r="AC767" s="67"/>
      <c r="AD767" s="67"/>
      <c r="AE767" s="67"/>
      <c r="AH767" s="186"/>
      <c r="AK767" s="186"/>
    </row>
    <row r="768">
      <c r="A768" s="185"/>
      <c r="B768" s="67"/>
      <c r="C768" s="67"/>
      <c r="D768" s="67"/>
      <c r="E768" s="186"/>
      <c r="F768" s="186"/>
      <c r="G768" s="186"/>
      <c r="H768" s="186"/>
      <c r="I768" s="186"/>
      <c r="J768" s="186"/>
      <c r="K768" s="186"/>
      <c r="L768" s="186"/>
      <c r="M768" s="186"/>
      <c r="N768" s="186"/>
      <c r="O768" s="186"/>
      <c r="P768" s="186"/>
      <c r="Q768" s="186"/>
      <c r="R768" s="186"/>
      <c r="S768" s="67"/>
      <c r="T768" s="67"/>
      <c r="U768" s="67"/>
      <c r="V768" s="187"/>
      <c r="W768" s="186"/>
      <c r="X768" s="187"/>
      <c r="Y768" s="187"/>
      <c r="Z768" s="187"/>
      <c r="AA768" s="186"/>
      <c r="AB768" s="186"/>
      <c r="AC768" s="67"/>
      <c r="AD768" s="67"/>
      <c r="AE768" s="67"/>
      <c r="AH768" s="186"/>
      <c r="AK768" s="186"/>
    </row>
    <row r="769">
      <c r="A769" s="185"/>
      <c r="B769" s="67"/>
      <c r="C769" s="67"/>
      <c r="D769" s="67"/>
      <c r="E769" s="186"/>
      <c r="F769" s="186"/>
      <c r="G769" s="186"/>
      <c r="H769" s="186"/>
      <c r="I769" s="186"/>
      <c r="J769" s="186"/>
      <c r="K769" s="186"/>
      <c r="L769" s="186"/>
      <c r="M769" s="186"/>
      <c r="N769" s="186"/>
      <c r="O769" s="186"/>
      <c r="P769" s="186"/>
      <c r="Q769" s="186"/>
      <c r="R769" s="186"/>
      <c r="S769" s="67"/>
      <c r="T769" s="67"/>
      <c r="U769" s="67"/>
      <c r="V769" s="187"/>
      <c r="W769" s="186"/>
      <c r="X769" s="187"/>
      <c r="Y769" s="187"/>
      <c r="Z769" s="187"/>
      <c r="AA769" s="186"/>
      <c r="AB769" s="186"/>
      <c r="AC769" s="67"/>
      <c r="AD769" s="67"/>
      <c r="AE769" s="67"/>
      <c r="AH769" s="186"/>
      <c r="AK769" s="186"/>
    </row>
    <row r="770">
      <c r="A770" s="185"/>
      <c r="B770" s="67"/>
      <c r="C770" s="67"/>
      <c r="D770" s="67"/>
      <c r="E770" s="186"/>
      <c r="F770" s="186"/>
      <c r="G770" s="186"/>
      <c r="H770" s="186"/>
      <c r="I770" s="186"/>
      <c r="J770" s="186"/>
      <c r="K770" s="186"/>
      <c r="L770" s="186"/>
      <c r="M770" s="186"/>
      <c r="N770" s="186"/>
      <c r="O770" s="186"/>
      <c r="P770" s="186"/>
      <c r="Q770" s="186"/>
      <c r="R770" s="186"/>
      <c r="S770" s="67"/>
      <c r="T770" s="67"/>
      <c r="U770" s="67"/>
      <c r="V770" s="187"/>
      <c r="W770" s="186"/>
      <c r="X770" s="187"/>
      <c r="Y770" s="187"/>
      <c r="Z770" s="187"/>
      <c r="AA770" s="186"/>
      <c r="AB770" s="186"/>
      <c r="AC770" s="67"/>
      <c r="AD770" s="67"/>
      <c r="AE770" s="67"/>
      <c r="AH770" s="186"/>
      <c r="AK770" s="186"/>
    </row>
    <row r="771">
      <c r="A771" s="185"/>
      <c r="B771" s="67"/>
      <c r="C771" s="67"/>
      <c r="D771" s="67"/>
      <c r="E771" s="186"/>
      <c r="F771" s="186"/>
      <c r="G771" s="186"/>
      <c r="H771" s="186"/>
      <c r="I771" s="186"/>
      <c r="J771" s="186"/>
      <c r="K771" s="186"/>
      <c r="L771" s="186"/>
      <c r="M771" s="186"/>
      <c r="N771" s="186"/>
      <c r="O771" s="186"/>
      <c r="P771" s="186"/>
      <c r="Q771" s="186"/>
      <c r="R771" s="186"/>
      <c r="S771" s="67"/>
      <c r="T771" s="67"/>
      <c r="U771" s="67"/>
      <c r="V771" s="187"/>
      <c r="W771" s="186"/>
      <c r="X771" s="187"/>
      <c r="Y771" s="187"/>
      <c r="Z771" s="187"/>
      <c r="AA771" s="186"/>
      <c r="AB771" s="186"/>
      <c r="AC771" s="67"/>
      <c r="AD771" s="67"/>
      <c r="AE771" s="67"/>
      <c r="AH771" s="186"/>
      <c r="AK771" s="186"/>
    </row>
    <row r="772">
      <c r="A772" s="185"/>
      <c r="B772" s="67"/>
      <c r="C772" s="67"/>
      <c r="D772" s="67"/>
      <c r="E772" s="186"/>
      <c r="F772" s="186"/>
      <c r="G772" s="186"/>
      <c r="H772" s="186"/>
      <c r="I772" s="186"/>
      <c r="J772" s="186"/>
      <c r="K772" s="186"/>
      <c r="L772" s="186"/>
      <c r="M772" s="186"/>
      <c r="N772" s="186"/>
      <c r="O772" s="186"/>
      <c r="P772" s="186"/>
      <c r="Q772" s="186"/>
      <c r="R772" s="186"/>
      <c r="S772" s="67"/>
      <c r="T772" s="67"/>
      <c r="U772" s="67"/>
      <c r="V772" s="187"/>
      <c r="W772" s="186"/>
      <c r="X772" s="187"/>
      <c r="Y772" s="187"/>
      <c r="Z772" s="187"/>
      <c r="AA772" s="186"/>
      <c r="AB772" s="186"/>
      <c r="AC772" s="67"/>
      <c r="AD772" s="67"/>
      <c r="AE772" s="67"/>
      <c r="AH772" s="186"/>
      <c r="AK772" s="186"/>
    </row>
    <row r="773">
      <c r="A773" s="185"/>
      <c r="B773" s="67"/>
      <c r="C773" s="67"/>
      <c r="D773" s="67"/>
      <c r="E773" s="186"/>
      <c r="F773" s="186"/>
      <c r="G773" s="186"/>
      <c r="H773" s="186"/>
      <c r="I773" s="186"/>
      <c r="J773" s="186"/>
      <c r="K773" s="186"/>
      <c r="L773" s="186"/>
      <c r="M773" s="186"/>
      <c r="N773" s="186"/>
      <c r="O773" s="186"/>
      <c r="P773" s="186"/>
      <c r="Q773" s="186"/>
      <c r="R773" s="186"/>
      <c r="S773" s="67"/>
      <c r="T773" s="67"/>
      <c r="U773" s="67"/>
      <c r="V773" s="187"/>
      <c r="W773" s="186"/>
      <c r="X773" s="187"/>
      <c r="Y773" s="187"/>
      <c r="Z773" s="187"/>
      <c r="AA773" s="186"/>
      <c r="AB773" s="186"/>
      <c r="AC773" s="67"/>
      <c r="AD773" s="67"/>
      <c r="AE773" s="67"/>
      <c r="AH773" s="186"/>
      <c r="AK773" s="186"/>
    </row>
    <row r="774">
      <c r="A774" s="185"/>
      <c r="B774" s="67"/>
      <c r="C774" s="67"/>
      <c r="D774" s="67"/>
      <c r="E774" s="186"/>
      <c r="F774" s="186"/>
      <c r="G774" s="186"/>
      <c r="H774" s="186"/>
      <c r="I774" s="186"/>
      <c r="J774" s="186"/>
      <c r="K774" s="186"/>
      <c r="L774" s="186"/>
      <c r="M774" s="186"/>
      <c r="N774" s="186"/>
      <c r="O774" s="186"/>
      <c r="P774" s="186"/>
      <c r="Q774" s="186"/>
      <c r="R774" s="186"/>
      <c r="S774" s="67"/>
      <c r="T774" s="67"/>
      <c r="U774" s="67"/>
      <c r="V774" s="187"/>
      <c r="W774" s="186"/>
      <c r="X774" s="187"/>
      <c r="Y774" s="187"/>
      <c r="Z774" s="187"/>
      <c r="AA774" s="186"/>
      <c r="AB774" s="186"/>
      <c r="AC774" s="67"/>
      <c r="AD774" s="67"/>
      <c r="AE774" s="67"/>
      <c r="AH774" s="186"/>
      <c r="AK774" s="186"/>
    </row>
    <row r="775">
      <c r="A775" s="185"/>
      <c r="B775" s="67"/>
      <c r="C775" s="67"/>
      <c r="D775" s="67"/>
      <c r="E775" s="186"/>
      <c r="F775" s="186"/>
      <c r="G775" s="186"/>
      <c r="H775" s="186"/>
      <c r="I775" s="186"/>
      <c r="J775" s="186"/>
      <c r="K775" s="186"/>
      <c r="L775" s="186"/>
      <c r="M775" s="186"/>
      <c r="N775" s="186"/>
      <c r="O775" s="186"/>
      <c r="P775" s="186"/>
      <c r="Q775" s="186"/>
      <c r="R775" s="186"/>
      <c r="S775" s="67"/>
      <c r="T775" s="67"/>
      <c r="U775" s="67"/>
      <c r="V775" s="187"/>
      <c r="W775" s="186"/>
      <c r="X775" s="187"/>
      <c r="Y775" s="187"/>
      <c r="Z775" s="187"/>
      <c r="AA775" s="186"/>
      <c r="AB775" s="186"/>
      <c r="AC775" s="67"/>
      <c r="AD775" s="67"/>
      <c r="AE775" s="67"/>
      <c r="AH775" s="186"/>
      <c r="AK775" s="186"/>
    </row>
    <row r="776">
      <c r="A776" s="185"/>
      <c r="B776" s="67"/>
      <c r="C776" s="67"/>
      <c r="D776" s="67"/>
      <c r="E776" s="186"/>
      <c r="F776" s="186"/>
      <c r="G776" s="186"/>
      <c r="H776" s="186"/>
      <c r="I776" s="186"/>
      <c r="J776" s="186"/>
      <c r="K776" s="186"/>
      <c r="L776" s="186"/>
      <c r="M776" s="186"/>
      <c r="N776" s="186"/>
      <c r="O776" s="186"/>
      <c r="P776" s="186"/>
      <c r="Q776" s="186"/>
      <c r="R776" s="186"/>
      <c r="S776" s="67"/>
      <c r="T776" s="67"/>
      <c r="U776" s="67"/>
      <c r="V776" s="187"/>
      <c r="W776" s="186"/>
      <c r="X776" s="187"/>
      <c r="Y776" s="187"/>
      <c r="Z776" s="187"/>
      <c r="AA776" s="186"/>
      <c r="AB776" s="186"/>
      <c r="AC776" s="67"/>
      <c r="AD776" s="67"/>
      <c r="AE776" s="67"/>
      <c r="AH776" s="186"/>
      <c r="AK776" s="186"/>
    </row>
    <row r="777">
      <c r="A777" s="185"/>
      <c r="B777" s="67"/>
      <c r="C777" s="67"/>
      <c r="D777" s="67"/>
      <c r="E777" s="186"/>
      <c r="F777" s="186"/>
      <c r="G777" s="186"/>
      <c r="H777" s="186"/>
      <c r="I777" s="186"/>
      <c r="J777" s="186"/>
      <c r="K777" s="186"/>
      <c r="L777" s="186"/>
      <c r="M777" s="186"/>
      <c r="N777" s="186"/>
      <c r="O777" s="186"/>
      <c r="P777" s="186"/>
      <c r="Q777" s="186"/>
      <c r="R777" s="186"/>
      <c r="S777" s="67"/>
      <c r="T777" s="67"/>
      <c r="U777" s="67"/>
      <c r="V777" s="187"/>
      <c r="W777" s="186"/>
      <c r="X777" s="187"/>
      <c r="Y777" s="187"/>
      <c r="Z777" s="187"/>
      <c r="AA777" s="186"/>
      <c r="AB777" s="186"/>
      <c r="AC777" s="67"/>
      <c r="AD777" s="67"/>
      <c r="AE777" s="67"/>
      <c r="AH777" s="186"/>
      <c r="AK777" s="186"/>
    </row>
    <row r="778">
      <c r="A778" s="185"/>
      <c r="B778" s="67"/>
      <c r="C778" s="67"/>
      <c r="D778" s="67"/>
      <c r="E778" s="186"/>
      <c r="F778" s="186"/>
      <c r="G778" s="186"/>
      <c r="H778" s="186"/>
      <c r="I778" s="186"/>
      <c r="J778" s="186"/>
      <c r="K778" s="186"/>
      <c r="L778" s="186"/>
      <c r="M778" s="186"/>
      <c r="N778" s="186"/>
      <c r="O778" s="186"/>
      <c r="P778" s="186"/>
      <c r="Q778" s="186"/>
      <c r="R778" s="186"/>
      <c r="S778" s="67"/>
      <c r="T778" s="67"/>
      <c r="U778" s="67"/>
      <c r="V778" s="187"/>
      <c r="W778" s="186"/>
      <c r="X778" s="187"/>
      <c r="Y778" s="187"/>
      <c r="Z778" s="187"/>
      <c r="AA778" s="186"/>
      <c r="AB778" s="186"/>
      <c r="AC778" s="67"/>
      <c r="AD778" s="67"/>
      <c r="AE778" s="67"/>
      <c r="AH778" s="186"/>
      <c r="AK778" s="186"/>
    </row>
    <row r="779">
      <c r="A779" s="185"/>
      <c r="B779" s="67"/>
      <c r="C779" s="67"/>
      <c r="D779" s="67"/>
      <c r="E779" s="186"/>
      <c r="F779" s="186"/>
      <c r="G779" s="186"/>
      <c r="H779" s="186"/>
      <c r="I779" s="186"/>
      <c r="J779" s="186"/>
      <c r="K779" s="186"/>
      <c r="L779" s="186"/>
      <c r="M779" s="186"/>
      <c r="N779" s="186"/>
      <c r="O779" s="186"/>
      <c r="P779" s="186"/>
      <c r="Q779" s="186"/>
      <c r="R779" s="186"/>
      <c r="S779" s="67"/>
      <c r="T779" s="67"/>
      <c r="U779" s="67"/>
      <c r="V779" s="187"/>
      <c r="W779" s="186"/>
      <c r="X779" s="187"/>
      <c r="Y779" s="187"/>
      <c r="Z779" s="187"/>
      <c r="AA779" s="186"/>
      <c r="AB779" s="186"/>
      <c r="AC779" s="67"/>
      <c r="AD779" s="67"/>
      <c r="AE779" s="67"/>
      <c r="AH779" s="186"/>
      <c r="AK779" s="186"/>
    </row>
    <row r="780">
      <c r="A780" s="185"/>
      <c r="B780" s="67"/>
      <c r="C780" s="67"/>
      <c r="D780" s="67"/>
      <c r="E780" s="186"/>
      <c r="F780" s="186"/>
      <c r="G780" s="186"/>
      <c r="H780" s="186"/>
      <c r="I780" s="186"/>
      <c r="J780" s="186"/>
      <c r="K780" s="186"/>
      <c r="L780" s="186"/>
      <c r="M780" s="186"/>
      <c r="N780" s="186"/>
      <c r="O780" s="186"/>
      <c r="P780" s="186"/>
      <c r="Q780" s="186"/>
      <c r="R780" s="186"/>
      <c r="S780" s="67"/>
      <c r="T780" s="67"/>
      <c r="U780" s="67"/>
      <c r="V780" s="187"/>
      <c r="W780" s="186"/>
      <c r="X780" s="187"/>
      <c r="Y780" s="187"/>
      <c r="Z780" s="187"/>
      <c r="AA780" s="186"/>
      <c r="AB780" s="186"/>
      <c r="AC780" s="67"/>
      <c r="AD780" s="67"/>
      <c r="AE780" s="67"/>
      <c r="AH780" s="186"/>
      <c r="AK780" s="186"/>
    </row>
    <row r="781">
      <c r="A781" s="185"/>
      <c r="B781" s="67"/>
      <c r="C781" s="67"/>
      <c r="D781" s="67"/>
      <c r="E781" s="186"/>
      <c r="F781" s="186"/>
      <c r="G781" s="186"/>
      <c r="H781" s="186"/>
      <c r="I781" s="186"/>
      <c r="J781" s="186"/>
      <c r="K781" s="186"/>
      <c r="L781" s="186"/>
      <c r="M781" s="186"/>
      <c r="N781" s="186"/>
      <c r="O781" s="186"/>
      <c r="P781" s="186"/>
      <c r="Q781" s="186"/>
      <c r="R781" s="186"/>
      <c r="S781" s="67"/>
      <c r="T781" s="67"/>
      <c r="U781" s="67"/>
      <c r="V781" s="187"/>
      <c r="W781" s="186"/>
      <c r="X781" s="187"/>
      <c r="Y781" s="187"/>
      <c r="Z781" s="187"/>
      <c r="AA781" s="186"/>
      <c r="AB781" s="186"/>
      <c r="AC781" s="67"/>
      <c r="AD781" s="67"/>
      <c r="AE781" s="67"/>
      <c r="AH781" s="186"/>
      <c r="AK781" s="186"/>
    </row>
    <row r="782">
      <c r="A782" s="185"/>
      <c r="B782" s="67"/>
      <c r="C782" s="67"/>
      <c r="D782" s="67"/>
      <c r="E782" s="186"/>
      <c r="F782" s="186"/>
      <c r="G782" s="186"/>
      <c r="H782" s="186"/>
      <c r="I782" s="186"/>
      <c r="J782" s="186"/>
      <c r="K782" s="186"/>
      <c r="L782" s="186"/>
      <c r="M782" s="186"/>
      <c r="N782" s="186"/>
      <c r="O782" s="186"/>
      <c r="P782" s="186"/>
      <c r="Q782" s="186"/>
      <c r="R782" s="186"/>
      <c r="S782" s="67"/>
      <c r="T782" s="67"/>
      <c r="U782" s="67"/>
      <c r="V782" s="187"/>
      <c r="W782" s="186"/>
      <c r="X782" s="187"/>
      <c r="Y782" s="187"/>
      <c r="Z782" s="187"/>
      <c r="AA782" s="186"/>
      <c r="AB782" s="186"/>
      <c r="AC782" s="67"/>
      <c r="AD782" s="67"/>
      <c r="AE782" s="67"/>
      <c r="AH782" s="186"/>
      <c r="AK782" s="186"/>
    </row>
    <row r="783">
      <c r="A783" s="185"/>
      <c r="B783" s="67"/>
      <c r="C783" s="67"/>
      <c r="D783" s="67"/>
      <c r="E783" s="186"/>
      <c r="F783" s="186"/>
      <c r="G783" s="186"/>
      <c r="H783" s="186"/>
      <c r="I783" s="186"/>
      <c r="J783" s="186"/>
      <c r="K783" s="186"/>
      <c r="L783" s="186"/>
      <c r="M783" s="186"/>
      <c r="N783" s="186"/>
      <c r="O783" s="186"/>
      <c r="P783" s="186"/>
      <c r="Q783" s="186"/>
      <c r="R783" s="186"/>
      <c r="S783" s="67"/>
      <c r="T783" s="67"/>
      <c r="U783" s="67"/>
      <c r="V783" s="187"/>
      <c r="W783" s="186"/>
      <c r="X783" s="187"/>
      <c r="Y783" s="187"/>
      <c r="Z783" s="187"/>
      <c r="AA783" s="186"/>
      <c r="AB783" s="186"/>
      <c r="AC783" s="67"/>
      <c r="AD783" s="67"/>
      <c r="AE783" s="67"/>
      <c r="AH783" s="186"/>
      <c r="AK783" s="186"/>
    </row>
    <row r="784">
      <c r="A784" s="185"/>
      <c r="B784" s="67"/>
      <c r="C784" s="67"/>
      <c r="D784" s="67"/>
      <c r="E784" s="186"/>
      <c r="F784" s="186"/>
      <c r="G784" s="186"/>
      <c r="H784" s="186"/>
      <c r="I784" s="186"/>
      <c r="J784" s="186"/>
      <c r="K784" s="186"/>
      <c r="L784" s="186"/>
      <c r="M784" s="186"/>
      <c r="N784" s="186"/>
      <c r="O784" s="186"/>
      <c r="P784" s="186"/>
      <c r="Q784" s="186"/>
      <c r="R784" s="186"/>
      <c r="S784" s="67"/>
      <c r="T784" s="67"/>
      <c r="U784" s="67"/>
      <c r="V784" s="187"/>
      <c r="W784" s="186"/>
      <c r="X784" s="187"/>
      <c r="Y784" s="187"/>
      <c r="Z784" s="187"/>
      <c r="AA784" s="186"/>
      <c r="AB784" s="186"/>
      <c r="AC784" s="67"/>
      <c r="AD784" s="67"/>
      <c r="AE784" s="67"/>
      <c r="AH784" s="186"/>
      <c r="AK784" s="186"/>
    </row>
    <row r="785">
      <c r="A785" s="185"/>
      <c r="B785" s="67"/>
      <c r="C785" s="67"/>
      <c r="D785" s="67"/>
      <c r="E785" s="186"/>
      <c r="F785" s="186"/>
      <c r="G785" s="186"/>
      <c r="H785" s="186"/>
      <c r="I785" s="186"/>
      <c r="J785" s="186"/>
      <c r="K785" s="186"/>
      <c r="L785" s="186"/>
      <c r="M785" s="186"/>
      <c r="N785" s="186"/>
      <c r="O785" s="186"/>
      <c r="P785" s="186"/>
      <c r="Q785" s="186"/>
      <c r="R785" s="186"/>
      <c r="S785" s="67"/>
      <c r="T785" s="67"/>
      <c r="U785" s="67"/>
      <c r="V785" s="187"/>
      <c r="W785" s="186"/>
      <c r="X785" s="187"/>
      <c r="Y785" s="187"/>
      <c r="Z785" s="187"/>
      <c r="AA785" s="186"/>
      <c r="AB785" s="186"/>
      <c r="AC785" s="67"/>
      <c r="AD785" s="67"/>
      <c r="AE785" s="67"/>
      <c r="AH785" s="186"/>
      <c r="AK785" s="186"/>
    </row>
    <row r="786">
      <c r="A786" s="185"/>
      <c r="B786" s="67"/>
      <c r="C786" s="67"/>
      <c r="D786" s="67"/>
      <c r="E786" s="186"/>
      <c r="F786" s="186"/>
      <c r="G786" s="186"/>
      <c r="H786" s="186"/>
      <c r="I786" s="186"/>
      <c r="J786" s="186"/>
      <c r="K786" s="186"/>
      <c r="L786" s="186"/>
      <c r="M786" s="186"/>
      <c r="N786" s="186"/>
      <c r="O786" s="186"/>
      <c r="P786" s="186"/>
      <c r="Q786" s="186"/>
      <c r="R786" s="186"/>
      <c r="S786" s="67"/>
      <c r="T786" s="67"/>
      <c r="U786" s="67"/>
      <c r="V786" s="187"/>
      <c r="W786" s="186"/>
      <c r="X786" s="187"/>
      <c r="Y786" s="187"/>
      <c r="Z786" s="187"/>
      <c r="AA786" s="186"/>
      <c r="AB786" s="186"/>
      <c r="AC786" s="67"/>
      <c r="AD786" s="67"/>
      <c r="AE786" s="67"/>
      <c r="AH786" s="186"/>
      <c r="AK786" s="186"/>
    </row>
    <row r="787">
      <c r="A787" s="185"/>
      <c r="B787" s="67"/>
      <c r="C787" s="67"/>
      <c r="D787" s="67"/>
      <c r="E787" s="186"/>
      <c r="F787" s="186"/>
      <c r="G787" s="186"/>
      <c r="H787" s="186"/>
      <c r="I787" s="186"/>
      <c r="J787" s="186"/>
      <c r="K787" s="186"/>
      <c r="L787" s="186"/>
      <c r="M787" s="186"/>
      <c r="N787" s="186"/>
      <c r="O787" s="186"/>
      <c r="P787" s="186"/>
      <c r="Q787" s="186"/>
      <c r="R787" s="186"/>
      <c r="S787" s="67"/>
      <c r="T787" s="67"/>
      <c r="U787" s="67"/>
      <c r="V787" s="187"/>
      <c r="W787" s="186"/>
      <c r="X787" s="187"/>
      <c r="Y787" s="187"/>
      <c r="Z787" s="187"/>
      <c r="AA787" s="186"/>
      <c r="AB787" s="186"/>
      <c r="AC787" s="67"/>
      <c r="AD787" s="67"/>
      <c r="AE787" s="67"/>
      <c r="AH787" s="186"/>
      <c r="AK787" s="186"/>
    </row>
    <row r="788">
      <c r="A788" s="185"/>
      <c r="B788" s="67"/>
      <c r="C788" s="67"/>
      <c r="D788" s="67"/>
      <c r="E788" s="186"/>
      <c r="F788" s="186"/>
      <c r="G788" s="186"/>
      <c r="H788" s="186"/>
      <c r="I788" s="186"/>
      <c r="J788" s="186"/>
      <c r="K788" s="186"/>
      <c r="L788" s="186"/>
      <c r="M788" s="186"/>
      <c r="N788" s="186"/>
      <c r="O788" s="186"/>
      <c r="P788" s="186"/>
      <c r="Q788" s="186"/>
      <c r="R788" s="186"/>
      <c r="S788" s="67"/>
      <c r="T788" s="67"/>
      <c r="U788" s="67"/>
      <c r="V788" s="187"/>
      <c r="W788" s="186"/>
      <c r="X788" s="187"/>
      <c r="Y788" s="187"/>
      <c r="Z788" s="187"/>
      <c r="AA788" s="186"/>
      <c r="AB788" s="186"/>
      <c r="AC788" s="67"/>
      <c r="AD788" s="67"/>
      <c r="AE788" s="67"/>
      <c r="AH788" s="186"/>
      <c r="AK788" s="186"/>
    </row>
    <row r="789">
      <c r="A789" s="185"/>
      <c r="B789" s="67"/>
      <c r="C789" s="67"/>
      <c r="D789" s="67"/>
      <c r="E789" s="186"/>
      <c r="F789" s="186"/>
      <c r="G789" s="186"/>
      <c r="H789" s="186"/>
      <c r="I789" s="186"/>
      <c r="J789" s="186"/>
      <c r="K789" s="186"/>
      <c r="L789" s="186"/>
      <c r="M789" s="186"/>
      <c r="N789" s="186"/>
      <c r="O789" s="186"/>
      <c r="P789" s="186"/>
      <c r="Q789" s="186"/>
      <c r="R789" s="186"/>
      <c r="S789" s="67"/>
      <c r="T789" s="67"/>
      <c r="U789" s="67"/>
      <c r="V789" s="187"/>
      <c r="W789" s="186"/>
      <c r="X789" s="187"/>
      <c r="Y789" s="187"/>
      <c r="Z789" s="187"/>
      <c r="AA789" s="186"/>
      <c r="AB789" s="186"/>
      <c r="AC789" s="67"/>
      <c r="AD789" s="67"/>
      <c r="AE789" s="67"/>
      <c r="AH789" s="186"/>
      <c r="AK789" s="186"/>
    </row>
    <row r="790">
      <c r="A790" s="185"/>
      <c r="B790" s="67"/>
      <c r="C790" s="67"/>
      <c r="D790" s="67"/>
      <c r="E790" s="186"/>
      <c r="F790" s="186"/>
      <c r="G790" s="186"/>
      <c r="H790" s="186"/>
      <c r="I790" s="186"/>
      <c r="J790" s="186"/>
      <c r="K790" s="186"/>
      <c r="L790" s="186"/>
      <c r="M790" s="186"/>
      <c r="N790" s="186"/>
      <c r="O790" s="186"/>
      <c r="P790" s="186"/>
      <c r="Q790" s="186"/>
      <c r="R790" s="186"/>
      <c r="S790" s="67"/>
      <c r="T790" s="67"/>
      <c r="U790" s="67"/>
      <c r="V790" s="187"/>
      <c r="W790" s="186"/>
      <c r="X790" s="187"/>
      <c r="Y790" s="187"/>
      <c r="Z790" s="187"/>
      <c r="AA790" s="186"/>
      <c r="AB790" s="186"/>
      <c r="AC790" s="67"/>
      <c r="AD790" s="67"/>
      <c r="AE790" s="67"/>
      <c r="AH790" s="186"/>
      <c r="AK790" s="186"/>
    </row>
    <row r="791">
      <c r="A791" s="185"/>
      <c r="B791" s="67"/>
      <c r="C791" s="67"/>
      <c r="D791" s="67"/>
      <c r="E791" s="186"/>
      <c r="F791" s="186"/>
      <c r="G791" s="186"/>
      <c r="H791" s="186"/>
      <c r="I791" s="186"/>
      <c r="J791" s="186"/>
      <c r="K791" s="186"/>
      <c r="L791" s="186"/>
      <c r="M791" s="186"/>
      <c r="N791" s="186"/>
      <c r="O791" s="186"/>
      <c r="P791" s="186"/>
      <c r="Q791" s="186"/>
      <c r="R791" s="186"/>
      <c r="S791" s="67"/>
      <c r="T791" s="67"/>
      <c r="U791" s="67"/>
      <c r="V791" s="187"/>
      <c r="W791" s="186"/>
      <c r="X791" s="187"/>
      <c r="Y791" s="187"/>
      <c r="Z791" s="187"/>
      <c r="AA791" s="186"/>
      <c r="AB791" s="186"/>
      <c r="AC791" s="67"/>
      <c r="AD791" s="67"/>
      <c r="AE791" s="67"/>
      <c r="AH791" s="186"/>
      <c r="AK791" s="186"/>
    </row>
    <row r="792">
      <c r="A792" s="185"/>
      <c r="B792" s="67"/>
      <c r="C792" s="67"/>
      <c r="D792" s="67"/>
      <c r="E792" s="186"/>
      <c r="F792" s="186"/>
      <c r="G792" s="186"/>
      <c r="H792" s="186"/>
      <c r="I792" s="186"/>
      <c r="J792" s="186"/>
      <c r="K792" s="186"/>
      <c r="L792" s="186"/>
      <c r="M792" s="186"/>
      <c r="N792" s="186"/>
      <c r="O792" s="186"/>
      <c r="P792" s="186"/>
      <c r="Q792" s="186"/>
      <c r="R792" s="186"/>
      <c r="S792" s="67"/>
      <c r="T792" s="67"/>
      <c r="U792" s="67"/>
      <c r="V792" s="187"/>
      <c r="W792" s="186"/>
      <c r="X792" s="187"/>
      <c r="Y792" s="187"/>
      <c r="Z792" s="187"/>
      <c r="AA792" s="186"/>
      <c r="AB792" s="186"/>
      <c r="AC792" s="67"/>
      <c r="AD792" s="67"/>
      <c r="AE792" s="67"/>
      <c r="AH792" s="186"/>
      <c r="AK792" s="186"/>
    </row>
    <row r="793">
      <c r="A793" s="185"/>
      <c r="B793" s="67"/>
      <c r="C793" s="67"/>
      <c r="D793" s="67"/>
      <c r="E793" s="186"/>
      <c r="F793" s="186"/>
      <c r="G793" s="186"/>
      <c r="H793" s="186"/>
      <c r="I793" s="186"/>
      <c r="J793" s="186"/>
      <c r="K793" s="186"/>
      <c r="L793" s="186"/>
      <c r="M793" s="186"/>
      <c r="N793" s="186"/>
      <c r="O793" s="186"/>
      <c r="P793" s="186"/>
      <c r="Q793" s="186"/>
      <c r="R793" s="186"/>
      <c r="S793" s="67"/>
      <c r="T793" s="67"/>
      <c r="U793" s="67"/>
      <c r="V793" s="187"/>
      <c r="W793" s="186"/>
      <c r="X793" s="187"/>
      <c r="Y793" s="187"/>
      <c r="Z793" s="187"/>
      <c r="AA793" s="186"/>
      <c r="AB793" s="186"/>
      <c r="AC793" s="67"/>
      <c r="AD793" s="67"/>
      <c r="AE793" s="67"/>
      <c r="AH793" s="186"/>
      <c r="AK793" s="186"/>
    </row>
    <row r="794">
      <c r="A794" s="185"/>
      <c r="B794" s="67"/>
      <c r="C794" s="67"/>
      <c r="D794" s="67"/>
      <c r="E794" s="186"/>
      <c r="F794" s="186"/>
      <c r="G794" s="186"/>
      <c r="H794" s="186"/>
      <c r="I794" s="186"/>
      <c r="J794" s="186"/>
      <c r="K794" s="186"/>
      <c r="L794" s="186"/>
      <c r="M794" s="186"/>
      <c r="N794" s="186"/>
      <c r="O794" s="186"/>
      <c r="P794" s="186"/>
      <c r="Q794" s="186"/>
      <c r="R794" s="186"/>
      <c r="S794" s="67"/>
      <c r="T794" s="67"/>
      <c r="U794" s="67"/>
      <c r="V794" s="187"/>
      <c r="W794" s="186"/>
      <c r="X794" s="187"/>
      <c r="Y794" s="187"/>
      <c r="Z794" s="187"/>
      <c r="AA794" s="186"/>
      <c r="AB794" s="186"/>
      <c r="AC794" s="67"/>
      <c r="AD794" s="67"/>
      <c r="AE794" s="67"/>
      <c r="AH794" s="186"/>
      <c r="AK794" s="186"/>
    </row>
    <row r="795">
      <c r="A795" s="185"/>
      <c r="B795" s="67"/>
      <c r="C795" s="67"/>
      <c r="D795" s="67"/>
      <c r="E795" s="186"/>
      <c r="F795" s="186"/>
      <c r="G795" s="186"/>
      <c r="H795" s="186"/>
      <c r="I795" s="186"/>
      <c r="J795" s="186"/>
      <c r="K795" s="186"/>
      <c r="L795" s="186"/>
      <c r="M795" s="186"/>
      <c r="N795" s="186"/>
      <c r="O795" s="186"/>
      <c r="P795" s="186"/>
      <c r="Q795" s="186"/>
      <c r="R795" s="186"/>
      <c r="S795" s="67"/>
      <c r="T795" s="67"/>
      <c r="U795" s="67"/>
      <c r="V795" s="187"/>
      <c r="W795" s="186"/>
      <c r="X795" s="187"/>
      <c r="Y795" s="187"/>
      <c r="Z795" s="187"/>
      <c r="AA795" s="186"/>
      <c r="AB795" s="186"/>
      <c r="AC795" s="67"/>
      <c r="AD795" s="67"/>
      <c r="AE795" s="67"/>
      <c r="AH795" s="186"/>
      <c r="AK795" s="186"/>
    </row>
    <row r="796">
      <c r="A796" s="185"/>
      <c r="B796" s="67"/>
      <c r="C796" s="67"/>
      <c r="D796" s="67"/>
      <c r="E796" s="186"/>
      <c r="F796" s="186"/>
      <c r="G796" s="186"/>
      <c r="H796" s="186"/>
      <c r="I796" s="186"/>
      <c r="J796" s="186"/>
      <c r="K796" s="186"/>
      <c r="L796" s="186"/>
      <c r="M796" s="186"/>
      <c r="N796" s="186"/>
      <c r="O796" s="186"/>
      <c r="P796" s="186"/>
      <c r="Q796" s="186"/>
      <c r="R796" s="186"/>
      <c r="S796" s="67"/>
      <c r="T796" s="67"/>
      <c r="U796" s="67"/>
      <c r="V796" s="187"/>
      <c r="W796" s="186"/>
      <c r="X796" s="187"/>
      <c r="Y796" s="187"/>
      <c r="Z796" s="187"/>
      <c r="AA796" s="186"/>
      <c r="AB796" s="186"/>
      <c r="AC796" s="67"/>
      <c r="AD796" s="67"/>
      <c r="AE796" s="67"/>
      <c r="AH796" s="186"/>
      <c r="AK796" s="186"/>
    </row>
    <row r="797">
      <c r="A797" s="185"/>
      <c r="B797" s="67"/>
      <c r="C797" s="67"/>
      <c r="D797" s="67"/>
      <c r="E797" s="186"/>
      <c r="F797" s="186"/>
      <c r="G797" s="186"/>
      <c r="H797" s="186"/>
      <c r="I797" s="186"/>
      <c r="J797" s="186"/>
      <c r="K797" s="186"/>
      <c r="L797" s="186"/>
      <c r="M797" s="186"/>
      <c r="N797" s="186"/>
      <c r="O797" s="186"/>
      <c r="P797" s="186"/>
      <c r="Q797" s="186"/>
      <c r="R797" s="186"/>
      <c r="S797" s="67"/>
      <c r="T797" s="67"/>
      <c r="U797" s="67"/>
      <c r="V797" s="187"/>
      <c r="W797" s="186"/>
      <c r="X797" s="187"/>
      <c r="Y797" s="187"/>
      <c r="Z797" s="187"/>
      <c r="AA797" s="186"/>
      <c r="AB797" s="186"/>
      <c r="AC797" s="67"/>
      <c r="AD797" s="67"/>
      <c r="AE797" s="67"/>
      <c r="AH797" s="186"/>
      <c r="AK797" s="186"/>
    </row>
    <row r="798">
      <c r="A798" s="185"/>
      <c r="B798" s="67"/>
      <c r="C798" s="67"/>
      <c r="D798" s="67"/>
      <c r="E798" s="186"/>
      <c r="F798" s="186"/>
      <c r="G798" s="186"/>
      <c r="H798" s="186"/>
      <c r="I798" s="186"/>
      <c r="J798" s="186"/>
      <c r="K798" s="186"/>
      <c r="L798" s="186"/>
      <c r="M798" s="186"/>
      <c r="N798" s="186"/>
      <c r="O798" s="186"/>
      <c r="P798" s="186"/>
      <c r="Q798" s="186"/>
      <c r="R798" s="186"/>
      <c r="S798" s="67"/>
      <c r="T798" s="67"/>
      <c r="U798" s="67"/>
      <c r="V798" s="187"/>
      <c r="W798" s="186"/>
      <c r="X798" s="187"/>
      <c r="Y798" s="187"/>
      <c r="Z798" s="187"/>
      <c r="AA798" s="186"/>
      <c r="AB798" s="186"/>
      <c r="AC798" s="67"/>
      <c r="AD798" s="67"/>
      <c r="AE798" s="67"/>
      <c r="AH798" s="186"/>
      <c r="AK798" s="186"/>
    </row>
    <row r="799">
      <c r="A799" s="185"/>
      <c r="B799" s="67"/>
      <c r="C799" s="67"/>
      <c r="D799" s="67"/>
      <c r="E799" s="186"/>
      <c r="F799" s="186"/>
      <c r="G799" s="186"/>
      <c r="H799" s="186"/>
      <c r="I799" s="186"/>
      <c r="J799" s="186"/>
      <c r="K799" s="186"/>
      <c r="L799" s="186"/>
      <c r="M799" s="186"/>
      <c r="N799" s="186"/>
      <c r="O799" s="186"/>
      <c r="P799" s="186"/>
      <c r="Q799" s="186"/>
      <c r="R799" s="186"/>
      <c r="S799" s="67"/>
      <c r="T799" s="67"/>
      <c r="U799" s="67"/>
      <c r="V799" s="187"/>
      <c r="W799" s="186"/>
      <c r="X799" s="187"/>
      <c r="Y799" s="187"/>
      <c r="Z799" s="187"/>
      <c r="AA799" s="186"/>
      <c r="AB799" s="186"/>
      <c r="AC799" s="67"/>
      <c r="AD799" s="67"/>
      <c r="AE799" s="67"/>
      <c r="AH799" s="186"/>
      <c r="AK799" s="186"/>
    </row>
    <row r="800">
      <c r="A800" s="185"/>
      <c r="B800" s="67"/>
      <c r="C800" s="67"/>
      <c r="D800" s="67"/>
      <c r="E800" s="186"/>
      <c r="F800" s="186"/>
      <c r="G800" s="186"/>
      <c r="H800" s="186"/>
      <c r="I800" s="186"/>
      <c r="J800" s="186"/>
      <c r="K800" s="186"/>
      <c r="L800" s="186"/>
      <c r="M800" s="186"/>
      <c r="N800" s="186"/>
      <c r="O800" s="186"/>
      <c r="P800" s="186"/>
      <c r="Q800" s="186"/>
      <c r="R800" s="186"/>
      <c r="S800" s="67"/>
      <c r="T800" s="67"/>
      <c r="U800" s="67"/>
      <c r="V800" s="187"/>
      <c r="W800" s="186"/>
      <c r="X800" s="187"/>
      <c r="Y800" s="187"/>
      <c r="Z800" s="187"/>
      <c r="AA800" s="186"/>
      <c r="AB800" s="186"/>
      <c r="AC800" s="67"/>
      <c r="AD800" s="67"/>
      <c r="AE800" s="67"/>
      <c r="AH800" s="186"/>
      <c r="AK800" s="186"/>
    </row>
    <row r="801">
      <c r="A801" s="185"/>
      <c r="B801" s="67"/>
      <c r="C801" s="67"/>
      <c r="D801" s="67"/>
      <c r="E801" s="186"/>
      <c r="F801" s="186"/>
      <c r="G801" s="186"/>
      <c r="H801" s="186"/>
      <c r="I801" s="186"/>
      <c r="J801" s="186"/>
      <c r="K801" s="186"/>
      <c r="L801" s="186"/>
      <c r="M801" s="186"/>
      <c r="N801" s="186"/>
      <c r="O801" s="186"/>
      <c r="P801" s="186"/>
      <c r="Q801" s="186"/>
      <c r="R801" s="186"/>
      <c r="S801" s="67"/>
      <c r="T801" s="67"/>
      <c r="U801" s="67"/>
      <c r="V801" s="187"/>
      <c r="W801" s="186"/>
      <c r="X801" s="187"/>
      <c r="Y801" s="187"/>
      <c r="Z801" s="187"/>
      <c r="AA801" s="186"/>
      <c r="AB801" s="186"/>
      <c r="AC801" s="67"/>
      <c r="AD801" s="67"/>
      <c r="AE801" s="67"/>
      <c r="AH801" s="186"/>
      <c r="AK801" s="186"/>
    </row>
    <row r="802">
      <c r="A802" s="185"/>
      <c r="B802" s="67"/>
      <c r="C802" s="67"/>
      <c r="D802" s="67"/>
      <c r="E802" s="186"/>
      <c r="F802" s="186"/>
      <c r="G802" s="186"/>
      <c r="H802" s="186"/>
      <c r="I802" s="186"/>
      <c r="J802" s="186"/>
      <c r="K802" s="186"/>
      <c r="L802" s="186"/>
      <c r="M802" s="186"/>
      <c r="N802" s="186"/>
      <c r="O802" s="186"/>
      <c r="P802" s="186"/>
      <c r="Q802" s="186"/>
      <c r="R802" s="186"/>
      <c r="S802" s="67"/>
      <c r="T802" s="67"/>
      <c r="U802" s="67"/>
      <c r="V802" s="187"/>
      <c r="W802" s="186"/>
      <c r="X802" s="187"/>
      <c r="Y802" s="187"/>
      <c r="Z802" s="187"/>
      <c r="AA802" s="186"/>
      <c r="AB802" s="186"/>
      <c r="AC802" s="67"/>
      <c r="AD802" s="67"/>
      <c r="AE802" s="67"/>
      <c r="AH802" s="186"/>
      <c r="AK802" s="186"/>
    </row>
    <row r="803">
      <c r="A803" s="185"/>
      <c r="B803" s="67"/>
      <c r="C803" s="67"/>
      <c r="D803" s="67"/>
      <c r="E803" s="186"/>
      <c r="F803" s="186"/>
      <c r="G803" s="186"/>
      <c r="H803" s="186"/>
      <c r="I803" s="186"/>
      <c r="J803" s="186"/>
      <c r="K803" s="186"/>
      <c r="L803" s="186"/>
      <c r="M803" s="186"/>
      <c r="N803" s="186"/>
      <c r="O803" s="186"/>
      <c r="P803" s="186"/>
      <c r="Q803" s="186"/>
      <c r="R803" s="186"/>
      <c r="S803" s="67"/>
      <c r="T803" s="67"/>
      <c r="U803" s="67"/>
      <c r="V803" s="187"/>
      <c r="W803" s="186"/>
      <c r="X803" s="187"/>
      <c r="Y803" s="187"/>
      <c r="Z803" s="187"/>
      <c r="AA803" s="186"/>
      <c r="AB803" s="186"/>
      <c r="AC803" s="67"/>
      <c r="AD803" s="67"/>
      <c r="AE803" s="67"/>
      <c r="AH803" s="186"/>
      <c r="AK803" s="186"/>
    </row>
    <row r="804">
      <c r="A804" s="185"/>
      <c r="B804" s="67"/>
      <c r="C804" s="67"/>
      <c r="D804" s="67"/>
      <c r="E804" s="186"/>
      <c r="F804" s="186"/>
      <c r="G804" s="186"/>
      <c r="H804" s="186"/>
      <c r="I804" s="186"/>
      <c r="J804" s="186"/>
      <c r="K804" s="186"/>
      <c r="L804" s="186"/>
      <c r="M804" s="186"/>
      <c r="N804" s="186"/>
      <c r="O804" s="186"/>
      <c r="P804" s="186"/>
      <c r="Q804" s="186"/>
      <c r="R804" s="186"/>
      <c r="S804" s="67"/>
      <c r="T804" s="67"/>
      <c r="U804" s="67"/>
      <c r="V804" s="187"/>
      <c r="W804" s="186"/>
      <c r="X804" s="187"/>
      <c r="Y804" s="187"/>
      <c r="Z804" s="187"/>
      <c r="AA804" s="186"/>
      <c r="AB804" s="186"/>
      <c r="AC804" s="67"/>
      <c r="AD804" s="67"/>
      <c r="AE804" s="67"/>
      <c r="AH804" s="186"/>
      <c r="AK804" s="186"/>
    </row>
    <row r="805">
      <c r="A805" s="185"/>
      <c r="B805" s="67"/>
      <c r="C805" s="67"/>
      <c r="D805" s="67"/>
      <c r="E805" s="186"/>
      <c r="F805" s="186"/>
      <c r="G805" s="186"/>
      <c r="H805" s="186"/>
      <c r="I805" s="186"/>
      <c r="J805" s="186"/>
      <c r="K805" s="186"/>
      <c r="L805" s="186"/>
      <c r="M805" s="186"/>
      <c r="N805" s="186"/>
      <c r="O805" s="186"/>
      <c r="P805" s="186"/>
      <c r="Q805" s="186"/>
      <c r="R805" s="186"/>
      <c r="S805" s="67"/>
      <c r="T805" s="67"/>
      <c r="U805" s="67"/>
      <c r="V805" s="187"/>
      <c r="W805" s="186"/>
      <c r="X805" s="187"/>
      <c r="Y805" s="187"/>
      <c r="Z805" s="187"/>
      <c r="AA805" s="186"/>
      <c r="AB805" s="186"/>
      <c r="AC805" s="67"/>
      <c r="AD805" s="67"/>
      <c r="AE805" s="67"/>
      <c r="AH805" s="186"/>
      <c r="AK805" s="186"/>
    </row>
    <row r="806">
      <c r="A806" s="185"/>
      <c r="B806" s="67"/>
      <c r="C806" s="67"/>
      <c r="D806" s="67"/>
      <c r="E806" s="186"/>
      <c r="F806" s="186"/>
      <c r="G806" s="186"/>
      <c r="H806" s="186"/>
      <c r="I806" s="186"/>
      <c r="J806" s="186"/>
      <c r="K806" s="186"/>
      <c r="L806" s="186"/>
      <c r="M806" s="186"/>
      <c r="N806" s="186"/>
      <c r="O806" s="186"/>
      <c r="P806" s="186"/>
      <c r="Q806" s="186"/>
      <c r="R806" s="186"/>
      <c r="S806" s="67"/>
      <c r="T806" s="67"/>
      <c r="U806" s="67"/>
      <c r="V806" s="187"/>
      <c r="W806" s="186"/>
      <c r="X806" s="187"/>
      <c r="Y806" s="187"/>
      <c r="Z806" s="187"/>
      <c r="AA806" s="186"/>
      <c r="AB806" s="186"/>
      <c r="AC806" s="67"/>
      <c r="AD806" s="67"/>
      <c r="AE806" s="67"/>
      <c r="AH806" s="186"/>
      <c r="AK806" s="186"/>
    </row>
    <row r="807">
      <c r="A807" s="185"/>
      <c r="B807" s="67"/>
      <c r="C807" s="67"/>
      <c r="D807" s="67"/>
      <c r="E807" s="186"/>
      <c r="F807" s="186"/>
      <c r="G807" s="186"/>
      <c r="H807" s="186"/>
      <c r="I807" s="186"/>
      <c r="J807" s="186"/>
      <c r="K807" s="186"/>
      <c r="L807" s="186"/>
      <c r="M807" s="186"/>
      <c r="N807" s="186"/>
      <c r="O807" s="186"/>
      <c r="P807" s="186"/>
      <c r="Q807" s="186"/>
      <c r="R807" s="186"/>
      <c r="S807" s="67"/>
      <c r="T807" s="67"/>
      <c r="U807" s="67"/>
      <c r="V807" s="187"/>
      <c r="W807" s="186"/>
      <c r="X807" s="187"/>
      <c r="Y807" s="187"/>
      <c r="Z807" s="187"/>
      <c r="AA807" s="186"/>
      <c r="AB807" s="186"/>
      <c r="AC807" s="67"/>
      <c r="AD807" s="67"/>
      <c r="AE807" s="67"/>
      <c r="AH807" s="186"/>
      <c r="AK807" s="186"/>
    </row>
    <row r="808">
      <c r="A808" s="185"/>
      <c r="B808" s="67"/>
      <c r="C808" s="67"/>
      <c r="D808" s="67"/>
      <c r="E808" s="186"/>
      <c r="F808" s="186"/>
      <c r="G808" s="186"/>
      <c r="H808" s="186"/>
      <c r="I808" s="186"/>
      <c r="J808" s="186"/>
      <c r="K808" s="186"/>
      <c r="L808" s="186"/>
      <c r="M808" s="186"/>
      <c r="N808" s="186"/>
      <c r="O808" s="186"/>
      <c r="P808" s="186"/>
      <c r="Q808" s="186"/>
      <c r="R808" s="186"/>
      <c r="S808" s="67"/>
      <c r="T808" s="67"/>
      <c r="U808" s="67"/>
      <c r="V808" s="187"/>
      <c r="W808" s="186"/>
      <c r="X808" s="187"/>
      <c r="Y808" s="187"/>
      <c r="Z808" s="187"/>
      <c r="AA808" s="186"/>
      <c r="AB808" s="186"/>
      <c r="AC808" s="67"/>
      <c r="AD808" s="67"/>
      <c r="AE808" s="67"/>
      <c r="AH808" s="186"/>
      <c r="AK808" s="186"/>
    </row>
    <row r="809">
      <c r="A809" s="185"/>
      <c r="B809" s="67"/>
      <c r="C809" s="67"/>
      <c r="D809" s="67"/>
      <c r="E809" s="186"/>
      <c r="F809" s="186"/>
      <c r="G809" s="186"/>
      <c r="H809" s="186"/>
      <c r="I809" s="186"/>
      <c r="J809" s="186"/>
      <c r="K809" s="186"/>
      <c r="L809" s="186"/>
      <c r="M809" s="186"/>
      <c r="N809" s="186"/>
      <c r="O809" s="186"/>
      <c r="P809" s="186"/>
      <c r="Q809" s="186"/>
      <c r="R809" s="186"/>
      <c r="S809" s="67"/>
      <c r="T809" s="67"/>
      <c r="U809" s="67"/>
      <c r="V809" s="187"/>
      <c r="W809" s="186"/>
      <c r="X809" s="187"/>
      <c r="Y809" s="187"/>
      <c r="Z809" s="187"/>
      <c r="AA809" s="186"/>
      <c r="AB809" s="186"/>
      <c r="AC809" s="67"/>
      <c r="AD809" s="67"/>
      <c r="AE809" s="67"/>
      <c r="AH809" s="186"/>
      <c r="AK809" s="186"/>
    </row>
    <row r="810">
      <c r="A810" s="185"/>
      <c r="B810" s="67"/>
      <c r="C810" s="67"/>
      <c r="D810" s="67"/>
      <c r="E810" s="186"/>
      <c r="F810" s="186"/>
      <c r="G810" s="186"/>
      <c r="H810" s="186"/>
      <c r="I810" s="186"/>
      <c r="J810" s="186"/>
      <c r="K810" s="186"/>
      <c r="L810" s="186"/>
      <c r="M810" s="186"/>
      <c r="N810" s="186"/>
      <c r="O810" s="186"/>
      <c r="P810" s="186"/>
      <c r="Q810" s="186"/>
      <c r="R810" s="186"/>
      <c r="S810" s="67"/>
      <c r="T810" s="67"/>
      <c r="U810" s="67"/>
      <c r="V810" s="187"/>
      <c r="W810" s="186"/>
      <c r="X810" s="187"/>
      <c r="Y810" s="187"/>
      <c r="Z810" s="187"/>
      <c r="AA810" s="186"/>
      <c r="AB810" s="186"/>
      <c r="AC810" s="67"/>
      <c r="AD810" s="67"/>
      <c r="AE810" s="67"/>
      <c r="AH810" s="186"/>
      <c r="AK810" s="186"/>
    </row>
    <row r="811">
      <c r="A811" s="185"/>
      <c r="B811" s="67"/>
      <c r="C811" s="67"/>
      <c r="D811" s="67"/>
      <c r="E811" s="186"/>
      <c r="F811" s="186"/>
      <c r="G811" s="186"/>
      <c r="H811" s="186"/>
      <c r="I811" s="186"/>
      <c r="J811" s="186"/>
      <c r="K811" s="186"/>
      <c r="L811" s="186"/>
      <c r="M811" s="186"/>
      <c r="N811" s="186"/>
      <c r="O811" s="186"/>
      <c r="P811" s="186"/>
      <c r="Q811" s="186"/>
      <c r="R811" s="186"/>
      <c r="S811" s="67"/>
      <c r="T811" s="67"/>
      <c r="U811" s="67"/>
      <c r="V811" s="187"/>
      <c r="W811" s="186"/>
      <c r="X811" s="187"/>
      <c r="Y811" s="187"/>
      <c r="Z811" s="187"/>
      <c r="AA811" s="186"/>
      <c r="AB811" s="186"/>
      <c r="AC811" s="67"/>
      <c r="AD811" s="67"/>
      <c r="AE811" s="67"/>
      <c r="AH811" s="186"/>
      <c r="AK811" s="186"/>
    </row>
    <row r="812">
      <c r="A812" s="185"/>
      <c r="B812" s="67"/>
      <c r="C812" s="67"/>
      <c r="D812" s="67"/>
      <c r="E812" s="186"/>
      <c r="F812" s="186"/>
      <c r="G812" s="186"/>
      <c r="H812" s="186"/>
      <c r="I812" s="186"/>
      <c r="J812" s="186"/>
      <c r="K812" s="186"/>
      <c r="L812" s="186"/>
      <c r="M812" s="186"/>
      <c r="N812" s="186"/>
      <c r="O812" s="186"/>
      <c r="P812" s="186"/>
      <c r="Q812" s="186"/>
      <c r="R812" s="186"/>
      <c r="S812" s="67"/>
      <c r="T812" s="67"/>
      <c r="U812" s="67"/>
      <c r="V812" s="187"/>
      <c r="W812" s="186"/>
      <c r="X812" s="187"/>
      <c r="Y812" s="187"/>
      <c r="Z812" s="187"/>
      <c r="AA812" s="186"/>
      <c r="AB812" s="186"/>
      <c r="AC812" s="67"/>
      <c r="AD812" s="67"/>
      <c r="AE812" s="67"/>
      <c r="AH812" s="186"/>
      <c r="AK812" s="186"/>
    </row>
    <row r="813">
      <c r="A813" s="185"/>
      <c r="B813" s="67"/>
      <c r="C813" s="67"/>
      <c r="D813" s="67"/>
      <c r="E813" s="186"/>
      <c r="F813" s="186"/>
      <c r="G813" s="186"/>
      <c r="H813" s="186"/>
      <c r="I813" s="186"/>
      <c r="J813" s="186"/>
      <c r="K813" s="186"/>
      <c r="L813" s="186"/>
      <c r="M813" s="186"/>
      <c r="N813" s="186"/>
      <c r="O813" s="186"/>
      <c r="P813" s="186"/>
      <c r="Q813" s="186"/>
      <c r="R813" s="186"/>
      <c r="S813" s="67"/>
      <c r="T813" s="67"/>
      <c r="U813" s="67"/>
      <c r="V813" s="187"/>
      <c r="W813" s="186"/>
      <c r="X813" s="187"/>
      <c r="Y813" s="187"/>
      <c r="Z813" s="187"/>
      <c r="AA813" s="186"/>
      <c r="AB813" s="186"/>
      <c r="AC813" s="67"/>
      <c r="AD813" s="67"/>
      <c r="AE813" s="67"/>
      <c r="AH813" s="186"/>
      <c r="AK813" s="186"/>
    </row>
    <row r="814">
      <c r="A814" s="185"/>
      <c r="B814" s="67"/>
      <c r="C814" s="67"/>
      <c r="D814" s="67"/>
      <c r="E814" s="186"/>
      <c r="F814" s="186"/>
      <c r="G814" s="186"/>
      <c r="H814" s="186"/>
      <c r="I814" s="186"/>
      <c r="J814" s="186"/>
      <c r="K814" s="186"/>
      <c r="L814" s="186"/>
      <c r="M814" s="186"/>
      <c r="N814" s="186"/>
      <c r="O814" s="186"/>
      <c r="P814" s="186"/>
      <c r="Q814" s="186"/>
      <c r="R814" s="186"/>
      <c r="S814" s="67"/>
      <c r="T814" s="67"/>
      <c r="U814" s="67"/>
      <c r="V814" s="187"/>
      <c r="W814" s="186"/>
      <c r="X814" s="187"/>
      <c r="Y814" s="187"/>
      <c r="Z814" s="187"/>
      <c r="AA814" s="186"/>
      <c r="AB814" s="186"/>
      <c r="AC814" s="67"/>
      <c r="AD814" s="67"/>
      <c r="AE814" s="67"/>
      <c r="AH814" s="186"/>
      <c r="AK814" s="186"/>
    </row>
    <row r="815">
      <c r="A815" s="185"/>
      <c r="B815" s="67"/>
      <c r="C815" s="67"/>
      <c r="D815" s="67"/>
      <c r="E815" s="186"/>
      <c r="F815" s="186"/>
      <c r="G815" s="186"/>
      <c r="H815" s="186"/>
      <c r="I815" s="186"/>
      <c r="J815" s="186"/>
      <c r="K815" s="186"/>
      <c r="L815" s="186"/>
      <c r="M815" s="186"/>
      <c r="N815" s="186"/>
      <c r="O815" s="186"/>
      <c r="P815" s="186"/>
      <c r="Q815" s="186"/>
      <c r="R815" s="186"/>
      <c r="S815" s="67"/>
      <c r="T815" s="67"/>
      <c r="U815" s="67"/>
      <c r="V815" s="187"/>
      <c r="W815" s="186"/>
      <c r="X815" s="187"/>
      <c r="Y815" s="187"/>
      <c r="Z815" s="187"/>
      <c r="AA815" s="186"/>
      <c r="AB815" s="186"/>
      <c r="AC815" s="67"/>
      <c r="AD815" s="67"/>
      <c r="AE815" s="67"/>
      <c r="AH815" s="186"/>
      <c r="AK815" s="186"/>
    </row>
    <row r="816">
      <c r="A816" s="185"/>
      <c r="B816" s="67"/>
      <c r="C816" s="67"/>
      <c r="D816" s="67"/>
      <c r="E816" s="186"/>
      <c r="F816" s="186"/>
      <c r="G816" s="186"/>
      <c r="H816" s="186"/>
      <c r="I816" s="186"/>
      <c r="J816" s="186"/>
      <c r="K816" s="186"/>
      <c r="L816" s="186"/>
      <c r="M816" s="186"/>
      <c r="N816" s="186"/>
      <c r="O816" s="186"/>
      <c r="P816" s="186"/>
      <c r="Q816" s="186"/>
      <c r="R816" s="186"/>
      <c r="S816" s="67"/>
      <c r="T816" s="67"/>
      <c r="U816" s="67"/>
      <c r="V816" s="187"/>
      <c r="W816" s="186"/>
      <c r="X816" s="187"/>
      <c r="Y816" s="187"/>
      <c r="Z816" s="187"/>
      <c r="AA816" s="186"/>
      <c r="AB816" s="186"/>
      <c r="AC816" s="67"/>
      <c r="AD816" s="67"/>
      <c r="AE816" s="67"/>
      <c r="AH816" s="186"/>
      <c r="AK816" s="186"/>
    </row>
    <row r="817">
      <c r="A817" s="185"/>
      <c r="B817" s="67"/>
      <c r="C817" s="67"/>
      <c r="D817" s="67"/>
      <c r="E817" s="186"/>
      <c r="F817" s="186"/>
      <c r="G817" s="186"/>
      <c r="H817" s="186"/>
      <c r="I817" s="186"/>
      <c r="J817" s="186"/>
      <c r="K817" s="186"/>
      <c r="L817" s="186"/>
      <c r="M817" s="186"/>
      <c r="N817" s="186"/>
      <c r="O817" s="186"/>
      <c r="P817" s="186"/>
      <c r="Q817" s="186"/>
      <c r="R817" s="186"/>
      <c r="S817" s="67"/>
      <c r="T817" s="67"/>
      <c r="U817" s="67"/>
      <c r="V817" s="187"/>
      <c r="W817" s="186"/>
      <c r="X817" s="187"/>
      <c r="Y817" s="187"/>
      <c r="Z817" s="187"/>
      <c r="AA817" s="186"/>
      <c r="AB817" s="186"/>
      <c r="AC817" s="67"/>
      <c r="AD817" s="67"/>
      <c r="AE817" s="67"/>
      <c r="AH817" s="186"/>
      <c r="AK817" s="186"/>
    </row>
    <row r="818">
      <c r="A818" s="185"/>
      <c r="B818" s="67"/>
      <c r="C818" s="67"/>
      <c r="D818" s="67"/>
      <c r="E818" s="186"/>
      <c r="F818" s="186"/>
      <c r="G818" s="186"/>
      <c r="H818" s="186"/>
      <c r="I818" s="186"/>
      <c r="J818" s="186"/>
      <c r="K818" s="186"/>
      <c r="L818" s="186"/>
      <c r="M818" s="186"/>
      <c r="N818" s="186"/>
      <c r="O818" s="186"/>
      <c r="P818" s="186"/>
      <c r="Q818" s="186"/>
      <c r="R818" s="186"/>
      <c r="S818" s="67"/>
      <c r="T818" s="67"/>
      <c r="U818" s="67"/>
      <c r="V818" s="187"/>
      <c r="W818" s="186"/>
      <c r="X818" s="187"/>
      <c r="Y818" s="187"/>
      <c r="Z818" s="187"/>
      <c r="AA818" s="186"/>
      <c r="AB818" s="186"/>
      <c r="AC818" s="67"/>
      <c r="AD818" s="67"/>
      <c r="AE818" s="67"/>
      <c r="AH818" s="186"/>
      <c r="AK818" s="186"/>
    </row>
    <row r="819">
      <c r="A819" s="185"/>
      <c r="B819" s="67"/>
      <c r="C819" s="67"/>
      <c r="D819" s="67"/>
      <c r="E819" s="186"/>
      <c r="F819" s="186"/>
      <c r="G819" s="186"/>
      <c r="H819" s="186"/>
      <c r="I819" s="186"/>
      <c r="J819" s="186"/>
      <c r="K819" s="186"/>
      <c r="L819" s="186"/>
      <c r="M819" s="186"/>
      <c r="N819" s="186"/>
      <c r="O819" s="186"/>
      <c r="P819" s="186"/>
      <c r="Q819" s="186"/>
      <c r="R819" s="186"/>
      <c r="S819" s="67"/>
      <c r="T819" s="67"/>
      <c r="U819" s="67"/>
      <c r="V819" s="187"/>
      <c r="W819" s="186"/>
      <c r="X819" s="187"/>
      <c r="Y819" s="187"/>
      <c r="Z819" s="187"/>
      <c r="AA819" s="186"/>
      <c r="AB819" s="186"/>
      <c r="AC819" s="67"/>
      <c r="AD819" s="67"/>
      <c r="AE819" s="67"/>
      <c r="AH819" s="186"/>
      <c r="AK819" s="186"/>
    </row>
    <row r="820">
      <c r="A820" s="185"/>
      <c r="B820" s="67"/>
      <c r="C820" s="67"/>
      <c r="D820" s="67"/>
      <c r="E820" s="186"/>
      <c r="F820" s="186"/>
      <c r="G820" s="186"/>
      <c r="H820" s="186"/>
      <c r="I820" s="186"/>
      <c r="J820" s="186"/>
      <c r="K820" s="186"/>
      <c r="L820" s="186"/>
      <c r="M820" s="186"/>
      <c r="N820" s="186"/>
      <c r="O820" s="186"/>
      <c r="P820" s="186"/>
      <c r="Q820" s="186"/>
      <c r="R820" s="186"/>
      <c r="S820" s="67"/>
      <c r="T820" s="67"/>
      <c r="U820" s="67"/>
      <c r="V820" s="187"/>
      <c r="W820" s="186"/>
      <c r="X820" s="187"/>
      <c r="Y820" s="187"/>
      <c r="Z820" s="187"/>
      <c r="AA820" s="186"/>
      <c r="AB820" s="186"/>
      <c r="AC820" s="67"/>
      <c r="AD820" s="67"/>
      <c r="AE820" s="67"/>
      <c r="AH820" s="186"/>
      <c r="AK820" s="186"/>
    </row>
    <row r="821">
      <c r="A821" s="185"/>
      <c r="B821" s="67"/>
      <c r="C821" s="67"/>
      <c r="D821" s="67"/>
      <c r="E821" s="186"/>
      <c r="F821" s="186"/>
      <c r="G821" s="186"/>
      <c r="H821" s="186"/>
      <c r="I821" s="186"/>
      <c r="J821" s="186"/>
      <c r="K821" s="186"/>
      <c r="L821" s="186"/>
      <c r="M821" s="186"/>
      <c r="N821" s="186"/>
      <c r="O821" s="186"/>
      <c r="P821" s="186"/>
      <c r="Q821" s="186"/>
      <c r="R821" s="186"/>
      <c r="S821" s="67"/>
      <c r="T821" s="67"/>
      <c r="U821" s="67"/>
      <c r="V821" s="187"/>
      <c r="W821" s="186"/>
      <c r="X821" s="187"/>
      <c r="Y821" s="187"/>
      <c r="Z821" s="187"/>
      <c r="AA821" s="186"/>
      <c r="AB821" s="186"/>
      <c r="AC821" s="67"/>
      <c r="AD821" s="67"/>
      <c r="AE821" s="67"/>
      <c r="AH821" s="186"/>
      <c r="AK821" s="186"/>
    </row>
    <row r="822">
      <c r="A822" s="185"/>
      <c r="B822" s="67"/>
      <c r="C822" s="67"/>
      <c r="D822" s="67"/>
      <c r="E822" s="186"/>
      <c r="F822" s="186"/>
      <c r="G822" s="186"/>
      <c r="H822" s="186"/>
      <c r="I822" s="186"/>
      <c r="J822" s="186"/>
      <c r="K822" s="186"/>
      <c r="L822" s="186"/>
      <c r="M822" s="186"/>
      <c r="N822" s="186"/>
      <c r="O822" s="186"/>
      <c r="P822" s="186"/>
      <c r="Q822" s="186"/>
      <c r="R822" s="186"/>
      <c r="S822" s="67"/>
      <c r="T822" s="67"/>
      <c r="U822" s="67"/>
      <c r="V822" s="187"/>
      <c r="W822" s="186"/>
      <c r="X822" s="187"/>
      <c r="Y822" s="187"/>
      <c r="Z822" s="187"/>
      <c r="AA822" s="186"/>
      <c r="AB822" s="186"/>
      <c r="AC822" s="67"/>
      <c r="AD822" s="67"/>
      <c r="AE822" s="67"/>
      <c r="AH822" s="186"/>
      <c r="AK822" s="186"/>
    </row>
    <row r="823">
      <c r="A823" s="185"/>
      <c r="B823" s="67"/>
      <c r="C823" s="67"/>
      <c r="D823" s="67"/>
      <c r="E823" s="186"/>
      <c r="F823" s="186"/>
      <c r="G823" s="186"/>
      <c r="H823" s="186"/>
      <c r="I823" s="186"/>
      <c r="J823" s="186"/>
      <c r="K823" s="186"/>
      <c r="L823" s="186"/>
      <c r="M823" s="186"/>
      <c r="N823" s="186"/>
      <c r="O823" s="186"/>
      <c r="P823" s="186"/>
      <c r="Q823" s="186"/>
      <c r="R823" s="186"/>
      <c r="S823" s="67"/>
      <c r="T823" s="67"/>
      <c r="U823" s="67"/>
      <c r="V823" s="187"/>
      <c r="W823" s="186"/>
      <c r="X823" s="187"/>
      <c r="Y823" s="187"/>
      <c r="Z823" s="187"/>
      <c r="AA823" s="186"/>
      <c r="AB823" s="186"/>
      <c r="AC823" s="67"/>
      <c r="AD823" s="67"/>
      <c r="AE823" s="67"/>
      <c r="AH823" s="186"/>
      <c r="AK823" s="186"/>
    </row>
    <row r="824">
      <c r="A824" s="185"/>
      <c r="B824" s="67"/>
      <c r="C824" s="67"/>
      <c r="D824" s="67"/>
      <c r="E824" s="186"/>
      <c r="F824" s="186"/>
      <c r="G824" s="186"/>
      <c r="H824" s="186"/>
      <c r="I824" s="186"/>
      <c r="J824" s="186"/>
      <c r="K824" s="186"/>
      <c r="L824" s="186"/>
      <c r="M824" s="186"/>
      <c r="N824" s="186"/>
      <c r="O824" s="186"/>
      <c r="P824" s="186"/>
      <c r="Q824" s="186"/>
      <c r="R824" s="186"/>
      <c r="S824" s="67"/>
      <c r="T824" s="67"/>
      <c r="U824" s="67"/>
      <c r="V824" s="187"/>
      <c r="W824" s="186"/>
      <c r="X824" s="187"/>
      <c r="Y824" s="187"/>
      <c r="Z824" s="187"/>
      <c r="AA824" s="186"/>
      <c r="AB824" s="186"/>
      <c r="AC824" s="67"/>
      <c r="AD824" s="67"/>
      <c r="AE824" s="67"/>
      <c r="AH824" s="186"/>
      <c r="AK824" s="186"/>
    </row>
    <row r="825">
      <c r="A825" s="185"/>
      <c r="B825" s="67"/>
      <c r="C825" s="67"/>
      <c r="D825" s="67"/>
      <c r="E825" s="186"/>
      <c r="F825" s="186"/>
      <c r="G825" s="186"/>
      <c r="H825" s="186"/>
      <c r="I825" s="186"/>
      <c r="J825" s="186"/>
      <c r="K825" s="186"/>
      <c r="L825" s="186"/>
      <c r="M825" s="186"/>
      <c r="N825" s="186"/>
      <c r="O825" s="186"/>
      <c r="P825" s="186"/>
      <c r="Q825" s="186"/>
      <c r="R825" s="186"/>
      <c r="S825" s="67"/>
      <c r="T825" s="67"/>
      <c r="U825" s="67"/>
      <c r="V825" s="187"/>
      <c r="W825" s="186"/>
      <c r="X825" s="187"/>
      <c r="Y825" s="187"/>
      <c r="Z825" s="187"/>
      <c r="AA825" s="186"/>
      <c r="AB825" s="186"/>
      <c r="AC825" s="67"/>
      <c r="AD825" s="67"/>
      <c r="AE825" s="67"/>
      <c r="AH825" s="186"/>
      <c r="AK825" s="186"/>
    </row>
    <row r="826">
      <c r="A826" s="185"/>
      <c r="B826" s="67"/>
      <c r="C826" s="67"/>
      <c r="D826" s="67"/>
      <c r="E826" s="186"/>
      <c r="F826" s="186"/>
      <c r="G826" s="186"/>
      <c r="H826" s="186"/>
      <c r="I826" s="186"/>
      <c r="J826" s="186"/>
      <c r="K826" s="186"/>
      <c r="L826" s="186"/>
      <c r="M826" s="186"/>
      <c r="N826" s="186"/>
      <c r="O826" s="186"/>
      <c r="P826" s="186"/>
      <c r="Q826" s="186"/>
      <c r="R826" s="186"/>
      <c r="S826" s="67"/>
      <c r="T826" s="67"/>
      <c r="U826" s="67"/>
      <c r="V826" s="187"/>
      <c r="W826" s="186"/>
      <c r="X826" s="187"/>
      <c r="Y826" s="187"/>
      <c r="Z826" s="187"/>
      <c r="AA826" s="186"/>
      <c r="AB826" s="186"/>
      <c r="AC826" s="67"/>
      <c r="AD826" s="67"/>
      <c r="AE826" s="67"/>
      <c r="AH826" s="186"/>
      <c r="AK826" s="186"/>
    </row>
    <row r="827">
      <c r="A827" s="185"/>
      <c r="B827" s="67"/>
      <c r="C827" s="67"/>
      <c r="D827" s="67"/>
      <c r="E827" s="186"/>
      <c r="F827" s="186"/>
      <c r="G827" s="186"/>
      <c r="H827" s="186"/>
      <c r="I827" s="186"/>
      <c r="J827" s="186"/>
      <c r="K827" s="186"/>
      <c r="L827" s="186"/>
      <c r="M827" s="186"/>
      <c r="N827" s="186"/>
      <c r="O827" s="186"/>
      <c r="P827" s="186"/>
      <c r="Q827" s="186"/>
      <c r="R827" s="186"/>
      <c r="S827" s="67"/>
      <c r="T827" s="67"/>
      <c r="U827" s="67"/>
      <c r="V827" s="187"/>
      <c r="W827" s="186"/>
      <c r="X827" s="187"/>
      <c r="Y827" s="187"/>
      <c r="Z827" s="187"/>
      <c r="AA827" s="186"/>
      <c r="AB827" s="186"/>
      <c r="AC827" s="67"/>
      <c r="AD827" s="67"/>
      <c r="AE827" s="67"/>
      <c r="AH827" s="186"/>
      <c r="AK827" s="186"/>
    </row>
    <row r="828">
      <c r="A828" s="185"/>
      <c r="B828" s="67"/>
      <c r="C828" s="67"/>
      <c r="D828" s="67"/>
      <c r="E828" s="186"/>
      <c r="F828" s="186"/>
      <c r="G828" s="186"/>
      <c r="H828" s="186"/>
      <c r="I828" s="186"/>
      <c r="J828" s="186"/>
      <c r="K828" s="186"/>
      <c r="L828" s="186"/>
      <c r="M828" s="186"/>
      <c r="N828" s="186"/>
      <c r="O828" s="186"/>
      <c r="P828" s="186"/>
      <c r="Q828" s="186"/>
      <c r="R828" s="186"/>
      <c r="S828" s="67"/>
      <c r="T828" s="67"/>
      <c r="U828" s="67"/>
      <c r="V828" s="187"/>
      <c r="W828" s="186"/>
      <c r="X828" s="187"/>
      <c r="Y828" s="187"/>
      <c r="Z828" s="187"/>
      <c r="AA828" s="186"/>
      <c r="AB828" s="186"/>
      <c r="AC828" s="67"/>
      <c r="AD828" s="67"/>
      <c r="AE828" s="67"/>
      <c r="AH828" s="186"/>
      <c r="AK828" s="186"/>
    </row>
    <row r="829">
      <c r="A829" s="185"/>
      <c r="B829" s="67"/>
      <c r="C829" s="67"/>
      <c r="D829" s="67"/>
      <c r="E829" s="186"/>
      <c r="F829" s="186"/>
      <c r="G829" s="186"/>
      <c r="H829" s="186"/>
      <c r="I829" s="186"/>
      <c r="J829" s="186"/>
      <c r="K829" s="186"/>
      <c r="L829" s="186"/>
      <c r="M829" s="186"/>
      <c r="N829" s="186"/>
      <c r="O829" s="186"/>
      <c r="P829" s="186"/>
      <c r="Q829" s="186"/>
      <c r="R829" s="186"/>
      <c r="S829" s="67"/>
      <c r="T829" s="67"/>
      <c r="U829" s="67"/>
      <c r="V829" s="187"/>
      <c r="W829" s="186"/>
      <c r="X829" s="187"/>
      <c r="Y829" s="187"/>
      <c r="Z829" s="187"/>
      <c r="AA829" s="186"/>
      <c r="AB829" s="186"/>
      <c r="AC829" s="67"/>
      <c r="AD829" s="67"/>
      <c r="AE829" s="67"/>
      <c r="AH829" s="186"/>
      <c r="AK829" s="186"/>
    </row>
    <row r="830">
      <c r="A830" s="185"/>
      <c r="B830" s="67"/>
      <c r="C830" s="67"/>
      <c r="D830" s="67"/>
      <c r="E830" s="186"/>
      <c r="F830" s="186"/>
      <c r="G830" s="186"/>
      <c r="H830" s="186"/>
      <c r="I830" s="186"/>
      <c r="J830" s="186"/>
      <c r="K830" s="186"/>
      <c r="L830" s="186"/>
      <c r="M830" s="186"/>
      <c r="N830" s="186"/>
      <c r="O830" s="186"/>
      <c r="P830" s="186"/>
      <c r="Q830" s="186"/>
      <c r="R830" s="186"/>
      <c r="S830" s="67"/>
      <c r="T830" s="67"/>
      <c r="U830" s="67"/>
      <c r="V830" s="187"/>
      <c r="W830" s="186"/>
      <c r="X830" s="187"/>
      <c r="Y830" s="187"/>
      <c r="Z830" s="187"/>
      <c r="AA830" s="186"/>
      <c r="AB830" s="186"/>
      <c r="AC830" s="67"/>
      <c r="AD830" s="67"/>
      <c r="AE830" s="67"/>
      <c r="AH830" s="186"/>
      <c r="AK830" s="186"/>
    </row>
    <row r="831">
      <c r="A831" s="185"/>
      <c r="B831" s="67"/>
      <c r="C831" s="67"/>
      <c r="D831" s="67"/>
      <c r="E831" s="186"/>
      <c r="F831" s="186"/>
      <c r="G831" s="186"/>
      <c r="H831" s="186"/>
      <c r="I831" s="186"/>
      <c r="J831" s="186"/>
      <c r="K831" s="186"/>
      <c r="L831" s="186"/>
      <c r="M831" s="186"/>
      <c r="N831" s="186"/>
      <c r="O831" s="186"/>
      <c r="P831" s="186"/>
      <c r="Q831" s="186"/>
      <c r="R831" s="186"/>
      <c r="S831" s="67"/>
      <c r="T831" s="67"/>
      <c r="U831" s="67"/>
      <c r="V831" s="187"/>
      <c r="W831" s="186"/>
      <c r="X831" s="187"/>
      <c r="Y831" s="187"/>
      <c r="Z831" s="187"/>
      <c r="AA831" s="186"/>
      <c r="AB831" s="186"/>
      <c r="AC831" s="67"/>
      <c r="AD831" s="67"/>
      <c r="AE831" s="67"/>
      <c r="AH831" s="186"/>
      <c r="AK831" s="186"/>
    </row>
    <row r="832">
      <c r="A832" s="185"/>
      <c r="B832" s="67"/>
      <c r="C832" s="67"/>
      <c r="D832" s="67"/>
      <c r="E832" s="186"/>
      <c r="F832" s="186"/>
      <c r="G832" s="186"/>
      <c r="H832" s="186"/>
      <c r="I832" s="186"/>
      <c r="J832" s="186"/>
      <c r="K832" s="186"/>
      <c r="L832" s="186"/>
      <c r="M832" s="186"/>
      <c r="N832" s="186"/>
      <c r="O832" s="186"/>
      <c r="P832" s="186"/>
      <c r="Q832" s="186"/>
      <c r="R832" s="186"/>
      <c r="S832" s="67"/>
      <c r="T832" s="67"/>
      <c r="U832" s="67"/>
      <c r="V832" s="187"/>
      <c r="W832" s="186"/>
      <c r="X832" s="187"/>
      <c r="Y832" s="187"/>
      <c r="Z832" s="187"/>
      <c r="AA832" s="186"/>
      <c r="AB832" s="186"/>
      <c r="AC832" s="67"/>
      <c r="AD832" s="67"/>
      <c r="AE832" s="67"/>
      <c r="AH832" s="186"/>
      <c r="AK832" s="186"/>
    </row>
    <row r="833">
      <c r="A833" s="185"/>
      <c r="B833" s="67"/>
      <c r="C833" s="67"/>
      <c r="D833" s="67"/>
      <c r="E833" s="186"/>
      <c r="F833" s="186"/>
      <c r="G833" s="186"/>
      <c r="H833" s="186"/>
      <c r="I833" s="186"/>
      <c r="J833" s="186"/>
      <c r="K833" s="186"/>
      <c r="L833" s="186"/>
      <c r="M833" s="186"/>
      <c r="N833" s="186"/>
      <c r="O833" s="186"/>
      <c r="P833" s="186"/>
      <c r="Q833" s="186"/>
      <c r="R833" s="186"/>
      <c r="S833" s="67"/>
      <c r="T833" s="67"/>
      <c r="U833" s="67"/>
      <c r="V833" s="187"/>
      <c r="W833" s="186"/>
      <c r="X833" s="187"/>
      <c r="Y833" s="187"/>
      <c r="Z833" s="187"/>
      <c r="AA833" s="186"/>
      <c r="AB833" s="186"/>
      <c r="AC833" s="67"/>
      <c r="AD833" s="67"/>
      <c r="AE833" s="67"/>
      <c r="AH833" s="186"/>
      <c r="AK833" s="186"/>
    </row>
    <row r="834">
      <c r="A834" s="185"/>
      <c r="B834" s="67"/>
      <c r="C834" s="67"/>
      <c r="D834" s="67"/>
      <c r="E834" s="186"/>
      <c r="F834" s="186"/>
      <c r="G834" s="186"/>
      <c r="H834" s="186"/>
      <c r="I834" s="186"/>
      <c r="J834" s="186"/>
      <c r="K834" s="186"/>
      <c r="L834" s="186"/>
      <c r="M834" s="186"/>
      <c r="N834" s="186"/>
      <c r="O834" s="186"/>
      <c r="P834" s="186"/>
      <c r="Q834" s="186"/>
      <c r="R834" s="186"/>
      <c r="S834" s="67"/>
      <c r="T834" s="67"/>
      <c r="U834" s="67"/>
      <c r="V834" s="187"/>
      <c r="W834" s="186"/>
      <c r="X834" s="187"/>
      <c r="Y834" s="187"/>
      <c r="Z834" s="187"/>
      <c r="AA834" s="186"/>
      <c r="AB834" s="186"/>
      <c r="AC834" s="67"/>
      <c r="AD834" s="67"/>
      <c r="AE834" s="67"/>
      <c r="AH834" s="186"/>
      <c r="AK834" s="186"/>
    </row>
    <row r="835">
      <c r="A835" s="185"/>
      <c r="B835" s="67"/>
      <c r="C835" s="67"/>
      <c r="D835" s="67"/>
      <c r="E835" s="186"/>
      <c r="F835" s="186"/>
      <c r="G835" s="186"/>
      <c r="H835" s="186"/>
      <c r="I835" s="186"/>
      <c r="J835" s="186"/>
      <c r="K835" s="186"/>
      <c r="L835" s="186"/>
      <c r="M835" s="186"/>
      <c r="N835" s="186"/>
      <c r="O835" s="186"/>
      <c r="P835" s="186"/>
      <c r="Q835" s="186"/>
      <c r="R835" s="186"/>
      <c r="S835" s="67"/>
      <c r="T835" s="67"/>
      <c r="U835" s="67"/>
      <c r="V835" s="187"/>
      <c r="W835" s="186"/>
      <c r="X835" s="187"/>
      <c r="Y835" s="187"/>
      <c r="Z835" s="187"/>
      <c r="AA835" s="186"/>
      <c r="AB835" s="186"/>
      <c r="AC835" s="67"/>
      <c r="AD835" s="67"/>
      <c r="AE835" s="67"/>
      <c r="AH835" s="186"/>
      <c r="AK835" s="186"/>
    </row>
    <row r="836">
      <c r="A836" s="185"/>
      <c r="B836" s="67"/>
      <c r="C836" s="67"/>
      <c r="D836" s="67"/>
      <c r="E836" s="186"/>
      <c r="F836" s="186"/>
      <c r="G836" s="186"/>
      <c r="H836" s="186"/>
      <c r="I836" s="186"/>
      <c r="J836" s="186"/>
      <c r="K836" s="186"/>
      <c r="L836" s="186"/>
      <c r="M836" s="186"/>
      <c r="N836" s="186"/>
      <c r="O836" s="186"/>
      <c r="P836" s="186"/>
      <c r="Q836" s="186"/>
      <c r="R836" s="186"/>
      <c r="S836" s="67"/>
      <c r="T836" s="67"/>
      <c r="U836" s="67"/>
      <c r="V836" s="187"/>
      <c r="W836" s="186"/>
      <c r="X836" s="187"/>
      <c r="Y836" s="187"/>
      <c r="Z836" s="187"/>
      <c r="AA836" s="186"/>
      <c r="AB836" s="186"/>
      <c r="AC836" s="67"/>
      <c r="AD836" s="67"/>
      <c r="AE836" s="67"/>
      <c r="AH836" s="186"/>
      <c r="AK836" s="186"/>
    </row>
    <row r="837">
      <c r="A837" s="185"/>
      <c r="B837" s="67"/>
      <c r="C837" s="67"/>
      <c r="D837" s="67"/>
      <c r="E837" s="186"/>
      <c r="F837" s="186"/>
      <c r="G837" s="186"/>
      <c r="H837" s="186"/>
      <c r="I837" s="186"/>
      <c r="J837" s="186"/>
      <c r="K837" s="186"/>
      <c r="L837" s="186"/>
      <c r="M837" s="186"/>
      <c r="N837" s="186"/>
      <c r="O837" s="186"/>
      <c r="P837" s="186"/>
      <c r="Q837" s="186"/>
      <c r="R837" s="186"/>
      <c r="S837" s="67"/>
      <c r="T837" s="67"/>
      <c r="U837" s="67"/>
      <c r="V837" s="187"/>
      <c r="W837" s="186"/>
      <c r="X837" s="187"/>
      <c r="Y837" s="187"/>
      <c r="Z837" s="187"/>
      <c r="AA837" s="186"/>
      <c r="AB837" s="186"/>
      <c r="AC837" s="67"/>
      <c r="AD837" s="67"/>
      <c r="AE837" s="67"/>
      <c r="AH837" s="186"/>
      <c r="AK837" s="186"/>
    </row>
    <row r="838">
      <c r="A838" s="185"/>
      <c r="B838" s="67"/>
      <c r="C838" s="67"/>
      <c r="D838" s="67"/>
      <c r="E838" s="186"/>
      <c r="F838" s="186"/>
      <c r="G838" s="186"/>
      <c r="H838" s="186"/>
      <c r="I838" s="186"/>
      <c r="J838" s="186"/>
      <c r="K838" s="186"/>
      <c r="L838" s="186"/>
      <c r="M838" s="186"/>
      <c r="N838" s="186"/>
      <c r="O838" s="186"/>
      <c r="P838" s="186"/>
      <c r="Q838" s="186"/>
      <c r="R838" s="186"/>
      <c r="S838" s="67"/>
      <c r="T838" s="67"/>
      <c r="U838" s="67"/>
      <c r="V838" s="187"/>
      <c r="W838" s="186"/>
      <c r="X838" s="187"/>
      <c r="Y838" s="187"/>
      <c r="Z838" s="187"/>
      <c r="AA838" s="186"/>
      <c r="AB838" s="186"/>
      <c r="AC838" s="67"/>
      <c r="AD838" s="67"/>
      <c r="AE838" s="67"/>
      <c r="AH838" s="186"/>
      <c r="AK838" s="186"/>
    </row>
    <row r="839">
      <c r="A839" s="185"/>
      <c r="B839" s="67"/>
      <c r="C839" s="67"/>
      <c r="D839" s="67"/>
      <c r="E839" s="186"/>
      <c r="F839" s="186"/>
      <c r="G839" s="186"/>
      <c r="H839" s="186"/>
      <c r="I839" s="186"/>
      <c r="J839" s="186"/>
      <c r="K839" s="186"/>
      <c r="L839" s="186"/>
      <c r="M839" s="186"/>
      <c r="N839" s="186"/>
      <c r="O839" s="186"/>
      <c r="P839" s="186"/>
      <c r="Q839" s="186"/>
      <c r="R839" s="186"/>
      <c r="S839" s="67"/>
      <c r="T839" s="67"/>
      <c r="U839" s="67"/>
      <c r="V839" s="187"/>
      <c r="W839" s="186"/>
      <c r="X839" s="187"/>
      <c r="Y839" s="187"/>
      <c r="Z839" s="187"/>
      <c r="AA839" s="186"/>
      <c r="AB839" s="186"/>
      <c r="AC839" s="67"/>
      <c r="AD839" s="67"/>
      <c r="AE839" s="67"/>
      <c r="AH839" s="186"/>
      <c r="AK839" s="186"/>
    </row>
    <row r="840">
      <c r="A840" s="185"/>
      <c r="B840" s="67"/>
      <c r="C840" s="67"/>
      <c r="D840" s="67"/>
      <c r="E840" s="186"/>
      <c r="F840" s="186"/>
      <c r="G840" s="186"/>
      <c r="H840" s="186"/>
      <c r="I840" s="186"/>
      <c r="J840" s="186"/>
      <c r="K840" s="186"/>
      <c r="L840" s="186"/>
      <c r="M840" s="186"/>
      <c r="N840" s="186"/>
      <c r="O840" s="186"/>
      <c r="P840" s="186"/>
      <c r="Q840" s="186"/>
      <c r="R840" s="186"/>
      <c r="S840" s="67"/>
      <c r="T840" s="67"/>
      <c r="U840" s="67"/>
      <c r="V840" s="187"/>
      <c r="W840" s="186"/>
      <c r="X840" s="187"/>
      <c r="Y840" s="187"/>
      <c r="Z840" s="187"/>
      <c r="AA840" s="186"/>
      <c r="AB840" s="186"/>
      <c r="AC840" s="67"/>
      <c r="AD840" s="67"/>
      <c r="AE840" s="67"/>
      <c r="AH840" s="186"/>
      <c r="AK840" s="186"/>
    </row>
    <row r="841">
      <c r="A841" s="185"/>
      <c r="B841" s="67"/>
      <c r="C841" s="67"/>
      <c r="D841" s="67"/>
      <c r="E841" s="186"/>
      <c r="F841" s="186"/>
      <c r="G841" s="186"/>
      <c r="H841" s="186"/>
      <c r="I841" s="186"/>
      <c r="J841" s="186"/>
      <c r="K841" s="186"/>
      <c r="L841" s="186"/>
      <c r="M841" s="186"/>
      <c r="N841" s="186"/>
      <c r="O841" s="186"/>
      <c r="P841" s="186"/>
      <c r="Q841" s="186"/>
      <c r="R841" s="186"/>
      <c r="S841" s="67"/>
      <c r="T841" s="67"/>
      <c r="U841" s="67"/>
      <c r="V841" s="187"/>
      <c r="W841" s="186"/>
      <c r="X841" s="187"/>
      <c r="Y841" s="187"/>
      <c r="Z841" s="187"/>
      <c r="AA841" s="186"/>
      <c r="AB841" s="186"/>
      <c r="AC841" s="67"/>
      <c r="AD841" s="67"/>
      <c r="AE841" s="67"/>
      <c r="AH841" s="186"/>
      <c r="AK841" s="186"/>
    </row>
    <row r="842">
      <c r="A842" s="185"/>
      <c r="B842" s="67"/>
      <c r="C842" s="67"/>
      <c r="D842" s="67"/>
      <c r="E842" s="186"/>
      <c r="F842" s="186"/>
      <c r="G842" s="186"/>
      <c r="H842" s="186"/>
      <c r="I842" s="186"/>
      <c r="J842" s="186"/>
      <c r="K842" s="186"/>
      <c r="L842" s="186"/>
      <c r="M842" s="186"/>
      <c r="N842" s="186"/>
      <c r="O842" s="186"/>
      <c r="P842" s="186"/>
      <c r="Q842" s="186"/>
      <c r="R842" s="186"/>
      <c r="S842" s="67"/>
      <c r="T842" s="67"/>
      <c r="U842" s="67"/>
      <c r="V842" s="187"/>
      <c r="W842" s="186"/>
      <c r="X842" s="187"/>
      <c r="Y842" s="187"/>
      <c r="Z842" s="187"/>
      <c r="AA842" s="186"/>
      <c r="AB842" s="186"/>
      <c r="AC842" s="67"/>
      <c r="AD842" s="67"/>
      <c r="AE842" s="67"/>
      <c r="AH842" s="186"/>
      <c r="AK842" s="186"/>
    </row>
    <row r="843">
      <c r="A843" s="185"/>
      <c r="B843" s="67"/>
      <c r="C843" s="67"/>
      <c r="D843" s="67"/>
      <c r="E843" s="186"/>
      <c r="F843" s="186"/>
      <c r="G843" s="186"/>
      <c r="H843" s="186"/>
      <c r="I843" s="186"/>
      <c r="J843" s="186"/>
      <c r="K843" s="186"/>
      <c r="L843" s="186"/>
      <c r="M843" s="186"/>
      <c r="N843" s="186"/>
      <c r="O843" s="186"/>
      <c r="P843" s="186"/>
      <c r="Q843" s="186"/>
      <c r="R843" s="186"/>
      <c r="S843" s="67"/>
      <c r="T843" s="67"/>
      <c r="U843" s="67"/>
      <c r="V843" s="187"/>
      <c r="W843" s="186"/>
      <c r="X843" s="187"/>
      <c r="Y843" s="187"/>
      <c r="Z843" s="187"/>
      <c r="AA843" s="186"/>
      <c r="AB843" s="186"/>
      <c r="AC843" s="67"/>
      <c r="AD843" s="67"/>
      <c r="AE843" s="67"/>
      <c r="AH843" s="186"/>
      <c r="AK843" s="186"/>
    </row>
    <row r="844">
      <c r="A844" s="185"/>
      <c r="B844" s="67"/>
      <c r="C844" s="67"/>
      <c r="D844" s="67"/>
      <c r="E844" s="186"/>
      <c r="F844" s="186"/>
      <c r="G844" s="186"/>
      <c r="H844" s="186"/>
      <c r="I844" s="186"/>
      <c r="J844" s="186"/>
      <c r="K844" s="186"/>
      <c r="L844" s="186"/>
      <c r="M844" s="186"/>
      <c r="N844" s="186"/>
      <c r="O844" s="186"/>
      <c r="P844" s="186"/>
      <c r="Q844" s="186"/>
      <c r="R844" s="186"/>
      <c r="S844" s="67"/>
      <c r="T844" s="67"/>
      <c r="U844" s="67"/>
      <c r="V844" s="187"/>
      <c r="W844" s="186"/>
      <c r="X844" s="187"/>
      <c r="Y844" s="187"/>
      <c r="Z844" s="187"/>
      <c r="AA844" s="186"/>
      <c r="AB844" s="186"/>
      <c r="AC844" s="67"/>
      <c r="AD844" s="67"/>
      <c r="AE844" s="67"/>
      <c r="AH844" s="186"/>
      <c r="AK844" s="186"/>
    </row>
    <row r="845">
      <c r="A845" s="185"/>
      <c r="B845" s="67"/>
      <c r="C845" s="67"/>
      <c r="D845" s="67"/>
      <c r="E845" s="186"/>
      <c r="F845" s="186"/>
      <c r="G845" s="186"/>
      <c r="H845" s="186"/>
      <c r="I845" s="186"/>
      <c r="J845" s="186"/>
      <c r="K845" s="186"/>
      <c r="L845" s="186"/>
      <c r="M845" s="186"/>
      <c r="N845" s="186"/>
      <c r="O845" s="186"/>
      <c r="P845" s="186"/>
      <c r="Q845" s="186"/>
      <c r="R845" s="186"/>
      <c r="S845" s="67"/>
      <c r="T845" s="67"/>
      <c r="U845" s="67"/>
      <c r="V845" s="187"/>
      <c r="W845" s="186"/>
      <c r="X845" s="187"/>
      <c r="Y845" s="187"/>
      <c r="Z845" s="187"/>
      <c r="AA845" s="186"/>
      <c r="AB845" s="186"/>
      <c r="AC845" s="67"/>
      <c r="AD845" s="67"/>
      <c r="AE845" s="67"/>
      <c r="AH845" s="186"/>
      <c r="AK845" s="186"/>
    </row>
    <row r="846">
      <c r="A846" s="185"/>
      <c r="B846" s="67"/>
      <c r="C846" s="67"/>
      <c r="D846" s="67"/>
      <c r="E846" s="186"/>
      <c r="F846" s="186"/>
      <c r="G846" s="186"/>
      <c r="H846" s="186"/>
      <c r="I846" s="186"/>
      <c r="J846" s="186"/>
      <c r="K846" s="186"/>
      <c r="L846" s="186"/>
      <c r="M846" s="186"/>
      <c r="N846" s="186"/>
      <c r="O846" s="186"/>
      <c r="P846" s="186"/>
      <c r="Q846" s="186"/>
      <c r="R846" s="186"/>
      <c r="S846" s="67"/>
      <c r="T846" s="67"/>
      <c r="U846" s="67"/>
      <c r="V846" s="187"/>
      <c r="W846" s="186"/>
      <c r="X846" s="187"/>
      <c r="Y846" s="187"/>
      <c r="Z846" s="187"/>
      <c r="AA846" s="186"/>
      <c r="AB846" s="186"/>
      <c r="AC846" s="67"/>
      <c r="AD846" s="67"/>
      <c r="AE846" s="67"/>
      <c r="AH846" s="186"/>
      <c r="AK846" s="186"/>
    </row>
    <row r="847">
      <c r="A847" s="185"/>
      <c r="B847" s="67"/>
      <c r="C847" s="67"/>
      <c r="D847" s="67"/>
      <c r="E847" s="186"/>
      <c r="F847" s="186"/>
      <c r="G847" s="186"/>
      <c r="H847" s="186"/>
      <c r="I847" s="186"/>
      <c r="J847" s="186"/>
      <c r="K847" s="186"/>
      <c r="L847" s="186"/>
      <c r="M847" s="186"/>
      <c r="N847" s="186"/>
      <c r="O847" s="186"/>
      <c r="P847" s="186"/>
      <c r="Q847" s="186"/>
      <c r="R847" s="186"/>
      <c r="S847" s="67"/>
      <c r="T847" s="67"/>
      <c r="U847" s="67"/>
      <c r="V847" s="187"/>
      <c r="W847" s="186"/>
      <c r="X847" s="187"/>
      <c r="Y847" s="187"/>
      <c r="Z847" s="187"/>
      <c r="AA847" s="186"/>
      <c r="AB847" s="186"/>
      <c r="AC847" s="67"/>
      <c r="AD847" s="67"/>
      <c r="AE847" s="67"/>
      <c r="AH847" s="186"/>
      <c r="AK847" s="186"/>
    </row>
    <row r="848">
      <c r="A848" s="185"/>
      <c r="B848" s="67"/>
      <c r="C848" s="67"/>
      <c r="D848" s="67"/>
      <c r="E848" s="186"/>
      <c r="F848" s="186"/>
      <c r="G848" s="186"/>
      <c r="H848" s="186"/>
      <c r="I848" s="186"/>
      <c r="J848" s="186"/>
      <c r="K848" s="186"/>
      <c r="L848" s="186"/>
      <c r="M848" s="186"/>
      <c r="N848" s="186"/>
      <c r="O848" s="186"/>
      <c r="P848" s="186"/>
      <c r="Q848" s="186"/>
      <c r="R848" s="186"/>
      <c r="S848" s="67"/>
      <c r="T848" s="67"/>
      <c r="U848" s="67"/>
      <c r="V848" s="187"/>
      <c r="W848" s="186"/>
      <c r="X848" s="187"/>
      <c r="Y848" s="187"/>
      <c r="Z848" s="187"/>
      <c r="AA848" s="186"/>
      <c r="AB848" s="186"/>
      <c r="AC848" s="67"/>
      <c r="AD848" s="67"/>
      <c r="AE848" s="67"/>
      <c r="AH848" s="186"/>
      <c r="AK848" s="186"/>
    </row>
    <row r="849">
      <c r="A849" s="185"/>
      <c r="B849" s="67"/>
      <c r="C849" s="67"/>
      <c r="D849" s="67"/>
      <c r="E849" s="186"/>
      <c r="F849" s="186"/>
      <c r="G849" s="186"/>
      <c r="H849" s="186"/>
      <c r="I849" s="186"/>
      <c r="J849" s="186"/>
      <c r="K849" s="186"/>
      <c r="L849" s="186"/>
      <c r="M849" s="186"/>
      <c r="N849" s="186"/>
      <c r="O849" s="186"/>
      <c r="P849" s="186"/>
      <c r="Q849" s="186"/>
      <c r="R849" s="186"/>
      <c r="S849" s="67"/>
      <c r="T849" s="67"/>
      <c r="U849" s="67"/>
      <c r="V849" s="187"/>
      <c r="W849" s="186"/>
      <c r="X849" s="187"/>
      <c r="Y849" s="187"/>
      <c r="Z849" s="187"/>
      <c r="AA849" s="186"/>
      <c r="AB849" s="186"/>
      <c r="AC849" s="67"/>
      <c r="AD849" s="67"/>
      <c r="AE849" s="67"/>
      <c r="AH849" s="186"/>
      <c r="AK849" s="186"/>
    </row>
    <row r="850">
      <c r="A850" s="185"/>
      <c r="B850" s="67"/>
      <c r="C850" s="67"/>
      <c r="D850" s="67"/>
      <c r="E850" s="186"/>
      <c r="F850" s="186"/>
      <c r="G850" s="186"/>
      <c r="H850" s="186"/>
      <c r="I850" s="186"/>
      <c r="J850" s="186"/>
      <c r="K850" s="186"/>
      <c r="L850" s="186"/>
      <c r="M850" s="186"/>
      <c r="N850" s="186"/>
      <c r="O850" s="186"/>
      <c r="P850" s="186"/>
      <c r="Q850" s="186"/>
      <c r="R850" s="186"/>
      <c r="S850" s="67"/>
      <c r="T850" s="67"/>
      <c r="U850" s="67"/>
      <c r="V850" s="187"/>
      <c r="W850" s="186"/>
      <c r="X850" s="187"/>
      <c r="Y850" s="187"/>
      <c r="Z850" s="187"/>
      <c r="AA850" s="186"/>
      <c r="AB850" s="186"/>
      <c r="AC850" s="67"/>
      <c r="AD850" s="67"/>
      <c r="AE850" s="67"/>
      <c r="AH850" s="186"/>
      <c r="AK850" s="186"/>
    </row>
    <row r="851">
      <c r="A851" s="185"/>
      <c r="B851" s="67"/>
      <c r="C851" s="67"/>
      <c r="D851" s="67"/>
      <c r="E851" s="186"/>
      <c r="F851" s="186"/>
      <c r="G851" s="186"/>
      <c r="H851" s="186"/>
      <c r="I851" s="186"/>
      <c r="J851" s="186"/>
      <c r="K851" s="186"/>
      <c r="L851" s="186"/>
      <c r="M851" s="186"/>
      <c r="N851" s="186"/>
      <c r="O851" s="186"/>
      <c r="P851" s="186"/>
      <c r="Q851" s="186"/>
      <c r="R851" s="186"/>
      <c r="S851" s="67"/>
      <c r="T851" s="67"/>
      <c r="U851" s="67"/>
      <c r="V851" s="187"/>
      <c r="W851" s="186"/>
      <c r="X851" s="187"/>
      <c r="Y851" s="187"/>
      <c r="Z851" s="187"/>
      <c r="AA851" s="186"/>
      <c r="AB851" s="186"/>
      <c r="AC851" s="67"/>
      <c r="AD851" s="67"/>
      <c r="AE851" s="67"/>
      <c r="AH851" s="186"/>
      <c r="AK851" s="186"/>
    </row>
    <row r="852">
      <c r="A852" s="185"/>
      <c r="B852" s="67"/>
      <c r="C852" s="67"/>
      <c r="D852" s="67"/>
      <c r="E852" s="186"/>
      <c r="F852" s="186"/>
      <c r="G852" s="186"/>
      <c r="H852" s="186"/>
      <c r="I852" s="186"/>
      <c r="J852" s="186"/>
      <c r="K852" s="186"/>
      <c r="L852" s="186"/>
      <c r="M852" s="186"/>
      <c r="N852" s="186"/>
      <c r="O852" s="186"/>
      <c r="P852" s="186"/>
      <c r="Q852" s="186"/>
      <c r="R852" s="186"/>
      <c r="S852" s="67"/>
      <c r="T852" s="67"/>
      <c r="U852" s="67"/>
      <c r="V852" s="187"/>
      <c r="W852" s="186"/>
      <c r="X852" s="187"/>
      <c r="Y852" s="187"/>
      <c r="Z852" s="187"/>
      <c r="AA852" s="186"/>
      <c r="AB852" s="186"/>
      <c r="AC852" s="67"/>
      <c r="AD852" s="67"/>
      <c r="AE852" s="67"/>
      <c r="AH852" s="186"/>
      <c r="AK852" s="186"/>
    </row>
    <row r="853">
      <c r="A853" s="185"/>
      <c r="B853" s="67"/>
      <c r="C853" s="67"/>
      <c r="D853" s="67"/>
      <c r="E853" s="186"/>
      <c r="F853" s="186"/>
      <c r="G853" s="186"/>
      <c r="H853" s="186"/>
      <c r="I853" s="186"/>
      <c r="J853" s="186"/>
      <c r="K853" s="186"/>
      <c r="L853" s="186"/>
      <c r="M853" s="186"/>
      <c r="N853" s="186"/>
      <c r="O853" s="186"/>
      <c r="P853" s="186"/>
      <c r="Q853" s="186"/>
      <c r="R853" s="186"/>
      <c r="S853" s="67"/>
      <c r="T853" s="67"/>
      <c r="U853" s="67"/>
      <c r="V853" s="187"/>
      <c r="W853" s="186"/>
      <c r="X853" s="187"/>
      <c r="Y853" s="187"/>
      <c r="Z853" s="187"/>
      <c r="AA853" s="186"/>
      <c r="AB853" s="186"/>
      <c r="AC853" s="67"/>
      <c r="AD853" s="67"/>
      <c r="AE853" s="67"/>
      <c r="AH853" s="186"/>
      <c r="AK853" s="186"/>
    </row>
    <row r="854">
      <c r="A854" s="185"/>
      <c r="B854" s="67"/>
      <c r="C854" s="67"/>
      <c r="D854" s="67"/>
      <c r="E854" s="186"/>
      <c r="F854" s="186"/>
      <c r="G854" s="186"/>
      <c r="H854" s="186"/>
      <c r="I854" s="186"/>
      <c r="J854" s="186"/>
      <c r="K854" s="186"/>
      <c r="L854" s="186"/>
      <c r="M854" s="186"/>
      <c r="N854" s="186"/>
      <c r="O854" s="186"/>
      <c r="P854" s="186"/>
      <c r="Q854" s="186"/>
      <c r="R854" s="186"/>
      <c r="S854" s="67"/>
      <c r="T854" s="67"/>
      <c r="U854" s="67"/>
      <c r="V854" s="187"/>
      <c r="W854" s="186"/>
      <c r="X854" s="187"/>
      <c r="Y854" s="187"/>
      <c r="Z854" s="187"/>
      <c r="AA854" s="186"/>
      <c r="AB854" s="186"/>
      <c r="AC854" s="67"/>
      <c r="AD854" s="67"/>
      <c r="AE854" s="67"/>
      <c r="AH854" s="186"/>
      <c r="AK854" s="186"/>
    </row>
    <row r="855">
      <c r="A855" s="185"/>
      <c r="B855" s="67"/>
      <c r="C855" s="67"/>
      <c r="D855" s="67"/>
      <c r="E855" s="186"/>
      <c r="F855" s="186"/>
      <c r="G855" s="186"/>
      <c r="H855" s="186"/>
      <c r="I855" s="186"/>
      <c r="J855" s="186"/>
      <c r="K855" s="186"/>
      <c r="L855" s="186"/>
      <c r="M855" s="186"/>
      <c r="N855" s="186"/>
      <c r="O855" s="186"/>
      <c r="P855" s="186"/>
      <c r="Q855" s="186"/>
      <c r="R855" s="186"/>
      <c r="S855" s="67"/>
      <c r="T855" s="67"/>
      <c r="U855" s="67"/>
      <c r="V855" s="187"/>
      <c r="W855" s="186"/>
      <c r="X855" s="187"/>
      <c r="Y855" s="187"/>
      <c r="Z855" s="187"/>
      <c r="AA855" s="186"/>
      <c r="AB855" s="186"/>
      <c r="AC855" s="67"/>
      <c r="AD855" s="67"/>
      <c r="AE855" s="67"/>
      <c r="AH855" s="186"/>
      <c r="AK855" s="186"/>
    </row>
    <row r="856">
      <c r="A856" s="185"/>
      <c r="B856" s="67"/>
      <c r="C856" s="67"/>
      <c r="D856" s="67"/>
      <c r="E856" s="186"/>
      <c r="F856" s="186"/>
      <c r="G856" s="186"/>
      <c r="H856" s="186"/>
      <c r="I856" s="186"/>
      <c r="J856" s="186"/>
      <c r="K856" s="186"/>
      <c r="L856" s="186"/>
      <c r="M856" s="186"/>
      <c r="N856" s="186"/>
      <c r="O856" s="186"/>
      <c r="P856" s="186"/>
      <c r="Q856" s="186"/>
      <c r="R856" s="186"/>
      <c r="S856" s="67"/>
      <c r="T856" s="67"/>
      <c r="U856" s="67"/>
      <c r="V856" s="187"/>
      <c r="W856" s="186"/>
      <c r="X856" s="187"/>
      <c r="Y856" s="187"/>
      <c r="Z856" s="187"/>
      <c r="AA856" s="186"/>
      <c r="AB856" s="186"/>
      <c r="AC856" s="67"/>
      <c r="AD856" s="67"/>
      <c r="AE856" s="67"/>
      <c r="AH856" s="186"/>
      <c r="AK856" s="186"/>
    </row>
    <row r="857">
      <c r="A857" s="185"/>
      <c r="B857" s="67"/>
      <c r="C857" s="67"/>
      <c r="D857" s="67"/>
      <c r="E857" s="186"/>
      <c r="F857" s="186"/>
      <c r="G857" s="186"/>
      <c r="H857" s="186"/>
      <c r="I857" s="186"/>
      <c r="J857" s="186"/>
      <c r="K857" s="186"/>
      <c r="L857" s="186"/>
      <c r="M857" s="186"/>
      <c r="N857" s="186"/>
      <c r="O857" s="186"/>
      <c r="P857" s="186"/>
      <c r="Q857" s="186"/>
      <c r="R857" s="186"/>
      <c r="S857" s="67"/>
      <c r="T857" s="67"/>
      <c r="U857" s="67"/>
      <c r="V857" s="187"/>
      <c r="W857" s="186"/>
      <c r="X857" s="187"/>
      <c r="Y857" s="187"/>
      <c r="Z857" s="187"/>
      <c r="AA857" s="186"/>
      <c r="AB857" s="186"/>
      <c r="AC857" s="67"/>
      <c r="AD857" s="67"/>
      <c r="AE857" s="67"/>
      <c r="AH857" s="186"/>
      <c r="AK857" s="186"/>
    </row>
    <row r="858">
      <c r="A858" s="185"/>
      <c r="B858" s="67"/>
      <c r="C858" s="67"/>
      <c r="D858" s="67"/>
      <c r="E858" s="186"/>
      <c r="F858" s="186"/>
      <c r="G858" s="186"/>
      <c r="H858" s="186"/>
      <c r="I858" s="186"/>
      <c r="J858" s="186"/>
      <c r="K858" s="186"/>
      <c r="L858" s="186"/>
      <c r="M858" s="186"/>
      <c r="N858" s="186"/>
      <c r="O858" s="186"/>
      <c r="P858" s="186"/>
      <c r="Q858" s="186"/>
      <c r="R858" s="186"/>
      <c r="S858" s="67"/>
      <c r="T858" s="67"/>
      <c r="U858" s="67"/>
      <c r="V858" s="187"/>
      <c r="W858" s="186"/>
      <c r="X858" s="187"/>
      <c r="Y858" s="187"/>
      <c r="Z858" s="187"/>
      <c r="AA858" s="186"/>
      <c r="AB858" s="186"/>
      <c r="AC858" s="67"/>
      <c r="AD858" s="67"/>
      <c r="AE858" s="67"/>
      <c r="AH858" s="186"/>
      <c r="AK858" s="186"/>
    </row>
    <row r="859">
      <c r="A859" s="185"/>
      <c r="B859" s="67"/>
      <c r="C859" s="67"/>
      <c r="D859" s="67"/>
      <c r="E859" s="186"/>
      <c r="F859" s="186"/>
      <c r="G859" s="186"/>
      <c r="H859" s="186"/>
      <c r="I859" s="186"/>
      <c r="J859" s="186"/>
      <c r="K859" s="186"/>
      <c r="L859" s="186"/>
      <c r="M859" s="186"/>
      <c r="N859" s="186"/>
      <c r="O859" s="186"/>
      <c r="P859" s="186"/>
      <c r="Q859" s="186"/>
      <c r="R859" s="186"/>
      <c r="S859" s="67"/>
      <c r="T859" s="67"/>
      <c r="U859" s="67"/>
      <c r="V859" s="187"/>
      <c r="W859" s="186"/>
      <c r="X859" s="187"/>
      <c r="Y859" s="187"/>
      <c r="Z859" s="187"/>
      <c r="AA859" s="186"/>
      <c r="AB859" s="186"/>
      <c r="AC859" s="67"/>
      <c r="AD859" s="67"/>
      <c r="AE859" s="67"/>
      <c r="AH859" s="186"/>
      <c r="AK859" s="186"/>
    </row>
    <row r="860">
      <c r="A860" s="185"/>
      <c r="B860" s="67"/>
      <c r="C860" s="67"/>
      <c r="D860" s="67"/>
      <c r="E860" s="186"/>
      <c r="F860" s="186"/>
      <c r="G860" s="186"/>
      <c r="H860" s="186"/>
      <c r="I860" s="186"/>
      <c r="J860" s="186"/>
      <c r="K860" s="186"/>
      <c r="L860" s="186"/>
      <c r="M860" s="186"/>
      <c r="N860" s="186"/>
      <c r="O860" s="186"/>
      <c r="P860" s="186"/>
      <c r="Q860" s="186"/>
      <c r="R860" s="186"/>
      <c r="S860" s="67"/>
      <c r="T860" s="67"/>
      <c r="U860" s="67"/>
      <c r="V860" s="187"/>
      <c r="W860" s="186"/>
      <c r="X860" s="187"/>
      <c r="Y860" s="187"/>
      <c r="Z860" s="187"/>
      <c r="AA860" s="186"/>
      <c r="AB860" s="186"/>
      <c r="AC860" s="67"/>
      <c r="AD860" s="67"/>
      <c r="AE860" s="67"/>
      <c r="AH860" s="186"/>
      <c r="AK860" s="186"/>
    </row>
    <row r="861">
      <c r="A861" s="185"/>
      <c r="B861" s="67"/>
      <c r="C861" s="67"/>
      <c r="D861" s="67"/>
      <c r="E861" s="186"/>
      <c r="F861" s="186"/>
      <c r="G861" s="186"/>
      <c r="H861" s="186"/>
      <c r="I861" s="186"/>
      <c r="J861" s="186"/>
      <c r="K861" s="186"/>
      <c r="L861" s="186"/>
      <c r="M861" s="186"/>
      <c r="N861" s="186"/>
      <c r="O861" s="186"/>
      <c r="P861" s="186"/>
      <c r="Q861" s="186"/>
      <c r="R861" s="186"/>
      <c r="S861" s="67"/>
      <c r="T861" s="67"/>
      <c r="U861" s="67"/>
      <c r="V861" s="187"/>
      <c r="W861" s="186"/>
      <c r="X861" s="187"/>
      <c r="Y861" s="187"/>
      <c r="Z861" s="187"/>
      <c r="AA861" s="186"/>
      <c r="AB861" s="186"/>
      <c r="AC861" s="67"/>
      <c r="AD861" s="67"/>
      <c r="AE861" s="67"/>
      <c r="AH861" s="186"/>
      <c r="AK861" s="186"/>
    </row>
    <row r="862">
      <c r="A862" s="185"/>
      <c r="B862" s="67"/>
      <c r="C862" s="67"/>
      <c r="D862" s="67"/>
      <c r="E862" s="186"/>
      <c r="F862" s="186"/>
      <c r="G862" s="186"/>
      <c r="H862" s="186"/>
      <c r="I862" s="186"/>
      <c r="J862" s="186"/>
      <c r="K862" s="186"/>
      <c r="L862" s="186"/>
      <c r="M862" s="186"/>
      <c r="N862" s="186"/>
      <c r="O862" s="186"/>
      <c r="P862" s="186"/>
      <c r="Q862" s="186"/>
      <c r="R862" s="186"/>
      <c r="S862" s="67"/>
      <c r="T862" s="67"/>
      <c r="U862" s="67"/>
      <c r="V862" s="187"/>
      <c r="W862" s="186"/>
      <c r="X862" s="187"/>
      <c r="Y862" s="187"/>
      <c r="Z862" s="187"/>
      <c r="AA862" s="186"/>
      <c r="AB862" s="186"/>
      <c r="AC862" s="67"/>
      <c r="AD862" s="67"/>
      <c r="AE862" s="67"/>
      <c r="AH862" s="186"/>
      <c r="AK862" s="186"/>
    </row>
    <row r="863">
      <c r="A863" s="185"/>
      <c r="B863" s="67"/>
      <c r="C863" s="67"/>
      <c r="D863" s="67"/>
      <c r="E863" s="186"/>
      <c r="F863" s="186"/>
      <c r="G863" s="186"/>
      <c r="H863" s="186"/>
      <c r="I863" s="186"/>
      <c r="J863" s="186"/>
      <c r="K863" s="186"/>
      <c r="L863" s="186"/>
      <c r="M863" s="186"/>
      <c r="N863" s="186"/>
      <c r="O863" s="186"/>
      <c r="P863" s="186"/>
      <c r="Q863" s="186"/>
      <c r="R863" s="186"/>
      <c r="S863" s="67"/>
      <c r="T863" s="67"/>
      <c r="U863" s="67"/>
      <c r="V863" s="187"/>
      <c r="W863" s="186"/>
      <c r="X863" s="187"/>
      <c r="Y863" s="187"/>
      <c r="Z863" s="187"/>
      <c r="AA863" s="186"/>
      <c r="AB863" s="186"/>
      <c r="AC863" s="67"/>
      <c r="AD863" s="67"/>
      <c r="AE863" s="67"/>
      <c r="AH863" s="186"/>
      <c r="AK863" s="186"/>
    </row>
    <row r="864">
      <c r="A864" s="185"/>
      <c r="B864" s="67"/>
      <c r="C864" s="67"/>
      <c r="D864" s="67"/>
      <c r="E864" s="186"/>
      <c r="F864" s="186"/>
      <c r="G864" s="186"/>
      <c r="H864" s="186"/>
      <c r="I864" s="186"/>
      <c r="J864" s="186"/>
      <c r="K864" s="186"/>
      <c r="L864" s="186"/>
      <c r="M864" s="186"/>
      <c r="N864" s="186"/>
      <c r="O864" s="186"/>
      <c r="P864" s="186"/>
      <c r="Q864" s="186"/>
      <c r="R864" s="186"/>
      <c r="S864" s="67"/>
      <c r="T864" s="67"/>
      <c r="U864" s="67"/>
      <c r="V864" s="187"/>
      <c r="W864" s="186"/>
      <c r="X864" s="187"/>
      <c r="Y864" s="187"/>
      <c r="Z864" s="187"/>
      <c r="AA864" s="186"/>
      <c r="AB864" s="186"/>
      <c r="AC864" s="67"/>
      <c r="AD864" s="67"/>
      <c r="AE864" s="67"/>
      <c r="AH864" s="186"/>
      <c r="AK864" s="186"/>
    </row>
    <row r="865">
      <c r="A865" s="185"/>
      <c r="B865" s="67"/>
      <c r="C865" s="67"/>
      <c r="D865" s="67"/>
      <c r="E865" s="186"/>
      <c r="F865" s="186"/>
      <c r="G865" s="186"/>
      <c r="H865" s="186"/>
      <c r="I865" s="186"/>
      <c r="J865" s="186"/>
      <c r="K865" s="186"/>
      <c r="L865" s="186"/>
      <c r="M865" s="186"/>
      <c r="N865" s="186"/>
      <c r="O865" s="186"/>
      <c r="P865" s="186"/>
      <c r="Q865" s="186"/>
      <c r="R865" s="186"/>
      <c r="S865" s="67"/>
      <c r="T865" s="67"/>
      <c r="U865" s="67"/>
      <c r="V865" s="187"/>
      <c r="W865" s="186"/>
      <c r="X865" s="187"/>
      <c r="Y865" s="187"/>
      <c r="Z865" s="187"/>
      <c r="AA865" s="186"/>
      <c r="AB865" s="186"/>
      <c r="AC865" s="67"/>
      <c r="AD865" s="67"/>
      <c r="AE865" s="67"/>
      <c r="AH865" s="186"/>
      <c r="AK865" s="186"/>
    </row>
    <row r="866">
      <c r="A866" s="185"/>
      <c r="B866" s="67"/>
      <c r="C866" s="67"/>
      <c r="D866" s="67"/>
      <c r="E866" s="186"/>
      <c r="F866" s="186"/>
      <c r="G866" s="186"/>
      <c r="H866" s="186"/>
      <c r="I866" s="186"/>
      <c r="J866" s="186"/>
      <c r="K866" s="186"/>
      <c r="L866" s="186"/>
      <c r="M866" s="186"/>
      <c r="N866" s="186"/>
      <c r="O866" s="186"/>
      <c r="P866" s="186"/>
      <c r="Q866" s="186"/>
      <c r="R866" s="186"/>
      <c r="S866" s="67"/>
      <c r="T866" s="67"/>
      <c r="U866" s="67"/>
      <c r="V866" s="187"/>
      <c r="W866" s="186"/>
      <c r="X866" s="187"/>
      <c r="Y866" s="187"/>
      <c r="Z866" s="187"/>
      <c r="AA866" s="186"/>
      <c r="AB866" s="186"/>
      <c r="AC866" s="67"/>
      <c r="AD866" s="67"/>
      <c r="AE866" s="67"/>
      <c r="AH866" s="186"/>
      <c r="AK866" s="186"/>
    </row>
    <row r="867">
      <c r="A867" s="185"/>
      <c r="B867" s="67"/>
      <c r="C867" s="67"/>
      <c r="D867" s="67"/>
      <c r="E867" s="186"/>
      <c r="F867" s="186"/>
      <c r="G867" s="186"/>
      <c r="H867" s="186"/>
      <c r="I867" s="186"/>
      <c r="J867" s="186"/>
      <c r="K867" s="186"/>
      <c r="L867" s="186"/>
      <c r="M867" s="186"/>
      <c r="N867" s="186"/>
      <c r="O867" s="186"/>
      <c r="P867" s="186"/>
      <c r="Q867" s="186"/>
      <c r="R867" s="186"/>
      <c r="S867" s="67"/>
      <c r="T867" s="67"/>
      <c r="U867" s="67"/>
      <c r="V867" s="187"/>
      <c r="W867" s="186"/>
      <c r="X867" s="187"/>
      <c r="Y867" s="187"/>
      <c r="Z867" s="187"/>
      <c r="AA867" s="186"/>
      <c r="AB867" s="186"/>
      <c r="AC867" s="67"/>
      <c r="AD867" s="67"/>
      <c r="AE867" s="67"/>
      <c r="AH867" s="186"/>
      <c r="AK867" s="186"/>
    </row>
    <row r="868">
      <c r="A868" s="185"/>
      <c r="B868" s="67"/>
      <c r="C868" s="67"/>
      <c r="D868" s="67"/>
      <c r="E868" s="186"/>
      <c r="F868" s="186"/>
      <c r="G868" s="186"/>
      <c r="H868" s="186"/>
      <c r="I868" s="186"/>
      <c r="J868" s="186"/>
      <c r="K868" s="186"/>
      <c r="L868" s="186"/>
      <c r="M868" s="186"/>
      <c r="N868" s="186"/>
      <c r="O868" s="186"/>
      <c r="P868" s="186"/>
      <c r="Q868" s="186"/>
      <c r="R868" s="186"/>
      <c r="S868" s="67"/>
      <c r="T868" s="67"/>
      <c r="U868" s="67"/>
      <c r="V868" s="187"/>
      <c r="W868" s="186"/>
      <c r="X868" s="187"/>
      <c r="Y868" s="187"/>
      <c r="Z868" s="187"/>
      <c r="AA868" s="186"/>
      <c r="AB868" s="186"/>
      <c r="AC868" s="67"/>
      <c r="AD868" s="67"/>
      <c r="AE868" s="67"/>
      <c r="AH868" s="186"/>
      <c r="AK868" s="186"/>
    </row>
    <row r="869">
      <c r="A869" s="185"/>
      <c r="B869" s="67"/>
      <c r="C869" s="67"/>
      <c r="D869" s="67"/>
      <c r="E869" s="186"/>
      <c r="F869" s="186"/>
      <c r="G869" s="186"/>
      <c r="H869" s="186"/>
      <c r="I869" s="186"/>
      <c r="J869" s="186"/>
      <c r="K869" s="186"/>
      <c r="L869" s="186"/>
      <c r="M869" s="186"/>
      <c r="N869" s="186"/>
      <c r="O869" s="186"/>
      <c r="P869" s="186"/>
      <c r="Q869" s="186"/>
      <c r="R869" s="186"/>
      <c r="S869" s="67"/>
      <c r="T869" s="67"/>
      <c r="U869" s="67"/>
      <c r="V869" s="187"/>
      <c r="W869" s="186"/>
      <c r="X869" s="187"/>
      <c r="Y869" s="187"/>
      <c r="Z869" s="187"/>
      <c r="AA869" s="186"/>
      <c r="AB869" s="186"/>
      <c r="AC869" s="67"/>
      <c r="AD869" s="67"/>
      <c r="AE869" s="67"/>
      <c r="AH869" s="186"/>
      <c r="AK869" s="186"/>
    </row>
    <row r="870">
      <c r="A870" s="185"/>
      <c r="B870" s="67"/>
      <c r="C870" s="67"/>
      <c r="D870" s="67"/>
      <c r="E870" s="186"/>
      <c r="F870" s="186"/>
      <c r="G870" s="186"/>
      <c r="H870" s="186"/>
      <c r="I870" s="186"/>
      <c r="J870" s="186"/>
      <c r="K870" s="186"/>
      <c r="L870" s="186"/>
      <c r="M870" s="186"/>
      <c r="N870" s="186"/>
      <c r="O870" s="186"/>
      <c r="P870" s="186"/>
      <c r="Q870" s="186"/>
      <c r="R870" s="186"/>
      <c r="S870" s="67"/>
      <c r="T870" s="67"/>
      <c r="U870" s="67"/>
      <c r="V870" s="187"/>
      <c r="W870" s="186"/>
      <c r="X870" s="187"/>
      <c r="Y870" s="187"/>
      <c r="Z870" s="187"/>
      <c r="AA870" s="186"/>
      <c r="AB870" s="186"/>
      <c r="AC870" s="67"/>
      <c r="AD870" s="67"/>
      <c r="AE870" s="67"/>
      <c r="AH870" s="186"/>
      <c r="AK870" s="186"/>
    </row>
    <row r="871">
      <c r="A871" s="185"/>
      <c r="B871" s="67"/>
      <c r="C871" s="67"/>
      <c r="D871" s="67"/>
      <c r="E871" s="186"/>
      <c r="F871" s="186"/>
      <c r="G871" s="186"/>
      <c r="H871" s="186"/>
      <c r="I871" s="186"/>
      <c r="J871" s="186"/>
      <c r="K871" s="186"/>
      <c r="L871" s="186"/>
      <c r="M871" s="186"/>
      <c r="N871" s="186"/>
      <c r="O871" s="186"/>
      <c r="P871" s="186"/>
      <c r="Q871" s="186"/>
      <c r="R871" s="186"/>
      <c r="S871" s="67"/>
      <c r="T871" s="67"/>
      <c r="U871" s="67"/>
      <c r="V871" s="187"/>
      <c r="W871" s="186"/>
      <c r="X871" s="187"/>
      <c r="Y871" s="187"/>
      <c r="Z871" s="187"/>
      <c r="AA871" s="186"/>
      <c r="AB871" s="186"/>
      <c r="AC871" s="67"/>
      <c r="AD871" s="67"/>
      <c r="AE871" s="67"/>
      <c r="AH871" s="186"/>
      <c r="AK871" s="186"/>
    </row>
    <row r="872">
      <c r="A872" s="185"/>
      <c r="B872" s="67"/>
      <c r="C872" s="67"/>
      <c r="D872" s="67"/>
      <c r="E872" s="186"/>
      <c r="F872" s="186"/>
      <c r="G872" s="186"/>
      <c r="H872" s="186"/>
      <c r="I872" s="186"/>
      <c r="J872" s="186"/>
      <c r="K872" s="186"/>
      <c r="L872" s="186"/>
      <c r="M872" s="186"/>
      <c r="N872" s="186"/>
      <c r="O872" s="186"/>
      <c r="P872" s="186"/>
      <c r="Q872" s="186"/>
      <c r="R872" s="186"/>
      <c r="S872" s="67"/>
      <c r="T872" s="67"/>
      <c r="U872" s="67"/>
      <c r="V872" s="187"/>
      <c r="W872" s="186"/>
      <c r="X872" s="187"/>
      <c r="Y872" s="187"/>
      <c r="Z872" s="187"/>
      <c r="AA872" s="186"/>
      <c r="AB872" s="186"/>
      <c r="AC872" s="67"/>
      <c r="AD872" s="67"/>
      <c r="AE872" s="67"/>
      <c r="AH872" s="186"/>
      <c r="AK872" s="186"/>
    </row>
    <row r="873">
      <c r="A873" s="185"/>
      <c r="B873" s="67"/>
      <c r="C873" s="67"/>
      <c r="D873" s="67"/>
      <c r="E873" s="186"/>
      <c r="F873" s="186"/>
      <c r="G873" s="186"/>
      <c r="H873" s="186"/>
      <c r="I873" s="186"/>
      <c r="J873" s="186"/>
      <c r="K873" s="186"/>
      <c r="L873" s="186"/>
      <c r="M873" s="186"/>
      <c r="N873" s="186"/>
      <c r="O873" s="186"/>
      <c r="P873" s="186"/>
      <c r="Q873" s="186"/>
      <c r="R873" s="186"/>
      <c r="S873" s="67"/>
      <c r="T873" s="67"/>
      <c r="U873" s="67"/>
      <c r="V873" s="187"/>
      <c r="W873" s="186"/>
      <c r="X873" s="187"/>
      <c r="Y873" s="187"/>
      <c r="Z873" s="187"/>
      <c r="AA873" s="186"/>
      <c r="AB873" s="186"/>
      <c r="AC873" s="67"/>
      <c r="AD873" s="67"/>
      <c r="AE873" s="67"/>
      <c r="AH873" s="186"/>
      <c r="AK873" s="186"/>
    </row>
    <row r="874">
      <c r="A874" s="185"/>
      <c r="B874" s="67"/>
      <c r="C874" s="67"/>
      <c r="D874" s="67"/>
      <c r="E874" s="186"/>
      <c r="F874" s="186"/>
      <c r="G874" s="186"/>
      <c r="H874" s="186"/>
      <c r="I874" s="186"/>
      <c r="J874" s="186"/>
      <c r="K874" s="186"/>
      <c r="L874" s="186"/>
      <c r="M874" s="186"/>
      <c r="N874" s="186"/>
      <c r="O874" s="186"/>
      <c r="P874" s="186"/>
      <c r="Q874" s="186"/>
      <c r="R874" s="186"/>
      <c r="S874" s="67"/>
      <c r="T874" s="67"/>
      <c r="U874" s="67"/>
      <c r="V874" s="187"/>
      <c r="W874" s="186"/>
      <c r="X874" s="187"/>
      <c r="Y874" s="187"/>
      <c r="Z874" s="187"/>
      <c r="AA874" s="186"/>
      <c r="AB874" s="186"/>
      <c r="AC874" s="67"/>
      <c r="AD874" s="67"/>
      <c r="AE874" s="67"/>
      <c r="AH874" s="186"/>
      <c r="AK874" s="186"/>
    </row>
    <row r="875">
      <c r="A875" s="185"/>
      <c r="B875" s="67"/>
      <c r="C875" s="67"/>
      <c r="D875" s="67"/>
      <c r="E875" s="186"/>
      <c r="F875" s="186"/>
      <c r="G875" s="186"/>
      <c r="H875" s="186"/>
      <c r="I875" s="186"/>
      <c r="J875" s="186"/>
      <c r="K875" s="186"/>
      <c r="L875" s="186"/>
      <c r="M875" s="186"/>
      <c r="N875" s="186"/>
      <c r="O875" s="186"/>
      <c r="P875" s="186"/>
      <c r="Q875" s="186"/>
      <c r="R875" s="186"/>
      <c r="S875" s="67"/>
      <c r="T875" s="67"/>
      <c r="U875" s="67"/>
      <c r="V875" s="187"/>
      <c r="W875" s="186"/>
      <c r="X875" s="187"/>
      <c r="Y875" s="187"/>
      <c r="Z875" s="187"/>
      <c r="AA875" s="186"/>
      <c r="AB875" s="186"/>
      <c r="AC875" s="67"/>
      <c r="AD875" s="67"/>
      <c r="AE875" s="67"/>
      <c r="AH875" s="186"/>
      <c r="AK875" s="186"/>
    </row>
    <row r="876">
      <c r="A876" s="185"/>
      <c r="B876" s="67"/>
      <c r="C876" s="67"/>
      <c r="D876" s="67"/>
      <c r="E876" s="186"/>
      <c r="F876" s="186"/>
      <c r="G876" s="186"/>
      <c r="H876" s="186"/>
      <c r="I876" s="186"/>
      <c r="J876" s="186"/>
      <c r="K876" s="186"/>
      <c r="L876" s="186"/>
      <c r="M876" s="186"/>
      <c r="N876" s="186"/>
      <c r="O876" s="186"/>
      <c r="P876" s="186"/>
      <c r="Q876" s="186"/>
      <c r="R876" s="186"/>
      <c r="S876" s="67"/>
      <c r="T876" s="67"/>
      <c r="U876" s="67"/>
      <c r="V876" s="187"/>
      <c r="W876" s="186"/>
      <c r="X876" s="187"/>
      <c r="Y876" s="187"/>
      <c r="Z876" s="187"/>
      <c r="AA876" s="186"/>
      <c r="AB876" s="186"/>
      <c r="AC876" s="67"/>
      <c r="AD876" s="67"/>
      <c r="AE876" s="67"/>
      <c r="AH876" s="186"/>
      <c r="AK876" s="186"/>
    </row>
    <row r="877">
      <c r="A877" s="185"/>
      <c r="B877" s="67"/>
      <c r="C877" s="67"/>
      <c r="D877" s="67"/>
      <c r="E877" s="186"/>
      <c r="F877" s="186"/>
      <c r="G877" s="186"/>
      <c r="H877" s="186"/>
      <c r="I877" s="186"/>
      <c r="J877" s="186"/>
      <c r="K877" s="186"/>
      <c r="L877" s="186"/>
      <c r="M877" s="186"/>
      <c r="N877" s="186"/>
      <c r="O877" s="186"/>
      <c r="P877" s="186"/>
      <c r="Q877" s="186"/>
      <c r="R877" s="186"/>
      <c r="S877" s="67"/>
      <c r="T877" s="67"/>
      <c r="U877" s="67"/>
      <c r="V877" s="187"/>
      <c r="W877" s="186"/>
      <c r="X877" s="187"/>
      <c r="Y877" s="187"/>
      <c r="Z877" s="187"/>
      <c r="AA877" s="186"/>
      <c r="AB877" s="186"/>
      <c r="AC877" s="67"/>
      <c r="AD877" s="67"/>
      <c r="AE877" s="67"/>
      <c r="AH877" s="186"/>
      <c r="AK877" s="186"/>
    </row>
    <row r="878">
      <c r="A878" s="185"/>
      <c r="B878" s="67"/>
      <c r="C878" s="67"/>
      <c r="D878" s="67"/>
      <c r="E878" s="186"/>
      <c r="F878" s="186"/>
      <c r="G878" s="186"/>
      <c r="H878" s="186"/>
      <c r="I878" s="186"/>
      <c r="J878" s="186"/>
      <c r="K878" s="186"/>
      <c r="L878" s="186"/>
      <c r="M878" s="186"/>
      <c r="N878" s="186"/>
      <c r="O878" s="186"/>
      <c r="P878" s="186"/>
      <c r="Q878" s="186"/>
      <c r="R878" s="186"/>
      <c r="S878" s="67"/>
      <c r="T878" s="67"/>
      <c r="U878" s="67"/>
      <c r="V878" s="187"/>
      <c r="W878" s="186"/>
      <c r="X878" s="187"/>
      <c r="Y878" s="187"/>
      <c r="Z878" s="187"/>
      <c r="AA878" s="186"/>
      <c r="AB878" s="186"/>
      <c r="AC878" s="67"/>
      <c r="AD878" s="67"/>
      <c r="AE878" s="67"/>
      <c r="AH878" s="186"/>
      <c r="AK878" s="186"/>
    </row>
    <row r="879">
      <c r="A879" s="185"/>
      <c r="B879" s="67"/>
      <c r="C879" s="67"/>
      <c r="D879" s="67"/>
      <c r="E879" s="186"/>
      <c r="F879" s="186"/>
      <c r="G879" s="186"/>
      <c r="H879" s="186"/>
      <c r="I879" s="186"/>
      <c r="J879" s="186"/>
      <c r="K879" s="186"/>
      <c r="L879" s="186"/>
      <c r="M879" s="186"/>
      <c r="N879" s="186"/>
      <c r="O879" s="186"/>
      <c r="P879" s="186"/>
      <c r="Q879" s="186"/>
      <c r="R879" s="186"/>
      <c r="S879" s="67"/>
      <c r="T879" s="67"/>
      <c r="U879" s="67"/>
      <c r="V879" s="187"/>
      <c r="W879" s="186"/>
      <c r="X879" s="187"/>
      <c r="Y879" s="187"/>
      <c r="Z879" s="187"/>
      <c r="AA879" s="186"/>
      <c r="AB879" s="186"/>
      <c r="AC879" s="67"/>
      <c r="AD879" s="67"/>
      <c r="AE879" s="67"/>
      <c r="AH879" s="186"/>
      <c r="AK879" s="186"/>
    </row>
    <row r="880">
      <c r="A880" s="185"/>
      <c r="B880" s="67"/>
      <c r="C880" s="67"/>
      <c r="D880" s="67"/>
      <c r="E880" s="186"/>
      <c r="F880" s="186"/>
      <c r="G880" s="186"/>
      <c r="H880" s="186"/>
      <c r="I880" s="186"/>
      <c r="J880" s="186"/>
      <c r="K880" s="186"/>
      <c r="L880" s="186"/>
      <c r="M880" s="186"/>
      <c r="N880" s="186"/>
      <c r="O880" s="186"/>
      <c r="P880" s="186"/>
      <c r="Q880" s="186"/>
      <c r="R880" s="186"/>
      <c r="S880" s="67"/>
      <c r="T880" s="67"/>
      <c r="U880" s="67"/>
      <c r="V880" s="187"/>
      <c r="W880" s="186"/>
      <c r="X880" s="187"/>
      <c r="Y880" s="187"/>
      <c r="Z880" s="187"/>
      <c r="AA880" s="186"/>
      <c r="AB880" s="186"/>
      <c r="AC880" s="67"/>
      <c r="AD880" s="67"/>
      <c r="AE880" s="67"/>
      <c r="AH880" s="186"/>
      <c r="AK880" s="186"/>
    </row>
    <row r="881">
      <c r="A881" s="185"/>
      <c r="B881" s="67"/>
      <c r="C881" s="67"/>
      <c r="D881" s="67"/>
      <c r="E881" s="186"/>
      <c r="F881" s="186"/>
      <c r="G881" s="186"/>
      <c r="H881" s="186"/>
      <c r="I881" s="186"/>
      <c r="J881" s="186"/>
      <c r="K881" s="186"/>
      <c r="L881" s="186"/>
      <c r="M881" s="186"/>
      <c r="N881" s="186"/>
      <c r="O881" s="186"/>
      <c r="P881" s="186"/>
      <c r="Q881" s="186"/>
      <c r="R881" s="186"/>
      <c r="S881" s="67"/>
      <c r="T881" s="67"/>
      <c r="U881" s="67"/>
      <c r="V881" s="187"/>
      <c r="W881" s="186"/>
      <c r="X881" s="187"/>
      <c r="Y881" s="187"/>
      <c r="Z881" s="187"/>
      <c r="AA881" s="186"/>
      <c r="AB881" s="186"/>
      <c r="AC881" s="67"/>
      <c r="AD881" s="67"/>
      <c r="AE881" s="67"/>
      <c r="AH881" s="186"/>
      <c r="AK881" s="186"/>
    </row>
    <row r="882">
      <c r="A882" s="185"/>
      <c r="B882" s="67"/>
      <c r="C882" s="67"/>
      <c r="D882" s="67"/>
      <c r="E882" s="186"/>
      <c r="F882" s="186"/>
      <c r="G882" s="186"/>
      <c r="H882" s="186"/>
      <c r="I882" s="186"/>
      <c r="J882" s="186"/>
      <c r="K882" s="186"/>
      <c r="L882" s="186"/>
      <c r="M882" s="186"/>
      <c r="N882" s="186"/>
      <c r="O882" s="186"/>
      <c r="P882" s="186"/>
      <c r="Q882" s="186"/>
      <c r="R882" s="186"/>
      <c r="S882" s="67"/>
      <c r="T882" s="67"/>
      <c r="U882" s="67"/>
      <c r="V882" s="187"/>
      <c r="W882" s="186"/>
      <c r="X882" s="187"/>
      <c r="Y882" s="187"/>
      <c r="Z882" s="187"/>
      <c r="AA882" s="186"/>
      <c r="AB882" s="186"/>
      <c r="AC882" s="67"/>
      <c r="AD882" s="67"/>
      <c r="AE882" s="67"/>
      <c r="AH882" s="186"/>
      <c r="AK882" s="186"/>
    </row>
    <row r="883">
      <c r="A883" s="185"/>
      <c r="B883" s="67"/>
      <c r="C883" s="67"/>
      <c r="D883" s="67"/>
      <c r="E883" s="186"/>
      <c r="F883" s="186"/>
      <c r="G883" s="186"/>
      <c r="H883" s="186"/>
      <c r="I883" s="186"/>
      <c r="J883" s="186"/>
      <c r="K883" s="186"/>
      <c r="L883" s="186"/>
      <c r="M883" s="186"/>
      <c r="N883" s="186"/>
      <c r="O883" s="186"/>
      <c r="P883" s="186"/>
      <c r="Q883" s="186"/>
      <c r="R883" s="186"/>
      <c r="S883" s="67"/>
      <c r="T883" s="67"/>
      <c r="U883" s="67"/>
      <c r="V883" s="187"/>
      <c r="W883" s="186"/>
      <c r="X883" s="187"/>
      <c r="Y883" s="187"/>
      <c r="Z883" s="187"/>
      <c r="AA883" s="186"/>
      <c r="AB883" s="186"/>
      <c r="AC883" s="67"/>
      <c r="AD883" s="67"/>
      <c r="AE883" s="67"/>
      <c r="AH883" s="186"/>
      <c r="AK883" s="186"/>
    </row>
    <row r="884">
      <c r="A884" s="185"/>
      <c r="B884" s="67"/>
      <c r="C884" s="67"/>
      <c r="D884" s="67"/>
      <c r="E884" s="186"/>
      <c r="F884" s="186"/>
      <c r="G884" s="186"/>
      <c r="H884" s="186"/>
      <c r="I884" s="186"/>
      <c r="J884" s="186"/>
      <c r="K884" s="186"/>
      <c r="L884" s="186"/>
      <c r="M884" s="186"/>
      <c r="N884" s="186"/>
      <c r="O884" s="186"/>
      <c r="P884" s="186"/>
      <c r="Q884" s="186"/>
      <c r="R884" s="186"/>
      <c r="S884" s="67"/>
      <c r="T884" s="67"/>
      <c r="U884" s="67"/>
      <c r="V884" s="187"/>
      <c r="W884" s="186"/>
      <c r="X884" s="187"/>
      <c r="Y884" s="187"/>
      <c r="Z884" s="187"/>
      <c r="AA884" s="186"/>
      <c r="AB884" s="186"/>
      <c r="AC884" s="67"/>
      <c r="AD884" s="67"/>
      <c r="AE884" s="67"/>
      <c r="AH884" s="186"/>
      <c r="AK884" s="186"/>
    </row>
    <row r="885">
      <c r="A885" s="185"/>
      <c r="B885" s="67"/>
      <c r="C885" s="67"/>
      <c r="D885" s="67"/>
      <c r="E885" s="186"/>
      <c r="F885" s="186"/>
      <c r="G885" s="186"/>
      <c r="H885" s="186"/>
      <c r="I885" s="186"/>
      <c r="J885" s="186"/>
      <c r="K885" s="186"/>
      <c r="L885" s="186"/>
      <c r="M885" s="186"/>
      <c r="N885" s="186"/>
      <c r="O885" s="186"/>
      <c r="P885" s="186"/>
      <c r="Q885" s="186"/>
      <c r="R885" s="186"/>
      <c r="S885" s="67"/>
      <c r="T885" s="67"/>
      <c r="U885" s="67"/>
      <c r="V885" s="187"/>
      <c r="W885" s="186"/>
      <c r="X885" s="187"/>
      <c r="Y885" s="187"/>
      <c r="Z885" s="187"/>
      <c r="AA885" s="186"/>
      <c r="AB885" s="186"/>
      <c r="AC885" s="67"/>
      <c r="AD885" s="67"/>
      <c r="AE885" s="67"/>
      <c r="AH885" s="186"/>
      <c r="AK885" s="186"/>
    </row>
    <row r="886">
      <c r="A886" s="185"/>
      <c r="B886" s="67"/>
      <c r="C886" s="67"/>
      <c r="D886" s="67"/>
      <c r="E886" s="186"/>
      <c r="F886" s="186"/>
      <c r="G886" s="186"/>
      <c r="H886" s="186"/>
      <c r="I886" s="186"/>
      <c r="J886" s="186"/>
      <c r="K886" s="186"/>
      <c r="L886" s="186"/>
      <c r="M886" s="186"/>
      <c r="N886" s="186"/>
      <c r="O886" s="186"/>
      <c r="P886" s="186"/>
      <c r="Q886" s="186"/>
      <c r="R886" s="186"/>
      <c r="S886" s="67"/>
      <c r="T886" s="67"/>
      <c r="U886" s="67"/>
      <c r="V886" s="187"/>
      <c r="W886" s="186"/>
      <c r="X886" s="187"/>
      <c r="Y886" s="187"/>
      <c r="Z886" s="187"/>
      <c r="AA886" s="186"/>
      <c r="AB886" s="186"/>
      <c r="AC886" s="67"/>
      <c r="AD886" s="67"/>
      <c r="AE886" s="67"/>
      <c r="AH886" s="186"/>
      <c r="AK886" s="186"/>
    </row>
    <row r="887">
      <c r="A887" s="185"/>
      <c r="B887" s="67"/>
      <c r="C887" s="67"/>
      <c r="D887" s="67"/>
      <c r="E887" s="186"/>
      <c r="F887" s="186"/>
      <c r="G887" s="186"/>
      <c r="H887" s="186"/>
      <c r="I887" s="186"/>
      <c r="J887" s="186"/>
      <c r="K887" s="186"/>
      <c r="L887" s="186"/>
      <c r="M887" s="186"/>
      <c r="N887" s="186"/>
      <c r="O887" s="186"/>
      <c r="P887" s="186"/>
      <c r="Q887" s="186"/>
      <c r="R887" s="186"/>
      <c r="S887" s="67"/>
      <c r="T887" s="67"/>
      <c r="U887" s="67"/>
      <c r="V887" s="187"/>
      <c r="W887" s="186"/>
      <c r="X887" s="187"/>
      <c r="Y887" s="187"/>
      <c r="Z887" s="187"/>
      <c r="AA887" s="186"/>
      <c r="AB887" s="186"/>
      <c r="AC887" s="67"/>
      <c r="AD887" s="67"/>
      <c r="AE887" s="67"/>
      <c r="AH887" s="186"/>
      <c r="AK887" s="186"/>
    </row>
    <row r="888">
      <c r="A888" s="185"/>
      <c r="B888" s="67"/>
      <c r="C888" s="67"/>
      <c r="D888" s="67"/>
      <c r="E888" s="186"/>
      <c r="F888" s="186"/>
      <c r="G888" s="186"/>
      <c r="H888" s="186"/>
      <c r="I888" s="186"/>
      <c r="J888" s="186"/>
      <c r="K888" s="186"/>
      <c r="L888" s="186"/>
      <c r="M888" s="186"/>
      <c r="N888" s="186"/>
      <c r="O888" s="186"/>
      <c r="P888" s="186"/>
      <c r="Q888" s="186"/>
      <c r="R888" s="186"/>
      <c r="S888" s="67"/>
      <c r="T888" s="67"/>
      <c r="U888" s="67"/>
      <c r="V888" s="187"/>
      <c r="W888" s="186"/>
      <c r="X888" s="187"/>
      <c r="Y888" s="187"/>
      <c r="Z888" s="187"/>
      <c r="AA888" s="186"/>
      <c r="AB888" s="186"/>
      <c r="AC888" s="67"/>
      <c r="AD888" s="67"/>
      <c r="AE888" s="67"/>
      <c r="AH888" s="186"/>
      <c r="AK888" s="186"/>
    </row>
    <row r="889">
      <c r="A889" s="185"/>
      <c r="B889" s="67"/>
      <c r="C889" s="67"/>
      <c r="D889" s="67"/>
      <c r="E889" s="186"/>
      <c r="F889" s="186"/>
      <c r="G889" s="186"/>
      <c r="H889" s="186"/>
      <c r="I889" s="186"/>
      <c r="J889" s="186"/>
      <c r="K889" s="186"/>
      <c r="L889" s="186"/>
      <c r="M889" s="186"/>
      <c r="N889" s="186"/>
      <c r="O889" s="186"/>
      <c r="P889" s="186"/>
      <c r="Q889" s="186"/>
      <c r="R889" s="186"/>
      <c r="S889" s="67"/>
      <c r="T889" s="67"/>
      <c r="U889" s="67"/>
      <c r="V889" s="187"/>
      <c r="W889" s="186"/>
      <c r="X889" s="187"/>
      <c r="Y889" s="187"/>
      <c r="Z889" s="187"/>
      <c r="AA889" s="186"/>
      <c r="AB889" s="186"/>
      <c r="AC889" s="67"/>
      <c r="AD889" s="67"/>
      <c r="AE889" s="67"/>
      <c r="AH889" s="186"/>
      <c r="AK889" s="186"/>
    </row>
    <row r="890">
      <c r="A890" s="185"/>
      <c r="B890" s="67"/>
      <c r="C890" s="67"/>
      <c r="D890" s="67"/>
      <c r="E890" s="186"/>
      <c r="F890" s="186"/>
      <c r="G890" s="186"/>
      <c r="H890" s="186"/>
      <c r="I890" s="186"/>
      <c r="J890" s="186"/>
      <c r="K890" s="186"/>
      <c r="L890" s="186"/>
      <c r="M890" s="186"/>
      <c r="N890" s="186"/>
      <c r="O890" s="186"/>
      <c r="P890" s="186"/>
      <c r="Q890" s="186"/>
      <c r="R890" s="186"/>
      <c r="S890" s="67"/>
      <c r="T890" s="67"/>
      <c r="U890" s="67"/>
      <c r="V890" s="187"/>
      <c r="W890" s="186"/>
      <c r="X890" s="187"/>
      <c r="Y890" s="187"/>
      <c r="Z890" s="187"/>
      <c r="AA890" s="186"/>
      <c r="AB890" s="186"/>
      <c r="AC890" s="67"/>
      <c r="AD890" s="67"/>
      <c r="AE890" s="67"/>
      <c r="AH890" s="186"/>
      <c r="AK890" s="186"/>
    </row>
    <row r="891">
      <c r="A891" s="185"/>
      <c r="B891" s="67"/>
      <c r="C891" s="67"/>
      <c r="D891" s="67"/>
      <c r="E891" s="186"/>
      <c r="F891" s="186"/>
      <c r="G891" s="186"/>
      <c r="H891" s="186"/>
      <c r="I891" s="186"/>
      <c r="J891" s="186"/>
      <c r="K891" s="186"/>
      <c r="L891" s="186"/>
      <c r="M891" s="186"/>
      <c r="N891" s="186"/>
      <c r="O891" s="186"/>
      <c r="P891" s="186"/>
      <c r="Q891" s="186"/>
      <c r="R891" s="186"/>
      <c r="S891" s="67"/>
      <c r="T891" s="67"/>
      <c r="U891" s="67"/>
      <c r="V891" s="187"/>
      <c r="W891" s="186"/>
      <c r="X891" s="187"/>
      <c r="Y891" s="187"/>
      <c r="Z891" s="187"/>
      <c r="AA891" s="186"/>
      <c r="AB891" s="186"/>
      <c r="AC891" s="67"/>
      <c r="AD891" s="67"/>
      <c r="AE891" s="67"/>
      <c r="AH891" s="186"/>
      <c r="AK891" s="186"/>
    </row>
    <row r="892">
      <c r="A892" s="185"/>
      <c r="B892" s="67"/>
      <c r="C892" s="67"/>
      <c r="D892" s="67"/>
      <c r="E892" s="186"/>
      <c r="F892" s="186"/>
      <c r="G892" s="186"/>
      <c r="H892" s="186"/>
      <c r="I892" s="186"/>
      <c r="J892" s="186"/>
      <c r="K892" s="186"/>
      <c r="L892" s="186"/>
      <c r="M892" s="186"/>
      <c r="N892" s="186"/>
      <c r="O892" s="186"/>
      <c r="P892" s="186"/>
      <c r="Q892" s="186"/>
      <c r="R892" s="186"/>
      <c r="S892" s="67"/>
      <c r="T892" s="67"/>
      <c r="U892" s="67"/>
      <c r="V892" s="187"/>
      <c r="W892" s="186"/>
      <c r="X892" s="187"/>
      <c r="Y892" s="187"/>
      <c r="Z892" s="187"/>
      <c r="AA892" s="186"/>
      <c r="AB892" s="186"/>
      <c r="AC892" s="67"/>
      <c r="AD892" s="67"/>
      <c r="AE892" s="67"/>
      <c r="AH892" s="186"/>
      <c r="AK892" s="186"/>
    </row>
    <row r="893">
      <c r="A893" s="185"/>
      <c r="B893" s="67"/>
      <c r="C893" s="67"/>
      <c r="D893" s="67"/>
      <c r="E893" s="186"/>
      <c r="F893" s="186"/>
      <c r="G893" s="186"/>
      <c r="H893" s="186"/>
      <c r="I893" s="186"/>
      <c r="J893" s="186"/>
      <c r="K893" s="186"/>
      <c r="L893" s="186"/>
      <c r="M893" s="186"/>
      <c r="N893" s="186"/>
      <c r="O893" s="186"/>
      <c r="P893" s="186"/>
      <c r="Q893" s="186"/>
      <c r="R893" s="186"/>
      <c r="S893" s="67"/>
      <c r="T893" s="67"/>
      <c r="U893" s="67"/>
      <c r="V893" s="187"/>
      <c r="W893" s="186"/>
      <c r="X893" s="187"/>
      <c r="Y893" s="187"/>
      <c r="Z893" s="187"/>
      <c r="AA893" s="186"/>
      <c r="AB893" s="186"/>
      <c r="AC893" s="67"/>
      <c r="AD893" s="67"/>
      <c r="AE893" s="67"/>
      <c r="AH893" s="186"/>
      <c r="AK893" s="186"/>
    </row>
    <row r="894">
      <c r="A894" s="185"/>
      <c r="B894" s="67"/>
      <c r="C894" s="67"/>
      <c r="D894" s="67"/>
      <c r="E894" s="186"/>
      <c r="F894" s="186"/>
      <c r="G894" s="186"/>
      <c r="H894" s="186"/>
      <c r="I894" s="186"/>
      <c r="J894" s="186"/>
      <c r="K894" s="186"/>
      <c r="L894" s="186"/>
      <c r="M894" s="186"/>
      <c r="N894" s="186"/>
      <c r="O894" s="186"/>
      <c r="P894" s="186"/>
      <c r="Q894" s="186"/>
      <c r="R894" s="186"/>
      <c r="S894" s="67"/>
      <c r="T894" s="67"/>
      <c r="U894" s="67"/>
      <c r="V894" s="187"/>
      <c r="W894" s="186"/>
      <c r="X894" s="187"/>
      <c r="Y894" s="187"/>
      <c r="Z894" s="187"/>
      <c r="AA894" s="186"/>
      <c r="AB894" s="186"/>
      <c r="AC894" s="67"/>
      <c r="AD894" s="67"/>
      <c r="AE894" s="67"/>
      <c r="AH894" s="186"/>
      <c r="AK894" s="186"/>
    </row>
    <row r="895">
      <c r="A895" s="185"/>
      <c r="B895" s="67"/>
      <c r="C895" s="67"/>
      <c r="D895" s="67"/>
      <c r="E895" s="186"/>
      <c r="F895" s="186"/>
      <c r="G895" s="186"/>
      <c r="H895" s="186"/>
      <c r="I895" s="186"/>
      <c r="J895" s="186"/>
      <c r="K895" s="186"/>
      <c r="L895" s="186"/>
      <c r="M895" s="186"/>
      <c r="N895" s="186"/>
      <c r="O895" s="186"/>
      <c r="P895" s="186"/>
      <c r="Q895" s="186"/>
      <c r="R895" s="186"/>
      <c r="S895" s="67"/>
      <c r="T895" s="67"/>
      <c r="U895" s="67"/>
      <c r="V895" s="187"/>
      <c r="W895" s="186"/>
      <c r="X895" s="187"/>
      <c r="Y895" s="187"/>
      <c r="Z895" s="187"/>
      <c r="AA895" s="186"/>
      <c r="AB895" s="186"/>
      <c r="AC895" s="67"/>
      <c r="AD895" s="67"/>
      <c r="AE895" s="67"/>
      <c r="AH895" s="186"/>
      <c r="AK895" s="186"/>
    </row>
    <row r="896">
      <c r="A896" s="185"/>
      <c r="B896" s="67"/>
      <c r="C896" s="67"/>
      <c r="D896" s="67"/>
      <c r="E896" s="186"/>
      <c r="F896" s="186"/>
      <c r="G896" s="186"/>
      <c r="H896" s="186"/>
      <c r="I896" s="186"/>
      <c r="J896" s="186"/>
      <c r="K896" s="186"/>
      <c r="L896" s="186"/>
      <c r="M896" s="186"/>
      <c r="N896" s="186"/>
      <c r="O896" s="186"/>
      <c r="P896" s="186"/>
      <c r="Q896" s="186"/>
      <c r="R896" s="186"/>
      <c r="S896" s="67"/>
      <c r="T896" s="67"/>
      <c r="U896" s="67"/>
      <c r="V896" s="187"/>
      <c r="W896" s="186"/>
      <c r="X896" s="187"/>
      <c r="Y896" s="187"/>
      <c r="Z896" s="187"/>
      <c r="AA896" s="186"/>
      <c r="AB896" s="186"/>
      <c r="AC896" s="67"/>
      <c r="AD896" s="67"/>
      <c r="AE896" s="67"/>
      <c r="AH896" s="186"/>
      <c r="AK896" s="186"/>
    </row>
    <row r="897">
      <c r="A897" s="185"/>
      <c r="B897" s="67"/>
      <c r="C897" s="67"/>
      <c r="D897" s="67"/>
      <c r="E897" s="186"/>
      <c r="F897" s="186"/>
      <c r="G897" s="186"/>
      <c r="H897" s="186"/>
      <c r="I897" s="186"/>
      <c r="J897" s="186"/>
      <c r="K897" s="186"/>
      <c r="L897" s="186"/>
      <c r="M897" s="186"/>
      <c r="N897" s="186"/>
      <c r="O897" s="186"/>
      <c r="P897" s="186"/>
      <c r="Q897" s="186"/>
      <c r="R897" s="186"/>
      <c r="S897" s="67"/>
      <c r="T897" s="67"/>
      <c r="U897" s="67"/>
      <c r="V897" s="187"/>
      <c r="W897" s="186"/>
      <c r="X897" s="187"/>
      <c r="Y897" s="187"/>
      <c r="Z897" s="187"/>
      <c r="AA897" s="186"/>
      <c r="AB897" s="186"/>
      <c r="AC897" s="67"/>
      <c r="AD897" s="67"/>
      <c r="AE897" s="67"/>
      <c r="AH897" s="186"/>
      <c r="AK897" s="186"/>
    </row>
    <row r="898">
      <c r="A898" s="185"/>
      <c r="B898" s="67"/>
      <c r="C898" s="67"/>
      <c r="D898" s="67"/>
      <c r="E898" s="186"/>
      <c r="F898" s="186"/>
      <c r="G898" s="186"/>
      <c r="H898" s="186"/>
      <c r="I898" s="186"/>
      <c r="J898" s="186"/>
      <c r="K898" s="186"/>
      <c r="L898" s="186"/>
      <c r="M898" s="186"/>
      <c r="N898" s="186"/>
      <c r="O898" s="186"/>
      <c r="P898" s="186"/>
      <c r="Q898" s="186"/>
      <c r="R898" s="186"/>
      <c r="S898" s="67"/>
      <c r="T898" s="67"/>
      <c r="U898" s="67"/>
      <c r="V898" s="187"/>
      <c r="W898" s="186"/>
      <c r="X898" s="187"/>
      <c r="Y898" s="187"/>
      <c r="Z898" s="187"/>
      <c r="AA898" s="186"/>
      <c r="AB898" s="186"/>
      <c r="AC898" s="67"/>
      <c r="AD898" s="67"/>
      <c r="AE898" s="67"/>
      <c r="AH898" s="186"/>
      <c r="AK898" s="186"/>
    </row>
    <row r="899">
      <c r="A899" s="185"/>
      <c r="B899" s="67"/>
      <c r="C899" s="67"/>
      <c r="D899" s="67"/>
      <c r="E899" s="186"/>
      <c r="F899" s="186"/>
      <c r="G899" s="186"/>
      <c r="H899" s="186"/>
      <c r="I899" s="186"/>
      <c r="J899" s="186"/>
      <c r="K899" s="186"/>
      <c r="L899" s="186"/>
      <c r="M899" s="186"/>
      <c r="N899" s="186"/>
      <c r="O899" s="186"/>
      <c r="P899" s="186"/>
      <c r="Q899" s="186"/>
      <c r="R899" s="186"/>
      <c r="S899" s="67"/>
      <c r="T899" s="67"/>
      <c r="U899" s="67"/>
      <c r="V899" s="187"/>
      <c r="W899" s="186"/>
      <c r="X899" s="187"/>
      <c r="Y899" s="187"/>
      <c r="Z899" s="187"/>
      <c r="AA899" s="186"/>
      <c r="AB899" s="186"/>
      <c r="AC899" s="67"/>
      <c r="AD899" s="67"/>
      <c r="AE899" s="67"/>
      <c r="AH899" s="186"/>
      <c r="AK899" s="186"/>
    </row>
    <row r="900">
      <c r="A900" s="185"/>
      <c r="B900" s="67"/>
      <c r="C900" s="67"/>
      <c r="D900" s="67"/>
      <c r="E900" s="186"/>
      <c r="F900" s="186"/>
      <c r="G900" s="186"/>
      <c r="H900" s="186"/>
      <c r="I900" s="186"/>
      <c r="J900" s="186"/>
      <c r="K900" s="186"/>
      <c r="L900" s="186"/>
      <c r="M900" s="186"/>
      <c r="N900" s="186"/>
      <c r="O900" s="186"/>
      <c r="P900" s="186"/>
      <c r="Q900" s="186"/>
      <c r="R900" s="186"/>
      <c r="S900" s="67"/>
      <c r="T900" s="67"/>
      <c r="U900" s="67"/>
      <c r="V900" s="187"/>
      <c r="W900" s="186"/>
      <c r="X900" s="187"/>
      <c r="Y900" s="187"/>
      <c r="Z900" s="187"/>
      <c r="AA900" s="186"/>
      <c r="AB900" s="186"/>
      <c r="AC900" s="67"/>
      <c r="AD900" s="67"/>
      <c r="AE900" s="67"/>
      <c r="AH900" s="186"/>
      <c r="AK900" s="186"/>
    </row>
    <row r="901">
      <c r="A901" s="185"/>
      <c r="B901" s="67"/>
      <c r="C901" s="67"/>
      <c r="D901" s="67"/>
      <c r="E901" s="186"/>
      <c r="F901" s="186"/>
      <c r="G901" s="186"/>
      <c r="H901" s="186"/>
      <c r="I901" s="186"/>
      <c r="J901" s="186"/>
      <c r="K901" s="186"/>
      <c r="L901" s="186"/>
      <c r="M901" s="186"/>
      <c r="N901" s="186"/>
      <c r="O901" s="186"/>
      <c r="P901" s="186"/>
      <c r="Q901" s="186"/>
      <c r="R901" s="186"/>
      <c r="S901" s="67"/>
      <c r="T901" s="67"/>
      <c r="U901" s="67"/>
      <c r="V901" s="187"/>
      <c r="W901" s="186"/>
      <c r="X901" s="187"/>
      <c r="Y901" s="187"/>
      <c r="Z901" s="187"/>
      <c r="AA901" s="186"/>
      <c r="AB901" s="186"/>
      <c r="AC901" s="67"/>
      <c r="AD901" s="67"/>
      <c r="AE901" s="67"/>
      <c r="AH901" s="186"/>
      <c r="AK901" s="186"/>
    </row>
    <row r="902">
      <c r="A902" s="185"/>
      <c r="B902" s="67"/>
      <c r="C902" s="67"/>
      <c r="D902" s="67"/>
      <c r="E902" s="186"/>
      <c r="F902" s="186"/>
      <c r="G902" s="186"/>
      <c r="H902" s="186"/>
      <c r="I902" s="186"/>
      <c r="J902" s="186"/>
      <c r="K902" s="186"/>
      <c r="L902" s="186"/>
      <c r="M902" s="186"/>
      <c r="N902" s="186"/>
      <c r="O902" s="186"/>
      <c r="P902" s="186"/>
      <c r="Q902" s="186"/>
      <c r="R902" s="186"/>
      <c r="S902" s="67"/>
      <c r="T902" s="67"/>
      <c r="U902" s="67"/>
      <c r="V902" s="187"/>
      <c r="W902" s="186"/>
      <c r="X902" s="187"/>
      <c r="Y902" s="187"/>
      <c r="Z902" s="187"/>
      <c r="AA902" s="186"/>
      <c r="AB902" s="186"/>
      <c r="AC902" s="67"/>
      <c r="AD902" s="67"/>
      <c r="AE902" s="67"/>
      <c r="AH902" s="186"/>
      <c r="AK902" s="186"/>
    </row>
    <row r="903">
      <c r="A903" s="185"/>
      <c r="B903" s="67"/>
      <c r="C903" s="67"/>
      <c r="D903" s="67"/>
      <c r="E903" s="186"/>
      <c r="F903" s="186"/>
      <c r="G903" s="186"/>
      <c r="H903" s="186"/>
      <c r="I903" s="186"/>
      <c r="J903" s="186"/>
      <c r="K903" s="186"/>
      <c r="L903" s="186"/>
      <c r="M903" s="186"/>
      <c r="N903" s="186"/>
      <c r="O903" s="186"/>
      <c r="P903" s="186"/>
      <c r="Q903" s="186"/>
      <c r="R903" s="186"/>
      <c r="S903" s="67"/>
      <c r="T903" s="67"/>
      <c r="U903" s="67"/>
      <c r="V903" s="187"/>
      <c r="W903" s="186"/>
      <c r="X903" s="187"/>
      <c r="Y903" s="187"/>
      <c r="Z903" s="187"/>
      <c r="AA903" s="186"/>
      <c r="AB903" s="186"/>
      <c r="AC903" s="67"/>
      <c r="AD903" s="67"/>
      <c r="AE903" s="67"/>
      <c r="AH903" s="186"/>
      <c r="AK903" s="186"/>
    </row>
    <row r="904">
      <c r="A904" s="185"/>
      <c r="B904" s="67"/>
      <c r="C904" s="67"/>
      <c r="D904" s="67"/>
      <c r="E904" s="186"/>
      <c r="F904" s="186"/>
      <c r="G904" s="186"/>
      <c r="H904" s="186"/>
      <c r="I904" s="186"/>
      <c r="J904" s="186"/>
      <c r="K904" s="186"/>
      <c r="L904" s="186"/>
      <c r="M904" s="186"/>
      <c r="N904" s="186"/>
      <c r="O904" s="186"/>
      <c r="P904" s="186"/>
      <c r="Q904" s="186"/>
      <c r="R904" s="186"/>
      <c r="S904" s="67"/>
      <c r="T904" s="67"/>
      <c r="U904" s="67"/>
      <c r="V904" s="187"/>
      <c r="W904" s="186"/>
      <c r="X904" s="187"/>
      <c r="Y904" s="187"/>
      <c r="Z904" s="187"/>
      <c r="AA904" s="186"/>
      <c r="AB904" s="186"/>
      <c r="AC904" s="67"/>
      <c r="AD904" s="67"/>
      <c r="AE904" s="67"/>
      <c r="AH904" s="186"/>
      <c r="AK904" s="186"/>
    </row>
    <row r="905">
      <c r="A905" s="185"/>
      <c r="B905" s="67"/>
      <c r="C905" s="67"/>
      <c r="D905" s="67"/>
      <c r="E905" s="186"/>
      <c r="F905" s="186"/>
      <c r="G905" s="186"/>
      <c r="H905" s="186"/>
      <c r="I905" s="186"/>
      <c r="J905" s="186"/>
      <c r="K905" s="186"/>
      <c r="L905" s="186"/>
      <c r="M905" s="186"/>
      <c r="N905" s="186"/>
      <c r="O905" s="186"/>
      <c r="P905" s="186"/>
      <c r="Q905" s="186"/>
      <c r="R905" s="186"/>
      <c r="S905" s="67"/>
      <c r="T905" s="67"/>
      <c r="U905" s="67"/>
      <c r="V905" s="187"/>
      <c r="W905" s="186"/>
      <c r="X905" s="187"/>
      <c r="Y905" s="187"/>
      <c r="Z905" s="187"/>
      <c r="AA905" s="186"/>
      <c r="AB905" s="186"/>
      <c r="AC905" s="67"/>
      <c r="AD905" s="67"/>
      <c r="AE905" s="67"/>
      <c r="AH905" s="186"/>
      <c r="AK905" s="186"/>
    </row>
    <row r="906">
      <c r="A906" s="185"/>
      <c r="B906" s="67"/>
      <c r="C906" s="67"/>
      <c r="D906" s="67"/>
      <c r="E906" s="186"/>
      <c r="F906" s="186"/>
      <c r="G906" s="186"/>
      <c r="H906" s="186"/>
      <c r="I906" s="186"/>
      <c r="J906" s="186"/>
      <c r="K906" s="186"/>
      <c r="L906" s="186"/>
      <c r="M906" s="186"/>
      <c r="N906" s="186"/>
      <c r="O906" s="186"/>
      <c r="P906" s="186"/>
      <c r="Q906" s="186"/>
      <c r="R906" s="186"/>
      <c r="S906" s="67"/>
      <c r="T906" s="67"/>
      <c r="U906" s="67"/>
      <c r="V906" s="187"/>
      <c r="W906" s="186"/>
      <c r="X906" s="187"/>
      <c r="Y906" s="187"/>
      <c r="Z906" s="187"/>
      <c r="AA906" s="186"/>
      <c r="AB906" s="186"/>
      <c r="AC906" s="67"/>
      <c r="AD906" s="67"/>
      <c r="AE906" s="67"/>
      <c r="AH906" s="186"/>
      <c r="AK906" s="186"/>
    </row>
    <row r="907">
      <c r="A907" s="185"/>
      <c r="B907" s="67"/>
      <c r="C907" s="67"/>
      <c r="D907" s="67"/>
      <c r="E907" s="186"/>
      <c r="F907" s="186"/>
      <c r="G907" s="186"/>
      <c r="H907" s="186"/>
      <c r="I907" s="186"/>
      <c r="J907" s="186"/>
      <c r="K907" s="186"/>
      <c r="L907" s="186"/>
      <c r="M907" s="186"/>
      <c r="N907" s="186"/>
      <c r="O907" s="186"/>
      <c r="P907" s="186"/>
      <c r="Q907" s="186"/>
      <c r="R907" s="186"/>
      <c r="S907" s="67"/>
      <c r="T907" s="67"/>
      <c r="U907" s="67"/>
      <c r="V907" s="187"/>
      <c r="W907" s="186"/>
      <c r="X907" s="187"/>
      <c r="Y907" s="187"/>
      <c r="Z907" s="187"/>
      <c r="AA907" s="186"/>
      <c r="AB907" s="186"/>
      <c r="AC907" s="67"/>
      <c r="AD907" s="67"/>
      <c r="AE907" s="67"/>
      <c r="AH907" s="186"/>
      <c r="AK907" s="186"/>
    </row>
    <row r="908">
      <c r="A908" s="185"/>
      <c r="B908" s="67"/>
      <c r="C908" s="67"/>
      <c r="D908" s="67"/>
      <c r="E908" s="186"/>
      <c r="F908" s="186"/>
      <c r="G908" s="186"/>
      <c r="H908" s="186"/>
      <c r="I908" s="186"/>
      <c r="J908" s="186"/>
      <c r="K908" s="186"/>
      <c r="L908" s="186"/>
      <c r="M908" s="186"/>
      <c r="N908" s="186"/>
      <c r="O908" s="186"/>
      <c r="P908" s="186"/>
      <c r="Q908" s="186"/>
      <c r="R908" s="186"/>
      <c r="S908" s="67"/>
      <c r="T908" s="67"/>
      <c r="U908" s="67"/>
      <c r="V908" s="187"/>
      <c r="W908" s="186"/>
      <c r="X908" s="187"/>
      <c r="Y908" s="187"/>
      <c r="Z908" s="187"/>
      <c r="AA908" s="186"/>
      <c r="AB908" s="186"/>
      <c r="AC908" s="67"/>
      <c r="AD908" s="67"/>
      <c r="AE908" s="67"/>
      <c r="AH908" s="186"/>
      <c r="AK908" s="186"/>
    </row>
    <row r="909">
      <c r="A909" s="185"/>
      <c r="B909" s="67"/>
      <c r="C909" s="67"/>
      <c r="D909" s="67"/>
      <c r="E909" s="186"/>
      <c r="F909" s="186"/>
      <c r="G909" s="186"/>
      <c r="H909" s="186"/>
      <c r="I909" s="186"/>
      <c r="J909" s="186"/>
      <c r="K909" s="186"/>
      <c r="L909" s="186"/>
      <c r="M909" s="186"/>
      <c r="N909" s="186"/>
      <c r="O909" s="186"/>
      <c r="P909" s="186"/>
      <c r="Q909" s="186"/>
      <c r="R909" s="186"/>
      <c r="S909" s="67"/>
      <c r="T909" s="67"/>
      <c r="U909" s="67"/>
      <c r="V909" s="187"/>
      <c r="W909" s="186"/>
      <c r="X909" s="187"/>
      <c r="Y909" s="187"/>
      <c r="Z909" s="187"/>
      <c r="AA909" s="186"/>
      <c r="AB909" s="186"/>
      <c r="AC909" s="67"/>
      <c r="AD909" s="67"/>
      <c r="AE909" s="67"/>
      <c r="AH909" s="186"/>
      <c r="AK909" s="186"/>
    </row>
    <row r="910">
      <c r="A910" s="185"/>
      <c r="B910" s="67"/>
      <c r="C910" s="67"/>
      <c r="D910" s="67"/>
      <c r="E910" s="186"/>
      <c r="F910" s="186"/>
      <c r="G910" s="186"/>
      <c r="H910" s="186"/>
      <c r="I910" s="186"/>
      <c r="J910" s="186"/>
      <c r="K910" s="186"/>
      <c r="L910" s="186"/>
      <c r="M910" s="186"/>
      <c r="N910" s="186"/>
      <c r="O910" s="186"/>
      <c r="P910" s="186"/>
      <c r="Q910" s="186"/>
      <c r="R910" s="186"/>
      <c r="S910" s="67"/>
      <c r="T910" s="67"/>
      <c r="U910" s="67"/>
      <c r="V910" s="187"/>
      <c r="W910" s="186"/>
      <c r="X910" s="187"/>
      <c r="Y910" s="187"/>
      <c r="Z910" s="187"/>
      <c r="AA910" s="186"/>
      <c r="AB910" s="186"/>
      <c r="AC910" s="67"/>
      <c r="AD910" s="67"/>
      <c r="AE910" s="67"/>
      <c r="AH910" s="186"/>
      <c r="AK910" s="186"/>
    </row>
    <row r="911">
      <c r="A911" s="185"/>
      <c r="B911" s="67"/>
      <c r="C911" s="67"/>
      <c r="D911" s="67"/>
      <c r="E911" s="186"/>
      <c r="F911" s="186"/>
      <c r="G911" s="186"/>
      <c r="H911" s="186"/>
      <c r="I911" s="186"/>
      <c r="J911" s="186"/>
      <c r="K911" s="186"/>
      <c r="L911" s="186"/>
      <c r="M911" s="186"/>
      <c r="N911" s="186"/>
      <c r="O911" s="186"/>
      <c r="P911" s="186"/>
      <c r="Q911" s="186"/>
      <c r="R911" s="186"/>
      <c r="S911" s="67"/>
      <c r="T911" s="67"/>
      <c r="U911" s="67"/>
      <c r="V911" s="187"/>
      <c r="W911" s="186"/>
      <c r="X911" s="187"/>
      <c r="Y911" s="187"/>
      <c r="Z911" s="187"/>
      <c r="AA911" s="186"/>
      <c r="AB911" s="186"/>
      <c r="AC911" s="67"/>
      <c r="AD911" s="67"/>
      <c r="AE911" s="67"/>
      <c r="AH911" s="186"/>
      <c r="AK911" s="186"/>
    </row>
    <row r="912">
      <c r="A912" s="185"/>
      <c r="B912" s="67"/>
      <c r="C912" s="67"/>
      <c r="D912" s="67"/>
      <c r="E912" s="186"/>
      <c r="F912" s="186"/>
      <c r="G912" s="186"/>
      <c r="H912" s="186"/>
      <c r="I912" s="186"/>
      <c r="J912" s="186"/>
      <c r="K912" s="186"/>
      <c r="L912" s="186"/>
      <c r="M912" s="186"/>
      <c r="N912" s="186"/>
      <c r="O912" s="186"/>
      <c r="P912" s="186"/>
      <c r="Q912" s="186"/>
      <c r="R912" s="186"/>
      <c r="S912" s="67"/>
      <c r="T912" s="67"/>
      <c r="U912" s="67"/>
      <c r="V912" s="187"/>
      <c r="W912" s="186"/>
      <c r="X912" s="187"/>
      <c r="Y912" s="187"/>
      <c r="Z912" s="187"/>
      <c r="AA912" s="186"/>
      <c r="AB912" s="186"/>
      <c r="AC912" s="67"/>
      <c r="AD912" s="67"/>
      <c r="AE912" s="67"/>
      <c r="AH912" s="186"/>
      <c r="AK912" s="186"/>
    </row>
    <row r="913">
      <c r="A913" s="185"/>
      <c r="B913" s="67"/>
      <c r="C913" s="67"/>
      <c r="D913" s="67"/>
      <c r="E913" s="186"/>
      <c r="F913" s="186"/>
      <c r="G913" s="186"/>
      <c r="H913" s="186"/>
      <c r="I913" s="186"/>
      <c r="J913" s="186"/>
      <c r="K913" s="186"/>
      <c r="L913" s="186"/>
      <c r="M913" s="186"/>
      <c r="N913" s="186"/>
      <c r="O913" s="186"/>
      <c r="P913" s="186"/>
      <c r="Q913" s="186"/>
      <c r="R913" s="186"/>
      <c r="S913" s="67"/>
      <c r="T913" s="67"/>
      <c r="U913" s="67"/>
      <c r="V913" s="187"/>
      <c r="W913" s="186"/>
      <c r="X913" s="187"/>
      <c r="Y913" s="187"/>
      <c r="Z913" s="187"/>
      <c r="AA913" s="186"/>
      <c r="AB913" s="186"/>
      <c r="AC913" s="67"/>
      <c r="AD913" s="67"/>
      <c r="AE913" s="67"/>
      <c r="AH913" s="186"/>
      <c r="AK913" s="186"/>
    </row>
    <row r="914">
      <c r="A914" s="185"/>
      <c r="B914" s="67"/>
      <c r="C914" s="67"/>
      <c r="D914" s="67"/>
      <c r="E914" s="186"/>
      <c r="F914" s="186"/>
      <c r="G914" s="186"/>
      <c r="H914" s="186"/>
      <c r="I914" s="186"/>
      <c r="J914" s="186"/>
      <c r="K914" s="186"/>
      <c r="L914" s="186"/>
      <c r="M914" s="186"/>
      <c r="N914" s="186"/>
      <c r="O914" s="186"/>
      <c r="P914" s="186"/>
      <c r="Q914" s="186"/>
      <c r="R914" s="186"/>
      <c r="S914" s="67"/>
      <c r="T914" s="67"/>
      <c r="U914" s="67"/>
      <c r="V914" s="187"/>
      <c r="W914" s="186"/>
      <c r="X914" s="187"/>
      <c r="Y914" s="187"/>
      <c r="Z914" s="187"/>
      <c r="AA914" s="186"/>
      <c r="AB914" s="186"/>
      <c r="AC914" s="67"/>
      <c r="AD914" s="67"/>
      <c r="AE914" s="67"/>
      <c r="AH914" s="186"/>
      <c r="AK914" s="186"/>
    </row>
    <row r="915">
      <c r="A915" s="185"/>
      <c r="B915" s="67"/>
      <c r="C915" s="67"/>
      <c r="D915" s="67"/>
      <c r="E915" s="186"/>
      <c r="F915" s="186"/>
      <c r="G915" s="186"/>
      <c r="H915" s="186"/>
      <c r="I915" s="186"/>
      <c r="J915" s="186"/>
      <c r="K915" s="186"/>
      <c r="L915" s="186"/>
      <c r="M915" s="186"/>
      <c r="N915" s="186"/>
      <c r="O915" s="186"/>
      <c r="P915" s="186"/>
      <c r="Q915" s="186"/>
      <c r="R915" s="186"/>
      <c r="S915" s="67"/>
      <c r="T915" s="67"/>
      <c r="U915" s="67"/>
      <c r="V915" s="187"/>
      <c r="W915" s="186"/>
      <c r="X915" s="187"/>
      <c r="Y915" s="187"/>
      <c r="Z915" s="187"/>
      <c r="AA915" s="186"/>
      <c r="AB915" s="186"/>
      <c r="AC915" s="67"/>
      <c r="AD915" s="67"/>
      <c r="AE915" s="67"/>
      <c r="AH915" s="186"/>
      <c r="AK915" s="186"/>
    </row>
    <row r="916">
      <c r="A916" s="185"/>
      <c r="B916" s="67"/>
      <c r="C916" s="67"/>
      <c r="D916" s="67"/>
      <c r="E916" s="186"/>
      <c r="F916" s="186"/>
      <c r="G916" s="186"/>
      <c r="H916" s="186"/>
      <c r="I916" s="186"/>
      <c r="J916" s="186"/>
      <c r="K916" s="186"/>
      <c r="L916" s="186"/>
      <c r="M916" s="186"/>
      <c r="N916" s="186"/>
      <c r="O916" s="186"/>
      <c r="P916" s="186"/>
      <c r="Q916" s="186"/>
      <c r="R916" s="186"/>
      <c r="S916" s="67"/>
      <c r="T916" s="67"/>
      <c r="U916" s="67"/>
      <c r="V916" s="187"/>
      <c r="W916" s="186"/>
      <c r="X916" s="187"/>
      <c r="Y916" s="187"/>
      <c r="Z916" s="187"/>
      <c r="AA916" s="186"/>
      <c r="AB916" s="186"/>
      <c r="AC916" s="67"/>
      <c r="AD916" s="67"/>
      <c r="AE916" s="67"/>
      <c r="AH916" s="186"/>
      <c r="AK916" s="186"/>
    </row>
    <row r="917">
      <c r="A917" s="185"/>
      <c r="B917" s="67"/>
      <c r="C917" s="67"/>
      <c r="D917" s="67"/>
      <c r="E917" s="186"/>
      <c r="F917" s="186"/>
      <c r="G917" s="186"/>
      <c r="H917" s="186"/>
      <c r="I917" s="186"/>
      <c r="J917" s="186"/>
      <c r="K917" s="186"/>
      <c r="L917" s="186"/>
      <c r="M917" s="186"/>
      <c r="N917" s="186"/>
      <c r="O917" s="186"/>
      <c r="P917" s="186"/>
      <c r="Q917" s="186"/>
      <c r="R917" s="186"/>
      <c r="S917" s="67"/>
      <c r="T917" s="67"/>
      <c r="U917" s="67"/>
      <c r="V917" s="187"/>
      <c r="W917" s="186"/>
      <c r="X917" s="187"/>
      <c r="Y917" s="187"/>
      <c r="Z917" s="187"/>
      <c r="AA917" s="186"/>
      <c r="AB917" s="186"/>
      <c r="AC917" s="67"/>
      <c r="AD917" s="67"/>
      <c r="AE917" s="67"/>
      <c r="AH917" s="186"/>
      <c r="AK917" s="186"/>
    </row>
    <row r="918">
      <c r="A918" s="185"/>
      <c r="B918" s="67"/>
      <c r="C918" s="67"/>
      <c r="D918" s="67"/>
      <c r="E918" s="186"/>
      <c r="F918" s="186"/>
      <c r="G918" s="186"/>
      <c r="H918" s="186"/>
      <c r="I918" s="186"/>
      <c r="J918" s="186"/>
      <c r="K918" s="186"/>
      <c r="L918" s="186"/>
      <c r="M918" s="186"/>
      <c r="N918" s="186"/>
      <c r="O918" s="186"/>
      <c r="P918" s="186"/>
      <c r="Q918" s="186"/>
      <c r="R918" s="186"/>
      <c r="S918" s="67"/>
      <c r="T918" s="67"/>
      <c r="U918" s="67"/>
      <c r="V918" s="187"/>
      <c r="W918" s="186"/>
      <c r="X918" s="187"/>
      <c r="Y918" s="187"/>
      <c r="Z918" s="187"/>
      <c r="AA918" s="186"/>
      <c r="AB918" s="186"/>
      <c r="AC918" s="67"/>
      <c r="AD918" s="67"/>
      <c r="AE918" s="67"/>
      <c r="AH918" s="186"/>
      <c r="AK918" s="186"/>
    </row>
    <row r="919">
      <c r="A919" s="185"/>
      <c r="B919" s="67"/>
      <c r="C919" s="67"/>
      <c r="D919" s="67"/>
      <c r="E919" s="186"/>
      <c r="F919" s="186"/>
      <c r="G919" s="186"/>
      <c r="H919" s="186"/>
      <c r="I919" s="186"/>
      <c r="J919" s="186"/>
      <c r="K919" s="186"/>
      <c r="L919" s="186"/>
      <c r="M919" s="186"/>
      <c r="N919" s="186"/>
      <c r="O919" s="186"/>
      <c r="P919" s="186"/>
      <c r="Q919" s="186"/>
      <c r="R919" s="186"/>
      <c r="S919" s="67"/>
      <c r="T919" s="67"/>
      <c r="U919" s="67"/>
      <c r="V919" s="187"/>
      <c r="W919" s="186"/>
      <c r="X919" s="187"/>
      <c r="Y919" s="187"/>
      <c r="Z919" s="187"/>
      <c r="AA919" s="186"/>
      <c r="AB919" s="186"/>
      <c r="AC919" s="67"/>
      <c r="AD919" s="67"/>
      <c r="AE919" s="67"/>
      <c r="AH919" s="186"/>
      <c r="AK919" s="186"/>
    </row>
    <row r="920">
      <c r="A920" s="185"/>
      <c r="B920" s="67"/>
      <c r="C920" s="67"/>
      <c r="D920" s="67"/>
      <c r="E920" s="186"/>
      <c r="F920" s="186"/>
      <c r="G920" s="186"/>
      <c r="H920" s="186"/>
      <c r="I920" s="186"/>
      <c r="J920" s="186"/>
      <c r="K920" s="186"/>
      <c r="L920" s="186"/>
      <c r="M920" s="186"/>
      <c r="N920" s="186"/>
      <c r="O920" s="186"/>
      <c r="P920" s="186"/>
      <c r="Q920" s="186"/>
      <c r="R920" s="186"/>
      <c r="S920" s="67"/>
      <c r="T920" s="67"/>
      <c r="U920" s="67"/>
      <c r="V920" s="187"/>
      <c r="W920" s="186"/>
      <c r="X920" s="187"/>
      <c r="Y920" s="187"/>
      <c r="Z920" s="187"/>
      <c r="AA920" s="186"/>
      <c r="AB920" s="186"/>
      <c r="AC920" s="67"/>
      <c r="AD920" s="67"/>
      <c r="AE920" s="67"/>
      <c r="AH920" s="186"/>
      <c r="AK920" s="186"/>
    </row>
    <row r="921">
      <c r="A921" s="185"/>
      <c r="B921" s="67"/>
      <c r="C921" s="67"/>
      <c r="D921" s="67"/>
      <c r="E921" s="186"/>
      <c r="F921" s="186"/>
      <c r="G921" s="186"/>
      <c r="H921" s="186"/>
      <c r="I921" s="186"/>
      <c r="J921" s="186"/>
      <c r="K921" s="186"/>
      <c r="L921" s="186"/>
      <c r="M921" s="186"/>
      <c r="N921" s="186"/>
      <c r="O921" s="186"/>
      <c r="P921" s="186"/>
      <c r="Q921" s="186"/>
      <c r="R921" s="186"/>
      <c r="S921" s="67"/>
      <c r="T921" s="67"/>
      <c r="U921" s="67"/>
      <c r="V921" s="187"/>
      <c r="W921" s="186"/>
      <c r="X921" s="187"/>
      <c r="Y921" s="187"/>
      <c r="Z921" s="187"/>
      <c r="AA921" s="186"/>
      <c r="AB921" s="186"/>
      <c r="AC921" s="67"/>
      <c r="AD921" s="67"/>
      <c r="AE921" s="67"/>
      <c r="AH921" s="186"/>
      <c r="AK921" s="186"/>
    </row>
    <row r="922">
      <c r="A922" s="185"/>
      <c r="B922" s="67"/>
      <c r="C922" s="67"/>
      <c r="D922" s="67"/>
      <c r="E922" s="186"/>
      <c r="F922" s="186"/>
      <c r="G922" s="186"/>
      <c r="H922" s="186"/>
      <c r="I922" s="186"/>
      <c r="J922" s="186"/>
      <c r="K922" s="186"/>
      <c r="L922" s="186"/>
      <c r="M922" s="186"/>
      <c r="N922" s="186"/>
      <c r="O922" s="186"/>
      <c r="P922" s="186"/>
      <c r="Q922" s="186"/>
      <c r="R922" s="186"/>
      <c r="S922" s="67"/>
      <c r="T922" s="67"/>
      <c r="U922" s="67"/>
      <c r="V922" s="187"/>
      <c r="W922" s="186"/>
      <c r="X922" s="187"/>
      <c r="Y922" s="187"/>
      <c r="Z922" s="187"/>
      <c r="AA922" s="186"/>
      <c r="AB922" s="186"/>
      <c r="AC922" s="67"/>
      <c r="AD922" s="67"/>
      <c r="AE922" s="67"/>
      <c r="AH922" s="186"/>
      <c r="AK922" s="186"/>
    </row>
    <row r="923">
      <c r="A923" s="185"/>
      <c r="B923" s="67"/>
      <c r="C923" s="67"/>
      <c r="D923" s="67"/>
      <c r="E923" s="186"/>
      <c r="F923" s="186"/>
      <c r="G923" s="186"/>
      <c r="H923" s="186"/>
      <c r="I923" s="186"/>
      <c r="J923" s="186"/>
      <c r="K923" s="186"/>
      <c r="L923" s="186"/>
      <c r="M923" s="186"/>
      <c r="N923" s="186"/>
      <c r="O923" s="186"/>
      <c r="P923" s="186"/>
      <c r="Q923" s="186"/>
      <c r="R923" s="186"/>
      <c r="S923" s="67"/>
      <c r="T923" s="67"/>
      <c r="U923" s="67"/>
      <c r="V923" s="187"/>
      <c r="W923" s="186"/>
      <c r="X923" s="187"/>
      <c r="Y923" s="187"/>
      <c r="Z923" s="187"/>
      <c r="AA923" s="186"/>
      <c r="AB923" s="186"/>
      <c r="AC923" s="67"/>
      <c r="AD923" s="67"/>
      <c r="AE923" s="67"/>
      <c r="AH923" s="186"/>
      <c r="AK923" s="186"/>
    </row>
    <row r="924">
      <c r="A924" s="185"/>
      <c r="B924" s="67"/>
      <c r="C924" s="67"/>
      <c r="D924" s="67"/>
      <c r="E924" s="186"/>
      <c r="F924" s="186"/>
      <c r="G924" s="186"/>
      <c r="H924" s="186"/>
      <c r="I924" s="186"/>
      <c r="J924" s="186"/>
      <c r="K924" s="186"/>
      <c r="L924" s="186"/>
      <c r="M924" s="186"/>
      <c r="N924" s="186"/>
      <c r="O924" s="186"/>
      <c r="P924" s="186"/>
      <c r="Q924" s="186"/>
      <c r="R924" s="186"/>
      <c r="S924" s="67"/>
      <c r="T924" s="67"/>
      <c r="U924" s="67"/>
      <c r="V924" s="187"/>
      <c r="W924" s="186"/>
      <c r="X924" s="187"/>
      <c r="Y924" s="187"/>
      <c r="Z924" s="187"/>
      <c r="AA924" s="186"/>
      <c r="AB924" s="186"/>
      <c r="AC924" s="67"/>
      <c r="AD924" s="67"/>
      <c r="AE924" s="67"/>
      <c r="AH924" s="186"/>
      <c r="AK924" s="186"/>
    </row>
    <row r="925">
      <c r="A925" s="185"/>
      <c r="B925" s="67"/>
      <c r="C925" s="67"/>
      <c r="D925" s="67"/>
      <c r="E925" s="186"/>
      <c r="F925" s="186"/>
      <c r="G925" s="186"/>
      <c r="H925" s="186"/>
      <c r="I925" s="186"/>
      <c r="J925" s="186"/>
      <c r="K925" s="186"/>
      <c r="L925" s="186"/>
      <c r="M925" s="186"/>
      <c r="N925" s="186"/>
      <c r="O925" s="186"/>
      <c r="P925" s="186"/>
      <c r="Q925" s="186"/>
      <c r="R925" s="186"/>
      <c r="S925" s="67"/>
      <c r="T925" s="67"/>
      <c r="U925" s="67"/>
      <c r="V925" s="187"/>
      <c r="W925" s="186"/>
      <c r="X925" s="187"/>
      <c r="Y925" s="187"/>
      <c r="Z925" s="187"/>
      <c r="AA925" s="186"/>
      <c r="AB925" s="186"/>
      <c r="AC925" s="67"/>
      <c r="AD925" s="67"/>
      <c r="AE925" s="67"/>
      <c r="AH925" s="186"/>
      <c r="AK925" s="186"/>
    </row>
    <row r="926">
      <c r="A926" s="185"/>
      <c r="B926" s="67"/>
      <c r="C926" s="67"/>
      <c r="D926" s="67"/>
      <c r="E926" s="186"/>
      <c r="F926" s="186"/>
      <c r="G926" s="186"/>
      <c r="H926" s="186"/>
      <c r="I926" s="186"/>
      <c r="J926" s="186"/>
      <c r="K926" s="186"/>
      <c r="L926" s="186"/>
      <c r="M926" s="186"/>
      <c r="N926" s="186"/>
      <c r="O926" s="186"/>
      <c r="P926" s="186"/>
      <c r="Q926" s="186"/>
      <c r="R926" s="186"/>
      <c r="S926" s="67"/>
      <c r="T926" s="67"/>
      <c r="U926" s="67"/>
      <c r="V926" s="187"/>
      <c r="W926" s="186"/>
      <c r="X926" s="187"/>
      <c r="Y926" s="187"/>
      <c r="Z926" s="187"/>
      <c r="AA926" s="186"/>
      <c r="AB926" s="186"/>
      <c r="AC926" s="67"/>
      <c r="AD926" s="67"/>
      <c r="AE926" s="67"/>
      <c r="AH926" s="186"/>
      <c r="AK926" s="186"/>
    </row>
    <row r="927">
      <c r="A927" s="185"/>
      <c r="B927" s="67"/>
      <c r="C927" s="67"/>
      <c r="D927" s="67"/>
      <c r="E927" s="186"/>
      <c r="F927" s="186"/>
      <c r="G927" s="186"/>
      <c r="H927" s="186"/>
      <c r="I927" s="186"/>
      <c r="J927" s="186"/>
      <c r="K927" s="186"/>
      <c r="L927" s="186"/>
      <c r="M927" s="186"/>
      <c r="N927" s="186"/>
      <c r="O927" s="186"/>
      <c r="P927" s="186"/>
      <c r="Q927" s="186"/>
      <c r="R927" s="186"/>
      <c r="S927" s="67"/>
      <c r="T927" s="67"/>
      <c r="U927" s="67"/>
      <c r="V927" s="187"/>
      <c r="W927" s="186"/>
      <c r="X927" s="187"/>
      <c r="Y927" s="187"/>
      <c r="Z927" s="187"/>
      <c r="AA927" s="186"/>
      <c r="AB927" s="186"/>
      <c r="AC927" s="67"/>
      <c r="AD927" s="67"/>
      <c r="AE927" s="67"/>
      <c r="AH927" s="186"/>
      <c r="AK927" s="186"/>
    </row>
    <row r="928">
      <c r="A928" s="185"/>
      <c r="B928" s="67"/>
      <c r="C928" s="67"/>
      <c r="D928" s="67"/>
      <c r="E928" s="186"/>
      <c r="F928" s="186"/>
      <c r="G928" s="186"/>
      <c r="H928" s="186"/>
      <c r="I928" s="186"/>
      <c r="J928" s="186"/>
      <c r="K928" s="186"/>
      <c r="L928" s="186"/>
      <c r="M928" s="186"/>
      <c r="N928" s="186"/>
      <c r="O928" s="186"/>
      <c r="P928" s="186"/>
      <c r="Q928" s="186"/>
      <c r="R928" s="186"/>
      <c r="S928" s="67"/>
      <c r="T928" s="67"/>
      <c r="U928" s="67"/>
      <c r="V928" s="187"/>
      <c r="W928" s="186"/>
      <c r="X928" s="187"/>
      <c r="Y928" s="187"/>
      <c r="Z928" s="187"/>
      <c r="AA928" s="186"/>
      <c r="AB928" s="186"/>
      <c r="AC928" s="67"/>
      <c r="AD928" s="67"/>
      <c r="AE928" s="67"/>
      <c r="AH928" s="186"/>
      <c r="AK928" s="186"/>
    </row>
    <row r="929">
      <c r="A929" s="185"/>
      <c r="B929" s="67"/>
      <c r="C929" s="67"/>
      <c r="D929" s="67"/>
      <c r="E929" s="186"/>
      <c r="F929" s="186"/>
      <c r="G929" s="186"/>
      <c r="H929" s="186"/>
      <c r="I929" s="186"/>
      <c r="J929" s="186"/>
      <c r="K929" s="186"/>
      <c r="L929" s="186"/>
      <c r="M929" s="186"/>
      <c r="N929" s="186"/>
      <c r="O929" s="186"/>
      <c r="P929" s="186"/>
      <c r="Q929" s="186"/>
      <c r="R929" s="186"/>
      <c r="S929" s="67"/>
      <c r="T929" s="67"/>
      <c r="U929" s="67"/>
      <c r="V929" s="187"/>
      <c r="W929" s="186"/>
      <c r="X929" s="187"/>
      <c r="Y929" s="187"/>
      <c r="Z929" s="187"/>
      <c r="AA929" s="186"/>
      <c r="AB929" s="186"/>
      <c r="AC929" s="67"/>
      <c r="AD929" s="67"/>
      <c r="AE929" s="67"/>
      <c r="AH929" s="186"/>
      <c r="AK929" s="186"/>
    </row>
    <row r="930">
      <c r="A930" s="185"/>
      <c r="B930" s="67"/>
      <c r="C930" s="67"/>
      <c r="D930" s="67"/>
      <c r="E930" s="186"/>
      <c r="F930" s="186"/>
      <c r="G930" s="186"/>
      <c r="H930" s="186"/>
      <c r="I930" s="186"/>
      <c r="J930" s="186"/>
      <c r="K930" s="186"/>
      <c r="L930" s="186"/>
      <c r="M930" s="186"/>
      <c r="N930" s="186"/>
      <c r="O930" s="186"/>
      <c r="P930" s="186"/>
      <c r="Q930" s="186"/>
      <c r="R930" s="186"/>
      <c r="S930" s="67"/>
      <c r="T930" s="67"/>
      <c r="U930" s="67"/>
      <c r="V930" s="187"/>
      <c r="W930" s="186"/>
      <c r="X930" s="187"/>
      <c r="Y930" s="187"/>
      <c r="Z930" s="187"/>
      <c r="AA930" s="186"/>
      <c r="AB930" s="186"/>
      <c r="AC930" s="67"/>
      <c r="AD930" s="67"/>
      <c r="AE930" s="67"/>
      <c r="AH930" s="186"/>
      <c r="AK930" s="186"/>
    </row>
    <row r="931">
      <c r="A931" s="185"/>
      <c r="B931" s="67"/>
      <c r="C931" s="67"/>
      <c r="D931" s="67"/>
      <c r="E931" s="186"/>
      <c r="F931" s="186"/>
      <c r="G931" s="186"/>
      <c r="H931" s="186"/>
      <c r="I931" s="186"/>
      <c r="J931" s="186"/>
      <c r="K931" s="186"/>
      <c r="L931" s="186"/>
      <c r="M931" s="186"/>
      <c r="N931" s="186"/>
      <c r="O931" s="186"/>
      <c r="P931" s="186"/>
      <c r="Q931" s="186"/>
      <c r="R931" s="186"/>
      <c r="S931" s="67"/>
      <c r="T931" s="67"/>
      <c r="U931" s="67"/>
      <c r="V931" s="187"/>
      <c r="W931" s="186"/>
      <c r="X931" s="187"/>
      <c r="Y931" s="187"/>
      <c r="Z931" s="187"/>
      <c r="AA931" s="186"/>
      <c r="AB931" s="186"/>
      <c r="AC931" s="67"/>
      <c r="AD931" s="67"/>
      <c r="AE931" s="67"/>
      <c r="AH931" s="186"/>
      <c r="AK931" s="186"/>
    </row>
    <row r="932">
      <c r="A932" s="185"/>
      <c r="B932" s="67"/>
      <c r="C932" s="67"/>
      <c r="D932" s="67"/>
      <c r="E932" s="186"/>
      <c r="F932" s="186"/>
      <c r="G932" s="186"/>
      <c r="H932" s="186"/>
      <c r="I932" s="186"/>
      <c r="J932" s="186"/>
      <c r="K932" s="186"/>
      <c r="L932" s="186"/>
      <c r="M932" s="186"/>
      <c r="N932" s="186"/>
      <c r="O932" s="186"/>
      <c r="P932" s="186"/>
      <c r="Q932" s="186"/>
      <c r="R932" s="186"/>
      <c r="S932" s="67"/>
      <c r="T932" s="67"/>
      <c r="U932" s="67"/>
      <c r="V932" s="187"/>
      <c r="W932" s="186"/>
      <c r="X932" s="187"/>
      <c r="Y932" s="187"/>
      <c r="Z932" s="187"/>
      <c r="AA932" s="186"/>
      <c r="AB932" s="186"/>
      <c r="AC932" s="67"/>
      <c r="AD932" s="67"/>
      <c r="AE932" s="67"/>
      <c r="AH932" s="186"/>
      <c r="AK932" s="186"/>
    </row>
    <row r="933">
      <c r="A933" s="185"/>
      <c r="B933" s="67"/>
      <c r="C933" s="67"/>
      <c r="D933" s="67"/>
      <c r="E933" s="186"/>
      <c r="F933" s="186"/>
      <c r="G933" s="186"/>
      <c r="H933" s="186"/>
      <c r="I933" s="186"/>
      <c r="J933" s="186"/>
      <c r="K933" s="186"/>
      <c r="L933" s="186"/>
      <c r="M933" s="186"/>
      <c r="N933" s="186"/>
      <c r="O933" s="186"/>
      <c r="P933" s="186"/>
      <c r="Q933" s="186"/>
      <c r="R933" s="186"/>
      <c r="S933" s="67"/>
      <c r="T933" s="67"/>
      <c r="U933" s="67"/>
      <c r="V933" s="187"/>
      <c r="W933" s="186"/>
      <c r="X933" s="187"/>
      <c r="Y933" s="187"/>
      <c r="Z933" s="187"/>
      <c r="AA933" s="186"/>
      <c r="AB933" s="186"/>
      <c r="AC933" s="67"/>
      <c r="AD933" s="67"/>
      <c r="AE933" s="67"/>
      <c r="AH933" s="186"/>
      <c r="AK933" s="186"/>
    </row>
    <row r="934">
      <c r="A934" s="185"/>
      <c r="B934" s="67"/>
      <c r="C934" s="67"/>
      <c r="D934" s="67"/>
      <c r="E934" s="186"/>
      <c r="F934" s="186"/>
      <c r="G934" s="186"/>
      <c r="H934" s="186"/>
      <c r="I934" s="186"/>
      <c r="J934" s="186"/>
      <c r="K934" s="186"/>
      <c r="L934" s="186"/>
      <c r="M934" s="186"/>
      <c r="N934" s="186"/>
      <c r="O934" s="186"/>
      <c r="P934" s="186"/>
      <c r="Q934" s="186"/>
      <c r="R934" s="186"/>
      <c r="S934" s="67"/>
      <c r="T934" s="67"/>
      <c r="U934" s="67"/>
      <c r="V934" s="187"/>
      <c r="W934" s="186"/>
      <c r="X934" s="187"/>
      <c r="Y934" s="187"/>
      <c r="Z934" s="187"/>
      <c r="AA934" s="186"/>
      <c r="AB934" s="186"/>
      <c r="AC934" s="67"/>
      <c r="AD934" s="67"/>
      <c r="AE934" s="67"/>
      <c r="AH934" s="186"/>
      <c r="AK934" s="186"/>
    </row>
    <row r="935">
      <c r="A935" s="185"/>
      <c r="B935" s="67"/>
      <c r="C935" s="67"/>
      <c r="D935" s="67"/>
      <c r="E935" s="186"/>
      <c r="F935" s="186"/>
      <c r="G935" s="186"/>
      <c r="H935" s="186"/>
      <c r="I935" s="186"/>
      <c r="J935" s="186"/>
      <c r="K935" s="186"/>
      <c r="L935" s="186"/>
      <c r="M935" s="186"/>
      <c r="N935" s="186"/>
      <c r="O935" s="186"/>
      <c r="P935" s="186"/>
      <c r="Q935" s="186"/>
      <c r="R935" s="186"/>
      <c r="S935" s="67"/>
      <c r="T935" s="67"/>
      <c r="U935" s="67"/>
      <c r="V935" s="187"/>
      <c r="W935" s="186"/>
      <c r="X935" s="187"/>
      <c r="Y935" s="187"/>
      <c r="Z935" s="187"/>
      <c r="AA935" s="186"/>
      <c r="AB935" s="186"/>
      <c r="AC935" s="67"/>
      <c r="AD935" s="67"/>
      <c r="AE935" s="67"/>
      <c r="AH935" s="186"/>
      <c r="AK935" s="186"/>
    </row>
    <row r="936">
      <c r="A936" s="185"/>
      <c r="B936" s="67"/>
      <c r="C936" s="67"/>
      <c r="D936" s="67"/>
      <c r="E936" s="186"/>
      <c r="F936" s="186"/>
      <c r="G936" s="186"/>
      <c r="H936" s="186"/>
      <c r="I936" s="186"/>
      <c r="J936" s="186"/>
      <c r="K936" s="186"/>
      <c r="L936" s="186"/>
      <c r="M936" s="186"/>
      <c r="N936" s="186"/>
      <c r="O936" s="186"/>
      <c r="P936" s="186"/>
      <c r="Q936" s="186"/>
      <c r="R936" s="186"/>
      <c r="S936" s="67"/>
      <c r="T936" s="67"/>
      <c r="U936" s="67"/>
      <c r="V936" s="187"/>
      <c r="W936" s="186"/>
      <c r="X936" s="187"/>
      <c r="Y936" s="187"/>
      <c r="Z936" s="187"/>
      <c r="AA936" s="186"/>
      <c r="AB936" s="186"/>
      <c r="AC936" s="67"/>
      <c r="AD936" s="67"/>
      <c r="AE936" s="67"/>
      <c r="AH936" s="186"/>
      <c r="AK936" s="186"/>
    </row>
    <row r="937">
      <c r="A937" s="185"/>
      <c r="B937" s="67"/>
      <c r="C937" s="67"/>
      <c r="D937" s="67"/>
      <c r="E937" s="186"/>
      <c r="F937" s="186"/>
      <c r="G937" s="186"/>
      <c r="H937" s="186"/>
      <c r="I937" s="186"/>
      <c r="J937" s="186"/>
      <c r="K937" s="186"/>
      <c r="L937" s="186"/>
      <c r="M937" s="186"/>
      <c r="N937" s="186"/>
      <c r="O937" s="186"/>
      <c r="P937" s="186"/>
      <c r="Q937" s="186"/>
      <c r="R937" s="186"/>
      <c r="S937" s="67"/>
      <c r="T937" s="67"/>
      <c r="U937" s="67"/>
      <c r="V937" s="187"/>
      <c r="W937" s="186"/>
      <c r="X937" s="187"/>
      <c r="Y937" s="187"/>
      <c r="Z937" s="187"/>
      <c r="AA937" s="186"/>
      <c r="AB937" s="186"/>
      <c r="AC937" s="67"/>
      <c r="AD937" s="67"/>
      <c r="AE937" s="67"/>
      <c r="AH937" s="186"/>
      <c r="AK937" s="186"/>
    </row>
    <row r="938">
      <c r="A938" s="185"/>
      <c r="B938" s="67"/>
      <c r="C938" s="67"/>
      <c r="D938" s="67"/>
      <c r="E938" s="186"/>
      <c r="F938" s="186"/>
      <c r="G938" s="186"/>
      <c r="H938" s="186"/>
      <c r="I938" s="186"/>
      <c r="J938" s="186"/>
      <c r="K938" s="186"/>
      <c r="L938" s="186"/>
      <c r="M938" s="186"/>
      <c r="N938" s="186"/>
      <c r="O938" s="186"/>
      <c r="P938" s="186"/>
      <c r="Q938" s="186"/>
      <c r="R938" s="186"/>
      <c r="S938" s="67"/>
      <c r="T938" s="67"/>
      <c r="U938" s="67"/>
      <c r="V938" s="187"/>
      <c r="W938" s="186"/>
      <c r="X938" s="187"/>
      <c r="Y938" s="187"/>
      <c r="Z938" s="187"/>
      <c r="AA938" s="186"/>
      <c r="AB938" s="186"/>
      <c r="AC938" s="67"/>
      <c r="AD938" s="67"/>
      <c r="AE938" s="67"/>
      <c r="AH938" s="186"/>
      <c r="AK938" s="186"/>
    </row>
    <row r="939">
      <c r="A939" s="185"/>
      <c r="B939" s="67"/>
      <c r="C939" s="67"/>
      <c r="D939" s="67"/>
      <c r="E939" s="186"/>
      <c r="F939" s="186"/>
      <c r="G939" s="186"/>
      <c r="H939" s="186"/>
      <c r="I939" s="186"/>
      <c r="J939" s="186"/>
      <c r="K939" s="186"/>
      <c r="L939" s="186"/>
      <c r="M939" s="186"/>
      <c r="N939" s="186"/>
      <c r="O939" s="186"/>
      <c r="P939" s="186"/>
      <c r="Q939" s="186"/>
      <c r="R939" s="186"/>
      <c r="S939" s="67"/>
      <c r="T939" s="67"/>
      <c r="U939" s="67"/>
      <c r="V939" s="187"/>
      <c r="W939" s="186"/>
      <c r="X939" s="187"/>
      <c r="Y939" s="187"/>
      <c r="Z939" s="187"/>
      <c r="AA939" s="186"/>
      <c r="AB939" s="186"/>
      <c r="AC939" s="67"/>
      <c r="AD939" s="67"/>
      <c r="AE939" s="67"/>
      <c r="AH939" s="186"/>
      <c r="AK939" s="186"/>
    </row>
    <row r="940">
      <c r="A940" s="185"/>
      <c r="B940" s="67"/>
      <c r="C940" s="67"/>
      <c r="D940" s="67"/>
      <c r="E940" s="186"/>
      <c r="F940" s="186"/>
      <c r="G940" s="186"/>
      <c r="H940" s="186"/>
      <c r="I940" s="186"/>
      <c r="J940" s="186"/>
      <c r="K940" s="186"/>
      <c r="L940" s="186"/>
      <c r="M940" s="186"/>
      <c r="N940" s="186"/>
      <c r="O940" s="186"/>
      <c r="P940" s="186"/>
      <c r="Q940" s="186"/>
      <c r="R940" s="186"/>
      <c r="S940" s="67"/>
      <c r="T940" s="67"/>
      <c r="U940" s="67"/>
      <c r="V940" s="187"/>
      <c r="W940" s="186"/>
      <c r="X940" s="187"/>
      <c r="Y940" s="187"/>
      <c r="Z940" s="187"/>
      <c r="AA940" s="186"/>
      <c r="AB940" s="186"/>
      <c r="AC940" s="67"/>
      <c r="AD940" s="67"/>
      <c r="AE940" s="67"/>
      <c r="AH940" s="186"/>
      <c r="AK940" s="186"/>
    </row>
    <row r="941">
      <c r="A941" s="185"/>
      <c r="B941" s="67"/>
      <c r="C941" s="67"/>
      <c r="D941" s="67"/>
      <c r="E941" s="186"/>
      <c r="F941" s="186"/>
      <c r="G941" s="186"/>
      <c r="H941" s="186"/>
      <c r="I941" s="186"/>
      <c r="J941" s="186"/>
      <c r="K941" s="186"/>
      <c r="L941" s="186"/>
      <c r="M941" s="186"/>
      <c r="N941" s="186"/>
      <c r="O941" s="186"/>
      <c r="P941" s="186"/>
      <c r="Q941" s="186"/>
      <c r="R941" s="186"/>
      <c r="S941" s="67"/>
      <c r="T941" s="67"/>
      <c r="U941" s="67"/>
      <c r="V941" s="187"/>
      <c r="W941" s="186"/>
      <c r="X941" s="187"/>
      <c r="Y941" s="187"/>
      <c r="Z941" s="187"/>
      <c r="AA941" s="186"/>
      <c r="AB941" s="186"/>
      <c r="AC941" s="67"/>
      <c r="AD941" s="67"/>
      <c r="AE941" s="67"/>
      <c r="AH941" s="186"/>
      <c r="AK941" s="186"/>
    </row>
    <row r="942">
      <c r="A942" s="185"/>
      <c r="B942" s="67"/>
      <c r="C942" s="67"/>
      <c r="D942" s="67"/>
      <c r="E942" s="186"/>
      <c r="F942" s="186"/>
      <c r="G942" s="186"/>
      <c r="H942" s="186"/>
      <c r="I942" s="186"/>
      <c r="J942" s="186"/>
      <c r="K942" s="186"/>
      <c r="L942" s="186"/>
      <c r="M942" s="186"/>
      <c r="N942" s="186"/>
      <c r="O942" s="186"/>
      <c r="P942" s="186"/>
      <c r="Q942" s="186"/>
      <c r="R942" s="186"/>
      <c r="S942" s="67"/>
      <c r="T942" s="67"/>
      <c r="U942" s="67"/>
      <c r="V942" s="187"/>
      <c r="W942" s="186"/>
      <c r="X942" s="187"/>
      <c r="Y942" s="187"/>
      <c r="Z942" s="187"/>
      <c r="AA942" s="186"/>
      <c r="AB942" s="186"/>
      <c r="AC942" s="67"/>
      <c r="AD942" s="67"/>
      <c r="AE942" s="67"/>
      <c r="AH942" s="186"/>
      <c r="AK942" s="186"/>
    </row>
    <row r="943">
      <c r="A943" s="185"/>
      <c r="B943" s="67"/>
      <c r="C943" s="67"/>
      <c r="D943" s="67"/>
      <c r="E943" s="186"/>
      <c r="F943" s="186"/>
      <c r="G943" s="186"/>
      <c r="H943" s="186"/>
      <c r="I943" s="186"/>
      <c r="J943" s="186"/>
      <c r="K943" s="186"/>
      <c r="L943" s="186"/>
      <c r="M943" s="186"/>
      <c r="N943" s="186"/>
      <c r="O943" s="186"/>
      <c r="P943" s="186"/>
      <c r="Q943" s="186"/>
      <c r="R943" s="186"/>
      <c r="S943" s="67"/>
      <c r="T943" s="67"/>
      <c r="U943" s="67"/>
      <c r="V943" s="187"/>
      <c r="W943" s="186"/>
      <c r="X943" s="187"/>
      <c r="Y943" s="187"/>
      <c r="Z943" s="187"/>
      <c r="AA943" s="186"/>
      <c r="AB943" s="186"/>
      <c r="AC943" s="67"/>
      <c r="AD943" s="67"/>
      <c r="AE943" s="67"/>
      <c r="AH943" s="186"/>
      <c r="AK943" s="186"/>
    </row>
    <row r="944">
      <c r="A944" s="185"/>
      <c r="B944" s="67"/>
      <c r="C944" s="67"/>
      <c r="D944" s="67"/>
      <c r="E944" s="186"/>
      <c r="F944" s="186"/>
      <c r="G944" s="186"/>
      <c r="H944" s="186"/>
      <c r="I944" s="186"/>
      <c r="J944" s="186"/>
      <c r="K944" s="186"/>
      <c r="L944" s="186"/>
      <c r="M944" s="186"/>
      <c r="N944" s="186"/>
      <c r="O944" s="186"/>
      <c r="P944" s="186"/>
      <c r="Q944" s="186"/>
      <c r="R944" s="186"/>
      <c r="S944" s="67"/>
      <c r="T944" s="67"/>
      <c r="U944" s="67"/>
      <c r="V944" s="187"/>
      <c r="W944" s="186"/>
      <c r="X944" s="187"/>
      <c r="Y944" s="187"/>
      <c r="Z944" s="187"/>
      <c r="AA944" s="186"/>
      <c r="AB944" s="186"/>
      <c r="AC944" s="67"/>
      <c r="AD944" s="67"/>
      <c r="AE944" s="67"/>
      <c r="AH944" s="186"/>
      <c r="AK944" s="186"/>
    </row>
    <row r="945">
      <c r="A945" s="185"/>
      <c r="B945" s="67"/>
      <c r="C945" s="67"/>
      <c r="D945" s="67"/>
      <c r="E945" s="186"/>
      <c r="F945" s="186"/>
      <c r="G945" s="186"/>
      <c r="H945" s="186"/>
      <c r="I945" s="186"/>
      <c r="J945" s="186"/>
      <c r="K945" s="186"/>
      <c r="L945" s="186"/>
      <c r="M945" s="186"/>
      <c r="N945" s="186"/>
      <c r="O945" s="186"/>
      <c r="P945" s="186"/>
      <c r="Q945" s="186"/>
      <c r="R945" s="186"/>
      <c r="S945" s="67"/>
      <c r="T945" s="67"/>
      <c r="U945" s="67"/>
      <c r="V945" s="187"/>
      <c r="W945" s="186"/>
      <c r="X945" s="187"/>
      <c r="Y945" s="187"/>
      <c r="Z945" s="187"/>
      <c r="AA945" s="186"/>
      <c r="AB945" s="186"/>
      <c r="AC945" s="67"/>
      <c r="AD945" s="67"/>
      <c r="AE945" s="67"/>
      <c r="AH945" s="186"/>
      <c r="AK945" s="186"/>
    </row>
    <row r="946">
      <c r="A946" s="185"/>
      <c r="B946" s="67"/>
      <c r="C946" s="67"/>
      <c r="D946" s="67"/>
      <c r="E946" s="186"/>
      <c r="F946" s="186"/>
      <c r="G946" s="186"/>
      <c r="H946" s="186"/>
      <c r="I946" s="186"/>
      <c r="J946" s="186"/>
      <c r="K946" s="186"/>
      <c r="L946" s="186"/>
      <c r="M946" s="186"/>
      <c r="N946" s="186"/>
      <c r="O946" s="186"/>
      <c r="P946" s="186"/>
      <c r="Q946" s="186"/>
      <c r="R946" s="186"/>
      <c r="S946" s="67"/>
      <c r="T946" s="67"/>
      <c r="U946" s="67"/>
      <c r="V946" s="187"/>
      <c r="W946" s="186"/>
      <c r="X946" s="187"/>
      <c r="Y946" s="187"/>
      <c r="Z946" s="187"/>
      <c r="AA946" s="186"/>
      <c r="AB946" s="186"/>
      <c r="AC946" s="67"/>
      <c r="AD946" s="67"/>
      <c r="AE946" s="67"/>
      <c r="AH946" s="186"/>
      <c r="AK946" s="186"/>
    </row>
    <row r="947">
      <c r="A947" s="185"/>
      <c r="B947" s="67"/>
      <c r="C947" s="67"/>
      <c r="D947" s="67"/>
      <c r="E947" s="186"/>
      <c r="F947" s="186"/>
      <c r="G947" s="186"/>
      <c r="H947" s="186"/>
      <c r="I947" s="186"/>
      <c r="J947" s="186"/>
      <c r="K947" s="186"/>
      <c r="L947" s="186"/>
      <c r="M947" s="186"/>
      <c r="N947" s="186"/>
      <c r="O947" s="186"/>
      <c r="P947" s="186"/>
      <c r="Q947" s="186"/>
      <c r="R947" s="186"/>
      <c r="S947" s="67"/>
      <c r="T947" s="67"/>
      <c r="U947" s="67"/>
      <c r="V947" s="187"/>
      <c r="W947" s="186"/>
      <c r="X947" s="187"/>
      <c r="Y947" s="187"/>
      <c r="Z947" s="187"/>
      <c r="AA947" s="186"/>
      <c r="AB947" s="186"/>
      <c r="AC947" s="67"/>
      <c r="AD947" s="67"/>
      <c r="AE947" s="67"/>
      <c r="AH947" s="186"/>
      <c r="AK947" s="186"/>
    </row>
    <row r="948">
      <c r="A948" s="185"/>
      <c r="B948" s="67"/>
      <c r="C948" s="67"/>
      <c r="D948" s="67"/>
      <c r="E948" s="186"/>
      <c r="F948" s="186"/>
      <c r="G948" s="186"/>
      <c r="H948" s="186"/>
      <c r="I948" s="186"/>
      <c r="J948" s="186"/>
      <c r="K948" s="186"/>
      <c r="L948" s="186"/>
      <c r="M948" s="186"/>
      <c r="N948" s="186"/>
      <c r="O948" s="186"/>
      <c r="P948" s="186"/>
      <c r="Q948" s="186"/>
      <c r="R948" s="186"/>
      <c r="S948" s="67"/>
      <c r="T948" s="67"/>
      <c r="U948" s="67"/>
      <c r="V948" s="187"/>
      <c r="W948" s="186"/>
      <c r="X948" s="187"/>
      <c r="Y948" s="187"/>
      <c r="Z948" s="187"/>
      <c r="AA948" s="186"/>
      <c r="AB948" s="186"/>
      <c r="AC948" s="67"/>
      <c r="AD948" s="67"/>
      <c r="AE948" s="67"/>
      <c r="AH948" s="186"/>
      <c r="AK948" s="186"/>
    </row>
    <row r="949">
      <c r="A949" s="185"/>
      <c r="B949" s="67"/>
      <c r="C949" s="67"/>
      <c r="D949" s="67"/>
      <c r="E949" s="186"/>
      <c r="F949" s="186"/>
      <c r="G949" s="186"/>
      <c r="H949" s="186"/>
      <c r="I949" s="186"/>
      <c r="J949" s="186"/>
      <c r="K949" s="186"/>
      <c r="L949" s="186"/>
      <c r="M949" s="186"/>
      <c r="N949" s="186"/>
      <c r="O949" s="186"/>
      <c r="P949" s="186"/>
      <c r="Q949" s="186"/>
      <c r="R949" s="186"/>
      <c r="S949" s="67"/>
      <c r="T949" s="67"/>
      <c r="U949" s="67"/>
      <c r="V949" s="187"/>
      <c r="W949" s="186"/>
      <c r="X949" s="187"/>
      <c r="Y949" s="187"/>
      <c r="Z949" s="187"/>
      <c r="AA949" s="186"/>
      <c r="AB949" s="186"/>
      <c r="AC949" s="67"/>
      <c r="AD949" s="67"/>
      <c r="AE949" s="67"/>
      <c r="AH949" s="186"/>
      <c r="AK949" s="186"/>
    </row>
    <row r="950">
      <c r="A950" s="185"/>
      <c r="B950" s="67"/>
      <c r="C950" s="67"/>
      <c r="D950" s="67"/>
      <c r="E950" s="186"/>
      <c r="F950" s="186"/>
      <c r="G950" s="186"/>
      <c r="H950" s="186"/>
      <c r="I950" s="186"/>
      <c r="J950" s="186"/>
      <c r="K950" s="186"/>
      <c r="L950" s="186"/>
      <c r="M950" s="186"/>
      <c r="N950" s="186"/>
      <c r="O950" s="186"/>
      <c r="P950" s="186"/>
      <c r="Q950" s="186"/>
      <c r="R950" s="186"/>
      <c r="S950" s="67"/>
      <c r="T950" s="67"/>
      <c r="U950" s="67"/>
      <c r="V950" s="187"/>
      <c r="W950" s="186"/>
      <c r="X950" s="187"/>
      <c r="Y950" s="187"/>
      <c r="Z950" s="187"/>
      <c r="AA950" s="186"/>
      <c r="AB950" s="186"/>
      <c r="AC950" s="67"/>
      <c r="AD950" s="67"/>
      <c r="AE950" s="67"/>
      <c r="AH950" s="186"/>
      <c r="AK950" s="186"/>
    </row>
    <row r="951">
      <c r="A951" s="185"/>
      <c r="B951" s="67"/>
      <c r="C951" s="67"/>
      <c r="D951" s="67"/>
      <c r="E951" s="186"/>
      <c r="F951" s="186"/>
      <c r="G951" s="186"/>
      <c r="H951" s="186"/>
      <c r="I951" s="186"/>
      <c r="J951" s="186"/>
      <c r="K951" s="186"/>
      <c r="L951" s="186"/>
      <c r="M951" s="186"/>
      <c r="N951" s="186"/>
      <c r="O951" s="186"/>
      <c r="P951" s="186"/>
      <c r="Q951" s="186"/>
      <c r="R951" s="186"/>
      <c r="S951" s="67"/>
      <c r="T951" s="67"/>
      <c r="U951" s="67"/>
      <c r="V951" s="187"/>
      <c r="W951" s="186"/>
      <c r="X951" s="187"/>
      <c r="Y951" s="187"/>
      <c r="Z951" s="187"/>
      <c r="AA951" s="186"/>
      <c r="AB951" s="186"/>
      <c r="AC951" s="67"/>
      <c r="AD951" s="67"/>
      <c r="AE951" s="67"/>
      <c r="AH951" s="186"/>
      <c r="AK951" s="186"/>
    </row>
    <row r="952">
      <c r="A952" s="185"/>
      <c r="B952" s="67"/>
      <c r="C952" s="67"/>
      <c r="D952" s="67"/>
      <c r="E952" s="186"/>
      <c r="F952" s="186"/>
      <c r="G952" s="186"/>
      <c r="H952" s="186"/>
      <c r="I952" s="186"/>
      <c r="J952" s="186"/>
      <c r="K952" s="186"/>
      <c r="L952" s="186"/>
      <c r="M952" s="186"/>
      <c r="N952" s="186"/>
      <c r="O952" s="186"/>
      <c r="P952" s="186"/>
      <c r="Q952" s="186"/>
      <c r="R952" s="186"/>
      <c r="S952" s="67"/>
      <c r="T952" s="67"/>
      <c r="U952" s="67"/>
      <c r="V952" s="187"/>
      <c r="W952" s="186"/>
      <c r="X952" s="187"/>
      <c r="Y952" s="187"/>
      <c r="Z952" s="187"/>
      <c r="AA952" s="186"/>
      <c r="AB952" s="186"/>
      <c r="AC952" s="67"/>
      <c r="AD952" s="67"/>
      <c r="AE952" s="67"/>
      <c r="AH952" s="186"/>
      <c r="AK952" s="186"/>
    </row>
    <row r="953">
      <c r="A953" s="185"/>
      <c r="B953" s="67"/>
      <c r="C953" s="67"/>
      <c r="D953" s="67"/>
      <c r="E953" s="186"/>
      <c r="F953" s="186"/>
      <c r="G953" s="186"/>
      <c r="H953" s="186"/>
      <c r="I953" s="186"/>
      <c r="J953" s="186"/>
      <c r="K953" s="186"/>
      <c r="L953" s="186"/>
      <c r="M953" s="186"/>
      <c r="N953" s="186"/>
      <c r="O953" s="186"/>
      <c r="P953" s="186"/>
      <c r="Q953" s="186"/>
      <c r="R953" s="186"/>
      <c r="S953" s="67"/>
      <c r="T953" s="67"/>
      <c r="U953" s="67"/>
      <c r="V953" s="187"/>
      <c r="W953" s="186"/>
      <c r="X953" s="187"/>
      <c r="Y953" s="187"/>
      <c r="Z953" s="187"/>
      <c r="AA953" s="186"/>
      <c r="AB953" s="186"/>
      <c r="AC953" s="67"/>
      <c r="AD953" s="67"/>
      <c r="AE953" s="67"/>
      <c r="AH953" s="186"/>
      <c r="AK953" s="186"/>
    </row>
    <row r="954">
      <c r="A954" s="185"/>
      <c r="B954" s="67"/>
      <c r="C954" s="67"/>
      <c r="D954" s="67"/>
      <c r="E954" s="186"/>
      <c r="F954" s="186"/>
      <c r="G954" s="186"/>
      <c r="H954" s="186"/>
      <c r="I954" s="186"/>
      <c r="J954" s="186"/>
      <c r="K954" s="186"/>
      <c r="L954" s="186"/>
      <c r="M954" s="186"/>
      <c r="N954" s="186"/>
      <c r="O954" s="186"/>
      <c r="P954" s="186"/>
      <c r="Q954" s="186"/>
      <c r="R954" s="186"/>
      <c r="S954" s="67"/>
      <c r="T954" s="67"/>
      <c r="U954" s="67"/>
      <c r="V954" s="187"/>
      <c r="W954" s="186"/>
      <c r="X954" s="187"/>
      <c r="Y954" s="187"/>
      <c r="Z954" s="187"/>
      <c r="AA954" s="186"/>
      <c r="AB954" s="186"/>
      <c r="AC954" s="67"/>
      <c r="AD954" s="67"/>
      <c r="AE954" s="67"/>
      <c r="AH954" s="186"/>
      <c r="AK954" s="186"/>
    </row>
    <row r="955">
      <c r="A955" s="185"/>
      <c r="B955" s="67"/>
      <c r="C955" s="67"/>
      <c r="D955" s="67"/>
      <c r="E955" s="186"/>
      <c r="F955" s="186"/>
      <c r="G955" s="186"/>
      <c r="H955" s="186"/>
      <c r="I955" s="186"/>
      <c r="J955" s="186"/>
      <c r="K955" s="186"/>
      <c r="L955" s="186"/>
      <c r="M955" s="186"/>
      <c r="N955" s="186"/>
      <c r="O955" s="186"/>
      <c r="P955" s="186"/>
      <c r="Q955" s="186"/>
      <c r="R955" s="186"/>
      <c r="S955" s="67"/>
      <c r="T955" s="67"/>
      <c r="U955" s="67"/>
      <c r="V955" s="187"/>
      <c r="W955" s="186"/>
      <c r="X955" s="187"/>
      <c r="Y955" s="187"/>
      <c r="Z955" s="187"/>
      <c r="AA955" s="186"/>
      <c r="AB955" s="186"/>
      <c r="AC955" s="67"/>
      <c r="AD955" s="67"/>
      <c r="AE955" s="67"/>
      <c r="AH955" s="186"/>
      <c r="AK955" s="186"/>
    </row>
    <row r="956">
      <c r="A956" s="185"/>
      <c r="B956" s="67"/>
      <c r="C956" s="67"/>
      <c r="D956" s="67"/>
      <c r="E956" s="186"/>
      <c r="F956" s="186"/>
      <c r="G956" s="186"/>
      <c r="H956" s="186"/>
      <c r="I956" s="186"/>
      <c r="J956" s="186"/>
      <c r="K956" s="186"/>
      <c r="L956" s="186"/>
      <c r="M956" s="186"/>
      <c r="N956" s="186"/>
      <c r="O956" s="186"/>
      <c r="P956" s="186"/>
      <c r="Q956" s="186"/>
      <c r="R956" s="186"/>
      <c r="S956" s="67"/>
      <c r="T956" s="67"/>
      <c r="U956" s="67"/>
      <c r="V956" s="187"/>
      <c r="W956" s="186"/>
      <c r="X956" s="187"/>
      <c r="Y956" s="187"/>
      <c r="Z956" s="187"/>
      <c r="AA956" s="186"/>
      <c r="AB956" s="186"/>
      <c r="AC956" s="67"/>
      <c r="AD956" s="67"/>
      <c r="AE956" s="67"/>
      <c r="AH956" s="186"/>
      <c r="AK956" s="186"/>
    </row>
    <row r="957">
      <c r="A957" s="185"/>
      <c r="B957" s="67"/>
      <c r="C957" s="67"/>
      <c r="D957" s="67"/>
      <c r="E957" s="186"/>
      <c r="F957" s="186"/>
      <c r="G957" s="186"/>
      <c r="H957" s="186"/>
      <c r="I957" s="186"/>
      <c r="J957" s="186"/>
      <c r="K957" s="186"/>
      <c r="L957" s="186"/>
      <c r="M957" s="186"/>
      <c r="N957" s="186"/>
      <c r="O957" s="186"/>
      <c r="P957" s="186"/>
      <c r="Q957" s="186"/>
      <c r="R957" s="186"/>
      <c r="S957" s="67"/>
      <c r="T957" s="67"/>
      <c r="U957" s="67"/>
      <c r="V957" s="187"/>
      <c r="W957" s="186"/>
      <c r="X957" s="187"/>
      <c r="Y957" s="187"/>
      <c r="Z957" s="187"/>
      <c r="AA957" s="186"/>
      <c r="AB957" s="186"/>
      <c r="AC957" s="67"/>
      <c r="AD957" s="67"/>
      <c r="AE957" s="67"/>
      <c r="AH957" s="186"/>
      <c r="AK957" s="186"/>
    </row>
    <row r="958">
      <c r="A958" s="185"/>
      <c r="B958" s="67"/>
      <c r="C958" s="67"/>
      <c r="D958" s="67"/>
      <c r="E958" s="186"/>
      <c r="F958" s="186"/>
      <c r="G958" s="186"/>
      <c r="H958" s="186"/>
      <c r="I958" s="186"/>
      <c r="J958" s="186"/>
      <c r="K958" s="186"/>
      <c r="L958" s="186"/>
      <c r="M958" s="186"/>
      <c r="N958" s="186"/>
      <c r="O958" s="186"/>
      <c r="P958" s="186"/>
      <c r="Q958" s="186"/>
      <c r="R958" s="186"/>
      <c r="S958" s="67"/>
      <c r="T958" s="67"/>
      <c r="U958" s="67"/>
      <c r="V958" s="187"/>
      <c r="W958" s="186"/>
      <c r="X958" s="187"/>
      <c r="Y958" s="187"/>
      <c r="Z958" s="187"/>
      <c r="AA958" s="186"/>
      <c r="AB958" s="186"/>
      <c r="AC958" s="67"/>
      <c r="AD958" s="67"/>
      <c r="AE958" s="67"/>
      <c r="AH958" s="186"/>
      <c r="AK958" s="186"/>
    </row>
    <row r="959">
      <c r="A959" s="185"/>
      <c r="B959" s="67"/>
      <c r="C959" s="67"/>
      <c r="D959" s="67"/>
      <c r="E959" s="186"/>
      <c r="F959" s="186"/>
      <c r="G959" s="186"/>
      <c r="H959" s="186"/>
      <c r="I959" s="186"/>
      <c r="J959" s="186"/>
      <c r="K959" s="186"/>
      <c r="L959" s="186"/>
      <c r="M959" s="186"/>
      <c r="N959" s="186"/>
      <c r="O959" s="186"/>
      <c r="P959" s="186"/>
      <c r="Q959" s="186"/>
      <c r="R959" s="186"/>
      <c r="S959" s="67"/>
      <c r="T959" s="67"/>
      <c r="U959" s="67"/>
      <c r="V959" s="187"/>
      <c r="W959" s="186"/>
      <c r="X959" s="187"/>
      <c r="Y959" s="187"/>
      <c r="Z959" s="187"/>
      <c r="AA959" s="186"/>
      <c r="AB959" s="186"/>
      <c r="AC959" s="67"/>
      <c r="AD959" s="67"/>
      <c r="AE959" s="67"/>
      <c r="AH959" s="186"/>
      <c r="AK959" s="186"/>
    </row>
    <row r="960">
      <c r="A960" s="185"/>
      <c r="B960" s="67"/>
      <c r="C960" s="67"/>
      <c r="D960" s="67"/>
      <c r="E960" s="186"/>
      <c r="F960" s="186"/>
      <c r="G960" s="186"/>
      <c r="H960" s="186"/>
      <c r="I960" s="186"/>
      <c r="J960" s="186"/>
      <c r="K960" s="186"/>
      <c r="L960" s="186"/>
      <c r="M960" s="186"/>
      <c r="N960" s="186"/>
      <c r="O960" s="186"/>
      <c r="P960" s="186"/>
      <c r="Q960" s="186"/>
      <c r="R960" s="186"/>
      <c r="S960" s="67"/>
      <c r="T960" s="67"/>
      <c r="U960" s="67"/>
      <c r="V960" s="187"/>
      <c r="W960" s="186"/>
      <c r="X960" s="187"/>
      <c r="Y960" s="187"/>
      <c r="Z960" s="187"/>
      <c r="AA960" s="186"/>
      <c r="AB960" s="186"/>
      <c r="AC960" s="67"/>
      <c r="AD960" s="67"/>
      <c r="AE960" s="67"/>
      <c r="AH960" s="186"/>
      <c r="AK960" s="186"/>
    </row>
    <row r="961">
      <c r="A961" s="185"/>
      <c r="B961" s="67"/>
      <c r="C961" s="67"/>
      <c r="D961" s="67"/>
      <c r="E961" s="186"/>
      <c r="F961" s="186"/>
      <c r="G961" s="186"/>
      <c r="H961" s="186"/>
      <c r="I961" s="186"/>
      <c r="J961" s="186"/>
      <c r="K961" s="186"/>
      <c r="L961" s="186"/>
      <c r="M961" s="186"/>
      <c r="N961" s="186"/>
      <c r="O961" s="186"/>
      <c r="P961" s="186"/>
      <c r="Q961" s="186"/>
      <c r="R961" s="186"/>
      <c r="S961" s="67"/>
      <c r="T961" s="67"/>
      <c r="U961" s="67"/>
      <c r="V961" s="187"/>
      <c r="W961" s="186"/>
      <c r="X961" s="187"/>
      <c r="Y961" s="187"/>
      <c r="Z961" s="187"/>
      <c r="AA961" s="186"/>
      <c r="AB961" s="186"/>
      <c r="AC961" s="67"/>
      <c r="AD961" s="67"/>
      <c r="AE961" s="67"/>
      <c r="AH961" s="186"/>
      <c r="AK961" s="186"/>
    </row>
    <row r="962">
      <c r="A962" s="185"/>
      <c r="B962" s="67"/>
      <c r="C962" s="67"/>
      <c r="D962" s="67"/>
      <c r="E962" s="186"/>
      <c r="F962" s="186"/>
      <c r="G962" s="186"/>
      <c r="H962" s="186"/>
      <c r="I962" s="186"/>
      <c r="J962" s="186"/>
      <c r="K962" s="186"/>
      <c r="L962" s="186"/>
      <c r="M962" s="186"/>
      <c r="N962" s="186"/>
      <c r="O962" s="186"/>
      <c r="P962" s="186"/>
      <c r="Q962" s="186"/>
      <c r="R962" s="186"/>
      <c r="S962" s="67"/>
      <c r="T962" s="67"/>
      <c r="U962" s="67"/>
      <c r="V962" s="187"/>
      <c r="W962" s="186"/>
      <c r="X962" s="187"/>
      <c r="Y962" s="187"/>
      <c r="Z962" s="187"/>
      <c r="AA962" s="186"/>
      <c r="AB962" s="186"/>
      <c r="AC962" s="67"/>
      <c r="AD962" s="67"/>
      <c r="AE962" s="67"/>
      <c r="AH962" s="186"/>
      <c r="AK962" s="186"/>
    </row>
    <row r="963">
      <c r="A963" s="185"/>
      <c r="B963" s="67"/>
      <c r="C963" s="67"/>
      <c r="D963" s="67"/>
      <c r="E963" s="186"/>
      <c r="F963" s="186"/>
      <c r="G963" s="186"/>
      <c r="H963" s="186"/>
      <c r="I963" s="186"/>
      <c r="J963" s="186"/>
      <c r="K963" s="186"/>
      <c r="L963" s="186"/>
      <c r="M963" s="186"/>
      <c r="N963" s="186"/>
      <c r="O963" s="186"/>
      <c r="P963" s="186"/>
      <c r="Q963" s="186"/>
      <c r="R963" s="186"/>
      <c r="S963" s="67"/>
      <c r="T963" s="67"/>
      <c r="U963" s="67"/>
      <c r="V963" s="187"/>
      <c r="W963" s="186"/>
      <c r="X963" s="187"/>
      <c r="Y963" s="187"/>
      <c r="Z963" s="187"/>
      <c r="AA963" s="186"/>
      <c r="AB963" s="186"/>
      <c r="AC963" s="67"/>
      <c r="AD963" s="67"/>
      <c r="AE963" s="67"/>
      <c r="AH963" s="186"/>
      <c r="AK963" s="186"/>
    </row>
    <row r="964">
      <c r="A964" s="185"/>
      <c r="B964" s="67"/>
      <c r="C964" s="67"/>
      <c r="D964" s="67"/>
      <c r="E964" s="186"/>
      <c r="F964" s="186"/>
      <c r="G964" s="186"/>
      <c r="H964" s="186"/>
      <c r="I964" s="186"/>
      <c r="J964" s="186"/>
      <c r="K964" s="186"/>
      <c r="L964" s="186"/>
      <c r="M964" s="186"/>
      <c r="N964" s="186"/>
      <c r="O964" s="186"/>
      <c r="P964" s="186"/>
      <c r="Q964" s="186"/>
      <c r="R964" s="186"/>
      <c r="S964" s="67"/>
      <c r="T964" s="67"/>
      <c r="U964" s="67"/>
      <c r="V964" s="187"/>
      <c r="W964" s="186"/>
      <c r="X964" s="187"/>
      <c r="Y964" s="187"/>
      <c r="Z964" s="187"/>
      <c r="AA964" s="186"/>
      <c r="AB964" s="186"/>
      <c r="AC964" s="67"/>
      <c r="AD964" s="67"/>
      <c r="AE964" s="67"/>
      <c r="AH964" s="186"/>
      <c r="AK964" s="186"/>
    </row>
    <row r="965">
      <c r="A965" s="185"/>
      <c r="B965" s="67"/>
      <c r="C965" s="67"/>
      <c r="D965" s="67"/>
      <c r="E965" s="186"/>
      <c r="F965" s="186"/>
      <c r="G965" s="186"/>
      <c r="H965" s="186"/>
      <c r="I965" s="186"/>
      <c r="J965" s="186"/>
      <c r="K965" s="186"/>
      <c r="L965" s="186"/>
      <c r="M965" s="186"/>
      <c r="N965" s="186"/>
      <c r="O965" s="186"/>
      <c r="P965" s="186"/>
      <c r="Q965" s="186"/>
      <c r="R965" s="186"/>
      <c r="S965" s="67"/>
      <c r="T965" s="67"/>
      <c r="U965" s="67"/>
      <c r="V965" s="187"/>
      <c r="W965" s="186"/>
      <c r="X965" s="187"/>
      <c r="Y965" s="187"/>
      <c r="Z965" s="187"/>
      <c r="AA965" s="186"/>
      <c r="AB965" s="186"/>
      <c r="AC965" s="67"/>
      <c r="AD965" s="67"/>
      <c r="AE965" s="67"/>
      <c r="AH965" s="186"/>
      <c r="AK965" s="186"/>
    </row>
    <row r="966">
      <c r="A966" s="185"/>
      <c r="B966" s="67"/>
      <c r="C966" s="67"/>
      <c r="D966" s="67"/>
      <c r="E966" s="186"/>
      <c r="F966" s="186"/>
      <c r="G966" s="186"/>
      <c r="H966" s="186"/>
      <c r="I966" s="186"/>
      <c r="J966" s="186"/>
      <c r="K966" s="186"/>
      <c r="L966" s="186"/>
      <c r="M966" s="186"/>
      <c r="N966" s="186"/>
      <c r="O966" s="186"/>
      <c r="P966" s="186"/>
      <c r="Q966" s="186"/>
      <c r="R966" s="186"/>
      <c r="S966" s="67"/>
      <c r="T966" s="67"/>
      <c r="U966" s="67"/>
      <c r="V966" s="187"/>
      <c r="W966" s="186"/>
      <c r="X966" s="187"/>
      <c r="Y966" s="187"/>
      <c r="Z966" s="187"/>
      <c r="AA966" s="186"/>
      <c r="AB966" s="186"/>
      <c r="AC966" s="67"/>
      <c r="AD966" s="67"/>
      <c r="AE966" s="67"/>
      <c r="AH966" s="186"/>
      <c r="AK966" s="186"/>
    </row>
    <row r="967">
      <c r="A967" s="185"/>
      <c r="B967" s="67"/>
      <c r="C967" s="67"/>
      <c r="D967" s="67"/>
      <c r="E967" s="186"/>
      <c r="F967" s="186"/>
      <c r="G967" s="186"/>
      <c r="H967" s="186"/>
      <c r="I967" s="186"/>
      <c r="J967" s="186"/>
      <c r="K967" s="186"/>
      <c r="L967" s="186"/>
      <c r="M967" s="186"/>
      <c r="N967" s="186"/>
      <c r="O967" s="186"/>
      <c r="P967" s="186"/>
      <c r="Q967" s="186"/>
      <c r="R967" s="186"/>
      <c r="S967" s="67"/>
      <c r="T967" s="67"/>
      <c r="U967" s="67"/>
      <c r="V967" s="187"/>
      <c r="W967" s="186"/>
      <c r="X967" s="187"/>
      <c r="Y967" s="187"/>
      <c r="Z967" s="187"/>
      <c r="AA967" s="186"/>
      <c r="AB967" s="186"/>
      <c r="AC967" s="67"/>
      <c r="AD967" s="67"/>
      <c r="AE967" s="67"/>
      <c r="AH967" s="186"/>
      <c r="AK967" s="186"/>
    </row>
    <row r="968">
      <c r="A968" s="185"/>
      <c r="B968" s="67"/>
      <c r="C968" s="67"/>
      <c r="D968" s="67"/>
      <c r="E968" s="186"/>
      <c r="F968" s="186"/>
      <c r="G968" s="186"/>
      <c r="H968" s="186"/>
      <c r="I968" s="186"/>
      <c r="J968" s="186"/>
      <c r="K968" s="186"/>
      <c r="L968" s="186"/>
      <c r="M968" s="186"/>
      <c r="N968" s="186"/>
      <c r="O968" s="186"/>
      <c r="P968" s="186"/>
      <c r="Q968" s="186"/>
      <c r="R968" s="186"/>
      <c r="S968" s="67"/>
      <c r="T968" s="67"/>
      <c r="U968" s="67"/>
      <c r="V968" s="187"/>
      <c r="W968" s="186"/>
      <c r="X968" s="187"/>
      <c r="Y968" s="187"/>
      <c r="Z968" s="187"/>
      <c r="AA968" s="186"/>
      <c r="AB968" s="186"/>
      <c r="AC968" s="67"/>
      <c r="AD968" s="67"/>
      <c r="AE968" s="67"/>
      <c r="AH968" s="186"/>
      <c r="AK968" s="186"/>
    </row>
    <row r="969">
      <c r="A969" s="185"/>
      <c r="B969" s="67"/>
      <c r="C969" s="67"/>
      <c r="D969" s="67"/>
      <c r="E969" s="186"/>
      <c r="F969" s="186"/>
      <c r="G969" s="186"/>
      <c r="H969" s="186"/>
      <c r="I969" s="186"/>
      <c r="J969" s="186"/>
      <c r="K969" s="186"/>
      <c r="L969" s="186"/>
      <c r="M969" s="186"/>
      <c r="N969" s="186"/>
      <c r="O969" s="186"/>
      <c r="P969" s="186"/>
      <c r="Q969" s="186"/>
      <c r="R969" s="186"/>
      <c r="S969" s="67"/>
      <c r="T969" s="67"/>
      <c r="U969" s="67"/>
      <c r="V969" s="187"/>
      <c r="W969" s="186"/>
      <c r="X969" s="187"/>
      <c r="Y969" s="187"/>
      <c r="Z969" s="187"/>
      <c r="AA969" s="186"/>
      <c r="AB969" s="186"/>
      <c r="AC969" s="67"/>
      <c r="AD969" s="67"/>
      <c r="AE969" s="67"/>
      <c r="AH969" s="186"/>
      <c r="AK969" s="186"/>
    </row>
    <row r="970">
      <c r="A970" s="185"/>
      <c r="B970" s="67"/>
      <c r="C970" s="67"/>
      <c r="D970" s="67"/>
      <c r="E970" s="186"/>
      <c r="F970" s="186"/>
      <c r="G970" s="186"/>
      <c r="H970" s="186"/>
      <c r="I970" s="186"/>
      <c r="J970" s="186"/>
      <c r="K970" s="186"/>
      <c r="L970" s="186"/>
      <c r="M970" s="186"/>
      <c r="N970" s="186"/>
      <c r="O970" s="186"/>
      <c r="P970" s="186"/>
      <c r="Q970" s="186"/>
      <c r="R970" s="186"/>
      <c r="S970" s="67"/>
      <c r="T970" s="67"/>
      <c r="U970" s="67"/>
      <c r="V970" s="187"/>
      <c r="W970" s="186"/>
      <c r="X970" s="187"/>
      <c r="Y970" s="187"/>
      <c r="Z970" s="187"/>
      <c r="AA970" s="186"/>
      <c r="AB970" s="186"/>
      <c r="AC970" s="67"/>
      <c r="AD970" s="67"/>
      <c r="AE970" s="67"/>
      <c r="AH970" s="186"/>
      <c r="AK970" s="186"/>
    </row>
    <row r="971">
      <c r="A971" s="185"/>
      <c r="B971" s="67"/>
      <c r="C971" s="67"/>
      <c r="D971" s="67"/>
      <c r="E971" s="186"/>
      <c r="F971" s="186"/>
      <c r="G971" s="186"/>
      <c r="H971" s="186"/>
      <c r="I971" s="186"/>
      <c r="J971" s="186"/>
      <c r="K971" s="186"/>
      <c r="L971" s="186"/>
      <c r="M971" s="186"/>
      <c r="N971" s="186"/>
      <c r="O971" s="186"/>
      <c r="P971" s="186"/>
      <c r="Q971" s="186"/>
      <c r="R971" s="186"/>
      <c r="S971" s="67"/>
      <c r="T971" s="67"/>
      <c r="U971" s="67"/>
      <c r="V971" s="187"/>
      <c r="W971" s="186"/>
      <c r="X971" s="187"/>
      <c r="Y971" s="187"/>
      <c r="Z971" s="187"/>
      <c r="AA971" s="186"/>
      <c r="AB971" s="186"/>
      <c r="AC971" s="67"/>
      <c r="AD971" s="67"/>
      <c r="AE971" s="67"/>
      <c r="AH971" s="186"/>
      <c r="AK971" s="186"/>
    </row>
    <row r="972">
      <c r="A972" s="185"/>
      <c r="B972" s="67"/>
      <c r="C972" s="67"/>
      <c r="D972" s="67"/>
      <c r="E972" s="186"/>
      <c r="F972" s="186"/>
      <c r="G972" s="186"/>
      <c r="H972" s="186"/>
      <c r="I972" s="186"/>
      <c r="J972" s="186"/>
      <c r="K972" s="186"/>
      <c r="L972" s="186"/>
      <c r="M972" s="186"/>
      <c r="N972" s="186"/>
      <c r="O972" s="186"/>
      <c r="P972" s="186"/>
      <c r="Q972" s="186"/>
      <c r="R972" s="186"/>
      <c r="S972" s="67"/>
      <c r="T972" s="67"/>
      <c r="U972" s="67"/>
      <c r="V972" s="187"/>
      <c r="W972" s="186"/>
      <c r="X972" s="187"/>
      <c r="Y972" s="187"/>
      <c r="Z972" s="187"/>
      <c r="AA972" s="186"/>
      <c r="AB972" s="186"/>
      <c r="AC972" s="67"/>
      <c r="AD972" s="67"/>
      <c r="AE972" s="67"/>
      <c r="AH972" s="186"/>
      <c r="AK972" s="186"/>
    </row>
    <row r="973">
      <c r="A973" s="185"/>
      <c r="B973" s="67"/>
      <c r="C973" s="67"/>
      <c r="D973" s="67"/>
      <c r="E973" s="186"/>
      <c r="F973" s="186"/>
      <c r="G973" s="186"/>
      <c r="H973" s="186"/>
      <c r="I973" s="186"/>
      <c r="J973" s="186"/>
      <c r="K973" s="186"/>
      <c r="L973" s="186"/>
      <c r="M973" s="186"/>
      <c r="N973" s="186"/>
      <c r="O973" s="186"/>
      <c r="P973" s="186"/>
      <c r="Q973" s="186"/>
      <c r="R973" s="186"/>
      <c r="S973" s="67"/>
      <c r="T973" s="67"/>
      <c r="U973" s="67"/>
      <c r="V973" s="187"/>
      <c r="W973" s="186"/>
      <c r="X973" s="187"/>
      <c r="Y973" s="187"/>
      <c r="Z973" s="187"/>
      <c r="AA973" s="186"/>
      <c r="AB973" s="186"/>
      <c r="AC973" s="67"/>
      <c r="AD973" s="67"/>
      <c r="AE973" s="67"/>
      <c r="AH973" s="186"/>
      <c r="AK973" s="186"/>
    </row>
    <row r="974">
      <c r="A974" s="185"/>
      <c r="B974" s="67"/>
      <c r="C974" s="67"/>
      <c r="D974" s="67"/>
      <c r="E974" s="186"/>
      <c r="F974" s="186"/>
      <c r="G974" s="186"/>
      <c r="H974" s="186"/>
      <c r="I974" s="186"/>
      <c r="J974" s="186"/>
      <c r="K974" s="186"/>
      <c r="L974" s="186"/>
      <c r="M974" s="186"/>
      <c r="N974" s="186"/>
      <c r="O974" s="186"/>
      <c r="P974" s="186"/>
      <c r="Q974" s="186"/>
      <c r="R974" s="186"/>
      <c r="S974" s="67"/>
      <c r="T974" s="67"/>
      <c r="U974" s="67"/>
      <c r="V974" s="187"/>
      <c r="W974" s="186"/>
      <c r="X974" s="187"/>
      <c r="Y974" s="187"/>
      <c r="Z974" s="187"/>
      <c r="AA974" s="186"/>
      <c r="AB974" s="186"/>
      <c r="AC974" s="67"/>
      <c r="AD974" s="67"/>
      <c r="AE974" s="67"/>
      <c r="AH974" s="186"/>
      <c r="AK974" s="186"/>
    </row>
    <row r="975">
      <c r="A975" s="185"/>
      <c r="B975" s="67"/>
      <c r="C975" s="67"/>
      <c r="D975" s="67"/>
      <c r="E975" s="186"/>
      <c r="F975" s="186"/>
      <c r="G975" s="186"/>
      <c r="H975" s="186"/>
      <c r="I975" s="186"/>
      <c r="J975" s="186"/>
      <c r="K975" s="186"/>
      <c r="L975" s="186"/>
      <c r="M975" s="186"/>
      <c r="N975" s="186"/>
      <c r="O975" s="186"/>
      <c r="P975" s="186"/>
      <c r="Q975" s="186"/>
      <c r="R975" s="186"/>
      <c r="S975" s="67"/>
      <c r="T975" s="67"/>
      <c r="U975" s="67"/>
      <c r="V975" s="187"/>
      <c r="W975" s="186"/>
      <c r="X975" s="187"/>
      <c r="Y975" s="187"/>
      <c r="Z975" s="187"/>
      <c r="AA975" s="186"/>
      <c r="AB975" s="186"/>
      <c r="AC975" s="67"/>
      <c r="AD975" s="67"/>
      <c r="AE975" s="67"/>
      <c r="AH975" s="186"/>
      <c r="AK975" s="186"/>
    </row>
    <row r="976">
      <c r="A976" s="185"/>
      <c r="B976" s="67"/>
      <c r="C976" s="67"/>
      <c r="D976" s="67"/>
      <c r="E976" s="186"/>
      <c r="F976" s="186"/>
      <c r="G976" s="186"/>
      <c r="H976" s="186"/>
      <c r="I976" s="186"/>
      <c r="J976" s="186"/>
      <c r="K976" s="186"/>
      <c r="L976" s="186"/>
      <c r="M976" s="186"/>
      <c r="N976" s="186"/>
      <c r="O976" s="186"/>
      <c r="P976" s="186"/>
      <c r="Q976" s="186"/>
      <c r="R976" s="186"/>
      <c r="S976" s="67"/>
      <c r="T976" s="67"/>
      <c r="U976" s="67"/>
      <c r="V976" s="187"/>
      <c r="W976" s="186"/>
      <c r="X976" s="187"/>
      <c r="Y976" s="187"/>
      <c r="Z976" s="187"/>
      <c r="AA976" s="186"/>
      <c r="AB976" s="186"/>
      <c r="AC976" s="67"/>
      <c r="AD976" s="67"/>
      <c r="AE976" s="67"/>
      <c r="AH976" s="186"/>
      <c r="AK976" s="186"/>
    </row>
    <row r="977">
      <c r="A977" s="185"/>
      <c r="B977" s="67"/>
      <c r="C977" s="67"/>
      <c r="D977" s="67"/>
      <c r="E977" s="186"/>
      <c r="F977" s="186"/>
      <c r="G977" s="186"/>
      <c r="H977" s="186"/>
      <c r="I977" s="186"/>
      <c r="J977" s="186"/>
      <c r="K977" s="186"/>
      <c r="L977" s="186"/>
      <c r="M977" s="186"/>
      <c r="N977" s="186"/>
      <c r="O977" s="186"/>
      <c r="P977" s="186"/>
      <c r="Q977" s="186"/>
      <c r="R977" s="186"/>
      <c r="S977" s="67"/>
      <c r="T977" s="67"/>
      <c r="U977" s="67"/>
      <c r="V977" s="187"/>
      <c r="W977" s="186"/>
      <c r="X977" s="187"/>
      <c r="Y977" s="187"/>
      <c r="Z977" s="187"/>
      <c r="AA977" s="186"/>
      <c r="AB977" s="186"/>
      <c r="AC977" s="67"/>
      <c r="AD977" s="67"/>
      <c r="AE977" s="67"/>
      <c r="AH977" s="186"/>
      <c r="AK977" s="186"/>
    </row>
    <row r="978">
      <c r="A978" s="185"/>
      <c r="B978" s="67"/>
      <c r="C978" s="67"/>
      <c r="D978" s="67"/>
      <c r="E978" s="186"/>
      <c r="F978" s="186"/>
      <c r="G978" s="186"/>
      <c r="H978" s="186"/>
      <c r="I978" s="186"/>
      <c r="J978" s="186"/>
      <c r="K978" s="186"/>
      <c r="L978" s="186"/>
      <c r="M978" s="186"/>
      <c r="N978" s="186"/>
      <c r="O978" s="186"/>
      <c r="P978" s="186"/>
      <c r="Q978" s="186"/>
      <c r="R978" s="186"/>
      <c r="S978" s="67"/>
      <c r="T978" s="67"/>
      <c r="U978" s="67"/>
      <c r="V978" s="187"/>
      <c r="W978" s="186"/>
      <c r="X978" s="187"/>
      <c r="Y978" s="187"/>
      <c r="Z978" s="187"/>
      <c r="AA978" s="186"/>
      <c r="AB978" s="186"/>
      <c r="AC978" s="67"/>
      <c r="AD978" s="67"/>
      <c r="AE978" s="67"/>
      <c r="AH978" s="186"/>
      <c r="AK978" s="186"/>
    </row>
    <row r="979">
      <c r="A979" s="185"/>
      <c r="B979" s="67"/>
      <c r="C979" s="67"/>
      <c r="D979" s="67"/>
      <c r="E979" s="186"/>
      <c r="F979" s="186"/>
      <c r="G979" s="186"/>
      <c r="H979" s="186"/>
      <c r="I979" s="186"/>
      <c r="J979" s="186"/>
      <c r="K979" s="186"/>
      <c r="L979" s="186"/>
      <c r="M979" s="186"/>
      <c r="N979" s="186"/>
      <c r="O979" s="186"/>
      <c r="P979" s="186"/>
      <c r="Q979" s="186"/>
      <c r="R979" s="186"/>
      <c r="S979" s="67"/>
      <c r="T979" s="67"/>
      <c r="U979" s="67"/>
      <c r="V979" s="187"/>
      <c r="W979" s="186"/>
      <c r="X979" s="187"/>
      <c r="Y979" s="187"/>
      <c r="Z979" s="187"/>
      <c r="AA979" s="186"/>
      <c r="AB979" s="186"/>
      <c r="AC979" s="67"/>
      <c r="AD979" s="67"/>
      <c r="AE979" s="67"/>
      <c r="AH979" s="186"/>
      <c r="AK979" s="186"/>
    </row>
    <row r="980">
      <c r="A980" s="185"/>
      <c r="B980" s="67"/>
      <c r="C980" s="67"/>
      <c r="D980" s="67"/>
      <c r="E980" s="186"/>
      <c r="F980" s="186"/>
      <c r="G980" s="186"/>
      <c r="H980" s="186"/>
      <c r="I980" s="186"/>
      <c r="J980" s="186"/>
      <c r="K980" s="186"/>
      <c r="L980" s="186"/>
      <c r="M980" s="186"/>
      <c r="N980" s="186"/>
      <c r="O980" s="186"/>
      <c r="P980" s="186"/>
      <c r="Q980" s="186"/>
      <c r="R980" s="186"/>
      <c r="S980" s="67"/>
      <c r="T980" s="67"/>
      <c r="U980" s="67"/>
      <c r="V980" s="187"/>
      <c r="W980" s="186"/>
      <c r="X980" s="187"/>
      <c r="Y980" s="187"/>
      <c r="Z980" s="187"/>
      <c r="AA980" s="186"/>
      <c r="AB980" s="186"/>
      <c r="AC980" s="67"/>
      <c r="AD980" s="67"/>
      <c r="AE980" s="67"/>
      <c r="AH980" s="186"/>
      <c r="AK980" s="186"/>
    </row>
    <row r="981">
      <c r="A981" s="185"/>
      <c r="B981" s="67"/>
      <c r="C981" s="67"/>
      <c r="D981" s="67"/>
      <c r="E981" s="186"/>
      <c r="F981" s="186"/>
      <c r="G981" s="186"/>
      <c r="H981" s="186"/>
      <c r="I981" s="186"/>
      <c r="J981" s="186"/>
      <c r="K981" s="186"/>
      <c r="L981" s="186"/>
      <c r="M981" s="186"/>
      <c r="N981" s="186"/>
      <c r="O981" s="186"/>
      <c r="P981" s="186"/>
      <c r="Q981" s="186"/>
      <c r="R981" s="186"/>
      <c r="S981" s="67"/>
      <c r="T981" s="67"/>
      <c r="U981" s="67"/>
      <c r="V981" s="187"/>
      <c r="W981" s="186"/>
      <c r="X981" s="187"/>
      <c r="Y981" s="187"/>
      <c r="Z981" s="187"/>
      <c r="AA981" s="186"/>
      <c r="AB981" s="186"/>
      <c r="AC981" s="67"/>
      <c r="AD981" s="67"/>
      <c r="AE981" s="67"/>
      <c r="AH981" s="186"/>
      <c r="AK981" s="186"/>
    </row>
    <row r="982">
      <c r="A982" s="185"/>
      <c r="B982" s="67"/>
      <c r="C982" s="67"/>
      <c r="D982" s="67"/>
      <c r="E982" s="186"/>
      <c r="F982" s="186"/>
      <c r="G982" s="186"/>
      <c r="H982" s="186"/>
      <c r="I982" s="186"/>
      <c r="J982" s="186"/>
      <c r="K982" s="186"/>
      <c r="L982" s="186"/>
      <c r="M982" s="186"/>
      <c r="N982" s="186"/>
      <c r="O982" s="186"/>
      <c r="P982" s="186"/>
      <c r="Q982" s="186"/>
      <c r="R982" s="186"/>
      <c r="S982" s="67"/>
      <c r="T982" s="67"/>
      <c r="U982" s="67"/>
      <c r="V982" s="187"/>
      <c r="W982" s="186"/>
      <c r="X982" s="187"/>
      <c r="Y982" s="187"/>
      <c r="Z982" s="187"/>
      <c r="AA982" s="186"/>
      <c r="AB982" s="186"/>
      <c r="AC982" s="67"/>
      <c r="AD982" s="67"/>
      <c r="AE982" s="67"/>
      <c r="AH982" s="186"/>
      <c r="AK982" s="186"/>
    </row>
    <row r="983">
      <c r="A983" s="185"/>
      <c r="B983" s="67"/>
      <c r="C983" s="67"/>
      <c r="D983" s="67"/>
      <c r="E983" s="186"/>
      <c r="F983" s="186"/>
      <c r="G983" s="186"/>
      <c r="H983" s="186"/>
      <c r="I983" s="186"/>
      <c r="J983" s="186"/>
      <c r="K983" s="186"/>
      <c r="L983" s="186"/>
      <c r="M983" s="186"/>
      <c r="N983" s="186"/>
      <c r="O983" s="186"/>
      <c r="P983" s="186"/>
      <c r="Q983" s="186"/>
      <c r="R983" s="186"/>
      <c r="S983" s="67"/>
      <c r="T983" s="67"/>
      <c r="U983" s="67"/>
      <c r="V983" s="187"/>
      <c r="W983" s="186"/>
      <c r="X983" s="187"/>
      <c r="Y983" s="187"/>
      <c r="Z983" s="187"/>
      <c r="AA983" s="186"/>
      <c r="AB983" s="186"/>
      <c r="AC983" s="67"/>
      <c r="AD983" s="67"/>
      <c r="AE983" s="67"/>
      <c r="AH983" s="186"/>
      <c r="AK983" s="186"/>
    </row>
    <row r="984">
      <c r="A984" s="185"/>
      <c r="B984" s="67"/>
      <c r="C984" s="67"/>
      <c r="D984" s="67"/>
      <c r="E984" s="186"/>
      <c r="F984" s="186"/>
      <c r="G984" s="186"/>
      <c r="H984" s="186"/>
      <c r="I984" s="186"/>
      <c r="J984" s="186"/>
      <c r="K984" s="186"/>
      <c r="L984" s="186"/>
      <c r="M984" s="186"/>
      <c r="N984" s="186"/>
      <c r="O984" s="186"/>
      <c r="P984" s="186"/>
      <c r="Q984" s="186"/>
      <c r="R984" s="186"/>
      <c r="S984" s="67"/>
      <c r="T984" s="67"/>
      <c r="U984" s="67"/>
      <c r="V984" s="187"/>
      <c r="W984" s="186"/>
      <c r="X984" s="187"/>
      <c r="Y984" s="187"/>
      <c r="Z984" s="187"/>
      <c r="AA984" s="186"/>
      <c r="AB984" s="186"/>
      <c r="AC984" s="67"/>
      <c r="AD984" s="67"/>
      <c r="AE984" s="67"/>
      <c r="AH984" s="186"/>
      <c r="AK984" s="186"/>
    </row>
    <row r="985">
      <c r="A985" s="185"/>
      <c r="B985" s="67"/>
      <c r="C985" s="67"/>
      <c r="D985" s="67"/>
      <c r="E985" s="186"/>
      <c r="F985" s="186"/>
      <c r="G985" s="186"/>
      <c r="H985" s="186"/>
      <c r="I985" s="186"/>
      <c r="J985" s="186"/>
      <c r="K985" s="186"/>
      <c r="L985" s="186"/>
      <c r="M985" s="186"/>
      <c r="N985" s="186"/>
      <c r="O985" s="186"/>
      <c r="P985" s="186"/>
      <c r="Q985" s="186"/>
      <c r="R985" s="186"/>
      <c r="S985" s="67"/>
      <c r="T985" s="67"/>
      <c r="U985" s="67"/>
      <c r="V985" s="187"/>
      <c r="W985" s="186"/>
      <c r="X985" s="187"/>
      <c r="Y985" s="187"/>
      <c r="Z985" s="187"/>
      <c r="AA985" s="186"/>
      <c r="AB985" s="186"/>
      <c r="AC985" s="67"/>
      <c r="AD985" s="67"/>
      <c r="AE985" s="67"/>
      <c r="AH985" s="186"/>
      <c r="AK985" s="186"/>
    </row>
    <row r="986">
      <c r="A986" s="185"/>
      <c r="B986" s="67"/>
      <c r="C986" s="67"/>
      <c r="D986" s="67"/>
      <c r="E986" s="186"/>
      <c r="F986" s="186"/>
      <c r="G986" s="186"/>
      <c r="H986" s="186"/>
      <c r="I986" s="186"/>
      <c r="J986" s="186"/>
      <c r="K986" s="186"/>
      <c r="L986" s="186"/>
      <c r="M986" s="186"/>
      <c r="N986" s="186"/>
      <c r="O986" s="186"/>
      <c r="P986" s="186"/>
      <c r="Q986" s="186"/>
      <c r="R986" s="186"/>
      <c r="S986" s="67"/>
      <c r="T986" s="67"/>
      <c r="U986" s="67"/>
      <c r="V986" s="187"/>
      <c r="W986" s="186"/>
      <c r="X986" s="187"/>
      <c r="Y986" s="187"/>
      <c r="Z986" s="187"/>
      <c r="AA986" s="186"/>
      <c r="AB986" s="186"/>
      <c r="AC986" s="67"/>
      <c r="AD986" s="67"/>
      <c r="AE986" s="67"/>
      <c r="AH986" s="186"/>
      <c r="AK986" s="186"/>
    </row>
    <row r="987">
      <c r="A987" s="185"/>
      <c r="B987" s="67"/>
      <c r="C987" s="67"/>
      <c r="D987" s="67"/>
      <c r="E987" s="186"/>
      <c r="F987" s="186"/>
      <c r="G987" s="186"/>
      <c r="H987" s="186"/>
      <c r="I987" s="186"/>
      <c r="J987" s="186"/>
      <c r="K987" s="186"/>
      <c r="L987" s="186"/>
      <c r="M987" s="186"/>
      <c r="N987" s="186"/>
      <c r="O987" s="186"/>
      <c r="P987" s="186"/>
      <c r="Q987" s="186"/>
      <c r="R987" s="186"/>
      <c r="S987" s="67"/>
      <c r="T987" s="67"/>
      <c r="U987" s="67"/>
      <c r="V987" s="187"/>
      <c r="W987" s="186"/>
      <c r="X987" s="187"/>
      <c r="Y987" s="187"/>
      <c r="Z987" s="187"/>
      <c r="AA987" s="186"/>
      <c r="AB987" s="186"/>
      <c r="AC987" s="67"/>
      <c r="AD987" s="67"/>
      <c r="AE987" s="67"/>
      <c r="AH987" s="186"/>
      <c r="AK987" s="186"/>
    </row>
    <row r="988">
      <c r="A988" s="185"/>
      <c r="B988" s="67"/>
      <c r="C988" s="67"/>
      <c r="D988" s="67"/>
      <c r="E988" s="186"/>
      <c r="F988" s="186"/>
      <c r="G988" s="186"/>
      <c r="H988" s="186"/>
      <c r="I988" s="186"/>
      <c r="J988" s="186"/>
      <c r="K988" s="186"/>
      <c r="L988" s="186"/>
      <c r="M988" s="186"/>
      <c r="N988" s="186"/>
      <c r="O988" s="186"/>
      <c r="P988" s="186"/>
      <c r="Q988" s="186"/>
      <c r="R988" s="186"/>
      <c r="S988" s="67"/>
      <c r="T988" s="67"/>
      <c r="U988" s="67"/>
      <c r="V988" s="187"/>
      <c r="W988" s="186"/>
      <c r="X988" s="187"/>
      <c r="Y988" s="187"/>
      <c r="Z988" s="187"/>
      <c r="AA988" s="186"/>
      <c r="AB988" s="186"/>
      <c r="AC988" s="67"/>
      <c r="AD988" s="67"/>
      <c r="AE988" s="67"/>
      <c r="AH988" s="186"/>
      <c r="AK988" s="186"/>
    </row>
    <row r="989">
      <c r="A989" s="185"/>
      <c r="B989" s="67"/>
      <c r="C989" s="67"/>
      <c r="D989" s="67"/>
      <c r="E989" s="186"/>
      <c r="F989" s="186"/>
      <c r="G989" s="186"/>
      <c r="H989" s="186"/>
      <c r="I989" s="186"/>
      <c r="J989" s="186"/>
      <c r="K989" s="186"/>
      <c r="L989" s="186"/>
      <c r="M989" s="186"/>
      <c r="N989" s="186"/>
      <c r="O989" s="186"/>
      <c r="P989" s="186"/>
      <c r="Q989" s="186"/>
      <c r="R989" s="186"/>
      <c r="S989" s="67"/>
      <c r="T989" s="67"/>
      <c r="U989" s="67"/>
      <c r="V989" s="187"/>
      <c r="W989" s="186"/>
      <c r="X989" s="187"/>
      <c r="Y989" s="187"/>
      <c r="Z989" s="187"/>
      <c r="AA989" s="186"/>
      <c r="AB989" s="186"/>
      <c r="AC989" s="67"/>
      <c r="AD989" s="67"/>
      <c r="AE989" s="67"/>
      <c r="AH989" s="186"/>
      <c r="AK989" s="186"/>
    </row>
    <row r="990">
      <c r="A990" s="185"/>
      <c r="B990" s="67"/>
      <c r="C990" s="67"/>
      <c r="D990" s="67"/>
      <c r="E990" s="186"/>
      <c r="F990" s="186"/>
      <c r="G990" s="186"/>
      <c r="H990" s="186"/>
      <c r="I990" s="186"/>
      <c r="J990" s="186"/>
      <c r="K990" s="186"/>
      <c r="L990" s="186"/>
      <c r="M990" s="186"/>
      <c r="N990" s="186"/>
      <c r="O990" s="186"/>
      <c r="P990" s="186"/>
      <c r="Q990" s="186"/>
      <c r="R990" s="186"/>
      <c r="S990" s="67"/>
      <c r="T990" s="67"/>
      <c r="U990" s="67"/>
      <c r="V990" s="187"/>
      <c r="W990" s="186"/>
      <c r="X990" s="187"/>
      <c r="Y990" s="187"/>
      <c r="Z990" s="187"/>
      <c r="AA990" s="186"/>
      <c r="AB990" s="186"/>
      <c r="AC990" s="67"/>
      <c r="AD990" s="67"/>
      <c r="AE990" s="67"/>
      <c r="AH990" s="186"/>
      <c r="AK990" s="186"/>
    </row>
    <row r="991">
      <c r="A991" s="185"/>
      <c r="B991" s="67"/>
      <c r="C991" s="67"/>
      <c r="D991" s="67"/>
      <c r="E991" s="186"/>
      <c r="F991" s="186"/>
      <c r="G991" s="186"/>
      <c r="H991" s="186"/>
      <c r="I991" s="186"/>
      <c r="J991" s="186"/>
      <c r="K991" s="186"/>
      <c r="L991" s="186"/>
      <c r="M991" s="186"/>
      <c r="N991" s="186"/>
      <c r="O991" s="186"/>
      <c r="P991" s="186"/>
      <c r="Q991" s="186"/>
      <c r="R991" s="186"/>
      <c r="S991" s="67"/>
      <c r="T991" s="67"/>
      <c r="U991" s="67"/>
      <c r="V991" s="187"/>
      <c r="W991" s="186"/>
      <c r="X991" s="187"/>
      <c r="Y991" s="187"/>
      <c r="Z991" s="187"/>
      <c r="AA991" s="186"/>
      <c r="AB991" s="186"/>
      <c r="AC991" s="67"/>
      <c r="AD991" s="67"/>
      <c r="AE991" s="67"/>
      <c r="AH991" s="186"/>
      <c r="AK991" s="186"/>
    </row>
    <row r="992">
      <c r="A992" s="185"/>
      <c r="B992" s="67"/>
      <c r="C992" s="67"/>
      <c r="D992" s="67"/>
      <c r="E992" s="186"/>
      <c r="F992" s="186"/>
      <c r="G992" s="186"/>
      <c r="H992" s="186"/>
      <c r="I992" s="186"/>
      <c r="J992" s="186"/>
      <c r="K992" s="186"/>
      <c r="L992" s="186"/>
      <c r="M992" s="186"/>
      <c r="N992" s="186"/>
      <c r="O992" s="186"/>
      <c r="P992" s="186"/>
      <c r="Q992" s="186"/>
      <c r="R992" s="186"/>
      <c r="S992" s="67"/>
      <c r="T992" s="67"/>
      <c r="U992" s="67"/>
      <c r="V992" s="187"/>
      <c r="W992" s="186"/>
      <c r="X992" s="187"/>
      <c r="Y992" s="187"/>
      <c r="Z992" s="187"/>
      <c r="AA992" s="186"/>
      <c r="AB992" s="186"/>
      <c r="AC992" s="67"/>
      <c r="AD992" s="67"/>
      <c r="AE992" s="67"/>
      <c r="AH992" s="186"/>
      <c r="AK992" s="186"/>
    </row>
    <row r="993">
      <c r="A993" s="185"/>
      <c r="B993" s="67"/>
      <c r="C993" s="67"/>
      <c r="D993" s="67"/>
      <c r="E993" s="186"/>
      <c r="F993" s="186"/>
      <c r="G993" s="186"/>
      <c r="H993" s="186"/>
      <c r="I993" s="186"/>
      <c r="J993" s="186"/>
      <c r="K993" s="186"/>
      <c r="L993" s="186"/>
      <c r="M993" s="186"/>
      <c r="N993" s="186"/>
      <c r="O993" s="186"/>
      <c r="P993" s="186"/>
      <c r="Q993" s="186"/>
      <c r="R993" s="186"/>
      <c r="S993" s="67"/>
      <c r="T993" s="67"/>
      <c r="U993" s="67"/>
      <c r="V993" s="187"/>
      <c r="W993" s="186"/>
      <c r="X993" s="187"/>
      <c r="Y993" s="187"/>
      <c r="Z993" s="187"/>
      <c r="AA993" s="186"/>
      <c r="AB993" s="186"/>
      <c r="AC993" s="67"/>
      <c r="AD993" s="67"/>
      <c r="AE993" s="67"/>
      <c r="AH993" s="186"/>
      <c r="AK993" s="186"/>
    </row>
    <row r="994">
      <c r="A994" s="185"/>
      <c r="B994" s="67"/>
      <c r="C994" s="67"/>
      <c r="D994" s="67"/>
      <c r="E994" s="186"/>
      <c r="F994" s="186"/>
      <c r="G994" s="186"/>
      <c r="H994" s="186"/>
      <c r="I994" s="186"/>
      <c r="J994" s="186"/>
      <c r="K994" s="186"/>
      <c r="L994" s="186"/>
      <c r="M994" s="186"/>
      <c r="N994" s="186"/>
      <c r="O994" s="186"/>
      <c r="P994" s="186"/>
      <c r="Q994" s="186"/>
      <c r="R994" s="186"/>
      <c r="S994" s="67"/>
      <c r="T994" s="67"/>
      <c r="U994" s="67"/>
      <c r="V994" s="187"/>
      <c r="W994" s="186"/>
      <c r="X994" s="187"/>
      <c r="Y994" s="187"/>
      <c r="Z994" s="187"/>
      <c r="AA994" s="186"/>
      <c r="AB994" s="186"/>
      <c r="AC994" s="67"/>
      <c r="AD994" s="67"/>
      <c r="AE994" s="67"/>
      <c r="AH994" s="186"/>
      <c r="AK994" s="186"/>
    </row>
    <row r="995">
      <c r="A995" s="185"/>
      <c r="B995" s="67"/>
      <c r="C995" s="67"/>
      <c r="D995" s="67"/>
      <c r="E995" s="186"/>
      <c r="F995" s="186"/>
      <c r="G995" s="186"/>
      <c r="H995" s="186"/>
      <c r="I995" s="186"/>
      <c r="J995" s="186"/>
      <c r="K995" s="186"/>
      <c r="L995" s="186"/>
      <c r="M995" s="186"/>
      <c r="N995" s="186"/>
      <c r="O995" s="186"/>
      <c r="P995" s="186"/>
      <c r="Q995" s="186"/>
      <c r="R995" s="186"/>
      <c r="S995" s="67"/>
      <c r="T995" s="67"/>
      <c r="U995" s="67"/>
      <c r="V995" s="187"/>
      <c r="W995" s="186"/>
      <c r="X995" s="187"/>
      <c r="Y995" s="187"/>
      <c r="Z995" s="187"/>
      <c r="AA995" s="186"/>
      <c r="AB995" s="186"/>
      <c r="AC995" s="67"/>
      <c r="AD995" s="67"/>
      <c r="AE995" s="67"/>
      <c r="AH995" s="186"/>
      <c r="AK995" s="186"/>
    </row>
    <row r="996">
      <c r="A996" s="185"/>
      <c r="B996" s="67"/>
      <c r="C996" s="67"/>
      <c r="D996" s="67"/>
      <c r="E996" s="186"/>
      <c r="F996" s="186"/>
      <c r="G996" s="186"/>
      <c r="H996" s="186"/>
      <c r="I996" s="186"/>
      <c r="J996" s="186"/>
      <c r="K996" s="186"/>
      <c r="L996" s="186"/>
      <c r="M996" s="186"/>
      <c r="N996" s="186"/>
      <c r="O996" s="186"/>
      <c r="P996" s="186"/>
      <c r="Q996" s="186"/>
      <c r="R996" s="186"/>
      <c r="S996" s="67"/>
      <c r="T996" s="67"/>
      <c r="U996" s="67"/>
      <c r="V996" s="187"/>
      <c r="W996" s="186"/>
      <c r="X996" s="187"/>
      <c r="Y996" s="187"/>
      <c r="Z996" s="187"/>
      <c r="AA996" s="186"/>
      <c r="AB996" s="186"/>
      <c r="AC996" s="67"/>
      <c r="AD996" s="67"/>
      <c r="AE996" s="67"/>
      <c r="AH996" s="186"/>
      <c r="AK996" s="186"/>
    </row>
    <row r="997">
      <c r="A997" s="185"/>
      <c r="B997" s="67"/>
      <c r="C997" s="67"/>
      <c r="D997" s="67"/>
      <c r="E997" s="186"/>
      <c r="F997" s="186"/>
      <c r="G997" s="186"/>
      <c r="H997" s="186"/>
      <c r="I997" s="186"/>
      <c r="J997" s="186"/>
      <c r="K997" s="186"/>
      <c r="L997" s="186"/>
      <c r="M997" s="186"/>
      <c r="N997" s="186"/>
      <c r="O997" s="186"/>
      <c r="P997" s="186"/>
      <c r="Q997" s="186"/>
      <c r="R997" s="186"/>
      <c r="S997" s="67"/>
      <c r="T997" s="67"/>
      <c r="U997" s="67"/>
      <c r="V997" s="187"/>
      <c r="W997" s="186"/>
      <c r="X997" s="187"/>
      <c r="Y997" s="187"/>
      <c r="Z997" s="187"/>
      <c r="AA997" s="186"/>
      <c r="AB997" s="186"/>
      <c r="AC997" s="67"/>
      <c r="AD997" s="67"/>
      <c r="AE997" s="67"/>
      <c r="AH997" s="186"/>
      <c r="AK997" s="186"/>
    </row>
    <row r="998">
      <c r="A998" s="185"/>
      <c r="B998" s="67"/>
      <c r="C998" s="67"/>
      <c r="D998" s="67"/>
      <c r="E998" s="186"/>
      <c r="F998" s="186"/>
      <c r="G998" s="186"/>
      <c r="H998" s="186"/>
      <c r="I998" s="186"/>
      <c r="J998" s="186"/>
      <c r="K998" s="186"/>
      <c r="L998" s="186"/>
      <c r="M998" s="186"/>
      <c r="N998" s="186"/>
      <c r="O998" s="186"/>
      <c r="P998" s="186"/>
      <c r="Q998" s="186"/>
      <c r="R998" s="186"/>
      <c r="S998" s="67"/>
      <c r="T998" s="67"/>
      <c r="V998" s="187"/>
      <c r="W998" s="186"/>
      <c r="X998" s="187"/>
      <c r="Y998" s="187"/>
      <c r="Z998" s="187"/>
      <c r="AA998" s="186"/>
      <c r="AB998" s="186"/>
      <c r="AC998" s="67"/>
      <c r="AD998" s="67"/>
      <c r="AE998" s="67"/>
      <c r="AH998" s="186"/>
      <c r="AK998" s="186"/>
    </row>
    <row r="999">
      <c r="A999" s="185"/>
      <c r="B999" s="67"/>
      <c r="C999" s="67"/>
      <c r="D999" s="67"/>
      <c r="E999" s="186"/>
      <c r="F999" s="186"/>
      <c r="G999" s="186"/>
      <c r="H999" s="186"/>
      <c r="I999" s="186"/>
      <c r="J999" s="186"/>
      <c r="K999" s="186"/>
      <c r="L999" s="186"/>
      <c r="M999" s="186"/>
      <c r="N999" s="186"/>
      <c r="O999" s="186"/>
      <c r="P999" s="186"/>
      <c r="Q999" s="186"/>
      <c r="R999" s="186"/>
      <c r="S999" s="67"/>
      <c r="T999" s="67"/>
      <c r="V999" s="187"/>
      <c r="W999" s="186"/>
      <c r="X999" s="187"/>
      <c r="Y999" s="187"/>
      <c r="Z999" s="187"/>
      <c r="AA999" s="186"/>
      <c r="AB999" s="186"/>
      <c r="AC999" s="67"/>
      <c r="AD999" s="67"/>
      <c r="AE999" s="67"/>
      <c r="AH999" s="186"/>
      <c r="AK999" s="186"/>
    </row>
    <row r="1000">
      <c r="A1000" s="185"/>
      <c r="C1000" s="67"/>
      <c r="D1000" s="67"/>
      <c r="E1000" s="186"/>
      <c r="F1000" s="186"/>
      <c r="G1000" s="186"/>
      <c r="H1000" s="186"/>
      <c r="I1000" s="186"/>
      <c r="J1000" s="186"/>
      <c r="K1000" s="186"/>
      <c r="L1000" s="186"/>
      <c r="M1000" s="186"/>
      <c r="N1000" s="186"/>
      <c r="O1000" s="186"/>
      <c r="P1000" s="186"/>
      <c r="Q1000" s="186"/>
      <c r="R1000" s="186"/>
      <c r="S1000" s="67"/>
      <c r="T1000" s="67"/>
      <c r="V1000" s="187"/>
      <c r="W1000" s="186"/>
      <c r="X1000" s="187"/>
      <c r="Y1000" s="187"/>
      <c r="Z1000" s="187"/>
      <c r="AA1000" s="186"/>
      <c r="AB1000" s="186"/>
      <c r="AC1000" s="67"/>
      <c r="AD1000" s="67"/>
      <c r="AE1000" s="67"/>
      <c r="AH1000" s="186"/>
      <c r="AK1000" s="186"/>
    </row>
    <row r="1001">
      <c r="A1001" s="185"/>
      <c r="C1001" s="67"/>
      <c r="D1001" s="67"/>
      <c r="E1001" s="186"/>
      <c r="F1001" s="186"/>
      <c r="G1001" s="186"/>
      <c r="H1001" s="186"/>
      <c r="I1001" s="186"/>
      <c r="J1001" s="186"/>
      <c r="K1001" s="186"/>
      <c r="L1001" s="186"/>
      <c r="M1001" s="186"/>
      <c r="N1001" s="186"/>
      <c r="O1001" s="186"/>
      <c r="P1001" s="186"/>
      <c r="Q1001" s="186"/>
      <c r="R1001" s="186"/>
      <c r="S1001" s="67"/>
      <c r="T1001" s="67"/>
      <c r="V1001" s="187"/>
      <c r="W1001" s="186"/>
      <c r="X1001" s="187"/>
      <c r="Y1001" s="187"/>
      <c r="Z1001" s="187"/>
      <c r="AA1001" s="186"/>
      <c r="AB1001" s="186"/>
      <c r="AC1001" s="67"/>
      <c r="AD1001" s="67"/>
      <c r="AE1001" s="67"/>
      <c r="AH1001" s="186"/>
      <c r="AK1001" s="186"/>
    </row>
    <row r="1002">
      <c r="A1002" s="185"/>
      <c r="C1002" s="67"/>
      <c r="D1002" s="67"/>
      <c r="E1002" s="186"/>
      <c r="F1002" s="186"/>
      <c r="G1002" s="186"/>
      <c r="H1002" s="186"/>
      <c r="I1002" s="186"/>
      <c r="J1002" s="186"/>
      <c r="K1002" s="186"/>
      <c r="L1002" s="186"/>
      <c r="M1002" s="186"/>
      <c r="N1002" s="186"/>
      <c r="O1002" s="186"/>
      <c r="P1002" s="186"/>
      <c r="Q1002" s="186"/>
      <c r="R1002" s="186"/>
      <c r="S1002" s="67"/>
      <c r="T1002" s="67"/>
      <c r="V1002" s="187"/>
      <c r="W1002" s="186"/>
      <c r="X1002" s="187"/>
      <c r="Y1002" s="187"/>
      <c r="Z1002" s="187"/>
      <c r="AA1002" s="186"/>
      <c r="AB1002" s="186"/>
      <c r="AC1002" s="67"/>
      <c r="AD1002" s="67"/>
      <c r="AE1002" s="67"/>
      <c r="AH1002" s="186"/>
      <c r="AK1002" s="186"/>
    </row>
    <row r="1003">
      <c r="A1003" s="185"/>
      <c r="C1003" s="67"/>
      <c r="D1003" s="67"/>
      <c r="E1003" s="186"/>
      <c r="F1003" s="186"/>
      <c r="G1003" s="186"/>
      <c r="H1003" s="186"/>
      <c r="I1003" s="186"/>
      <c r="J1003" s="186"/>
      <c r="K1003" s="186"/>
      <c r="L1003" s="186"/>
      <c r="M1003" s="186"/>
      <c r="N1003" s="186"/>
      <c r="O1003" s="186"/>
      <c r="P1003" s="186"/>
      <c r="Q1003" s="186"/>
      <c r="R1003" s="186"/>
      <c r="S1003" s="67"/>
      <c r="T1003" s="67"/>
      <c r="V1003" s="187"/>
      <c r="W1003" s="186"/>
      <c r="X1003" s="187"/>
      <c r="Y1003" s="187"/>
      <c r="Z1003" s="187"/>
      <c r="AA1003" s="186"/>
      <c r="AB1003" s="186"/>
      <c r="AC1003" s="67"/>
      <c r="AD1003" s="67"/>
      <c r="AE1003" s="67"/>
      <c r="AH1003" s="186"/>
      <c r="AK1003" s="186"/>
    </row>
    <row r="1004">
      <c r="A1004" s="185"/>
      <c r="C1004" s="67"/>
      <c r="D1004" s="67"/>
      <c r="E1004" s="186"/>
      <c r="F1004" s="186"/>
      <c r="G1004" s="186"/>
      <c r="H1004" s="186"/>
      <c r="I1004" s="186"/>
      <c r="J1004" s="186"/>
      <c r="K1004" s="186"/>
      <c r="L1004" s="186"/>
      <c r="M1004" s="186"/>
      <c r="N1004" s="186"/>
      <c r="O1004" s="186"/>
      <c r="P1004" s="186"/>
      <c r="Q1004" s="186"/>
      <c r="R1004" s="186"/>
      <c r="S1004" s="67"/>
      <c r="T1004" s="67"/>
      <c r="V1004" s="187"/>
      <c r="W1004" s="186"/>
      <c r="X1004" s="187"/>
      <c r="Y1004" s="187"/>
      <c r="Z1004" s="187"/>
      <c r="AA1004" s="186"/>
      <c r="AB1004" s="186"/>
      <c r="AC1004" s="67"/>
      <c r="AD1004" s="67"/>
      <c r="AE1004" s="67"/>
      <c r="AH1004" s="186"/>
      <c r="AK1004" s="186"/>
    </row>
    <row r="1005">
      <c r="A1005" s="185"/>
      <c r="C1005" s="67"/>
      <c r="D1005" s="67"/>
      <c r="E1005" s="186"/>
      <c r="F1005" s="186"/>
      <c r="G1005" s="186"/>
      <c r="H1005" s="186"/>
      <c r="I1005" s="186"/>
      <c r="J1005" s="186"/>
      <c r="K1005" s="186"/>
      <c r="L1005" s="186"/>
      <c r="M1005" s="186"/>
      <c r="N1005" s="186"/>
      <c r="O1005" s="186"/>
      <c r="P1005" s="186"/>
      <c r="Q1005" s="186"/>
      <c r="R1005" s="186"/>
      <c r="S1005" s="67"/>
      <c r="T1005" s="67"/>
      <c r="V1005" s="187"/>
      <c r="W1005" s="186"/>
      <c r="X1005" s="187"/>
      <c r="Y1005" s="187"/>
      <c r="Z1005" s="187"/>
      <c r="AA1005" s="186"/>
      <c r="AB1005" s="186"/>
      <c r="AC1005" s="67"/>
      <c r="AD1005" s="67"/>
      <c r="AE1005" s="67"/>
      <c r="AH1005" s="186"/>
      <c r="AK1005" s="186"/>
    </row>
    <row r="1006">
      <c r="A1006" s="185"/>
      <c r="C1006" s="67"/>
      <c r="D1006" s="67"/>
      <c r="E1006" s="186"/>
      <c r="F1006" s="186"/>
      <c r="G1006" s="186"/>
      <c r="H1006" s="186"/>
      <c r="I1006" s="186"/>
      <c r="J1006" s="186"/>
      <c r="K1006" s="186"/>
      <c r="L1006" s="186"/>
      <c r="M1006" s="186"/>
      <c r="N1006" s="186"/>
      <c r="O1006" s="186"/>
      <c r="P1006" s="186"/>
      <c r="Q1006" s="186"/>
      <c r="R1006" s="186"/>
      <c r="S1006" s="67"/>
      <c r="T1006" s="67"/>
      <c r="V1006" s="187"/>
      <c r="W1006" s="186"/>
      <c r="X1006" s="187"/>
      <c r="Y1006" s="187"/>
      <c r="Z1006" s="187"/>
      <c r="AA1006" s="186"/>
      <c r="AB1006" s="186"/>
      <c r="AC1006" s="67"/>
      <c r="AD1006" s="67"/>
      <c r="AE1006" s="67"/>
      <c r="AH1006" s="186"/>
      <c r="AK1006" s="186"/>
    </row>
    <row r="1007">
      <c r="A1007" s="185"/>
      <c r="C1007" s="67"/>
      <c r="D1007" s="67"/>
      <c r="E1007" s="186"/>
      <c r="F1007" s="186"/>
      <c r="G1007" s="186"/>
      <c r="H1007" s="186"/>
      <c r="I1007" s="186"/>
      <c r="J1007" s="186"/>
      <c r="K1007" s="186"/>
      <c r="L1007" s="186"/>
      <c r="M1007" s="186"/>
      <c r="N1007" s="186"/>
      <c r="O1007" s="186"/>
      <c r="P1007" s="186"/>
      <c r="Q1007" s="186"/>
      <c r="R1007" s="186"/>
      <c r="S1007" s="67"/>
      <c r="T1007" s="67"/>
      <c r="V1007" s="187"/>
      <c r="W1007" s="186"/>
      <c r="X1007" s="187"/>
      <c r="Y1007" s="187"/>
      <c r="Z1007" s="187"/>
      <c r="AA1007" s="186"/>
      <c r="AB1007" s="186"/>
      <c r="AC1007" s="67"/>
      <c r="AD1007" s="67"/>
      <c r="AE1007" s="67"/>
      <c r="AH1007" s="186"/>
      <c r="AK1007" s="186"/>
    </row>
    <row r="1008">
      <c r="A1008" s="185"/>
      <c r="C1008" s="67"/>
      <c r="D1008" s="67"/>
      <c r="E1008" s="186"/>
      <c r="F1008" s="186"/>
      <c r="G1008" s="186"/>
      <c r="H1008" s="186"/>
      <c r="I1008" s="186"/>
      <c r="J1008" s="186"/>
      <c r="K1008" s="186"/>
      <c r="L1008" s="186"/>
      <c r="M1008" s="186"/>
      <c r="N1008" s="186"/>
      <c r="O1008" s="186"/>
      <c r="P1008" s="186"/>
      <c r="Q1008" s="186"/>
      <c r="R1008" s="186"/>
      <c r="S1008" s="67"/>
      <c r="T1008" s="67"/>
      <c r="V1008" s="187"/>
      <c r="W1008" s="186"/>
      <c r="X1008" s="187"/>
      <c r="Y1008" s="187"/>
      <c r="Z1008" s="187"/>
      <c r="AA1008" s="186"/>
      <c r="AB1008" s="186"/>
      <c r="AC1008" s="67"/>
      <c r="AD1008" s="67"/>
      <c r="AE1008" s="67"/>
      <c r="AH1008" s="186"/>
      <c r="AK1008" s="186"/>
    </row>
    <row r="1009">
      <c r="A1009" s="185"/>
      <c r="C1009" s="67"/>
      <c r="D1009" s="67"/>
      <c r="E1009" s="186"/>
      <c r="F1009" s="186"/>
      <c r="G1009" s="186"/>
      <c r="H1009" s="186"/>
      <c r="I1009" s="186"/>
      <c r="J1009" s="186"/>
      <c r="K1009" s="186"/>
      <c r="L1009" s="186"/>
      <c r="M1009" s="186"/>
      <c r="N1009" s="186"/>
      <c r="O1009" s="186"/>
      <c r="P1009" s="186"/>
      <c r="Q1009" s="186"/>
      <c r="R1009" s="186"/>
      <c r="S1009" s="67"/>
      <c r="T1009" s="67"/>
      <c r="V1009" s="187"/>
      <c r="W1009" s="186"/>
      <c r="X1009" s="187"/>
      <c r="Y1009" s="187"/>
      <c r="Z1009" s="187"/>
      <c r="AA1009" s="186"/>
      <c r="AB1009" s="186"/>
      <c r="AC1009" s="67"/>
      <c r="AD1009" s="67"/>
      <c r="AE1009" s="67"/>
      <c r="AH1009" s="186"/>
      <c r="AK1009" s="186"/>
    </row>
    <row r="1010">
      <c r="A1010" s="113"/>
    </row>
    <row r="1011">
      <c r="A1011" s="113"/>
    </row>
    <row r="1012">
      <c r="A1012" s="113"/>
    </row>
    <row r="1013">
      <c r="A1013" s="113"/>
    </row>
    <row r="1014">
      <c r="A1014" s="113"/>
    </row>
    <row r="1015">
      <c r="A1015" s="113"/>
    </row>
  </sheetData>
  <conditionalFormatting sqref="H2:H17">
    <cfRule type="expression" dxfId="14" priority="1">
      <formula>H2="N/A"</formula>
    </cfRule>
  </conditionalFormatting>
  <conditionalFormatting sqref="H2:H17">
    <cfRule type="expression" dxfId="15" priority="2">
      <formula>AND(ISNUMBER(H2), H2&gt;=9)</formula>
    </cfRule>
  </conditionalFormatting>
  <conditionalFormatting sqref="H2:H17">
    <cfRule type="expression" dxfId="16" priority="3">
      <formula>AND(ISNUMBER(H2), H2&gt;=8)</formula>
    </cfRule>
  </conditionalFormatting>
  <conditionalFormatting sqref="H2:H17">
    <cfRule type="expression" dxfId="17" priority="4">
      <formula>AND(ISNUMBER(H2), H2&gt;=6)</formula>
    </cfRule>
  </conditionalFormatting>
  <conditionalFormatting sqref="H2:H17">
    <cfRule type="expression" dxfId="18" priority="5">
      <formula>AND(ISNUMBER(H2), H2&gt;=4)</formula>
    </cfRule>
  </conditionalFormatting>
  <conditionalFormatting sqref="H2:H17">
    <cfRule type="expression" dxfId="19" priority="6">
      <formula>AND(ISNUMBER(H2), H2&lt;4)</formula>
    </cfRule>
  </conditionalFormatting>
  <conditionalFormatting sqref="AH2:AH31">
    <cfRule type="cellIs" dxfId="3" priority="7" operator="equal">
      <formula>"Expensive"</formula>
    </cfRule>
  </conditionalFormatting>
  <conditionalFormatting sqref="AH2:AH31">
    <cfRule type="cellIs" dxfId="4" priority="8" operator="equal">
      <formula>"Overrated"</formula>
    </cfRule>
  </conditionalFormatting>
  <conditionalFormatting sqref="V9:V17">
    <cfRule type="cellIs" dxfId="20" priority="9" operator="greaterThan">
      <formula>"20%"</formula>
    </cfRule>
  </conditionalFormatting>
  <conditionalFormatting sqref="V2:V10">
    <cfRule type="cellIs" dxfId="20" priority="10" operator="greaterThan">
      <formula>"10%"</formula>
    </cfRule>
  </conditionalFormatting>
  <conditionalFormatting sqref="V2:V17 AH2:AH31 AJ2:AJ31">
    <cfRule type="cellIs" dxfId="12" priority="11" operator="equal">
      <formula>"Buy"</formula>
    </cfRule>
  </conditionalFormatting>
  <conditionalFormatting sqref="K32">
    <cfRule type="cellIs" dxfId="21" priority="12" operator="lessThan">
      <formula>0</formula>
    </cfRule>
  </conditionalFormatting>
  <conditionalFormatting sqref="O32 W32">
    <cfRule type="cellIs" dxfId="21" priority="13" operator="lessThan">
      <formula>0</formula>
    </cfRule>
  </conditionalFormatting>
  <conditionalFormatting sqref="P32:R32">
    <cfRule type="cellIs" dxfId="21" priority="14" operator="lessThan">
      <formula>0</formula>
    </cfRule>
  </conditionalFormatting>
  <conditionalFormatting sqref="J32">
    <cfRule type="cellIs" dxfId="21" priority="15" operator="lessThan">
      <formula>0</formula>
    </cfRule>
  </conditionalFormatting>
  <conditionalFormatting sqref="V2:V17 AH2:AH31 AJ2:AJ31">
    <cfRule type="cellIs" dxfId="6" priority="16" operator="equal">
      <formula>"Strong Buy"</formula>
    </cfRule>
  </conditionalFormatting>
  <conditionalFormatting sqref="V2:V17 AH2:AH31 AJ2:AJ31">
    <cfRule type="cellIs" dxfId="3" priority="17" operator="equal">
      <formula>"Avg. Cost"</formula>
    </cfRule>
  </conditionalFormatting>
  <conditionalFormatting sqref="AJ2:AJ31">
    <cfRule type="containsText" dxfId="5" priority="18" operator="containsText" text="Overcost">
      <formula>NOT(ISERROR(SEARCH(("Overcost"),(AJ2))))</formula>
    </cfRule>
  </conditionalFormatting>
  <conditionalFormatting sqref="V2:V17 AH2:AH31 AJ2:AJ31">
    <cfRule type="cellIs" dxfId="7" priority="19" operator="equal">
      <formula>"Hold"</formula>
    </cfRule>
  </conditionalFormatting>
  <conditionalFormatting sqref="I2:J17 O2:R17 AG2:AG31 AI2:AI31">
    <cfRule type="cellIs" dxfId="20" priority="20" operator="lessThan">
      <formula>0</formula>
    </cfRule>
  </conditionalFormatting>
  <conditionalFormatting sqref="I2:J17 O2:R17 AG2:AG31 AI2:AI31">
    <cfRule type="cellIs" dxfId="9" priority="21" operator="greaterThanOrEqual">
      <formula>0</formula>
    </cfRule>
  </conditionalFormatting>
  <dataValidations>
    <dataValidation type="list" allowBlank="1" sqref="S2:S31">
      <formula1>"(Select Security),Stocks,ETFs,Crypto"</formula1>
    </dataValidation>
    <dataValidation type="list" allowBlank="1" sqref="T2:T31">
      <formula1>"(Select),Communication Services,Consumer Discretionary,Consumer Staples,Energy,ETF,Financials,Health Care,Industrials,Materials,Real Estate,Utilities,Information Technology,Bonds"</formula1>
    </dataValidation>
    <dataValidation type="list" allowBlank="1" sqref="U2:U31">
      <formula1>"(Select),US Bonds,International Market,Value Stocks,Growth,Foundational"</formula1>
    </dataValidation>
  </dataValidations>
  <drawing r:id="rId1"/>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25"/>
    <col customWidth="1" min="2" max="2" width="40.13"/>
    <col customWidth="1" min="3" max="3" width="12.63"/>
    <col customWidth="1" min="4" max="4" width="9.63"/>
    <col customWidth="1" min="5" max="5" width="9.75"/>
    <col customWidth="1" min="6" max="6" width="11.5"/>
    <col customWidth="1" min="7" max="7" width="13.0"/>
    <col customWidth="1" min="8" max="8" width="15.88"/>
    <col customWidth="1" min="9" max="9" width="16.25"/>
    <col customWidth="1" min="10" max="10" width="23.38"/>
    <col customWidth="1" min="11" max="11" width="9.38"/>
    <col customWidth="1" min="12" max="12" width="12.13"/>
    <col customWidth="1" min="13" max="13" width="11.13"/>
    <col customWidth="1" min="14" max="14" width="13.0"/>
    <col customWidth="1" min="15" max="15" width="14.63"/>
    <col customWidth="1" min="16" max="16" width="13.5"/>
    <col customWidth="1" min="17" max="17" width="14.0"/>
    <col customWidth="1" min="18" max="18" width="12.88"/>
    <col customWidth="1" min="19" max="19" width="11.25"/>
    <col customWidth="1" min="20" max="20" width="10.63"/>
    <col customWidth="1" min="21" max="21" width="11.25"/>
    <col customWidth="1" min="22" max="22" width="11.0"/>
    <col customWidth="1" min="23" max="23" width="10.75"/>
    <col customWidth="1" min="24" max="24" width="22.38"/>
    <col customWidth="1" min="25" max="25" width="13.63"/>
    <col customWidth="1" min="26" max="26" width="13.75"/>
    <col customWidth="1" min="27" max="27" width="10.88"/>
    <col customWidth="1" min="28" max="29" width="13.25"/>
    <col customWidth="1" min="30" max="30" width="12.88"/>
    <col customWidth="1" min="31" max="31" width="12.38"/>
    <col customWidth="1" min="32" max="32" width="14.88"/>
    <col customWidth="1" min="33" max="33" width="15.75"/>
    <col customWidth="1" min="34" max="34" width="15.38"/>
    <col customWidth="1" min="35" max="37" width="16.75"/>
    <col customWidth="1" min="38" max="38" width="13.75"/>
  </cols>
  <sheetData>
    <row r="1">
      <c r="A1" s="116" t="s">
        <v>71</v>
      </c>
      <c r="B1" s="117" t="s">
        <v>72</v>
      </c>
      <c r="C1" s="117" t="s">
        <v>74</v>
      </c>
      <c r="D1" s="118" t="s">
        <v>75</v>
      </c>
      <c r="E1" s="118" t="s">
        <v>76</v>
      </c>
      <c r="F1" s="124" t="s">
        <v>77</v>
      </c>
      <c r="G1" s="118" t="s">
        <v>78</v>
      </c>
      <c r="H1" s="117" t="s">
        <v>85</v>
      </c>
      <c r="I1" s="117" t="s">
        <v>86</v>
      </c>
      <c r="J1" s="117" t="s">
        <v>87</v>
      </c>
      <c r="K1" s="120" t="s">
        <v>88</v>
      </c>
      <c r="L1" s="118" t="s">
        <v>9</v>
      </c>
      <c r="M1" s="121" t="s">
        <v>12</v>
      </c>
      <c r="N1" s="119" t="s">
        <v>95</v>
      </c>
      <c r="O1" s="125" t="s">
        <v>96</v>
      </c>
      <c r="P1" s="117" t="s">
        <v>97</v>
      </c>
      <c r="Q1" s="125" t="s">
        <v>98</v>
      </c>
      <c r="R1" s="201" t="s">
        <v>142</v>
      </c>
      <c r="S1" s="202" t="s">
        <v>143</v>
      </c>
      <c r="T1" s="202" t="s">
        <v>144</v>
      </c>
      <c r="U1" s="202" t="s">
        <v>145</v>
      </c>
      <c r="V1" s="202" t="s">
        <v>146</v>
      </c>
      <c r="W1" s="203" t="s">
        <v>147</v>
      </c>
    </row>
    <row r="2">
      <c r="A2" s="127" t="str">
        <f>Positions!A2</f>
        <v>GOOGL</v>
      </c>
      <c r="B2" s="128" t="str">
        <f>IFERROR(__xludf.DUMMYFUNCTION("IF(ISBLANK(A2),"""", googlefinance(A2, ""name""))"),"Alphabet Inc Class A")</f>
        <v>Alphabet Inc Class A</v>
      </c>
      <c r="C2" s="204">
        <f>Positions!D2</f>
        <v>9.025</v>
      </c>
      <c r="D2" s="205">
        <f>Positions!E2</f>
        <v>154.48</v>
      </c>
      <c r="E2" s="132">
        <f>IFERROR(__xludf.DUMMYFUNCTION("IF(ISBLANK(A2),"""", googlefinance(A2, ""price""))"),300.88)</f>
        <v>300.88</v>
      </c>
      <c r="F2" s="135">
        <f>Positions!G2</f>
        <v>187.26</v>
      </c>
      <c r="G2" s="206">
        <f>Positions!H2</f>
        <v>8.58</v>
      </c>
      <c r="H2" s="138" t="s">
        <v>101</v>
      </c>
      <c r="I2" s="138" t="s">
        <v>102</v>
      </c>
      <c r="J2" s="138" t="s">
        <v>103</v>
      </c>
      <c r="K2" s="139">
        <f t="shared" ref="K2:K31" si="1">if(isblank(A2),"",L2/$L$32)</f>
        <v>0.08394964382</v>
      </c>
      <c r="L2" s="135">
        <f t="shared" ref="L2:L31" si="2">IF(ISBLANK(A2),"",C2*E2)</f>
        <v>2715.442</v>
      </c>
      <c r="M2" s="136">
        <f>Positions!X2</f>
        <v>0.0028</v>
      </c>
      <c r="N2" s="207">
        <f t="shared" ref="N2:N31" si="3">iferror(IF(ISBLANK(F2),"",(E2-F2)/F2),"")
</f>
        <v>0.6067499733</v>
      </c>
      <c r="O2" s="145" t="str">
        <f t="shared" ref="O2:O31" si="4">IF(N2="", "", IF(N2&lt;=-15%, "Strong Buy", IF(N2&lt;0%, "Buy", IF(N2&lt;=15%, "Expensive", "Overrated"))))</f>
        <v>Overrated</v>
      </c>
      <c r="P2" s="136">
        <f t="shared" ref="P2:P31" si="5">IF(ISBLANK(A2),"",(E2-D2)/D2)
</f>
        <v>0.9476954946</v>
      </c>
      <c r="Q2" s="146" t="str">
        <f t="shared" ref="Q2:Q31" si="6">IF(A2="", "", IF(P2&lt;-15%, "Strong Buy", IF(P2&lt;-5%, "Buy", IF(P2&lt;5%, "Avg. Cost", IF(P2&lt;=15%, "Overcost", "Hold")))))</f>
        <v>Hold</v>
      </c>
      <c r="R2" s="208">
        <f t="shared" ref="R2:R31" si="7">iferror($C$35/E2,"")</f>
        <v>26.45662723</v>
      </c>
      <c r="S2" s="209">
        <v>0.0</v>
      </c>
      <c r="T2" s="146">
        <f t="shared" ref="T2:T31" si="8">E2*S2</f>
        <v>0</v>
      </c>
      <c r="U2" s="146">
        <f t="shared" ref="U2:U31" si="9">(C2+S2)*E2</f>
        <v>2715.442</v>
      </c>
      <c r="V2" s="210">
        <f t="shared" ref="V2:V31" si="10">U2/$U$32</f>
        <v>0.08394964382</v>
      </c>
      <c r="W2" s="211">
        <f t="shared" ref="W2:W31" si="11">iferror(((C2*D2)+(S2*E2))/(C2+S2),"")</f>
        <v>154.48</v>
      </c>
    </row>
    <row r="3">
      <c r="A3" s="127" t="str">
        <f>Positions!A3</f>
        <v>MSFT</v>
      </c>
      <c r="B3" s="128" t="str">
        <f>IFERROR(__xludf.DUMMYFUNCTION("IF(ISBLANK(A3),"""", googlefinance(A3, ""name""))"),"Microsoft Corp")</f>
        <v>Microsoft Corp</v>
      </c>
      <c r="C3" s="204">
        <f>Positions!D3</f>
        <v>9.552</v>
      </c>
      <c r="D3" s="205">
        <f>Positions!E3</f>
        <v>393.4</v>
      </c>
      <c r="E3" s="132">
        <f>IFERROR(__xludf.DUMMYFUNCTION("IF(ISBLANK(A3),"""", googlefinance(A3, ""price""))"),410.68)</f>
        <v>410.68</v>
      </c>
      <c r="F3" s="135">
        <f>Positions!G3</f>
        <v>334</v>
      </c>
      <c r="G3" s="206">
        <f>Positions!H3</f>
        <v>8.74</v>
      </c>
      <c r="H3" s="138" t="s">
        <v>101</v>
      </c>
      <c r="I3" s="138" t="s">
        <v>102</v>
      </c>
      <c r="J3" s="138" t="s">
        <v>103</v>
      </c>
      <c r="K3" s="139">
        <f t="shared" si="1"/>
        <v>0.1212763713</v>
      </c>
      <c r="L3" s="135">
        <f t="shared" si="2"/>
        <v>3922.81536</v>
      </c>
      <c r="M3" s="136" t="str">
        <f>Positions!X3</f>
        <v/>
      </c>
      <c r="N3" s="207">
        <f t="shared" si="3"/>
        <v>0.2295808383</v>
      </c>
      <c r="O3" s="145" t="str">
        <f t="shared" si="4"/>
        <v>Overrated</v>
      </c>
      <c r="P3" s="136">
        <f t="shared" si="5"/>
        <v>0.04392475852</v>
      </c>
      <c r="Q3" s="146" t="str">
        <f t="shared" si="6"/>
        <v>Avg. Cost</v>
      </c>
      <c r="R3" s="208">
        <f t="shared" si="7"/>
        <v>19.38314503</v>
      </c>
      <c r="S3" s="209">
        <v>0.0</v>
      </c>
      <c r="T3" s="146">
        <f t="shared" si="8"/>
        <v>0</v>
      </c>
      <c r="U3" s="146">
        <f t="shared" si="9"/>
        <v>3922.81536</v>
      </c>
      <c r="V3" s="139">
        <f t="shared" si="10"/>
        <v>0.1212763713</v>
      </c>
      <c r="W3" s="211">
        <f t="shared" si="11"/>
        <v>393.4</v>
      </c>
    </row>
    <row r="4">
      <c r="A4" s="127" t="str">
        <f>Positions!A4</f>
        <v>DIS</v>
      </c>
      <c r="B4" s="128" t="str">
        <f>IFERROR(__xludf.DUMMYFUNCTION("IF(ISBLANK(A4),"""", googlefinance(A4, ""name""))"),"Walt Disney Co")</f>
        <v>Walt Disney Co</v>
      </c>
      <c r="C4" s="204">
        <f>Positions!D4</f>
        <v>17.264</v>
      </c>
      <c r="D4" s="205">
        <f>Positions!E4</f>
        <v>93.48</v>
      </c>
      <c r="E4" s="132">
        <f>IFERROR(__xludf.DUMMYFUNCTION("IF(ISBLANK(A4),"""", googlefinance(A4, ""price""))"),102.41)</f>
        <v>102.41</v>
      </c>
      <c r="F4" s="135">
        <f>Positions!G4</f>
        <v>89.15</v>
      </c>
      <c r="G4" s="212">
        <f>Positions!H4</f>
        <v>3.29</v>
      </c>
      <c r="H4" s="138" t="s">
        <v>101</v>
      </c>
      <c r="I4" s="138" t="s">
        <v>106</v>
      </c>
      <c r="J4" s="138" t="s">
        <v>103</v>
      </c>
      <c r="K4" s="139">
        <f t="shared" si="1"/>
        <v>0.05465905518</v>
      </c>
      <c r="L4" s="135">
        <f t="shared" si="2"/>
        <v>1768.00624</v>
      </c>
      <c r="M4" s="136">
        <f>Positions!X4</f>
        <v>0.0122</v>
      </c>
      <c r="N4" s="207">
        <f t="shared" si="3"/>
        <v>0.1487380819</v>
      </c>
      <c r="O4" s="145" t="str">
        <f t="shared" si="4"/>
        <v>Expensive</v>
      </c>
      <c r="P4" s="136">
        <f t="shared" si="5"/>
        <v>0.09552845528</v>
      </c>
      <c r="Q4" s="146" t="str">
        <f t="shared" si="6"/>
        <v>Overcost</v>
      </c>
      <c r="R4" s="208">
        <f t="shared" si="7"/>
        <v>77.72942095</v>
      </c>
      <c r="S4" s="209">
        <v>0.0</v>
      </c>
      <c r="T4" s="146">
        <f t="shared" si="8"/>
        <v>0</v>
      </c>
      <c r="U4" s="146">
        <f t="shared" si="9"/>
        <v>1768.00624</v>
      </c>
      <c r="V4" s="139">
        <f t="shared" si="10"/>
        <v>0.05465905518</v>
      </c>
      <c r="W4" s="211">
        <f t="shared" si="11"/>
        <v>93.48</v>
      </c>
    </row>
    <row r="5">
      <c r="A5" s="127" t="str">
        <f>Positions!A5</f>
        <v>TGT</v>
      </c>
      <c r="B5" s="128" t="str">
        <f>IFERROR(__xludf.DUMMYFUNCTION("IF(ISBLANK(A5),"""", googlefinance(A5, ""name""))"),"Target Corp")</f>
        <v>Target Corp</v>
      </c>
      <c r="C5" s="204">
        <f>Positions!D5</f>
        <v>31.358</v>
      </c>
      <c r="D5" s="205">
        <f>Positions!E5</f>
        <v>117.78</v>
      </c>
      <c r="E5" s="132">
        <f>IFERROR(__xludf.DUMMYFUNCTION("IF(ISBLANK(A5),"""", googlefinance(A5, ""price""))"),120.36)</f>
        <v>120.36</v>
      </c>
      <c r="F5" s="135">
        <f>Positions!G5</f>
        <v>226.6</v>
      </c>
      <c r="G5" s="206">
        <f>Positions!H5</f>
        <v>6.59</v>
      </c>
      <c r="H5" s="138" t="s">
        <v>101</v>
      </c>
      <c r="I5" s="138" t="s">
        <v>108</v>
      </c>
      <c r="J5" s="138" t="s">
        <v>103</v>
      </c>
      <c r="K5" s="139">
        <f t="shared" si="1"/>
        <v>0.1166833426</v>
      </c>
      <c r="L5" s="135">
        <f t="shared" si="2"/>
        <v>3774.24888</v>
      </c>
      <c r="M5" s="136">
        <f>Positions!X5</f>
        <v>0.0377</v>
      </c>
      <c r="N5" s="207">
        <f t="shared" si="3"/>
        <v>-0.4688437776</v>
      </c>
      <c r="O5" s="145" t="str">
        <f t="shared" si="4"/>
        <v>Strong Buy</v>
      </c>
      <c r="P5" s="136">
        <f t="shared" si="5"/>
        <v>0.02190524707</v>
      </c>
      <c r="Q5" s="146" t="str">
        <f t="shared" si="6"/>
        <v>Avg. Cost</v>
      </c>
      <c r="R5" s="208">
        <f t="shared" si="7"/>
        <v>66.13717182</v>
      </c>
      <c r="S5" s="209">
        <v>0.0</v>
      </c>
      <c r="T5" s="146">
        <f t="shared" si="8"/>
        <v>0</v>
      </c>
      <c r="U5" s="146">
        <f t="shared" si="9"/>
        <v>3774.24888</v>
      </c>
      <c r="V5" s="139">
        <f t="shared" si="10"/>
        <v>0.1166833426</v>
      </c>
      <c r="W5" s="211">
        <f t="shared" si="11"/>
        <v>117.78</v>
      </c>
    </row>
    <row r="6">
      <c r="A6" s="127" t="str">
        <f>Positions!A6</f>
        <v>SBUX</v>
      </c>
      <c r="B6" s="128" t="str">
        <f>IFERROR(__xludf.DUMMYFUNCTION("IF(ISBLANK(A6),"""", googlefinance(A6, ""name""))"),"Starbucks Corp")</f>
        <v>Starbucks Corp</v>
      </c>
      <c r="C6" s="204">
        <f>Positions!D6</f>
        <v>5.071</v>
      </c>
      <c r="D6" s="205">
        <f>Positions!E6</f>
        <v>81.62</v>
      </c>
      <c r="E6" s="132">
        <f>IFERROR(__xludf.DUMMYFUNCTION("IF(ISBLANK(A6),"""", googlefinance(A6, ""price""))"),98.69)</f>
        <v>98.69</v>
      </c>
      <c r="F6" s="135">
        <f>Positions!G6</f>
        <v>89.57</v>
      </c>
      <c r="G6" s="206">
        <f>Positions!H6</f>
        <v>5.17</v>
      </c>
      <c r="H6" s="138" t="s">
        <v>101</v>
      </c>
      <c r="I6" s="138" t="s">
        <v>110</v>
      </c>
      <c r="J6" s="138" t="s">
        <v>103</v>
      </c>
      <c r="K6" s="139">
        <f t="shared" si="1"/>
        <v>0.01547195118</v>
      </c>
      <c r="L6" s="135">
        <f t="shared" si="2"/>
        <v>500.45699</v>
      </c>
      <c r="M6" s="136">
        <f>Positions!X6</f>
        <v>0.0249</v>
      </c>
      <c r="N6" s="207">
        <f t="shared" si="3"/>
        <v>0.1018198057</v>
      </c>
      <c r="O6" s="145" t="str">
        <f t="shared" si="4"/>
        <v>Expensive</v>
      </c>
      <c r="P6" s="136">
        <f t="shared" si="5"/>
        <v>0.2091399167</v>
      </c>
      <c r="Q6" s="146" t="str">
        <f t="shared" si="6"/>
        <v>Hold</v>
      </c>
      <c r="R6" s="208">
        <f t="shared" si="7"/>
        <v>80.65933732</v>
      </c>
      <c r="S6" s="209">
        <v>0.0</v>
      </c>
      <c r="T6" s="146">
        <f t="shared" si="8"/>
        <v>0</v>
      </c>
      <c r="U6" s="146">
        <f t="shared" si="9"/>
        <v>500.45699</v>
      </c>
      <c r="V6" s="139">
        <f t="shared" si="10"/>
        <v>0.01547195118</v>
      </c>
      <c r="W6" s="211">
        <f t="shared" si="11"/>
        <v>81.62</v>
      </c>
    </row>
    <row r="7">
      <c r="A7" s="127" t="str">
        <f>Positions!A7</f>
        <v>JPM</v>
      </c>
      <c r="B7" s="128" t="str">
        <f>IFERROR(__xludf.DUMMYFUNCTION("IF(ISBLANK(A7),"""", googlefinance(A7, ""name""))"),"JPMorgan Chase &amp; Co")</f>
        <v>JPMorgan Chase &amp; Co</v>
      </c>
      <c r="C7" s="204">
        <f>Positions!D7</f>
        <v>2.057</v>
      </c>
      <c r="D7" s="205">
        <f>Positions!E7</f>
        <v>199.07</v>
      </c>
      <c r="E7" s="132">
        <f>IFERROR(__xludf.DUMMYFUNCTION("IF(ISBLANK(A7),"""", googlefinance(A7, ""price""))"),293.55)</f>
        <v>293.55</v>
      </c>
      <c r="F7" s="135">
        <f>Positions!G7</f>
        <v>287.74</v>
      </c>
      <c r="G7" s="206">
        <f>Positions!H7</f>
        <v>6.82</v>
      </c>
      <c r="H7" s="138" t="s">
        <v>101</v>
      </c>
      <c r="I7" s="138" t="s">
        <v>112</v>
      </c>
      <c r="J7" s="138" t="s">
        <v>113</v>
      </c>
      <c r="K7" s="139">
        <f t="shared" si="1"/>
        <v>0.01866786722</v>
      </c>
      <c r="L7" s="135">
        <f t="shared" si="2"/>
        <v>603.83235</v>
      </c>
      <c r="M7" s="136">
        <f>Positions!X7</f>
        <v>0.0198</v>
      </c>
      <c r="N7" s="207">
        <f t="shared" si="3"/>
        <v>0.02019183986</v>
      </c>
      <c r="O7" s="145" t="str">
        <f t="shared" si="4"/>
        <v>Expensive</v>
      </c>
      <c r="P7" s="136">
        <f t="shared" si="5"/>
        <v>0.4746069222</v>
      </c>
      <c r="Q7" s="146" t="str">
        <f t="shared" si="6"/>
        <v>Hold</v>
      </c>
      <c r="R7" s="208">
        <f t="shared" si="7"/>
        <v>27.1172543</v>
      </c>
      <c r="S7" s="209">
        <v>0.0</v>
      </c>
      <c r="T7" s="146">
        <f t="shared" si="8"/>
        <v>0</v>
      </c>
      <c r="U7" s="146">
        <f t="shared" si="9"/>
        <v>603.83235</v>
      </c>
      <c r="V7" s="139">
        <f t="shared" si="10"/>
        <v>0.01866786722</v>
      </c>
      <c r="W7" s="211">
        <f t="shared" si="11"/>
        <v>199.07</v>
      </c>
    </row>
    <row r="8">
      <c r="A8" s="127" t="str">
        <f>Positions!A8</f>
        <v>KO</v>
      </c>
      <c r="B8" s="128" t="str">
        <f>IFERROR(__xludf.DUMMYFUNCTION("IF(ISBLANK(A8),"""", googlefinance(A8, ""name""))"),"Coca-Cola Co")</f>
        <v>Coca-Cola Co</v>
      </c>
      <c r="C8" s="204">
        <f>Positions!D8</f>
        <v>11.418</v>
      </c>
      <c r="D8" s="205">
        <f>Positions!E8</f>
        <v>63.85</v>
      </c>
      <c r="E8" s="132">
        <f>IFERROR(__xludf.DUMMYFUNCTION("IF(ISBLANK(A8),"""", googlefinance(A8, ""price""))"),77.03)</f>
        <v>77.03</v>
      </c>
      <c r="F8" s="135">
        <f>Positions!G8</f>
        <v>40.7</v>
      </c>
      <c r="G8" s="206">
        <f>Positions!H8</f>
        <v>6</v>
      </c>
      <c r="H8" s="138" t="s">
        <v>101</v>
      </c>
      <c r="I8" s="138" t="s">
        <v>108</v>
      </c>
      <c r="J8" s="138" t="s">
        <v>113</v>
      </c>
      <c r="K8" s="136">
        <f t="shared" si="1"/>
        <v>0.02719119306</v>
      </c>
      <c r="L8" s="135">
        <f t="shared" si="2"/>
        <v>879.52854</v>
      </c>
      <c r="M8" s="136">
        <f>Positions!X8</f>
        <v>0.0265</v>
      </c>
      <c r="N8" s="207">
        <f t="shared" si="3"/>
        <v>0.8926289926</v>
      </c>
      <c r="O8" s="145" t="str">
        <f t="shared" si="4"/>
        <v>Overrated</v>
      </c>
      <c r="P8" s="136">
        <f t="shared" si="5"/>
        <v>0.2064212999</v>
      </c>
      <c r="Q8" s="146" t="str">
        <f t="shared" si="6"/>
        <v>Hold</v>
      </c>
      <c r="R8" s="208">
        <f t="shared" si="7"/>
        <v>103.3398676</v>
      </c>
      <c r="S8" s="209">
        <v>0.0</v>
      </c>
      <c r="T8" s="146">
        <f t="shared" si="8"/>
        <v>0</v>
      </c>
      <c r="U8" s="146">
        <f t="shared" si="9"/>
        <v>879.52854</v>
      </c>
      <c r="V8" s="136">
        <f t="shared" si="10"/>
        <v>0.02719119306</v>
      </c>
      <c r="W8" s="211">
        <f t="shared" si="11"/>
        <v>63.85</v>
      </c>
    </row>
    <row r="9">
      <c r="A9" s="127" t="str">
        <f>Positions!A9</f>
        <v>O</v>
      </c>
      <c r="B9" s="128" t="str">
        <f>IFERROR(__xludf.DUMMYFUNCTION("IF(ISBLANK(A9),"""", googlefinance(A9, ""name""))"),"Realty Income Corp")</f>
        <v>Realty Income Corp</v>
      </c>
      <c r="C9" s="204">
        <f>Positions!D9</f>
        <v>31.001</v>
      </c>
      <c r="D9" s="205">
        <f>Positions!E9</f>
        <v>54.62</v>
      </c>
      <c r="E9" s="132">
        <f>IFERROR(__xludf.DUMMYFUNCTION("IF(ISBLANK(A9),"""", googlefinance(A9, ""price""))"),64.8)</f>
        <v>64.8</v>
      </c>
      <c r="F9" s="135">
        <f>Positions!G9</f>
        <v>33.62</v>
      </c>
      <c r="G9" s="206">
        <f>Positions!H9</f>
        <v>3.92</v>
      </c>
      <c r="H9" s="138" t="s">
        <v>101</v>
      </c>
      <c r="I9" s="138" t="s">
        <v>116</v>
      </c>
      <c r="J9" s="138" t="s">
        <v>113</v>
      </c>
      <c r="K9" s="139">
        <f t="shared" si="1"/>
        <v>0.06210535318</v>
      </c>
      <c r="L9" s="135">
        <f t="shared" si="2"/>
        <v>2008.8648</v>
      </c>
      <c r="M9" s="136">
        <f>Positions!X9</f>
        <v>0.054</v>
      </c>
      <c r="N9" s="207">
        <f t="shared" si="3"/>
        <v>0.9274241523</v>
      </c>
      <c r="O9" s="145" t="str">
        <f t="shared" si="4"/>
        <v>Overrated</v>
      </c>
      <c r="P9" s="136">
        <f t="shared" si="5"/>
        <v>0.1863786159</v>
      </c>
      <c r="Q9" s="146" t="str">
        <f t="shared" si="6"/>
        <v>Hold</v>
      </c>
      <c r="R9" s="208">
        <f t="shared" si="7"/>
        <v>122.8436728</v>
      </c>
      <c r="S9" s="209">
        <v>0.0</v>
      </c>
      <c r="T9" s="146">
        <f t="shared" si="8"/>
        <v>0</v>
      </c>
      <c r="U9" s="146">
        <f t="shared" si="9"/>
        <v>2008.8648</v>
      </c>
      <c r="V9" s="139">
        <f t="shared" si="10"/>
        <v>0.06210535318</v>
      </c>
      <c r="W9" s="211">
        <f t="shared" si="11"/>
        <v>54.62</v>
      </c>
    </row>
    <row r="10">
      <c r="A10" s="127" t="str">
        <f>Positions!A10</f>
        <v>VICI</v>
      </c>
      <c r="B10" s="128" t="str">
        <f>IFERROR(__xludf.DUMMYFUNCTION("IF(ISBLANK(A10),"""", googlefinance(A10, ""name""))"),"VICI Properties Inc")</f>
        <v>VICI Properties Inc</v>
      </c>
      <c r="C10" s="204">
        <f>Positions!D10</f>
        <v>15.874</v>
      </c>
      <c r="D10" s="205">
        <f>Positions!E10</f>
        <v>29.95</v>
      </c>
      <c r="E10" s="132">
        <f>IFERROR(__xludf.DUMMYFUNCTION("IF(ISBLANK(A10),"""", googlefinance(A10, ""price""))"),29.69)</f>
        <v>29.69</v>
      </c>
      <c r="F10" s="135">
        <f>Positions!G10</f>
        <v>86.13</v>
      </c>
      <c r="G10" s="206">
        <f>Positions!H10</f>
        <v>5.78</v>
      </c>
      <c r="H10" s="138" t="s">
        <v>101</v>
      </c>
      <c r="I10" s="138" t="s">
        <v>116</v>
      </c>
      <c r="J10" s="138" t="s">
        <v>113</v>
      </c>
      <c r="K10" s="139">
        <f t="shared" si="1"/>
        <v>0.01457051494</v>
      </c>
      <c r="L10" s="135">
        <f t="shared" si="2"/>
        <v>471.29906</v>
      </c>
      <c r="M10" s="136">
        <f>Positions!X10</f>
        <v>0.0594</v>
      </c>
      <c r="N10" s="207">
        <f t="shared" si="3"/>
        <v>-0.6552885174</v>
      </c>
      <c r="O10" s="145" t="str">
        <f t="shared" si="4"/>
        <v>Strong Buy</v>
      </c>
      <c r="P10" s="136">
        <f t="shared" si="5"/>
        <v>-0.008681135225</v>
      </c>
      <c r="Q10" s="146" t="str">
        <f t="shared" si="6"/>
        <v>Avg. Cost</v>
      </c>
      <c r="R10" s="208">
        <f t="shared" si="7"/>
        <v>268.1128326</v>
      </c>
      <c r="S10" s="209">
        <v>0.0</v>
      </c>
      <c r="T10" s="146">
        <f t="shared" si="8"/>
        <v>0</v>
      </c>
      <c r="U10" s="146">
        <f t="shared" si="9"/>
        <v>471.29906</v>
      </c>
      <c r="V10" s="139">
        <f t="shared" si="10"/>
        <v>0.01457051494</v>
      </c>
      <c r="W10" s="211">
        <f t="shared" si="11"/>
        <v>29.95</v>
      </c>
    </row>
    <row r="11">
      <c r="A11" s="127" t="str">
        <f>Positions!A11</f>
        <v>UNH</v>
      </c>
      <c r="B11" s="128" t="str">
        <f>IFERROR(__xludf.DUMMYFUNCTION("IF(ISBLANK(A11),"""", googlefinance(A11, ""name""))"),"UnitedHealth Group Inc")</f>
        <v>UnitedHealth Group Inc</v>
      </c>
      <c r="C11" s="204">
        <f>Positions!D11</f>
        <v>5.066</v>
      </c>
      <c r="D11" s="205">
        <f>Positions!E11</f>
        <v>261.98</v>
      </c>
      <c r="E11" s="132">
        <f>IFERROR(__xludf.DUMMYFUNCTION("IF(ISBLANK(A11),"""", googlefinance(A11, ""price""))"),288.77)</f>
        <v>288.77</v>
      </c>
      <c r="F11" s="135">
        <f>Positions!G11</f>
        <v>362.68</v>
      </c>
      <c r="G11" s="206">
        <f>Positions!H11</f>
        <v>5</v>
      </c>
      <c r="H11" s="138" t="s">
        <v>101</v>
      </c>
      <c r="I11" s="138" t="s">
        <v>119</v>
      </c>
      <c r="J11" s="138" t="s">
        <v>113</v>
      </c>
      <c r="K11" s="139">
        <f t="shared" si="1"/>
        <v>0.04522677133</v>
      </c>
      <c r="L11" s="135">
        <f t="shared" si="2"/>
        <v>1462.90882</v>
      </c>
      <c r="M11" s="136">
        <f>Positions!X11</f>
        <v>0.0302</v>
      </c>
      <c r="N11" s="207">
        <f t="shared" si="3"/>
        <v>-0.2037884637</v>
      </c>
      <c r="O11" s="145" t="str">
        <f t="shared" si="4"/>
        <v>Strong Buy</v>
      </c>
      <c r="P11" s="136">
        <f t="shared" si="5"/>
        <v>0.1022597145</v>
      </c>
      <c r="Q11" s="146" t="str">
        <f t="shared" si="6"/>
        <v>Overcost</v>
      </c>
      <c r="R11" s="208">
        <f t="shared" si="7"/>
        <v>27.56612529</v>
      </c>
      <c r="S11" s="209">
        <v>0.0</v>
      </c>
      <c r="T11" s="146">
        <f t="shared" si="8"/>
        <v>0</v>
      </c>
      <c r="U11" s="146">
        <f t="shared" si="9"/>
        <v>1462.90882</v>
      </c>
      <c r="V11" s="139">
        <f t="shared" si="10"/>
        <v>0.04522677133</v>
      </c>
      <c r="W11" s="211">
        <f t="shared" si="11"/>
        <v>261.98</v>
      </c>
    </row>
    <row r="12">
      <c r="A12" s="127" t="str">
        <f>Positions!A12</f>
        <v>VGT</v>
      </c>
      <c r="B12" s="128" t="str">
        <f>IFERROR(__xludf.DUMMYFUNCTION("IF(ISBLANK(A12),"""", googlefinance(A12, ""name""))"),"Vanguard Information Technology Index Fund ETF")</f>
        <v>Vanguard Information Technology Index Fund ETF</v>
      </c>
      <c r="C12" s="204">
        <f>Positions!D12</f>
        <v>3.015</v>
      </c>
      <c r="D12" s="205">
        <f>Positions!E12</f>
        <v>507.59</v>
      </c>
      <c r="E12" s="132">
        <f>IFERROR(__xludf.DUMMYFUNCTION("IF(ISBLANK(A12),"""", googlefinance(A12, ""price""))"),733.27)</f>
        <v>733.27</v>
      </c>
      <c r="F12" s="135" t="str">
        <f>Positions!G12</f>
        <v>Not Found</v>
      </c>
      <c r="G12" s="206" t="str">
        <f>Positions!H12</f>
        <v>Not Found</v>
      </c>
      <c r="H12" s="138" t="s">
        <v>121</v>
      </c>
      <c r="I12" s="138" t="s">
        <v>122</v>
      </c>
      <c r="J12" s="138" t="s">
        <v>103</v>
      </c>
      <c r="K12" s="139">
        <f t="shared" si="1"/>
        <v>0.06834859014</v>
      </c>
      <c r="L12" s="135">
        <f t="shared" si="2"/>
        <v>2210.80905</v>
      </c>
      <c r="M12" s="136">
        <f>Positions!X12</f>
        <v>0.0042</v>
      </c>
      <c r="N12" s="207" t="str">
        <f t="shared" si="3"/>
        <v/>
      </c>
      <c r="O12" s="145" t="str">
        <f t="shared" si="4"/>
        <v/>
      </c>
      <c r="P12" s="136">
        <f t="shared" si="5"/>
        <v>0.4446108079</v>
      </c>
      <c r="Q12" s="146" t="str">
        <f t="shared" si="6"/>
        <v>Hold</v>
      </c>
      <c r="R12" s="208">
        <f t="shared" si="7"/>
        <v>10.85585119</v>
      </c>
      <c r="S12" s="209">
        <v>0.0</v>
      </c>
      <c r="T12" s="146">
        <f t="shared" si="8"/>
        <v>0</v>
      </c>
      <c r="U12" s="146">
        <f t="shared" si="9"/>
        <v>2210.80905</v>
      </c>
      <c r="V12" s="139">
        <f t="shared" si="10"/>
        <v>0.06834859014</v>
      </c>
      <c r="W12" s="211">
        <f t="shared" si="11"/>
        <v>507.59</v>
      </c>
    </row>
    <row r="13">
      <c r="A13" s="127" t="str">
        <f>Positions!A13</f>
        <v>VOO</v>
      </c>
      <c r="B13" s="128" t="str">
        <f>IFERROR(__xludf.DUMMYFUNCTION("IF(ISBLANK(A13),"""", googlefinance(A13, ""name""))"),"Vanguard S&amp;P 500 ETF")</f>
        <v>Vanguard S&amp;P 500 ETF</v>
      </c>
      <c r="C13" s="204">
        <f>Positions!D13</f>
        <v>3.064</v>
      </c>
      <c r="D13" s="205">
        <f>Positions!E13</f>
        <v>480.16</v>
      </c>
      <c r="E13" s="132">
        <f>IFERROR(__xludf.DUMMYFUNCTION("IF(ISBLANK(A13),"""", googlefinance(A13, ""price""))"),626.81)</f>
        <v>626.81</v>
      </c>
      <c r="F13" s="135" t="str">
        <f>Positions!G13</f>
        <v>Not Found</v>
      </c>
      <c r="G13" s="206" t="str">
        <f>Positions!H13</f>
        <v>Not Found</v>
      </c>
      <c r="H13" s="138" t="s">
        <v>121</v>
      </c>
      <c r="I13" s="138" t="s">
        <v>122</v>
      </c>
      <c r="J13" s="138" t="s">
        <v>124</v>
      </c>
      <c r="K13" s="139">
        <f t="shared" si="1"/>
        <v>0.05937491547</v>
      </c>
      <c r="L13" s="135">
        <f t="shared" si="2"/>
        <v>1920.54584</v>
      </c>
      <c r="M13" s="136">
        <f>Positions!X13</f>
        <v>0.0113</v>
      </c>
      <c r="N13" s="207" t="str">
        <f t="shared" si="3"/>
        <v/>
      </c>
      <c r="O13" s="145" t="str">
        <f t="shared" si="4"/>
        <v/>
      </c>
      <c r="P13" s="136">
        <f t="shared" si="5"/>
        <v>0.305419027</v>
      </c>
      <c r="Q13" s="146" t="str">
        <f t="shared" si="6"/>
        <v>Hold</v>
      </c>
      <c r="R13" s="208">
        <f t="shared" si="7"/>
        <v>12.6996538</v>
      </c>
      <c r="S13" s="209">
        <v>0.0</v>
      </c>
      <c r="T13" s="146">
        <f t="shared" si="8"/>
        <v>0</v>
      </c>
      <c r="U13" s="146">
        <f t="shared" si="9"/>
        <v>1920.54584</v>
      </c>
      <c r="V13" s="139">
        <f t="shared" si="10"/>
        <v>0.05937491547</v>
      </c>
      <c r="W13" s="211">
        <f t="shared" si="11"/>
        <v>480.16</v>
      </c>
    </row>
    <row r="14">
      <c r="A14" s="127" t="str">
        <f>Positions!A14</f>
        <v>VTI</v>
      </c>
      <c r="B14" s="128" t="str">
        <f>IFERROR(__xludf.DUMMYFUNCTION("IF(ISBLANK(A14),"""", googlefinance(A14, ""name""))"),"Vanguard Total Stock Market Index Fund ETF")</f>
        <v>Vanguard Total Stock Market Index Fund ETF</v>
      </c>
      <c r="C14" s="204">
        <f>Positions!D14</f>
        <v>8.147</v>
      </c>
      <c r="D14" s="205">
        <f>Positions!E14</f>
        <v>260.86</v>
      </c>
      <c r="E14" s="132">
        <f>IFERROR(__xludf.DUMMYFUNCTION("IF(ISBLANK(A14),"""", googlefinance(A14, ""price""))"),336.0)</f>
        <v>336</v>
      </c>
      <c r="F14" s="135" t="str">
        <f>Positions!G14</f>
        <v>Not Found</v>
      </c>
      <c r="G14" s="206" t="str">
        <f>Positions!H14</f>
        <v>Not Found</v>
      </c>
      <c r="H14" s="138" t="s">
        <v>121</v>
      </c>
      <c r="I14" s="138" t="s">
        <v>122</v>
      </c>
      <c r="J14" s="138" t="s">
        <v>124</v>
      </c>
      <c r="K14" s="139">
        <f t="shared" si="1"/>
        <v>0.08462824225</v>
      </c>
      <c r="L14" s="135">
        <f t="shared" si="2"/>
        <v>2737.392</v>
      </c>
      <c r="M14" s="136">
        <f>Positions!X14</f>
        <v>0.0112</v>
      </c>
      <c r="N14" s="207" t="str">
        <f t="shared" si="3"/>
        <v/>
      </c>
      <c r="O14" s="145" t="str">
        <f t="shared" si="4"/>
        <v/>
      </c>
      <c r="P14" s="136">
        <f t="shared" si="5"/>
        <v>0.2880472284</v>
      </c>
      <c r="Q14" s="146" t="str">
        <f t="shared" si="6"/>
        <v>Hold</v>
      </c>
      <c r="R14" s="208">
        <f t="shared" si="7"/>
        <v>23.69127976</v>
      </c>
      <c r="S14" s="209">
        <v>0.0</v>
      </c>
      <c r="T14" s="146">
        <f t="shared" si="8"/>
        <v>0</v>
      </c>
      <c r="U14" s="146">
        <f t="shared" si="9"/>
        <v>2737.392</v>
      </c>
      <c r="V14" s="139">
        <f t="shared" si="10"/>
        <v>0.08462824225</v>
      </c>
      <c r="W14" s="211">
        <f t="shared" si="11"/>
        <v>260.86</v>
      </c>
    </row>
    <row r="15">
      <c r="A15" s="127" t="str">
        <f>Positions!A15</f>
        <v>SCHD</v>
      </c>
      <c r="B15" s="128" t="str">
        <f>IFERROR(__xludf.DUMMYFUNCTION("IF(ISBLANK(A15),"""", googlefinance(A15, ""name""))"),"Schwab US Dividend Equity ETF")</f>
        <v>Schwab US Dividend Equity ETF</v>
      </c>
      <c r="C15" s="204">
        <f>Positions!D15</f>
        <v>186.205</v>
      </c>
      <c r="D15" s="205">
        <f>Positions!E15</f>
        <v>26.98</v>
      </c>
      <c r="E15" s="132">
        <f>IFERROR(__xludf.DUMMYFUNCTION("IF(ISBLANK(A15),"""", googlefinance(A15, ""price""))"),31.26)</f>
        <v>31.26</v>
      </c>
      <c r="F15" s="135" t="str">
        <f>Positions!G15</f>
        <v>Not Found</v>
      </c>
      <c r="G15" s="206" t="str">
        <f>Positions!H15</f>
        <v>Not Found</v>
      </c>
      <c r="H15" s="138" t="s">
        <v>121</v>
      </c>
      <c r="I15" s="138" t="s">
        <v>122</v>
      </c>
      <c r="J15" s="138" t="s">
        <v>113</v>
      </c>
      <c r="K15" s="139">
        <f t="shared" si="1"/>
        <v>0.1799528127</v>
      </c>
      <c r="L15" s="135">
        <f t="shared" si="2"/>
        <v>5820.7683</v>
      </c>
      <c r="M15" s="136">
        <f>Positions!X15</f>
        <v>0.0335</v>
      </c>
      <c r="N15" s="207" t="str">
        <f t="shared" si="3"/>
        <v/>
      </c>
      <c r="O15" s="145" t="str">
        <f t="shared" si="4"/>
        <v/>
      </c>
      <c r="P15" s="136">
        <f t="shared" si="5"/>
        <v>0.1586360267</v>
      </c>
      <c r="Q15" s="146" t="str">
        <f t="shared" si="6"/>
        <v>Hold</v>
      </c>
      <c r="R15" s="208">
        <f t="shared" si="7"/>
        <v>254.6471529</v>
      </c>
      <c r="S15" s="209">
        <v>0.0</v>
      </c>
      <c r="T15" s="146">
        <f t="shared" si="8"/>
        <v>0</v>
      </c>
      <c r="U15" s="146">
        <f t="shared" si="9"/>
        <v>5820.7683</v>
      </c>
      <c r="V15" s="139">
        <f t="shared" si="10"/>
        <v>0.1799528127</v>
      </c>
      <c r="W15" s="211">
        <f t="shared" si="11"/>
        <v>26.98</v>
      </c>
    </row>
    <row r="16">
      <c r="A16" s="127" t="str">
        <f>Positions!A16</f>
        <v>VIG</v>
      </c>
      <c r="B16" s="128" t="str">
        <f>IFERROR(__xludf.DUMMYFUNCTION("IF(ISBLANK(A16),"""", googlefinance(A16, ""name""))"),"Vanguard Dividend Appreciation Index Fund ETF")</f>
        <v>Vanguard Dividend Appreciation Index Fund ETF</v>
      </c>
      <c r="C16" s="204">
        <f>Positions!D16</f>
        <v>1.03</v>
      </c>
      <c r="D16" s="205">
        <f>Positions!E16</f>
        <v>179.84</v>
      </c>
      <c r="E16" s="132">
        <f>IFERROR(__xludf.DUMMYFUNCTION("IF(ISBLANK(A16),"""", googlefinance(A16, ""price""))"),223.45)</f>
        <v>223.45</v>
      </c>
      <c r="F16" s="135" t="str">
        <f>Positions!G16</f>
        <v>Not Found</v>
      </c>
      <c r="G16" s="206" t="str">
        <f>Positions!H16</f>
        <v>Not Found</v>
      </c>
      <c r="H16" s="138" t="s">
        <v>121</v>
      </c>
      <c r="I16" s="138" t="s">
        <v>122</v>
      </c>
      <c r="J16" s="138" t="s">
        <v>113</v>
      </c>
      <c r="K16" s="139">
        <f t="shared" si="1"/>
        <v>0.00711534415</v>
      </c>
      <c r="L16" s="135">
        <f t="shared" si="2"/>
        <v>230.1535</v>
      </c>
      <c r="M16" s="136">
        <f>Positions!X16</f>
        <v>0.0159</v>
      </c>
      <c r="N16" s="207" t="str">
        <f t="shared" si="3"/>
        <v/>
      </c>
      <c r="O16" s="145" t="str">
        <f t="shared" si="4"/>
        <v/>
      </c>
      <c r="P16" s="136">
        <f t="shared" si="5"/>
        <v>0.2424933274</v>
      </c>
      <c r="Q16" s="146" t="str">
        <f t="shared" si="6"/>
        <v>Hold</v>
      </c>
      <c r="R16" s="208">
        <f t="shared" si="7"/>
        <v>35.62439024</v>
      </c>
      <c r="S16" s="209">
        <v>0.0</v>
      </c>
      <c r="T16" s="146">
        <f t="shared" si="8"/>
        <v>0</v>
      </c>
      <c r="U16" s="146">
        <f t="shared" si="9"/>
        <v>230.1535</v>
      </c>
      <c r="V16" s="139">
        <f t="shared" si="10"/>
        <v>0.00711534415</v>
      </c>
      <c r="W16" s="211">
        <f t="shared" si="11"/>
        <v>179.84</v>
      </c>
    </row>
    <row r="17">
      <c r="A17" s="127" t="str">
        <f>Positions!A17</f>
        <v>VXUS</v>
      </c>
      <c r="B17" s="128" t="str">
        <f>IFERROR(__xludf.DUMMYFUNCTION("IF(ISBLANK(A17),"""", googlefinance(A17, ""name""))"),"Vanguard Total International Stock Index Fund ETF")</f>
        <v>Vanguard Total International Stock Index Fund ETF</v>
      </c>
      <c r="C17" s="204">
        <f>Positions!D17</f>
        <v>14.765</v>
      </c>
      <c r="D17" s="205">
        <f>Positions!E17</f>
        <v>59.99</v>
      </c>
      <c r="E17" s="132">
        <f>IFERROR(__xludf.DUMMYFUNCTION("IF(ISBLANK(A17),"""", googlefinance(A17, ""price""))"),78.72)</f>
        <v>78.72</v>
      </c>
      <c r="F17" s="135" t="str">
        <f>Positions!G17</f>
        <v>Not Found</v>
      </c>
      <c r="G17" s="206" t="str">
        <f>Positions!H17</f>
        <v>Not Found</v>
      </c>
      <c r="H17" s="138" t="s">
        <v>121</v>
      </c>
      <c r="I17" s="138" t="s">
        <v>122</v>
      </c>
      <c r="J17" s="138" t="s">
        <v>129</v>
      </c>
      <c r="K17" s="139">
        <f t="shared" si="1"/>
        <v>0.03593328017</v>
      </c>
      <c r="L17" s="135">
        <f t="shared" si="2"/>
        <v>1162.3008</v>
      </c>
      <c r="M17" s="136">
        <f>Positions!X17</f>
        <v>0.0305</v>
      </c>
      <c r="N17" s="207" t="str">
        <f t="shared" si="3"/>
        <v/>
      </c>
      <c r="O17" s="145" t="str">
        <f t="shared" si="4"/>
        <v/>
      </c>
      <c r="P17" s="136">
        <f t="shared" si="5"/>
        <v>0.3122187031</v>
      </c>
      <c r="Q17" s="146" t="str">
        <f t="shared" si="6"/>
        <v>Hold</v>
      </c>
      <c r="R17" s="208">
        <f t="shared" si="7"/>
        <v>101.1213161</v>
      </c>
      <c r="S17" s="209">
        <v>0.0</v>
      </c>
      <c r="T17" s="146">
        <f t="shared" si="8"/>
        <v>0</v>
      </c>
      <c r="U17" s="146">
        <f t="shared" si="9"/>
        <v>1162.3008</v>
      </c>
      <c r="V17" s="139">
        <f t="shared" si="10"/>
        <v>0.03593328017</v>
      </c>
      <c r="W17" s="211">
        <f t="shared" si="11"/>
        <v>59.99</v>
      </c>
    </row>
    <row r="18">
      <c r="A18" s="127" t="str">
        <f>Positions!A18</f>
        <v>BND</v>
      </c>
      <c r="B18" s="128" t="str">
        <f>IFERROR(__xludf.DUMMYFUNCTION("IF(ISBLANK(A18),"""", googlefinance(A18, ""name""))"),"Vanguard Total Bond Market Index Fund ETF")</f>
        <v>Vanguard Total Bond Market Index Fund ETF</v>
      </c>
      <c r="C18" s="204">
        <f>Positions!D18</f>
        <v>2.108</v>
      </c>
      <c r="D18" s="205">
        <f>Positions!E18</f>
        <v>72.28</v>
      </c>
      <c r="E18" s="132">
        <f>IFERROR(__xludf.DUMMYFUNCTION("IF(ISBLANK(A18),"""", googlefinance(A18, ""price""))"),74.34)</f>
        <v>74.34</v>
      </c>
      <c r="F18" s="135" t="str">
        <f>Positions!G18</f>
        <v>Not Found</v>
      </c>
      <c r="G18" s="206" t="str">
        <f>Positions!H18</f>
        <v>Not Found</v>
      </c>
      <c r="H18" s="138" t="s">
        <v>121</v>
      </c>
      <c r="I18" s="138" t="s">
        <v>131</v>
      </c>
      <c r="J18" s="138" t="s">
        <v>132</v>
      </c>
      <c r="K18" s="139">
        <f t="shared" si="1"/>
        <v>0.004844751325</v>
      </c>
      <c r="L18" s="135">
        <f t="shared" si="2"/>
        <v>156.70872</v>
      </c>
      <c r="M18" s="136">
        <f>Positions!X18</f>
        <v>0.0387</v>
      </c>
      <c r="N18" s="207" t="str">
        <f t="shared" si="3"/>
        <v/>
      </c>
      <c r="O18" s="145" t="str">
        <f t="shared" si="4"/>
        <v/>
      </c>
      <c r="P18" s="136">
        <f t="shared" si="5"/>
        <v>0.0285002767</v>
      </c>
      <c r="Q18" s="146" t="str">
        <f t="shared" si="6"/>
        <v>Avg. Cost</v>
      </c>
      <c r="R18" s="208">
        <f t="shared" si="7"/>
        <v>107.0792306</v>
      </c>
      <c r="S18" s="209">
        <v>0.0</v>
      </c>
      <c r="T18" s="146">
        <f t="shared" si="8"/>
        <v>0</v>
      </c>
      <c r="U18" s="146">
        <f t="shared" si="9"/>
        <v>156.70872</v>
      </c>
      <c r="V18" s="139">
        <f t="shared" si="10"/>
        <v>0.004844751325</v>
      </c>
      <c r="W18" s="211">
        <f t="shared" si="11"/>
        <v>72.28</v>
      </c>
    </row>
    <row r="19" hidden="1">
      <c r="A19" s="127" t="str">
        <f>Positions!A19</f>
        <v/>
      </c>
      <c r="B19" s="128" t="str">
        <f>IFERROR(__xludf.DUMMYFUNCTION("IF(ISBLANK(A19),"""", googlefinance(A19, ""name""))"),"")</f>
        <v/>
      </c>
      <c r="C19" s="204" t="str">
        <f>Positions!D19</f>
        <v/>
      </c>
      <c r="D19" s="205" t="str">
        <f>Positions!E19</f>
        <v/>
      </c>
      <c r="E19" s="132" t="str">
        <f>IFERROR(__xludf.DUMMYFUNCTION("IF(ISBLANK(A19),"""", googlefinance(A19, ""price""))"),"")</f>
        <v/>
      </c>
      <c r="F19" s="135" t="str">
        <f>Positions!G19</f>
        <v/>
      </c>
      <c r="G19" s="212" t="str">
        <f>Positions!H19</f>
        <v/>
      </c>
      <c r="H19" s="213" t="s">
        <v>133</v>
      </c>
      <c r="I19" s="213" t="s">
        <v>134</v>
      </c>
      <c r="J19" s="213" t="s">
        <v>134</v>
      </c>
      <c r="K19" s="139" t="str">
        <f t="shared" si="1"/>
        <v/>
      </c>
      <c r="L19" s="135" t="str">
        <f t="shared" si="2"/>
        <v/>
      </c>
      <c r="M19" s="136" t="str">
        <f>Positions!X19</f>
        <v/>
      </c>
      <c r="N19" s="207" t="str">
        <f t="shared" si="3"/>
        <v/>
      </c>
      <c r="O19" s="145" t="str">
        <f t="shared" si="4"/>
        <v/>
      </c>
      <c r="P19" s="136" t="str">
        <f t="shared" si="5"/>
        <v/>
      </c>
      <c r="Q19" s="146" t="str">
        <f t="shared" si="6"/>
        <v/>
      </c>
      <c r="R19" s="208" t="str">
        <f t="shared" si="7"/>
        <v/>
      </c>
      <c r="S19" s="209">
        <v>0.0</v>
      </c>
      <c r="T19" s="146">
        <f t="shared" si="8"/>
        <v>0</v>
      </c>
      <c r="U19" s="146">
        <f t="shared" si="9"/>
        <v>0</v>
      </c>
      <c r="V19" s="139">
        <f t="shared" si="10"/>
        <v>0</v>
      </c>
      <c r="W19" s="211" t="str">
        <f t="shared" si="11"/>
        <v/>
      </c>
    </row>
    <row r="20" hidden="1">
      <c r="A20" s="127" t="str">
        <f>Positions!A20</f>
        <v/>
      </c>
      <c r="B20" s="128" t="str">
        <f>IFERROR(__xludf.DUMMYFUNCTION("IF(ISBLANK(A20),"""", googlefinance(A20, ""name""))"),"")</f>
        <v/>
      </c>
      <c r="C20" s="204" t="str">
        <f>Positions!D20</f>
        <v/>
      </c>
      <c r="D20" s="205" t="str">
        <f>Positions!E20</f>
        <v/>
      </c>
      <c r="E20" s="132" t="str">
        <f>IFERROR(__xludf.DUMMYFUNCTION("IF(ISBLANK(A20),"""", googlefinance(A20, ""price""))"),"")</f>
        <v/>
      </c>
      <c r="F20" s="135" t="str">
        <f>Positions!G20</f>
        <v/>
      </c>
      <c r="G20" s="206" t="str">
        <f>Positions!H20</f>
        <v/>
      </c>
      <c r="H20" s="213" t="s">
        <v>133</v>
      </c>
      <c r="I20" s="213" t="s">
        <v>134</v>
      </c>
      <c r="J20" s="213" t="s">
        <v>134</v>
      </c>
      <c r="K20" s="139" t="str">
        <f t="shared" si="1"/>
        <v/>
      </c>
      <c r="L20" s="135" t="str">
        <f t="shared" si="2"/>
        <v/>
      </c>
      <c r="M20" s="136" t="str">
        <f>Positions!X20</f>
        <v/>
      </c>
      <c r="N20" s="207" t="str">
        <f t="shared" si="3"/>
        <v/>
      </c>
      <c r="O20" s="145" t="str">
        <f t="shared" si="4"/>
        <v/>
      </c>
      <c r="P20" s="136" t="str">
        <f t="shared" si="5"/>
        <v/>
      </c>
      <c r="Q20" s="146" t="str">
        <f t="shared" si="6"/>
        <v/>
      </c>
      <c r="R20" s="208" t="str">
        <f t="shared" si="7"/>
        <v/>
      </c>
      <c r="S20" s="209">
        <v>0.0</v>
      </c>
      <c r="T20" s="146">
        <f t="shared" si="8"/>
        <v>0</v>
      </c>
      <c r="U20" s="146">
        <f t="shared" si="9"/>
        <v>0</v>
      </c>
      <c r="V20" s="139">
        <f t="shared" si="10"/>
        <v>0</v>
      </c>
      <c r="W20" s="211" t="str">
        <f t="shared" si="11"/>
        <v/>
      </c>
    </row>
    <row r="21" hidden="1">
      <c r="A21" s="127" t="str">
        <f>Positions!A21</f>
        <v/>
      </c>
      <c r="B21" s="128" t="str">
        <f>IFERROR(__xludf.DUMMYFUNCTION("IF(ISBLANK(A21),"""", googlefinance(A21, ""name""))"),"")</f>
        <v/>
      </c>
      <c r="C21" s="204" t="str">
        <f>Positions!D21</f>
        <v/>
      </c>
      <c r="D21" s="205" t="str">
        <f>Positions!E21</f>
        <v/>
      </c>
      <c r="E21" s="132" t="str">
        <f>IFERROR(__xludf.DUMMYFUNCTION("IF(ISBLANK(A21),"""", googlefinance(A21, ""price""))"),"")</f>
        <v/>
      </c>
      <c r="F21" s="135" t="str">
        <f>Positions!G21</f>
        <v/>
      </c>
      <c r="G21" s="206" t="str">
        <f>Positions!H21</f>
        <v/>
      </c>
      <c r="H21" s="213" t="s">
        <v>133</v>
      </c>
      <c r="I21" s="213" t="s">
        <v>134</v>
      </c>
      <c r="J21" s="213" t="s">
        <v>134</v>
      </c>
      <c r="K21" s="139" t="str">
        <f t="shared" si="1"/>
        <v/>
      </c>
      <c r="L21" s="135" t="str">
        <f t="shared" si="2"/>
        <v/>
      </c>
      <c r="M21" s="136" t="str">
        <f>Positions!X21</f>
        <v/>
      </c>
      <c r="N21" s="207" t="str">
        <f t="shared" si="3"/>
        <v/>
      </c>
      <c r="O21" s="145" t="str">
        <f t="shared" si="4"/>
        <v/>
      </c>
      <c r="P21" s="136" t="str">
        <f t="shared" si="5"/>
        <v/>
      </c>
      <c r="Q21" s="146" t="str">
        <f t="shared" si="6"/>
        <v/>
      </c>
      <c r="R21" s="208" t="str">
        <f t="shared" si="7"/>
        <v/>
      </c>
      <c r="S21" s="209">
        <v>0.0</v>
      </c>
      <c r="T21" s="146">
        <f t="shared" si="8"/>
        <v>0</v>
      </c>
      <c r="U21" s="146">
        <f t="shared" si="9"/>
        <v>0</v>
      </c>
      <c r="V21" s="139">
        <f t="shared" si="10"/>
        <v>0</v>
      </c>
      <c r="W21" s="211" t="str">
        <f t="shared" si="11"/>
        <v/>
      </c>
    </row>
    <row r="22" hidden="1">
      <c r="A22" s="127" t="str">
        <f>Positions!A22</f>
        <v/>
      </c>
      <c r="B22" s="128" t="str">
        <f>IFERROR(__xludf.DUMMYFUNCTION("IF(ISBLANK(A22),"""", googlefinance(A22, ""name""))"),"")</f>
        <v/>
      </c>
      <c r="C22" s="204" t="str">
        <f>Positions!D22</f>
        <v/>
      </c>
      <c r="D22" s="205" t="str">
        <f>Positions!E22</f>
        <v/>
      </c>
      <c r="E22" s="132" t="str">
        <f>IFERROR(__xludf.DUMMYFUNCTION("IF(ISBLANK(A22),"""", googlefinance(A22, ""price""))"),"")</f>
        <v/>
      </c>
      <c r="F22" s="135" t="str">
        <f>Positions!G22</f>
        <v/>
      </c>
      <c r="G22" s="206" t="str">
        <f>Positions!H22</f>
        <v/>
      </c>
      <c r="H22" s="213" t="s">
        <v>133</v>
      </c>
      <c r="I22" s="213" t="s">
        <v>134</v>
      </c>
      <c r="J22" s="213" t="s">
        <v>134</v>
      </c>
      <c r="K22" s="139" t="str">
        <f t="shared" si="1"/>
        <v/>
      </c>
      <c r="L22" s="135" t="str">
        <f t="shared" si="2"/>
        <v/>
      </c>
      <c r="M22" s="136" t="str">
        <f>Positions!X22</f>
        <v/>
      </c>
      <c r="N22" s="207" t="str">
        <f t="shared" si="3"/>
        <v/>
      </c>
      <c r="O22" s="145" t="str">
        <f t="shared" si="4"/>
        <v/>
      </c>
      <c r="P22" s="136" t="str">
        <f t="shared" si="5"/>
        <v/>
      </c>
      <c r="Q22" s="146" t="str">
        <f t="shared" si="6"/>
        <v/>
      </c>
      <c r="R22" s="208" t="str">
        <f t="shared" si="7"/>
        <v/>
      </c>
      <c r="S22" s="209">
        <v>0.0</v>
      </c>
      <c r="T22" s="146">
        <f t="shared" si="8"/>
        <v>0</v>
      </c>
      <c r="U22" s="146">
        <f t="shared" si="9"/>
        <v>0</v>
      </c>
      <c r="V22" s="139">
        <f t="shared" si="10"/>
        <v>0</v>
      </c>
      <c r="W22" s="211" t="str">
        <f t="shared" si="11"/>
        <v/>
      </c>
    </row>
    <row r="23" hidden="1">
      <c r="A23" s="127" t="str">
        <f>Positions!A23</f>
        <v/>
      </c>
      <c r="B23" s="128" t="str">
        <f>IFERROR(__xludf.DUMMYFUNCTION("IF(ISBLANK(A23),"""", googlefinance(A23, ""name""))"),"")</f>
        <v/>
      </c>
      <c r="C23" s="204" t="str">
        <f>Positions!D23</f>
        <v/>
      </c>
      <c r="D23" s="205" t="str">
        <f>Positions!E23</f>
        <v/>
      </c>
      <c r="E23" s="132" t="str">
        <f>IFERROR(__xludf.DUMMYFUNCTION("IF(ISBLANK(A23),"""", googlefinance(A23, ""price""))"),"")</f>
        <v/>
      </c>
      <c r="F23" s="135" t="str">
        <f>Positions!G23</f>
        <v/>
      </c>
      <c r="G23" s="206" t="str">
        <f>Positions!H23</f>
        <v/>
      </c>
      <c r="H23" s="213" t="s">
        <v>133</v>
      </c>
      <c r="I23" s="213" t="s">
        <v>134</v>
      </c>
      <c r="J23" s="213" t="s">
        <v>134</v>
      </c>
      <c r="K23" s="139" t="str">
        <f t="shared" si="1"/>
        <v/>
      </c>
      <c r="L23" s="135" t="str">
        <f t="shared" si="2"/>
        <v/>
      </c>
      <c r="M23" s="136" t="str">
        <f>Positions!X23</f>
        <v/>
      </c>
      <c r="N23" s="207" t="str">
        <f t="shared" si="3"/>
        <v/>
      </c>
      <c r="O23" s="145" t="str">
        <f t="shared" si="4"/>
        <v/>
      </c>
      <c r="P23" s="136" t="str">
        <f t="shared" si="5"/>
        <v/>
      </c>
      <c r="Q23" s="146" t="str">
        <f t="shared" si="6"/>
        <v/>
      </c>
      <c r="R23" s="208" t="str">
        <f t="shared" si="7"/>
        <v/>
      </c>
      <c r="S23" s="209">
        <v>0.0</v>
      </c>
      <c r="T23" s="146">
        <f t="shared" si="8"/>
        <v>0</v>
      </c>
      <c r="U23" s="146">
        <f t="shared" si="9"/>
        <v>0</v>
      </c>
      <c r="V23" s="139">
        <f t="shared" si="10"/>
        <v>0</v>
      </c>
      <c r="W23" s="211" t="str">
        <f t="shared" si="11"/>
        <v/>
      </c>
    </row>
    <row r="24" hidden="1">
      <c r="A24" s="127" t="str">
        <f>Positions!A24</f>
        <v/>
      </c>
      <c r="B24" s="128" t="str">
        <f>IFERROR(__xludf.DUMMYFUNCTION("IF(ISBLANK(A24),"""", googlefinance(A24, ""name""))"),"")</f>
        <v/>
      </c>
      <c r="C24" s="204" t="str">
        <f>Positions!D24</f>
        <v/>
      </c>
      <c r="D24" s="205" t="str">
        <f>Positions!E24</f>
        <v/>
      </c>
      <c r="E24" s="132" t="str">
        <f>IFERROR(__xludf.DUMMYFUNCTION("IF(ISBLANK(A24),"""", googlefinance(A24, ""price""))"),"")</f>
        <v/>
      </c>
      <c r="F24" s="135" t="str">
        <f>Positions!G24</f>
        <v/>
      </c>
      <c r="G24" s="206" t="str">
        <f>Positions!H24</f>
        <v/>
      </c>
      <c r="H24" s="213" t="s">
        <v>133</v>
      </c>
      <c r="I24" s="213" t="s">
        <v>134</v>
      </c>
      <c r="J24" s="213" t="s">
        <v>134</v>
      </c>
      <c r="K24" s="139" t="str">
        <f t="shared" si="1"/>
        <v/>
      </c>
      <c r="L24" s="135" t="str">
        <f t="shared" si="2"/>
        <v/>
      </c>
      <c r="M24" s="136" t="str">
        <f>Positions!X24</f>
        <v/>
      </c>
      <c r="N24" s="207" t="str">
        <f t="shared" si="3"/>
        <v/>
      </c>
      <c r="O24" s="145" t="str">
        <f t="shared" si="4"/>
        <v/>
      </c>
      <c r="P24" s="136" t="str">
        <f t="shared" si="5"/>
        <v/>
      </c>
      <c r="Q24" s="146" t="str">
        <f t="shared" si="6"/>
        <v/>
      </c>
      <c r="R24" s="208" t="str">
        <f t="shared" si="7"/>
        <v/>
      </c>
      <c r="S24" s="209">
        <v>0.0</v>
      </c>
      <c r="T24" s="146">
        <f t="shared" si="8"/>
        <v>0</v>
      </c>
      <c r="U24" s="146">
        <f t="shared" si="9"/>
        <v>0</v>
      </c>
      <c r="V24" s="139">
        <f t="shared" si="10"/>
        <v>0</v>
      </c>
      <c r="W24" s="211" t="str">
        <f t="shared" si="11"/>
        <v/>
      </c>
    </row>
    <row r="25" hidden="1">
      <c r="A25" s="127" t="str">
        <f>Positions!A25</f>
        <v/>
      </c>
      <c r="B25" s="128" t="str">
        <f>IFERROR(__xludf.DUMMYFUNCTION("IF(ISBLANK(A25),"""", googlefinance(A25, ""name""))"),"")</f>
        <v/>
      </c>
      <c r="C25" s="204" t="str">
        <f>Positions!D25</f>
        <v/>
      </c>
      <c r="D25" s="205" t="str">
        <f>Positions!E25</f>
        <v/>
      </c>
      <c r="E25" s="132" t="str">
        <f>IFERROR(__xludf.DUMMYFUNCTION("IF(ISBLANK(A25),"""", googlefinance(A25, ""price""))"),"")</f>
        <v/>
      </c>
      <c r="F25" s="135" t="str">
        <f>Positions!G25</f>
        <v/>
      </c>
      <c r="G25" s="206" t="str">
        <f>Positions!H25</f>
        <v/>
      </c>
      <c r="H25" s="213" t="s">
        <v>133</v>
      </c>
      <c r="I25" s="213" t="s">
        <v>134</v>
      </c>
      <c r="J25" s="213" t="s">
        <v>134</v>
      </c>
      <c r="K25" s="139" t="str">
        <f t="shared" si="1"/>
        <v/>
      </c>
      <c r="L25" s="135" t="str">
        <f t="shared" si="2"/>
        <v/>
      </c>
      <c r="M25" s="136" t="str">
        <f>Positions!X25</f>
        <v/>
      </c>
      <c r="N25" s="207" t="str">
        <f t="shared" si="3"/>
        <v/>
      </c>
      <c r="O25" s="145" t="str">
        <f t="shared" si="4"/>
        <v/>
      </c>
      <c r="P25" s="136" t="str">
        <f t="shared" si="5"/>
        <v/>
      </c>
      <c r="Q25" s="146" t="str">
        <f t="shared" si="6"/>
        <v/>
      </c>
      <c r="R25" s="208" t="str">
        <f t="shared" si="7"/>
        <v/>
      </c>
      <c r="S25" s="209">
        <v>0.0</v>
      </c>
      <c r="T25" s="146">
        <f t="shared" si="8"/>
        <v>0</v>
      </c>
      <c r="U25" s="146">
        <f t="shared" si="9"/>
        <v>0</v>
      </c>
      <c r="V25" s="139">
        <f t="shared" si="10"/>
        <v>0</v>
      </c>
      <c r="W25" s="211" t="str">
        <f t="shared" si="11"/>
        <v/>
      </c>
    </row>
    <row r="26" hidden="1">
      <c r="A26" s="127" t="str">
        <f>Positions!A26</f>
        <v/>
      </c>
      <c r="B26" s="128" t="str">
        <f>IFERROR(__xludf.DUMMYFUNCTION("IF(ISBLANK(A26),"""", googlefinance(A26, ""name""))"),"")</f>
        <v/>
      </c>
      <c r="C26" s="204" t="str">
        <f>Positions!D26</f>
        <v/>
      </c>
      <c r="D26" s="205" t="str">
        <f>Positions!E26</f>
        <v/>
      </c>
      <c r="E26" s="132" t="str">
        <f>IFERROR(__xludf.DUMMYFUNCTION("IF(ISBLANK(A26),"""", googlefinance(A26, ""price""))"),"")</f>
        <v/>
      </c>
      <c r="F26" s="135" t="str">
        <f>Positions!G26</f>
        <v/>
      </c>
      <c r="G26" s="206" t="str">
        <f>Positions!H26</f>
        <v/>
      </c>
      <c r="H26" s="213" t="s">
        <v>133</v>
      </c>
      <c r="I26" s="213" t="s">
        <v>134</v>
      </c>
      <c r="J26" s="213" t="s">
        <v>134</v>
      </c>
      <c r="K26" s="139" t="str">
        <f t="shared" si="1"/>
        <v/>
      </c>
      <c r="L26" s="135" t="str">
        <f t="shared" si="2"/>
        <v/>
      </c>
      <c r="M26" s="136" t="str">
        <f>Positions!X26</f>
        <v/>
      </c>
      <c r="N26" s="207" t="str">
        <f t="shared" si="3"/>
        <v/>
      </c>
      <c r="O26" s="145" t="str">
        <f t="shared" si="4"/>
        <v/>
      </c>
      <c r="P26" s="136" t="str">
        <f t="shared" si="5"/>
        <v/>
      </c>
      <c r="Q26" s="146" t="str">
        <f t="shared" si="6"/>
        <v/>
      </c>
      <c r="R26" s="208" t="str">
        <f t="shared" si="7"/>
        <v/>
      </c>
      <c r="S26" s="209">
        <v>0.0</v>
      </c>
      <c r="T26" s="146">
        <f t="shared" si="8"/>
        <v>0</v>
      </c>
      <c r="U26" s="146">
        <f t="shared" si="9"/>
        <v>0</v>
      </c>
      <c r="V26" s="139">
        <f t="shared" si="10"/>
        <v>0</v>
      </c>
      <c r="W26" s="211" t="str">
        <f t="shared" si="11"/>
        <v/>
      </c>
    </row>
    <row r="27" hidden="1">
      <c r="A27" s="127" t="str">
        <f>Positions!A27</f>
        <v/>
      </c>
      <c r="B27" s="128" t="str">
        <f>IFERROR(__xludf.DUMMYFUNCTION("IF(ISBLANK(A27),"""", googlefinance(A27, ""name""))"),"")</f>
        <v/>
      </c>
      <c r="C27" s="204" t="str">
        <f>Positions!D27</f>
        <v/>
      </c>
      <c r="D27" s="205" t="str">
        <f>Positions!E27</f>
        <v/>
      </c>
      <c r="E27" s="132" t="str">
        <f>IFERROR(__xludf.DUMMYFUNCTION("IF(ISBLANK(A27),"""", googlefinance(A27, ""price""))"),"")</f>
        <v/>
      </c>
      <c r="F27" s="135" t="str">
        <f>Positions!G27</f>
        <v/>
      </c>
      <c r="G27" s="206" t="str">
        <f>Positions!H27</f>
        <v/>
      </c>
      <c r="H27" s="213" t="s">
        <v>133</v>
      </c>
      <c r="I27" s="213" t="s">
        <v>134</v>
      </c>
      <c r="J27" s="213" t="s">
        <v>134</v>
      </c>
      <c r="K27" s="139" t="str">
        <f t="shared" si="1"/>
        <v/>
      </c>
      <c r="L27" s="135" t="str">
        <f t="shared" si="2"/>
        <v/>
      </c>
      <c r="M27" s="136" t="str">
        <f>Positions!X27</f>
        <v/>
      </c>
      <c r="N27" s="207" t="str">
        <f t="shared" si="3"/>
        <v/>
      </c>
      <c r="O27" s="145" t="str">
        <f t="shared" si="4"/>
        <v/>
      </c>
      <c r="P27" s="136" t="str">
        <f t="shared" si="5"/>
        <v/>
      </c>
      <c r="Q27" s="146" t="str">
        <f t="shared" si="6"/>
        <v/>
      </c>
      <c r="R27" s="208" t="str">
        <f t="shared" si="7"/>
        <v/>
      </c>
      <c r="S27" s="209">
        <v>0.0</v>
      </c>
      <c r="T27" s="146">
        <f t="shared" si="8"/>
        <v>0</v>
      </c>
      <c r="U27" s="146">
        <f t="shared" si="9"/>
        <v>0</v>
      </c>
      <c r="V27" s="139">
        <f t="shared" si="10"/>
        <v>0</v>
      </c>
      <c r="W27" s="211" t="str">
        <f t="shared" si="11"/>
        <v/>
      </c>
    </row>
    <row r="28" hidden="1">
      <c r="A28" s="127" t="str">
        <f>Positions!A28</f>
        <v/>
      </c>
      <c r="B28" s="128" t="str">
        <f>IFERROR(__xludf.DUMMYFUNCTION("IF(ISBLANK(A28),"""", googlefinance(A28, ""name""))"),"")</f>
        <v/>
      </c>
      <c r="C28" s="204" t="str">
        <f>Positions!D28</f>
        <v/>
      </c>
      <c r="D28" s="205" t="str">
        <f>Positions!E28</f>
        <v/>
      </c>
      <c r="E28" s="132" t="str">
        <f>IFERROR(__xludf.DUMMYFUNCTION("IF(ISBLANK(A28),"""", googlefinance(A28, ""price""))"),"")</f>
        <v/>
      </c>
      <c r="F28" s="135" t="str">
        <f>Positions!G28</f>
        <v/>
      </c>
      <c r="G28" s="206" t="str">
        <f>Positions!H28</f>
        <v/>
      </c>
      <c r="H28" s="213" t="s">
        <v>133</v>
      </c>
      <c r="I28" s="213" t="s">
        <v>134</v>
      </c>
      <c r="J28" s="213" t="s">
        <v>134</v>
      </c>
      <c r="K28" s="139" t="str">
        <f t="shared" si="1"/>
        <v/>
      </c>
      <c r="L28" s="135" t="str">
        <f t="shared" si="2"/>
        <v/>
      </c>
      <c r="M28" s="136" t="str">
        <f>Positions!X28</f>
        <v/>
      </c>
      <c r="N28" s="207" t="str">
        <f t="shared" si="3"/>
        <v/>
      </c>
      <c r="O28" s="145" t="str">
        <f t="shared" si="4"/>
        <v/>
      </c>
      <c r="P28" s="136" t="str">
        <f t="shared" si="5"/>
        <v/>
      </c>
      <c r="Q28" s="146" t="str">
        <f t="shared" si="6"/>
        <v/>
      </c>
      <c r="R28" s="208" t="str">
        <f t="shared" si="7"/>
        <v/>
      </c>
      <c r="S28" s="209">
        <v>0.0</v>
      </c>
      <c r="T28" s="146">
        <f t="shared" si="8"/>
        <v>0</v>
      </c>
      <c r="U28" s="146">
        <f t="shared" si="9"/>
        <v>0</v>
      </c>
      <c r="V28" s="139">
        <f t="shared" si="10"/>
        <v>0</v>
      </c>
      <c r="W28" s="211" t="str">
        <f t="shared" si="11"/>
        <v/>
      </c>
    </row>
    <row r="29" hidden="1">
      <c r="A29" s="127" t="str">
        <f>Positions!A29</f>
        <v/>
      </c>
      <c r="B29" s="128" t="str">
        <f>IFERROR(__xludf.DUMMYFUNCTION("IF(ISBLANK(A29),"""", googlefinance(A29, ""name""))"),"")</f>
        <v/>
      </c>
      <c r="C29" s="204" t="str">
        <f>Positions!D29</f>
        <v/>
      </c>
      <c r="D29" s="205" t="str">
        <f>Positions!E29</f>
        <v/>
      </c>
      <c r="E29" s="132" t="str">
        <f>IFERROR(__xludf.DUMMYFUNCTION("IF(ISBLANK(A29),"""", googlefinance(A29, ""price""))"),"")</f>
        <v/>
      </c>
      <c r="F29" s="135" t="str">
        <f>Positions!G29</f>
        <v/>
      </c>
      <c r="G29" s="206" t="str">
        <f>Positions!H29</f>
        <v/>
      </c>
      <c r="H29" s="213" t="s">
        <v>133</v>
      </c>
      <c r="I29" s="213" t="s">
        <v>134</v>
      </c>
      <c r="J29" s="213" t="s">
        <v>134</v>
      </c>
      <c r="K29" s="139" t="str">
        <f t="shared" si="1"/>
        <v/>
      </c>
      <c r="L29" s="135" t="str">
        <f t="shared" si="2"/>
        <v/>
      </c>
      <c r="M29" s="136" t="str">
        <f>Positions!X29</f>
        <v/>
      </c>
      <c r="N29" s="207" t="str">
        <f t="shared" si="3"/>
        <v/>
      </c>
      <c r="O29" s="145" t="str">
        <f t="shared" si="4"/>
        <v/>
      </c>
      <c r="P29" s="136" t="str">
        <f t="shared" si="5"/>
        <v/>
      </c>
      <c r="Q29" s="146" t="str">
        <f t="shared" si="6"/>
        <v/>
      </c>
      <c r="R29" s="208" t="str">
        <f t="shared" si="7"/>
        <v/>
      </c>
      <c r="S29" s="209">
        <v>0.0</v>
      </c>
      <c r="T29" s="146">
        <f t="shared" si="8"/>
        <v>0</v>
      </c>
      <c r="U29" s="146">
        <f t="shared" si="9"/>
        <v>0</v>
      </c>
      <c r="V29" s="139">
        <f t="shared" si="10"/>
        <v>0</v>
      </c>
      <c r="W29" s="211" t="str">
        <f t="shared" si="11"/>
        <v/>
      </c>
    </row>
    <row r="30" hidden="1">
      <c r="A30" s="127" t="str">
        <f>Positions!A30</f>
        <v/>
      </c>
      <c r="B30" s="128" t="str">
        <f>IFERROR(__xludf.DUMMYFUNCTION("IF(ISBLANK(A30),"""", googlefinance(A30, ""name""))"),"")</f>
        <v/>
      </c>
      <c r="C30" s="204" t="str">
        <f>Positions!D30</f>
        <v/>
      </c>
      <c r="D30" s="205" t="str">
        <f>Positions!E30</f>
        <v/>
      </c>
      <c r="E30" s="132" t="str">
        <f>IFERROR(__xludf.DUMMYFUNCTION("IF(ISBLANK(A30),"""", googlefinance(A30, ""price""))"),"")</f>
        <v/>
      </c>
      <c r="F30" s="135" t="str">
        <f>Positions!G30</f>
        <v/>
      </c>
      <c r="G30" s="206" t="str">
        <f>Positions!H30</f>
        <v/>
      </c>
      <c r="H30" s="213" t="s">
        <v>133</v>
      </c>
      <c r="I30" s="213" t="s">
        <v>134</v>
      </c>
      <c r="J30" s="213" t="s">
        <v>134</v>
      </c>
      <c r="K30" s="139" t="str">
        <f t="shared" si="1"/>
        <v/>
      </c>
      <c r="L30" s="135" t="str">
        <f t="shared" si="2"/>
        <v/>
      </c>
      <c r="M30" s="136" t="str">
        <f>Positions!X30</f>
        <v/>
      </c>
      <c r="N30" s="207" t="str">
        <f t="shared" si="3"/>
        <v/>
      </c>
      <c r="O30" s="145" t="str">
        <f t="shared" si="4"/>
        <v/>
      </c>
      <c r="P30" s="136" t="str">
        <f t="shared" si="5"/>
        <v/>
      </c>
      <c r="Q30" s="146" t="str">
        <f t="shared" si="6"/>
        <v/>
      </c>
      <c r="R30" s="208" t="str">
        <f t="shared" si="7"/>
        <v/>
      </c>
      <c r="S30" s="209">
        <v>0.0</v>
      </c>
      <c r="T30" s="146">
        <f t="shared" si="8"/>
        <v>0</v>
      </c>
      <c r="U30" s="146">
        <f t="shared" si="9"/>
        <v>0</v>
      </c>
      <c r="V30" s="139">
        <f t="shared" si="10"/>
        <v>0</v>
      </c>
      <c r="W30" s="211" t="str">
        <f t="shared" si="11"/>
        <v/>
      </c>
    </row>
    <row r="31" hidden="1">
      <c r="A31" s="127" t="str">
        <f>Positions!A31</f>
        <v/>
      </c>
      <c r="B31" s="128" t="str">
        <f>IFERROR(__xludf.DUMMYFUNCTION("IF(ISBLANK(A31),"""", googlefinance(A31, ""name""))"),"")</f>
        <v/>
      </c>
      <c r="C31" s="204" t="str">
        <f>Positions!D31</f>
        <v/>
      </c>
      <c r="D31" s="205" t="str">
        <f>Positions!E31</f>
        <v/>
      </c>
      <c r="E31" s="132" t="str">
        <f>IFERROR(__xludf.DUMMYFUNCTION("IF(ISBLANK(A31),"""", googlefinance(A31, ""price""))"),"")</f>
        <v/>
      </c>
      <c r="F31" s="135" t="str">
        <f>Positions!G31</f>
        <v/>
      </c>
      <c r="G31" s="206" t="str">
        <f>Positions!H31</f>
        <v/>
      </c>
      <c r="H31" s="213" t="s">
        <v>133</v>
      </c>
      <c r="I31" s="213" t="s">
        <v>134</v>
      </c>
      <c r="J31" s="213" t="s">
        <v>134</v>
      </c>
      <c r="K31" s="139" t="str">
        <f t="shared" si="1"/>
        <v/>
      </c>
      <c r="L31" s="135" t="str">
        <f t="shared" si="2"/>
        <v/>
      </c>
      <c r="M31" s="136" t="str">
        <f>Positions!X31</f>
        <v/>
      </c>
      <c r="N31" s="207" t="str">
        <f t="shared" si="3"/>
        <v/>
      </c>
      <c r="O31" s="145" t="str">
        <f t="shared" si="4"/>
        <v/>
      </c>
      <c r="P31" s="136" t="str">
        <f t="shared" si="5"/>
        <v/>
      </c>
      <c r="Q31" s="146" t="str">
        <f t="shared" si="6"/>
        <v/>
      </c>
      <c r="R31" s="214" t="str">
        <f t="shared" si="7"/>
        <v/>
      </c>
      <c r="S31" s="215">
        <v>0.0</v>
      </c>
      <c r="T31" s="216">
        <f t="shared" si="8"/>
        <v>0</v>
      </c>
      <c r="U31" s="216">
        <f t="shared" si="9"/>
        <v>0</v>
      </c>
      <c r="V31" s="217">
        <f t="shared" si="10"/>
        <v>0</v>
      </c>
      <c r="W31" s="218" t="str">
        <f t="shared" si="11"/>
        <v/>
      </c>
    </row>
    <row r="32">
      <c r="A32" s="179">
        <f>COUNTA(A2:A31)</f>
        <v>17</v>
      </c>
      <c r="B32" s="180" t="s">
        <v>135</v>
      </c>
      <c r="C32" s="179"/>
      <c r="D32" s="181"/>
      <c r="E32" s="181"/>
      <c r="F32" s="181"/>
      <c r="G32" s="181"/>
      <c r="H32" s="179"/>
      <c r="I32" s="179"/>
      <c r="J32" s="179"/>
      <c r="K32" s="182">
        <f t="shared" ref="K32:L32" si="12">SUM(K2:K31)</f>
        <v>1</v>
      </c>
      <c r="L32" s="181">
        <f t="shared" si="12"/>
        <v>32346.08125</v>
      </c>
      <c r="M32" s="182">
        <f>Positions!X32</f>
        <v>0.02189833569</v>
      </c>
      <c r="N32" s="179"/>
      <c r="O32" s="183"/>
      <c r="P32" s="179"/>
      <c r="Q32" s="183"/>
      <c r="R32" s="219"/>
      <c r="S32" s="220">
        <f t="shared" ref="S32:V32" si="13">SUM(S2:S31)</f>
        <v>0</v>
      </c>
      <c r="T32" s="221">
        <f t="shared" si="13"/>
        <v>0</v>
      </c>
      <c r="U32" s="221">
        <f t="shared" si="13"/>
        <v>32346.08125</v>
      </c>
      <c r="V32" s="222">
        <f t="shared" si="13"/>
        <v>1</v>
      </c>
      <c r="W32" s="223"/>
    </row>
    <row r="33">
      <c r="A33" s="185"/>
      <c r="B33" s="67"/>
      <c r="C33" s="67"/>
      <c r="D33" s="67"/>
      <c r="E33" s="186"/>
      <c r="F33" s="186"/>
      <c r="G33" s="186"/>
      <c r="H33" s="186"/>
      <c r="I33" s="186"/>
      <c r="J33" s="186"/>
      <c r="K33" s="186"/>
      <c r="L33" s="186"/>
      <c r="M33" s="186"/>
      <c r="N33" s="186"/>
      <c r="O33" s="191"/>
      <c r="P33" s="186"/>
      <c r="Q33" s="186"/>
      <c r="R33" s="186"/>
      <c r="S33" s="186"/>
      <c r="T33" s="186"/>
      <c r="U33" s="186"/>
      <c r="V33" s="67"/>
      <c r="W33" s="67"/>
      <c r="X33" s="67"/>
      <c r="Y33" s="187"/>
      <c r="Z33" s="186"/>
      <c r="AA33" s="187"/>
      <c r="AB33" s="187"/>
      <c r="AC33" s="187"/>
      <c r="AD33" s="186"/>
      <c r="AE33" s="186"/>
      <c r="AF33" s="67"/>
      <c r="AG33" s="67"/>
      <c r="AH33" s="67"/>
      <c r="AL33" s="186"/>
    </row>
    <row r="34" ht="37.5" customHeight="1">
      <c r="A34" s="185"/>
      <c r="B34" s="193" t="s">
        <v>148</v>
      </c>
      <c r="C34" s="224">
        <v>7960.27</v>
      </c>
      <c r="D34" s="225">
        <f>C34/L32</f>
        <v>0.24609689</v>
      </c>
      <c r="J34" s="67"/>
      <c r="K34" s="67"/>
      <c r="L34" s="67"/>
      <c r="M34" s="67"/>
      <c r="N34" s="186"/>
      <c r="O34" s="186"/>
      <c r="P34" s="187"/>
      <c r="Q34" s="186"/>
      <c r="R34" s="187"/>
      <c r="S34" s="187"/>
      <c r="T34" s="187"/>
      <c r="U34" s="191"/>
      <c r="V34" s="191"/>
      <c r="W34" s="67"/>
      <c r="X34" s="67"/>
      <c r="Y34" s="67"/>
      <c r="AF34" s="186"/>
      <c r="AK34" s="192"/>
    </row>
    <row r="35">
      <c r="A35" s="185"/>
      <c r="B35" s="193" t="s">
        <v>149</v>
      </c>
      <c r="C35" s="226">
        <f>C34-T32</f>
        <v>7960.27</v>
      </c>
      <c r="D35" s="227">
        <f>C35/U32</f>
        <v>0.24609689</v>
      </c>
      <c r="J35" s="195"/>
      <c r="K35" s="195"/>
      <c r="L35" s="196"/>
      <c r="M35" s="196"/>
      <c r="N35" s="186"/>
      <c r="O35" s="186"/>
      <c r="P35" s="196"/>
      <c r="Q35" s="186"/>
      <c r="R35" s="187"/>
      <c r="S35" s="187"/>
      <c r="T35" s="187"/>
      <c r="U35" s="191"/>
      <c r="V35" s="191"/>
      <c r="W35" s="67"/>
      <c r="X35" s="67"/>
      <c r="Y35" s="67"/>
      <c r="AF35" s="186"/>
    </row>
    <row r="36">
      <c r="A36" s="185"/>
      <c r="B36" s="198"/>
      <c r="C36" s="190"/>
      <c r="D36" s="190"/>
      <c r="K36" s="199"/>
      <c r="L36" s="196"/>
      <c r="M36" s="196"/>
      <c r="N36" s="186"/>
      <c r="O36" s="186"/>
      <c r="P36" s="196"/>
      <c r="Q36" s="186"/>
      <c r="R36" s="187"/>
      <c r="S36" s="187"/>
      <c r="T36" s="187"/>
      <c r="U36" s="191"/>
      <c r="V36" s="191"/>
      <c r="W36" s="67"/>
      <c r="X36" s="67"/>
      <c r="Y36" s="67"/>
      <c r="AF36" s="186"/>
    </row>
    <row r="37">
      <c r="A37" s="185"/>
      <c r="B37" s="200" t="s">
        <v>87</v>
      </c>
      <c r="C37" s="200" t="s">
        <v>138</v>
      </c>
      <c r="D37" s="200" t="s">
        <v>139</v>
      </c>
      <c r="J37" s="67"/>
      <c r="K37" s="196"/>
      <c r="L37" s="196"/>
      <c r="M37" s="196"/>
      <c r="N37" s="187"/>
      <c r="O37" s="187"/>
      <c r="P37" s="186"/>
      <c r="Q37" s="187"/>
      <c r="R37" s="187"/>
      <c r="S37" s="187"/>
      <c r="T37" s="186"/>
      <c r="U37" s="186"/>
      <c r="V37" s="67"/>
      <c r="W37" s="67"/>
      <c r="X37" s="67"/>
      <c r="AE37" s="186"/>
    </row>
    <row r="38">
      <c r="A38" s="185"/>
      <c r="B38" s="200" t="s">
        <v>132</v>
      </c>
      <c r="C38" s="200">
        <v>0.5</v>
      </c>
      <c r="D38" s="200">
        <v>1.0</v>
      </c>
      <c r="J38" s="67"/>
      <c r="K38" s="196"/>
      <c r="L38" s="196"/>
      <c r="M38" s="196"/>
      <c r="N38" s="187"/>
      <c r="O38" s="187"/>
      <c r="P38" s="186"/>
      <c r="Q38" s="187"/>
      <c r="R38" s="187"/>
      <c r="S38" s="187"/>
      <c r="T38" s="186"/>
      <c r="U38" s="186"/>
      <c r="V38" s="67"/>
      <c r="W38" s="67"/>
      <c r="X38" s="67"/>
      <c r="AE38" s="186"/>
    </row>
    <row r="39">
      <c r="A39" s="185"/>
      <c r="B39" s="200" t="s">
        <v>129</v>
      </c>
      <c r="C39" s="200">
        <v>9.5</v>
      </c>
      <c r="D39" s="200">
        <v>4.0</v>
      </c>
      <c r="J39" s="67"/>
      <c r="K39" s="67"/>
      <c r="L39" s="196"/>
      <c r="M39" s="196"/>
      <c r="N39" s="187"/>
      <c r="O39" s="187"/>
      <c r="P39" s="186"/>
      <c r="Q39" s="187"/>
      <c r="R39" s="187"/>
      <c r="S39" s="187"/>
      <c r="T39" s="186"/>
      <c r="U39" s="186"/>
      <c r="V39" s="67"/>
      <c r="W39" s="67"/>
      <c r="X39" s="67"/>
      <c r="AE39" s="186"/>
    </row>
    <row r="40">
      <c r="A40" s="185"/>
      <c r="B40" s="200" t="s">
        <v>140</v>
      </c>
      <c r="C40" s="200">
        <v>20.0</v>
      </c>
      <c r="D40" s="200">
        <v>40.0</v>
      </c>
      <c r="J40" s="67"/>
      <c r="K40" s="67"/>
      <c r="L40" s="196"/>
      <c r="M40" s="196"/>
      <c r="N40" s="187"/>
      <c r="O40" s="187"/>
      <c r="P40" s="186"/>
      <c r="Q40" s="187"/>
      <c r="R40" s="187"/>
      <c r="S40" s="187"/>
      <c r="T40" s="186"/>
      <c r="U40" s="186"/>
      <c r="V40" s="67"/>
      <c r="W40" s="67"/>
      <c r="X40" s="67"/>
      <c r="AE40" s="186"/>
    </row>
    <row r="41">
      <c r="A41" s="185"/>
      <c r="B41" s="200" t="s">
        <v>141</v>
      </c>
      <c r="C41" s="200">
        <v>40.0</v>
      </c>
      <c r="D41" s="200">
        <v>15.0</v>
      </c>
      <c r="J41" s="67"/>
      <c r="K41" s="67"/>
      <c r="L41" s="196"/>
      <c r="M41" s="196"/>
      <c r="N41" s="187"/>
      <c r="O41" s="187"/>
      <c r="P41" s="186"/>
      <c r="Q41" s="187"/>
      <c r="R41" s="187"/>
      <c r="S41" s="187"/>
      <c r="T41" s="186"/>
      <c r="U41" s="186"/>
      <c r="V41" s="67"/>
      <c r="W41" s="67"/>
      <c r="X41" s="67"/>
      <c r="AE41" s="186"/>
    </row>
    <row r="42">
      <c r="A42" s="185"/>
      <c r="B42" s="200" t="s">
        <v>103</v>
      </c>
      <c r="C42" s="200">
        <v>30.0</v>
      </c>
      <c r="D42" s="200">
        <v>40.0</v>
      </c>
      <c r="H42" s="186"/>
      <c r="I42" s="67"/>
      <c r="J42" s="67"/>
      <c r="K42" s="67"/>
      <c r="L42" s="196"/>
      <c r="M42" s="196"/>
      <c r="N42" s="187"/>
      <c r="O42" s="187"/>
      <c r="P42" s="186"/>
      <c r="Q42" s="187"/>
      <c r="R42" s="187"/>
      <c r="S42" s="187"/>
      <c r="T42" s="186"/>
      <c r="U42" s="186"/>
      <c r="V42" s="67"/>
      <c r="W42" s="67"/>
      <c r="X42" s="67"/>
      <c r="AE42" s="186"/>
    </row>
    <row r="43">
      <c r="A43" s="185"/>
      <c r="B43" s="67"/>
      <c r="C43" s="67"/>
      <c r="D43" s="67"/>
      <c r="E43" s="186"/>
      <c r="F43" s="186"/>
      <c r="G43" s="186"/>
      <c r="H43" s="186"/>
      <c r="I43" s="186"/>
      <c r="J43" s="67"/>
      <c r="K43" s="67"/>
      <c r="L43" s="67"/>
      <c r="M43" s="67"/>
      <c r="N43" s="186"/>
      <c r="O43" s="186"/>
      <c r="P43" s="196"/>
      <c r="Q43" s="186"/>
      <c r="R43" s="187"/>
      <c r="S43" s="187"/>
      <c r="T43" s="187"/>
      <c r="U43" s="186"/>
      <c r="V43" s="186"/>
      <c r="W43" s="67"/>
      <c r="X43" s="67"/>
      <c r="Y43" s="67"/>
      <c r="AF43" s="186"/>
    </row>
    <row r="44">
      <c r="A44" s="185"/>
      <c r="B44" s="67"/>
      <c r="C44" s="67"/>
      <c r="D44" s="67"/>
      <c r="E44" s="186"/>
      <c r="F44" s="186"/>
      <c r="G44" s="186"/>
      <c r="H44" s="186"/>
      <c r="I44" s="186"/>
      <c r="J44" s="67"/>
      <c r="K44" s="67"/>
      <c r="L44" s="67"/>
      <c r="M44" s="67"/>
      <c r="N44" s="186"/>
      <c r="O44" s="186"/>
      <c r="P44" s="196"/>
      <c r="Q44" s="186"/>
      <c r="R44" s="187"/>
      <c r="S44" s="187"/>
      <c r="T44" s="187"/>
      <c r="U44" s="186"/>
      <c r="V44" s="186"/>
      <c r="W44" s="67"/>
      <c r="X44" s="67"/>
      <c r="Y44" s="67"/>
      <c r="AF44" s="186"/>
    </row>
    <row r="45">
      <c r="A45" s="185"/>
      <c r="B45" s="67"/>
      <c r="C45" s="67"/>
      <c r="D45" s="67"/>
      <c r="E45" s="186"/>
      <c r="F45" s="186"/>
      <c r="G45" s="186"/>
      <c r="H45" s="186"/>
      <c r="I45" s="186"/>
      <c r="J45" s="67"/>
      <c r="K45" s="67"/>
      <c r="L45" s="67"/>
      <c r="M45" s="67"/>
      <c r="N45" s="186"/>
      <c r="O45" s="186"/>
      <c r="P45" s="196"/>
      <c r="Q45" s="186"/>
      <c r="R45" s="187"/>
      <c r="S45" s="187"/>
      <c r="T45" s="187"/>
      <c r="U45" s="186"/>
      <c r="V45" s="186"/>
      <c r="W45" s="67"/>
      <c r="X45" s="67"/>
      <c r="Y45" s="67"/>
      <c r="AF45" s="186"/>
    </row>
    <row r="46">
      <c r="A46" s="185"/>
      <c r="B46" s="67"/>
      <c r="C46" s="67"/>
      <c r="D46" s="67"/>
      <c r="E46" s="186"/>
      <c r="F46" s="186"/>
      <c r="G46" s="186"/>
      <c r="H46" s="186"/>
      <c r="I46" s="186"/>
      <c r="J46" s="67"/>
      <c r="K46" s="67"/>
      <c r="L46" s="67"/>
      <c r="M46" s="67"/>
      <c r="N46" s="186"/>
      <c r="O46" s="186"/>
      <c r="P46" s="196"/>
      <c r="Q46" s="186"/>
      <c r="R46" s="187"/>
      <c r="S46" s="187"/>
      <c r="T46" s="187"/>
      <c r="U46" s="186"/>
      <c r="V46" s="186"/>
      <c r="W46" s="67"/>
      <c r="X46" s="67"/>
      <c r="Y46" s="67"/>
      <c r="AF46" s="186"/>
    </row>
    <row r="47">
      <c r="A47" s="185"/>
      <c r="B47" s="67"/>
      <c r="C47" s="67"/>
      <c r="D47" s="67"/>
      <c r="E47" s="186"/>
      <c r="F47" s="186"/>
      <c r="G47" s="186"/>
      <c r="H47" s="186"/>
      <c r="I47" s="186"/>
      <c r="J47" s="67"/>
      <c r="K47" s="67"/>
      <c r="L47" s="67"/>
      <c r="M47" s="67"/>
      <c r="N47" s="186"/>
      <c r="O47" s="186"/>
      <c r="P47" s="196"/>
      <c r="Q47" s="186"/>
      <c r="R47" s="187"/>
      <c r="S47" s="187"/>
      <c r="T47" s="187"/>
      <c r="U47" s="186"/>
      <c r="V47" s="186"/>
      <c r="W47" s="67"/>
      <c r="X47" s="67"/>
      <c r="Y47" s="67"/>
      <c r="AF47" s="186"/>
    </row>
    <row r="48">
      <c r="A48" s="185"/>
      <c r="B48" s="67"/>
      <c r="C48" s="67"/>
      <c r="D48" s="67"/>
      <c r="E48" s="186"/>
      <c r="F48" s="186"/>
      <c r="G48" s="186"/>
      <c r="H48" s="186"/>
      <c r="I48" s="186"/>
      <c r="J48" s="186"/>
      <c r="K48" s="186"/>
      <c r="L48" s="186"/>
      <c r="M48" s="186"/>
      <c r="N48" s="186"/>
      <c r="O48" s="186"/>
      <c r="P48" s="186"/>
      <c r="Q48" s="186"/>
      <c r="R48" s="186"/>
      <c r="S48" s="186"/>
      <c r="T48" s="186"/>
      <c r="U48" s="186"/>
      <c r="V48" s="67"/>
      <c r="W48" s="67"/>
      <c r="X48" s="67"/>
      <c r="Y48" s="196"/>
      <c r="Z48" s="186"/>
      <c r="AA48" s="187"/>
      <c r="AB48" s="187"/>
      <c r="AC48" s="187"/>
      <c r="AD48" s="186"/>
      <c r="AE48" s="186"/>
      <c r="AF48" s="67"/>
      <c r="AG48" s="67"/>
      <c r="AH48" s="67"/>
      <c r="AL48" s="186"/>
    </row>
    <row r="49">
      <c r="A49" s="185"/>
      <c r="B49" s="67"/>
      <c r="C49" s="67"/>
      <c r="D49" s="67"/>
      <c r="E49" s="186"/>
      <c r="F49" s="186"/>
      <c r="G49" s="186"/>
      <c r="H49" s="186"/>
      <c r="I49" s="186"/>
      <c r="J49" s="186"/>
      <c r="K49" s="186"/>
      <c r="L49" s="186"/>
      <c r="M49" s="186"/>
      <c r="N49" s="186"/>
      <c r="O49" s="186"/>
      <c r="P49" s="186"/>
      <c r="Q49" s="186"/>
      <c r="R49" s="186"/>
      <c r="S49" s="186"/>
      <c r="T49" s="186"/>
      <c r="U49" s="186"/>
      <c r="V49" s="67"/>
      <c r="W49" s="67"/>
      <c r="X49" s="67"/>
      <c r="Y49" s="196"/>
      <c r="Z49" s="186"/>
      <c r="AA49" s="187"/>
      <c r="AB49" s="187"/>
      <c r="AC49" s="187"/>
      <c r="AD49" s="186"/>
      <c r="AE49" s="186"/>
      <c r="AF49" s="67"/>
      <c r="AG49" s="67"/>
      <c r="AH49" s="67"/>
      <c r="AL49" s="186"/>
    </row>
    <row r="50">
      <c r="A50" s="185"/>
      <c r="B50" s="67"/>
      <c r="C50" s="67"/>
      <c r="D50" s="67"/>
      <c r="E50" s="186"/>
      <c r="F50" s="186"/>
      <c r="G50" s="186"/>
      <c r="H50" s="186"/>
      <c r="I50" s="186"/>
      <c r="J50" s="186"/>
      <c r="K50" s="186"/>
      <c r="L50" s="186"/>
      <c r="M50" s="186"/>
      <c r="N50" s="186"/>
      <c r="O50" s="186"/>
      <c r="P50" s="186"/>
      <c r="Q50" s="186"/>
      <c r="R50" s="186"/>
      <c r="S50" s="186"/>
      <c r="T50" s="186"/>
      <c r="U50" s="186"/>
      <c r="V50" s="67"/>
      <c r="W50" s="67"/>
      <c r="X50" s="67"/>
      <c r="Y50" s="196"/>
      <c r="Z50" s="186"/>
      <c r="AA50" s="187"/>
      <c r="AB50" s="187"/>
      <c r="AC50" s="187"/>
      <c r="AD50" s="186"/>
      <c r="AE50" s="186"/>
      <c r="AF50" s="67"/>
      <c r="AG50" s="67"/>
      <c r="AH50" s="67"/>
      <c r="AL50" s="186"/>
    </row>
    <row r="51">
      <c r="A51" s="185"/>
      <c r="B51" s="67"/>
      <c r="C51" s="67"/>
      <c r="D51" s="67"/>
      <c r="E51" s="186"/>
      <c r="F51" s="186"/>
      <c r="G51" s="186"/>
      <c r="H51" s="186"/>
      <c r="I51" s="186"/>
      <c r="J51" s="186"/>
      <c r="K51" s="186"/>
      <c r="L51" s="186"/>
      <c r="M51" s="186"/>
      <c r="N51" s="186"/>
      <c r="O51" s="186"/>
      <c r="P51" s="186"/>
      <c r="Q51" s="186"/>
      <c r="R51" s="186"/>
      <c r="S51" s="186"/>
      <c r="T51" s="186"/>
      <c r="U51" s="186"/>
      <c r="V51" s="67"/>
      <c r="W51" s="67"/>
      <c r="X51" s="67"/>
      <c r="Y51" s="187"/>
      <c r="Z51" s="186"/>
      <c r="AA51" s="187"/>
      <c r="AB51" s="187"/>
      <c r="AC51" s="187"/>
      <c r="AD51" s="186"/>
      <c r="AE51" s="186"/>
      <c r="AF51" s="67"/>
      <c r="AG51" s="67"/>
      <c r="AH51" s="67"/>
      <c r="AL51" s="186"/>
    </row>
    <row r="52">
      <c r="A52" s="185"/>
      <c r="B52" s="67"/>
      <c r="C52" s="67"/>
      <c r="D52" s="67"/>
      <c r="E52" s="186"/>
      <c r="F52" s="186"/>
      <c r="G52" s="186"/>
      <c r="H52" s="186"/>
      <c r="I52" s="186"/>
      <c r="J52" s="186"/>
      <c r="K52" s="186"/>
      <c r="L52" s="186"/>
      <c r="M52" s="186"/>
      <c r="N52" s="186"/>
      <c r="O52" s="186"/>
      <c r="P52" s="186"/>
      <c r="Q52" s="186"/>
      <c r="R52" s="186"/>
      <c r="S52" s="186"/>
      <c r="T52" s="186"/>
      <c r="U52" s="186"/>
      <c r="V52" s="67"/>
      <c r="W52" s="67"/>
      <c r="X52" s="67"/>
      <c r="Y52" s="187"/>
      <c r="Z52" s="186"/>
      <c r="AA52" s="187"/>
      <c r="AB52" s="187"/>
      <c r="AC52" s="187"/>
      <c r="AD52" s="186"/>
      <c r="AE52" s="186"/>
      <c r="AF52" s="67"/>
      <c r="AG52" s="67"/>
      <c r="AH52" s="67"/>
      <c r="AL52" s="186"/>
    </row>
    <row r="53">
      <c r="A53" s="185"/>
      <c r="B53" s="67"/>
      <c r="C53" s="67"/>
      <c r="D53" s="67"/>
      <c r="E53" s="186"/>
      <c r="F53" s="186"/>
      <c r="G53" s="186"/>
      <c r="H53" s="186"/>
      <c r="I53" s="186"/>
      <c r="J53" s="186"/>
      <c r="K53" s="186"/>
      <c r="L53" s="186"/>
      <c r="M53" s="186"/>
      <c r="N53" s="186"/>
      <c r="O53" s="186"/>
      <c r="P53" s="186"/>
      <c r="Q53" s="186"/>
      <c r="R53" s="186"/>
      <c r="S53" s="186"/>
      <c r="T53" s="186"/>
      <c r="U53" s="186"/>
      <c r="V53" s="67"/>
      <c r="W53" s="67"/>
      <c r="X53" s="67"/>
      <c r="Y53" s="187"/>
      <c r="Z53" s="186"/>
      <c r="AA53" s="187"/>
      <c r="AB53" s="187"/>
      <c r="AC53" s="187"/>
      <c r="AD53" s="186"/>
      <c r="AE53" s="186"/>
      <c r="AF53" s="67"/>
      <c r="AG53" s="67"/>
      <c r="AH53" s="67"/>
      <c r="AL53" s="186"/>
    </row>
    <row r="54">
      <c r="A54" s="185"/>
      <c r="B54" s="67"/>
      <c r="C54" s="67"/>
      <c r="D54" s="67"/>
      <c r="E54" s="186"/>
      <c r="F54" s="186"/>
      <c r="G54" s="186"/>
      <c r="H54" s="186"/>
      <c r="I54" s="186"/>
      <c r="J54" s="186"/>
      <c r="K54" s="186"/>
      <c r="L54" s="186"/>
      <c r="M54" s="186"/>
      <c r="N54" s="186"/>
      <c r="O54" s="186"/>
      <c r="P54" s="186"/>
      <c r="Q54" s="186"/>
      <c r="R54" s="186"/>
      <c r="S54" s="186"/>
      <c r="T54" s="186"/>
      <c r="U54" s="186"/>
      <c r="V54" s="67"/>
      <c r="W54" s="67"/>
      <c r="X54" s="67"/>
      <c r="Y54" s="187"/>
      <c r="Z54" s="186"/>
      <c r="AA54" s="187"/>
      <c r="AB54" s="187"/>
      <c r="AC54" s="187"/>
      <c r="AD54" s="186"/>
      <c r="AE54" s="186"/>
      <c r="AF54" s="67"/>
      <c r="AG54" s="67"/>
      <c r="AH54" s="67"/>
      <c r="AL54" s="186"/>
    </row>
    <row r="55">
      <c r="A55" s="185"/>
      <c r="B55" s="67"/>
      <c r="C55" s="67"/>
      <c r="D55" s="67"/>
      <c r="E55" s="186"/>
      <c r="F55" s="186"/>
      <c r="G55" s="186"/>
      <c r="H55" s="186"/>
      <c r="I55" s="186"/>
      <c r="J55" s="186"/>
      <c r="K55" s="186"/>
      <c r="L55" s="186"/>
      <c r="M55" s="186"/>
      <c r="N55" s="186"/>
      <c r="O55" s="186"/>
      <c r="P55" s="186"/>
      <c r="Q55" s="186"/>
      <c r="R55" s="186"/>
      <c r="S55" s="186"/>
      <c r="T55" s="186"/>
      <c r="U55" s="186"/>
      <c r="V55" s="67"/>
      <c r="W55" s="67"/>
      <c r="X55" s="67"/>
      <c r="Y55" s="187"/>
      <c r="Z55" s="186"/>
      <c r="AA55" s="187"/>
      <c r="AB55" s="187"/>
      <c r="AC55" s="187"/>
      <c r="AD55" s="186"/>
      <c r="AE55" s="186"/>
      <c r="AF55" s="67"/>
      <c r="AG55" s="67"/>
      <c r="AH55" s="67"/>
      <c r="AL55" s="186"/>
    </row>
    <row r="56">
      <c r="A56" s="185"/>
      <c r="B56" s="67"/>
      <c r="C56" s="67"/>
      <c r="D56" s="67"/>
      <c r="E56" s="186"/>
      <c r="F56" s="186"/>
      <c r="G56" s="186"/>
      <c r="H56" s="186"/>
      <c r="I56" s="186"/>
      <c r="J56" s="186"/>
      <c r="K56" s="186"/>
      <c r="L56" s="186"/>
      <c r="M56" s="186"/>
      <c r="N56" s="186"/>
      <c r="O56" s="186"/>
      <c r="P56" s="186"/>
      <c r="Q56" s="186"/>
      <c r="R56" s="186"/>
      <c r="S56" s="186"/>
      <c r="T56" s="186"/>
      <c r="U56" s="186"/>
      <c r="V56" s="67"/>
      <c r="W56" s="67"/>
      <c r="X56" s="67"/>
      <c r="Y56" s="187"/>
      <c r="Z56" s="186"/>
      <c r="AA56" s="187"/>
      <c r="AB56" s="187"/>
      <c r="AC56" s="187"/>
      <c r="AD56" s="186"/>
      <c r="AE56" s="186"/>
      <c r="AF56" s="67"/>
      <c r="AG56" s="67"/>
      <c r="AH56" s="67"/>
      <c r="AL56" s="186"/>
    </row>
    <row r="57">
      <c r="A57" s="185"/>
      <c r="B57" s="67"/>
      <c r="C57" s="67"/>
      <c r="D57" s="67"/>
      <c r="E57" s="186"/>
      <c r="F57" s="186"/>
      <c r="G57" s="186"/>
      <c r="H57" s="186"/>
      <c r="I57" s="186"/>
      <c r="J57" s="186"/>
      <c r="K57" s="186"/>
      <c r="L57" s="186"/>
      <c r="M57" s="186"/>
      <c r="N57" s="186"/>
      <c r="O57" s="186"/>
      <c r="P57" s="186"/>
      <c r="Q57" s="186"/>
      <c r="R57" s="186"/>
      <c r="S57" s="186"/>
      <c r="T57" s="186"/>
      <c r="U57" s="186"/>
      <c r="V57" s="67"/>
      <c r="W57" s="67"/>
      <c r="X57" s="67"/>
      <c r="Y57" s="187"/>
      <c r="Z57" s="186"/>
      <c r="AA57" s="187"/>
      <c r="AB57" s="187"/>
      <c r="AC57" s="187"/>
      <c r="AD57" s="186"/>
      <c r="AE57" s="186"/>
      <c r="AF57" s="67"/>
      <c r="AG57" s="67"/>
      <c r="AH57" s="67"/>
      <c r="AL57" s="186"/>
    </row>
    <row r="58">
      <c r="A58" s="185"/>
      <c r="B58" s="67"/>
      <c r="C58" s="67"/>
      <c r="D58" s="67"/>
      <c r="E58" s="186"/>
      <c r="F58" s="186"/>
      <c r="G58" s="186"/>
      <c r="H58" s="186"/>
      <c r="I58" s="186"/>
      <c r="J58" s="186"/>
      <c r="K58" s="186"/>
      <c r="L58" s="186"/>
      <c r="M58" s="186"/>
      <c r="N58" s="186"/>
      <c r="O58" s="186"/>
      <c r="P58" s="186"/>
      <c r="Q58" s="186"/>
      <c r="R58" s="186"/>
      <c r="S58" s="186"/>
      <c r="T58" s="186"/>
      <c r="U58" s="186"/>
      <c r="V58" s="67"/>
      <c r="W58" s="67"/>
      <c r="X58" s="67"/>
      <c r="Y58" s="187"/>
      <c r="Z58" s="186"/>
      <c r="AA58" s="187"/>
      <c r="AB58" s="187"/>
      <c r="AC58" s="187"/>
      <c r="AD58" s="186"/>
      <c r="AE58" s="186"/>
      <c r="AF58" s="67"/>
      <c r="AG58" s="67"/>
      <c r="AH58" s="67"/>
      <c r="AL58" s="186"/>
    </row>
    <row r="59">
      <c r="A59" s="185"/>
      <c r="B59" s="67"/>
      <c r="C59" s="67"/>
      <c r="D59" s="67"/>
      <c r="E59" s="186"/>
      <c r="F59" s="186"/>
      <c r="G59" s="186"/>
      <c r="H59" s="186"/>
      <c r="I59" s="186"/>
      <c r="J59" s="186"/>
      <c r="K59" s="186"/>
      <c r="L59" s="186"/>
      <c r="M59" s="186"/>
      <c r="N59" s="186"/>
      <c r="O59" s="186"/>
      <c r="P59" s="186"/>
      <c r="Q59" s="186"/>
      <c r="R59" s="186"/>
      <c r="S59" s="186"/>
      <c r="T59" s="186"/>
      <c r="U59" s="186"/>
      <c r="V59" s="67"/>
      <c r="W59" s="67"/>
      <c r="X59" s="67"/>
      <c r="Y59" s="187"/>
      <c r="Z59" s="186"/>
      <c r="AA59" s="187"/>
      <c r="AB59" s="187"/>
      <c r="AC59" s="187"/>
      <c r="AD59" s="186"/>
      <c r="AE59" s="186"/>
      <c r="AF59" s="67"/>
      <c r="AG59" s="67"/>
      <c r="AH59" s="67"/>
      <c r="AL59" s="186"/>
    </row>
    <row r="60">
      <c r="A60" s="185"/>
      <c r="B60" s="67"/>
      <c r="C60" s="67"/>
      <c r="D60" s="67"/>
      <c r="E60" s="186"/>
      <c r="F60" s="186"/>
      <c r="G60" s="186"/>
      <c r="H60" s="186"/>
      <c r="I60" s="186"/>
      <c r="J60" s="186"/>
      <c r="K60" s="186"/>
      <c r="L60" s="186"/>
      <c r="M60" s="186"/>
      <c r="N60" s="186"/>
      <c r="O60" s="186"/>
      <c r="P60" s="186"/>
      <c r="Q60" s="186"/>
      <c r="R60" s="186"/>
      <c r="S60" s="186"/>
      <c r="T60" s="186"/>
      <c r="U60" s="186"/>
      <c r="V60" s="67"/>
      <c r="W60" s="67"/>
      <c r="X60" s="67"/>
      <c r="Y60" s="187"/>
      <c r="Z60" s="186"/>
      <c r="AA60" s="187"/>
      <c r="AB60" s="187"/>
      <c r="AC60" s="187"/>
      <c r="AD60" s="186"/>
      <c r="AE60" s="186"/>
      <c r="AF60" s="67"/>
      <c r="AG60" s="67"/>
      <c r="AH60" s="67"/>
      <c r="AL60" s="186"/>
    </row>
    <row r="61">
      <c r="A61" s="185"/>
      <c r="B61" s="67"/>
      <c r="C61" s="67"/>
      <c r="D61" s="67"/>
      <c r="E61" s="186"/>
      <c r="F61" s="186"/>
      <c r="G61" s="186"/>
      <c r="H61" s="186"/>
      <c r="I61" s="186"/>
      <c r="J61" s="186"/>
      <c r="K61" s="186"/>
      <c r="L61" s="186"/>
      <c r="M61" s="186"/>
      <c r="N61" s="186"/>
      <c r="O61" s="186"/>
      <c r="P61" s="186"/>
      <c r="Q61" s="186"/>
      <c r="R61" s="186"/>
      <c r="S61" s="186"/>
      <c r="T61" s="186"/>
      <c r="U61" s="186"/>
      <c r="V61" s="67"/>
      <c r="W61" s="67"/>
      <c r="X61" s="67"/>
      <c r="Y61" s="187"/>
      <c r="Z61" s="186"/>
      <c r="AA61" s="187"/>
      <c r="AB61" s="187"/>
      <c r="AC61" s="187"/>
      <c r="AD61" s="186"/>
      <c r="AE61" s="186"/>
      <c r="AF61" s="67"/>
      <c r="AG61" s="67"/>
      <c r="AH61" s="67"/>
      <c r="AL61" s="186"/>
    </row>
    <row r="62">
      <c r="A62" s="185"/>
      <c r="B62" s="67"/>
      <c r="C62" s="67"/>
      <c r="D62" s="67"/>
      <c r="E62" s="186"/>
      <c r="F62" s="186"/>
      <c r="G62" s="186"/>
      <c r="H62" s="186"/>
      <c r="I62" s="186"/>
      <c r="J62" s="186"/>
      <c r="K62" s="186"/>
      <c r="L62" s="186"/>
      <c r="M62" s="186"/>
      <c r="N62" s="186"/>
      <c r="O62" s="186"/>
      <c r="P62" s="186"/>
      <c r="Q62" s="186"/>
      <c r="R62" s="186"/>
      <c r="S62" s="186"/>
      <c r="T62" s="186"/>
      <c r="U62" s="186"/>
      <c r="V62" s="67"/>
      <c r="W62" s="67"/>
      <c r="X62" s="67"/>
      <c r="Y62" s="187"/>
      <c r="Z62" s="186"/>
      <c r="AA62" s="187"/>
      <c r="AB62" s="187"/>
      <c r="AC62" s="187"/>
      <c r="AD62" s="186"/>
      <c r="AE62" s="186"/>
      <c r="AF62" s="67"/>
      <c r="AG62" s="67"/>
      <c r="AH62" s="67"/>
      <c r="AL62" s="186"/>
    </row>
    <row r="63">
      <c r="A63" s="185"/>
      <c r="B63" s="67"/>
      <c r="C63" s="67"/>
      <c r="D63" s="67"/>
      <c r="E63" s="186"/>
      <c r="F63" s="186"/>
      <c r="G63" s="186"/>
      <c r="H63" s="186"/>
      <c r="I63" s="186"/>
      <c r="J63" s="186"/>
      <c r="K63" s="186"/>
      <c r="L63" s="186"/>
      <c r="M63" s="186"/>
      <c r="N63" s="186"/>
      <c r="O63" s="186"/>
      <c r="P63" s="186"/>
      <c r="Q63" s="186"/>
      <c r="R63" s="186"/>
      <c r="S63" s="186"/>
      <c r="T63" s="186"/>
      <c r="U63" s="186"/>
      <c r="V63" s="67"/>
      <c r="W63" s="67"/>
      <c r="X63" s="67"/>
      <c r="Y63" s="187"/>
      <c r="Z63" s="186"/>
      <c r="AA63" s="187"/>
      <c r="AB63" s="187"/>
      <c r="AC63" s="187"/>
      <c r="AD63" s="186"/>
      <c r="AE63" s="186"/>
      <c r="AF63" s="67"/>
      <c r="AG63" s="67"/>
      <c r="AH63" s="67"/>
      <c r="AL63" s="186"/>
    </row>
    <row r="64">
      <c r="A64" s="185"/>
      <c r="B64" s="67"/>
      <c r="C64" s="67"/>
      <c r="D64" s="67"/>
      <c r="E64" s="186"/>
      <c r="F64" s="186"/>
      <c r="G64" s="186"/>
      <c r="H64" s="186"/>
      <c r="I64" s="186"/>
      <c r="J64" s="186"/>
      <c r="K64" s="186"/>
      <c r="L64" s="186"/>
      <c r="M64" s="186"/>
      <c r="N64" s="186"/>
      <c r="O64" s="186"/>
      <c r="P64" s="186"/>
      <c r="Q64" s="186"/>
      <c r="R64" s="186"/>
      <c r="S64" s="186"/>
      <c r="T64" s="186"/>
      <c r="U64" s="186"/>
      <c r="V64" s="67"/>
      <c r="W64" s="67"/>
      <c r="X64" s="67"/>
      <c r="Y64" s="187"/>
      <c r="Z64" s="186"/>
      <c r="AA64" s="187"/>
      <c r="AB64" s="187"/>
      <c r="AC64" s="187"/>
      <c r="AD64" s="186"/>
      <c r="AE64" s="186"/>
      <c r="AF64" s="67"/>
      <c r="AG64" s="67"/>
      <c r="AH64" s="67"/>
      <c r="AL64" s="186"/>
    </row>
    <row r="65">
      <c r="A65" s="185"/>
      <c r="B65" s="67"/>
      <c r="C65" s="67"/>
      <c r="D65" s="67"/>
      <c r="E65" s="186"/>
      <c r="F65" s="186"/>
      <c r="G65" s="186"/>
      <c r="H65" s="186"/>
      <c r="I65" s="186"/>
      <c r="J65" s="186"/>
      <c r="K65" s="186"/>
      <c r="L65" s="186"/>
      <c r="M65" s="186"/>
      <c r="N65" s="186"/>
      <c r="O65" s="186"/>
      <c r="P65" s="186"/>
      <c r="Q65" s="186"/>
      <c r="R65" s="186"/>
      <c r="S65" s="186"/>
      <c r="T65" s="186"/>
      <c r="U65" s="186"/>
      <c r="V65" s="67"/>
      <c r="W65" s="67"/>
      <c r="X65" s="67"/>
      <c r="Y65" s="187"/>
      <c r="Z65" s="186"/>
      <c r="AA65" s="187"/>
      <c r="AB65" s="187"/>
      <c r="AC65" s="187"/>
      <c r="AD65" s="186"/>
      <c r="AE65" s="186"/>
      <c r="AF65" s="67"/>
      <c r="AG65" s="67"/>
      <c r="AH65" s="67"/>
      <c r="AL65" s="186"/>
    </row>
    <row r="66">
      <c r="A66" s="185"/>
      <c r="B66" s="67"/>
      <c r="C66" s="67"/>
      <c r="D66" s="67"/>
      <c r="E66" s="186"/>
      <c r="F66" s="186"/>
      <c r="G66" s="186"/>
      <c r="H66" s="186"/>
      <c r="I66" s="186"/>
      <c r="J66" s="186"/>
      <c r="K66" s="186"/>
      <c r="L66" s="186"/>
      <c r="M66" s="186"/>
      <c r="N66" s="186"/>
      <c r="O66" s="186"/>
      <c r="P66" s="186"/>
      <c r="Q66" s="186"/>
      <c r="R66" s="186"/>
      <c r="S66" s="186"/>
      <c r="T66" s="186"/>
      <c r="U66" s="186"/>
      <c r="V66" s="67"/>
      <c r="W66" s="67"/>
      <c r="X66" s="67"/>
      <c r="Y66" s="187"/>
      <c r="Z66" s="186"/>
      <c r="AA66" s="187"/>
      <c r="AB66" s="187"/>
      <c r="AC66" s="187"/>
      <c r="AD66" s="186"/>
      <c r="AE66" s="186"/>
      <c r="AF66" s="67"/>
      <c r="AG66" s="67"/>
      <c r="AH66" s="67"/>
      <c r="AL66" s="186"/>
    </row>
    <row r="67">
      <c r="A67" s="185"/>
      <c r="B67" s="67"/>
      <c r="C67" s="67"/>
      <c r="D67" s="67"/>
      <c r="E67" s="186"/>
      <c r="F67" s="186"/>
      <c r="G67" s="186"/>
      <c r="H67" s="186"/>
      <c r="I67" s="186"/>
      <c r="J67" s="186"/>
      <c r="K67" s="186"/>
      <c r="L67" s="186"/>
      <c r="M67" s="186"/>
      <c r="N67" s="186"/>
      <c r="O67" s="186"/>
      <c r="P67" s="186"/>
      <c r="Q67" s="186"/>
      <c r="R67" s="186"/>
      <c r="S67" s="186"/>
      <c r="T67" s="186"/>
      <c r="U67" s="186"/>
      <c r="V67" s="67"/>
      <c r="W67" s="67"/>
      <c r="X67" s="67"/>
      <c r="Y67" s="187"/>
      <c r="Z67" s="186"/>
      <c r="AA67" s="187"/>
      <c r="AB67" s="187"/>
      <c r="AC67" s="187"/>
      <c r="AD67" s="186"/>
      <c r="AE67" s="186"/>
      <c r="AF67" s="67"/>
      <c r="AG67" s="67"/>
      <c r="AH67" s="67"/>
      <c r="AL67" s="186"/>
    </row>
    <row r="68">
      <c r="A68" s="185"/>
      <c r="B68" s="67"/>
      <c r="C68" s="67"/>
      <c r="D68" s="67"/>
      <c r="E68" s="186"/>
      <c r="F68" s="186"/>
      <c r="G68" s="186"/>
      <c r="H68" s="186"/>
      <c r="I68" s="186"/>
      <c r="J68" s="186"/>
      <c r="K68" s="186"/>
      <c r="L68" s="186"/>
      <c r="M68" s="186"/>
      <c r="N68" s="186"/>
      <c r="O68" s="186"/>
      <c r="P68" s="186"/>
      <c r="Q68" s="186"/>
      <c r="R68" s="186"/>
      <c r="S68" s="186"/>
      <c r="T68" s="186"/>
      <c r="U68" s="186"/>
      <c r="V68" s="67"/>
      <c r="W68" s="67"/>
      <c r="X68" s="67"/>
      <c r="Y68" s="187"/>
      <c r="Z68" s="186"/>
      <c r="AA68" s="187"/>
      <c r="AB68" s="187"/>
      <c r="AC68" s="187"/>
      <c r="AD68" s="186"/>
      <c r="AE68" s="186"/>
      <c r="AF68" s="67"/>
      <c r="AG68" s="67"/>
      <c r="AH68" s="67"/>
      <c r="AL68" s="186"/>
    </row>
    <row r="69">
      <c r="A69" s="185"/>
      <c r="B69" s="67"/>
      <c r="C69" s="67"/>
      <c r="D69" s="67"/>
      <c r="E69" s="186"/>
      <c r="F69" s="186"/>
      <c r="G69" s="186"/>
      <c r="H69" s="186"/>
      <c r="I69" s="186"/>
      <c r="J69" s="186"/>
      <c r="K69" s="186"/>
      <c r="L69" s="186"/>
      <c r="M69" s="186"/>
      <c r="N69" s="186"/>
      <c r="O69" s="186"/>
      <c r="P69" s="186"/>
      <c r="Q69" s="186"/>
      <c r="R69" s="186"/>
      <c r="S69" s="186"/>
      <c r="T69" s="186"/>
      <c r="U69" s="186"/>
      <c r="V69" s="67"/>
      <c r="W69" s="67"/>
      <c r="X69" s="67"/>
      <c r="Y69" s="187"/>
      <c r="Z69" s="186"/>
      <c r="AA69" s="187"/>
      <c r="AB69" s="187"/>
      <c r="AC69" s="187"/>
      <c r="AD69" s="186"/>
      <c r="AE69" s="186"/>
      <c r="AF69" s="67"/>
      <c r="AG69" s="67"/>
      <c r="AH69" s="67"/>
      <c r="AL69" s="186"/>
    </row>
    <row r="70">
      <c r="A70" s="185"/>
      <c r="B70" s="67"/>
      <c r="C70" s="67"/>
      <c r="D70" s="67"/>
      <c r="E70" s="186"/>
      <c r="F70" s="186"/>
      <c r="G70" s="186"/>
      <c r="H70" s="186"/>
      <c r="I70" s="186"/>
      <c r="J70" s="186"/>
      <c r="K70" s="186"/>
      <c r="L70" s="186"/>
      <c r="M70" s="186"/>
      <c r="N70" s="186"/>
      <c r="O70" s="186"/>
      <c r="P70" s="186"/>
      <c r="Q70" s="186"/>
      <c r="R70" s="186"/>
      <c r="S70" s="186"/>
      <c r="T70" s="186"/>
      <c r="U70" s="186"/>
      <c r="V70" s="67"/>
      <c r="W70" s="67"/>
      <c r="X70" s="67"/>
      <c r="Y70" s="187"/>
      <c r="Z70" s="186"/>
      <c r="AA70" s="187"/>
      <c r="AB70" s="187"/>
      <c r="AC70" s="187"/>
      <c r="AD70" s="186"/>
      <c r="AE70" s="186"/>
      <c r="AF70" s="67"/>
      <c r="AG70" s="67"/>
      <c r="AH70" s="67"/>
      <c r="AL70" s="186"/>
    </row>
    <row r="71">
      <c r="A71" s="185"/>
      <c r="B71" s="67"/>
      <c r="C71" s="67"/>
      <c r="D71" s="67"/>
      <c r="E71" s="186"/>
      <c r="F71" s="186"/>
      <c r="G71" s="186"/>
      <c r="H71" s="186"/>
      <c r="I71" s="186"/>
      <c r="J71" s="186"/>
      <c r="K71" s="186"/>
      <c r="L71" s="186"/>
      <c r="M71" s="186"/>
      <c r="N71" s="186"/>
      <c r="O71" s="186"/>
      <c r="P71" s="186"/>
      <c r="Q71" s="186"/>
      <c r="R71" s="186"/>
      <c r="S71" s="186"/>
      <c r="T71" s="186"/>
      <c r="U71" s="186"/>
      <c r="V71" s="67"/>
      <c r="W71" s="67"/>
      <c r="X71" s="67"/>
      <c r="Y71" s="187"/>
      <c r="Z71" s="186"/>
      <c r="AA71" s="187"/>
      <c r="AB71" s="187"/>
      <c r="AC71" s="187"/>
      <c r="AD71" s="186"/>
      <c r="AE71" s="186"/>
      <c r="AF71" s="67"/>
      <c r="AG71" s="67"/>
      <c r="AH71" s="67"/>
      <c r="AL71" s="186"/>
    </row>
    <row r="72">
      <c r="A72" s="185"/>
      <c r="B72" s="67"/>
      <c r="C72" s="67"/>
      <c r="D72" s="67"/>
      <c r="E72" s="186"/>
      <c r="F72" s="186"/>
      <c r="G72" s="186"/>
      <c r="H72" s="186"/>
      <c r="I72" s="186"/>
      <c r="J72" s="186"/>
      <c r="K72" s="186"/>
      <c r="L72" s="186"/>
      <c r="M72" s="186"/>
      <c r="N72" s="186"/>
      <c r="O72" s="186"/>
      <c r="P72" s="186"/>
      <c r="Q72" s="186"/>
      <c r="R72" s="186"/>
      <c r="S72" s="186"/>
      <c r="T72" s="186"/>
      <c r="U72" s="186"/>
      <c r="V72" s="67"/>
      <c r="W72" s="67"/>
      <c r="X72" s="67"/>
      <c r="Y72" s="187"/>
      <c r="Z72" s="186"/>
      <c r="AA72" s="187"/>
      <c r="AB72" s="187"/>
      <c r="AC72" s="187"/>
      <c r="AD72" s="186"/>
      <c r="AE72" s="186"/>
      <c r="AF72" s="67"/>
      <c r="AG72" s="67"/>
      <c r="AH72" s="67"/>
      <c r="AL72" s="186"/>
    </row>
    <row r="73">
      <c r="A73" s="185"/>
      <c r="B73" s="67"/>
      <c r="C73" s="67"/>
      <c r="D73" s="67"/>
      <c r="E73" s="186"/>
      <c r="F73" s="186"/>
      <c r="G73" s="186"/>
      <c r="H73" s="186"/>
      <c r="I73" s="186"/>
      <c r="J73" s="186"/>
      <c r="K73" s="186"/>
      <c r="L73" s="186"/>
      <c r="M73" s="186"/>
      <c r="N73" s="186"/>
      <c r="O73" s="186"/>
      <c r="P73" s="186"/>
      <c r="Q73" s="186"/>
      <c r="R73" s="186"/>
      <c r="S73" s="186"/>
      <c r="T73" s="186"/>
      <c r="U73" s="186"/>
      <c r="V73" s="67"/>
      <c r="W73" s="67"/>
      <c r="X73" s="67"/>
      <c r="Y73" s="187"/>
      <c r="Z73" s="186"/>
      <c r="AA73" s="187"/>
      <c r="AB73" s="187"/>
      <c r="AC73" s="187"/>
      <c r="AD73" s="186"/>
      <c r="AE73" s="186"/>
      <c r="AF73" s="67"/>
      <c r="AG73" s="67"/>
      <c r="AH73" s="67"/>
      <c r="AL73" s="186"/>
    </row>
    <row r="74">
      <c r="A74" s="185"/>
      <c r="B74" s="67"/>
      <c r="C74" s="67"/>
      <c r="D74" s="67"/>
      <c r="E74" s="186"/>
      <c r="F74" s="186"/>
      <c r="G74" s="186"/>
      <c r="H74" s="186"/>
      <c r="I74" s="186"/>
      <c r="J74" s="186"/>
      <c r="K74" s="186"/>
      <c r="L74" s="186"/>
      <c r="M74" s="186"/>
      <c r="N74" s="186"/>
      <c r="O74" s="186"/>
      <c r="P74" s="186"/>
      <c r="Q74" s="186"/>
      <c r="R74" s="186"/>
      <c r="S74" s="186"/>
      <c r="T74" s="186"/>
      <c r="U74" s="186"/>
      <c r="V74" s="67"/>
      <c r="W74" s="67"/>
      <c r="X74" s="67"/>
      <c r="Y74" s="187"/>
      <c r="Z74" s="186"/>
      <c r="AA74" s="187"/>
      <c r="AB74" s="187"/>
      <c r="AC74" s="187"/>
      <c r="AD74" s="186"/>
      <c r="AE74" s="186"/>
      <c r="AF74" s="67"/>
      <c r="AG74" s="67"/>
      <c r="AH74" s="67"/>
      <c r="AL74" s="186"/>
    </row>
    <row r="75">
      <c r="A75" s="185"/>
      <c r="B75" s="67"/>
      <c r="C75" s="67"/>
      <c r="D75" s="67"/>
      <c r="E75" s="186"/>
      <c r="F75" s="186"/>
      <c r="G75" s="186"/>
      <c r="H75" s="186"/>
      <c r="I75" s="186"/>
      <c r="J75" s="186"/>
      <c r="K75" s="186"/>
      <c r="L75" s="186"/>
      <c r="M75" s="186"/>
      <c r="N75" s="186"/>
      <c r="O75" s="186"/>
      <c r="P75" s="186"/>
      <c r="Q75" s="186"/>
      <c r="R75" s="186"/>
      <c r="S75" s="186"/>
      <c r="T75" s="186"/>
      <c r="U75" s="186"/>
      <c r="V75" s="67"/>
      <c r="W75" s="67"/>
      <c r="X75" s="67"/>
      <c r="Y75" s="187"/>
      <c r="Z75" s="186"/>
      <c r="AA75" s="187"/>
      <c r="AB75" s="187"/>
      <c r="AC75" s="187"/>
      <c r="AD75" s="186"/>
      <c r="AE75" s="186"/>
      <c r="AF75" s="67"/>
      <c r="AG75" s="67"/>
      <c r="AH75" s="67"/>
      <c r="AL75" s="186"/>
    </row>
    <row r="76">
      <c r="A76" s="185"/>
      <c r="B76" s="67"/>
      <c r="C76" s="67"/>
      <c r="D76" s="67"/>
      <c r="E76" s="186"/>
      <c r="F76" s="186"/>
      <c r="G76" s="186"/>
      <c r="H76" s="186"/>
      <c r="I76" s="186"/>
      <c r="J76" s="186"/>
      <c r="K76" s="186"/>
      <c r="L76" s="186"/>
      <c r="M76" s="186"/>
      <c r="N76" s="186"/>
      <c r="O76" s="186"/>
      <c r="P76" s="186"/>
      <c r="Q76" s="186"/>
      <c r="R76" s="186"/>
      <c r="S76" s="186"/>
      <c r="T76" s="186"/>
      <c r="U76" s="186"/>
      <c r="V76" s="67"/>
      <c r="W76" s="67"/>
      <c r="X76" s="67"/>
      <c r="Y76" s="187"/>
      <c r="Z76" s="186"/>
      <c r="AA76" s="187"/>
      <c r="AB76" s="187"/>
      <c r="AC76" s="187"/>
      <c r="AD76" s="186"/>
      <c r="AE76" s="186"/>
      <c r="AF76" s="67"/>
      <c r="AG76" s="67"/>
      <c r="AH76" s="67"/>
      <c r="AL76" s="186"/>
    </row>
    <row r="77">
      <c r="A77" s="185"/>
      <c r="B77" s="67"/>
      <c r="C77" s="67"/>
      <c r="D77" s="67"/>
      <c r="E77" s="186"/>
      <c r="F77" s="186"/>
      <c r="G77" s="186"/>
      <c r="H77" s="186"/>
      <c r="I77" s="186"/>
      <c r="J77" s="186"/>
      <c r="K77" s="186"/>
      <c r="L77" s="186"/>
      <c r="M77" s="186"/>
      <c r="N77" s="186"/>
      <c r="O77" s="186"/>
      <c r="P77" s="186"/>
      <c r="Q77" s="186"/>
      <c r="R77" s="186"/>
      <c r="S77" s="186"/>
      <c r="T77" s="186"/>
      <c r="U77" s="186"/>
      <c r="V77" s="67"/>
      <c r="W77" s="67"/>
      <c r="X77" s="67"/>
      <c r="Y77" s="187"/>
      <c r="Z77" s="186"/>
      <c r="AA77" s="187"/>
      <c r="AB77" s="187"/>
      <c r="AC77" s="187"/>
      <c r="AD77" s="186"/>
      <c r="AE77" s="186"/>
      <c r="AF77" s="67"/>
      <c r="AG77" s="67"/>
      <c r="AH77" s="67"/>
      <c r="AL77" s="186"/>
    </row>
    <row r="78">
      <c r="A78" s="185"/>
      <c r="B78" s="67"/>
      <c r="C78" s="67"/>
      <c r="D78" s="67"/>
      <c r="E78" s="186"/>
      <c r="F78" s="186"/>
      <c r="G78" s="186"/>
      <c r="H78" s="186"/>
      <c r="I78" s="186"/>
      <c r="J78" s="186"/>
      <c r="K78" s="186"/>
      <c r="L78" s="186"/>
      <c r="M78" s="186"/>
      <c r="N78" s="186"/>
      <c r="O78" s="186"/>
      <c r="P78" s="186"/>
      <c r="Q78" s="186"/>
      <c r="R78" s="186"/>
      <c r="S78" s="186"/>
      <c r="T78" s="186"/>
      <c r="U78" s="186"/>
      <c r="V78" s="67"/>
      <c r="W78" s="67"/>
      <c r="X78" s="67"/>
      <c r="Y78" s="187"/>
      <c r="Z78" s="186"/>
      <c r="AA78" s="187"/>
      <c r="AB78" s="187"/>
      <c r="AC78" s="187"/>
      <c r="AD78" s="186"/>
      <c r="AE78" s="186"/>
      <c r="AF78" s="67"/>
      <c r="AG78" s="67"/>
      <c r="AH78" s="67"/>
      <c r="AL78" s="186"/>
    </row>
    <row r="79">
      <c r="A79" s="185"/>
      <c r="B79" s="67"/>
      <c r="C79" s="67"/>
      <c r="D79" s="67"/>
      <c r="E79" s="186"/>
      <c r="F79" s="186"/>
      <c r="G79" s="186"/>
      <c r="H79" s="186"/>
      <c r="I79" s="186"/>
      <c r="J79" s="186"/>
      <c r="K79" s="186"/>
      <c r="L79" s="186"/>
      <c r="M79" s="186"/>
      <c r="N79" s="186"/>
      <c r="O79" s="186"/>
      <c r="P79" s="186"/>
      <c r="Q79" s="186"/>
      <c r="R79" s="186"/>
      <c r="S79" s="186"/>
      <c r="T79" s="186"/>
      <c r="U79" s="186"/>
      <c r="V79" s="67"/>
      <c r="W79" s="67"/>
      <c r="X79" s="67"/>
      <c r="Y79" s="187"/>
      <c r="Z79" s="186"/>
      <c r="AA79" s="187"/>
      <c r="AB79" s="187"/>
      <c r="AC79" s="187"/>
      <c r="AD79" s="186"/>
      <c r="AE79" s="186"/>
      <c r="AF79" s="67"/>
      <c r="AG79" s="67"/>
      <c r="AH79" s="67"/>
      <c r="AL79" s="186"/>
    </row>
    <row r="80">
      <c r="A80" s="185"/>
      <c r="B80" s="67"/>
      <c r="C80" s="67"/>
      <c r="D80" s="67"/>
      <c r="E80" s="186"/>
      <c r="F80" s="186"/>
      <c r="G80" s="186"/>
      <c r="H80" s="186"/>
      <c r="I80" s="186"/>
      <c r="J80" s="186"/>
      <c r="K80" s="186"/>
      <c r="L80" s="186"/>
      <c r="M80" s="186"/>
      <c r="N80" s="186"/>
      <c r="O80" s="186"/>
      <c r="P80" s="186"/>
      <c r="Q80" s="186"/>
      <c r="R80" s="186"/>
      <c r="S80" s="186"/>
      <c r="T80" s="186"/>
      <c r="U80" s="186"/>
      <c r="V80" s="67"/>
      <c r="W80" s="67"/>
      <c r="X80" s="67"/>
      <c r="Y80" s="187"/>
      <c r="Z80" s="186"/>
      <c r="AA80" s="187"/>
      <c r="AB80" s="187"/>
      <c r="AC80" s="187"/>
      <c r="AD80" s="186"/>
      <c r="AE80" s="186"/>
      <c r="AF80" s="67"/>
      <c r="AG80" s="67"/>
      <c r="AH80" s="67"/>
      <c r="AL80" s="186"/>
    </row>
    <row r="81">
      <c r="A81" s="185"/>
      <c r="B81" s="67"/>
      <c r="C81" s="67"/>
      <c r="D81" s="67"/>
      <c r="E81" s="186"/>
      <c r="F81" s="186"/>
      <c r="G81" s="186"/>
      <c r="H81" s="186"/>
      <c r="I81" s="186"/>
      <c r="J81" s="186"/>
      <c r="K81" s="186"/>
      <c r="L81" s="186"/>
      <c r="M81" s="186"/>
      <c r="N81" s="186"/>
      <c r="O81" s="186"/>
      <c r="P81" s="186"/>
      <c r="Q81" s="186"/>
      <c r="R81" s="186"/>
      <c r="S81" s="186"/>
      <c r="T81" s="186"/>
      <c r="U81" s="186"/>
      <c r="V81" s="67"/>
      <c r="W81" s="67"/>
      <c r="X81" s="67"/>
      <c r="Y81" s="187"/>
      <c r="Z81" s="186"/>
      <c r="AA81" s="187"/>
      <c r="AB81" s="187"/>
      <c r="AC81" s="187"/>
      <c r="AD81" s="186"/>
      <c r="AE81" s="186"/>
      <c r="AF81" s="67"/>
      <c r="AG81" s="67"/>
      <c r="AH81" s="67"/>
      <c r="AL81" s="186"/>
    </row>
    <row r="82">
      <c r="A82" s="185"/>
      <c r="B82" s="67"/>
      <c r="C82" s="67"/>
      <c r="D82" s="67"/>
      <c r="E82" s="186"/>
      <c r="F82" s="186"/>
      <c r="G82" s="186"/>
      <c r="H82" s="186"/>
      <c r="I82" s="186"/>
      <c r="J82" s="186"/>
      <c r="K82" s="186"/>
      <c r="L82" s="186"/>
      <c r="M82" s="186"/>
      <c r="N82" s="186"/>
      <c r="O82" s="186"/>
      <c r="P82" s="186"/>
      <c r="Q82" s="186"/>
      <c r="R82" s="186"/>
      <c r="S82" s="186"/>
      <c r="T82" s="186"/>
      <c r="U82" s="186"/>
      <c r="V82" s="67"/>
      <c r="W82" s="67"/>
      <c r="X82" s="67"/>
      <c r="Y82" s="187"/>
      <c r="Z82" s="186"/>
      <c r="AA82" s="187"/>
      <c r="AB82" s="187"/>
      <c r="AC82" s="187"/>
      <c r="AD82" s="186"/>
      <c r="AE82" s="186"/>
      <c r="AF82" s="67"/>
      <c r="AG82" s="67"/>
      <c r="AH82" s="67"/>
      <c r="AL82" s="186"/>
    </row>
    <row r="83">
      <c r="A83" s="185"/>
      <c r="B83" s="67"/>
      <c r="C83" s="67"/>
      <c r="D83" s="67"/>
      <c r="E83" s="186"/>
      <c r="F83" s="186"/>
      <c r="G83" s="186"/>
      <c r="H83" s="186"/>
      <c r="I83" s="186"/>
      <c r="J83" s="186"/>
      <c r="K83" s="186"/>
      <c r="L83" s="186"/>
      <c r="M83" s="186"/>
      <c r="N83" s="186"/>
      <c r="O83" s="186"/>
      <c r="P83" s="186"/>
      <c r="Q83" s="186"/>
      <c r="R83" s="186"/>
      <c r="S83" s="186"/>
      <c r="T83" s="186"/>
      <c r="U83" s="186"/>
      <c r="V83" s="67"/>
      <c r="W83" s="67"/>
      <c r="X83" s="67"/>
      <c r="Y83" s="187"/>
      <c r="Z83" s="186"/>
      <c r="AA83" s="187"/>
      <c r="AB83" s="187"/>
      <c r="AC83" s="187"/>
      <c r="AD83" s="186"/>
      <c r="AE83" s="186"/>
      <c r="AF83" s="67"/>
      <c r="AG83" s="67"/>
      <c r="AH83" s="67"/>
      <c r="AL83" s="186"/>
    </row>
    <row r="84">
      <c r="A84" s="185"/>
      <c r="B84" s="67"/>
      <c r="C84" s="67"/>
      <c r="D84" s="67"/>
      <c r="E84" s="186"/>
      <c r="F84" s="186"/>
      <c r="G84" s="186"/>
      <c r="H84" s="186"/>
      <c r="I84" s="186"/>
      <c r="J84" s="186"/>
      <c r="K84" s="186"/>
      <c r="L84" s="186"/>
      <c r="M84" s="186"/>
      <c r="N84" s="186"/>
      <c r="O84" s="186"/>
      <c r="P84" s="186"/>
      <c r="Q84" s="186"/>
      <c r="R84" s="186"/>
      <c r="S84" s="186"/>
      <c r="T84" s="186"/>
      <c r="U84" s="186"/>
      <c r="V84" s="67"/>
      <c r="W84" s="67"/>
      <c r="X84" s="67"/>
      <c r="Y84" s="187"/>
      <c r="Z84" s="186"/>
      <c r="AA84" s="187"/>
      <c r="AB84" s="187"/>
      <c r="AC84" s="187"/>
      <c r="AD84" s="186"/>
      <c r="AE84" s="186"/>
      <c r="AF84" s="67"/>
      <c r="AG84" s="67"/>
      <c r="AH84" s="67"/>
      <c r="AL84" s="186"/>
    </row>
    <row r="85">
      <c r="A85" s="185"/>
      <c r="B85" s="67"/>
      <c r="C85" s="67"/>
      <c r="D85" s="67"/>
      <c r="E85" s="186"/>
      <c r="F85" s="186"/>
      <c r="G85" s="186"/>
      <c r="H85" s="186"/>
      <c r="I85" s="186"/>
      <c r="J85" s="186"/>
      <c r="K85" s="186"/>
      <c r="L85" s="186"/>
      <c r="M85" s="186"/>
      <c r="N85" s="186"/>
      <c r="O85" s="186"/>
      <c r="P85" s="186"/>
      <c r="Q85" s="186"/>
      <c r="R85" s="186"/>
      <c r="S85" s="186"/>
      <c r="T85" s="186"/>
      <c r="U85" s="186"/>
      <c r="V85" s="67"/>
      <c r="W85" s="67"/>
      <c r="X85" s="67"/>
      <c r="Y85" s="187"/>
      <c r="Z85" s="186"/>
      <c r="AA85" s="187"/>
      <c r="AB85" s="187"/>
      <c r="AC85" s="187"/>
      <c r="AD85" s="186"/>
      <c r="AE85" s="186"/>
      <c r="AF85" s="67"/>
      <c r="AG85" s="67"/>
      <c r="AH85" s="67"/>
      <c r="AL85" s="186"/>
    </row>
    <row r="86">
      <c r="A86" s="185"/>
      <c r="B86" s="67"/>
      <c r="C86" s="67"/>
      <c r="D86" s="67"/>
      <c r="E86" s="186"/>
      <c r="F86" s="186"/>
      <c r="G86" s="186"/>
      <c r="H86" s="186"/>
      <c r="I86" s="186"/>
      <c r="J86" s="186"/>
      <c r="K86" s="186"/>
      <c r="L86" s="186"/>
      <c r="M86" s="186"/>
      <c r="N86" s="186"/>
      <c r="O86" s="186"/>
      <c r="P86" s="186"/>
      <c r="Q86" s="186"/>
      <c r="R86" s="186"/>
      <c r="S86" s="186"/>
      <c r="T86" s="186"/>
      <c r="U86" s="186"/>
      <c r="V86" s="67"/>
      <c r="W86" s="67"/>
      <c r="X86" s="67"/>
      <c r="Y86" s="187"/>
      <c r="Z86" s="186"/>
      <c r="AA86" s="187"/>
      <c r="AB86" s="187"/>
      <c r="AC86" s="187"/>
      <c r="AD86" s="186"/>
      <c r="AE86" s="186"/>
      <c r="AF86" s="67"/>
      <c r="AG86" s="67"/>
      <c r="AH86" s="67"/>
      <c r="AL86" s="186"/>
    </row>
    <row r="87">
      <c r="A87" s="185"/>
      <c r="B87" s="67"/>
      <c r="C87" s="67"/>
      <c r="D87" s="67"/>
      <c r="E87" s="186"/>
      <c r="F87" s="186"/>
      <c r="G87" s="186"/>
      <c r="H87" s="186"/>
      <c r="I87" s="186"/>
      <c r="J87" s="186"/>
      <c r="K87" s="186"/>
      <c r="L87" s="186"/>
      <c r="M87" s="186"/>
      <c r="N87" s="186"/>
      <c r="O87" s="186"/>
      <c r="P87" s="186"/>
      <c r="Q87" s="186"/>
      <c r="R87" s="186"/>
      <c r="S87" s="186"/>
      <c r="T87" s="186"/>
      <c r="U87" s="186"/>
      <c r="V87" s="67"/>
      <c r="W87" s="67"/>
      <c r="X87" s="67"/>
      <c r="Y87" s="187"/>
      <c r="Z87" s="186"/>
      <c r="AA87" s="187"/>
      <c r="AB87" s="187"/>
      <c r="AC87" s="187"/>
      <c r="AD87" s="186"/>
      <c r="AE87" s="186"/>
      <c r="AF87" s="67"/>
      <c r="AG87" s="67"/>
      <c r="AH87" s="67"/>
      <c r="AL87" s="186"/>
    </row>
    <row r="88">
      <c r="A88" s="185"/>
      <c r="B88" s="67"/>
      <c r="C88" s="67"/>
      <c r="D88" s="67"/>
      <c r="E88" s="186"/>
      <c r="F88" s="186"/>
      <c r="G88" s="186"/>
      <c r="H88" s="186"/>
      <c r="I88" s="186"/>
      <c r="J88" s="186"/>
      <c r="K88" s="186"/>
      <c r="L88" s="186"/>
      <c r="M88" s="186"/>
      <c r="N88" s="186"/>
      <c r="O88" s="186"/>
      <c r="P88" s="186"/>
      <c r="Q88" s="186"/>
      <c r="R88" s="186"/>
      <c r="S88" s="186"/>
      <c r="T88" s="186"/>
      <c r="U88" s="186"/>
      <c r="V88" s="67"/>
      <c r="W88" s="67"/>
      <c r="X88" s="67"/>
      <c r="Y88" s="187"/>
      <c r="Z88" s="186"/>
      <c r="AA88" s="187"/>
      <c r="AB88" s="187"/>
      <c r="AC88" s="187"/>
      <c r="AD88" s="186"/>
      <c r="AE88" s="186"/>
      <c r="AF88" s="67"/>
      <c r="AG88" s="67"/>
      <c r="AH88" s="67"/>
      <c r="AL88" s="186"/>
    </row>
    <row r="89">
      <c r="A89" s="185"/>
      <c r="B89" s="67"/>
      <c r="C89" s="67"/>
      <c r="D89" s="67"/>
      <c r="E89" s="186"/>
      <c r="F89" s="186"/>
      <c r="G89" s="186"/>
      <c r="H89" s="186"/>
      <c r="I89" s="186"/>
      <c r="J89" s="186"/>
      <c r="K89" s="186"/>
      <c r="L89" s="186"/>
      <c r="M89" s="186"/>
      <c r="N89" s="186"/>
      <c r="O89" s="186"/>
      <c r="P89" s="186"/>
      <c r="Q89" s="186"/>
      <c r="R89" s="186"/>
      <c r="S89" s="186"/>
      <c r="T89" s="186"/>
      <c r="U89" s="186"/>
      <c r="V89" s="67"/>
      <c r="W89" s="67"/>
      <c r="X89" s="67"/>
      <c r="Y89" s="187"/>
      <c r="Z89" s="186"/>
      <c r="AA89" s="187"/>
      <c r="AB89" s="187"/>
      <c r="AC89" s="187"/>
      <c r="AD89" s="186"/>
      <c r="AE89" s="186"/>
      <c r="AF89" s="67"/>
      <c r="AG89" s="67"/>
      <c r="AH89" s="67"/>
      <c r="AL89" s="186"/>
    </row>
    <row r="90">
      <c r="A90" s="185"/>
      <c r="B90" s="67"/>
      <c r="C90" s="67"/>
      <c r="D90" s="67"/>
      <c r="E90" s="186"/>
      <c r="F90" s="186"/>
      <c r="G90" s="186"/>
      <c r="H90" s="186"/>
      <c r="I90" s="186"/>
      <c r="J90" s="186"/>
      <c r="K90" s="186"/>
      <c r="L90" s="186"/>
      <c r="M90" s="186"/>
      <c r="N90" s="186"/>
      <c r="O90" s="186"/>
      <c r="P90" s="186"/>
      <c r="Q90" s="186"/>
      <c r="R90" s="186"/>
      <c r="S90" s="186"/>
      <c r="T90" s="186"/>
      <c r="U90" s="186"/>
      <c r="V90" s="67"/>
      <c r="W90" s="67"/>
      <c r="X90" s="67"/>
      <c r="Y90" s="187"/>
      <c r="Z90" s="186"/>
      <c r="AA90" s="187"/>
      <c r="AB90" s="187"/>
      <c r="AC90" s="187"/>
      <c r="AD90" s="186"/>
      <c r="AE90" s="186"/>
      <c r="AF90" s="67"/>
      <c r="AG90" s="67"/>
      <c r="AH90" s="67"/>
      <c r="AL90" s="186"/>
    </row>
    <row r="91">
      <c r="A91" s="185"/>
      <c r="B91" s="67"/>
      <c r="C91" s="67"/>
      <c r="D91" s="67"/>
      <c r="E91" s="186"/>
      <c r="F91" s="186"/>
      <c r="G91" s="186"/>
      <c r="H91" s="186"/>
      <c r="I91" s="186"/>
      <c r="J91" s="186"/>
      <c r="K91" s="186"/>
      <c r="L91" s="186"/>
      <c r="M91" s="186"/>
      <c r="N91" s="186"/>
      <c r="O91" s="186"/>
      <c r="P91" s="186"/>
      <c r="Q91" s="186"/>
      <c r="R91" s="186"/>
      <c r="S91" s="186"/>
      <c r="T91" s="186"/>
      <c r="U91" s="186"/>
      <c r="V91" s="67"/>
      <c r="W91" s="67"/>
      <c r="X91" s="67"/>
      <c r="Y91" s="187"/>
      <c r="Z91" s="186"/>
      <c r="AA91" s="187"/>
      <c r="AB91" s="187"/>
      <c r="AC91" s="187"/>
      <c r="AD91" s="186"/>
      <c r="AE91" s="186"/>
      <c r="AF91" s="67"/>
      <c r="AG91" s="67"/>
      <c r="AH91" s="67"/>
      <c r="AL91" s="186"/>
    </row>
    <row r="92">
      <c r="A92" s="185"/>
      <c r="B92" s="67"/>
      <c r="C92" s="67"/>
      <c r="D92" s="67"/>
      <c r="E92" s="186"/>
      <c r="F92" s="186"/>
      <c r="G92" s="186"/>
      <c r="H92" s="186"/>
      <c r="I92" s="186"/>
      <c r="J92" s="186"/>
      <c r="K92" s="186"/>
      <c r="L92" s="186"/>
      <c r="M92" s="186"/>
      <c r="N92" s="186"/>
      <c r="O92" s="186"/>
      <c r="P92" s="186"/>
      <c r="Q92" s="186"/>
      <c r="R92" s="186"/>
      <c r="S92" s="186"/>
      <c r="T92" s="186"/>
      <c r="U92" s="186"/>
      <c r="V92" s="67"/>
      <c r="W92" s="67"/>
      <c r="X92" s="67"/>
      <c r="Y92" s="187"/>
      <c r="Z92" s="186"/>
      <c r="AA92" s="187"/>
      <c r="AB92" s="187"/>
      <c r="AC92" s="187"/>
      <c r="AD92" s="186"/>
      <c r="AE92" s="186"/>
      <c r="AF92" s="67"/>
      <c r="AG92" s="67"/>
      <c r="AH92" s="67"/>
      <c r="AL92" s="186"/>
    </row>
    <row r="93">
      <c r="A93" s="185"/>
      <c r="B93" s="67"/>
      <c r="C93" s="67"/>
      <c r="D93" s="67"/>
      <c r="E93" s="186"/>
      <c r="F93" s="186"/>
      <c r="G93" s="186"/>
      <c r="H93" s="186"/>
      <c r="I93" s="186"/>
      <c r="J93" s="186"/>
      <c r="K93" s="186"/>
      <c r="L93" s="186"/>
      <c r="M93" s="186"/>
      <c r="N93" s="186"/>
      <c r="O93" s="186"/>
      <c r="P93" s="186"/>
      <c r="Q93" s="186"/>
      <c r="R93" s="186"/>
      <c r="S93" s="186"/>
      <c r="T93" s="186"/>
      <c r="U93" s="186"/>
      <c r="V93" s="67"/>
      <c r="W93" s="67"/>
      <c r="X93" s="67"/>
      <c r="Y93" s="187"/>
      <c r="Z93" s="186"/>
      <c r="AA93" s="187"/>
      <c r="AB93" s="187"/>
      <c r="AC93" s="187"/>
      <c r="AD93" s="186"/>
      <c r="AE93" s="186"/>
      <c r="AF93" s="67"/>
      <c r="AG93" s="67"/>
      <c r="AH93" s="67"/>
      <c r="AL93" s="186"/>
    </row>
    <row r="94">
      <c r="A94" s="185"/>
      <c r="B94" s="67"/>
      <c r="C94" s="67"/>
      <c r="D94" s="67"/>
      <c r="E94" s="186"/>
      <c r="F94" s="186"/>
      <c r="G94" s="186"/>
      <c r="H94" s="186"/>
      <c r="I94" s="186"/>
      <c r="J94" s="186"/>
      <c r="K94" s="186"/>
      <c r="L94" s="186"/>
      <c r="M94" s="186"/>
      <c r="N94" s="186"/>
      <c r="O94" s="186"/>
      <c r="P94" s="186"/>
      <c r="Q94" s="186"/>
      <c r="R94" s="186"/>
      <c r="S94" s="186"/>
      <c r="T94" s="186"/>
      <c r="U94" s="186"/>
      <c r="V94" s="67"/>
      <c r="W94" s="67"/>
      <c r="X94" s="67"/>
      <c r="Y94" s="187"/>
      <c r="Z94" s="186"/>
      <c r="AA94" s="187"/>
      <c r="AB94" s="187"/>
      <c r="AC94" s="187"/>
      <c r="AD94" s="186"/>
      <c r="AE94" s="186"/>
      <c r="AF94" s="67"/>
      <c r="AG94" s="67"/>
      <c r="AH94" s="67"/>
      <c r="AL94" s="186"/>
    </row>
    <row r="95">
      <c r="A95" s="185"/>
      <c r="B95" s="67"/>
      <c r="C95" s="67"/>
      <c r="D95" s="67"/>
      <c r="E95" s="186"/>
      <c r="F95" s="186"/>
      <c r="G95" s="186"/>
      <c r="H95" s="186"/>
      <c r="I95" s="186"/>
      <c r="J95" s="186"/>
      <c r="K95" s="186"/>
      <c r="L95" s="186"/>
      <c r="M95" s="186"/>
      <c r="N95" s="186"/>
      <c r="O95" s="186"/>
      <c r="P95" s="186"/>
      <c r="Q95" s="186"/>
      <c r="R95" s="186"/>
      <c r="S95" s="186"/>
      <c r="T95" s="186"/>
      <c r="U95" s="186"/>
      <c r="V95" s="67"/>
      <c r="W95" s="67"/>
      <c r="X95" s="67"/>
      <c r="Y95" s="187"/>
      <c r="Z95" s="186"/>
      <c r="AA95" s="187"/>
      <c r="AB95" s="187"/>
      <c r="AC95" s="187"/>
      <c r="AD95" s="186"/>
      <c r="AE95" s="186"/>
      <c r="AF95" s="67"/>
      <c r="AG95" s="67"/>
      <c r="AH95" s="67"/>
      <c r="AL95" s="186"/>
    </row>
    <row r="96">
      <c r="A96" s="185"/>
      <c r="B96" s="67"/>
      <c r="C96" s="67"/>
      <c r="D96" s="67"/>
      <c r="E96" s="186"/>
      <c r="F96" s="186"/>
      <c r="G96" s="186"/>
      <c r="H96" s="186"/>
      <c r="I96" s="186"/>
      <c r="J96" s="186"/>
      <c r="K96" s="186"/>
      <c r="L96" s="186"/>
      <c r="M96" s="186"/>
      <c r="N96" s="186"/>
      <c r="O96" s="186"/>
      <c r="P96" s="186"/>
      <c r="Q96" s="186"/>
      <c r="R96" s="186"/>
      <c r="S96" s="186"/>
      <c r="T96" s="186"/>
      <c r="U96" s="186"/>
      <c r="V96" s="67"/>
      <c r="W96" s="67"/>
      <c r="X96" s="67"/>
      <c r="Y96" s="187"/>
      <c r="Z96" s="186"/>
      <c r="AA96" s="187"/>
      <c r="AB96" s="187"/>
      <c r="AC96" s="187"/>
      <c r="AD96" s="186"/>
      <c r="AE96" s="186"/>
      <c r="AF96" s="67"/>
      <c r="AG96" s="67"/>
      <c r="AH96" s="67"/>
      <c r="AL96" s="186"/>
    </row>
    <row r="97">
      <c r="A97" s="185"/>
      <c r="B97" s="67"/>
      <c r="C97" s="67"/>
      <c r="D97" s="67"/>
      <c r="E97" s="186"/>
      <c r="F97" s="186"/>
      <c r="G97" s="186"/>
      <c r="H97" s="186"/>
      <c r="I97" s="186"/>
      <c r="J97" s="186"/>
      <c r="K97" s="186"/>
      <c r="L97" s="186"/>
      <c r="M97" s="186"/>
      <c r="N97" s="186"/>
      <c r="O97" s="186"/>
      <c r="P97" s="186"/>
      <c r="Q97" s="186"/>
      <c r="R97" s="186"/>
      <c r="S97" s="186"/>
      <c r="T97" s="186"/>
      <c r="U97" s="186"/>
      <c r="V97" s="67"/>
      <c r="W97" s="67"/>
      <c r="X97" s="67"/>
      <c r="Y97" s="187"/>
      <c r="Z97" s="186"/>
      <c r="AA97" s="187"/>
      <c r="AB97" s="187"/>
      <c r="AC97" s="187"/>
      <c r="AD97" s="186"/>
      <c r="AE97" s="186"/>
      <c r="AF97" s="67"/>
      <c r="AG97" s="67"/>
      <c r="AH97" s="67"/>
      <c r="AL97" s="186"/>
    </row>
    <row r="98">
      <c r="A98" s="185"/>
      <c r="B98" s="67"/>
      <c r="C98" s="67"/>
      <c r="D98" s="67"/>
      <c r="E98" s="186"/>
      <c r="F98" s="186"/>
      <c r="G98" s="186"/>
      <c r="H98" s="186"/>
      <c r="I98" s="186"/>
      <c r="J98" s="186"/>
      <c r="K98" s="186"/>
      <c r="L98" s="186"/>
      <c r="M98" s="186"/>
      <c r="N98" s="186"/>
      <c r="O98" s="186"/>
      <c r="P98" s="186"/>
      <c r="Q98" s="186"/>
      <c r="R98" s="186"/>
      <c r="S98" s="186"/>
      <c r="T98" s="186"/>
      <c r="U98" s="186"/>
      <c r="V98" s="67"/>
      <c r="W98" s="67"/>
      <c r="X98" s="67"/>
      <c r="Y98" s="187"/>
      <c r="Z98" s="186"/>
      <c r="AA98" s="187"/>
      <c r="AB98" s="187"/>
      <c r="AC98" s="187"/>
      <c r="AD98" s="186"/>
      <c r="AE98" s="186"/>
      <c r="AF98" s="67"/>
      <c r="AG98" s="67"/>
      <c r="AH98" s="67"/>
      <c r="AL98" s="186"/>
    </row>
    <row r="99">
      <c r="A99" s="185"/>
      <c r="B99" s="67"/>
      <c r="C99" s="67"/>
      <c r="D99" s="67"/>
      <c r="E99" s="186"/>
      <c r="F99" s="186"/>
      <c r="G99" s="186"/>
      <c r="H99" s="186"/>
      <c r="I99" s="186"/>
      <c r="J99" s="186"/>
      <c r="K99" s="186"/>
      <c r="L99" s="186"/>
      <c r="M99" s="186"/>
      <c r="N99" s="186"/>
      <c r="O99" s="186"/>
      <c r="P99" s="186"/>
      <c r="Q99" s="186"/>
      <c r="R99" s="186"/>
      <c r="S99" s="186"/>
      <c r="T99" s="186"/>
      <c r="U99" s="186"/>
      <c r="V99" s="67"/>
      <c r="W99" s="67"/>
      <c r="X99" s="67"/>
      <c r="Y99" s="187"/>
      <c r="Z99" s="186"/>
      <c r="AA99" s="187"/>
      <c r="AB99" s="187"/>
      <c r="AC99" s="187"/>
      <c r="AD99" s="186"/>
      <c r="AE99" s="186"/>
      <c r="AF99" s="67"/>
      <c r="AG99" s="67"/>
      <c r="AH99" s="67"/>
      <c r="AL99" s="186"/>
    </row>
    <row r="100">
      <c r="A100" s="185"/>
      <c r="B100" s="67"/>
      <c r="C100" s="67"/>
      <c r="D100" s="67"/>
      <c r="E100" s="186"/>
      <c r="F100" s="186"/>
      <c r="G100" s="186"/>
      <c r="H100" s="186"/>
      <c r="I100" s="186"/>
      <c r="J100" s="186"/>
      <c r="K100" s="186"/>
      <c r="L100" s="186"/>
      <c r="M100" s="186"/>
      <c r="N100" s="186"/>
      <c r="O100" s="186"/>
      <c r="P100" s="186"/>
      <c r="Q100" s="186"/>
      <c r="R100" s="186"/>
      <c r="S100" s="186"/>
      <c r="T100" s="186"/>
      <c r="U100" s="186"/>
      <c r="V100" s="67"/>
      <c r="W100" s="67"/>
      <c r="X100" s="67"/>
      <c r="Y100" s="187"/>
      <c r="Z100" s="186"/>
      <c r="AA100" s="187"/>
      <c r="AB100" s="187"/>
      <c r="AC100" s="187"/>
      <c r="AD100" s="186"/>
      <c r="AE100" s="186"/>
      <c r="AF100" s="67"/>
      <c r="AG100" s="67"/>
      <c r="AH100" s="67"/>
      <c r="AL100" s="186"/>
    </row>
    <row r="101">
      <c r="A101" s="185"/>
      <c r="B101" s="67"/>
      <c r="C101" s="67"/>
      <c r="D101" s="67"/>
      <c r="E101" s="186"/>
      <c r="F101" s="186"/>
      <c r="G101" s="186"/>
      <c r="H101" s="186"/>
      <c r="I101" s="186"/>
      <c r="J101" s="186"/>
      <c r="K101" s="186"/>
      <c r="L101" s="186"/>
      <c r="M101" s="186"/>
      <c r="N101" s="186"/>
      <c r="O101" s="186"/>
      <c r="P101" s="186"/>
      <c r="Q101" s="186"/>
      <c r="R101" s="186"/>
      <c r="S101" s="186"/>
      <c r="T101" s="186"/>
      <c r="U101" s="186"/>
      <c r="V101" s="67"/>
      <c r="W101" s="67"/>
      <c r="X101" s="67"/>
      <c r="Y101" s="187"/>
      <c r="Z101" s="186"/>
      <c r="AA101" s="187"/>
      <c r="AB101" s="187"/>
      <c r="AC101" s="187"/>
      <c r="AD101" s="186"/>
      <c r="AE101" s="186"/>
      <c r="AF101" s="67"/>
      <c r="AG101" s="67"/>
      <c r="AH101" s="67"/>
      <c r="AL101" s="186"/>
    </row>
    <row r="102">
      <c r="A102" s="185"/>
      <c r="B102" s="67"/>
      <c r="C102" s="67"/>
      <c r="D102" s="67"/>
      <c r="E102" s="186"/>
      <c r="F102" s="186"/>
      <c r="G102" s="186"/>
      <c r="H102" s="186"/>
      <c r="I102" s="186"/>
      <c r="J102" s="186"/>
      <c r="K102" s="186"/>
      <c r="L102" s="186"/>
      <c r="M102" s="186"/>
      <c r="N102" s="186"/>
      <c r="O102" s="186"/>
      <c r="P102" s="186"/>
      <c r="Q102" s="186"/>
      <c r="R102" s="186"/>
      <c r="S102" s="186"/>
      <c r="T102" s="186"/>
      <c r="U102" s="186"/>
      <c r="V102" s="67"/>
      <c r="W102" s="67"/>
      <c r="X102" s="67"/>
      <c r="Y102" s="187"/>
      <c r="Z102" s="186"/>
      <c r="AA102" s="187"/>
      <c r="AB102" s="187"/>
      <c r="AC102" s="187"/>
      <c r="AD102" s="186"/>
      <c r="AE102" s="186"/>
      <c r="AF102" s="67"/>
      <c r="AG102" s="67"/>
      <c r="AH102" s="67"/>
      <c r="AL102" s="186"/>
    </row>
    <row r="103">
      <c r="A103" s="185"/>
      <c r="B103" s="67"/>
      <c r="C103" s="67"/>
      <c r="D103" s="67"/>
      <c r="E103" s="186"/>
      <c r="F103" s="186"/>
      <c r="G103" s="186"/>
      <c r="H103" s="186"/>
      <c r="I103" s="186"/>
      <c r="J103" s="186"/>
      <c r="K103" s="186"/>
      <c r="L103" s="186"/>
      <c r="M103" s="186"/>
      <c r="N103" s="186"/>
      <c r="O103" s="186"/>
      <c r="P103" s="186"/>
      <c r="Q103" s="186"/>
      <c r="R103" s="186"/>
      <c r="S103" s="186"/>
      <c r="T103" s="186"/>
      <c r="U103" s="186"/>
      <c r="V103" s="67"/>
      <c r="W103" s="67"/>
      <c r="X103" s="67"/>
      <c r="Y103" s="187"/>
      <c r="Z103" s="186"/>
      <c r="AA103" s="187"/>
      <c r="AB103" s="187"/>
      <c r="AC103" s="187"/>
      <c r="AD103" s="186"/>
      <c r="AE103" s="186"/>
      <c r="AF103" s="67"/>
      <c r="AG103" s="67"/>
      <c r="AH103" s="67"/>
      <c r="AL103" s="186"/>
    </row>
    <row r="104">
      <c r="A104" s="185"/>
      <c r="B104" s="67"/>
      <c r="C104" s="67"/>
      <c r="D104" s="67"/>
      <c r="E104" s="186"/>
      <c r="F104" s="186"/>
      <c r="G104" s="186"/>
      <c r="H104" s="186"/>
      <c r="I104" s="186"/>
      <c r="J104" s="186"/>
      <c r="K104" s="186"/>
      <c r="L104" s="186"/>
      <c r="M104" s="186"/>
      <c r="N104" s="186"/>
      <c r="O104" s="186"/>
      <c r="P104" s="186"/>
      <c r="Q104" s="186"/>
      <c r="R104" s="186"/>
      <c r="S104" s="186"/>
      <c r="T104" s="186"/>
      <c r="U104" s="186"/>
      <c r="V104" s="67"/>
      <c r="W104" s="67"/>
      <c r="X104" s="67"/>
      <c r="Y104" s="187"/>
      <c r="Z104" s="186"/>
      <c r="AA104" s="187"/>
      <c r="AB104" s="187"/>
      <c r="AC104" s="187"/>
      <c r="AD104" s="186"/>
      <c r="AE104" s="186"/>
      <c r="AF104" s="67"/>
      <c r="AG104" s="67"/>
      <c r="AH104" s="67"/>
      <c r="AL104" s="186"/>
    </row>
    <row r="105">
      <c r="A105" s="185"/>
      <c r="B105" s="67"/>
      <c r="C105" s="67"/>
      <c r="D105" s="67"/>
      <c r="E105" s="186"/>
      <c r="F105" s="186"/>
      <c r="G105" s="186"/>
      <c r="H105" s="186"/>
      <c r="I105" s="186"/>
      <c r="J105" s="186"/>
      <c r="K105" s="186"/>
      <c r="L105" s="186"/>
      <c r="M105" s="186"/>
      <c r="N105" s="186"/>
      <c r="O105" s="186"/>
      <c r="P105" s="186"/>
      <c r="Q105" s="186"/>
      <c r="R105" s="186"/>
      <c r="S105" s="186"/>
      <c r="T105" s="186"/>
      <c r="U105" s="186"/>
      <c r="V105" s="67"/>
      <c r="W105" s="67"/>
      <c r="X105" s="67"/>
      <c r="Y105" s="187"/>
      <c r="Z105" s="186"/>
      <c r="AA105" s="187"/>
      <c r="AB105" s="187"/>
      <c r="AC105" s="187"/>
      <c r="AD105" s="186"/>
      <c r="AE105" s="186"/>
      <c r="AF105" s="67"/>
      <c r="AG105" s="67"/>
      <c r="AH105" s="67"/>
      <c r="AL105" s="186"/>
    </row>
    <row r="106">
      <c r="A106" s="185"/>
      <c r="B106" s="67"/>
      <c r="C106" s="67"/>
      <c r="D106" s="67"/>
      <c r="E106" s="186"/>
      <c r="F106" s="186"/>
      <c r="G106" s="186"/>
      <c r="H106" s="186"/>
      <c r="I106" s="186"/>
      <c r="J106" s="186"/>
      <c r="K106" s="186"/>
      <c r="L106" s="186"/>
      <c r="M106" s="186"/>
      <c r="N106" s="186"/>
      <c r="O106" s="186"/>
      <c r="P106" s="186"/>
      <c r="Q106" s="186"/>
      <c r="R106" s="186"/>
      <c r="S106" s="186"/>
      <c r="T106" s="186"/>
      <c r="U106" s="186"/>
      <c r="V106" s="67"/>
      <c r="W106" s="67"/>
      <c r="X106" s="67"/>
      <c r="Y106" s="187"/>
      <c r="Z106" s="186"/>
      <c r="AA106" s="187"/>
      <c r="AB106" s="187"/>
      <c r="AC106" s="187"/>
      <c r="AD106" s="186"/>
      <c r="AE106" s="186"/>
      <c r="AF106" s="67"/>
      <c r="AG106" s="67"/>
      <c r="AH106" s="67"/>
      <c r="AL106" s="186"/>
    </row>
    <row r="107">
      <c r="A107" s="185"/>
      <c r="B107" s="67"/>
      <c r="C107" s="67"/>
      <c r="D107" s="67"/>
      <c r="E107" s="186"/>
      <c r="F107" s="186"/>
      <c r="G107" s="186"/>
      <c r="H107" s="186"/>
      <c r="I107" s="186"/>
      <c r="J107" s="186"/>
      <c r="K107" s="186"/>
      <c r="L107" s="186"/>
      <c r="M107" s="186"/>
      <c r="N107" s="186"/>
      <c r="O107" s="186"/>
      <c r="P107" s="186"/>
      <c r="Q107" s="186"/>
      <c r="R107" s="186"/>
      <c r="S107" s="186"/>
      <c r="T107" s="186"/>
      <c r="U107" s="186"/>
      <c r="V107" s="67"/>
      <c r="W107" s="67"/>
      <c r="X107" s="67"/>
      <c r="Y107" s="187"/>
      <c r="Z107" s="186"/>
      <c r="AA107" s="187"/>
      <c r="AB107" s="187"/>
      <c r="AC107" s="187"/>
      <c r="AD107" s="186"/>
      <c r="AE107" s="186"/>
      <c r="AF107" s="67"/>
      <c r="AG107" s="67"/>
      <c r="AH107" s="67"/>
      <c r="AL107" s="186"/>
    </row>
    <row r="108">
      <c r="A108" s="185"/>
      <c r="B108" s="67"/>
      <c r="C108" s="67"/>
      <c r="D108" s="67"/>
      <c r="E108" s="186"/>
      <c r="F108" s="186"/>
      <c r="G108" s="186"/>
      <c r="H108" s="186"/>
      <c r="I108" s="186"/>
      <c r="J108" s="186"/>
      <c r="K108" s="186"/>
      <c r="L108" s="186"/>
      <c r="M108" s="186"/>
      <c r="N108" s="186"/>
      <c r="O108" s="186"/>
      <c r="P108" s="186"/>
      <c r="Q108" s="186"/>
      <c r="R108" s="186"/>
      <c r="S108" s="186"/>
      <c r="T108" s="186"/>
      <c r="U108" s="186"/>
      <c r="V108" s="67"/>
      <c r="W108" s="67"/>
      <c r="X108" s="67"/>
      <c r="Y108" s="187"/>
      <c r="Z108" s="186"/>
      <c r="AA108" s="187"/>
      <c r="AB108" s="187"/>
      <c r="AC108" s="187"/>
      <c r="AD108" s="186"/>
      <c r="AE108" s="186"/>
      <c r="AF108" s="67"/>
      <c r="AG108" s="67"/>
      <c r="AH108" s="67"/>
      <c r="AL108" s="186"/>
    </row>
    <row r="109">
      <c r="A109" s="185"/>
      <c r="B109" s="67"/>
      <c r="C109" s="67"/>
      <c r="D109" s="67"/>
      <c r="E109" s="186"/>
      <c r="F109" s="186"/>
      <c r="G109" s="186"/>
      <c r="H109" s="186"/>
      <c r="I109" s="186"/>
      <c r="J109" s="186"/>
      <c r="K109" s="186"/>
      <c r="L109" s="186"/>
      <c r="M109" s="186"/>
      <c r="N109" s="186"/>
      <c r="O109" s="186"/>
      <c r="P109" s="186"/>
      <c r="Q109" s="186"/>
      <c r="R109" s="186"/>
      <c r="S109" s="186"/>
      <c r="T109" s="186"/>
      <c r="U109" s="186"/>
      <c r="V109" s="67"/>
      <c r="W109" s="67"/>
      <c r="X109" s="67"/>
      <c r="Y109" s="187"/>
      <c r="Z109" s="186"/>
      <c r="AA109" s="187"/>
      <c r="AB109" s="187"/>
      <c r="AC109" s="187"/>
      <c r="AD109" s="186"/>
      <c r="AE109" s="186"/>
      <c r="AF109" s="67"/>
      <c r="AG109" s="67"/>
      <c r="AH109" s="67"/>
      <c r="AL109" s="186"/>
    </row>
    <row r="110">
      <c r="A110" s="185"/>
      <c r="B110" s="67"/>
      <c r="C110" s="67"/>
      <c r="D110" s="67"/>
      <c r="E110" s="186"/>
      <c r="F110" s="186"/>
      <c r="G110" s="186"/>
      <c r="H110" s="186"/>
      <c r="I110" s="186"/>
      <c r="J110" s="186"/>
      <c r="K110" s="186"/>
      <c r="L110" s="186"/>
      <c r="M110" s="186"/>
      <c r="N110" s="186"/>
      <c r="O110" s="186"/>
      <c r="P110" s="186"/>
      <c r="Q110" s="186"/>
      <c r="R110" s="186"/>
      <c r="S110" s="186"/>
      <c r="T110" s="186"/>
      <c r="U110" s="186"/>
      <c r="V110" s="67"/>
      <c r="W110" s="67"/>
      <c r="X110" s="67"/>
      <c r="Y110" s="187"/>
      <c r="Z110" s="186"/>
      <c r="AA110" s="187"/>
      <c r="AB110" s="187"/>
      <c r="AC110" s="187"/>
      <c r="AD110" s="186"/>
      <c r="AE110" s="186"/>
      <c r="AF110" s="67"/>
      <c r="AG110" s="67"/>
      <c r="AH110" s="67"/>
      <c r="AL110" s="186"/>
    </row>
    <row r="111">
      <c r="A111" s="185"/>
      <c r="B111" s="67"/>
      <c r="C111" s="67"/>
      <c r="D111" s="67"/>
      <c r="E111" s="186"/>
      <c r="F111" s="186"/>
      <c r="G111" s="186"/>
      <c r="H111" s="186"/>
      <c r="I111" s="186"/>
      <c r="J111" s="186"/>
      <c r="K111" s="186"/>
      <c r="L111" s="186"/>
      <c r="M111" s="186"/>
      <c r="N111" s="186"/>
      <c r="O111" s="186"/>
      <c r="P111" s="186"/>
      <c r="Q111" s="186"/>
      <c r="R111" s="186"/>
      <c r="S111" s="186"/>
      <c r="T111" s="186"/>
      <c r="U111" s="186"/>
      <c r="V111" s="67"/>
      <c r="W111" s="67"/>
      <c r="X111" s="67"/>
      <c r="Y111" s="187"/>
      <c r="Z111" s="186"/>
      <c r="AA111" s="187"/>
      <c r="AB111" s="187"/>
      <c r="AC111" s="187"/>
      <c r="AD111" s="186"/>
      <c r="AE111" s="186"/>
      <c r="AF111" s="67"/>
      <c r="AG111" s="67"/>
      <c r="AH111" s="67"/>
      <c r="AL111" s="186"/>
    </row>
    <row r="112">
      <c r="A112" s="185"/>
      <c r="B112" s="67"/>
      <c r="C112" s="67"/>
      <c r="D112" s="67"/>
      <c r="E112" s="186"/>
      <c r="F112" s="186"/>
      <c r="G112" s="186"/>
      <c r="H112" s="186"/>
      <c r="I112" s="186"/>
      <c r="J112" s="186"/>
      <c r="K112" s="186"/>
      <c r="L112" s="186"/>
      <c r="M112" s="186"/>
      <c r="N112" s="186"/>
      <c r="O112" s="186"/>
      <c r="P112" s="186"/>
      <c r="Q112" s="186"/>
      <c r="R112" s="186"/>
      <c r="S112" s="186"/>
      <c r="T112" s="186"/>
      <c r="U112" s="186"/>
      <c r="V112" s="67"/>
      <c r="W112" s="67"/>
      <c r="X112" s="67"/>
      <c r="Y112" s="187"/>
      <c r="Z112" s="186"/>
      <c r="AA112" s="187"/>
      <c r="AB112" s="187"/>
      <c r="AC112" s="187"/>
      <c r="AD112" s="186"/>
      <c r="AE112" s="186"/>
      <c r="AF112" s="67"/>
      <c r="AG112" s="67"/>
      <c r="AH112" s="67"/>
      <c r="AL112" s="186"/>
    </row>
    <row r="113">
      <c r="A113" s="185"/>
      <c r="B113" s="67"/>
      <c r="C113" s="67"/>
      <c r="D113" s="67"/>
      <c r="E113" s="186"/>
      <c r="F113" s="186"/>
      <c r="G113" s="186"/>
      <c r="H113" s="186"/>
      <c r="I113" s="186"/>
      <c r="J113" s="186"/>
      <c r="K113" s="186"/>
      <c r="L113" s="186"/>
      <c r="M113" s="186"/>
      <c r="N113" s="186"/>
      <c r="O113" s="186"/>
      <c r="P113" s="186"/>
      <c r="Q113" s="186"/>
      <c r="R113" s="186"/>
      <c r="S113" s="186"/>
      <c r="T113" s="186"/>
      <c r="U113" s="186"/>
      <c r="V113" s="67"/>
      <c r="W113" s="67"/>
      <c r="X113" s="67"/>
      <c r="Y113" s="187"/>
      <c r="Z113" s="186"/>
      <c r="AA113" s="187"/>
      <c r="AB113" s="187"/>
      <c r="AC113" s="187"/>
      <c r="AD113" s="186"/>
      <c r="AE113" s="186"/>
      <c r="AF113" s="67"/>
      <c r="AG113" s="67"/>
      <c r="AH113" s="67"/>
      <c r="AL113" s="186"/>
    </row>
    <row r="114">
      <c r="A114" s="185"/>
      <c r="B114" s="67"/>
      <c r="C114" s="67"/>
      <c r="D114" s="67"/>
      <c r="E114" s="186"/>
      <c r="F114" s="186"/>
      <c r="G114" s="186"/>
      <c r="H114" s="186"/>
      <c r="I114" s="186"/>
      <c r="J114" s="186"/>
      <c r="K114" s="186"/>
      <c r="L114" s="186"/>
      <c r="M114" s="186"/>
      <c r="N114" s="186"/>
      <c r="O114" s="186"/>
      <c r="P114" s="186"/>
      <c r="Q114" s="186"/>
      <c r="R114" s="186"/>
      <c r="S114" s="186"/>
      <c r="T114" s="186"/>
      <c r="U114" s="186"/>
      <c r="V114" s="67"/>
      <c r="W114" s="67"/>
      <c r="X114" s="67"/>
      <c r="Y114" s="187"/>
      <c r="Z114" s="186"/>
      <c r="AA114" s="187"/>
      <c r="AB114" s="187"/>
      <c r="AC114" s="187"/>
      <c r="AD114" s="186"/>
      <c r="AE114" s="186"/>
      <c r="AF114" s="67"/>
      <c r="AG114" s="67"/>
      <c r="AH114" s="67"/>
      <c r="AL114" s="186"/>
    </row>
    <row r="115">
      <c r="A115" s="185"/>
      <c r="B115" s="67"/>
      <c r="C115" s="67"/>
      <c r="D115" s="67"/>
      <c r="E115" s="186"/>
      <c r="F115" s="186"/>
      <c r="G115" s="186"/>
      <c r="H115" s="186"/>
      <c r="I115" s="186"/>
      <c r="J115" s="186"/>
      <c r="K115" s="186"/>
      <c r="L115" s="186"/>
      <c r="M115" s="186"/>
      <c r="N115" s="186"/>
      <c r="O115" s="186"/>
      <c r="P115" s="186"/>
      <c r="Q115" s="186"/>
      <c r="R115" s="186"/>
      <c r="S115" s="186"/>
      <c r="T115" s="186"/>
      <c r="U115" s="186"/>
      <c r="V115" s="67"/>
      <c r="W115" s="67"/>
      <c r="X115" s="67"/>
      <c r="Y115" s="187"/>
      <c r="Z115" s="186"/>
      <c r="AA115" s="187"/>
      <c r="AB115" s="187"/>
      <c r="AC115" s="187"/>
      <c r="AD115" s="186"/>
      <c r="AE115" s="186"/>
      <c r="AF115" s="67"/>
      <c r="AG115" s="67"/>
      <c r="AH115" s="67"/>
      <c r="AL115" s="186"/>
    </row>
    <row r="116">
      <c r="A116" s="185"/>
      <c r="B116" s="67"/>
      <c r="C116" s="67"/>
      <c r="D116" s="67"/>
      <c r="E116" s="186"/>
      <c r="F116" s="186"/>
      <c r="G116" s="186"/>
      <c r="H116" s="186"/>
      <c r="I116" s="186"/>
      <c r="J116" s="186"/>
      <c r="K116" s="186"/>
      <c r="L116" s="186"/>
      <c r="M116" s="186"/>
      <c r="N116" s="186"/>
      <c r="O116" s="186"/>
      <c r="P116" s="186"/>
      <c r="Q116" s="186"/>
      <c r="R116" s="186"/>
      <c r="S116" s="186"/>
      <c r="T116" s="186"/>
      <c r="U116" s="186"/>
      <c r="V116" s="67"/>
      <c r="W116" s="67"/>
      <c r="X116" s="67"/>
      <c r="Y116" s="187"/>
      <c r="Z116" s="186"/>
      <c r="AA116" s="187"/>
      <c r="AB116" s="187"/>
      <c r="AC116" s="187"/>
      <c r="AD116" s="186"/>
      <c r="AE116" s="186"/>
      <c r="AF116" s="67"/>
      <c r="AG116" s="67"/>
      <c r="AH116" s="67"/>
      <c r="AL116" s="186"/>
    </row>
    <row r="117">
      <c r="A117" s="185"/>
      <c r="B117" s="67"/>
      <c r="C117" s="67"/>
      <c r="D117" s="67"/>
      <c r="E117" s="186"/>
      <c r="F117" s="186"/>
      <c r="G117" s="186"/>
      <c r="H117" s="186"/>
      <c r="I117" s="186"/>
      <c r="J117" s="186"/>
      <c r="K117" s="186"/>
      <c r="L117" s="186"/>
      <c r="M117" s="186"/>
      <c r="N117" s="186"/>
      <c r="O117" s="186"/>
      <c r="P117" s="186"/>
      <c r="Q117" s="186"/>
      <c r="R117" s="186"/>
      <c r="S117" s="186"/>
      <c r="T117" s="186"/>
      <c r="U117" s="186"/>
      <c r="V117" s="67"/>
      <c r="W117" s="67"/>
      <c r="X117" s="67"/>
      <c r="Y117" s="187"/>
      <c r="Z117" s="186"/>
      <c r="AA117" s="187"/>
      <c r="AB117" s="187"/>
      <c r="AC117" s="187"/>
      <c r="AD117" s="186"/>
      <c r="AE117" s="186"/>
      <c r="AF117" s="67"/>
      <c r="AG117" s="67"/>
      <c r="AH117" s="67"/>
      <c r="AL117" s="186"/>
    </row>
    <row r="118">
      <c r="A118" s="185"/>
      <c r="B118" s="67"/>
      <c r="C118" s="67"/>
      <c r="D118" s="67"/>
      <c r="E118" s="186"/>
      <c r="F118" s="186"/>
      <c r="G118" s="186"/>
      <c r="H118" s="186"/>
      <c r="I118" s="186"/>
      <c r="J118" s="186"/>
      <c r="K118" s="186"/>
      <c r="L118" s="186"/>
      <c r="M118" s="186"/>
      <c r="N118" s="186"/>
      <c r="O118" s="186"/>
      <c r="P118" s="186"/>
      <c r="Q118" s="186"/>
      <c r="R118" s="186"/>
      <c r="S118" s="186"/>
      <c r="T118" s="186"/>
      <c r="U118" s="186"/>
      <c r="V118" s="67"/>
      <c r="W118" s="67"/>
      <c r="X118" s="67"/>
      <c r="Y118" s="187"/>
      <c r="Z118" s="186"/>
      <c r="AA118" s="187"/>
      <c r="AB118" s="187"/>
      <c r="AC118" s="187"/>
      <c r="AD118" s="186"/>
      <c r="AE118" s="186"/>
      <c r="AF118" s="67"/>
      <c r="AG118" s="67"/>
      <c r="AH118" s="67"/>
      <c r="AL118" s="186"/>
    </row>
    <row r="119">
      <c r="A119" s="185"/>
      <c r="B119" s="67"/>
      <c r="C119" s="67"/>
      <c r="D119" s="67"/>
      <c r="E119" s="186"/>
      <c r="F119" s="186"/>
      <c r="G119" s="186"/>
      <c r="H119" s="186"/>
      <c r="I119" s="186"/>
      <c r="J119" s="186"/>
      <c r="K119" s="186"/>
      <c r="L119" s="186"/>
      <c r="M119" s="186"/>
      <c r="N119" s="186"/>
      <c r="O119" s="186"/>
      <c r="P119" s="186"/>
      <c r="Q119" s="186"/>
      <c r="R119" s="186"/>
      <c r="S119" s="186"/>
      <c r="T119" s="186"/>
      <c r="U119" s="186"/>
      <c r="V119" s="67"/>
      <c r="W119" s="67"/>
      <c r="X119" s="67"/>
      <c r="Y119" s="187"/>
      <c r="Z119" s="186"/>
      <c r="AA119" s="187"/>
      <c r="AB119" s="187"/>
      <c r="AC119" s="187"/>
      <c r="AD119" s="186"/>
      <c r="AE119" s="186"/>
      <c r="AF119" s="67"/>
      <c r="AG119" s="67"/>
      <c r="AH119" s="67"/>
      <c r="AL119" s="186"/>
    </row>
    <row r="120">
      <c r="A120" s="185"/>
      <c r="B120" s="67"/>
      <c r="C120" s="67"/>
      <c r="D120" s="67"/>
      <c r="E120" s="186"/>
      <c r="F120" s="186"/>
      <c r="G120" s="186"/>
      <c r="H120" s="186"/>
      <c r="I120" s="186"/>
      <c r="J120" s="186"/>
      <c r="K120" s="186"/>
      <c r="L120" s="186"/>
      <c r="M120" s="186"/>
      <c r="N120" s="186"/>
      <c r="O120" s="186"/>
      <c r="P120" s="186"/>
      <c r="Q120" s="186"/>
      <c r="R120" s="186"/>
      <c r="S120" s="186"/>
      <c r="T120" s="186"/>
      <c r="U120" s="186"/>
      <c r="V120" s="67"/>
      <c r="W120" s="67"/>
      <c r="X120" s="67"/>
      <c r="Y120" s="187"/>
      <c r="Z120" s="186"/>
      <c r="AA120" s="187"/>
      <c r="AB120" s="187"/>
      <c r="AC120" s="187"/>
      <c r="AD120" s="186"/>
      <c r="AE120" s="186"/>
      <c r="AF120" s="67"/>
      <c r="AG120" s="67"/>
      <c r="AH120" s="67"/>
      <c r="AL120" s="186"/>
    </row>
    <row r="121">
      <c r="A121" s="185"/>
      <c r="B121" s="67"/>
      <c r="C121" s="67"/>
      <c r="D121" s="67"/>
      <c r="E121" s="186"/>
      <c r="F121" s="186"/>
      <c r="G121" s="186"/>
      <c r="H121" s="186"/>
      <c r="I121" s="186"/>
      <c r="J121" s="186"/>
      <c r="K121" s="186"/>
      <c r="L121" s="186"/>
      <c r="M121" s="186"/>
      <c r="N121" s="186"/>
      <c r="O121" s="186"/>
      <c r="P121" s="186"/>
      <c r="Q121" s="186"/>
      <c r="R121" s="186"/>
      <c r="S121" s="186"/>
      <c r="T121" s="186"/>
      <c r="U121" s="186"/>
      <c r="V121" s="67"/>
      <c r="W121" s="67"/>
      <c r="X121" s="67"/>
      <c r="Y121" s="187"/>
      <c r="Z121" s="186"/>
      <c r="AA121" s="187"/>
      <c r="AB121" s="187"/>
      <c r="AC121" s="187"/>
      <c r="AD121" s="186"/>
      <c r="AE121" s="186"/>
      <c r="AF121" s="67"/>
      <c r="AG121" s="67"/>
      <c r="AH121" s="67"/>
      <c r="AL121" s="186"/>
    </row>
    <row r="122">
      <c r="A122" s="185"/>
      <c r="B122" s="67"/>
      <c r="C122" s="67"/>
      <c r="D122" s="67"/>
      <c r="E122" s="186"/>
      <c r="F122" s="186"/>
      <c r="G122" s="186"/>
      <c r="H122" s="186"/>
      <c r="I122" s="186"/>
      <c r="J122" s="186"/>
      <c r="K122" s="186"/>
      <c r="L122" s="186"/>
      <c r="M122" s="186"/>
      <c r="N122" s="186"/>
      <c r="O122" s="186"/>
      <c r="P122" s="186"/>
      <c r="Q122" s="186"/>
      <c r="R122" s="186"/>
      <c r="S122" s="186"/>
      <c r="T122" s="186"/>
      <c r="U122" s="186"/>
      <c r="V122" s="67"/>
      <c r="W122" s="67"/>
      <c r="X122" s="67"/>
      <c r="Y122" s="187"/>
      <c r="Z122" s="186"/>
      <c r="AA122" s="187"/>
      <c r="AB122" s="187"/>
      <c r="AC122" s="187"/>
      <c r="AD122" s="186"/>
      <c r="AE122" s="186"/>
      <c r="AF122" s="67"/>
      <c r="AG122" s="67"/>
      <c r="AH122" s="67"/>
      <c r="AL122" s="186"/>
    </row>
    <row r="123">
      <c r="A123" s="185"/>
      <c r="B123" s="67"/>
      <c r="C123" s="67"/>
      <c r="D123" s="67"/>
      <c r="E123" s="186"/>
      <c r="F123" s="186"/>
      <c r="G123" s="186"/>
      <c r="H123" s="186"/>
      <c r="I123" s="186"/>
      <c r="J123" s="186"/>
      <c r="K123" s="186"/>
      <c r="L123" s="186"/>
      <c r="M123" s="186"/>
      <c r="N123" s="186"/>
      <c r="O123" s="186"/>
      <c r="P123" s="186"/>
      <c r="Q123" s="186"/>
      <c r="R123" s="186"/>
      <c r="S123" s="186"/>
      <c r="T123" s="186"/>
      <c r="U123" s="186"/>
      <c r="V123" s="67"/>
      <c r="W123" s="67"/>
      <c r="X123" s="67"/>
      <c r="Y123" s="187"/>
      <c r="Z123" s="186"/>
      <c r="AA123" s="187"/>
      <c r="AB123" s="187"/>
      <c r="AC123" s="187"/>
      <c r="AD123" s="186"/>
      <c r="AE123" s="186"/>
      <c r="AF123" s="67"/>
      <c r="AG123" s="67"/>
      <c r="AH123" s="67"/>
      <c r="AL123" s="186"/>
    </row>
    <row r="124">
      <c r="A124" s="185"/>
      <c r="B124" s="67"/>
      <c r="C124" s="67"/>
      <c r="D124" s="67"/>
      <c r="E124" s="186"/>
      <c r="F124" s="186"/>
      <c r="G124" s="186"/>
      <c r="H124" s="186"/>
      <c r="I124" s="186"/>
      <c r="J124" s="186"/>
      <c r="K124" s="186"/>
      <c r="L124" s="186"/>
      <c r="M124" s="186"/>
      <c r="N124" s="186"/>
      <c r="O124" s="186"/>
      <c r="P124" s="186"/>
      <c r="Q124" s="186"/>
      <c r="R124" s="186"/>
      <c r="S124" s="186"/>
      <c r="T124" s="186"/>
      <c r="U124" s="186"/>
      <c r="V124" s="67"/>
      <c r="W124" s="67"/>
      <c r="X124" s="67"/>
      <c r="Y124" s="187"/>
      <c r="Z124" s="186"/>
      <c r="AA124" s="187"/>
      <c r="AB124" s="187"/>
      <c r="AC124" s="187"/>
      <c r="AD124" s="186"/>
      <c r="AE124" s="186"/>
      <c r="AF124" s="67"/>
      <c r="AG124" s="67"/>
      <c r="AH124" s="67"/>
      <c r="AL124" s="186"/>
    </row>
    <row r="125">
      <c r="A125" s="185"/>
      <c r="B125" s="67"/>
      <c r="C125" s="67"/>
      <c r="D125" s="67"/>
      <c r="E125" s="186"/>
      <c r="F125" s="186"/>
      <c r="G125" s="186"/>
      <c r="H125" s="186"/>
      <c r="I125" s="186"/>
      <c r="J125" s="186"/>
      <c r="K125" s="186"/>
      <c r="L125" s="186"/>
      <c r="M125" s="186"/>
      <c r="N125" s="186"/>
      <c r="O125" s="186"/>
      <c r="P125" s="186"/>
      <c r="Q125" s="186"/>
      <c r="R125" s="186"/>
      <c r="S125" s="186"/>
      <c r="T125" s="186"/>
      <c r="U125" s="186"/>
      <c r="V125" s="67"/>
      <c r="W125" s="67"/>
      <c r="X125" s="67"/>
      <c r="Y125" s="187"/>
      <c r="Z125" s="186"/>
      <c r="AA125" s="187"/>
      <c r="AB125" s="187"/>
      <c r="AC125" s="187"/>
      <c r="AD125" s="186"/>
      <c r="AE125" s="186"/>
      <c r="AF125" s="67"/>
      <c r="AG125" s="67"/>
      <c r="AH125" s="67"/>
      <c r="AL125" s="186"/>
    </row>
    <row r="126">
      <c r="A126" s="185"/>
      <c r="B126" s="67"/>
      <c r="C126" s="67"/>
      <c r="D126" s="67"/>
      <c r="E126" s="186"/>
      <c r="F126" s="186"/>
      <c r="G126" s="186"/>
      <c r="H126" s="186"/>
      <c r="I126" s="186"/>
      <c r="J126" s="186"/>
      <c r="K126" s="186"/>
      <c r="L126" s="186"/>
      <c r="M126" s="186"/>
      <c r="N126" s="186"/>
      <c r="O126" s="186"/>
      <c r="P126" s="186"/>
      <c r="Q126" s="186"/>
      <c r="R126" s="186"/>
      <c r="S126" s="186"/>
      <c r="T126" s="186"/>
      <c r="U126" s="186"/>
      <c r="V126" s="67"/>
      <c r="W126" s="67"/>
      <c r="X126" s="67"/>
      <c r="Y126" s="187"/>
      <c r="Z126" s="186"/>
      <c r="AA126" s="187"/>
      <c r="AB126" s="187"/>
      <c r="AC126" s="187"/>
      <c r="AD126" s="186"/>
      <c r="AE126" s="186"/>
      <c r="AF126" s="67"/>
      <c r="AG126" s="67"/>
      <c r="AH126" s="67"/>
      <c r="AL126" s="186"/>
    </row>
    <row r="127">
      <c r="A127" s="185"/>
      <c r="B127" s="67"/>
      <c r="C127" s="67"/>
      <c r="D127" s="67"/>
      <c r="E127" s="186"/>
      <c r="F127" s="186"/>
      <c r="G127" s="186"/>
      <c r="H127" s="186"/>
      <c r="I127" s="186"/>
      <c r="J127" s="186"/>
      <c r="K127" s="186"/>
      <c r="L127" s="186"/>
      <c r="M127" s="186"/>
      <c r="N127" s="186"/>
      <c r="O127" s="186"/>
      <c r="P127" s="186"/>
      <c r="Q127" s="186"/>
      <c r="R127" s="186"/>
      <c r="S127" s="186"/>
      <c r="T127" s="186"/>
      <c r="U127" s="186"/>
      <c r="V127" s="67"/>
      <c r="W127" s="67"/>
      <c r="X127" s="67"/>
      <c r="Y127" s="187"/>
      <c r="Z127" s="186"/>
      <c r="AA127" s="187"/>
      <c r="AB127" s="187"/>
      <c r="AC127" s="187"/>
      <c r="AD127" s="186"/>
      <c r="AE127" s="186"/>
      <c r="AF127" s="67"/>
      <c r="AG127" s="67"/>
      <c r="AH127" s="67"/>
      <c r="AL127" s="186"/>
    </row>
    <row r="128">
      <c r="A128" s="185"/>
      <c r="B128" s="67"/>
      <c r="C128" s="67"/>
      <c r="D128" s="67"/>
      <c r="E128" s="186"/>
      <c r="F128" s="186"/>
      <c r="G128" s="186"/>
      <c r="H128" s="186"/>
      <c r="I128" s="186"/>
      <c r="J128" s="186"/>
      <c r="K128" s="186"/>
      <c r="L128" s="186"/>
      <c r="M128" s="186"/>
      <c r="N128" s="186"/>
      <c r="O128" s="186"/>
      <c r="P128" s="186"/>
      <c r="Q128" s="186"/>
      <c r="R128" s="186"/>
      <c r="S128" s="186"/>
      <c r="T128" s="186"/>
      <c r="U128" s="186"/>
      <c r="V128" s="67"/>
      <c r="W128" s="67"/>
      <c r="X128" s="67"/>
      <c r="Y128" s="187"/>
      <c r="Z128" s="186"/>
      <c r="AA128" s="187"/>
      <c r="AB128" s="187"/>
      <c r="AC128" s="187"/>
      <c r="AD128" s="186"/>
      <c r="AE128" s="186"/>
      <c r="AF128" s="67"/>
      <c r="AG128" s="67"/>
      <c r="AH128" s="67"/>
      <c r="AL128" s="186"/>
    </row>
    <row r="129">
      <c r="A129" s="185"/>
      <c r="B129" s="67"/>
      <c r="C129" s="67"/>
      <c r="D129" s="67"/>
      <c r="E129" s="186"/>
      <c r="F129" s="186"/>
      <c r="G129" s="186"/>
      <c r="H129" s="186"/>
      <c r="I129" s="186"/>
      <c r="J129" s="186"/>
      <c r="K129" s="186"/>
      <c r="L129" s="186"/>
      <c r="M129" s="186"/>
      <c r="N129" s="186"/>
      <c r="O129" s="186"/>
      <c r="P129" s="186"/>
      <c r="Q129" s="186"/>
      <c r="R129" s="186"/>
      <c r="S129" s="186"/>
      <c r="T129" s="186"/>
      <c r="U129" s="186"/>
      <c r="V129" s="67"/>
      <c r="W129" s="67"/>
      <c r="X129" s="67"/>
      <c r="Y129" s="187"/>
      <c r="Z129" s="186"/>
      <c r="AA129" s="187"/>
      <c r="AB129" s="187"/>
      <c r="AC129" s="187"/>
      <c r="AD129" s="186"/>
      <c r="AE129" s="186"/>
      <c r="AF129" s="67"/>
      <c r="AG129" s="67"/>
      <c r="AH129" s="67"/>
      <c r="AL129" s="186"/>
    </row>
    <row r="130">
      <c r="A130" s="185"/>
      <c r="B130" s="67"/>
      <c r="C130" s="67"/>
      <c r="D130" s="67"/>
      <c r="E130" s="186"/>
      <c r="F130" s="186"/>
      <c r="G130" s="186"/>
      <c r="H130" s="186"/>
      <c r="I130" s="186"/>
      <c r="J130" s="186"/>
      <c r="K130" s="186"/>
      <c r="L130" s="186"/>
      <c r="M130" s="186"/>
      <c r="N130" s="186"/>
      <c r="O130" s="186"/>
      <c r="P130" s="186"/>
      <c r="Q130" s="186"/>
      <c r="R130" s="186"/>
      <c r="S130" s="186"/>
      <c r="T130" s="186"/>
      <c r="U130" s="186"/>
      <c r="V130" s="67"/>
      <c r="W130" s="67"/>
      <c r="X130" s="67"/>
      <c r="Y130" s="187"/>
      <c r="Z130" s="186"/>
      <c r="AA130" s="187"/>
      <c r="AB130" s="187"/>
      <c r="AC130" s="187"/>
      <c r="AD130" s="186"/>
      <c r="AE130" s="186"/>
      <c r="AF130" s="67"/>
      <c r="AG130" s="67"/>
      <c r="AH130" s="67"/>
      <c r="AL130" s="186"/>
    </row>
    <row r="131">
      <c r="A131" s="185"/>
      <c r="B131" s="67"/>
      <c r="C131" s="67"/>
      <c r="D131" s="67"/>
      <c r="E131" s="186"/>
      <c r="F131" s="186"/>
      <c r="G131" s="186"/>
      <c r="H131" s="186"/>
      <c r="I131" s="186"/>
      <c r="J131" s="186"/>
      <c r="K131" s="186"/>
      <c r="L131" s="186"/>
      <c r="M131" s="186"/>
      <c r="N131" s="186"/>
      <c r="O131" s="186"/>
      <c r="P131" s="186"/>
      <c r="Q131" s="186"/>
      <c r="R131" s="186"/>
      <c r="S131" s="186"/>
      <c r="T131" s="186"/>
      <c r="U131" s="186"/>
      <c r="V131" s="67"/>
      <c r="W131" s="67"/>
      <c r="X131" s="67"/>
      <c r="Y131" s="187"/>
      <c r="Z131" s="186"/>
      <c r="AA131" s="187"/>
      <c r="AB131" s="187"/>
      <c r="AC131" s="187"/>
      <c r="AD131" s="186"/>
      <c r="AE131" s="186"/>
      <c r="AF131" s="67"/>
      <c r="AG131" s="67"/>
      <c r="AH131" s="67"/>
      <c r="AL131" s="186"/>
    </row>
    <row r="132">
      <c r="A132" s="185"/>
      <c r="B132" s="67"/>
      <c r="C132" s="67"/>
      <c r="D132" s="67"/>
      <c r="E132" s="186"/>
      <c r="F132" s="186"/>
      <c r="G132" s="186"/>
      <c r="H132" s="186"/>
      <c r="I132" s="186"/>
      <c r="J132" s="186"/>
      <c r="K132" s="186"/>
      <c r="L132" s="186"/>
      <c r="M132" s="186"/>
      <c r="N132" s="186"/>
      <c r="O132" s="186"/>
      <c r="P132" s="186"/>
      <c r="Q132" s="186"/>
      <c r="R132" s="186"/>
      <c r="S132" s="186"/>
      <c r="T132" s="186"/>
      <c r="U132" s="186"/>
      <c r="V132" s="67"/>
      <c r="W132" s="67"/>
      <c r="X132" s="67"/>
      <c r="Y132" s="187"/>
      <c r="Z132" s="186"/>
      <c r="AA132" s="187"/>
      <c r="AB132" s="187"/>
      <c r="AC132" s="187"/>
      <c r="AD132" s="186"/>
      <c r="AE132" s="186"/>
      <c r="AF132" s="67"/>
      <c r="AG132" s="67"/>
      <c r="AH132" s="67"/>
      <c r="AL132" s="186"/>
    </row>
    <row r="133">
      <c r="A133" s="185"/>
      <c r="B133" s="67"/>
      <c r="C133" s="67"/>
      <c r="D133" s="67"/>
      <c r="E133" s="186"/>
      <c r="F133" s="186"/>
      <c r="G133" s="186"/>
      <c r="H133" s="186"/>
      <c r="I133" s="186"/>
      <c r="J133" s="186"/>
      <c r="K133" s="186"/>
      <c r="L133" s="186"/>
      <c r="M133" s="186"/>
      <c r="N133" s="186"/>
      <c r="O133" s="186"/>
      <c r="P133" s="186"/>
      <c r="Q133" s="186"/>
      <c r="R133" s="186"/>
      <c r="S133" s="186"/>
      <c r="T133" s="186"/>
      <c r="U133" s="186"/>
      <c r="V133" s="67"/>
      <c r="W133" s="67"/>
      <c r="X133" s="67"/>
      <c r="Y133" s="187"/>
      <c r="Z133" s="186"/>
      <c r="AA133" s="187"/>
      <c r="AB133" s="187"/>
      <c r="AC133" s="187"/>
      <c r="AD133" s="186"/>
      <c r="AE133" s="186"/>
      <c r="AF133" s="67"/>
      <c r="AG133" s="67"/>
      <c r="AH133" s="67"/>
      <c r="AL133" s="186"/>
    </row>
    <row r="134">
      <c r="A134" s="185"/>
      <c r="B134" s="67"/>
      <c r="C134" s="67"/>
      <c r="D134" s="67"/>
      <c r="E134" s="186"/>
      <c r="F134" s="186"/>
      <c r="G134" s="186"/>
      <c r="H134" s="186"/>
      <c r="I134" s="186"/>
      <c r="J134" s="186"/>
      <c r="K134" s="186"/>
      <c r="L134" s="186"/>
      <c r="M134" s="186"/>
      <c r="N134" s="186"/>
      <c r="O134" s="186"/>
      <c r="P134" s="186"/>
      <c r="Q134" s="186"/>
      <c r="R134" s="186"/>
      <c r="S134" s="186"/>
      <c r="T134" s="186"/>
      <c r="U134" s="186"/>
      <c r="V134" s="67"/>
      <c r="W134" s="67"/>
      <c r="X134" s="67"/>
      <c r="Y134" s="187"/>
      <c r="Z134" s="186"/>
      <c r="AA134" s="187"/>
      <c r="AB134" s="187"/>
      <c r="AC134" s="187"/>
      <c r="AD134" s="186"/>
      <c r="AE134" s="186"/>
      <c r="AF134" s="67"/>
      <c r="AG134" s="67"/>
      <c r="AH134" s="67"/>
      <c r="AL134" s="186"/>
    </row>
    <row r="135">
      <c r="A135" s="185"/>
      <c r="B135" s="67"/>
      <c r="C135" s="67"/>
      <c r="D135" s="67"/>
      <c r="E135" s="186"/>
      <c r="F135" s="186"/>
      <c r="G135" s="186"/>
      <c r="H135" s="186"/>
      <c r="I135" s="186"/>
      <c r="J135" s="186"/>
      <c r="K135" s="186"/>
      <c r="L135" s="186"/>
      <c r="M135" s="186"/>
      <c r="N135" s="186"/>
      <c r="O135" s="186"/>
      <c r="P135" s="186"/>
      <c r="Q135" s="186"/>
      <c r="R135" s="186"/>
      <c r="S135" s="186"/>
      <c r="T135" s="186"/>
      <c r="U135" s="186"/>
      <c r="V135" s="67"/>
      <c r="W135" s="67"/>
      <c r="X135" s="67"/>
      <c r="Y135" s="187"/>
      <c r="Z135" s="186"/>
      <c r="AA135" s="187"/>
      <c r="AB135" s="187"/>
      <c r="AC135" s="187"/>
      <c r="AD135" s="186"/>
      <c r="AE135" s="186"/>
      <c r="AF135" s="67"/>
      <c r="AG135" s="67"/>
      <c r="AH135" s="67"/>
      <c r="AL135" s="186"/>
    </row>
    <row r="136">
      <c r="A136" s="185"/>
      <c r="B136" s="67"/>
      <c r="C136" s="67"/>
      <c r="D136" s="67"/>
      <c r="E136" s="186"/>
      <c r="F136" s="186"/>
      <c r="G136" s="186"/>
      <c r="H136" s="186"/>
      <c r="I136" s="186"/>
      <c r="J136" s="186"/>
      <c r="K136" s="186"/>
      <c r="L136" s="186"/>
      <c r="M136" s="186"/>
      <c r="N136" s="186"/>
      <c r="O136" s="186"/>
      <c r="P136" s="186"/>
      <c r="Q136" s="186"/>
      <c r="R136" s="186"/>
      <c r="S136" s="186"/>
      <c r="T136" s="186"/>
      <c r="U136" s="186"/>
      <c r="V136" s="67"/>
      <c r="W136" s="67"/>
      <c r="X136" s="67"/>
      <c r="Y136" s="187"/>
      <c r="Z136" s="186"/>
      <c r="AA136" s="187"/>
      <c r="AB136" s="187"/>
      <c r="AC136" s="187"/>
      <c r="AD136" s="186"/>
      <c r="AE136" s="186"/>
      <c r="AF136" s="67"/>
      <c r="AG136" s="67"/>
      <c r="AH136" s="67"/>
      <c r="AL136" s="186"/>
    </row>
    <row r="137">
      <c r="A137" s="185"/>
      <c r="B137" s="67"/>
      <c r="C137" s="67"/>
      <c r="D137" s="67"/>
      <c r="E137" s="186"/>
      <c r="F137" s="186"/>
      <c r="G137" s="186"/>
      <c r="H137" s="186"/>
      <c r="I137" s="186"/>
      <c r="J137" s="186"/>
      <c r="K137" s="186"/>
      <c r="L137" s="186"/>
      <c r="M137" s="186"/>
      <c r="N137" s="186"/>
      <c r="O137" s="186"/>
      <c r="P137" s="186"/>
      <c r="Q137" s="186"/>
      <c r="R137" s="186"/>
      <c r="S137" s="186"/>
      <c r="T137" s="186"/>
      <c r="U137" s="186"/>
      <c r="V137" s="67"/>
      <c r="W137" s="67"/>
      <c r="X137" s="67"/>
      <c r="Y137" s="187"/>
      <c r="Z137" s="186"/>
      <c r="AA137" s="187"/>
      <c r="AB137" s="187"/>
      <c r="AC137" s="187"/>
      <c r="AD137" s="186"/>
      <c r="AE137" s="186"/>
      <c r="AF137" s="67"/>
      <c r="AG137" s="67"/>
      <c r="AH137" s="67"/>
      <c r="AL137" s="186"/>
    </row>
    <row r="138">
      <c r="A138" s="185"/>
      <c r="B138" s="67"/>
      <c r="C138" s="67"/>
      <c r="D138" s="67"/>
      <c r="E138" s="186"/>
      <c r="F138" s="186"/>
      <c r="G138" s="186"/>
      <c r="H138" s="186"/>
      <c r="I138" s="186"/>
      <c r="J138" s="186"/>
      <c r="K138" s="186"/>
      <c r="L138" s="186"/>
      <c r="M138" s="186"/>
      <c r="N138" s="186"/>
      <c r="O138" s="186"/>
      <c r="P138" s="186"/>
      <c r="Q138" s="186"/>
      <c r="R138" s="186"/>
      <c r="S138" s="186"/>
      <c r="T138" s="186"/>
      <c r="U138" s="186"/>
      <c r="V138" s="67"/>
      <c r="W138" s="67"/>
      <c r="X138" s="67"/>
      <c r="Y138" s="187"/>
      <c r="Z138" s="186"/>
      <c r="AA138" s="187"/>
      <c r="AB138" s="187"/>
      <c r="AC138" s="187"/>
      <c r="AD138" s="186"/>
      <c r="AE138" s="186"/>
      <c r="AF138" s="67"/>
      <c r="AG138" s="67"/>
      <c r="AH138" s="67"/>
      <c r="AL138" s="186"/>
    </row>
    <row r="139">
      <c r="A139" s="185"/>
      <c r="B139" s="67"/>
      <c r="C139" s="67"/>
      <c r="D139" s="67"/>
      <c r="E139" s="186"/>
      <c r="F139" s="186"/>
      <c r="G139" s="186"/>
      <c r="H139" s="186"/>
      <c r="I139" s="186"/>
      <c r="J139" s="186"/>
      <c r="K139" s="186"/>
      <c r="L139" s="186"/>
      <c r="M139" s="186"/>
      <c r="N139" s="186"/>
      <c r="O139" s="186"/>
      <c r="P139" s="186"/>
      <c r="Q139" s="186"/>
      <c r="R139" s="186"/>
      <c r="S139" s="186"/>
      <c r="T139" s="186"/>
      <c r="U139" s="186"/>
      <c r="V139" s="67"/>
      <c r="W139" s="67"/>
      <c r="X139" s="67"/>
      <c r="Y139" s="187"/>
      <c r="Z139" s="186"/>
      <c r="AA139" s="187"/>
      <c r="AB139" s="187"/>
      <c r="AC139" s="187"/>
      <c r="AD139" s="186"/>
      <c r="AE139" s="186"/>
      <c r="AF139" s="67"/>
      <c r="AG139" s="67"/>
      <c r="AH139" s="67"/>
      <c r="AL139" s="186"/>
    </row>
    <row r="140">
      <c r="A140" s="185"/>
      <c r="B140" s="67"/>
      <c r="C140" s="67"/>
      <c r="D140" s="67"/>
      <c r="E140" s="186"/>
      <c r="F140" s="186"/>
      <c r="G140" s="186"/>
      <c r="H140" s="186"/>
      <c r="I140" s="186"/>
      <c r="J140" s="186"/>
      <c r="K140" s="186"/>
      <c r="L140" s="186"/>
      <c r="M140" s="186"/>
      <c r="N140" s="186"/>
      <c r="O140" s="186"/>
      <c r="P140" s="186"/>
      <c r="Q140" s="186"/>
      <c r="R140" s="186"/>
      <c r="S140" s="186"/>
      <c r="T140" s="186"/>
      <c r="U140" s="186"/>
      <c r="V140" s="67"/>
      <c r="W140" s="67"/>
      <c r="X140" s="67"/>
      <c r="Y140" s="187"/>
      <c r="Z140" s="186"/>
      <c r="AA140" s="187"/>
      <c r="AB140" s="187"/>
      <c r="AC140" s="187"/>
      <c r="AD140" s="186"/>
      <c r="AE140" s="186"/>
      <c r="AF140" s="67"/>
      <c r="AG140" s="67"/>
      <c r="AH140" s="67"/>
      <c r="AL140" s="186"/>
    </row>
    <row r="141">
      <c r="A141" s="185"/>
      <c r="B141" s="67"/>
      <c r="C141" s="67"/>
      <c r="D141" s="67"/>
      <c r="E141" s="186"/>
      <c r="F141" s="186"/>
      <c r="G141" s="186"/>
      <c r="H141" s="186"/>
      <c r="I141" s="186"/>
      <c r="J141" s="186"/>
      <c r="K141" s="186"/>
      <c r="L141" s="186"/>
      <c r="M141" s="186"/>
      <c r="N141" s="186"/>
      <c r="O141" s="186"/>
      <c r="P141" s="186"/>
      <c r="Q141" s="186"/>
      <c r="R141" s="186"/>
      <c r="S141" s="186"/>
      <c r="T141" s="186"/>
      <c r="U141" s="186"/>
      <c r="V141" s="67"/>
      <c r="W141" s="67"/>
      <c r="X141" s="67"/>
      <c r="Y141" s="187"/>
      <c r="Z141" s="186"/>
      <c r="AA141" s="187"/>
      <c r="AB141" s="187"/>
      <c r="AC141" s="187"/>
      <c r="AD141" s="186"/>
      <c r="AE141" s="186"/>
      <c r="AF141" s="67"/>
      <c r="AG141" s="67"/>
      <c r="AH141" s="67"/>
      <c r="AL141" s="186"/>
    </row>
    <row r="142">
      <c r="A142" s="185"/>
      <c r="B142" s="67"/>
      <c r="C142" s="67"/>
      <c r="D142" s="67"/>
      <c r="E142" s="186"/>
      <c r="F142" s="186"/>
      <c r="G142" s="186"/>
      <c r="H142" s="186"/>
      <c r="I142" s="186"/>
      <c r="J142" s="186"/>
      <c r="K142" s="186"/>
      <c r="L142" s="186"/>
      <c r="M142" s="186"/>
      <c r="N142" s="186"/>
      <c r="O142" s="186"/>
      <c r="P142" s="186"/>
      <c r="Q142" s="186"/>
      <c r="R142" s="186"/>
      <c r="S142" s="186"/>
      <c r="T142" s="186"/>
      <c r="U142" s="186"/>
      <c r="V142" s="67"/>
      <c r="W142" s="67"/>
      <c r="X142" s="67"/>
      <c r="Y142" s="187"/>
      <c r="Z142" s="186"/>
      <c r="AA142" s="187"/>
      <c r="AB142" s="187"/>
      <c r="AC142" s="187"/>
      <c r="AD142" s="186"/>
      <c r="AE142" s="186"/>
      <c r="AF142" s="67"/>
      <c r="AG142" s="67"/>
      <c r="AH142" s="67"/>
      <c r="AL142" s="186"/>
    </row>
    <row r="143">
      <c r="A143" s="185"/>
      <c r="B143" s="67"/>
      <c r="C143" s="67"/>
      <c r="D143" s="67"/>
      <c r="E143" s="186"/>
      <c r="F143" s="186"/>
      <c r="G143" s="186"/>
      <c r="H143" s="186"/>
      <c r="I143" s="186"/>
      <c r="J143" s="186"/>
      <c r="K143" s="186"/>
      <c r="L143" s="186"/>
      <c r="M143" s="186"/>
      <c r="N143" s="186"/>
      <c r="O143" s="186"/>
      <c r="P143" s="186"/>
      <c r="Q143" s="186"/>
      <c r="R143" s="186"/>
      <c r="S143" s="186"/>
      <c r="T143" s="186"/>
      <c r="U143" s="186"/>
      <c r="V143" s="67"/>
      <c r="W143" s="67"/>
      <c r="X143" s="67"/>
      <c r="Y143" s="187"/>
      <c r="Z143" s="186"/>
      <c r="AA143" s="187"/>
      <c r="AB143" s="187"/>
      <c r="AC143" s="187"/>
      <c r="AD143" s="186"/>
      <c r="AE143" s="186"/>
      <c r="AF143" s="67"/>
      <c r="AG143" s="67"/>
      <c r="AH143" s="67"/>
      <c r="AL143" s="186"/>
    </row>
    <row r="144">
      <c r="A144" s="185"/>
      <c r="B144" s="67"/>
      <c r="C144" s="67"/>
      <c r="D144" s="67"/>
      <c r="E144" s="186"/>
      <c r="F144" s="186"/>
      <c r="G144" s="186"/>
      <c r="H144" s="186"/>
      <c r="I144" s="186"/>
      <c r="J144" s="186"/>
      <c r="K144" s="186"/>
      <c r="L144" s="186"/>
      <c r="M144" s="186"/>
      <c r="N144" s="186"/>
      <c r="O144" s="186"/>
      <c r="P144" s="186"/>
      <c r="Q144" s="186"/>
      <c r="R144" s="186"/>
      <c r="S144" s="186"/>
      <c r="T144" s="186"/>
      <c r="U144" s="186"/>
      <c r="V144" s="67"/>
      <c r="W144" s="67"/>
      <c r="X144" s="67"/>
      <c r="Y144" s="187"/>
      <c r="Z144" s="186"/>
      <c r="AA144" s="187"/>
      <c r="AB144" s="187"/>
      <c r="AC144" s="187"/>
      <c r="AD144" s="186"/>
      <c r="AE144" s="186"/>
      <c r="AF144" s="67"/>
      <c r="AG144" s="67"/>
      <c r="AH144" s="67"/>
      <c r="AL144" s="186"/>
    </row>
    <row r="145">
      <c r="A145" s="185"/>
      <c r="B145" s="67"/>
      <c r="C145" s="67"/>
      <c r="D145" s="67"/>
      <c r="E145" s="186"/>
      <c r="F145" s="186"/>
      <c r="G145" s="186"/>
      <c r="H145" s="186"/>
      <c r="I145" s="186"/>
      <c r="J145" s="186"/>
      <c r="K145" s="186"/>
      <c r="L145" s="186"/>
      <c r="M145" s="186"/>
      <c r="N145" s="186"/>
      <c r="O145" s="186"/>
      <c r="P145" s="186"/>
      <c r="Q145" s="186"/>
      <c r="R145" s="186"/>
      <c r="S145" s="186"/>
      <c r="T145" s="186"/>
      <c r="U145" s="186"/>
      <c r="V145" s="67"/>
      <c r="W145" s="67"/>
      <c r="X145" s="67"/>
      <c r="Y145" s="187"/>
      <c r="Z145" s="186"/>
      <c r="AA145" s="187"/>
      <c r="AB145" s="187"/>
      <c r="AC145" s="187"/>
      <c r="AD145" s="186"/>
      <c r="AE145" s="186"/>
      <c r="AF145" s="67"/>
      <c r="AG145" s="67"/>
      <c r="AH145" s="67"/>
      <c r="AL145" s="186"/>
    </row>
    <row r="146">
      <c r="A146" s="185"/>
      <c r="B146" s="67"/>
      <c r="C146" s="67"/>
      <c r="D146" s="67"/>
      <c r="E146" s="186"/>
      <c r="F146" s="186"/>
      <c r="G146" s="186"/>
      <c r="H146" s="186"/>
      <c r="I146" s="186"/>
      <c r="J146" s="186"/>
      <c r="K146" s="186"/>
      <c r="L146" s="186"/>
      <c r="M146" s="186"/>
      <c r="N146" s="186"/>
      <c r="O146" s="186"/>
      <c r="P146" s="186"/>
      <c r="Q146" s="186"/>
      <c r="R146" s="186"/>
      <c r="S146" s="186"/>
      <c r="T146" s="186"/>
      <c r="U146" s="186"/>
      <c r="V146" s="67"/>
      <c r="W146" s="67"/>
      <c r="X146" s="67"/>
      <c r="Y146" s="187"/>
      <c r="Z146" s="186"/>
      <c r="AA146" s="187"/>
      <c r="AB146" s="187"/>
      <c r="AC146" s="187"/>
      <c r="AD146" s="186"/>
      <c r="AE146" s="186"/>
      <c r="AF146" s="67"/>
      <c r="AG146" s="67"/>
      <c r="AH146" s="67"/>
      <c r="AL146" s="186"/>
    </row>
    <row r="147">
      <c r="A147" s="185"/>
      <c r="B147" s="67"/>
      <c r="C147" s="67"/>
      <c r="D147" s="67"/>
      <c r="E147" s="186"/>
      <c r="F147" s="186"/>
      <c r="G147" s="186"/>
      <c r="H147" s="186"/>
      <c r="I147" s="186"/>
      <c r="J147" s="186"/>
      <c r="K147" s="186"/>
      <c r="L147" s="186"/>
      <c r="M147" s="186"/>
      <c r="N147" s="186"/>
      <c r="O147" s="186"/>
      <c r="P147" s="186"/>
      <c r="Q147" s="186"/>
      <c r="R147" s="186"/>
      <c r="S147" s="186"/>
      <c r="T147" s="186"/>
      <c r="U147" s="186"/>
      <c r="V147" s="67"/>
      <c r="W147" s="67"/>
      <c r="X147" s="67"/>
      <c r="Y147" s="187"/>
      <c r="Z147" s="186"/>
      <c r="AA147" s="187"/>
      <c r="AB147" s="187"/>
      <c r="AC147" s="187"/>
      <c r="AD147" s="186"/>
      <c r="AE147" s="186"/>
      <c r="AF147" s="67"/>
      <c r="AG147" s="67"/>
      <c r="AH147" s="67"/>
      <c r="AL147" s="186"/>
    </row>
    <row r="148">
      <c r="A148" s="185"/>
      <c r="B148" s="67"/>
      <c r="C148" s="67"/>
      <c r="D148" s="67"/>
      <c r="E148" s="186"/>
      <c r="F148" s="186"/>
      <c r="G148" s="186"/>
      <c r="H148" s="186"/>
      <c r="I148" s="186"/>
      <c r="J148" s="186"/>
      <c r="K148" s="186"/>
      <c r="L148" s="186"/>
      <c r="M148" s="186"/>
      <c r="N148" s="186"/>
      <c r="O148" s="186"/>
      <c r="P148" s="186"/>
      <c r="Q148" s="186"/>
      <c r="R148" s="186"/>
      <c r="S148" s="186"/>
      <c r="T148" s="186"/>
      <c r="U148" s="186"/>
      <c r="V148" s="67"/>
      <c r="W148" s="67"/>
      <c r="X148" s="67"/>
      <c r="Y148" s="187"/>
      <c r="Z148" s="186"/>
      <c r="AA148" s="187"/>
      <c r="AB148" s="187"/>
      <c r="AC148" s="187"/>
      <c r="AD148" s="186"/>
      <c r="AE148" s="186"/>
      <c r="AF148" s="67"/>
      <c r="AG148" s="67"/>
      <c r="AH148" s="67"/>
      <c r="AL148" s="186"/>
    </row>
    <row r="149">
      <c r="A149" s="185"/>
      <c r="B149" s="67"/>
      <c r="C149" s="67"/>
      <c r="D149" s="67"/>
      <c r="E149" s="186"/>
      <c r="F149" s="186"/>
      <c r="G149" s="186"/>
      <c r="H149" s="186"/>
      <c r="I149" s="186"/>
      <c r="J149" s="186"/>
      <c r="K149" s="186"/>
      <c r="L149" s="186"/>
      <c r="M149" s="186"/>
      <c r="N149" s="186"/>
      <c r="O149" s="186"/>
      <c r="P149" s="186"/>
      <c r="Q149" s="186"/>
      <c r="R149" s="186"/>
      <c r="S149" s="186"/>
      <c r="T149" s="186"/>
      <c r="U149" s="186"/>
      <c r="V149" s="67"/>
      <c r="W149" s="67"/>
      <c r="X149" s="67"/>
      <c r="Y149" s="187"/>
      <c r="Z149" s="186"/>
      <c r="AA149" s="187"/>
      <c r="AB149" s="187"/>
      <c r="AC149" s="187"/>
      <c r="AD149" s="186"/>
      <c r="AE149" s="186"/>
      <c r="AF149" s="67"/>
      <c r="AG149" s="67"/>
      <c r="AH149" s="67"/>
      <c r="AL149" s="186"/>
    </row>
    <row r="150">
      <c r="A150" s="185"/>
      <c r="B150" s="67"/>
      <c r="C150" s="67"/>
      <c r="D150" s="67"/>
      <c r="E150" s="186"/>
      <c r="F150" s="186"/>
      <c r="G150" s="186"/>
      <c r="H150" s="186"/>
      <c r="I150" s="186"/>
      <c r="J150" s="186"/>
      <c r="K150" s="186"/>
      <c r="L150" s="186"/>
      <c r="M150" s="186"/>
      <c r="N150" s="186"/>
      <c r="O150" s="186"/>
      <c r="P150" s="186"/>
      <c r="Q150" s="186"/>
      <c r="R150" s="186"/>
      <c r="S150" s="186"/>
      <c r="T150" s="186"/>
      <c r="U150" s="186"/>
      <c r="V150" s="67"/>
      <c r="W150" s="67"/>
      <c r="X150" s="67"/>
      <c r="Y150" s="187"/>
      <c r="Z150" s="186"/>
      <c r="AA150" s="187"/>
      <c r="AB150" s="187"/>
      <c r="AC150" s="187"/>
      <c r="AD150" s="186"/>
      <c r="AE150" s="186"/>
      <c r="AF150" s="67"/>
      <c r="AG150" s="67"/>
      <c r="AH150" s="67"/>
      <c r="AL150" s="186"/>
    </row>
    <row r="151">
      <c r="A151" s="185"/>
      <c r="B151" s="67"/>
      <c r="C151" s="67"/>
      <c r="D151" s="67"/>
      <c r="E151" s="186"/>
      <c r="F151" s="186"/>
      <c r="G151" s="186"/>
      <c r="H151" s="186"/>
      <c r="I151" s="186"/>
      <c r="J151" s="186"/>
      <c r="K151" s="186"/>
      <c r="L151" s="186"/>
      <c r="M151" s="186"/>
      <c r="N151" s="186"/>
      <c r="O151" s="186"/>
      <c r="P151" s="186"/>
      <c r="Q151" s="186"/>
      <c r="R151" s="186"/>
      <c r="S151" s="186"/>
      <c r="T151" s="186"/>
      <c r="U151" s="186"/>
      <c r="V151" s="67"/>
      <c r="W151" s="67"/>
      <c r="X151" s="67"/>
      <c r="Y151" s="187"/>
      <c r="Z151" s="186"/>
      <c r="AA151" s="187"/>
      <c r="AB151" s="187"/>
      <c r="AC151" s="187"/>
      <c r="AD151" s="186"/>
      <c r="AE151" s="186"/>
      <c r="AF151" s="67"/>
      <c r="AG151" s="67"/>
      <c r="AH151" s="67"/>
      <c r="AL151" s="186"/>
    </row>
    <row r="152">
      <c r="A152" s="185"/>
      <c r="B152" s="67"/>
      <c r="C152" s="67"/>
      <c r="D152" s="67"/>
      <c r="E152" s="186"/>
      <c r="F152" s="186"/>
      <c r="G152" s="186"/>
      <c r="H152" s="186"/>
      <c r="I152" s="186"/>
      <c r="J152" s="186"/>
      <c r="K152" s="186"/>
      <c r="L152" s="186"/>
      <c r="M152" s="186"/>
      <c r="N152" s="186"/>
      <c r="O152" s="186"/>
      <c r="P152" s="186"/>
      <c r="Q152" s="186"/>
      <c r="R152" s="186"/>
      <c r="S152" s="186"/>
      <c r="T152" s="186"/>
      <c r="U152" s="186"/>
      <c r="V152" s="67"/>
      <c r="W152" s="67"/>
      <c r="X152" s="67"/>
      <c r="Y152" s="187"/>
      <c r="Z152" s="186"/>
      <c r="AA152" s="187"/>
      <c r="AB152" s="187"/>
      <c r="AC152" s="187"/>
      <c r="AD152" s="186"/>
      <c r="AE152" s="186"/>
      <c r="AF152" s="67"/>
      <c r="AG152" s="67"/>
      <c r="AH152" s="67"/>
      <c r="AL152" s="186"/>
    </row>
    <row r="153">
      <c r="A153" s="185"/>
      <c r="B153" s="67"/>
      <c r="C153" s="67"/>
      <c r="D153" s="67"/>
      <c r="E153" s="186"/>
      <c r="F153" s="186"/>
      <c r="G153" s="186"/>
      <c r="H153" s="186"/>
      <c r="I153" s="186"/>
      <c r="J153" s="186"/>
      <c r="K153" s="186"/>
      <c r="L153" s="186"/>
      <c r="M153" s="186"/>
      <c r="N153" s="186"/>
      <c r="O153" s="186"/>
      <c r="P153" s="186"/>
      <c r="Q153" s="186"/>
      <c r="R153" s="186"/>
      <c r="S153" s="186"/>
      <c r="T153" s="186"/>
      <c r="U153" s="186"/>
      <c r="V153" s="67"/>
      <c r="W153" s="67"/>
      <c r="X153" s="67"/>
      <c r="Y153" s="187"/>
      <c r="Z153" s="186"/>
      <c r="AA153" s="187"/>
      <c r="AB153" s="187"/>
      <c r="AC153" s="187"/>
      <c r="AD153" s="186"/>
      <c r="AE153" s="186"/>
      <c r="AF153" s="67"/>
      <c r="AG153" s="67"/>
      <c r="AH153" s="67"/>
      <c r="AL153" s="186"/>
    </row>
    <row r="154">
      <c r="A154" s="185"/>
      <c r="B154" s="67"/>
      <c r="C154" s="67"/>
      <c r="D154" s="67"/>
      <c r="E154" s="186"/>
      <c r="F154" s="186"/>
      <c r="G154" s="186"/>
      <c r="H154" s="186"/>
      <c r="I154" s="186"/>
      <c r="J154" s="186"/>
      <c r="K154" s="186"/>
      <c r="L154" s="186"/>
      <c r="M154" s="186"/>
      <c r="N154" s="186"/>
      <c r="O154" s="186"/>
      <c r="P154" s="186"/>
      <c r="Q154" s="186"/>
      <c r="R154" s="186"/>
      <c r="S154" s="186"/>
      <c r="T154" s="186"/>
      <c r="U154" s="186"/>
      <c r="V154" s="67"/>
      <c r="W154" s="67"/>
      <c r="X154" s="67"/>
      <c r="Y154" s="187"/>
      <c r="Z154" s="186"/>
      <c r="AA154" s="187"/>
      <c r="AB154" s="187"/>
      <c r="AC154" s="187"/>
      <c r="AD154" s="186"/>
      <c r="AE154" s="186"/>
      <c r="AF154" s="67"/>
      <c r="AG154" s="67"/>
      <c r="AH154" s="67"/>
      <c r="AL154" s="186"/>
    </row>
    <row r="155">
      <c r="A155" s="185"/>
      <c r="B155" s="67"/>
      <c r="C155" s="67"/>
      <c r="D155" s="67"/>
      <c r="E155" s="186"/>
      <c r="F155" s="186"/>
      <c r="G155" s="186"/>
      <c r="H155" s="186"/>
      <c r="I155" s="186"/>
      <c r="J155" s="186"/>
      <c r="K155" s="186"/>
      <c r="L155" s="186"/>
      <c r="M155" s="186"/>
      <c r="N155" s="186"/>
      <c r="O155" s="186"/>
      <c r="P155" s="186"/>
      <c r="Q155" s="186"/>
      <c r="R155" s="186"/>
      <c r="S155" s="186"/>
      <c r="T155" s="186"/>
      <c r="U155" s="186"/>
      <c r="V155" s="67"/>
      <c r="W155" s="67"/>
      <c r="X155" s="67"/>
      <c r="Y155" s="187"/>
      <c r="Z155" s="186"/>
      <c r="AA155" s="187"/>
      <c r="AB155" s="187"/>
      <c r="AC155" s="187"/>
      <c r="AD155" s="186"/>
      <c r="AE155" s="186"/>
      <c r="AF155" s="67"/>
      <c r="AG155" s="67"/>
      <c r="AH155" s="67"/>
      <c r="AL155" s="186"/>
    </row>
    <row r="156">
      <c r="A156" s="185"/>
      <c r="B156" s="67"/>
      <c r="C156" s="67"/>
      <c r="D156" s="67"/>
      <c r="E156" s="186"/>
      <c r="F156" s="186"/>
      <c r="G156" s="186"/>
      <c r="H156" s="186"/>
      <c r="I156" s="186"/>
      <c r="J156" s="186"/>
      <c r="K156" s="186"/>
      <c r="L156" s="186"/>
      <c r="M156" s="186"/>
      <c r="N156" s="186"/>
      <c r="O156" s="186"/>
      <c r="P156" s="186"/>
      <c r="Q156" s="186"/>
      <c r="R156" s="186"/>
      <c r="S156" s="186"/>
      <c r="T156" s="186"/>
      <c r="U156" s="186"/>
      <c r="V156" s="67"/>
      <c r="W156" s="67"/>
      <c r="X156" s="67"/>
      <c r="Y156" s="187"/>
      <c r="Z156" s="186"/>
      <c r="AA156" s="187"/>
      <c r="AB156" s="187"/>
      <c r="AC156" s="187"/>
      <c r="AD156" s="186"/>
      <c r="AE156" s="186"/>
      <c r="AF156" s="67"/>
      <c r="AG156" s="67"/>
      <c r="AH156" s="67"/>
      <c r="AL156" s="186"/>
    </row>
    <row r="157">
      <c r="A157" s="185"/>
      <c r="B157" s="67"/>
      <c r="C157" s="67"/>
      <c r="D157" s="67"/>
      <c r="E157" s="186"/>
      <c r="F157" s="186"/>
      <c r="G157" s="186"/>
      <c r="H157" s="186"/>
      <c r="I157" s="186"/>
      <c r="J157" s="186"/>
      <c r="K157" s="186"/>
      <c r="L157" s="186"/>
      <c r="M157" s="186"/>
      <c r="N157" s="186"/>
      <c r="O157" s="186"/>
      <c r="P157" s="186"/>
      <c r="Q157" s="186"/>
      <c r="R157" s="186"/>
      <c r="S157" s="186"/>
      <c r="T157" s="186"/>
      <c r="U157" s="186"/>
      <c r="V157" s="67"/>
      <c r="W157" s="67"/>
      <c r="X157" s="67"/>
      <c r="Y157" s="187"/>
      <c r="Z157" s="186"/>
      <c r="AA157" s="187"/>
      <c r="AB157" s="187"/>
      <c r="AC157" s="187"/>
      <c r="AD157" s="186"/>
      <c r="AE157" s="186"/>
      <c r="AF157" s="67"/>
      <c r="AG157" s="67"/>
      <c r="AH157" s="67"/>
      <c r="AL157" s="186"/>
    </row>
    <row r="158">
      <c r="A158" s="185"/>
      <c r="B158" s="67"/>
      <c r="C158" s="67"/>
      <c r="D158" s="67"/>
      <c r="E158" s="186"/>
      <c r="F158" s="186"/>
      <c r="G158" s="186"/>
      <c r="H158" s="186"/>
      <c r="I158" s="186"/>
      <c r="J158" s="186"/>
      <c r="K158" s="186"/>
      <c r="L158" s="186"/>
      <c r="M158" s="186"/>
      <c r="N158" s="186"/>
      <c r="O158" s="186"/>
      <c r="P158" s="186"/>
      <c r="Q158" s="186"/>
      <c r="R158" s="186"/>
      <c r="S158" s="186"/>
      <c r="T158" s="186"/>
      <c r="U158" s="186"/>
      <c r="V158" s="67"/>
      <c r="W158" s="67"/>
      <c r="X158" s="67"/>
      <c r="Y158" s="187"/>
      <c r="Z158" s="186"/>
      <c r="AA158" s="187"/>
      <c r="AB158" s="187"/>
      <c r="AC158" s="187"/>
      <c r="AD158" s="186"/>
      <c r="AE158" s="186"/>
      <c r="AF158" s="67"/>
      <c r="AG158" s="67"/>
      <c r="AH158" s="67"/>
      <c r="AL158" s="186"/>
    </row>
    <row r="159">
      <c r="A159" s="185"/>
      <c r="B159" s="67"/>
      <c r="C159" s="67"/>
      <c r="D159" s="67"/>
      <c r="E159" s="186"/>
      <c r="F159" s="186"/>
      <c r="G159" s="186"/>
      <c r="H159" s="186"/>
      <c r="I159" s="186"/>
      <c r="J159" s="186"/>
      <c r="K159" s="186"/>
      <c r="L159" s="186"/>
      <c r="M159" s="186"/>
      <c r="N159" s="186"/>
      <c r="O159" s="186"/>
      <c r="P159" s="186"/>
      <c r="Q159" s="186"/>
      <c r="R159" s="186"/>
      <c r="S159" s="186"/>
      <c r="T159" s="186"/>
      <c r="U159" s="186"/>
      <c r="V159" s="67"/>
      <c r="W159" s="67"/>
      <c r="X159" s="67"/>
      <c r="Y159" s="187"/>
      <c r="Z159" s="186"/>
      <c r="AA159" s="187"/>
      <c r="AB159" s="187"/>
      <c r="AC159" s="187"/>
      <c r="AD159" s="186"/>
      <c r="AE159" s="186"/>
      <c r="AF159" s="67"/>
      <c r="AG159" s="67"/>
      <c r="AH159" s="67"/>
      <c r="AL159" s="186"/>
    </row>
    <row r="160">
      <c r="A160" s="185"/>
      <c r="B160" s="67"/>
      <c r="C160" s="67"/>
      <c r="D160" s="67"/>
      <c r="E160" s="186"/>
      <c r="F160" s="186"/>
      <c r="G160" s="186"/>
      <c r="H160" s="186"/>
      <c r="I160" s="186"/>
      <c r="J160" s="186"/>
      <c r="K160" s="186"/>
      <c r="L160" s="186"/>
      <c r="M160" s="186"/>
      <c r="N160" s="186"/>
      <c r="O160" s="186"/>
      <c r="P160" s="186"/>
      <c r="Q160" s="186"/>
      <c r="R160" s="186"/>
      <c r="S160" s="186"/>
      <c r="T160" s="186"/>
      <c r="U160" s="186"/>
      <c r="V160" s="67"/>
      <c r="W160" s="67"/>
      <c r="X160" s="67"/>
      <c r="Y160" s="187"/>
      <c r="Z160" s="186"/>
      <c r="AA160" s="187"/>
      <c r="AB160" s="187"/>
      <c r="AC160" s="187"/>
      <c r="AD160" s="186"/>
      <c r="AE160" s="186"/>
      <c r="AF160" s="67"/>
      <c r="AG160" s="67"/>
      <c r="AH160" s="67"/>
      <c r="AL160" s="186"/>
    </row>
    <row r="161">
      <c r="A161" s="185"/>
      <c r="B161" s="67"/>
      <c r="C161" s="67"/>
      <c r="D161" s="67"/>
      <c r="E161" s="186"/>
      <c r="F161" s="186"/>
      <c r="G161" s="186"/>
      <c r="H161" s="186"/>
      <c r="I161" s="186"/>
      <c r="J161" s="186"/>
      <c r="K161" s="186"/>
      <c r="L161" s="186"/>
      <c r="M161" s="186"/>
      <c r="N161" s="186"/>
      <c r="O161" s="186"/>
      <c r="P161" s="186"/>
      <c r="Q161" s="186"/>
      <c r="R161" s="186"/>
      <c r="S161" s="186"/>
      <c r="T161" s="186"/>
      <c r="U161" s="186"/>
      <c r="V161" s="67"/>
      <c r="W161" s="67"/>
      <c r="X161" s="67"/>
      <c r="Y161" s="187"/>
      <c r="Z161" s="186"/>
      <c r="AA161" s="187"/>
      <c r="AB161" s="187"/>
      <c r="AC161" s="187"/>
      <c r="AD161" s="186"/>
      <c r="AE161" s="186"/>
      <c r="AF161" s="67"/>
      <c r="AG161" s="67"/>
      <c r="AH161" s="67"/>
      <c r="AL161" s="186"/>
    </row>
    <row r="162">
      <c r="A162" s="185"/>
      <c r="B162" s="67"/>
      <c r="C162" s="67"/>
      <c r="D162" s="67"/>
      <c r="E162" s="186"/>
      <c r="F162" s="186"/>
      <c r="G162" s="186"/>
      <c r="H162" s="186"/>
      <c r="I162" s="186"/>
      <c r="J162" s="186"/>
      <c r="K162" s="186"/>
      <c r="L162" s="186"/>
      <c r="M162" s="186"/>
      <c r="N162" s="186"/>
      <c r="O162" s="186"/>
      <c r="P162" s="186"/>
      <c r="Q162" s="186"/>
      <c r="R162" s="186"/>
      <c r="S162" s="186"/>
      <c r="T162" s="186"/>
      <c r="U162" s="186"/>
      <c r="V162" s="67"/>
      <c r="W162" s="67"/>
      <c r="X162" s="67"/>
      <c r="Y162" s="187"/>
      <c r="Z162" s="186"/>
      <c r="AA162" s="187"/>
      <c r="AB162" s="187"/>
      <c r="AC162" s="187"/>
      <c r="AD162" s="186"/>
      <c r="AE162" s="186"/>
      <c r="AF162" s="67"/>
      <c r="AG162" s="67"/>
      <c r="AH162" s="67"/>
      <c r="AL162" s="186"/>
    </row>
    <row r="163">
      <c r="A163" s="185"/>
      <c r="B163" s="67"/>
      <c r="C163" s="67"/>
      <c r="D163" s="67"/>
      <c r="E163" s="186"/>
      <c r="F163" s="186"/>
      <c r="G163" s="186"/>
      <c r="H163" s="186"/>
      <c r="I163" s="186"/>
      <c r="J163" s="186"/>
      <c r="K163" s="186"/>
      <c r="L163" s="186"/>
      <c r="M163" s="186"/>
      <c r="N163" s="186"/>
      <c r="O163" s="186"/>
      <c r="P163" s="186"/>
      <c r="Q163" s="186"/>
      <c r="R163" s="186"/>
      <c r="S163" s="186"/>
      <c r="T163" s="186"/>
      <c r="U163" s="186"/>
      <c r="V163" s="67"/>
      <c r="W163" s="67"/>
      <c r="X163" s="67"/>
      <c r="Y163" s="187"/>
      <c r="Z163" s="186"/>
      <c r="AA163" s="187"/>
      <c r="AB163" s="187"/>
      <c r="AC163" s="187"/>
      <c r="AD163" s="186"/>
      <c r="AE163" s="186"/>
      <c r="AF163" s="67"/>
      <c r="AG163" s="67"/>
      <c r="AH163" s="67"/>
      <c r="AL163" s="186"/>
    </row>
    <row r="164">
      <c r="A164" s="185"/>
      <c r="B164" s="67"/>
      <c r="C164" s="67"/>
      <c r="D164" s="67"/>
      <c r="E164" s="186"/>
      <c r="F164" s="186"/>
      <c r="G164" s="186"/>
      <c r="H164" s="186"/>
      <c r="I164" s="186"/>
      <c r="J164" s="186"/>
      <c r="K164" s="186"/>
      <c r="L164" s="186"/>
      <c r="M164" s="186"/>
      <c r="N164" s="186"/>
      <c r="O164" s="186"/>
      <c r="P164" s="186"/>
      <c r="Q164" s="186"/>
      <c r="R164" s="186"/>
      <c r="S164" s="186"/>
      <c r="T164" s="186"/>
      <c r="U164" s="186"/>
      <c r="V164" s="67"/>
      <c r="W164" s="67"/>
      <c r="X164" s="67"/>
      <c r="Y164" s="187"/>
      <c r="Z164" s="186"/>
      <c r="AA164" s="187"/>
      <c r="AB164" s="187"/>
      <c r="AC164" s="187"/>
      <c r="AD164" s="186"/>
      <c r="AE164" s="186"/>
      <c r="AF164" s="67"/>
      <c r="AG164" s="67"/>
      <c r="AH164" s="67"/>
      <c r="AL164" s="186"/>
    </row>
    <row r="165">
      <c r="A165" s="185"/>
      <c r="B165" s="67"/>
      <c r="C165" s="67"/>
      <c r="D165" s="67"/>
      <c r="E165" s="186"/>
      <c r="F165" s="186"/>
      <c r="G165" s="186"/>
      <c r="H165" s="186"/>
      <c r="I165" s="186"/>
      <c r="J165" s="186"/>
      <c r="K165" s="186"/>
      <c r="L165" s="186"/>
      <c r="M165" s="186"/>
      <c r="N165" s="186"/>
      <c r="O165" s="186"/>
      <c r="P165" s="186"/>
      <c r="Q165" s="186"/>
      <c r="R165" s="186"/>
      <c r="S165" s="186"/>
      <c r="T165" s="186"/>
      <c r="U165" s="186"/>
      <c r="V165" s="67"/>
      <c r="W165" s="67"/>
      <c r="X165" s="67"/>
      <c r="Y165" s="187"/>
      <c r="Z165" s="186"/>
      <c r="AA165" s="187"/>
      <c r="AB165" s="187"/>
      <c r="AC165" s="187"/>
      <c r="AD165" s="186"/>
      <c r="AE165" s="186"/>
      <c r="AF165" s="67"/>
      <c r="AG165" s="67"/>
      <c r="AH165" s="67"/>
      <c r="AL165" s="186"/>
    </row>
    <row r="166">
      <c r="A166" s="185"/>
      <c r="B166" s="67"/>
      <c r="C166" s="67"/>
      <c r="D166" s="67"/>
      <c r="E166" s="186"/>
      <c r="F166" s="186"/>
      <c r="G166" s="186"/>
      <c r="H166" s="186"/>
      <c r="I166" s="186"/>
      <c r="J166" s="186"/>
      <c r="K166" s="186"/>
      <c r="L166" s="186"/>
      <c r="M166" s="186"/>
      <c r="N166" s="186"/>
      <c r="O166" s="186"/>
      <c r="P166" s="186"/>
      <c r="Q166" s="186"/>
      <c r="R166" s="186"/>
      <c r="S166" s="186"/>
      <c r="T166" s="186"/>
      <c r="U166" s="186"/>
      <c r="V166" s="67"/>
      <c r="W166" s="67"/>
      <c r="X166" s="67"/>
      <c r="Y166" s="187"/>
      <c r="Z166" s="186"/>
      <c r="AA166" s="187"/>
      <c r="AB166" s="187"/>
      <c r="AC166" s="187"/>
      <c r="AD166" s="186"/>
      <c r="AE166" s="186"/>
      <c r="AF166" s="67"/>
      <c r="AG166" s="67"/>
      <c r="AH166" s="67"/>
      <c r="AL166" s="186"/>
    </row>
    <row r="167">
      <c r="A167" s="185"/>
      <c r="B167" s="67"/>
      <c r="C167" s="67"/>
      <c r="D167" s="67"/>
      <c r="E167" s="186"/>
      <c r="F167" s="186"/>
      <c r="G167" s="186"/>
      <c r="H167" s="186"/>
      <c r="I167" s="186"/>
      <c r="J167" s="186"/>
      <c r="K167" s="186"/>
      <c r="L167" s="186"/>
      <c r="M167" s="186"/>
      <c r="N167" s="186"/>
      <c r="O167" s="186"/>
      <c r="P167" s="186"/>
      <c r="Q167" s="186"/>
      <c r="R167" s="186"/>
      <c r="S167" s="186"/>
      <c r="T167" s="186"/>
      <c r="U167" s="186"/>
      <c r="V167" s="67"/>
      <c r="W167" s="67"/>
      <c r="X167" s="67"/>
      <c r="Y167" s="187"/>
      <c r="Z167" s="186"/>
      <c r="AA167" s="187"/>
      <c r="AB167" s="187"/>
      <c r="AC167" s="187"/>
      <c r="AD167" s="186"/>
      <c r="AE167" s="186"/>
      <c r="AF167" s="67"/>
      <c r="AG167" s="67"/>
      <c r="AH167" s="67"/>
      <c r="AL167" s="186"/>
    </row>
    <row r="168">
      <c r="A168" s="185"/>
      <c r="B168" s="67"/>
      <c r="C168" s="67"/>
      <c r="D168" s="67"/>
      <c r="E168" s="186"/>
      <c r="F168" s="186"/>
      <c r="G168" s="186"/>
      <c r="H168" s="186"/>
      <c r="I168" s="186"/>
      <c r="J168" s="186"/>
      <c r="K168" s="186"/>
      <c r="L168" s="186"/>
      <c r="M168" s="186"/>
      <c r="N168" s="186"/>
      <c r="O168" s="186"/>
      <c r="P168" s="186"/>
      <c r="Q168" s="186"/>
      <c r="R168" s="186"/>
      <c r="S168" s="186"/>
      <c r="T168" s="186"/>
      <c r="U168" s="186"/>
      <c r="V168" s="67"/>
      <c r="W168" s="67"/>
      <c r="X168" s="67"/>
      <c r="Y168" s="187"/>
      <c r="Z168" s="186"/>
      <c r="AA168" s="187"/>
      <c r="AB168" s="187"/>
      <c r="AC168" s="187"/>
      <c r="AD168" s="186"/>
      <c r="AE168" s="186"/>
      <c r="AF168" s="67"/>
      <c r="AG168" s="67"/>
      <c r="AH168" s="67"/>
      <c r="AL168" s="186"/>
    </row>
    <row r="169">
      <c r="A169" s="185"/>
      <c r="B169" s="67"/>
      <c r="C169" s="67"/>
      <c r="D169" s="67"/>
      <c r="E169" s="186"/>
      <c r="F169" s="186"/>
      <c r="G169" s="186"/>
      <c r="H169" s="186"/>
      <c r="I169" s="186"/>
      <c r="J169" s="186"/>
      <c r="K169" s="186"/>
      <c r="L169" s="186"/>
      <c r="M169" s="186"/>
      <c r="N169" s="186"/>
      <c r="O169" s="186"/>
      <c r="P169" s="186"/>
      <c r="Q169" s="186"/>
      <c r="R169" s="186"/>
      <c r="S169" s="186"/>
      <c r="T169" s="186"/>
      <c r="U169" s="186"/>
      <c r="V169" s="67"/>
      <c r="W169" s="67"/>
      <c r="X169" s="67"/>
      <c r="Y169" s="187"/>
      <c r="Z169" s="186"/>
      <c r="AA169" s="187"/>
      <c r="AB169" s="187"/>
      <c r="AC169" s="187"/>
      <c r="AD169" s="186"/>
      <c r="AE169" s="186"/>
      <c r="AF169" s="67"/>
      <c r="AG169" s="67"/>
      <c r="AH169" s="67"/>
      <c r="AL169" s="186"/>
    </row>
    <row r="170">
      <c r="A170" s="185"/>
      <c r="B170" s="67"/>
      <c r="C170" s="67"/>
      <c r="D170" s="67"/>
      <c r="E170" s="186"/>
      <c r="F170" s="186"/>
      <c r="G170" s="186"/>
      <c r="H170" s="186"/>
      <c r="I170" s="186"/>
      <c r="J170" s="186"/>
      <c r="K170" s="186"/>
      <c r="L170" s="186"/>
      <c r="M170" s="186"/>
      <c r="N170" s="186"/>
      <c r="O170" s="186"/>
      <c r="P170" s="186"/>
      <c r="Q170" s="186"/>
      <c r="R170" s="186"/>
      <c r="S170" s="186"/>
      <c r="T170" s="186"/>
      <c r="U170" s="186"/>
      <c r="V170" s="67"/>
      <c r="W170" s="67"/>
      <c r="X170" s="67"/>
      <c r="Y170" s="187"/>
      <c r="Z170" s="186"/>
      <c r="AA170" s="187"/>
      <c r="AB170" s="187"/>
      <c r="AC170" s="187"/>
      <c r="AD170" s="186"/>
      <c r="AE170" s="186"/>
      <c r="AF170" s="67"/>
      <c r="AG170" s="67"/>
      <c r="AH170" s="67"/>
      <c r="AL170" s="186"/>
    </row>
    <row r="171">
      <c r="A171" s="185"/>
      <c r="B171" s="67"/>
      <c r="C171" s="67"/>
      <c r="D171" s="67"/>
      <c r="E171" s="186"/>
      <c r="F171" s="186"/>
      <c r="G171" s="186"/>
      <c r="H171" s="186"/>
      <c r="I171" s="186"/>
      <c r="J171" s="186"/>
      <c r="K171" s="186"/>
      <c r="L171" s="186"/>
      <c r="M171" s="186"/>
      <c r="N171" s="186"/>
      <c r="O171" s="186"/>
      <c r="P171" s="186"/>
      <c r="Q171" s="186"/>
      <c r="R171" s="186"/>
      <c r="S171" s="186"/>
      <c r="T171" s="186"/>
      <c r="U171" s="186"/>
      <c r="V171" s="67"/>
      <c r="W171" s="67"/>
      <c r="X171" s="67"/>
      <c r="Y171" s="187"/>
      <c r="Z171" s="186"/>
      <c r="AA171" s="187"/>
      <c r="AB171" s="187"/>
      <c r="AC171" s="187"/>
      <c r="AD171" s="186"/>
      <c r="AE171" s="186"/>
      <c r="AF171" s="67"/>
      <c r="AG171" s="67"/>
      <c r="AH171" s="67"/>
      <c r="AL171" s="186"/>
    </row>
    <row r="172">
      <c r="A172" s="185"/>
      <c r="B172" s="67"/>
      <c r="C172" s="67"/>
      <c r="D172" s="67"/>
      <c r="E172" s="186"/>
      <c r="F172" s="186"/>
      <c r="G172" s="186"/>
      <c r="H172" s="186"/>
      <c r="I172" s="186"/>
      <c r="J172" s="186"/>
      <c r="K172" s="186"/>
      <c r="L172" s="186"/>
      <c r="M172" s="186"/>
      <c r="N172" s="186"/>
      <c r="O172" s="186"/>
      <c r="P172" s="186"/>
      <c r="Q172" s="186"/>
      <c r="R172" s="186"/>
      <c r="S172" s="186"/>
      <c r="T172" s="186"/>
      <c r="U172" s="186"/>
      <c r="V172" s="67"/>
      <c r="W172" s="67"/>
      <c r="X172" s="67"/>
      <c r="Y172" s="187"/>
      <c r="Z172" s="186"/>
      <c r="AA172" s="187"/>
      <c r="AB172" s="187"/>
      <c r="AC172" s="187"/>
      <c r="AD172" s="186"/>
      <c r="AE172" s="186"/>
      <c r="AF172" s="67"/>
      <c r="AG172" s="67"/>
      <c r="AH172" s="67"/>
      <c r="AL172" s="186"/>
    </row>
    <row r="173">
      <c r="A173" s="185"/>
      <c r="B173" s="67"/>
      <c r="C173" s="67"/>
      <c r="D173" s="67"/>
      <c r="E173" s="186"/>
      <c r="F173" s="186"/>
      <c r="G173" s="186"/>
      <c r="H173" s="186"/>
      <c r="I173" s="186"/>
      <c r="J173" s="186"/>
      <c r="K173" s="186"/>
      <c r="L173" s="186"/>
      <c r="M173" s="186"/>
      <c r="N173" s="186"/>
      <c r="O173" s="186"/>
      <c r="P173" s="186"/>
      <c r="Q173" s="186"/>
      <c r="R173" s="186"/>
      <c r="S173" s="186"/>
      <c r="T173" s="186"/>
      <c r="U173" s="186"/>
      <c r="V173" s="67"/>
      <c r="W173" s="67"/>
      <c r="X173" s="67"/>
      <c r="Y173" s="187"/>
      <c r="Z173" s="186"/>
      <c r="AA173" s="187"/>
      <c r="AB173" s="187"/>
      <c r="AC173" s="187"/>
      <c r="AD173" s="186"/>
      <c r="AE173" s="186"/>
      <c r="AF173" s="67"/>
      <c r="AG173" s="67"/>
      <c r="AH173" s="67"/>
      <c r="AL173" s="186"/>
    </row>
    <row r="174">
      <c r="A174" s="185"/>
      <c r="B174" s="67"/>
      <c r="C174" s="67"/>
      <c r="D174" s="67"/>
      <c r="E174" s="186"/>
      <c r="F174" s="186"/>
      <c r="G174" s="186"/>
      <c r="H174" s="186"/>
      <c r="I174" s="186"/>
      <c r="J174" s="186"/>
      <c r="K174" s="186"/>
      <c r="L174" s="186"/>
      <c r="M174" s="186"/>
      <c r="N174" s="186"/>
      <c r="O174" s="186"/>
      <c r="P174" s="186"/>
      <c r="Q174" s="186"/>
      <c r="R174" s="186"/>
      <c r="S174" s="186"/>
      <c r="T174" s="186"/>
      <c r="U174" s="186"/>
      <c r="V174" s="67"/>
      <c r="W174" s="67"/>
      <c r="X174" s="67"/>
      <c r="Y174" s="187"/>
      <c r="Z174" s="186"/>
      <c r="AA174" s="187"/>
      <c r="AB174" s="187"/>
      <c r="AC174" s="187"/>
      <c r="AD174" s="186"/>
      <c r="AE174" s="186"/>
      <c r="AF174" s="67"/>
      <c r="AG174" s="67"/>
      <c r="AH174" s="67"/>
      <c r="AL174" s="186"/>
    </row>
    <row r="175">
      <c r="A175" s="185"/>
      <c r="B175" s="67"/>
      <c r="C175" s="67"/>
      <c r="D175" s="67"/>
      <c r="E175" s="186"/>
      <c r="F175" s="186"/>
      <c r="G175" s="186"/>
      <c r="H175" s="186"/>
      <c r="I175" s="186"/>
      <c r="J175" s="186"/>
      <c r="K175" s="186"/>
      <c r="L175" s="186"/>
      <c r="M175" s="186"/>
      <c r="N175" s="186"/>
      <c r="O175" s="186"/>
      <c r="P175" s="186"/>
      <c r="Q175" s="186"/>
      <c r="R175" s="186"/>
      <c r="S175" s="186"/>
      <c r="T175" s="186"/>
      <c r="U175" s="186"/>
      <c r="V175" s="67"/>
      <c r="W175" s="67"/>
      <c r="X175" s="67"/>
      <c r="Y175" s="187"/>
      <c r="Z175" s="186"/>
      <c r="AA175" s="187"/>
      <c r="AB175" s="187"/>
      <c r="AC175" s="187"/>
      <c r="AD175" s="186"/>
      <c r="AE175" s="186"/>
      <c r="AF175" s="67"/>
      <c r="AG175" s="67"/>
      <c r="AH175" s="67"/>
      <c r="AL175" s="186"/>
    </row>
    <row r="176">
      <c r="A176" s="185"/>
      <c r="B176" s="67"/>
      <c r="C176" s="67"/>
      <c r="D176" s="67"/>
      <c r="E176" s="186"/>
      <c r="F176" s="186"/>
      <c r="G176" s="186"/>
      <c r="H176" s="186"/>
      <c r="I176" s="186"/>
      <c r="J176" s="186"/>
      <c r="K176" s="186"/>
      <c r="L176" s="186"/>
      <c r="M176" s="186"/>
      <c r="N176" s="186"/>
      <c r="O176" s="186"/>
      <c r="P176" s="186"/>
      <c r="Q176" s="186"/>
      <c r="R176" s="186"/>
      <c r="S176" s="186"/>
      <c r="T176" s="186"/>
      <c r="U176" s="186"/>
      <c r="V176" s="67"/>
      <c r="W176" s="67"/>
      <c r="X176" s="67"/>
      <c r="Y176" s="187"/>
      <c r="Z176" s="186"/>
      <c r="AA176" s="187"/>
      <c r="AB176" s="187"/>
      <c r="AC176" s="187"/>
      <c r="AD176" s="186"/>
      <c r="AE176" s="186"/>
      <c r="AF176" s="67"/>
      <c r="AG176" s="67"/>
      <c r="AH176" s="67"/>
      <c r="AL176" s="186"/>
    </row>
    <row r="177">
      <c r="A177" s="185"/>
      <c r="B177" s="67"/>
      <c r="C177" s="67"/>
      <c r="D177" s="67"/>
      <c r="E177" s="186"/>
      <c r="F177" s="186"/>
      <c r="G177" s="186"/>
      <c r="H177" s="186"/>
      <c r="I177" s="186"/>
      <c r="J177" s="186"/>
      <c r="K177" s="186"/>
      <c r="L177" s="186"/>
      <c r="M177" s="186"/>
      <c r="N177" s="186"/>
      <c r="O177" s="186"/>
      <c r="P177" s="186"/>
      <c r="Q177" s="186"/>
      <c r="R177" s="186"/>
      <c r="S177" s="186"/>
      <c r="T177" s="186"/>
      <c r="U177" s="186"/>
      <c r="V177" s="67"/>
      <c r="W177" s="67"/>
      <c r="X177" s="67"/>
      <c r="Y177" s="187"/>
      <c r="Z177" s="186"/>
      <c r="AA177" s="187"/>
      <c r="AB177" s="187"/>
      <c r="AC177" s="187"/>
      <c r="AD177" s="186"/>
      <c r="AE177" s="186"/>
      <c r="AF177" s="67"/>
      <c r="AG177" s="67"/>
      <c r="AH177" s="67"/>
      <c r="AL177" s="186"/>
    </row>
    <row r="178">
      <c r="A178" s="185"/>
      <c r="B178" s="67"/>
      <c r="C178" s="67"/>
      <c r="D178" s="67"/>
      <c r="E178" s="186"/>
      <c r="F178" s="186"/>
      <c r="G178" s="186"/>
      <c r="H178" s="186"/>
      <c r="I178" s="186"/>
      <c r="J178" s="186"/>
      <c r="K178" s="186"/>
      <c r="L178" s="186"/>
      <c r="M178" s="186"/>
      <c r="N178" s="186"/>
      <c r="O178" s="186"/>
      <c r="P178" s="186"/>
      <c r="Q178" s="186"/>
      <c r="R178" s="186"/>
      <c r="S178" s="186"/>
      <c r="T178" s="186"/>
      <c r="U178" s="186"/>
      <c r="V178" s="67"/>
      <c r="W178" s="67"/>
      <c r="X178" s="67"/>
      <c r="Y178" s="187"/>
      <c r="Z178" s="186"/>
      <c r="AA178" s="187"/>
      <c r="AB178" s="187"/>
      <c r="AC178" s="187"/>
      <c r="AD178" s="186"/>
      <c r="AE178" s="186"/>
      <c r="AF178" s="67"/>
      <c r="AG178" s="67"/>
      <c r="AH178" s="67"/>
      <c r="AL178" s="186"/>
    </row>
    <row r="179">
      <c r="A179" s="185"/>
      <c r="B179" s="67"/>
      <c r="C179" s="67"/>
      <c r="D179" s="67"/>
      <c r="E179" s="186"/>
      <c r="F179" s="186"/>
      <c r="G179" s="186"/>
      <c r="H179" s="186"/>
      <c r="I179" s="186"/>
      <c r="J179" s="186"/>
      <c r="K179" s="186"/>
      <c r="L179" s="186"/>
      <c r="M179" s="186"/>
      <c r="N179" s="186"/>
      <c r="O179" s="186"/>
      <c r="P179" s="186"/>
      <c r="Q179" s="186"/>
      <c r="R179" s="186"/>
      <c r="S179" s="186"/>
      <c r="T179" s="186"/>
      <c r="U179" s="186"/>
      <c r="V179" s="67"/>
      <c r="W179" s="67"/>
      <c r="X179" s="67"/>
      <c r="Y179" s="187"/>
      <c r="Z179" s="186"/>
      <c r="AA179" s="187"/>
      <c r="AB179" s="187"/>
      <c r="AC179" s="187"/>
      <c r="AD179" s="186"/>
      <c r="AE179" s="186"/>
      <c r="AF179" s="67"/>
      <c r="AG179" s="67"/>
      <c r="AH179" s="67"/>
      <c r="AL179" s="186"/>
    </row>
    <row r="180">
      <c r="A180" s="185"/>
      <c r="B180" s="67"/>
      <c r="C180" s="67"/>
      <c r="D180" s="67"/>
      <c r="E180" s="186"/>
      <c r="F180" s="186"/>
      <c r="G180" s="186"/>
      <c r="H180" s="186"/>
      <c r="I180" s="186"/>
      <c r="J180" s="186"/>
      <c r="K180" s="186"/>
      <c r="L180" s="186"/>
      <c r="M180" s="186"/>
      <c r="N180" s="186"/>
      <c r="O180" s="186"/>
      <c r="P180" s="186"/>
      <c r="Q180" s="186"/>
      <c r="R180" s="186"/>
      <c r="S180" s="186"/>
      <c r="T180" s="186"/>
      <c r="U180" s="186"/>
      <c r="V180" s="67"/>
      <c r="W180" s="67"/>
      <c r="X180" s="67"/>
      <c r="Y180" s="187"/>
      <c r="Z180" s="186"/>
      <c r="AA180" s="187"/>
      <c r="AB180" s="187"/>
      <c r="AC180" s="187"/>
      <c r="AD180" s="186"/>
      <c r="AE180" s="186"/>
      <c r="AF180" s="67"/>
      <c r="AG180" s="67"/>
      <c r="AH180" s="67"/>
      <c r="AL180" s="186"/>
    </row>
    <row r="181">
      <c r="A181" s="185"/>
      <c r="B181" s="67"/>
      <c r="C181" s="67"/>
      <c r="D181" s="67"/>
      <c r="E181" s="186"/>
      <c r="F181" s="186"/>
      <c r="G181" s="186"/>
      <c r="H181" s="186"/>
      <c r="I181" s="186"/>
      <c r="J181" s="186"/>
      <c r="K181" s="186"/>
      <c r="L181" s="186"/>
      <c r="M181" s="186"/>
      <c r="N181" s="186"/>
      <c r="O181" s="186"/>
      <c r="P181" s="186"/>
      <c r="Q181" s="186"/>
      <c r="R181" s="186"/>
      <c r="S181" s="186"/>
      <c r="T181" s="186"/>
      <c r="U181" s="186"/>
      <c r="V181" s="67"/>
      <c r="W181" s="67"/>
      <c r="X181" s="67"/>
      <c r="Y181" s="187"/>
      <c r="Z181" s="186"/>
      <c r="AA181" s="187"/>
      <c r="AB181" s="187"/>
      <c r="AC181" s="187"/>
      <c r="AD181" s="186"/>
      <c r="AE181" s="186"/>
      <c r="AF181" s="67"/>
      <c r="AG181" s="67"/>
      <c r="AH181" s="67"/>
      <c r="AL181" s="186"/>
    </row>
    <row r="182">
      <c r="A182" s="185"/>
      <c r="B182" s="67"/>
      <c r="C182" s="67"/>
      <c r="D182" s="67"/>
      <c r="E182" s="186"/>
      <c r="F182" s="186"/>
      <c r="G182" s="186"/>
      <c r="H182" s="186"/>
      <c r="I182" s="186"/>
      <c r="J182" s="186"/>
      <c r="K182" s="186"/>
      <c r="L182" s="186"/>
      <c r="M182" s="186"/>
      <c r="N182" s="186"/>
      <c r="O182" s="186"/>
      <c r="P182" s="186"/>
      <c r="Q182" s="186"/>
      <c r="R182" s="186"/>
      <c r="S182" s="186"/>
      <c r="T182" s="186"/>
      <c r="U182" s="186"/>
      <c r="V182" s="67"/>
      <c r="W182" s="67"/>
      <c r="X182" s="67"/>
      <c r="Y182" s="187"/>
      <c r="Z182" s="186"/>
      <c r="AA182" s="187"/>
      <c r="AB182" s="187"/>
      <c r="AC182" s="187"/>
      <c r="AD182" s="186"/>
      <c r="AE182" s="186"/>
      <c r="AF182" s="67"/>
      <c r="AG182" s="67"/>
      <c r="AH182" s="67"/>
      <c r="AL182" s="186"/>
    </row>
    <row r="183">
      <c r="A183" s="185"/>
      <c r="B183" s="67"/>
      <c r="C183" s="67"/>
      <c r="D183" s="67"/>
      <c r="E183" s="186"/>
      <c r="F183" s="186"/>
      <c r="G183" s="186"/>
      <c r="H183" s="186"/>
      <c r="I183" s="186"/>
      <c r="J183" s="186"/>
      <c r="K183" s="186"/>
      <c r="L183" s="186"/>
      <c r="M183" s="186"/>
      <c r="N183" s="186"/>
      <c r="O183" s="186"/>
      <c r="P183" s="186"/>
      <c r="Q183" s="186"/>
      <c r="R183" s="186"/>
      <c r="S183" s="186"/>
      <c r="T183" s="186"/>
      <c r="U183" s="186"/>
      <c r="V183" s="67"/>
      <c r="W183" s="67"/>
      <c r="X183" s="67"/>
      <c r="Y183" s="187"/>
      <c r="Z183" s="186"/>
      <c r="AA183" s="187"/>
      <c r="AB183" s="187"/>
      <c r="AC183" s="187"/>
      <c r="AD183" s="186"/>
      <c r="AE183" s="186"/>
      <c r="AF183" s="67"/>
      <c r="AG183" s="67"/>
      <c r="AH183" s="67"/>
      <c r="AL183" s="186"/>
    </row>
    <row r="184">
      <c r="A184" s="185"/>
      <c r="B184" s="67"/>
      <c r="C184" s="67"/>
      <c r="D184" s="67"/>
      <c r="E184" s="186"/>
      <c r="F184" s="186"/>
      <c r="G184" s="186"/>
      <c r="H184" s="186"/>
      <c r="I184" s="186"/>
      <c r="J184" s="186"/>
      <c r="K184" s="186"/>
      <c r="L184" s="186"/>
      <c r="M184" s="186"/>
      <c r="N184" s="186"/>
      <c r="O184" s="186"/>
      <c r="P184" s="186"/>
      <c r="Q184" s="186"/>
      <c r="R184" s="186"/>
      <c r="S184" s="186"/>
      <c r="T184" s="186"/>
      <c r="U184" s="186"/>
      <c r="V184" s="67"/>
      <c r="W184" s="67"/>
      <c r="X184" s="67"/>
      <c r="Y184" s="187"/>
      <c r="Z184" s="186"/>
      <c r="AA184" s="187"/>
      <c r="AB184" s="187"/>
      <c r="AC184" s="187"/>
      <c r="AD184" s="186"/>
      <c r="AE184" s="186"/>
      <c r="AF184" s="67"/>
      <c r="AG184" s="67"/>
      <c r="AH184" s="67"/>
      <c r="AL184" s="186"/>
    </row>
    <row r="185">
      <c r="A185" s="185"/>
      <c r="B185" s="67"/>
      <c r="C185" s="67"/>
      <c r="D185" s="67"/>
      <c r="E185" s="186"/>
      <c r="F185" s="186"/>
      <c r="G185" s="186"/>
      <c r="H185" s="186"/>
      <c r="I185" s="186"/>
      <c r="J185" s="186"/>
      <c r="K185" s="186"/>
      <c r="L185" s="186"/>
      <c r="M185" s="186"/>
      <c r="N185" s="186"/>
      <c r="O185" s="186"/>
      <c r="P185" s="186"/>
      <c r="Q185" s="186"/>
      <c r="R185" s="186"/>
      <c r="S185" s="186"/>
      <c r="T185" s="186"/>
      <c r="U185" s="186"/>
      <c r="V185" s="67"/>
      <c r="W185" s="67"/>
      <c r="X185" s="67"/>
      <c r="Y185" s="187"/>
      <c r="Z185" s="186"/>
      <c r="AA185" s="187"/>
      <c r="AB185" s="187"/>
      <c r="AC185" s="187"/>
      <c r="AD185" s="186"/>
      <c r="AE185" s="186"/>
      <c r="AF185" s="67"/>
      <c r="AG185" s="67"/>
      <c r="AH185" s="67"/>
      <c r="AL185" s="186"/>
    </row>
    <row r="186">
      <c r="A186" s="185"/>
      <c r="B186" s="67"/>
      <c r="C186" s="67"/>
      <c r="D186" s="67"/>
      <c r="E186" s="186"/>
      <c r="F186" s="186"/>
      <c r="G186" s="186"/>
      <c r="H186" s="186"/>
      <c r="I186" s="186"/>
      <c r="J186" s="186"/>
      <c r="K186" s="186"/>
      <c r="L186" s="186"/>
      <c r="M186" s="186"/>
      <c r="N186" s="186"/>
      <c r="O186" s="186"/>
      <c r="P186" s="186"/>
      <c r="Q186" s="186"/>
      <c r="R186" s="186"/>
      <c r="S186" s="186"/>
      <c r="T186" s="186"/>
      <c r="U186" s="186"/>
      <c r="V186" s="67"/>
      <c r="W186" s="67"/>
      <c r="X186" s="67"/>
      <c r="Y186" s="187"/>
      <c r="Z186" s="186"/>
      <c r="AA186" s="187"/>
      <c r="AB186" s="187"/>
      <c r="AC186" s="187"/>
      <c r="AD186" s="186"/>
      <c r="AE186" s="186"/>
      <c r="AF186" s="67"/>
      <c r="AG186" s="67"/>
      <c r="AH186" s="67"/>
      <c r="AL186" s="186"/>
    </row>
    <row r="187">
      <c r="A187" s="185"/>
      <c r="B187" s="67"/>
      <c r="C187" s="67"/>
      <c r="D187" s="67"/>
      <c r="E187" s="186"/>
      <c r="F187" s="186"/>
      <c r="G187" s="186"/>
      <c r="H187" s="186"/>
      <c r="I187" s="186"/>
      <c r="J187" s="186"/>
      <c r="K187" s="186"/>
      <c r="L187" s="186"/>
      <c r="M187" s="186"/>
      <c r="N187" s="186"/>
      <c r="O187" s="186"/>
      <c r="P187" s="186"/>
      <c r="Q187" s="186"/>
      <c r="R187" s="186"/>
      <c r="S187" s="186"/>
      <c r="T187" s="186"/>
      <c r="U187" s="186"/>
      <c r="V187" s="67"/>
      <c r="W187" s="67"/>
      <c r="X187" s="67"/>
      <c r="Y187" s="187"/>
      <c r="Z187" s="186"/>
      <c r="AA187" s="187"/>
      <c r="AB187" s="187"/>
      <c r="AC187" s="187"/>
      <c r="AD187" s="186"/>
      <c r="AE187" s="186"/>
      <c r="AF187" s="67"/>
      <c r="AG187" s="67"/>
      <c r="AH187" s="67"/>
      <c r="AL187" s="186"/>
    </row>
    <row r="188">
      <c r="A188" s="185"/>
      <c r="B188" s="67"/>
      <c r="C188" s="67"/>
      <c r="D188" s="67"/>
      <c r="E188" s="186"/>
      <c r="F188" s="186"/>
      <c r="G188" s="186"/>
      <c r="H188" s="186"/>
      <c r="I188" s="186"/>
      <c r="J188" s="186"/>
      <c r="K188" s="186"/>
      <c r="L188" s="186"/>
      <c r="M188" s="186"/>
      <c r="N188" s="186"/>
      <c r="O188" s="186"/>
      <c r="P188" s="186"/>
      <c r="Q188" s="186"/>
      <c r="R188" s="186"/>
      <c r="S188" s="186"/>
      <c r="T188" s="186"/>
      <c r="U188" s="186"/>
      <c r="V188" s="67"/>
      <c r="W188" s="67"/>
      <c r="X188" s="67"/>
      <c r="Y188" s="187"/>
      <c r="Z188" s="186"/>
      <c r="AA188" s="187"/>
      <c r="AB188" s="187"/>
      <c r="AC188" s="187"/>
      <c r="AD188" s="186"/>
      <c r="AE188" s="186"/>
      <c r="AF188" s="67"/>
      <c r="AG188" s="67"/>
      <c r="AH188" s="67"/>
      <c r="AL188" s="186"/>
    </row>
    <row r="189">
      <c r="A189" s="185"/>
      <c r="B189" s="67"/>
      <c r="C189" s="67"/>
      <c r="D189" s="67"/>
      <c r="E189" s="186"/>
      <c r="F189" s="186"/>
      <c r="G189" s="186"/>
      <c r="H189" s="186"/>
      <c r="I189" s="186"/>
      <c r="J189" s="186"/>
      <c r="K189" s="186"/>
      <c r="L189" s="186"/>
      <c r="M189" s="186"/>
      <c r="N189" s="186"/>
      <c r="O189" s="186"/>
      <c r="P189" s="186"/>
      <c r="Q189" s="186"/>
      <c r="R189" s="186"/>
      <c r="S189" s="186"/>
      <c r="T189" s="186"/>
      <c r="U189" s="186"/>
      <c r="V189" s="67"/>
      <c r="W189" s="67"/>
      <c r="X189" s="67"/>
      <c r="Y189" s="187"/>
      <c r="Z189" s="186"/>
      <c r="AA189" s="187"/>
      <c r="AB189" s="187"/>
      <c r="AC189" s="187"/>
      <c r="AD189" s="186"/>
      <c r="AE189" s="186"/>
      <c r="AF189" s="67"/>
      <c r="AG189" s="67"/>
      <c r="AH189" s="67"/>
      <c r="AL189" s="186"/>
    </row>
    <row r="190">
      <c r="A190" s="185"/>
      <c r="B190" s="67"/>
      <c r="C190" s="67"/>
      <c r="D190" s="67"/>
      <c r="E190" s="186"/>
      <c r="F190" s="186"/>
      <c r="G190" s="186"/>
      <c r="H190" s="186"/>
      <c r="I190" s="186"/>
      <c r="J190" s="186"/>
      <c r="K190" s="186"/>
      <c r="L190" s="186"/>
      <c r="M190" s="186"/>
      <c r="N190" s="186"/>
      <c r="O190" s="186"/>
      <c r="P190" s="186"/>
      <c r="Q190" s="186"/>
      <c r="R190" s="186"/>
      <c r="S190" s="186"/>
      <c r="T190" s="186"/>
      <c r="U190" s="186"/>
      <c r="V190" s="67"/>
      <c r="W190" s="67"/>
      <c r="X190" s="67"/>
      <c r="Y190" s="187"/>
      <c r="Z190" s="186"/>
      <c r="AA190" s="187"/>
      <c r="AB190" s="187"/>
      <c r="AC190" s="187"/>
      <c r="AD190" s="186"/>
      <c r="AE190" s="186"/>
      <c r="AF190" s="67"/>
      <c r="AG190" s="67"/>
      <c r="AH190" s="67"/>
      <c r="AL190" s="186"/>
    </row>
    <row r="191">
      <c r="A191" s="185"/>
      <c r="B191" s="67"/>
      <c r="C191" s="67"/>
      <c r="D191" s="67"/>
      <c r="E191" s="186"/>
      <c r="F191" s="186"/>
      <c r="G191" s="186"/>
      <c r="H191" s="186"/>
      <c r="I191" s="186"/>
      <c r="J191" s="186"/>
      <c r="K191" s="186"/>
      <c r="L191" s="186"/>
      <c r="M191" s="186"/>
      <c r="N191" s="186"/>
      <c r="O191" s="186"/>
      <c r="P191" s="186"/>
      <c r="Q191" s="186"/>
      <c r="R191" s="186"/>
      <c r="S191" s="186"/>
      <c r="T191" s="186"/>
      <c r="U191" s="186"/>
      <c r="V191" s="67"/>
      <c r="W191" s="67"/>
      <c r="X191" s="67"/>
      <c r="Y191" s="187"/>
      <c r="Z191" s="186"/>
      <c r="AA191" s="187"/>
      <c r="AB191" s="187"/>
      <c r="AC191" s="187"/>
      <c r="AD191" s="186"/>
      <c r="AE191" s="186"/>
      <c r="AF191" s="67"/>
      <c r="AG191" s="67"/>
      <c r="AH191" s="67"/>
      <c r="AL191" s="186"/>
    </row>
    <row r="192">
      <c r="A192" s="185"/>
      <c r="B192" s="67"/>
      <c r="C192" s="67"/>
      <c r="D192" s="67"/>
      <c r="E192" s="186"/>
      <c r="F192" s="186"/>
      <c r="G192" s="186"/>
      <c r="H192" s="186"/>
      <c r="I192" s="186"/>
      <c r="J192" s="186"/>
      <c r="K192" s="186"/>
      <c r="L192" s="186"/>
      <c r="M192" s="186"/>
      <c r="N192" s="186"/>
      <c r="O192" s="186"/>
      <c r="P192" s="186"/>
      <c r="Q192" s="186"/>
      <c r="R192" s="186"/>
      <c r="S192" s="186"/>
      <c r="T192" s="186"/>
      <c r="U192" s="186"/>
      <c r="V192" s="67"/>
      <c r="W192" s="67"/>
      <c r="X192" s="67"/>
      <c r="Y192" s="187"/>
      <c r="Z192" s="186"/>
      <c r="AA192" s="187"/>
      <c r="AB192" s="187"/>
      <c r="AC192" s="187"/>
      <c r="AD192" s="186"/>
      <c r="AE192" s="186"/>
      <c r="AF192" s="67"/>
      <c r="AG192" s="67"/>
      <c r="AH192" s="67"/>
      <c r="AL192" s="186"/>
    </row>
    <row r="193">
      <c r="A193" s="185"/>
      <c r="B193" s="67"/>
      <c r="C193" s="67"/>
      <c r="D193" s="67"/>
      <c r="E193" s="186"/>
      <c r="F193" s="186"/>
      <c r="G193" s="186"/>
      <c r="H193" s="186"/>
      <c r="I193" s="186"/>
      <c r="J193" s="186"/>
      <c r="K193" s="186"/>
      <c r="L193" s="186"/>
      <c r="M193" s="186"/>
      <c r="N193" s="186"/>
      <c r="O193" s="186"/>
      <c r="P193" s="186"/>
      <c r="Q193" s="186"/>
      <c r="R193" s="186"/>
      <c r="S193" s="186"/>
      <c r="T193" s="186"/>
      <c r="U193" s="186"/>
      <c r="V193" s="67"/>
      <c r="W193" s="67"/>
      <c r="X193" s="67"/>
      <c r="Y193" s="187"/>
      <c r="Z193" s="186"/>
      <c r="AA193" s="187"/>
      <c r="AB193" s="187"/>
      <c r="AC193" s="187"/>
      <c r="AD193" s="186"/>
      <c r="AE193" s="186"/>
      <c r="AF193" s="67"/>
      <c r="AG193" s="67"/>
      <c r="AH193" s="67"/>
      <c r="AL193" s="186"/>
    </row>
    <row r="194">
      <c r="A194" s="185"/>
      <c r="B194" s="67"/>
      <c r="C194" s="67"/>
      <c r="D194" s="67"/>
      <c r="E194" s="186"/>
      <c r="F194" s="186"/>
      <c r="G194" s="186"/>
      <c r="H194" s="186"/>
      <c r="I194" s="186"/>
      <c r="J194" s="186"/>
      <c r="K194" s="186"/>
      <c r="L194" s="186"/>
      <c r="M194" s="186"/>
      <c r="N194" s="186"/>
      <c r="O194" s="186"/>
      <c r="P194" s="186"/>
      <c r="Q194" s="186"/>
      <c r="R194" s="186"/>
      <c r="S194" s="186"/>
      <c r="T194" s="186"/>
      <c r="U194" s="186"/>
      <c r="V194" s="67"/>
      <c r="W194" s="67"/>
      <c r="X194" s="67"/>
      <c r="Y194" s="187"/>
      <c r="Z194" s="186"/>
      <c r="AA194" s="187"/>
      <c r="AB194" s="187"/>
      <c r="AC194" s="187"/>
      <c r="AD194" s="186"/>
      <c r="AE194" s="186"/>
      <c r="AF194" s="67"/>
      <c r="AG194" s="67"/>
      <c r="AH194" s="67"/>
      <c r="AL194" s="186"/>
    </row>
    <row r="195">
      <c r="A195" s="185"/>
      <c r="B195" s="67"/>
      <c r="C195" s="67"/>
      <c r="D195" s="67"/>
      <c r="E195" s="186"/>
      <c r="F195" s="186"/>
      <c r="G195" s="186"/>
      <c r="H195" s="186"/>
      <c r="I195" s="186"/>
      <c r="J195" s="186"/>
      <c r="K195" s="186"/>
      <c r="L195" s="186"/>
      <c r="M195" s="186"/>
      <c r="N195" s="186"/>
      <c r="O195" s="186"/>
      <c r="P195" s="186"/>
      <c r="Q195" s="186"/>
      <c r="R195" s="186"/>
      <c r="S195" s="186"/>
      <c r="T195" s="186"/>
      <c r="U195" s="186"/>
      <c r="V195" s="67"/>
      <c r="W195" s="67"/>
      <c r="X195" s="67"/>
      <c r="Y195" s="187"/>
      <c r="Z195" s="186"/>
      <c r="AA195" s="187"/>
      <c r="AB195" s="187"/>
      <c r="AC195" s="187"/>
      <c r="AD195" s="186"/>
      <c r="AE195" s="186"/>
      <c r="AF195" s="67"/>
      <c r="AG195" s="67"/>
      <c r="AH195" s="67"/>
      <c r="AL195" s="186"/>
    </row>
    <row r="196">
      <c r="A196" s="185"/>
      <c r="B196" s="67"/>
      <c r="C196" s="67"/>
      <c r="D196" s="67"/>
      <c r="E196" s="186"/>
      <c r="F196" s="186"/>
      <c r="G196" s="186"/>
      <c r="H196" s="186"/>
      <c r="I196" s="186"/>
      <c r="J196" s="186"/>
      <c r="K196" s="186"/>
      <c r="L196" s="186"/>
      <c r="M196" s="186"/>
      <c r="N196" s="186"/>
      <c r="O196" s="186"/>
      <c r="P196" s="186"/>
      <c r="Q196" s="186"/>
      <c r="R196" s="186"/>
      <c r="S196" s="186"/>
      <c r="T196" s="186"/>
      <c r="U196" s="186"/>
      <c r="V196" s="67"/>
      <c r="W196" s="67"/>
      <c r="X196" s="67"/>
      <c r="Y196" s="187"/>
      <c r="Z196" s="186"/>
      <c r="AA196" s="187"/>
      <c r="AB196" s="187"/>
      <c r="AC196" s="187"/>
      <c r="AD196" s="186"/>
      <c r="AE196" s="186"/>
      <c r="AF196" s="67"/>
      <c r="AG196" s="67"/>
      <c r="AH196" s="67"/>
      <c r="AL196" s="186"/>
    </row>
    <row r="197">
      <c r="A197" s="185"/>
      <c r="B197" s="67"/>
      <c r="C197" s="67"/>
      <c r="D197" s="67"/>
      <c r="E197" s="186"/>
      <c r="F197" s="186"/>
      <c r="G197" s="186"/>
      <c r="H197" s="186"/>
      <c r="I197" s="186"/>
      <c r="J197" s="186"/>
      <c r="K197" s="186"/>
      <c r="L197" s="186"/>
      <c r="M197" s="186"/>
      <c r="N197" s="186"/>
      <c r="O197" s="186"/>
      <c r="P197" s="186"/>
      <c r="Q197" s="186"/>
      <c r="R197" s="186"/>
      <c r="S197" s="186"/>
      <c r="T197" s="186"/>
      <c r="U197" s="186"/>
      <c r="V197" s="67"/>
      <c r="W197" s="67"/>
      <c r="X197" s="67"/>
      <c r="Y197" s="187"/>
      <c r="Z197" s="186"/>
      <c r="AA197" s="187"/>
      <c r="AB197" s="187"/>
      <c r="AC197" s="187"/>
      <c r="AD197" s="186"/>
      <c r="AE197" s="186"/>
      <c r="AF197" s="67"/>
      <c r="AG197" s="67"/>
      <c r="AH197" s="67"/>
      <c r="AL197" s="186"/>
    </row>
    <row r="198">
      <c r="A198" s="185"/>
      <c r="B198" s="67"/>
      <c r="C198" s="67"/>
      <c r="D198" s="67"/>
      <c r="E198" s="186"/>
      <c r="F198" s="186"/>
      <c r="G198" s="186"/>
      <c r="H198" s="186"/>
      <c r="I198" s="186"/>
      <c r="J198" s="186"/>
      <c r="K198" s="186"/>
      <c r="L198" s="186"/>
      <c r="M198" s="186"/>
      <c r="N198" s="186"/>
      <c r="O198" s="186"/>
      <c r="P198" s="186"/>
      <c r="Q198" s="186"/>
      <c r="R198" s="186"/>
      <c r="S198" s="186"/>
      <c r="T198" s="186"/>
      <c r="U198" s="186"/>
      <c r="V198" s="67"/>
      <c r="W198" s="67"/>
      <c r="X198" s="67"/>
      <c r="Y198" s="187"/>
      <c r="Z198" s="186"/>
      <c r="AA198" s="187"/>
      <c r="AB198" s="187"/>
      <c r="AC198" s="187"/>
      <c r="AD198" s="186"/>
      <c r="AE198" s="186"/>
      <c r="AF198" s="67"/>
      <c r="AG198" s="67"/>
      <c r="AH198" s="67"/>
      <c r="AL198" s="186"/>
    </row>
    <row r="199">
      <c r="A199" s="185"/>
      <c r="B199" s="67"/>
      <c r="C199" s="67"/>
      <c r="D199" s="67"/>
      <c r="E199" s="186"/>
      <c r="F199" s="186"/>
      <c r="G199" s="186"/>
      <c r="H199" s="186"/>
      <c r="I199" s="186"/>
      <c r="J199" s="186"/>
      <c r="K199" s="186"/>
      <c r="L199" s="186"/>
      <c r="M199" s="186"/>
      <c r="N199" s="186"/>
      <c r="O199" s="186"/>
      <c r="P199" s="186"/>
      <c r="Q199" s="186"/>
      <c r="R199" s="186"/>
      <c r="S199" s="186"/>
      <c r="T199" s="186"/>
      <c r="U199" s="186"/>
      <c r="V199" s="67"/>
      <c r="W199" s="67"/>
      <c r="X199" s="67"/>
      <c r="Y199" s="187"/>
      <c r="Z199" s="186"/>
      <c r="AA199" s="187"/>
      <c r="AB199" s="187"/>
      <c r="AC199" s="187"/>
      <c r="AD199" s="186"/>
      <c r="AE199" s="186"/>
      <c r="AF199" s="67"/>
      <c r="AG199" s="67"/>
      <c r="AH199" s="67"/>
      <c r="AL199" s="186"/>
    </row>
    <row r="200">
      <c r="A200" s="185"/>
      <c r="B200" s="67"/>
      <c r="C200" s="67"/>
      <c r="D200" s="67"/>
      <c r="E200" s="186"/>
      <c r="F200" s="186"/>
      <c r="G200" s="186"/>
      <c r="H200" s="186"/>
      <c r="I200" s="186"/>
      <c r="J200" s="186"/>
      <c r="K200" s="186"/>
      <c r="L200" s="186"/>
      <c r="M200" s="186"/>
      <c r="N200" s="186"/>
      <c r="O200" s="186"/>
      <c r="P200" s="186"/>
      <c r="Q200" s="186"/>
      <c r="R200" s="186"/>
      <c r="S200" s="186"/>
      <c r="T200" s="186"/>
      <c r="U200" s="186"/>
      <c r="V200" s="67"/>
      <c r="W200" s="67"/>
      <c r="X200" s="67"/>
      <c r="Y200" s="187"/>
      <c r="Z200" s="186"/>
      <c r="AA200" s="187"/>
      <c r="AB200" s="187"/>
      <c r="AC200" s="187"/>
      <c r="AD200" s="186"/>
      <c r="AE200" s="186"/>
      <c r="AF200" s="67"/>
      <c r="AG200" s="67"/>
      <c r="AH200" s="67"/>
      <c r="AL200" s="186"/>
    </row>
    <row r="201">
      <c r="A201" s="185"/>
      <c r="B201" s="67"/>
      <c r="C201" s="67"/>
      <c r="D201" s="67"/>
      <c r="E201" s="186"/>
      <c r="F201" s="186"/>
      <c r="G201" s="186"/>
      <c r="H201" s="186"/>
      <c r="I201" s="186"/>
      <c r="J201" s="186"/>
      <c r="K201" s="186"/>
      <c r="L201" s="186"/>
      <c r="M201" s="186"/>
      <c r="N201" s="186"/>
      <c r="O201" s="186"/>
      <c r="P201" s="186"/>
      <c r="Q201" s="186"/>
      <c r="R201" s="186"/>
      <c r="S201" s="186"/>
      <c r="T201" s="186"/>
      <c r="U201" s="186"/>
      <c r="V201" s="67"/>
      <c r="W201" s="67"/>
      <c r="X201" s="67"/>
      <c r="Y201" s="187"/>
      <c r="Z201" s="186"/>
      <c r="AA201" s="187"/>
      <c r="AB201" s="187"/>
      <c r="AC201" s="187"/>
      <c r="AD201" s="186"/>
      <c r="AE201" s="186"/>
      <c r="AF201" s="67"/>
      <c r="AG201" s="67"/>
      <c r="AH201" s="67"/>
      <c r="AL201" s="186"/>
    </row>
    <row r="202">
      <c r="A202" s="185"/>
      <c r="B202" s="67"/>
      <c r="C202" s="67"/>
      <c r="D202" s="67"/>
      <c r="E202" s="186"/>
      <c r="F202" s="186"/>
      <c r="G202" s="186"/>
      <c r="H202" s="186"/>
      <c r="I202" s="186"/>
      <c r="J202" s="186"/>
      <c r="K202" s="186"/>
      <c r="L202" s="186"/>
      <c r="M202" s="186"/>
      <c r="N202" s="186"/>
      <c r="O202" s="186"/>
      <c r="P202" s="186"/>
      <c r="Q202" s="186"/>
      <c r="R202" s="186"/>
      <c r="S202" s="186"/>
      <c r="T202" s="186"/>
      <c r="U202" s="186"/>
      <c r="V202" s="67"/>
      <c r="W202" s="67"/>
      <c r="X202" s="67"/>
      <c r="Y202" s="187"/>
      <c r="Z202" s="186"/>
      <c r="AA202" s="187"/>
      <c r="AB202" s="187"/>
      <c r="AC202" s="187"/>
      <c r="AD202" s="186"/>
      <c r="AE202" s="186"/>
      <c r="AF202" s="67"/>
      <c r="AG202" s="67"/>
      <c r="AH202" s="67"/>
      <c r="AL202" s="186"/>
    </row>
    <row r="203">
      <c r="A203" s="185"/>
      <c r="B203" s="67"/>
      <c r="C203" s="67"/>
      <c r="D203" s="67"/>
      <c r="E203" s="186"/>
      <c r="F203" s="186"/>
      <c r="G203" s="186"/>
      <c r="H203" s="186"/>
      <c r="I203" s="186"/>
      <c r="J203" s="186"/>
      <c r="K203" s="186"/>
      <c r="L203" s="186"/>
      <c r="M203" s="186"/>
      <c r="N203" s="186"/>
      <c r="O203" s="186"/>
      <c r="P203" s="186"/>
      <c r="Q203" s="186"/>
      <c r="R203" s="186"/>
      <c r="S203" s="186"/>
      <c r="T203" s="186"/>
      <c r="U203" s="186"/>
      <c r="V203" s="67"/>
      <c r="W203" s="67"/>
      <c r="X203" s="67"/>
      <c r="Y203" s="187"/>
      <c r="Z203" s="186"/>
      <c r="AA203" s="187"/>
      <c r="AB203" s="187"/>
      <c r="AC203" s="187"/>
      <c r="AD203" s="186"/>
      <c r="AE203" s="186"/>
      <c r="AF203" s="67"/>
      <c r="AG203" s="67"/>
      <c r="AH203" s="67"/>
      <c r="AL203" s="186"/>
    </row>
    <row r="204">
      <c r="A204" s="185"/>
      <c r="B204" s="67"/>
      <c r="C204" s="67"/>
      <c r="D204" s="67"/>
      <c r="E204" s="186"/>
      <c r="F204" s="186"/>
      <c r="G204" s="186"/>
      <c r="H204" s="186"/>
      <c r="I204" s="186"/>
      <c r="J204" s="186"/>
      <c r="K204" s="186"/>
      <c r="L204" s="186"/>
      <c r="M204" s="186"/>
      <c r="N204" s="186"/>
      <c r="O204" s="186"/>
      <c r="P204" s="186"/>
      <c r="Q204" s="186"/>
      <c r="R204" s="186"/>
      <c r="S204" s="186"/>
      <c r="T204" s="186"/>
      <c r="U204" s="186"/>
      <c r="V204" s="67"/>
      <c r="W204" s="67"/>
      <c r="X204" s="67"/>
      <c r="Y204" s="187"/>
      <c r="Z204" s="186"/>
      <c r="AA204" s="187"/>
      <c r="AB204" s="187"/>
      <c r="AC204" s="187"/>
      <c r="AD204" s="186"/>
      <c r="AE204" s="186"/>
      <c r="AF204" s="67"/>
      <c r="AG204" s="67"/>
      <c r="AH204" s="67"/>
      <c r="AL204" s="186"/>
    </row>
    <row r="205">
      <c r="A205" s="185"/>
      <c r="B205" s="67"/>
      <c r="C205" s="67"/>
      <c r="D205" s="67"/>
      <c r="E205" s="186"/>
      <c r="F205" s="186"/>
      <c r="G205" s="186"/>
      <c r="H205" s="186"/>
      <c r="I205" s="186"/>
      <c r="J205" s="186"/>
      <c r="K205" s="186"/>
      <c r="L205" s="186"/>
      <c r="M205" s="186"/>
      <c r="N205" s="186"/>
      <c r="O205" s="186"/>
      <c r="P205" s="186"/>
      <c r="Q205" s="186"/>
      <c r="R205" s="186"/>
      <c r="S205" s="186"/>
      <c r="T205" s="186"/>
      <c r="U205" s="186"/>
      <c r="V205" s="67"/>
      <c r="W205" s="67"/>
      <c r="X205" s="67"/>
      <c r="Y205" s="187"/>
      <c r="Z205" s="186"/>
      <c r="AA205" s="187"/>
      <c r="AB205" s="187"/>
      <c r="AC205" s="187"/>
      <c r="AD205" s="186"/>
      <c r="AE205" s="186"/>
      <c r="AF205" s="67"/>
      <c r="AG205" s="67"/>
      <c r="AH205" s="67"/>
      <c r="AL205" s="186"/>
    </row>
    <row r="206">
      <c r="A206" s="185"/>
      <c r="B206" s="67"/>
      <c r="C206" s="67"/>
      <c r="D206" s="67"/>
      <c r="E206" s="186"/>
      <c r="F206" s="186"/>
      <c r="G206" s="186"/>
      <c r="H206" s="186"/>
      <c r="I206" s="186"/>
      <c r="J206" s="186"/>
      <c r="K206" s="186"/>
      <c r="L206" s="186"/>
      <c r="M206" s="186"/>
      <c r="N206" s="186"/>
      <c r="O206" s="186"/>
      <c r="P206" s="186"/>
      <c r="Q206" s="186"/>
      <c r="R206" s="186"/>
      <c r="S206" s="186"/>
      <c r="T206" s="186"/>
      <c r="U206" s="186"/>
      <c r="V206" s="67"/>
      <c r="W206" s="67"/>
      <c r="X206" s="67"/>
      <c r="Y206" s="187"/>
      <c r="Z206" s="186"/>
      <c r="AA206" s="187"/>
      <c r="AB206" s="187"/>
      <c r="AC206" s="187"/>
      <c r="AD206" s="186"/>
      <c r="AE206" s="186"/>
      <c r="AF206" s="67"/>
      <c r="AG206" s="67"/>
      <c r="AH206" s="67"/>
      <c r="AL206" s="186"/>
    </row>
    <row r="207">
      <c r="A207" s="185"/>
      <c r="B207" s="67"/>
      <c r="C207" s="67"/>
      <c r="D207" s="67"/>
      <c r="E207" s="186"/>
      <c r="F207" s="186"/>
      <c r="G207" s="186"/>
      <c r="H207" s="186"/>
      <c r="I207" s="186"/>
      <c r="J207" s="186"/>
      <c r="K207" s="186"/>
      <c r="L207" s="186"/>
      <c r="M207" s="186"/>
      <c r="N207" s="186"/>
      <c r="O207" s="186"/>
      <c r="P207" s="186"/>
      <c r="Q207" s="186"/>
      <c r="R207" s="186"/>
      <c r="S207" s="186"/>
      <c r="T207" s="186"/>
      <c r="U207" s="186"/>
      <c r="V207" s="67"/>
      <c r="W207" s="67"/>
      <c r="X207" s="67"/>
      <c r="Y207" s="187"/>
      <c r="Z207" s="186"/>
      <c r="AA207" s="187"/>
      <c r="AB207" s="187"/>
      <c r="AC207" s="187"/>
      <c r="AD207" s="186"/>
      <c r="AE207" s="186"/>
      <c r="AF207" s="67"/>
      <c r="AG207" s="67"/>
      <c r="AH207" s="67"/>
      <c r="AL207" s="186"/>
    </row>
    <row r="208">
      <c r="A208" s="185"/>
      <c r="B208" s="67"/>
      <c r="C208" s="67"/>
      <c r="D208" s="67"/>
      <c r="E208" s="186"/>
      <c r="F208" s="186"/>
      <c r="G208" s="186"/>
      <c r="H208" s="186"/>
      <c r="I208" s="186"/>
      <c r="J208" s="186"/>
      <c r="K208" s="186"/>
      <c r="L208" s="186"/>
      <c r="M208" s="186"/>
      <c r="N208" s="186"/>
      <c r="O208" s="186"/>
      <c r="P208" s="186"/>
      <c r="Q208" s="186"/>
      <c r="R208" s="186"/>
      <c r="S208" s="186"/>
      <c r="T208" s="186"/>
      <c r="U208" s="186"/>
      <c r="V208" s="67"/>
      <c r="W208" s="67"/>
      <c r="X208" s="67"/>
      <c r="Y208" s="187"/>
      <c r="Z208" s="186"/>
      <c r="AA208" s="187"/>
      <c r="AB208" s="187"/>
      <c r="AC208" s="187"/>
      <c r="AD208" s="186"/>
      <c r="AE208" s="186"/>
      <c r="AF208" s="67"/>
      <c r="AG208" s="67"/>
      <c r="AH208" s="67"/>
      <c r="AL208" s="186"/>
    </row>
    <row r="209">
      <c r="A209" s="185"/>
      <c r="B209" s="67"/>
      <c r="C209" s="67"/>
      <c r="D209" s="67"/>
      <c r="E209" s="186"/>
      <c r="F209" s="186"/>
      <c r="G209" s="186"/>
      <c r="H209" s="186"/>
      <c r="I209" s="186"/>
      <c r="J209" s="186"/>
      <c r="K209" s="186"/>
      <c r="L209" s="186"/>
      <c r="M209" s="186"/>
      <c r="N209" s="186"/>
      <c r="O209" s="186"/>
      <c r="P209" s="186"/>
      <c r="Q209" s="186"/>
      <c r="R209" s="186"/>
      <c r="S209" s="186"/>
      <c r="T209" s="186"/>
      <c r="U209" s="186"/>
      <c r="V209" s="67"/>
      <c r="W209" s="67"/>
      <c r="X209" s="67"/>
      <c r="Y209" s="187"/>
      <c r="Z209" s="186"/>
      <c r="AA209" s="187"/>
      <c r="AB209" s="187"/>
      <c r="AC209" s="187"/>
      <c r="AD209" s="186"/>
      <c r="AE209" s="186"/>
      <c r="AF209" s="67"/>
      <c r="AG209" s="67"/>
      <c r="AH209" s="67"/>
      <c r="AL209" s="186"/>
    </row>
    <row r="210">
      <c r="A210" s="185"/>
      <c r="B210" s="67"/>
      <c r="C210" s="67"/>
      <c r="D210" s="67"/>
      <c r="E210" s="186"/>
      <c r="F210" s="186"/>
      <c r="G210" s="186"/>
      <c r="H210" s="186"/>
      <c r="I210" s="186"/>
      <c r="J210" s="186"/>
      <c r="K210" s="186"/>
      <c r="L210" s="186"/>
      <c r="M210" s="186"/>
      <c r="N210" s="186"/>
      <c r="O210" s="186"/>
      <c r="P210" s="186"/>
      <c r="Q210" s="186"/>
      <c r="R210" s="186"/>
      <c r="S210" s="186"/>
      <c r="T210" s="186"/>
      <c r="U210" s="186"/>
      <c r="V210" s="67"/>
      <c r="W210" s="67"/>
      <c r="X210" s="67"/>
      <c r="Y210" s="187"/>
      <c r="Z210" s="186"/>
      <c r="AA210" s="187"/>
      <c r="AB210" s="187"/>
      <c r="AC210" s="187"/>
      <c r="AD210" s="186"/>
      <c r="AE210" s="186"/>
      <c r="AF210" s="67"/>
      <c r="AG210" s="67"/>
      <c r="AH210" s="67"/>
      <c r="AL210" s="186"/>
    </row>
    <row r="211">
      <c r="A211" s="185"/>
      <c r="B211" s="67"/>
      <c r="C211" s="67"/>
      <c r="D211" s="67"/>
      <c r="E211" s="186"/>
      <c r="F211" s="186"/>
      <c r="G211" s="186"/>
      <c r="H211" s="186"/>
      <c r="I211" s="186"/>
      <c r="J211" s="186"/>
      <c r="K211" s="186"/>
      <c r="L211" s="186"/>
      <c r="M211" s="186"/>
      <c r="N211" s="186"/>
      <c r="O211" s="186"/>
      <c r="P211" s="186"/>
      <c r="Q211" s="186"/>
      <c r="R211" s="186"/>
      <c r="S211" s="186"/>
      <c r="T211" s="186"/>
      <c r="U211" s="186"/>
      <c r="V211" s="67"/>
      <c r="W211" s="67"/>
      <c r="X211" s="67"/>
      <c r="Y211" s="187"/>
      <c r="Z211" s="186"/>
      <c r="AA211" s="187"/>
      <c r="AB211" s="187"/>
      <c r="AC211" s="187"/>
      <c r="AD211" s="186"/>
      <c r="AE211" s="186"/>
      <c r="AF211" s="67"/>
      <c r="AG211" s="67"/>
      <c r="AH211" s="67"/>
      <c r="AL211" s="186"/>
    </row>
    <row r="212">
      <c r="A212" s="185"/>
      <c r="B212" s="67"/>
      <c r="C212" s="67"/>
      <c r="D212" s="67"/>
      <c r="E212" s="186"/>
      <c r="F212" s="186"/>
      <c r="G212" s="186"/>
      <c r="H212" s="186"/>
      <c r="I212" s="186"/>
      <c r="J212" s="186"/>
      <c r="K212" s="186"/>
      <c r="L212" s="186"/>
      <c r="M212" s="186"/>
      <c r="N212" s="186"/>
      <c r="O212" s="186"/>
      <c r="P212" s="186"/>
      <c r="Q212" s="186"/>
      <c r="R212" s="186"/>
      <c r="S212" s="186"/>
      <c r="T212" s="186"/>
      <c r="U212" s="186"/>
      <c r="V212" s="67"/>
      <c r="W212" s="67"/>
      <c r="X212" s="67"/>
      <c r="Y212" s="187"/>
      <c r="Z212" s="186"/>
      <c r="AA212" s="187"/>
      <c r="AB212" s="187"/>
      <c r="AC212" s="187"/>
      <c r="AD212" s="186"/>
      <c r="AE212" s="186"/>
      <c r="AF212" s="67"/>
      <c r="AG212" s="67"/>
      <c r="AH212" s="67"/>
      <c r="AL212" s="186"/>
    </row>
    <row r="213">
      <c r="A213" s="185"/>
      <c r="B213" s="67"/>
      <c r="C213" s="67"/>
      <c r="D213" s="67"/>
      <c r="E213" s="186"/>
      <c r="F213" s="186"/>
      <c r="G213" s="186"/>
      <c r="H213" s="186"/>
      <c r="I213" s="186"/>
      <c r="J213" s="186"/>
      <c r="K213" s="186"/>
      <c r="L213" s="186"/>
      <c r="M213" s="186"/>
      <c r="N213" s="186"/>
      <c r="O213" s="186"/>
      <c r="P213" s="186"/>
      <c r="Q213" s="186"/>
      <c r="R213" s="186"/>
      <c r="S213" s="186"/>
      <c r="T213" s="186"/>
      <c r="U213" s="186"/>
      <c r="V213" s="67"/>
      <c r="W213" s="67"/>
      <c r="X213" s="67"/>
      <c r="Y213" s="187"/>
      <c r="Z213" s="186"/>
      <c r="AA213" s="187"/>
      <c r="AB213" s="187"/>
      <c r="AC213" s="187"/>
      <c r="AD213" s="186"/>
      <c r="AE213" s="186"/>
      <c r="AF213" s="67"/>
      <c r="AG213" s="67"/>
      <c r="AH213" s="67"/>
      <c r="AL213" s="186"/>
    </row>
    <row r="214">
      <c r="A214" s="185"/>
      <c r="B214" s="67"/>
      <c r="C214" s="67"/>
      <c r="D214" s="67"/>
      <c r="E214" s="186"/>
      <c r="F214" s="186"/>
      <c r="G214" s="186"/>
      <c r="H214" s="186"/>
      <c r="I214" s="186"/>
      <c r="J214" s="186"/>
      <c r="K214" s="186"/>
      <c r="L214" s="186"/>
      <c r="M214" s="186"/>
      <c r="N214" s="186"/>
      <c r="O214" s="186"/>
      <c r="P214" s="186"/>
      <c r="Q214" s="186"/>
      <c r="R214" s="186"/>
      <c r="S214" s="186"/>
      <c r="T214" s="186"/>
      <c r="U214" s="186"/>
      <c r="V214" s="67"/>
      <c r="W214" s="67"/>
      <c r="X214" s="67"/>
      <c r="Y214" s="187"/>
      <c r="Z214" s="186"/>
      <c r="AA214" s="187"/>
      <c r="AB214" s="187"/>
      <c r="AC214" s="187"/>
      <c r="AD214" s="186"/>
      <c r="AE214" s="186"/>
      <c r="AF214" s="67"/>
      <c r="AG214" s="67"/>
      <c r="AH214" s="67"/>
      <c r="AL214" s="186"/>
    </row>
    <row r="215">
      <c r="A215" s="185"/>
      <c r="B215" s="67"/>
      <c r="C215" s="67"/>
      <c r="D215" s="67"/>
      <c r="E215" s="186"/>
      <c r="F215" s="186"/>
      <c r="G215" s="186"/>
      <c r="H215" s="186"/>
      <c r="I215" s="186"/>
      <c r="J215" s="186"/>
      <c r="K215" s="186"/>
      <c r="L215" s="186"/>
      <c r="M215" s="186"/>
      <c r="N215" s="186"/>
      <c r="O215" s="186"/>
      <c r="P215" s="186"/>
      <c r="Q215" s="186"/>
      <c r="R215" s="186"/>
      <c r="S215" s="186"/>
      <c r="T215" s="186"/>
      <c r="U215" s="186"/>
      <c r="V215" s="67"/>
      <c r="W215" s="67"/>
      <c r="X215" s="67"/>
      <c r="Y215" s="187"/>
      <c r="Z215" s="186"/>
      <c r="AA215" s="187"/>
      <c r="AB215" s="187"/>
      <c r="AC215" s="187"/>
      <c r="AD215" s="186"/>
      <c r="AE215" s="186"/>
      <c r="AF215" s="67"/>
      <c r="AG215" s="67"/>
      <c r="AH215" s="67"/>
      <c r="AL215" s="186"/>
    </row>
    <row r="216">
      <c r="A216" s="185"/>
      <c r="B216" s="67"/>
      <c r="C216" s="67"/>
      <c r="D216" s="67"/>
      <c r="E216" s="186"/>
      <c r="F216" s="186"/>
      <c r="G216" s="186"/>
      <c r="H216" s="186"/>
      <c r="I216" s="186"/>
      <c r="J216" s="186"/>
      <c r="K216" s="186"/>
      <c r="L216" s="186"/>
      <c r="M216" s="186"/>
      <c r="N216" s="186"/>
      <c r="O216" s="186"/>
      <c r="P216" s="186"/>
      <c r="Q216" s="186"/>
      <c r="R216" s="186"/>
      <c r="S216" s="186"/>
      <c r="T216" s="186"/>
      <c r="U216" s="186"/>
      <c r="V216" s="67"/>
      <c r="W216" s="67"/>
      <c r="X216" s="67"/>
      <c r="Y216" s="187"/>
      <c r="Z216" s="186"/>
      <c r="AA216" s="187"/>
      <c r="AB216" s="187"/>
      <c r="AC216" s="187"/>
      <c r="AD216" s="186"/>
      <c r="AE216" s="186"/>
      <c r="AF216" s="67"/>
      <c r="AG216" s="67"/>
      <c r="AH216" s="67"/>
      <c r="AL216" s="186"/>
    </row>
    <row r="217">
      <c r="A217" s="185"/>
      <c r="B217" s="67"/>
      <c r="C217" s="67"/>
      <c r="D217" s="67"/>
      <c r="E217" s="186"/>
      <c r="F217" s="186"/>
      <c r="G217" s="186"/>
      <c r="H217" s="186"/>
      <c r="I217" s="186"/>
      <c r="J217" s="186"/>
      <c r="K217" s="186"/>
      <c r="L217" s="186"/>
      <c r="M217" s="186"/>
      <c r="N217" s="186"/>
      <c r="O217" s="186"/>
      <c r="P217" s="186"/>
      <c r="Q217" s="186"/>
      <c r="R217" s="186"/>
      <c r="S217" s="186"/>
      <c r="T217" s="186"/>
      <c r="U217" s="186"/>
      <c r="V217" s="67"/>
      <c r="W217" s="67"/>
      <c r="X217" s="67"/>
      <c r="Y217" s="187"/>
      <c r="Z217" s="186"/>
      <c r="AA217" s="187"/>
      <c r="AB217" s="187"/>
      <c r="AC217" s="187"/>
      <c r="AD217" s="186"/>
      <c r="AE217" s="186"/>
      <c r="AF217" s="67"/>
      <c r="AG217" s="67"/>
      <c r="AH217" s="67"/>
      <c r="AL217" s="186"/>
    </row>
    <row r="218">
      <c r="A218" s="185"/>
      <c r="B218" s="67"/>
      <c r="C218" s="67"/>
      <c r="D218" s="67"/>
      <c r="E218" s="186"/>
      <c r="F218" s="186"/>
      <c r="G218" s="186"/>
      <c r="H218" s="186"/>
      <c r="I218" s="186"/>
      <c r="J218" s="186"/>
      <c r="K218" s="186"/>
      <c r="L218" s="186"/>
      <c r="M218" s="186"/>
      <c r="N218" s="186"/>
      <c r="O218" s="186"/>
      <c r="P218" s="186"/>
      <c r="Q218" s="186"/>
      <c r="R218" s="186"/>
      <c r="S218" s="186"/>
      <c r="T218" s="186"/>
      <c r="U218" s="186"/>
      <c r="V218" s="67"/>
      <c r="W218" s="67"/>
      <c r="X218" s="67"/>
      <c r="Y218" s="187"/>
      <c r="Z218" s="186"/>
      <c r="AA218" s="187"/>
      <c r="AB218" s="187"/>
      <c r="AC218" s="187"/>
      <c r="AD218" s="186"/>
      <c r="AE218" s="186"/>
      <c r="AF218" s="67"/>
      <c r="AG218" s="67"/>
      <c r="AH218" s="67"/>
      <c r="AL218" s="186"/>
    </row>
    <row r="219">
      <c r="A219" s="185"/>
      <c r="B219" s="67"/>
      <c r="C219" s="67"/>
      <c r="D219" s="67"/>
      <c r="E219" s="186"/>
      <c r="F219" s="186"/>
      <c r="G219" s="186"/>
      <c r="H219" s="186"/>
      <c r="I219" s="186"/>
      <c r="J219" s="186"/>
      <c r="K219" s="186"/>
      <c r="L219" s="186"/>
      <c r="M219" s="186"/>
      <c r="N219" s="186"/>
      <c r="O219" s="186"/>
      <c r="P219" s="186"/>
      <c r="Q219" s="186"/>
      <c r="R219" s="186"/>
      <c r="S219" s="186"/>
      <c r="T219" s="186"/>
      <c r="U219" s="186"/>
      <c r="V219" s="67"/>
      <c r="W219" s="67"/>
      <c r="X219" s="67"/>
      <c r="Y219" s="187"/>
      <c r="Z219" s="186"/>
      <c r="AA219" s="187"/>
      <c r="AB219" s="187"/>
      <c r="AC219" s="187"/>
      <c r="AD219" s="186"/>
      <c r="AE219" s="186"/>
      <c r="AF219" s="67"/>
      <c r="AG219" s="67"/>
      <c r="AH219" s="67"/>
      <c r="AL219" s="186"/>
    </row>
    <row r="220">
      <c r="A220" s="185"/>
      <c r="B220" s="67"/>
      <c r="C220" s="67"/>
      <c r="D220" s="67"/>
      <c r="E220" s="186"/>
      <c r="F220" s="186"/>
      <c r="G220" s="186"/>
      <c r="H220" s="186"/>
      <c r="I220" s="186"/>
      <c r="J220" s="186"/>
      <c r="K220" s="186"/>
      <c r="L220" s="186"/>
      <c r="M220" s="186"/>
      <c r="N220" s="186"/>
      <c r="O220" s="186"/>
      <c r="P220" s="186"/>
      <c r="Q220" s="186"/>
      <c r="R220" s="186"/>
      <c r="S220" s="186"/>
      <c r="T220" s="186"/>
      <c r="U220" s="186"/>
      <c r="V220" s="67"/>
      <c r="W220" s="67"/>
      <c r="X220" s="67"/>
      <c r="Y220" s="187"/>
      <c r="Z220" s="186"/>
      <c r="AA220" s="187"/>
      <c r="AB220" s="187"/>
      <c r="AC220" s="187"/>
      <c r="AD220" s="186"/>
      <c r="AE220" s="186"/>
      <c r="AF220" s="67"/>
      <c r="AG220" s="67"/>
      <c r="AH220" s="67"/>
      <c r="AL220" s="186"/>
    </row>
    <row r="221">
      <c r="A221" s="185"/>
      <c r="B221" s="67"/>
      <c r="C221" s="67"/>
      <c r="D221" s="67"/>
      <c r="E221" s="186"/>
      <c r="F221" s="186"/>
      <c r="G221" s="186"/>
      <c r="H221" s="186"/>
      <c r="I221" s="186"/>
      <c r="J221" s="186"/>
      <c r="K221" s="186"/>
      <c r="L221" s="186"/>
      <c r="M221" s="186"/>
      <c r="N221" s="186"/>
      <c r="O221" s="186"/>
      <c r="P221" s="186"/>
      <c r="Q221" s="186"/>
      <c r="R221" s="186"/>
      <c r="S221" s="186"/>
      <c r="T221" s="186"/>
      <c r="U221" s="186"/>
      <c r="V221" s="67"/>
      <c r="W221" s="67"/>
      <c r="X221" s="67"/>
      <c r="Y221" s="187"/>
      <c r="Z221" s="186"/>
      <c r="AA221" s="187"/>
      <c r="AB221" s="187"/>
      <c r="AC221" s="187"/>
      <c r="AD221" s="186"/>
      <c r="AE221" s="186"/>
      <c r="AF221" s="67"/>
      <c r="AG221" s="67"/>
      <c r="AH221" s="67"/>
      <c r="AL221" s="186"/>
    </row>
    <row r="222">
      <c r="A222" s="185"/>
      <c r="B222" s="67"/>
      <c r="C222" s="67"/>
      <c r="D222" s="67"/>
      <c r="E222" s="186"/>
      <c r="F222" s="186"/>
      <c r="G222" s="186"/>
      <c r="H222" s="186"/>
      <c r="I222" s="186"/>
      <c r="J222" s="186"/>
      <c r="K222" s="186"/>
      <c r="L222" s="186"/>
      <c r="M222" s="186"/>
      <c r="N222" s="186"/>
      <c r="O222" s="186"/>
      <c r="P222" s="186"/>
      <c r="Q222" s="186"/>
      <c r="R222" s="186"/>
      <c r="S222" s="186"/>
      <c r="T222" s="186"/>
      <c r="U222" s="186"/>
      <c r="V222" s="67"/>
      <c r="W222" s="67"/>
      <c r="X222" s="67"/>
      <c r="Y222" s="187"/>
      <c r="Z222" s="186"/>
      <c r="AA222" s="187"/>
      <c r="AB222" s="187"/>
      <c r="AC222" s="187"/>
      <c r="AD222" s="186"/>
      <c r="AE222" s="186"/>
      <c r="AF222" s="67"/>
      <c r="AG222" s="67"/>
      <c r="AH222" s="67"/>
      <c r="AL222" s="186"/>
    </row>
    <row r="223">
      <c r="A223" s="185"/>
      <c r="B223" s="67"/>
      <c r="C223" s="67"/>
      <c r="D223" s="67"/>
      <c r="E223" s="186"/>
      <c r="F223" s="186"/>
      <c r="G223" s="186"/>
      <c r="H223" s="186"/>
      <c r="I223" s="186"/>
      <c r="J223" s="186"/>
      <c r="K223" s="186"/>
      <c r="L223" s="186"/>
      <c r="M223" s="186"/>
      <c r="N223" s="186"/>
      <c r="O223" s="186"/>
      <c r="P223" s="186"/>
      <c r="Q223" s="186"/>
      <c r="R223" s="186"/>
      <c r="S223" s="186"/>
      <c r="T223" s="186"/>
      <c r="U223" s="186"/>
      <c r="V223" s="67"/>
      <c r="W223" s="67"/>
      <c r="X223" s="67"/>
      <c r="Y223" s="187"/>
      <c r="Z223" s="186"/>
      <c r="AA223" s="187"/>
      <c r="AB223" s="187"/>
      <c r="AC223" s="187"/>
      <c r="AD223" s="186"/>
      <c r="AE223" s="186"/>
      <c r="AF223" s="67"/>
      <c r="AG223" s="67"/>
      <c r="AH223" s="67"/>
      <c r="AL223" s="186"/>
    </row>
    <row r="224">
      <c r="A224" s="185"/>
      <c r="B224" s="67"/>
      <c r="C224" s="67"/>
      <c r="D224" s="67"/>
      <c r="E224" s="186"/>
      <c r="F224" s="186"/>
      <c r="G224" s="186"/>
      <c r="H224" s="186"/>
      <c r="I224" s="186"/>
      <c r="J224" s="186"/>
      <c r="K224" s="186"/>
      <c r="L224" s="186"/>
      <c r="M224" s="186"/>
      <c r="N224" s="186"/>
      <c r="O224" s="186"/>
      <c r="P224" s="186"/>
      <c r="Q224" s="186"/>
      <c r="R224" s="186"/>
      <c r="S224" s="186"/>
      <c r="T224" s="186"/>
      <c r="U224" s="186"/>
      <c r="V224" s="67"/>
      <c r="W224" s="67"/>
      <c r="X224" s="67"/>
      <c r="Y224" s="187"/>
      <c r="Z224" s="186"/>
      <c r="AA224" s="187"/>
      <c r="AB224" s="187"/>
      <c r="AC224" s="187"/>
      <c r="AD224" s="186"/>
      <c r="AE224" s="186"/>
      <c r="AF224" s="67"/>
      <c r="AG224" s="67"/>
      <c r="AH224" s="67"/>
      <c r="AL224" s="186"/>
    </row>
    <row r="225">
      <c r="A225" s="185"/>
      <c r="B225" s="67"/>
      <c r="C225" s="67"/>
      <c r="D225" s="67"/>
      <c r="E225" s="186"/>
      <c r="F225" s="186"/>
      <c r="G225" s="186"/>
      <c r="H225" s="186"/>
      <c r="I225" s="186"/>
      <c r="J225" s="186"/>
      <c r="K225" s="186"/>
      <c r="L225" s="186"/>
      <c r="M225" s="186"/>
      <c r="N225" s="186"/>
      <c r="O225" s="186"/>
      <c r="P225" s="186"/>
      <c r="Q225" s="186"/>
      <c r="R225" s="186"/>
      <c r="S225" s="186"/>
      <c r="T225" s="186"/>
      <c r="U225" s="186"/>
      <c r="V225" s="67"/>
      <c r="W225" s="67"/>
      <c r="X225" s="67"/>
      <c r="Y225" s="187"/>
      <c r="Z225" s="186"/>
      <c r="AA225" s="187"/>
      <c r="AB225" s="187"/>
      <c r="AC225" s="187"/>
      <c r="AD225" s="186"/>
      <c r="AE225" s="186"/>
      <c r="AF225" s="67"/>
      <c r="AG225" s="67"/>
      <c r="AH225" s="67"/>
      <c r="AL225" s="186"/>
    </row>
    <row r="226">
      <c r="A226" s="185"/>
      <c r="B226" s="67"/>
      <c r="C226" s="67"/>
      <c r="D226" s="67"/>
      <c r="E226" s="186"/>
      <c r="F226" s="186"/>
      <c r="G226" s="186"/>
      <c r="H226" s="186"/>
      <c r="I226" s="186"/>
      <c r="J226" s="186"/>
      <c r="K226" s="186"/>
      <c r="L226" s="186"/>
      <c r="M226" s="186"/>
      <c r="N226" s="186"/>
      <c r="O226" s="186"/>
      <c r="P226" s="186"/>
      <c r="Q226" s="186"/>
      <c r="R226" s="186"/>
      <c r="S226" s="186"/>
      <c r="T226" s="186"/>
      <c r="U226" s="186"/>
      <c r="V226" s="67"/>
      <c r="W226" s="67"/>
      <c r="X226" s="67"/>
      <c r="Y226" s="187"/>
      <c r="Z226" s="186"/>
      <c r="AA226" s="187"/>
      <c r="AB226" s="187"/>
      <c r="AC226" s="187"/>
      <c r="AD226" s="186"/>
      <c r="AE226" s="186"/>
      <c r="AF226" s="67"/>
      <c r="AG226" s="67"/>
      <c r="AH226" s="67"/>
      <c r="AL226" s="186"/>
    </row>
    <row r="227">
      <c r="A227" s="185"/>
      <c r="B227" s="67"/>
      <c r="C227" s="67"/>
      <c r="D227" s="67"/>
      <c r="E227" s="186"/>
      <c r="F227" s="186"/>
      <c r="G227" s="186"/>
      <c r="H227" s="186"/>
      <c r="I227" s="186"/>
      <c r="J227" s="186"/>
      <c r="K227" s="186"/>
      <c r="L227" s="186"/>
      <c r="M227" s="186"/>
      <c r="N227" s="186"/>
      <c r="O227" s="186"/>
      <c r="P227" s="186"/>
      <c r="Q227" s="186"/>
      <c r="R227" s="186"/>
      <c r="S227" s="186"/>
      <c r="T227" s="186"/>
      <c r="U227" s="186"/>
      <c r="V227" s="67"/>
      <c r="W227" s="67"/>
      <c r="X227" s="67"/>
      <c r="Y227" s="187"/>
      <c r="Z227" s="186"/>
      <c r="AA227" s="187"/>
      <c r="AB227" s="187"/>
      <c r="AC227" s="187"/>
      <c r="AD227" s="186"/>
      <c r="AE227" s="186"/>
      <c r="AF227" s="67"/>
      <c r="AG227" s="67"/>
      <c r="AH227" s="67"/>
      <c r="AL227" s="186"/>
    </row>
    <row r="228">
      <c r="A228" s="185"/>
      <c r="B228" s="67"/>
      <c r="C228" s="67"/>
      <c r="D228" s="67"/>
      <c r="E228" s="186"/>
      <c r="F228" s="186"/>
      <c r="G228" s="186"/>
      <c r="H228" s="186"/>
      <c r="I228" s="186"/>
      <c r="J228" s="186"/>
      <c r="K228" s="186"/>
      <c r="L228" s="186"/>
      <c r="M228" s="186"/>
      <c r="N228" s="186"/>
      <c r="O228" s="186"/>
      <c r="P228" s="186"/>
      <c r="Q228" s="186"/>
      <c r="R228" s="186"/>
      <c r="S228" s="186"/>
      <c r="T228" s="186"/>
      <c r="U228" s="186"/>
      <c r="V228" s="67"/>
      <c r="W228" s="67"/>
      <c r="X228" s="67"/>
      <c r="Y228" s="187"/>
      <c r="Z228" s="186"/>
      <c r="AA228" s="187"/>
      <c r="AB228" s="187"/>
      <c r="AC228" s="187"/>
      <c r="AD228" s="186"/>
      <c r="AE228" s="186"/>
      <c r="AF228" s="67"/>
      <c r="AG228" s="67"/>
      <c r="AH228" s="67"/>
      <c r="AL228" s="186"/>
    </row>
    <row r="229">
      <c r="A229" s="185"/>
      <c r="B229" s="67"/>
      <c r="C229" s="67"/>
      <c r="D229" s="67"/>
      <c r="E229" s="186"/>
      <c r="F229" s="186"/>
      <c r="G229" s="186"/>
      <c r="H229" s="186"/>
      <c r="I229" s="186"/>
      <c r="J229" s="186"/>
      <c r="K229" s="186"/>
      <c r="L229" s="186"/>
      <c r="M229" s="186"/>
      <c r="N229" s="186"/>
      <c r="O229" s="186"/>
      <c r="P229" s="186"/>
      <c r="Q229" s="186"/>
      <c r="R229" s="186"/>
      <c r="S229" s="186"/>
      <c r="T229" s="186"/>
      <c r="U229" s="186"/>
      <c r="V229" s="67"/>
      <c r="W229" s="67"/>
      <c r="X229" s="67"/>
      <c r="Y229" s="187"/>
      <c r="Z229" s="186"/>
      <c r="AA229" s="187"/>
      <c r="AB229" s="187"/>
      <c r="AC229" s="187"/>
      <c r="AD229" s="186"/>
      <c r="AE229" s="186"/>
      <c r="AF229" s="67"/>
      <c r="AG229" s="67"/>
      <c r="AH229" s="67"/>
      <c r="AL229" s="186"/>
    </row>
    <row r="230">
      <c r="A230" s="185"/>
      <c r="B230" s="67"/>
      <c r="C230" s="67"/>
      <c r="D230" s="67"/>
      <c r="E230" s="186"/>
      <c r="F230" s="186"/>
      <c r="G230" s="186"/>
      <c r="H230" s="186"/>
      <c r="I230" s="186"/>
      <c r="J230" s="186"/>
      <c r="K230" s="186"/>
      <c r="L230" s="186"/>
      <c r="M230" s="186"/>
      <c r="N230" s="186"/>
      <c r="O230" s="186"/>
      <c r="P230" s="186"/>
      <c r="Q230" s="186"/>
      <c r="R230" s="186"/>
      <c r="S230" s="186"/>
      <c r="T230" s="186"/>
      <c r="U230" s="186"/>
      <c r="V230" s="67"/>
      <c r="W230" s="67"/>
      <c r="X230" s="67"/>
      <c r="Y230" s="187"/>
      <c r="Z230" s="186"/>
      <c r="AA230" s="187"/>
      <c r="AB230" s="187"/>
      <c r="AC230" s="187"/>
      <c r="AD230" s="186"/>
      <c r="AE230" s="186"/>
      <c r="AF230" s="67"/>
      <c r="AG230" s="67"/>
      <c r="AH230" s="67"/>
      <c r="AL230" s="186"/>
    </row>
    <row r="231">
      <c r="A231" s="185"/>
      <c r="B231" s="67"/>
      <c r="C231" s="67"/>
      <c r="D231" s="67"/>
      <c r="E231" s="186"/>
      <c r="F231" s="186"/>
      <c r="G231" s="186"/>
      <c r="H231" s="186"/>
      <c r="I231" s="186"/>
      <c r="J231" s="186"/>
      <c r="K231" s="186"/>
      <c r="L231" s="186"/>
      <c r="M231" s="186"/>
      <c r="N231" s="186"/>
      <c r="O231" s="186"/>
      <c r="P231" s="186"/>
      <c r="Q231" s="186"/>
      <c r="R231" s="186"/>
      <c r="S231" s="186"/>
      <c r="T231" s="186"/>
      <c r="U231" s="186"/>
      <c r="V231" s="67"/>
      <c r="W231" s="67"/>
      <c r="X231" s="67"/>
      <c r="Y231" s="187"/>
      <c r="Z231" s="186"/>
      <c r="AA231" s="187"/>
      <c r="AB231" s="187"/>
      <c r="AC231" s="187"/>
      <c r="AD231" s="186"/>
      <c r="AE231" s="186"/>
      <c r="AF231" s="67"/>
      <c r="AG231" s="67"/>
      <c r="AH231" s="67"/>
      <c r="AL231" s="186"/>
    </row>
    <row r="232">
      <c r="A232" s="185"/>
      <c r="B232" s="67"/>
      <c r="C232" s="67"/>
      <c r="D232" s="67"/>
      <c r="E232" s="186"/>
      <c r="F232" s="186"/>
      <c r="G232" s="186"/>
      <c r="H232" s="186"/>
      <c r="I232" s="186"/>
      <c r="J232" s="186"/>
      <c r="K232" s="186"/>
      <c r="L232" s="186"/>
      <c r="M232" s="186"/>
      <c r="N232" s="186"/>
      <c r="O232" s="186"/>
      <c r="P232" s="186"/>
      <c r="Q232" s="186"/>
      <c r="R232" s="186"/>
      <c r="S232" s="186"/>
      <c r="T232" s="186"/>
      <c r="U232" s="186"/>
      <c r="V232" s="67"/>
      <c r="W232" s="67"/>
      <c r="X232" s="67"/>
      <c r="Y232" s="187"/>
      <c r="Z232" s="186"/>
      <c r="AA232" s="187"/>
      <c r="AB232" s="187"/>
      <c r="AC232" s="187"/>
      <c r="AD232" s="186"/>
      <c r="AE232" s="186"/>
      <c r="AF232" s="67"/>
      <c r="AG232" s="67"/>
      <c r="AH232" s="67"/>
      <c r="AL232" s="186"/>
    </row>
    <row r="233">
      <c r="A233" s="185"/>
      <c r="B233" s="67"/>
      <c r="C233" s="67"/>
      <c r="D233" s="67"/>
      <c r="E233" s="186"/>
      <c r="F233" s="186"/>
      <c r="G233" s="186"/>
      <c r="H233" s="186"/>
      <c r="I233" s="186"/>
      <c r="J233" s="186"/>
      <c r="K233" s="186"/>
      <c r="L233" s="186"/>
      <c r="M233" s="186"/>
      <c r="N233" s="186"/>
      <c r="O233" s="186"/>
      <c r="P233" s="186"/>
      <c r="Q233" s="186"/>
      <c r="R233" s="186"/>
      <c r="S233" s="186"/>
      <c r="T233" s="186"/>
      <c r="U233" s="186"/>
      <c r="V233" s="67"/>
      <c r="W233" s="67"/>
      <c r="X233" s="67"/>
      <c r="Y233" s="187"/>
      <c r="Z233" s="186"/>
      <c r="AA233" s="187"/>
      <c r="AB233" s="187"/>
      <c r="AC233" s="187"/>
      <c r="AD233" s="186"/>
      <c r="AE233" s="186"/>
      <c r="AF233" s="67"/>
      <c r="AG233" s="67"/>
      <c r="AH233" s="67"/>
      <c r="AL233" s="186"/>
    </row>
    <row r="234">
      <c r="A234" s="185"/>
      <c r="B234" s="67"/>
      <c r="C234" s="67"/>
      <c r="D234" s="67"/>
      <c r="E234" s="186"/>
      <c r="F234" s="186"/>
      <c r="G234" s="186"/>
      <c r="H234" s="186"/>
      <c r="I234" s="186"/>
      <c r="J234" s="186"/>
      <c r="K234" s="186"/>
      <c r="L234" s="186"/>
      <c r="M234" s="186"/>
      <c r="N234" s="186"/>
      <c r="O234" s="186"/>
      <c r="P234" s="186"/>
      <c r="Q234" s="186"/>
      <c r="R234" s="186"/>
      <c r="S234" s="186"/>
      <c r="T234" s="186"/>
      <c r="U234" s="186"/>
      <c r="V234" s="67"/>
      <c r="W234" s="67"/>
      <c r="X234" s="67"/>
      <c r="Y234" s="187"/>
      <c r="Z234" s="186"/>
      <c r="AA234" s="187"/>
      <c r="AB234" s="187"/>
      <c r="AC234" s="187"/>
      <c r="AD234" s="186"/>
      <c r="AE234" s="186"/>
      <c r="AF234" s="67"/>
      <c r="AG234" s="67"/>
      <c r="AH234" s="67"/>
      <c r="AL234" s="186"/>
    </row>
    <row r="235">
      <c r="A235" s="185"/>
      <c r="B235" s="67"/>
      <c r="C235" s="67"/>
      <c r="D235" s="67"/>
      <c r="E235" s="186"/>
      <c r="F235" s="186"/>
      <c r="G235" s="186"/>
      <c r="H235" s="186"/>
      <c r="I235" s="186"/>
      <c r="J235" s="186"/>
      <c r="K235" s="186"/>
      <c r="L235" s="186"/>
      <c r="M235" s="186"/>
      <c r="N235" s="186"/>
      <c r="O235" s="186"/>
      <c r="P235" s="186"/>
      <c r="Q235" s="186"/>
      <c r="R235" s="186"/>
      <c r="S235" s="186"/>
      <c r="T235" s="186"/>
      <c r="U235" s="186"/>
      <c r="V235" s="67"/>
      <c r="W235" s="67"/>
      <c r="X235" s="67"/>
      <c r="Y235" s="187"/>
      <c r="Z235" s="186"/>
      <c r="AA235" s="187"/>
      <c r="AB235" s="187"/>
      <c r="AC235" s="187"/>
      <c r="AD235" s="186"/>
      <c r="AE235" s="186"/>
      <c r="AF235" s="67"/>
      <c r="AG235" s="67"/>
      <c r="AH235" s="67"/>
      <c r="AL235" s="186"/>
    </row>
    <row r="236">
      <c r="A236" s="185"/>
      <c r="B236" s="67"/>
      <c r="C236" s="67"/>
      <c r="D236" s="67"/>
      <c r="E236" s="186"/>
      <c r="F236" s="186"/>
      <c r="G236" s="186"/>
      <c r="H236" s="186"/>
      <c r="I236" s="186"/>
      <c r="J236" s="186"/>
      <c r="K236" s="186"/>
      <c r="L236" s="186"/>
      <c r="M236" s="186"/>
      <c r="N236" s="186"/>
      <c r="O236" s="186"/>
      <c r="P236" s="186"/>
      <c r="Q236" s="186"/>
      <c r="R236" s="186"/>
      <c r="S236" s="186"/>
      <c r="T236" s="186"/>
      <c r="U236" s="186"/>
      <c r="V236" s="67"/>
      <c r="W236" s="67"/>
      <c r="X236" s="67"/>
      <c r="Y236" s="187"/>
      <c r="Z236" s="186"/>
      <c r="AA236" s="187"/>
      <c r="AB236" s="187"/>
      <c r="AC236" s="187"/>
      <c r="AD236" s="186"/>
      <c r="AE236" s="186"/>
      <c r="AF236" s="67"/>
      <c r="AG236" s="67"/>
      <c r="AH236" s="67"/>
      <c r="AL236" s="186"/>
    </row>
    <row r="237">
      <c r="A237" s="185"/>
      <c r="B237" s="67"/>
      <c r="C237" s="67"/>
      <c r="D237" s="67"/>
      <c r="E237" s="186"/>
      <c r="F237" s="186"/>
      <c r="G237" s="186"/>
      <c r="H237" s="186"/>
      <c r="I237" s="186"/>
      <c r="J237" s="186"/>
      <c r="K237" s="186"/>
      <c r="L237" s="186"/>
      <c r="M237" s="186"/>
      <c r="N237" s="186"/>
      <c r="O237" s="186"/>
      <c r="P237" s="186"/>
      <c r="Q237" s="186"/>
      <c r="R237" s="186"/>
      <c r="S237" s="186"/>
      <c r="T237" s="186"/>
      <c r="U237" s="186"/>
      <c r="V237" s="67"/>
      <c r="W237" s="67"/>
      <c r="X237" s="67"/>
      <c r="Y237" s="187"/>
      <c r="Z237" s="186"/>
      <c r="AA237" s="187"/>
      <c r="AB237" s="187"/>
      <c r="AC237" s="187"/>
      <c r="AD237" s="186"/>
      <c r="AE237" s="186"/>
      <c r="AF237" s="67"/>
      <c r="AG237" s="67"/>
      <c r="AH237" s="67"/>
      <c r="AL237" s="186"/>
    </row>
    <row r="238">
      <c r="A238" s="185"/>
      <c r="B238" s="67"/>
      <c r="C238" s="67"/>
      <c r="D238" s="67"/>
      <c r="E238" s="186"/>
      <c r="F238" s="186"/>
      <c r="G238" s="186"/>
      <c r="H238" s="186"/>
      <c r="I238" s="186"/>
      <c r="J238" s="186"/>
      <c r="K238" s="186"/>
      <c r="L238" s="186"/>
      <c r="M238" s="186"/>
      <c r="N238" s="186"/>
      <c r="O238" s="186"/>
      <c r="P238" s="186"/>
      <c r="Q238" s="186"/>
      <c r="R238" s="186"/>
      <c r="S238" s="186"/>
      <c r="T238" s="186"/>
      <c r="U238" s="186"/>
      <c r="V238" s="67"/>
      <c r="W238" s="67"/>
      <c r="X238" s="67"/>
      <c r="Y238" s="187"/>
      <c r="Z238" s="186"/>
      <c r="AA238" s="187"/>
      <c r="AB238" s="187"/>
      <c r="AC238" s="187"/>
      <c r="AD238" s="186"/>
      <c r="AE238" s="186"/>
      <c r="AF238" s="67"/>
      <c r="AG238" s="67"/>
      <c r="AH238" s="67"/>
      <c r="AL238" s="186"/>
    </row>
    <row r="239">
      <c r="A239" s="185"/>
      <c r="B239" s="67"/>
      <c r="C239" s="67"/>
      <c r="D239" s="67"/>
      <c r="E239" s="186"/>
      <c r="F239" s="186"/>
      <c r="G239" s="186"/>
      <c r="H239" s="186"/>
      <c r="I239" s="186"/>
      <c r="J239" s="186"/>
      <c r="K239" s="186"/>
      <c r="L239" s="186"/>
      <c r="M239" s="186"/>
      <c r="N239" s="186"/>
      <c r="O239" s="186"/>
      <c r="P239" s="186"/>
      <c r="Q239" s="186"/>
      <c r="R239" s="186"/>
      <c r="S239" s="186"/>
      <c r="T239" s="186"/>
      <c r="U239" s="186"/>
      <c r="V239" s="67"/>
      <c r="W239" s="67"/>
      <c r="X239" s="67"/>
      <c r="Y239" s="187"/>
      <c r="Z239" s="186"/>
      <c r="AA239" s="187"/>
      <c r="AB239" s="187"/>
      <c r="AC239" s="187"/>
      <c r="AD239" s="186"/>
      <c r="AE239" s="186"/>
      <c r="AF239" s="67"/>
      <c r="AG239" s="67"/>
      <c r="AH239" s="67"/>
      <c r="AL239" s="186"/>
    </row>
    <row r="240">
      <c r="A240" s="185"/>
      <c r="B240" s="67"/>
      <c r="C240" s="67"/>
      <c r="D240" s="67"/>
      <c r="E240" s="186"/>
      <c r="F240" s="186"/>
      <c r="G240" s="186"/>
      <c r="H240" s="186"/>
      <c r="I240" s="186"/>
      <c r="J240" s="186"/>
      <c r="K240" s="186"/>
      <c r="L240" s="186"/>
      <c r="M240" s="186"/>
      <c r="N240" s="186"/>
      <c r="O240" s="186"/>
      <c r="P240" s="186"/>
      <c r="Q240" s="186"/>
      <c r="R240" s="186"/>
      <c r="S240" s="186"/>
      <c r="T240" s="186"/>
      <c r="U240" s="186"/>
      <c r="V240" s="67"/>
      <c r="W240" s="67"/>
      <c r="X240" s="67"/>
      <c r="Y240" s="187"/>
      <c r="Z240" s="186"/>
      <c r="AA240" s="187"/>
      <c r="AB240" s="187"/>
      <c r="AC240" s="187"/>
      <c r="AD240" s="186"/>
      <c r="AE240" s="186"/>
      <c r="AF240" s="67"/>
      <c r="AG240" s="67"/>
      <c r="AH240" s="67"/>
      <c r="AL240" s="186"/>
    </row>
    <row r="241">
      <c r="A241" s="185"/>
      <c r="B241" s="67"/>
      <c r="C241" s="67"/>
      <c r="D241" s="67"/>
      <c r="E241" s="186"/>
      <c r="F241" s="186"/>
      <c r="G241" s="186"/>
      <c r="H241" s="186"/>
      <c r="I241" s="186"/>
      <c r="J241" s="186"/>
      <c r="K241" s="186"/>
      <c r="L241" s="186"/>
      <c r="M241" s="186"/>
      <c r="N241" s="186"/>
      <c r="O241" s="186"/>
      <c r="P241" s="186"/>
      <c r="Q241" s="186"/>
      <c r="R241" s="186"/>
      <c r="S241" s="186"/>
      <c r="T241" s="186"/>
      <c r="U241" s="186"/>
      <c r="V241" s="67"/>
      <c r="W241" s="67"/>
      <c r="X241" s="67"/>
      <c r="Y241" s="187"/>
      <c r="Z241" s="186"/>
      <c r="AA241" s="187"/>
      <c r="AB241" s="187"/>
      <c r="AC241" s="187"/>
      <c r="AD241" s="186"/>
      <c r="AE241" s="186"/>
      <c r="AF241" s="67"/>
      <c r="AG241" s="67"/>
      <c r="AH241" s="67"/>
      <c r="AL241" s="186"/>
    </row>
    <row r="242">
      <c r="A242" s="185"/>
      <c r="B242" s="67"/>
      <c r="C242" s="67"/>
      <c r="D242" s="67"/>
      <c r="E242" s="186"/>
      <c r="F242" s="186"/>
      <c r="G242" s="186"/>
      <c r="H242" s="186"/>
      <c r="I242" s="186"/>
      <c r="J242" s="186"/>
      <c r="K242" s="186"/>
      <c r="L242" s="186"/>
      <c r="M242" s="186"/>
      <c r="N242" s="186"/>
      <c r="O242" s="186"/>
      <c r="P242" s="186"/>
      <c r="Q242" s="186"/>
      <c r="R242" s="186"/>
      <c r="S242" s="186"/>
      <c r="T242" s="186"/>
      <c r="U242" s="186"/>
      <c r="V242" s="67"/>
      <c r="W242" s="67"/>
      <c r="X242" s="67"/>
      <c r="Y242" s="187"/>
      <c r="Z242" s="186"/>
      <c r="AA242" s="187"/>
      <c r="AB242" s="187"/>
      <c r="AC242" s="187"/>
      <c r="AD242" s="186"/>
      <c r="AE242" s="186"/>
      <c r="AF242" s="67"/>
      <c r="AG242" s="67"/>
      <c r="AH242" s="67"/>
      <c r="AL242" s="186"/>
    </row>
    <row r="243">
      <c r="A243" s="185"/>
      <c r="B243" s="67"/>
      <c r="C243" s="67"/>
      <c r="D243" s="67"/>
      <c r="E243" s="186"/>
      <c r="F243" s="186"/>
      <c r="G243" s="186"/>
      <c r="H243" s="186"/>
      <c r="I243" s="186"/>
      <c r="J243" s="186"/>
      <c r="K243" s="186"/>
      <c r="L243" s="186"/>
      <c r="M243" s="186"/>
      <c r="N243" s="186"/>
      <c r="O243" s="186"/>
      <c r="P243" s="186"/>
      <c r="Q243" s="186"/>
      <c r="R243" s="186"/>
      <c r="S243" s="186"/>
      <c r="T243" s="186"/>
      <c r="U243" s="186"/>
      <c r="V243" s="67"/>
      <c r="W243" s="67"/>
      <c r="X243" s="67"/>
      <c r="Y243" s="187"/>
      <c r="Z243" s="186"/>
      <c r="AA243" s="187"/>
      <c r="AB243" s="187"/>
      <c r="AC243" s="187"/>
      <c r="AD243" s="186"/>
      <c r="AE243" s="186"/>
      <c r="AF243" s="67"/>
      <c r="AG243" s="67"/>
      <c r="AH243" s="67"/>
      <c r="AL243" s="186"/>
    </row>
    <row r="244">
      <c r="A244" s="185"/>
      <c r="B244" s="67"/>
      <c r="C244" s="67"/>
      <c r="D244" s="67"/>
      <c r="E244" s="186"/>
      <c r="F244" s="186"/>
      <c r="G244" s="186"/>
      <c r="H244" s="186"/>
      <c r="I244" s="186"/>
      <c r="J244" s="186"/>
      <c r="K244" s="186"/>
      <c r="L244" s="186"/>
      <c r="M244" s="186"/>
      <c r="N244" s="186"/>
      <c r="O244" s="186"/>
      <c r="P244" s="186"/>
      <c r="Q244" s="186"/>
      <c r="R244" s="186"/>
      <c r="S244" s="186"/>
      <c r="T244" s="186"/>
      <c r="U244" s="186"/>
      <c r="V244" s="67"/>
      <c r="W244" s="67"/>
      <c r="X244" s="67"/>
      <c r="Y244" s="187"/>
      <c r="Z244" s="186"/>
      <c r="AA244" s="187"/>
      <c r="AB244" s="187"/>
      <c r="AC244" s="187"/>
      <c r="AD244" s="186"/>
      <c r="AE244" s="186"/>
      <c r="AF244" s="67"/>
      <c r="AG244" s="67"/>
      <c r="AH244" s="67"/>
      <c r="AL244" s="186"/>
    </row>
    <row r="245">
      <c r="A245" s="185"/>
      <c r="B245" s="67"/>
      <c r="C245" s="67"/>
      <c r="D245" s="67"/>
      <c r="E245" s="186"/>
      <c r="F245" s="186"/>
      <c r="G245" s="186"/>
      <c r="H245" s="186"/>
      <c r="I245" s="186"/>
      <c r="J245" s="186"/>
      <c r="K245" s="186"/>
      <c r="L245" s="186"/>
      <c r="M245" s="186"/>
      <c r="N245" s="186"/>
      <c r="O245" s="186"/>
      <c r="P245" s="186"/>
      <c r="Q245" s="186"/>
      <c r="R245" s="186"/>
      <c r="S245" s="186"/>
      <c r="T245" s="186"/>
      <c r="U245" s="186"/>
      <c r="V245" s="67"/>
      <c r="W245" s="67"/>
      <c r="X245" s="67"/>
      <c r="Y245" s="187"/>
      <c r="Z245" s="186"/>
      <c r="AA245" s="187"/>
      <c r="AB245" s="187"/>
      <c r="AC245" s="187"/>
      <c r="AD245" s="186"/>
      <c r="AE245" s="186"/>
      <c r="AF245" s="67"/>
      <c r="AG245" s="67"/>
      <c r="AH245" s="67"/>
      <c r="AL245" s="186"/>
    </row>
    <row r="246">
      <c r="A246" s="185"/>
      <c r="B246" s="67"/>
      <c r="C246" s="67"/>
      <c r="D246" s="67"/>
      <c r="E246" s="186"/>
      <c r="F246" s="186"/>
      <c r="G246" s="186"/>
      <c r="H246" s="186"/>
      <c r="I246" s="186"/>
      <c r="J246" s="186"/>
      <c r="K246" s="186"/>
      <c r="L246" s="186"/>
      <c r="M246" s="186"/>
      <c r="N246" s="186"/>
      <c r="O246" s="186"/>
      <c r="P246" s="186"/>
      <c r="Q246" s="186"/>
      <c r="R246" s="186"/>
      <c r="S246" s="186"/>
      <c r="T246" s="186"/>
      <c r="U246" s="186"/>
      <c r="V246" s="67"/>
      <c r="W246" s="67"/>
      <c r="X246" s="67"/>
      <c r="Y246" s="187"/>
      <c r="Z246" s="186"/>
      <c r="AA246" s="187"/>
      <c r="AB246" s="187"/>
      <c r="AC246" s="187"/>
      <c r="AD246" s="186"/>
      <c r="AE246" s="186"/>
      <c r="AF246" s="67"/>
      <c r="AG246" s="67"/>
      <c r="AH246" s="67"/>
      <c r="AL246" s="186"/>
    </row>
    <row r="247">
      <c r="A247" s="185"/>
      <c r="B247" s="67"/>
      <c r="C247" s="67"/>
      <c r="D247" s="67"/>
      <c r="E247" s="186"/>
      <c r="F247" s="186"/>
      <c r="G247" s="186"/>
      <c r="H247" s="186"/>
      <c r="I247" s="186"/>
      <c r="J247" s="186"/>
      <c r="K247" s="186"/>
      <c r="L247" s="186"/>
      <c r="M247" s="186"/>
      <c r="N247" s="186"/>
      <c r="O247" s="186"/>
      <c r="P247" s="186"/>
      <c r="Q247" s="186"/>
      <c r="R247" s="186"/>
      <c r="S247" s="186"/>
      <c r="T247" s="186"/>
      <c r="U247" s="186"/>
      <c r="V247" s="67"/>
      <c r="W247" s="67"/>
      <c r="X247" s="67"/>
      <c r="Y247" s="187"/>
      <c r="Z247" s="186"/>
      <c r="AA247" s="187"/>
      <c r="AB247" s="187"/>
      <c r="AC247" s="187"/>
      <c r="AD247" s="186"/>
      <c r="AE247" s="186"/>
      <c r="AF247" s="67"/>
      <c r="AG247" s="67"/>
      <c r="AH247" s="67"/>
      <c r="AL247" s="186"/>
    </row>
    <row r="248">
      <c r="A248" s="185"/>
      <c r="B248" s="67"/>
      <c r="C248" s="67"/>
      <c r="D248" s="67"/>
      <c r="E248" s="186"/>
      <c r="F248" s="186"/>
      <c r="G248" s="186"/>
      <c r="H248" s="186"/>
      <c r="I248" s="186"/>
      <c r="J248" s="186"/>
      <c r="K248" s="186"/>
      <c r="L248" s="186"/>
      <c r="M248" s="186"/>
      <c r="N248" s="186"/>
      <c r="O248" s="186"/>
      <c r="P248" s="186"/>
      <c r="Q248" s="186"/>
      <c r="R248" s="186"/>
      <c r="S248" s="186"/>
      <c r="T248" s="186"/>
      <c r="U248" s="186"/>
      <c r="V248" s="67"/>
      <c r="W248" s="67"/>
      <c r="X248" s="67"/>
      <c r="Y248" s="187"/>
      <c r="Z248" s="186"/>
      <c r="AA248" s="187"/>
      <c r="AB248" s="187"/>
      <c r="AC248" s="187"/>
      <c r="AD248" s="186"/>
      <c r="AE248" s="186"/>
      <c r="AF248" s="67"/>
      <c r="AG248" s="67"/>
      <c r="AH248" s="67"/>
      <c r="AL248" s="186"/>
    </row>
    <row r="249">
      <c r="A249" s="185"/>
      <c r="B249" s="67"/>
      <c r="C249" s="67"/>
      <c r="D249" s="67"/>
      <c r="E249" s="186"/>
      <c r="F249" s="186"/>
      <c r="G249" s="186"/>
      <c r="H249" s="186"/>
      <c r="I249" s="186"/>
      <c r="J249" s="186"/>
      <c r="K249" s="186"/>
      <c r="L249" s="186"/>
      <c r="M249" s="186"/>
      <c r="N249" s="186"/>
      <c r="O249" s="186"/>
      <c r="P249" s="186"/>
      <c r="Q249" s="186"/>
      <c r="R249" s="186"/>
      <c r="S249" s="186"/>
      <c r="T249" s="186"/>
      <c r="U249" s="186"/>
      <c r="V249" s="67"/>
      <c r="W249" s="67"/>
      <c r="X249" s="67"/>
      <c r="Y249" s="187"/>
      <c r="Z249" s="186"/>
      <c r="AA249" s="187"/>
      <c r="AB249" s="187"/>
      <c r="AC249" s="187"/>
      <c r="AD249" s="186"/>
      <c r="AE249" s="186"/>
      <c r="AF249" s="67"/>
      <c r="AG249" s="67"/>
      <c r="AH249" s="67"/>
      <c r="AL249" s="186"/>
    </row>
    <row r="250">
      <c r="A250" s="185"/>
      <c r="B250" s="67"/>
      <c r="C250" s="67"/>
      <c r="D250" s="67"/>
      <c r="E250" s="186"/>
      <c r="F250" s="186"/>
      <c r="G250" s="186"/>
      <c r="H250" s="186"/>
      <c r="I250" s="186"/>
      <c r="J250" s="186"/>
      <c r="K250" s="186"/>
      <c r="L250" s="186"/>
      <c r="M250" s="186"/>
      <c r="N250" s="186"/>
      <c r="O250" s="186"/>
      <c r="P250" s="186"/>
      <c r="Q250" s="186"/>
      <c r="R250" s="186"/>
      <c r="S250" s="186"/>
      <c r="T250" s="186"/>
      <c r="U250" s="186"/>
      <c r="V250" s="67"/>
      <c r="W250" s="67"/>
      <c r="X250" s="67"/>
      <c r="Y250" s="187"/>
      <c r="Z250" s="186"/>
      <c r="AA250" s="187"/>
      <c r="AB250" s="187"/>
      <c r="AC250" s="187"/>
      <c r="AD250" s="186"/>
      <c r="AE250" s="186"/>
      <c r="AF250" s="67"/>
      <c r="AG250" s="67"/>
      <c r="AH250" s="67"/>
      <c r="AL250" s="186"/>
    </row>
    <row r="251">
      <c r="A251" s="185"/>
      <c r="B251" s="67"/>
      <c r="C251" s="67"/>
      <c r="D251" s="67"/>
      <c r="E251" s="186"/>
      <c r="F251" s="186"/>
      <c r="G251" s="186"/>
      <c r="H251" s="186"/>
      <c r="I251" s="186"/>
      <c r="J251" s="186"/>
      <c r="K251" s="186"/>
      <c r="L251" s="186"/>
      <c r="M251" s="186"/>
      <c r="N251" s="186"/>
      <c r="O251" s="186"/>
      <c r="P251" s="186"/>
      <c r="Q251" s="186"/>
      <c r="R251" s="186"/>
      <c r="S251" s="186"/>
      <c r="T251" s="186"/>
      <c r="U251" s="186"/>
      <c r="V251" s="67"/>
      <c r="W251" s="67"/>
      <c r="X251" s="67"/>
      <c r="Y251" s="187"/>
      <c r="Z251" s="186"/>
      <c r="AA251" s="187"/>
      <c r="AB251" s="187"/>
      <c r="AC251" s="187"/>
      <c r="AD251" s="186"/>
      <c r="AE251" s="186"/>
      <c r="AF251" s="67"/>
      <c r="AG251" s="67"/>
      <c r="AH251" s="67"/>
      <c r="AL251" s="186"/>
    </row>
    <row r="252">
      <c r="A252" s="185"/>
      <c r="B252" s="67"/>
      <c r="C252" s="67"/>
      <c r="D252" s="67"/>
      <c r="E252" s="186"/>
      <c r="F252" s="186"/>
      <c r="G252" s="186"/>
      <c r="H252" s="186"/>
      <c r="I252" s="186"/>
      <c r="J252" s="186"/>
      <c r="K252" s="186"/>
      <c r="L252" s="186"/>
      <c r="M252" s="186"/>
      <c r="N252" s="186"/>
      <c r="O252" s="186"/>
      <c r="P252" s="186"/>
      <c r="Q252" s="186"/>
      <c r="R252" s="186"/>
      <c r="S252" s="186"/>
      <c r="T252" s="186"/>
      <c r="U252" s="186"/>
      <c r="V252" s="67"/>
      <c r="W252" s="67"/>
      <c r="X252" s="67"/>
      <c r="Y252" s="187"/>
      <c r="Z252" s="186"/>
      <c r="AA252" s="187"/>
      <c r="AB252" s="187"/>
      <c r="AC252" s="187"/>
      <c r="AD252" s="186"/>
      <c r="AE252" s="186"/>
      <c r="AF252" s="67"/>
      <c r="AG252" s="67"/>
      <c r="AH252" s="67"/>
      <c r="AL252" s="186"/>
    </row>
    <row r="253">
      <c r="A253" s="185"/>
      <c r="B253" s="67"/>
      <c r="C253" s="67"/>
      <c r="D253" s="67"/>
      <c r="E253" s="186"/>
      <c r="F253" s="186"/>
      <c r="G253" s="186"/>
      <c r="H253" s="186"/>
      <c r="I253" s="186"/>
      <c r="J253" s="186"/>
      <c r="K253" s="186"/>
      <c r="L253" s="186"/>
      <c r="M253" s="186"/>
      <c r="N253" s="186"/>
      <c r="O253" s="186"/>
      <c r="P253" s="186"/>
      <c r="Q253" s="186"/>
      <c r="R253" s="186"/>
      <c r="S253" s="186"/>
      <c r="T253" s="186"/>
      <c r="U253" s="186"/>
      <c r="V253" s="67"/>
      <c r="W253" s="67"/>
      <c r="X253" s="67"/>
      <c r="Y253" s="187"/>
      <c r="Z253" s="186"/>
      <c r="AA253" s="187"/>
      <c r="AB253" s="187"/>
      <c r="AC253" s="187"/>
      <c r="AD253" s="186"/>
      <c r="AE253" s="186"/>
      <c r="AF253" s="67"/>
      <c r="AG253" s="67"/>
      <c r="AH253" s="67"/>
      <c r="AL253" s="186"/>
    </row>
    <row r="254">
      <c r="A254" s="185"/>
      <c r="B254" s="67"/>
      <c r="C254" s="67"/>
      <c r="D254" s="67"/>
      <c r="E254" s="186"/>
      <c r="F254" s="186"/>
      <c r="G254" s="186"/>
      <c r="H254" s="186"/>
      <c r="I254" s="186"/>
      <c r="J254" s="186"/>
      <c r="K254" s="186"/>
      <c r="L254" s="186"/>
      <c r="M254" s="186"/>
      <c r="N254" s="186"/>
      <c r="O254" s="186"/>
      <c r="P254" s="186"/>
      <c r="Q254" s="186"/>
      <c r="R254" s="186"/>
      <c r="S254" s="186"/>
      <c r="T254" s="186"/>
      <c r="U254" s="186"/>
      <c r="V254" s="67"/>
      <c r="W254" s="67"/>
      <c r="X254" s="67"/>
      <c r="Y254" s="187"/>
      <c r="Z254" s="186"/>
      <c r="AA254" s="187"/>
      <c r="AB254" s="187"/>
      <c r="AC254" s="187"/>
      <c r="AD254" s="186"/>
      <c r="AE254" s="186"/>
      <c r="AF254" s="67"/>
      <c r="AG254" s="67"/>
      <c r="AH254" s="67"/>
      <c r="AL254" s="186"/>
    </row>
    <row r="255">
      <c r="A255" s="185"/>
      <c r="B255" s="67"/>
      <c r="C255" s="67"/>
      <c r="D255" s="67"/>
      <c r="E255" s="186"/>
      <c r="F255" s="186"/>
      <c r="G255" s="186"/>
      <c r="H255" s="186"/>
      <c r="I255" s="186"/>
      <c r="J255" s="186"/>
      <c r="K255" s="186"/>
      <c r="L255" s="186"/>
      <c r="M255" s="186"/>
      <c r="N255" s="186"/>
      <c r="O255" s="186"/>
      <c r="P255" s="186"/>
      <c r="Q255" s="186"/>
      <c r="R255" s="186"/>
      <c r="S255" s="186"/>
      <c r="T255" s="186"/>
      <c r="U255" s="186"/>
      <c r="V255" s="67"/>
      <c r="W255" s="67"/>
      <c r="X255" s="67"/>
      <c r="Y255" s="187"/>
      <c r="Z255" s="186"/>
      <c r="AA255" s="187"/>
      <c r="AB255" s="187"/>
      <c r="AC255" s="187"/>
      <c r="AD255" s="186"/>
      <c r="AE255" s="186"/>
      <c r="AF255" s="67"/>
      <c r="AG255" s="67"/>
      <c r="AH255" s="67"/>
      <c r="AL255" s="186"/>
    </row>
    <row r="256">
      <c r="A256" s="185"/>
      <c r="B256" s="67"/>
      <c r="C256" s="67"/>
      <c r="D256" s="67"/>
      <c r="E256" s="186"/>
      <c r="F256" s="186"/>
      <c r="G256" s="186"/>
      <c r="H256" s="186"/>
      <c r="I256" s="186"/>
      <c r="J256" s="186"/>
      <c r="K256" s="186"/>
      <c r="L256" s="186"/>
      <c r="M256" s="186"/>
      <c r="N256" s="186"/>
      <c r="O256" s="186"/>
      <c r="P256" s="186"/>
      <c r="Q256" s="186"/>
      <c r="R256" s="186"/>
      <c r="S256" s="186"/>
      <c r="T256" s="186"/>
      <c r="U256" s="186"/>
      <c r="V256" s="67"/>
      <c r="W256" s="67"/>
      <c r="X256" s="67"/>
      <c r="Y256" s="187"/>
      <c r="Z256" s="186"/>
      <c r="AA256" s="187"/>
      <c r="AB256" s="187"/>
      <c r="AC256" s="187"/>
      <c r="AD256" s="186"/>
      <c r="AE256" s="186"/>
      <c r="AF256" s="67"/>
      <c r="AG256" s="67"/>
      <c r="AH256" s="67"/>
      <c r="AL256" s="186"/>
    </row>
    <row r="257">
      <c r="A257" s="185"/>
      <c r="B257" s="67"/>
      <c r="C257" s="67"/>
      <c r="D257" s="67"/>
      <c r="E257" s="186"/>
      <c r="F257" s="186"/>
      <c r="G257" s="186"/>
      <c r="H257" s="186"/>
      <c r="I257" s="186"/>
      <c r="J257" s="186"/>
      <c r="K257" s="186"/>
      <c r="L257" s="186"/>
      <c r="M257" s="186"/>
      <c r="N257" s="186"/>
      <c r="O257" s="186"/>
      <c r="P257" s="186"/>
      <c r="Q257" s="186"/>
      <c r="R257" s="186"/>
      <c r="S257" s="186"/>
      <c r="T257" s="186"/>
      <c r="U257" s="186"/>
      <c r="V257" s="67"/>
      <c r="W257" s="67"/>
      <c r="X257" s="67"/>
      <c r="Y257" s="187"/>
      <c r="Z257" s="186"/>
      <c r="AA257" s="187"/>
      <c r="AB257" s="187"/>
      <c r="AC257" s="187"/>
      <c r="AD257" s="186"/>
      <c r="AE257" s="186"/>
      <c r="AF257" s="67"/>
      <c r="AG257" s="67"/>
      <c r="AH257" s="67"/>
      <c r="AL257" s="186"/>
    </row>
    <row r="258">
      <c r="A258" s="185"/>
      <c r="B258" s="67"/>
      <c r="C258" s="67"/>
      <c r="D258" s="67"/>
      <c r="E258" s="186"/>
      <c r="F258" s="186"/>
      <c r="G258" s="186"/>
      <c r="H258" s="186"/>
      <c r="I258" s="186"/>
      <c r="J258" s="186"/>
      <c r="K258" s="186"/>
      <c r="L258" s="186"/>
      <c r="M258" s="186"/>
      <c r="N258" s="186"/>
      <c r="O258" s="186"/>
      <c r="P258" s="186"/>
      <c r="Q258" s="186"/>
      <c r="R258" s="186"/>
      <c r="S258" s="186"/>
      <c r="T258" s="186"/>
      <c r="U258" s="186"/>
      <c r="V258" s="67"/>
      <c r="W258" s="67"/>
      <c r="X258" s="67"/>
      <c r="Y258" s="187"/>
      <c r="Z258" s="186"/>
      <c r="AA258" s="187"/>
      <c r="AB258" s="187"/>
      <c r="AC258" s="187"/>
      <c r="AD258" s="186"/>
      <c r="AE258" s="186"/>
      <c r="AF258" s="67"/>
      <c r="AG258" s="67"/>
      <c r="AH258" s="67"/>
      <c r="AL258" s="186"/>
    </row>
    <row r="259">
      <c r="A259" s="185"/>
      <c r="B259" s="67"/>
      <c r="C259" s="67"/>
      <c r="D259" s="67"/>
      <c r="E259" s="186"/>
      <c r="F259" s="186"/>
      <c r="G259" s="186"/>
      <c r="H259" s="186"/>
      <c r="I259" s="186"/>
      <c r="J259" s="186"/>
      <c r="K259" s="186"/>
      <c r="L259" s="186"/>
      <c r="M259" s="186"/>
      <c r="N259" s="186"/>
      <c r="O259" s="186"/>
      <c r="P259" s="186"/>
      <c r="Q259" s="186"/>
      <c r="R259" s="186"/>
      <c r="S259" s="186"/>
      <c r="T259" s="186"/>
      <c r="U259" s="186"/>
      <c r="V259" s="67"/>
      <c r="W259" s="67"/>
      <c r="X259" s="67"/>
      <c r="Y259" s="187"/>
      <c r="Z259" s="186"/>
      <c r="AA259" s="187"/>
      <c r="AB259" s="187"/>
      <c r="AC259" s="187"/>
      <c r="AD259" s="186"/>
      <c r="AE259" s="186"/>
      <c r="AF259" s="67"/>
      <c r="AG259" s="67"/>
      <c r="AH259" s="67"/>
      <c r="AL259" s="186"/>
    </row>
    <row r="260">
      <c r="A260" s="185"/>
      <c r="B260" s="67"/>
      <c r="C260" s="67"/>
      <c r="D260" s="67"/>
      <c r="E260" s="186"/>
      <c r="F260" s="186"/>
      <c r="G260" s="186"/>
      <c r="H260" s="186"/>
      <c r="I260" s="186"/>
      <c r="J260" s="186"/>
      <c r="K260" s="186"/>
      <c r="L260" s="186"/>
      <c r="M260" s="186"/>
      <c r="N260" s="186"/>
      <c r="O260" s="186"/>
      <c r="P260" s="186"/>
      <c r="Q260" s="186"/>
      <c r="R260" s="186"/>
      <c r="S260" s="186"/>
      <c r="T260" s="186"/>
      <c r="U260" s="186"/>
      <c r="V260" s="67"/>
      <c r="W260" s="67"/>
      <c r="X260" s="67"/>
      <c r="Y260" s="187"/>
      <c r="Z260" s="186"/>
      <c r="AA260" s="187"/>
      <c r="AB260" s="187"/>
      <c r="AC260" s="187"/>
      <c r="AD260" s="186"/>
      <c r="AE260" s="186"/>
      <c r="AF260" s="67"/>
      <c r="AG260" s="67"/>
      <c r="AH260" s="67"/>
      <c r="AL260" s="186"/>
    </row>
    <row r="261">
      <c r="A261" s="185"/>
      <c r="B261" s="67"/>
      <c r="C261" s="67"/>
      <c r="D261" s="67"/>
      <c r="E261" s="186"/>
      <c r="F261" s="186"/>
      <c r="G261" s="186"/>
      <c r="H261" s="186"/>
      <c r="I261" s="186"/>
      <c r="J261" s="186"/>
      <c r="K261" s="186"/>
      <c r="L261" s="186"/>
      <c r="M261" s="186"/>
      <c r="N261" s="186"/>
      <c r="O261" s="186"/>
      <c r="P261" s="186"/>
      <c r="Q261" s="186"/>
      <c r="R261" s="186"/>
      <c r="S261" s="186"/>
      <c r="T261" s="186"/>
      <c r="U261" s="186"/>
      <c r="V261" s="67"/>
      <c r="W261" s="67"/>
      <c r="X261" s="67"/>
      <c r="Y261" s="187"/>
      <c r="Z261" s="186"/>
      <c r="AA261" s="187"/>
      <c r="AB261" s="187"/>
      <c r="AC261" s="187"/>
      <c r="AD261" s="186"/>
      <c r="AE261" s="186"/>
      <c r="AF261" s="67"/>
      <c r="AG261" s="67"/>
      <c r="AH261" s="67"/>
      <c r="AL261" s="186"/>
    </row>
    <row r="262">
      <c r="A262" s="185"/>
      <c r="B262" s="67"/>
      <c r="C262" s="67"/>
      <c r="D262" s="67"/>
      <c r="E262" s="186"/>
      <c r="F262" s="186"/>
      <c r="G262" s="186"/>
      <c r="H262" s="186"/>
      <c r="I262" s="186"/>
      <c r="J262" s="186"/>
      <c r="K262" s="186"/>
      <c r="L262" s="186"/>
      <c r="M262" s="186"/>
      <c r="N262" s="186"/>
      <c r="O262" s="186"/>
      <c r="P262" s="186"/>
      <c r="Q262" s="186"/>
      <c r="R262" s="186"/>
      <c r="S262" s="186"/>
      <c r="T262" s="186"/>
      <c r="U262" s="186"/>
      <c r="V262" s="67"/>
      <c r="W262" s="67"/>
      <c r="X262" s="67"/>
      <c r="Y262" s="187"/>
      <c r="Z262" s="186"/>
      <c r="AA262" s="187"/>
      <c r="AB262" s="187"/>
      <c r="AC262" s="187"/>
      <c r="AD262" s="186"/>
      <c r="AE262" s="186"/>
      <c r="AF262" s="67"/>
      <c r="AG262" s="67"/>
      <c r="AH262" s="67"/>
      <c r="AL262" s="186"/>
    </row>
    <row r="263">
      <c r="A263" s="185"/>
      <c r="B263" s="67"/>
      <c r="C263" s="67"/>
      <c r="D263" s="67"/>
      <c r="E263" s="186"/>
      <c r="F263" s="186"/>
      <c r="G263" s="186"/>
      <c r="H263" s="186"/>
      <c r="I263" s="186"/>
      <c r="J263" s="186"/>
      <c r="K263" s="186"/>
      <c r="L263" s="186"/>
      <c r="M263" s="186"/>
      <c r="N263" s="186"/>
      <c r="O263" s="186"/>
      <c r="P263" s="186"/>
      <c r="Q263" s="186"/>
      <c r="R263" s="186"/>
      <c r="S263" s="186"/>
      <c r="T263" s="186"/>
      <c r="U263" s="186"/>
      <c r="V263" s="67"/>
      <c r="W263" s="67"/>
      <c r="X263" s="67"/>
      <c r="Y263" s="187"/>
      <c r="Z263" s="186"/>
      <c r="AA263" s="187"/>
      <c r="AB263" s="187"/>
      <c r="AC263" s="187"/>
      <c r="AD263" s="186"/>
      <c r="AE263" s="186"/>
      <c r="AF263" s="67"/>
      <c r="AG263" s="67"/>
      <c r="AH263" s="67"/>
      <c r="AL263" s="186"/>
    </row>
    <row r="264">
      <c r="A264" s="185"/>
      <c r="B264" s="67"/>
      <c r="C264" s="67"/>
      <c r="D264" s="67"/>
      <c r="E264" s="186"/>
      <c r="F264" s="186"/>
      <c r="G264" s="186"/>
      <c r="H264" s="186"/>
      <c r="I264" s="186"/>
      <c r="J264" s="186"/>
      <c r="K264" s="186"/>
      <c r="L264" s="186"/>
      <c r="M264" s="186"/>
      <c r="N264" s="186"/>
      <c r="O264" s="186"/>
      <c r="P264" s="186"/>
      <c r="Q264" s="186"/>
      <c r="R264" s="186"/>
      <c r="S264" s="186"/>
      <c r="T264" s="186"/>
      <c r="U264" s="186"/>
      <c r="V264" s="67"/>
      <c r="W264" s="67"/>
      <c r="X264" s="67"/>
      <c r="Y264" s="187"/>
      <c r="Z264" s="186"/>
      <c r="AA264" s="187"/>
      <c r="AB264" s="187"/>
      <c r="AC264" s="187"/>
      <c r="AD264" s="186"/>
      <c r="AE264" s="186"/>
      <c r="AF264" s="67"/>
      <c r="AG264" s="67"/>
      <c r="AH264" s="67"/>
      <c r="AL264" s="186"/>
    </row>
    <row r="265">
      <c r="A265" s="185"/>
      <c r="B265" s="67"/>
      <c r="C265" s="67"/>
      <c r="D265" s="67"/>
      <c r="E265" s="186"/>
      <c r="F265" s="186"/>
      <c r="G265" s="186"/>
      <c r="H265" s="186"/>
      <c r="I265" s="186"/>
      <c r="J265" s="186"/>
      <c r="K265" s="186"/>
      <c r="L265" s="186"/>
      <c r="M265" s="186"/>
      <c r="N265" s="186"/>
      <c r="O265" s="186"/>
      <c r="P265" s="186"/>
      <c r="Q265" s="186"/>
      <c r="R265" s="186"/>
      <c r="S265" s="186"/>
      <c r="T265" s="186"/>
      <c r="U265" s="186"/>
      <c r="V265" s="67"/>
      <c r="W265" s="67"/>
      <c r="X265" s="67"/>
      <c r="Y265" s="187"/>
      <c r="Z265" s="186"/>
      <c r="AA265" s="187"/>
      <c r="AB265" s="187"/>
      <c r="AC265" s="187"/>
      <c r="AD265" s="186"/>
      <c r="AE265" s="186"/>
      <c r="AF265" s="67"/>
      <c r="AG265" s="67"/>
      <c r="AH265" s="67"/>
      <c r="AL265" s="186"/>
    </row>
    <row r="266">
      <c r="A266" s="185"/>
      <c r="B266" s="67"/>
      <c r="C266" s="67"/>
      <c r="D266" s="67"/>
      <c r="E266" s="186"/>
      <c r="F266" s="186"/>
      <c r="G266" s="186"/>
      <c r="H266" s="186"/>
      <c r="I266" s="186"/>
      <c r="J266" s="186"/>
      <c r="K266" s="186"/>
      <c r="L266" s="186"/>
      <c r="M266" s="186"/>
      <c r="N266" s="186"/>
      <c r="O266" s="186"/>
      <c r="P266" s="186"/>
      <c r="Q266" s="186"/>
      <c r="R266" s="186"/>
      <c r="S266" s="186"/>
      <c r="T266" s="186"/>
      <c r="U266" s="186"/>
      <c r="V266" s="67"/>
      <c r="W266" s="67"/>
      <c r="X266" s="67"/>
      <c r="Y266" s="187"/>
      <c r="Z266" s="186"/>
      <c r="AA266" s="187"/>
      <c r="AB266" s="187"/>
      <c r="AC266" s="187"/>
      <c r="AD266" s="186"/>
      <c r="AE266" s="186"/>
      <c r="AF266" s="67"/>
      <c r="AG266" s="67"/>
      <c r="AH266" s="67"/>
      <c r="AL266" s="186"/>
    </row>
    <row r="267">
      <c r="A267" s="185"/>
      <c r="B267" s="67"/>
      <c r="C267" s="67"/>
      <c r="D267" s="67"/>
      <c r="E267" s="186"/>
      <c r="F267" s="186"/>
      <c r="G267" s="186"/>
      <c r="H267" s="186"/>
      <c r="I267" s="186"/>
      <c r="J267" s="186"/>
      <c r="K267" s="186"/>
      <c r="L267" s="186"/>
      <c r="M267" s="186"/>
      <c r="N267" s="186"/>
      <c r="O267" s="186"/>
      <c r="P267" s="186"/>
      <c r="Q267" s="186"/>
      <c r="R267" s="186"/>
      <c r="S267" s="186"/>
      <c r="T267" s="186"/>
      <c r="U267" s="186"/>
      <c r="V267" s="67"/>
      <c r="W267" s="67"/>
      <c r="X267" s="67"/>
      <c r="Y267" s="187"/>
      <c r="Z267" s="186"/>
      <c r="AA267" s="187"/>
      <c r="AB267" s="187"/>
      <c r="AC267" s="187"/>
      <c r="AD267" s="186"/>
      <c r="AE267" s="186"/>
      <c r="AF267" s="67"/>
      <c r="AG267" s="67"/>
      <c r="AH267" s="67"/>
      <c r="AL267" s="186"/>
    </row>
    <row r="268">
      <c r="A268" s="185"/>
      <c r="B268" s="67"/>
      <c r="C268" s="67"/>
      <c r="D268" s="67"/>
      <c r="E268" s="186"/>
      <c r="F268" s="186"/>
      <c r="G268" s="186"/>
      <c r="H268" s="186"/>
      <c r="I268" s="186"/>
      <c r="J268" s="186"/>
      <c r="K268" s="186"/>
      <c r="L268" s="186"/>
      <c r="M268" s="186"/>
      <c r="N268" s="186"/>
      <c r="O268" s="186"/>
      <c r="P268" s="186"/>
      <c r="Q268" s="186"/>
      <c r="R268" s="186"/>
      <c r="S268" s="186"/>
      <c r="T268" s="186"/>
      <c r="U268" s="186"/>
      <c r="V268" s="67"/>
      <c r="W268" s="67"/>
      <c r="X268" s="67"/>
      <c r="Y268" s="187"/>
      <c r="Z268" s="186"/>
      <c r="AA268" s="187"/>
      <c r="AB268" s="187"/>
      <c r="AC268" s="187"/>
      <c r="AD268" s="186"/>
      <c r="AE268" s="186"/>
      <c r="AF268" s="67"/>
      <c r="AG268" s="67"/>
      <c r="AH268" s="67"/>
      <c r="AL268" s="186"/>
    </row>
    <row r="269">
      <c r="A269" s="185"/>
      <c r="B269" s="67"/>
      <c r="C269" s="67"/>
      <c r="D269" s="67"/>
      <c r="E269" s="186"/>
      <c r="F269" s="186"/>
      <c r="G269" s="186"/>
      <c r="H269" s="186"/>
      <c r="I269" s="186"/>
      <c r="J269" s="186"/>
      <c r="K269" s="186"/>
      <c r="L269" s="186"/>
      <c r="M269" s="186"/>
      <c r="N269" s="186"/>
      <c r="O269" s="186"/>
      <c r="P269" s="186"/>
      <c r="Q269" s="186"/>
      <c r="R269" s="186"/>
      <c r="S269" s="186"/>
      <c r="T269" s="186"/>
      <c r="U269" s="186"/>
      <c r="V269" s="67"/>
      <c r="W269" s="67"/>
      <c r="X269" s="67"/>
      <c r="Y269" s="187"/>
      <c r="Z269" s="186"/>
      <c r="AA269" s="187"/>
      <c r="AB269" s="187"/>
      <c r="AC269" s="187"/>
      <c r="AD269" s="186"/>
      <c r="AE269" s="186"/>
      <c r="AF269" s="67"/>
      <c r="AG269" s="67"/>
      <c r="AH269" s="67"/>
      <c r="AL269" s="186"/>
    </row>
    <row r="270">
      <c r="A270" s="185"/>
      <c r="B270" s="67"/>
      <c r="C270" s="67"/>
      <c r="D270" s="67"/>
      <c r="E270" s="186"/>
      <c r="F270" s="186"/>
      <c r="G270" s="186"/>
      <c r="H270" s="186"/>
      <c r="I270" s="186"/>
      <c r="J270" s="186"/>
      <c r="K270" s="186"/>
      <c r="L270" s="186"/>
      <c r="M270" s="186"/>
      <c r="N270" s="186"/>
      <c r="O270" s="186"/>
      <c r="P270" s="186"/>
      <c r="Q270" s="186"/>
      <c r="R270" s="186"/>
      <c r="S270" s="186"/>
      <c r="T270" s="186"/>
      <c r="U270" s="186"/>
      <c r="V270" s="67"/>
      <c r="W270" s="67"/>
      <c r="X270" s="67"/>
      <c r="Y270" s="187"/>
      <c r="Z270" s="186"/>
      <c r="AA270" s="187"/>
      <c r="AB270" s="187"/>
      <c r="AC270" s="187"/>
      <c r="AD270" s="186"/>
      <c r="AE270" s="186"/>
      <c r="AF270" s="67"/>
      <c r="AG270" s="67"/>
      <c r="AH270" s="67"/>
      <c r="AL270" s="186"/>
    </row>
    <row r="271">
      <c r="A271" s="185"/>
      <c r="B271" s="67"/>
      <c r="C271" s="67"/>
      <c r="D271" s="67"/>
      <c r="E271" s="186"/>
      <c r="F271" s="186"/>
      <c r="G271" s="186"/>
      <c r="H271" s="186"/>
      <c r="I271" s="186"/>
      <c r="J271" s="186"/>
      <c r="K271" s="186"/>
      <c r="L271" s="186"/>
      <c r="M271" s="186"/>
      <c r="N271" s="186"/>
      <c r="O271" s="186"/>
      <c r="P271" s="186"/>
      <c r="Q271" s="186"/>
      <c r="R271" s="186"/>
      <c r="S271" s="186"/>
      <c r="T271" s="186"/>
      <c r="U271" s="186"/>
      <c r="V271" s="67"/>
      <c r="W271" s="67"/>
      <c r="X271" s="67"/>
      <c r="Y271" s="187"/>
      <c r="Z271" s="186"/>
      <c r="AA271" s="187"/>
      <c r="AB271" s="187"/>
      <c r="AC271" s="187"/>
      <c r="AD271" s="186"/>
      <c r="AE271" s="186"/>
      <c r="AF271" s="67"/>
      <c r="AG271" s="67"/>
      <c r="AH271" s="67"/>
      <c r="AL271" s="186"/>
    </row>
    <row r="272">
      <c r="A272" s="185"/>
      <c r="B272" s="67"/>
      <c r="C272" s="67"/>
      <c r="D272" s="67"/>
      <c r="E272" s="186"/>
      <c r="F272" s="186"/>
      <c r="G272" s="186"/>
      <c r="H272" s="186"/>
      <c r="I272" s="186"/>
      <c r="J272" s="186"/>
      <c r="K272" s="186"/>
      <c r="L272" s="186"/>
      <c r="M272" s="186"/>
      <c r="N272" s="186"/>
      <c r="O272" s="186"/>
      <c r="P272" s="186"/>
      <c r="Q272" s="186"/>
      <c r="R272" s="186"/>
      <c r="S272" s="186"/>
      <c r="T272" s="186"/>
      <c r="U272" s="186"/>
      <c r="V272" s="67"/>
      <c r="W272" s="67"/>
      <c r="X272" s="67"/>
      <c r="Y272" s="187"/>
      <c r="Z272" s="186"/>
      <c r="AA272" s="187"/>
      <c r="AB272" s="187"/>
      <c r="AC272" s="187"/>
      <c r="AD272" s="186"/>
      <c r="AE272" s="186"/>
      <c r="AF272" s="67"/>
      <c r="AG272" s="67"/>
      <c r="AH272" s="67"/>
      <c r="AL272" s="186"/>
    </row>
    <row r="273">
      <c r="A273" s="185"/>
      <c r="B273" s="67"/>
      <c r="C273" s="67"/>
      <c r="D273" s="67"/>
      <c r="E273" s="186"/>
      <c r="F273" s="186"/>
      <c r="G273" s="186"/>
      <c r="H273" s="186"/>
      <c r="I273" s="186"/>
      <c r="J273" s="186"/>
      <c r="K273" s="186"/>
      <c r="L273" s="186"/>
      <c r="M273" s="186"/>
      <c r="N273" s="186"/>
      <c r="O273" s="186"/>
      <c r="P273" s="186"/>
      <c r="Q273" s="186"/>
      <c r="R273" s="186"/>
      <c r="S273" s="186"/>
      <c r="T273" s="186"/>
      <c r="U273" s="186"/>
      <c r="V273" s="67"/>
      <c r="W273" s="67"/>
      <c r="X273" s="67"/>
      <c r="Y273" s="187"/>
      <c r="Z273" s="186"/>
      <c r="AA273" s="187"/>
      <c r="AB273" s="187"/>
      <c r="AC273" s="187"/>
      <c r="AD273" s="186"/>
      <c r="AE273" s="186"/>
      <c r="AF273" s="67"/>
      <c r="AG273" s="67"/>
      <c r="AH273" s="67"/>
      <c r="AL273" s="186"/>
    </row>
    <row r="274">
      <c r="A274" s="185"/>
      <c r="B274" s="67"/>
      <c r="C274" s="67"/>
      <c r="D274" s="67"/>
      <c r="E274" s="186"/>
      <c r="F274" s="186"/>
      <c r="G274" s="186"/>
      <c r="H274" s="186"/>
      <c r="I274" s="186"/>
      <c r="J274" s="186"/>
      <c r="K274" s="186"/>
      <c r="L274" s="186"/>
      <c r="M274" s="186"/>
      <c r="N274" s="186"/>
      <c r="O274" s="186"/>
      <c r="P274" s="186"/>
      <c r="Q274" s="186"/>
      <c r="R274" s="186"/>
      <c r="S274" s="186"/>
      <c r="T274" s="186"/>
      <c r="U274" s="186"/>
      <c r="V274" s="67"/>
      <c r="W274" s="67"/>
      <c r="X274" s="67"/>
      <c r="Y274" s="187"/>
      <c r="Z274" s="186"/>
      <c r="AA274" s="187"/>
      <c r="AB274" s="187"/>
      <c r="AC274" s="187"/>
      <c r="AD274" s="186"/>
      <c r="AE274" s="186"/>
      <c r="AF274" s="67"/>
      <c r="AG274" s="67"/>
      <c r="AH274" s="67"/>
      <c r="AL274" s="186"/>
    </row>
    <row r="275">
      <c r="A275" s="185"/>
      <c r="B275" s="67"/>
      <c r="C275" s="67"/>
      <c r="D275" s="67"/>
      <c r="E275" s="186"/>
      <c r="F275" s="186"/>
      <c r="G275" s="186"/>
      <c r="H275" s="186"/>
      <c r="I275" s="186"/>
      <c r="J275" s="186"/>
      <c r="K275" s="186"/>
      <c r="L275" s="186"/>
      <c r="M275" s="186"/>
      <c r="N275" s="186"/>
      <c r="O275" s="186"/>
      <c r="P275" s="186"/>
      <c r="Q275" s="186"/>
      <c r="R275" s="186"/>
      <c r="S275" s="186"/>
      <c r="T275" s="186"/>
      <c r="U275" s="186"/>
      <c r="V275" s="67"/>
      <c r="W275" s="67"/>
      <c r="X275" s="67"/>
      <c r="Y275" s="187"/>
      <c r="Z275" s="186"/>
      <c r="AA275" s="187"/>
      <c r="AB275" s="187"/>
      <c r="AC275" s="187"/>
      <c r="AD275" s="186"/>
      <c r="AE275" s="186"/>
      <c r="AF275" s="67"/>
      <c r="AG275" s="67"/>
      <c r="AH275" s="67"/>
      <c r="AL275" s="186"/>
    </row>
    <row r="276">
      <c r="A276" s="185"/>
      <c r="B276" s="67"/>
      <c r="C276" s="67"/>
      <c r="D276" s="67"/>
      <c r="E276" s="186"/>
      <c r="F276" s="186"/>
      <c r="G276" s="186"/>
      <c r="H276" s="186"/>
      <c r="I276" s="186"/>
      <c r="J276" s="186"/>
      <c r="K276" s="186"/>
      <c r="L276" s="186"/>
      <c r="M276" s="186"/>
      <c r="N276" s="186"/>
      <c r="O276" s="186"/>
      <c r="P276" s="186"/>
      <c r="Q276" s="186"/>
      <c r="R276" s="186"/>
      <c r="S276" s="186"/>
      <c r="T276" s="186"/>
      <c r="U276" s="186"/>
      <c r="V276" s="67"/>
      <c r="W276" s="67"/>
      <c r="X276" s="67"/>
      <c r="Y276" s="187"/>
      <c r="Z276" s="186"/>
      <c r="AA276" s="187"/>
      <c r="AB276" s="187"/>
      <c r="AC276" s="187"/>
      <c r="AD276" s="186"/>
      <c r="AE276" s="186"/>
      <c r="AF276" s="67"/>
      <c r="AG276" s="67"/>
      <c r="AH276" s="67"/>
      <c r="AL276" s="186"/>
    </row>
    <row r="277">
      <c r="A277" s="185"/>
      <c r="B277" s="67"/>
      <c r="C277" s="67"/>
      <c r="D277" s="67"/>
      <c r="E277" s="186"/>
      <c r="F277" s="186"/>
      <c r="G277" s="186"/>
      <c r="H277" s="186"/>
      <c r="I277" s="186"/>
      <c r="J277" s="186"/>
      <c r="K277" s="186"/>
      <c r="L277" s="186"/>
      <c r="M277" s="186"/>
      <c r="N277" s="186"/>
      <c r="O277" s="186"/>
      <c r="P277" s="186"/>
      <c r="Q277" s="186"/>
      <c r="R277" s="186"/>
      <c r="S277" s="186"/>
      <c r="T277" s="186"/>
      <c r="U277" s="186"/>
      <c r="V277" s="67"/>
      <c r="W277" s="67"/>
      <c r="X277" s="67"/>
      <c r="Y277" s="187"/>
      <c r="Z277" s="186"/>
      <c r="AA277" s="187"/>
      <c r="AB277" s="187"/>
      <c r="AC277" s="187"/>
      <c r="AD277" s="186"/>
      <c r="AE277" s="186"/>
      <c r="AF277" s="67"/>
      <c r="AG277" s="67"/>
      <c r="AH277" s="67"/>
      <c r="AL277" s="186"/>
    </row>
    <row r="278">
      <c r="A278" s="185"/>
      <c r="B278" s="67"/>
      <c r="C278" s="67"/>
      <c r="D278" s="67"/>
      <c r="E278" s="186"/>
      <c r="F278" s="186"/>
      <c r="G278" s="186"/>
      <c r="H278" s="186"/>
      <c r="I278" s="186"/>
      <c r="J278" s="186"/>
      <c r="K278" s="186"/>
      <c r="L278" s="186"/>
      <c r="M278" s="186"/>
      <c r="N278" s="186"/>
      <c r="O278" s="186"/>
      <c r="P278" s="186"/>
      <c r="Q278" s="186"/>
      <c r="R278" s="186"/>
      <c r="S278" s="186"/>
      <c r="T278" s="186"/>
      <c r="U278" s="186"/>
      <c r="V278" s="67"/>
      <c r="W278" s="67"/>
      <c r="X278" s="67"/>
      <c r="Y278" s="187"/>
      <c r="Z278" s="186"/>
      <c r="AA278" s="187"/>
      <c r="AB278" s="187"/>
      <c r="AC278" s="187"/>
      <c r="AD278" s="186"/>
      <c r="AE278" s="186"/>
      <c r="AF278" s="67"/>
      <c r="AG278" s="67"/>
      <c r="AH278" s="67"/>
      <c r="AL278" s="186"/>
    </row>
    <row r="279">
      <c r="A279" s="185"/>
      <c r="B279" s="67"/>
      <c r="C279" s="67"/>
      <c r="D279" s="67"/>
      <c r="E279" s="186"/>
      <c r="F279" s="186"/>
      <c r="G279" s="186"/>
      <c r="H279" s="186"/>
      <c r="I279" s="186"/>
      <c r="J279" s="186"/>
      <c r="K279" s="186"/>
      <c r="L279" s="186"/>
      <c r="M279" s="186"/>
      <c r="N279" s="186"/>
      <c r="O279" s="186"/>
      <c r="P279" s="186"/>
      <c r="Q279" s="186"/>
      <c r="R279" s="186"/>
      <c r="S279" s="186"/>
      <c r="T279" s="186"/>
      <c r="U279" s="186"/>
      <c r="V279" s="67"/>
      <c r="W279" s="67"/>
      <c r="X279" s="67"/>
      <c r="Y279" s="187"/>
      <c r="Z279" s="186"/>
      <c r="AA279" s="187"/>
      <c r="AB279" s="187"/>
      <c r="AC279" s="187"/>
      <c r="AD279" s="186"/>
      <c r="AE279" s="186"/>
      <c r="AF279" s="67"/>
      <c r="AG279" s="67"/>
      <c r="AH279" s="67"/>
      <c r="AL279" s="186"/>
    </row>
    <row r="280">
      <c r="A280" s="185"/>
      <c r="B280" s="67"/>
      <c r="C280" s="67"/>
      <c r="D280" s="67"/>
      <c r="E280" s="186"/>
      <c r="F280" s="186"/>
      <c r="G280" s="186"/>
      <c r="H280" s="186"/>
      <c r="I280" s="186"/>
      <c r="J280" s="186"/>
      <c r="K280" s="186"/>
      <c r="L280" s="186"/>
      <c r="M280" s="186"/>
      <c r="N280" s="186"/>
      <c r="O280" s="186"/>
      <c r="P280" s="186"/>
      <c r="Q280" s="186"/>
      <c r="R280" s="186"/>
      <c r="S280" s="186"/>
      <c r="T280" s="186"/>
      <c r="U280" s="186"/>
      <c r="V280" s="67"/>
      <c r="W280" s="67"/>
      <c r="X280" s="67"/>
      <c r="Y280" s="187"/>
      <c r="Z280" s="186"/>
      <c r="AA280" s="187"/>
      <c r="AB280" s="187"/>
      <c r="AC280" s="187"/>
      <c r="AD280" s="186"/>
      <c r="AE280" s="186"/>
      <c r="AF280" s="67"/>
      <c r="AG280" s="67"/>
      <c r="AH280" s="67"/>
      <c r="AL280" s="186"/>
    </row>
    <row r="281">
      <c r="A281" s="185"/>
      <c r="B281" s="67"/>
      <c r="C281" s="67"/>
      <c r="D281" s="67"/>
      <c r="E281" s="186"/>
      <c r="F281" s="186"/>
      <c r="G281" s="186"/>
      <c r="H281" s="186"/>
      <c r="I281" s="186"/>
      <c r="J281" s="186"/>
      <c r="K281" s="186"/>
      <c r="L281" s="186"/>
      <c r="M281" s="186"/>
      <c r="N281" s="186"/>
      <c r="O281" s="186"/>
      <c r="P281" s="186"/>
      <c r="Q281" s="186"/>
      <c r="R281" s="186"/>
      <c r="S281" s="186"/>
      <c r="T281" s="186"/>
      <c r="U281" s="186"/>
      <c r="V281" s="67"/>
      <c r="W281" s="67"/>
      <c r="X281" s="67"/>
      <c r="Y281" s="187"/>
      <c r="Z281" s="186"/>
      <c r="AA281" s="187"/>
      <c r="AB281" s="187"/>
      <c r="AC281" s="187"/>
      <c r="AD281" s="186"/>
      <c r="AE281" s="186"/>
      <c r="AF281" s="67"/>
      <c r="AG281" s="67"/>
      <c r="AH281" s="67"/>
      <c r="AL281" s="186"/>
    </row>
    <row r="282">
      <c r="A282" s="185"/>
      <c r="B282" s="67"/>
      <c r="C282" s="67"/>
      <c r="D282" s="67"/>
      <c r="E282" s="186"/>
      <c r="F282" s="186"/>
      <c r="G282" s="186"/>
      <c r="H282" s="186"/>
      <c r="I282" s="186"/>
      <c r="J282" s="186"/>
      <c r="K282" s="186"/>
      <c r="L282" s="186"/>
      <c r="M282" s="186"/>
      <c r="N282" s="186"/>
      <c r="O282" s="186"/>
      <c r="P282" s="186"/>
      <c r="Q282" s="186"/>
      <c r="R282" s="186"/>
      <c r="S282" s="186"/>
      <c r="T282" s="186"/>
      <c r="U282" s="186"/>
      <c r="V282" s="67"/>
      <c r="W282" s="67"/>
      <c r="X282" s="67"/>
      <c r="Y282" s="187"/>
      <c r="Z282" s="186"/>
      <c r="AA282" s="187"/>
      <c r="AB282" s="187"/>
      <c r="AC282" s="187"/>
      <c r="AD282" s="186"/>
      <c r="AE282" s="186"/>
      <c r="AF282" s="67"/>
      <c r="AG282" s="67"/>
      <c r="AH282" s="67"/>
      <c r="AL282" s="186"/>
    </row>
    <row r="283">
      <c r="A283" s="185"/>
      <c r="B283" s="67"/>
      <c r="C283" s="67"/>
      <c r="D283" s="67"/>
      <c r="E283" s="186"/>
      <c r="F283" s="186"/>
      <c r="G283" s="186"/>
      <c r="H283" s="186"/>
      <c r="I283" s="186"/>
      <c r="J283" s="186"/>
      <c r="K283" s="186"/>
      <c r="L283" s="186"/>
      <c r="M283" s="186"/>
      <c r="N283" s="186"/>
      <c r="O283" s="186"/>
      <c r="P283" s="186"/>
      <c r="Q283" s="186"/>
      <c r="R283" s="186"/>
      <c r="S283" s="186"/>
      <c r="T283" s="186"/>
      <c r="U283" s="186"/>
      <c r="V283" s="67"/>
      <c r="W283" s="67"/>
      <c r="X283" s="67"/>
      <c r="Y283" s="187"/>
      <c r="Z283" s="186"/>
      <c r="AA283" s="187"/>
      <c r="AB283" s="187"/>
      <c r="AC283" s="187"/>
      <c r="AD283" s="186"/>
      <c r="AE283" s="186"/>
      <c r="AF283" s="67"/>
      <c r="AG283" s="67"/>
      <c r="AH283" s="67"/>
      <c r="AL283" s="186"/>
    </row>
    <row r="284">
      <c r="A284" s="185"/>
      <c r="B284" s="67"/>
      <c r="C284" s="67"/>
      <c r="D284" s="67"/>
      <c r="E284" s="186"/>
      <c r="F284" s="186"/>
      <c r="G284" s="186"/>
      <c r="H284" s="186"/>
      <c r="I284" s="186"/>
      <c r="J284" s="186"/>
      <c r="K284" s="186"/>
      <c r="L284" s="186"/>
      <c r="M284" s="186"/>
      <c r="N284" s="186"/>
      <c r="O284" s="186"/>
      <c r="P284" s="186"/>
      <c r="Q284" s="186"/>
      <c r="R284" s="186"/>
      <c r="S284" s="186"/>
      <c r="T284" s="186"/>
      <c r="U284" s="186"/>
      <c r="V284" s="67"/>
      <c r="W284" s="67"/>
      <c r="X284" s="67"/>
      <c r="Y284" s="187"/>
      <c r="Z284" s="186"/>
      <c r="AA284" s="187"/>
      <c r="AB284" s="187"/>
      <c r="AC284" s="187"/>
      <c r="AD284" s="186"/>
      <c r="AE284" s="186"/>
      <c r="AF284" s="67"/>
      <c r="AG284" s="67"/>
      <c r="AH284" s="67"/>
      <c r="AL284" s="186"/>
    </row>
    <row r="285">
      <c r="A285" s="185"/>
      <c r="B285" s="67"/>
      <c r="C285" s="67"/>
      <c r="D285" s="67"/>
      <c r="E285" s="186"/>
      <c r="F285" s="186"/>
      <c r="G285" s="186"/>
      <c r="H285" s="186"/>
      <c r="I285" s="186"/>
      <c r="J285" s="186"/>
      <c r="K285" s="186"/>
      <c r="L285" s="186"/>
      <c r="M285" s="186"/>
      <c r="N285" s="186"/>
      <c r="O285" s="186"/>
      <c r="P285" s="186"/>
      <c r="Q285" s="186"/>
      <c r="R285" s="186"/>
      <c r="S285" s="186"/>
      <c r="T285" s="186"/>
      <c r="U285" s="186"/>
      <c r="V285" s="67"/>
      <c r="W285" s="67"/>
      <c r="X285" s="67"/>
      <c r="Y285" s="187"/>
      <c r="Z285" s="186"/>
      <c r="AA285" s="187"/>
      <c r="AB285" s="187"/>
      <c r="AC285" s="187"/>
      <c r="AD285" s="186"/>
      <c r="AE285" s="186"/>
      <c r="AF285" s="67"/>
      <c r="AG285" s="67"/>
      <c r="AH285" s="67"/>
      <c r="AL285" s="186"/>
    </row>
    <row r="286">
      <c r="A286" s="185"/>
      <c r="B286" s="67"/>
      <c r="C286" s="67"/>
      <c r="D286" s="67"/>
      <c r="E286" s="186"/>
      <c r="F286" s="186"/>
      <c r="G286" s="186"/>
      <c r="H286" s="186"/>
      <c r="I286" s="186"/>
      <c r="J286" s="186"/>
      <c r="K286" s="186"/>
      <c r="L286" s="186"/>
      <c r="M286" s="186"/>
      <c r="N286" s="186"/>
      <c r="O286" s="186"/>
      <c r="P286" s="186"/>
      <c r="Q286" s="186"/>
      <c r="R286" s="186"/>
      <c r="S286" s="186"/>
      <c r="T286" s="186"/>
      <c r="U286" s="186"/>
      <c r="V286" s="67"/>
      <c r="W286" s="67"/>
      <c r="X286" s="67"/>
      <c r="Y286" s="187"/>
      <c r="Z286" s="186"/>
      <c r="AA286" s="187"/>
      <c r="AB286" s="187"/>
      <c r="AC286" s="187"/>
      <c r="AD286" s="186"/>
      <c r="AE286" s="186"/>
      <c r="AF286" s="67"/>
      <c r="AG286" s="67"/>
      <c r="AH286" s="67"/>
      <c r="AL286" s="186"/>
    </row>
    <row r="287">
      <c r="A287" s="185"/>
      <c r="B287" s="67"/>
      <c r="C287" s="67"/>
      <c r="D287" s="67"/>
      <c r="E287" s="186"/>
      <c r="F287" s="186"/>
      <c r="G287" s="186"/>
      <c r="H287" s="186"/>
      <c r="I287" s="186"/>
      <c r="J287" s="186"/>
      <c r="K287" s="186"/>
      <c r="L287" s="186"/>
      <c r="M287" s="186"/>
      <c r="N287" s="186"/>
      <c r="O287" s="186"/>
      <c r="P287" s="186"/>
      <c r="Q287" s="186"/>
      <c r="R287" s="186"/>
      <c r="S287" s="186"/>
      <c r="T287" s="186"/>
      <c r="U287" s="186"/>
      <c r="V287" s="67"/>
      <c r="W287" s="67"/>
      <c r="X287" s="67"/>
      <c r="Y287" s="187"/>
      <c r="Z287" s="186"/>
      <c r="AA287" s="187"/>
      <c r="AB287" s="187"/>
      <c r="AC287" s="187"/>
      <c r="AD287" s="186"/>
      <c r="AE287" s="186"/>
      <c r="AF287" s="67"/>
      <c r="AG287" s="67"/>
      <c r="AH287" s="67"/>
      <c r="AL287" s="186"/>
    </row>
    <row r="288">
      <c r="A288" s="185"/>
      <c r="B288" s="67"/>
      <c r="C288" s="67"/>
      <c r="D288" s="67"/>
      <c r="E288" s="186"/>
      <c r="F288" s="186"/>
      <c r="G288" s="186"/>
      <c r="H288" s="186"/>
      <c r="I288" s="186"/>
      <c r="J288" s="186"/>
      <c r="K288" s="186"/>
      <c r="L288" s="186"/>
      <c r="M288" s="186"/>
      <c r="N288" s="186"/>
      <c r="O288" s="186"/>
      <c r="P288" s="186"/>
      <c r="Q288" s="186"/>
      <c r="R288" s="186"/>
      <c r="S288" s="186"/>
      <c r="T288" s="186"/>
      <c r="U288" s="186"/>
      <c r="V288" s="67"/>
      <c r="W288" s="67"/>
      <c r="X288" s="67"/>
      <c r="Y288" s="187"/>
      <c r="Z288" s="186"/>
      <c r="AA288" s="187"/>
      <c r="AB288" s="187"/>
      <c r="AC288" s="187"/>
      <c r="AD288" s="186"/>
      <c r="AE288" s="186"/>
      <c r="AF288" s="67"/>
      <c r="AG288" s="67"/>
      <c r="AH288" s="67"/>
      <c r="AL288" s="186"/>
    </row>
    <row r="289">
      <c r="A289" s="185"/>
      <c r="B289" s="67"/>
      <c r="C289" s="67"/>
      <c r="D289" s="67"/>
      <c r="E289" s="186"/>
      <c r="F289" s="186"/>
      <c r="G289" s="186"/>
      <c r="H289" s="186"/>
      <c r="I289" s="186"/>
      <c r="J289" s="186"/>
      <c r="K289" s="186"/>
      <c r="L289" s="186"/>
      <c r="M289" s="186"/>
      <c r="N289" s="186"/>
      <c r="O289" s="186"/>
      <c r="P289" s="186"/>
      <c r="Q289" s="186"/>
      <c r="R289" s="186"/>
      <c r="S289" s="186"/>
      <c r="T289" s="186"/>
      <c r="U289" s="186"/>
      <c r="V289" s="67"/>
      <c r="W289" s="67"/>
      <c r="X289" s="67"/>
      <c r="Y289" s="187"/>
      <c r="Z289" s="186"/>
      <c r="AA289" s="187"/>
      <c r="AB289" s="187"/>
      <c r="AC289" s="187"/>
      <c r="AD289" s="186"/>
      <c r="AE289" s="186"/>
      <c r="AF289" s="67"/>
      <c r="AG289" s="67"/>
      <c r="AH289" s="67"/>
      <c r="AL289" s="186"/>
    </row>
    <row r="290">
      <c r="A290" s="185"/>
      <c r="B290" s="67"/>
      <c r="C290" s="67"/>
      <c r="D290" s="67"/>
      <c r="E290" s="186"/>
      <c r="F290" s="186"/>
      <c r="G290" s="186"/>
      <c r="H290" s="186"/>
      <c r="I290" s="186"/>
      <c r="J290" s="186"/>
      <c r="K290" s="186"/>
      <c r="L290" s="186"/>
      <c r="M290" s="186"/>
      <c r="N290" s="186"/>
      <c r="O290" s="186"/>
      <c r="P290" s="186"/>
      <c r="Q290" s="186"/>
      <c r="R290" s="186"/>
      <c r="S290" s="186"/>
      <c r="T290" s="186"/>
      <c r="U290" s="186"/>
      <c r="V290" s="67"/>
      <c r="W290" s="67"/>
      <c r="X290" s="67"/>
      <c r="Y290" s="187"/>
      <c r="Z290" s="186"/>
      <c r="AA290" s="187"/>
      <c r="AB290" s="187"/>
      <c r="AC290" s="187"/>
      <c r="AD290" s="186"/>
      <c r="AE290" s="186"/>
      <c r="AF290" s="67"/>
      <c r="AG290" s="67"/>
      <c r="AH290" s="67"/>
      <c r="AL290" s="186"/>
    </row>
    <row r="291">
      <c r="A291" s="185"/>
      <c r="B291" s="67"/>
      <c r="C291" s="67"/>
      <c r="D291" s="67"/>
      <c r="E291" s="186"/>
      <c r="F291" s="186"/>
      <c r="G291" s="186"/>
      <c r="H291" s="186"/>
      <c r="I291" s="186"/>
      <c r="J291" s="186"/>
      <c r="K291" s="186"/>
      <c r="L291" s="186"/>
      <c r="M291" s="186"/>
      <c r="N291" s="186"/>
      <c r="O291" s="186"/>
      <c r="P291" s="186"/>
      <c r="Q291" s="186"/>
      <c r="R291" s="186"/>
      <c r="S291" s="186"/>
      <c r="T291" s="186"/>
      <c r="U291" s="186"/>
      <c r="V291" s="67"/>
      <c r="W291" s="67"/>
      <c r="X291" s="67"/>
      <c r="Y291" s="187"/>
      <c r="Z291" s="186"/>
      <c r="AA291" s="187"/>
      <c r="AB291" s="187"/>
      <c r="AC291" s="187"/>
      <c r="AD291" s="186"/>
      <c r="AE291" s="186"/>
      <c r="AF291" s="67"/>
      <c r="AG291" s="67"/>
      <c r="AH291" s="67"/>
      <c r="AL291" s="186"/>
    </row>
    <row r="292">
      <c r="A292" s="185"/>
      <c r="B292" s="67"/>
      <c r="C292" s="67"/>
      <c r="D292" s="67"/>
      <c r="E292" s="186"/>
      <c r="F292" s="186"/>
      <c r="G292" s="186"/>
      <c r="H292" s="186"/>
      <c r="I292" s="186"/>
      <c r="J292" s="186"/>
      <c r="K292" s="186"/>
      <c r="L292" s="186"/>
      <c r="M292" s="186"/>
      <c r="N292" s="186"/>
      <c r="O292" s="186"/>
      <c r="P292" s="186"/>
      <c r="Q292" s="186"/>
      <c r="R292" s="186"/>
      <c r="S292" s="186"/>
      <c r="T292" s="186"/>
      <c r="U292" s="186"/>
      <c r="V292" s="67"/>
      <c r="W292" s="67"/>
      <c r="X292" s="67"/>
      <c r="Y292" s="187"/>
      <c r="Z292" s="186"/>
      <c r="AA292" s="187"/>
      <c r="AB292" s="187"/>
      <c r="AC292" s="187"/>
      <c r="AD292" s="186"/>
      <c r="AE292" s="186"/>
      <c r="AF292" s="67"/>
      <c r="AG292" s="67"/>
      <c r="AH292" s="67"/>
      <c r="AL292" s="186"/>
    </row>
    <row r="293">
      <c r="A293" s="185"/>
      <c r="B293" s="67"/>
      <c r="C293" s="67"/>
      <c r="D293" s="67"/>
      <c r="E293" s="186"/>
      <c r="F293" s="186"/>
      <c r="G293" s="186"/>
      <c r="H293" s="186"/>
      <c r="I293" s="186"/>
      <c r="J293" s="186"/>
      <c r="K293" s="186"/>
      <c r="L293" s="186"/>
      <c r="M293" s="186"/>
      <c r="N293" s="186"/>
      <c r="O293" s="186"/>
      <c r="P293" s="186"/>
      <c r="Q293" s="186"/>
      <c r="R293" s="186"/>
      <c r="S293" s="186"/>
      <c r="T293" s="186"/>
      <c r="U293" s="186"/>
      <c r="V293" s="67"/>
      <c r="W293" s="67"/>
      <c r="X293" s="67"/>
      <c r="Y293" s="187"/>
      <c r="Z293" s="186"/>
      <c r="AA293" s="187"/>
      <c r="AB293" s="187"/>
      <c r="AC293" s="187"/>
      <c r="AD293" s="186"/>
      <c r="AE293" s="186"/>
      <c r="AF293" s="67"/>
      <c r="AG293" s="67"/>
      <c r="AH293" s="67"/>
      <c r="AL293" s="186"/>
    </row>
    <row r="294">
      <c r="A294" s="185"/>
      <c r="B294" s="67"/>
      <c r="C294" s="67"/>
      <c r="D294" s="67"/>
      <c r="E294" s="186"/>
      <c r="F294" s="186"/>
      <c r="G294" s="186"/>
      <c r="H294" s="186"/>
      <c r="I294" s="186"/>
      <c r="J294" s="186"/>
      <c r="K294" s="186"/>
      <c r="L294" s="186"/>
      <c r="M294" s="186"/>
      <c r="N294" s="186"/>
      <c r="O294" s="186"/>
      <c r="P294" s="186"/>
      <c r="Q294" s="186"/>
      <c r="R294" s="186"/>
      <c r="S294" s="186"/>
      <c r="T294" s="186"/>
      <c r="U294" s="186"/>
      <c r="V294" s="67"/>
      <c r="W294" s="67"/>
      <c r="X294" s="67"/>
      <c r="Y294" s="187"/>
      <c r="Z294" s="186"/>
      <c r="AA294" s="187"/>
      <c r="AB294" s="187"/>
      <c r="AC294" s="187"/>
      <c r="AD294" s="186"/>
      <c r="AE294" s="186"/>
      <c r="AF294" s="67"/>
      <c r="AG294" s="67"/>
      <c r="AH294" s="67"/>
      <c r="AL294" s="186"/>
    </row>
    <row r="295">
      <c r="A295" s="185"/>
      <c r="B295" s="67"/>
      <c r="C295" s="67"/>
      <c r="D295" s="67"/>
      <c r="E295" s="186"/>
      <c r="F295" s="186"/>
      <c r="G295" s="186"/>
      <c r="H295" s="186"/>
      <c r="I295" s="186"/>
      <c r="J295" s="186"/>
      <c r="K295" s="186"/>
      <c r="L295" s="186"/>
      <c r="M295" s="186"/>
      <c r="N295" s="186"/>
      <c r="O295" s="186"/>
      <c r="P295" s="186"/>
      <c r="Q295" s="186"/>
      <c r="R295" s="186"/>
      <c r="S295" s="186"/>
      <c r="T295" s="186"/>
      <c r="U295" s="186"/>
      <c r="V295" s="67"/>
      <c r="W295" s="67"/>
      <c r="X295" s="67"/>
      <c r="Y295" s="187"/>
      <c r="Z295" s="186"/>
      <c r="AA295" s="187"/>
      <c r="AB295" s="187"/>
      <c r="AC295" s="187"/>
      <c r="AD295" s="186"/>
      <c r="AE295" s="186"/>
      <c r="AF295" s="67"/>
      <c r="AG295" s="67"/>
      <c r="AH295" s="67"/>
      <c r="AL295" s="186"/>
    </row>
    <row r="296">
      <c r="A296" s="185"/>
      <c r="B296" s="67"/>
      <c r="C296" s="67"/>
      <c r="D296" s="67"/>
      <c r="E296" s="186"/>
      <c r="F296" s="186"/>
      <c r="G296" s="186"/>
      <c r="H296" s="186"/>
      <c r="I296" s="186"/>
      <c r="J296" s="186"/>
      <c r="K296" s="186"/>
      <c r="L296" s="186"/>
      <c r="M296" s="186"/>
      <c r="N296" s="186"/>
      <c r="O296" s="186"/>
      <c r="P296" s="186"/>
      <c r="Q296" s="186"/>
      <c r="R296" s="186"/>
      <c r="S296" s="186"/>
      <c r="T296" s="186"/>
      <c r="U296" s="186"/>
      <c r="V296" s="67"/>
      <c r="W296" s="67"/>
      <c r="X296" s="67"/>
      <c r="Y296" s="187"/>
      <c r="Z296" s="186"/>
      <c r="AA296" s="187"/>
      <c r="AB296" s="187"/>
      <c r="AC296" s="187"/>
      <c r="AD296" s="186"/>
      <c r="AE296" s="186"/>
      <c r="AF296" s="67"/>
      <c r="AG296" s="67"/>
      <c r="AH296" s="67"/>
      <c r="AL296" s="186"/>
    </row>
    <row r="297">
      <c r="A297" s="185"/>
      <c r="B297" s="67"/>
      <c r="C297" s="67"/>
      <c r="D297" s="67"/>
      <c r="E297" s="186"/>
      <c r="F297" s="186"/>
      <c r="G297" s="186"/>
      <c r="H297" s="186"/>
      <c r="I297" s="186"/>
      <c r="J297" s="186"/>
      <c r="K297" s="186"/>
      <c r="L297" s="186"/>
      <c r="M297" s="186"/>
      <c r="N297" s="186"/>
      <c r="O297" s="186"/>
      <c r="P297" s="186"/>
      <c r="Q297" s="186"/>
      <c r="R297" s="186"/>
      <c r="S297" s="186"/>
      <c r="T297" s="186"/>
      <c r="U297" s="186"/>
      <c r="V297" s="67"/>
      <c r="W297" s="67"/>
      <c r="X297" s="67"/>
      <c r="Y297" s="187"/>
      <c r="Z297" s="186"/>
      <c r="AA297" s="187"/>
      <c r="AB297" s="187"/>
      <c r="AC297" s="187"/>
      <c r="AD297" s="186"/>
      <c r="AE297" s="186"/>
      <c r="AF297" s="67"/>
      <c r="AG297" s="67"/>
      <c r="AH297" s="67"/>
      <c r="AL297" s="186"/>
    </row>
    <row r="298">
      <c r="A298" s="185"/>
      <c r="B298" s="67"/>
      <c r="C298" s="67"/>
      <c r="D298" s="67"/>
      <c r="E298" s="186"/>
      <c r="F298" s="186"/>
      <c r="G298" s="186"/>
      <c r="H298" s="186"/>
      <c r="I298" s="186"/>
      <c r="J298" s="186"/>
      <c r="K298" s="186"/>
      <c r="L298" s="186"/>
      <c r="M298" s="186"/>
      <c r="N298" s="186"/>
      <c r="O298" s="186"/>
      <c r="P298" s="186"/>
      <c r="Q298" s="186"/>
      <c r="R298" s="186"/>
      <c r="S298" s="186"/>
      <c r="T298" s="186"/>
      <c r="U298" s="186"/>
      <c r="V298" s="67"/>
      <c r="W298" s="67"/>
      <c r="X298" s="67"/>
      <c r="Y298" s="187"/>
      <c r="Z298" s="186"/>
      <c r="AA298" s="187"/>
      <c r="AB298" s="187"/>
      <c r="AC298" s="187"/>
      <c r="AD298" s="186"/>
      <c r="AE298" s="186"/>
      <c r="AF298" s="67"/>
      <c r="AG298" s="67"/>
      <c r="AH298" s="67"/>
      <c r="AL298" s="186"/>
    </row>
    <row r="299">
      <c r="A299" s="185"/>
      <c r="B299" s="67"/>
      <c r="C299" s="67"/>
      <c r="D299" s="67"/>
      <c r="E299" s="186"/>
      <c r="F299" s="186"/>
      <c r="G299" s="186"/>
      <c r="H299" s="186"/>
      <c r="I299" s="186"/>
      <c r="J299" s="186"/>
      <c r="K299" s="186"/>
      <c r="L299" s="186"/>
      <c r="M299" s="186"/>
      <c r="N299" s="186"/>
      <c r="O299" s="186"/>
      <c r="P299" s="186"/>
      <c r="Q299" s="186"/>
      <c r="R299" s="186"/>
      <c r="S299" s="186"/>
      <c r="T299" s="186"/>
      <c r="U299" s="186"/>
      <c r="V299" s="67"/>
      <c r="W299" s="67"/>
      <c r="X299" s="67"/>
      <c r="Y299" s="187"/>
      <c r="Z299" s="186"/>
      <c r="AA299" s="187"/>
      <c r="AB299" s="187"/>
      <c r="AC299" s="187"/>
      <c r="AD299" s="186"/>
      <c r="AE299" s="186"/>
      <c r="AF299" s="67"/>
      <c r="AG299" s="67"/>
      <c r="AH299" s="67"/>
      <c r="AL299" s="186"/>
    </row>
    <row r="300">
      <c r="A300" s="185"/>
      <c r="B300" s="67"/>
      <c r="C300" s="67"/>
      <c r="D300" s="67"/>
      <c r="E300" s="186"/>
      <c r="F300" s="186"/>
      <c r="G300" s="186"/>
      <c r="H300" s="186"/>
      <c r="I300" s="186"/>
      <c r="J300" s="186"/>
      <c r="K300" s="186"/>
      <c r="L300" s="186"/>
      <c r="M300" s="186"/>
      <c r="N300" s="186"/>
      <c r="O300" s="186"/>
      <c r="P300" s="186"/>
      <c r="Q300" s="186"/>
      <c r="R300" s="186"/>
      <c r="S300" s="186"/>
      <c r="T300" s="186"/>
      <c r="U300" s="186"/>
      <c r="V300" s="67"/>
      <c r="W300" s="67"/>
      <c r="X300" s="67"/>
      <c r="Y300" s="187"/>
      <c r="Z300" s="186"/>
      <c r="AA300" s="187"/>
      <c r="AB300" s="187"/>
      <c r="AC300" s="187"/>
      <c r="AD300" s="186"/>
      <c r="AE300" s="186"/>
      <c r="AF300" s="67"/>
      <c r="AG300" s="67"/>
      <c r="AH300" s="67"/>
      <c r="AL300" s="186"/>
    </row>
    <row r="301">
      <c r="A301" s="185"/>
      <c r="B301" s="67"/>
      <c r="C301" s="67"/>
      <c r="D301" s="67"/>
      <c r="E301" s="186"/>
      <c r="F301" s="186"/>
      <c r="G301" s="186"/>
      <c r="H301" s="186"/>
      <c r="I301" s="186"/>
      <c r="J301" s="186"/>
      <c r="K301" s="186"/>
      <c r="L301" s="186"/>
      <c r="M301" s="186"/>
      <c r="N301" s="186"/>
      <c r="O301" s="186"/>
      <c r="P301" s="186"/>
      <c r="Q301" s="186"/>
      <c r="R301" s="186"/>
      <c r="S301" s="186"/>
      <c r="T301" s="186"/>
      <c r="U301" s="186"/>
      <c r="V301" s="67"/>
      <c r="W301" s="67"/>
      <c r="X301" s="67"/>
      <c r="Y301" s="187"/>
      <c r="Z301" s="186"/>
      <c r="AA301" s="187"/>
      <c r="AB301" s="187"/>
      <c r="AC301" s="187"/>
      <c r="AD301" s="186"/>
      <c r="AE301" s="186"/>
      <c r="AF301" s="67"/>
      <c r="AG301" s="67"/>
      <c r="AH301" s="67"/>
      <c r="AL301" s="186"/>
    </row>
    <row r="302">
      <c r="A302" s="185"/>
      <c r="B302" s="67"/>
      <c r="C302" s="67"/>
      <c r="D302" s="67"/>
      <c r="E302" s="186"/>
      <c r="F302" s="186"/>
      <c r="G302" s="186"/>
      <c r="H302" s="186"/>
      <c r="I302" s="186"/>
      <c r="J302" s="186"/>
      <c r="K302" s="186"/>
      <c r="L302" s="186"/>
      <c r="M302" s="186"/>
      <c r="N302" s="186"/>
      <c r="O302" s="186"/>
      <c r="P302" s="186"/>
      <c r="Q302" s="186"/>
      <c r="R302" s="186"/>
      <c r="S302" s="186"/>
      <c r="T302" s="186"/>
      <c r="U302" s="186"/>
      <c r="V302" s="67"/>
      <c r="W302" s="67"/>
      <c r="X302" s="67"/>
      <c r="Y302" s="187"/>
      <c r="Z302" s="186"/>
      <c r="AA302" s="187"/>
      <c r="AB302" s="187"/>
      <c r="AC302" s="187"/>
      <c r="AD302" s="186"/>
      <c r="AE302" s="186"/>
      <c r="AF302" s="67"/>
      <c r="AG302" s="67"/>
      <c r="AH302" s="67"/>
      <c r="AL302" s="186"/>
    </row>
    <row r="303">
      <c r="A303" s="185"/>
      <c r="B303" s="67"/>
      <c r="C303" s="67"/>
      <c r="D303" s="67"/>
      <c r="E303" s="186"/>
      <c r="F303" s="186"/>
      <c r="G303" s="186"/>
      <c r="H303" s="186"/>
      <c r="I303" s="186"/>
      <c r="J303" s="186"/>
      <c r="K303" s="186"/>
      <c r="L303" s="186"/>
      <c r="M303" s="186"/>
      <c r="N303" s="186"/>
      <c r="O303" s="186"/>
      <c r="P303" s="186"/>
      <c r="Q303" s="186"/>
      <c r="R303" s="186"/>
      <c r="S303" s="186"/>
      <c r="T303" s="186"/>
      <c r="U303" s="186"/>
      <c r="V303" s="67"/>
      <c r="W303" s="67"/>
      <c r="X303" s="67"/>
      <c r="Y303" s="187"/>
      <c r="Z303" s="186"/>
      <c r="AA303" s="187"/>
      <c r="AB303" s="187"/>
      <c r="AC303" s="187"/>
      <c r="AD303" s="186"/>
      <c r="AE303" s="186"/>
      <c r="AF303" s="67"/>
      <c r="AG303" s="67"/>
      <c r="AH303" s="67"/>
      <c r="AL303" s="186"/>
    </row>
    <row r="304">
      <c r="A304" s="185"/>
      <c r="B304" s="67"/>
      <c r="C304" s="67"/>
      <c r="D304" s="67"/>
      <c r="E304" s="186"/>
      <c r="F304" s="186"/>
      <c r="G304" s="186"/>
      <c r="H304" s="186"/>
      <c r="I304" s="186"/>
      <c r="J304" s="186"/>
      <c r="K304" s="186"/>
      <c r="L304" s="186"/>
      <c r="M304" s="186"/>
      <c r="N304" s="186"/>
      <c r="O304" s="186"/>
      <c r="P304" s="186"/>
      <c r="Q304" s="186"/>
      <c r="R304" s="186"/>
      <c r="S304" s="186"/>
      <c r="T304" s="186"/>
      <c r="U304" s="186"/>
      <c r="V304" s="67"/>
      <c r="W304" s="67"/>
      <c r="X304" s="67"/>
      <c r="Y304" s="187"/>
      <c r="Z304" s="186"/>
      <c r="AA304" s="187"/>
      <c r="AB304" s="187"/>
      <c r="AC304" s="187"/>
      <c r="AD304" s="186"/>
      <c r="AE304" s="186"/>
      <c r="AF304" s="67"/>
      <c r="AG304" s="67"/>
      <c r="AH304" s="67"/>
      <c r="AL304" s="186"/>
    </row>
    <row r="305">
      <c r="A305" s="185"/>
      <c r="B305" s="67"/>
      <c r="C305" s="67"/>
      <c r="D305" s="67"/>
      <c r="E305" s="186"/>
      <c r="F305" s="186"/>
      <c r="G305" s="186"/>
      <c r="H305" s="186"/>
      <c r="I305" s="186"/>
      <c r="J305" s="186"/>
      <c r="K305" s="186"/>
      <c r="L305" s="186"/>
      <c r="M305" s="186"/>
      <c r="N305" s="186"/>
      <c r="O305" s="186"/>
      <c r="P305" s="186"/>
      <c r="Q305" s="186"/>
      <c r="R305" s="186"/>
      <c r="S305" s="186"/>
      <c r="T305" s="186"/>
      <c r="U305" s="186"/>
      <c r="V305" s="67"/>
      <c r="W305" s="67"/>
      <c r="X305" s="67"/>
      <c r="Y305" s="187"/>
      <c r="Z305" s="186"/>
      <c r="AA305" s="187"/>
      <c r="AB305" s="187"/>
      <c r="AC305" s="187"/>
      <c r="AD305" s="186"/>
      <c r="AE305" s="186"/>
      <c r="AF305" s="67"/>
      <c r="AG305" s="67"/>
      <c r="AH305" s="67"/>
      <c r="AL305" s="186"/>
    </row>
    <row r="306">
      <c r="A306" s="185"/>
      <c r="B306" s="67"/>
      <c r="C306" s="67"/>
      <c r="D306" s="67"/>
      <c r="E306" s="186"/>
      <c r="F306" s="186"/>
      <c r="G306" s="186"/>
      <c r="H306" s="186"/>
      <c r="I306" s="186"/>
      <c r="J306" s="186"/>
      <c r="K306" s="186"/>
      <c r="L306" s="186"/>
      <c r="M306" s="186"/>
      <c r="N306" s="186"/>
      <c r="O306" s="186"/>
      <c r="P306" s="186"/>
      <c r="Q306" s="186"/>
      <c r="R306" s="186"/>
      <c r="S306" s="186"/>
      <c r="T306" s="186"/>
      <c r="U306" s="186"/>
      <c r="V306" s="67"/>
      <c r="W306" s="67"/>
      <c r="X306" s="67"/>
      <c r="Y306" s="187"/>
      <c r="Z306" s="186"/>
      <c r="AA306" s="187"/>
      <c r="AB306" s="187"/>
      <c r="AC306" s="187"/>
      <c r="AD306" s="186"/>
      <c r="AE306" s="186"/>
      <c r="AF306" s="67"/>
      <c r="AG306" s="67"/>
      <c r="AH306" s="67"/>
      <c r="AL306" s="186"/>
    </row>
    <row r="307">
      <c r="A307" s="185"/>
      <c r="B307" s="67"/>
      <c r="C307" s="67"/>
      <c r="D307" s="67"/>
      <c r="E307" s="186"/>
      <c r="F307" s="186"/>
      <c r="G307" s="186"/>
      <c r="H307" s="186"/>
      <c r="I307" s="186"/>
      <c r="J307" s="186"/>
      <c r="K307" s="186"/>
      <c r="L307" s="186"/>
      <c r="M307" s="186"/>
      <c r="N307" s="186"/>
      <c r="O307" s="186"/>
      <c r="P307" s="186"/>
      <c r="Q307" s="186"/>
      <c r="R307" s="186"/>
      <c r="S307" s="186"/>
      <c r="T307" s="186"/>
      <c r="U307" s="186"/>
      <c r="V307" s="67"/>
      <c r="W307" s="67"/>
      <c r="X307" s="67"/>
      <c r="Y307" s="187"/>
      <c r="Z307" s="186"/>
      <c r="AA307" s="187"/>
      <c r="AB307" s="187"/>
      <c r="AC307" s="187"/>
      <c r="AD307" s="186"/>
      <c r="AE307" s="186"/>
      <c r="AF307" s="67"/>
      <c r="AG307" s="67"/>
      <c r="AH307" s="67"/>
      <c r="AL307" s="186"/>
    </row>
    <row r="308">
      <c r="A308" s="185"/>
      <c r="B308" s="67"/>
      <c r="C308" s="67"/>
      <c r="D308" s="67"/>
      <c r="E308" s="186"/>
      <c r="F308" s="186"/>
      <c r="G308" s="186"/>
      <c r="H308" s="186"/>
      <c r="I308" s="186"/>
      <c r="J308" s="186"/>
      <c r="K308" s="186"/>
      <c r="L308" s="186"/>
      <c r="M308" s="186"/>
      <c r="N308" s="186"/>
      <c r="O308" s="186"/>
      <c r="P308" s="186"/>
      <c r="Q308" s="186"/>
      <c r="R308" s="186"/>
      <c r="S308" s="186"/>
      <c r="T308" s="186"/>
      <c r="U308" s="186"/>
      <c r="V308" s="67"/>
      <c r="W308" s="67"/>
      <c r="X308" s="67"/>
      <c r="Y308" s="187"/>
      <c r="Z308" s="186"/>
      <c r="AA308" s="187"/>
      <c r="AB308" s="187"/>
      <c r="AC308" s="187"/>
      <c r="AD308" s="186"/>
      <c r="AE308" s="186"/>
      <c r="AF308" s="67"/>
      <c r="AG308" s="67"/>
      <c r="AH308" s="67"/>
      <c r="AL308" s="186"/>
    </row>
    <row r="309">
      <c r="A309" s="185"/>
      <c r="B309" s="67"/>
      <c r="C309" s="67"/>
      <c r="D309" s="67"/>
      <c r="E309" s="186"/>
      <c r="F309" s="186"/>
      <c r="G309" s="186"/>
      <c r="H309" s="186"/>
      <c r="I309" s="186"/>
      <c r="J309" s="186"/>
      <c r="K309" s="186"/>
      <c r="L309" s="186"/>
      <c r="M309" s="186"/>
      <c r="N309" s="186"/>
      <c r="O309" s="186"/>
      <c r="P309" s="186"/>
      <c r="Q309" s="186"/>
      <c r="R309" s="186"/>
      <c r="S309" s="186"/>
      <c r="T309" s="186"/>
      <c r="U309" s="186"/>
      <c r="V309" s="67"/>
      <c r="W309" s="67"/>
      <c r="X309" s="67"/>
      <c r="Y309" s="187"/>
      <c r="Z309" s="186"/>
      <c r="AA309" s="187"/>
      <c r="AB309" s="187"/>
      <c r="AC309" s="187"/>
      <c r="AD309" s="186"/>
      <c r="AE309" s="186"/>
      <c r="AF309" s="67"/>
      <c r="AG309" s="67"/>
      <c r="AH309" s="67"/>
      <c r="AL309" s="186"/>
    </row>
    <row r="310">
      <c r="A310" s="185"/>
      <c r="B310" s="67"/>
      <c r="C310" s="67"/>
      <c r="D310" s="67"/>
      <c r="E310" s="186"/>
      <c r="F310" s="186"/>
      <c r="G310" s="186"/>
      <c r="H310" s="186"/>
      <c r="I310" s="186"/>
      <c r="J310" s="186"/>
      <c r="K310" s="186"/>
      <c r="L310" s="186"/>
      <c r="M310" s="186"/>
      <c r="N310" s="186"/>
      <c r="O310" s="186"/>
      <c r="P310" s="186"/>
      <c r="Q310" s="186"/>
      <c r="R310" s="186"/>
      <c r="S310" s="186"/>
      <c r="T310" s="186"/>
      <c r="U310" s="186"/>
      <c r="V310" s="67"/>
      <c r="W310" s="67"/>
      <c r="X310" s="67"/>
      <c r="Y310" s="187"/>
      <c r="Z310" s="186"/>
      <c r="AA310" s="187"/>
      <c r="AB310" s="187"/>
      <c r="AC310" s="187"/>
      <c r="AD310" s="186"/>
      <c r="AE310" s="186"/>
      <c r="AF310" s="67"/>
      <c r="AG310" s="67"/>
      <c r="AH310" s="67"/>
      <c r="AL310" s="186"/>
    </row>
    <row r="311">
      <c r="A311" s="185"/>
      <c r="B311" s="67"/>
      <c r="C311" s="67"/>
      <c r="D311" s="67"/>
      <c r="E311" s="186"/>
      <c r="F311" s="186"/>
      <c r="G311" s="186"/>
      <c r="H311" s="186"/>
      <c r="I311" s="186"/>
      <c r="J311" s="186"/>
      <c r="K311" s="186"/>
      <c r="L311" s="186"/>
      <c r="M311" s="186"/>
      <c r="N311" s="186"/>
      <c r="O311" s="186"/>
      <c r="P311" s="186"/>
      <c r="Q311" s="186"/>
      <c r="R311" s="186"/>
      <c r="S311" s="186"/>
      <c r="T311" s="186"/>
      <c r="U311" s="186"/>
      <c r="V311" s="67"/>
      <c r="W311" s="67"/>
      <c r="X311" s="67"/>
      <c r="Y311" s="187"/>
      <c r="Z311" s="186"/>
      <c r="AA311" s="187"/>
      <c r="AB311" s="187"/>
      <c r="AC311" s="187"/>
      <c r="AD311" s="186"/>
      <c r="AE311" s="186"/>
      <c r="AF311" s="67"/>
      <c r="AG311" s="67"/>
      <c r="AH311" s="67"/>
      <c r="AL311" s="186"/>
    </row>
    <row r="312">
      <c r="A312" s="185"/>
      <c r="B312" s="67"/>
      <c r="C312" s="67"/>
      <c r="D312" s="67"/>
      <c r="E312" s="186"/>
      <c r="F312" s="186"/>
      <c r="G312" s="186"/>
      <c r="H312" s="186"/>
      <c r="I312" s="186"/>
      <c r="J312" s="186"/>
      <c r="K312" s="186"/>
      <c r="L312" s="186"/>
      <c r="M312" s="186"/>
      <c r="N312" s="186"/>
      <c r="O312" s="186"/>
      <c r="P312" s="186"/>
      <c r="Q312" s="186"/>
      <c r="R312" s="186"/>
      <c r="S312" s="186"/>
      <c r="T312" s="186"/>
      <c r="U312" s="186"/>
      <c r="V312" s="67"/>
      <c r="W312" s="67"/>
      <c r="X312" s="67"/>
      <c r="Y312" s="187"/>
      <c r="Z312" s="186"/>
      <c r="AA312" s="187"/>
      <c r="AB312" s="187"/>
      <c r="AC312" s="187"/>
      <c r="AD312" s="186"/>
      <c r="AE312" s="186"/>
      <c r="AF312" s="67"/>
      <c r="AG312" s="67"/>
      <c r="AH312" s="67"/>
      <c r="AL312" s="186"/>
    </row>
    <row r="313">
      <c r="A313" s="185"/>
      <c r="B313" s="67"/>
      <c r="C313" s="67"/>
      <c r="D313" s="67"/>
      <c r="E313" s="186"/>
      <c r="F313" s="186"/>
      <c r="G313" s="186"/>
      <c r="H313" s="186"/>
      <c r="I313" s="186"/>
      <c r="J313" s="186"/>
      <c r="K313" s="186"/>
      <c r="L313" s="186"/>
      <c r="M313" s="186"/>
      <c r="N313" s="186"/>
      <c r="O313" s="186"/>
      <c r="P313" s="186"/>
      <c r="Q313" s="186"/>
      <c r="R313" s="186"/>
      <c r="S313" s="186"/>
      <c r="T313" s="186"/>
      <c r="U313" s="186"/>
      <c r="V313" s="67"/>
      <c r="W313" s="67"/>
      <c r="X313" s="67"/>
      <c r="Y313" s="187"/>
      <c r="Z313" s="186"/>
      <c r="AA313" s="187"/>
      <c r="AB313" s="187"/>
      <c r="AC313" s="187"/>
      <c r="AD313" s="186"/>
      <c r="AE313" s="186"/>
      <c r="AF313" s="67"/>
      <c r="AG313" s="67"/>
      <c r="AH313" s="67"/>
      <c r="AL313" s="186"/>
    </row>
    <row r="314">
      <c r="A314" s="185"/>
      <c r="B314" s="67"/>
      <c r="C314" s="67"/>
      <c r="D314" s="67"/>
      <c r="E314" s="186"/>
      <c r="F314" s="186"/>
      <c r="G314" s="186"/>
      <c r="H314" s="186"/>
      <c r="I314" s="186"/>
      <c r="J314" s="186"/>
      <c r="K314" s="186"/>
      <c r="L314" s="186"/>
      <c r="M314" s="186"/>
      <c r="N314" s="186"/>
      <c r="O314" s="186"/>
      <c r="P314" s="186"/>
      <c r="Q314" s="186"/>
      <c r="R314" s="186"/>
      <c r="S314" s="186"/>
      <c r="T314" s="186"/>
      <c r="U314" s="186"/>
      <c r="V314" s="67"/>
      <c r="W314" s="67"/>
      <c r="X314" s="67"/>
      <c r="Y314" s="187"/>
      <c r="Z314" s="186"/>
      <c r="AA314" s="187"/>
      <c r="AB314" s="187"/>
      <c r="AC314" s="187"/>
      <c r="AD314" s="186"/>
      <c r="AE314" s="186"/>
      <c r="AF314" s="67"/>
      <c r="AG314" s="67"/>
      <c r="AH314" s="67"/>
      <c r="AL314" s="186"/>
    </row>
    <row r="315">
      <c r="A315" s="185"/>
      <c r="B315" s="67"/>
      <c r="C315" s="67"/>
      <c r="D315" s="67"/>
      <c r="E315" s="186"/>
      <c r="F315" s="186"/>
      <c r="G315" s="186"/>
      <c r="H315" s="186"/>
      <c r="I315" s="186"/>
      <c r="J315" s="186"/>
      <c r="K315" s="186"/>
      <c r="L315" s="186"/>
      <c r="M315" s="186"/>
      <c r="N315" s="186"/>
      <c r="O315" s="186"/>
      <c r="P315" s="186"/>
      <c r="Q315" s="186"/>
      <c r="R315" s="186"/>
      <c r="S315" s="186"/>
      <c r="T315" s="186"/>
      <c r="U315" s="186"/>
      <c r="V315" s="67"/>
      <c r="W315" s="67"/>
      <c r="X315" s="67"/>
      <c r="Y315" s="187"/>
      <c r="Z315" s="186"/>
      <c r="AA315" s="187"/>
      <c r="AB315" s="187"/>
      <c r="AC315" s="187"/>
      <c r="AD315" s="186"/>
      <c r="AE315" s="186"/>
      <c r="AF315" s="67"/>
      <c r="AG315" s="67"/>
      <c r="AH315" s="67"/>
      <c r="AL315" s="186"/>
    </row>
    <row r="316">
      <c r="A316" s="185"/>
      <c r="B316" s="67"/>
      <c r="C316" s="67"/>
      <c r="D316" s="67"/>
      <c r="E316" s="186"/>
      <c r="F316" s="186"/>
      <c r="G316" s="186"/>
      <c r="H316" s="186"/>
      <c r="I316" s="186"/>
      <c r="J316" s="186"/>
      <c r="K316" s="186"/>
      <c r="L316" s="186"/>
      <c r="M316" s="186"/>
      <c r="N316" s="186"/>
      <c r="O316" s="186"/>
      <c r="P316" s="186"/>
      <c r="Q316" s="186"/>
      <c r="R316" s="186"/>
      <c r="S316" s="186"/>
      <c r="T316" s="186"/>
      <c r="U316" s="186"/>
      <c r="V316" s="67"/>
      <c r="W316" s="67"/>
      <c r="X316" s="67"/>
      <c r="Y316" s="187"/>
      <c r="Z316" s="186"/>
      <c r="AA316" s="187"/>
      <c r="AB316" s="187"/>
      <c r="AC316" s="187"/>
      <c r="AD316" s="186"/>
      <c r="AE316" s="186"/>
      <c r="AF316" s="67"/>
      <c r="AG316" s="67"/>
      <c r="AH316" s="67"/>
      <c r="AL316" s="186"/>
    </row>
    <row r="317">
      <c r="A317" s="185"/>
      <c r="B317" s="67"/>
      <c r="C317" s="67"/>
      <c r="D317" s="67"/>
      <c r="E317" s="186"/>
      <c r="F317" s="186"/>
      <c r="G317" s="186"/>
      <c r="H317" s="186"/>
      <c r="I317" s="186"/>
      <c r="J317" s="186"/>
      <c r="K317" s="186"/>
      <c r="L317" s="186"/>
      <c r="M317" s="186"/>
      <c r="N317" s="186"/>
      <c r="O317" s="186"/>
      <c r="P317" s="186"/>
      <c r="Q317" s="186"/>
      <c r="R317" s="186"/>
      <c r="S317" s="186"/>
      <c r="T317" s="186"/>
      <c r="U317" s="186"/>
      <c r="V317" s="67"/>
      <c r="W317" s="67"/>
      <c r="X317" s="67"/>
      <c r="Y317" s="187"/>
      <c r="Z317" s="186"/>
      <c r="AA317" s="187"/>
      <c r="AB317" s="187"/>
      <c r="AC317" s="187"/>
      <c r="AD317" s="186"/>
      <c r="AE317" s="186"/>
      <c r="AF317" s="67"/>
      <c r="AG317" s="67"/>
      <c r="AH317" s="67"/>
      <c r="AL317" s="186"/>
    </row>
    <row r="318">
      <c r="A318" s="185"/>
      <c r="B318" s="67"/>
      <c r="C318" s="67"/>
      <c r="D318" s="67"/>
      <c r="E318" s="186"/>
      <c r="F318" s="186"/>
      <c r="G318" s="186"/>
      <c r="H318" s="186"/>
      <c r="I318" s="186"/>
      <c r="J318" s="186"/>
      <c r="K318" s="186"/>
      <c r="L318" s="186"/>
      <c r="M318" s="186"/>
      <c r="N318" s="186"/>
      <c r="O318" s="186"/>
      <c r="P318" s="186"/>
      <c r="Q318" s="186"/>
      <c r="R318" s="186"/>
      <c r="S318" s="186"/>
      <c r="T318" s="186"/>
      <c r="U318" s="186"/>
      <c r="V318" s="67"/>
      <c r="W318" s="67"/>
      <c r="X318" s="67"/>
      <c r="Y318" s="187"/>
      <c r="Z318" s="186"/>
      <c r="AA318" s="187"/>
      <c r="AB318" s="187"/>
      <c r="AC318" s="187"/>
      <c r="AD318" s="186"/>
      <c r="AE318" s="186"/>
      <c r="AF318" s="67"/>
      <c r="AG318" s="67"/>
      <c r="AH318" s="67"/>
      <c r="AL318" s="186"/>
    </row>
    <row r="319">
      <c r="A319" s="185"/>
      <c r="B319" s="67"/>
      <c r="C319" s="67"/>
      <c r="D319" s="67"/>
      <c r="E319" s="186"/>
      <c r="F319" s="186"/>
      <c r="G319" s="186"/>
      <c r="H319" s="186"/>
      <c r="I319" s="186"/>
      <c r="J319" s="186"/>
      <c r="K319" s="186"/>
      <c r="L319" s="186"/>
      <c r="M319" s="186"/>
      <c r="N319" s="186"/>
      <c r="O319" s="186"/>
      <c r="P319" s="186"/>
      <c r="Q319" s="186"/>
      <c r="R319" s="186"/>
      <c r="S319" s="186"/>
      <c r="T319" s="186"/>
      <c r="U319" s="186"/>
      <c r="V319" s="67"/>
      <c r="W319" s="67"/>
      <c r="X319" s="67"/>
      <c r="Y319" s="187"/>
      <c r="Z319" s="186"/>
      <c r="AA319" s="187"/>
      <c r="AB319" s="187"/>
      <c r="AC319" s="187"/>
      <c r="AD319" s="186"/>
      <c r="AE319" s="186"/>
      <c r="AF319" s="67"/>
      <c r="AG319" s="67"/>
      <c r="AH319" s="67"/>
      <c r="AL319" s="186"/>
    </row>
    <row r="320">
      <c r="A320" s="185"/>
      <c r="B320" s="67"/>
      <c r="C320" s="67"/>
      <c r="D320" s="67"/>
      <c r="E320" s="186"/>
      <c r="F320" s="186"/>
      <c r="G320" s="186"/>
      <c r="H320" s="186"/>
      <c r="I320" s="186"/>
      <c r="J320" s="186"/>
      <c r="K320" s="186"/>
      <c r="L320" s="186"/>
      <c r="M320" s="186"/>
      <c r="N320" s="186"/>
      <c r="O320" s="186"/>
      <c r="P320" s="186"/>
      <c r="Q320" s="186"/>
      <c r="R320" s="186"/>
      <c r="S320" s="186"/>
      <c r="T320" s="186"/>
      <c r="U320" s="186"/>
      <c r="V320" s="67"/>
      <c r="W320" s="67"/>
      <c r="X320" s="67"/>
      <c r="Y320" s="187"/>
      <c r="Z320" s="186"/>
      <c r="AA320" s="187"/>
      <c r="AB320" s="187"/>
      <c r="AC320" s="187"/>
      <c r="AD320" s="186"/>
      <c r="AE320" s="186"/>
      <c r="AF320" s="67"/>
      <c r="AG320" s="67"/>
      <c r="AH320" s="67"/>
      <c r="AL320" s="186"/>
    </row>
    <row r="321">
      <c r="A321" s="185"/>
      <c r="B321" s="67"/>
      <c r="C321" s="67"/>
      <c r="D321" s="67"/>
      <c r="E321" s="186"/>
      <c r="F321" s="186"/>
      <c r="G321" s="186"/>
      <c r="H321" s="186"/>
      <c r="I321" s="186"/>
      <c r="J321" s="186"/>
      <c r="K321" s="186"/>
      <c r="L321" s="186"/>
      <c r="M321" s="186"/>
      <c r="N321" s="186"/>
      <c r="O321" s="186"/>
      <c r="P321" s="186"/>
      <c r="Q321" s="186"/>
      <c r="R321" s="186"/>
      <c r="S321" s="186"/>
      <c r="T321" s="186"/>
      <c r="U321" s="186"/>
      <c r="V321" s="67"/>
      <c r="W321" s="67"/>
      <c r="X321" s="67"/>
      <c r="Y321" s="187"/>
      <c r="Z321" s="186"/>
      <c r="AA321" s="187"/>
      <c r="AB321" s="187"/>
      <c r="AC321" s="187"/>
      <c r="AD321" s="186"/>
      <c r="AE321" s="186"/>
      <c r="AF321" s="67"/>
      <c r="AG321" s="67"/>
      <c r="AH321" s="67"/>
      <c r="AL321" s="186"/>
    </row>
    <row r="322">
      <c r="A322" s="185"/>
      <c r="B322" s="67"/>
      <c r="C322" s="67"/>
      <c r="D322" s="67"/>
      <c r="E322" s="186"/>
      <c r="F322" s="186"/>
      <c r="G322" s="186"/>
      <c r="H322" s="186"/>
      <c r="I322" s="186"/>
      <c r="J322" s="186"/>
      <c r="K322" s="186"/>
      <c r="L322" s="186"/>
      <c r="M322" s="186"/>
      <c r="N322" s="186"/>
      <c r="O322" s="186"/>
      <c r="P322" s="186"/>
      <c r="Q322" s="186"/>
      <c r="R322" s="186"/>
      <c r="S322" s="186"/>
      <c r="T322" s="186"/>
      <c r="U322" s="186"/>
      <c r="V322" s="67"/>
      <c r="W322" s="67"/>
      <c r="X322" s="67"/>
      <c r="Y322" s="187"/>
      <c r="Z322" s="186"/>
      <c r="AA322" s="187"/>
      <c r="AB322" s="187"/>
      <c r="AC322" s="187"/>
      <c r="AD322" s="186"/>
      <c r="AE322" s="186"/>
      <c r="AF322" s="67"/>
      <c r="AG322" s="67"/>
      <c r="AH322" s="67"/>
      <c r="AL322" s="186"/>
    </row>
    <row r="323">
      <c r="A323" s="185"/>
      <c r="B323" s="67"/>
      <c r="C323" s="67"/>
      <c r="D323" s="67"/>
      <c r="E323" s="186"/>
      <c r="F323" s="186"/>
      <c r="G323" s="186"/>
      <c r="H323" s="186"/>
      <c r="I323" s="186"/>
      <c r="J323" s="186"/>
      <c r="K323" s="186"/>
      <c r="L323" s="186"/>
      <c r="M323" s="186"/>
      <c r="N323" s="186"/>
      <c r="O323" s="186"/>
      <c r="P323" s="186"/>
      <c r="Q323" s="186"/>
      <c r="R323" s="186"/>
      <c r="S323" s="186"/>
      <c r="T323" s="186"/>
      <c r="U323" s="186"/>
      <c r="V323" s="67"/>
      <c r="W323" s="67"/>
      <c r="X323" s="67"/>
      <c r="Y323" s="187"/>
      <c r="Z323" s="186"/>
      <c r="AA323" s="187"/>
      <c r="AB323" s="187"/>
      <c r="AC323" s="187"/>
      <c r="AD323" s="186"/>
      <c r="AE323" s="186"/>
      <c r="AF323" s="67"/>
      <c r="AG323" s="67"/>
      <c r="AH323" s="67"/>
      <c r="AL323" s="186"/>
    </row>
    <row r="324">
      <c r="A324" s="185"/>
      <c r="B324" s="67"/>
      <c r="C324" s="67"/>
      <c r="D324" s="67"/>
      <c r="E324" s="186"/>
      <c r="F324" s="186"/>
      <c r="G324" s="186"/>
      <c r="H324" s="186"/>
      <c r="I324" s="186"/>
      <c r="J324" s="186"/>
      <c r="K324" s="186"/>
      <c r="L324" s="186"/>
      <c r="M324" s="186"/>
      <c r="N324" s="186"/>
      <c r="O324" s="186"/>
      <c r="P324" s="186"/>
      <c r="Q324" s="186"/>
      <c r="R324" s="186"/>
      <c r="S324" s="186"/>
      <c r="T324" s="186"/>
      <c r="U324" s="186"/>
      <c r="V324" s="67"/>
      <c r="W324" s="67"/>
      <c r="X324" s="67"/>
      <c r="Y324" s="187"/>
      <c r="Z324" s="186"/>
      <c r="AA324" s="187"/>
      <c r="AB324" s="187"/>
      <c r="AC324" s="187"/>
      <c r="AD324" s="186"/>
      <c r="AE324" s="186"/>
      <c r="AF324" s="67"/>
      <c r="AG324" s="67"/>
      <c r="AH324" s="67"/>
      <c r="AL324" s="186"/>
    </row>
    <row r="325">
      <c r="A325" s="185"/>
      <c r="B325" s="67"/>
      <c r="C325" s="67"/>
      <c r="D325" s="67"/>
      <c r="E325" s="186"/>
      <c r="F325" s="186"/>
      <c r="G325" s="186"/>
      <c r="H325" s="186"/>
      <c r="I325" s="186"/>
      <c r="J325" s="186"/>
      <c r="K325" s="186"/>
      <c r="L325" s="186"/>
      <c r="M325" s="186"/>
      <c r="N325" s="186"/>
      <c r="O325" s="186"/>
      <c r="P325" s="186"/>
      <c r="Q325" s="186"/>
      <c r="R325" s="186"/>
      <c r="S325" s="186"/>
      <c r="T325" s="186"/>
      <c r="U325" s="186"/>
      <c r="V325" s="67"/>
      <c r="W325" s="67"/>
      <c r="X325" s="67"/>
      <c r="Y325" s="187"/>
      <c r="Z325" s="186"/>
      <c r="AA325" s="187"/>
      <c r="AB325" s="187"/>
      <c r="AC325" s="187"/>
      <c r="AD325" s="186"/>
      <c r="AE325" s="186"/>
      <c r="AF325" s="67"/>
      <c r="AG325" s="67"/>
      <c r="AH325" s="67"/>
      <c r="AL325" s="186"/>
    </row>
    <row r="326">
      <c r="A326" s="185"/>
      <c r="B326" s="67"/>
      <c r="C326" s="67"/>
      <c r="D326" s="67"/>
      <c r="E326" s="186"/>
      <c r="F326" s="186"/>
      <c r="G326" s="186"/>
      <c r="H326" s="186"/>
      <c r="I326" s="186"/>
      <c r="J326" s="186"/>
      <c r="K326" s="186"/>
      <c r="L326" s="186"/>
      <c r="M326" s="186"/>
      <c r="N326" s="186"/>
      <c r="O326" s="186"/>
      <c r="P326" s="186"/>
      <c r="Q326" s="186"/>
      <c r="R326" s="186"/>
      <c r="S326" s="186"/>
      <c r="T326" s="186"/>
      <c r="U326" s="186"/>
      <c r="V326" s="67"/>
      <c r="W326" s="67"/>
      <c r="X326" s="67"/>
      <c r="Y326" s="187"/>
      <c r="Z326" s="186"/>
      <c r="AA326" s="187"/>
      <c r="AB326" s="187"/>
      <c r="AC326" s="187"/>
      <c r="AD326" s="186"/>
      <c r="AE326" s="186"/>
      <c r="AF326" s="67"/>
      <c r="AG326" s="67"/>
      <c r="AH326" s="67"/>
      <c r="AL326" s="186"/>
    </row>
    <row r="327">
      <c r="A327" s="185"/>
      <c r="B327" s="67"/>
      <c r="C327" s="67"/>
      <c r="D327" s="67"/>
      <c r="E327" s="186"/>
      <c r="F327" s="186"/>
      <c r="G327" s="186"/>
      <c r="H327" s="186"/>
      <c r="I327" s="186"/>
      <c r="J327" s="186"/>
      <c r="K327" s="186"/>
      <c r="L327" s="186"/>
      <c r="M327" s="186"/>
      <c r="N327" s="186"/>
      <c r="O327" s="186"/>
      <c r="P327" s="186"/>
      <c r="Q327" s="186"/>
      <c r="R327" s="186"/>
      <c r="S327" s="186"/>
      <c r="T327" s="186"/>
      <c r="U327" s="186"/>
      <c r="V327" s="67"/>
      <c r="W327" s="67"/>
      <c r="X327" s="67"/>
      <c r="Y327" s="187"/>
      <c r="Z327" s="186"/>
      <c r="AA327" s="187"/>
      <c r="AB327" s="187"/>
      <c r="AC327" s="187"/>
      <c r="AD327" s="186"/>
      <c r="AE327" s="186"/>
      <c r="AF327" s="67"/>
      <c r="AG327" s="67"/>
      <c r="AH327" s="67"/>
      <c r="AL327" s="186"/>
    </row>
    <row r="328">
      <c r="A328" s="185"/>
      <c r="B328" s="67"/>
      <c r="C328" s="67"/>
      <c r="D328" s="67"/>
      <c r="E328" s="186"/>
      <c r="F328" s="186"/>
      <c r="G328" s="186"/>
      <c r="H328" s="186"/>
      <c r="I328" s="186"/>
      <c r="J328" s="186"/>
      <c r="K328" s="186"/>
      <c r="L328" s="186"/>
      <c r="M328" s="186"/>
      <c r="N328" s="186"/>
      <c r="O328" s="186"/>
      <c r="P328" s="186"/>
      <c r="Q328" s="186"/>
      <c r="R328" s="186"/>
      <c r="S328" s="186"/>
      <c r="T328" s="186"/>
      <c r="U328" s="186"/>
      <c r="V328" s="67"/>
      <c r="W328" s="67"/>
      <c r="X328" s="67"/>
      <c r="Y328" s="187"/>
      <c r="Z328" s="186"/>
      <c r="AA328" s="187"/>
      <c r="AB328" s="187"/>
      <c r="AC328" s="187"/>
      <c r="AD328" s="186"/>
      <c r="AE328" s="186"/>
      <c r="AF328" s="67"/>
      <c r="AG328" s="67"/>
      <c r="AH328" s="67"/>
      <c r="AL328" s="186"/>
    </row>
    <row r="329">
      <c r="A329" s="185"/>
      <c r="B329" s="67"/>
      <c r="C329" s="67"/>
      <c r="D329" s="67"/>
      <c r="E329" s="186"/>
      <c r="F329" s="186"/>
      <c r="G329" s="186"/>
      <c r="H329" s="186"/>
      <c r="I329" s="186"/>
      <c r="J329" s="186"/>
      <c r="K329" s="186"/>
      <c r="L329" s="186"/>
      <c r="M329" s="186"/>
      <c r="N329" s="186"/>
      <c r="O329" s="186"/>
      <c r="P329" s="186"/>
      <c r="Q329" s="186"/>
      <c r="R329" s="186"/>
      <c r="S329" s="186"/>
      <c r="T329" s="186"/>
      <c r="U329" s="186"/>
      <c r="V329" s="67"/>
      <c r="W329" s="67"/>
      <c r="X329" s="67"/>
      <c r="Y329" s="187"/>
      <c r="Z329" s="186"/>
      <c r="AA329" s="187"/>
      <c r="AB329" s="187"/>
      <c r="AC329" s="187"/>
      <c r="AD329" s="186"/>
      <c r="AE329" s="186"/>
      <c r="AF329" s="67"/>
      <c r="AG329" s="67"/>
      <c r="AH329" s="67"/>
      <c r="AL329" s="186"/>
    </row>
    <row r="330">
      <c r="A330" s="185"/>
      <c r="B330" s="67"/>
      <c r="C330" s="67"/>
      <c r="D330" s="67"/>
      <c r="E330" s="186"/>
      <c r="F330" s="186"/>
      <c r="G330" s="186"/>
      <c r="H330" s="186"/>
      <c r="I330" s="186"/>
      <c r="J330" s="186"/>
      <c r="K330" s="186"/>
      <c r="L330" s="186"/>
      <c r="M330" s="186"/>
      <c r="N330" s="186"/>
      <c r="O330" s="186"/>
      <c r="P330" s="186"/>
      <c r="Q330" s="186"/>
      <c r="R330" s="186"/>
      <c r="S330" s="186"/>
      <c r="T330" s="186"/>
      <c r="U330" s="186"/>
      <c r="V330" s="67"/>
      <c r="W330" s="67"/>
      <c r="X330" s="67"/>
      <c r="Y330" s="187"/>
      <c r="Z330" s="186"/>
      <c r="AA330" s="187"/>
      <c r="AB330" s="187"/>
      <c r="AC330" s="187"/>
      <c r="AD330" s="186"/>
      <c r="AE330" s="186"/>
      <c r="AF330" s="67"/>
      <c r="AG330" s="67"/>
      <c r="AH330" s="67"/>
      <c r="AL330" s="186"/>
    </row>
    <row r="331">
      <c r="A331" s="185"/>
      <c r="B331" s="67"/>
      <c r="C331" s="67"/>
      <c r="D331" s="67"/>
      <c r="E331" s="186"/>
      <c r="F331" s="186"/>
      <c r="G331" s="186"/>
      <c r="H331" s="186"/>
      <c r="I331" s="186"/>
      <c r="J331" s="186"/>
      <c r="K331" s="186"/>
      <c r="L331" s="186"/>
      <c r="M331" s="186"/>
      <c r="N331" s="186"/>
      <c r="O331" s="186"/>
      <c r="P331" s="186"/>
      <c r="Q331" s="186"/>
      <c r="R331" s="186"/>
      <c r="S331" s="186"/>
      <c r="T331" s="186"/>
      <c r="U331" s="186"/>
      <c r="V331" s="67"/>
      <c r="W331" s="67"/>
      <c r="X331" s="67"/>
      <c r="Y331" s="187"/>
      <c r="Z331" s="186"/>
      <c r="AA331" s="187"/>
      <c r="AB331" s="187"/>
      <c r="AC331" s="187"/>
      <c r="AD331" s="186"/>
      <c r="AE331" s="186"/>
      <c r="AF331" s="67"/>
      <c r="AG331" s="67"/>
      <c r="AH331" s="67"/>
      <c r="AL331" s="186"/>
    </row>
    <row r="332">
      <c r="A332" s="185"/>
      <c r="B332" s="67"/>
      <c r="C332" s="67"/>
      <c r="D332" s="67"/>
      <c r="E332" s="186"/>
      <c r="F332" s="186"/>
      <c r="G332" s="186"/>
      <c r="H332" s="186"/>
      <c r="I332" s="186"/>
      <c r="J332" s="186"/>
      <c r="K332" s="186"/>
      <c r="L332" s="186"/>
      <c r="M332" s="186"/>
      <c r="N332" s="186"/>
      <c r="O332" s="186"/>
      <c r="P332" s="186"/>
      <c r="Q332" s="186"/>
      <c r="R332" s="186"/>
      <c r="S332" s="186"/>
      <c r="T332" s="186"/>
      <c r="U332" s="186"/>
      <c r="V332" s="67"/>
      <c r="W332" s="67"/>
      <c r="X332" s="67"/>
      <c r="Y332" s="187"/>
      <c r="Z332" s="186"/>
      <c r="AA332" s="187"/>
      <c r="AB332" s="187"/>
      <c r="AC332" s="187"/>
      <c r="AD332" s="186"/>
      <c r="AE332" s="186"/>
      <c r="AF332" s="67"/>
      <c r="AG332" s="67"/>
      <c r="AH332" s="67"/>
      <c r="AL332" s="186"/>
    </row>
    <row r="333">
      <c r="A333" s="185"/>
      <c r="B333" s="67"/>
      <c r="C333" s="67"/>
      <c r="D333" s="67"/>
      <c r="E333" s="186"/>
      <c r="F333" s="186"/>
      <c r="G333" s="186"/>
      <c r="H333" s="186"/>
      <c r="I333" s="186"/>
      <c r="J333" s="186"/>
      <c r="K333" s="186"/>
      <c r="L333" s="186"/>
      <c r="M333" s="186"/>
      <c r="N333" s="186"/>
      <c r="O333" s="186"/>
      <c r="P333" s="186"/>
      <c r="Q333" s="186"/>
      <c r="R333" s="186"/>
      <c r="S333" s="186"/>
      <c r="T333" s="186"/>
      <c r="U333" s="186"/>
      <c r="V333" s="67"/>
      <c r="W333" s="67"/>
      <c r="X333" s="67"/>
      <c r="Y333" s="187"/>
      <c r="Z333" s="186"/>
      <c r="AA333" s="187"/>
      <c r="AB333" s="187"/>
      <c r="AC333" s="187"/>
      <c r="AD333" s="186"/>
      <c r="AE333" s="186"/>
      <c r="AF333" s="67"/>
      <c r="AG333" s="67"/>
      <c r="AH333" s="67"/>
      <c r="AL333" s="186"/>
    </row>
    <row r="334">
      <c r="A334" s="185"/>
      <c r="B334" s="67"/>
      <c r="C334" s="67"/>
      <c r="D334" s="67"/>
      <c r="E334" s="186"/>
      <c r="F334" s="186"/>
      <c r="G334" s="186"/>
      <c r="H334" s="186"/>
      <c r="I334" s="186"/>
      <c r="J334" s="186"/>
      <c r="K334" s="186"/>
      <c r="L334" s="186"/>
      <c r="M334" s="186"/>
      <c r="N334" s="186"/>
      <c r="O334" s="186"/>
      <c r="P334" s="186"/>
      <c r="Q334" s="186"/>
      <c r="R334" s="186"/>
      <c r="S334" s="186"/>
      <c r="T334" s="186"/>
      <c r="U334" s="186"/>
      <c r="V334" s="67"/>
      <c r="W334" s="67"/>
      <c r="X334" s="67"/>
      <c r="Y334" s="187"/>
      <c r="Z334" s="186"/>
      <c r="AA334" s="187"/>
      <c r="AB334" s="187"/>
      <c r="AC334" s="187"/>
      <c r="AD334" s="186"/>
      <c r="AE334" s="186"/>
      <c r="AF334" s="67"/>
      <c r="AG334" s="67"/>
      <c r="AH334" s="67"/>
      <c r="AL334" s="186"/>
    </row>
    <row r="335">
      <c r="A335" s="185"/>
      <c r="B335" s="67"/>
      <c r="C335" s="67"/>
      <c r="D335" s="67"/>
      <c r="E335" s="186"/>
      <c r="F335" s="186"/>
      <c r="G335" s="186"/>
      <c r="H335" s="186"/>
      <c r="I335" s="186"/>
      <c r="J335" s="186"/>
      <c r="K335" s="186"/>
      <c r="L335" s="186"/>
      <c r="M335" s="186"/>
      <c r="N335" s="186"/>
      <c r="O335" s="186"/>
      <c r="P335" s="186"/>
      <c r="Q335" s="186"/>
      <c r="R335" s="186"/>
      <c r="S335" s="186"/>
      <c r="T335" s="186"/>
      <c r="U335" s="186"/>
      <c r="V335" s="67"/>
      <c r="W335" s="67"/>
      <c r="X335" s="67"/>
      <c r="Y335" s="187"/>
      <c r="Z335" s="186"/>
      <c r="AA335" s="187"/>
      <c r="AB335" s="187"/>
      <c r="AC335" s="187"/>
      <c r="AD335" s="186"/>
      <c r="AE335" s="186"/>
      <c r="AF335" s="67"/>
      <c r="AG335" s="67"/>
      <c r="AH335" s="67"/>
      <c r="AL335" s="186"/>
    </row>
    <row r="336">
      <c r="A336" s="185"/>
      <c r="B336" s="67"/>
      <c r="C336" s="67"/>
      <c r="D336" s="67"/>
      <c r="E336" s="186"/>
      <c r="F336" s="186"/>
      <c r="G336" s="186"/>
      <c r="H336" s="186"/>
      <c r="I336" s="186"/>
      <c r="J336" s="186"/>
      <c r="K336" s="186"/>
      <c r="L336" s="186"/>
      <c r="M336" s="186"/>
      <c r="N336" s="186"/>
      <c r="O336" s="186"/>
      <c r="P336" s="186"/>
      <c r="Q336" s="186"/>
      <c r="R336" s="186"/>
      <c r="S336" s="186"/>
      <c r="T336" s="186"/>
      <c r="U336" s="186"/>
      <c r="V336" s="67"/>
      <c r="W336" s="67"/>
      <c r="X336" s="67"/>
      <c r="Y336" s="187"/>
      <c r="Z336" s="186"/>
      <c r="AA336" s="187"/>
      <c r="AB336" s="187"/>
      <c r="AC336" s="187"/>
      <c r="AD336" s="186"/>
      <c r="AE336" s="186"/>
      <c r="AF336" s="67"/>
      <c r="AG336" s="67"/>
      <c r="AH336" s="67"/>
      <c r="AL336" s="186"/>
    </row>
    <row r="337">
      <c r="A337" s="185"/>
      <c r="B337" s="67"/>
      <c r="C337" s="67"/>
      <c r="D337" s="67"/>
      <c r="E337" s="186"/>
      <c r="F337" s="186"/>
      <c r="G337" s="186"/>
      <c r="H337" s="186"/>
      <c r="I337" s="186"/>
      <c r="J337" s="186"/>
      <c r="K337" s="186"/>
      <c r="L337" s="186"/>
      <c r="M337" s="186"/>
      <c r="N337" s="186"/>
      <c r="O337" s="186"/>
      <c r="P337" s="186"/>
      <c r="Q337" s="186"/>
      <c r="R337" s="186"/>
      <c r="S337" s="186"/>
      <c r="T337" s="186"/>
      <c r="U337" s="186"/>
      <c r="V337" s="67"/>
      <c r="W337" s="67"/>
      <c r="X337" s="67"/>
      <c r="Y337" s="187"/>
      <c r="Z337" s="186"/>
      <c r="AA337" s="187"/>
      <c r="AB337" s="187"/>
      <c r="AC337" s="187"/>
      <c r="AD337" s="186"/>
      <c r="AE337" s="186"/>
      <c r="AF337" s="67"/>
      <c r="AG337" s="67"/>
      <c r="AH337" s="67"/>
      <c r="AL337" s="186"/>
    </row>
    <row r="338">
      <c r="A338" s="185"/>
      <c r="B338" s="67"/>
      <c r="C338" s="67"/>
      <c r="D338" s="67"/>
      <c r="E338" s="186"/>
      <c r="F338" s="186"/>
      <c r="G338" s="186"/>
      <c r="H338" s="186"/>
      <c r="I338" s="186"/>
      <c r="J338" s="186"/>
      <c r="K338" s="186"/>
      <c r="L338" s="186"/>
      <c r="M338" s="186"/>
      <c r="N338" s="186"/>
      <c r="O338" s="186"/>
      <c r="P338" s="186"/>
      <c r="Q338" s="186"/>
      <c r="R338" s="186"/>
      <c r="S338" s="186"/>
      <c r="T338" s="186"/>
      <c r="U338" s="186"/>
      <c r="V338" s="67"/>
      <c r="W338" s="67"/>
      <c r="X338" s="67"/>
      <c r="Y338" s="187"/>
      <c r="Z338" s="186"/>
      <c r="AA338" s="187"/>
      <c r="AB338" s="187"/>
      <c r="AC338" s="187"/>
      <c r="AD338" s="186"/>
      <c r="AE338" s="186"/>
      <c r="AF338" s="67"/>
      <c r="AG338" s="67"/>
      <c r="AH338" s="67"/>
      <c r="AL338" s="186"/>
    </row>
    <row r="339">
      <c r="A339" s="185"/>
      <c r="B339" s="67"/>
      <c r="C339" s="67"/>
      <c r="D339" s="67"/>
      <c r="E339" s="186"/>
      <c r="F339" s="186"/>
      <c r="G339" s="186"/>
      <c r="H339" s="186"/>
      <c r="I339" s="186"/>
      <c r="J339" s="186"/>
      <c r="K339" s="186"/>
      <c r="L339" s="186"/>
      <c r="M339" s="186"/>
      <c r="N339" s="186"/>
      <c r="O339" s="186"/>
      <c r="P339" s="186"/>
      <c r="Q339" s="186"/>
      <c r="R339" s="186"/>
      <c r="S339" s="186"/>
      <c r="T339" s="186"/>
      <c r="U339" s="186"/>
      <c r="V339" s="67"/>
      <c r="W339" s="67"/>
      <c r="X339" s="67"/>
      <c r="Y339" s="187"/>
      <c r="Z339" s="186"/>
      <c r="AA339" s="187"/>
      <c r="AB339" s="187"/>
      <c r="AC339" s="187"/>
      <c r="AD339" s="186"/>
      <c r="AE339" s="186"/>
      <c r="AF339" s="67"/>
      <c r="AG339" s="67"/>
      <c r="AH339" s="67"/>
      <c r="AL339" s="186"/>
    </row>
    <row r="340">
      <c r="A340" s="185"/>
      <c r="B340" s="67"/>
      <c r="C340" s="67"/>
      <c r="D340" s="67"/>
      <c r="E340" s="186"/>
      <c r="F340" s="186"/>
      <c r="G340" s="186"/>
      <c r="H340" s="186"/>
      <c r="I340" s="186"/>
      <c r="J340" s="186"/>
      <c r="K340" s="186"/>
      <c r="L340" s="186"/>
      <c r="M340" s="186"/>
      <c r="N340" s="186"/>
      <c r="O340" s="186"/>
      <c r="P340" s="186"/>
      <c r="Q340" s="186"/>
      <c r="R340" s="186"/>
      <c r="S340" s="186"/>
      <c r="T340" s="186"/>
      <c r="U340" s="186"/>
      <c r="V340" s="67"/>
      <c r="W340" s="67"/>
      <c r="X340" s="67"/>
      <c r="Y340" s="187"/>
      <c r="Z340" s="186"/>
      <c r="AA340" s="187"/>
      <c r="AB340" s="187"/>
      <c r="AC340" s="187"/>
      <c r="AD340" s="186"/>
      <c r="AE340" s="186"/>
      <c r="AF340" s="67"/>
      <c r="AG340" s="67"/>
      <c r="AH340" s="67"/>
      <c r="AL340" s="186"/>
    </row>
    <row r="341">
      <c r="A341" s="185"/>
      <c r="B341" s="67"/>
      <c r="C341" s="67"/>
      <c r="D341" s="67"/>
      <c r="E341" s="186"/>
      <c r="F341" s="186"/>
      <c r="G341" s="186"/>
      <c r="H341" s="186"/>
      <c r="I341" s="186"/>
      <c r="J341" s="186"/>
      <c r="K341" s="186"/>
      <c r="L341" s="186"/>
      <c r="M341" s="186"/>
      <c r="N341" s="186"/>
      <c r="O341" s="186"/>
      <c r="P341" s="186"/>
      <c r="Q341" s="186"/>
      <c r="R341" s="186"/>
      <c r="S341" s="186"/>
      <c r="T341" s="186"/>
      <c r="U341" s="186"/>
      <c r="V341" s="67"/>
      <c r="W341" s="67"/>
      <c r="X341" s="67"/>
      <c r="Y341" s="187"/>
      <c r="Z341" s="186"/>
      <c r="AA341" s="187"/>
      <c r="AB341" s="187"/>
      <c r="AC341" s="187"/>
      <c r="AD341" s="186"/>
      <c r="AE341" s="186"/>
      <c r="AF341" s="67"/>
      <c r="AG341" s="67"/>
      <c r="AH341" s="67"/>
      <c r="AL341" s="186"/>
    </row>
    <row r="342">
      <c r="A342" s="185"/>
      <c r="B342" s="67"/>
      <c r="C342" s="67"/>
      <c r="D342" s="67"/>
      <c r="E342" s="186"/>
      <c r="F342" s="186"/>
      <c r="G342" s="186"/>
      <c r="H342" s="186"/>
      <c r="I342" s="186"/>
      <c r="J342" s="186"/>
      <c r="K342" s="186"/>
      <c r="L342" s="186"/>
      <c r="M342" s="186"/>
      <c r="N342" s="186"/>
      <c r="O342" s="186"/>
      <c r="P342" s="186"/>
      <c r="Q342" s="186"/>
      <c r="R342" s="186"/>
      <c r="S342" s="186"/>
      <c r="T342" s="186"/>
      <c r="U342" s="186"/>
      <c r="V342" s="67"/>
      <c r="W342" s="67"/>
      <c r="X342" s="67"/>
      <c r="Y342" s="187"/>
      <c r="Z342" s="186"/>
      <c r="AA342" s="187"/>
      <c r="AB342" s="187"/>
      <c r="AC342" s="187"/>
      <c r="AD342" s="186"/>
      <c r="AE342" s="186"/>
      <c r="AF342" s="67"/>
      <c r="AG342" s="67"/>
      <c r="AH342" s="67"/>
      <c r="AL342" s="186"/>
    </row>
    <row r="343">
      <c r="A343" s="185"/>
      <c r="B343" s="67"/>
      <c r="C343" s="67"/>
      <c r="D343" s="67"/>
      <c r="E343" s="186"/>
      <c r="F343" s="186"/>
      <c r="G343" s="186"/>
      <c r="H343" s="186"/>
      <c r="I343" s="186"/>
      <c r="J343" s="186"/>
      <c r="K343" s="186"/>
      <c r="L343" s="186"/>
      <c r="M343" s="186"/>
      <c r="N343" s="186"/>
      <c r="O343" s="186"/>
      <c r="P343" s="186"/>
      <c r="Q343" s="186"/>
      <c r="R343" s="186"/>
      <c r="S343" s="186"/>
      <c r="T343" s="186"/>
      <c r="U343" s="186"/>
      <c r="V343" s="67"/>
      <c r="W343" s="67"/>
      <c r="X343" s="67"/>
      <c r="Y343" s="187"/>
      <c r="Z343" s="186"/>
      <c r="AA343" s="187"/>
      <c r="AB343" s="187"/>
      <c r="AC343" s="187"/>
      <c r="AD343" s="186"/>
      <c r="AE343" s="186"/>
      <c r="AF343" s="67"/>
      <c r="AG343" s="67"/>
      <c r="AH343" s="67"/>
      <c r="AL343" s="186"/>
    </row>
    <row r="344">
      <c r="A344" s="185"/>
      <c r="B344" s="67"/>
      <c r="C344" s="67"/>
      <c r="D344" s="67"/>
      <c r="E344" s="186"/>
      <c r="F344" s="186"/>
      <c r="G344" s="186"/>
      <c r="H344" s="186"/>
      <c r="I344" s="186"/>
      <c r="J344" s="186"/>
      <c r="K344" s="186"/>
      <c r="L344" s="186"/>
      <c r="M344" s="186"/>
      <c r="N344" s="186"/>
      <c r="O344" s="186"/>
      <c r="P344" s="186"/>
      <c r="Q344" s="186"/>
      <c r="R344" s="186"/>
      <c r="S344" s="186"/>
      <c r="T344" s="186"/>
      <c r="U344" s="186"/>
      <c r="V344" s="67"/>
      <c r="W344" s="67"/>
      <c r="X344" s="67"/>
      <c r="Y344" s="187"/>
      <c r="Z344" s="186"/>
      <c r="AA344" s="187"/>
      <c r="AB344" s="187"/>
      <c r="AC344" s="187"/>
      <c r="AD344" s="186"/>
      <c r="AE344" s="186"/>
      <c r="AF344" s="67"/>
      <c r="AG344" s="67"/>
      <c r="AH344" s="67"/>
      <c r="AL344" s="186"/>
    </row>
    <row r="345">
      <c r="A345" s="185"/>
      <c r="B345" s="67"/>
      <c r="C345" s="67"/>
      <c r="D345" s="67"/>
      <c r="E345" s="186"/>
      <c r="F345" s="186"/>
      <c r="G345" s="186"/>
      <c r="H345" s="186"/>
      <c r="I345" s="186"/>
      <c r="J345" s="186"/>
      <c r="K345" s="186"/>
      <c r="L345" s="186"/>
      <c r="M345" s="186"/>
      <c r="N345" s="186"/>
      <c r="O345" s="186"/>
      <c r="P345" s="186"/>
      <c r="Q345" s="186"/>
      <c r="R345" s="186"/>
      <c r="S345" s="186"/>
      <c r="T345" s="186"/>
      <c r="U345" s="186"/>
      <c r="V345" s="67"/>
      <c r="W345" s="67"/>
      <c r="X345" s="67"/>
      <c r="Y345" s="187"/>
      <c r="Z345" s="186"/>
      <c r="AA345" s="187"/>
      <c r="AB345" s="187"/>
      <c r="AC345" s="187"/>
      <c r="AD345" s="186"/>
      <c r="AE345" s="186"/>
      <c r="AF345" s="67"/>
      <c r="AG345" s="67"/>
      <c r="AH345" s="67"/>
      <c r="AL345" s="186"/>
    </row>
    <row r="346">
      <c r="A346" s="185"/>
      <c r="B346" s="67"/>
      <c r="C346" s="67"/>
      <c r="D346" s="67"/>
      <c r="E346" s="186"/>
      <c r="F346" s="186"/>
      <c r="G346" s="186"/>
      <c r="H346" s="186"/>
      <c r="I346" s="186"/>
      <c r="J346" s="186"/>
      <c r="K346" s="186"/>
      <c r="L346" s="186"/>
      <c r="M346" s="186"/>
      <c r="N346" s="186"/>
      <c r="O346" s="186"/>
      <c r="P346" s="186"/>
      <c r="Q346" s="186"/>
      <c r="R346" s="186"/>
      <c r="S346" s="186"/>
      <c r="T346" s="186"/>
      <c r="U346" s="186"/>
      <c r="V346" s="67"/>
      <c r="W346" s="67"/>
      <c r="X346" s="67"/>
      <c r="Y346" s="187"/>
      <c r="Z346" s="186"/>
      <c r="AA346" s="187"/>
      <c r="AB346" s="187"/>
      <c r="AC346" s="187"/>
      <c r="AD346" s="186"/>
      <c r="AE346" s="186"/>
      <c r="AF346" s="67"/>
      <c r="AG346" s="67"/>
      <c r="AH346" s="67"/>
      <c r="AL346" s="186"/>
    </row>
    <row r="347">
      <c r="A347" s="185"/>
      <c r="B347" s="67"/>
      <c r="C347" s="67"/>
      <c r="D347" s="67"/>
      <c r="E347" s="186"/>
      <c r="F347" s="186"/>
      <c r="G347" s="186"/>
      <c r="H347" s="186"/>
      <c r="I347" s="186"/>
      <c r="J347" s="186"/>
      <c r="K347" s="186"/>
      <c r="L347" s="186"/>
      <c r="M347" s="186"/>
      <c r="N347" s="186"/>
      <c r="O347" s="186"/>
      <c r="P347" s="186"/>
      <c r="Q347" s="186"/>
      <c r="R347" s="186"/>
      <c r="S347" s="186"/>
      <c r="T347" s="186"/>
      <c r="U347" s="186"/>
      <c r="V347" s="67"/>
      <c r="W347" s="67"/>
      <c r="X347" s="67"/>
      <c r="Y347" s="187"/>
      <c r="Z347" s="186"/>
      <c r="AA347" s="187"/>
      <c r="AB347" s="187"/>
      <c r="AC347" s="187"/>
      <c r="AD347" s="186"/>
      <c r="AE347" s="186"/>
      <c r="AF347" s="67"/>
      <c r="AG347" s="67"/>
      <c r="AH347" s="67"/>
      <c r="AL347" s="186"/>
    </row>
    <row r="348">
      <c r="A348" s="185"/>
      <c r="B348" s="67"/>
      <c r="C348" s="67"/>
      <c r="D348" s="67"/>
      <c r="E348" s="186"/>
      <c r="F348" s="186"/>
      <c r="G348" s="186"/>
      <c r="H348" s="186"/>
      <c r="I348" s="186"/>
      <c r="J348" s="186"/>
      <c r="K348" s="186"/>
      <c r="L348" s="186"/>
      <c r="M348" s="186"/>
      <c r="N348" s="186"/>
      <c r="O348" s="186"/>
      <c r="P348" s="186"/>
      <c r="Q348" s="186"/>
      <c r="R348" s="186"/>
      <c r="S348" s="186"/>
      <c r="T348" s="186"/>
      <c r="U348" s="186"/>
      <c r="V348" s="67"/>
      <c r="W348" s="67"/>
      <c r="X348" s="67"/>
      <c r="Y348" s="187"/>
      <c r="Z348" s="186"/>
      <c r="AA348" s="187"/>
      <c r="AB348" s="187"/>
      <c r="AC348" s="187"/>
      <c r="AD348" s="186"/>
      <c r="AE348" s="186"/>
      <c r="AF348" s="67"/>
      <c r="AG348" s="67"/>
      <c r="AH348" s="67"/>
      <c r="AL348" s="186"/>
    </row>
    <row r="349">
      <c r="A349" s="185"/>
      <c r="B349" s="67"/>
      <c r="C349" s="67"/>
      <c r="D349" s="67"/>
      <c r="E349" s="186"/>
      <c r="F349" s="186"/>
      <c r="G349" s="186"/>
      <c r="H349" s="186"/>
      <c r="I349" s="186"/>
      <c r="J349" s="186"/>
      <c r="K349" s="186"/>
      <c r="L349" s="186"/>
      <c r="M349" s="186"/>
      <c r="N349" s="186"/>
      <c r="O349" s="186"/>
      <c r="P349" s="186"/>
      <c r="Q349" s="186"/>
      <c r="R349" s="186"/>
      <c r="S349" s="186"/>
      <c r="T349" s="186"/>
      <c r="U349" s="186"/>
      <c r="V349" s="67"/>
      <c r="W349" s="67"/>
      <c r="X349" s="67"/>
      <c r="Y349" s="187"/>
      <c r="Z349" s="186"/>
      <c r="AA349" s="187"/>
      <c r="AB349" s="187"/>
      <c r="AC349" s="187"/>
      <c r="AD349" s="186"/>
      <c r="AE349" s="186"/>
      <c r="AF349" s="67"/>
      <c r="AG349" s="67"/>
      <c r="AH349" s="67"/>
      <c r="AL349" s="186"/>
    </row>
    <row r="350">
      <c r="A350" s="185"/>
      <c r="B350" s="67"/>
      <c r="C350" s="67"/>
      <c r="D350" s="67"/>
      <c r="E350" s="186"/>
      <c r="F350" s="186"/>
      <c r="G350" s="186"/>
      <c r="H350" s="186"/>
      <c r="I350" s="186"/>
      <c r="J350" s="186"/>
      <c r="K350" s="186"/>
      <c r="L350" s="186"/>
      <c r="M350" s="186"/>
      <c r="N350" s="186"/>
      <c r="O350" s="186"/>
      <c r="P350" s="186"/>
      <c r="Q350" s="186"/>
      <c r="R350" s="186"/>
      <c r="S350" s="186"/>
      <c r="T350" s="186"/>
      <c r="U350" s="186"/>
      <c r="V350" s="67"/>
      <c r="W350" s="67"/>
      <c r="X350" s="67"/>
      <c r="Y350" s="187"/>
      <c r="Z350" s="186"/>
      <c r="AA350" s="187"/>
      <c r="AB350" s="187"/>
      <c r="AC350" s="187"/>
      <c r="AD350" s="186"/>
      <c r="AE350" s="186"/>
      <c r="AF350" s="67"/>
      <c r="AG350" s="67"/>
      <c r="AH350" s="67"/>
      <c r="AL350" s="186"/>
    </row>
    <row r="351">
      <c r="A351" s="185"/>
      <c r="B351" s="67"/>
      <c r="C351" s="67"/>
      <c r="D351" s="67"/>
      <c r="E351" s="186"/>
      <c r="F351" s="186"/>
      <c r="G351" s="186"/>
      <c r="H351" s="186"/>
      <c r="I351" s="186"/>
      <c r="J351" s="186"/>
      <c r="K351" s="186"/>
      <c r="L351" s="186"/>
      <c r="M351" s="186"/>
      <c r="N351" s="186"/>
      <c r="O351" s="186"/>
      <c r="P351" s="186"/>
      <c r="Q351" s="186"/>
      <c r="R351" s="186"/>
      <c r="S351" s="186"/>
      <c r="T351" s="186"/>
      <c r="U351" s="186"/>
      <c r="V351" s="67"/>
      <c r="W351" s="67"/>
      <c r="X351" s="67"/>
      <c r="Y351" s="187"/>
      <c r="Z351" s="186"/>
      <c r="AA351" s="187"/>
      <c r="AB351" s="187"/>
      <c r="AC351" s="187"/>
      <c r="AD351" s="186"/>
      <c r="AE351" s="186"/>
      <c r="AF351" s="67"/>
      <c r="AG351" s="67"/>
      <c r="AH351" s="67"/>
      <c r="AL351" s="186"/>
    </row>
    <row r="352">
      <c r="A352" s="185"/>
      <c r="B352" s="67"/>
      <c r="C352" s="67"/>
      <c r="D352" s="67"/>
      <c r="E352" s="186"/>
      <c r="F352" s="186"/>
      <c r="G352" s="186"/>
      <c r="H352" s="186"/>
      <c r="I352" s="186"/>
      <c r="J352" s="186"/>
      <c r="K352" s="186"/>
      <c r="L352" s="186"/>
      <c r="M352" s="186"/>
      <c r="N352" s="186"/>
      <c r="O352" s="186"/>
      <c r="P352" s="186"/>
      <c r="Q352" s="186"/>
      <c r="R352" s="186"/>
      <c r="S352" s="186"/>
      <c r="T352" s="186"/>
      <c r="U352" s="186"/>
      <c r="V352" s="67"/>
      <c r="W352" s="67"/>
      <c r="X352" s="67"/>
      <c r="Y352" s="187"/>
      <c r="Z352" s="186"/>
      <c r="AA352" s="187"/>
      <c r="AB352" s="187"/>
      <c r="AC352" s="187"/>
      <c r="AD352" s="186"/>
      <c r="AE352" s="186"/>
      <c r="AF352" s="67"/>
      <c r="AG352" s="67"/>
      <c r="AH352" s="67"/>
      <c r="AL352" s="186"/>
    </row>
    <row r="353">
      <c r="A353" s="185"/>
      <c r="B353" s="67"/>
      <c r="C353" s="67"/>
      <c r="D353" s="67"/>
      <c r="E353" s="186"/>
      <c r="F353" s="186"/>
      <c r="G353" s="186"/>
      <c r="H353" s="186"/>
      <c r="I353" s="186"/>
      <c r="J353" s="186"/>
      <c r="K353" s="186"/>
      <c r="L353" s="186"/>
      <c r="M353" s="186"/>
      <c r="N353" s="186"/>
      <c r="O353" s="186"/>
      <c r="P353" s="186"/>
      <c r="Q353" s="186"/>
      <c r="R353" s="186"/>
      <c r="S353" s="186"/>
      <c r="T353" s="186"/>
      <c r="U353" s="186"/>
      <c r="V353" s="67"/>
      <c r="W353" s="67"/>
      <c r="X353" s="67"/>
      <c r="Y353" s="187"/>
      <c r="Z353" s="186"/>
      <c r="AA353" s="187"/>
      <c r="AB353" s="187"/>
      <c r="AC353" s="187"/>
      <c r="AD353" s="186"/>
      <c r="AE353" s="186"/>
      <c r="AF353" s="67"/>
      <c r="AG353" s="67"/>
      <c r="AH353" s="67"/>
      <c r="AL353" s="186"/>
    </row>
    <row r="354">
      <c r="A354" s="185"/>
      <c r="B354" s="67"/>
      <c r="C354" s="67"/>
      <c r="D354" s="67"/>
      <c r="E354" s="186"/>
      <c r="F354" s="186"/>
      <c r="G354" s="186"/>
      <c r="H354" s="186"/>
      <c r="I354" s="186"/>
      <c r="J354" s="186"/>
      <c r="K354" s="186"/>
      <c r="L354" s="186"/>
      <c r="M354" s="186"/>
      <c r="N354" s="186"/>
      <c r="O354" s="186"/>
      <c r="P354" s="186"/>
      <c r="Q354" s="186"/>
      <c r="R354" s="186"/>
      <c r="S354" s="186"/>
      <c r="T354" s="186"/>
      <c r="U354" s="186"/>
      <c r="V354" s="67"/>
      <c r="W354" s="67"/>
      <c r="X354" s="67"/>
      <c r="Y354" s="187"/>
      <c r="Z354" s="186"/>
      <c r="AA354" s="187"/>
      <c r="AB354" s="187"/>
      <c r="AC354" s="187"/>
      <c r="AD354" s="186"/>
      <c r="AE354" s="186"/>
      <c r="AF354" s="67"/>
      <c r="AG354" s="67"/>
      <c r="AH354" s="67"/>
      <c r="AL354" s="186"/>
    </row>
    <row r="355">
      <c r="A355" s="185"/>
      <c r="B355" s="67"/>
      <c r="C355" s="67"/>
      <c r="D355" s="67"/>
      <c r="E355" s="186"/>
      <c r="F355" s="186"/>
      <c r="G355" s="186"/>
      <c r="H355" s="186"/>
      <c r="I355" s="186"/>
      <c r="J355" s="186"/>
      <c r="K355" s="186"/>
      <c r="L355" s="186"/>
      <c r="M355" s="186"/>
      <c r="N355" s="186"/>
      <c r="O355" s="186"/>
      <c r="P355" s="186"/>
      <c r="Q355" s="186"/>
      <c r="R355" s="186"/>
      <c r="S355" s="186"/>
      <c r="T355" s="186"/>
      <c r="U355" s="186"/>
      <c r="V355" s="67"/>
      <c r="W355" s="67"/>
      <c r="X355" s="67"/>
      <c r="Y355" s="187"/>
      <c r="Z355" s="186"/>
      <c r="AA355" s="187"/>
      <c r="AB355" s="187"/>
      <c r="AC355" s="187"/>
      <c r="AD355" s="186"/>
      <c r="AE355" s="186"/>
      <c r="AF355" s="67"/>
      <c r="AG355" s="67"/>
      <c r="AH355" s="67"/>
      <c r="AL355" s="186"/>
    </row>
    <row r="356">
      <c r="A356" s="185"/>
      <c r="B356" s="67"/>
      <c r="C356" s="67"/>
      <c r="D356" s="67"/>
      <c r="E356" s="186"/>
      <c r="F356" s="186"/>
      <c r="G356" s="186"/>
      <c r="H356" s="186"/>
      <c r="I356" s="186"/>
      <c r="J356" s="186"/>
      <c r="K356" s="186"/>
      <c r="L356" s="186"/>
      <c r="M356" s="186"/>
      <c r="N356" s="186"/>
      <c r="O356" s="186"/>
      <c r="P356" s="186"/>
      <c r="Q356" s="186"/>
      <c r="R356" s="186"/>
      <c r="S356" s="186"/>
      <c r="T356" s="186"/>
      <c r="U356" s="186"/>
      <c r="V356" s="67"/>
      <c r="W356" s="67"/>
      <c r="X356" s="67"/>
      <c r="Y356" s="187"/>
      <c r="Z356" s="186"/>
      <c r="AA356" s="187"/>
      <c r="AB356" s="187"/>
      <c r="AC356" s="187"/>
      <c r="AD356" s="186"/>
      <c r="AE356" s="186"/>
      <c r="AF356" s="67"/>
      <c r="AG356" s="67"/>
      <c r="AH356" s="67"/>
      <c r="AL356" s="186"/>
    </row>
    <row r="357">
      <c r="A357" s="185"/>
      <c r="B357" s="67"/>
      <c r="C357" s="67"/>
      <c r="D357" s="67"/>
      <c r="E357" s="186"/>
      <c r="F357" s="186"/>
      <c r="G357" s="186"/>
      <c r="H357" s="186"/>
      <c r="I357" s="186"/>
      <c r="J357" s="186"/>
      <c r="K357" s="186"/>
      <c r="L357" s="186"/>
      <c r="M357" s="186"/>
      <c r="N357" s="186"/>
      <c r="O357" s="186"/>
      <c r="P357" s="186"/>
      <c r="Q357" s="186"/>
      <c r="R357" s="186"/>
      <c r="S357" s="186"/>
      <c r="T357" s="186"/>
      <c r="U357" s="186"/>
      <c r="V357" s="67"/>
      <c r="W357" s="67"/>
      <c r="X357" s="67"/>
      <c r="Y357" s="187"/>
      <c r="Z357" s="186"/>
      <c r="AA357" s="187"/>
      <c r="AB357" s="187"/>
      <c r="AC357" s="187"/>
      <c r="AD357" s="186"/>
      <c r="AE357" s="186"/>
      <c r="AF357" s="67"/>
      <c r="AG357" s="67"/>
      <c r="AH357" s="67"/>
      <c r="AL357" s="186"/>
    </row>
    <row r="358">
      <c r="A358" s="185"/>
      <c r="B358" s="67"/>
      <c r="C358" s="67"/>
      <c r="D358" s="67"/>
      <c r="E358" s="186"/>
      <c r="F358" s="186"/>
      <c r="G358" s="186"/>
      <c r="H358" s="186"/>
      <c r="I358" s="186"/>
      <c r="J358" s="186"/>
      <c r="K358" s="186"/>
      <c r="L358" s="186"/>
      <c r="M358" s="186"/>
      <c r="N358" s="186"/>
      <c r="O358" s="186"/>
      <c r="P358" s="186"/>
      <c r="Q358" s="186"/>
      <c r="R358" s="186"/>
      <c r="S358" s="186"/>
      <c r="T358" s="186"/>
      <c r="U358" s="186"/>
      <c r="V358" s="67"/>
      <c r="W358" s="67"/>
      <c r="X358" s="67"/>
      <c r="Y358" s="187"/>
      <c r="Z358" s="186"/>
      <c r="AA358" s="187"/>
      <c r="AB358" s="187"/>
      <c r="AC358" s="187"/>
      <c r="AD358" s="186"/>
      <c r="AE358" s="186"/>
      <c r="AF358" s="67"/>
      <c r="AG358" s="67"/>
      <c r="AH358" s="67"/>
      <c r="AL358" s="186"/>
    </row>
    <row r="359">
      <c r="A359" s="185"/>
      <c r="B359" s="67"/>
      <c r="C359" s="67"/>
      <c r="D359" s="67"/>
      <c r="E359" s="186"/>
      <c r="F359" s="186"/>
      <c r="G359" s="186"/>
      <c r="H359" s="186"/>
      <c r="I359" s="186"/>
      <c r="J359" s="186"/>
      <c r="K359" s="186"/>
      <c r="L359" s="186"/>
      <c r="M359" s="186"/>
      <c r="N359" s="186"/>
      <c r="O359" s="186"/>
      <c r="P359" s="186"/>
      <c r="Q359" s="186"/>
      <c r="R359" s="186"/>
      <c r="S359" s="186"/>
      <c r="T359" s="186"/>
      <c r="U359" s="186"/>
      <c r="V359" s="67"/>
      <c r="W359" s="67"/>
      <c r="X359" s="67"/>
      <c r="Y359" s="187"/>
      <c r="Z359" s="186"/>
      <c r="AA359" s="187"/>
      <c r="AB359" s="187"/>
      <c r="AC359" s="187"/>
      <c r="AD359" s="186"/>
      <c r="AE359" s="186"/>
      <c r="AF359" s="67"/>
      <c r="AG359" s="67"/>
      <c r="AH359" s="67"/>
      <c r="AL359" s="186"/>
    </row>
    <row r="360">
      <c r="A360" s="185"/>
      <c r="B360" s="67"/>
      <c r="C360" s="67"/>
      <c r="D360" s="67"/>
      <c r="E360" s="186"/>
      <c r="F360" s="186"/>
      <c r="G360" s="186"/>
      <c r="H360" s="186"/>
      <c r="I360" s="186"/>
      <c r="J360" s="186"/>
      <c r="K360" s="186"/>
      <c r="L360" s="186"/>
      <c r="M360" s="186"/>
      <c r="N360" s="186"/>
      <c r="O360" s="186"/>
      <c r="P360" s="186"/>
      <c r="Q360" s="186"/>
      <c r="R360" s="186"/>
      <c r="S360" s="186"/>
      <c r="T360" s="186"/>
      <c r="U360" s="186"/>
      <c r="V360" s="67"/>
      <c r="W360" s="67"/>
      <c r="X360" s="67"/>
      <c r="Y360" s="187"/>
      <c r="Z360" s="186"/>
      <c r="AA360" s="187"/>
      <c r="AB360" s="187"/>
      <c r="AC360" s="187"/>
      <c r="AD360" s="186"/>
      <c r="AE360" s="186"/>
      <c r="AF360" s="67"/>
      <c r="AG360" s="67"/>
      <c r="AH360" s="67"/>
      <c r="AL360" s="186"/>
    </row>
    <row r="361">
      <c r="A361" s="185"/>
      <c r="B361" s="67"/>
      <c r="C361" s="67"/>
      <c r="D361" s="67"/>
      <c r="E361" s="186"/>
      <c r="F361" s="186"/>
      <c r="G361" s="186"/>
      <c r="H361" s="186"/>
      <c r="I361" s="186"/>
      <c r="J361" s="186"/>
      <c r="K361" s="186"/>
      <c r="L361" s="186"/>
      <c r="M361" s="186"/>
      <c r="N361" s="186"/>
      <c r="O361" s="186"/>
      <c r="P361" s="186"/>
      <c r="Q361" s="186"/>
      <c r="R361" s="186"/>
      <c r="S361" s="186"/>
      <c r="T361" s="186"/>
      <c r="U361" s="186"/>
      <c r="V361" s="67"/>
      <c r="W361" s="67"/>
      <c r="X361" s="67"/>
      <c r="Y361" s="187"/>
      <c r="Z361" s="186"/>
      <c r="AA361" s="187"/>
      <c r="AB361" s="187"/>
      <c r="AC361" s="187"/>
      <c r="AD361" s="186"/>
      <c r="AE361" s="186"/>
      <c r="AF361" s="67"/>
      <c r="AG361" s="67"/>
      <c r="AH361" s="67"/>
      <c r="AL361" s="186"/>
    </row>
    <row r="362">
      <c r="A362" s="185"/>
      <c r="B362" s="67"/>
      <c r="C362" s="67"/>
      <c r="D362" s="67"/>
      <c r="E362" s="186"/>
      <c r="F362" s="186"/>
      <c r="G362" s="186"/>
      <c r="H362" s="186"/>
      <c r="I362" s="186"/>
      <c r="J362" s="186"/>
      <c r="K362" s="186"/>
      <c r="L362" s="186"/>
      <c r="M362" s="186"/>
      <c r="N362" s="186"/>
      <c r="O362" s="186"/>
      <c r="P362" s="186"/>
      <c r="Q362" s="186"/>
      <c r="R362" s="186"/>
      <c r="S362" s="186"/>
      <c r="T362" s="186"/>
      <c r="U362" s="186"/>
      <c r="V362" s="67"/>
      <c r="W362" s="67"/>
      <c r="X362" s="67"/>
      <c r="Y362" s="187"/>
      <c r="Z362" s="186"/>
      <c r="AA362" s="187"/>
      <c r="AB362" s="187"/>
      <c r="AC362" s="187"/>
      <c r="AD362" s="186"/>
      <c r="AE362" s="186"/>
      <c r="AF362" s="67"/>
      <c r="AG362" s="67"/>
      <c r="AH362" s="67"/>
      <c r="AL362" s="186"/>
    </row>
    <row r="363">
      <c r="A363" s="185"/>
      <c r="B363" s="67"/>
      <c r="C363" s="67"/>
      <c r="D363" s="67"/>
      <c r="E363" s="186"/>
      <c r="F363" s="186"/>
      <c r="G363" s="186"/>
      <c r="H363" s="186"/>
      <c r="I363" s="186"/>
      <c r="J363" s="186"/>
      <c r="K363" s="186"/>
      <c r="L363" s="186"/>
      <c r="M363" s="186"/>
      <c r="N363" s="186"/>
      <c r="O363" s="186"/>
      <c r="P363" s="186"/>
      <c r="Q363" s="186"/>
      <c r="R363" s="186"/>
      <c r="S363" s="186"/>
      <c r="T363" s="186"/>
      <c r="U363" s="186"/>
      <c r="V363" s="67"/>
      <c r="W363" s="67"/>
      <c r="X363" s="67"/>
      <c r="Y363" s="187"/>
      <c r="Z363" s="186"/>
      <c r="AA363" s="187"/>
      <c r="AB363" s="187"/>
      <c r="AC363" s="187"/>
      <c r="AD363" s="186"/>
      <c r="AE363" s="186"/>
      <c r="AF363" s="67"/>
      <c r="AG363" s="67"/>
      <c r="AH363" s="67"/>
      <c r="AL363" s="186"/>
    </row>
    <row r="364">
      <c r="A364" s="185"/>
      <c r="B364" s="67"/>
      <c r="C364" s="67"/>
      <c r="D364" s="67"/>
      <c r="E364" s="186"/>
      <c r="F364" s="186"/>
      <c r="G364" s="186"/>
      <c r="H364" s="186"/>
      <c r="I364" s="186"/>
      <c r="J364" s="186"/>
      <c r="K364" s="186"/>
      <c r="L364" s="186"/>
      <c r="M364" s="186"/>
      <c r="N364" s="186"/>
      <c r="O364" s="186"/>
      <c r="P364" s="186"/>
      <c r="Q364" s="186"/>
      <c r="R364" s="186"/>
      <c r="S364" s="186"/>
      <c r="T364" s="186"/>
      <c r="U364" s="186"/>
      <c r="V364" s="67"/>
      <c r="W364" s="67"/>
      <c r="X364" s="67"/>
      <c r="Y364" s="187"/>
      <c r="Z364" s="186"/>
      <c r="AA364" s="187"/>
      <c r="AB364" s="187"/>
      <c r="AC364" s="187"/>
      <c r="AD364" s="186"/>
      <c r="AE364" s="186"/>
      <c r="AF364" s="67"/>
      <c r="AG364" s="67"/>
      <c r="AH364" s="67"/>
      <c r="AL364" s="186"/>
    </row>
    <row r="365">
      <c r="A365" s="185"/>
      <c r="B365" s="67"/>
      <c r="C365" s="67"/>
      <c r="D365" s="67"/>
      <c r="E365" s="186"/>
      <c r="F365" s="186"/>
      <c r="G365" s="186"/>
      <c r="H365" s="186"/>
      <c r="I365" s="186"/>
      <c r="J365" s="186"/>
      <c r="K365" s="186"/>
      <c r="L365" s="186"/>
      <c r="M365" s="186"/>
      <c r="N365" s="186"/>
      <c r="O365" s="186"/>
      <c r="P365" s="186"/>
      <c r="Q365" s="186"/>
      <c r="R365" s="186"/>
      <c r="S365" s="186"/>
      <c r="T365" s="186"/>
      <c r="U365" s="186"/>
      <c r="V365" s="67"/>
      <c r="W365" s="67"/>
      <c r="X365" s="67"/>
      <c r="Y365" s="187"/>
      <c r="Z365" s="186"/>
      <c r="AA365" s="187"/>
      <c r="AB365" s="187"/>
      <c r="AC365" s="187"/>
      <c r="AD365" s="186"/>
      <c r="AE365" s="186"/>
      <c r="AF365" s="67"/>
      <c r="AG365" s="67"/>
      <c r="AH365" s="67"/>
      <c r="AL365" s="186"/>
    </row>
    <row r="366">
      <c r="A366" s="185"/>
      <c r="B366" s="67"/>
      <c r="C366" s="67"/>
      <c r="D366" s="67"/>
      <c r="E366" s="186"/>
      <c r="F366" s="186"/>
      <c r="G366" s="186"/>
      <c r="H366" s="186"/>
      <c r="I366" s="186"/>
      <c r="J366" s="186"/>
      <c r="K366" s="186"/>
      <c r="L366" s="186"/>
      <c r="M366" s="186"/>
      <c r="N366" s="186"/>
      <c r="O366" s="186"/>
      <c r="P366" s="186"/>
      <c r="Q366" s="186"/>
      <c r="R366" s="186"/>
      <c r="S366" s="186"/>
      <c r="T366" s="186"/>
      <c r="U366" s="186"/>
      <c r="V366" s="67"/>
      <c r="W366" s="67"/>
      <c r="X366" s="67"/>
      <c r="Y366" s="187"/>
      <c r="Z366" s="186"/>
      <c r="AA366" s="187"/>
      <c r="AB366" s="187"/>
      <c r="AC366" s="187"/>
      <c r="AD366" s="186"/>
      <c r="AE366" s="186"/>
      <c r="AF366" s="67"/>
      <c r="AG366" s="67"/>
      <c r="AH366" s="67"/>
      <c r="AL366" s="186"/>
    </row>
    <row r="367">
      <c r="A367" s="185"/>
      <c r="B367" s="67"/>
      <c r="C367" s="67"/>
      <c r="D367" s="67"/>
      <c r="E367" s="186"/>
      <c r="F367" s="186"/>
      <c r="G367" s="186"/>
      <c r="H367" s="186"/>
      <c r="I367" s="186"/>
      <c r="J367" s="186"/>
      <c r="K367" s="186"/>
      <c r="L367" s="186"/>
      <c r="M367" s="186"/>
      <c r="N367" s="186"/>
      <c r="O367" s="186"/>
      <c r="P367" s="186"/>
      <c r="Q367" s="186"/>
      <c r="R367" s="186"/>
      <c r="S367" s="186"/>
      <c r="T367" s="186"/>
      <c r="U367" s="186"/>
      <c r="V367" s="67"/>
      <c r="W367" s="67"/>
      <c r="X367" s="67"/>
      <c r="Y367" s="187"/>
      <c r="Z367" s="186"/>
      <c r="AA367" s="187"/>
      <c r="AB367" s="187"/>
      <c r="AC367" s="187"/>
      <c r="AD367" s="186"/>
      <c r="AE367" s="186"/>
      <c r="AF367" s="67"/>
      <c r="AG367" s="67"/>
      <c r="AH367" s="67"/>
      <c r="AL367" s="186"/>
    </row>
    <row r="368">
      <c r="A368" s="185"/>
      <c r="B368" s="67"/>
      <c r="C368" s="67"/>
      <c r="D368" s="67"/>
      <c r="E368" s="186"/>
      <c r="F368" s="186"/>
      <c r="G368" s="186"/>
      <c r="H368" s="186"/>
      <c r="I368" s="186"/>
      <c r="J368" s="186"/>
      <c r="K368" s="186"/>
      <c r="L368" s="186"/>
      <c r="M368" s="186"/>
      <c r="N368" s="186"/>
      <c r="O368" s="186"/>
      <c r="P368" s="186"/>
      <c r="Q368" s="186"/>
      <c r="R368" s="186"/>
      <c r="S368" s="186"/>
      <c r="T368" s="186"/>
      <c r="U368" s="186"/>
      <c r="V368" s="67"/>
      <c r="W368" s="67"/>
      <c r="X368" s="67"/>
      <c r="Y368" s="187"/>
      <c r="Z368" s="186"/>
      <c r="AA368" s="187"/>
      <c r="AB368" s="187"/>
      <c r="AC368" s="187"/>
      <c r="AD368" s="186"/>
      <c r="AE368" s="186"/>
      <c r="AF368" s="67"/>
      <c r="AG368" s="67"/>
      <c r="AH368" s="67"/>
      <c r="AL368" s="186"/>
    </row>
    <row r="369">
      <c r="A369" s="185"/>
      <c r="B369" s="67"/>
      <c r="C369" s="67"/>
      <c r="D369" s="67"/>
      <c r="E369" s="186"/>
      <c r="F369" s="186"/>
      <c r="G369" s="186"/>
      <c r="H369" s="186"/>
      <c r="I369" s="186"/>
      <c r="J369" s="186"/>
      <c r="K369" s="186"/>
      <c r="L369" s="186"/>
      <c r="M369" s="186"/>
      <c r="N369" s="186"/>
      <c r="O369" s="186"/>
      <c r="P369" s="186"/>
      <c r="Q369" s="186"/>
      <c r="R369" s="186"/>
      <c r="S369" s="186"/>
      <c r="T369" s="186"/>
      <c r="U369" s="186"/>
      <c r="V369" s="67"/>
      <c r="W369" s="67"/>
      <c r="X369" s="67"/>
      <c r="Y369" s="187"/>
      <c r="Z369" s="186"/>
      <c r="AA369" s="187"/>
      <c r="AB369" s="187"/>
      <c r="AC369" s="187"/>
      <c r="AD369" s="186"/>
      <c r="AE369" s="186"/>
      <c r="AF369" s="67"/>
      <c r="AG369" s="67"/>
      <c r="AH369" s="67"/>
      <c r="AL369" s="186"/>
    </row>
    <row r="370">
      <c r="A370" s="185"/>
      <c r="B370" s="67"/>
      <c r="C370" s="67"/>
      <c r="D370" s="67"/>
      <c r="E370" s="186"/>
      <c r="F370" s="186"/>
      <c r="G370" s="186"/>
      <c r="H370" s="186"/>
      <c r="I370" s="186"/>
      <c r="J370" s="186"/>
      <c r="K370" s="186"/>
      <c r="L370" s="186"/>
      <c r="M370" s="186"/>
      <c r="N370" s="186"/>
      <c r="O370" s="186"/>
      <c r="P370" s="186"/>
      <c r="Q370" s="186"/>
      <c r="R370" s="186"/>
      <c r="S370" s="186"/>
      <c r="T370" s="186"/>
      <c r="U370" s="186"/>
      <c r="V370" s="67"/>
      <c r="W370" s="67"/>
      <c r="X370" s="67"/>
      <c r="Y370" s="187"/>
      <c r="Z370" s="186"/>
      <c r="AA370" s="187"/>
      <c r="AB370" s="187"/>
      <c r="AC370" s="187"/>
      <c r="AD370" s="186"/>
      <c r="AE370" s="186"/>
      <c r="AF370" s="67"/>
      <c r="AG370" s="67"/>
      <c r="AH370" s="67"/>
      <c r="AL370" s="186"/>
    </row>
    <row r="371">
      <c r="A371" s="185"/>
      <c r="B371" s="67"/>
      <c r="C371" s="67"/>
      <c r="D371" s="67"/>
      <c r="E371" s="186"/>
      <c r="F371" s="186"/>
      <c r="G371" s="186"/>
      <c r="H371" s="186"/>
      <c r="I371" s="186"/>
      <c r="J371" s="186"/>
      <c r="K371" s="186"/>
      <c r="L371" s="186"/>
      <c r="M371" s="186"/>
      <c r="N371" s="186"/>
      <c r="O371" s="186"/>
      <c r="P371" s="186"/>
      <c r="Q371" s="186"/>
      <c r="R371" s="186"/>
      <c r="S371" s="186"/>
      <c r="T371" s="186"/>
      <c r="U371" s="186"/>
      <c r="V371" s="67"/>
      <c r="W371" s="67"/>
      <c r="X371" s="67"/>
      <c r="Y371" s="187"/>
      <c r="Z371" s="186"/>
      <c r="AA371" s="187"/>
      <c r="AB371" s="187"/>
      <c r="AC371" s="187"/>
      <c r="AD371" s="186"/>
      <c r="AE371" s="186"/>
      <c r="AF371" s="67"/>
      <c r="AG371" s="67"/>
      <c r="AH371" s="67"/>
      <c r="AL371" s="186"/>
    </row>
    <row r="372">
      <c r="A372" s="185"/>
      <c r="B372" s="67"/>
      <c r="C372" s="67"/>
      <c r="D372" s="67"/>
      <c r="E372" s="186"/>
      <c r="F372" s="186"/>
      <c r="G372" s="186"/>
      <c r="H372" s="186"/>
      <c r="I372" s="186"/>
      <c r="J372" s="186"/>
      <c r="K372" s="186"/>
      <c r="L372" s="186"/>
      <c r="M372" s="186"/>
      <c r="N372" s="186"/>
      <c r="O372" s="186"/>
      <c r="P372" s="186"/>
      <c r="Q372" s="186"/>
      <c r="R372" s="186"/>
      <c r="S372" s="186"/>
      <c r="T372" s="186"/>
      <c r="U372" s="186"/>
      <c r="V372" s="67"/>
      <c r="W372" s="67"/>
      <c r="X372" s="67"/>
      <c r="Y372" s="187"/>
      <c r="Z372" s="186"/>
      <c r="AA372" s="187"/>
      <c r="AB372" s="187"/>
      <c r="AC372" s="187"/>
      <c r="AD372" s="186"/>
      <c r="AE372" s="186"/>
      <c r="AF372" s="67"/>
      <c r="AG372" s="67"/>
      <c r="AH372" s="67"/>
      <c r="AL372" s="186"/>
    </row>
    <row r="373">
      <c r="A373" s="185"/>
      <c r="B373" s="67"/>
      <c r="C373" s="67"/>
      <c r="D373" s="67"/>
      <c r="E373" s="186"/>
      <c r="F373" s="186"/>
      <c r="G373" s="186"/>
      <c r="H373" s="186"/>
      <c r="I373" s="186"/>
      <c r="J373" s="186"/>
      <c r="K373" s="186"/>
      <c r="L373" s="186"/>
      <c r="M373" s="186"/>
      <c r="N373" s="186"/>
      <c r="O373" s="186"/>
      <c r="P373" s="186"/>
      <c r="Q373" s="186"/>
      <c r="R373" s="186"/>
      <c r="S373" s="186"/>
      <c r="T373" s="186"/>
      <c r="U373" s="186"/>
      <c r="V373" s="67"/>
      <c r="W373" s="67"/>
      <c r="X373" s="67"/>
      <c r="Y373" s="187"/>
      <c r="Z373" s="186"/>
      <c r="AA373" s="187"/>
      <c r="AB373" s="187"/>
      <c r="AC373" s="187"/>
      <c r="AD373" s="186"/>
      <c r="AE373" s="186"/>
      <c r="AF373" s="67"/>
      <c r="AG373" s="67"/>
      <c r="AH373" s="67"/>
      <c r="AL373" s="186"/>
    </row>
    <row r="374">
      <c r="A374" s="185"/>
      <c r="B374" s="67"/>
      <c r="C374" s="67"/>
      <c r="D374" s="67"/>
      <c r="E374" s="186"/>
      <c r="F374" s="186"/>
      <c r="G374" s="186"/>
      <c r="H374" s="186"/>
      <c r="I374" s="186"/>
      <c r="J374" s="186"/>
      <c r="K374" s="186"/>
      <c r="L374" s="186"/>
      <c r="M374" s="186"/>
      <c r="N374" s="186"/>
      <c r="O374" s="186"/>
      <c r="P374" s="186"/>
      <c r="Q374" s="186"/>
      <c r="R374" s="186"/>
      <c r="S374" s="186"/>
      <c r="T374" s="186"/>
      <c r="U374" s="186"/>
      <c r="V374" s="67"/>
      <c r="W374" s="67"/>
      <c r="X374" s="67"/>
      <c r="Y374" s="187"/>
      <c r="Z374" s="186"/>
      <c r="AA374" s="187"/>
      <c r="AB374" s="187"/>
      <c r="AC374" s="187"/>
      <c r="AD374" s="186"/>
      <c r="AE374" s="186"/>
      <c r="AF374" s="67"/>
      <c r="AG374" s="67"/>
      <c r="AH374" s="67"/>
      <c r="AL374" s="186"/>
    </row>
    <row r="375">
      <c r="A375" s="185"/>
      <c r="B375" s="67"/>
      <c r="C375" s="67"/>
      <c r="D375" s="67"/>
      <c r="E375" s="186"/>
      <c r="F375" s="186"/>
      <c r="G375" s="186"/>
      <c r="H375" s="186"/>
      <c r="I375" s="186"/>
      <c r="J375" s="186"/>
      <c r="K375" s="186"/>
      <c r="L375" s="186"/>
      <c r="M375" s="186"/>
      <c r="N375" s="186"/>
      <c r="O375" s="186"/>
      <c r="P375" s="186"/>
      <c r="Q375" s="186"/>
      <c r="R375" s="186"/>
      <c r="S375" s="186"/>
      <c r="T375" s="186"/>
      <c r="U375" s="186"/>
      <c r="V375" s="67"/>
      <c r="W375" s="67"/>
      <c r="X375" s="67"/>
      <c r="Y375" s="187"/>
      <c r="Z375" s="186"/>
      <c r="AA375" s="187"/>
      <c r="AB375" s="187"/>
      <c r="AC375" s="187"/>
      <c r="AD375" s="186"/>
      <c r="AE375" s="186"/>
      <c r="AF375" s="67"/>
      <c r="AG375" s="67"/>
      <c r="AH375" s="67"/>
      <c r="AL375" s="186"/>
    </row>
    <row r="376">
      <c r="A376" s="185"/>
      <c r="B376" s="67"/>
      <c r="C376" s="67"/>
      <c r="D376" s="67"/>
      <c r="E376" s="186"/>
      <c r="F376" s="186"/>
      <c r="G376" s="186"/>
      <c r="H376" s="186"/>
      <c r="I376" s="186"/>
      <c r="J376" s="186"/>
      <c r="K376" s="186"/>
      <c r="L376" s="186"/>
      <c r="M376" s="186"/>
      <c r="N376" s="186"/>
      <c r="O376" s="186"/>
      <c r="P376" s="186"/>
      <c r="Q376" s="186"/>
      <c r="R376" s="186"/>
      <c r="S376" s="186"/>
      <c r="T376" s="186"/>
      <c r="U376" s="186"/>
      <c r="V376" s="67"/>
      <c r="W376" s="67"/>
      <c r="X376" s="67"/>
      <c r="Y376" s="187"/>
      <c r="Z376" s="186"/>
      <c r="AA376" s="187"/>
      <c r="AB376" s="187"/>
      <c r="AC376" s="187"/>
      <c r="AD376" s="186"/>
      <c r="AE376" s="186"/>
      <c r="AF376" s="67"/>
      <c r="AG376" s="67"/>
      <c r="AH376" s="67"/>
      <c r="AL376" s="186"/>
    </row>
    <row r="377">
      <c r="A377" s="185"/>
      <c r="B377" s="67"/>
      <c r="C377" s="67"/>
      <c r="D377" s="67"/>
      <c r="E377" s="186"/>
      <c r="F377" s="186"/>
      <c r="G377" s="186"/>
      <c r="H377" s="186"/>
      <c r="I377" s="186"/>
      <c r="J377" s="186"/>
      <c r="K377" s="186"/>
      <c r="L377" s="186"/>
      <c r="M377" s="186"/>
      <c r="N377" s="186"/>
      <c r="O377" s="186"/>
      <c r="P377" s="186"/>
      <c r="Q377" s="186"/>
      <c r="R377" s="186"/>
      <c r="S377" s="186"/>
      <c r="T377" s="186"/>
      <c r="U377" s="186"/>
      <c r="V377" s="67"/>
      <c r="W377" s="67"/>
      <c r="X377" s="67"/>
      <c r="Y377" s="187"/>
      <c r="Z377" s="186"/>
      <c r="AA377" s="187"/>
      <c r="AB377" s="187"/>
      <c r="AC377" s="187"/>
      <c r="AD377" s="186"/>
      <c r="AE377" s="186"/>
      <c r="AF377" s="67"/>
      <c r="AG377" s="67"/>
      <c r="AH377" s="67"/>
      <c r="AL377" s="186"/>
    </row>
    <row r="378">
      <c r="A378" s="185"/>
      <c r="B378" s="67"/>
      <c r="C378" s="67"/>
      <c r="D378" s="67"/>
      <c r="E378" s="186"/>
      <c r="F378" s="186"/>
      <c r="G378" s="186"/>
      <c r="H378" s="186"/>
      <c r="I378" s="186"/>
      <c r="J378" s="186"/>
      <c r="K378" s="186"/>
      <c r="L378" s="186"/>
      <c r="M378" s="186"/>
      <c r="N378" s="186"/>
      <c r="O378" s="186"/>
      <c r="P378" s="186"/>
      <c r="Q378" s="186"/>
      <c r="R378" s="186"/>
      <c r="S378" s="186"/>
      <c r="T378" s="186"/>
      <c r="U378" s="186"/>
      <c r="V378" s="67"/>
      <c r="W378" s="67"/>
      <c r="X378" s="67"/>
      <c r="Y378" s="187"/>
      <c r="Z378" s="186"/>
      <c r="AA378" s="187"/>
      <c r="AB378" s="187"/>
      <c r="AC378" s="187"/>
      <c r="AD378" s="186"/>
      <c r="AE378" s="186"/>
      <c r="AF378" s="67"/>
      <c r="AG378" s="67"/>
      <c r="AH378" s="67"/>
      <c r="AL378" s="186"/>
    </row>
    <row r="379">
      <c r="A379" s="185"/>
      <c r="B379" s="67"/>
      <c r="C379" s="67"/>
      <c r="D379" s="67"/>
      <c r="E379" s="186"/>
      <c r="F379" s="186"/>
      <c r="G379" s="186"/>
      <c r="H379" s="186"/>
      <c r="I379" s="186"/>
      <c r="J379" s="186"/>
      <c r="K379" s="186"/>
      <c r="L379" s="186"/>
      <c r="M379" s="186"/>
      <c r="N379" s="186"/>
      <c r="O379" s="186"/>
      <c r="P379" s="186"/>
      <c r="Q379" s="186"/>
      <c r="R379" s="186"/>
      <c r="S379" s="186"/>
      <c r="T379" s="186"/>
      <c r="U379" s="186"/>
      <c r="V379" s="67"/>
      <c r="W379" s="67"/>
      <c r="X379" s="67"/>
      <c r="Y379" s="187"/>
      <c r="Z379" s="186"/>
      <c r="AA379" s="187"/>
      <c r="AB379" s="187"/>
      <c r="AC379" s="187"/>
      <c r="AD379" s="186"/>
      <c r="AE379" s="186"/>
      <c r="AF379" s="67"/>
      <c r="AG379" s="67"/>
      <c r="AH379" s="67"/>
      <c r="AL379" s="186"/>
    </row>
    <row r="380">
      <c r="A380" s="185"/>
      <c r="B380" s="67"/>
      <c r="C380" s="67"/>
      <c r="D380" s="67"/>
      <c r="E380" s="186"/>
      <c r="F380" s="186"/>
      <c r="G380" s="186"/>
      <c r="H380" s="186"/>
      <c r="I380" s="186"/>
      <c r="J380" s="186"/>
      <c r="K380" s="186"/>
      <c r="L380" s="186"/>
      <c r="M380" s="186"/>
      <c r="N380" s="186"/>
      <c r="O380" s="186"/>
      <c r="P380" s="186"/>
      <c r="Q380" s="186"/>
      <c r="R380" s="186"/>
      <c r="S380" s="186"/>
      <c r="T380" s="186"/>
      <c r="U380" s="186"/>
      <c r="V380" s="67"/>
      <c r="W380" s="67"/>
      <c r="X380" s="67"/>
      <c r="Y380" s="187"/>
      <c r="Z380" s="186"/>
      <c r="AA380" s="187"/>
      <c r="AB380" s="187"/>
      <c r="AC380" s="187"/>
      <c r="AD380" s="186"/>
      <c r="AE380" s="186"/>
      <c r="AF380" s="67"/>
      <c r="AG380" s="67"/>
      <c r="AH380" s="67"/>
      <c r="AL380" s="186"/>
    </row>
    <row r="381">
      <c r="A381" s="185"/>
      <c r="B381" s="67"/>
      <c r="C381" s="67"/>
      <c r="D381" s="67"/>
      <c r="E381" s="186"/>
      <c r="F381" s="186"/>
      <c r="G381" s="186"/>
      <c r="H381" s="186"/>
      <c r="I381" s="186"/>
      <c r="J381" s="186"/>
      <c r="K381" s="186"/>
      <c r="L381" s="186"/>
      <c r="M381" s="186"/>
      <c r="N381" s="186"/>
      <c r="O381" s="186"/>
      <c r="P381" s="186"/>
      <c r="Q381" s="186"/>
      <c r="R381" s="186"/>
      <c r="S381" s="186"/>
      <c r="T381" s="186"/>
      <c r="U381" s="186"/>
      <c r="V381" s="67"/>
      <c r="W381" s="67"/>
      <c r="X381" s="67"/>
      <c r="Y381" s="187"/>
      <c r="Z381" s="186"/>
      <c r="AA381" s="187"/>
      <c r="AB381" s="187"/>
      <c r="AC381" s="187"/>
      <c r="AD381" s="186"/>
      <c r="AE381" s="186"/>
      <c r="AF381" s="67"/>
      <c r="AG381" s="67"/>
      <c r="AH381" s="67"/>
      <c r="AL381" s="186"/>
    </row>
    <row r="382">
      <c r="A382" s="185"/>
      <c r="B382" s="67"/>
      <c r="C382" s="67"/>
      <c r="D382" s="67"/>
      <c r="E382" s="186"/>
      <c r="F382" s="186"/>
      <c r="G382" s="186"/>
      <c r="H382" s="186"/>
      <c r="I382" s="186"/>
      <c r="J382" s="186"/>
      <c r="K382" s="186"/>
      <c r="L382" s="186"/>
      <c r="M382" s="186"/>
      <c r="N382" s="186"/>
      <c r="O382" s="186"/>
      <c r="P382" s="186"/>
      <c r="Q382" s="186"/>
      <c r="R382" s="186"/>
      <c r="S382" s="186"/>
      <c r="T382" s="186"/>
      <c r="U382" s="186"/>
      <c r="V382" s="67"/>
      <c r="W382" s="67"/>
      <c r="X382" s="67"/>
      <c r="Y382" s="187"/>
      <c r="Z382" s="186"/>
      <c r="AA382" s="187"/>
      <c r="AB382" s="187"/>
      <c r="AC382" s="187"/>
      <c r="AD382" s="186"/>
      <c r="AE382" s="186"/>
      <c r="AF382" s="67"/>
      <c r="AG382" s="67"/>
      <c r="AH382" s="67"/>
      <c r="AL382" s="186"/>
    </row>
    <row r="383">
      <c r="A383" s="185"/>
      <c r="B383" s="67"/>
      <c r="C383" s="67"/>
      <c r="D383" s="67"/>
      <c r="E383" s="186"/>
      <c r="F383" s="186"/>
      <c r="G383" s="186"/>
      <c r="H383" s="186"/>
      <c r="I383" s="186"/>
      <c r="J383" s="186"/>
      <c r="K383" s="186"/>
      <c r="L383" s="186"/>
      <c r="M383" s="186"/>
      <c r="N383" s="186"/>
      <c r="O383" s="186"/>
      <c r="P383" s="186"/>
      <c r="Q383" s="186"/>
      <c r="R383" s="186"/>
      <c r="S383" s="186"/>
      <c r="T383" s="186"/>
      <c r="U383" s="186"/>
      <c r="V383" s="67"/>
      <c r="W383" s="67"/>
      <c r="X383" s="67"/>
      <c r="Y383" s="187"/>
      <c r="Z383" s="186"/>
      <c r="AA383" s="187"/>
      <c r="AB383" s="187"/>
      <c r="AC383" s="187"/>
      <c r="AD383" s="186"/>
      <c r="AE383" s="186"/>
      <c r="AF383" s="67"/>
      <c r="AG383" s="67"/>
      <c r="AH383" s="67"/>
      <c r="AL383" s="186"/>
    </row>
    <row r="384">
      <c r="A384" s="185"/>
      <c r="B384" s="67"/>
      <c r="C384" s="67"/>
      <c r="D384" s="67"/>
      <c r="E384" s="186"/>
      <c r="F384" s="186"/>
      <c r="G384" s="186"/>
      <c r="H384" s="186"/>
      <c r="I384" s="186"/>
      <c r="J384" s="186"/>
      <c r="K384" s="186"/>
      <c r="L384" s="186"/>
      <c r="M384" s="186"/>
      <c r="N384" s="186"/>
      <c r="O384" s="186"/>
      <c r="P384" s="186"/>
      <c r="Q384" s="186"/>
      <c r="R384" s="186"/>
      <c r="S384" s="186"/>
      <c r="T384" s="186"/>
      <c r="U384" s="186"/>
      <c r="V384" s="67"/>
      <c r="W384" s="67"/>
      <c r="X384" s="67"/>
      <c r="Y384" s="187"/>
      <c r="Z384" s="186"/>
      <c r="AA384" s="187"/>
      <c r="AB384" s="187"/>
      <c r="AC384" s="187"/>
      <c r="AD384" s="186"/>
      <c r="AE384" s="186"/>
      <c r="AF384" s="67"/>
      <c r="AG384" s="67"/>
      <c r="AH384" s="67"/>
      <c r="AL384" s="186"/>
    </row>
    <row r="385">
      <c r="A385" s="185"/>
      <c r="B385" s="67"/>
      <c r="C385" s="67"/>
      <c r="D385" s="67"/>
      <c r="E385" s="186"/>
      <c r="F385" s="186"/>
      <c r="G385" s="186"/>
      <c r="H385" s="186"/>
      <c r="I385" s="186"/>
      <c r="J385" s="186"/>
      <c r="K385" s="186"/>
      <c r="L385" s="186"/>
      <c r="M385" s="186"/>
      <c r="N385" s="186"/>
      <c r="O385" s="186"/>
      <c r="P385" s="186"/>
      <c r="Q385" s="186"/>
      <c r="R385" s="186"/>
      <c r="S385" s="186"/>
      <c r="T385" s="186"/>
      <c r="U385" s="186"/>
      <c r="V385" s="67"/>
      <c r="W385" s="67"/>
      <c r="X385" s="67"/>
      <c r="Y385" s="187"/>
      <c r="Z385" s="186"/>
      <c r="AA385" s="187"/>
      <c r="AB385" s="187"/>
      <c r="AC385" s="187"/>
      <c r="AD385" s="186"/>
      <c r="AE385" s="186"/>
      <c r="AF385" s="67"/>
      <c r="AG385" s="67"/>
      <c r="AH385" s="67"/>
      <c r="AL385" s="186"/>
    </row>
    <row r="386">
      <c r="A386" s="185"/>
      <c r="B386" s="67"/>
      <c r="C386" s="67"/>
      <c r="D386" s="67"/>
      <c r="E386" s="186"/>
      <c r="F386" s="186"/>
      <c r="G386" s="186"/>
      <c r="H386" s="186"/>
      <c r="I386" s="186"/>
      <c r="J386" s="186"/>
      <c r="K386" s="186"/>
      <c r="L386" s="186"/>
      <c r="M386" s="186"/>
      <c r="N386" s="186"/>
      <c r="O386" s="186"/>
      <c r="P386" s="186"/>
      <c r="Q386" s="186"/>
      <c r="R386" s="186"/>
      <c r="S386" s="186"/>
      <c r="T386" s="186"/>
      <c r="U386" s="186"/>
      <c r="V386" s="67"/>
      <c r="W386" s="67"/>
      <c r="X386" s="67"/>
      <c r="Y386" s="187"/>
      <c r="Z386" s="186"/>
      <c r="AA386" s="187"/>
      <c r="AB386" s="187"/>
      <c r="AC386" s="187"/>
      <c r="AD386" s="186"/>
      <c r="AE386" s="186"/>
      <c r="AF386" s="67"/>
      <c r="AG386" s="67"/>
      <c r="AH386" s="67"/>
      <c r="AL386" s="186"/>
    </row>
    <row r="387">
      <c r="A387" s="185"/>
      <c r="B387" s="67"/>
      <c r="C387" s="67"/>
      <c r="D387" s="67"/>
      <c r="E387" s="186"/>
      <c r="F387" s="186"/>
      <c r="G387" s="186"/>
      <c r="H387" s="186"/>
      <c r="I387" s="186"/>
      <c r="J387" s="186"/>
      <c r="K387" s="186"/>
      <c r="L387" s="186"/>
      <c r="M387" s="186"/>
      <c r="N387" s="186"/>
      <c r="O387" s="186"/>
      <c r="P387" s="186"/>
      <c r="Q387" s="186"/>
      <c r="R387" s="186"/>
      <c r="S387" s="186"/>
      <c r="T387" s="186"/>
      <c r="U387" s="186"/>
      <c r="V387" s="67"/>
      <c r="W387" s="67"/>
      <c r="X387" s="67"/>
      <c r="Y387" s="187"/>
      <c r="Z387" s="186"/>
      <c r="AA387" s="187"/>
      <c r="AB387" s="187"/>
      <c r="AC387" s="187"/>
      <c r="AD387" s="186"/>
      <c r="AE387" s="186"/>
      <c r="AF387" s="67"/>
      <c r="AG387" s="67"/>
      <c r="AH387" s="67"/>
      <c r="AL387" s="186"/>
    </row>
    <row r="388">
      <c r="A388" s="185"/>
      <c r="B388" s="67"/>
      <c r="C388" s="67"/>
      <c r="D388" s="67"/>
      <c r="E388" s="186"/>
      <c r="F388" s="186"/>
      <c r="G388" s="186"/>
      <c r="H388" s="186"/>
      <c r="I388" s="186"/>
      <c r="J388" s="186"/>
      <c r="K388" s="186"/>
      <c r="L388" s="186"/>
      <c r="M388" s="186"/>
      <c r="N388" s="186"/>
      <c r="O388" s="186"/>
      <c r="P388" s="186"/>
      <c r="Q388" s="186"/>
      <c r="R388" s="186"/>
      <c r="S388" s="186"/>
      <c r="T388" s="186"/>
      <c r="U388" s="186"/>
      <c r="V388" s="67"/>
      <c r="W388" s="67"/>
      <c r="X388" s="67"/>
      <c r="Y388" s="187"/>
      <c r="Z388" s="186"/>
      <c r="AA388" s="187"/>
      <c r="AB388" s="187"/>
      <c r="AC388" s="187"/>
      <c r="AD388" s="186"/>
      <c r="AE388" s="186"/>
      <c r="AF388" s="67"/>
      <c r="AG388" s="67"/>
      <c r="AH388" s="67"/>
      <c r="AL388" s="186"/>
    </row>
    <row r="389">
      <c r="A389" s="185"/>
      <c r="B389" s="67"/>
      <c r="C389" s="67"/>
      <c r="D389" s="67"/>
      <c r="E389" s="186"/>
      <c r="F389" s="186"/>
      <c r="G389" s="186"/>
      <c r="H389" s="186"/>
      <c r="I389" s="186"/>
      <c r="J389" s="186"/>
      <c r="K389" s="186"/>
      <c r="L389" s="186"/>
      <c r="M389" s="186"/>
      <c r="N389" s="186"/>
      <c r="O389" s="186"/>
      <c r="P389" s="186"/>
      <c r="Q389" s="186"/>
      <c r="R389" s="186"/>
      <c r="S389" s="186"/>
      <c r="T389" s="186"/>
      <c r="U389" s="186"/>
      <c r="V389" s="67"/>
      <c r="W389" s="67"/>
      <c r="X389" s="67"/>
      <c r="Y389" s="187"/>
      <c r="Z389" s="186"/>
      <c r="AA389" s="187"/>
      <c r="AB389" s="187"/>
      <c r="AC389" s="187"/>
      <c r="AD389" s="186"/>
      <c r="AE389" s="186"/>
      <c r="AF389" s="67"/>
      <c r="AG389" s="67"/>
      <c r="AH389" s="67"/>
      <c r="AL389" s="186"/>
    </row>
    <row r="390">
      <c r="A390" s="185"/>
      <c r="B390" s="67"/>
      <c r="C390" s="67"/>
      <c r="D390" s="67"/>
      <c r="E390" s="186"/>
      <c r="F390" s="186"/>
      <c r="G390" s="186"/>
      <c r="H390" s="186"/>
      <c r="I390" s="186"/>
      <c r="J390" s="186"/>
      <c r="K390" s="186"/>
      <c r="L390" s="186"/>
      <c r="M390" s="186"/>
      <c r="N390" s="186"/>
      <c r="O390" s="186"/>
      <c r="P390" s="186"/>
      <c r="Q390" s="186"/>
      <c r="R390" s="186"/>
      <c r="S390" s="186"/>
      <c r="T390" s="186"/>
      <c r="U390" s="186"/>
      <c r="V390" s="67"/>
      <c r="W390" s="67"/>
      <c r="X390" s="67"/>
      <c r="Y390" s="187"/>
      <c r="Z390" s="186"/>
      <c r="AA390" s="187"/>
      <c r="AB390" s="187"/>
      <c r="AC390" s="187"/>
      <c r="AD390" s="186"/>
      <c r="AE390" s="186"/>
      <c r="AF390" s="67"/>
      <c r="AG390" s="67"/>
      <c r="AH390" s="67"/>
      <c r="AL390" s="186"/>
    </row>
    <row r="391">
      <c r="A391" s="185"/>
      <c r="B391" s="67"/>
      <c r="C391" s="67"/>
      <c r="D391" s="67"/>
      <c r="E391" s="186"/>
      <c r="F391" s="186"/>
      <c r="G391" s="186"/>
      <c r="H391" s="186"/>
      <c r="I391" s="186"/>
      <c r="J391" s="186"/>
      <c r="K391" s="186"/>
      <c r="L391" s="186"/>
      <c r="M391" s="186"/>
      <c r="N391" s="186"/>
      <c r="O391" s="186"/>
      <c r="P391" s="186"/>
      <c r="Q391" s="186"/>
      <c r="R391" s="186"/>
      <c r="S391" s="186"/>
      <c r="T391" s="186"/>
      <c r="U391" s="186"/>
      <c r="V391" s="67"/>
      <c r="W391" s="67"/>
      <c r="X391" s="67"/>
      <c r="Y391" s="187"/>
      <c r="Z391" s="186"/>
      <c r="AA391" s="187"/>
      <c r="AB391" s="187"/>
      <c r="AC391" s="187"/>
      <c r="AD391" s="186"/>
      <c r="AE391" s="186"/>
      <c r="AF391" s="67"/>
      <c r="AG391" s="67"/>
      <c r="AH391" s="67"/>
      <c r="AL391" s="186"/>
    </row>
    <row r="392">
      <c r="A392" s="185"/>
      <c r="B392" s="67"/>
      <c r="C392" s="67"/>
      <c r="D392" s="67"/>
      <c r="E392" s="186"/>
      <c r="F392" s="186"/>
      <c r="G392" s="186"/>
      <c r="H392" s="186"/>
      <c r="I392" s="186"/>
      <c r="J392" s="186"/>
      <c r="K392" s="186"/>
      <c r="L392" s="186"/>
      <c r="M392" s="186"/>
      <c r="N392" s="186"/>
      <c r="O392" s="186"/>
      <c r="P392" s="186"/>
      <c r="Q392" s="186"/>
      <c r="R392" s="186"/>
      <c r="S392" s="186"/>
      <c r="T392" s="186"/>
      <c r="U392" s="186"/>
      <c r="V392" s="67"/>
      <c r="W392" s="67"/>
      <c r="X392" s="67"/>
      <c r="Y392" s="187"/>
      <c r="Z392" s="186"/>
      <c r="AA392" s="187"/>
      <c r="AB392" s="187"/>
      <c r="AC392" s="187"/>
      <c r="AD392" s="186"/>
      <c r="AE392" s="186"/>
      <c r="AF392" s="67"/>
      <c r="AG392" s="67"/>
      <c r="AH392" s="67"/>
      <c r="AL392" s="186"/>
    </row>
    <row r="393">
      <c r="A393" s="185"/>
      <c r="B393" s="67"/>
      <c r="C393" s="67"/>
      <c r="D393" s="67"/>
      <c r="E393" s="186"/>
      <c r="F393" s="186"/>
      <c r="G393" s="186"/>
      <c r="H393" s="186"/>
      <c r="I393" s="186"/>
      <c r="J393" s="186"/>
      <c r="K393" s="186"/>
      <c r="L393" s="186"/>
      <c r="M393" s="186"/>
      <c r="N393" s="186"/>
      <c r="O393" s="186"/>
      <c r="P393" s="186"/>
      <c r="Q393" s="186"/>
      <c r="R393" s="186"/>
      <c r="S393" s="186"/>
      <c r="T393" s="186"/>
      <c r="U393" s="186"/>
      <c r="V393" s="67"/>
      <c r="W393" s="67"/>
      <c r="X393" s="67"/>
      <c r="Y393" s="187"/>
      <c r="Z393" s="186"/>
      <c r="AA393" s="187"/>
      <c r="AB393" s="187"/>
      <c r="AC393" s="187"/>
      <c r="AD393" s="186"/>
      <c r="AE393" s="186"/>
      <c r="AF393" s="67"/>
      <c r="AG393" s="67"/>
      <c r="AH393" s="67"/>
      <c r="AL393" s="186"/>
    </row>
    <row r="394">
      <c r="A394" s="185"/>
      <c r="B394" s="67"/>
      <c r="C394" s="67"/>
      <c r="D394" s="67"/>
      <c r="E394" s="186"/>
      <c r="F394" s="186"/>
      <c r="G394" s="186"/>
      <c r="H394" s="186"/>
      <c r="I394" s="186"/>
      <c r="J394" s="186"/>
      <c r="K394" s="186"/>
      <c r="L394" s="186"/>
      <c r="M394" s="186"/>
      <c r="N394" s="186"/>
      <c r="O394" s="186"/>
      <c r="P394" s="186"/>
      <c r="Q394" s="186"/>
      <c r="R394" s="186"/>
      <c r="S394" s="186"/>
      <c r="T394" s="186"/>
      <c r="U394" s="186"/>
      <c r="V394" s="67"/>
      <c r="W394" s="67"/>
      <c r="X394" s="67"/>
      <c r="Y394" s="187"/>
      <c r="Z394" s="186"/>
      <c r="AA394" s="187"/>
      <c r="AB394" s="187"/>
      <c r="AC394" s="187"/>
      <c r="AD394" s="186"/>
      <c r="AE394" s="186"/>
      <c r="AF394" s="67"/>
      <c r="AG394" s="67"/>
      <c r="AH394" s="67"/>
      <c r="AL394" s="186"/>
    </row>
    <row r="395">
      <c r="A395" s="185"/>
      <c r="B395" s="67"/>
      <c r="C395" s="67"/>
      <c r="D395" s="67"/>
      <c r="E395" s="186"/>
      <c r="F395" s="186"/>
      <c r="G395" s="186"/>
      <c r="H395" s="186"/>
      <c r="I395" s="186"/>
      <c r="J395" s="186"/>
      <c r="K395" s="186"/>
      <c r="L395" s="186"/>
      <c r="M395" s="186"/>
      <c r="N395" s="186"/>
      <c r="O395" s="186"/>
      <c r="P395" s="186"/>
      <c r="Q395" s="186"/>
      <c r="R395" s="186"/>
      <c r="S395" s="186"/>
      <c r="T395" s="186"/>
      <c r="U395" s="186"/>
      <c r="V395" s="67"/>
      <c r="W395" s="67"/>
      <c r="X395" s="67"/>
      <c r="Y395" s="187"/>
      <c r="Z395" s="186"/>
      <c r="AA395" s="187"/>
      <c r="AB395" s="187"/>
      <c r="AC395" s="187"/>
      <c r="AD395" s="186"/>
      <c r="AE395" s="186"/>
      <c r="AF395" s="67"/>
      <c r="AG395" s="67"/>
      <c r="AH395" s="67"/>
      <c r="AL395" s="186"/>
    </row>
    <row r="396">
      <c r="A396" s="185"/>
      <c r="B396" s="67"/>
      <c r="C396" s="67"/>
      <c r="D396" s="67"/>
      <c r="E396" s="186"/>
      <c r="F396" s="186"/>
      <c r="G396" s="186"/>
      <c r="H396" s="186"/>
      <c r="I396" s="186"/>
      <c r="J396" s="186"/>
      <c r="K396" s="186"/>
      <c r="L396" s="186"/>
      <c r="M396" s="186"/>
      <c r="N396" s="186"/>
      <c r="O396" s="186"/>
      <c r="P396" s="186"/>
      <c r="Q396" s="186"/>
      <c r="R396" s="186"/>
      <c r="S396" s="186"/>
      <c r="T396" s="186"/>
      <c r="U396" s="186"/>
      <c r="V396" s="67"/>
      <c r="W396" s="67"/>
      <c r="X396" s="67"/>
      <c r="Y396" s="187"/>
      <c r="Z396" s="186"/>
      <c r="AA396" s="187"/>
      <c r="AB396" s="187"/>
      <c r="AC396" s="187"/>
      <c r="AD396" s="186"/>
      <c r="AE396" s="186"/>
      <c r="AF396" s="67"/>
      <c r="AG396" s="67"/>
      <c r="AH396" s="67"/>
      <c r="AL396" s="186"/>
    </row>
    <row r="397">
      <c r="A397" s="185"/>
      <c r="B397" s="67"/>
      <c r="C397" s="67"/>
      <c r="D397" s="67"/>
      <c r="E397" s="186"/>
      <c r="F397" s="186"/>
      <c r="G397" s="186"/>
      <c r="H397" s="186"/>
      <c r="I397" s="186"/>
      <c r="J397" s="186"/>
      <c r="K397" s="186"/>
      <c r="L397" s="186"/>
      <c r="M397" s="186"/>
      <c r="N397" s="186"/>
      <c r="O397" s="186"/>
      <c r="P397" s="186"/>
      <c r="Q397" s="186"/>
      <c r="R397" s="186"/>
      <c r="S397" s="186"/>
      <c r="T397" s="186"/>
      <c r="U397" s="186"/>
      <c r="V397" s="67"/>
      <c r="W397" s="67"/>
      <c r="X397" s="67"/>
      <c r="Y397" s="187"/>
      <c r="Z397" s="186"/>
      <c r="AA397" s="187"/>
      <c r="AB397" s="187"/>
      <c r="AC397" s="187"/>
      <c r="AD397" s="186"/>
      <c r="AE397" s="186"/>
      <c r="AF397" s="67"/>
      <c r="AG397" s="67"/>
      <c r="AH397" s="67"/>
      <c r="AL397" s="186"/>
    </row>
    <row r="398">
      <c r="A398" s="185"/>
      <c r="B398" s="67"/>
      <c r="C398" s="67"/>
      <c r="D398" s="67"/>
      <c r="E398" s="186"/>
      <c r="F398" s="186"/>
      <c r="G398" s="186"/>
      <c r="H398" s="186"/>
      <c r="I398" s="186"/>
      <c r="J398" s="186"/>
      <c r="K398" s="186"/>
      <c r="L398" s="186"/>
      <c r="M398" s="186"/>
      <c r="N398" s="186"/>
      <c r="O398" s="186"/>
      <c r="P398" s="186"/>
      <c r="Q398" s="186"/>
      <c r="R398" s="186"/>
      <c r="S398" s="186"/>
      <c r="T398" s="186"/>
      <c r="U398" s="186"/>
      <c r="V398" s="67"/>
      <c r="W398" s="67"/>
      <c r="X398" s="67"/>
      <c r="Y398" s="187"/>
      <c r="Z398" s="186"/>
      <c r="AA398" s="187"/>
      <c r="AB398" s="187"/>
      <c r="AC398" s="187"/>
      <c r="AD398" s="186"/>
      <c r="AE398" s="186"/>
      <c r="AF398" s="67"/>
      <c r="AG398" s="67"/>
      <c r="AH398" s="67"/>
      <c r="AL398" s="186"/>
    </row>
    <row r="399">
      <c r="A399" s="185"/>
      <c r="B399" s="67"/>
      <c r="C399" s="67"/>
      <c r="D399" s="67"/>
      <c r="E399" s="186"/>
      <c r="F399" s="186"/>
      <c r="G399" s="186"/>
      <c r="H399" s="186"/>
      <c r="I399" s="186"/>
      <c r="J399" s="186"/>
      <c r="K399" s="186"/>
      <c r="L399" s="186"/>
      <c r="M399" s="186"/>
      <c r="N399" s="186"/>
      <c r="O399" s="186"/>
      <c r="P399" s="186"/>
      <c r="Q399" s="186"/>
      <c r="R399" s="186"/>
      <c r="S399" s="186"/>
      <c r="T399" s="186"/>
      <c r="U399" s="186"/>
      <c r="V399" s="67"/>
      <c r="W399" s="67"/>
      <c r="X399" s="67"/>
      <c r="Y399" s="187"/>
      <c r="Z399" s="186"/>
      <c r="AA399" s="187"/>
      <c r="AB399" s="187"/>
      <c r="AC399" s="187"/>
      <c r="AD399" s="186"/>
      <c r="AE399" s="186"/>
      <c r="AF399" s="67"/>
      <c r="AG399" s="67"/>
      <c r="AH399" s="67"/>
      <c r="AL399" s="186"/>
    </row>
    <row r="400">
      <c r="A400" s="185"/>
      <c r="B400" s="67"/>
      <c r="C400" s="67"/>
      <c r="D400" s="67"/>
      <c r="E400" s="186"/>
      <c r="F400" s="186"/>
      <c r="G400" s="186"/>
      <c r="H400" s="186"/>
      <c r="I400" s="186"/>
      <c r="J400" s="186"/>
      <c r="K400" s="186"/>
      <c r="L400" s="186"/>
      <c r="M400" s="186"/>
      <c r="N400" s="186"/>
      <c r="O400" s="186"/>
      <c r="P400" s="186"/>
      <c r="Q400" s="186"/>
      <c r="R400" s="186"/>
      <c r="S400" s="186"/>
      <c r="T400" s="186"/>
      <c r="U400" s="186"/>
      <c r="V400" s="67"/>
      <c r="W400" s="67"/>
      <c r="X400" s="67"/>
      <c r="Y400" s="187"/>
      <c r="Z400" s="186"/>
      <c r="AA400" s="187"/>
      <c r="AB400" s="187"/>
      <c r="AC400" s="187"/>
      <c r="AD400" s="186"/>
      <c r="AE400" s="186"/>
      <c r="AF400" s="67"/>
      <c r="AG400" s="67"/>
      <c r="AH400" s="67"/>
      <c r="AL400" s="186"/>
    </row>
    <row r="401">
      <c r="A401" s="185"/>
      <c r="B401" s="67"/>
      <c r="C401" s="67"/>
      <c r="D401" s="67"/>
      <c r="E401" s="186"/>
      <c r="F401" s="186"/>
      <c r="G401" s="186"/>
      <c r="H401" s="186"/>
      <c r="I401" s="186"/>
      <c r="J401" s="186"/>
      <c r="K401" s="186"/>
      <c r="L401" s="186"/>
      <c r="M401" s="186"/>
      <c r="N401" s="186"/>
      <c r="O401" s="186"/>
      <c r="P401" s="186"/>
      <c r="Q401" s="186"/>
      <c r="R401" s="186"/>
      <c r="S401" s="186"/>
      <c r="T401" s="186"/>
      <c r="U401" s="186"/>
      <c r="V401" s="67"/>
      <c r="W401" s="67"/>
      <c r="X401" s="67"/>
      <c r="Y401" s="187"/>
      <c r="Z401" s="186"/>
      <c r="AA401" s="187"/>
      <c r="AB401" s="187"/>
      <c r="AC401" s="187"/>
      <c r="AD401" s="186"/>
      <c r="AE401" s="186"/>
      <c r="AF401" s="67"/>
      <c r="AG401" s="67"/>
      <c r="AH401" s="67"/>
      <c r="AL401" s="186"/>
    </row>
    <row r="402">
      <c r="A402" s="185"/>
      <c r="B402" s="67"/>
      <c r="C402" s="67"/>
      <c r="D402" s="67"/>
      <c r="E402" s="186"/>
      <c r="F402" s="186"/>
      <c r="G402" s="186"/>
      <c r="H402" s="186"/>
      <c r="I402" s="186"/>
      <c r="J402" s="186"/>
      <c r="K402" s="186"/>
      <c r="L402" s="186"/>
      <c r="M402" s="186"/>
      <c r="N402" s="186"/>
      <c r="O402" s="186"/>
      <c r="P402" s="186"/>
      <c r="Q402" s="186"/>
      <c r="R402" s="186"/>
      <c r="S402" s="186"/>
      <c r="T402" s="186"/>
      <c r="U402" s="186"/>
      <c r="V402" s="67"/>
      <c r="W402" s="67"/>
      <c r="X402" s="67"/>
      <c r="Y402" s="187"/>
      <c r="Z402" s="186"/>
      <c r="AA402" s="187"/>
      <c r="AB402" s="187"/>
      <c r="AC402" s="187"/>
      <c r="AD402" s="186"/>
      <c r="AE402" s="186"/>
      <c r="AF402" s="67"/>
      <c r="AG402" s="67"/>
      <c r="AH402" s="67"/>
      <c r="AL402" s="186"/>
    </row>
    <row r="403">
      <c r="A403" s="185"/>
      <c r="B403" s="67"/>
      <c r="C403" s="67"/>
      <c r="D403" s="67"/>
      <c r="E403" s="186"/>
      <c r="F403" s="186"/>
      <c r="G403" s="186"/>
      <c r="H403" s="186"/>
      <c r="I403" s="186"/>
      <c r="J403" s="186"/>
      <c r="K403" s="186"/>
      <c r="L403" s="186"/>
      <c r="M403" s="186"/>
      <c r="N403" s="186"/>
      <c r="O403" s="186"/>
      <c r="P403" s="186"/>
      <c r="Q403" s="186"/>
      <c r="R403" s="186"/>
      <c r="S403" s="186"/>
      <c r="T403" s="186"/>
      <c r="U403" s="186"/>
      <c r="V403" s="67"/>
      <c r="W403" s="67"/>
      <c r="X403" s="67"/>
      <c r="Y403" s="187"/>
      <c r="Z403" s="186"/>
      <c r="AA403" s="187"/>
      <c r="AB403" s="187"/>
      <c r="AC403" s="187"/>
      <c r="AD403" s="186"/>
      <c r="AE403" s="186"/>
      <c r="AF403" s="67"/>
      <c r="AG403" s="67"/>
      <c r="AH403" s="67"/>
      <c r="AL403" s="186"/>
    </row>
    <row r="404">
      <c r="A404" s="185"/>
      <c r="B404" s="67"/>
      <c r="C404" s="67"/>
      <c r="D404" s="67"/>
      <c r="E404" s="186"/>
      <c r="F404" s="186"/>
      <c r="G404" s="186"/>
      <c r="H404" s="186"/>
      <c r="I404" s="186"/>
      <c r="J404" s="186"/>
      <c r="K404" s="186"/>
      <c r="L404" s="186"/>
      <c r="M404" s="186"/>
      <c r="N404" s="186"/>
      <c r="O404" s="186"/>
      <c r="P404" s="186"/>
      <c r="Q404" s="186"/>
      <c r="R404" s="186"/>
      <c r="S404" s="186"/>
      <c r="T404" s="186"/>
      <c r="U404" s="186"/>
      <c r="V404" s="67"/>
      <c r="W404" s="67"/>
      <c r="X404" s="67"/>
      <c r="Y404" s="187"/>
      <c r="Z404" s="186"/>
      <c r="AA404" s="187"/>
      <c r="AB404" s="187"/>
      <c r="AC404" s="187"/>
      <c r="AD404" s="186"/>
      <c r="AE404" s="186"/>
      <c r="AF404" s="67"/>
      <c r="AG404" s="67"/>
      <c r="AH404" s="67"/>
      <c r="AL404" s="186"/>
    </row>
    <row r="405">
      <c r="A405" s="185"/>
      <c r="B405" s="67"/>
      <c r="C405" s="67"/>
      <c r="D405" s="67"/>
      <c r="E405" s="186"/>
      <c r="F405" s="186"/>
      <c r="G405" s="186"/>
      <c r="H405" s="186"/>
      <c r="I405" s="186"/>
      <c r="J405" s="186"/>
      <c r="K405" s="186"/>
      <c r="L405" s="186"/>
      <c r="M405" s="186"/>
      <c r="N405" s="186"/>
      <c r="O405" s="186"/>
      <c r="P405" s="186"/>
      <c r="Q405" s="186"/>
      <c r="R405" s="186"/>
      <c r="S405" s="186"/>
      <c r="T405" s="186"/>
      <c r="U405" s="186"/>
      <c r="V405" s="67"/>
      <c r="W405" s="67"/>
      <c r="X405" s="67"/>
      <c r="Y405" s="187"/>
      <c r="Z405" s="186"/>
      <c r="AA405" s="187"/>
      <c r="AB405" s="187"/>
      <c r="AC405" s="187"/>
      <c r="AD405" s="186"/>
      <c r="AE405" s="186"/>
      <c r="AF405" s="67"/>
      <c r="AG405" s="67"/>
      <c r="AH405" s="67"/>
      <c r="AL405" s="186"/>
    </row>
    <row r="406">
      <c r="A406" s="185"/>
      <c r="B406" s="67"/>
      <c r="C406" s="67"/>
      <c r="D406" s="67"/>
      <c r="E406" s="186"/>
      <c r="F406" s="186"/>
      <c r="G406" s="186"/>
      <c r="H406" s="186"/>
      <c r="I406" s="186"/>
      <c r="J406" s="186"/>
      <c r="K406" s="186"/>
      <c r="L406" s="186"/>
      <c r="M406" s="186"/>
      <c r="N406" s="186"/>
      <c r="O406" s="186"/>
      <c r="P406" s="186"/>
      <c r="Q406" s="186"/>
      <c r="R406" s="186"/>
      <c r="S406" s="186"/>
      <c r="T406" s="186"/>
      <c r="U406" s="186"/>
      <c r="V406" s="67"/>
      <c r="W406" s="67"/>
      <c r="X406" s="67"/>
      <c r="Y406" s="187"/>
      <c r="Z406" s="186"/>
      <c r="AA406" s="187"/>
      <c r="AB406" s="187"/>
      <c r="AC406" s="187"/>
      <c r="AD406" s="186"/>
      <c r="AE406" s="186"/>
      <c r="AF406" s="67"/>
      <c r="AG406" s="67"/>
      <c r="AH406" s="67"/>
      <c r="AL406" s="186"/>
    </row>
    <row r="407">
      <c r="A407" s="185"/>
      <c r="B407" s="67"/>
      <c r="C407" s="67"/>
      <c r="D407" s="67"/>
      <c r="E407" s="186"/>
      <c r="F407" s="186"/>
      <c r="G407" s="186"/>
      <c r="H407" s="186"/>
      <c r="I407" s="186"/>
      <c r="J407" s="186"/>
      <c r="K407" s="186"/>
      <c r="L407" s="186"/>
      <c r="M407" s="186"/>
      <c r="N407" s="186"/>
      <c r="O407" s="186"/>
      <c r="P407" s="186"/>
      <c r="Q407" s="186"/>
      <c r="R407" s="186"/>
      <c r="S407" s="186"/>
      <c r="T407" s="186"/>
      <c r="U407" s="186"/>
      <c r="V407" s="67"/>
      <c r="W407" s="67"/>
      <c r="X407" s="67"/>
      <c r="Y407" s="187"/>
      <c r="Z407" s="186"/>
      <c r="AA407" s="187"/>
      <c r="AB407" s="187"/>
      <c r="AC407" s="187"/>
      <c r="AD407" s="186"/>
      <c r="AE407" s="186"/>
      <c r="AF407" s="67"/>
      <c r="AG407" s="67"/>
      <c r="AH407" s="67"/>
      <c r="AL407" s="186"/>
    </row>
    <row r="408">
      <c r="A408" s="185"/>
      <c r="B408" s="67"/>
      <c r="C408" s="67"/>
      <c r="D408" s="67"/>
      <c r="E408" s="186"/>
      <c r="F408" s="186"/>
      <c r="G408" s="186"/>
      <c r="H408" s="186"/>
      <c r="I408" s="186"/>
      <c r="J408" s="186"/>
      <c r="K408" s="186"/>
      <c r="L408" s="186"/>
      <c r="M408" s="186"/>
      <c r="N408" s="186"/>
      <c r="O408" s="186"/>
      <c r="P408" s="186"/>
      <c r="Q408" s="186"/>
      <c r="R408" s="186"/>
      <c r="S408" s="186"/>
      <c r="T408" s="186"/>
      <c r="U408" s="186"/>
      <c r="V408" s="67"/>
      <c r="W408" s="67"/>
      <c r="X408" s="67"/>
      <c r="Y408" s="187"/>
      <c r="Z408" s="186"/>
      <c r="AA408" s="187"/>
      <c r="AB408" s="187"/>
      <c r="AC408" s="187"/>
      <c r="AD408" s="186"/>
      <c r="AE408" s="186"/>
      <c r="AF408" s="67"/>
      <c r="AG408" s="67"/>
      <c r="AH408" s="67"/>
      <c r="AL408" s="186"/>
    </row>
    <row r="409">
      <c r="A409" s="185"/>
      <c r="B409" s="67"/>
      <c r="C409" s="67"/>
      <c r="D409" s="67"/>
      <c r="E409" s="186"/>
      <c r="F409" s="186"/>
      <c r="G409" s="186"/>
      <c r="H409" s="186"/>
      <c r="I409" s="186"/>
      <c r="J409" s="186"/>
      <c r="K409" s="186"/>
      <c r="L409" s="186"/>
      <c r="M409" s="186"/>
      <c r="N409" s="186"/>
      <c r="O409" s="186"/>
      <c r="P409" s="186"/>
      <c r="Q409" s="186"/>
      <c r="R409" s="186"/>
      <c r="S409" s="186"/>
      <c r="T409" s="186"/>
      <c r="U409" s="186"/>
      <c r="V409" s="67"/>
      <c r="W409" s="67"/>
      <c r="X409" s="67"/>
      <c r="Y409" s="187"/>
      <c r="Z409" s="186"/>
      <c r="AA409" s="187"/>
      <c r="AB409" s="187"/>
      <c r="AC409" s="187"/>
      <c r="AD409" s="186"/>
      <c r="AE409" s="186"/>
      <c r="AF409" s="67"/>
      <c r="AG409" s="67"/>
      <c r="AH409" s="67"/>
      <c r="AL409" s="186"/>
    </row>
    <row r="410">
      <c r="A410" s="185"/>
      <c r="B410" s="67"/>
      <c r="C410" s="67"/>
      <c r="D410" s="67"/>
      <c r="E410" s="186"/>
      <c r="F410" s="186"/>
      <c r="G410" s="186"/>
      <c r="H410" s="186"/>
      <c r="I410" s="186"/>
      <c r="J410" s="186"/>
      <c r="K410" s="186"/>
      <c r="L410" s="186"/>
      <c r="M410" s="186"/>
      <c r="N410" s="186"/>
      <c r="O410" s="186"/>
      <c r="P410" s="186"/>
      <c r="Q410" s="186"/>
      <c r="R410" s="186"/>
      <c r="S410" s="186"/>
      <c r="T410" s="186"/>
      <c r="U410" s="186"/>
      <c r="V410" s="67"/>
      <c r="W410" s="67"/>
      <c r="X410" s="67"/>
      <c r="Y410" s="187"/>
      <c r="Z410" s="186"/>
      <c r="AA410" s="187"/>
      <c r="AB410" s="187"/>
      <c r="AC410" s="187"/>
      <c r="AD410" s="186"/>
      <c r="AE410" s="186"/>
      <c r="AF410" s="67"/>
      <c r="AG410" s="67"/>
      <c r="AH410" s="67"/>
      <c r="AL410" s="186"/>
    </row>
    <row r="411">
      <c r="A411" s="185"/>
      <c r="B411" s="67"/>
      <c r="C411" s="67"/>
      <c r="D411" s="67"/>
      <c r="E411" s="186"/>
      <c r="F411" s="186"/>
      <c r="G411" s="186"/>
      <c r="H411" s="186"/>
      <c r="I411" s="186"/>
      <c r="J411" s="186"/>
      <c r="K411" s="186"/>
      <c r="L411" s="186"/>
      <c r="M411" s="186"/>
      <c r="N411" s="186"/>
      <c r="O411" s="186"/>
      <c r="P411" s="186"/>
      <c r="Q411" s="186"/>
      <c r="R411" s="186"/>
      <c r="S411" s="186"/>
      <c r="T411" s="186"/>
      <c r="U411" s="186"/>
      <c r="V411" s="67"/>
      <c r="W411" s="67"/>
      <c r="X411" s="67"/>
      <c r="Y411" s="187"/>
      <c r="Z411" s="186"/>
      <c r="AA411" s="187"/>
      <c r="AB411" s="187"/>
      <c r="AC411" s="187"/>
      <c r="AD411" s="186"/>
      <c r="AE411" s="186"/>
      <c r="AF411" s="67"/>
      <c r="AG411" s="67"/>
      <c r="AH411" s="67"/>
      <c r="AL411" s="186"/>
    </row>
    <row r="412">
      <c r="A412" s="185"/>
      <c r="B412" s="67"/>
      <c r="C412" s="67"/>
      <c r="D412" s="67"/>
      <c r="E412" s="186"/>
      <c r="F412" s="186"/>
      <c r="G412" s="186"/>
      <c r="H412" s="186"/>
      <c r="I412" s="186"/>
      <c r="J412" s="186"/>
      <c r="K412" s="186"/>
      <c r="L412" s="186"/>
      <c r="M412" s="186"/>
      <c r="N412" s="186"/>
      <c r="O412" s="186"/>
      <c r="P412" s="186"/>
      <c r="Q412" s="186"/>
      <c r="R412" s="186"/>
      <c r="S412" s="186"/>
      <c r="T412" s="186"/>
      <c r="U412" s="186"/>
      <c r="V412" s="67"/>
      <c r="W412" s="67"/>
      <c r="X412" s="67"/>
      <c r="Y412" s="187"/>
      <c r="Z412" s="186"/>
      <c r="AA412" s="187"/>
      <c r="AB412" s="187"/>
      <c r="AC412" s="187"/>
      <c r="AD412" s="186"/>
      <c r="AE412" s="186"/>
      <c r="AF412" s="67"/>
      <c r="AG412" s="67"/>
      <c r="AH412" s="67"/>
      <c r="AL412" s="186"/>
    </row>
    <row r="413">
      <c r="A413" s="185"/>
      <c r="B413" s="67"/>
      <c r="C413" s="67"/>
      <c r="D413" s="67"/>
      <c r="E413" s="186"/>
      <c r="F413" s="186"/>
      <c r="G413" s="186"/>
      <c r="H413" s="186"/>
      <c r="I413" s="186"/>
      <c r="J413" s="186"/>
      <c r="K413" s="186"/>
      <c r="L413" s="186"/>
      <c r="M413" s="186"/>
      <c r="N413" s="186"/>
      <c r="O413" s="186"/>
      <c r="P413" s="186"/>
      <c r="Q413" s="186"/>
      <c r="R413" s="186"/>
      <c r="S413" s="186"/>
      <c r="T413" s="186"/>
      <c r="U413" s="186"/>
      <c r="V413" s="67"/>
      <c r="W413" s="67"/>
      <c r="X413" s="67"/>
      <c r="Y413" s="187"/>
      <c r="Z413" s="186"/>
      <c r="AA413" s="187"/>
      <c r="AB413" s="187"/>
      <c r="AC413" s="187"/>
      <c r="AD413" s="186"/>
      <c r="AE413" s="186"/>
      <c r="AF413" s="67"/>
      <c r="AG413" s="67"/>
      <c r="AH413" s="67"/>
      <c r="AL413" s="186"/>
    </row>
    <row r="414">
      <c r="A414" s="185"/>
      <c r="B414" s="67"/>
      <c r="C414" s="67"/>
      <c r="D414" s="67"/>
      <c r="E414" s="186"/>
      <c r="F414" s="186"/>
      <c r="G414" s="186"/>
      <c r="H414" s="186"/>
      <c r="I414" s="186"/>
      <c r="J414" s="186"/>
      <c r="K414" s="186"/>
      <c r="L414" s="186"/>
      <c r="M414" s="186"/>
      <c r="N414" s="186"/>
      <c r="O414" s="186"/>
      <c r="P414" s="186"/>
      <c r="Q414" s="186"/>
      <c r="R414" s="186"/>
      <c r="S414" s="186"/>
      <c r="T414" s="186"/>
      <c r="U414" s="186"/>
      <c r="V414" s="67"/>
      <c r="W414" s="67"/>
      <c r="X414" s="67"/>
      <c r="Y414" s="187"/>
      <c r="Z414" s="186"/>
      <c r="AA414" s="187"/>
      <c r="AB414" s="187"/>
      <c r="AC414" s="187"/>
      <c r="AD414" s="186"/>
      <c r="AE414" s="186"/>
      <c r="AF414" s="67"/>
      <c r="AG414" s="67"/>
      <c r="AH414" s="67"/>
      <c r="AL414" s="186"/>
    </row>
    <row r="415">
      <c r="A415" s="185"/>
      <c r="B415" s="67"/>
      <c r="C415" s="67"/>
      <c r="D415" s="67"/>
      <c r="E415" s="186"/>
      <c r="F415" s="186"/>
      <c r="G415" s="186"/>
      <c r="H415" s="186"/>
      <c r="I415" s="186"/>
      <c r="J415" s="186"/>
      <c r="K415" s="186"/>
      <c r="L415" s="186"/>
      <c r="M415" s="186"/>
      <c r="N415" s="186"/>
      <c r="O415" s="186"/>
      <c r="P415" s="186"/>
      <c r="Q415" s="186"/>
      <c r="R415" s="186"/>
      <c r="S415" s="186"/>
      <c r="T415" s="186"/>
      <c r="U415" s="186"/>
      <c r="V415" s="67"/>
      <c r="W415" s="67"/>
      <c r="X415" s="67"/>
      <c r="Y415" s="187"/>
      <c r="Z415" s="186"/>
      <c r="AA415" s="187"/>
      <c r="AB415" s="187"/>
      <c r="AC415" s="187"/>
      <c r="AD415" s="186"/>
      <c r="AE415" s="186"/>
      <c r="AF415" s="67"/>
      <c r="AG415" s="67"/>
      <c r="AH415" s="67"/>
      <c r="AL415" s="186"/>
    </row>
    <row r="416">
      <c r="A416" s="185"/>
      <c r="B416" s="67"/>
      <c r="C416" s="67"/>
      <c r="D416" s="67"/>
      <c r="E416" s="186"/>
      <c r="F416" s="186"/>
      <c r="G416" s="186"/>
      <c r="H416" s="186"/>
      <c r="I416" s="186"/>
      <c r="J416" s="186"/>
      <c r="K416" s="186"/>
      <c r="L416" s="186"/>
      <c r="M416" s="186"/>
      <c r="N416" s="186"/>
      <c r="O416" s="186"/>
      <c r="P416" s="186"/>
      <c r="Q416" s="186"/>
      <c r="R416" s="186"/>
      <c r="S416" s="186"/>
      <c r="T416" s="186"/>
      <c r="U416" s="186"/>
      <c r="V416" s="67"/>
      <c r="W416" s="67"/>
      <c r="X416" s="67"/>
      <c r="Y416" s="187"/>
      <c r="Z416" s="186"/>
      <c r="AA416" s="187"/>
      <c r="AB416" s="187"/>
      <c r="AC416" s="187"/>
      <c r="AD416" s="186"/>
      <c r="AE416" s="186"/>
      <c r="AF416" s="67"/>
      <c r="AG416" s="67"/>
      <c r="AH416" s="67"/>
      <c r="AL416" s="186"/>
    </row>
    <row r="417">
      <c r="A417" s="185"/>
      <c r="B417" s="67"/>
      <c r="C417" s="67"/>
      <c r="D417" s="67"/>
      <c r="E417" s="186"/>
      <c r="F417" s="186"/>
      <c r="G417" s="186"/>
      <c r="H417" s="186"/>
      <c r="I417" s="186"/>
      <c r="J417" s="186"/>
      <c r="K417" s="186"/>
      <c r="L417" s="186"/>
      <c r="M417" s="186"/>
      <c r="N417" s="186"/>
      <c r="O417" s="186"/>
      <c r="P417" s="186"/>
      <c r="Q417" s="186"/>
      <c r="R417" s="186"/>
      <c r="S417" s="186"/>
      <c r="T417" s="186"/>
      <c r="U417" s="186"/>
      <c r="V417" s="67"/>
      <c r="W417" s="67"/>
      <c r="X417" s="67"/>
      <c r="Y417" s="187"/>
      <c r="Z417" s="186"/>
      <c r="AA417" s="187"/>
      <c r="AB417" s="187"/>
      <c r="AC417" s="187"/>
      <c r="AD417" s="186"/>
      <c r="AE417" s="186"/>
      <c r="AF417" s="67"/>
      <c r="AG417" s="67"/>
      <c r="AH417" s="67"/>
      <c r="AL417" s="186"/>
    </row>
    <row r="418">
      <c r="A418" s="185"/>
      <c r="B418" s="67"/>
      <c r="C418" s="67"/>
      <c r="D418" s="67"/>
      <c r="E418" s="186"/>
      <c r="F418" s="186"/>
      <c r="G418" s="186"/>
      <c r="H418" s="186"/>
      <c r="I418" s="186"/>
      <c r="J418" s="186"/>
      <c r="K418" s="186"/>
      <c r="L418" s="186"/>
      <c r="M418" s="186"/>
      <c r="N418" s="186"/>
      <c r="O418" s="186"/>
      <c r="P418" s="186"/>
      <c r="Q418" s="186"/>
      <c r="R418" s="186"/>
      <c r="S418" s="186"/>
      <c r="T418" s="186"/>
      <c r="U418" s="186"/>
      <c r="V418" s="67"/>
      <c r="W418" s="67"/>
      <c r="X418" s="67"/>
      <c r="Y418" s="187"/>
      <c r="Z418" s="186"/>
      <c r="AA418" s="187"/>
      <c r="AB418" s="187"/>
      <c r="AC418" s="187"/>
      <c r="AD418" s="186"/>
      <c r="AE418" s="186"/>
      <c r="AF418" s="67"/>
      <c r="AG418" s="67"/>
      <c r="AH418" s="67"/>
      <c r="AL418" s="186"/>
    </row>
    <row r="419">
      <c r="A419" s="185"/>
      <c r="B419" s="67"/>
      <c r="C419" s="67"/>
      <c r="D419" s="67"/>
      <c r="E419" s="186"/>
      <c r="F419" s="186"/>
      <c r="G419" s="186"/>
      <c r="H419" s="186"/>
      <c r="I419" s="186"/>
      <c r="J419" s="186"/>
      <c r="K419" s="186"/>
      <c r="L419" s="186"/>
      <c r="M419" s="186"/>
      <c r="N419" s="186"/>
      <c r="O419" s="186"/>
      <c r="P419" s="186"/>
      <c r="Q419" s="186"/>
      <c r="R419" s="186"/>
      <c r="S419" s="186"/>
      <c r="T419" s="186"/>
      <c r="U419" s="186"/>
      <c r="V419" s="67"/>
      <c r="W419" s="67"/>
      <c r="X419" s="67"/>
      <c r="Y419" s="187"/>
      <c r="Z419" s="186"/>
      <c r="AA419" s="187"/>
      <c r="AB419" s="187"/>
      <c r="AC419" s="187"/>
      <c r="AD419" s="186"/>
      <c r="AE419" s="186"/>
      <c r="AF419" s="67"/>
      <c r="AG419" s="67"/>
      <c r="AH419" s="67"/>
      <c r="AL419" s="186"/>
    </row>
    <row r="420">
      <c r="A420" s="185"/>
      <c r="B420" s="67"/>
      <c r="C420" s="67"/>
      <c r="D420" s="67"/>
      <c r="E420" s="186"/>
      <c r="F420" s="186"/>
      <c r="G420" s="186"/>
      <c r="H420" s="186"/>
      <c r="I420" s="186"/>
      <c r="J420" s="186"/>
      <c r="K420" s="186"/>
      <c r="L420" s="186"/>
      <c r="M420" s="186"/>
      <c r="N420" s="186"/>
      <c r="O420" s="186"/>
      <c r="P420" s="186"/>
      <c r="Q420" s="186"/>
      <c r="R420" s="186"/>
      <c r="S420" s="186"/>
      <c r="T420" s="186"/>
      <c r="U420" s="186"/>
      <c r="V420" s="67"/>
      <c r="W420" s="67"/>
      <c r="X420" s="67"/>
      <c r="Y420" s="187"/>
      <c r="Z420" s="186"/>
      <c r="AA420" s="187"/>
      <c r="AB420" s="187"/>
      <c r="AC420" s="187"/>
      <c r="AD420" s="186"/>
      <c r="AE420" s="186"/>
      <c r="AF420" s="67"/>
      <c r="AG420" s="67"/>
      <c r="AH420" s="67"/>
      <c r="AL420" s="186"/>
    </row>
    <row r="421">
      <c r="A421" s="185"/>
      <c r="B421" s="67"/>
      <c r="C421" s="67"/>
      <c r="D421" s="67"/>
      <c r="E421" s="186"/>
      <c r="F421" s="186"/>
      <c r="G421" s="186"/>
      <c r="H421" s="186"/>
      <c r="I421" s="186"/>
      <c r="J421" s="186"/>
      <c r="K421" s="186"/>
      <c r="L421" s="186"/>
      <c r="M421" s="186"/>
      <c r="N421" s="186"/>
      <c r="O421" s="186"/>
      <c r="P421" s="186"/>
      <c r="Q421" s="186"/>
      <c r="R421" s="186"/>
      <c r="S421" s="186"/>
      <c r="T421" s="186"/>
      <c r="U421" s="186"/>
      <c r="V421" s="67"/>
      <c r="W421" s="67"/>
      <c r="X421" s="67"/>
      <c r="Y421" s="187"/>
      <c r="Z421" s="186"/>
      <c r="AA421" s="187"/>
      <c r="AB421" s="187"/>
      <c r="AC421" s="187"/>
      <c r="AD421" s="186"/>
      <c r="AE421" s="186"/>
      <c r="AF421" s="67"/>
      <c r="AG421" s="67"/>
      <c r="AH421" s="67"/>
      <c r="AL421" s="186"/>
    </row>
    <row r="422">
      <c r="A422" s="185"/>
      <c r="B422" s="67"/>
      <c r="C422" s="67"/>
      <c r="D422" s="67"/>
      <c r="E422" s="186"/>
      <c r="F422" s="186"/>
      <c r="G422" s="186"/>
      <c r="H422" s="186"/>
      <c r="I422" s="186"/>
      <c r="J422" s="186"/>
      <c r="K422" s="186"/>
      <c r="L422" s="186"/>
      <c r="M422" s="186"/>
      <c r="N422" s="186"/>
      <c r="O422" s="186"/>
      <c r="P422" s="186"/>
      <c r="Q422" s="186"/>
      <c r="R422" s="186"/>
      <c r="S422" s="186"/>
      <c r="T422" s="186"/>
      <c r="U422" s="186"/>
      <c r="V422" s="67"/>
      <c r="W422" s="67"/>
      <c r="X422" s="67"/>
      <c r="Y422" s="187"/>
      <c r="Z422" s="186"/>
      <c r="AA422" s="187"/>
      <c r="AB422" s="187"/>
      <c r="AC422" s="187"/>
      <c r="AD422" s="186"/>
      <c r="AE422" s="186"/>
      <c r="AF422" s="67"/>
      <c r="AG422" s="67"/>
      <c r="AH422" s="67"/>
      <c r="AL422" s="186"/>
    </row>
    <row r="423">
      <c r="A423" s="185"/>
      <c r="B423" s="67"/>
      <c r="C423" s="67"/>
      <c r="D423" s="67"/>
      <c r="E423" s="186"/>
      <c r="F423" s="186"/>
      <c r="G423" s="186"/>
      <c r="H423" s="186"/>
      <c r="I423" s="186"/>
      <c r="J423" s="186"/>
      <c r="K423" s="186"/>
      <c r="L423" s="186"/>
      <c r="M423" s="186"/>
      <c r="N423" s="186"/>
      <c r="O423" s="186"/>
      <c r="P423" s="186"/>
      <c r="Q423" s="186"/>
      <c r="R423" s="186"/>
      <c r="S423" s="186"/>
      <c r="T423" s="186"/>
      <c r="U423" s="186"/>
      <c r="V423" s="67"/>
      <c r="W423" s="67"/>
      <c r="X423" s="67"/>
      <c r="Y423" s="187"/>
      <c r="Z423" s="186"/>
      <c r="AA423" s="187"/>
      <c r="AB423" s="187"/>
      <c r="AC423" s="187"/>
      <c r="AD423" s="186"/>
      <c r="AE423" s="186"/>
      <c r="AF423" s="67"/>
      <c r="AG423" s="67"/>
      <c r="AH423" s="67"/>
      <c r="AL423" s="186"/>
    </row>
    <row r="424">
      <c r="A424" s="185"/>
      <c r="B424" s="67"/>
      <c r="C424" s="67"/>
      <c r="D424" s="67"/>
      <c r="E424" s="186"/>
      <c r="F424" s="186"/>
      <c r="G424" s="186"/>
      <c r="H424" s="186"/>
      <c r="I424" s="186"/>
      <c r="J424" s="186"/>
      <c r="K424" s="186"/>
      <c r="L424" s="186"/>
      <c r="M424" s="186"/>
      <c r="N424" s="186"/>
      <c r="O424" s="186"/>
      <c r="P424" s="186"/>
      <c r="Q424" s="186"/>
      <c r="R424" s="186"/>
      <c r="S424" s="186"/>
      <c r="T424" s="186"/>
      <c r="U424" s="186"/>
      <c r="V424" s="67"/>
      <c r="W424" s="67"/>
      <c r="X424" s="67"/>
      <c r="Y424" s="187"/>
      <c r="Z424" s="186"/>
      <c r="AA424" s="187"/>
      <c r="AB424" s="187"/>
      <c r="AC424" s="187"/>
      <c r="AD424" s="186"/>
      <c r="AE424" s="186"/>
      <c r="AF424" s="67"/>
      <c r="AG424" s="67"/>
      <c r="AH424" s="67"/>
      <c r="AL424" s="186"/>
    </row>
    <row r="425">
      <c r="A425" s="185"/>
      <c r="B425" s="67"/>
      <c r="C425" s="67"/>
      <c r="D425" s="67"/>
      <c r="E425" s="186"/>
      <c r="F425" s="186"/>
      <c r="G425" s="186"/>
      <c r="H425" s="186"/>
      <c r="I425" s="186"/>
      <c r="J425" s="186"/>
      <c r="K425" s="186"/>
      <c r="L425" s="186"/>
      <c r="M425" s="186"/>
      <c r="N425" s="186"/>
      <c r="O425" s="186"/>
      <c r="P425" s="186"/>
      <c r="Q425" s="186"/>
      <c r="R425" s="186"/>
      <c r="S425" s="186"/>
      <c r="T425" s="186"/>
      <c r="U425" s="186"/>
      <c r="V425" s="67"/>
      <c r="W425" s="67"/>
      <c r="X425" s="67"/>
      <c r="Y425" s="187"/>
      <c r="Z425" s="186"/>
      <c r="AA425" s="187"/>
      <c r="AB425" s="187"/>
      <c r="AC425" s="187"/>
      <c r="AD425" s="186"/>
      <c r="AE425" s="186"/>
      <c r="AF425" s="67"/>
      <c r="AG425" s="67"/>
      <c r="AH425" s="67"/>
      <c r="AL425" s="186"/>
    </row>
    <row r="426">
      <c r="A426" s="185"/>
      <c r="B426" s="67"/>
      <c r="C426" s="67"/>
      <c r="D426" s="67"/>
      <c r="E426" s="186"/>
      <c r="F426" s="186"/>
      <c r="G426" s="186"/>
      <c r="H426" s="186"/>
      <c r="I426" s="186"/>
      <c r="J426" s="186"/>
      <c r="K426" s="186"/>
      <c r="L426" s="186"/>
      <c r="M426" s="186"/>
      <c r="N426" s="186"/>
      <c r="O426" s="186"/>
      <c r="P426" s="186"/>
      <c r="Q426" s="186"/>
      <c r="R426" s="186"/>
      <c r="S426" s="186"/>
      <c r="T426" s="186"/>
      <c r="U426" s="186"/>
      <c r="V426" s="67"/>
      <c r="W426" s="67"/>
      <c r="X426" s="67"/>
      <c r="Y426" s="187"/>
      <c r="Z426" s="186"/>
      <c r="AA426" s="187"/>
      <c r="AB426" s="187"/>
      <c r="AC426" s="187"/>
      <c r="AD426" s="186"/>
      <c r="AE426" s="186"/>
      <c r="AF426" s="67"/>
      <c r="AG426" s="67"/>
      <c r="AH426" s="67"/>
      <c r="AL426" s="186"/>
    </row>
    <row r="427">
      <c r="A427" s="185"/>
      <c r="B427" s="67"/>
      <c r="C427" s="67"/>
      <c r="D427" s="67"/>
      <c r="E427" s="186"/>
      <c r="F427" s="186"/>
      <c r="G427" s="186"/>
      <c r="H427" s="186"/>
      <c r="I427" s="186"/>
      <c r="J427" s="186"/>
      <c r="K427" s="186"/>
      <c r="L427" s="186"/>
      <c r="M427" s="186"/>
      <c r="N427" s="186"/>
      <c r="O427" s="186"/>
      <c r="P427" s="186"/>
      <c r="Q427" s="186"/>
      <c r="R427" s="186"/>
      <c r="S427" s="186"/>
      <c r="T427" s="186"/>
      <c r="U427" s="186"/>
      <c r="V427" s="67"/>
      <c r="W427" s="67"/>
      <c r="X427" s="67"/>
      <c r="Y427" s="187"/>
      <c r="Z427" s="186"/>
      <c r="AA427" s="187"/>
      <c r="AB427" s="187"/>
      <c r="AC427" s="187"/>
      <c r="AD427" s="186"/>
      <c r="AE427" s="186"/>
      <c r="AF427" s="67"/>
      <c r="AG427" s="67"/>
      <c r="AH427" s="67"/>
      <c r="AL427" s="186"/>
    </row>
    <row r="428">
      <c r="A428" s="185"/>
      <c r="B428" s="67"/>
      <c r="C428" s="67"/>
      <c r="D428" s="67"/>
      <c r="E428" s="186"/>
      <c r="F428" s="186"/>
      <c r="G428" s="186"/>
      <c r="H428" s="186"/>
      <c r="I428" s="186"/>
      <c r="J428" s="186"/>
      <c r="K428" s="186"/>
      <c r="L428" s="186"/>
      <c r="M428" s="186"/>
      <c r="N428" s="186"/>
      <c r="O428" s="186"/>
      <c r="P428" s="186"/>
      <c r="Q428" s="186"/>
      <c r="R428" s="186"/>
      <c r="S428" s="186"/>
      <c r="T428" s="186"/>
      <c r="U428" s="186"/>
      <c r="V428" s="67"/>
      <c r="W428" s="67"/>
      <c r="X428" s="67"/>
      <c r="Y428" s="187"/>
      <c r="Z428" s="186"/>
      <c r="AA428" s="187"/>
      <c r="AB428" s="187"/>
      <c r="AC428" s="187"/>
      <c r="AD428" s="186"/>
      <c r="AE428" s="186"/>
      <c r="AF428" s="67"/>
      <c r="AG428" s="67"/>
      <c r="AH428" s="67"/>
      <c r="AL428" s="186"/>
    </row>
    <row r="429">
      <c r="A429" s="185"/>
      <c r="B429" s="67"/>
      <c r="C429" s="67"/>
      <c r="D429" s="67"/>
      <c r="E429" s="186"/>
      <c r="F429" s="186"/>
      <c r="G429" s="186"/>
      <c r="H429" s="186"/>
      <c r="I429" s="186"/>
      <c r="J429" s="186"/>
      <c r="K429" s="186"/>
      <c r="L429" s="186"/>
      <c r="M429" s="186"/>
      <c r="N429" s="186"/>
      <c r="O429" s="186"/>
      <c r="P429" s="186"/>
      <c r="Q429" s="186"/>
      <c r="R429" s="186"/>
      <c r="S429" s="186"/>
      <c r="T429" s="186"/>
      <c r="U429" s="186"/>
      <c r="V429" s="67"/>
      <c r="W429" s="67"/>
      <c r="X429" s="67"/>
      <c r="Y429" s="187"/>
      <c r="Z429" s="186"/>
      <c r="AA429" s="187"/>
      <c r="AB429" s="187"/>
      <c r="AC429" s="187"/>
      <c r="AD429" s="186"/>
      <c r="AE429" s="186"/>
      <c r="AF429" s="67"/>
      <c r="AG429" s="67"/>
      <c r="AH429" s="67"/>
      <c r="AL429" s="186"/>
    </row>
    <row r="430">
      <c r="A430" s="185"/>
      <c r="B430" s="67"/>
      <c r="C430" s="67"/>
      <c r="D430" s="67"/>
      <c r="E430" s="186"/>
      <c r="F430" s="186"/>
      <c r="G430" s="186"/>
      <c r="H430" s="186"/>
      <c r="I430" s="186"/>
      <c r="J430" s="186"/>
      <c r="K430" s="186"/>
      <c r="L430" s="186"/>
      <c r="M430" s="186"/>
      <c r="N430" s="186"/>
      <c r="O430" s="186"/>
      <c r="P430" s="186"/>
      <c r="Q430" s="186"/>
      <c r="R430" s="186"/>
      <c r="S430" s="186"/>
      <c r="T430" s="186"/>
      <c r="U430" s="186"/>
      <c r="V430" s="67"/>
      <c r="W430" s="67"/>
      <c r="X430" s="67"/>
      <c r="Y430" s="187"/>
      <c r="Z430" s="186"/>
      <c r="AA430" s="187"/>
      <c r="AB430" s="187"/>
      <c r="AC430" s="187"/>
      <c r="AD430" s="186"/>
      <c r="AE430" s="186"/>
      <c r="AF430" s="67"/>
      <c r="AG430" s="67"/>
      <c r="AH430" s="67"/>
      <c r="AL430" s="186"/>
    </row>
    <row r="431">
      <c r="A431" s="185"/>
      <c r="B431" s="67"/>
      <c r="C431" s="67"/>
      <c r="D431" s="67"/>
      <c r="E431" s="186"/>
      <c r="F431" s="186"/>
      <c r="G431" s="186"/>
      <c r="H431" s="186"/>
      <c r="I431" s="186"/>
      <c r="J431" s="186"/>
      <c r="K431" s="186"/>
      <c r="L431" s="186"/>
      <c r="M431" s="186"/>
      <c r="N431" s="186"/>
      <c r="O431" s="186"/>
      <c r="P431" s="186"/>
      <c r="Q431" s="186"/>
      <c r="R431" s="186"/>
      <c r="S431" s="186"/>
      <c r="T431" s="186"/>
      <c r="U431" s="186"/>
      <c r="V431" s="67"/>
      <c r="W431" s="67"/>
      <c r="X431" s="67"/>
      <c r="Y431" s="187"/>
      <c r="Z431" s="186"/>
      <c r="AA431" s="187"/>
      <c r="AB431" s="187"/>
      <c r="AC431" s="187"/>
      <c r="AD431" s="186"/>
      <c r="AE431" s="186"/>
      <c r="AF431" s="67"/>
      <c r="AG431" s="67"/>
      <c r="AH431" s="67"/>
      <c r="AL431" s="186"/>
    </row>
    <row r="432">
      <c r="A432" s="185"/>
      <c r="B432" s="67"/>
      <c r="C432" s="67"/>
      <c r="D432" s="67"/>
      <c r="E432" s="186"/>
      <c r="F432" s="186"/>
      <c r="G432" s="186"/>
      <c r="H432" s="186"/>
      <c r="I432" s="186"/>
      <c r="J432" s="186"/>
      <c r="K432" s="186"/>
      <c r="L432" s="186"/>
      <c r="M432" s="186"/>
      <c r="N432" s="186"/>
      <c r="O432" s="186"/>
      <c r="P432" s="186"/>
      <c r="Q432" s="186"/>
      <c r="R432" s="186"/>
      <c r="S432" s="186"/>
      <c r="T432" s="186"/>
      <c r="U432" s="186"/>
      <c r="V432" s="67"/>
      <c r="W432" s="67"/>
      <c r="X432" s="67"/>
      <c r="Y432" s="187"/>
      <c r="Z432" s="186"/>
      <c r="AA432" s="187"/>
      <c r="AB432" s="187"/>
      <c r="AC432" s="187"/>
      <c r="AD432" s="186"/>
      <c r="AE432" s="186"/>
      <c r="AF432" s="67"/>
      <c r="AG432" s="67"/>
      <c r="AH432" s="67"/>
      <c r="AL432" s="186"/>
    </row>
    <row r="433">
      <c r="A433" s="185"/>
      <c r="B433" s="67"/>
      <c r="C433" s="67"/>
      <c r="D433" s="67"/>
      <c r="E433" s="186"/>
      <c r="F433" s="186"/>
      <c r="G433" s="186"/>
      <c r="H433" s="186"/>
      <c r="I433" s="186"/>
      <c r="J433" s="186"/>
      <c r="K433" s="186"/>
      <c r="L433" s="186"/>
      <c r="M433" s="186"/>
      <c r="N433" s="186"/>
      <c r="O433" s="186"/>
      <c r="P433" s="186"/>
      <c r="Q433" s="186"/>
      <c r="R433" s="186"/>
      <c r="S433" s="186"/>
      <c r="T433" s="186"/>
      <c r="U433" s="186"/>
      <c r="V433" s="67"/>
      <c r="W433" s="67"/>
      <c r="X433" s="67"/>
      <c r="Y433" s="187"/>
      <c r="Z433" s="186"/>
      <c r="AA433" s="187"/>
      <c r="AB433" s="187"/>
      <c r="AC433" s="187"/>
      <c r="AD433" s="186"/>
      <c r="AE433" s="186"/>
      <c r="AF433" s="67"/>
      <c r="AG433" s="67"/>
      <c r="AH433" s="67"/>
      <c r="AL433" s="186"/>
    </row>
    <row r="434">
      <c r="A434" s="185"/>
      <c r="B434" s="67"/>
      <c r="C434" s="67"/>
      <c r="D434" s="67"/>
      <c r="E434" s="186"/>
      <c r="F434" s="186"/>
      <c r="G434" s="186"/>
      <c r="H434" s="186"/>
      <c r="I434" s="186"/>
      <c r="J434" s="186"/>
      <c r="K434" s="186"/>
      <c r="L434" s="186"/>
      <c r="M434" s="186"/>
      <c r="N434" s="186"/>
      <c r="O434" s="186"/>
      <c r="P434" s="186"/>
      <c r="Q434" s="186"/>
      <c r="R434" s="186"/>
      <c r="S434" s="186"/>
      <c r="T434" s="186"/>
      <c r="U434" s="186"/>
      <c r="V434" s="67"/>
      <c r="W434" s="67"/>
      <c r="X434" s="67"/>
      <c r="Y434" s="187"/>
      <c r="Z434" s="186"/>
      <c r="AA434" s="187"/>
      <c r="AB434" s="187"/>
      <c r="AC434" s="187"/>
      <c r="AD434" s="186"/>
      <c r="AE434" s="186"/>
      <c r="AF434" s="67"/>
      <c r="AG434" s="67"/>
      <c r="AH434" s="67"/>
      <c r="AL434" s="186"/>
    </row>
    <row r="435">
      <c r="A435" s="185"/>
      <c r="B435" s="67"/>
      <c r="C435" s="67"/>
      <c r="D435" s="67"/>
      <c r="E435" s="186"/>
      <c r="F435" s="186"/>
      <c r="G435" s="186"/>
      <c r="H435" s="186"/>
      <c r="I435" s="186"/>
      <c r="J435" s="186"/>
      <c r="K435" s="186"/>
      <c r="L435" s="186"/>
      <c r="M435" s="186"/>
      <c r="N435" s="186"/>
      <c r="O435" s="186"/>
      <c r="P435" s="186"/>
      <c r="Q435" s="186"/>
      <c r="R435" s="186"/>
      <c r="S435" s="186"/>
      <c r="T435" s="186"/>
      <c r="U435" s="186"/>
      <c r="V435" s="67"/>
      <c r="W435" s="67"/>
      <c r="X435" s="67"/>
      <c r="Y435" s="187"/>
      <c r="Z435" s="186"/>
      <c r="AA435" s="187"/>
      <c r="AB435" s="187"/>
      <c r="AC435" s="187"/>
      <c r="AD435" s="186"/>
      <c r="AE435" s="186"/>
      <c r="AF435" s="67"/>
      <c r="AG435" s="67"/>
      <c r="AH435" s="67"/>
      <c r="AL435" s="186"/>
    </row>
    <row r="436">
      <c r="A436" s="185"/>
      <c r="B436" s="67"/>
      <c r="C436" s="67"/>
      <c r="D436" s="67"/>
      <c r="E436" s="186"/>
      <c r="F436" s="186"/>
      <c r="G436" s="186"/>
      <c r="H436" s="186"/>
      <c r="I436" s="186"/>
      <c r="J436" s="186"/>
      <c r="K436" s="186"/>
      <c r="L436" s="186"/>
      <c r="M436" s="186"/>
      <c r="N436" s="186"/>
      <c r="O436" s="186"/>
      <c r="P436" s="186"/>
      <c r="Q436" s="186"/>
      <c r="R436" s="186"/>
      <c r="S436" s="186"/>
      <c r="T436" s="186"/>
      <c r="U436" s="186"/>
      <c r="V436" s="67"/>
      <c r="W436" s="67"/>
      <c r="X436" s="67"/>
      <c r="Y436" s="187"/>
      <c r="Z436" s="186"/>
      <c r="AA436" s="187"/>
      <c r="AB436" s="187"/>
      <c r="AC436" s="187"/>
      <c r="AD436" s="186"/>
      <c r="AE436" s="186"/>
      <c r="AF436" s="67"/>
      <c r="AG436" s="67"/>
      <c r="AH436" s="67"/>
      <c r="AL436" s="186"/>
    </row>
    <row r="437">
      <c r="A437" s="185"/>
      <c r="B437" s="67"/>
      <c r="C437" s="67"/>
      <c r="D437" s="67"/>
      <c r="E437" s="186"/>
      <c r="F437" s="186"/>
      <c r="G437" s="186"/>
      <c r="H437" s="186"/>
      <c r="I437" s="186"/>
      <c r="J437" s="186"/>
      <c r="K437" s="186"/>
      <c r="L437" s="186"/>
      <c r="M437" s="186"/>
      <c r="N437" s="186"/>
      <c r="O437" s="186"/>
      <c r="P437" s="186"/>
      <c r="Q437" s="186"/>
      <c r="R437" s="186"/>
      <c r="S437" s="186"/>
      <c r="T437" s="186"/>
      <c r="U437" s="186"/>
      <c r="V437" s="67"/>
      <c r="W437" s="67"/>
      <c r="X437" s="67"/>
      <c r="Y437" s="187"/>
      <c r="Z437" s="186"/>
      <c r="AA437" s="187"/>
      <c r="AB437" s="187"/>
      <c r="AC437" s="187"/>
      <c r="AD437" s="186"/>
      <c r="AE437" s="186"/>
      <c r="AF437" s="67"/>
      <c r="AG437" s="67"/>
      <c r="AH437" s="67"/>
      <c r="AL437" s="186"/>
    </row>
    <row r="438">
      <c r="A438" s="185"/>
      <c r="B438" s="67"/>
      <c r="C438" s="67"/>
      <c r="D438" s="67"/>
      <c r="E438" s="186"/>
      <c r="F438" s="186"/>
      <c r="G438" s="186"/>
      <c r="H438" s="186"/>
      <c r="I438" s="186"/>
      <c r="J438" s="186"/>
      <c r="K438" s="186"/>
      <c r="L438" s="186"/>
      <c r="M438" s="186"/>
      <c r="N438" s="186"/>
      <c r="O438" s="186"/>
      <c r="P438" s="186"/>
      <c r="Q438" s="186"/>
      <c r="R438" s="186"/>
      <c r="S438" s="186"/>
      <c r="T438" s="186"/>
      <c r="U438" s="186"/>
      <c r="V438" s="67"/>
      <c r="W438" s="67"/>
      <c r="X438" s="67"/>
      <c r="Y438" s="187"/>
      <c r="Z438" s="186"/>
      <c r="AA438" s="187"/>
      <c r="AB438" s="187"/>
      <c r="AC438" s="187"/>
      <c r="AD438" s="186"/>
      <c r="AE438" s="186"/>
      <c r="AF438" s="67"/>
      <c r="AG438" s="67"/>
      <c r="AH438" s="67"/>
      <c r="AL438" s="186"/>
    </row>
    <row r="439">
      <c r="A439" s="185"/>
      <c r="B439" s="67"/>
      <c r="C439" s="67"/>
      <c r="D439" s="67"/>
      <c r="E439" s="186"/>
      <c r="F439" s="186"/>
      <c r="G439" s="186"/>
      <c r="H439" s="186"/>
      <c r="I439" s="186"/>
      <c r="J439" s="186"/>
      <c r="K439" s="186"/>
      <c r="L439" s="186"/>
      <c r="M439" s="186"/>
      <c r="N439" s="186"/>
      <c r="O439" s="186"/>
      <c r="P439" s="186"/>
      <c r="Q439" s="186"/>
      <c r="R439" s="186"/>
      <c r="S439" s="186"/>
      <c r="T439" s="186"/>
      <c r="U439" s="186"/>
      <c r="V439" s="67"/>
      <c r="W439" s="67"/>
      <c r="X439" s="67"/>
      <c r="Y439" s="187"/>
      <c r="Z439" s="186"/>
      <c r="AA439" s="187"/>
      <c r="AB439" s="187"/>
      <c r="AC439" s="187"/>
      <c r="AD439" s="186"/>
      <c r="AE439" s="186"/>
      <c r="AF439" s="67"/>
      <c r="AG439" s="67"/>
      <c r="AH439" s="67"/>
      <c r="AL439" s="186"/>
    </row>
    <row r="440">
      <c r="A440" s="185"/>
      <c r="B440" s="67"/>
      <c r="C440" s="67"/>
      <c r="D440" s="67"/>
      <c r="E440" s="186"/>
      <c r="F440" s="186"/>
      <c r="G440" s="186"/>
      <c r="H440" s="186"/>
      <c r="I440" s="186"/>
      <c r="J440" s="186"/>
      <c r="K440" s="186"/>
      <c r="L440" s="186"/>
      <c r="M440" s="186"/>
      <c r="N440" s="186"/>
      <c r="O440" s="186"/>
      <c r="P440" s="186"/>
      <c r="Q440" s="186"/>
      <c r="R440" s="186"/>
      <c r="S440" s="186"/>
      <c r="T440" s="186"/>
      <c r="U440" s="186"/>
      <c r="V440" s="67"/>
      <c r="W440" s="67"/>
      <c r="X440" s="67"/>
      <c r="Y440" s="187"/>
      <c r="Z440" s="186"/>
      <c r="AA440" s="187"/>
      <c r="AB440" s="187"/>
      <c r="AC440" s="187"/>
      <c r="AD440" s="186"/>
      <c r="AE440" s="186"/>
      <c r="AF440" s="67"/>
      <c r="AG440" s="67"/>
      <c r="AH440" s="67"/>
      <c r="AL440" s="186"/>
    </row>
    <row r="441">
      <c r="A441" s="185"/>
      <c r="B441" s="67"/>
      <c r="C441" s="67"/>
      <c r="D441" s="67"/>
      <c r="E441" s="186"/>
      <c r="F441" s="186"/>
      <c r="G441" s="186"/>
      <c r="H441" s="186"/>
      <c r="I441" s="186"/>
      <c r="J441" s="186"/>
      <c r="K441" s="186"/>
      <c r="L441" s="186"/>
      <c r="M441" s="186"/>
      <c r="N441" s="186"/>
      <c r="O441" s="186"/>
      <c r="P441" s="186"/>
      <c r="Q441" s="186"/>
      <c r="R441" s="186"/>
      <c r="S441" s="186"/>
      <c r="T441" s="186"/>
      <c r="U441" s="186"/>
      <c r="V441" s="67"/>
      <c r="W441" s="67"/>
      <c r="X441" s="67"/>
      <c r="Y441" s="187"/>
      <c r="Z441" s="186"/>
      <c r="AA441" s="187"/>
      <c r="AB441" s="187"/>
      <c r="AC441" s="187"/>
      <c r="AD441" s="186"/>
      <c r="AE441" s="186"/>
      <c r="AF441" s="67"/>
      <c r="AG441" s="67"/>
      <c r="AH441" s="67"/>
      <c r="AL441" s="186"/>
    </row>
    <row r="442">
      <c r="A442" s="185"/>
      <c r="B442" s="67"/>
      <c r="C442" s="67"/>
      <c r="D442" s="67"/>
      <c r="E442" s="186"/>
      <c r="F442" s="186"/>
      <c r="G442" s="186"/>
      <c r="H442" s="186"/>
      <c r="I442" s="186"/>
      <c r="J442" s="186"/>
      <c r="K442" s="186"/>
      <c r="L442" s="186"/>
      <c r="M442" s="186"/>
      <c r="N442" s="186"/>
      <c r="O442" s="186"/>
      <c r="P442" s="186"/>
      <c r="Q442" s="186"/>
      <c r="R442" s="186"/>
      <c r="S442" s="186"/>
      <c r="T442" s="186"/>
      <c r="U442" s="186"/>
      <c r="V442" s="67"/>
      <c r="W442" s="67"/>
      <c r="X442" s="67"/>
      <c r="Y442" s="187"/>
      <c r="Z442" s="186"/>
      <c r="AA442" s="187"/>
      <c r="AB442" s="187"/>
      <c r="AC442" s="187"/>
      <c r="AD442" s="186"/>
      <c r="AE442" s="186"/>
      <c r="AF442" s="67"/>
      <c r="AG442" s="67"/>
      <c r="AH442" s="67"/>
      <c r="AL442" s="186"/>
    </row>
    <row r="443">
      <c r="A443" s="185"/>
      <c r="B443" s="67"/>
      <c r="C443" s="67"/>
      <c r="D443" s="67"/>
      <c r="E443" s="186"/>
      <c r="F443" s="186"/>
      <c r="G443" s="186"/>
      <c r="H443" s="186"/>
      <c r="I443" s="186"/>
      <c r="J443" s="186"/>
      <c r="K443" s="186"/>
      <c r="L443" s="186"/>
      <c r="M443" s="186"/>
      <c r="N443" s="186"/>
      <c r="O443" s="186"/>
      <c r="P443" s="186"/>
      <c r="Q443" s="186"/>
      <c r="R443" s="186"/>
      <c r="S443" s="186"/>
      <c r="T443" s="186"/>
      <c r="U443" s="186"/>
      <c r="V443" s="67"/>
      <c r="W443" s="67"/>
      <c r="X443" s="67"/>
      <c r="Y443" s="187"/>
      <c r="Z443" s="186"/>
      <c r="AA443" s="187"/>
      <c r="AB443" s="187"/>
      <c r="AC443" s="187"/>
      <c r="AD443" s="186"/>
      <c r="AE443" s="186"/>
      <c r="AF443" s="67"/>
      <c r="AG443" s="67"/>
      <c r="AH443" s="67"/>
      <c r="AL443" s="186"/>
    </row>
    <row r="444">
      <c r="A444" s="185"/>
      <c r="B444" s="67"/>
      <c r="C444" s="67"/>
      <c r="D444" s="67"/>
      <c r="E444" s="186"/>
      <c r="F444" s="186"/>
      <c r="G444" s="186"/>
      <c r="H444" s="186"/>
      <c r="I444" s="186"/>
      <c r="J444" s="186"/>
      <c r="K444" s="186"/>
      <c r="L444" s="186"/>
      <c r="M444" s="186"/>
      <c r="N444" s="186"/>
      <c r="O444" s="186"/>
      <c r="P444" s="186"/>
      <c r="Q444" s="186"/>
      <c r="R444" s="186"/>
      <c r="S444" s="186"/>
      <c r="T444" s="186"/>
      <c r="U444" s="186"/>
      <c r="V444" s="67"/>
      <c r="W444" s="67"/>
      <c r="X444" s="67"/>
      <c r="Y444" s="187"/>
      <c r="Z444" s="186"/>
      <c r="AA444" s="187"/>
      <c r="AB444" s="187"/>
      <c r="AC444" s="187"/>
      <c r="AD444" s="186"/>
      <c r="AE444" s="186"/>
      <c r="AF444" s="67"/>
      <c r="AG444" s="67"/>
      <c r="AH444" s="67"/>
      <c r="AL444" s="186"/>
    </row>
    <row r="445">
      <c r="A445" s="185"/>
      <c r="B445" s="67"/>
      <c r="C445" s="67"/>
      <c r="D445" s="67"/>
      <c r="E445" s="186"/>
      <c r="F445" s="186"/>
      <c r="G445" s="186"/>
      <c r="H445" s="186"/>
      <c r="I445" s="186"/>
      <c r="J445" s="186"/>
      <c r="K445" s="186"/>
      <c r="L445" s="186"/>
      <c r="M445" s="186"/>
      <c r="N445" s="186"/>
      <c r="O445" s="186"/>
      <c r="P445" s="186"/>
      <c r="Q445" s="186"/>
      <c r="R445" s="186"/>
      <c r="S445" s="186"/>
      <c r="T445" s="186"/>
      <c r="U445" s="186"/>
      <c r="V445" s="67"/>
      <c r="W445" s="67"/>
      <c r="X445" s="67"/>
      <c r="Y445" s="187"/>
      <c r="Z445" s="186"/>
      <c r="AA445" s="187"/>
      <c r="AB445" s="187"/>
      <c r="AC445" s="187"/>
      <c r="AD445" s="186"/>
      <c r="AE445" s="186"/>
      <c r="AF445" s="67"/>
      <c r="AG445" s="67"/>
      <c r="AH445" s="67"/>
      <c r="AL445" s="186"/>
    </row>
    <row r="446">
      <c r="A446" s="185"/>
      <c r="B446" s="67"/>
      <c r="C446" s="67"/>
      <c r="D446" s="67"/>
      <c r="E446" s="186"/>
      <c r="F446" s="186"/>
      <c r="G446" s="186"/>
      <c r="H446" s="186"/>
      <c r="I446" s="186"/>
      <c r="J446" s="186"/>
      <c r="K446" s="186"/>
      <c r="L446" s="186"/>
      <c r="M446" s="186"/>
      <c r="N446" s="186"/>
      <c r="O446" s="186"/>
      <c r="P446" s="186"/>
      <c r="Q446" s="186"/>
      <c r="R446" s="186"/>
      <c r="S446" s="186"/>
      <c r="T446" s="186"/>
      <c r="U446" s="186"/>
      <c r="V446" s="67"/>
      <c r="W446" s="67"/>
      <c r="X446" s="67"/>
      <c r="Y446" s="187"/>
      <c r="Z446" s="186"/>
      <c r="AA446" s="187"/>
      <c r="AB446" s="187"/>
      <c r="AC446" s="187"/>
      <c r="AD446" s="186"/>
      <c r="AE446" s="186"/>
      <c r="AF446" s="67"/>
      <c r="AG446" s="67"/>
      <c r="AH446" s="67"/>
      <c r="AL446" s="186"/>
    </row>
    <row r="447">
      <c r="A447" s="185"/>
      <c r="B447" s="67"/>
      <c r="C447" s="67"/>
      <c r="D447" s="67"/>
      <c r="E447" s="186"/>
      <c r="F447" s="186"/>
      <c r="G447" s="186"/>
      <c r="H447" s="186"/>
      <c r="I447" s="186"/>
      <c r="J447" s="186"/>
      <c r="K447" s="186"/>
      <c r="L447" s="186"/>
      <c r="M447" s="186"/>
      <c r="N447" s="186"/>
      <c r="O447" s="186"/>
      <c r="P447" s="186"/>
      <c r="Q447" s="186"/>
      <c r="R447" s="186"/>
      <c r="S447" s="186"/>
      <c r="T447" s="186"/>
      <c r="U447" s="186"/>
      <c r="V447" s="67"/>
      <c r="W447" s="67"/>
      <c r="X447" s="67"/>
      <c r="Y447" s="187"/>
      <c r="Z447" s="186"/>
      <c r="AA447" s="187"/>
      <c r="AB447" s="187"/>
      <c r="AC447" s="187"/>
      <c r="AD447" s="186"/>
      <c r="AE447" s="186"/>
      <c r="AF447" s="67"/>
      <c r="AG447" s="67"/>
      <c r="AH447" s="67"/>
      <c r="AL447" s="186"/>
    </row>
    <row r="448">
      <c r="A448" s="185"/>
      <c r="B448" s="67"/>
      <c r="C448" s="67"/>
      <c r="D448" s="67"/>
      <c r="E448" s="186"/>
      <c r="F448" s="186"/>
      <c r="G448" s="186"/>
      <c r="H448" s="186"/>
      <c r="I448" s="186"/>
      <c r="J448" s="186"/>
      <c r="K448" s="186"/>
      <c r="L448" s="186"/>
      <c r="M448" s="186"/>
      <c r="N448" s="186"/>
      <c r="O448" s="186"/>
      <c r="P448" s="186"/>
      <c r="Q448" s="186"/>
      <c r="R448" s="186"/>
      <c r="S448" s="186"/>
      <c r="T448" s="186"/>
      <c r="U448" s="186"/>
      <c r="V448" s="67"/>
      <c r="W448" s="67"/>
      <c r="X448" s="67"/>
      <c r="Y448" s="187"/>
      <c r="Z448" s="186"/>
      <c r="AA448" s="187"/>
      <c r="AB448" s="187"/>
      <c r="AC448" s="187"/>
      <c r="AD448" s="186"/>
      <c r="AE448" s="186"/>
      <c r="AF448" s="67"/>
      <c r="AG448" s="67"/>
      <c r="AH448" s="67"/>
      <c r="AL448" s="186"/>
    </row>
    <row r="449">
      <c r="A449" s="185"/>
      <c r="B449" s="67"/>
      <c r="C449" s="67"/>
      <c r="D449" s="67"/>
      <c r="E449" s="186"/>
      <c r="F449" s="186"/>
      <c r="G449" s="186"/>
      <c r="H449" s="186"/>
      <c r="I449" s="186"/>
      <c r="J449" s="186"/>
      <c r="K449" s="186"/>
      <c r="L449" s="186"/>
      <c r="M449" s="186"/>
      <c r="N449" s="186"/>
      <c r="O449" s="186"/>
      <c r="P449" s="186"/>
      <c r="Q449" s="186"/>
      <c r="R449" s="186"/>
      <c r="S449" s="186"/>
      <c r="T449" s="186"/>
      <c r="U449" s="186"/>
      <c r="V449" s="67"/>
      <c r="W449" s="67"/>
      <c r="X449" s="67"/>
      <c r="Y449" s="187"/>
      <c r="Z449" s="186"/>
      <c r="AA449" s="187"/>
      <c r="AB449" s="187"/>
      <c r="AC449" s="187"/>
      <c r="AD449" s="186"/>
      <c r="AE449" s="186"/>
      <c r="AF449" s="67"/>
      <c r="AG449" s="67"/>
      <c r="AH449" s="67"/>
      <c r="AL449" s="186"/>
    </row>
    <row r="450">
      <c r="A450" s="185"/>
      <c r="B450" s="67"/>
      <c r="C450" s="67"/>
      <c r="D450" s="67"/>
      <c r="E450" s="186"/>
      <c r="F450" s="186"/>
      <c r="G450" s="186"/>
      <c r="H450" s="186"/>
      <c r="I450" s="186"/>
      <c r="J450" s="186"/>
      <c r="K450" s="186"/>
      <c r="L450" s="186"/>
      <c r="M450" s="186"/>
      <c r="N450" s="186"/>
      <c r="O450" s="186"/>
      <c r="P450" s="186"/>
      <c r="Q450" s="186"/>
      <c r="R450" s="186"/>
      <c r="S450" s="186"/>
      <c r="T450" s="186"/>
      <c r="U450" s="186"/>
      <c r="V450" s="67"/>
      <c r="W450" s="67"/>
      <c r="X450" s="67"/>
      <c r="Y450" s="187"/>
      <c r="Z450" s="186"/>
      <c r="AA450" s="187"/>
      <c r="AB450" s="187"/>
      <c r="AC450" s="187"/>
      <c r="AD450" s="186"/>
      <c r="AE450" s="186"/>
      <c r="AF450" s="67"/>
      <c r="AG450" s="67"/>
      <c r="AH450" s="67"/>
      <c r="AL450" s="186"/>
    </row>
    <row r="451">
      <c r="A451" s="185"/>
      <c r="B451" s="67"/>
      <c r="C451" s="67"/>
      <c r="D451" s="67"/>
      <c r="E451" s="186"/>
      <c r="F451" s="186"/>
      <c r="G451" s="186"/>
      <c r="H451" s="186"/>
      <c r="I451" s="186"/>
      <c r="J451" s="186"/>
      <c r="K451" s="186"/>
      <c r="L451" s="186"/>
      <c r="M451" s="186"/>
      <c r="N451" s="186"/>
      <c r="O451" s="186"/>
      <c r="P451" s="186"/>
      <c r="Q451" s="186"/>
      <c r="R451" s="186"/>
      <c r="S451" s="186"/>
      <c r="T451" s="186"/>
      <c r="U451" s="186"/>
      <c r="V451" s="67"/>
      <c r="W451" s="67"/>
      <c r="X451" s="67"/>
      <c r="Y451" s="187"/>
      <c r="Z451" s="186"/>
      <c r="AA451" s="187"/>
      <c r="AB451" s="187"/>
      <c r="AC451" s="187"/>
      <c r="AD451" s="186"/>
      <c r="AE451" s="186"/>
      <c r="AF451" s="67"/>
      <c r="AG451" s="67"/>
      <c r="AH451" s="67"/>
      <c r="AL451" s="186"/>
    </row>
    <row r="452">
      <c r="A452" s="185"/>
      <c r="B452" s="67"/>
      <c r="C452" s="67"/>
      <c r="D452" s="67"/>
      <c r="E452" s="186"/>
      <c r="F452" s="186"/>
      <c r="G452" s="186"/>
      <c r="H452" s="186"/>
      <c r="I452" s="186"/>
      <c r="J452" s="186"/>
      <c r="K452" s="186"/>
      <c r="L452" s="186"/>
      <c r="M452" s="186"/>
      <c r="N452" s="186"/>
      <c r="O452" s="186"/>
      <c r="P452" s="186"/>
      <c r="Q452" s="186"/>
      <c r="R452" s="186"/>
      <c r="S452" s="186"/>
      <c r="T452" s="186"/>
      <c r="U452" s="186"/>
      <c r="V452" s="67"/>
      <c r="W452" s="67"/>
      <c r="X452" s="67"/>
      <c r="Y452" s="187"/>
      <c r="Z452" s="186"/>
      <c r="AA452" s="187"/>
      <c r="AB452" s="187"/>
      <c r="AC452" s="187"/>
      <c r="AD452" s="186"/>
      <c r="AE452" s="186"/>
      <c r="AF452" s="67"/>
      <c r="AG452" s="67"/>
      <c r="AH452" s="67"/>
      <c r="AL452" s="186"/>
    </row>
    <row r="453">
      <c r="A453" s="185"/>
      <c r="B453" s="67"/>
      <c r="C453" s="67"/>
      <c r="D453" s="67"/>
      <c r="E453" s="186"/>
      <c r="F453" s="186"/>
      <c r="G453" s="186"/>
      <c r="H453" s="186"/>
      <c r="I453" s="186"/>
      <c r="J453" s="186"/>
      <c r="K453" s="186"/>
      <c r="L453" s="186"/>
      <c r="M453" s="186"/>
      <c r="N453" s="186"/>
      <c r="O453" s="186"/>
      <c r="P453" s="186"/>
      <c r="Q453" s="186"/>
      <c r="R453" s="186"/>
      <c r="S453" s="186"/>
      <c r="T453" s="186"/>
      <c r="U453" s="186"/>
      <c r="V453" s="67"/>
      <c r="W453" s="67"/>
      <c r="X453" s="67"/>
      <c r="Y453" s="187"/>
      <c r="Z453" s="186"/>
      <c r="AA453" s="187"/>
      <c r="AB453" s="187"/>
      <c r="AC453" s="187"/>
      <c r="AD453" s="186"/>
      <c r="AE453" s="186"/>
      <c r="AF453" s="67"/>
      <c r="AG453" s="67"/>
      <c r="AH453" s="67"/>
      <c r="AL453" s="186"/>
    </row>
    <row r="454">
      <c r="A454" s="185"/>
      <c r="B454" s="67"/>
      <c r="C454" s="67"/>
      <c r="D454" s="67"/>
      <c r="E454" s="186"/>
      <c r="F454" s="186"/>
      <c r="G454" s="186"/>
      <c r="H454" s="186"/>
      <c r="I454" s="186"/>
      <c r="J454" s="186"/>
      <c r="K454" s="186"/>
      <c r="L454" s="186"/>
      <c r="M454" s="186"/>
      <c r="N454" s="186"/>
      <c r="O454" s="186"/>
      <c r="P454" s="186"/>
      <c r="Q454" s="186"/>
      <c r="R454" s="186"/>
      <c r="S454" s="186"/>
      <c r="T454" s="186"/>
      <c r="U454" s="186"/>
      <c r="V454" s="67"/>
      <c r="W454" s="67"/>
      <c r="X454" s="67"/>
      <c r="Y454" s="187"/>
      <c r="Z454" s="186"/>
      <c r="AA454" s="187"/>
      <c r="AB454" s="187"/>
      <c r="AC454" s="187"/>
      <c r="AD454" s="186"/>
      <c r="AE454" s="186"/>
      <c r="AF454" s="67"/>
      <c r="AG454" s="67"/>
      <c r="AH454" s="67"/>
      <c r="AL454" s="186"/>
    </row>
    <row r="455">
      <c r="A455" s="185"/>
      <c r="B455" s="67"/>
      <c r="C455" s="67"/>
      <c r="D455" s="67"/>
      <c r="E455" s="186"/>
      <c r="F455" s="186"/>
      <c r="G455" s="186"/>
      <c r="H455" s="186"/>
      <c r="I455" s="186"/>
      <c r="J455" s="186"/>
      <c r="K455" s="186"/>
      <c r="L455" s="186"/>
      <c r="M455" s="186"/>
      <c r="N455" s="186"/>
      <c r="O455" s="186"/>
      <c r="P455" s="186"/>
      <c r="Q455" s="186"/>
      <c r="R455" s="186"/>
      <c r="S455" s="186"/>
      <c r="T455" s="186"/>
      <c r="U455" s="186"/>
      <c r="V455" s="67"/>
      <c r="W455" s="67"/>
      <c r="X455" s="67"/>
      <c r="Y455" s="187"/>
      <c r="Z455" s="186"/>
      <c r="AA455" s="187"/>
      <c r="AB455" s="187"/>
      <c r="AC455" s="187"/>
      <c r="AD455" s="186"/>
      <c r="AE455" s="186"/>
      <c r="AF455" s="67"/>
      <c r="AG455" s="67"/>
      <c r="AH455" s="67"/>
      <c r="AL455" s="186"/>
    </row>
    <row r="456">
      <c r="A456" s="185"/>
      <c r="B456" s="67"/>
      <c r="C456" s="67"/>
      <c r="D456" s="67"/>
      <c r="E456" s="186"/>
      <c r="F456" s="186"/>
      <c r="G456" s="186"/>
      <c r="H456" s="186"/>
      <c r="I456" s="186"/>
      <c r="J456" s="186"/>
      <c r="K456" s="186"/>
      <c r="L456" s="186"/>
      <c r="M456" s="186"/>
      <c r="N456" s="186"/>
      <c r="O456" s="186"/>
      <c r="P456" s="186"/>
      <c r="Q456" s="186"/>
      <c r="R456" s="186"/>
      <c r="S456" s="186"/>
      <c r="T456" s="186"/>
      <c r="U456" s="186"/>
      <c r="V456" s="67"/>
      <c r="W456" s="67"/>
      <c r="X456" s="67"/>
      <c r="Y456" s="187"/>
      <c r="Z456" s="186"/>
      <c r="AA456" s="187"/>
      <c r="AB456" s="187"/>
      <c r="AC456" s="187"/>
      <c r="AD456" s="186"/>
      <c r="AE456" s="186"/>
      <c r="AF456" s="67"/>
      <c r="AG456" s="67"/>
      <c r="AH456" s="67"/>
      <c r="AL456" s="186"/>
    </row>
    <row r="457">
      <c r="A457" s="185"/>
      <c r="B457" s="67"/>
      <c r="C457" s="67"/>
      <c r="D457" s="67"/>
      <c r="E457" s="186"/>
      <c r="F457" s="186"/>
      <c r="G457" s="186"/>
      <c r="H457" s="186"/>
      <c r="I457" s="186"/>
      <c r="J457" s="186"/>
      <c r="K457" s="186"/>
      <c r="L457" s="186"/>
      <c r="M457" s="186"/>
      <c r="N457" s="186"/>
      <c r="O457" s="186"/>
      <c r="P457" s="186"/>
      <c r="Q457" s="186"/>
      <c r="R457" s="186"/>
      <c r="S457" s="186"/>
      <c r="T457" s="186"/>
      <c r="U457" s="186"/>
      <c r="V457" s="67"/>
      <c r="W457" s="67"/>
      <c r="X457" s="67"/>
      <c r="Y457" s="187"/>
      <c r="Z457" s="186"/>
      <c r="AA457" s="187"/>
      <c r="AB457" s="187"/>
      <c r="AC457" s="187"/>
      <c r="AD457" s="186"/>
      <c r="AE457" s="186"/>
      <c r="AF457" s="67"/>
      <c r="AG457" s="67"/>
      <c r="AH457" s="67"/>
      <c r="AL457" s="186"/>
    </row>
    <row r="458">
      <c r="A458" s="185"/>
      <c r="B458" s="67"/>
      <c r="C458" s="67"/>
      <c r="D458" s="67"/>
      <c r="E458" s="186"/>
      <c r="F458" s="186"/>
      <c r="G458" s="186"/>
      <c r="H458" s="186"/>
      <c r="I458" s="186"/>
      <c r="J458" s="186"/>
      <c r="K458" s="186"/>
      <c r="L458" s="186"/>
      <c r="M458" s="186"/>
      <c r="N458" s="186"/>
      <c r="O458" s="186"/>
      <c r="P458" s="186"/>
      <c r="Q458" s="186"/>
      <c r="R458" s="186"/>
      <c r="S458" s="186"/>
      <c r="T458" s="186"/>
      <c r="U458" s="186"/>
      <c r="V458" s="67"/>
      <c r="W458" s="67"/>
      <c r="X458" s="67"/>
      <c r="Y458" s="187"/>
      <c r="Z458" s="186"/>
      <c r="AA458" s="187"/>
      <c r="AB458" s="187"/>
      <c r="AC458" s="187"/>
      <c r="AD458" s="186"/>
      <c r="AE458" s="186"/>
      <c r="AF458" s="67"/>
      <c r="AG458" s="67"/>
      <c r="AH458" s="67"/>
      <c r="AL458" s="186"/>
    </row>
    <row r="459">
      <c r="A459" s="185"/>
      <c r="B459" s="67"/>
      <c r="C459" s="67"/>
      <c r="D459" s="67"/>
      <c r="E459" s="186"/>
      <c r="F459" s="186"/>
      <c r="G459" s="186"/>
      <c r="H459" s="186"/>
      <c r="I459" s="186"/>
      <c r="J459" s="186"/>
      <c r="K459" s="186"/>
      <c r="L459" s="186"/>
      <c r="M459" s="186"/>
      <c r="N459" s="186"/>
      <c r="O459" s="186"/>
      <c r="P459" s="186"/>
      <c r="Q459" s="186"/>
      <c r="R459" s="186"/>
      <c r="S459" s="186"/>
      <c r="T459" s="186"/>
      <c r="U459" s="186"/>
      <c r="V459" s="67"/>
      <c r="W459" s="67"/>
      <c r="X459" s="67"/>
      <c r="Y459" s="187"/>
      <c r="Z459" s="186"/>
      <c r="AA459" s="187"/>
      <c r="AB459" s="187"/>
      <c r="AC459" s="187"/>
      <c r="AD459" s="186"/>
      <c r="AE459" s="186"/>
      <c r="AF459" s="67"/>
      <c r="AG459" s="67"/>
      <c r="AH459" s="67"/>
      <c r="AL459" s="186"/>
    </row>
    <row r="460">
      <c r="A460" s="185"/>
      <c r="B460" s="67"/>
      <c r="C460" s="67"/>
      <c r="D460" s="67"/>
      <c r="E460" s="186"/>
      <c r="F460" s="186"/>
      <c r="G460" s="186"/>
      <c r="H460" s="186"/>
      <c r="I460" s="186"/>
      <c r="J460" s="186"/>
      <c r="K460" s="186"/>
      <c r="L460" s="186"/>
      <c r="M460" s="186"/>
      <c r="N460" s="186"/>
      <c r="O460" s="186"/>
      <c r="P460" s="186"/>
      <c r="Q460" s="186"/>
      <c r="R460" s="186"/>
      <c r="S460" s="186"/>
      <c r="T460" s="186"/>
      <c r="U460" s="186"/>
      <c r="V460" s="67"/>
      <c r="W460" s="67"/>
      <c r="X460" s="67"/>
      <c r="Y460" s="187"/>
      <c r="Z460" s="186"/>
      <c r="AA460" s="187"/>
      <c r="AB460" s="187"/>
      <c r="AC460" s="187"/>
      <c r="AD460" s="186"/>
      <c r="AE460" s="186"/>
      <c r="AF460" s="67"/>
      <c r="AG460" s="67"/>
      <c r="AH460" s="67"/>
      <c r="AL460" s="186"/>
    </row>
    <row r="461">
      <c r="A461" s="185"/>
      <c r="B461" s="67"/>
      <c r="C461" s="67"/>
      <c r="D461" s="67"/>
      <c r="E461" s="186"/>
      <c r="F461" s="186"/>
      <c r="G461" s="186"/>
      <c r="H461" s="186"/>
      <c r="I461" s="186"/>
      <c r="J461" s="186"/>
      <c r="K461" s="186"/>
      <c r="L461" s="186"/>
      <c r="M461" s="186"/>
      <c r="N461" s="186"/>
      <c r="O461" s="186"/>
      <c r="P461" s="186"/>
      <c r="Q461" s="186"/>
      <c r="R461" s="186"/>
      <c r="S461" s="186"/>
      <c r="T461" s="186"/>
      <c r="U461" s="186"/>
      <c r="V461" s="67"/>
      <c r="W461" s="67"/>
      <c r="X461" s="67"/>
      <c r="Y461" s="187"/>
      <c r="Z461" s="186"/>
      <c r="AA461" s="187"/>
      <c r="AB461" s="187"/>
      <c r="AC461" s="187"/>
      <c r="AD461" s="186"/>
      <c r="AE461" s="186"/>
      <c r="AF461" s="67"/>
      <c r="AG461" s="67"/>
      <c r="AH461" s="67"/>
      <c r="AL461" s="186"/>
    </row>
    <row r="462">
      <c r="A462" s="185"/>
      <c r="B462" s="67"/>
      <c r="C462" s="67"/>
      <c r="D462" s="67"/>
      <c r="E462" s="186"/>
      <c r="F462" s="186"/>
      <c r="G462" s="186"/>
      <c r="H462" s="186"/>
      <c r="I462" s="186"/>
      <c r="J462" s="186"/>
      <c r="K462" s="186"/>
      <c r="L462" s="186"/>
      <c r="M462" s="186"/>
      <c r="N462" s="186"/>
      <c r="O462" s="186"/>
      <c r="P462" s="186"/>
      <c r="Q462" s="186"/>
      <c r="R462" s="186"/>
      <c r="S462" s="186"/>
      <c r="T462" s="186"/>
      <c r="U462" s="186"/>
      <c r="V462" s="67"/>
      <c r="W462" s="67"/>
      <c r="X462" s="67"/>
      <c r="Y462" s="187"/>
      <c r="Z462" s="186"/>
      <c r="AA462" s="187"/>
      <c r="AB462" s="187"/>
      <c r="AC462" s="187"/>
      <c r="AD462" s="186"/>
      <c r="AE462" s="186"/>
      <c r="AF462" s="67"/>
      <c r="AG462" s="67"/>
      <c r="AH462" s="67"/>
      <c r="AL462" s="186"/>
    </row>
    <row r="463">
      <c r="A463" s="185"/>
      <c r="B463" s="67"/>
      <c r="C463" s="67"/>
      <c r="D463" s="67"/>
      <c r="E463" s="186"/>
      <c r="F463" s="186"/>
      <c r="G463" s="186"/>
      <c r="H463" s="186"/>
      <c r="I463" s="186"/>
      <c r="J463" s="186"/>
      <c r="K463" s="186"/>
      <c r="L463" s="186"/>
      <c r="M463" s="186"/>
      <c r="N463" s="186"/>
      <c r="O463" s="186"/>
      <c r="P463" s="186"/>
      <c r="Q463" s="186"/>
      <c r="R463" s="186"/>
      <c r="S463" s="186"/>
      <c r="T463" s="186"/>
      <c r="U463" s="186"/>
      <c r="V463" s="67"/>
      <c r="W463" s="67"/>
      <c r="X463" s="67"/>
      <c r="Y463" s="187"/>
      <c r="Z463" s="186"/>
      <c r="AA463" s="187"/>
      <c r="AB463" s="187"/>
      <c r="AC463" s="187"/>
      <c r="AD463" s="186"/>
      <c r="AE463" s="186"/>
      <c r="AF463" s="67"/>
      <c r="AG463" s="67"/>
      <c r="AH463" s="67"/>
      <c r="AL463" s="186"/>
    </row>
    <row r="464">
      <c r="A464" s="185"/>
      <c r="B464" s="67"/>
      <c r="C464" s="67"/>
      <c r="D464" s="67"/>
      <c r="E464" s="186"/>
      <c r="F464" s="186"/>
      <c r="G464" s="186"/>
      <c r="H464" s="186"/>
      <c r="I464" s="186"/>
      <c r="J464" s="186"/>
      <c r="K464" s="186"/>
      <c r="L464" s="186"/>
      <c r="M464" s="186"/>
      <c r="N464" s="186"/>
      <c r="O464" s="186"/>
      <c r="P464" s="186"/>
      <c r="Q464" s="186"/>
      <c r="R464" s="186"/>
      <c r="S464" s="186"/>
      <c r="T464" s="186"/>
      <c r="U464" s="186"/>
      <c r="V464" s="67"/>
      <c r="W464" s="67"/>
      <c r="X464" s="67"/>
      <c r="Y464" s="187"/>
      <c r="Z464" s="186"/>
      <c r="AA464" s="187"/>
      <c r="AB464" s="187"/>
      <c r="AC464" s="187"/>
      <c r="AD464" s="186"/>
      <c r="AE464" s="186"/>
      <c r="AF464" s="67"/>
      <c r="AG464" s="67"/>
      <c r="AH464" s="67"/>
      <c r="AL464" s="186"/>
    </row>
    <row r="465">
      <c r="A465" s="185"/>
      <c r="B465" s="67"/>
      <c r="C465" s="67"/>
      <c r="D465" s="67"/>
      <c r="E465" s="186"/>
      <c r="F465" s="186"/>
      <c r="G465" s="186"/>
      <c r="H465" s="186"/>
      <c r="I465" s="186"/>
      <c r="J465" s="186"/>
      <c r="K465" s="186"/>
      <c r="L465" s="186"/>
      <c r="M465" s="186"/>
      <c r="N465" s="186"/>
      <c r="O465" s="186"/>
      <c r="P465" s="186"/>
      <c r="Q465" s="186"/>
      <c r="R465" s="186"/>
      <c r="S465" s="186"/>
      <c r="T465" s="186"/>
      <c r="U465" s="186"/>
      <c r="V465" s="67"/>
      <c r="W465" s="67"/>
      <c r="X465" s="67"/>
      <c r="Y465" s="187"/>
      <c r="Z465" s="186"/>
      <c r="AA465" s="187"/>
      <c r="AB465" s="187"/>
      <c r="AC465" s="187"/>
      <c r="AD465" s="186"/>
      <c r="AE465" s="186"/>
      <c r="AF465" s="67"/>
      <c r="AG465" s="67"/>
      <c r="AH465" s="67"/>
      <c r="AL465" s="186"/>
    </row>
    <row r="466">
      <c r="A466" s="185"/>
      <c r="B466" s="67"/>
      <c r="C466" s="67"/>
      <c r="D466" s="67"/>
      <c r="E466" s="186"/>
      <c r="F466" s="186"/>
      <c r="G466" s="186"/>
      <c r="H466" s="186"/>
      <c r="I466" s="186"/>
      <c r="J466" s="186"/>
      <c r="K466" s="186"/>
      <c r="L466" s="186"/>
      <c r="M466" s="186"/>
      <c r="N466" s="186"/>
      <c r="O466" s="186"/>
      <c r="P466" s="186"/>
      <c r="Q466" s="186"/>
      <c r="R466" s="186"/>
      <c r="S466" s="186"/>
      <c r="T466" s="186"/>
      <c r="U466" s="186"/>
      <c r="V466" s="67"/>
      <c r="W466" s="67"/>
      <c r="X466" s="67"/>
      <c r="Y466" s="187"/>
      <c r="Z466" s="186"/>
      <c r="AA466" s="187"/>
      <c r="AB466" s="187"/>
      <c r="AC466" s="187"/>
      <c r="AD466" s="186"/>
      <c r="AE466" s="186"/>
      <c r="AF466" s="67"/>
      <c r="AG466" s="67"/>
      <c r="AH466" s="67"/>
      <c r="AL466" s="186"/>
    </row>
    <row r="467">
      <c r="A467" s="185"/>
      <c r="B467" s="67"/>
      <c r="C467" s="67"/>
      <c r="D467" s="67"/>
      <c r="E467" s="186"/>
      <c r="F467" s="186"/>
      <c r="G467" s="186"/>
      <c r="H467" s="186"/>
      <c r="I467" s="186"/>
      <c r="J467" s="186"/>
      <c r="K467" s="186"/>
      <c r="L467" s="186"/>
      <c r="M467" s="186"/>
      <c r="N467" s="186"/>
      <c r="O467" s="186"/>
      <c r="P467" s="186"/>
      <c r="Q467" s="186"/>
      <c r="R467" s="186"/>
      <c r="S467" s="186"/>
      <c r="T467" s="186"/>
      <c r="U467" s="186"/>
      <c r="V467" s="67"/>
      <c r="W467" s="67"/>
      <c r="X467" s="67"/>
      <c r="Y467" s="187"/>
      <c r="Z467" s="186"/>
      <c r="AA467" s="187"/>
      <c r="AB467" s="187"/>
      <c r="AC467" s="187"/>
      <c r="AD467" s="186"/>
      <c r="AE467" s="186"/>
      <c r="AF467" s="67"/>
      <c r="AG467" s="67"/>
      <c r="AH467" s="67"/>
      <c r="AL467" s="186"/>
    </row>
    <row r="468">
      <c r="A468" s="185"/>
      <c r="B468" s="67"/>
      <c r="C468" s="67"/>
      <c r="D468" s="67"/>
      <c r="E468" s="186"/>
      <c r="F468" s="186"/>
      <c r="G468" s="186"/>
      <c r="H468" s="186"/>
      <c r="I468" s="186"/>
      <c r="J468" s="186"/>
      <c r="K468" s="186"/>
      <c r="L468" s="186"/>
      <c r="M468" s="186"/>
      <c r="N468" s="186"/>
      <c r="O468" s="186"/>
      <c r="P468" s="186"/>
      <c r="Q468" s="186"/>
      <c r="R468" s="186"/>
      <c r="S468" s="186"/>
      <c r="T468" s="186"/>
      <c r="U468" s="186"/>
      <c r="V468" s="67"/>
      <c r="W468" s="67"/>
      <c r="X468" s="67"/>
      <c r="Y468" s="187"/>
      <c r="Z468" s="186"/>
      <c r="AA468" s="187"/>
      <c r="AB468" s="187"/>
      <c r="AC468" s="187"/>
      <c r="AD468" s="186"/>
      <c r="AE468" s="186"/>
      <c r="AF468" s="67"/>
      <c r="AG468" s="67"/>
      <c r="AH468" s="67"/>
      <c r="AL468" s="186"/>
    </row>
    <row r="469">
      <c r="A469" s="185"/>
      <c r="B469" s="67"/>
      <c r="C469" s="67"/>
      <c r="D469" s="67"/>
      <c r="E469" s="186"/>
      <c r="F469" s="186"/>
      <c r="G469" s="186"/>
      <c r="H469" s="186"/>
      <c r="I469" s="186"/>
      <c r="J469" s="186"/>
      <c r="K469" s="186"/>
      <c r="L469" s="186"/>
      <c r="M469" s="186"/>
      <c r="N469" s="186"/>
      <c r="O469" s="186"/>
      <c r="P469" s="186"/>
      <c r="Q469" s="186"/>
      <c r="R469" s="186"/>
      <c r="S469" s="186"/>
      <c r="T469" s="186"/>
      <c r="U469" s="186"/>
      <c r="V469" s="67"/>
      <c r="W469" s="67"/>
      <c r="X469" s="67"/>
      <c r="Y469" s="187"/>
      <c r="Z469" s="186"/>
      <c r="AA469" s="187"/>
      <c r="AB469" s="187"/>
      <c r="AC469" s="187"/>
      <c r="AD469" s="186"/>
      <c r="AE469" s="186"/>
      <c r="AF469" s="67"/>
      <c r="AG469" s="67"/>
      <c r="AH469" s="67"/>
      <c r="AL469" s="186"/>
    </row>
    <row r="470">
      <c r="A470" s="185"/>
      <c r="B470" s="67"/>
      <c r="C470" s="67"/>
      <c r="D470" s="67"/>
      <c r="E470" s="186"/>
      <c r="F470" s="186"/>
      <c r="G470" s="186"/>
      <c r="H470" s="186"/>
      <c r="I470" s="186"/>
      <c r="J470" s="186"/>
      <c r="K470" s="186"/>
      <c r="L470" s="186"/>
      <c r="M470" s="186"/>
      <c r="N470" s="186"/>
      <c r="O470" s="186"/>
      <c r="P470" s="186"/>
      <c r="Q470" s="186"/>
      <c r="R470" s="186"/>
      <c r="S470" s="186"/>
      <c r="T470" s="186"/>
      <c r="U470" s="186"/>
      <c r="V470" s="67"/>
      <c r="W470" s="67"/>
      <c r="X470" s="67"/>
      <c r="Y470" s="187"/>
      <c r="Z470" s="186"/>
      <c r="AA470" s="187"/>
      <c r="AB470" s="187"/>
      <c r="AC470" s="187"/>
      <c r="AD470" s="186"/>
      <c r="AE470" s="186"/>
      <c r="AF470" s="67"/>
      <c r="AG470" s="67"/>
      <c r="AH470" s="67"/>
      <c r="AL470" s="186"/>
    </row>
    <row r="471">
      <c r="A471" s="185"/>
      <c r="B471" s="67"/>
      <c r="C471" s="67"/>
      <c r="D471" s="67"/>
      <c r="E471" s="186"/>
      <c r="F471" s="186"/>
      <c r="G471" s="186"/>
      <c r="H471" s="186"/>
      <c r="I471" s="186"/>
      <c r="J471" s="186"/>
      <c r="K471" s="186"/>
      <c r="L471" s="186"/>
      <c r="M471" s="186"/>
      <c r="N471" s="186"/>
      <c r="O471" s="186"/>
      <c r="P471" s="186"/>
      <c r="Q471" s="186"/>
      <c r="R471" s="186"/>
      <c r="S471" s="186"/>
      <c r="T471" s="186"/>
      <c r="U471" s="186"/>
      <c r="V471" s="67"/>
      <c r="W471" s="67"/>
      <c r="X471" s="67"/>
      <c r="Y471" s="187"/>
      <c r="Z471" s="186"/>
      <c r="AA471" s="187"/>
      <c r="AB471" s="187"/>
      <c r="AC471" s="187"/>
      <c r="AD471" s="186"/>
      <c r="AE471" s="186"/>
      <c r="AF471" s="67"/>
      <c r="AG471" s="67"/>
      <c r="AH471" s="67"/>
      <c r="AL471" s="186"/>
    </row>
    <row r="472">
      <c r="A472" s="185"/>
      <c r="B472" s="67"/>
      <c r="C472" s="67"/>
      <c r="D472" s="67"/>
      <c r="E472" s="186"/>
      <c r="F472" s="186"/>
      <c r="G472" s="186"/>
      <c r="H472" s="186"/>
      <c r="I472" s="186"/>
      <c r="J472" s="186"/>
      <c r="K472" s="186"/>
      <c r="L472" s="186"/>
      <c r="M472" s="186"/>
      <c r="N472" s="186"/>
      <c r="O472" s="186"/>
      <c r="P472" s="186"/>
      <c r="Q472" s="186"/>
      <c r="R472" s="186"/>
      <c r="S472" s="186"/>
      <c r="T472" s="186"/>
      <c r="U472" s="186"/>
      <c r="V472" s="67"/>
      <c r="W472" s="67"/>
      <c r="X472" s="67"/>
      <c r="Y472" s="187"/>
      <c r="Z472" s="186"/>
      <c r="AA472" s="187"/>
      <c r="AB472" s="187"/>
      <c r="AC472" s="187"/>
      <c r="AD472" s="186"/>
      <c r="AE472" s="186"/>
      <c r="AF472" s="67"/>
      <c r="AG472" s="67"/>
      <c r="AH472" s="67"/>
      <c r="AL472" s="186"/>
    </row>
    <row r="473">
      <c r="A473" s="185"/>
      <c r="B473" s="67"/>
      <c r="C473" s="67"/>
      <c r="D473" s="67"/>
      <c r="E473" s="186"/>
      <c r="F473" s="186"/>
      <c r="G473" s="186"/>
      <c r="H473" s="186"/>
      <c r="I473" s="186"/>
      <c r="J473" s="186"/>
      <c r="K473" s="186"/>
      <c r="L473" s="186"/>
      <c r="M473" s="186"/>
      <c r="N473" s="186"/>
      <c r="O473" s="186"/>
      <c r="P473" s="186"/>
      <c r="Q473" s="186"/>
      <c r="R473" s="186"/>
      <c r="S473" s="186"/>
      <c r="T473" s="186"/>
      <c r="U473" s="186"/>
      <c r="V473" s="67"/>
      <c r="W473" s="67"/>
      <c r="X473" s="67"/>
      <c r="Y473" s="187"/>
      <c r="Z473" s="186"/>
      <c r="AA473" s="187"/>
      <c r="AB473" s="187"/>
      <c r="AC473" s="187"/>
      <c r="AD473" s="186"/>
      <c r="AE473" s="186"/>
      <c r="AF473" s="67"/>
      <c r="AG473" s="67"/>
      <c r="AH473" s="67"/>
      <c r="AL473" s="186"/>
    </row>
    <row r="474">
      <c r="A474" s="185"/>
      <c r="B474" s="67"/>
      <c r="C474" s="67"/>
      <c r="D474" s="67"/>
      <c r="E474" s="186"/>
      <c r="F474" s="186"/>
      <c r="G474" s="186"/>
      <c r="H474" s="186"/>
      <c r="I474" s="186"/>
      <c r="J474" s="186"/>
      <c r="K474" s="186"/>
      <c r="L474" s="186"/>
      <c r="M474" s="186"/>
      <c r="N474" s="186"/>
      <c r="O474" s="186"/>
      <c r="P474" s="186"/>
      <c r="Q474" s="186"/>
      <c r="R474" s="186"/>
      <c r="S474" s="186"/>
      <c r="T474" s="186"/>
      <c r="U474" s="186"/>
      <c r="V474" s="67"/>
      <c r="W474" s="67"/>
      <c r="X474" s="67"/>
      <c r="Y474" s="187"/>
      <c r="Z474" s="186"/>
      <c r="AA474" s="187"/>
      <c r="AB474" s="187"/>
      <c r="AC474" s="187"/>
      <c r="AD474" s="186"/>
      <c r="AE474" s="186"/>
      <c r="AF474" s="67"/>
      <c r="AG474" s="67"/>
      <c r="AH474" s="67"/>
      <c r="AL474" s="186"/>
    </row>
    <row r="475">
      <c r="A475" s="185"/>
      <c r="B475" s="67"/>
      <c r="C475" s="67"/>
      <c r="D475" s="67"/>
      <c r="E475" s="186"/>
      <c r="F475" s="186"/>
      <c r="G475" s="186"/>
      <c r="H475" s="186"/>
      <c r="I475" s="186"/>
      <c r="J475" s="186"/>
      <c r="K475" s="186"/>
      <c r="L475" s="186"/>
      <c r="M475" s="186"/>
      <c r="N475" s="186"/>
      <c r="O475" s="186"/>
      <c r="P475" s="186"/>
      <c r="Q475" s="186"/>
      <c r="R475" s="186"/>
      <c r="S475" s="186"/>
      <c r="T475" s="186"/>
      <c r="U475" s="186"/>
      <c r="V475" s="67"/>
      <c r="W475" s="67"/>
      <c r="X475" s="67"/>
      <c r="Y475" s="187"/>
      <c r="Z475" s="186"/>
      <c r="AA475" s="187"/>
      <c r="AB475" s="187"/>
      <c r="AC475" s="187"/>
      <c r="AD475" s="186"/>
      <c r="AE475" s="186"/>
      <c r="AF475" s="67"/>
      <c r="AG475" s="67"/>
      <c r="AH475" s="67"/>
      <c r="AL475" s="186"/>
    </row>
    <row r="476">
      <c r="A476" s="185"/>
      <c r="B476" s="67"/>
      <c r="C476" s="67"/>
      <c r="D476" s="67"/>
      <c r="E476" s="186"/>
      <c r="F476" s="186"/>
      <c r="G476" s="186"/>
      <c r="H476" s="186"/>
      <c r="I476" s="186"/>
      <c r="J476" s="186"/>
      <c r="K476" s="186"/>
      <c r="L476" s="186"/>
      <c r="M476" s="186"/>
      <c r="N476" s="186"/>
      <c r="O476" s="186"/>
      <c r="P476" s="186"/>
      <c r="Q476" s="186"/>
      <c r="R476" s="186"/>
      <c r="S476" s="186"/>
      <c r="T476" s="186"/>
      <c r="U476" s="186"/>
      <c r="V476" s="67"/>
      <c r="W476" s="67"/>
      <c r="X476" s="67"/>
      <c r="Y476" s="187"/>
      <c r="Z476" s="186"/>
      <c r="AA476" s="187"/>
      <c r="AB476" s="187"/>
      <c r="AC476" s="187"/>
      <c r="AD476" s="186"/>
      <c r="AE476" s="186"/>
      <c r="AF476" s="67"/>
      <c r="AG476" s="67"/>
      <c r="AH476" s="67"/>
      <c r="AL476" s="186"/>
    </row>
    <row r="477">
      <c r="A477" s="185"/>
      <c r="B477" s="67"/>
      <c r="C477" s="67"/>
      <c r="D477" s="67"/>
      <c r="E477" s="186"/>
      <c r="F477" s="186"/>
      <c r="G477" s="186"/>
      <c r="H477" s="186"/>
      <c r="I477" s="186"/>
      <c r="J477" s="186"/>
      <c r="K477" s="186"/>
      <c r="L477" s="186"/>
      <c r="M477" s="186"/>
      <c r="N477" s="186"/>
      <c r="O477" s="186"/>
      <c r="P477" s="186"/>
      <c r="Q477" s="186"/>
      <c r="R477" s="186"/>
      <c r="S477" s="186"/>
      <c r="T477" s="186"/>
      <c r="U477" s="186"/>
      <c r="V477" s="67"/>
      <c r="W477" s="67"/>
      <c r="X477" s="67"/>
      <c r="Y477" s="187"/>
      <c r="Z477" s="186"/>
      <c r="AA477" s="187"/>
      <c r="AB477" s="187"/>
      <c r="AC477" s="187"/>
      <c r="AD477" s="186"/>
      <c r="AE477" s="186"/>
      <c r="AF477" s="67"/>
      <c r="AG477" s="67"/>
      <c r="AH477" s="67"/>
      <c r="AL477" s="186"/>
    </row>
    <row r="478">
      <c r="A478" s="185"/>
      <c r="B478" s="67"/>
      <c r="C478" s="67"/>
      <c r="D478" s="67"/>
      <c r="E478" s="186"/>
      <c r="F478" s="186"/>
      <c r="G478" s="186"/>
      <c r="H478" s="186"/>
      <c r="I478" s="186"/>
      <c r="J478" s="186"/>
      <c r="K478" s="186"/>
      <c r="L478" s="186"/>
      <c r="M478" s="186"/>
      <c r="N478" s="186"/>
      <c r="O478" s="186"/>
      <c r="P478" s="186"/>
      <c r="Q478" s="186"/>
      <c r="R478" s="186"/>
      <c r="S478" s="186"/>
      <c r="T478" s="186"/>
      <c r="U478" s="186"/>
      <c r="V478" s="67"/>
      <c r="W478" s="67"/>
      <c r="X478" s="67"/>
      <c r="Y478" s="187"/>
      <c r="Z478" s="186"/>
      <c r="AA478" s="187"/>
      <c r="AB478" s="187"/>
      <c r="AC478" s="187"/>
      <c r="AD478" s="186"/>
      <c r="AE478" s="186"/>
      <c r="AF478" s="67"/>
      <c r="AG478" s="67"/>
      <c r="AH478" s="67"/>
      <c r="AL478" s="186"/>
    </row>
    <row r="479">
      <c r="A479" s="185"/>
      <c r="B479" s="67"/>
      <c r="C479" s="67"/>
      <c r="D479" s="67"/>
      <c r="E479" s="186"/>
      <c r="F479" s="186"/>
      <c r="G479" s="186"/>
      <c r="H479" s="186"/>
      <c r="I479" s="186"/>
      <c r="J479" s="186"/>
      <c r="K479" s="186"/>
      <c r="L479" s="186"/>
      <c r="M479" s="186"/>
      <c r="N479" s="186"/>
      <c r="O479" s="186"/>
      <c r="P479" s="186"/>
      <c r="Q479" s="186"/>
      <c r="R479" s="186"/>
      <c r="S479" s="186"/>
      <c r="T479" s="186"/>
      <c r="U479" s="186"/>
      <c r="V479" s="67"/>
      <c r="W479" s="67"/>
      <c r="X479" s="67"/>
      <c r="Y479" s="187"/>
      <c r="Z479" s="186"/>
      <c r="AA479" s="187"/>
      <c r="AB479" s="187"/>
      <c r="AC479" s="187"/>
      <c r="AD479" s="186"/>
      <c r="AE479" s="186"/>
      <c r="AF479" s="67"/>
      <c r="AG479" s="67"/>
      <c r="AH479" s="67"/>
      <c r="AL479" s="186"/>
    </row>
    <row r="480">
      <c r="A480" s="185"/>
      <c r="B480" s="67"/>
      <c r="C480" s="67"/>
      <c r="D480" s="67"/>
      <c r="E480" s="186"/>
      <c r="F480" s="186"/>
      <c r="G480" s="186"/>
      <c r="H480" s="186"/>
      <c r="I480" s="186"/>
      <c r="J480" s="186"/>
      <c r="K480" s="186"/>
      <c r="L480" s="186"/>
      <c r="M480" s="186"/>
      <c r="N480" s="186"/>
      <c r="O480" s="186"/>
      <c r="P480" s="186"/>
      <c r="Q480" s="186"/>
      <c r="R480" s="186"/>
      <c r="S480" s="186"/>
      <c r="T480" s="186"/>
      <c r="U480" s="186"/>
      <c r="V480" s="67"/>
      <c r="W480" s="67"/>
      <c r="X480" s="67"/>
      <c r="Y480" s="187"/>
      <c r="Z480" s="186"/>
      <c r="AA480" s="187"/>
      <c r="AB480" s="187"/>
      <c r="AC480" s="187"/>
      <c r="AD480" s="186"/>
      <c r="AE480" s="186"/>
      <c r="AF480" s="67"/>
      <c r="AG480" s="67"/>
      <c r="AH480" s="67"/>
      <c r="AL480" s="186"/>
    </row>
    <row r="481">
      <c r="A481" s="185"/>
      <c r="B481" s="67"/>
      <c r="C481" s="67"/>
      <c r="D481" s="67"/>
      <c r="E481" s="186"/>
      <c r="F481" s="186"/>
      <c r="G481" s="186"/>
      <c r="H481" s="186"/>
      <c r="I481" s="186"/>
      <c r="J481" s="186"/>
      <c r="K481" s="186"/>
      <c r="L481" s="186"/>
      <c r="M481" s="186"/>
      <c r="N481" s="186"/>
      <c r="O481" s="186"/>
      <c r="P481" s="186"/>
      <c r="Q481" s="186"/>
      <c r="R481" s="186"/>
      <c r="S481" s="186"/>
      <c r="T481" s="186"/>
      <c r="U481" s="186"/>
      <c r="V481" s="67"/>
      <c r="W481" s="67"/>
      <c r="X481" s="67"/>
      <c r="Y481" s="187"/>
      <c r="Z481" s="186"/>
      <c r="AA481" s="187"/>
      <c r="AB481" s="187"/>
      <c r="AC481" s="187"/>
      <c r="AD481" s="186"/>
      <c r="AE481" s="186"/>
      <c r="AF481" s="67"/>
      <c r="AG481" s="67"/>
      <c r="AH481" s="67"/>
      <c r="AL481" s="186"/>
    </row>
    <row r="482">
      <c r="A482" s="185"/>
      <c r="B482" s="67"/>
      <c r="C482" s="67"/>
      <c r="D482" s="67"/>
      <c r="E482" s="186"/>
      <c r="F482" s="186"/>
      <c r="G482" s="186"/>
      <c r="H482" s="186"/>
      <c r="I482" s="186"/>
      <c r="J482" s="186"/>
      <c r="K482" s="186"/>
      <c r="L482" s="186"/>
      <c r="M482" s="186"/>
      <c r="N482" s="186"/>
      <c r="O482" s="186"/>
      <c r="P482" s="186"/>
      <c r="Q482" s="186"/>
      <c r="R482" s="186"/>
      <c r="S482" s="186"/>
      <c r="T482" s="186"/>
      <c r="U482" s="186"/>
      <c r="V482" s="67"/>
      <c r="W482" s="67"/>
      <c r="X482" s="67"/>
      <c r="Y482" s="187"/>
      <c r="Z482" s="186"/>
      <c r="AA482" s="187"/>
      <c r="AB482" s="187"/>
      <c r="AC482" s="187"/>
      <c r="AD482" s="186"/>
      <c r="AE482" s="186"/>
      <c r="AF482" s="67"/>
      <c r="AG482" s="67"/>
      <c r="AH482" s="67"/>
      <c r="AL482" s="186"/>
    </row>
    <row r="483">
      <c r="A483" s="185"/>
      <c r="B483" s="67"/>
      <c r="C483" s="67"/>
      <c r="D483" s="67"/>
      <c r="E483" s="186"/>
      <c r="F483" s="186"/>
      <c r="G483" s="186"/>
      <c r="H483" s="186"/>
      <c r="I483" s="186"/>
      <c r="J483" s="186"/>
      <c r="K483" s="186"/>
      <c r="L483" s="186"/>
      <c r="M483" s="186"/>
      <c r="N483" s="186"/>
      <c r="O483" s="186"/>
      <c r="P483" s="186"/>
      <c r="Q483" s="186"/>
      <c r="R483" s="186"/>
      <c r="S483" s="186"/>
      <c r="T483" s="186"/>
      <c r="U483" s="186"/>
      <c r="V483" s="67"/>
      <c r="W483" s="67"/>
      <c r="X483" s="67"/>
      <c r="Y483" s="187"/>
      <c r="Z483" s="186"/>
      <c r="AA483" s="187"/>
      <c r="AB483" s="187"/>
      <c r="AC483" s="187"/>
      <c r="AD483" s="186"/>
      <c r="AE483" s="186"/>
      <c r="AF483" s="67"/>
      <c r="AG483" s="67"/>
      <c r="AH483" s="67"/>
      <c r="AL483" s="186"/>
    </row>
    <row r="484">
      <c r="A484" s="185"/>
      <c r="B484" s="67"/>
      <c r="C484" s="67"/>
      <c r="D484" s="67"/>
      <c r="E484" s="186"/>
      <c r="F484" s="186"/>
      <c r="G484" s="186"/>
      <c r="H484" s="186"/>
      <c r="I484" s="186"/>
      <c r="J484" s="186"/>
      <c r="K484" s="186"/>
      <c r="L484" s="186"/>
      <c r="M484" s="186"/>
      <c r="N484" s="186"/>
      <c r="O484" s="186"/>
      <c r="P484" s="186"/>
      <c r="Q484" s="186"/>
      <c r="R484" s="186"/>
      <c r="S484" s="186"/>
      <c r="T484" s="186"/>
      <c r="U484" s="186"/>
      <c r="V484" s="67"/>
      <c r="W484" s="67"/>
      <c r="X484" s="67"/>
      <c r="Y484" s="187"/>
      <c r="Z484" s="186"/>
      <c r="AA484" s="187"/>
      <c r="AB484" s="187"/>
      <c r="AC484" s="187"/>
      <c r="AD484" s="186"/>
      <c r="AE484" s="186"/>
      <c r="AF484" s="67"/>
      <c r="AG484" s="67"/>
      <c r="AH484" s="67"/>
      <c r="AL484" s="186"/>
    </row>
    <row r="485">
      <c r="A485" s="185"/>
      <c r="B485" s="67"/>
      <c r="C485" s="67"/>
      <c r="D485" s="67"/>
      <c r="E485" s="186"/>
      <c r="F485" s="186"/>
      <c r="G485" s="186"/>
      <c r="H485" s="186"/>
      <c r="I485" s="186"/>
      <c r="J485" s="186"/>
      <c r="K485" s="186"/>
      <c r="L485" s="186"/>
      <c r="M485" s="186"/>
      <c r="N485" s="186"/>
      <c r="O485" s="186"/>
      <c r="P485" s="186"/>
      <c r="Q485" s="186"/>
      <c r="R485" s="186"/>
      <c r="S485" s="186"/>
      <c r="T485" s="186"/>
      <c r="U485" s="186"/>
      <c r="V485" s="67"/>
      <c r="W485" s="67"/>
      <c r="X485" s="67"/>
      <c r="Y485" s="187"/>
      <c r="Z485" s="186"/>
      <c r="AA485" s="187"/>
      <c r="AB485" s="187"/>
      <c r="AC485" s="187"/>
      <c r="AD485" s="186"/>
      <c r="AE485" s="186"/>
      <c r="AF485" s="67"/>
      <c r="AG485" s="67"/>
      <c r="AH485" s="67"/>
      <c r="AL485" s="186"/>
    </row>
    <row r="486">
      <c r="A486" s="185"/>
      <c r="B486" s="67"/>
      <c r="C486" s="67"/>
      <c r="D486" s="67"/>
      <c r="E486" s="186"/>
      <c r="F486" s="186"/>
      <c r="G486" s="186"/>
      <c r="H486" s="186"/>
      <c r="I486" s="186"/>
      <c r="J486" s="186"/>
      <c r="K486" s="186"/>
      <c r="L486" s="186"/>
      <c r="M486" s="186"/>
      <c r="N486" s="186"/>
      <c r="O486" s="186"/>
      <c r="P486" s="186"/>
      <c r="Q486" s="186"/>
      <c r="R486" s="186"/>
      <c r="S486" s="186"/>
      <c r="T486" s="186"/>
      <c r="U486" s="186"/>
      <c r="V486" s="67"/>
      <c r="W486" s="67"/>
      <c r="X486" s="67"/>
      <c r="Y486" s="187"/>
      <c r="Z486" s="186"/>
      <c r="AA486" s="187"/>
      <c r="AB486" s="187"/>
      <c r="AC486" s="187"/>
      <c r="AD486" s="186"/>
      <c r="AE486" s="186"/>
      <c r="AF486" s="67"/>
      <c r="AG486" s="67"/>
      <c r="AH486" s="67"/>
      <c r="AL486" s="186"/>
    </row>
    <row r="487">
      <c r="A487" s="185"/>
      <c r="B487" s="67"/>
      <c r="C487" s="67"/>
      <c r="D487" s="67"/>
      <c r="E487" s="186"/>
      <c r="F487" s="186"/>
      <c r="G487" s="186"/>
      <c r="H487" s="186"/>
      <c r="I487" s="186"/>
      <c r="J487" s="186"/>
      <c r="K487" s="186"/>
      <c r="L487" s="186"/>
      <c r="M487" s="186"/>
      <c r="N487" s="186"/>
      <c r="O487" s="186"/>
      <c r="P487" s="186"/>
      <c r="Q487" s="186"/>
      <c r="R487" s="186"/>
      <c r="S487" s="186"/>
      <c r="T487" s="186"/>
      <c r="U487" s="186"/>
      <c r="V487" s="67"/>
      <c r="W487" s="67"/>
      <c r="X487" s="67"/>
      <c r="Y487" s="187"/>
      <c r="Z487" s="186"/>
      <c r="AA487" s="187"/>
      <c r="AB487" s="187"/>
      <c r="AC487" s="187"/>
      <c r="AD487" s="186"/>
      <c r="AE487" s="186"/>
      <c r="AF487" s="67"/>
      <c r="AG487" s="67"/>
      <c r="AH487" s="67"/>
      <c r="AL487" s="186"/>
    </row>
    <row r="488">
      <c r="A488" s="185"/>
      <c r="B488" s="67"/>
      <c r="C488" s="67"/>
      <c r="D488" s="67"/>
      <c r="E488" s="186"/>
      <c r="F488" s="186"/>
      <c r="G488" s="186"/>
      <c r="H488" s="186"/>
      <c r="I488" s="186"/>
      <c r="J488" s="186"/>
      <c r="K488" s="186"/>
      <c r="L488" s="186"/>
      <c r="M488" s="186"/>
      <c r="N488" s="186"/>
      <c r="O488" s="186"/>
      <c r="P488" s="186"/>
      <c r="Q488" s="186"/>
      <c r="R488" s="186"/>
      <c r="S488" s="186"/>
      <c r="T488" s="186"/>
      <c r="U488" s="186"/>
      <c r="V488" s="67"/>
      <c r="W488" s="67"/>
      <c r="X488" s="67"/>
      <c r="Y488" s="187"/>
      <c r="Z488" s="186"/>
      <c r="AA488" s="187"/>
      <c r="AB488" s="187"/>
      <c r="AC488" s="187"/>
      <c r="AD488" s="186"/>
      <c r="AE488" s="186"/>
      <c r="AF488" s="67"/>
      <c r="AG488" s="67"/>
      <c r="AH488" s="67"/>
      <c r="AL488" s="186"/>
    </row>
    <row r="489">
      <c r="A489" s="185"/>
      <c r="B489" s="67"/>
      <c r="C489" s="67"/>
      <c r="D489" s="67"/>
      <c r="E489" s="186"/>
      <c r="F489" s="186"/>
      <c r="G489" s="186"/>
      <c r="H489" s="186"/>
      <c r="I489" s="186"/>
      <c r="J489" s="186"/>
      <c r="K489" s="186"/>
      <c r="L489" s="186"/>
      <c r="M489" s="186"/>
      <c r="N489" s="186"/>
      <c r="O489" s="186"/>
      <c r="P489" s="186"/>
      <c r="Q489" s="186"/>
      <c r="R489" s="186"/>
      <c r="S489" s="186"/>
      <c r="T489" s="186"/>
      <c r="U489" s="186"/>
      <c r="V489" s="67"/>
      <c r="W489" s="67"/>
      <c r="X489" s="67"/>
      <c r="Y489" s="187"/>
      <c r="Z489" s="186"/>
      <c r="AA489" s="187"/>
      <c r="AB489" s="187"/>
      <c r="AC489" s="187"/>
      <c r="AD489" s="186"/>
      <c r="AE489" s="186"/>
      <c r="AF489" s="67"/>
      <c r="AG489" s="67"/>
      <c r="AH489" s="67"/>
      <c r="AL489" s="186"/>
    </row>
    <row r="490">
      <c r="A490" s="185"/>
      <c r="B490" s="67"/>
      <c r="C490" s="67"/>
      <c r="D490" s="67"/>
      <c r="E490" s="186"/>
      <c r="F490" s="186"/>
      <c r="G490" s="186"/>
      <c r="H490" s="186"/>
      <c r="I490" s="186"/>
      <c r="J490" s="186"/>
      <c r="K490" s="186"/>
      <c r="L490" s="186"/>
      <c r="M490" s="186"/>
      <c r="N490" s="186"/>
      <c r="O490" s="186"/>
      <c r="P490" s="186"/>
      <c r="Q490" s="186"/>
      <c r="R490" s="186"/>
      <c r="S490" s="186"/>
      <c r="T490" s="186"/>
      <c r="U490" s="186"/>
      <c r="V490" s="67"/>
      <c r="W490" s="67"/>
      <c r="X490" s="67"/>
      <c r="Y490" s="187"/>
      <c r="Z490" s="186"/>
      <c r="AA490" s="187"/>
      <c r="AB490" s="187"/>
      <c r="AC490" s="187"/>
      <c r="AD490" s="186"/>
      <c r="AE490" s="186"/>
      <c r="AF490" s="67"/>
      <c r="AG490" s="67"/>
      <c r="AH490" s="67"/>
      <c r="AL490" s="186"/>
    </row>
    <row r="491">
      <c r="A491" s="185"/>
      <c r="B491" s="67"/>
      <c r="C491" s="67"/>
      <c r="D491" s="67"/>
      <c r="E491" s="186"/>
      <c r="F491" s="186"/>
      <c r="G491" s="186"/>
      <c r="H491" s="186"/>
      <c r="I491" s="186"/>
      <c r="J491" s="186"/>
      <c r="K491" s="186"/>
      <c r="L491" s="186"/>
      <c r="M491" s="186"/>
      <c r="N491" s="186"/>
      <c r="O491" s="186"/>
      <c r="P491" s="186"/>
      <c r="Q491" s="186"/>
      <c r="R491" s="186"/>
      <c r="S491" s="186"/>
      <c r="T491" s="186"/>
      <c r="U491" s="186"/>
      <c r="V491" s="67"/>
      <c r="W491" s="67"/>
      <c r="X491" s="67"/>
      <c r="Y491" s="187"/>
      <c r="Z491" s="186"/>
      <c r="AA491" s="187"/>
      <c r="AB491" s="187"/>
      <c r="AC491" s="187"/>
      <c r="AD491" s="186"/>
      <c r="AE491" s="186"/>
      <c r="AF491" s="67"/>
      <c r="AG491" s="67"/>
      <c r="AH491" s="67"/>
      <c r="AL491" s="186"/>
    </row>
    <row r="492">
      <c r="A492" s="185"/>
      <c r="B492" s="67"/>
      <c r="C492" s="67"/>
      <c r="D492" s="67"/>
      <c r="E492" s="186"/>
      <c r="F492" s="186"/>
      <c r="G492" s="186"/>
      <c r="H492" s="186"/>
      <c r="I492" s="186"/>
      <c r="J492" s="186"/>
      <c r="K492" s="186"/>
      <c r="L492" s="186"/>
      <c r="M492" s="186"/>
      <c r="N492" s="186"/>
      <c r="O492" s="186"/>
      <c r="P492" s="186"/>
      <c r="Q492" s="186"/>
      <c r="R492" s="186"/>
      <c r="S492" s="186"/>
      <c r="T492" s="186"/>
      <c r="U492" s="186"/>
      <c r="V492" s="67"/>
      <c r="W492" s="67"/>
      <c r="X492" s="67"/>
      <c r="Y492" s="187"/>
      <c r="Z492" s="186"/>
      <c r="AA492" s="187"/>
      <c r="AB492" s="187"/>
      <c r="AC492" s="187"/>
      <c r="AD492" s="186"/>
      <c r="AE492" s="186"/>
      <c r="AF492" s="67"/>
      <c r="AG492" s="67"/>
      <c r="AH492" s="67"/>
      <c r="AL492" s="186"/>
    </row>
    <row r="493">
      <c r="A493" s="185"/>
      <c r="B493" s="67"/>
      <c r="C493" s="67"/>
      <c r="D493" s="67"/>
      <c r="E493" s="186"/>
      <c r="F493" s="186"/>
      <c r="G493" s="186"/>
      <c r="H493" s="186"/>
      <c r="I493" s="186"/>
      <c r="J493" s="186"/>
      <c r="K493" s="186"/>
      <c r="L493" s="186"/>
      <c r="M493" s="186"/>
      <c r="N493" s="186"/>
      <c r="O493" s="186"/>
      <c r="P493" s="186"/>
      <c r="Q493" s="186"/>
      <c r="R493" s="186"/>
      <c r="S493" s="186"/>
      <c r="T493" s="186"/>
      <c r="U493" s="186"/>
      <c r="V493" s="67"/>
      <c r="W493" s="67"/>
      <c r="X493" s="67"/>
      <c r="Y493" s="187"/>
      <c r="Z493" s="186"/>
      <c r="AA493" s="187"/>
      <c r="AB493" s="187"/>
      <c r="AC493" s="187"/>
      <c r="AD493" s="186"/>
      <c r="AE493" s="186"/>
      <c r="AF493" s="67"/>
      <c r="AG493" s="67"/>
      <c r="AH493" s="67"/>
      <c r="AL493" s="186"/>
    </row>
    <row r="494">
      <c r="A494" s="185"/>
      <c r="B494" s="67"/>
      <c r="C494" s="67"/>
      <c r="D494" s="67"/>
      <c r="E494" s="186"/>
      <c r="F494" s="186"/>
      <c r="G494" s="186"/>
      <c r="H494" s="186"/>
      <c r="I494" s="186"/>
      <c r="J494" s="186"/>
      <c r="K494" s="186"/>
      <c r="L494" s="186"/>
      <c r="M494" s="186"/>
      <c r="N494" s="186"/>
      <c r="O494" s="186"/>
      <c r="P494" s="186"/>
      <c r="Q494" s="186"/>
      <c r="R494" s="186"/>
      <c r="S494" s="186"/>
      <c r="T494" s="186"/>
      <c r="U494" s="186"/>
      <c r="V494" s="67"/>
      <c r="W494" s="67"/>
      <c r="X494" s="67"/>
      <c r="Y494" s="187"/>
      <c r="Z494" s="186"/>
      <c r="AA494" s="187"/>
      <c r="AB494" s="187"/>
      <c r="AC494" s="187"/>
      <c r="AD494" s="186"/>
      <c r="AE494" s="186"/>
      <c r="AF494" s="67"/>
      <c r="AG494" s="67"/>
      <c r="AH494" s="67"/>
      <c r="AL494" s="186"/>
    </row>
    <row r="495">
      <c r="A495" s="185"/>
      <c r="B495" s="67"/>
      <c r="C495" s="67"/>
      <c r="D495" s="67"/>
      <c r="E495" s="186"/>
      <c r="F495" s="186"/>
      <c r="G495" s="186"/>
      <c r="H495" s="186"/>
      <c r="I495" s="186"/>
      <c r="J495" s="186"/>
      <c r="K495" s="186"/>
      <c r="L495" s="186"/>
      <c r="M495" s="186"/>
      <c r="N495" s="186"/>
      <c r="O495" s="186"/>
      <c r="P495" s="186"/>
      <c r="Q495" s="186"/>
      <c r="R495" s="186"/>
      <c r="S495" s="186"/>
      <c r="T495" s="186"/>
      <c r="U495" s="186"/>
      <c r="V495" s="67"/>
      <c r="W495" s="67"/>
      <c r="X495" s="67"/>
      <c r="Y495" s="187"/>
      <c r="Z495" s="186"/>
      <c r="AA495" s="187"/>
      <c r="AB495" s="187"/>
      <c r="AC495" s="187"/>
      <c r="AD495" s="186"/>
      <c r="AE495" s="186"/>
      <c r="AF495" s="67"/>
      <c r="AG495" s="67"/>
      <c r="AH495" s="67"/>
      <c r="AL495" s="186"/>
    </row>
    <row r="496">
      <c r="A496" s="185"/>
      <c r="B496" s="67"/>
      <c r="C496" s="67"/>
      <c r="D496" s="67"/>
      <c r="E496" s="186"/>
      <c r="F496" s="186"/>
      <c r="G496" s="186"/>
      <c r="H496" s="186"/>
      <c r="I496" s="186"/>
      <c r="J496" s="186"/>
      <c r="K496" s="186"/>
      <c r="L496" s="186"/>
      <c r="M496" s="186"/>
      <c r="N496" s="186"/>
      <c r="O496" s="186"/>
      <c r="P496" s="186"/>
      <c r="Q496" s="186"/>
      <c r="R496" s="186"/>
      <c r="S496" s="186"/>
      <c r="T496" s="186"/>
      <c r="U496" s="186"/>
      <c r="V496" s="67"/>
      <c r="W496" s="67"/>
      <c r="X496" s="67"/>
      <c r="Y496" s="187"/>
      <c r="Z496" s="186"/>
      <c r="AA496" s="187"/>
      <c r="AB496" s="187"/>
      <c r="AC496" s="187"/>
      <c r="AD496" s="186"/>
      <c r="AE496" s="186"/>
      <c r="AF496" s="67"/>
      <c r="AG496" s="67"/>
      <c r="AH496" s="67"/>
      <c r="AL496" s="186"/>
    </row>
    <row r="497">
      <c r="A497" s="185"/>
      <c r="B497" s="67"/>
      <c r="C497" s="67"/>
      <c r="D497" s="67"/>
      <c r="E497" s="186"/>
      <c r="F497" s="186"/>
      <c r="G497" s="186"/>
      <c r="H497" s="186"/>
      <c r="I497" s="186"/>
      <c r="J497" s="186"/>
      <c r="K497" s="186"/>
      <c r="L497" s="186"/>
      <c r="M497" s="186"/>
      <c r="N497" s="186"/>
      <c r="O497" s="186"/>
      <c r="P497" s="186"/>
      <c r="Q497" s="186"/>
      <c r="R497" s="186"/>
      <c r="S497" s="186"/>
      <c r="T497" s="186"/>
      <c r="U497" s="186"/>
      <c r="V497" s="67"/>
      <c r="W497" s="67"/>
      <c r="X497" s="67"/>
      <c r="Y497" s="187"/>
      <c r="Z497" s="186"/>
      <c r="AA497" s="187"/>
      <c r="AB497" s="187"/>
      <c r="AC497" s="187"/>
      <c r="AD497" s="186"/>
      <c r="AE497" s="186"/>
      <c r="AF497" s="67"/>
      <c r="AG497" s="67"/>
      <c r="AH497" s="67"/>
      <c r="AL497" s="186"/>
    </row>
    <row r="498">
      <c r="A498" s="185"/>
      <c r="B498" s="67"/>
      <c r="C498" s="67"/>
      <c r="D498" s="67"/>
      <c r="E498" s="186"/>
      <c r="F498" s="186"/>
      <c r="G498" s="186"/>
      <c r="H498" s="186"/>
      <c r="I498" s="186"/>
      <c r="J498" s="186"/>
      <c r="K498" s="186"/>
      <c r="L498" s="186"/>
      <c r="M498" s="186"/>
      <c r="N498" s="186"/>
      <c r="O498" s="186"/>
      <c r="P498" s="186"/>
      <c r="Q498" s="186"/>
      <c r="R498" s="186"/>
      <c r="S498" s="186"/>
      <c r="T498" s="186"/>
      <c r="U498" s="186"/>
      <c r="V498" s="67"/>
      <c r="W498" s="67"/>
      <c r="X498" s="67"/>
      <c r="Y498" s="187"/>
      <c r="Z498" s="186"/>
      <c r="AA498" s="187"/>
      <c r="AB498" s="187"/>
      <c r="AC498" s="187"/>
      <c r="AD498" s="186"/>
      <c r="AE498" s="186"/>
      <c r="AF498" s="67"/>
      <c r="AG498" s="67"/>
      <c r="AH498" s="67"/>
      <c r="AL498" s="186"/>
    </row>
    <row r="499">
      <c r="A499" s="185"/>
      <c r="B499" s="67"/>
      <c r="C499" s="67"/>
      <c r="D499" s="67"/>
      <c r="E499" s="186"/>
      <c r="F499" s="186"/>
      <c r="G499" s="186"/>
      <c r="H499" s="186"/>
      <c r="I499" s="186"/>
      <c r="J499" s="186"/>
      <c r="K499" s="186"/>
      <c r="L499" s="186"/>
      <c r="M499" s="186"/>
      <c r="N499" s="186"/>
      <c r="O499" s="186"/>
      <c r="P499" s="186"/>
      <c r="Q499" s="186"/>
      <c r="R499" s="186"/>
      <c r="S499" s="186"/>
      <c r="T499" s="186"/>
      <c r="U499" s="186"/>
      <c r="V499" s="67"/>
      <c r="W499" s="67"/>
      <c r="X499" s="67"/>
      <c r="Y499" s="187"/>
      <c r="Z499" s="186"/>
      <c r="AA499" s="187"/>
      <c r="AB499" s="187"/>
      <c r="AC499" s="187"/>
      <c r="AD499" s="186"/>
      <c r="AE499" s="186"/>
      <c r="AF499" s="67"/>
      <c r="AG499" s="67"/>
      <c r="AH499" s="67"/>
      <c r="AL499" s="186"/>
    </row>
    <row r="500">
      <c r="A500" s="185"/>
      <c r="B500" s="67"/>
      <c r="C500" s="67"/>
      <c r="D500" s="67"/>
      <c r="E500" s="186"/>
      <c r="F500" s="186"/>
      <c r="G500" s="186"/>
      <c r="H500" s="186"/>
      <c r="I500" s="186"/>
      <c r="J500" s="186"/>
      <c r="K500" s="186"/>
      <c r="L500" s="186"/>
      <c r="M500" s="186"/>
      <c r="N500" s="186"/>
      <c r="O500" s="186"/>
      <c r="P500" s="186"/>
      <c r="Q500" s="186"/>
      <c r="R500" s="186"/>
      <c r="S500" s="186"/>
      <c r="T500" s="186"/>
      <c r="U500" s="186"/>
      <c r="V500" s="67"/>
      <c r="W500" s="67"/>
      <c r="X500" s="67"/>
      <c r="Y500" s="187"/>
      <c r="Z500" s="186"/>
      <c r="AA500" s="187"/>
      <c r="AB500" s="187"/>
      <c r="AC500" s="187"/>
      <c r="AD500" s="186"/>
      <c r="AE500" s="186"/>
      <c r="AF500" s="67"/>
      <c r="AG500" s="67"/>
      <c r="AH500" s="67"/>
      <c r="AL500" s="186"/>
    </row>
    <row r="501">
      <c r="A501" s="185"/>
      <c r="B501" s="67"/>
      <c r="C501" s="67"/>
      <c r="D501" s="67"/>
      <c r="E501" s="186"/>
      <c r="F501" s="186"/>
      <c r="G501" s="186"/>
      <c r="H501" s="186"/>
      <c r="I501" s="186"/>
      <c r="J501" s="186"/>
      <c r="K501" s="186"/>
      <c r="L501" s="186"/>
      <c r="M501" s="186"/>
      <c r="N501" s="186"/>
      <c r="O501" s="186"/>
      <c r="P501" s="186"/>
      <c r="Q501" s="186"/>
      <c r="R501" s="186"/>
      <c r="S501" s="186"/>
      <c r="T501" s="186"/>
      <c r="U501" s="186"/>
      <c r="V501" s="67"/>
      <c r="W501" s="67"/>
      <c r="X501" s="67"/>
      <c r="Y501" s="187"/>
      <c r="Z501" s="186"/>
      <c r="AA501" s="187"/>
      <c r="AB501" s="187"/>
      <c r="AC501" s="187"/>
      <c r="AD501" s="186"/>
      <c r="AE501" s="186"/>
      <c r="AF501" s="67"/>
      <c r="AG501" s="67"/>
      <c r="AH501" s="67"/>
      <c r="AL501" s="186"/>
    </row>
    <row r="502">
      <c r="A502" s="185"/>
      <c r="B502" s="67"/>
      <c r="C502" s="67"/>
      <c r="D502" s="67"/>
      <c r="E502" s="186"/>
      <c r="F502" s="186"/>
      <c r="G502" s="186"/>
      <c r="H502" s="186"/>
      <c r="I502" s="186"/>
      <c r="J502" s="186"/>
      <c r="K502" s="186"/>
      <c r="L502" s="186"/>
      <c r="M502" s="186"/>
      <c r="N502" s="186"/>
      <c r="O502" s="186"/>
      <c r="P502" s="186"/>
      <c r="Q502" s="186"/>
      <c r="R502" s="186"/>
      <c r="S502" s="186"/>
      <c r="T502" s="186"/>
      <c r="U502" s="186"/>
      <c r="V502" s="67"/>
      <c r="W502" s="67"/>
      <c r="X502" s="67"/>
      <c r="Y502" s="187"/>
      <c r="Z502" s="186"/>
      <c r="AA502" s="187"/>
      <c r="AB502" s="187"/>
      <c r="AC502" s="187"/>
      <c r="AD502" s="186"/>
      <c r="AE502" s="186"/>
      <c r="AF502" s="67"/>
      <c r="AG502" s="67"/>
      <c r="AH502" s="67"/>
      <c r="AL502" s="186"/>
    </row>
    <row r="503">
      <c r="A503" s="185"/>
      <c r="B503" s="67"/>
      <c r="C503" s="67"/>
      <c r="D503" s="67"/>
      <c r="E503" s="186"/>
      <c r="F503" s="186"/>
      <c r="G503" s="186"/>
      <c r="H503" s="186"/>
      <c r="I503" s="186"/>
      <c r="J503" s="186"/>
      <c r="K503" s="186"/>
      <c r="L503" s="186"/>
      <c r="M503" s="186"/>
      <c r="N503" s="186"/>
      <c r="O503" s="186"/>
      <c r="P503" s="186"/>
      <c r="Q503" s="186"/>
      <c r="R503" s="186"/>
      <c r="S503" s="186"/>
      <c r="T503" s="186"/>
      <c r="U503" s="186"/>
      <c r="V503" s="67"/>
      <c r="W503" s="67"/>
      <c r="X503" s="67"/>
      <c r="Y503" s="187"/>
      <c r="Z503" s="186"/>
      <c r="AA503" s="187"/>
      <c r="AB503" s="187"/>
      <c r="AC503" s="187"/>
      <c r="AD503" s="186"/>
      <c r="AE503" s="186"/>
      <c r="AF503" s="67"/>
      <c r="AG503" s="67"/>
      <c r="AH503" s="67"/>
      <c r="AL503" s="186"/>
    </row>
    <row r="504">
      <c r="A504" s="185"/>
      <c r="B504" s="67"/>
      <c r="C504" s="67"/>
      <c r="D504" s="67"/>
      <c r="E504" s="186"/>
      <c r="F504" s="186"/>
      <c r="G504" s="186"/>
      <c r="H504" s="186"/>
      <c r="I504" s="186"/>
      <c r="J504" s="186"/>
      <c r="K504" s="186"/>
      <c r="L504" s="186"/>
      <c r="M504" s="186"/>
      <c r="N504" s="186"/>
      <c r="O504" s="186"/>
      <c r="P504" s="186"/>
      <c r="Q504" s="186"/>
      <c r="R504" s="186"/>
      <c r="S504" s="186"/>
      <c r="T504" s="186"/>
      <c r="U504" s="186"/>
      <c r="V504" s="67"/>
      <c r="W504" s="67"/>
      <c r="X504" s="67"/>
      <c r="Y504" s="187"/>
      <c r="Z504" s="186"/>
      <c r="AA504" s="187"/>
      <c r="AB504" s="187"/>
      <c r="AC504" s="187"/>
      <c r="AD504" s="186"/>
      <c r="AE504" s="186"/>
      <c r="AF504" s="67"/>
      <c r="AG504" s="67"/>
      <c r="AH504" s="67"/>
      <c r="AL504" s="186"/>
    </row>
    <row r="505">
      <c r="A505" s="185"/>
      <c r="B505" s="67"/>
      <c r="C505" s="67"/>
      <c r="D505" s="67"/>
      <c r="E505" s="186"/>
      <c r="F505" s="186"/>
      <c r="G505" s="186"/>
      <c r="H505" s="186"/>
      <c r="I505" s="186"/>
      <c r="J505" s="186"/>
      <c r="K505" s="186"/>
      <c r="L505" s="186"/>
      <c r="M505" s="186"/>
      <c r="N505" s="186"/>
      <c r="O505" s="186"/>
      <c r="P505" s="186"/>
      <c r="Q505" s="186"/>
      <c r="R505" s="186"/>
      <c r="S505" s="186"/>
      <c r="T505" s="186"/>
      <c r="U505" s="186"/>
      <c r="V505" s="67"/>
      <c r="W505" s="67"/>
      <c r="X505" s="67"/>
      <c r="Y505" s="187"/>
      <c r="Z505" s="186"/>
      <c r="AA505" s="187"/>
      <c r="AB505" s="187"/>
      <c r="AC505" s="187"/>
      <c r="AD505" s="186"/>
      <c r="AE505" s="186"/>
      <c r="AF505" s="67"/>
      <c r="AG505" s="67"/>
      <c r="AH505" s="67"/>
      <c r="AL505" s="186"/>
    </row>
    <row r="506">
      <c r="A506" s="185"/>
      <c r="B506" s="67"/>
      <c r="C506" s="67"/>
      <c r="D506" s="67"/>
      <c r="E506" s="186"/>
      <c r="F506" s="186"/>
      <c r="G506" s="186"/>
      <c r="H506" s="186"/>
      <c r="I506" s="186"/>
      <c r="J506" s="186"/>
      <c r="K506" s="186"/>
      <c r="L506" s="186"/>
      <c r="M506" s="186"/>
      <c r="N506" s="186"/>
      <c r="O506" s="186"/>
      <c r="P506" s="186"/>
      <c r="Q506" s="186"/>
      <c r="R506" s="186"/>
      <c r="S506" s="186"/>
      <c r="T506" s="186"/>
      <c r="U506" s="186"/>
      <c r="V506" s="67"/>
      <c r="W506" s="67"/>
      <c r="X506" s="67"/>
      <c r="Y506" s="187"/>
      <c r="Z506" s="186"/>
      <c r="AA506" s="187"/>
      <c r="AB506" s="187"/>
      <c r="AC506" s="187"/>
      <c r="AD506" s="186"/>
      <c r="AE506" s="186"/>
      <c r="AF506" s="67"/>
      <c r="AG506" s="67"/>
      <c r="AH506" s="67"/>
      <c r="AL506" s="186"/>
    </row>
    <row r="507">
      <c r="A507" s="185"/>
      <c r="B507" s="67"/>
      <c r="C507" s="67"/>
      <c r="D507" s="67"/>
      <c r="E507" s="186"/>
      <c r="F507" s="186"/>
      <c r="G507" s="186"/>
      <c r="H507" s="186"/>
      <c r="I507" s="186"/>
      <c r="J507" s="186"/>
      <c r="K507" s="186"/>
      <c r="L507" s="186"/>
      <c r="M507" s="186"/>
      <c r="N507" s="186"/>
      <c r="O507" s="186"/>
      <c r="P507" s="186"/>
      <c r="Q507" s="186"/>
      <c r="R507" s="186"/>
      <c r="S507" s="186"/>
      <c r="T507" s="186"/>
      <c r="U507" s="186"/>
      <c r="V507" s="67"/>
      <c r="W507" s="67"/>
      <c r="X507" s="67"/>
      <c r="Y507" s="187"/>
      <c r="Z507" s="186"/>
      <c r="AA507" s="187"/>
      <c r="AB507" s="187"/>
      <c r="AC507" s="187"/>
      <c r="AD507" s="186"/>
      <c r="AE507" s="186"/>
      <c r="AF507" s="67"/>
      <c r="AG507" s="67"/>
      <c r="AH507" s="67"/>
      <c r="AL507" s="186"/>
    </row>
    <row r="508">
      <c r="A508" s="185"/>
      <c r="B508" s="67"/>
      <c r="C508" s="67"/>
      <c r="D508" s="67"/>
      <c r="E508" s="186"/>
      <c r="F508" s="186"/>
      <c r="G508" s="186"/>
      <c r="H508" s="186"/>
      <c r="I508" s="186"/>
      <c r="J508" s="186"/>
      <c r="K508" s="186"/>
      <c r="L508" s="186"/>
      <c r="M508" s="186"/>
      <c r="N508" s="186"/>
      <c r="O508" s="186"/>
      <c r="P508" s="186"/>
      <c r="Q508" s="186"/>
      <c r="R508" s="186"/>
      <c r="S508" s="186"/>
      <c r="T508" s="186"/>
      <c r="U508" s="186"/>
      <c r="V508" s="67"/>
      <c r="W508" s="67"/>
      <c r="X508" s="67"/>
      <c r="Y508" s="187"/>
      <c r="Z508" s="186"/>
      <c r="AA508" s="187"/>
      <c r="AB508" s="187"/>
      <c r="AC508" s="187"/>
      <c r="AD508" s="186"/>
      <c r="AE508" s="186"/>
      <c r="AF508" s="67"/>
      <c r="AG508" s="67"/>
      <c r="AH508" s="67"/>
      <c r="AL508" s="186"/>
    </row>
    <row r="509">
      <c r="A509" s="185"/>
      <c r="B509" s="67"/>
      <c r="C509" s="67"/>
      <c r="D509" s="67"/>
      <c r="E509" s="186"/>
      <c r="F509" s="186"/>
      <c r="G509" s="186"/>
      <c r="H509" s="186"/>
      <c r="I509" s="186"/>
      <c r="J509" s="186"/>
      <c r="K509" s="186"/>
      <c r="L509" s="186"/>
      <c r="M509" s="186"/>
      <c r="N509" s="186"/>
      <c r="O509" s="186"/>
      <c r="P509" s="186"/>
      <c r="Q509" s="186"/>
      <c r="R509" s="186"/>
      <c r="S509" s="186"/>
      <c r="T509" s="186"/>
      <c r="U509" s="186"/>
      <c r="V509" s="67"/>
      <c r="W509" s="67"/>
      <c r="X509" s="67"/>
      <c r="Y509" s="187"/>
      <c r="Z509" s="186"/>
      <c r="AA509" s="187"/>
      <c r="AB509" s="187"/>
      <c r="AC509" s="187"/>
      <c r="AD509" s="186"/>
      <c r="AE509" s="186"/>
      <c r="AF509" s="67"/>
      <c r="AG509" s="67"/>
      <c r="AH509" s="67"/>
      <c r="AL509" s="186"/>
    </row>
    <row r="510">
      <c r="A510" s="185"/>
      <c r="B510" s="67"/>
      <c r="C510" s="67"/>
      <c r="D510" s="67"/>
      <c r="E510" s="186"/>
      <c r="F510" s="186"/>
      <c r="G510" s="186"/>
      <c r="H510" s="186"/>
      <c r="I510" s="186"/>
      <c r="J510" s="186"/>
      <c r="K510" s="186"/>
      <c r="L510" s="186"/>
      <c r="M510" s="186"/>
      <c r="N510" s="186"/>
      <c r="O510" s="186"/>
      <c r="P510" s="186"/>
      <c r="Q510" s="186"/>
      <c r="R510" s="186"/>
      <c r="S510" s="186"/>
      <c r="T510" s="186"/>
      <c r="U510" s="186"/>
      <c r="V510" s="67"/>
      <c r="W510" s="67"/>
      <c r="X510" s="67"/>
      <c r="Y510" s="187"/>
      <c r="Z510" s="186"/>
      <c r="AA510" s="187"/>
      <c r="AB510" s="187"/>
      <c r="AC510" s="187"/>
      <c r="AD510" s="186"/>
      <c r="AE510" s="186"/>
      <c r="AF510" s="67"/>
      <c r="AG510" s="67"/>
      <c r="AH510" s="67"/>
      <c r="AL510" s="186"/>
    </row>
    <row r="511">
      <c r="A511" s="185"/>
      <c r="B511" s="67"/>
      <c r="C511" s="67"/>
      <c r="D511" s="67"/>
      <c r="E511" s="186"/>
      <c r="F511" s="186"/>
      <c r="G511" s="186"/>
      <c r="H511" s="186"/>
      <c r="I511" s="186"/>
      <c r="J511" s="186"/>
      <c r="K511" s="186"/>
      <c r="L511" s="186"/>
      <c r="M511" s="186"/>
      <c r="N511" s="186"/>
      <c r="O511" s="186"/>
      <c r="P511" s="186"/>
      <c r="Q511" s="186"/>
      <c r="R511" s="186"/>
      <c r="S511" s="186"/>
      <c r="T511" s="186"/>
      <c r="U511" s="186"/>
      <c r="V511" s="67"/>
      <c r="W511" s="67"/>
      <c r="X511" s="67"/>
      <c r="Y511" s="187"/>
      <c r="Z511" s="186"/>
      <c r="AA511" s="187"/>
      <c r="AB511" s="187"/>
      <c r="AC511" s="187"/>
      <c r="AD511" s="186"/>
      <c r="AE511" s="186"/>
      <c r="AF511" s="67"/>
      <c r="AG511" s="67"/>
      <c r="AH511" s="67"/>
      <c r="AL511" s="186"/>
    </row>
    <row r="512">
      <c r="A512" s="185"/>
      <c r="B512" s="67"/>
      <c r="C512" s="67"/>
      <c r="D512" s="67"/>
      <c r="E512" s="186"/>
      <c r="F512" s="186"/>
      <c r="G512" s="186"/>
      <c r="H512" s="186"/>
      <c r="I512" s="186"/>
      <c r="J512" s="186"/>
      <c r="K512" s="186"/>
      <c r="L512" s="186"/>
      <c r="M512" s="186"/>
      <c r="N512" s="186"/>
      <c r="O512" s="186"/>
      <c r="P512" s="186"/>
      <c r="Q512" s="186"/>
      <c r="R512" s="186"/>
      <c r="S512" s="186"/>
      <c r="T512" s="186"/>
      <c r="U512" s="186"/>
      <c r="V512" s="67"/>
      <c r="W512" s="67"/>
      <c r="X512" s="67"/>
      <c r="Y512" s="187"/>
      <c r="Z512" s="186"/>
      <c r="AA512" s="187"/>
      <c r="AB512" s="187"/>
      <c r="AC512" s="187"/>
      <c r="AD512" s="186"/>
      <c r="AE512" s="186"/>
      <c r="AF512" s="67"/>
      <c r="AG512" s="67"/>
      <c r="AH512" s="67"/>
      <c r="AL512" s="186"/>
    </row>
    <row r="513">
      <c r="A513" s="185"/>
      <c r="B513" s="67"/>
      <c r="C513" s="67"/>
      <c r="D513" s="67"/>
      <c r="E513" s="186"/>
      <c r="F513" s="186"/>
      <c r="G513" s="186"/>
      <c r="H513" s="186"/>
      <c r="I513" s="186"/>
      <c r="J513" s="186"/>
      <c r="K513" s="186"/>
      <c r="L513" s="186"/>
      <c r="M513" s="186"/>
      <c r="N513" s="186"/>
      <c r="O513" s="186"/>
      <c r="P513" s="186"/>
      <c r="Q513" s="186"/>
      <c r="R513" s="186"/>
      <c r="S513" s="186"/>
      <c r="T513" s="186"/>
      <c r="U513" s="186"/>
      <c r="V513" s="67"/>
      <c r="W513" s="67"/>
      <c r="X513" s="67"/>
      <c r="Y513" s="187"/>
      <c r="Z513" s="186"/>
      <c r="AA513" s="187"/>
      <c r="AB513" s="187"/>
      <c r="AC513" s="187"/>
      <c r="AD513" s="186"/>
      <c r="AE513" s="186"/>
      <c r="AF513" s="67"/>
      <c r="AG513" s="67"/>
      <c r="AH513" s="67"/>
      <c r="AL513" s="186"/>
    </row>
    <row r="514">
      <c r="A514" s="185"/>
      <c r="B514" s="67"/>
      <c r="C514" s="67"/>
      <c r="D514" s="67"/>
      <c r="E514" s="186"/>
      <c r="F514" s="186"/>
      <c r="G514" s="186"/>
      <c r="H514" s="186"/>
      <c r="I514" s="186"/>
      <c r="J514" s="186"/>
      <c r="K514" s="186"/>
      <c r="L514" s="186"/>
      <c r="M514" s="186"/>
      <c r="N514" s="186"/>
      <c r="O514" s="186"/>
      <c r="P514" s="186"/>
      <c r="Q514" s="186"/>
      <c r="R514" s="186"/>
      <c r="S514" s="186"/>
      <c r="T514" s="186"/>
      <c r="U514" s="186"/>
      <c r="V514" s="67"/>
      <c r="W514" s="67"/>
      <c r="X514" s="67"/>
      <c r="Y514" s="187"/>
      <c r="Z514" s="186"/>
      <c r="AA514" s="187"/>
      <c r="AB514" s="187"/>
      <c r="AC514" s="187"/>
      <c r="AD514" s="186"/>
      <c r="AE514" s="186"/>
      <c r="AF514" s="67"/>
      <c r="AG514" s="67"/>
      <c r="AH514" s="67"/>
      <c r="AL514" s="186"/>
    </row>
    <row r="515">
      <c r="A515" s="185"/>
      <c r="B515" s="67"/>
      <c r="C515" s="67"/>
      <c r="D515" s="67"/>
      <c r="E515" s="186"/>
      <c r="F515" s="186"/>
      <c r="G515" s="186"/>
      <c r="H515" s="186"/>
      <c r="I515" s="186"/>
      <c r="J515" s="186"/>
      <c r="K515" s="186"/>
      <c r="L515" s="186"/>
      <c r="M515" s="186"/>
      <c r="N515" s="186"/>
      <c r="O515" s="186"/>
      <c r="P515" s="186"/>
      <c r="Q515" s="186"/>
      <c r="R515" s="186"/>
      <c r="S515" s="186"/>
      <c r="T515" s="186"/>
      <c r="U515" s="186"/>
      <c r="V515" s="67"/>
      <c r="W515" s="67"/>
      <c r="X515" s="67"/>
      <c r="Y515" s="187"/>
      <c r="Z515" s="186"/>
      <c r="AA515" s="187"/>
      <c r="AB515" s="187"/>
      <c r="AC515" s="187"/>
      <c r="AD515" s="186"/>
      <c r="AE515" s="186"/>
      <c r="AF515" s="67"/>
      <c r="AG515" s="67"/>
      <c r="AH515" s="67"/>
      <c r="AL515" s="186"/>
    </row>
    <row r="516">
      <c r="A516" s="185"/>
      <c r="B516" s="67"/>
      <c r="C516" s="67"/>
      <c r="D516" s="67"/>
      <c r="E516" s="186"/>
      <c r="F516" s="186"/>
      <c r="G516" s="186"/>
      <c r="H516" s="186"/>
      <c r="I516" s="186"/>
      <c r="J516" s="186"/>
      <c r="K516" s="186"/>
      <c r="L516" s="186"/>
      <c r="M516" s="186"/>
      <c r="N516" s="186"/>
      <c r="O516" s="186"/>
      <c r="P516" s="186"/>
      <c r="Q516" s="186"/>
      <c r="R516" s="186"/>
      <c r="S516" s="186"/>
      <c r="T516" s="186"/>
      <c r="U516" s="186"/>
      <c r="V516" s="67"/>
      <c r="W516" s="67"/>
      <c r="X516" s="67"/>
      <c r="Y516" s="187"/>
      <c r="Z516" s="186"/>
      <c r="AA516" s="187"/>
      <c r="AB516" s="187"/>
      <c r="AC516" s="187"/>
      <c r="AD516" s="186"/>
      <c r="AE516" s="186"/>
      <c r="AF516" s="67"/>
      <c r="AG516" s="67"/>
      <c r="AH516" s="67"/>
      <c r="AL516" s="186"/>
    </row>
    <row r="517">
      <c r="A517" s="185"/>
      <c r="B517" s="67"/>
      <c r="C517" s="67"/>
      <c r="D517" s="67"/>
      <c r="E517" s="186"/>
      <c r="F517" s="186"/>
      <c r="G517" s="186"/>
      <c r="H517" s="186"/>
      <c r="I517" s="186"/>
      <c r="J517" s="186"/>
      <c r="K517" s="186"/>
      <c r="L517" s="186"/>
      <c r="M517" s="186"/>
      <c r="N517" s="186"/>
      <c r="O517" s="186"/>
      <c r="P517" s="186"/>
      <c r="Q517" s="186"/>
      <c r="R517" s="186"/>
      <c r="S517" s="186"/>
      <c r="T517" s="186"/>
      <c r="U517" s="186"/>
      <c r="V517" s="67"/>
      <c r="W517" s="67"/>
      <c r="X517" s="67"/>
      <c r="Y517" s="187"/>
      <c r="Z517" s="186"/>
      <c r="AA517" s="187"/>
      <c r="AB517" s="187"/>
      <c r="AC517" s="187"/>
      <c r="AD517" s="186"/>
      <c r="AE517" s="186"/>
      <c r="AF517" s="67"/>
      <c r="AG517" s="67"/>
      <c r="AH517" s="67"/>
      <c r="AL517" s="186"/>
    </row>
    <row r="518">
      <c r="A518" s="185"/>
      <c r="B518" s="67"/>
      <c r="C518" s="67"/>
      <c r="D518" s="67"/>
      <c r="E518" s="186"/>
      <c r="F518" s="186"/>
      <c r="G518" s="186"/>
      <c r="H518" s="186"/>
      <c r="I518" s="186"/>
      <c r="J518" s="186"/>
      <c r="K518" s="186"/>
      <c r="L518" s="186"/>
      <c r="M518" s="186"/>
      <c r="N518" s="186"/>
      <c r="O518" s="186"/>
      <c r="P518" s="186"/>
      <c r="Q518" s="186"/>
      <c r="R518" s="186"/>
      <c r="S518" s="186"/>
      <c r="T518" s="186"/>
      <c r="U518" s="186"/>
      <c r="V518" s="67"/>
      <c r="W518" s="67"/>
      <c r="X518" s="67"/>
      <c r="Y518" s="187"/>
      <c r="Z518" s="186"/>
      <c r="AA518" s="187"/>
      <c r="AB518" s="187"/>
      <c r="AC518" s="187"/>
      <c r="AD518" s="186"/>
      <c r="AE518" s="186"/>
      <c r="AF518" s="67"/>
      <c r="AG518" s="67"/>
      <c r="AH518" s="67"/>
      <c r="AL518" s="186"/>
    </row>
    <row r="519">
      <c r="A519" s="185"/>
      <c r="B519" s="67"/>
      <c r="C519" s="67"/>
      <c r="D519" s="67"/>
      <c r="E519" s="186"/>
      <c r="F519" s="186"/>
      <c r="G519" s="186"/>
      <c r="H519" s="186"/>
      <c r="I519" s="186"/>
      <c r="J519" s="186"/>
      <c r="K519" s="186"/>
      <c r="L519" s="186"/>
      <c r="M519" s="186"/>
      <c r="N519" s="186"/>
      <c r="O519" s="186"/>
      <c r="P519" s="186"/>
      <c r="Q519" s="186"/>
      <c r="R519" s="186"/>
      <c r="S519" s="186"/>
      <c r="T519" s="186"/>
      <c r="U519" s="186"/>
      <c r="V519" s="67"/>
      <c r="W519" s="67"/>
      <c r="X519" s="67"/>
      <c r="Y519" s="187"/>
      <c r="Z519" s="186"/>
      <c r="AA519" s="187"/>
      <c r="AB519" s="187"/>
      <c r="AC519" s="187"/>
      <c r="AD519" s="186"/>
      <c r="AE519" s="186"/>
      <c r="AF519" s="67"/>
      <c r="AG519" s="67"/>
      <c r="AH519" s="67"/>
      <c r="AL519" s="186"/>
    </row>
    <row r="520">
      <c r="A520" s="185"/>
      <c r="B520" s="67"/>
      <c r="C520" s="67"/>
      <c r="D520" s="67"/>
      <c r="E520" s="186"/>
      <c r="F520" s="186"/>
      <c r="G520" s="186"/>
      <c r="H520" s="186"/>
      <c r="I520" s="186"/>
      <c r="J520" s="186"/>
      <c r="K520" s="186"/>
      <c r="L520" s="186"/>
      <c r="M520" s="186"/>
      <c r="N520" s="186"/>
      <c r="O520" s="186"/>
      <c r="P520" s="186"/>
      <c r="Q520" s="186"/>
      <c r="R520" s="186"/>
      <c r="S520" s="186"/>
      <c r="T520" s="186"/>
      <c r="U520" s="186"/>
      <c r="V520" s="67"/>
      <c r="W520" s="67"/>
      <c r="X520" s="67"/>
      <c r="Y520" s="187"/>
      <c r="Z520" s="186"/>
      <c r="AA520" s="187"/>
      <c r="AB520" s="187"/>
      <c r="AC520" s="187"/>
      <c r="AD520" s="186"/>
      <c r="AE520" s="186"/>
      <c r="AF520" s="67"/>
      <c r="AG520" s="67"/>
      <c r="AH520" s="67"/>
      <c r="AL520" s="186"/>
    </row>
    <row r="521">
      <c r="A521" s="185"/>
      <c r="B521" s="67"/>
      <c r="C521" s="67"/>
      <c r="D521" s="67"/>
      <c r="E521" s="186"/>
      <c r="F521" s="186"/>
      <c r="G521" s="186"/>
      <c r="H521" s="186"/>
      <c r="I521" s="186"/>
      <c r="J521" s="186"/>
      <c r="K521" s="186"/>
      <c r="L521" s="186"/>
      <c r="M521" s="186"/>
      <c r="N521" s="186"/>
      <c r="O521" s="186"/>
      <c r="P521" s="186"/>
      <c r="Q521" s="186"/>
      <c r="R521" s="186"/>
      <c r="S521" s="186"/>
      <c r="T521" s="186"/>
      <c r="U521" s="186"/>
      <c r="V521" s="67"/>
      <c r="W521" s="67"/>
      <c r="X521" s="67"/>
      <c r="Y521" s="187"/>
      <c r="Z521" s="186"/>
      <c r="AA521" s="187"/>
      <c r="AB521" s="187"/>
      <c r="AC521" s="187"/>
      <c r="AD521" s="186"/>
      <c r="AE521" s="186"/>
      <c r="AF521" s="67"/>
      <c r="AG521" s="67"/>
      <c r="AH521" s="67"/>
      <c r="AL521" s="186"/>
    </row>
    <row r="522">
      <c r="A522" s="185"/>
      <c r="B522" s="67"/>
      <c r="C522" s="67"/>
      <c r="D522" s="67"/>
      <c r="E522" s="186"/>
      <c r="F522" s="186"/>
      <c r="G522" s="186"/>
      <c r="H522" s="186"/>
      <c r="I522" s="186"/>
      <c r="J522" s="186"/>
      <c r="K522" s="186"/>
      <c r="L522" s="186"/>
      <c r="M522" s="186"/>
      <c r="N522" s="186"/>
      <c r="O522" s="186"/>
      <c r="P522" s="186"/>
      <c r="Q522" s="186"/>
      <c r="R522" s="186"/>
      <c r="S522" s="186"/>
      <c r="T522" s="186"/>
      <c r="U522" s="186"/>
      <c r="V522" s="67"/>
      <c r="W522" s="67"/>
      <c r="X522" s="67"/>
      <c r="Y522" s="187"/>
      <c r="Z522" s="186"/>
      <c r="AA522" s="187"/>
      <c r="AB522" s="187"/>
      <c r="AC522" s="187"/>
      <c r="AD522" s="186"/>
      <c r="AE522" s="186"/>
      <c r="AF522" s="67"/>
      <c r="AG522" s="67"/>
      <c r="AH522" s="67"/>
      <c r="AL522" s="186"/>
    </row>
    <row r="523">
      <c r="A523" s="185"/>
      <c r="B523" s="67"/>
      <c r="C523" s="67"/>
      <c r="D523" s="67"/>
      <c r="E523" s="186"/>
      <c r="F523" s="186"/>
      <c r="G523" s="186"/>
      <c r="H523" s="186"/>
      <c r="I523" s="186"/>
      <c r="J523" s="186"/>
      <c r="K523" s="186"/>
      <c r="L523" s="186"/>
      <c r="M523" s="186"/>
      <c r="N523" s="186"/>
      <c r="O523" s="186"/>
      <c r="P523" s="186"/>
      <c r="Q523" s="186"/>
      <c r="R523" s="186"/>
      <c r="S523" s="186"/>
      <c r="T523" s="186"/>
      <c r="U523" s="186"/>
      <c r="V523" s="67"/>
      <c r="W523" s="67"/>
      <c r="X523" s="67"/>
      <c r="Y523" s="187"/>
      <c r="Z523" s="186"/>
      <c r="AA523" s="187"/>
      <c r="AB523" s="187"/>
      <c r="AC523" s="187"/>
      <c r="AD523" s="186"/>
      <c r="AE523" s="186"/>
      <c r="AF523" s="67"/>
      <c r="AG523" s="67"/>
      <c r="AH523" s="67"/>
      <c r="AL523" s="186"/>
    </row>
    <row r="524">
      <c r="A524" s="185"/>
      <c r="B524" s="67"/>
      <c r="C524" s="67"/>
      <c r="D524" s="67"/>
      <c r="E524" s="186"/>
      <c r="F524" s="186"/>
      <c r="G524" s="186"/>
      <c r="H524" s="186"/>
      <c r="I524" s="186"/>
      <c r="J524" s="186"/>
      <c r="K524" s="186"/>
      <c r="L524" s="186"/>
      <c r="M524" s="186"/>
      <c r="N524" s="186"/>
      <c r="O524" s="186"/>
      <c r="P524" s="186"/>
      <c r="Q524" s="186"/>
      <c r="R524" s="186"/>
      <c r="S524" s="186"/>
      <c r="T524" s="186"/>
      <c r="U524" s="186"/>
      <c r="V524" s="67"/>
      <c r="W524" s="67"/>
      <c r="X524" s="67"/>
      <c r="Y524" s="187"/>
      <c r="Z524" s="186"/>
      <c r="AA524" s="187"/>
      <c r="AB524" s="187"/>
      <c r="AC524" s="187"/>
      <c r="AD524" s="186"/>
      <c r="AE524" s="186"/>
      <c r="AF524" s="67"/>
      <c r="AG524" s="67"/>
      <c r="AH524" s="67"/>
      <c r="AL524" s="186"/>
    </row>
    <row r="525">
      <c r="A525" s="185"/>
      <c r="B525" s="67"/>
      <c r="C525" s="67"/>
      <c r="D525" s="67"/>
      <c r="E525" s="186"/>
      <c r="F525" s="186"/>
      <c r="G525" s="186"/>
      <c r="H525" s="186"/>
      <c r="I525" s="186"/>
      <c r="J525" s="186"/>
      <c r="K525" s="186"/>
      <c r="L525" s="186"/>
      <c r="M525" s="186"/>
      <c r="N525" s="186"/>
      <c r="O525" s="186"/>
      <c r="P525" s="186"/>
      <c r="Q525" s="186"/>
      <c r="R525" s="186"/>
      <c r="S525" s="186"/>
      <c r="T525" s="186"/>
      <c r="U525" s="186"/>
      <c r="V525" s="67"/>
      <c r="W525" s="67"/>
      <c r="X525" s="67"/>
      <c r="Y525" s="187"/>
      <c r="Z525" s="186"/>
      <c r="AA525" s="187"/>
      <c r="AB525" s="187"/>
      <c r="AC525" s="187"/>
      <c r="AD525" s="186"/>
      <c r="AE525" s="186"/>
      <c r="AF525" s="67"/>
      <c r="AG525" s="67"/>
      <c r="AH525" s="67"/>
      <c r="AL525" s="186"/>
    </row>
    <row r="526">
      <c r="A526" s="185"/>
      <c r="B526" s="67"/>
      <c r="C526" s="67"/>
      <c r="D526" s="67"/>
      <c r="E526" s="186"/>
      <c r="F526" s="186"/>
      <c r="G526" s="186"/>
      <c r="H526" s="186"/>
      <c r="I526" s="186"/>
      <c r="J526" s="186"/>
      <c r="K526" s="186"/>
      <c r="L526" s="186"/>
      <c r="M526" s="186"/>
      <c r="N526" s="186"/>
      <c r="O526" s="186"/>
      <c r="P526" s="186"/>
      <c r="Q526" s="186"/>
      <c r="R526" s="186"/>
      <c r="S526" s="186"/>
      <c r="T526" s="186"/>
      <c r="U526" s="186"/>
      <c r="V526" s="67"/>
      <c r="W526" s="67"/>
      <c r="X526" s="67"/>
      <c r="Y526" s="187"/>
      <c r="Z526" s="186"/>
      <c r="AA526" s="187"/>
      <c r="AB526" s="187"/>
      <c r="AC526" s="187"/>
      <c r="AD526" s="186"/>
      <c r="AE526" s="186"/>
      <c r="AF526" s="67"/>
      <c r="AG526" s="67"/>
      <c r="AH526" s="67"/>
      <c r="AL526" s="186"/>
    </row>
    <row r="527">
      <c r="A527" s="185"/>
      <c r="B527" s="67"/>
      <c r="C527" s="67"/>
      <c r="D527" s="67"/>
      <c r="E527" s="186"/>
      <c r="F527" s="186"/>
      <c r="G527" s="186"/>
      <c r="H527" s="186"/>
      <c r="I527" s="186"/>
      <c r="J527" s="186"/>
      <c r="K527" s="186"/>
      <c r="L527" s="186"/>
      <c r="M527" s="186"/>
      <c r="N527" s="186"/>
      <c r="O527" s="186"/>
      <c r="P527" s="186"/>
      <c r="Q527" s="186"/>
      <c r="R527" s="186"/>
      <c r="S527" s="186"/>
      <c r="T527" s="186"/>
      <c r="U527" s="186"/>
      <c r="V527" s="67"/>
      <c r="W527" s="67"/>
      <c r="X527" s="67"/>
      <c r="Y527" s="187"/>
      <c r="Z527" s="186"/>
      <c r="AA527" s="187"/>
      <c r="AB527" s="187"/>
      <c r="AC527" s="187"/>
      <c r="AD527" s="186"/>
      <c r="AE527" s="186"/>
      <c r="AF527" s="67"/>
      <c r="AG527" s="67"/>
      <c r="AH527" s="67"/>
      <c r="AL527" s="186"/>
    </row>
    <row r="528">
      <c r="A528" s="185"/>
      <c r="B528" s="67"/>
      <c r="C528" s="67"/>
      <c r="D528" s="67"/>
      <c r="E528" s="186"/>
      <c r="F528" s="186"/>
      <c r="G528" s="186"/>
      <c r="H528" s="186"/>
      <c r="I528" s="186"/>
      <c r="J528" s="186"/>
      <c r="K528" s="186"/>
      <c r="L528" s="186"/>
      <c r="M528" s="186"/>
      <c r="N528" s="186"/>
      <c r="O528" s="186"/>
      <c r="P528" s="186"/>
      <c r="Q528" s="186"/>
      <c r="R528" s="186"/>
      <c r="S528" s="186"/>
      <c r="T528" s="186"/>
      <c r="U528" s="186"/>
      <c r="V528" s="67"/>
      <c r="W528" s="67"/>
      <c r="X528" s="67"/>
      <c r="Y528" s="187"/>
      <c r="Z528" s="186"/>
      <c r="AA528" s="187"/>
      <c r="AB528" s="187"/>
      <c r="AC528" s="187"/>
      <c r="AD528" s="186"/>
      <c r="AE528" s="186"/>
      <c r="AF528" s="67"/>
      <c r="AG528" s="67"/>
      <c r="AH528" s="67"/>
      <c r="AL528" s="186"/>
    </row>
    <row r="529">
      <c r="A529" s="185"/>
      <c r="B529" s="67"/>
      <c r="C529" s="67"/>
      <c r="D529" s="67"/>
      <c r="E529" s="186"/>
      <c r="F529" s="186"/>
      <c r="G529" s="186"/>
      <c r="H529" s="186"/>
      <c r="I529" s="186"/>
      <c r="J529" s="186"/>
      <c r="K529" s="186"/>
      <c r="L529" s="186"/>
      <c r="M529" s="186"/>
      <c r="N529" s="186"/>
      <c r="O529" s="186"/>
      <c r="P529" s="186"/>
      <c r="Q529" s="186"/>
      <c r="R529" s="186"/>
      <c r="S529" s="186"/>
      <c r="T529" s="186"/>
      <c r="U529" s="186"/>
      <c r="V529" s="67"/>
      <c r="W529" s="67"/>
      <c r="X529" s="67"/>
      <c r="Y529" s="187"/>
      <c r="Z529" s="186"/>
      <c r="AA529" s="187"/>
      <c r="AB529" s="187"/>
      <c r="AC529" s="187"/>
      <c r="AD529" s="186"/>
      <c r="AE529" s="186"/>
      <c r="AF529" s="67"/>
      <c r="AG529" s="67"/>
      <c r="AH529" s="67"/>
      <c r="AL529" s="186"/>
    </row>
    <row r="530">
      <c r="A530" s="185"/>
      <c r="B530" s="67"/>
      <c r="C530" s="67"/>
      <c r="D530" s="67"/>
      <c r="E530" s="186"/>
      <c r="F530" s="186"/>
      <c r="G530" s="186"/>
      <c r="H530" s="186"/>
      <c r="I530" s="186"/>
      <c r="J530" s="186"/>
      <c r="K530" s="186"/>
      <c r="L530" s="186"/>
      <c r="M530" s="186"/>
      <c r="N530" s="186"/>
      <c r="O530" s="186"/>
      <c r="P530" s="186"/>
      <c r="Q530" s="186"/>
      <c r="R530" s="186"/>
      <c r="S530" s="186"/>
      <c r="T530" s="186"/>
      <c r="U530" s="186"/>
      <c r="V530" s="67"/>
      <c r="W530" s="67"/>
      <c r="X530" s="67"/>
      <c r="Y530" s="187"/>
      <c r="Z530" s="186"/>
      <c r="AA530" s="187"/>
      <c r="AB530" s="187"/>
      <c r="AC530" s="187"/>
      <c r="AD530" s="186"/>
      <c r="AE530" s="186"/>
      <c r="AF530" s="67"/>
      <c r="AG530" s="67"/>
      <c r="AH530" s="67"/>
      <c r="AL530" s="186"/>
    </row>
    <row r="531">
      <c r="A531" s="185"/>
      <c r="B531" s="67"/>
      <c r="C531" s="67"/>
      <c r="D531" s="67"/>
      <c r="E531" s="186"/>
      <c r="F531" s="186"/>
      <c r="G531" s="186"/>
      <c r="H531" s="186"/>
      <c r="I531" s="186"/>
      <c r="J531" s="186"/>
      <c r="K531" s="186"/>
      <c r="L531" s="186"/>
      <c r="M531" s="186"/>
      <c r="N531" s="186"/>
      <c r="O531" s="186"/>
      <c r="P531" s="186"/>
      <c r="Q531" s="186"/>
      <c r="R531" s="186"/>
      <c r="S531" s="186"/>
      <c r="T531" s="186"/>
      <c r="U531" s="186"/>
      <c r="V531" s="67"/>
      <c r="W531" s="67"/>
      <c r="X531" s="67"/>
      <c r="Y531" s="187"/>
      <c r="Z531" s="186"/>
      <c r="AA531" s="187"/>
      <c r="AB531" s="187"/>
      <c r="AC531" s="187"/>
      <c r="AD531" s="186"/>
      <c r="AE531" s="186"/>
      <c r="AF531" s="67"/>
      <c r="AG531" s="67"/>
      <c r="AH531" s="67"/>
      <c r="AL531" s="186"/>
    </row>
    <row r="532">
      <c r="A532" s="185"/>
      <c r="B532" s="67"/>
      <c r="C532" s="67"/>
      <c r="D532" s="67"/>
      <c r="E532" s="186"/>
      <c r="F532" s="186"/>
      <c r="G532" s="186"/>
      <c r="H532" s="186"/>
      <c r="I532" s="186"/>
      <c r="J532" s="186"/>
      <c r="K532" s="186"/>
      <c r="L532" s="186"/>
      <c r="M532" s="186"/>
      <c r="N532" s="186"/>
      <c r="O532" s="186"/>
      <c r="P532" s="186"/>
      <c r="Q532" s="186"/>
      <c r="R532" s="186"/>
      <c r="S532" s="186"/>
      <c r="T532" s="186"/>
      <c r="U532" s="186"/>
      <c r="V532" s="67"/>
      <c r="W532" s="67"/>
      <c r="X532" s="67"/>
      <c r="Y532" s="187"/>
      <c r="Z532" s="186"/>
      <c r="AA532" s="187"/>
      <c r="AB532" s="187"/>
      <c r="AC532" s="187"/>
      <c r="AD532" s="186"/>
      <c r="AE532" s="186"/>
      <c r="AF532" s="67"/>
      <c r="AG532" s="67"/>
      <c r="AH532" s="67"/>
      <c r="AL532" s="186"/>
    </row>
    <row r="533">
      <c r="A533" s="185"/>
      <c r="B533" s="67"/>
      <c r="C533" s="67"/>
      <c r="D533" s="67"/>
      <c r="E533" s="186"/>
      <c r="F533" s="186"/>
      <c r="G533" s="186"/>
      <c r="H533" s="186"/>
      <c r="I533" s="186"/>
      <c r="J533" s="186"/>
      <c r="K533" s="186"/>
      <c r="L533" s="186"/>
      <c r="M533" s="186"/>
      <c r="N533" s="186"/>
      <c r="O533" s="186"/>
      <c r="P533" s="186"/>
      <c r="Q533" s="186"/>
      <c r="R533" s="186"/>
      <c r="S533" s="186"/>
      <c r="T533" s="186"/>
      <c r="U533" s="186"/>
      <c r="V533" s="67"/>
      <c r="W533" s="67"/>
      <c r="X533" s="67"/>
      <c r="Y533" s="187"/>
      <c r="Z533" s="186"/>
      <c r="AA533" s="187"/>
      <c r="AB533" s="187"/>
      <c r="AC533" s="187"/>
      <c r="AD533" s="186"/>
      <c r="AE533" s="186"/>
      <c r="AF533" s="67"/>
      <c r="AG533" s="67"/>
      <c r="AH533" s="67"/>
      <c r="AL533" s="186"/>
    </row>
    <row r="534">
      <c r="A534" s="185"/>
      <c r="B534" s="67"/>
      <c r="C534" s="67"/>
      <c r="D534" s="67"/>
      <c r="E534" s="186"/>
      <c r="F534" s="186"/>
      <c r="G534" s="186"/>
      <c r="H534" s="186"/>
      <c r="I534" s="186"/>
      <c r="J534" s="186"/>
      <c r="K534" s="186"/>
      <c r="L534" s="186"/>
      <c r="M534" s="186"/>
      <c r="N534" s="186"/>
      <c r="O534" s="186"/>
      <c r="P534" s="186"/>
      <c r="Q534" s="186"/>
      <c r="R534" s="186"/>
      <c r="S534" s="186"/>
      <c r="T534" s="186"/>
      <c r="U534" s="186"/>
      <c r="V534" s="67"/>
      <c r="W534" s="67"/>
      <c r="X534" s="67"/>
      <c r="Y534" s="187"/>
      <c r="Z534" s="186"/>
      <c r="AA534" s="187"/>
      <c r="AB534" s="187"/>
      <c r="AC534" s="187"/>
      <c r="AD534" s="186"/>
      <c r="AE534" s="186"/>
      <c r="AF534" s="67"/>
      <c r="AG534" s="67"/>
      <c r="AH534" s="67"/>
      <c r="AL534" s="186"/>
    </row>
    <row r="535">
      <c r="A535" s="185"/>
      <c r="B535" s="67"/>
      <c r="C535" s="67"/>
      <c r="D535" s="67"/>
      <c r="E535" s="186"/>
      <c r="F535" s="186"/>
      <c r="G535" s="186"/>
      <c r="H535" s="186"/>
      <c r="I535" s="186"/>
      <c r="J535" s="186"/>
      <c r="K535" s="186"/>
      <c r="L535" s="186"/>
      <c r="M535" s="186"/>
      <c r="N535" s="186"/>
      <c r="O535" s="186"/>
      <c r="P535" s="186"/>
      <c r="Q535" s="186"/>
      <c r="R535" s="186"/>
      <c r="S535" s="186"/>
      <c r="T535" s="186"/>
      <c r="U535" s="186"/>
      <c r="V535" s="67"/>
      <c r="W535" s="67"/>
      <c r="X535" s="67"/>
      <c r="Y535" s="187"/>
      <c r="Z535" s="186"/>
      <c r="AA535" s="187"/>
      <c r="AB535" s="187"/>
      <c r="AC535" s="187"/>
      <c r="AD535" s="186"/>
      <c r="AE535" s="186"/>
      <c r="AF535" s="67"/>
      <c r="AG535" s="67"/>
      <c r="AH535" s="67"/>
      <c r="AL535" s="186"/>
    </row>
    <row r="536">
      <c r="A536" s="185"/>
      <c r="B536" s="67"/>
      <c r="C536" s="67"/>
      <c r="D536" s="67"/>
      <c r="E536" s="186"/>
      <c r="F536" s="186"/>
      <c r="G536" s="186"/>
      <c r="H536" s="186"/>
      <c r="I536" s="186"/>
      <c r="J536" s="186"/>
      <c r="K536" s="186"/>
      <c r="L536" s="186"/>
      <c r="M536" s="186"/>
      <c r="N536" s="186"/>
      <c r="O536" s="186"/>
      <c r="P536" s="186"/>
      <c r="Q536" s="186"/>
      <c r="R536" s="186"/>
      <c r="S536" s="186"/>
      <c r="T536" s="186"/>
      <c r="U536" s="186"/>
      <c r="V536" s="67"/>
      <c r="W536" s="67"/>
      <c r="X536" s="67"/>
      <c r="Y536" s="187"/>
      <c r="Z536" s="186"/>
      <c r="AA536" s="187"/>
      <c r="AB536" s="187"/>
      <c r="AC536" s="187"/>
      <c r="AD536" s="186"/>
      <c r="AE536" s="186"/>
      <c r="AF536" s="67"/>
      <c r="AG536" s="67"/>
      <c r="AH536" s="67"/>
      <c r="AL536" s="186"/>
    </row>
    <row r="537">
      <c r="A537" s="185"/>
      <c r="B537" s="67"/>
      <c r="C537" s="67"/>
      <c r="D537" s="67"/>
      <c r="E537" s="186"/>
      <c r="F537" s="186"/>
      <c r="G537" s="186"/>
      <c r="H537" s="186"/>
      <c r="I537" s="186"/>
      <c r="J537" s="186"/>
      <c r="K537" s="186"/>
      <c r="L537" s="186"/>
      <c r="M537" s="186"/>
      <c r="N537" s="186"/>
      <c r="O537" s="186"/>
      <c r="P537" s="186"/>
      <c r="Q537" s="186"/>
      <c r="R537" s="186"/>
      <c r="S537" s="186"/>
      <c r="T537" s="186"/>
      <c r="U537" s="186"/>
      <c r="V537" s="67"/>
      <c r="W537" s="67"/>
      <c r="X537" s="67"/>
      <c r="Y537" s="187"/>
      <c r="Z537" s="186"/>
      <c r="AA537" s="187"/>
      <c r="AB537" s="187"/>
      <c r="AC537" s="187"/>
      <c r="AD537" s="186"/>
      <c r="AE537" s="186"/>
      <c r="AF537" s="67"/>
      <c r="AG537" s="67"/>
      <c r="AH537" s="67"/>
      <c r="AL537" s="186"/>
    </row>
    <row r="538">
      <c r="A538" s="185"/>
      <c r="B538" s="67"/>
      <c r="C538" s="67"/>
      <c r="D538" s="67"/>
      <c r="E538" s="186"/>
      <c r="F538" s="186"/>
      <c r="G538" s="186"/>
      <c r="H538" s="186"/>
      <c r="I538" s="186"/>
      <c r="J538" s="186"/>
      <c r="K538" s="186"/>
      <c r="L538" s="186"/>
      <c r="M538" s="186"/>
      <c r="N538" s="186"/>
      <c r="O538" s="186"/>
      <c r="P538" s="186"/>
      <c r="Q538" s="186"/>
      <c r="R538" s="186"/>
      <c r="S538" s="186"/>
      <c r="T538" s="186"/>
      <c r="U538" s="186"/>
      <c r="V538" s="67"/>
      <c r="W538" s="67"/>
      <c r="X538" s="67"/>
      <c r="Y538" s="187"/>
      <c r="Z538" s="186"/>
      <c r="AA538" s="187"/>
      <c r="AB538" s="187"/>
      <c r="AC538" s="187"/>
      <c r="AD538" s="186"/>
      <c r="AE538" s="186"/>
      <c r="AF538" s="67"/>
      <c r="AG538" s="67"/>
      <c r="AH538" s="67"/>
      <c r="AL538" s="186"/>
    </row>
    <row r="539">
      <c r="A539" s="185"/>
      <c r="B539" s="67"/>
      <c r="C539" s="67"/>
      <c r="D539" s="67"/>
      <c r="E539" s="186"/>
      <c r="F539" s="186"/>
      <c r="G539" s="186"/>
      <c r="H539" s="186"/>
      <c r="I539" s="186"/>
      <c r="J539" s="186"/>
      <c r="K539" s="186"/>
      <c r="L539" s="186"/>
      <c r="M539" s="186"/>
      <c r="N539" s="186"/>
      <c r="O539" s="186"/>
      <c r="P539" s="186"/>
      <c r="Q539" s="186"/>
      <c r="R539" s="186"/>
      <c r="S539" s="186"/>
      <c r="T539" s="186"/>
      <c r="U539" s="186"/>
      <c r="V539" s="67"/>
      <c r="W539" s="67"/>
      <c r="X539" s="67"/>
      <c r="Y539" s="187"/>
      <c r="Z539" s="186"/>
      <c r="AA539" s="187"/>
      <c r="AB539" s="187"/>
      <c r="AC539" s="187"/>
      <c r="AD539" s="186"/>
      <c r="AE539" s="186"/>
      <c r="AF539" s="67"/>
      <c r="AG539" s="67"/>
      <c r="AH539" s="67"/>
      <c r="AL539" s="186"/>
    </row>
    <row r="540">
      <c r="A540" s="185"/>
      <c r="B540" s="67"/>
      <c r="C540" s="67"/>
      <c r="D540" s="67"/>
      <c r="E540" s="186"/>
      <c r="F540" s="186"/>
      <c r="G540" s="186"/>
      <c r="H540" s="186"/>
      <c r="I540" s="186"/>
      <c r="J540" s="186"/>
      <c r="K540" s="186"/>
      <c r="L540" s="186"/>
      <c r="M540" s="186"/>
      <c r="N540" s="186"/>
      <c r="O540" s="186"/>
      <c r="P540" s="186"/>
      <c r="Q540" s="186"/>
      <c r="R540" s="186"/>
      <c r="S540" s="186"/>
      <c r="T540" s="186"/>
      <c r="U540" s="186"/>
      <c r="V540" s="67"/>
      <c r="W540" s="67"/>
      <c r="X540" s="67"/>
      <c r="Y540" s="187"/>
      <c r="Z540" s="186"/>
      <c r="AA540" s="187"/>
      <c r="AB540" s="187"/>
      <c r="AC540" s="187"/>
      <c r="AD540" s="186"/>
      <c r="AE540" s="186"/>
      <c r="AF540" s="67"/>
      <c r="AG540" s="67"/>
      <c r="AH540" s="67"/>
      <c r="AL540" s="186"/>
    </row>
    <row r="541">
      <c r="A541" s="185"/>
      <c r="B541" s="67"/>
      <c r="C541" s="67"/>
      <c r="D541" s="67"/>
      <c r="E541" s="186"/>
      <c r="F541" s="186"/>
      <c r="G541" s="186"/>
      <c r="H541" s="186"/>
      <c r="I541" s="186"/>
      <c r="J541" s="186"/>
      <c r="K541" s="186"/>
      <c r="L541" s="186"/>
      <c r="M541" s="186"/>
      <c r="N541" s="186"/>
      <c r="O541" s="186"/>
      <c r="P541" s="186"/>
      <c r="Q541" s="186"/>
      <c r="R541" s="186"/>
      <c r="S541" s="186"/>
      <c r="T541" s="186"/>
      <c r="U541" s="186"/>
      <c r="V541" s="67"/>
      <c r="W541" s="67"/>
      <c r="X541" s="67"/>
      <c r="Y541" s="187"/>
      <c r="Z541" s="186"/>
      <c r="AA541" s="187"/>
      <c r="AB541" s="187"/>
      <c r="AC541" s="187"/>
      <c r="AD541" s="186"/>
      <c r="AE541" s="186"/>
      <c r="AF541" s="67"/>
      <c r="AG541" s="67"/>
      <c r="AH541" s="67"/>
      <c r="AL541" s="186"/>
    </row>
    <row r="542">
      <c r="A542" s="185"/>
      <c r="B542" s="67"/>
      <c r="C542" s="67"/>
      <c r="D542" s="67"/>
      <c r="E542" s="186"/>
      <c r="F542" s="186"/>
      <c r="G542" s="186"/>
      <c r="H542" s="186"/>
      <c r="I542" s="186"/>
      <c r="J542" s="186"/>
      <c r="K542" s="186"/>
      <c r="L542" s="186"/>
      <c r="M542" s="186"/>
      <c r="N542" s="186"/>
      <c r="O542" s="186"/>
      <c r="P542" s="186"/>
      <c r="Q542" s="186"/>
      <c r="R542" s="186"/>
      <c r="S542" s="186"/>
      <c r="T542" s="186"/>
      <c r="U542" s="186"/>
      <c r="V542" s="67"/>
      <c r="W542" s="67"/>
      <c r="X542" s="67"/>
      <c r="Y542" s="187"/>
      <c r="Z542" s="186"/>
      <c r="AA542" s="187"/>
      <c r="AB542" s="187"/>
      <c r="AC542" s="187"/>
      <c r="AD542" s="186"/>
      <c r="AE542" s="186"/>
      <c r="AF542" s="67"/>
      <c r="AG542" s="67"/>
      <c r="AH542" s="67"/>
      <c r="AL542" s="186"/>
    </row>
    <row r="543">
      <c r="A543" s="185"/>
      <c r="B543" s="67"/>
      <c r="C543" s="67"/>
      <c r="D543" s="67"/>
      <c r="E543" s="186"/>
      <c r="F543" s="186"/>
      <c r="G543" s="186"/>
      <c r="H543" s="186"/>
      <c r="I543" s="186"/>
      <c r="J543" s="186"/>
      <c r="K543" s="186"/>
      <c r="L543" s="186"/>
      <c r="M543" s="186"/>
      <c r="N543" s="186"/>
      <c r="O543" s="186"/>
      <c r="P543" s="186"/>
      <c r="Q543" s="186"/>
      <c r="R543" s="186"/>
      <c r="S543" s="186"/>
      <c r="T543" s="186"/>
      <c r="U543" s="186"/>
      <c r="V543" s="67"/>
      <c r="W543" s="67"/>
      <c r="X543" s="67"/>
      <c r="Y543" s="187"/>
      <c r="Z543" s="186"/>
      <c r="AA543" s="187"/>
      <c r="AB543" s="187"/>
      <c r="AC543" s="187"/>
      <c r="AD543" s="186"/>
      <c r="AE543" s="186"/>
      <c r="AF543" s="67"/>
      <c r="AG543" s="67"/>
      <c r="AH543" s="67"/>
      <c r="AL543" s="186"/>
    </row>
    <row r="544">
      <c r="A544" s="185"/>
      <c r="B544" s="67"/>
      <c r="C544" s="67"/>
      <c r="D544" s="67"/>
      <c r="E544" s="186"/>
      <c r="F544" s="186"/>
      <c r="G544" s="186"/>
      <c r="H544" s="186"/>
      <c r="I544" s="186"/>
      <c r="J544" s="186"/>
      <c r="K544" s="186"/>
      <c r="L544" s="186"/>
      <c r="M544" s="186"/>
      <c r="N544" s="186"/>
      <c r="O544" s="186"/>
      <c r="P544" s="186"/>
      <c r="Q544" s="186"/>
      <c r="R544" s="186"/>
      <c r="S544" s="186"/>
      <c r="T544" s="186"/>
      <c r="U544" s="186"/>
      <c r="V544" s="67"/>
      <c r="W544" s="67"/>
      <c r="X544" s="67"/>
      <c r="Y544" s="187"/>
      <c r="Z544" s="186"/>
      <c r="AA544" s="187"/>
      <c r="AB544" s="187"/>
      <c r="AC544" s="187"/>
      <c r="AD544" s="186"/>
      <c r="AE544" s="186"/>
      <c r="AF544" s="67"/>
      <c r="AG544" s="67"/>
      <c r="AH544" s="67"/>
      <c r="AL544" s="186"/>
    </row>
    <row r="545">
      <c r="A545" s="185"/>
      <c r="B545" s="67"/>
      <c r="C545" s="67"/>
      <c r="D545" s="67"/>
      <c r="E545" s="186"/>
      <c r="F545" s="186"/>
      <c r="G545" s="186"/>
      <c r="H545" s="186"/>
      <c r="I545" s="186"/>
      <c r="J545" s="186"/>
      <c r="K545" s="186"/>
      <c r="L545" s="186"/>
      <c r="M545" s="186"/>
      <c r="N545" s="186"/>
      <c r="O545" s="186"/>
      <c r="P545" s="186"/>
      <c r="Q545" s="186"/>
      <c r="R545" s="186"/>
      <c r="S545" s="186"/>
      <c r="T545" s="186"/>
      <c r="U545" s="186"/>
      <c r="V545" s="67"/>
      <c r="W545" s="67"/>
      <c r="X545" s="67"/>
      <c r="Y545" s="187"/>
      <c r="Z545" s="186"/>
      <c r="AA545" s="187"/>
      <c r="AB545" s="187"/>
      <c r="AC545" s="187"/>
      <c r="AD545" s="186"/>
      <c r="AE545" s="186"/>
      <c r="AF545" s="67"/>
      <c r="AG545" s="67"/>
      <c r="AH545" s="67"/>
      <c r="AL545" s="186"/>
    </row>
    <row r="546">
      <c r="A546" s="185"/>
      <c r="B546" s="67"/>
      <c r="C546" s="67"/>
      <c r="D546" s="67"/>
      <c r="E546" s="186"/>
      <c r="F546" s="186"/>
      <c r="G546" s="186"/>
      <c r="H546" s="186"/>
      <c r="I546" s="186"/>
      <c r="J546" s="186"/>
      <c r="K546" s="186"/>
      <c r="L546" s="186"/>
      <c r="M546" s="186"/>
      <c r="N546" s="186"/>
      <c r="O546" s="186"/>
      <c r="P546" s="186"/>
      <c r="Q546" s="186"/>
      <c r="R546" s="186"/>
      <c r="S546" s="186"/>
      <c r="T546" s="186"/>
      <c r="U546" s="186"/>
      <c r="V546" s="67"/>
      <c r="W546" s="67"/>
      <c r="X546" s="67"/>
      <c r="Y546" s="187"/>
      <c r="Z546" s="186"/>
      <c r="AA546" s="187"/>
      <c r="AB546" s="187"/>
      <c r="AC546" s="187"/>
      <c r="AD546" s="186"/>
      <c r="AE546" s="186"/>
      <c r="AF546" s="67"/>
      <c r="AG546" s="67"/>
      <c r="AH546" s="67"/>
      <c r="AL546" s="186"/>
    </row>
    <row r="547">
      <c r="A547" s="185"/>
      <c r="B547" s="67"/>
      <c r="C547" s="67"/>
      <c r="D547" s="67"/>
      <c r="E547" s="186"/>
      <c r="F547" s="186"/>
      <c r="G547" s="186"/>
      <c r="H547" s="186"/>
      <c r="I547" s="186"/>
      <c r="J547" s="186"/>
      <c r="K547" s="186"/>
      <c r="L547" s="186"/>
      <c r="M547" s="186"/>
      <c r="N547" s="186"/>
      <c r="O547" s="186"/>
      <c r="P547" s="186"/>
      <c r="Q547" s="186"/>
      <c r="R547" s="186"/>
      <c r="S547" s="186"/>
      <c r="T547" s="186"/>
      <c r="U547" s="186"/>
      <c r="V547" s="67"/>
      <c r="W547" s="67"/>
      <c r="X547" s="67"/>
      <c r="Y547" s="187"/>
      <c r="Z547" s="186"/>
      <c r="AA547" s="187"/>
      <c r="AB547" s="187"/>
      <c r="AC547" s="187"/>
      <c r="AD547" s="186"/>
      <c r="AE547" s="186"/>
      <c r="AF547" s="67"/>
      <c r="AG547" s="67"/>
      <c r="AH547" s="67"/>
      <c r="AL547" s="186"/>
    </row>
    <row r="548">
      <c r="A548" s="185"/>
      <c r="B548" s="67"/>
      <c r="C548" s="67"/>
      <c r="D548" s="67"/>
      <c r="E548" s="186"/>
      <c r="F548" s="186"/>
      <c r="G548" s="186"/>
      <c r="H548" s="186"/>
      <c r="I548" s="186"/>
      <c r="J548" s="186"/>
      <c r="K548" s="186"/>
      <c r="L548" s="186"/>
      <c r="M548" s="186"/>
      <c r="N548" s="186"/>
      <c r="O548" s="186"/>
      <c r="P548" s="186"/>
      <c r="Q548" s="186"/>
      <c r="R548" s="186"/>
      <c r="S548" s="186"/>
      <c r="T548" s="186"/>
      <c r="U548" s="186"/>
      <c r="V548" s="67"/>
      <c r="W548" s="67"/>
      <c r="X548" s="67"/>
      <c r="Y548" s="187"/>
      <c r="Z548" s="186"/>
      <c r="AA548" s="187"/>
      <c r="AB548" s="187"/>
      <c r="AC548" s="187"/>
      <c r="AD548" s="186"/>
      <c r="AE548" s="186"/>
      <c r="AF548" s="67"/>
      <c r="AG548" s="67"/>
      <c r="AH548" s="67"/>
      <c r="AL548" s="186"/>
    </row>
    <row r="549">
      <c r="A549" s="185"/>
      <c r="B549" s="67"/>
      <c r="C549" s="67"/>
      <c r="D549" s="67"/>
      <c r="E549" s="186"/>
      <c r="F549" s="186"/>
      <c r="G549" s="186"/>
      <c r="H549" s="186"/>
      <c r="I549" s="186"/>
      <c r="J549" s="186"/>
      <c r="K549" s="186"/>
      <c r="L549" s="186"/>
      <c r="M549" s="186"/>
      <c r="N549" s="186"/>
      <c r="O549" s="186"/>
      <c r="P549" s="186"/>
      <c r="Q549" s="186"/>
      <c r="R549" s="186"/>
      <c r="S549" s="186"/>
      <c r="T549" s="186"/>
      <c r="U549" s="186"/>
      <c r="V549" s="67"/>
      <c r="W549" s="67"/>
      <c r="X549" s="67"/>
      <c r="Y549" s="187"/>
      <c r="Z549" s="186"/>
      <c r="AA549" s="187"/>
      <c r="AB549" s="187"/>
      <c r="AC549" s="187"/>
      <c r="AD549" s="186"/>
      <c r="AE549" s="186"/>
      <c r="AF549" s="67"/>
      <c r="AG549" s="67"/>
      <c r="AH549" s="67"/>
      <c r="AL549" s="186"/>
    </row>
    <row r="550">
      <c r="A550" s="185"/>
      <c r="B550" s="67"/>
      <c r="C550" s="67"/>
      <c r="D550" s="67"/>
      <c r="E550" s="186"/>
      <c r="F550" s="186"/>
      <c r="G550" s="186"/>
      <c r="H550" s="186"/>
      <c r="I550" s="186"/>
      <c r="J550" s="186"/>
      <c r="K550" s="186"/>
      <c r="L550" s="186"/>
      <c r="M550" s="186"/>
      <c r="N550" s="186"/>
      <c r="O550" s="186"/>
      <c r="P550" s="186"/>
      <c r="Q550" s="186"/>
      <c r="R550" s="186"/>
      <c r="S550" s="186"/>
      <c r="T550" s="186"/>
      <c r="U550" s="186"/>
      <c r="V550" s="67"/>
      <c r="W550" s="67"/>
      <c r="X550" s="67"/>
      <c r="Y550" s="187"/>
      <c r="Z550" s="186"/>
      <c r="AA550" s="187"/>
      <c r="AB550" s="187"/>
      <c r="AC550" s="187"/>
      <c r="AD550" s="186"/>
      <c r="AE550" s="186"/>
      <c r="AF550" s="67"/>
      <c r="AG550" s="67"/>
      <c r="AH550" s="67"/>
      <c r="AL550" s="186"/>
    </row>
    <row r="551">
      <c r="A551" s="185"/>
      <c r="B551" s="67"/>
      <c r="C551" s="67"/>
      <c r="D551" s="67"/>
      <c r="E551" s="186"/>
      <c r="F551" s="186"/>
      <c r="G551" s="186"/>
      <c r="H551" s="186"/>
      <c r="I551" s="186"/>
      <c r="J551" s="186"/>
      <c r="K551" s="186"/>
      <c r="L551" s="186"/>
      <c r="M551" s="186"/>
      <c r="N551" s="186"/>
      <c r="O551" s="186"/>
      <c r="P551" s="186"/>
      <c r="Q551" s="186"/>
      <c r="R551" s="186"/>
      <c r="S551" s="186"/>
      <c r="T551" s="186"/>
      <c r="U551" s="186"/>
      <c r="V551" s="67"/>
      <c r="W551" s="67"/>
      <c r="X551" s="67"/>
      <c r="Y551" s="187"/>
      <c r="Z551" s="186"/>
      <c r="AA551" s="187"/>
      <c r="AB551" s="187"/>
      <c r="AC551" s="187"/>
      <c r="AD551" s="186"/>
      <c r="AE551" s="186"/>
      <c r="AF551" s="67"/>
      <c r="AG551" s="67"/>
      <c r="AH551" s="67"/>
      <c r="AL551" s="186"/>
    </row>
    <row r="552">
      <c r="A552" s="185"/>
      <c r="B552" s="67"/>
      <c r="C552" s="67"/>
      <c r="D552" s="67"/>
      <c r="E552" s="186"/>
      <c r="F552" s="186"/>
      <c r="G552" s="186"/>
      <c r="H552" s="186"/>
      <c r="I552" s="186"/>
      <c r="J552" s="186"/>
      <c r="K552" s="186"/>
      <c r="L552" s="186"/>
      <c r="M552" s="186"/>
      <c r="N552" s="186"/>
      <c r="O552" s="186"/>
      <c r="P552" s="186"/>
      <c r="Q552" s="186"/>
      <c r="R552" s="186"/>
      <c r="S552" s="186"/>
      <c r="T552" s="186"/>
      <c r="U552" s="186"/>
      <c r="V552" s="67"/>
      <c r="W552" s="67"/>
      <c r="X552" s="67"/>
      <c r="Y552" s="187"/>
      <c r="Z552" s="186"/>
      <c r="AA552" s="187"/>
      <c r="AB552" s="187"/>
      <c r="AC552" s="187"/>
      <c r="AD552" s="186"/>
      <c r="AE552" s="186"/>
      <c r="AF552" s="67"/>
      <c r="AG552" s="67"/>
      <c r="AH552" s="67"/>
      <c r="AL552" s="186"/>
    </row>
    <row r="553">
      <c r="A553" s="185"/>
      <c r="B553" s="67"/>
      <c r="C553" s="67"/>
      <c r="D553" s="67"/>
      <c r="E553" s="186"/>
      <c r="F553" s="186"/>
      <c r="G553" s="186"/>
      <c r="H553" s="186"/>
      <c r="I553" s="186"/>
      <c r="J553" s="186"/>
      <c r="K553" s="186"/>
      <c r="L553" s="186"/>
      <c r="M553" s="186"/>
      <c r="N553" s="186"/>
      <c r="O553" s="186"/>
      <c r="P553" s="186"/>
      <c r="Q553" s="186"/>
      <c r="R553" s="186"/>
      <c r="S553" s="186"/>
      <c r="T553" s="186"/>
      <c r="U553" s="186"/>
      <c r="V553" s="67"/>
      <c r="W553" s="67"/>
      <c r="X553" s="67"/>
      <c r="Y553" s="187"/>
      <c r="Z553" s="186"/>
      <c r="AA553" s="187"/>
      <c r="AB553" s="187"/>
      <c r="AC553" s="187"/>
      <c r="AD553" s="186"/>
      <c r="AE553" s="186"/>
      <c r="AF553" s="67"/>
      <c r="AG553" s="67"/>
      <c r="AH553" s="67"/>
      <c r="AL553" s="186"/>
    </row>
    <row r="554">
      <c r="A554" s="185"/>
      <c r="B554" s="67"/>
      <c r="C554" s="67"/>
      <c r="D554" s="67"/>
      <c r="E554" s="186"/>
      <c r="F554" s="186"/>
      <c r="G554" s="186"/>
      <c r="H554" s="186"/>
      <c r="I554" s="186"/>
      <c r="J554" s="186"/>
      <c r="K554" s="186"/>
      <c r="L554" s="186"/>
      <c r="M554" s="186"/>
      <c r="N554" s="186"/>
      <c r="O554" s="186"/>
      <c r="P554" s="186"/>
      <c r="Q554" s="186"/>
      <c r="R554" s="186"/>
      <c r="S554" s="186"/>
      <c r="T554" s="186"/>
      <c r="U554" s="186"/>
      <c r="V554" s="67"/>
      <c r="W554" s="67"/>
      <c r="X554" s="67"/>
      <c r="Y554" s="187"/>
      <c r="Z554" s="186"/>
      <c r="AA554" s="187"/>
      <c r="AB554" s="187"/>
      <c r="AC554" s="187"/>
      <c r="AD554" s="186"/>
      <c r="AE554" s="186"/>
      <c r="AF554" s="67"/>
      <c r="AG554" s="67"/>
      <c r="AH554" s="67"/>
      <c r="AL554" s="186"/>
    </row>
    <row r="555">
      <c r="A555" s="185"/>
      <c r="B555" s="67"/>
      <c r="C555" s="67"/>
      <c r="D555" s="67"/>
      <c r="E555" s="186"/>
      <c r="F555" s="186"/>
      <c r="G555" s="186"/>
      <c r="H555" s="186"/>
      <c r="I555" s="186"/>
      <c r="J555" s="186"/>
      <c r="K555" s="186"/>
      <c r="L555" s="186"/>
      <c r="M555" s="186"/>
      <c r="N555" s="186"/>
      <c r="O555" s="186"/>
      <c r="P555" s="186"/>
      <c r="Q555" s="186"/>
      <c r="R555" s="186"/>
      <c r="S555" s="186"/>
      <c r="T555" s="186"/>
      <c r="U555" s="186"/>
      <c r="V555" s="67"/>
      <c r="W555" s="67"/>
      <c r="X555" s="67"/>
      <c r="Y555" s="187"/>
      <c r="Z555" s="186"/>
      <c r="AA555" s="187"/>
      <c r="AB555" s="187"/>
      <c r="AC555" s="187"/>
      <c r="AD555" s="186"/>
      <c r="AE555" s="186"/>
      <c r="AF555" s="67"/>
      <c r="AG555" s="67"/>
      <c r="AH555" s="67"/>
      <c r="AL555" s="186"/>
    </row>
    <row r="556">
      <c r="A556" s="185"/>
      <c r="B556" s="67"/>
      <c r="C556" s="67"/>
      <c r="D556" s="67"/>
      <c r="E556" s="186"/>
      <c r="F556" s="186"/>
      <c r="G556" s="186"/>
      <c r="H556" s="186"/>
      <c r="I556" s="186"/>
      <c r="J556" s="186"/>
      <c r="K556" s="186"/>
      <c r="L556" s="186"/>
      <c r="M556" s="186"/>
      <c r="N556" s="186"/>
      <c r="O556" s="186"/>
      <c r="P556" s="186"/>
      <c r="Q556" s="186"/>
      <c r="R556" s="186"/>
      <c r="S556" s="186"/>
      <c r="T556" s="186"/>
      <c r="U556" s="186"/>
      <c r="V556" s="67"/>
      <c r="W556" s="67"/>
      <c r="X556" s="67"/>
      <c r="Y556" s="187"/>
      <c r="Z556" s="186"/>
      <c r="AA556" s="187"/>
      <c r="AB556" s="187"/>
      <c r="AC556" s="187"/>
      <c r="AD556" s="186"/>
      <c r="AE556" s="186"/>
      <c r="AF556" s="67"/>
      <c r="AG556" s="67"/>
      <c r="AH556" s="67"/>
      <c r="AL556" s="186"/>
    </row>
    <row r="557">
      <c r="A557" s="185"/>
      <c r="B557" s="67"/>
      <c r="C557" s="67"/>
      <c r="D557" s="67"/>
      <c r="E557" s="186"/>
      <c r="F557" s="186"/>
      <c r="G557" s="186"/>
      <c r="H557" s="186"/>
      <c r="I557" s="186"/>
      <c r="J557" s="186"/>
      <c r="K557" s="186"/>
      <c r="L557" s="186"/>
      <c r="M557" s="186"/>
      <c r="N557" s="186"/>
      <c r="O557" s="186"/>
      <c r="P557" s="186"/>
      <c r="Q557" s="186"/>
      <c r="R557" s="186"/>
      <c r="S557" s="186"/>
      <c r="T557" s="186"/>
      <c r="U557" s="186"/>
      <c r="V557" s="67"/>
      <c r="W557" s="67"/>
      <c r="X557" s="67"/>
      <c r="Y557" s="187"/>
      <c r="Z557" s="186"/>
      <c r="AA557" s="187"/>
      <c r="AB557" s="187"/>
      <c r="AC557" s="187"/>
      <c r="AD557" s="186"/>
      <c r="AE557" s="186"/>
      <c r="AF557" s="67"/>
      <c r="AG557" s="67"/>
      <c r="AH557" s="67"/>
      <c r="AL557" s="186"/>
    </row>
    <row r="558">
      <c r="A558" s="185"/>
      <c r="B558" s="67"/>
      <c r="C558" s="67"/>
      <c r="D558" s="67"/>
      <c r="E558" s="186"/>
      <c r="F558" s="186"/>
      <c r="G558" s="186"/>
      <c r="H558" s="186"/>
      <c r="I558" s="186"/>
      <c r="J558" s="186"/>
      <c r="K558" s="186"/>
      <c r="L558" s="186"/>
      <c r="M558" s="186"/>
      <c r="N558" s="186"/>
      <c r="O558" s="186"/>
      <c r="P558" s="186"/>
      <c r="Q558" s="186"/>
      <c r="R558" s="186"/>
      <c r="S558" s="186"/>
      <c r="T558" s="186"/>
      <c r="U558" s="186"/>
      <c r="V558" s="67"/>
      <c r="W558" s="67"/>
      <c r="X558" s="67"/>
      <c r="Y558" s="187"/>
      <c r="Z558" s="186"/>
      <c r="AA558" s="187"/>
      <c r="AB558" s="187"/>
      <c r="AC558" s="187"/>
      <c r="AD558" s="186"/>
      <c r="AE558" s="186"/>
      <c r="AF558" s="67"/>
      <c r="AG558" s="67"/>
      <c r="AH558" s="67"/>
      <c r="AL558" s="186"/>
    </row>
    <row r="559">
      <c r="A559" s="185"/>
      <c r="B559" s="67"/>
      <c r="C559" s="67"/>
      <c r="D559" s="67"/>
      <c r="E559" s="186"/>
      <c r="F559" s="186"/>
      <c r="G559" s="186"/>
      <c r="H559" s="186"/>
      <c r="I559" s="186"/>
      <c r="J559" s="186"/>
      <c r="K559" s="186"/>
      <c r="L559" s="186"/>
      <c r="M559" s="186"/>
      <c r="N559" s="186"/>
      <c r="O559" s="186"/>
      <c r="P559" s="186"/>
      <c r="Q559" s="186"/>
      <c r="R559" s="186"/>
      <c r="S559" s="186"/>
      <c r="T559" s="186"/>
      <c r="U559" s="186"/>
      <c r="V559" s="67"/>
      <c r="W559" s="67"/>
      <c r="X559" s="67"/>
      <c r="Y559" s="187"/>
      <c r="Z559" s="186"/>
      <c r="AA559" s="187"/>
      <c r="AB559" s="187"/>
      <c r="AC559" s="187"/>
      <c r="AD559" s="186"/>
      <c r="AE559" s="186"/>
      <c r="AF559" s="67"/>
      <c r="AG559" s="67"/>
      <c r="AH559" s="67"/>
      <c r="AL559" s="186"/>
    </row>
    <row r="560">
      <c r="A560" s="185"/>
      <c r="B560" s="67"/>
      <c r="C560" s="67"/>
      <c r="D560" s="67"/>
      <c r="E560" s="186"/>
      <c r="F560" s="186"/>
      <c r="G560" s="186"/>
      <c r="H560" s="186"/>
      <c r="I560" s="186"/>
      <c r="J560" s="186"/>
      <c r="K560" s="186"/>
      <c r="L560" s="186"/>
      <c r="M560" s="186"/>
      <c r="N560" s="186"/>
      <c r="O560" s="186"/>
      <c r="P560" s="186"/>
      <c r="Q560" s="186"/>
      <c r="R560" s="186"/>
      <c r="S560" s="186"/>
      <c r="T560" s="186"/>
      <c r="U560" s="186"/>
      <c r="V560" s="67"/>
      <c r="W560" s="67"/>
      <c r="X560" s="67"/>
      <c r="Y560" s="187"/>
      <c r="Z560" s="186"/>
      <c r="AA560" s="187"/>
      <c r="AB560" s="187"/>
      <c r="AC560" s="187"/>
      <c r="AD560" s="186"/>
      <c r="AE560" s="186"/>
      <c r="AF560" s="67"/>
      <c r="AG560" s="67"/>
      <c r="AH560" s="67"/>
      <c r="AL560" s="186"/>
    </row>
    <row r="561">
      <c r="A561" s="185"/>
      <c r="B561" s="67"/>
      <c r="C561" s="67"/>
      <c r="D561" s="67"/>
      <c r="E561" s="186"/>
      <c r="F561" s="186"/>
      <c r="G561" s="186"/>
      <c r="H561" s="186"/>
      <c r="I561" s="186"/>
      <c r="J561" s="186"/>
      <c r="K561" s="186"/>
      <c r="L561" s="186"/>
      <c r="M561" s="186"/>
      <c r="N561" s="186"/>
      <c r="O561" s="186"/>
      <c r="P561" s="186"/>
      <c r="Q561" s="186"/>
      <c r="R561" s="186"/>
      <c r="S561" s="186"/>
      <c r="T561" s="186"/>
      <c r="U561" s="186"/>
      <c r="V561" s="67"/>
      <c r="W561" s="67"/>
      <c r="X561" s="67"/>
      <c r="Y561" s="187"/>
      <c r="Z561" s="186"/>
      <c r="AA561" s="187"/>
      <c r="AB561" s="187"/>
      <c r="AC561" s="187"/>
      <c r="AD561" s="186"/>
      <c r="AE561" s="186"/>
      <c r="AF561" s="67"/>
      <c r="AG561" s="67"/>
      <c r="AH561" s="67"/>
      <c r="AL561" s="186"/>
    </row>
    <row r="562">
      <c r="A562" s="185"/>
      <c r="B562" s="67"/>
      <c r="C562" s="67"/>
      <c r="D562" s="67"/>
      <c r="E562" s="186"/>
      <c r="F562" s="186"/>
      <c r="G562" s="186"/>
      <c r="H562" s="186"/>
      <c r="I562" s="186"/>
      <c r="J562" s="186"/>
      <c r="K562" s="186"/>
      <c r="L562" s="186"/>
      <c r="M562" s="186"/>
      <c r="N562" s="186"/>
      <c r="O562" s="186"/>
      <c r="P562" s="186"/>
      <c r="Q562" s="186"/>
      <c r="R562" s="186"/>
      <c r="S562" s="186"/>
      <c r="T562" s="186"/>
      <c r="U562" s="186"/>
      <c r="V562" s="67"/>
      <c r="W562" s="67"/>
      <c r="X562" s="67"/>
      <c r="Y562" s="187"/>
      <c r="Z562" s="186"/>
      <c r="AA562" s="187"/>
      <c r="AB562" s="187"/>
      <c r="AC562" s="187"/>
      <c r="AD562" s="186"/>
      <c r="AE562" s="186"/>
      <c r="AF562" s="67"/>
      <c r="AG562" s="67"/>
      <c r="AH562" s="67"/>
      <c r="AL562" s="186"/>
    </row>
    <row r="563">
      <c r="A563" s="185"/>
      <c r="B563" s="67"/>
      <c r="C563" s="67"/>
      <c r="D563" s="67"/>
      <c r="E563" s="186"/>
      <c r="F563" s="186"/>
      <c r="G563" s="186"/>
      <c r="H563" s="186"/>
      <c r="I563" s="186"/>
      <c r="J563" s="186"/>
      <c r="K563" s="186"/>
      <c r="L563" s="186"/>
      <c r="M563" s="186"/>
      <c r="N563" s="186"/>
      <c r="O563" s="186"/>
      <c r="P563" s="186"/>
      <c r="Q563" s="186"/>
      <c r="R563" s="186"/>
      <c r="S563" s="186"/>
      <c r="T563" s="186"/>
      <c r="U563" s="186"/>
      <c r="V563" s="67"/>
      <c r="W563" s="67"/>
      <c r="X563" s="67"/>
      <c r="Y563" s="187"/>
      <c r="Z563" s="186"/>
      <c r="AA563" s="187"/>
      <c r="AB563" s="187"/>
      <c r="AC563" s="187"/>
      <c r="AD563" s="186"/>
      <c r="AE563" s="186"/>
      <c r="AF563" s="67"/>
      <c r="AG563" s="67"/>
      <c r="AH563" s="67"/>
      <c r="AL563" s="186"/>
    </row>
    <row r="564">
      <c r="A564" s="185"/>
      <c r="B564" s="67"/>
      <c r="C564" s="67"/>
      <c r="D564" s="67"/>
      <c r="E564" s="186"/>
      <c r="F564" s="186"/>
      <c r="G564" s="186"/>
      <c r="H564" s="186"/>
      <c r="I564" s="186"/>
      <c r="J564" s="186"/>
      <c r="K564" s="186"/>
      <c r="L564" s="186"/>
      <c r="M564" s="186"/>
      <c r="N564" s="186"/>
      <c r="O564" s="186"/>
      <c r="P564" s="186"/>
      <c r="Q564" s="186"/>
      <c r="R564" s="186"/>
      <c r="S564" s="186"/>
      <c r="T564" s="186"/>
      <c r="U564" s="186"/>
      <c r="V564" s="67"/>
      <c r="W564" s="67"/>
      <c r="X564" s="67"/>
      <c r="Y564" s="187"/>
      <c r="Z564" s="186"/>
      <c r="AA564" s="187"/>
      <c r="AB564" s="187"/>
      <c r="AC564" s="187"/>
      <c r="AD564" s="186"/>
      <c r="AE564" s="186"/>
      <c r="AF564" s="67"/>
      <c r="AG564" s="67"/>
      <c r="AH564" s="67"/>
      <c r="AL564" s="186"/>
    </row>
    <row r="565">
      <c r="A565" s="185"/>
      <c r="B565" s="67"/>
      <c r="C565" s="67"/>
      <c r="D565" s="67"/>
      <c r="E565" s="186"/>
      <c r="F565" s="186"/>
      <c r="G565" s="186"/>
      <c r="H565" s="186"/>
      <c r="I565" s="186"/>
      <c r="J565" s="186"/>
      <c r="K565" s="186"/>
      <c r="L565" s="186"/>
      <c r="M565" s="186"/>
      <c r="N565" s="186"/>
      <c r="O565" s="186"/>
      <c r="P565" s="186"/>
      <c r="Q565" s="186"/>
      <c r="R565" s="186"/>
      <c r="S565" s="186"/>
      <c r="T565" s="186"/>
      <c r="U565" s="186"/>
      <c r="V565" s="67"/>
      <c r="W565" s="67"/>
      <c r="X565" s="67"/>
      <c r="Y565" s="187"/>
      <c r="Z565" s="186"/>
      <c r="AA565" s="187"/>
      <c r="AB565" s="187"/>
      <c r="AC565" s="187"/>
      <c r="AD565" s="186"/>
      <c r="AE565" s="186"/>
      <c r="AF565" s="67"/>
      <c r="AG565" s="67"/>
      <c r="AH565" s="67"/>
      <c r="AL565" s="186"/>
    </row>
    <row r="566">
      <c r="A566" s="185"/>
      <c r="B566" s="67"/>
      <c r="C566" s="67"/>
      <c r="D566" s="67"/>
      <c r="E566" s="186"/>
      <c r="F566" s="186"/>
      <c r="G566" s="186"/>
      <c r="H566" s="186"/>
      <c r="I566" s="186"/>
      <c r="J566" s="186"/>
      <c r="K566" s="186"/>
      <c r="L566" s="186"/>
      <c r="M566" s="186"/>
      <c r="N566" s="186"/>
      <c r="O566" s="186"/>
      <c r="P566" s="186"/>
      <c r="Q566" s="186"/>
      <c r="R566" s="186"/>
      <c r="S566" s="186"/>
      <c r="T566" s="186"/>
      <c r="U566" s="186"/>
      <c r="V566" s="67"/>
      <c r="W566" s="67"/>
      <c r="X566" s="67"/>
      <c r="Y566" s="187"/>
      <c r="Z566" s="186"/>
      <c r="AA566" s="187"/>
      <c r="AB566" s="187"/>
      <c r="AC566" s="187"/>
      <c r="AD566" s="186"/>
      <c r="AE566" s="186"/>
      <c r="AF566" s="67"/>
      <c r="AG566" s="67"/>
      <c r="AH566" s="67"/>
      <c r="AL566" s="186"/>
    </row>
    <row r="567">
      <c r="A567" s="185"/>
      <c r="B567" s="67"/>
      <c r="C567" s="67"/>
      <c r="D567" s="67"/>
      <c r="E567" s="186"/>
      <c r="F567" s="186"/>
      <c r="G567" s="186"/>
      <c r="H567" s="186"/>
      <c r="I567" s="186"/>
      <c r="J567" s="186"/>
      <c r="K567" s="186"/>
      <c r="L567" s="186"/>
      <c r="M567" s="186"/>
      <c r="N567" s="186"/>
      <c r="O567" s="186"/>
      <c r="P567" s="186"/>
      <c r="Q567" s="186"/>
      <c r="R567" s="186"/>
      <c r="S567" s="186"/>
      <c r="T567" s="186"/>
      <c r="U567" s="186"/>
      <c r="V567" s="67"/>
      <c r="W567" s="67"/>
      <c r="X567" s="67"/>
      <c r="Y567" s="187"/>
      <c r="Z567" s="186"/>
      <c r="AA567" s="187"/>
      <c r="AB567" s="187"/>
      <c r="AC567" s="187"/>
      <c r="AD567" s="186"/>
      <c r="AE567" s="186"/>
      <c r="AF567" s="67"/>
      <c r="AG567" s="67"/>
      <c r="AH567" s="67"/>
      <c r="AL567" s="186"/>
    </row>
    <row r="568">
      <c r="A568" s="185"/>
      <c r="B568" s="67"/>
      <c r="C568" s="67"/>
      <c r="D568" s="67"/>
      <c r="E568" s="186"/>
      <c r="F568" s="186"/>
      <c r="G568" s="186"/>
      <c r="H568" s="186"/>
      <c r="I568" s="186"/>
      <c r="J568" s="186"/>
      <c r="K568" s="186"/>
      <c r="L568" s="186"/>
      <c r="M568" s="186"/>
      <c r="N568" s="186"/>
      <c r="O568" s="186"/>
      <c r="P568" s="186"/>
      <c r="Q568" s="186"/>
      <c r="R568" s="186"/>
      <c r="S568" s="186"/>
      <c r="T568" s="186"/>
      <c r="U568" s="186"/>
      <c r="V568" s="67"/>
      <c r="W568" s="67"/>
      <c r="X568" s="67"/>
      <c r="Y568" s="187"/>
      <c r="Z568" s="186"/>
      <c r="AA568" s="187"/>
      <c r="AB568" s="187"/>
      <c r="AC568" s="187"/>
      <c r="AD568" s="186"/>
      <c r="AE568" s="186"/>
      <c r="AF568" s="67"/>
      <c r="AG568" s="67"/>
      <c r="AH568" s="67"/>
      <c r="AL568" s="186"/>
    </row>
    <row r="569">
      <c r="A569" s="185"/>
      <c r="B569" s="67"/>
      <c r="C569" s="67"/>
      <c r="D569" s="67"/>
      <c r="E569" s="186"/>
      <c r="F569" s="186"/>
      <c r="G569" s="186"/>
      <c r="H569" s="186"/>
      <c r="I569" s="186"/>
      <c r="J569" s="186"/>
      <c r="K569" s="186"/>
      <c r="L569" s="186"/>
      <c r="M569" s="186"/>
      <c r="N569" s="186"/>
      <c r="O569" s="186"/>
      <c r="P569" s="186"/>
      <c r="Q569" s="186"/>
      <c r="R569" s="186"/>
      <c r="S569" s="186"/>
      <c r="T569" s="186"/>
      <c r="U569" s="186"/>
      <c r="V569" s="67"/>
      <c r="W569" s="67"/>
      <c r="X569" s="67"/>
      <c r="Y569" s="187"/>
      <c r="Z569" s="186"/>
      <c r="AA569" s="187"/>
      <c r="AB569" s="187"/>
      <c r="AC569" s="187"/>
      <c r="AD569" s="186"/>
      <c r="AE569" s="186"/>
      <c r="AF569" s="67"/>
      <c r="AG569" s="67"/>
      <c r="AH569" s="67"/>
      <c r="AL569" s="186"/>
    </row>
    <row r="570">
      <c r="A570" s="185"/>
      <c r="B570" s="67"/>
      <c r="C570" s="67"/>
      <c r="D570" s="67"/>
      <c r="E570" s="186"/>
      <c r="F570" s="186"/>
      <c r="G570" s="186"/>
      <c r="H570" s="186"/>
      <c r="I570" s="186"/>
      <c r="J570" s="186"/>
      <c r="K570" s="186"/>
      <c r="L570" s="186"/>
      <c r="M570" s="186"/>
      <c r="N570" s="186"/>
      <c r="O570" s="186"/>
      <c r="P570" s="186"/>
      <c r="Q570" s="186"/>
      <c r="R570" s="186"/>
      <c r="S570" s="186"/>
      <c r="T570" s="186"/>
      <c r="U570" s="186"/>
      <c r="V570" s="67"/>
      <c r="W570" s="67"/>
      <c r="X570" s="67"/>
      <c r="Y570" s="187"/>
      <c r="Z570" s="186"/>
      <c r="AA570" s="187"/>
      <c r="AB570" s="187"/>
      <c r="AC570" s="187"/>
      <c r="AD570" s="186"/>
      <c r="AE570" s="186"/>
      <c r="AF570" s="67"/>
      <c r="AG570" s="67"/>
      <c r="AH570" s="67"/>
      <c r="AL570" s="186"/>
    </row>
    <row r="571">
      <c r="A571" s="185"/>
      <c r="B571" s="67"/>
      <c r="C571" s="67"/>
      <c r="D571" s="67"/>
      <c r="E571" s="186"/>
      <c r="F571" s="186"/>
      <c r="G571" s="186"/>
      <c r="H571" s="186"/>
      <c r="I571" s="186"/>
      <c r="J571" s="186"/>
      <c r="K571" s="186"/>
      <c r="L571" s="186"/>
      <c r="M571" s="186"/>
      <c r="N571" s="186"/>
      <c r="O571" s="186"/>
      <c r="P571" s="186"/>
      <c r="Q571" s="186"/>
      <c r="R571" s="186"/>
      <c r="S571" s="186"/>
      <c r="T571" s="186"/>
      <c r="U571" s="186"/>
      <c r="V571" s="67"/>
      <c r="W571" s="67"/>
      <c r="X571" s="67"/>
      <c r="Y571" s="187"/>
      <c r="Z571" s="186"/>
      <c r="AA571" s="187"/>
      <c r="AB571" s="187"/>
      <c r="AC571" s="187"/>
      <c r="AD571" s="186"/>
      <c r="AE571" s="186"/>
      <c r="AF571" s="67"/>
      <c r="AG571" s="67"/>
      <c r="AH571" s="67"/>
      <c r="AL571" s="186"/>
    </row>
    <row r="572">
      <c r="A572" s="185"/>
      <c r="B572" s="67"/>
      <c r="C572" s="67"/>
      <c r="D572" s="67"/>
      <c r="E572" s="186"/>
      <c r="F572" s="186"/>
      <c r="G572" s="186"/>
      <c r="H572" s="186"/>
      <c r="I572" s="186"/>
      <c r="J572" s="186"/>
      <c r="K572" s="186"/>
      <c r="L572" s="186"/>
      <c r="M572" s="186"/>
      <c r="N572" s="186"/>
      <c r="O572" s="186"/>
      <c r="P572" s="186"/>
      <c r="Q572" s="186"/>
      <c r="R572" s="186"/>
      <c r="S572" s="186"/>
      <c r="T572" s="186"/>
      <c r="U572" s="186"/>
      <c r="V572" s="67"/>
      <c r="W572" s="67"/>
      <c r="X572" s="67"/>
      <c r="Y572" s="187"/>
      <c r="Z572" s="186"/>
      <c r="AA572" s="187"/>
      <c r="AB572" s="187"/>
      <c r="AC572" s="187"/>
      <c r="AD572" s="186"/>
      <c r="AE572" s="186"/>
      <c r="AF572" s="67"/>
      <c r="AG572" s="67"/>
      <c r="AH572" s="67"/>
      <c r="AL572" s="186"/>
    </row>
    <row r="573">
      <c r="A573" s="185"/>
      <c r="B573" s="67"/>
      <c r="C573" s="67"/>
      <c r="D573" s="67"/>
      <c r="E573" s="186"/>
      <c r="F573" s="186"/>
      <c r="G573" s="186"/>
      <c r="H573" s="186"/>
      <c r="I573" s="186"/>
      <c r="J573" s="186"/>
      <c r="K573" s="186"/>
      <c r="L573" s="186"/>
      <c r="M573" s="186"/>
      <c r="N573" s="186"/>
      <c r="O573" s="186"/>
      <c r="P573" s="186"/>
      <c r="Q573" s="186"/>
      <c r="R573" s="186"/>
      <c r="S573" s="186"/>
      <c r="T573" s="186"/>
      <c r="U573" s="186"/>
      <c r="V573" s="67"/>
      <c r="W573" s="67"/>
      <c r="X573" s="67"/>
      <c r="Y573" s="187"/>
      <c r="Z573" s="186"/>
      <c r="AA573" s="187"/>
      <c r="AB573" s="187"/>
      <c r="AC573" s="187"/>
      <c r="AD573" s="186"/>
      <c r="AE573" s="186"/>
      <c r="AF573" s="67"/>
      <c r="AG573" s="67"/>
      <c r="AH573" s="67"/>
      <c r="AL573" s="186"/>
    </row>
    <row r="574">
      <c r="A574" s="185"/>
      <c r="B574" s="67"/>
      <c r="C574" s="67"/>
      <c r="D574" s="67"/>
      <c r="E574" s="186"/>
      <c r="F574" s="186"/>
      <c r="G574" s="186"/>
      <c r="H574" s="186"/>
      <c r="I574" s="186"/>
      <c r="J574" s="186"/>
      <c r="K574" s="186"/>
      <c r="L574" s="186"/>
      <c r="M574" s="186"/>
      <c r="N574" s="186"/>
      <c r="O574" s="186"/>
      <c r="P574" s="186"/>
      <c r="Q574" s="186"/>
      <c r="R574" s="186"/>
      <c r="S574" s="186"/>
      <c r="T574" s="186"/>
      <c r="U574" s="186"/>
      <c r="V574" s="67"/>
      <c r="W574" s="67"/>
      <c r="X574" s="67"/>
      <c r="Y574" s="187"/>
      <c r="Z574" s="186"/>
      <c r="AA574" s="187"/>
      <c r="AB574" s="187"/>
      <c r="AC574" s="187"/>
      <c r="AD574" s="186"/>
      <c r="AE574" s="186"/>
      <c r="AF574" s="67"/>
      <c r="AG574" s="67"/>
      <c r="AH574" s="67"/>
      <c r="AL574" s="186"/>
    </row>
    <row r="575">
      <c r="A575" s="185"/>
      <c r="B575" s="67"/>
      <c r="C575" s="67"/>
      <c r="D575" s="67"/>
      <c r="E575" s="186"/>
      <c r="F575" s="186"/>
      <c r="G575" s="186"/>
      <c r="H575" s="186"/>
      <c r="I575" s="186"/>
      <c r="J575" s="186"/>
      <c r="K575" s="186"/>
      <c r="L575" s="186"/>
      <c r="M575" s="186"/>
      <c r="N575" s="186"/>
      <c r="O575" s="186"/>
      <c r="P575" s="186"/>
      <c r="Q575" s="186"/>
      <c r="R575" s="186"/>
      <c r="S575" s="186"/>
      <c r="T575" s="186"/>
      <c r="U575" s="186"/>
      <c r="V575" s="67"/>
      <c r="W575" s="67"/>
      <c r="X575" s="67"/>
      <c r="Y575" s="187"/>
      <c r="Z575" s="186"/>
      <c r="AA575" s="187"/>
      <c r="AB575" s="187"/>
      <c r="AC575" s="187"/>
      <c r="AD575" s="186"/>
      <c r="AE575" s="186"/>
      <c r="AF575" s="67"/>
      <c r="AG575" s="67"/>
      <c r="AH575" s="67"/>
      <c r="AL575" s="186"/>
    </row>
    <row r="576">
      <c r="A576" s="185"/>
      <c r="B576" s="67"/>
      <c r="C576" s="67"/>
      <c r="D576" s="67"/>
      <c r="E576" s="186"/>
      <c r="F576" s="186"/>
      <c r="G576" s="186"/>
      <c r="H576" s="186"/>
      <c r="I576" s="186"/>
      <c r="J576" s="186"/>
      <c r="K576" s="186"/>
      <c r="L576" s="186"/>
      <c r="M576" s="186"/>
      <c r="N576" s="186"/>
      <c r="O576" s="186"/>
      <c r="P576" s="186"/>
      <c r="Q576" s="186"/>
      <c r="R576" s="186"/>
      <c r="S576" s="186"/>
      <c r="T576" s="186"/>
      <c r="U576" s="186"/>
      <c r="V576" s="67"/>
      <c r="W576" s="67"/>
      <c r="X576" s="67"/>
      <c r="Y576" s="187"/>
      <c r="Z576" s="186"/>
      <c r="AA576" s="187"/>
      <c r="AB576" s="187"/>
      <c r="AC576" s="187"/>
      <c r="AD576" s="186"/>
      <c r="AE576" s="186"/>
      <c r="AF576" s="67"/>
      <c r="AG576" s="67"/>
      <c r="AH576" s="67"/>
      <c r="AL576" s="186"/>
    </row>
    <row r="577">
      <c r="A577" s="185"/>
      <c r="B577" s="67"/>
      <c r="C577" s="67"/>
      <c r="D577" s="67"/>
      <c r="E577" s="186"/>
      <c r="F577" s="186"/>
      <c r="G577" s="186"/>
      <c r="H577" s="186"/>
      <c r="I577" s="186"/>
      <c r="J577" s="186"/>
      <c r="K577" s="186"/>
      <c r="L577" s="186"/>
      <c r="M577" s="186"/>
      <c r="N577" s="186"/>
      <c r="O577" s="186"/>
      <c r="P577" s="186"/>
      <c r="Q577" s="186"/>
      <c r="R577" s="186"/>
      <c r="S577" s="186"/>
      <c r="T577" s="186"/>
      <c r="U577" s="186"/>
      <c r="V577" s="67"/>
      <c r="W577" s="67"/>
      <c r="X577" s="67"/>
      <c r="Y577" s="187"/>
      <c r="Z577" s="186"/>
      <c r="AA577" s="187"/>
      <c r="AB577" s="187"/>
      <c r="AC577" s="187"/>
      <c r="AD577" s="186"/>
      <c r="AE577" s="186"/>
      <c r="AF577" s="67"/>
      <c r="AG577" s="67"/>
      <c r="AH577" s="67"/>
      <c r="AL577" s="186"/>
    </row>
    <row r="578">
      <c r="A578" s="185"/>
      <c r="B578" s="67"/>
      <c r="C578" s="67"/>
      <c r="D578" s="67"/>
      <c r="E578" s="186"/>
      <c r="F578" s="186"/>
      <c r="G578" s="186"/>
      <c r="H578" s="186"/>
      <c r="I578" s="186"/>
      <c r="J578" s="186"/>
      <c r="K578" s="186"/>
      <c r="L578" s="186"/>
      <c r="M578" s="186"/>
      <c r="N578" s="186"/>
      <c r="O578" s="186"/>
      <c r="P578" s="186"/>
      <c r="Q578" s="186"/>
      <c r="R578" s="186"/>
      <c r="S578" s="186"/>
      <c r="T578" s="186"/>
      <c r="U578" s="186"/>
      <c r="V578" s="67"/>
      <c r="W578" s="67"/>
      <c r="X578" s="67"/>
      <c r="Y578" s="187"/>
      <c r="Z578" s="186"/>
      <c r="AA578" s="187"/>
      <c r="AB578" s="187"/>
      <c r="AC578" s="187"/>
      <c r="AD578" s="186"/>
      <c r="AE578" s="186"/>
      <c r="AF578" s="67"/>
      <c r="AG578" s="67"/>
      <c r="AH578" s="67"/>
      <c r="AL578" s="186"/>
    </row>
    <row r="579">
      <c r="A579" s="185"/>
      <c r="B579" s="67"/>
      <c r="C579" s="67"/>
      <c r="D579" s="67"/>
      <c r="E579" s="186"/>
      <c r="F579" s="186"/>
      <c r="G579" s="186"/>
      <c r="H579" s="186"/>
      <c r="I579" s="186"/>
      <c r="J579" s="186"/>
      <c r="K579" s="186"/>
      <c r="L579" s="186"/>
      <c r="M579" s="186"/>
      <c r="N579" s="186"/>
      <c r="O579" s="186"/>
      <c r="P579" s="186"/>
      <c r="Q579" s="186"/>
      <c r="R579" s="186"/>
      <c r="S579" s="186"/>
      <c r="T579" s="186"/>
      <c r="U579" s="186"/>
      <c r="V579" s="67"/>
      <c r="W579" s="67"/>
      <c r="X579" s="67"/>
      <c r="Y579" s="187"/>
      <c r="Z579" s="186"/>
      <c r="AA579" s="187"/>
      <c r="AB579" s="187"/>
      <c r="AC579" s="187"/>
      <c r="AD579" s="186"/>
      <c r="AE579" s="186"/>
      <c r="AF579" s="67"/>
      <c r="AG579" s="67"/>
      <c r="AH579" s="67"/>
      <c r="AL579" s="186"/>
    </row>
    <row r="580">
      <c r="A580" s="185"/>
      <c r="B580" s="67"/>
      <c r="C580" s="67"/>
      <c r="D580" s="67"/>
      <c r="E580" s="186"/>
      <c r="F580" s="186"/>
      <c r="G580" s="186"/>
      <c r="H580" s="186"/>
      <c r="I580" s="186"/>
      <c r="J580" s="186"/>
      <c r="K580" s="186"/>
      <c r="L580" s="186"/>
      <c r="M580" s="186"/>
      <c r="N580" s="186"/>
      <c r="O580" s="186"/>
      <c r="P580" s="186"/>
      <c r="Q580" s="186"/>
      <c r="R580" s="186"/>
      <c r="S580" s="186"/>
      <c r="T580" s="186"/>
      <c r="U580" s="186"/>
      <c r="V580" s="67"/>
      <c r="W580" s="67"/>
      <c r="X580" s="67"/>
      <c r="Y580" s="187"/>
      <c r="Z580" s="186"/>
      <c r="AA580" s="187"/>
      <c r="AB580" s="187"/>
      <c r="AC580" s="187"/>
      <c r="AD580" s="186"/>
      <c r="AE580" s="186"/>
      <c r="AF580" s="67"/>
      <c r="AG580" s="67"/>
      <c r="AH580" s="67"/>
      <c r="AL580" s="186"/>
    </row>
    <row r="581">
      <c r="A581" s="185"/>
      <c r="B581" s="67"/>
      <c r="C581" s="67"/>
      <c r="D581" s="67"/>
      <c r="E581" s="186"/>
      <c r="F581" s="186"/>
      <c r="G581" s="186"/>
      <c r="H581" s="186"/>
      <c r="I581" s="186"/>
      <c r="J581" s="186"/>
      <c r="K581" s="186"/>
      <c r="L581" s="186"/>
      <c r="M581" s="186"/>
      <c r="N581" s="186"/>
      <c r="O581" s="186"/>
      <c r="P581" s="186"/>
      <c r="Q581" s="186"/>
      <c r="R581" s="186"/>
      <c r="S581" s="186"/>
      <c r="T581" s="186"/>
      <c r="U581" s="186"/>
      <c r="V581" s="67"/>
      <c r="W581" s="67"/>
      <c r="X581" s="67"/>
      <c r="Y581" s="187"/>
      <c r="Z581" s="186"/>
      <c r="AA581" s="187"/>
      <c r="AB581" s="187"/>
      <c r="AC581" s="187"/>
      <c r="AD581" s="186"/>
      <c r="AE581" s="186"/>
      <c r="AF581" s="67"/>
      <c r="AG581" s="67"/>
      <c r="AH581" s="67"/>
      <c r="AL581" s="186"/>
    </row>
    <row r="582">
      <c r="A582" s="185"/>
      <c r="B582" s="67"/>
      <c r="C582" s="67"/>
      <c r="D582" s="67"/>
      <c r="E582" s="186"/>
      <c r="F582" s="186"/>
      <c r="G582" s="186"/>
      <c r="H582" s="186"/>
      <c r="I582" s="186"/>
      <c r="J582" s="186"/>
      <c r="K582" s="186"/>
      <c r="L582" s="186"/>
      <c r="M582" s="186"/>
      <c r="N582" s="186"/>
      <c r="O582" s="186"/>
      <c r="P582" s="186"/>
      <c r="Q582" s="186"/>
      <c r="R582" s="186"/>
      <c r="S582" s="186"/>
      <c r="T582" s="186"/>
      <c r="U582" s="186"/>
      <c r="V582" s="67"/>
      <c r="W582" s="67"/>
      <c r="X582" s="67"/>
      <c r="Y582" s="187"/>
      <c r="Z582" s="186"/>
      <c r="AA582" s="187"/>
      <c r="AB582" s="187"/>
      <c r="AC582" s="187"/>
      <c r="AD582" s="186"/>
      <c r="AE582" s="186"/>
      <c r="AF582" s="67"/>
      <c r="AG582" s="67"/>
      <c r="AH582" s="67"/>
      <c r="AL582" s="186"/>
    </row>
    <row r="583">
      <c r="A583" s="185"/>
      <c r="B583" s="67"/>
      <c r="C583" s="67"/>
      <c r="D583" s="67"/>
      <c r="E583" s="186"/>
      <c r="F583" s="186"/>
      <c r="G583" s="186"/>
      <c r="H583" s="186"/>
      <c r="I583" s="186"/>
      <c r="J583" s="186"/>
      <c r="K583" s="186"/>
      <c r="L583" s="186"/>
      <c r="M583" s="186"/>
      <c r="N583" s="186"/>
      <c r="O583" s="186"/>
      <c r="P583" s="186"/>
      <c r="Q583" s="186"/>
      <c r="R583" s="186"/>
      <c r="S583" s="186"/>
      <c r="T583" s="186"/>
      <c r="U583" s="186"/>
      <c r="V583" s="67"/>
      <c r="W583" s="67"/>
      <c r="X583" s="67"/>
      <c r="Y583" s="187"/>
      <c r="Z583" s="186"/>
      <c r="AA583" s="187"/>
      <c r="AB583" s="187"/>
      <c r="AC583" s="187"/>
      <c r="AD583" s="186"/>
      <c r="AE583" s="186"/>
      <c r="AF583" s="67"/>
      <c r="AG583" s="67"/>
      <c r="AH583" s="67"/>
      <c r="AL583" s="186"/>
    </row>
    <row r="584">
      <c r="A584" s="185"/>
      <c r="B584" s="67"/>
      <c r="C584" s="67"/>
      <c r="D584" s="67"/>
      <c r="E584" s="186"/>
      <c r="F584" s="186"/>
      <c r="G584" s="186"/>
      <c r="H584" s="186"/>
      <c r="I584" s="186"/>
      <c r="J584" s="186"/>
      <c r="K584" s="186"/>
      <c r="L584" s="186"/>
      <c r="M584" s="186"/>
      <c r="N584" s="186"/>
      <c r="O584" s="186"/>
      <c r="P584" s="186"/>
      <c r="Q584" s="186"/>
      <c r="R584" s="186"/>
      <c r="S584" s="186"/>
      <c r="T584" s="186"/>
      <c r="U584" s="186"/>
      <c r="V584" s="67"/>
      <c r="W584" s="67"/>
      <c r="X584" s="67"/>
      <c r="Y584" s="187"/>
      <c r="Z584" s="186"/>
      <c r="AA584" s="187"/>
      <c r="AB584" s="187"/>
      <c r="AC584" s="187"/>
      <c r="AD584" s="186"/>
      <c r="AE584" s="186"/>
      <c r="AF584" s="67"/>
      <c r="AG584" s="67"/>
      <c r="AH584" s="67"/>
      <c r="AL584" s="186"/>
    </row>
    <row r="585">
      <c r="A585" s="185"/>
      <c r="B585" s="67"/>
      <c r="C585" s="67"/>
      <c r="D585" s="67"/>
      <c r="E585" s="186"/>
      <c r="F585" s="186"/>
      <c r="G585" s="186"/>
      <c r="H585" s="186"/>
      <c r="I585" s="186"/>
      <c r="J585" s="186"/>
      <c r="K585" s="186"/>
      <c r="L585" s="186"/>
      <c r="M585" s="186"/>
      <c r="N585" s="186"/>
      <c r="O585" s="186"/>
      <c r="P585" s="186"/>
      <c r="Q585" s="186"/>
      <c r="R585" s="186"/>
      <c r="S585" s="186"/>
      <c r="T585" s="186"/>
      <c r="U585" s="186"/>
      <c r="V585" s="67"/>
      <c r="W585" s="67"/>
      <c r="X585" s="67"/>
      <c r="Y585" s="187"/>
      <c r="Z585" s="186"/>
      <c r="AA585" s="187"/>
      <c r="AB585" s="187"/>
      <c r="AC585" s="187"/>
      <c r="AD585" s="186"/>
      <c r="AE585" s="186"/>
      <c r="AF585" s="67"/>
      <c r="AG585" s="67"/>
      <c r="AH585" s="67"/>
      <c r="AL585" s="186"/>
    </row>
    <row r="586">
      <c r="A586" s="185"/>
      <c r="B586" s="67"/>
      <c r="C586" s="67"/>
      <c r="D586" s="67"/>
      <c r="E586" s="186"/>
      <c r="F586" s="186"/>
      <c r="G586" s="186"/>
      <c r="H586" s="186"/>
      <c r="I586" s="186"/>
      <c r="J586" s="186"/>
      <c r="K586" s="186"/>
      <c r="L586" s="186"/>
      <c r="M586" s="186"/>
      <c r="N586" s="186"/>
      <c r="O586" s="186"/>
      <c r="P586" s="186"/>
      <c r="Q586" s="186"/>
      <c r="R586" s="186"/>
      <c r="S586" s="186"/>
      <c r="T586" s="186"/>
      <c r="U586" s="186"/>
      <c r="V586" s="67"/>
      <c r="W586" s="67"/>
      <c r="X586" s="67"/>
      <c r="Y586" s="187"/>
      <c r="Z586" s="186"/>
      <c r="AA586" s="187"/>
      <c r="AB586" s="187"/>
      <c r="AC586" s="187"/>
      <c r="AD586" s="186"/>
      <c r="AE586" s="186"/>
      <c r="AF586" s="67"/>
      <c r="AG586" s="67"/>
      <c r="AH586" s="67"/>
      <c r="AL586" s="186"/>
    </row>
    <row r="587">
      <c r="A587" s="185"/>
      <c r="B587" s="67"/>
      <c r="C587" s="67"/>
      <c r="D587" s="67"/>
      <c r="E587" s="186"/>
      <c r="F587" s="186"/>
      <c r="G587" s="186"/>
      <c r="H587" s="186"/>
      <c r="I587" s="186"/>
      <c r="J587" s="186"/>
      <c r="K587" s="186"/>
      <c r="L587" s="186"/>
      <c r="M587" s="186"/>
      <c r="N587" s="186"/>
      <c r="O587" s="186"/>
      <c r="P587" s="186"/>
      <c r="Q587" s="186"/>
      <c r="R587" s="186"/>
      <c r="S587" s="186"/>
      <c r="T587" s="186"/>
      <c r="U587" s="186"/>
      <c r="V587" s="67"/>
      <c r="W587" s="67"/>
      <c r="X587" s="67"/>
      <c r="Y587" s="187"/>
      <c r="Z587" s="186"/>
      <c r="AA587" s="187"/>
      <c r="AB587" s="187"/>
      <c r="AC587" s="187"/>
      <c r="AD587" s="186"/>
      <c r="AE587" s="186"/>
      <c r="AF587" s="67"/>
      <c r="AG587" s="67"/>
      <c r="AH587" s="67"/>
      <c r="AL587" s="186"/>
    </row>
    <row r="588">
      <c r="A588" s="185"/>
      <c r="B588" s="67"/>
      <c r="C588" s="67"/>
      <c r="D588" s="67"/>
      <c r="E588" s="186"/>
      <c r="F588" s="186"/>
      <c r="G588" s="186"/>
      <c r="H588" s="186"/>
      <c r="I588" s="186"/>
      <c r="J588" s="186"/>
      <c r="K588" s="186"/>
      <c r="L588" s="186"/>
      <c r="M588" s="186"/>
      <c r="N588" s="186"/>
      <c r="O588" s="186"/>
      <c r="P588" s="186"/>
      <c r="Q588" s="186"/>
      <c r="R588" s="186"/>
      <c r="S588" s="186"/>
      <c r="T588" s="186"/>
      <c r="U588" s="186"/>
      <c r="V588" s="67"/>
      <c r="W588" s="67"/>
      <c r="X588" s="67"/>
      <c r="Y588" s="187"/>
      <c r="Z588" s="186"/>
      <c r="AA588" s="187"/>
      <c r="AB588" s="187"/>
      <c r="AC588" s="187"/>
      <c r="AD588" s="186"/>
      <c r="AE588" s="186"/>
      <c r="AF588" s="67"/>
      <c r="AG588" s="67"/>
      <c r="AH588" s="67"/>
      <c r="AL588" s="186"/>
    </row>
    <row r="589">
      <c r="A589" s="185"/>
      <c r="B589" s="67"/>
      <c r="C589" s="67"/>
      <c r="D589" s="67"/>
      <c r="E589" s="186"/>
      <c r="F589" s="186"/>
      <c r="G589" s="186"/>
      <c r="H589" s="186"/>
      <c r="I589" s="186"/>
      <c r="J589" s="186"/>
      <c r="K589" s="186"/>
      <c r="L589" s="186"/>
      <c r="M589" s="186"/>
      <c r="N589" s="186"/>
      <c r="O589" s="186"/>
      <c r="P589" s="186"/>
      <c r="Q589" s="186"/>
      <c r="R589" s="186"/>
      <c r="S589" s="186"/>
      <c r="T589" s="186"/>
      <c r="U589" s="186"/>
      <c r="V589" s="67"/>
      <c r="W589" s="67"/>
      <c r="X589" s="67"/>
      <c r="Y589" s="187"/>
      <c r="Z589" s="186"/>
      <c r="AA589" s="187"/>
      <c r="AB589" s="187"/>
      <c r="AC589" s="187"/>
      <c r="AD589" s="186"/>
      <c r="AE589" s="186"/>
      <c r="AF589" s="67"/>
      <c r="AG589" s="67"/>
      <c r="AH589" s="67"/>
      <c r="AL589" s="186"/>
    </row>
    <row r="590">
      <c r="A590" s="185"/>
      <c r="B590" s="67"/>
      <c r="C590" s="67"/>
      <c r="D590" s="67"/>
      <c r="E590" s="186"/>
      <c r="F590" s="186"/>
      <c r="G590" s="186"/>
      <c r="H590" s="186"/>
      <c r="I590" s="186"/>
      <c r="J590" s="186"/>
      <c r="K590" s="186"/>
      <c r="L590" s="186"/>
      <c r="M590" s="186"/>
      <c r="N590" s="186"/>
      <c r="O590" s="186"/>
      <c r="P590" s="186"/>
      <c r="Q590" s="186"/>
      <c r="R590" s="186"/>
      <c r="S590" s="186"/>
      <c r="T590" s="186"/>
      <c r="U590" s="186"/>
      <c r="V590" s="67"/>
      <c r="W590" s="67"/>
      <c r="X590" s="67"/>
      <c r="Y590" s="187"/>
      <c r="Z590" s="186"/>
      <c r="AA590" s="187"/>
      <c r="AB590" s="187"/>
      <c r="AC590" s="187"/>
      <c r="AD590" s="186"/>
      <c r="AE590" s="186"/>
      <c r="AF590" s="67"/>
      <c r="AG590" s="67"/>
      <c r="AH590" s="67"/>
      <c r="AL590" s="186"/>
    </row>
    <row r="591">
      <c r="A591" s="185"/>
      <c r="B591" s="67"/>
      <c r="C591" s="67"/>
      <c r="D591" s="67"/>
      <c r="E591" s="186"/>
      <c r="F591" s="186"/>
      <c r="G591" s="186"/>
      <c r="H591" s="186"/>
      <c r="I591" s="186"/>
      <c r="J591" s="186"/>
      <c r="K591" s="186"/>
      <c r="L591" s="186"/>
      <c r="M591" s="186"/>
      <c r="N591" s="186"/>
      <c r="O591" s="186"/>
      <c r="P591" s="186"/>
      <c r="Q591" s="186"/>
      <c r="R591" s="186"/>
      <c r="S591" s="186"/>
      <c r="T591" s="186"/>
      <c r="U591" s="186"/>
      <c r="V591" s="67"/>
      <c r="W591" s="67"/>
      <c r="X591" s="67"/>
      <c r="Y591" s="187"/>
      <c r="Z591" s="186"/>
      <c r="AA591" s="187"/>
      <c r="AB591" s="187"/>
      <c r="AC591" s="187"/>
      <c r="AD591" s="186"/>
      <c r="AE591" s="186"/>
      <c r="AF591" s="67"/>
      <c r="AG591" s="67"/>
      <c r="AH591" s="67"/>
      <c r="AL591" s="186"/>
    </row>
    <row r="592">
      <c r="A592" s="185"/>
      <c r="B592" s="67"/>
      <c r="C592" s="67"/>
      <c r="D592" s="67"/>
      <c r="E592" s="186"/>
      <c r="F592" s="186"/>
      <c r="G592" s="186"/>
      <c r="H592" s="186"/>
      <c r="I592" s="186"/>
      <c r="J592" s="186"/>
      <c r="K592" s="186"/>
      <c r="L592" s="186"/>
      <c r="M592" s="186"/>
      <c r="N592" s="186"/>
      <c r="O592" s="186"/>
      <c r="P592" s="186"/>
      <c r="Q592" s="186"/>
      <c r="R592" s="186"/>
      <c r="S592" s="186"/>
      <c r="T592" s="186"/>
      <c r="U592" s="186"/>
      <c r="V592" s="67"/>
      <c r="W592" s="67"/>
      <c r="X592" s="67"/>
      <c r="Y592" s="187"/>
      <c r="Z592" s="186"/>
      <c r="AA592" s="187"/>
      <c r="AB592" s="187"/>
      <c r="AC592" s="187"/>
      <c r="AD592" s="186"/>
      <c r="AE592" s="186"/>
      <c r="AF592" s="67"/>
      <c r="AG592" s="67"/>
      <c r="AH592" s="67"/>
      <c r="AL592" s="186"/>
    </row>
    <row r="593">
      <c r="A593" s="185"/>
      <c r="B593" s="67"/>
      <c r="C593" s="67"/>
      <c r="D593" s="67"/>
      <c r="E593" s="186"/>
      <c r="F593" s="186"/>
      <c r="G593" s="186"/>
      <c r="H593" s="186"/>
      <c r="I593" s="186"/>
      <c r="J593" s="186"/>
      <c r="K593" s="186"/>
      <c r="L593" s="186"/>
      <c r="M593" s="186"/>
      <c r="N593" s="186"/>
      <c r="O593" s="186"/>
      <c r="P593" s="186"/>
      <c r="Q593" s="186"/>
      <c r="R593" s="186"/>
      <c r="S593" s="186"/>
      <c r="T593" s="186"/>
      <c r="U593" s="186"/>
      <c r="V593" s="67"/>
      <c r="W593" s="67"/>
      <c r="X593" s="67"/>
      <c r="Y593" s="187"/>
      <c r="Z593" s="186"/>
      <c r="AA593" s="187"/>
      <c r="AB593" s="187"/>
      <c r="AC593" s="187"/>
      <c r="AD593" s="186"/>
      <c r="AE593" s="186"/>
      <c r="AF593" s="67"/>
      <c r="AG593" s="67"/>
      <c r="AH593" s="67"/>
      <c r="AL593" s="186"/>
    </row>
    <row r="594">
      <c r="A594" s="185"/>
      <c r="B594" s="67"/>
      <c r="C594" s="67"/>
      <c r="D594" s="67"/>
      <c r="E594" s="186"/>
      <c r="F594" s="186"/>
      <c r="G594" s="186"/>
      <c r="H594" s="186"/>
      <c r="I594" s="186"/>
      <c r="J594" s="186"/>
      <c r="K594" s="186"/>
      <c r="L594" s="186"/>
      <c r="M594" s="186"/>
      <c r="N594" s="186"/>
      <c r="O594" s="186"/>
      <c r="P594" s="186"/>
      <c r="Q594" s="186"/>
      <c r="R594" s="186"/>
      <c r="S594" s="186"/>
      <c r="T594" s="186"/>
      <c r="U594" s="186"/>
      <c r="V594" s="67"/>
      <c r="W594" s="67"/>
      <c r="X594" s="67"/>
      <c r="Y594" s="187"/>
      <c r="Z594" s="186"/>
      <c r="AA594" s="187"/>
      <c r="AB594" s="187"/>
      <c r="AC594" s="187"/>
      <c r="AD594" s="186"/>
      <c r="AE594" s="186"/>
      <c r="AF594" s="67"/>
      <c r="AG594" s="67"/>
      <c r="AH594" s="67"/>
      <c r="AL594" s="186"/>
    </row>
    <row r="595">
      <c r="A595" s="185"/>
      <c r="B595" s="67"/>
      <c r="C595" s="67"/>
      <c r="D595" s="67"/>
      <c r="E595" s="186"/>
      <c r="F595" s="186"/>
      <c r="G595" s="186"/>
      <c r="H595" s="186"/>
      <c r="I595" s="186"/>
      <c r="J595" s="186"/>
      <c r="K595" s="186"/>
      <c r="L595" s="186"/>
      <c r="M595" s="186"/>
      <c r="N595" s="186"/>
      <c r="O595" s="186"/>
      <c r="P595" s="186"/>
      <c r="Q595" s="186"/>
      <c r="R595" s="186"/>
      <c r="S595" s="186"/>
      <c r="T595" s="186"/>
      <c r="U595" s="186"/>
      <c r="V595" s="67"/>
      <c r="W595" s="67"/>
      <c r="X595" s="67"/>
      <c r="Y595" s="187"/>
      <c r="Z595" s="186"/>
      <c r="AA595" s="187"/>
      <c r="AB595" s="187"/>
      <c r="AC595" s="187"/>
      <c r="AD595" s="186"/>
      <c r="AE595" s="186"/>
      <c r="AF595" s="67"/>
      <c r="AG595" s="67"/>
      <c r="AH595" s="67"/>
      <c r="AL595" s="186"/>
    </row>
    <row r="596">
      <c r="A596" s="185"/>
      <c r="B596" s="67"/>
      <c r="C596" s="67"/>
      <c r="D596" s="67"/>
      <c r="E596" s="186"/>
      <c r="F596" s="186"/>
      <c r="G596" s="186"/>
      <c r="H596" s="186"/>
      <c r="I596" s="186"/>
      <c r="J596" s="186"/>
      <c r="K596" s="186"/>
      <c r="L596" s="186"/>
      <c r="M596" s="186"/>
      <c r="N596" s="186"/>
      <c r="O596" s="186"/>
      <c r="P596" s="186"/>
      <c r="Q596" s="186"/>
      <c r="R596" s="186"/>
      <c r="S596" s="186"/>
      <c r="T596" s="186"/>
      <c r="U596" s="186"/>
      <c r="V596" s="67"/>
      <c r="W596" s="67"/>
      <c r="X596" s="67"/>
      <c r="Y596" s="187"/>
      <c r="Z596" s="186"/>
      <c r="AA596" s="187"/>
      <c r="AB596" s="187"/>
      <c r="AC596" s="187"/>
      <c r="AD596" s="186"/>
      <c r="AE596" s="186"/>
      <c r="AF596" s="67"/>
      <c r="AG596" s="67"/>
      <c r="AH596" s="67"/>
      <c r="AL596" s="186"/>
    </row>
    <row r="597">
      <c r="A597" s="185"/>
      <c r="B597" s="67"/>
      <c r="C597" s="67"/>
      <c r="D597" s="67"/>
      <c r="E597" s="186"/>
      <c r="F597" s="186"/>
      <c r="G597" s="186"/>
      <c r="H597" s="186"/>
      <c r="I597" s="186"/>
      <c r="J597" s="186"/>
      <c r="K597" s="186"/>
      <c r="L597" s="186"/>
      <c r="M597" s="186"/>
      <c r="N597" s="186"/>
      <c r="O597" s="186"/>
      <c r="P597" s="186"/>
      <c r="Q597" s="186"/>
      <c r="R597" s="186"/>
      <c r="S597" s="186"/>
      <c r="T597" s="186"/>
      <c r="U597" s="186"/>
      <c r="V597" s="67"/>
      <c r="W597" s="67"/>
      <c r="X597" s="67"/>
      <c r="Y597" s="187"/>
      <c r="Z597" s="186"/>
      <c r="AA597" s="187"/>
      <c r="AB597" s="187"/>
      <c r="AC597" s="187"/>
      <c r="AD597" s="186"/>
      <c r="AE597" s="186"/>
      <c r="AF597" s="67"/>
      <c r="AG597" s="67"/>
      <c r="AH597" s="67"/>
      <c r="AL597" s="186"/>
    </row>
    <row r="598">
      <c r="A598" s="185"/>
      <c r="B598" s="67"/>
      <c r="C598" s="67"/>
      <c r="D598" s="67"/>
      <c r="E598" s="186"/>
      <c r="F598" s="186"/>
      <c r="G598" s="186"/>
      <c r="H598" s="186"/>
      <c r="I598" s="186"/>
      <c r="J598" s="186"/>
      <c r="K598" s="186"/>
      <c r="L598" s="186"/>
      <c r="M598" s="186"/>
      <c r="N598" s="186"/>
      <c r="O598" s="186"/>
      <c r="P598" s="186"/>
      <c r="Q598" s="186"/>
      <c r="R598" s="186"/>
      <c r="S598" s="186"/>
      <c r="T598" s="186"/>
      <c r="U598" s="186"/>
      <c r="V598" s="67"/>
      <c r="W598" s="67"/>
      <c r="X598" s="67"/>
      <c r="Y598" s="187"/>
      <c r="Z598" s="186"/>
      <c r="AA598" s="187"/>
      <c r="AB598" s="187"/>
      <c r="AC598" s="187"/>
      <c r="AD598" s="186"/>
      <c r="AE598" s="186"/>
      <c r="AF598" s="67"/>
      <c r="AG598" s="67"/>
      <c r="AH598" s="67"/>
      <c r="AL598" s="186"/>
    </row>
    <row r="599">
      <c r="A599" s="185"/>
      <c r="B599" s="67"/>
      <c r="C599" s="67"/>
      <c r="D599" s="67"/>
      <c r="E599" s="186"/>
      <c r="F599" s="186"/>
      <c r="G599" s="186"/>
      <c r="H599" s="186"/>
      <c r="I599" s="186"/>
      <c r="J599" s="186"/>
      <c r="K599" s="186"/>
      <c r="L599" s="186"/>
      <c r="M599" s="186"/>
      <c r="N599" s="186"/>
      <c r="O599" s="186"/>
      <c r="P599" s="186"/>
      <c r="Q599" s="186"/>
      <c r="R599" s="186"/>
      <c r="S599" s="186"/>
      <c r="T599" s="186"/>
      <c r="U599" s="186"/>
      <c r="V599" s="67"/>
      <c r="W599" s="67"/>
      <c r="X599" s="67"/>
      <c r="Y599" s="187"/>
      <c r="Z599" s="186"/>
      <c r="AA599" s="187"/>
      <c r="AB599" s="187"/>
      <c r="AC599" s="187"/>
      <c r="AD599" s="186"/>
      <c r="AE599" s="186"/>
      <c r="AF599" s="67"/>
      <c r="AG599" s="67"/>
      <c r="AH599" s="67"/>
      <c r="AL599" s="186"/>
    </row>
    <row r="600">
      <c r="A600" s="185"/>
      <c r="B600" s="67"/>
      <c r="C600" s="67"/>
      <c r="D600" s="67"/>
      <c r="E600" s="186"/>
      <c r="F600" s="186"/>
      <c r="G600" s="186"/>
      <c r="H600" s="186"/>
      <c r="I600" s="186"/>
      <c r="J600" s="186"/>
      <c r="K600" s="186"/>
      <c r="L600" s="186"/>
      <c r="M600" s="186"/>
      <c r="N600" s="186"/>
      <c r="O600" s="186"/>
      <c r="P600" s="186"/>
      <c r="Q600" s="186"/>
      <c r="R600" s="186"/>
      <c r="S600" s="186"/>
      <c r="T600" s="186"/>
      <c r="U600" s="186"/>
      <c r="V600" s="67"/>
      <c r="W600" s="67"/>
      <c r="X600" s="67"/>
      <c r="Y600" s="187"/>
      <c r="Z600" s="186"/>
      <c r="AA600" s="187"/>
      <c r="AB600" s="187"/>
      <c r="AC600" s="187"/>
      <c r="AD600" s="186"/>
      <c r="AE600" s="186"/>
      <c r="AF600" s="67"/>
      <c r="AG600" s="67"/>
      <c r="AH600" s="67"/>
      <c r="AL600" s="186"/>
    </row>
    <row r="601">
      <c r="A601" s="185"/>
      <c r="B601" s="67"/>
      <c r="C601" s="67"/>
      <c r="D601" s="67"/>
      <c r="E601" s="186"/>
      <c r="F601" s="186"/>
      <c r="G601" s="186"/>
      <c r="H601" s="186"/>
      <c r="I601" s="186"/>
      <c r="J601" s="186"/>
      <c r="K601" s="186"/>
      <c r="L601" s="186"/>
      <c r="M601" s="186"/>
      <c r="N601" s="186"/>
      <c r="O601" s="186"/>
      <c r="P601" s="186"/>
      <c r="Q601" s="186"/>
      <c r="R601" s="186"/>
      <c r="S601" s="186"/>
      <c r="T601" s="186"/>
      <c r="U601" s="186"/>
      <c r="V601" s="67"/>
      <c r="W601" s="67"/>
      <c r="X601" s="67"/>
      <c r="Y601" s="187"/>
      <c r="Z601" s="186"/>
      <c r="AA601" s="187"/>
      <c r="AB601" s="187"/>
      <c r="AC601" s="187"/>
      <c r="AD601" s="186"/>
      <c r="AE601" s="186"/>
      <c r="AF601" s="67"/>
      <c r="AG601" s="67"/>
      <c r="AH601" s="67"/>
      <c r="AL601" s="186"/>
    </row>
    <row r="602">
      <c r="A602" s="185"/>
      <c r="B602" s="67"/>
      <c r="C602" s="67"/>
      <c r="D602" s="67"/>
      <c r="E602" s="186"/>
      <c r="F602" s="186"/>
      <c r="G602" s="186"/>
      <c r="H602" s="186"/>
      <c r="I602" s="186"/>
      <c r="J602" s="186"/>
      <c r="K602" s="186"/>
      <c r="L602" s="186"/>
      <c r="M602" s="186"/>
      <c r="N602" s="186"/>
      <c r="O602" s="186"/>
      <c r="P602" s="186"/>
      <c r="Q602" s="186"/>
      <c r="R602" s="186"/>
      <c r="S602" s="186"/>
      <c r="T602" s="186"/>
      <c r="U602" s="186"/>
      <c r="V602" s="67"/>
      <c r="W602" s="67"/>
      <c r="X602" s="67"/>
      <c r="Y602" s="187"/>
      <c r="Z602" s="186"/>
      <c r="AA602" s="187"/>
      <c r="AB602" s="187"/>
      <c r="AC602" s="187"/>
      <c r="AD602" s="186"/>
      <c r="AE602" s="186"/>
      <c r="AF602" s="67"/>
      <c r="AG602" s="67"/>
      <c r="AH602" s="67"/>
      <c r="AL602" s="186"/>
    </row>
    <row r="603">
      <c r="A603" s="185"/>
      <c r="B603" s="67"/>
      <c r="C603" s="67"/>
      <c r="D603" s="67"/>
      <c r="E603" s="186"/>
      <c r="F603" s="186"/>
      <c r="G603" s="186"/>
      <c r="H603" s="186"/>
      <c r="I603" s="186"/>
      <c r="J603" s="186"/>
      <c r="K603" s="186"/>
      <c r="L603" s="186"/>
      <c r="M603" s="186"/>
      <c r="N603" s="186"/>
      <c r="O603" s="186"/>
      <c r="P603" s="186"/>
      <c r="Q603" s="186"/>
      <c r="R603" s="186"/>
      <c r="S603" s="186"/>
      <c r="T603" s="186"/>
      <c r="U603" s="186"/>
      <c r="V603" s="67"/>
      <c r="W603" s="67"/>
      <c r="X603" s="67"/>
      <c r="Y603" s="187"/>
      <c r="Z603" s="186"/>
      <c r="AA603" s="187"/>
      <c r="AB603" s="187"/>
      <c r="AC603" s="187"/>
      <c r="AD603" s="186"/>
      <c r="AE603" s="186"/>
      <c r="AF603" s="67"/>
      <c r="AG603" s="67"/>
      <c r="AH603" s="67"/>
      <c r="AL603" s="186"/>
    </row>
    <row r="604">
      <c r="A604" s="185"/>
      <c r="B604" s="67"/>
      <c r="C604" s="67"/>
      <c r="D604" s="67"/>
      <c r="E604" s="186"/>
      <c r="F604" s="186"/>
      <c r="G604" s="186"/>
      <c r="H604" s="186"/>
      <c r="I604" s="186"/>
      <c r="J604" s="186"/>
      <c r="K604" s="186"/>
      <c r="L604" s="186"/>
      <c r="M604" s="186"/>
      <c r="N604" s="186"/>
      <c r="O604" s="186"/>
      <c r="P604" s="186"/>
      <c r="Q604" s="186"/>
      <c r="R604" s="186"/>
      <c r="S604" s="186"/>
      <c r="T604" s="186"/>
      <c r="U604" s="186"/>
      <c r="V604" s="67"/>
      <c r="W604" s="67"/>
      <c r="X604" s="67"/>
      <c r="Y604" s="187"/>
      <c r="Z604" s="186"/>
      <c r="AA604" s="187"/>
      <c r="AB604" s="187"/>
      <c r="AC604" s="187"/>
      <c r="AD604" s="186"/>
      <c r="AE604" s="186"/>
      <c r="AF604" s="67"/>
      <c r="AG604" s="67"/>
      <c r="AH604" s="67"/>
      <c r="AL604" s="186"/>
    </row>
    <row r="605">
      <c r="A605" s="185"/>
      <c r="B605" s="67"/>
      <c r="C605" s="67"/>
      <c r="D605" s="67"/>
      <c r="E605" s="186"/>
      <c r="F605" s="186"/>
      <c r="G605" s="186"/>
      <c r="H605" s="186"/>
      <c r="I605" s="186"/>
      <c r="J605" s="186"/>
      <c r="K605" s="186"/>
      <c r="L605" s="186"/>
      <c r="M605" s="186"/>
      <c r="N605" s="186"/>
      <c r="O605" s="186"/>
      <c r="P605" s="186"/>
      <c r="Q605" s="186"/>
      <c r="R605" s="186"/>
      <c r="S605" s="186"/>
      <c r="T605" s="186"/>
      <c r="U605" s="186"/>
      <c r="V605" s="67"/>
      <c r="W605" s="67"/>
      <c r="X605" s="67"/>
      <c r="Y605" s="187"/>
      <c r="Z605" s="186"/>
      <c r="AA605" s="187"/>
      <c r="AB605" s="187"/>
      <c r="AC605" s="187"/>
      <c r="AD605" s="186"/>
      <c r="AE605" s="186"/>
      <c r="AF605" s="67"/>
      <c r="AG605" s="67"/>
      <c r="AH605" s="67"/>
      <c r="AL605" s="186"/>
    </row>
    <row r="606">
      <c r="A606" s="185"/>
      <c r="B606" s="67"/>
      <c r="C606" s="67"/>
      <c r="D606" s="67"/>
      <c r="E606" s="186"/>
      <c r="F606" s="186"/>
      <c r="G606" s="186"/>
      <c r="H606" s="186"/>
      <c r="I606" s="186"/>
      <c r="J606" s="186"/>
      <c r="K606" s="186"/>
      <c r="L606" s="186"/>
      <c r="M606" s="186"/>
      <c r="N606" s="186"/>
      <c r="O606" s="186"/>
      <c r="P606" s="186"/>
      <c r="Q606" s="186"/>
      <c r="R606" s="186"/>
      <c r="S606" s="186"/>
      <c r="T606" s="186"/>
      <c r="U606" s="186"/>
      <c r="V606" s="67"/>
      <c r="W606" s="67"/>
      <c r="X606" s="67"/>
      <c r="Y606" s="187"/>
      <c r="Z606" s="186"/>
      <c r="AA606" s="187"/>
      <c r="AB606" s="187"/>
      <c r="AC606" s="187"/>
      <c r="AD606" s="186"/>
      <c r="AE606" s="186"/>
      <c r="AF606" s="67"/>
      <c r="AG606" s="67"/>
      <c r="AH606" s="67"/>
      <c r="AL606" s="186"/>
    </row>
    <row r="607">
      <c r="A607" s="185"/>
      <c r="B607" s="67"/>
      <c r="C607" s="67"/>
      <c r="D607" s="67"/>
      <c r="E607" s="186"/>
      <c r="F607" s="186"/>
      <c r="G607" s="186"/>
      <c r="H607" s="186"/>
      <c r="I607" s="186"/>
      <c r="J607" s="186"/>
      <c r="K607" s="186"/>
      <c r="L607" s="186"/>
      <c r="M607" s="186"/>
      <c r="N607" s="186"/>
      <c r="O607" s="186"/>
      <c r="P607" s="186"/>
      <c r="Q607" s="186"/>
      <c r="R607" s="186"/>
      <c r="S607" s="186"/>
      <c r="T607" s="186"/>
      <c r="U607" s="186"/>
      <c r="V607" s="67"/>
      <c r="W607" s="67"/>
      <c r="X607" s="67"/>
      <c r="Y607" s="187"/>
      <c r="Z607" s="186"/>
      <c r="AA607" s="187"/>
      <c r="AB607" s="187"/>
      <c r="AC607" s="187"/>
      <c r="AD607" s="186"/>
      <c r="AE607" s="186"/>
      <c r="AF607" s="67"/>
      <c r="AG607" s="67"/>
      <c r="AH607" s="67"/>
      <c r="AL607" s="186"/>
    </row>
    <row r="608">
      <c r="A608" s="185"/>
      <c r="B608" s="67"/>
      <c r="C608" s="67"/>
      <c r="D608" s="67"/>
      <c r="E608" s="186"/>
      <c r="F608" s="186"/>
      <c r="G608" s="186"/>
      <c r="H608" s="186"/>
      <c r="I608" s="186"/>
      <c r="J608" s="186"/>
      <c r="K608" s="186"/>
      <c r="L608" s="186"/>
      <c r="M608" s="186"/>
      <c r="N608" s="186"/>
      <c r="O608" s="186"/>
      <c r="P608" s="186"/>
      <c r="Q608" s="186"/>
      <c r="R608" s="186"/>
      <c r="S608" s="186"/>
      <c r="T608" s="186"/>
      <c r="U608" s="186"/>
      <c r="V608" s="67"/>
      <c r="W608" s="67"/>
      <c r="X608" s="67"/>
      <c r="Y608" s="187"/>
      <c r="Z608" s="186"/>
      <c r="AA608" s="187"/>
      <c r="AB608" s="187"/>
      <c r="AC608" s="187"/>
      <c r="AD608" s="186"/>
      <c r="AE608" s="186"/>
      <c r="AF608" s="67"/>
      <c r="AG608" s="67"/>
      <c r="AH608" s="67"/>
      <c r="AL608" s="186"/>
    </row>
    <row r="609">
      <c r="A609" s="185"/>
      <c r="B609" s="67"/>
      <c r="C609" s="67"/>
      <c r="D609" s="67"/>
      <c r="E609" s="186"/>
      <c r="F609" s="186"/>
      <c r="G609" s="186"/>
      <c r="H609" s="186"/>
      <c r="I609" s="186"/>
      <c r="J609" s="186"/>
      <c r="K609" s="186"/>
      <c r="L609" s="186"/>
      <c r="M609" s="186"/>
      <c r="N609" s="186"/>
      <c r="O609" s="186"/>
      <c r="P609" s="186"/>
      <c r="Q609" s="186"/>
      <c r="R609" s="186"/>
      <c r="S609" s="186"/>
      <c r="T609" s="186"/>
      <c r="U609" s="186"/>
      <c r="V609" s="67"/>
      <c r="W609" s="67"/>
      <c r="X609" s="67"/>
      <c r="Y609" s="187"/>
      <c r="Z609" s="186"/>
      <c r="AA609" s="187"/>
      <c r="AB609" s="187"/>
      <c r="AC609" s="187"/>
      <c r="AD609" s="186"/>
      <c r="AE609" s="186"/>
      <c r="AF609" s="67"/>
      <c r="AG609" s="67"/>
      <c r="AH609" s="67"/>
      <c r="AL609" s="186"/>
    </row>
    <row r="610">
      <c r="A610" s="185"/>
      <c r="B610" s="67"/>
      <c r="C610" s="67"/>
      <c r="D610" s="67"/>
      <c r="E610" s="186"/>
      <c r="F610" s="186"/>
      <c r="G610" s="186"/>
      <c r="H610" s="186"/>
      <c r="I610" s="186"/>
      <c r="J610" s="186"/>
      <c r="K610" s="186"/>
      <c r="L610" s="186"/>
      <c r="M610" s="186"/>
      <c r="N610" s="186"/>
      <c r="O610" s="186"/>
      <c r="P610" s="186"/>
      <c r="Q610" s="186"/>
      <c r="R610" s="186"/>
      <c r="S610" s="186"/>
      <c r="T610" s="186"/>
      <c r="U610" s="186"/>
      <c r="V610" s="67"/>
      <c r="W610" s="67"/>
      <c r="X610" s="67"/>
      <c r="Y610" s="187"/>
      <c r="Z610" s="186"/>
      <c r="AA610" s="187"/>
      <c r="AB610" s="187"/>
      <c r="AC610" s="187"/>
      <c r="AD610" s="186"/>
      <c r="AE610" s="186"/>
      <c r="AF610" s="67"/>
      <c r="AG610" s="67"/>
      <c r="AH610" s="67"/>
      <c r="AL610" s="186"/>
    </row>
    <row r="611">
      <c r="A611" s="185"/>
      <c r="B611" s="67"/>
      <c r="C611" s="67"/>
      <c r="D611" s="67"/>
      <c r="E611" s="186"/>
      <c r="F611" s="186"/>
      <c r="G611" s="186"/>
      <c r="H611" s="186"/>
      <c r="I611" s="186"/>
      <c r="J611" s="186"/>
      <c r="K611" s="186"/>
      <c r="L611" s="186"/>
      <c r="M611" s="186"/>
      <c r="N611" s="186"/>
      <c r="O611" s="186"/>
      <c r="P611" s="186"/>
      <c r="Q611" s="186"/>
      <c r="R611" s="186"/>
      <c r="S611" s="186"/>
      <c r="T611" s="186"/>
      <c r="U611" s="186"/>
      <c r="V611" s="67"/>
      <c r="W611" s="67"/>
      <c r="X611" s="67"/>
      <c r="Y611" s="187"/>
      <c r="Z611" s="186"/>
      <c r="AA611" s="187"/>
      <c r="AB611" s="187"/>
      <c r="AC611" s="187"/>
      <c r="AD611" s="186"/>
      <c r="AE611" s="186"/>
      <c r="AF611" s="67"/>
      <c r="AG611" s="67"/>
      <c r="AH611" s="67"/>
      <c r="AL611" s="186"/>
    </row>
    <row r="612">
      <c r="A612" s="185"/>
      <c r="B612" s="67"/>
      <c r="C612" s="67"/>
      <c r="D612" s="67"/>
      <c r="E612" s="186"/>
      <c r="F612" s="186"/>
      <c r="G612" s="186"/>
      <c r="H612" s="186"/>
      <c r="I612" s="186"/>
      <c r="J612" s="186"/>
      <c r="K612" s="186"/>
      <c r="L612" s="186"/>
      <c r="M612" s="186"/>
      <c r="N612" s="186"/>
      <c r="O612" s="186"/>
      <c r="P612" s="186"/>
      <c r="Q612" s="186"/>
      <c r="R612" s="186"/>
      <c r="S612" s="186"/>
      <c r="T612" s="186"/>
      <c r="U612" s="186"/>
      <c r="V612" s="67"/>
      <c r="W612" s="67"/>
      <c r="X612" s="67"/>
      <c r="Y612" s="187"/>
      <c r="Z612" s="186"/>
      <c r="AA612" s="187"/>
      <c r="AB612" s="187"/>
      <c r="AC612" s="187"/>
      <c r="AD612" s="186"/>
      <c r="AE612" s="186"/>
      <c r="AF612" s="67"/>
      <c r="AG612" s="67"/>
      <c r="AH612" s="67"/>
      <c r="AL612" s="186"/>
    </row>
    <row r="613">
      <c r="A613" s="185"/>
      <c r="B613" s="67"/>
      <c r="C613" s="67"/>
      <c r="D613" s="67"/>
      <c r="E613" s="186"/>
      <c r="F613" s="186"/>
      <c r="G613" s="186"/>
      <c r="H613" s="186"/>
      <c r="I613" s="186"/>
      <c r="J613" s="186"/>
      <c r="K613" s="186"/>
      <c r="L613" s="186"/>
      <c r="M613" s="186"/>
      <c r="N613" s="186"/>
      <c r="O613" s="186"/>
      <c r="P613" s="186"/>
      <c r="Q613" s="186"/>
      <c r="R613" s="186"/>
      <c r="S613" s="186"/>
      <c r="T613" s="186"/>
      <c r="U613" s="186"/>
      <c r="V613" s="67"/>
      <c r="W613" s="67"/>
      <c r="X613" s="67"/>
      <c r="Y613" s="187"/>
      <c r="Z613" s="186"/>
      <c r="AA613" s="187"/>
      <c r="AB613" s="187"/>
      <c r="AC613" s="187"/>
      <c r="AD613" s="186"/>
      <c r="AE613" s="186"/>
      <c r="AF613" s="67"/>
      <c r="AG613" s="67"/>
      <c r="AH613" s="67"/>
      <c r="AL613" s="186"/>
    </row>
    <row r="614">
      <c r="A614" s="185"/>
      <c r="B614" s="67"/>
      <c r="C614" s="67"/>
      <c r="D614" s="67"/>
      <c r="E614" s="186"/>
      <c r="F614" s="186"/>
      <c r="G614" s="186"/>
      <c r="H614" s="186"/>
      <c r="I614" s="186"/>
      <c r="J614" s="186"/>
      <c r="K614" s="186"/>
      <c r="L614" s="186"/>
      <c r="M614" s="186"/>
      <c r="N614" s="186"/>
      <c r="O614" s="186"/>
      <c r="P614" s="186"/>
      <c r="Q614" s="186"/>
      <c r="R614" s="186"/>
      <c r="S614" s="186"/>
      <c r="T614" s="186"/>
      <c r="U614" s="186"/>
      <c r="V614" s="67"/>
      <c r="W614" s="67"/>
      <c r="X614" s="67"/>
      <c r="Y614" s="187"/>
      <c r="Z614" s="186"/>
      <c r="AA614" s="187"/>
      <c r="AB614" s="187"/>
      <c r="AC614" s="187"/>
      <c r="AD614" s="186"/>
      <c r="AE614" s="186"/>
      <c r="AF614" s="67"/>
      <c r="AG614" s="67"/>
      <c r="AH614" s="67"/>
      <c r="AL614" s="186"/>
    </row>
    <row r="615">
      <c r="A615" s="185"/>
      <c r="B615" s="67"/>
      <c r="C615" s="67"/>
      <c r="D615" s="67"/>
      <c r="E615" s="186"/>
      <c r="F615" s="186"/>
      <c r="G615" s="186"/>
      <c r="H615" s="186"/>
      <c r="I615" s="186"/>
      <c r="J615" s="186"/>
      <c r="K615" s="186"/>
      <c r="L615" s="186"/>
      <c r="M615" s="186"/>
      <c r="N615" s="186"/>
      <c r="O615" s="186"/>
      <c r="P615" s="186"/>
      <c r="Q615" s="186"/>
      <c r="R615" s="186"/>
      <c r="S615" s="186"/>
      <c r="T615" s="186"/>
      <c r="U615" s="186"/>
      <c r="V615" s="67"/>
      <c r="W615" s="67"/>
      <c r="X615" s="67"/>
      <c r="Y615" s="187"/>
      <c r="Z615" s="186"/>
      <c r="AA615" s="187"/>
      <c r="AB615" s="187"/>
      <c r="AC615" s="187"/>
      <c r="AD615" s="186"/>
      <c r="AE615" s="186"/>
      <c r="AF615" s="67"/>
      <c r="AG615" s="67"/>
      <c r="AH615" s="67"/>
      <c r="AL615" s="186"/>
    </row>
    <row r="616">
      <c r="A616" s="185"/>
      <c r="B616" s="67"/>
      <c r="C616" s="67"/>
      <c r="D616" s="67"/>
      <c r="E616" s="186"/>
      <c r="F616" s="186"/>
      <c r="G616" s="186"/>
      <c r="H616" s="186"/>
      <c r="I616" s="186"/>
      <c r="J616" s="186"/>
      <c r="K616" s="186"/>
      <c r="L616" s="186"/>
      <c r="M616" s="186"/>
      <c r="N616" s="186"/>
      <c r="O616" s="186"/>
      <c r="P616" s="186"/>
      <c r="Q616" s="186"/>
      <c r="R616" s="186"/>
      <c r="S616" s="186"/>
      <c r="T616" s="186"/>
      <c r="U616" s="186"/>
      <c r="V616" s="67"/>
      <c r="W616" s="67"/>
      <c r="X616" s="67"/>
      <c r="Y616" s="187"/>
      <c r="Z616" s="186"/>
      <c r="AA616" s="187"/>
      <c r="AB616" s="187"/>
      <c r="AC616" s="187"/>
      <c r="AD616" s="186"/>
      <c r="AE616" s="186"/>
      <c r="AF616" s="67"/>
      <c r="AG616" s="67"/>
      <c r="AH616" s="67"/>
      <c r="AL616" s="186"/>
    </row>
    <row r="617">
      <c r="A617" s="185"/>
      <c r="B617" s="67"/>
      <c r="C617" s="67"/>
      <c r="D617" s="67"/>
      <c r="E617" s="186"/>
      <c r="F617" s="186"/>
      <c r="G617" s="186"/>
      <c r="H617" s="186"/>
      <c r="I617" s="186"/>
      <c r="J617" s="186"/>
      <c r="K617" s="186"/>
      <c r="L617" s="186"/>
      <c r="M617" s="186"/>
      <c r="N617" s="186"/>
      <c r="O617" s="186"/>
      <c r="P617" s="186"/>
      <c r="Q617" s="186"/>
      <c r="R617" s="186"/>
      <c r="S617" s="186"/>
      <c r="T617" s="186"/>
      <c r="U617" s="186"/>
      <c r="V617" s="67"/>
      <c r="W617" s="67"/>
      <c r="X617" s="67"/>
      <c r="Y617" s="187"/>
      <c r="Z617" s="186"/>
      <c r="AA617" s="187"/>
      <c r="AB617" s="187"/>
      <c r="AC617" s="187"/>
      <c r="AD617" s="186"/>
      <c r="AE617" s="186"/>
      <c r="AF617" s="67"/>
      <c r="AG617" s="67"/>
      <c r="AH617" s="67"/>
      <c r="AL617" s="186"/>
    </row>
    <row r="618">
      <c r="A618" s="185"/>
      <c r="B618" s="67"/>
      <c r="C618" s="67"/>
      <c r="D618" s="67"/>
      <c r="E618" s="186"/>
      <c r="F618" s="186"/>
      <c r="G618" s="186"/>
      <c r="H618" s="186"/>
      <c r="I618" s="186"/>
      <c r="J618" s="186"/>
      <c r="K618" s="186"/>
      <c r="L618" s="186"/>
      <c r="M618" s="186"/>
      <c r="N618" s="186"/>
      <c r="O618" s="186"/>
      <c r="P618" s="186"/>
      <c r="Q618" s="186"/>
      <c r="R618" s="186"/>
      <c r="S618" s="186"/>
      <c r="T618" s="186"/>
      <c r="U618" s="186"/>
      <c r="V618" s="67"/>
      <c r="W618" s="67"/>
      <c r="X618" s="67"/>
      <c r="Y618" s="187"/>
      <c r="Z618" s="186"/>
      <c r="AA618" s="187"/>
      <c r="AB618" s="187"/>
      <c r="AC618" s="187"/>
      <c r="AD618" s="186"/>
      <c r="AE618" s="186"/>
      <c r="AF618" s="67"/>
      <c r="AG618" s="67"/>
      <c r="AH618" s="67"/>
      <c r="AL618" s="186"/>
    </row>
    <row r="619">
      <c r="A619" s="185"/>
      <c r="B619" s="67"/>
      <c r="C619" s="67"/>
      <c r="D619" s="67"/>
      <c r="E619" s="186"/>
      <c r="F619" s="186"/>
      <c r="G619" s="186"/>
      <c r="H619" s="186"/>
      <c r="I619" s="186"/>
      <c r="J619" s="186"/>
      <c r="K619" s="186"/>
      <c r="L619" s="186"/>
      <c r="M619" s="186"/>
      <c r="N619" s="186"/>
      <c r="O619" s="186"/>
      <c r="P619" s="186"/>
      <c r="Q619" s="186"/>
      <c r="R619" s="186"/>
      <c r="S619" s="186"/>
      <c r="T619" s="186"/>
      <c r="U619" s="186"/>
      <c r="V619" s="67"/>
      <c r="W619" s="67"/>
      <c r="X619" s="67"/>
      <c r="Y619" s="187"/>
      <c r="Z619" s="186"/>
      <c r="AA619" s="187"/>
      <c r="AB619" s="187"/>
      <c r="AC619" s="187"/>
      <c r="AD619" s="186"/>
      <c r="AE619" s="186"/>
      <c r="AF619" s="67"/>
      <c r="AG619" s="67"/>
      <c r="AH619" s="67"/>
      <c r="AL619" s="186"/>
    </row>
    <row r="620">
      <c r="A620" s="185"/>
      <c r="B620" s="67"/>
      <c r="C620" s="67"/>
      <c r="D620" s="67"/>
      <c r="E620" s="186"/>
      <c r="F620" s="186"/>
      <c r="G620" s="186"/>
      <c r="H620" s="186"/>
      <c r="I620" s="186"/>
      <c r="J620" s="186"/>
      <c r="K620" s="186"/>
      <c r="L620" s="186"/>
      <c r="M620" s="186"/>
      <c r="N620" s="186"/>
      <c r="O620" s="186"/>
      <c r="P620" s="186"/>
      <c r="Q620" s="186"/>
      <c r="R620" s="186"/>
      <c r="S620" s="186"/>
      <c r="T620" s="186"/>
      <c r="U620" s="186"/>
      <c r="V620" s="67"/>
      <c r="W620" s="67"/>
      <c r="X620" s="67"/>
      <c r="Y620" s="187"/>
      <c r="Z620" s="186"/>
      <c r="AA620" s="187"/>
      <c r="AB620" s="187"/>
      <c r="AC620" s="187"/>
      <c r="AD620" s="186"/>
      <c r="AE620" s="186"/>
      <c r="AF620" s="67"/>
      <c r="AG620" s="67"/>
      <c r="AH620" s="67"/>
      <c r="AL620" s="186"/>
    </row>
    <row r="621">
      <c r="A621" s="185"/>
      <c r="B621" s="67"/>
      <c r="C621" s="67"/>
      <c r="D621" s="67"/>
      <c r="E621" s="186"/>
      <c r="F621" s="186"/>
      <c r="G621" s="186"/>
      <c r="H621" s="186"/>
      <c r="I621" s="186"/>
      <c r="J621" s="186"/>
      <c r="K621" s="186"/>
      <c r="L621" s="186"/>
      <c r="M621" s="186"/>
      <c r="N621" s="186"/>
      <c r="O621" s="186"/>
      <c r="P621" s="186"/>
      <c r="Q621" s="186"/>
      <c r="R621" s="186"/>
      <c r="S621" s="186"/>
      <c r="T621" s="186"/>
      <c r="U621" s="186"/>
      <c r="V621" s="67"/>
      <c r="W621" s="67"/>
      <c r="X621" s="67"/>
      <c r="Y621" s="187"/>
      <c r="Z621" s="186"/>
      <c r="AA621" s="187"/>
      <c r="AB621" s="187"/>
      <c r="AC621" s="187"/>
      <c r="AD621" s="186"/>
      <c r="AE621" s="186"/>
      <c r="AF621" s="67"/>
      <c r="AG621" s="67"/>
      <c r="AH621" s="67"/>
      <c r="AL621" s="186"/>
    </row>
    <row r="622">
      <c r="A622" s="185"/>
      <c r="B622" s="67"/>
      <c r="C622" s="67"/>
      <c r="D622" s="67"/>
      <c r="E622" s="186"/>
      <c r="F622" s="186"/>
      <c r="G622" s="186"/>
      <c r="H622" s="186"/>
      <c r="I622" s="186"/>
      <c r="J622" s="186"/>
      <c r="K622" s="186"/>
      <c r="L622" s="186"/>
      <c r="M622" s="186"/>
      <c r="N622" s="186"/>
      <c r="O622" s="186"/>
      <c r="P622" s="186"/>
      <c r="Q622" s="186"/>
      <c r="R622" s="186"/>
      <c r="S622" s="186"/>
      <c r="T622" s="186"/>
      <c r="U622" s="186"/>
      <c r="V622" s="67"/>
      <c r="W622" s="67"/>
      <c r="X622" s="67"/>
      <c r="Y622" s="187"/>
      <c r="Z622" s="186"/>
      <c r="AA622" s="187"/>
      <c r="AB622" s="187"/>
      <c r="AC622" s="187"/>
      <c r="AD622" s="186"/>
      <c r="AE622" s="186"/>
      <c r="AF622" s="67"/>
      <c r="AG622" s="67"/>
      <c r="AH622" s="67"/>
      <c r="AL622" s="186"/>
    </row>
    <row r="623">
      <c r="A623" s="185"/>
      <c r="B623" s="67"/>
      <c r="C623" s="67"/>
      <c r="D623" s="67"/>
      <c r="E623" s="186"/>
      <c r="F623" s="186"/>
      <c r="G623" s="186"/>
      <c r="H623" s="186"/>
      <c r="I623" s="186"/>
      <c r="J623" s="186"/>
      <c r="K623" s="186"/>
      <c r="L623" s="186"/>
      <c r="M623" s="186"/>
      <c r="N623" s="186"/>
      <c r="O623" s="186"/>
      <c r="P623" s="186"/>
      <c r="Q623" s="186"/>
      <c r="R623" s="186"/>
      <c r="S623" s="186"/>
      <c r="T623" s="186"/>
      <c r="U623" s="186"/>
      <c r="V623" s="67"/>
      <c r="W623" s="67"/>
      <c r="X623" s="67"/>
      <c r="Y623" s="187"/>
      <c r="Z623" s="186"/>
      <c r="AA623" s="187"/>
      <c r="AB623" s="187"/>
      <c r="AC623" s="187"/>
      <c r="AD623" s="186"/>
      <c r="AE623" s="186"/>
      <c r="AF623" s="67"/>
      <c r="AG623" s="67"/>
      <c r="AH623" s="67"/>
      <c r="AL623" s="186"/>
    </row>
    <row r="624">
      <c r="A624" s="185"/>
      <c r="B624" s="67"/>
      <c r="C624" s="67"/>
      <c r="D624" s="67"/>
      <c r="E624" s="186"/>
      <c r="F624" s="186"/>
      <c r="G624" s="186"/>
      <c r="H624" s="186"/>
      <c r="I624" s="186"/>
      <c r="J624" s="186"/>
      <c r="K624" s="186"/>
      <c r="L624" s="186"/>
      <c r="M624" s="186"/>
      <c r="N624" s="186"/>
      <c r="O624" s="186"/>
      <c r="P624" s="186"/>
      <c r="Q624" s="186"/>
      <c r="R624" s="186"/>
      <c r="S624" s="186"/>
      <c r="T624" s="186"/>
      <c r="U624" s="186"/>
      <c r="V624" s="67"/>
      <c r="W624" s="67"/>
      <c r="X624" s="67"/>
      <c r="Y624" s="187"/>
      <c r="Z624" s="186"/>
      <c r="AA624" s="187"/>
      <c r="AB624" s="187"/>
      <c r="AC624" s="187"/>
      <c r="AD624" s="186"/>
      <c r="AE624" s="186"/>
      <c r="AF624" s="67"/>
      <c r="AG624" s="67"/>
      <c r="AH624" s="67"/>
      <c r="AL624" s="186"/>
    </row>
    <row r="625">
      <c r="A625" s="185"/>
      <c r="B625" s="67"/>
      <c r="C625" s="67"/>
      <c r="D625" s="67"/>
      <c r="E625" s="186"/>
      <c r="F625" s="186"/>
      <c r="G625" s="186"/>
      <c r="H625" s="186"/>
      <c r="I625" s="186"/>
      <c r="J625" s="186"/>
      <c r="K625" s="186"/>
      <c r="L625" s="186"/>
      <c r="M625" s="186"/>
      <c r="N625" s="186"/>
      <c r="O625" s="186"/>
      <c r="P625" s="186"/>
      <c r="Q625" s="186"/>
      <c r="R625" s="186"/>
      <c r="S625" s="186"/>
      <c r="T625" s="186"/>
      <c r="U625" s="186"/>
      <c r="V625" s="67"/>
      <c r="W625" s="67"/>
      <c r="X625" s="67"/>
      <c r="Y625" s="187"/>
      <c r="Z625" s="186"/>
      <c r="AA625" s="187"/>
      <c r="AB625" s="187"/>
      <c r="AC625" s="187"/>
      <c r="AD625" s="186"/>
      <c r="AE625" s="186"/>
      <c r="AF625" s="67"/>
      <c r="AG625" s="67"/>
      <c r="AH625" s="67"/>
      <c r="AL625" s="186"/>
    </row>
    <row r="626">
      <c r="A626" s="185"/>
      <c r="B626" s="67"/>
      <c r="C626" s="67"/>
      <c r="D626" s="67"/>
      <c r="E626" s="186"/>
      <c r="F626" s="186"/>
      <c r="G626" s="186"/>
      <c r="H626" s="186"/>
      <c r="I626" s="186"/>
      <c r="J626" s="186"/>
      <c r="K626" s="186"/>
      <c r="L626" s="186"/>
      <c r="M626" s="186"/>
      <c r="N626" s="186"/>
      <c r="O626" s="186"/>
      <c r="P626" s="186"/>
      <c r="Q626" s="186"/>
      <c r="R626" s="186"/>
      <c r="S626" s="186"/>
      <c r="T626" s="186"/>
      <c r="U626" s="186"/>
      <c r="V626" s="67"/>
      <c r="W626" s="67"/>
      <c r="X626" s="67"/>
      <c r="Y626" s="187"/>
      <c r="Z626" s="186"/>
      <c r="AA626" s="187"/>
      <c r="AB626" s="187"/>
      <c r="AC626" s="187"/>
      <c r="AD626" s="186"/>
      <c r="AE626" s="186"/>
      <c r="AF626" s="67"/>
      <c r="AG626" s="67"/>
      <c r="AH626" s="67"/>
      <c r="AL626" s="186"/>
    </row>
    <row r="627">
      <c r="A627" s="185"/>
      <c r="B627" s="67"/>
      <c r="C627" s="67"/>
      <c r="D627" s="67"/>
      <c r="E627" s="186"/>
      <c r="F627" s="186"/>
      <c r="G627" s="186"/>
      <c r="H627" s="186"/>
      <c r="I627" s="186"/>
      <c r="J627" s="186"/>
      <c r="K627" s="186"/>
      <c r="L627" s="186"/>
      <c r="M627" s="186"/>
      <c r="N627" s="186"/>
      <c r="O627" s="186"/>
      <c r="P627" s="186"/>
      <c r="Q627" s="186"/>
      <c r="R627" s="186"/>
      <c r="S627" s="186"/>
      <c r="T627" s="186"/>
      <c r="U627" s="186"/>
      <c r="V627" s="67"/>
      <c r="W627" s="67"/>
      <c r="X627" s="67"/>
      <c r="Y627" s="187"/>
      <c r="Z627" s="186"/>
      <c r="AA627" s="187"/>
      <c r="AB627" s="187"/>
      <c r="AC627" s="187"/>
      <c r="AD627" s="186"/>
      <c r="AE627" s="186"/>
      <c r="AF627" s="67"/>
      <c r="AG627" s="67"/>
      <c r="AH627" s="67"/>
      <c r="AL627" s="186"/>
    </row>
    <row r="628">
      <c r="A628" s="185"/>
      <c r="B628" s="67"/>
      <c r="C628" s="67"/>
      <c r="D628" s="67"/>
      <c r="E628" s="186"/>
      <c r="F628" s="186"/>
      <c r="G628" s="186"/>
      <c r="H628" s="186"/>
      <c r="I628" s="186"/>
      <c r="J628" s="186"/>
      <c r="K628" s="186"/>
      <c r="L628" s="186"/>
      <c r="M628" s="186"/>
      <c r="N628" s="186"/>
      <c r="O628" s="186"/>
      <c r="P628" s="186"/>
      <c r="Q628" s="186"/>
      <c r="R628" s="186"/>
      <c r="S628" s="186"/>
      <c r="T628" s="186"/>
      <c r="U628" s="186"/>
      <c r="V628" s="67"/>
      <c r="W628" s="67"/>
      <c r="X628" s="67"/>
      <c r="Y628" s="187"/>
      <c r="Z628" s="186"/>
      <c r="AA628" s="187"/>
      <c r="AB628" s="187"/>
      <c r="AC628" s="187"/>
      <c r="AD628" s="186"/>
      <c r="AE628" s="186"/>
      <c r="AF628" s="67"/>
      <c r="AG628" s="67"/>
      <c r="AH628" s="67"/>
      <c r="AL628" s="186"/>
    </row>
    <row r="629">
      <c r="A629" s="185"/>
      <c r="B629" s="67"/>
      <c r="C629" s="67"/>
      <c r="D629" s="67"/>
      <c r="E629" s="186"/>
      <c r="F629" s="186"/>
      <c r="G629" s="186"/>
      <c r="H629" s="186"/>
      <c r="I629" s="186"/>
      <c r="J629" s="186"/>
      <c r="K629" s="186"/>
      <c r="L629" s="186"/>
      <c r="M629" s="186"/>
      <c r="N629" s="186"/>
      <c r="O629" s="186"/>
      <c r="P629" s="186"/>
      <c r="Q629" s="186"/>
      <c r="R629" s="186"/>
      <c r="S629" s="186"/>
      <c r="T629" s="186"/>
      <c r="U629" s="186"/>
      <c r="V629" s="67"/>
      <c r="W629" s="67"/>
      <c r="X629" s="67"/>
      <c r="Y629" s="187"/>
      <c r="Z629" s="186"/>
      <c r="AA629" s="187"/>
      <c r="AB629" s="187"/>
      <c r="AC629" s="187"/>
      <c r="AD629" s="186"/>
      <c r="AE629" s="186"/>
      <c r="AF629" s="67"/>
      <c r="AG629" s="67"/>
      <c r="AH629" s="67"/>
      <c r="AL629" s="186"/>
    </row>
    <row r="630">
      <c r="A630" s="185"/>
      <c r="B630" s="67"/>
      <c r="C630" s="67"/>
      <c r="D630" s="67"/>
      <c r="E630" s="186"/>
      <c r="F630" s="186"/>
      <c r="G630" s="186"/>
      <c r="H630" s="186"/>
      <c r="I630" s="186"/>
      <c r="J630" s="186"/>
      <c r="K630" s="186"/>
      <c r="L630" s="186"/>
      <c r="M630" s="186"/>
      <c r="N630" s="186"/>
      <c r="O630" s="186"/>
      <c r="P630" s="186"/>
      <c r="Q630" s="186"/>
      <c r="R630" s="186"/>
      <c r="S630" s="186"/>
      <c r="T630" s="186"/>
      <c r="U630" s="186"/>
      <c r="V630" s="67"/>
      <c r="W630" s="67"/>
      <c r="X630" s="67"/>
      <c r="Y630" s="187"/>
      <c r="Z630" s="186"/>
      <c r="AA630" s="187"/>
      <c r="AB630" s="187"/>
      <c r="AC630" s="187"/>
      <c r="AD630" s="186"/>
      <c r="AE630" s="186"/>
      <c r="AF630" s="67"/>
      <c r="AG630" s="67"/>
      <c r="AH630" s="67"/>
      <c r="AL630" s="186"/>
    </row>
    <row r="631">
      <c r="A631" s="185"/>
      <c r="B631" s="67"/>
      <c r="C631" s="67"/>
      <c r="D631" s="67"/>
      <c r="E631" s="186"/>
      <c r="F631" s="186"/>
      <c r="G631" s="186"/>
      <c r="H631" s="186"/>
      <c r="I631" s="186"/>
      <c r="J631" s="186"/>
      <c r="K631" s="186"/>
      <c r="L631" s="186"/>
      <c r="M631" s="186"/>
      <c r="N631" s="186"/>
      <c r="O631" s="186"/>
      <c r="P631" s="186"/>
      <c r="Q631" s="186"/>
      <c r="R631" s="186"/>
      <c r="S631" s="186"/>
      <c r="T631" s="186"/>
      <c r="U631" s="186"/>
      <c r="V631" s="67"/>
      <c r="W631" s="67"/>
      <c r="X631" s="67"/>
      <c r="Y631" s="187"/>
      <c r="Z631" s="186"/>
      <c r="AA631" s="187"/>
      <c r="AB631" s="187"/>
      <c r="AC631" s="187"/>
      <c r="AD631" s="186"/>
      <c r="AE631" s="186"/>
      <c r="AF631" s="67"/>
      <c r="AG631" s="67"/>
      <c r="AH631" s="67"/>
      <c r="AL631" s="186"/>
    </row>
    <row r="632">
      <c r="A632" s="185"/>
      <c r="B632" s="67"/>
      <c r="C632" s="67"/>
      <c r="D632" s="67"/>
      <c r="E632" s="186"/>
      <c r="F632" s="186"/>
      <c r="G632" s="186"/>
      <c r="H632" s="186"/>
      <c r="I632" s="186"/>
      <c r="J632" s="186"/>
      <c r="K632" s="186"/>
      <c r="L632" s="186"/>
      <c r="M632" s="186"/>
      <c r="N632" s="186"/>
      <c r="O632" s="186"/>
      <c r="P632" s="186"/>
      <c r="Q632" s="186"/>
      <c r="R632" s="186"/>
      <c r="S632" s="186"/>
      <c r="T632" s="186"/>
      <c r="U632" s="186"/>
      <c r="V632" s="67"/>
      <c r="W632" s="67"/>
      <c r="X632" s="67"/>
      <c r="Y632" s="187"/>
      <c r="Z632" s="186"/>
      <c r="AA632" s="187"/>
      <c r="AB632" s="187"/>
      <c r="AC632" s="187"/>
      <c r="AD632" s="186"/>
      <c r="AE632" s="186"/>
      <c r="AF632" s="67"/>
      <c r="AG632" s="67"/>
      <c r="AH632" s="67"/>
      <c r="AL632" s="186"/>
    </row>
    <row r="633">
      <c r="A633" s="185"/>
      <c r="B633" s="67"/>
      <c r="C633" s="67"/>
      <c r="D633" s="67"/>
      <c r="E633" s="186"/>
      <c r="F633" s="186"/>
      <c r="G633" s="186"/>
      <c r="H633" s="186"/>
      <c r="I633" s="186"/>
      <c r="J633" s="186"/>
      <c r="K633" s="186"/>
      <c r="L633" s="186"/>
      <c r="M633" s="186"/>
      <c r="N633" s="186"/>
      <c r="O633" s="186"/>
      <c r="P633" s="186"/>
      <c r="Q633" s="186"/>
      <c r="R633" s="186"/>
      <c r="S633" s="186"/>
      <c r="T633" s="186"/>
      <c r="U633" s="186"/>
      <c r="V633" s="67"/>
      <c r="W633" s="67"/>
      <c r="X633" s="67"/>
      <c r="Y633" s="187"/>
      <c r="Z633" s="186"/>
      <c r="AA633" s="187"/>
      <c r="AB633" s="187"/>
      <c r="AC633" s="187"/>
      <c r="AD633" s="186"/>
      <c r="AE633" s="186"/>
      <c r="AF633" s="67"/>
      <c r="AG633" s="67"/>
      <c r="AH633" s="67"/>
      <c r="AL633" s="186"/>
    </row>
    <row r="634">
      <c r="A634" s="185"/>
      <c r="B634" s="67"/>
      <c r="C634" s="67"/>
      <c r="D634" s="67"/>
      <c r="E634" s="186"/>
      <c r="F634" s="186"/>
      <c r="G634" s="186"/>
      <c r="H634" s="186"/>
      <c r="I634" s="186"/>
      <c r="J634" s="186"/>
      <c r="K634" s="186"/>
      <c r="L634" s="186"/>
      <c r="M634" s="186"/>
      <c r="N634" s="186"/>
      <c r="O634" s="186"/>
      <c r="P634" s="186"/>
      <c r="Q634" s="186"/>
      <c r="R634" s="186"/>
      <c r="S634" s="186"/>
      <c r="T634" s="186"/>
      <c r="U634" s="186"/>
      <c r="V634" s="67"/>
      <c r="W634" s="67"/>
      <c r="X634" s="67"/>
      <c r="Y634" s="187"/>
      <c r="Z634" s="186"/>
      <c r="AA634" s="187"/>
      <c r="AB634" s="187"/>
      <c r="AC634" s="187"/>
      <c r="AD634" s="186"/>
      <c r="AE634" s="186"/>
      <c r="AF634" s="67"/>
      <c r="AG634" s="67"/>
      <c r="AH634" s="67"/>
      <c r="AL634" s="186"/>
    </row>
    <row r="635">
      <c r="A635" s="185"/>
      <c r="B635" s="67"/>
      <c r="C635" s="67"/>
      <c r="D635" s="67"/>
      <c r="E635" s="186"/>
      <c r="F635" s="186"/>
      <c r="G635" s="186"/>
      <c r="H635" s="186"/>
      <c r="I635" s="186"/>
      <c r="J635" s="186"/>
      <c r="K635" s="186"/>
      <c r="L635" s="186"/>
      <c r="M635" s="186"/>
      <c r="N635" s="186"/>
      <c r="O635" s="186"/>
      <c r="P635" s="186"/>
      <c r="Q635" s="186"/>
      <c r="R635" s="186"/>
      <c r="S635" s="186"/>
      <c r="T635" s="186"/>
      <c r="U635" s="186"/>
      <c r="V635" s="67"/>
      <c r="W635" s="67"/>
      <c r="X635" s="67"/>
      <c r="Y635" s="187"/>
      <c r="Z635" s="186"/>
      <c r="AA635" s="187"/>
      <c r="AB635" s="187"/>
      <c r="AC635" s="187"/>
      <c r="AD635" s="186"/>
      <c r="AE635" s="186"/>
      <c r="AF635" s="67"/>
      <c r="AG635" s="67"/>
      <c r="AH635" s="67"/>
      <c r="AL635" s="186"/>
    </row>
    <row r="636">
      <c r="A636" s="185"/>
      <c r="B636" s="67"/>
      <c r="C636" s="67"/>
      <c r="D636" s="67"/>
      <c r="E636" s="186"/>
      <c r="F636" s="186"/>
      <c r="G636" s="186"/>
      <c r="H636" s="186"/>
      <c r="I636" s="186"/>
      <c r="J636" s="186"/>
      <c r="K636" s="186"/>
      <c r="L636" s="186"/>
      <c r="M636" s="186"/>
      <c r="N636" s="186"/>
      <c r="O636" s="186"/>
      <c r="P636" s="186"/>
      <c r="Q636" s="186"/>
      <c r="R636" s="186"/>
      <c r="S636" s="186"/>
      <c r="T636" s="186"/>
      <c r="U636" s="186"/>
      <c r="V636" s="67"/>
      <c r="W636" s="67"/>
      <c r="X636" s="67"/>
      <c r="Y636" s="187"/>
      <c r="Z636" s="186"/>
      <c r="AA636" s="187"/>
      <c r="AB636" s="187"/>
      <c r="AC636" s="187"/>
      <c r="AD636" s="186"/>
      <c r="AE636" s="186"/>
      <c r="AF636" s="67"/>
      <c r="AG636" s="67"/>
      <c r="AH636" s="67"/>
      <c r="AL636" s="186"/>
    </row>
    <row r="637">
      <c r="A637" s="185"/>
      <c r="B637" s="67"/>
      <c r="C637" s="67"/>
      <c r="D637" s="67"/>
      <c r="E637" s="186"/>
      <c r="F637" s="186"/>
      <c r="G637" s="186"/>
      <c r="H637" s="186"/>
      <c r="I637" s="186"/>
      <c r="J637" s="186"/>
      <c r="K637" s="186"/>
      <c r="L637" s="186"/>
      <c r="M637" s="186"/>
      <c r="N637" s="186"/>
      <c r="O637" s="186"/>
      <c r="P637" s="186"/>
      <c r="Q637" s="186"/>
      <c r="R637" s="186"/>
      <c r="S637" s="186"/>
      <c r="T637" s="186"/>
      <c r="U637" s="186"/>
      <c r="V637" s="67"/>
      <c r="W637" s="67"/>
      <c r="X637" s="67"/>
      <c r="Y637" s="187"/>
      <c r="Z637" s="186"/>
      <c r="AA637" s="187"/>
      <c r="AB637" s="187"/>
      <c r="AC637" s="187"/>
      <c r="AD637" s="186"/>
      <c r="AE637" s="186"/>
      <c r="AF637" s="67"/>
      <c r="AG637" s="67"/>
      <c r="AH637" s="67"/>
      <c r="AL637" s="186"/>
    </row>
    <row r="638">
      <c r="A638" s="185"/>
      <c r="B638" s="67"/>
      <c r="C638" s="67"/>
      <c r="D638" s="67"/>
      <c r="E638" s="186"/>
      <c r="F638" s="186"/>
      <c r="G638" s="186"/>
      <c r="H638" s="186"/>
      <c r="I638" s="186"/>
      <c r="J638" s="186"/>
      <c r="K638" s="186"/>
      <c r="L638" s="186"/>
      <c r="M638" s="186"/>
      <c r="N638" s="186"/>
      <c r="O638" s="186"/>
      <c r="P638" s="186"/>
      <c r="Q638" s="186"/>
      <c r="R638" s="186"/>
      <c r="S638" s="186"/>
      <c r="T638" s="186"/>
      <c r="U638" s="186"/>
      <c r="V638" s="67"/>
      <c r="W638" s="67"/>
      <c r="X638" s="67"/>
      <c r="Y638" s="187"/>
      <c r="Z638" s="186"/>
      <c r="AA638" s="187"/>
      <c r="AB638" s="187"/>
      <c r="AC638" s="187"/>
      <c r="AD638" s="186"/>
      <c r="AE638" s="186"/>
      <c r="AF638" s="67"/>
      <c r="AG638" s="67"/>
      <c r="AH638" s="67"/>
      <c r="AL638" s="186"/>
    </row>
    <row r="639">
      <c r="A639" s="185"/>
      <c r="B639" s="67"/>
      <c r="C639" s="67"/>
      <c r="D639" s="67"/>
      <c r="E639" s="186"/>
      <c r="F639" s="186"/>
      <c r="G639" s="186"/>
      <c r="H639" s="186"/>
      <c r="I639" s="186"/>
      <c r="J639" s="186"/>
      <c r="K639" s="186"/>
      <c r="L639" s="186"/>
      <c r="M639" s="186"/>
      <c r="N639" s="186"/>
      <c r="O639" s="186"/>
      <c r="P639" s="186"/>
      <c r="Q639" s="186"/>
      <c r="R639" s="186"/>
      <c r="S639" s="186"/>
      <c r="T639" s="186"/>
      <c r="U639" s="186"/>
      <c r="V639" s="67"/>
      <c r="W639" s="67"/>
      <c r="X639" s="67"/>
      <c r="Y639" s="187"/>
      <c r="Z639" s="186"/>
      <c r="AA639" s="187"/>
      <c r="AB639" s="187"/>
      <c r="AC639" s="187"/>
      <c r="AD639" s="186"/>
      <c r="AE639" s="186"/>
      <c r="AF639" s="67"/>
      <c r="AG639" s="67"/>
      <c r="AH639" s="67"/>
      <c r="AL639" s="186"/>
    </row>
    <row r="640">
      <c r="A640" s="185"/>
      <c r="B640" s="67"/>
      <c r="C640" s="67"/>
      <c r="D640" s="67"/>
      <c r="E640" s="186"/>
      <c r="F640" s="186"/>
      <c r="G640" s="186"/>
      <c r="H640" s="186"/>
      <c r="I640" s="186"/>
      <c r="J640" s="186"/>
      <c r="K640" s="186"/>
      <c r="L640" s="186"/>
      <c r="M640" s="186"/>
      <c r="N640" s="186"/>
      <c r="O640" s="186"/>
      <c r="P640" s="186"/>
      <c r="Q640" s="186"/>
      <c r="R640" s="186"/>
      <c r="S640" s="186"/>
      <c r="T640" s="186"/>
      <c r="U640" s="186"/>
      <c r="V640" s="67"/>
      <c r="W640" s="67"/>
      <c r="X640" s="67"/>
      <c r="Y640" s="187"/>
      <c r="Z640" s="186"/>
      <c r="AA640" s="187"/>
      <c r="AB640" s="187"/>
      <c r="AC640" s="187"/>
      <c r="AD640" s="186"/>
      <c r="AE640" s="186"/>
      <c r="AF640" s="67"/>
      <c r="AG640" s="67"/>
      <c r="AH640" s="67"/>
      <c r="AL640" s="186"/>
    </row>
    <row r="641">
      <c r="A641" s="185"/>
      <c r="B641" s="67"/>
      <c r="C641" s="67"/>
      <c r="D641" s="67"/>
      <c r="E641" s="186"/>
      <c r="F641" s="186"/>
      <c r="G641" s="186"/>
      <c r="H641" s="186"/>
      <c r="I641" s="186"/>
      <c r="J641" s="186"/>
      <c r="K641" s="186"/>
      <c r="L641" s="186"/>
      <c r="M641" s="186"/>
      <c r="N641" s="186"/>
      <c r="O641" s="186"/>
      <c r="P641" s="186"/>
      <c r="Q641" s="186"/>
      <c r="R641" s="186"/>
      <c r="S641" s="186"/>
      <c r="T641" s="186"/>
      <c r="U641" s="186"/>
      <c r="V641" s="67"/>
      <c r="W641" s="67"/>
      <c r="X641" s="67"/>
      <c r="Y641" s="187"/>
      <c r="Z641" s="186"/>
      <c r="AA641" s="187"/>
      <c r="AB641" s="187"/>
      <c r="AC641" s="187"/>
      <c r="AD641" s="186"/>
      <c r="AE641" s="186"/>
      <c r="AF641" s="67"/>
      <c r="AG641" s="67"/>
      <c r="AH641" s="67"/>
      <c r="AL641" s="186"/>
    </row>
    <row r="642">
      <c r="A642" s="185"/>
      <c r="B642" s="67"/>
      <c r="C642" s="67"/>
      <c r="D642" s="67"/>
      <c r="E642" s="186"/>
      <c r="F642" s="186"/>
      <c r="G642" s="186"/>
      <c r="H642" s="186"/>
      <c r="I642" s="186"/>
      <c r="J642" s="186"/>
      <c r="K642" s="186"/>
      <c r="L642" s="186"/>
      <c r="M642" s="186"/>
      <c r="N642" s="186"/>
      <c r="O642" s="186"/>
      <c r="P642" s="186"/>
      <c r="Q642" s="186"/>
      <c r="R642" s="186"/>
      <c r="S642" s="186"/>
      <c r="T642" s="186"/>
      <c r="U642" s="186"/>
      <c r="V642" s="67"/>
      <c r="W642" s="67"/>
      <c r="X642" s="67"/>
      <c r="Y642" s="187"/>
      <c r="Z642" s="186"/>
      <c r="AA642" s="187"/>
      <c r="AB642" s="187"/>
      <c r="AC642" s="187"/>
      <c r="AD642" s="186"/>
      <c r="AE642" s="186"/>
      <c r="AF642" s="67"/>
      <c r="AG642" s="67"/>
      <c r="AH642" s="67"/>
      <c r="AL642" s="186"/>
    </row>
    <row r="643">
      <c r="A643" s="185"/>
      <c r="B643" s="67"/>
      <c r="C643" s="67"/>
      <c r="D643" s="67"/>
      <c r="E643" s="186"/>
      <c r="F643" s="186"/>
      <c r="G643" s="186"/>
      <c r="H643" s="186"/>
      <c r="I643" s="186"/>
      <c r="J643" s="186"/>
      <c r="K643" s="186"/>
      <c r="L643" s="186"/>
      <c r="M643" s="186"/>
      <c r="N643" s="186"/>
      <c r="O643" s="186"/>
      <c r="P643" s="186"/>
      <c r="Q643" s="186"/>
      <c r="R643" s="186"/>
      <c r="S643" s="186"/>
      <c r="T643" s="186"/>
      <c r="U643" s="186"/>
      <c r="V643" s="67"/>
      <c r="W643" s="67"/>
      <c r="X643" s="67"/>
      <c r="Y643" s="187"/>
      <c r="Z643" s="186"/>
      <c r="AA643" s="187"/>
      <c r="AB643" s="187"/>
      <c r="AC643" s="187"/>
      <c r="AD643" s="186"/>
      <c r="AE643" s="186"/>
      <c r="AF643" s="67"/>
      <c r="AG643" s="67"/>
      <c r="AH643" s="67"/>
      <c r="AL643" s="186"/>
    </row>
    <row r="644">
      <c r="A644" s="185"/>
      <c r="B644" s="67"/>
      <c r="C644" s="67"/>
      <c r="D644" s="67"/>
      <c r="E644" s="186"/>
      <c r="F644" s="186"/>
      <c r="G644" s="186"/>
      <c r="H644" s="186"/>
      <c r="I644" s="186"/>
      <c r="J644" s="186"/>
      <c r="K644" s="186"/>
      <c r="L644" s="186"/>
      <c r="M644" s="186"/>
      <c r="N644" s="186"/>
      <c r="O644" s="186"/>
      <c r="P644" s="186"/>
      <c r="Q644" s="186"/>
      <c r="R644" s="186"/>
      <c r="S644" s="186"/>
      <c r="T644" s="186"/>
      <c r="U644" s="186"/>
      <c r="V644" s="67"/>
      <c r="W644" s="67"/>
      <c r="X644" s="67"/>
      <c r="Y644" s="187"/>
      <c r="Z644" s="186"/>
      <c r="AA644" s="187"/>
      <c r="AB644" s="187"/>
      <c r="AC644" s="187"/>
      <c r="AD644" s="186"/>
      <c r="AE644" s="186"/>
      <c r="AF644" s="67"/>
      <c r="AG644" s="67"/>
      <c r="AH644" s="67"/>
      <c r="AL644" s="186"/>
    </row>
    <row r="645">
      <c r="A645" s="185"/>
      <c r="B645" s="67"/>
      <c r="C645" s="67"/>
      <c r="D645" s="67"/>
      <c r="E645" s="186"/>
      <c r="F645" s="186"/>
      <c r="G645" s="186"/>
      <c r="H645" s="186"/>
      <c r="I645" s="186"/>
      <c r="J645" s="186"/>
      <c r="K645" s="186"/>
      <c r="L645" s="186"/>
      <c r="M645" s="186"/>
      <c r="N645" s="186"/>
      <c r="O645" s="186"/>
      <c r="P645" s="186"/>
      <c r="Q645" s="186"/>
      <c r="R645" s="186"/>
      <c r="S645" s="186"/>
      <c r="T645" s="186"/>
      <c r="U645" s="186"/>
      <c r="V645" s="67"/>
      <c r="W645" s="67"/>
      <c r="X645" s="67"/>
      <c r="Y645" s="187"/>
      <c r="Z645" s="186"/>
      <c r="AA645" s="187"/>
      <c r="AB645" s="187"/>
      <c r="AC645" s="187"/>
      <c r="AD645" s="186"/>
      <c r="AE645" s="186"/>
      <c r="AF645" s="67"/>
      <c r="AG645" s="67"/>
      <c r="AH645" s="67"/>
      <c r="AL645" s="186"/>
    </row>
    <row r="646">
      <c r="A646" s="185"/>
      <c r="B646" s="67"/>
      <c r="C646" s="67"/>
      <c r="D646" s="67"/>
      <c r="E646" s="186"/>
      <c r="F646" s="186"/>
      <c r="G646" s="186"/>
      <c r="H646" s="186"/>
      <c r="I646" s="186"/>
      <c r="J646" s="186"/>
      <c r="K646" s="186"/>
      <c r="L646" s="186"/>
      <c r="M646" s="186"/>
      <c r="N646" s="186"/>
      <c r="O646" s="186"/>
      <c r="P646" s="186"/>
      <c r="Q646" s="186"/>
      <c r="R646" s="186"/>
      <c r="S646" s="186"/>
      <c r="T646" s="186"/>
      <c r="U646" s="186"/>
      <c r="V646" s="67"/>
      <c r="W646" s="67"/>
      <c r="X646" s="67"/>
      <c r="Y646" s="187"/>
      <c r="Z646" s="186"/>
      <c r="AA646" s="187"/>
      <c r="AB646" s="187"/>
      <c r="AC646" s="187"/>
      <c r="AD646" s="186"/>
      <c r="AE646" s="186"/>
      <c r="AF646" s="67"/>
      <c r="AG646" s="67"/>
      <c r="AH646" s="67"/>
      <c r="AL646" s="186"/>
    </row>
    <row r="647">
      <c r="A647" s="185"/>
      <c r="B647" s="67"/>
      <c r="C647" s="67"/>
      <c r="D647" s="67"/>
      <c r="E647" s="186"/>
      <c r="F647" s="186"/>
      <c r="G647" s="186"/>
      <c r="H647" s="186"/>
      <c r="I647" s="186"/>
      <c r="J647" s="186"/>
      <c r="K647" s="186"/>
      <c r="L647" s="186"/>
      <c r="M647" s="186"/>
      <c r="N647" s="186"/>
      <c r="O647" s="186"/>
      <c r="P647" s="186"/>
      <c r="Q647" s="186"/>
      <c r="R647" s="186"/>
      <c r="S647" s="186"/>
      <c r="T647" s="186"/>
      <c r="U647" s="186"/>
      <c r="V647" s="67"/>
      <c r="W647" s="67"/>
      <c r="X647" s="67"/>
      <c r="Y647" s="187"/>
      <c r="Z647" s="186"/>
      <c r="AA647" s="187"/>
      <c r="AB647" s="187"/>
      <c r="AC647" s="187"/>
      <c r="AD647" s="186"/>
      <c r="AE647" s="186"/>
      <c r="AF647" s="67"/>
      <c r="AG647" s="67"/>
      <c r="AH647" s="67"/>
      <c r="AL647" s="186"/>
    </row>
    <row r="648">
      <c r="A648" s="185"/>
      <c r="B648" s="67"/>
      <c r="C648" s="67"/>
      <c r="D648" s="67"/>
      <c r="E648" s="186"/>
      <c r="F648" s="186"/>
      <c r="G648" s="186"/>
      <c r="H648" s="186"/>
      <c r="I648" s="186"/>
      <c r="J648" s="186"/>
      <c r="K648" s="186"/>
      <c r="L648" s="186"/>
      <c r="M648" s="186"/>
      <c r="N648" s="186"/>
      <c r="O648" s="186"/>
      <c r="P648" s="186"/>
      <c r="Q648" s="186"/>
      <c r="R648" s="186"/>
      <c r="S648" s="186"/>
      <c r="T648" s="186"/>
      <c r="U648" s="186"/>
      <c r="V648" s="67"/>
      <c r="W648" s="67"/>
      <c r="X648" s="67"/>
      <c r="Y648" s="187"/>
      <c r="Z648" s="186"/>
      <c r="AA648" s="187"/>
      <c r="AB648" s="187"/>
      <c r="AC648" s="187"/>
      <c r="AD648" s="186"/>
      <c r="AE648" s="186"/>
      <c r="AF648" s="67"/>
      <c r="AG648" s="67"/>
      <c r="AH648" s="67"/>
      <c r="AL648" s="186"/>
    </row>
    <row r="649">
      <c r="A649" s="185"/>
      <c r="B649" s="67"/>
      <c r="C649" s="67"/>
      <c r="D649" s="67"/>
      <c r="E649" s="186"/>
      <c r="F649" s="186"/>
      <c r="G649" s="186"/>
      <c r="H649" s="186"/>
      <c r="I649" s="186"/>
      <c r="J649" s="186"/>
      <c r="K649" s="186"/>
      <c r="L649" s="186"/>
      <c r="M649" s="186"/>
      <c r="N649" s="186"/>
      <c r="O649" s="186"/>
      <c r="P649" s="186"/>
      <c r="Q649" s="186"/>
      <c r="R649" s="186"/>
      <c r="S649" s="186"/>
      <c r="T649" s="186"/>
      <c r="U649" s="186"/>
      <c r="V649" s="67"/>
      <c r="W649" s="67"/>
      <c r="X649" s="67"/>
      <c r="Y649" s="187"/>
      <c r="Z649" s="186"/>
      <c r="AA649" s="187"/>
      <c r="AB649" s="187"/>
      <c r="AC649" s="187"/>
      <c r="AD649" s="186"/>
      <c r="AE649" s="186"/>
      <c r="AF649" s="67"/>
      <c r="AG649" s="67"/>
      <c r="AH649" s="67"/>
      <c r="AL649" s="186"/>
    </row>
    <row r="650">
      <c r="A650" s="185"/>
      <c r="B650" s="67"/>
      <c r="C650" s="67"/>
      <c r="D650" s="67"/>
      <c r="E650" s="186"/>
      <c r="F650" s="186"/>
      <c r="G650" s="186"/>
      <c r="H650" s="186"/>
      <c r="I650" s="186"/>
      <c r="J650" s="186"/>
      <c r="K650" s="186"/>
      <c r="L650" s="186"/>
      <c r="M650" s="186"/>
      <c r="N650" s="186"/>
      <c r="O650" s="186"/>
      <c r="P650" s="186"/>
      <c r="Q650" s="186"/>
      <c r="R650" s="186"/>
      <c r="S650" s="186"/>
      <c r="T650" s="186"/>
      <c r="U650" s="186"/>
      <c r="V650" s="67"/>
      <c r="W650" s="67"/>
      <c r="X650" s="67"/>
      <c r="Y650" s="187"/>
      <c r="Z650" s="186"/>
      <c r="AA650" s="187"/>
      <c r="AB650" s="187"/>
      <c r="AC650" s="187"/>
      <c r="AD650" s="186"/>
      <c r="AE650" s="186"/>
      <c r="AF650" s="67"/>
      <c r="AG650" s="67"/>
      <c r="AH650" s="67"/>
      <c r="AL650" s="186"/>
    </row>
    <row r="651">
      <c r="A651" s="185"/>
      <c r="B651" s="67"/>
      <c r="C651" s="67"/>
      <c r="D651" s="67"/>
      <c r="E651" s="186"/>
      <c r="F651" s="186"/>
      <c r="G651" s="186"/>
      <c r="H651" s="186"/>
      <c r="I651" s="186"/>
      <c r="J651" s="186"/>
      <c r="K651" s="186"/>
      <c r="L651" s="186"/>
      <c r="M651" s="186"/>
      <c r="N651" s="186"/>
      <c r="O651" s="186"/>
      <c r="P651" s="186"/>
      <c r="Q651" s="186"/>
      <c r="R651" s="186"/>
      <c r="S651" s="186"/>
      <c r="T651" s="186"/>
      <c r="U651" s="186"/>
      <c r="V651" s="67"/>
      <c r="W651" s="67"/>
      <c r="X651" s="67"/>
      <c r="Y651" s="187"/>
      <c r="Z651" s="186"/>
      <c r="AA651" s="187"/>
      <c r="AB651" s="187"/>
      <c r="AC651" s="187"/>
      <c r="AD651" s="186"/>
      <c r="AE651" s="186"/>
      <c r="AF651" s="67"/>
      <c r="AG651" s="67"/>
      <c r="AH651" s="67"/>
      <c r="AL651" s="186"/>
    </row>
    <row r="652">
      <c r="A652" s="185"/>
      <c r="B652" s="67"/>
      <c r="C652" s="67"/>
      <c r="D652" s="67"/>
      <c r="E652" s="186"/>
      <c r="F652" s="186"/>
      <c r="G652" s="186"/>
      <c r="H652" s="186"/>
      <c r="I652" s="186"/>
      <c r="J652" s="186"/>
      <c r="K652" s="186"/>
      <c r="L652" s="186"/>
      <c r="M652" s="186"/>
      <c r="N652" s="186"/>
      <c r="O652" s="186"/>
      <c r="P652" s="186"/>
      <c r="Q652" s="186"/>
      <c r="R652" s="186"/>
      <c r="S652" s="186"/>
      <c r="T652" s="186"/>
      <c r="U652" s="186"/>
      <c r="V652" s="67"/>
      <c r="W652" s="67"/>
      <c r="X652" s="67"/>
      <c r="Y652" s="187"/>
      <c r="Z652" s="186"/>
      <c r="AA652" s="187"/>
      <c r="AB652" s="187"/>
      <c r="AC652" s="187"/>
      <c r="AD652" s="186"/>
      <c r="AE652" s="186"/>
      <c r="AF652" s="67"/>
      <c r="AG652" s="67"/>
      <c r="AH652" s="67"/>
      <c r="AL652" s="186"/>
    </row>
    <row r="653">
      <c r="A653" s="185"/>
      <c r="B653" s="67"/>
      <c r="C653" s="67"/>
      <c r="D653" s="67"/>
      <c r="E653" s="186"/>
      <c r="F653" s="186"/>
      <c r="G653" s="186"/>
      <c r="H653" s="186"/>
      <c r="I653" s="186"/>
      <c r="J653" s="186"/>
      <c r="K653" s="186"/>
      <c r="L653" s="186"/>
      <c r="M653" s="186"/>
      <c r="N653" s="186"/>
      <c r="O653" s="186"/>
      <c r="P653" s="186"/>
      <c r="Q653" s="186"/>
      <c r="R653" s="186"/>
      <c r="S653" s="186"/>
      <c r="T653" s="186"/>
      <c r="U653" s="186"/>
      <c r="V653" s="67"/>
      <c r="W653" s="67"/>
      <c r="X653" s="67"/>
      <c r="Y653" s="187"/>
      <c r="Z653" s="186"/>
      <c r="AA653" s="187"/>
      <c r="AB653" s="187"/>
      <c r="AC653" s="187"/>
      <c r="AD653" s="186"/>
      <c r="AE653" s="186"/>
      <c r="AF653" s="67"/>
      <c r="AG653" s="67"/>
      <c r="AH653" s="67"/>
      <c r="AL653" s="186"/>
    </row>
    <row r="654">
      <c r="A654" s="185"/>
      <c r="B654" s="67"/>
      <c r="C654" s="67"/>
      <c r="D654" s="67"/>
      <c r="E654" s="186"/>
      <c r="F654" s="186"/>
      <c r="G654" s="186"/>
      <c r="H654" s="186"/>
      <c r="I654" s="186"/>
      <c r="J654" s="186"/>
      <c r="K654" s="186"/>
      <c r="L654" s="186"/>
      <c r="M654" s="186"/>
      <c r="N654" s="186"/>
      <c r="O654" s="186"/>
      <c r="P654" s="186"/>
      <c r="Q654" s="186"/>
      <c r="R654" s="186"/>
      <c r="S654" s="186"/>
      <c r="T654" s="186"/>
      <c r="U654" s="186"/>
      <c r="V654" s="67"/>
      <c r="W654" s="67"/>
      <c r="X654" s="67"/>
      <c r="Y654" s="187"/>
      <c r="Z654" s="186"/>
      <c r="AA654" s="187"/>
      <c r="AB654" s="187"/>
      <c r="AC654" s="187"/>
      <c r="AD654" s="186"/>
      <c r="AE654" s="186"/>
      <c r="AF654" s="67"/>
      <c r="AG654" s="67"/>
      <c r="AH654" s="67"/>
      <c r="AL654" s="186"/>
    </row>
    <row r="655">
      <c r="A655" s="185"/>
      <c r="B655" s="67"/>
      <c r="C655" s="67"/>
      <c r="D655" s="67"/>
      <c r="E655" s="186"/>
      <c r="F655" s="186"/>
      <c r="G655" s="186"/>
      <c r="H655" s="186"/>
      <c r="I655" s="186"/>
      <c r="J655" s="186"/>
      <c r="K655" s="186"/>
      <c r="L655" s="186"/>
      <c r="M655" s="186"/>
      <c r="N655" s="186"/>
      <c r="O655" s="186"/>
      <c r="P655" s="186"/>
      <c r="Q655" s="186"/>
      <c r="R655" s="186"/>
      <c r="S655" s="186"/>
      <c r="T655" s="186"/>
      <c r="U655" s="186"/>
      <c r="V655" s="67"/>
      <c r="W655" s="67"/>
      <c r="X655" s="67"/>
      <c r="Y655" s="187"/>
      <c r="Z655" s="186"/>
      <c r="AA655" s="187"/>
      <c r="AB655" s="187"/>
      <c r="AC655" s="187"/>
      <c r="AD655" s="186"/>
      <c r="AE655" s="186"/>
      <c r="AF655" s="67"/>
      <c r="AG655" s="67"/>
      <c r="AH655" s="67"/>
      <c r="AL655" s="186"/>
    </row>
    <row r="656">
      <c r="A656" s="185"/>
      <c r="B656" s="67"/>
      <c r="C656" s="67"/>
      <c r="D656" s="67"/>
      <c r="E656" s="186"/>
      <c r="F656" s="186"/>
      <c r="G656" s="186"/>
      <c r="H656" s="186"/>
      <c r="I656" s="186"/>
      <c r="J656" s="186"/>
      <c r="K656" s="186"/>
      <c r="L656" s="186"/>
      <c r="M656" s="186"/>
      <c r="N656" s="186"/>
      <c r="O656" s="186"/>
      <c r="P656" s="186"/>
      <c r="Q656" s="186"/>
      <c r="R656" s="186"/>
      <c r="S656" s="186"/>
      <c r="T656" s="186"/>
      <c r="U656" s="186"/>
      <c r="V656" s="67"/>
      <c r="W656" s="67"/>
      <c r="X656" s="67"/>
      <c r="Y656" s="187"/>
      <c r="Z656" s="186"/>
      <c r="AA656" s="187"/>
      <c r="AB656" s="187"/>
      <c r="AC656" s="187"/>
      <c r="AD656" s="186"/>
      <c r="AE656" s="186"/>
      <c r="AF656" s="67"/>
      <c r="AG656" s="67"/>
      <c r="AH656" s="67"/>
      <c r="AL656" s="186"/>
    </row>
    <row r="657">
      <c r="A657" s="185"/>
      <c r="B657" s="67"/>
      <c r="C657" s="67"/>
      <c r="D657" s="67"/>
      <c r="E657" s="186"/>
      <c r="F657" s="186"/>
      <c r="G657" s="186"/>
      <c r="H657" s="186"/>
      <c r="I657" s="186"/>
      <c r="J657" s="186"/>
      <c r="K657" s="186"/>
      <c r="L657" s="186"/>
      <c r="M657" s="186"/>
      <c r="N657" s="186"/>
      <c r="O657" s="186"/>
      <c r="P657" s="186"/>
      <c r="Q657" s="186"/>
      <c r="R657" s="186"/>
      <c r="S657" s="186"/>
      <c r="T657" s="186"/>
      <c r="U657" s="186"/>
      <c r="V657" s="67"/>
      <c r="W657" s="67"/>
      <c r="X657" s="67"/>
      <c r="Y657" s="187"/>
      <c r="Z657" s="186"/>
      <c r="AA657" s="187"/>
      <c r="AB657" s="187"/>
      <c r="AC657" s="187"/>
      <c r="AD657" s="186"/>
      <c r="AE657" s="186"/>
      <c r="AF657" s="67"/>
      <c r="AG657" s="67"/>
      <c r="AH657" s="67"/>
      <c r="AL657" s="186"/>
    </row>
    <row r="658">
      <c r="A658" s="185"/>
      <c r="B658" s="67"/>
      <c r="C658" s="67"/>
      <c r="D658" s="67"/>
      <c r="E658" s="186"/>
      <c r="F658" s="186"/>
      <c r="G658" s="186"/>
      <c r="H658" s="186"/>
      <c r="I658" s="186"/>
      <c r="J658" s="186"/>
      <c r="K658" s="186"/>
      <c r="L658" s="186"/>
      <c r="M658" s="186"/>
      <c r="N658" s="186"/>
      <c r="O658" s="186"/>
      <c r="P658" s="186"/>
      <c r="Q658" s="186"/>
      <c r="R658" s="186"/>
      <c r="S658" s="186"/>
      <c r="T658" s="186"/>
      <c r="U658" s="186"/>
      <c r="V658" s="67"/>
      <c r="W658" s="67"/>
      <c r="X658" s="67"/>
      <c r="Y658" s="187"/>
      <c r="Z658" s="186"/>
      <c r="AA658" s="187"/>
      <c r="AB658" s="187"/>
      <c r="AC658" s="187"/>
      <c r="AD658" s="186"/>
      <c r="AE658" s="186"/>
      <c r="AF658" s="67"/>
      <c r="AG658" s="67"/>
      <c r="AH658" s="67"/>
      <c r="AL658" s="186"/>
    </row>
    <row r="659">
      <c r="A659" s="185"/>
      <c r="B659" s="67"/>
      <c r="C659" s="67"/>
      <c r="D659" s="67"/>
      <c r="E659" s="186"/>
      <c r="F659" s="186"/>
      <c r="G659" s="186"/>
      <c r="H659" s="186"/>
      <c r="I659" s="186"/>
      <c r="J659" s="186"/>
      <c r="K659" s="186"/>
      <c r="L659" s="186"/>
      <c r="M659" s="186"/>
      <c r="N659" s="186"/>
      <c r="O659" s="186"/>
      <c r="P659" s="186"/>
      <c r="Q659" s="186"/>
      <c r="R659" s="186"/>
      <c r="S659" s="186"/>
      <c r="T659" s="186"/>
      <c r="U659" s="186"/>
      <c r="V659" s="67"/>
      <c r="W659" s="67"/>
      <c r="X659" s="67"/>
      <c r="Y659" s="187"/>
      <c r="Z659" s="186"/>
      <c r="AA659" s="187"/>
      <c r="AB659" s="187"/>
      <c r="AC659" s="187"/>
      <c r="AD659" s="186"/>
      <c r="AE659" s="186"/>
      <c r="AF659" s="67"/>
      <c r="AG659" s="67"/>
      <c r="AH659" s="67"/>
      <c r="AL659" s="186"/>
    </row>
    <row r="660">
      <c r="A660" s="185"/>
      <c r="B660" s="67"/>
      <c r="C660" s="67"/>
      <c r="D660" s="67"/>
      <c r="E660" s="186"/>
      <c r="F660" s="186"/>
      <c r="G660" s="186"/>
      <c r="H660" s="186"/>
      <c r="I660" s="186"/>
      <c r="J660" s="186"/>
      <c r="K660" s="186"/>
      <c r="L660" s="186"/>
      <c r="M660" s="186"/>
      <c r="N660" s="186"/>
      <c r="O660" s="186"/>
      <c r="P660" s="186"/>
      <c r="Q660" s="186"/>
      <c r="R660" s="186"/>
      <c r="S660" s="186"/>
      <c r="T660" s="186"/>
      <c r="U660" s="186"/>
      <c r="V660" s="67"/>
      <c r="W660" s="67"/>
      <c r="X660" s="67"/>
      <c r="Y660" s="187"/>
      <c r="Z660" s="186"/>
      <c r="AA660" s="187"/>
      <c r="AB660" s="187"/>
      <c r="AC660" s="187"/>
      <c r="AD660" s="186"/>
      <c r="AE660" s="186"/>
      <c r="AF660" s="67"/>
      <c r="AG660" s="67"/>
      <c r="AH660" s="67"/>
      <c r="AL660" s="186"/>
    </row>
    <row r="661">
      <c r="A661" s="185"/>
      <c r="B661" s="67"/>
      <c r="C661" s="67"/>
      <c r="D661" s="67"/>
      <c r="E661" s="186"/>
      <c r="F661" s="186"/>
      <c r="G661" s="186"/>
      <c r="H661" s="186"/>
      <c r="I661" s="186"/>
      <c r="J661" s="186"/>
      <c r="K661" s="186"/>
      <c r="L661" s="186"/>
      <c r="M661" s="186"/>
      <c r="N661" s="186"/>
      <c r="O661" s="186"/>
      <c r="P661" s="186"/>
      <c r="Q661" s="186"/>
      <c r="R661" s="186"/>
      <c r="S661" s="186"/>
      <c r="T661" s="186"/>
      <c r="U661" s="186"/>
      <c r="V661" s="67"/>
      <c r="W661" s="67"/>
      <c r="X661" s="67"/>
      <c r="Y661" s="187"/>
      <c r="Z661" s="186"/>
      <c r="AA661" s="187"/>
      <c r="AB661" s="187"/>
      <c r="AC661" s="187"/>
      <c r="AD661" s="186"/>
      <c r="AE661" s="186"/>
      <c r="AF661" s="67"/>
      <c r="AG661" s="67"/>
      <c r="AH661" s="67"/>
      <c r="AL661" s="186"/>
    </row>
    <row r="662">
      <c r="A662" s="185"/>
      <c r="B662" s="67"/>
      <c r="C662" s="67"/>
      <c r="D662" s="67"/>
      <c r="E662" s="186"/>
      <c r="F662" s="186"/>
      <c r="G662" s="186"/>
      <c r="H662" s="186"/>
      <c r="I662" s="186"/>
      <c r="J662" s="186"/>
      <c r="K662" s="186"/>
      <c r="L662" s="186"/>
      <c r="M662" s="186"/>
      <c r="N662" s="186"/>
      <c r="O662" s="186"/>
      <c r="P662" s="186"/>
      <c r="Q662" s="186"/>
      <c r="R662" s="186"/>
      <c r="S662" s="186"/>
      <c r="T662" s="186"/>
      <c r="U662" s="186"/>
      <c r="V662" s="67"/>
      <c r="W662" s="67"/>
      <c r="X662" s="67"/>
      <c r="Y662" s="187"/>
      <c r="Z662" s="186"/>
      <c r="AA662" s="187"/>
      <c r="AB662" s="187"/>
      <c r="AC662" s="187"/>
      <c r="AD662" s="186"/>
      <c r="AE662" s="186"/>
      <c r="AF662" s="67"/>
      <c r="AG662" s="67"/>
      <c r="AH662" s="67"/>
      <c r="AL662" s="186"/>
    </row>
    <row r="663">
      <c r="A663" s="185"/>
      <c r="B663" s="67"/>
      <c r="C663" s="67"/>
      <c r="D663" s="67"/>
      <c r="E663" s="186"/>
      <c r="F663" s="186"/>
      <c r="G663" s="186"/>
      <c r="H663" s="186"/>
      <c r="I663" s="186"/>
      <c r="J663" s="186"/>
      <c r="K663" s="186"/>
      <c r="L663" s="186"/>
      <c r="M663" s="186"/>
      <c r="N663" s="186"/>
      <c r="O663" s="186"/>
      <c r="P663" s="186"/>
      <c r="Q663" s="186"/>
      <c r="R663" s="186"/>
      <c r="S663" s="186"/>
      <c r="T663" s="186"/>
      <c r="U663" s="186"/>
      <c r="V663" s="67"/>
      <c r="W663" s="67"/>
      <c r="X663" s="67"/>
      <c r="Y663" s="187"/>
      <c r="Z663" s="186"/>
      <c r="AA663" s="187"/>
      <c r="AB663" s="187"/>
      <c r="AC663" s="187"/>
      <c r="AD663" s="186"/>
      <c r="AE663" s="186"/>
      <c r="AF663" s="67"/>
      <c r="AG663" s="67"/>
      <c r="AH663" s="67"/>
      <c r="AL663" s="186"/>
    </row>
    <row r="664">
      <c r="A664" s="185"/>
      <c r="B664" s="67"/>
      <c r="C664" s="67"/>
      <c r="D664" s="67"/>
      <c r="E664" s="186"/>
      <c r="F664" s="186"/>
      <c r="G664" s="186"/>
      <c r="H664" s="186"/>
      <c r="I664" s="186"/>
      <c r="J664" s="186"/>
      <c r="K664" s="186"/>
      <c r="L664" s="186"/>
      <c r="M664" s="186"/>
      <c r="N664" s="186"/>
      <c r="O664" s="186"/>
      <c r="P664" s="186"/>
      <c r="Q664" s="186"/>
      <c r="R664" s="186"/>
      <c r="S664" s="186"/>
      <c r="T664" s="186"/>
      <c r="U664" s="186"/>
      <c r="V664" s="67"/>
      <c r="W664" s="67"/>
      <c r="X664" s="67"/>
      <c r="Y664" s="187"/>
      <c r="Z664" s="186"/>
      <c r="AA664" s="187"/>
      <c r="AB664" s="187"/>
      <c r="AC664" s="187"/>
      <c r="AD664" s="186"/>
      <c r="AE664" s="186"/>
      <c r="AF664" s="67"/>
      <c r="AG664" s="67"/>
      <c r="AH664" s="67"/>
      <c r="AL664" s="186"/>
    </row>
    <row r="665">
      <c r="A665" s="185"/>
      <c r="B665" s="67"/>
      <c r="C665" s="67"/>
      <c r="D665" s="67"/>
      <c r="E665" s="186"/>
      <c r="F665" s="186"/>
      <c r="G665" s="186"/>
      <c r="H665" s="186"/>
      <c r="I665" s="186"/>
      <c r="J665" s="186"/>
      <c r="K665" s="186"/>
      <c r="L665" s="186"/>
      <c r="M665" s="186"/>
      <c r="N665" s="186"/>
      <c r="O665" s="186"/>
      <c r="P665" s="186"/>
      <c r="Q665" s="186"/>
      <c r="R665" s="186"/>
      <c r="S665" s="186"/>
      <c r="T665" s="186"/>
      <c r="U665" s="186"/>
      <c r="V665" s="67"/>
      <c r="W665" s="67"/>
      <c r="X665" s="67"/>
      <c r="Y665" s="187"/>
      <c r="Z665" s="186"/>
      <c r="AA665" s="187"/>
      <c r="AB665" s="187"/>
      <c r="AC665" s="187"/>
      <c r="AD665" s="186"/>
      <c r="AE665" s="186"/>
      <c r="AF665" s="67"/>
      <c r="AG665" s="67"/>
      <c r="AH665" s="67"/>
      <c r="AL665" s="186"/>
    </row>
    <row r="666">
      <c r="A666" s="185"/>
      <c r="B666" s="67"/>
      <c r="C666" s="67"/>
      <c r="D666" s="67"/>
      <c r="E666" s="186"/>
      <c r="F666" s="186"/>
      <c r="G666" s="186"/>
      <c r="H666" s="186"/>
      <c r="I666" s="186"/>
      <c r="J666" s="186"/>
      <c r="K666" s="186"/>
      <c r="L666" s="186"/>
      <c r="M666" s="186"/>
      <c r="N666" s="186"/>
      <c r="O666" s="186"/>
      <c r="P666" s="186"/>
      <c r="Q666" s="186"/>
      <c r="R666" s="186"/>
      <c r="S666" s="186"/>
      <c r="T666" s="186"/>
      <c r="U666" s="186"/>
      <c r="V666" s="67"/>
      <c r="W666" s="67"/>
      <c r="X666" s="67"/>
      <c r="Y666" s="187"/>
      <c r="Z666" s="186"/>
      <c r="AA666" s="187"/>
      <c r="AB666" s="187"/>
      <c r="AC666" s="187"/>
      <c r="AD666" s="186"/>
      <c r="AE666" s="186"/>
      <c r="AF666" s="67"/>
      <c r="AG666" s="67"/>
      <c r="AH666" s="67"/>
      <c r="AL666" s="186"/>
    </row>
    <row r="667">
      <c r="A667" s="185"/>
      <c r="B667" s="67"/>
      <c r="C667" s="67"/>
      <c r="D667" s="67"/>
      <c r="E667" s="186"/>
      <c r="F667" s="186"/>
      <c r="G667" s="186"/>
      <c r="H667" s="186"/>
      <c r="I667" s="186"/>
      <c r="J667" s="186"/>
      <c r="K667" s="186"/>
      <c r="L667" s="186"/>
      <c r="M667" s="186"/>
      <c r="N667" s="186"/>
      <c r="O667" s="186"/>
      <c r="P667" s="186"/>
      <c r="Q667" s="186"/>
      <c r="R667" s="186"/>
      <c r="S667" s="186"/>
      <c r="T667" s="186"/>
      <c r="U667" s="186"/>
      <c r="V667" s="67"/>
      <c r="W667" s="67"/>
      <c r="X667" s="67"/>
      <c r="Y667" s="187"/>
      <c r="Z667" s="186"/>
      <c r="AA667" s="187"/>
      <c r="AB667" s="187"/>
      <c r="AC667" s="187"/>
      <c r="AD667" s="186"/>
      <c r="AE667" s="186"/>
      <c r="AF667" s="67"/>
      <c r="AG667" s="67"/>
      <c r="AH667" s="67"/>
      <c r="AL667" s="186"/>
    </row>
    <row r="668">
      <c r="A668" s="185"/>
      <c r="B668" s="67"/>
      <c r="C668" s="67"/>
      <c r="D668" s="67"/>
      <c r="E668" s="186"/>
      <c r="F668" s="186"/>
      <c r="G668" s="186"/>
      <c r="H668" s="186"/>
      <c r="I668" s="186"/>
      <c r="J668" s="186"/>
      <c r="K668" s="186"/>
      <c r="L668" s="186"/>
      <c r="M668" s="186"/>
      <c r="N668" s="186"/>
      <c r="O668" s="186"/>
      <c r="P668" s="186"/>
      <c r="Q668" s="186"/>
      <c r="R668" s="186"/>
      <c r="S668" s="186"/>
      <c r="T668" s="186"/>
      <c r="U668" s="186"/>
      <c r="V668" s="67"/>
      <c r="W668" s="67"/>
      <c r="X668" s="67"/>
      <c r="Y668" s="187"/>
      <c r="Z668" s="186"/>
      <c r="AA668" s="187"/>
      <c r="AB668" s="187"/>
      <c r="AC668" s="187"/>
      <c r="AD668" s="186"/>
      <c r="AE668" s="186"/>
      <c r="AF668" s="67"/>
      <c r="AG668" s="67"/>
      <c r="AH668" s="67"/>
      <c r="AL668" s="186"/>
    </row>
    <row r="669">
      <c r="A669" s="185"/>
      <c r="B669" s="67"/>
      <c r="C669" s="67"/>
      <c r="D669" s="67"/>
      <c r="E669" s="186"/>
      <c r="F669" s="186"/>
      <c r="G669" s="186"/>
      <c r="H669" s="186"/>
      <c r="I669" s="186"/>
      <c r="J669" s="186"/>
      <c r="K669" s="186"/>
      <c r="L669" s="186"/>
      <c r="M669" s="186"/>
      <c r="N669" s="186"/>
      <c r="O669" s="186"/>
      <c r="P669" s="186"/>
      <c r="Q669" s="186"/>
      <c r="R669" s="186"/>
      <c r="S669" s="186"/>
      <c r="T669" s="186"/>
      <c r="U669" s="186"/>
      <c r="V669" s="67"/>
      <c r="W669" s="67"/>
      <c r="X669" s="67"/>
      <c r="Y669" s="187"/>
      <c r="Z669" s="186"/>
      <c r="AA669" s="187"/>
      <c r="AB669" s="187"/>
      <c r="AC669" s="187"/>
      <c r="AD669" s="186"/>
      <c r="AE669" s="186"/>
      <c r="AF669" s="67"/>
      <c r="AG669" s="67"/>
      <c r="AH669" s="67"/>
      <c r="AL669" s="186"/>
    </row>
    <row r="670">
      <c r="A670" s="185"/>
      <c r="B670" s="67"/>
      <c r="C670" s="67"/>
      <c r="D670" s="67"/>
      <c r="E670" s="186"/>
      <c r="F670" s="186"/>
      <c r="G670" s="186"/>
      <c r="H670" s="186"/>
      <c r="I670" s="186"/>
      <c r="J670" s="186"/>
      <c r="K670" s="186"/>
      <c r="L670" s="186"/>
      <c r="M670" s="186"/>
      <c r="N670" s="186"/>
      <c r="O670" s="186"/>
      <c r="P670" s="186"/>
      <c r="Q670" s="186"/>
      <c r="R670" s="186"/>
      <c r="S670" s="186"/>
      <c r="T670" s="186"/>
      <c r="U670" s="186"/>
      <c r="V670" s="67"/>
      <c r="W670" s="67"/>
      <c r="X670" s="67"/>
      <c r="Y670" s="187"/>
      <c r="Z670" s="186"/>
      <c r="AA670" s="187"/>
      <c r="AB670" s="187"/>
      <c r="AC670" s="187"/>
      <c r="AD670" s="186"/>
      <c r="AE670" s="186"/>
      <c r="AF670" s="67"/>
      <c r="AG670" s="67"/>
      <c r="AH670" s="67"/>
      <c r="AL670" s="186"/>
    </row>
    <row r="671">
      <c r="A671" s="185"/>
      <c r="B671" s="67"/>
      <c r="C671" s="67"/>
      <c r="D671" s="67"/>
      <c r="E671" s="186"/>
      <c r="F671" s="186"/>
      <c r="G671" s="186"/>
      <c r="H671" s="186"/>
      <c r="I671" s="186"/>
      <c r="J671" s="186"/>
      <c r="K671" s="186"/>
      <c r="L671" s="186"/>
      <c r="M671" s="186"/>
      <c r="N671" s="186"/>
      <c r="O671" s="186"/>
      <c r="P671" s="186"/>
      <c r="Q671" s="186"/>
      <c r="R671" s="186"/>
      <c r="S671" s="186"/>
      <c r="T671" s="186"/>
      <c r="U671" s="186"/>
      <c r="V671" s="67"/>
      <c r="W671" s="67"/>
      <c r="X671" s="67"/>
      <c r="Y671" s="187"/>
      <c r="Z671" s="186"/>
      <c r="AA671" s="187"/>
      <c r="AB671" s="187"/>
      <c r="AC671" s="187"/>
      <c r="AD671" s="186"/>
      <c r="AE671" s="186"/>
      <c r="AF671" s="67"/>
      <c r="AG671" s="67"/>
      <c r="AH671" s="67"/>
      <c r="AL671" s="186"/>
    </row>
    <row r="672">
      <c r="A672" s="185"/>
      <c r="B672" s="67"/>
      <c r="C672" s="67"/>
      <c r="D672" s="67"/>
      <c r="E672" s="186"/>
      <c r="F672" s="186"/>
      <c r="G672" s="186"/>
      <c r="H672" s="186"/>
      <c r="I672" s="186"/>
      <c r="J672" s="186"/>
      <c r="K672" s="186"/>
      <c r="L672" s="186"/>
      <c r="M672" s="186"/>
      <c r="N672" s="186"/>
      <c r="O672" s="186"/>
      <c r="P672" s="186"/>
      <c r="Q672" s="186"/>
      <c r="R672" s="186"/>
      <c r="S672" s="186"/>
      <c r="T672" s="186"/>
      <c r="U672" s="186"/>
      <c r="V672" s="67"/>
      <c r="W672" s="67"/>
      <c r="X672" s="67"/>
      <c r="Y672" s="187"/>
      <c r="Z672" s="186"/>
      <c r="AA672" s="187"/>
      <c r="AB672" s="187"/>
      <c r="AC672" s="187"/>
      <c r="AD672" s="186"/>
      <c r="AE672" s="186"/>
      <c r="AF672" s="67"/>
      <c r="AG672" s="67"/>
      <c r="AH672" s="67"/>
      <c r="AL672" s="186"/>
    </row>
    <row r="673">
      <c r="A673" s="185"/>
      <c r="B673" s="67"/>
      <c r="C673" s="67"/>
      <c r="D673" s="67"/>
      <c r="E673" s="186"/>
      <c r="F673" s="186"/>
      <c r="G673" s="186"/>
      <c r="H673" s="186"/>
      <c r="I673" s="186"/>
      <c r="J673" s="186"/>
      <c r="K673" s="186"/>
      <c r="L673" s="186"/>
      <c r="M673" s="186"/>
      <c r="N673" s="186"/>
      <c r="O673" s="186"/>
      <c r="P673" s="186"/>
      <c r="Q673" s="186"/>
      <c r="R673" s="186"/>
      <c r="S673" s="186"/>
      <c r="T673" s="186"/>
      <c r="U673" s="186"/>
      <c r="V673" s="67"/>
      <c r="W673" s="67"/>
      <c r="X673" s="67"/>
      <c r="Y673" s="187"/>
      <c r="Z673" s="186"/>
      <c r="AA673" s="187"/>
      <c r="AB673" s="187"/>
      <c r="AC673" s="187"/>
      <c r="AD673" s="186"/>
      <c r="AE673" s="186"/>
      <c r="AF673" s="67"/>
      <c r="AG673" s="67"/>
      <c r="AH673" s="67"/>
      <c r="AL673" s="186"/>
    </row>
    <row r="674">
      <c r="A674" s="185"/>
      <c r="B674" s="67"/>
      <c r="C674" s="67"/>
      <c r="D674" s="67"/>
      <c r="E674" s="186"/>
      <c r="F674" s="186"/>
      <c r="G674" s="186"/>
      <c r="H674" s="186"/>
      <c r="I674" s="186"/>
      <c r="J674" s="186"/>
      <c r="K674" s="186"/>
      <c r="L674" s="186"/>
      <c r="M674" s="186"/>
      <c r="N674" s="186"/>
      <c r="O674" s="186"/>
      <c r="P674" s="186"/>
      <c r="Q674" s="186"/>
      <c r="R674" s="186"/>
      <c r="S674" s="186"/>
      <c r="T674" s="186"/>
      <c r="U674" s="186"/>
      <c r="V674" s="67"/>
      <c r="W674" s="67"/>
      <c r="X674" s="67"/>
      <c r="Y674" s="187"/>
      <c r="Z674" s="186"/>
      <c r="AA674" s="187"/>
      <c r="AB674" s="187"/>
      <c r="AC674" s="187"/>
      <c r="AD674" s="186"/>
      <c r="AE674" s="186"/>
      <c r="AF674" s="67"/>
      <c r="AG674" s="67"/>
      <c r="AH674" s="67"/>
      <c r="AL674" s="186"/>
    </row>
    <row r="675">
      <c r="A675" s="185"/>
      <c r="B675" s="67"/>
      <c r="C675" s="67"/>
      <c r="D675" s="67"/>
      <c r="E675" s="186"/>
      <c r="F675" s="186"/>
      <c r="G675" s="186"/>
      <c r="H675" s="186"/>
      <c r="I675" s="186"/>
      <c r="J675" s="186"/>
      <c r="K675" s="186"/>
      <c r="L675" s="186"/>
      <c r="M675" s="186"/>
      <c r="N675" s="186"/>
      <c r="O675" s="186"/>
      <c r="P675" s="186"/>
      <c r="Q675" s="186"/>
      <c r="R675" s="186"/>
      <c r="S675" s="186"/>
      <c r="T675" s="186"/>
      <c r="U675" s="186"/>
      <c r="V675" s="67"/>
      <c r="W675" s="67"/>
      <c r="X675" s="67"/>
      <c r="Y675" s="187"/>
      <c r="Z675" s="186"/>
      <c r="AA675" s="187"/>
      <c r="AB675" s="187"/>
      <c r="AC675" s="187"/>
      <c r="AD675" s="186"/>
      <c r="AE675" s="186"/>
      <c r="AF675" s="67"/>
      <c r="AG675" s="67"/>
      <c r="AH675" s="67"/>
      <c r="AL675" s="186"/>
    </row>
    <row r="676">
      <c r="A676" s="185"/>
      <c r="B676" s="67"/>
      <c r="C676" s="67"/>
      <c r="D676" s="67"/>
      <c r="E676" s="186"/>
      <c r="F676" s="186"/>
      <c r="G676" s="186"/>
      <c r="H676" s="186"/>
      <c r="I676" s="186"/>
      <c r="J676" s="186"/>
      <c r="K676" s="186"/>
      <c r="L676" s="186"/>
      <c r="M676" s="186"/>
      <c r="N676" s="186"/>
      <c r="O676" s="186"/>
      <c r="P676" s="186"/>
      <c r="Q676" s="186"/>
      <c r="R676" s="186"/>
      <c r="S676" s="186"/>
      <c r="T676" s="186"/>
      <c r="U676" s="186"/>
      <c r="V676" s="67"/>
      <c r="W676" s="67"/>
      <c r="X676" s="67"/>
      <c r="Y676" s="187"/>
      <c r="Z676" s="186"/>
      <c r="AA676" s="187"/>
      <c r="AB676" s="187"/>
      <c r="AC676" s="187"/>
      <c r="AD676" s="186"/>
      <c r="AE676" s="186"/>
      <c r="AF676" s="67"/>
      <c r="AG676" s="67"/>
      <c r="AH676" s="67"/>
      <c r="AL676" s="186"/>
    </row>
    <row r="677">
      <c r="A677" s="185"/>
      <c r="B677" s="67"/>
      <c r="C677" s="67"/>
      <c r="D677" s="67"/>
      <c r="E677" s="186"/>
      <c r="F677" s="186"/>
      <c r="G677" s="186"/>
      <c r="H677" s="186"/>
      <c r="I677" s="186"/>
      <c r="J677" s="186"/>
      <c r="K677" s="186"/>
      <c r="L677" s="186"/>
      <c r="M677" s="186"/>
      <c r="N677" s="186"/>
      <c r="O677" s="186"/>
      <c r="P677" s="186"/>
      <c r="Q677" s="186"/>
      <c r="R677" s="186"/>
      <c r="S677" s="186"/>
      <c r="T677" s="186"/>
      <c r="U677" s="186"/>
      <c r="V677" s="67"/>
      <c r="W677" s="67"/>
      <c r="X677" s="67"/>
      <c r="Y677" s="187"/>
      <c r="Z677" s="186"/>
      <c r="AA677" s="187"/>
      <c r="AB677" s="187"/>
      <c r="AC677" s="187"/>
      <c r="AD677" s="186"/>
      <c r="AE677" s="186"/>
      <c r="AF677" s="67"/>
      <c r="AG677" s="67"/>
      <c r="AH677" s="67"/>
      <c r="AL677" s="186"/>
    </row>
    <row r="678">
      <c r="A678" s="185"/>
      <c r="B678" s="67"/>
      <c r="C678" s="67"/>
      <c r="D678" s="67"/>
      <c r="E678" s="186"/>
      <c r="F678" s="186"/>
      <c r="G678" s="186"/>
      <c r="H678" s="186"/>
      <c r="I678" s="186"/>
      <c r="J678" s="186"/>
      <c r="K678" s="186"/>
      <c r="L678" s="186"/>
      <c r="M678" s="186"/>
      <c r="N678" s="186"/>
      <c r="O678" s="186"/>
      <c r="P678" s="186"/>
      <c r="Q678" s="186"/>
      <c r="R678" s="186"/>
      <c r="S678" s="186"/>
      <c r="T678" s="186"/>
      <c r="U678" s="186"/>
      <c r="V678" s="67"/>
      <c r="W678" s="67"/>
      <c r="X678" s="67"/>
      <c r="Y678" s="187"/>
      <c r="Z678" s="186"/>
      <c r="AA678" s="187"/>
      <c r="AB678" s="187"/>
      <c r="AC678" s="187"/>
      <c r="AD678" s="186"/>
      <c r="AE678" s="186"/>
      <c r="AF678" s="67"/>
      <c r="AG678" s="67"/>
      <c r="AH678" s="67"/>
      <c r="AL678" s="186"/>
    </row>
    <row r="679">
      <c r="A679" s="185"/>
      <c r="B679" s="67"/>
      <c r="C679" s="67"/>
      <c r="D679" s="67"/>
      <c r="E679" s="186"/>
      <c r="F679" s="186"/>
      <c r="G679" s="186"/>
      <c r="H679" s="186"/>
      <c r="I679" s="186"/>
      <c r="J679" s="186"/>
      <c r="K679" s="186"/>
      <c r="L679" s="186"/>
      <c r="M679" s="186"/>
      <c r="N679" s="186"/>
      <c r="O679" s="186"/>
      <c r="P679" s="186"/>
      <c r="Q679" s="186"/>
      <c r="R679" s="186"/>
      <c r="S679" s="186"/>
      <c r="T679" s="186"/>
      <c r="U679" s="186"/>
      <c r="V679" s="67"/>
      <c r="W679" s="67"/>
      <c r="X679" s="67"/>
      <c r="Y679" s="187"/>
      <c r="Z679" s="186"/>
      <c r="AA679" s="187"/>
      <c r="AB679" s="187"/>
      <c r="AC679" s="187"/>
      <c r="AD679" s="186"/>
      <c r="AE679" s="186"/>
      <c r="AF679" s="67"/>
      <c r="AG679" s="67"/>
      <c r="AH679" s="67"/>
      <c r="AL679" s="186"/>
    </row>
    <row r="680">
      <c r="A680" s="185"/>
      <c r="B680" s="67"/>
      <c r="C680" s="67"/>
      <c r="D680" s="67"/>
      <c r="E680" s="186"/>
      <c r="F680" s="186"/>
      <c r="G680" s="186"/>
      <c r="H680" s="186"/>
      <c r="I680" s="186"/>
      <c r="J680" s="186"/>
      <c r="K680" s="186"/>
      <c r="L680" s="186"/>
      <c r="M680" s="186"/>
      <c r="N680" s="186"/>
      <c r="O680" s="186"/>
      <c r="P680" s="186"/>
      <c r="Q680" s="186"/>
      <c r="R680" s="186"/>
      <c r="S680" s="186"/>
      <c r="T680" s="186"/>
      <c r="U680" s="186"/>
      <c r="V680" s="67"/>
      <c r="W680" s="67"/>
      <c r="X680" s="67"/>
      <c r="Y680" s="187"/>
      <c r="Z680" s="186"/>
      <c r="AA680" s="187"/>
      <c r="AB680" s="187"/>
      <c r="AC680" s="187"/>
      <c r="AD680" s="186"/>
      <c r="AE680" s="186"/>
      <c r="AF680" s="67"/>
      <c r="AG680" s="67"/>
      <c r="AH680" s="67"/>
      <c r="AL680" s="186"/>
    </row>
    <row r="681">
      <c r="A681" s="185"/>
      <c r="B681" s="67"/>
      <c r="C681" s="67"/>
      <c r="D681" s="67"/>
      <c r="E681" s="186"/>
      <c r="F681" s="186"/>
      <c r="G681" s="186"/>
      <c r="H681" s="186"/>
      <c r="I681" s="186"/>
      <c r="J681" s="186"/>
      <c r="K681" s="186"/>
      <c r="L681" s="186"/>
      <c r="M681" s="186"/>
      <c r="N681" s="186"/>
      <c r="O681" s="186"/>
      <c r="P681" s="186"/>
      <c r="Q681" s="186"/>
      <c r="R681" s="186"/>
      <c r="S681" s="186"/>
      <c r="T681" s="186"/>
      <c r="U681" s="186"/>
      <c r="V681" s="67"/>
      <c r="W681" s="67"/>
      <c r="X681" s="67"/>
      <c r="Y681" s="187"/>
      <c r="Z681" s="186"/>
      <c r="AA681" s="187"/>
      <c r="AB681" s="187"/>
      <c r="AC681" s="187"/>
      <c r="AD681" s="186"/>
      <c r="AE681" s="186"/>
      <c r="AF681" s="67"/>
      <c r="AG681" s="67"/>
      <c r="AH681" s="67"/>
      <c r="AL681" s="186"/>
    </row>
    <row r="682">
      <c r="A682" s="185"/>
      <c r="B682" s="67"/>
      <c r="C682" s="67"/>
      <c r="D682" s="67"/>
      <c r="E682" s="186"/>
      <c r="F682" s="186"/>
      <c r="G682" s="186"/>
      <c r="H682" s="186"/>
      <c r="I682" s="186"/>
      <c r="J682" s="186"/>
      <c r="K682" s="186"/>
      <c r="L682" s="186"/>
      <c r="M682" s="186"/>
      <c r="N682" s="186"/>
      <c r="O682" s="186"/>
      <c r="P682" s="186"/>
      <c r="Q682" s="186"/>
      <c r="R682" s="186"/>
      <c r="S682" s="186"/>
      <c r="T682" s="186"/>
      <c r="U682" s="186"/>
      <c r="V682" s="67"/>
      <c r="W682" s="67"/>
      <c r="X682" s="67"/>
      <c r="Y682" s="187"/>
      <c r="Z682" s="186"/>
      <c r="AA682" s="187"/>
      <c r="AB682" s="187"/>
      <c r="AC682" s="187"/>
      <c r="AD682" s="186"/>
      <c r="AE682" s="186"/>
      <c r="AF682" s="67"/>
      <c r="AG682" s="67"/>
      <c r="AH682" s="67"/>
      <c r="AL682" s="186"/>
    </row>
    <row r="683">
      <c r="A683" s="185"/>
      <c r="B683" s="67"/>
      <c r="C683" s="67"/>
      <c r="D683" s="67"/>
      <c r="E683" s="186"/>
      <c r="F683" s="186"/>
      <c r="G683" s="186"/>
      <c r="H683" s="186"/>
      <c r="I683" s="186"/>
      <c r="J683" s="186"/>
      <c r="K683" s="186"/>
      <c r="L683" s="186"/>
      <c r="M683" s="186"/>
      <c r="N683" s="186"/>
      <c r="O683" s="186"/>
      <c r="P683" s="186"/>
      <c r="Q683" s="186"/>
      <c r="R683" s="186"/>
      <c r="S683" s="186"/>
      <c r="T683" s="186"/>
      <c r="U683" s="186"/>
      <c r="V683" s="67"/>
      <c r="W683" s="67"/>
      <c r="X683" s="67"/>
      <c r="Y683" s="187"/>
      <c r="Z683" s="186"/>
      <c r="AA683" s="187"/>
      <c r="AB683" s="187"/>
      <c r="AC683" s="187"/>
      <c r="AD683" s="186"/>
      <c r="AE683" s="186"/>
      <c r="AF683" s="67"/>
      <c r="AG683" s="67"/>
      <c r="AH683" s="67"/>
      <c r="AL683" s="186"/>
    </row>
    <row r="684">
      <c r="A684" s="185"/>
      <c r="B684" s="67"/>
      <c r="C684" s="67"/>
      <c r="D684" s="67"/>
      <c r="E684" s="186"/>
      <c r="F684" s="186"/>
      <c r="G684" s="186"/>
      <c r="H684" s="186"/>
      <c r="I684" s="186"/>
      <c r="J684" s="186"/>
      <c r="K684" s="186"/>
      <c r="L684" s="186"/>
      <c r="M684" s="186"/>
      <c r="N684" s="186"/>
      <c r="O684" s="186"/>
      <c r="P684" s="186"/>
      <c r="Q684" s="186"/>
      <c r="R684" s="186"/>
      <c r="S684" s="186"/>
      <c r="T684" s="186"/>
      <c r="U684" s="186"/>
      <c r="V684" s="67"/>
      <c r="W684" s="67"/>
      <c r="X684" s="67"/>
      <c r="Y684" s="187"/>
      <c r="Z684" s="186"/>
      <c r="AA684" s="187"/>
      <c r="AB684" s="187"/>
      <c r="AC684" s="187"/>
      <c r="AD684" s="186"/>
      <c r="AE684" s="186"/>
      <c r="AF684" s="67"/>
      <c r="AG684" s="67"/>
      <c r="AH684" s="67"/>
      <c r="AL684" s="186"/>
    </row>
    <row r="685">
      <c r="A685" s="185"/>
      <c r="B685" s="67"/>
      <c r="C685" s="67"/>
      <c r="D685" s="67"/>
      <c r="E685" s="186"/>
      <c r="F685" s="186"/>
      <c r="G685" s="186"/>
      <c r="H685" s="186"/>
      <c r="I685" s="186"/>
      <c r="J685" s="186"/>
      <c r="K685" s="186"/>
      <c r="L685" s="186"/>
      <c r="M685" s="186"/>
      <c r="N685" s="186"/>
      <c r="O685" s="186"/>
      <c r="P685" s="186"/>
      <c r="Q685" s="186"/>
      <c r="R685" s="186"/>
      <c r="S685" s="186"/>
      <c r="T685" s="186"/>
      <c r="U685" s="186"/>
      <c r="V685" s="67"/>
      <c r="W685" s="67"/>
      <c r="X685" s="67"/>
      <c r="Y685" s="187"/>
      <c r="Z685" s="186"/>
      <c r="AA685" s="187"/>
      <c r="AB685" s="187"/>
      <c r="AC685" s="187"/>
      <c r="AD685" s="186"/>
      <c r="AE685" s="186"/>
      <c r="AF685" s="67"/>
      <c r="AG685" s="67"/>
      <c r="AH685" s="67"/>
      <c r="AL685" s="186"/>
    </row>
    <row r="686">
      <c r="A686" s="185"/>
      <c r="B686" s="67"/>
      <c r="C686" s="67"/>
      <c r="D686" s="67"/>
      <c r="E686" s="186"/>
      <c r="F686" s="186"/>
      <c r="G686" s="186"/>
      <c r="H686" s="186"/>
      <c r="I686" s="186"/>
      <c r="J686" s="186"/>
      <c r="K686" s="186"/>
      <c r="L686" s="186"/>
      <c r="M686" s="186"/>
      <c r="N686" s="186"/>
      <c r="O686" s="186"/>
      <c r="P686" s="186"/>
      <c r="Q686" s="186"/>
      <c r="R686" s="186"/>
      <c r="S686" s="186"/>
      <c r="T686" s="186"/>
      <c r="U686" s="186"/>
      <c r="V686" s="67"/>
      <c r="W686" s="67"/>
      <c r="X686" s="67"/>
      <c r="Y686" s="187"/>
      <c r="Z686" s="186"/>
      <c r="AA686" s="187"/>
      <c r="AB686" s="187"/>
      <c r="AC686" s="187"/>
      <c r="AD686" s="186"/>
      <c r="AE686" s="186"/>
      <c r="AF686" s="67"/>
      <c r="AG686" s="67"/>
      <c r="AH686" s="67"/>
      <c r="AL686" s="186"/>
    </row>
    <row r="687">
      <c r="A687" s="185"/>
      <c r="B687" s="67"/>
      <c r="C687" s="67"/>
      <c r="D687" s="67"/>
      <c r="E687" s="186"/>
      <c r="F687" s="186"/>
      <c r="G687" s="186"/>
      <c r="H687" s="186"/>
      <c r="I687" s="186"/>
      <c r="J687" s="186"/>
      <c r="K687" s="186"/>
      <c r="L687" s="186"/>
      <c r="M687" s="186"/>
      <c r="N687" s="186"/>
      <c r="O687" s="186"/>
      <c r="P687" s="186"/>
      <c r="Q687" s="186"/>
      <c r="R687" s="186"/>
      <c r="S687" s="186"/>
      <c r="T687" s="186"/>
      <c r="U687" s="186"/>
      <c r="V687" s="67"/>
      <c r="W687" s="67"/>
      <c r="X687" s="67"/>
      <c r="Y687" s="187"/>
      <c r="Z687" s="186"/>
      <c r="AA687" s="187"/>
      <c r="AB687" s="187"/>
      <c r="AC687" s="187"/>
      <c r="AD687" s="186"/>
      <c r="AE687" s="186"/>
      <c r="AF687" s="67"/>
      <c r="AG687" s="67"/>
      <c r="AH687" s="67"/>
      <c r="AL687" s="186"/>
    </row>
    <row r="688">
      <c r="A688" s="185"/>
      <c r="B688" s="67"/>
      <c r="C688" s="67"/>
      <c r="D688" s="67"/>
      <c r="E688" s="186"/>
      <c r="F688" s="186"/>
      <c r="G688" s="186"/>
      <c r="H688" s="186"/>
      <c r="I688" s="186"/>
      <c r="J688" s="186"/>
      <c r="K688" s="186"/>
      <c r="L688" s="186"/>
      <c r="M688" s="186"/>
      <c r="N688" s="186"/>
      <c r="O688" s="186"/>
      <c r="P688" s="186"/>
      <c r="Q688" s="186"/>
      <c r="R688" s="186"/>
      <c r="S688" s="186"/>
      <c r="T688" s="186"/>
      <c r="U688" s="186"/>
      <c r="V688" s="67"/>
      <c r="W688" s="67"/>
      <c r="X688" s="67"/>
      <c r="Y688" s="187"/>
      <c r="Z688" s="186"/>
      <c r="AA688" s="187"/>
      <c r="AB688" s="187"/>
      <c r="AC688" s="187"/>
      <c r="AD688" s="186"/>
      <c r="AE688" s="186"/>
      <c r="AF688" s="67"/>
      <c r="AG688" s="67"/>
      <c r="AH688" s="67"/>
      <c r="AL688" s="186"/>
    </row>
    <row r="689">
      <c r="A689" s="185"/>
      <c r="B689" s="67"/>
      <c r="C689" s="67"/>
      <c r="D689" s="67"/>
      <c r="E689" s="186"/>
      <c r="F689" s="186"/>
      <c r="G689" s="186"/>
      <c r="H689" s="186"/>
      <c r="I689" s="186"/>
      <c r="J689" s="186"/>
      <c r="K689" s="186"/>
      <c r="L689" s="186"/>
      <c r="M689" s="186"/>
      <c r="N689" s="186"/>
      <c r="O689" s="186"/>
      <c r="P689" s="186"/>
      <c r="Q689" s="186"/>
      <c r="R689" s="186"/>
      <c r="S689" s="186"/>
      <c r="T689" s="186"/>
      <c r="U689" s="186"/>
      <c r="V689" s="67"/>
      <c r="W689" s="67"/>
      <c r="X689" s="67"/>
      <c r="Y689" s="187"/>
      <c r="Z689" s="186"/>
      <c r="AA689" s="187"/>
      <c r="AB689" s="187"/>
      <c r="AC689" s="187"/>
      <c r="AD689" s="186"/>
      <c r="AE689" s="186"/>
      <c r="AF689" s="67"/>
      <c r="AG689" s="67"/>
      <c r="AH689" s="67"/>
      <c r="AL689" s="186"/>
    </row>
    <row r="690">
      <c r="A690" s="185"/>
      <c r="B690" s="67"/>
      <c r="C690" s="67"/>
      <c r="D690" s="67"/>
      <c r="E690" s="186"/>
      <c r="F690" s="186"/>
      <c r="G690" s="186"/>
      <c r="H690" s="186"/>
      <c r="I690" s="186"/>
      <c r="J690" s="186"/>
      <c r="K690" s="186"/>
      <c r="L690" s="186"/>
      <c r="M690" s="186"/>
      <c r="N690" s="186"/>
      <c r="O690" s="186"/>
      <c r="P690" s="186"/>
      <c r="Q690" s="186"/>
      <c r="R690" s="186"/>
      <c r="S690" s="186"/>
      <c r="T690" s="186"/>
      <c r="U690" s="186"/>
      <c r="V690" s="67"/>
      <c r="W690" s="67"/>
      <c r="X690" s="67"/>
      <c r="Y690" s="187"/>
      <c r="Z690" s="186"/>
      <c r="AA690" s="187"/>
      <c r="AB690" s="187"/>
      <c r="AC690" s="187"/>
      <c r="AD690" s="186"/>
      <c r="AE690" s="186"/>
      <c r="AF690" s="67"/>
      <c r="AG690" s="67"/>
      <c r="AH690" s="67"/>
      <c r="AL690" s="186"/>
    </row>
    <row r="691">
      <c r="A691" s="185"/>
      <c r="B691" s="67"/>
      <c r="C691" s="67"/>
      <c r="D691" s="67"/>
      <c r="E691" s="186"/>
      <c r="F691" s="186"/>
      <c r="G691" s="186"/>
      <c r="H691" s="186"/>
      <c r="I691" s="186"/>
      <c r="J691" s="186"/>
      <c r="K691" s="186"/>
      <c r="L691" s="186"/>
      <c r="M691" s="186"/>
      <c r="N691" s="186"/>
      <c r="O691" s="186"/>
      <c r="P691" s="186"/>
      <c r="Q691" s="186"/>
      <c r="R691" s="186"/>
      <c r="S691" s="186"/>
      <c r="T691" s="186"/>
      <c r="U691" s="186"/>
      <c r="V691" s="67"/>
      <c r="W691" s="67"/>
      <c r="X691" s="67"/>
      <c r="Y691" s="187"/>
      <c r="Z691" s="186"/>
      <c r="AA691" s="187"/>
      <c r="AB691" s="187"/>
      <c r="AC691" s="187"/>
      <c r="AD691" s="186"/>
      <c r="AE691" s="186"/>
      <c r="AF691" s="67"/>
      <c r="AG691" s="67"/>
      <c r="AH691" s="67"/>
      <c r="AL691" s="186"/>
    </row>
    <row r="692">
      <c r="A692" s="185"/>
      <c r="B692" s="67"/>
      <c r="C692" s="67"/>
      <c r="D692" s="67"/>
      <c r="E692" s="186"/>
      <c r="F692" s="186"/>
      <c r="G692" s="186"/>
      <c r="H692" s="186"/>
      <c r="I692" s="186"/>
      <c r="J692" s="186"/>
      <c r="K692" s="186"/>
      <c r="L692" s="186"/>
      <c r="M692" s="186"/>
      <c r="N692" s="186"/>
      <c r="O692" s="186"/>
      <c r="P692" s="186"/>
      <c r="Q692" s="186"/>
      <c r="R692" s="186"/>
      <c r="S692" s="186"/>
      <c r="T692" s="186"/>
      <c r="U692" s="186"/>
      <c r="V692" s="67"/>
      <c r="W692" s="67"/>
      <c r="X692" s="67"/>
      <c r="Y692" s="187"/>
      <c r="Z692" s="186"/>
      <c r="AA692" s="187"/>
      <c r="AB692" s="187"/>
      <c r="AC692" s="187"/>
      <c r="AD692" s="186"/>
      <c r="AE692" s="186"/>
      <c r="AF692" s="67"/>
      <c r="AG692" s="67"/>
      <c r="AH692" s="67"/>
      <c r="AL692" s="186"/>
    </row>
    <row r="693">
      <c r="A693" s="185"/>
      <c r="B693" s="67"/>
      <c r="C693" s="67"/>
      <c r="D693" s="67"/>
      <c r="E693" s="186"/>
      <c r="F693" s="186"/>
      <c r="G693" s="186"/>
      <c r="H693" s="186"/>
      <c r="I693" s="186"/>
      <c r="J693" s="186"/>
      <c r="K693" s="186"/>
      <c r="L693" s="186"/>
      <c r="M693" s="186"/>
      <c r="N693" s="186"/>
      <c r="O693" s="186"/>
      <c r="P693" s="186"/>
      <c r="Q693" s="186"/>
      <c r="R693" s="186"/>
      <c r="S693" s="186"/>
      <c r="T693" s="186"/>
      <c r="U693" s="186"/>
      <c r="V693" s="67"/>
      <c r="W693" s="67"/>
      <c r="X693" s="67"/>
      <c r="Y693" s="187"/>
      <c r="Z693" s="186"/>
      <c r="AA693" s="187"/>
      <c r="AB693" s="187"/>
      <c r="AC693" s="187"/>
      <c r="AD693" s="186"/>
      <c r="AE693" s="186"/>
      <c r="AF693" s="67"/>
      <c r="AG693" s="67"/>
      <c r="AH693" s="67"/>
      <c r="AL693" s="186"/>
    </row>
    <row r="694">
      <c r="A694" s="185"/>
      <c r="B694" s="67"/>
      <c r="C694" s="67"/>
      <c r="D694" s="67"/>
      <c r="E694" s="186"/>
      <c r="F694" s="186"/>
      <c r="G694" s="186"/>
      <c r="H694" s="186"/>
      <c r="I694" s="186"/>
      <c r="J694" s="186"/>
      <c r="K694" s="186"/>
      <c r="L694" s="186"/>
      <c r="M694" s="186"/>
      <c r="N694" s="186"/>
      <c r="O694" s="186"/>
      <c r="P694" s="186"/>
      <c r="Q694" s="186"/>
      <c r="R694" s="186"/>
      <c r="S694" s="186"/>
      <c r="T694" s="186"/>
      <c r="U694" s="186"/>
      <c r="V694" s="67"/>
      <c r="W694" s="67"/>
      <c r="X694" s="67"/>
      <c r="Y694" s="187"/>
      <c r="Z694" s="186"/>
      <c r="AA694" s="187"/>
      <c r="AB694" s="187"/>
      <c r="AC694" s="187"/>
      <c r="AD694" s="186"/>
      <c r="AE694" s="186"/>
      <c r="AF694" s="67"/>
      <c r="AG694" s="67"/>
      <c r="AH694" s="67"/>
      <c r="AL694" s="186"/>
    </row>
    <row r="695">
      <c r="A695" s="185"/>
      <c r="B695" s="67"/>
      <c r="C695" s="67"/>
      <c r="D695" s="67"/>
      <c r="E695" s="186"/>
      <c r="F695" s="186"/>
      <c r="G695" s="186"/>
      <c r="H695" s="186"/>
      <c r="I695" s="186"/>
      <c r="J695" s="186"/>
      <c r="K695" s="186"/>
      <c r="L695" s="186"/>
      <c r="M695" s="186"/>
      <c r="N695" s="186"/>
      <c r="O695" s="186"/>
      <c r="P695" s="186"/>
      <c r="Q695" s="186"/>
      <c r="R695" s="186"/>
      <c r="S695" s="186"/>
      <c r="T695" s="186"/>
      <c r="U695" s="186"/>
      <c r="V695" s="67"/>
      <c r="W695" s="67"/>
      <c r="X695" s="67"/>
      <c r="Y695" s="187"/>
      <c r="Z695" s="186"/>
      <c r="AA695" s="187"/>
      <c r="AB695" s="187"/>
      <c r="AC695" s="187"/>
      <c r="AD695" s="186"/>
      <c r="AE695" s="186"/>
      <c r="AF695" s="67"/>
      <c r="AG695" s="67"/>
      <c r="AH695" s="67"/>
      <c r="AL695" s="186"/>
    </row>
    <row r="696">
      <c r="A696" s="185"/>
      <c r="B696" s="67"/>
      <c r="C696" s="67"/>
      <c r="D696" s="67"/>
      <c r="E696" s="186"/>
      <c r="F696" s="186"/>
      <c r="G696" s="186"/>
      <c r="H696" s="186"/>
      <c r="I696" s="186"/>
      <c r="J696" s="186"/>
      <c r="K696" s="186"/>
      <c r="L696" s="186"/>
      <c r="M696" s="186"/>
      <c r="N696" s="186"/>
      <c r="O696" s="186"/>
      <c r="P696" s="186"/>
      <c r="Q696" s="186"/>
      <c r="R696" s="186"/>
      <c r="S696" s="186"/>
      <c r="T696" s="186"/>
      <c r="U696" s="186"/>
      <c r="V696" s="67"/>
      <c r="W696" s="67"/>
      <c r="X696" s="67"/>
      <c r="Y696" s="187"/>
      <c r="Z696" s="186"/>
      <c r="AA696" s="187"/>
      <c r="AB696" s="187"/>
      <c r="AC696" s="187"/>
      <c r="AD696" s="186"/>
      <c r="AE696" s="186"/>
      <c r="AF696" s="67"/>
      <c r="AG696" s="67"/>
      <c r="AH696" s="67"/>
      <c r="AL696" s="186"/>
    </row>
    <row r="697">
      <c r="A697" s="185"/>
      <c r="B697" s="67"/>
      <c r="C697" s="67"/>
      <c r="D697" s="67"/>
      <c r="E697" s="186"/>
      <c r="F697" s="186"/>
      <c r="G697" s="186"/>
      <c r="H697" s="186"/>
      <c r="I697" s="186"/>
      <c r="J697" s="186"/>
      <c r="K697" s="186"/>
      <c r="L697" s="186"/>
      <c r="M697" s="186"/>
      <c r="N697" s="186"/>
      <c r="O697" s="186"/>
      <c r="P697" s="186"/>
      <c r="Q697" s="186"/>
      <c r="R697" s="186"/>
      <c r="S697" s="186"/>
      <c r="T697" s="186"/>
      <c r="U697" s="186"/>
      <c r="V697" s="67"/>
      <c r="W697" s="67"/>
      <c r="X697" s="67"/>
      <c r="Y697" s="187"/>
      <c r="Z697" s="186"/>
      <c r="AA697" s="187"/>
      <c r="AB697" s="187"/>
      <c r="AC697" s="187"/>
      <c r="AD697" s="186"/>
      <c r="AE697" s="186"/>
      <c r="AF697" s="67"/>
      <c r="AG697" s="67"/>
      <c r="AH697" s="67"/>
      <c r="AL697" s="186"/>
    </row>
    <row r="698">
      <c r="A698" s="185"/>
      <c r="B698" s="67"/>
      <c r="C698" s="67"/>
      <c r="D698" s="67"/>
      <c r="E698" s="186"/>
      <c r="F698" s="186"/>
      <c r="G698" s="186"/>
      <c r="H698" s="186"/>
      <c r="I698" s="186"/>
      <c r="J698" s="186"/>
      <c r="K698" s="186"/>
      <c r="L698" s="186"/>
      <c r="M698" s="186"/>
      <c r="N698" s="186"/>
      <c r="O698" s="186"/>
      <c r="P698" s="186"/>
      <c r="Q698" s="186"/>
      <c r="R698" s="186"/>
      <c r="S698" s="186"/>
      <c r="T698" s="186"/>
      <c r="U698" s="186"/>
      <c r="V698" s="67"/>
      <c r="W698" s="67"/>
      <c r="X698" s="67"/>
      <c r="Y698" s="187"/>
      <c r="Z698" s="186"/>
      <c r="AA698" s="187"/>
      <c r="AB698" s="187"/>
      <c r="AC698" s="187"/>
      <c r="AD698" s="186"/>
      <c r="AE698" s="186"/>
      <c r="AF698" s="67"/>
      <c r="AG698" s="67"/>
      <c r="AH698" s="67"/>
      <c r="AL698" s="186"/>
    </row>
    <row r="699">
      <c r="A699" s="185"/>
      <c r="B699" s="67"/>
      <c r="C699" s="67"/>
      <c r="D699" s="67"/>
      <c r="E699" s="186"/>
      <c r="F699" s="186"/>
      <c r="G699" s="186"/>
      <c r="H699" s="186"/>
      <c r="I699" s="186"/>
      <c r="J699" s="186"/>
      <c r="K699" s="186"/>
      <c r="L699" s="186"/>
      <c r="M699" s="186"/>
      <c r="N699" s="186"/>
      <c r="O699" s="186"/>
      <c r="P699" s="186"/>
      <c r="Q699" s="186"/>
      <c r="R699" s="186"/>
      <c r="S699" s="186"/>
      <c r="T699" s="186"/>
      <c r="U699" s="186"/>
      <c r="V699" s="67"/>
      <c r="W699" s="67"/>
      <c r="X699" s="67"/>
      <c r="Y699" s="187"/>
      <c r="Z699" s="186"/>
      <c r="AA699" s="187"/>
      <c r="AB699" s="187"/>
      <c r="AC699" s="187"/>
      <c r="AD699" s="186"/>
      <c r="AE699" s="186"/>
      <c r="AF699" s="67"/>
      <c r="AG699" s="67"/>
      <c r="AH699" s="67"/>
      <c r="AL699" s="186"/>
    </row>
    <row r="700">
      <c r="A700" s="185"/>
      <c r="B700" s="67"/>
      <c r="C700" s="67"/>
      <c r="D700" s="67"/>
      <c r="E700" s="186"/>
      <c r="F700" s="186"/>
      <c r="G700" s="186"/>
      <c r="H700" s="186"/>
      <c r="I700" s="186"/>
      <c r="J700" s="186"/>
      <c r="K700" s="186"/>
      <c r="L700" s="186"/>
      <c r="M700" s="186"/>
      <c r="N700" s="186"/>
      <c r="O700" s="186"/>
      <c r="P700" s="186"/>
      <c r="Q700" s="186"/>
      <c r="R700" s="186"/>
      <c r="S700" s="186"/>
      <c r="T700" s="186"/>
      <c r="U700" s="186"/>
      <c r="V700" s="67"/>
      <c r="W700" s="67"/>
      <c r="X700" s="67"/>
      <c r="Y700" s="187"/>
      <c r="Z700" s="186"/>
      <c r="AA700" s="187"/>
      <c r="AB700" s="187"/>
      <c r="AC700" s="187"/>
      <c r="AD700" s="186"/>
      <c r="AE700" s="186"/>
      <c r="AF700" s="67"/>
      <c r="AG700" s="67"/>
      <c r="AH700" s="67"/>
      <c r="AL700" s="186"/>
    </row>
    <row r="701">
      <c r="A701" s="185"/>
      <c r="B701" s="67"/>
      <c r="C701" s="67"/>
      <c r="D701" s="67"/>
      <c r="E701" s="186"/>
      <c r="F701" s="186"/>
      <c r="G701" s="186"/>
      <c r="H701" s="186"/>
      <c r="I701" s="186"/>
      <c r="J701" s="186"/>
      <c r="K701" s="186"/>
      <c r="L701" s="186"/>
      <c r="M701" s="186"/>
      <c r="N701" s="186"/>
      <c r="O701" s="186"/>
      <c r="P701" s="186"/>
      <c r="Q701" s="186"/>
      <c r="R701" s="186"/>
      <c r="S701" s="186"/>
      <c r="T701" s="186"/>
      <c r="U701" s="186"/>
      <c r="V701" s="67"/>
      <c r="W701" s="67"/>
      <c r="X701" s="67"/>
      <c r="Y701" s="187"/>
      <c r="Z701" s="186"/>
      <c r="AA701" s="187"/>
      <c r="AB701" s="187"/>
      <c r="AC701" s="187"/>
      <c r="AD701" s="186"/>
      <c r="AE701" s="186"/>
      <c r="AF701" s="67"/>
      <c r="AG701" s="67"/>
      <c r="AH701" s="67"/>
      <c r="AL701" s="186"/>
    </row>
    <row r="702">
      <c r="A702" s="185"/>
      <c r="B702" s="67"/>
      <c r="C702" s="67"/>
      <c r="D702" s="67"/>
      <c r="E702" s="186"/>
      <c r="F702" s="186"/>
      <c r="G702" s="186"/>
      <c r="H702" s="186"/>
      <c r="I702" s="186"/>
      <c r="J702" s="186"/>
      <c r="K702" s="186"/>
      <c r="L702" s="186"/>
      <c r="M702" s="186"/>
      <c r="N702" s="186"/>
      <c r="O702" s="186"/>
      <c r="P702" s="186"/>
      <c r="Q702" s="186"/>
      <c r="R702" s="186"/>
      <c r="S702" s="186"/>
      <c r="T702" s="186"/>
      <c r="U702" s="186"/>
      <c r="V702" s="67"/>
      <c r="W702" s="67"/>
      <c r="X702" s="67"/>
      <c r="Y702" s="187"/>
      <c r="Z702" s="186"/>
      <c r="AA702" s="187"/>
      <c r="AB702" s="187"/>
      <c r="AC702" s="187"/>
      <c r="AD702" s="186"/>
      <c r="AE702" s="186"/>
      <c r="AF702" s="67"/>
      <c r="AG702" s="67"/>
      <c r="AH702" s="67"/>
      <c r="AL702" s="186"/>
    </row>
    <row r="703">
      <c r="A703" s="185"/>
      <c r="B703" s="67"/>
      <c r="C703" s="67"/>
      <c r="D703" s="67"/>
      <c r="E703" s="186"/>
      <c r="F703" s="186"/>
      <c r="G703" s="186"/>
      <c r="H703" s="186"/>
      <c r="I703" s="186"/>
      <c r="J703" s="186"/>
      <c r="K703" s="186"/>
      <c r="L703" s="186"/>
      <c r="M703" s="186"/>
      <c r="N703" s="186"/>
      <c r="O703" s="186"/>
      <c r="P703" s="186"/>
      <c r="Q703" s="186"/>
      <c r="R703" s="186"/>
      <c r="S703" s="186"/>
      <c r="T703" s="186"/>
      <c r="U703" s="186"/>
      <c r="V703" s="67"/>
      <c r="W703" s="67"/>
      <c r="X703" s="67"/>
      <c r="Y703" s="187"/>
      <c r="Z703" s="186"/>
      <c r="AA703" s="187"/>
      <c r="AB703" s="187"/>
      <c r="AC703" s="187"/>
      <c r="AD703" s="186"/>
      <c r="AE703" s="186"/>
      <c r="AF703" s="67"/>
      <c r="AG703" s="67"/>
      <c r="AH703" s="67"/>
      <c r="AL703" s="186"/>
    </row>
    <row r="704">
      <c r="A704" s="185"/>
      <c r="B704" s="67"/>
      <c r="C704" s="67"/>
      <c r="D704" s="67"/>
      <c r="E704" s="186"/>
      <c r="F704" s="186"/>
      <c r="G704" s="186"/>
      <c r="H704" s="186"/>
      <c r="I704" s="186"/>
      <c r="J704" s="186"/>
      <c r="K704" s="186"/>
      <c r="L704" s="186"/>
      <c r="M704" s="186"/>
      <c r="N704" s="186"/>
      <c r="O704" s="186"/>
      <c r="P704" s="186"/>
      <c r="Q704" s="186"/>
      <c r="R704" s="186"/>
      <c r="S704" s="186"/>
      <c r="T704" s="186"/>
      <c r="U704" s="186"/>
      <c r="V704" s="67"/>
      <c r="W704" s="67"/>
      <c r="X704" s="67"/>
      <c r="Y704" s="187"/>
      <c r="Z704" s="186"/>
      <c r="AA704" s="187"/>
      <c r="AB704" s="187"/>
      <c r="AC704" s="187"/>
      <c r="AD704" s="186"/>
      <c r="AE704" s="186"/>
      <c r="AF704" s="67"/>
      <c r="AG704" s="67"/>
      <c r="AH704" s="67"/>
      <c r="AL704" s="186"/>
    </row>
    <row r="705">
      <c r="A705" s="185"/>
      <c r="B705" s="67"/>
      <c r="C705" s="67"/>
      <c r="D705" s="67"/>
      <c r="E705" s="186"/>
      <c r="F705" s="186"/>
      <c r="G705" s="186"/>
      <c r="H705" s="186"/>
      <c r="I705" s="186"/>
      <c r="J705" s="186"/>
      <c r="K705" s="186"/>
      <c r="L705" s="186"/>
      <c r="M705" s="186"/>
      <c r="N705" s="186"/>
      <c r="O705" s="186"/>
      <c r="P705" s="186"/>
      <c r="Q705" s="186"/>
      <c r="R705" s="186"/>
      <c r="S705" s="186"/>
      <c r="T705" s="186"/>
      <c r="U705" s="186"/>
      <c r="V705" s="67"/>
      <c r="W705" s="67"/>
      <c r="X705" s="67"/>
      <c r="Y705" s="187"/>
      <c r="Z705" s="186"/>
      <c r="AA705" s="187"/>
      <c r="AB705" s="187"/>
      <c r="AC705" s="187"/>
      <c r="AD705" s="186"/>
      <c r="AE705" s="186"/>
      <c r="AF705" s="67"/>
      <c r="AG705" s="67"/>
      <c r="AH705" s="67"/>
      <c r="AL705" s="186"/>
    </row>
    <row r="706">
      <c r="A706" s="185"/>
      <c r="B706" s="67"/>
      <c r="C706" s="67"/>
      <c r="D706" s="67"/>
      <c r="E706" s="186"/>
      <c r="F706" s="186"/>
      <c r="G706" s="186"/>
      <c r="H706" s="186"/>
      <c r="I706" s="186"/>
      <c r="J706" s="186"/>
      <c r="K706" s="186"/>
      <c r="L706" s="186"/>
      <c r="M706" s="186"/>
      <c r="N706" s="186"/>
      <c r="O706" s="186"/>
      <c r="P706" s="186"/>
      <c r="Q706" s="186"/>
      <c r="R706" s="186"/>
      <c r="S706" s="186"/>
      <c r="T706" s="186"/>
      <c r="U706" s="186"/>
      <c r="V706" s="67"/>
      <c r="W706" s="67"/>
      <c r="X706" s="67"/>
      <c r="Y706" s="187"/>
      <c r="Z706" s="186"/>
      <c r="AA706" s="187"/>
      <c r="AB706" s="187"/>
      <c r="AC706" s="187"/>
      <c r="AD706" s="186"/>
      <c r="AE706" s="186"/>
      <c r="AF706" s="67"/>
      <c r="AG706" s="67"/>
      <c r="AH706" s="67"/>
      <c r="AL706" s="186"/>
    </row>
    <row r="707">
      <c r="A707" s="185"/>
      <c r="B707" s="67"/>
      <c r="C707" s="67"/>
      <c r="D707" s="67"/>
      <c r="E707" s="186"/>
      <c r="F707" s="186"/>
      <c r="G707" s="186"/>
      <c r="H707" s="186"/>
      <c r="I707" s="186"/>
      <c r="J707" s="186"/>
      <c r="K707" s="186"/>
      <c r="L707" s="186"/>
      <c r="M707" s="186"/>
      <c r="N707" s="186"/>
      <c r="O707" s="186"/>
      <c r="P707" s="186"/>
      <c r="Q707" s="186"/>
      <c r="R707" s="186"/>
      <c r="S707" s="186"/>
      <c r="T707" s="186"/>
      <c r="U707" s="186"/>
      <c r="V707" s="67"/>
      <c r="W707" s="67"/>
      <c r="X707" s="67"/>
      <c r="Y707" s="187"/>
      <c r="Z707" s="186"/>
      <c r="AA707" s="187"/>
      <c r="AB707" s="187"/>
      <c r="AC707" s="187"/>
      <c r="AD707" s="186"/>
      <c r="AE707" s="186"/>
      <c r="AF707" s="67"/>
      <c r="AG707" s="67"/>
      <c r="AH707" s="67"/>
      <c r="AL707" s="186"/>
    </row>
    <row r="708">
      <c r="A708" s="185"/>
      <c r="B708" s="67"/>
      <c r="C708" s="67"/>
      <c r="D708" s="67"/>
      <c r="E708" s="186"/>
      <c r="F708" s="186"/>
      <c r="G708" s="186"/>
      <c r="H708" s="186"/>
      <c r="I708" s="186"/>
      <c r="J708" s="186"/>
      <c r="K708" s="186"/>
      <c r="L708" s="186"/>
      <c r="M708" s="186"/>
      <c r="N708" s="186"/>
      <c r="O708" s="186"/>
      <c r="P708" s="186"/>
      <c r="Q708" s="186"/>
      <c r="R708" s="186"/>
      <c r="S708" s="186"/>
      <c r="T708" s="186"/>
      <c r="U708" s="186"/>
      <c r="V708" s="67"/>
      <c r="W708" s="67"/>
      <c r="X708" s="67"/>
      <c r="Y708" s="187"/>
      <c r="Z708" s="186"/>
      <c r="AA708" s="187"/>
      <c r="AB708" s="187"/>
      <c r="AC708" s="187"/>
      <c r="AD708" s="186"/>
      <c r="AE708" s="186"/>
      <c r="AF708" s="67"/>
      <c r="AG708" s="67"/>
      <c r="AH708" s="67"/>
      <c r="AL708" s="186"/>
    </row>
    <row r="709">
      <c r="A709" s="185"/>
      <c r="B709" s="67"/>
      <c r="C709" s="67"/>
      <c r="D709" s="67"/>
      <c r="E709" s="186"/>
      <c r="F709" s="186"/>
      <c r="G709" s="186"/>
      <c r="H709" s="186"/>
      <c r="I709" s="186"/>
      <c r="J709" s="186"/>
      <c r="K709" s="186"/>
      <c r="L709" s="186"/>
      <c r="M709" s="186"/>
      <c r="N709" s="186"/>
      <c r="O709" s="186"/>
      <c r="P709" s="186"/>
      <c r="Q709" s="186"/>
      <c r="R709" s="186"/>
      <c r="S709" s="186"/>
      <c r="T709" s="186"/>
      <c r="U709" s="186"/>
      <c r="V709" s="67"/>
      <c r="W709" s="67"/>
      <c r="X709" s="67"/>
      <c r="Y709" s="187"/>
      <c r="Z709" s="186"/>
      <c r="AA709" s="187"/>
      <c r="AB709" s="187"/>
      <c r="AC709" s="187"/>
      <c r="AD709" s="186"/>
      <c r="AE709" s="186"/>
      <c r="AF709" s="67"/>
      <c r="AG709" s="67"/>
      <c r="AH709" s="67"/>
      <c r="AL709" s="186"/>
    </row>
    <row r="710">
      <c r="A710" s="185"/>
      <c r="B710" s="67"/>
      <c r="C710" s="67"/>
      <c r="D710" s="67"/>
      <c r="E710" s="186"/>
      <c r="F710" s="186"/>
      <c r="G710" s="186"/>
      <c r="H710" s="186"/>
      <c r="I710" s="186"/>
      <c r="J710" s="186"/>
      <c r="K710" s="186"/>
      <c r="L710" s="186"/>
      <c r="M710" s="186"/>
      <c r="N710" s="186"/>
      <c r="O710" s="186"/>
      <c r="P710" s="186"/>
      <c r="Q710" s="186"/>
      <c r="R710" s="186"/>
      <c r="S710" s="186"/>
      <c r="T710" s="186"/>
      <c r="U710" s="186"/>
      <c r="V710" s="67"/>
      <c r="W710" s="67"/>
      <c r="X710" s="67"/>
      <c r="Y710" s="187"/>
      <c r="Z710" s="186"/>
      <c r="AA710" s="187"/>
      <c r="AB710" s="187"/>
      <c r="AC710" s="187"/>
      <c r="AD710" s="186"/>
      <c r="AE710" s="186"/>
      <c r="AF710" s="67"/>
      <c r="AG710" s="67"/>
      <c r="AH710" s="67"/>
      <c r="AL710" s="186"/>
    </row>
    <row r="711">
      <c r="A711" s="185"/>
      <c r="B711" s="67"/>
      <c r="C711" s="67"/>
      <c r="D711" s="67"/>
      <c r="E711" s="186"/>
      <c r="F711" s="186"/>
      <c r="G711" s="186"/>
      <c r="H711" s="186"/>
      <c r="I711" s="186"/>
      <c r="J711" s="186"/>
      <c r="K711" s="186"/>
      <c r="L711" s="186"/>
      <c r="M711" s="186"/>
      <c r="N711" s="186"/>
      <c r="O711" s="186"/>
      <c r="P711" s="186"/>
      <c r="Q711" s="186"/>
      <c r="R711" s="186"/>
      <c r="S711" s="186"/>
      <c r="T711" s="186"/>
      <c r="U711" s="186"/>
      <c r="V711" s="67"/>
      <c r="W711" s="67"/>
      <c r="X711" s="67"/>
      <c r="Y711" s="187"/>
      <c r="Z711" s="186"/>
      <c r="AA711" s="187"/>
      <c r="AB711" s="187"/>
      <c r="AC711" s="187"/>
      <c r="AD711" s="186"/>
      <c r="AE711" s="186"/>
      <c r="AF711" s="67"/>
      <c r="AG711" s="67"/>
      <c r="AH711" s="67"/>
      <c r="AL711" s="186"/>
    </row>
    <row r="712">
      <c r="A712" s="185"/>
      <c r="B712" s="67"/>
      <c r="C712" s="67"/>
      <c r="D712" s="67"/>
      <c r="E712" s="186"/>
      <c r="F712" s="186"/>
      <c r="G712" s="186"/>
      <c r="H712" s="186"/>
      <c r="I712" s="186"/>
      <c r="J712" s="186"/>
      <c r="K712" s="186"/>
      <c r="L712" s="186"/>
      <c r="M712" s="186"/>
      <c r="N712" s="186"/>
      <c r="O712" s="186"/>
      <c r="P712" s="186"/>
      <c r="Q712" s="186"/>
      <c r="R712" s="186"/>
      <c r="S712" s="186"/>
      <c r="T712" s="186"/>
      <c r="U712" s="186"/>
      <c r="V712" s="67"/>
      <c r="W712" s="67"/>
      <c r="X712" s="67"/>
      <c r="Y712" s="187"/>
      <c r="Z712" s="186"/>
      <c r="AA712" s="187"/>
      <c r="AB712" s="187"/>
      <c r="AC712" s="187"/>
      <c r="AD712" s="186"/>
      <c r="AE712" s="186"/>
      <c r="AF712" s="67"/>
      <c r="AG712" s="67"/>
      <c r="AH712" s="67"/>
      <c r="AL712" s="186"/>
    </row>
    <row r="713">
      <c r="A713" s="185"/>
      <c r="B713" s="67"/>
      <c r="C713" s="67"/>
      <c r="D713" s="67"/>
      <c r="E713" s="186"/>
      <c r="F713" s="186"/>
      <c r="G713" s="186"/>
      <c r="H713" s="186"/>
      <c r="I713" s="186"/>
      <c r="J713" s="186"/>
      <c r="K713" s="186"/>
      <c r="L713" s="186"/>
      <c r="M713" s="186"/>
      <c r="N713" s="186"/>
      <c r="O713" s="186"/>
      <c r="P713" s="186"/>
      <c r="Q713" s="186"/>
      <c r="R713" s="186"/>
      <c r="S713" s="186"/>
      <c r="T713" s="186"/>
      <c r="U713" s="186"/>
      <c r="V713" s="67"/>
      <c r="W713" s="67"/>
      <c r="X713" s="67"/>
      <c r="Y713" s="187"/>
      <c r="Z713" s="186"/>
      <c r="AA713" s="187"/>
      <c r="AB713" s="187"/>
      <c r="AC713" s="187"/>
      <c r="AD713" s="186"/>
      <c r="AE713" s="186"/>
      <c r="AF713" s="67"/>
      <c r="AG713" s="67"/>
      <c r="AH713" s="67"/>
      <c r="AL713" s="186"/>
    </row>
    <row r="714">
      <c r="A714" s="185"/>
      <c r="B714" s="67"/>
      <c r="C714" s="67"/>
      <c r="D714" s="67"/>
      <c r="E714" s="186"/>
      <c r="F714" s="186"/>
      <c r="G714" s="186"/>
      <c r="H714" s="186"/>
      <c r="I714" s="186"/>
      <c r="J714" s="186"/>
      <c r="K714" s="186"/>
      <c r="L714" s="186"/>
      <c r="M714" s="186"/>
      <c r="N714" s="186"/>
      <c r="O714" s="186"/>
      <c r="P714" s="186"/>
      <c r="Q714" s="186"/>
      <c r="R714" s="186"/>
      <c r="S714" s="186"/>
      <c r="T714" s="186"/>
      <c r="U714" s="186"/>
      <c r="V714" s="67"/>
      <c r="W714" s="67"/>
      <c r="X714" s="67"/>
      <c r="Y714" s="187"/>
      <c r="Z714" s="186"/>
      <c r="AA714" s="187"/>
      <c r="AB714" s="187"/>
      <c r="AC714" s="187"/>
      <c r="AD714" s="186"/>
      <c r="AE714" s="186"/>
      <c r="AF714" s="67"/>
      <c r="AG714" s="67"/>
      <c r="AH714" s="67"/>
      <c r="AL714" s="186"/>
    </row>
    <row r="715">
      <c r="A715" s="185"/>
      <c r="B715" s="67"/>
      <c r="C715" s="67"/>
      <c r="D715" s="67"/>
      <c r="E715" s="186"/>
      <c r="F715" s="186"/>
      <c r="G715" s="186"/>
      <c r="H715" s="186"/>
      <c r="I715" s="186"/>
      <c r="J715" s="186"/>
      <c r="K715" s="186"/>
      <c r="L715" s="186"/>
      <c r="M715" s="186"/>
      <c r="N715" s="186"/>
      <c r="O715" s="186"/>
      <c r="P715" s="186"/>
      <c r="Q715" s="186"/>
      <c r="R715" s="186"/>
      <c r="S715" s="186"/>
      <c r="T715" s="186"/>
      <c r="U715" s="186"/>
      <c r="V715" s="67"/>
      <c r="W715" s="67"/>
      <c r="X715" s="67"/>
      <c r="Y715" s="187"/>
      <c r="Z715" s="186"/>
      <c r="AA715" s="187"/>
      <c r="AB715" s="187"/>
      <c r="AC715" s="187"/>
      <c r="AD715" s="186"/>
      <c r="AE715" s="186"/>
      <c r="AF715" s="67"/>
      <c r="AG715" s="67"/>
      <c r="AH715" s="67"/>
      <c r="AL715" s="186"/>
    </row>
    <row r="716">
      <c r="A716" s="185"/>
      <c r="B716" s="67"/>
      <c r="C716" s="67"/>
      <c r="D716" s="67"/>
      <c r="E716" s="186"/>
      <c r="F716" s="186"/>
      <c r="G716" s="186"/>
      <c r="H716" s="186"/>
      <c r="I716" s="186"/>
      <c r="J716" s="186"/>
      <c r="K716" s="186"/>
      <c r="L716" s="186"/>
      <c r="M716" s="186"/>
      <c r="N716" s="186"/>
      <c r="O716" s="186"/>
      <c r="P716" s="186"/>
      <c r="Q716" s="186"/>
      <c r="R716" s="186"/>
      <c r="S716" s="186"/>
      <c r="T716" s="186"/>
      <c r="U716" s="186"/>
      <c r="V716" s="67"/>
      <c r="W716" s="67"/>
      <c r="X716" s="67"/>
      <c r="Y716" s="187"/>
      <c r="Z716" s="186"/>
      <c r="AA716" s="187"/>
      <c r="AB716" s="187"/>
      <c r="AC716" s="187"/>
      <c r="AD716" s="186"/>
      <c r="AE716" s="186"/>
      <c r="AF716" s="67"/>
      <c r="AG716" s="67"/>
      <c r="AH716" s="67"/>
      <c r="AL716" s="186"/>
    </row>
    <row r="717">
      <c r="A717" s="185"/>
      <c r="B717" s="67"/>
      <c r="C717" s="67"/>
      <c r="D717" s="67"/>
      <c r="E717" s="186"/>
      <c r="F717" s="186"/>
      <c r="G717" s="186"/>
      <c r="H717" s="186"/>
      <c r="I717" s="186"/>
      <c r="J717" s="186"/>
      <c r="K717" s="186"/>
      <c r="L717" s="186"/>
      <c r="M717" s="186"/>
      <c r="N717" s="186"/>
      <c r="O717" s="186"/>
      <c r="P717" s="186"/>
      <c r="Q717" s="186"/>
      <c r="R717" s="186"/>
      <c r="S717" s="186"/>
      <c r="T717" s="186"/>
      <c r="U717" s="186"/>
      <c r="V717" s="67"/>
      <c r="W717" s="67"/>
      <c r="X717" s="67"/>
      <c r="Y717" s="187"/>
      <c r="Z717" s="186"/>
      <c r="AA717" s="187"/>
      <c r="AB717" s="187"/>
      <c r="AC717" s="187"/>
      <c r="AD717" s="186"/>
      <c r="AE717" s="186"/>
      <c r="AF717" s="67"/>
      <c r="AG717" s="67"/>
      <c r="AH717" s="67"/>
      <c r="AL717" s="186"/>
    </row>
    <row r="718">
      <c r="A718" s="185"/>
      <c r="B718" s="67"/>
      <c r="C718" s="67"/>
      <c r="D718" s="67"/>
      <c r="E718" s="186"/>
      <c r="F718" s="186"/>
      <c r="G718" s="186"/>
      <c r="H718" s="186"/>
      <c r="I718" s="186"/>
      <c r="J718" s="186"/>
      <c r="K718" s="186"/>
      <c r="L718" s="186"/>
      <c r="M718" s="186"/>
      <c r="N718" s="186"/>
      <c r="O718" s="186"/>
      <c r="P718" s="186"/>
      <c r="Q718" s="186"/>
      <c r="R718" s="186"/>
      <c r="S718" s="186"/>
      <c r="T718" s="186"/>
      <c r="U718" s="186"/>
      <c r="V718" s="67"/>
      <c r="W718" s="67"/>
      <c r="X718" s="67"/>
      <c r="Y718" s="187"/>
      <c r="Z718" s="186"/>
      <c r="AA718" s="187"/>
      <c r="AB718" s="187"/>
      <c r="AC718" s="187"/>
      <c r="AD718" s="186"/>
      <c r="AE718" s="186"/>
      <c r="AF718" s="67"/>
      <c r="AG718" s="67"/>
      <c r="AH718" s="67"/>
      <c r="AL718" s="186"/>
    </row>
    <row r="719">
      <c r="A719" s="185"/>
      <c r="B719" s="67"/>
      <c r="C719" s="67"/>
      <c r="D719" s="67"/>
      <c r="E719" s="186"/>
      <c r="F719" s="186"/>
      <c r="G719" s="186"/>
      <c r="H719" s="186"/>
      <c r="I719" s="186"/>
      <c r="J719" s="186"/>
      <c r="K719" s="186"/>
      <c r="L719" s="186"/>
      <c r="M719" s="186"/>
      <c r="N719" s="186"/>
      <c r="O719" s="186"/>
      <c r="P719" s="186"/>
      <c r="Q719" s="186"/>
      <c r="R719" s="186"/>
      <c r="S719" s="186"/>
      <c r="T719" s="186"/>
      <c r="U719" s="186"/>
      <c r="V719" s="67"/>
      <c r="W719" s="67"/>
      <c r="X719" s="67"/>
      <c r="Y719" s="187"/>
      <c r="Z719" s="186"/>
      <c r="AA719" s="187"/>
      <c r="AB719" s="187"/>
      <c r="AC719" s="187"/>
      <c r="AD719" s="186"/>
      <c r="AE719" s="186"/>
      <c r="AF719" s="67"/>
      <c r="AG719" s="67"/>
      <c r="AH719" s="67"/>
      <c r="AL719" s="186"/>
    </row>
    <row r="720">
      <c r="A720" s="185"/>
      <c r="B720" s="67"/>
      <c r="C720" s="67"/>
      <c r="D720" s="67"/>
      <c r="E720" s="186"/>
      <c r="F720" s="186"/>
      <c r="G720" s="186"/>
      <c r="H720" s="186"/>
      <c r="I720" s="186"/>
      <c r="J720" s="186"/>
      <c r="K720" s="186"/>
      <c r="L720" s="186"/>
      <c r="M720" s="186"/>
      <c r="N720" s="186"/>
      <c r="O720" s="186"/>
      <c r="P720" s="186"/>
      <c r="Q720" s="186"/>
      <c r="R720" s="186"/>
      <c r="S720" s="186"/>
      <c r="T720" s="186"/>
      <c r="U720" s="186"/>
      <c r="V720" s="67"/>
      <c r="W720" s="67"/>
      <c r="X720" s="67"/>
      <c r="Y720" s="187"/>
      <c r="Z720" s="186"/>
      <c r="AA720" s="187"/>
      <c r="AB720" s="187"/>
      <c r="AC720" s="187"/>
      <c r="AD720" s="186"/>
      <c r="AE720" s="186"/>
      <c r="AF720" s="67"/>
      <c r="AG720" s="67"/>
      <c r="AH720" s="67"/>
      <c r="AL720" s="186"/>
    </row>
    <row r="721">
      <c r="A721" s="185"/>
      <c r="B721" s="67"/>
      <c r="C721" s="67"/>
      <c r="D721" s="67"/>
      <c r="E721" s="186"/>
      <c r="F721" s="186"/>
      <c r="G721" s="186"/>
      <c r="H721" s="186"/>
      <c r="I721" s="186"/>
      <c r="J721" s="186"/>
      <c r="K721" s="186"/>
      <c r="L721" s="186"/>
      <c r="M721" s="186"/>
      <c r="N721" s="186"/>
      <c r="O721" s="186"/>
      <c r="P721" s="186"/>
      <c r="Q721" s="186"/>
      <c r="R721" s="186"/>
      <c r="S721" s="186"/>
      <c r="T721" s="186"/>
      <c r="U721" s="186"/>
      <c r="V721" s="67"/>
      <c r="W721" s="67"/>
      <c r="X721" s="67"/>
      <c r="Y721" s="187"/>
      <c r="Z721" s="186"/>
      <c r="AA721" s="187"/>
      <c r="AB721" s="187"/>
      <c r="AC721" s="187"/>
      <c r="AD721" s="186"/>
      <c r="AE721" s="186"/>
      <c r="AF721" s="67"/>
      <c r="AG721" s="67"/>
      <c r="AH721" s="67"/>
      <c r="AL721" s="186"/>
    </row>
    <row r="722">
      <c r="A722" s="185"/>
      <c r="B722" s="67"/>
      <c r="C722" s="67"/>
      <c r="D722" s="67"/>
      <c r="E722" s="186"/>
      <c r="F722" s="186"/>
      <c r="G722" s="186"/>
      <c r="H722" s="186"/>
      <c r="I722" s="186"/>
      <c r="J722" s="186"/>
      <c r="K722" s="186"/>
      <c r="L722" s="186"/>
      <c r="M722" s="186"/>
      <c r="N722" s="186"/>
      <c r="O722" s="186"/>
      <c r="P722" s="186"/>
      <c r="Q722" s="186"/>
      <c r="R722" s="186"/>
      <c r="S722" s="186"/>
      <c r="T722" s="186"/>
      <c r="U722" s="186"/>
      <c r="V722" s="67"/>
      <c r="W722" s="67"/>
      <c r="X722" s="67"/>
      <c r="Y722" s="187"/>
      <c r="Z722" s="186"/>
      <c r="AA722" s="187"/>
      <c r="AB722" s="187"/>
      <c r="AC722" s="187"/>
      <c r="AD722" s="186"/>
      <c r="AE722" s="186"/>
      <c r="AF722" s="67"/>
      <c r="AG722" s="67"/>
      <c r="AH722" s="67"/>
      <c r="AL722" s="186"/>
    </row>
    <row r="723">
      <c r="A723" s="185"/>
      <c r="B723" s="67"/>
      <c r="C723" s="67"/>
      <c r="D723" s="67"/>
      <c r="E723" s="186"/>
      <c r="F723" s="186"/>
      <c r="G723" s="186"/>
      <c r="H723" s="186"/>
      <c r="I723" s="186"/>
      <c r="J723" s="186"/>
      <c r="K723" s="186"/>
      <c r="L723" s="186"/>
      <c r="M723" s="186"/>
      <c r="N723" s="186"/>
      <c r="O723" s="186"/>
      <c r="P723" s="186"/>
      <c r="Q723" s="186"/>
      <c r="R723" s="186"/>
      <c r="S723" s="186"/>
      <c r="T723" s="186"/>
      <c r="U723" s="186"/>
      <c r="V723" s="67"/>
      <c r="W723" s="67"/>
      <c r="X723" s="67"/>
      <c r="Y723" s="187"/>
      <c r="Z723" s="186"/>
      <c r="AA723" s="187"/>
      <c r="AB723" s="187"/>
      <c r="AC723" s="187"/>
      <c r="AD723" s="186"/>
      <c r="AE723" s="186"/>
      <c r="AF723" s="67"/>
      <c r="AG723" s="67"/>
      <c r="AH723" s="67"/>
      <c r="AL723" s="186"/>
    </row>
    <row r="724">
      <c r="A724" s="185"/>
      <c r="B724" s="67"/>
      <c r="C724" s="67"/>
      <c r="D724" s="67"/>
      <c r="E724" s="186"/>
      <c r="F724" s="186"/>
      <c r="G724" s="186"/>
      <c r="H724" s="186"/>
      <c r="I724" s="186"/>
      <c r="J724" s="186"/>
      <c r="K724" s="186"/>
      <c r="L724" s="186"/>
      <c r="M724" s="186"/>
      <c r="N724" s="186"/>
      <c r="O724" s="186"/>
      <c r="P724" s="186"/>
      <c r="Q724" s="186"/>
      <c r="R724" s="186"/>
      <c r="S724" s="186"/>
      <c r="T724" s="186"/>
      <c r="U724" s="186"/>
      <c r="V724" s="67"/>
      <c r="W724" s="67"/>
      <c r="X724" s="67"/>
      <c r="Y724" s="187"/>
      <c r="Z724" s="186"/>
      <c r="AA724" s="187"/>
      <c r="AB724" s="187"/>
      <c r="AC724" s="187"/>
      <c r="AD724" s="186"/>
      <c r="AE724" s="186"/>
      <c r="AF724" s="67"/>
      <c r="AG724" s="67"/>
      <c r="AH724" s="67"/>
      <c r="AL724" s="186"/>
    </row>
    <row r="725">
      <c r="A725" s="185"/>
      <c r="B725" s="67"/>
      <c r="C725" s="67"/>
      <c r="D725" s="67"/>
      <c r="E725" s="186"/>
      <c r="F725" s="186"/>
      <c r="G725" s="186"/>
      <c r="H725" s="186"/>
      <c r="I725" s="186"/>
      <c r="J725" s="186"/>
      <c r="K725" s="186"/>
      <c r="L725" s="186"/>
      <c r="M725" s="186"/>
      <c r="N725" s="186"/>
      <c r="O725" s="186"/>
      <c r="P725" s="186"/>
      <c r="Q725" s="186"/>
      <c r="R725" s="186"/>
      <c r="S725" s="186"/>
      <c r="T725" s="186"/>
      <c r="U725" s="186"/>
      <c r="V725" s="67"/>
      <c r="W725" s="67"/>
      <c r="X725" s="67"/>
      <c r="Y725" s="187"/>
      <c r="Z725" s="186"/>
      <c r="AA725" s="187"/>
      <c r="AB725" s="187"/>
      <c r="AC725" s="187"/>
      <c r="AD725" s="186"/>
      <c r="AE725" s="186"/>
      <c r="AF725" s="67"/>
      <c r="AG725" s="67"/>
      <c r="AH725" s="67"/>
      <c r="AL725" s="186"/>
    </row>
    <row r="726">
      <c r="A726" s="185"/>
      <c r="B726" s="67"/>
      <c r="C726" s="67"/>
      <c r="D726" s="67"/>
      <c r="E726" s="186"/>
      <c r="F726" s="186"/>
      <c r="G726" s="186"/>
      <c r="H726" s="186"/>
      <c r="I726" s="186"/>
      <c r="J726" s="186"/>
      <c r="K726" s="186"/>
      <c r="L726" s="186"/>
      <c r="M726" s="186"/>
      <c r="N726" s="186"/>
      <c r="O726" s="186"/>
      <c r="P726" s="186"/>
      <c r="Q726" s="186"/>
      <c r="R726" s="186"/>
      <c r="S726" s="186"/>
      <c r="T726" s="186"/>
      <c r="U726" s="186"/>
      <c r="V726" s="67"/>
      <c r="W726" s="67"/>
      <c r="X726" s="67"/>
      <c r="Y726" s="187"/>
      <c r="Z726" s="186"/>
      <c r="AA726" s="187"/>
      <c r="AB726" s="187"/>
      <c r="AC726" s="187"/>
      <c r="AD726" s="186"/>
      <c r="AE726" s="186"/>
      <c r="AF726" s="67"/>
      <c r="AG726" s="67"/>
      <c r="AH726" s="67"/>
      <c r="AL726" s="186"/>
    </row>
    <row r="727">
      <c r="A727" s="185"/>
      <c r="B727" s="67"/>
      <c r="C727" s="67"/>
      <c r="D727" s="67"/>
      <c r="E727" s="186"/>
      <c r="F727" s="186"/>
      <c r="G727" s="186"/>
      <c r="H727" s="186"/>
      <c r="I727" s="186"/>
      <c r="J727" s="186"/>
      <c r="K727" s="186"/>
      <c r="L727" s="186"/>
      <c r="M727" s="186"/>
      <c r="N727" s="186"/>
      <c r="O727" s="186"/>
      <c r="P727" s="186"/>
      <c r="Q727" s="186"/>
      <c r="R727" s="186"/>
      <c r="S727" s="186"/>
      <c r="T727" s="186"/>
      <c r="U727" s="186"/>
      <c r="V727" s="67"/>
      <c r="W727" s="67"/>
      <c r="X727" s="67"/>
      <c r="Y727" s="187"/>
      <c r="Z727" s="186"/>
      <c r="AA727" s="187"/>
      <c r="AB727" s="187"/>
      <c r="AC727" s="187"/>
      <c r="AD727" s="186"/>
      <c r="AE727" s="186"/>
      <c r="AF727" s="67"/>
      <c r="AG727" s="67"/>
      <c r="AH727" s="67"/>
      <c r="AL727" s="186"/>
    </row>
    <row r="728">
      <c r="A728" s="185"/>
      <c r="B728" s="67"/>
      <c r="C728" s="67"/>
      <c r="D728" s="67"/>
      <c r="E728" s="186"/>
      <c r="F728" s="186"/>
      <c r="G728" s="186"/>
      <c r="H728" s="186"/>
      <c r="I728" s="186"/>
      <c r="J728" s="186"/>
      <c r="K728" s="186"/>
      <c r="L728" s="186"/>
      <c r="M728" s="186"/>
      <c r="N728" s="186"/>
      <c r="O728" s="186"/>
      <c r="P728" s="186"/>
      <c r="Q728" s="186"/>
      <c r="R728" s="186"/>
      <c r="S728" s="186"/>
      <c r="T728" s="186"/>
      <c r="U728" s="186"/>
      <c r="V728" s="67"/>
      <c r="W728" s="67"/>
      <c r="X728" s="67"/>
      <c r="Y728" s="187"/>
      <c r="Z728" s="186"/>
      <c r="AA728" s="187"/>
      <c r="AB728" s="187"/>
      <c r="AC728" s="187"/>
      <c r="AD728" s="186"/>
      <c r="AE728" s="186"/>
      <c r="AF728" s="67"/>
      <c r="AG728" s="67"/>
      <c r="AH728" s="67"/>
      <c r="AL728" s="186"/>
    </row>
    <row r="729">
      <c r="A729" s="185"/>
      <c r="B729" s="67"/>
      <c r="C729" s="67"/>
      <c r="D729" s="67"/>
      <c r="E729" s="186"/>
      <c r="F729" s="186"/>
      <c r="G729" s="186"/>
      <c r="H729" s="186"/>
      <c r="I729" s="186"/>
      <c r="J729" s="186"/>
      <c r="K729" s="186"/>
      <c r="L729" s="186"/>
      <c r="M729" s="186"/>
      <c r="N729" s="186"/>
      <c r="O729" s="186"/>
      <c r="P729" s="186"/>
      <c r="Q729" s="186"/>
      <c r="R729" s="186"/>
      <c r="S729" s="186"/>
      <c r="T729" s="186"/>
      <c r="U729" s="186"/>
      <c r="V729" s="67"/>
      <c r="W729" s="67"/>
      <c r="X729" s="67"/>
      <c r="Y729" s="187"/>
      <c r="Z729" s="186"/>
      <c r="AA729" s="187"/>
      <c r="AB729" s="187"/>
      <c r="AC729" s="187"/>
      <c r="AD729" s="186"/>
      <c r="AE729" s="186"/>
      <c r="AF729" s="67"/>
      <c r="AG729" s="67"/>
      <c r="AH729" s="67"/>
      <c r="AL729" s="186"/>
    </row>
    <row r="730">
      <c r="A730" s="185"/>
      <c r="B730" s="67"/>
      <c r="C730" s="67"/>
      <c r="D730" s="67"/>
      <c r="E730" s="186"/>
      <c r="F730" s="186"/>
      <c r="G730" s="186"/>
      <c r="H730" s="186"/>
      <c r="I730" s="186"/>
      <c r="J730" s="186"/>
      <c r="K730" s="186"/>
      <c r="L730" s="186"/>
      <c r="M730" s="186"/>
      <c r="N730" s="186"/>
      <c r="O730" s="186"/>
      <c r="P730" s="186"/>
      <c r="Q730" s="186"/>
      <c r="R730" s="186"/>
      <c r="S730" s="186"/>
      <c r="T730" s="186"/>
      <c r="U730" s="186"/>
      <c r="V730" s="67"/>
      <c r="W730" s="67"/>
      <c r="X730" s="67"/>
      <c r="Y730" s="187"/>
      <c r="Z730" s="186"/>
      <c r="AA730" s="187"/>
      <c r="AB730" s="187"/>
      <c r="AC730" s="187"/>
      <c r="AD730" s="186"/>
      <c r="AE730" s="186"/>
      <c r="AF730" s="67"/>
      <c r="AG730" s="67"/>
      <c r="AH730" s="67"/>
      <c r="AL730" s="186"/>
    </row>
    <row r="731">
      <c r="A731" s="185"/>
      <c r="B731" s="67"/>
      <c r="C731" s="67"/>
      <c r="D731" s="67"/>
      <c r="E731" s="186"/>
      <c r="F731" s="186"/>
      <c r="G731" s="186"/>
      <c r="H731" s="186"/>
      <c r="I731" s="186"/>
      <c r="J731" s="186"/>
      <c r="K731" s="186"/>
      <c r="L731" s="186"/>
      <c r="M731" s="186"/>
      <c r="N731" s="186"/>
      <c r="O731" s="186"/>
      <c r="P731" s="186"/>
      <c r="Q731" s="186"/>
      <c r="R731" s="186"/>
      <c r="S731" s="186"/>
      <c r="T731" s="186"/>
      <c r="U731" s="186"/>
      <c r="V731" s="67"/>
      <c r="W731" s="67"/>
      <c r="X731" s="67"/>
      <c r="Y731" s="187"/>
      <c r="Z731" s="186"/>
      <c r="AA731" s="187"/>
      <c r="AB731" s="187"/>
      <c r="AC731" s="187"/>
      <c r="AD731" s="186"/>
      <c r="AE731" s="186"/>
      <c r="AF731" s="67"/>
      <c r="AG731" s="67"/>
      <c r="AH731" s="67"/>
      <c r="AL731" s="186"/>
    </row>
    <row r="732">
      <c r="A732" s="185"/>
      <c r="B732" s="67"/>
      <c r="C732" s="67"/>
      <c r="D732" s="67"/>
      <c r="E732" s="186"/>
      <c r="F732" s="186"/>
      <c r="G732" s="186"/>
      <c r="H732" s="186"/>
      <c r="I732" s="186"/>
      <c r="J732" s="186"/>
      <c r="K732" s="186"/>
      <c r="L732" s="186"/>
      <c r="M732" s="186"/>
      <c r="N732" s="186"/>
      <c r="O732" s="186"/>
      <c r="P732" s="186"/>
      <c r="Q732" s="186"/>
      <c r="R732" s="186"/>
      <c r="S732" s="186"/>
      <c r="T732" s="186"/>
      <c r="U732" s="186"/>
      <c r="V732" s="67"/>
      <c r="W732" s="67"/>
      <c r="X732" s="67"/>
      <c r="Y732" s="187"/>
      <c r="Z732" s="186"/>
      <c r="AA732" s="187"/>
      <c r="AB732" s="187"/>
      <c r="AC732" s="187"/>
      <c r="AD732" s="186"/>
      <c r="AE732" s="186"/>
      <c r="AF732" s="67"/>
      <c r="AG732" s="67"/>
      <c r="AH732" s="67"/>
      <c r="AL732" s="186"/>
    </row>
    <row r="733">
      <c r="A733" s="185"/>
      <c r="B733" s="67"/>
      <c r="C733" s="67"/>
      <c r="D733" s="67"/>
      <c r="E733" s="186"/>
      <c r="F733" s="186"/>
      <c r="G733" s="186"/>
      <c r="H733" s="186"/>
      <c r="I733" s="186"/>
      <c r="J733" s="186"/>
      <c r="K733" s="186"/>
      <c r="L733" s="186"/>
      <c r="M733" s="186"/>
      <c r="N733" s="186"/>
      <c r="O733" s="186"/>
      <c r="P733" s="186"/>
      <c r="Q733" s="186"/>
      <c r="R733" s="186"/>
      <c r="S733" s="186"/>
      <c r="T733" s="186"/>
      <c r="U733" s="186"/>
      <c r="V733" s="67"/>
      <c r="W733" s="67"/>
      <c r="X733" s="67"/>
      <c r="Y733" s="187"/>
      <c r="Z733" s="186"/>
      <c r="AA733" s="187"/>
      <c r="AB733" s="187"/>
      <c r="AC733" s="187"/>
      <c r="AD733" s="186"/>
      <c r="AE733" s="186"/>
      <c r="AF733" s="67"/>
      <c r="AG733" s="67"/>
      <c r="AH733" s="67"/>
      <c r="AL733" s="186"/>
    </row>
    <row r="734">
      <c r="A734" s="185"/>
      <c r="B734" s="67"/>
      <c r="C734" s="67"/>
      <c r="D734" s="67"/>
      <c r="E734" s="186"/>
      <c r="F734" s="186"/>
      <c r="G734" s="186"/>
      <c r="H734" s="186"/>
      <c r="I734" s="186"/>
      <c r="J734" s="186"/>
      <c r="K734" s="186"/>
      <c r="L734" s="186"/>
      <c r="M734" s="186"/>
      <c r="N734" s="186"/>
      <c r="O734" s="186"/>
      <c r="P734" s="186"/>
      <c r="Q734" s="186"/>
      <c r="R734" s="186"/>
      <c r="S734" s="186"/>
      <c r="T734" s="186"/>
      <c r="U734" s="186"/>
      <c r="V734" s="67"/>
      <c r="W734" s="67"/>
      <c r="X734" s="67"/>
      <c r="Y734" s="187"/>
      <c r="Z734" s="186"/>
      <c r="AA734" s="187"/>
      <c r="AB734" s="187"/>
      <c r="AC734" s="187"/>
      <c r="AD734" s="186"/>
      <c r="AE734" s="186"/>
      <c r="AF734" s="67"/>
      <c r="AG734" s="67"/>
      <c r="AH734" s="67"/>
      <c r="AL734" s="186"/>
    </row>
    <row r="735">
      <c r="A735" s="185"/>
      <c r="B735" s="67"/>
      <c r="C735" s="67"/>
      <c r="D735" s="67"/>
      <c r="E735" s="186"/>
      <c r="F735" s="186"/>
      <c r="G735" s="186"/>
      <c r="H735" s="186"/>
      <c r="I735" s="186"/>
      <c r="J735" s="186"/>
      <c r="K735" s="186"/>
      <c r="L735" s="186"/>
      <c r="M735" s="186"/>
      <c r="N735" s="186"/>
      <c r="O735" s="186"/>
      <c r="P735" s="186"/>
      <c r="Q735" s="186"/>
      <c r="R735" s="186"/>
      <c r="S735" s="186"/>
      <c r="T735" s="186"/>
      <c r="U735" s="186"/>
      <c r="V735" s="67"/>
      <c r="W735" s="67"/>
      <c r="X735" s="67"/>
      <c r="Y735" s="187"/>
      <c r="Z735" s="186"/>
      <c r="AA735" s="187"/>
      <c r="AB735" s="187"/>
      <c r="AC735" s="187"/>
      <c r="AD735" s="186"/>
      <c r="AE735" s="186"/>
      <c r="AF735" s="67"/>
      <c r="AG735" s="67"/>
      <c r="AH735" s="67"/>
      <c r="AL735" s="186"/>
    </row>
    <row r="736">
      <c r="A736" s="185"/>
      <c r="B736" s="67"/>
      <c r="C736" s="67"/>
      <c r="D736" s="67"/>
      <c r="E736" s="186"/>
      <c r="F736" s="186"/>
      <c r="G736" s="186"/>
      <c r="H736" s="186"/>
      <c r="I736" s="186"/>
      <c r="J736" s="186"/>
      <c r="K736" s="186"/>
      <c r="L736" s="186"/>
      <c r="M736" s="186"/>
      <c r="N736" s="186"/>
      <c r="O736" s="186"/>
      <c r="P736" s="186"/>
      <c r="Q736" s="186"/>
      <c r="R736" s="186"/>
      <c r="S736" s="186"/>
      <c r="T736" s="186"/>
      <c r="U736" s="186"/>
      <c r="V736" s="67"/>
      <c r="W736" s="67"/>
      <c r="X736" s="67"/>
      <c r="Y736" s="187"/>
      <c r="Z736" s="186"/>
      <c r="AA736" s="187"/>
      <c r="AB736" s="187"/>
      <c r="AC736" s="187"/>
      <c r="AD736" s="186"/>
      <c r="AE736" s="186"/>
      <c r="AF736" s="67"/>
      <c r="AG736" s="67"/>
      <c r="AH736" s="67"/>
      <c r="AL736" s="186"/>
    </row>
    <row r="737">
      <c r="A737" s="185"/>
      <c r="B737" s="67"/>
      <c r="C737" s="67"/>
      <c r="D737" s="67"/>
      <c r="E737" s="186"/>
      <c r="F737" s="186"/>
      <c r="G737" s="186"/>
      <c r="H737" s="186"/>
      <c r="I737" s="186"/>
      <c r="J737" s="186"/>
      <c r="K737" s="186"/>
      <c r="L737" s="186"/>
      <c r="M737" s="186"/>
      <c r="N737" s="186"/>
      <c r="O737" s="186"/>
      <c r="P737" s="186"/>
      <c r="Q737" s="186"/>
      <c r="R737" s="186"/>
      <c r="S737" s="186"/>
      <c r="T737" s="186"/>
      <c r="U737" s="186"/>
      <c r="V737" s="67"/>
      <c r="W737" s="67"/>
      <c r="X737" s="67"/>
      <c r="Y737" s="187"/>
      <c r="Z737" s="186"/>
      <c r="AA737" s="187"/>
      <c r="AB737" s="187"/>
      <c r="AC737" s="187"/>
      <c r="AD737" s="186"/>
      <c r="AE737" s="186"/>
      <c r="AF737" s="67"/>
      <c r="AG737" s="67"/>
      <c r="AH737" s="67"/>
      <c r="AL737" s="186"/>
    </row>
    <row r="738">
      <c r="A738" s="185"/>
      <c r="B738" s="67"/>
      <c r="C738" s="67"/>
      <c r="D738" s="67"/>
      <c r="E738" s="186"/>
      <c r="F738" s="186"/>
      <c r="G738" s="186"/>
      <c r="H738" s="186"/>
      <c r="I738" s="186"/>
      <c r="J738" s="186"/>
      <c r="K738" s="186"/>
      <c r="L738" s="186"/>
      <c r="M738" s="186"/>
      <c r="N738" s="186"/>
      <c r="O738" s="186"/>
      <c r="P738" s="186"/>
      <c r="Q738" s="186"/>
      <c r="R738" s="186"/>
      <c r="S738" s="186"/>
      <c r="T738" s="186"/>
      <c r="U738" s="186"/>
      <c r="V738" s="67"/>
      <c r="W738" s="67"/>
      <c r="X738" s="67"/>
      <c r="Y738" s="187"/>
      <c r="Z738" s="186"/>
      <c r="AA738" s="187"/>
      <c r="AB738" s="187"/>
      <c r="AC738" s="187"/>
      <c r="AD738" s="186"/>
      <c r="AE738" s="186"/>
      <c r="AF738" s="67"/>
      <c r="AG738" s="67"/>
      <c r="AH738" s="67"/>
      <c r="AL738" s="186"/>
    </row>
    <row r="739">
      <c r="A739" s="185"/>
      <c r="B739" s="67"/>
      <c r="C739" s="67"/>
      <c r="D739" s="67"/>
      <c r="E739" s="186"/>
      <c r="F739" s="186"/>
      <c r="G739" s="186"/>
      <c r="H739" s="186"/>
      <c r="I739" s="186"/>
      <c r="J739" s="186"/>
      <c r="K739" s="186"/>
      <c r="L739" s="186"/>
      <c r="M739" s="186"/>
      <c r="N739" s="186"/>
      <c r="O739" s="186"/>
      <c r="P739" s="186"/>
      <c r="Q739" s="186"/>
      <c r="R739" s="186"/>
      <c r="S739" s="186"/>
      <c r="T739" s="186"/>
      <c r="U739" s="186"/>
      <c r="V739" s="67"/>
      <c r="W739" s="67"/>
      <c r="X739" s="67"/>
      <c r="Y739" s="187"/>
      <c r="Z739" s="186"/>
      <c r="AA739" s="187"/>
      <c r="AB739" s="187"/>
      <c r="AC739" s="187"/>
      <c r="AD739" s="186"/>
      <c r="AE739" s="186"/>
      <c r="AF739" s="67"/>
      <c r="AG739" s="67"/>
      <c r="AH739" s="67"/>
      <c r="AL739" s="186"/>
    </row>
    <row r="740">
      <c r="A740" s="185"/>
      <c r="B740" s="67"/>
      <c r="C740" s="67"/>
      <c r="D740" s="67"/>
      <c r="E740" s="186"/>
      <c r="F740" s="186"/>
      <c r="G740" s="186"/>
      <c r="H740" s="186"/>
      <c r="I740" s="186"/>
      <c r="J740" s="186"/>
      <c r="K740" s="186"/>
      <c r="L740" s="186"/>
      <c r="M740" s="186"/>
      <c r="N740" s="186"/>
      <c r="O740" s="186"/>
      <c r="P740" s="186"/>
      <c r="Q740" s="186"/>
      <c r="R740" s="186"/>
      <c r="S740" s="186"/>
      <c r="T740" s="186"/>
      <c r="U740" s="186"/>
      <c r="V740" s="67"/>
      <c r="W740" s="67"/>
      <c r="X740" s="67"/>
      <c r="Y740" s="187"/>
      <c r="Z740" s="186"/>
      <c r="AA740" s="187"/>
      <c r="AB740" s="187"/>
      <c r="AC740" s="187"/>
      <c r="AD740" s="186"/>
      <c r="AE740" s="186"/>
      <c r="AF740" s="67"/>
      <c r="AG740" s="67"/>
      <c r="AH740" s="67"/>
      <c r="AL740" s="186"/>
    </row>
    <row r="741">
      <c r="A741" s="185"/>
      <c r="B741" s="67"/>
      <c r="C741" s="67"/>
      <c r="D741" s="67"/>
      <c r="E741" s="186"/>
      <c r="F741" s="186"/>
      <c r="G741" s="186"/>
      <c r="H741" s="186"/>
      <c r="I741" s="186"/>
      <c r="J741" s="186"/>
      <c r="K741" s="186"/>
      <c r="L741" s="186"/>
      <c r="M741" s="186"/>
      <c r="N741" s="186"/>
      <c r="O741" s="186"/>
      <c r="P741" s="186"/>
      <c r="Q741" s="186"/>
      <c r="R741" s="186"/>
      <c r="S741" s="186"/>
      <c r="T741" s="186"/>
      <c r="U741" s="186"/>
      <c r="V741" s="67"/>
      <c r="W741" s="67"/>
      <c r="X741" s="67"/>
      <c r="Y741" s="187"/>
      <c r="Z741" s="186"/>
      <c r="AA741" s="187"/>
      <c r="AB741" s="187"/>
      <c r="AC741" s="187"/>
      <c r="AD741" s="186"/>
      <c r="AE741" s="186"/>
      <c r="AF741" s="67"/>
      <c r="AG741" s="67"/>
      <c r="AH741" s="67"/>
      <c r="AL741" s="186"/>
    </row>
    <row r="742">
      <c r="A742" s="185"/>
      <c r="B742" s="67"/>
      <c r="C742" s="67"/>
      <c r="D742" s="67"/>
      <c r="E742" s="186"/>
      <c r="F742" s="186"/>
      <c r="G742" s="186"/>
      <c r="H742" s="186"/>
      <c r="I742" s="186"/>
      <c r="J742" s="186"/>
      <c r="K742" s="186"/>
      <c r="L742" s="186"/>
      <c r="M742" s="186"/>
      <c r="N742" s="186"/>
      <c r="O742" s="186"/>
      <c r="P742" s="186"/>
      <c r="Q742" s="186"/>
      <c r="R742" s="186"/>
      <c r="S742" s="186"/>
      <c r="T742" s="186"/>
      <c r="U742" s="186"/>
      <c r="V742" s="67"/>
      <c r="W742" s="67"/>
      <c r="X742" s="67"/>
      <c r="Y742" s="187"/>
      <c r="Z742" s="186"/>
      <c r="AA742" s="187"/>
      <c r="AB742" s="187"/>
      <c r="AC742" s="187"/>
      <c r="AD742" s="186"/>
      <c r="AE742" s="186"/>
      <c r="AF742" s="67"/>
      <c r="AG742" s="67"/>
      <c r="AH742" s="67"/>
      <c r="AL742" s="186"/>
    </row>
    <row r="743">
      <c r="A743" s="185"/>
      <c r="B743" s="67"/>
      <c r="C743" s="67"/>
      <c r="D743" s="67"/>
      <c r="E743" s="186"/>
      <c r="F743" s="186"/>
      <c r="G743" s="186"/>
      <c r="H743" s="186"/>
      <c r="I743" s="186"/>
      <c r="J743" s="186"/>
      <c r="K743" s="186"/>
      <c r="L743" s="186"/>
      <c r="M743" s="186"/>
      <c r="N743" s="186"/>
      <c r="O743" s="186"/>
      <c r="P743" s="186"/>
      <c r="Q743" s="186"/>
      <c r="R743" s="186"/>
      <c r="S743" s="186"/>
      <c r="T743" s="186"/>
      <c r="U743" s="186"/>
      <c r="V743" s="67"/>
      <c r="W743" s="67"/>
      <c r="X743" s="67"/>
      <c r="Y743" s="187"/>
      <c r="Z743" s="186"/>
      <c r="AA743" s="187"/>
      <c r="AB743" s="187"/>
      <c r="AC743" s="187"/>
      <c r="AD743" s="186"/>
      <c r="AE743" s="186"/>
      <c r="AF743" s="67"/>
      <c r="AG743" s="67"/>
      <c r="AH743" s="67"/>
      <c r="AL743" s="186"/>
    </row>
    <row r="744">
      <c r="A744" s="185"/>
      <c r="B744" s="67"/>
      <c r="C744" s="67"/>
      <c r="D744" s="67"/>
      <c r="E744" s="186"/>
      <c r="F744" s="186"/>
      <c r="G744" s="186"/>
      <c r="H744" s="186"/>
      <c r="I744" s="186"/>
      <c r="J744" s="186"/>
      <c r="K744" s="186"/>
      <c r="L744" s="186"/>
      <c r="M744" s="186"/>
      <c r="N744" s="186"/>
      <c r="O744" s="186"/>
      <c r="P744" s="186"/>
      <c r="Q744" s="186"/>
      <c r="R744" s="186"/>
      <c r="S744" s="186"/>
      <c r="T744" s="186"/>
      <c r="U744" s="186"/>
      <c r="V744" s="67"/>
      <c r="W744" s="67"/>
      <c r="X744" s="67"/>
      <c r="Y744" s="187"/>
      <c r="Z744" s="186"/>
      <c r="AA744" s="187"/>
      <c r="AB744" s="187"/>
      <c r="AC744" s="187"/>
      <c r="AD744" s="186"/>
      <c r="AE744" s="186"/>
      <c r="AF744" s="67"/>
      <c r="AG744" s="67"/>
      <c r="AH744" s="67"/>
      <c r="AL744" s="186"/>
    </row>
    <row r="745">
      <c r="A745" s="185"/>
      <c r="B745" s="67"/>
      <c r="C745" s="67"/>
      <c r="D745" s="67"/>
      <c r="E745" s="186"/>
      <c r="F745" s="186"/>
      <c r="G745" s="186"/>
      <c r="H745" s="186"/>
      <c r="I745" s="186"/>
      <c r="J745" s="186"/>
      <c r="K745" s="186"/>
      <c r="L745" s="186"/>
      <c r="M745" s="186"/>
      <c r="N745" s="186"/>
      <c r="O745" s="186"/>
      <c r="P745" s="186"/>
      <c r="Q745" s="186"/>
      <c r="R745" s="186"/>
      <c r="S745" s="186"/>
      <c r="T745" s="186"/>
      <c r="U745" s="186"/>
      <c r="V745" s="67"/>
      <c r="W745" s="67"/>
      <c r="X745" s="67"/>
      <c r="Y745" s="187"/>
      <c r="Z745" s="186"/>
      <c r="AA745" s="187"/>
      <c r="AB745" s="187"/>
      <c r="AC745" s="187"/>
      <c r="AD745" s="186"/>
      <c r="AE745" s="186"/>
      <c r="AF745" s="67"/>
      <c r="AG745" s="67"/>
      <c r="AH745" s="67"/>
      <c r="AL745" s="186"/>
    </row>
    <row r="746">
      <c r="A746" s="185"/>
      <c r="B746" s="67"/>
      <c r="C746" s="67"/>
      <c r="D746" s="67"/>
      <c r="E746" s="186"/>
      <c r="F746" s="186"/>
      <c r="G746" s="186"/>
      <c r="H746" s="186"/>
      <c r="I746" s="186"/>
      <c r="J746" s="186"/>
      <c r="K746" s="186"/>
      <c r="L746" s="186"/>
      <c r="M746" s="186"/>
      <c r="N746" s="186"/>
      <c r="O746" s="186"/>
      <c r="P746" s="186"/>
      <c r="Q746" s="186"/>
      <c r="R746" s="186"/>
      <c r="S746" s="186"/>
      <c r="T746" s="186"/>
      <c r="U746" s="186"/>
      <c r="V746" s="67"/>
      <c r="W746" s="67"/>
      <c r="X746" s="67"/>
      <c r="Y746" s="187"/>
      <c r="Z746" s="186"/>
      <c r="AA746" s="187"/>
      <c r="AB746" s="187"/>
      <c r="AC746" s="187"/>
      <c r="AD746" s="186"/>
      <c r="AE746" s="186"/>
      <c r="AF746" s="67"/>
      <c r="AG746" s="67"/>
      <c r="AH746" s="67"/>
      <c r="AL746" s="186"/>
    </row>
    <row r="747">
      <c r="A747" s="185"/>
      <c r="B747" s="67"/>
      <c r="C747" s="67"/>
      <c r="D747" s="67"/>
      <c r="E747" s="186"/>
      <c r="F747" s="186"/>
      <c r="G747" s="186"/>
      <c r="H747" s="186"/>
      <c r="I747" s="186"/>
      <c r="J747" s="186"/>
      <c r="K747" s="186"/>
      <c r="L747" s="186"/>
      <c r="M747" s="186"/>
      <c r="N747" s="186"/>
      <c r="O747" s="186"/>
      <c r="P747" s="186"/>
      <c r="Q747" s="186"/>
      <c r="R747" s="186"/>
      <c r="S747" s="186"/>
      <c r="T747" s="186"/>
      <c r="U747" s="186"/>
      <c r="V747" s="67"/>
      <c r="W747" s="67"/>
      <c r="X747" s="67"/>
      <c r="Y747" s="187"/>
      <c r="Z747" s="186"/>
      <c r="AA747" s="187"/>
      <c r="AB747" s="187"/>
      <c r="AC747" s="187"/>
      <c r="AD747" s="186"/>
      <c r="AE747" s="186"/>
      <c r="AF747" s="67"/>
      <c r="AG747" s="67"/>
      <c r="AH747" s="67"/>
      <c r="AL747" s="186"/>
    </row>
    <row r="748">
      <c r="A748" s="185"/>
      <c r="B748" s="67"/>
      <c r="C748" s="67"/>
      <c r="D748" s="67"/>
      <c r="E748" s="186"/>
      <c r="F748" s="186"/>
      <c r="G748" s="186"/>
      <c r="H748" s="186"/>
      <c r="I748" s="186"/>
      <c r="J748" s="186"/>
      <c r="K748" s="186"/>
      <c r="L748" s="186"/>
      <c r="M748" s="186"/>
      <c r="N748" s="186"/>
      <c r="O748" s="186"/>
      <c r="P748" s="186"/>
      <c r="Q748" s="186"/>
      <c r="R748" s="186"/>
      <c r="S748" s="186"/>
      <c r="T748" s="186"/>
      <c r="U748" s="186"/>
      <c r="V748" s="67"/>
      <c r="W748" s="67"/>
      <c r="X748" s="67"/>
      <c r="Y748" s="187"/>
      <c r="Z748" s="186"/>
      <c r="AA748" s="187"/>
      <c r="AB748" s="187"/>
      <c r="AC748" s="187"/>
      <c r="AD748" s="186"/>
      <c r="AE748" s="186"/>
      <c r="AF748" s="67"/>
      <c r="AG748" s="67"/>
      <c r="AH748" s="67"/>
      <c r="AL748" s="186"/>
    </row>
    <row r="749">
      <c r="A749" s="185"/>
      <c r="B749" s="67"/>
      <c r="C749" s="67"/>
      <c r="D749" s="67"/>
      <c r="E749" s="186"/>
      <c r="F749" s="186"/>
      <c r="G749" s="186"/>
      <c r="H749" s="186"/>
      <c r="I749" s="186"/>
      <c r="J749" s="186"/>
      <c r="K749" s="186"/>
      <c r="L749" s="186"/>
      <c r="M749" s="186"/>
      <c r="N749" s="186"/>
      <c r="O749" s="186"/>
      <c r="P749" s="186"/>
      <c r="Q749" s="186"/>
      <c r="R749" s="186"/>
      <c r="S749" s="186"/>
      <c r="T749" s="186"/>
      <c r="U749" s="186"/>
      <c r="V749" s="67"/>
      <c r="W749" s="67"/>
      <c r="X749" s="67"/>
      <c r="Y749" s="187"/>
      <c r="Z749" s="186"/>
      <c r="AA749" s="187"/>
      <c r="AB749" s="187"/>
      <c r="AC749" s="187"/>
      <c r="AD749" s="186"/>
      <c r="AE749" s="186"/>
      <c r="AF749" s="67"/>
      <c r="AG749" s="67"/>
      <c r="AH749" s="67"/>
      <c r="AL749" s="186"/>
    </row>
    <row r="750">
      <c r="A750" s="185"/>
      <c r="B750" s="67"/>
      <c r="C750" s="67"/>
      <c r="D750" s="67"/>
      <c r="E750" s="186"/>
      <c r="F750" s="186"/>
      <c r="G750" s="186"/>
      <c r="H750" s="186"/>
      <c r="I750" s="186"/>
      <c r="J750" s="186"/>
      <c r="K750" s="186"/>
      <c r="L750" s="186"/>
      <c r="M750" s="186"/>
      <c r="N750" s="186"/>
      <c r="O750" s="186"/>
      <c r="P750" s="186"/>
      <c r="Q750" s="186"/>
      <c r="R750" s="186"/>
      <c r="S750" s="186"/>
      <c r="T750" s="186"/>
      <c r="U750" s="186"/>
      <c r="V750" s="67"/>
      <c r="W750" s="67"/>
      <c r="X750" s="67"/>
      <c r="Y750" s="187"/>
      <c r="Z750" s="186"/>
      <c r="AA750" s="187"/>
      <c r="AB750" s="187"/>
      <c r="AC750" s="187"/>
      <c r="AD750" s="186"/>
      <c r="AE750" s="186"/>
      <c r="AF750" s="67"/>
      <c r="AG750" s="67"/>
      <c r="AH750" s="67"/>
      <c r="AL750" s="186"/>
    </row>
    <row r="751">
      <c r="A751" s="185"/>
      <c r="B751" s="67"/>
      <c r="C751" s="67"/>
      <c r="D751" s="67"/>
      <c r="E751" s="186"/>
      <c r="F751" s="186"/>
      <c r="G751" s="186"/>
      <c r="H751" s="186"/>
      <c r="I751" s="186"/>
      <c r="J751" s="186"/>
      <c r="K751" s="186"/>
      <c r="L751" s="186"/>
      <c r="M751" s="186"/>
      <c r="N751" s="186"/>
      <c r="O751" s="186"/>
      <c r="P751" s="186"/>
      <c r="Q751" s="186"/>
      <c r="R751" s="186"/>
      <c r="S751" s="186"/>
      <c r="T751" s="186"/>
      <c r="U751" s="186"/>
      <c r="V751" s="67"/>
      <c r="W751" s="67"/>
      <c r="X751" s="67"/>
      <c r="Y751" s="187"/>
      <c r="Z751" s="186"/>
      <c r="AA751" s="187"/>
      <c r="AB751" s="187"/>
      <c r="AC751" s="187"/>
      <c r="AD751" s="186"/>
      <c r="AE751" s="186"/>
      <c r="AF751" s="67"/>
      <c r="AG751" s="67"/>
      <c r="AH751" s="67"/>
      <c r="AL751" s="186"/>
    </row>
    <row r="752">
      <c r="A752" s="185"/>
      <c r="B752" s="67"/>
      <c r="C752" s="67"/>
      <c r="D752" s="67"/>
      <c r="E752" s="186"/>
      <c r="F752" s="186"/>
      <c r="G752" s="186"/>
      <c r="H752" s="186"/>
      <c r="I752" s="186"/>
      <c r="J752" s="186"/>
      <c r="K752" s="186"/>
      <c r="L752" s="186"/>
      <c r="M752" s="186"/>
      <c r="N752" s="186"/>
      <c r="O752" s="186"/>
      <c r="P752" s="186"/>
      <c r="Q752" s="186"/>
      <c r="R752" s="186"/>
      <c r="S752" s="186"/>
      <c r="T752" s="186"/>
      <c r="U752" s="186"/>
      <c r="V752" s="67"/>
      <c r="W752" s="67"/>
      <c r="X752" s="67"/>
      <c r="Y752" s="187"/>
      <c r="Z752" s="186"/>
      <c r="AA752" s="187"/>
      <c r="AB752" s="187"/>
      <c r="AC752" s="187"/>
      <c r="AD752" s="186"/>
      <c r="AE752" s="186"/>
      <c r="AF752" s="67"/>
      <c r="AG752" s="67"/>
      <c r="AH752" s="67"/>
      <c r="AL752" s="186"/>
    </row>
    <row r="753">
      <c r="A753" s="185"/>
      <c r="B753" s="67"/>
      <c r="C753" s="67"/>
      <c r="D753" s="67"/>
      <c r="E753" s="186"/>
      <c r="F753" s="186"/>
      <c r="G753" s="186"/>
      <c r="H753" s="186"/>
      <c r="I753" s="186"/>
      <c r="J753" s="186"/>
      <c r="K753" s="186"/>
      <c r="L753" s="186"/>
      <c r="M753" s="186"/>
      <c r="N753" s="186"/>
      <c r="O753" s="186"/>
      <c r="P753" s="186"/>
      <c r="Q753" s="186"/>
      <c r="R753" s="186"/>
      <c r="S753" s="186"/>
      <c r="T753" s="186"/>
      <c r="U753" s="186"/>
      <c r="V753" s="67"/>
      <c r="W753" s="67"/>
      <c r="X753" s="67"/>
      <c r="Y753" s="187"/>
      <c r="Z753" s="186"/>
      <c r="AA753" s="187"/>
      <c r="AB753" s="187"/>
      <c r="AC753" s="187"/>
      <c r="AD753" s="186"/>
      <c r="AE753" s="186"/>
      <c r="AF753" s="67"/>
      <c r="AG753" s="67"/>
      <c r="AH753" s="67"/>
      <c r="AL753" s="186"/>
    </row>
    <row r="754">
      <c r="A754" s="185"/>
      <c r="B754" s="67"/>
      <c r="C754" s="67"/>
      <c r="D754" s="67"/>
      <c r="E754" s="186"/>
      <c r="F754" s="186"/>
      <c r="G754" s="186"/>
      <c r="H754" s="186"/>
      <c r="I754" s="186"/>
      <c r="J754" s="186"/>
      <c r="K754" s="186"/>
      <c r="L754" s="186"/>
      <c r="M754" s="186"/>
      <c r="N754" s="186"/>
      <c r="O754" s="186"/>
      <c r="P754" s="186"/>
      <c r="Q754" s="186"/>
      <c r="R754" s="186"/>
      <c r="S754" s="186"/>
      <c r="T754" s="186"/>
      <c r="U754" s="186"/>
      <c r="V754" s="67"/>
      <c r="W754" s="67"/>
      <c r="X754" s="67"/>
      <c r="Y754" s="187"/>
      <c r="Z754" s="186"/>
      <c r="AA754" s="187"/>
      <c r="AB754" s="187"/>
      <c r="AC754" s="187"/>
      <c r="AD754" s="186"/>
      <c r="AE754" s="186"/>
      <c r="AF754" s="67"/>
      <c r="AG754" s="67"/>
      <c r="AH754" s="67"/>
      <c r="AL754" s="186"/>
    </row>
    <row r="755">
      <c r="A755" s="185"/>
      <c r="B755" s="67"/>
      <c r="C755" s="67"/>
      <c r="D755" s="67"/>
      <c r="E755" s="186"/>
      <c r="F755" s="186"/>
      <c r="G755" s="186"/>
      <c r="H755" s="186"/>
      <c r="I755" s="186"/>
      <c r="J755" s="186"/>
      <c r="K755" s="186"/>
      <c r="L755" s="186"/>
      <c r="M755" s="186"/>
      <c r="N755" s="186"/>
      <c r="O755" s="186"/>
      <c r="P755" s="186"/>
      <c r="Q755" s="186"/>
      <c r="R755" s="186"/>
      <c r="S755" s="186"/>
      <c r="T755" s="186"/>
      <c r="U755" s="186"/>
      <c r="V755" s="67"/>
      <c r="W755" s="67"/>
      <c r="X755" s="67"/>
      <c r="Y755" s="187"/>
      <c r="Z755" s="186"/>
      <c r="AA755" s="187"/>
      <c r="AB755" s="187"/>
      <c r="AC755" s="187"/>
      <c r="AD755" s="186"/>
      <c r="AE755" s="186"/>
      <c r="AF755" s="67"/>
      <c r="AG755" s="67"/>
      <c r="AH755" s="67"/>
      <c r="AL755" s="186"/>
    </row>
    <row r="756">
      <c r="A756" s="185"/>
      <c r="B756" s="67"/>
      <c r="C756" s="67"/>
      <c r="D756" s="67"/>
      <c r="E756" s="186"/>
      <c r="F756" s="186"/>
      <c r="G756" s="186"/>
      <c r="H756" s="186"/>
      <c r="I756" s="186"/>
      <c r="J756" s="186"/>
      <c r="K756" s="186"/>
      <c r="L756" s="186"/>
      <c r="M756" s="186"/>
      <c r="N756" s="186"/>
      <c r="O756" s="186"/>
      <c r="P756" s="186"/>
      <c r="Q756" s="186"/>
      <c r="R756" s="186"/>
      <c r="S756" s="186"/>
      <c r="T756" s="186"/>
      <c r="U756" s="186"/>
      <c r="V756" s="67"/>
      <c r="W756" s="67"/>
      <c r="X756" s="67"/>
      <c r="Y756" s="187"/>
      <c r="Z756" s="186"/>
      <c r="AA756" s="187"/>
      <c r="AB756" s="187"/>
      <c r="AC756" s="187"/>
      <c r="AD756" s="186"/>
      <c r="AE756" s="186"/>
      <c r="AF756" s="67"/>
      <c r="AG756" s="67"/>
      <c r="AH756" s="67"/>
      <c r="AL756" s="186"/>
    </row>
    <row r="757">
      <c r="A757" s="185"/>
      <c r="B757" s="67"/>
      <c r="C757" s="67"/>
      <c r="D757" s="67"/>
      <c r="E757" s="186"/>
      <c r="F757" s="186"/>
      <c r="G757" s="186"/>
      <c r="H757" s="186"/>
      <c r="I757" s="186"/>
      <c r="J757" s="186"/>
      <c r="K757" s="186"/>
      <c r="L757" s="186"/>
      <c r="M757" s="186"/>
      <c r="N757" s="186"/>
      <c r="O757" s="186"/>
      <c r="P757" s="186"/>
      <c r="Q757" s="186"/>
      <c r="R757" s="186"/>
      <c r="S757" s="186"/>
      <c r="T757" s="186"/>
      <c r="U757" s="186"/>
      <c r="V757" s="67"/>
      <c r="W757" s="67"/>
      <c r="X757" s="67"/>
      <c r="Y757" s="187"/>
      <c r="Z757" s="186"/>
      <c r="AA757" s="187"/>
      <c r="AB757" s="187"/>
      <c r="AC757" s="187"/>
      <c r="AD757" s="186"/>
      <c r="AE757" s="186"/>
      <c r="AF757" s="67"/>
      <c r="AG757" s="67"/>
      <c r="AH757" s="67"/>
      <c r="AL757" s="186"/>
    </row>
    <row r="758">
      <c r="A758" s="185"/>
      <c r="B758" s="67"/>
      <c r="C758" s="67"/>
      <c r="D758" s="67"/>
      <c r="E758" s="186"/>
      <c r="F758" s="186"/>
      <c r="G758" s="186"/>
      <c r="H758" s="186"/>
      <c r="I758" s="186"/>
      <c r="J758" s="186"/>
      <c r="K758" s="186"/>
      <c r="L758" s="186"/>
      <c r="M758" s="186"/>
      <c r="N758" s="186"/>
      <c r="O758" s="186"/>
      <c r="P758" s="186"/>
      <c r="Q758" s="186"/>
      <c r="R758" s="186"/>
      <c r="S758" s="186"/>
      <c r="T758" s="186"/>
      <c r="U758" s="186"/>
      <c r="V758" s="67"/>
      <c r="W758" s="67"/>
      <c r="X758" s="67"/>
      <c r="Y758" s="187"/>
      <c r="Z758" s="186"/>
      <c r="AA758" s="187"/>
      <c r="AB758" s="187"/>
      <c r="AC758" s="187"/>
      <c r="AD758" s="186"/>
      <c r="AE758" s="186"/>
      <c r="AF758" s="67"/>
      <c r="AG758" s="67"/>
      <c r="AH758" s="67"/>
      <c r="AL758" s="186"/>
    </row>
    <row r="759">
      <c r="A759" s="185"/>
      <c r="B759" s="67"/>
      <c r="C759" s="67"/>
      <c r="D759" s="67"/>
      <c r="E759" s="186"/>
      <c r="F759" s="186"/>
      <c r="G759" s="186"/>
      <c r="H759" s="186"/>
      <c r="I759" s="186"/>
      <c r="J759" s="186"/>
      <c r="K759" s="186"/>
      <c r="L759" s="186"/>
      <c r="M759" s="186"/>
      <c r="N759" s="186"/>
      <c r="O759" s="186"/>
      <c r="P759" s="186"/>
      <c r="Q759" s="186"/>
      <c r="R759" s="186"/>
      <c r="S759" s="186"/>
      <c r="T759" s="186"/>
      <c r="U759" s="186"/>
      <c r="V759" s="67"/>
      <c r="W759" s="67"/>
      <c r="X759" s="67"/>
      <c r="Y759" s="187"/>
      <c r="Z759" s="186"/>
      <c r="AA759" s="187"/>
      <c r="AB759" s="187"/>
      <c r="AC759" s="187"/>
      <c r="AD759" s="186"/>
      <c r="AE759" s="186"/>
      <c r="AF759" s="67"/>
      <c r="AG759" s="67"/>
      <c r="AH759" s="67"/>
      <c r="AL759" s="186"/>
    </row>
    <row r="760">
      <c r="A760" s="185"/>
      <c r="B760" s="67"/>
      <c r="C760" s="67"/>
      <c r="D760" s="67"/>
      <c r="E760" s="186"/>
      <c r="F760" s="186"/>
      <c r="G760" s="186"/>
      <c r="H760" s="186"/>
      <c r="I760" s="186"/>
      <c r="J760" s="186"/>
      <c r="K760" s="186"/>
      <c r="L760" s="186"/>
      <c r="M760" s="186"/>
      <c r="N760" s="186"/>
      <c r="O760" s="186"/>
      <c r="P760" s="186"/>
      <c r="Q760" s="186"/>
      <c r="R760" s="186"/>
      <c r="S760" s="186"/>
      <c r="T760" s="186"/>
      <c r="U760" s="186"/>
      <c r="V760" s="67"/>
      <c r="W760" s="67"/>
      <c r="X760" s="67"/>
      <c r="Y760" s="187"/>
      <c r="Z760" s="186"/>
      <c r="AA760" s="187"/>
      <c r="AB760" s="187"/>
      <c r="AC760" s="187"/>
      <c r="AD760" s="186"/>
      <c r="AE760" s="186"/>
      <c r="AF760" s="67"/>
      <c r="AG760" s="67"/>
      <c r="AH760" s="67"/>
      <c r="AL760" s="186"/>
    </row>
    <row r="761">
      <c r="A761" s="185"/>
      <c r="B761" s="67"/>
      <c r="C761" s="67"/>
      <c r="D761" s="67"/>
      <c r="E761" s="186"/>
      <c r="F761" s="186"/>
      <c r="G761" s="186"/>
      <c r="H761" s="186"/>
      <c r="I761" s="186"/>
      <c r="J761" s="186"/>
      <c r="K761" s="186"/>
      <c r="L761" s="186"/>
      <c r="M761" s="186"/>
      <c r="N761" s="186"/>
      <c r="O761" s="186"/>
      <c r="P761" s="186"/>
      <c r="Q761" s="186"/>
      <c r="R761" s="186"/>
      <c r="S761" s="186"/>
      <c r="T761" s="186"/>
      <c r="U761" s="186"/>
      <c r="V761" s="67"/>
      <c r="W761" s="67"/>
      <c r="X761" s="67"/>
      <c r="Y761" s="187"/>
      <c r="Z761" s="186"/>
      <c r="AA761" s="187"/>
      <c r="AB761" s="187"/>
      <c r="AC761" s="187"/>
      <c r="AD761" s="186"/>
      <c r="AE761" s="186"/>
      <c r="AF761" s="67"/>
      <c r="AG761" s="67"/>
      <c r="AH761" s="67"/>
      <c r="AL761" s="186"/>
    </row>
    <row r="762">
      <c r="A762" s="185"/>
      <c r="B762" s="67"/>
      <c r="C762" s="67"/>
      <c r="D762" s="67"/>
      <c r="E762" s="186"/>
      <c r="F762" s="186"/>
      <c r="G762" s="186"/>
      <c r="H762" s="186"/>
      <c r="I762" s="186"/>
      <c r="J762" s="186"/>
      <c r="K762" s="186"/>
      <c r="L762" s="186"/>
      <c r="M762" s="186"/>
      <c r="N762" s="186"/>
      <c r="O762" s="186"/>
      <c r="P762" s="186"/>
      <c r="Q762" s="186"/>
      <c r="R762" s="186"/>
      <c r="S762" s="186"/>
      <c r="T762" s="186"/>
      <c r="U762" s="186"/>
      <c r="V762" s="67"/>
      <c r="W762" s="67"/>
      <c r="X762" s="67"/>
      <c r="Y762" s="187"/>
      <c r="Z762" s="186"/>
      <c r="AA762" s="187"/>
      <c r="AB762" s="187"/>
      <c r="AC762" s="187"/>
      <c r="AD762" s="186"/>
      <c r="AE762" s="186"/>
      <c r="AF762" s="67"/>
      <c r="AG762" s="67"/>
      <c r="AH762" s="67"/>
      <c r="AL762" s="186"/>
    </row>
    <row r="763">
      <c r="A763" s="185"/>
      <c r="B763" s="67"/>
      <c r="C763" s="67"/>
      <c r="D763" s="67"/>
      <c r="E763" s="186"/>
      <c r="F763" s="186"/>
      <c r="G763" s="186"/>
      <c r="H763" s="186"/>
      <c r="I763" s="186"/>
      <c r="J763" s="186"/>
      <c r="K763" s="186"/>
      <c r="L763" s="186"/>
      <c r="M763" s="186"/>
      <c r="N763" s="186"/>
      <c r="O763" s="186"/>
      <c r="P763" s="186"/>
      <c r="Q763" s="186"/>
      <c r="R763" s="186"/>
      <c r="S763" s="186"/>
      <c r="T763" s="186"/>
      <c r="U763" s="186"/>
      <c r="V763" s="67"/>
      <c r="W763" s="67"/>
      <c r="X763" s="67"/>
      <c r="Y763" s="187"/>
      <c r="Z763" s="186"/>
      <c r="AA763" s="187"/>
      <c r="AB763" s="187"/>
      <c r="AC763" s="187"/>
      <c r="AD763" s="186"/>
      <c r="AE763" s="186"/>
      <c r="AF763" s="67"/>
      <c r="AG763" s="67"/>
      <c r="AH763" s="67"/>
      <c r="AL763" s="186"/>
    </row>
    <row r="764">
      <c r="A764" s="185"/>
      <c r="B764" s="67"/>
      <c r="C764" s="67"/>
      <c r="D764" s="67"/>
      <c r="E764" s="186"/>
      <c r="F764" s="186"/>
      <c r="G764" s="186"/>
      <c r="H764" s="186"/>
      <c r="I764" s="186"/>
      <c r="J764" s="186"/>
      <c r="K764" s="186"/>
      <c r="L764" s="186"/>
      <c r="M764" s="186"/>
      <c r="N764" s="186"/>
      <c r="O764" s="186"/>
      <c r="P764" s="186"/>
      <c r="Q764" s="186"/>
      <c r="R764" s="186"/>
      <c r="S764" s="186"/>
      <c r="T764" s="186"/>
      <c r="U764" s="186"/>
      <c r="V764" s="67"/>
      <c r="W764" s="67"/>
      <c r="X764" s="67"/>
      <c r="Y764" s="187"/>
      <c r="Z764" s="186"/>
      <c r="AA764" s="187"/>
      <c r="AB764" s="187"/>
      <c r="AC764" s="187"/>
      <c r="AD764" s="186"/>
      <c r="AE764" s="186"/>
      <c r="AF764" s="67"/>
      <c r="AG764" s="67"/>
      <c r="AH764" s="67"/>
      <c r="AL764" s="186"/>
    </row>
    <row r="765">
      <c r="A765" s="185"/>
      <c r="B765" s="67"/>
      <c r="C765" s="67"/>
      <c r="D765" s="67"/>
      <c r="E765" s="186"/>
      <c r="F765" s="186"/>
      <c r="G765" s="186"/>
      <c r="H765" s="186"/>
      <c r="I765" s="186"/>
      <c r="J765" s="186"/>
      <c r="K765" s="186"/>
      <c r="L765" s="186"/>
      <c r="M765" s="186"/>
      <c r="N765" s="186"/>
      <c r="O765" s="186"/>
      <c r="P765" s="186"/>
      <c r="Q765" s="186"/>
      <c r="R765" s="186"/>
      <c r="S765" s="186"/>
      <c r="T765" s="186"/>
      <c r="U765" s="186"/>
      <c r="V765" s="67"/>
      <c r="W765" s="67"/>
      <c r="X765" s="67"/>
      <c r="Y765" s="187"/>
      <c r="Z765" s="186"/>
      <c r="AA765" s="187"/>
      <c r="AB765" s="187"/>
      <c r="AC765" s="187"/>
      <c r="AD765" s="186"/>
      <c r="AE765" s="186"/>
      <c r="AF765" s="67"/>
      <c r="AG765" s="67"/>
      <c r="AH765" s="67"/>
      <c r="AL765" s="186"/>
    </row>
    <row r="766">
      <c r="A766" s="185"/>
      <c r="B766" s="67"/>
      <c r="C766" s="67"/>
      <c r="D766" s="67"/>
      <c r="E766" s="186"/>
      <c r="F766" s="186"/>
      <c r="G766" s="186"/>
      <c r="H766" s="186"/>
      <c r="I766" s="186"/>
      <c r="J766" s="186"/>
      <c r="K766" s="186"/>
      <c r="L766" s="186"/>
      <c r="M766" s="186"/>
      <c r="N766" s="186"/>
      <c r="O766" s="186"/>
      <c r="P766" s="186"/>
      <c r="Q766" s="186"/>
      <c r="R766" s="186"/>
      <c r="S766" s="186"/>
      <c r="T766" s="186"/>
      <c r="U766" s="186"/>
      <c r="V766" s="67"/>
      <c r="W766" s="67"/>
      <c r="X766" s="67"/>
      <c r="Y766" s="187"/>
      <c r="Z766" s="186"/>
      <c r="AA766" s="187"/>
      <c r="AB766" s="187"/>
      <c r="AC766" s="187"/>
      <c r="AD766" s="186"/>
      <c r="AE766" s="186"/>
      <c r="AF766" s="67"/>
      <c r="AG766" s="67"/>
      <c r="AH766" s="67"/>
      <c r="AL766" s="186"/>
    </row>
    <row r="767">
      <c r="A767" s="185"/>
      <c r="B767" s="67"/>
      <c r="C767" s="67"/>
      <c r="D767" s="67"/>
      <c r="E767" s="186"/>
      <c r="F767" s="186"/>
      <c r="G767" s="186"/>
      <c r="H767" s="186"/>
      <c r="I767" s="186"/>
      <c r="J767" s="186"/>
      <c r="K767" s="186"/>
      <c r="L767" s="186"/>
      <c r="M767" s="186"/>
      <c r="N767" s="186"/>
      <c r="O767" s="186"/>
      <c r="P767" s="186"/>
      <c r="Q767" s="186"/>
      <c r="R767" s="186"/>
      <c r="S767" s="186"/>
      <c r="T767" s="186"/>
      <c r="U767" s="186"/>
      <c r="V767" s="67"/>
      <c r="W767" s="67"/>
      <c r="X767" s="67"/>
      <c r="Y767" s="187"/>
      <c r="Z767" s="186"/>
      <c r="AA767" s="187"/>
      <c r="AB767" s="187"/>
      <c r="AC767" s="187"/>
      <c r="AD767" s="186"/>
      <c r="AE767" s="186"/>
      <c r="AF767" s="67"/>
      <c r="AG767" s="67"/>
      <c r="AH767" s="67"/>
      <c r="AL767" s="186"/>
    </row>
    <row r="768">
      <c r="A768" s="185"/>
      <c r="B768" s="67"/>
      <c r="C768" s="67"/>
      <c r="D768" s="67"/>
      <c r="E768" s="186"/>
      <c r="F768" s="186"/>
      <c r="G768" s="186"/>
      <c r="H768" s="186"/>
      <c r="I768" s="186"/>
      <c r="J768" s="186"/>
      <c r="K768" s="186"/>
      <c r="L768" s="186"/>
      <c r="M768" s="186"/>
      <c r="N768" s="186"/>
      <c r="O768" s="186"/>
      <c r="P768" s="186"/>
      <c r="Q768" s="186"/>
      <c r="R768" s="186"/>
      <c r="S768" s="186"/>
      <c r="T768" s="186"/>
      <c r="U768" s="186"/>
      <c r="V768" s="67"/>
      <c r="W768" s="67"/>
      <c r="X768" s="67"/>
      <c r="Y768" s="187"/>
      <c r="Z768" s="186"/>
      <c r="AA768" s="187"/>
      <c r="AB768" s="187"/>
      <c r="AC768" s="187"/>
      <c r="AD768" s="186"/>
      <c r="AE768" s="186"/>
      <c r="AF768" s="67"/>
      <c r="AG768" s="67"/>
      <c r="AH768" s="67"/>
      <c r="AL768" s="186"/>
    </row>
    <row r="769">
      <c r="A769" s="185"/>
      <c r="B769" s="67"/>
      <c r="C769" s="67"/>
      <c r="D769" s="67"/>
      <c r="E769" s="186"/>
      <c r="F769" s="186"/>
      <c r="G769" s="186"/>
      <c r="H769" s="186"/>
      <c r="I769" s="186"/>
      <c r="J769" s="186"/>
      <c r="K769" s="186"/>
      <c r="L769" s="186"/>
      <c r="M769" s="186"/>
      <c r="N769" s="186"/>
      <c r="O769" s="186"/>
      <c r="P769" s="186"/>
      <c r="Q769" s="186"/>
      <c r="R769" s="186"/>
      <c r="S769" s="186"/>
      <c r="T769" s="186"/>
      <c r="U769" s="186"/>
      <c r="V769" s="67"/>
      <c r="W769" s="67"/>
      <c r="X769" s="67"/>
      <c r="Y769" s="187"/>
      <c r="Z769" s="186"/>
      <c r="AA769" s="187"/>
      <c r="AB769" s="187"/>
      <c r="AC769" s="187"/>
      <c r="AD769" s="186"/>
      <c r="AE769" s="186"/>
      <c r="AF769" s="67"/>
      <c r="AG769" s="67"/>
      <c r="AH769" s="67"/>
      <c r="AL769" s="186"/>
    </row>
    <row r="770">
      <c r="A770" s="185"/>
      <c r="B770" s="67"/>
      <c r="C770" s="67"/>
      <c r="D770" s="67"/>
      <c r="E770" s="186"/>
      <c r="F770" s="186"/>
      <c r="G770" s="186"/>
      <c r="H770" s="186"/>
      <c r="I770" s="186"/>
      <c r="J770" s="186"/>
      <c r="K770" s="186"/>
      <c r="L770" s="186"/>
      <c r="M770" s="186"/>
      <c r="N770" s="186"/>
      <c r="O770" s="186"/>
      <c r="P770" s="186"/>
      <c r="Q770" s="186"/>
      <c r="R770" s="186"/>
      <c r="S770" s="186"/>
      <c r="T770" s="186"/>
      <c r="U770" s="186"/>
      <c r="V770" s="67"/>
      <c r="W770" s="67"/>
      <c r="X770" s="67"/>
      <c r="Y770" s="187"/>
      <c r="Z770" s="186"/>
      <c r="AA770" s="187"/>
      <c r="AB770" s="187"/>
      <c r="AC770" s="187"/>
      <c r="AD770" s="186"/>
      <c r="AE770" s="186"/>
      <c r="AF770" s="67"/>
      <c r="AG770" s="67"/>
      <c r="AH770" s="67"/>
      <c r="AL770" s="186"/>
    </row>
    <row r="771">
      <c r="A771" s="185"/>
      <c r="B771" s="67"/>
      <c r="C771" s="67"/>
      <c r="D771" s="67"/>
      <c r="E771" s="186"/>
      <c r="F771" s="186"/>
      <c r="G771" s="186"/>
      <c r="H771" s="186"/>
      <c r="I771" s="186"/>
      <c r="J771" s="186"/>
      <c r="K771" s="186"/>
      <c r="L771" s="186"/>
      <c r="M771" s="186"/>
      <c r="N771" s="186"/>
      <c r="O771" s="186"/>
      <c r="P771" s="186"/>
      <c r="Q771" s="186"/>
      <c r="R771" s="186"/>
      <c r="S771" s="186"/>
      <c r="T771" s="186"/>
      <c r="U771" s="186"/>
      <c r="V771" s="67"/>
      <c r="W771" s="67"/>
      <c r="X771" s="67"/>
      <c r="Y771" s="187"/>
      <c r="Z771" s="186"/>
      <c r="AA771" s="187"/>
      <c r="AB771" s="187"/>
      <c r="AC771" s="187"/>
      <c r="AD771" s="186"/>
      <c r="AE771" s="186"/>
      <c r="AF771" s="67"/>
      <c r="AG771" s="67"/>
      <c r="AH771" s="67"/>
      <c r="AL771" s="186"/>
    </row>
    <row r="772">
      <c r="A772" s="185"/>
      <c r="B772" s="67"/>
      <c r="C772" s="67"/>
      <c r="D772" s="67"/>
      <c r="E772" s="186"/>
      <c r="F772" s="186"/>
      <c r="G772" s="186"/>
      <c r="H772" s="186"/>
      <c r="I772" s="186"/>
      <c r="J772" s="186"/>
      <c r="K772" s="186"/>
      <c r="L772" s="186"/>
      <c r="M772" s="186"/>
      <c r="N772" s="186"/>
      <c r="O772" s="186"/>
      <c r="P772" s="186"/>
      <c r="Q772" s="186"/>
      <c r="R772" s="186"/>
      <c r="S772" s="186"/>
      <c r="T772" s="186"/>
      <c r="U772" s="186"/>
      <c r="V772" s="67"/>
      <c r="W772" s="67"/>
      <c r="X772" s="67"/>
      <c r="Y772" s="187"/>
      <c r="Z772" s="186"/>
      <c r="AA772" s="187"/>
      <c r="AB772" s="187"/>
      <c r="AC772" s="187"/>
      <c r="AD772" s="186"/>
      <c r="AE772" s="186"/>
      <c r="AF772" s="67"/>
      <c r="AG772" s="67"/>
      <c r="AH772" s="67"/>
      <c r="AL772" s="186"/>
    </row>
    <row r="773">
      <c r="A773" s="185"/>
      <c r="B773" s="67"/>
      <c r="C773" s="67"/>
      <c r="D773" s="67"/>
      <c r="E773" s="186"/>
      <c r="F773" s="186"/>
      <c r="G773" s="186"/>
      <c r="H773" s="186"/>
      <c r="I773" s="186"/>
      <c r="J773" s="186"/>
      <c r="K773" s="186"/>
      <c r="L773" s="186"/>
      <c r="M773" s="186"/>
      <c r="N773" s="186"/>
      <c r="O773" s="186"/>
      <c r="P773" s="186"/>
      <c r="Q773" s="186"/>
      <c r="R773" s="186"/>
      <c r="S773" s="186"/>
      <c r="T773" s="186"/>
      <c r="U773" s="186"/>
      <c r="V773" s="67"/>
      <c r="W773" s="67"/>
      <c r="X773" s="67"/>
      <c r="Y773" s="187"/>
      <c r="Z773" s="186"/>
      <c r="AA773" s="187"/>
      <c r="AB773" s="187"/>
      <c r="AC773" s="187"/>
      <c r="AD773" s="186"/>
      <c r="AE773" s="186"/>
      <c r="AF773" s="67"/>
      <c r="AG773" s="67"/>
      <c r="AH773" s="67"/>
      <c r="AL773" s="186"/>
    </row>
    <row r="774">
      <c r="A774" s="185"/>
      <c r="B774" s="67"/>
      <c r="C774" s="67"/>
      <c r="D774" s="67"/>
      <c r="E774" s="186"/>
      <c r="F774" s="186"/>
      <c r="G774" s="186"/>
      <c r="H774" s="186"/>
      <c r="I774" s="186"/>
      <c r="J774" s="186"/>
      <c r="K774" s="186"/>
      <c r="L774" s="186"/>
      <c r="M774" s="186"/>
      <c r="N774" s="186"/>
      <c r="O774" s="186"/>
      <c r="P774" s="186"/>
      <c r="Q774" s="186"/>
      <c r="R774" s="186"/>
      <c r="S774" s="186"/>
      <c r="T774" s="186"/>
      <c r="U774" s="186"/>
      <c r="V774" s="67"/>
      <c r="W774" s="67"/>
      <c r="X774" s="67"/>
      <c r="Y774" s="187"/>
      <c r="Z774" s="186"/>
      <c r="AA774" s="187"/>
      <c r="AB774" s="187"/>
      <c r="AC774" s="187"/>
      <c r="AD774" s="186"/>
      <c r="AE774" s="186"/>
      <c r="AF774" s="67"/>
      <c r="AG774" s="67"/>
      <c r="AH774" s="67"/>
      <c r="AL774" s="186"/>
    </row>
    <row r="775">
      <c r="A775" s="185"/>
      <c r="B775" s="67"/>
      <c r="C775" s="67"/>
      <c r="D775" s="67"/>
      <c r="E775" s="186"/>
      <c r="F775" s="186"/>
      <c r="G775" s="186"/>
      <c r="H775" s="186"/>
      <c r="I775" s="186"/>
      <c r="J775" s="186"/>
      <c r="K775" s="186"/>
      <c r="L775" s="186"/>
      <c r="M775" s="186"/>
      <c r="N775" s="186"/>
      <c r="O775" s="186"/>
      <c r="P775" s="186"/>
      <c r="Q775" s="186"/>
      <c r="R775" s="186"/>
      <c r="S775" s="186"/>
      <c r="T775" s="186"/>
      <c r="U775" s="186"/>
      <c r="V775" s="67"/>
      <c r="W775" s="67"/>
      <c r="X775" s="67"/>
      <c r="Y775" s="187"/>
      <c r="Z775" s="186"/>
      <c r="AA775" s="187"/>
      <c r="AB775" s="187"/>
      <c r="AC775" s="187"/>
      <c r="AD775" s="186"/>
      <c r="AE775" s="186"/>
      <c r="AF775" s="67"/>
      <c r="AG775" s="67"/>
      <c r="AH775" s="67"/>
      <c r="AL775" s="186"/>
    </row>
    <row r="776">
      <c r="A776" s="185"/>
      <c r="B776" s="67"/>
      <c r="C776" s="67"/>
      <c r="D776" s="67"/>
      <c r="E776" s="186"/>
      <c r="F776" s="186"/>
      <c r="G776" s="186"/>
      <c r="H776" s="186"/>
      <c r="I776" s="186"/>
      <c r="J776" s="186"/>
      <c r="K776" s="186"/>
      <c r="L776" s="186"/>
      <c r="M776" s="186"/>
      <c r="N776" s="186"/>
      <c r="O776" s="186"/>
      <c r="P776" s="186"/>
      <c r="Q776" s="186"/>
      <c r="R776" s="186"/>
      <c r="S776" s="186"/>
      <c r="T776" s="186"/>
      <c r="U776" s="186"/>
      <c r="V776" s="67"/>
      <c r="W776" s="67"/>
      <c r="X776" s="67"/>
      <c r="Y776" s="187"/>
      <c r="Z776" s="186"/>
      <c r="AA776" s="187"/>
      <c r="AB776" s="187"/>
      <c r="AC776" s="187"/>
      <c r="AD776" s="186"/>
      <c r="AE776" s="186"/>
      <c r="AF776" s="67"/>
      <c r="AG776" s="67"/>
      <c r="AH776" s="67"/>
      <c r="AL776" s="186"/>
    </row>
    <row r="777">
      <c r="A777" s="185"/>
      <c r="B777" s="67"/>
      <c r="C777" s="67"/>
      <c r="D777" s="67"/>
      <c r="E777" s="186"/>
      <c r="F777" s="186"/>
      <c r="G777" s="186"/>
      <c r="H777" s="186"/>
      <c r="I777" s="186"/>
      <c r="J777" s="186"/>
      <c r="K777" s="186"/>
      <c r="L777" s="186"/>
      <c r="M777" s="186"/>
      <c r="N777" s="186"/>
      <c r="O777" s="186"/>
      <c r="P777" s="186"/>
      <c r="Q777" s="186"/>
      <c r="R777" s="186"/>
      <c r="S777" s="186"/>
      <c r="T777" s="186"/>
      <c r="U777" s="186"/>
      <c r="V777" s="67"/>
      <c r="W777" s="67"/>
      <c r="X777" s="67"/>
      <c r="Y777" s="187"/>
      <c r="Z777" s="186"/>
      <c r="AA777" s="187"/>
      <c r="AB777" s="187"/>
      <c r="AC777" s="187"/>
      <c r="AD777" s="186"/>
      <c r="AE777" s="186"/>
      <c r="AF777" s="67"/>
      <c r="AG777" s="67"/>
      <c r="AH777" s="67"/>
      <c r="AL777" s="186"/>
    </row>
    <row r="778">
      <c r="A778" s="185"/>
      <c r="B778" s="67"/>
      <c r="C778" s="67"/>
      <c r="D778" s="67"/>
      <c r="E778" s="186"/>
      <c r="F778" s="186"/>
      <c r="G778" s="186"/>
      <c r="H778" s="186"/>
      <c r="I778" s="186"/>
      <c r="J778" s="186"/>
      <c r="K778" s="186"/>
      <c r="L778" s="186"/>
      <c r="M778" s="186"/>
      <c r="N778" s="186"/>
      <c r="O778" s="186"/>
      <c r="P778" s="186"/>
      <c r="Q778" s="186"/>
      <c r="R778" s="186"/>
      <c r="S778" s="186"/>
      <c r="T778" s="186"/>
      <c r="U778" s="186"/>
      <c r="V778" s="67"/>
      <c r="W778" s="67"/>
      <c r="X778" s="67"/>
      <c r="Y778" s="187"/>
      <c r="Z778" s="186"/>
      <c r="AA778" s="187"/>
      <c r="AB778" s="187"/>
      <c r="AC778" s="187"/>
      <c r="AD778" s="186"/>
      <c r="AE778" s="186"/>
      <c r="AF778" s="67"/>
      <c r="AG778" s="67"/>
      <c r="AH778" s="67"/>
      <c r="AL778" s="186"/>
    </row>
    <row r="779">
      <c r="A779" s="185"/>
      <c r="B779" s="67"/>
      <c r="C779" s="67"/>
      <c r="D779" s="67"/>
      <c r="E779" s="186"/>
      <c r="F779" s="186"/>
      <c r="G779" s="186"/>
      <c r="H779" s="186"/>
      <c r="I779" s="186"/>
      <c r="J779" s="186"/>
      <c r="K779" s="186"/>
      <c r="L779" s="186"/>
      <c r="M779" s="186"/>
      <c r="N779" s="186"/>
      <c r="O779" s="186"/>
      <c r="P779" s="186"/>
      <c r="Q779" s="186"/>
      <c r="R779" s="186"/>
      <c r="S779" s="186"/>
      <c r="T779" s="186"/>
      <c r="U779" s="186"/>
      <c r="V779" s="67"/>
      <c r="W779" s="67"/>
      <c r="X779" s="67"/>
      <c r="Y779" s="187"/>
      <c r="Z779" s="186"/>
      <c r="AA779" s="187"/>
      <c r="AB779" s="187"/>
      <c r="AC779" s="187"/>
      <c r="AD779" s="186"/>
      <c r="AE779" s="186"/>
      <c r="AF779" s="67"/>
      <c r="AG779" s="67"/>
      <c r="AH779" s="67"/>
      <c r="AL779" s="186"/>
    </row>
    <row r="780">
      <c r="A780" s="185"/>
      <c r="B780" s="67"/>
      <c r="C780" s="67"/>
      <c r="D780" s="67"/>
      <c r="E780" s="186"/>
      <c r="F780" s="186"/>
      <c r="G780" s="186"/>
      <c r="H780" s="186"/>
      <c r="I780" s="186"/>
      <c r="J780" s="186"/>
      <c r="K780" s="186"/>
      <c r="L780" s="186"/>
      <c r="M780" s="186"/>
      <c r="N780" s="186"/>
      <c r="O780" s="186"/>
      <c r="P780" s="186"/>
      <c r="Q780" s="186"/>
      <c r="R780" s="186"/>
      <c r="S780" s="186"/>
      <c r="T780" s="186"/>
      <c r="U780" s="186"/>
      <c r="V780" s="67"/>
      <c r="W780" s="67"/>
      <c r="X780" s="67"/>
      <c r="Y780" s="187"/>
      <c r="Z780" s="186"/>
      <c r="AA780" s="187"/>
      <c r="AB780" s="187"/>
      <c r="AC780" s="187"/>
      <c r="AD780" s="186"/>
      <c r="AE780" s="186"/>
      <c r="AF780" s="67"/>
      <c r="AG780" s="67"/>
      <c r="AH780" s="67"/>
      <c r="AL780" s="186"/>
    </row>
    <row r="781">
      <c r="A781" s="185"/>
      <c r="B781" s="67"/>
      <c r="C781" s="67"/>
      <c r="D781" s="67"/>
      <c r="E781" s="186"/>
      <c r="F781" s="186"/>
      <c r="G781" s="186"/>
      <c r="H781" s="186"/>
      <c r="I781" s="186"/>
      <c r="J781" s="186"/>
      <c r="K781" s="186"/>
      <c r="L781" s="186"/>
      <c r="M781" s="186"/>
      <c r="N781" s="186"/>
      <c r="O781" s="186"/>
      <c r="P781" s="186"/>
      <c r="Q781" s="186"/>
      <c r="R781" s="186"/>
      <c r="S781" s="186"/>
      <c r="T781" s="186"/>
      <c r="U781" s="186"/>
      <c r="V781" s="67"/>
      <c r="W781" s="67"/>
      <c r="X781" s="67"/>
      <c r="Y781" s="187"/>
      <c r="Z781" s="186"/>
      <c r="AA781" s="187"/>
      <c r="AB781" s="187"/>
      <c r="AC781" s="187"/>
      <c r="AD781" s="186"/>
      <c r="AE781" s="186"/>
      <c r="AF781" s="67"/>
      <c r="AG781" s="67"/>
      <c r="AH781" s="67"/>
      <c r="AL781" s="186"/>
    </row>
    <row r="782">
      <c r="A782" s="185"/>
      <c r="B782" s="67"/>
      <c r="C782" s="67"/>
      <c r="D782" s="67"/>
      <c r="E782" s="186"/>
      <c r="F782" s="186"/>
      <c r="G782" s="186"/>
      <c r="H782" s="186"/>
      <c r="I782" s="186"/>
      <c r="J782" s="186"/>
      <c r="K782" s="186"/>
      <c r="L782" s="186"/>
      <c r="M782" s="186"/>
      <c r="N782" s="186"/>
      <c r="O782" s="186"/>
      <c r="P782" s="186"/>
      <c r="Q782" s="186"/>
      <c r="R782" s="186"/>
      <c r="S782" s="186"/>
      <c r="T782" s="186"/>
      <c r="U782" s="186"/>
      <c r="V782" s="67"/>
      <c r="W782" s="67"/>
      <c r="X782" s="67"/>
      <c r="Y782" s="187"/>
      <c r="Z782" s="186"/>
      <c r="AA782" s="187"/>
      <c r="AB782" s="187"/>
      <c r="AC782" s="187"/>
      <c r="AD782" s="186"/>
      <c r="AE782" s="186"/>
      <c r="AF782" s="67"/>
      <c r="AG782" s="67"/>
      <c r="AH782" s="67"/>
      <c r="AL782" s="186"/>
    </row>
    <row r="783">
      <c r="A783" s="185"/>
      <c r="B783" s="67"/>
      <c r="C783" s="67"/>
      <c r="D783" s="67"/>
      <c r="E783" s="186"/>
      <c r="F783" s="186"/>
      <c r="G783" s="186"/>
      <c r="H783" s="186"/>
      <c r="I783" s="186"/>
      <c r="J783" s="186"/>
      <c r="K783" s="186"/>
      <c r="L783" s="186"/>
      <c r="M783" s="186"/>
      <c r="N783" s="186"/>
      <c r="O783" s="186"/>
      <c r="P783" s="186"/>
      <c r="Q783" s="186"/>
      <c r="R783" s="186"/>
      <c r="S783" s="186"/>
      <c r="T783" s="186"/>
      <c r="U783" s="186"/>
      <c r="V783" s="67"/>
      <c r="W783" s="67"/>
      <c r="X783" s="67"/>
      <c r="Y783" s="187"/>
      <c r="Z783" s="186"/>
      <c r="AA783" s="187"/>
      <c r="AB783" s="187"/>
      <c r="AC783" s="187"/>
      <c r="AD783" s="186"/>
      <c r="AE783" s="186"/>
      <c r="AF783" s="67"/>
      <c r="AG783" s="67"/>
      <c r="AH783" s="67"/>
      <c r="AL783" s="186"/>
    </row>
    <row r="784">
      <c r="A784" s="185"/>
      <c r="B784" s="67"/>
      <c r="C784" s="67"/>
      <c r="D784" s="67"/>
      <c r="E784" s="186"/>
      <c r="F784" s="186"/>
      <c r="G784" s="186"/>
      <c r="H784" s="186"/>
      <c r="I784" s="186"/>
      <c r="J784" s="186"/>
      <c r="K784" s="186"/>
      <c r="L784" s="186"/>
      <c r="M784" s="186"/>
      <c r="N784" s="186"/>
      <c r="O784" s="186"/>
      <c r="P784" s="186"/>
      <c r="Q784" s="186"/>
      <c r="R784" s="186"/>
      <c r="S784" s="186"/>
      <c r="T784" s="186"/>
      <c r="U784" s="186"/>
      <c r="V784" s="67"/>
      <c r="W784" s="67"/>
      <c r="X784" s="67"/>
      <c r="Y784" s="187"/>
      <c r="Z784" s="186"/>
      <c r="AA784" s="187"/>
      <c r="AB784" s="187"/>
      <c r="AC784" s="187"/>
      <c r="AD784" s="186"/>
      <c r="AE784" s="186"/>
      <c r="AF784" s="67"/>
      <c r="AG784" s="67"/>
      <c r="AH784" s="67"/>
      <c r="AL784" s="186"/>
    </row>
    <row r="785">
      <c r="A785" s="185"/>
      <c r="B785" s="67"/>
      <c r="C785" s="67"/>
      <c r="D785" s="67"/>
      <c r="E785" s="186"/>
      <c r="F785" s="186"/>
      <c r="G785" s="186"/>
      <c r="H785" s="186"/>
      <c r="I785" s="186"/>
      <c r="J785" s="186"/>
      <c r="K785" s="186"/>
      <c r="L785" s="186"/>
      <c r="M785" s="186"/>
      <c r="N785" s="186"/>
      <c r="O785" s="186"/>
      <c r="P785" s="186"/>
      <c r="Q785" s="186"/>
      <c r="R785" s="186"/>
      <c r="S785" s="186"/>
      <c r="T785" s="186"/>
      <c r="U785" s="186"/>
      <c r="V785" s="67"/>
      <c r="W785" s="67"/>
      <c r="X785" s="67"/>
      <c r="Y785" s="187"/>
      <c r="Z785" s="186"/>
      <c r="AA785" s="187"/>
      <c r="AB785" s="187"/>
      <c r="AC785" s="187"/>
      <c r="AD785" s="186"/>
      <c r="AE785" s="186"/>
      <c r="AF785" s="67"/>
      <c r="AG785" s="67"/>
      <c r="AH785" s="67"/>
      <c r="AL785" s="186"/>
    </row>
    <row r="786">
      <c r="A786" s="185"/>
      <c r="B786" s="67"/>
      <c r="C786" s="67"/>
      <c r="D786" s="67"/>
      <c r="E786" s="186"/>
      <c r="F786" s="186"/>
      <c r="G786" s="186"/>
      <c r="H786" s="186"/>
      <c r="I786" s="186"/>
      <c r="J786" s="186"/>
      <c r="K786" s="186"/>
      <c r="L786" s="186"/>
      <c r="M786" s="186"/>
      <c r="N786" s="186"/>
      <c r="O786" s="186"/>
      <c r="P786" s="186"/>
      <c r="Q786" s="186"/>
      <c r="R786" s="186"/>
      <c r="S786" s="186"/>
      <c r="T786" s="186"/>
      <c r="U786" s="186"/>
      <c r="V786" s="67"/>
      <c r="W786" s="67"/>
      <c r="X786" s="67"/>
      <c r="Y786" s="187"/>
      <c r="Z786" s="186"/>
      <c r="AA786" s="187"/>
      <c r="AB786" s="187"/>
      <c r="AC786" s="187"/>
      <c r="AD786" s="186"/>
      <c r="AE786" s="186"/>
      <c r="AF786" s="67"/>
      <c r="AG786" s="67"/>
      <c r="AH786" s="67"/>
      <c r="AL786" s="186"/>
    </row>
    <row r="787">
      <c r="A787" s="185"/>
      <c r="B787" s="67"/>
      <c r="C787" s="67"/>
      <c r="D787" s="67"/>
      <c r="E787" s="186"/>
      <c r="F787" s="186"/>
      <c r="G787" s="186"/>
      <c r="H787" s="186"/>
      <c r="I787" s="186"/>
      <c r="J787" s="186"/>
      <c r="K787" s="186"/>
      <c r="L787" s="186"/>
      <c r="M787" s="186"/>
      <c r="N787" s="186"/>
      <c r="O787" s="186"/>
      <c r="P787" s="186"/>
      <c r="Q787" s="186"/>
      <c r="R787" s="186"/>
      <c r="S787" s="186"/>
      <c r="T787" s="186"/>
      <c r="U787" s="186"/>
      <c r="V787" s="67"/>
      <c r="W787" s="67"/>
      <c r="X787" s="67"/>
      <c r="Y787" s="187"/>
      <c r="Z787" s="186"/>
      <c r="AA787" s="187"/>
      <c r="AB787" s="187"/>
      <c r="AC787" s="187"/>
      <c r="AD787" s="186"/>
      <c r="AE787" s="186"/>
      <c r="AF787" s="67"/>
      <c r="AG787" s="67"/>
      <c r="AH787" s="67"/>
      <c r="AL787" s="186"/>
    </row>
    <row r="788">
      <c r="A788" s="185"/>
      <c r="B788" s="67"/>
      <c r="C788" s="67"/>
      <c r="D788" s="67"/>
      <c r="E788" s="186"/>
      <c r="F788" s="186"/>
      <c r="G788" s="186"/>
      <c r="H788" s="186"/>
      <c r="I788" s="186"/>
      <c r="J788" s="186"/>
      <c r="K788" s="186"/>
      <c r="L788" s="186"/>
      <c r="M788" s="186"/>
      <c r="N788" s="186"/>
      <c r="O788" s="186"/>
      <c r="P788" s="186"/>
      <c r="Q788" s="186"/>
      <c r="R788" s="186"/>
      <c r="S788" s="186"/>
      <c r="T788" s="186"/>
      <c r="U788" s="186"/>
      <c r="V788" s="67"/>
      <c r="W788" s="67"/>
      <c r="X788" s="67"/>
      <c r="Y788" s="187"/>
      <c r="Z788" s="186"/>
      <c r="AA788" s="187"/>
      <c r="AB788" s="187"/>
      <c r="AC788" s="187"/>
      <c r="AD788" s="186"/>
      <c r="AE788" s="186"/>
      <c r="AF788" s="67"/>
      <c r="AG788" s="67"/>
      <c r="AH788" s="67"/>
      <c r="AL788" s="186"/>
    </row>
    <row r="789">
      <c r="A789" s="185"/>
      <c r="B789" s="67"/>
      <c r="C789" s="67"/>
      <c r="D789" s="67"/>
      <c r="E789" s="186"/>
      <c r="F789" s="186"/>
      <c r="G789" s="186"/>
      <c r="H789" s="186"/>
      <c r="I789" s="186"/>
      <c r="J789" s="186"/>
      <c r="K789" s="186"/>
      <c r="L789" s="186"/>
      <c r="M789" s="186"/>
      <c r="N789" s="186"/>
      <c r="O789" s="186"/>
      <c r="P789" s="186"/>
      <c r="Q789" s="186"/>
      <c r="R789" s="186"/>
      <c r="S789" s="186"/>
      <c r="T789" s="186"/>
      <c r="U789" s="186"/>
      <c r="V789" s="67"/>
      <c r="W789" s="67"/>
      <c r="X789" s="67"/>
      <c r="Y789" s="187"/>
      <c r="Z789" s="186"/>
      <c r="AA789" s="187"/>
      <c r="AB789" s="187"/>
      <c r="AC789" s="187"/>
      <c r="AD789" s="186"/>
      <c r="AE789" s="186"/>
      <c r="AF789" s="67"/>
      <c r="AG789" s="67"/>
      <c r="AH789" s="67"/>
      <c r="AL789" s="186"/>
    </row>
    <row r="790">
      <c r="A790" s="185"/>
      <c r="B790" s="67"/>
      <c r="C790" s="67"/>
      <c r="D790" s="67"/>
      <c r="E790" s="186"/>
      <c r="F790" s="186"/>
      <c r="G790" s="186"/>
      <c r="H790" s="186"/>
      <c r="I790" s="186"/>
      <c r="J790" s="186"/>
      <c r="K790" s="186"/>
      <c r="L790" s="186"/>
      <c r="M790" s="186"/>
      <c r="N790" s="186"/>
      <c r="O790" s="186"/>
      <c r="P790" s="186"/>
      <c r="Q790" s="186"/>
      <c r="R790" s="186"/>
      <c r="S790" s="186"/>
      <c r="T790" s="186"/>
      <c r="U790" s="186"/>
      <c r="V790" s="67"/>
      <c r="W790" s="67"/>
      <c r="X790" s="67"/>
      <c r="Y790" s="187"/>
      <c r="Z790" s="186"/>
      <c r="AA790" s="187"/>
      <c r="AB790" s="187"/>
      <c r="AC790" s="187"/>
      <c r="AD790" s="186"/>
      <c r="AE790" s="186"/>
      <c r="AF790" s="67"/>
      <c r="AG790" s="67"/>
      <c r="AH790" s="67"/>
      <c r="AL790" s="186"/>
    </row>
    <row r="791">
      <c r="A791" s="185"/>
      <c r="B791" s="67"/>
      <c r="C791" s="67"/>
      <c r="D791" s="67"/>
      <c r="E791" s="186"/>
      <c r="F791" s="186"/>
      <c r="G791" s="186"/>
      <c r="H791" s="186"/>
      <c r="I791" s="186"/>
      <c r="J791" s="186"/>
      <c r="K791" s="186"/>
      <c r="L791" s="186"/>
      <c r="M791" s="186"/>
      <c r="N791" s="186"/>
      <c r="O791" s="186"/>
      <c r="P791" s="186"/>
      <c r="Q791" s="186"/>
      <c r="R791" s="186"/>
      <c r="S791" s="186"/>
      <c r="T791" s="186"/>
      <c r="U791" s="186"/>
      <c r="V791" s="67"/>
      <c r="W791" s="67"/>
      <c r="X791" s="67"/>
      <c r="Y791" s="187"/>
      <c r="Z791" s="186"/>
      <c r="AA791" s="187"/>
      <c r="AB791" s="187"/>
      <c r="AC791" s="187"/>
      <c r="AD791" s="186"/>
      <c r="AE791" s="186"/>
      <c r="AF791" s="67"/>
      <c r="AG791" s="67"/>
      <c r="AH791" s="67"/>
      <c r="AL791" s="186"/>
    </row>
    <row r="792">
      <c r="A792" s="185"/>
      <c r="B792" s="67"/>
      <c r="C792" s="67"/>
      <c r="D792" s="67"/>
      <c r="E792" s="186"/>
      <c r="F792" s="186"/>
      <c r="G792" s="186"/>
      <c r="H792" s="186"/>
      <c r="I792" s="186"/>
      <c r="J792" s="186"/>
      <c r="K792" s="186"/>
      <c r="L792" s="186"/>
      <c r="M792" s="186"/>
      <c r="N792" s="186"/>
      <c r="O792" s="186"/>
      <c r="P792" s="186"/>
      <c r="Q792" s="186"/>
      <c r="R792" s="186"/>
      <c r="S792" s="186"/>
      <c r="T792" s="186"/>
      <c r="U792" s="186"/>
      <c r="V792" s="67"/>
      <c r="W792" s="67"/>
      <c r="X792" s="67"/>
      <c r="Y792" s="187"/>
      <c r="Z792" s="186"/>
      <c r="AA792" s="187"/>
      <c r="AB792" s="187"/>
      <c r="AC792" s="187"/>
      <c r="AD792" s="186"/>
      <c r="AE792" s="186"/>
      <c r="AF792" s="67"/>
      <c r="AG792" s="67"/>
      <c r="AH792" s="67"/>
      <c r="AL792" s="186"/>
    </row>
    <row r="793">
      <c r="A793" s="185"/>
      <c r="B793" s="67"/>
      <c r="C793" s="67"/>
      <c r="D793" s="67"/>
      <c r="E793" s="186"/>
      <c r="F793" s="186"/>
      <c r="G793" s="186"/>
      <c r="H793" s="186"/>
      <c r="I793" s="186"/>
      <c r="J793" s="186"/>
      <c r="K793" s="186"/>
      <c r="L793" s="186"/>
      <c r="M793" s="186"/>
      <c r="N793" s="186"/>
      <c r="O793" s="186"/>
      <c r="P793" s="186"/>
      <c r="Q793" s="186"/>
      <c r="R793" s="186"/>
      <c r="S793" s="186"/>
      <c r="T793" s="186"/>
      <c r="U793" s="186"/>
      <c r="V793" s="67"/>
      <c r="W793" s="67"/>
      <c r="X793" s="67"/>
      <c r="Y793" s="187"/>
      <c r="Z793" s="186"/>
      <c r="AA793" s="187"/>
      <c r="AB793" s="187"/>
      <c r="AC793" s="187"/>
      <c r="AD793" s="186"/>
      <c r="AE793" s="186"/>
      <c r="AF793" s="67"/>
      <c r="AG793" s="67"/>
      <c r="AH793" s="67"/>
      <c r="AL793" s="186"/>
    </row>
    <row r="794">
      <c r="A794" s="185"/>
      <c r="B794" s="67"/>
      <c r="C794" s="67"/>
      <c r="D794" s="67"/>
      <c r="E794" s="186"/>
      <c r="F794" s="186"/>
      <c r="G794" s="186"/>
      <c r="H794" s="186"/>
      <c r="I794" s="186"/>
      <c r="J794" s="186"/>
      <c r="K794" s="186"/>
      <c r="L794" s="186"/>
      <c r="M794" s="186"/>
      <c r="N794" s="186"/>
      <c r="O794" s="186"/>
      <c r="P794" s="186"/>
      <c r="Q794" s="186"/>
      <c r="R794" s="186"/>
      <c r="S794" s="186"/>
      <c r="T794" s="186"/>
      <c r="U794" s="186"/>
      <c r="V794" s="67"/>
      <c r="W794" s="67"/>
      <c r="X794" s="67"/>
      <c r="Y794" s="187"/>
      <c r="Z794" s="186"/>
      <c r="AA794" s="187"/>
      <c r="AB794" s="187"/>
      <c r="AC794" s="187"/>
      <c r="AD794" s="186"/>
      <c r="AE794" s="186"/>
      <c r="AF794" s="67"/>
      <c r="AG794" s="67"/>
      <c r="AH794" s="67"/>
      <c r="AL794" s="186"/>
    </row>
    <row r="795">
      <c r="A795" s="185"/>
      <c r="B795" s="67"/>
      <c r="C795" s="67"/>
      <c r="D795" s="67"/>
      <c r="E795" s="186"/>
      <c r="F795" s="186"/>
      <c r="G795" s="186"/>
      <c r="H795" s="186"/>
      <c r="I795" s="186"/>
      <c r="J795" s="186"/>
      <c r="K795" s="186"/>
      <c r="L795" s="186"/>
      <c r="M795" s="186"/>
      <c r="N795" s="186"/>
      <c r="O795" s="186"/>
      <c r="P795" s="186"/>
      <c r="Q795" s="186"/>
      <c r="R795" s="186"/>
      <c r="S795" s="186"/>
      <c r="T795" s="186"/>
      <c r="U795" s="186"/>
      <c r="V795" s="67"/>
      <c r="W795" s="67"/>
      <c r="X795" s="67"/>
      <c r="Y795" s="187"/>
      <c r="Z795" s="186"/>
      <c r="AA795" s="187"/>
      <c r="AB795" s="187"/>
      <c r="AC795" s="187"/>
      <c r="AD795" s="186"/>
      <c r="AE795" s="186"/>
      <c r="AF795" s="67"/>
      <c r="AG795" s="67"/>
      <c r="AH795" s="67"/>
      <c r="AL795" s="186"/>
    </row>
    <row r="796">
      <c r="A796" s="185"/>
      <c r="B796" s="67"/>
      <c r="C796" s="67"/>
      <c r="D796" s="67"/>
      <c r="E796" s="186"/>
      <c r="F796" s="186"/>
      <c r="G796" s="186"/>
      <c r="H796" s="186"/>
      <c r="I796" s="186"/>
      <c r="J796" s="186"/>
      <c r="K796" s="186"/>
      <c r="L796" s="186"/>
      <c r="M796" s="186"/>
      <c r="N796" s="186"/>
      <c r="O796" s="186"/>
      <c r="P796" s="186"/>
      <c r="Q796" s="186"/>
      <c r="R796" s="186"/>
      <c r="S796" s="186"/>
      <c r="T796" s="186"/>
      <c r="U796" s="186"/>
      <c r="V796" s="67"/>
      <c r="W796" s="67"/>
      <c r="X796" s="67"/>
      <c r="Y796" s="187"/>
      <c r="Z796" s="186"/>
      <c r="AA796" s="187"/>
      <c r="AB796" s="187"/>
      <c r="AC796" s="187"/>
      <c r="AD796" s="186"/>
      <c r="AE796" s="186"/>
      <c r="AF796" s="67"/>
      <c r="AG796" s="67"/>
      <c r="AH796" s="67"/>
      <c r="AL796" s="186"/>
    </row>
    <row r="797">
      <c r="A797" s="185"/>
      <c r="B797" s="67"/>
      <c r="C797" s="67"/>
      <c r="D797" s="67"/>
      <c r="E797" s="186"/>
      <c r="F797" s="186"/>
      <c r="G797" s="186"/>
      <c r="H797" s="186"/>
      <c r="I797" s="186"/>
      <c r="J797" s="186"/>
      <c r="K797" s="186"/>
      <c r="L797" s="186"/>
      <c r="M797" s="186"/>
      <c r="N797" s="186"/>
      <c r="O797" s="186"/>
      <c r="P797" s="186"/>
      <c r="Q797" s="186"/>
      <c r="R797" s="186"/>
      <c r="S797" s="186"/>
      <c r="T797" s="186"/>
      <c r="U797" s="186"/>
      <c r="V797" s="67"/>
      <c r="W797" s="67"/>
      <c r="X797" s="67"/>
      <c r="Y797" s="187"/>
      <c r="Z797" s="186"/>
      <c r="AA797" s="187"/>
      <c r="AB797" s="187"/>
      <c r="AC797" s="187"/>
      <c r="AD797" s="186"/>
      <c r="AE797" s="186"/>
      <c r="AF797" s="67"/>
      <c r="AG797" s="67"/>
      <c r="AH797" s="67"/>
      <c r="AL797" s="186"/>
    </row>
    <row r="798">
      <c r="A798" s="185"/>
      <c r="B798" s="67"/>
      <c r="C798" s="67"/>
      <c r="D798" s="67"/>
      <c r="E798" s="186"/>
      <c r="F798" s="186"/>
      <c r="G798" s="186"/>
      <c r="H798" s="186"/>
      <c r="I798" s="186"/>
      <c r="J798" s="186"/>
      <c r="K798" s="186"/>
      <c r="L798" s="186"/>
      <c r="M798" s="186"/>
      <c r="N798" s="186"/>
      <c r="O798" s="186"/>
      <c r="P798" s="186"/>
      <c r="Q798" s="186"/>
      <c r="R798" s="186"/>
      <c r="S798" s="186"/>
      <c r="T798" s="186"/>
      <c r="U798" s="186"/>
      <c r="V798" s="67"/>
      <c r="W798" s="67"/>
      <c r="X798" s="67"/>
      <c r="Y798" s="187"/>
      <c r="Z798" s="186"/>
      <c r="AA798" s="187"/>
      <c r="AB798" s="187"/>
      <c r="AC798" s="187"/>
      <c r="AD798" s="186"/>
      <c r="AE798" s="186"/>
      <c r="AF798" s="67"/>
      <c r="AG798" s="67"/>
      <c r="AH798" s="67"/>
      <c r="AL798" s="186"/>
    </row>
    <row r="799">
      <c r="A799" s="185"/>
      <c r="B799" s="67"/>
      <c r="C799" s="67"/>
      <c r="D799" s="67"/>
      <c r="E799" s="186"/>
      <c r="F799" s="186"/>
      <c r="G799" s="186"/>
      <c r="H799" s="186"/>
      <c r="I799" s="186"/>
      <c r="J799" s="186"/>
      <c r="K799" s="186"/>
      <c r="L799" s="186"/>
      <c r="M799" s="186"/>
      <c r="N799" s="186"/>
      <c r="O799" s="186"/>
      <c r="P799" s="186"/>
      <c r="Q799" s="186"/>
      <c r="R799" s="186"/>
      <c r="S799" s="186"/>
      <c r="T799" s="186"/>
      <c r="U799" s="186"/>
      <c r="V799" s="67"/>
      <c r="W799" s="67"/>
      <c r="X799" s="67"/>
      <c r="Y799" s="187"/>
      <c r="Z799" s="186"/>
      <c r="AA799" s="187"/>
      <c r="AB799" s="187"/>
      <c r="AC799" s="187"/>
      <c r="AD799" s="186"/>
      <c r="AE799" s="186"/>
      <c r="AF799" s="67"/>
      <c r="AG799" s="67"/>
      <c r="AH799" s="67"/>
      <c r="AL799" s="186"/>
    </row>
    <row r="800">
      <c r="A800" s="185"/>
      <c r="B800" s="67"/>
      <c r="C800" s="67"/>
      <c r="D800" s="67"/>
      <c r="E800" s="186"/>
      <c r="F800" s="186"/>
      <c r="G800" s="186"/>
      <c r="H800" s="186"/>
      <c r="I800" s="186"/>
      <c r="J800" s="186"/>
      <c r="K800" s="186"/>
      <c r="L800" s="186"/>
      <c r="M800" s="186"/>
      <c r="N800" s="186"/>
      <c r="O800" s="186"/>
      <c r="P800" s="186"/>
      <c r="Q800" s="186"/>
      <c r="R800" s="186"/>
      <c r="S800" s="186"/>
      <c r="T800" s="186"/>
      <c r="U800" s="186"/>
      <c r="V800" s="67"/>
      <c r="W800" s="67"/>
      <c r="X800" s="67"/>
      <c r="Y800" s="187"/>
      <c r="Z800" s="186"/>
      <c r="AA800" s="187"/>
      <c r="AB800" s="187"/>
      <c r="AC800" s="187"/>
      <c r="AD800" s="186"/>
      <c r="AE800" s="186"/>
      <c r="AF800" s="67"/>
      <c r="AG800" s="67"/>
      <c r="AH800" s="67"/>
      <c r="AL800" s="186"/>
    </row>
    <row r="801">
      <c r="A801" s="185"/>
      <c r="B801" s="67"/>
      <c r="C801" s="67"/>
      <c r="D801" s="67"/>
      <c r="E801" s="186"/>
      <c r="F801" s="186"/>
      <c r="G801" s="186"/>
      <c r="H801" s="186"/>
      <c r="I801" s="186"/>
      <c r="J801" s="186"/>
      <c r="K801" s="186"/>
      <c r="L801" s="186"/>
      <c r="M801" s="186"/>
      <c r="N801" s="186"/>
      <c r="O801" s="186"/>
      <c r="P801" s="186"/>
      <c r="Q801" s="186"/>
      <c r="R801" s="186"/>
      <c r="S801" s="186"/>
      <c r="T801" s="186"/>
      <c r="U801" s="186"/>
      <c r="V801" s="67"/>
      <c r="W801" s="67"/>
      <c r="X801" s="67"/>
      <c r="Y801" s="187"/>
      <c r="Z801" s="186"/>
      <c r="AA801" s="187"/>
      <c r="AB801" s="187"/>
      <c r="AC801" s="187"/>
      <c r="AD801" s="186"/>
      <c r="AE801" s="186"/>
      <c r="AF801" s="67"/>
      <c r="AG801" s="67"/>
      <c r="AH801" s="67"/>
      <c r="AL801" s="186"/>
    </row>
    <row r="802">
      <c r="A802" s="185"/>
      <c r="B802" s="67"/>
      <c r="C802" s="67"/>
      <c r="D802" s="67"/>
      <c r="E802" s="186"/>
      <c r="F802" s="186"/>
      <c r="G802" s="186"/>
      <c r="H802" s="186"/>
      <c r="I802" s="186"/>
      <c r="J802" s="186"/>
      <c r="K802" s="186"/>
      <c r="L802" s="186"/>
      <c r="M802" s="186"/>
      <c r="N802" s="186"/>
      <c r="O802" s="186"/>
      <c r="P802" s="186"/>
      <c r="Q802" s="186"/>
      <c r="R802" s="186"/>
      <c r="S802" s="186"/>
      <c r="T802" s="186"/>
      <c r="U802" s="186"/>
      <c r="V802" s="67"/>
      <c r="W802" s="67"/>
      <c r="X802" s="67"/>
      <c r="Y802" s="187"/>
      <c r="Z802" s="186"/>
      <c r="AA802" s="187"/>
      <c r="AB802" s="187"/>
      <c r="AC802" s="187"/>
      <c r="AD802" s="186"/>
      <c r="AE802" s="186"/>
      <c r="AF802" s="67"/>
      <c r="AG802" s="67"/>
      <c r="AH802" s="67"/>
      <c r="AL802" s="186"/>
    </row>
    <row r="803">
      <c r="A803" s="185"/>
      <c r="B803" s="67"/>
      <c r="C803" s="67"/>
      <c r="D803" s="67"/>
      <c r="E803" s="186"/>
      <c r="F803" s="186"/>
      <c r="G803" s="186"/>
      <c r="H803" s="186"/>
      <c r="I803" s="186"/>
      <c r="J803" s="186"/>
      <c r="K803" s="186"/>
      <c r="L803" s="186"/>
      <c r="M803" s="186"/>
      <c r="N803" s="186"/>
      <c r="O803" s="186"/>
      <c r="P803" s="186"/>
      <c r="Q803" s="186"/>
      <c r="R803" s="186"/>
      <c r="S803" s="186"/>
      <c r="T803" s="186"/>
      <c r="U803" s="186"/>
      <c r="V803" s="67"/>
      <c r="W803" s="67"/>
      <c r="X803" s="67"/>
      <c r="Y803" s="187"/>
      <c r="Z803" s="186"/>
      <c r="AA803" s="187"/>
      <c r="AB803" s="187"/>
      <c r="AC803" s="187"/>
      <c r="AD803" s="186"/>
      <c r="AE803" s="186"/>
      <c r="AF803" s="67"/>
      <c r="AG803" s="67"/>
      <c r="AH803" s="67"/>
      <c r="AL803" s="186"/>
    </row>
    <row r="804">
      <c r="A804" s="185"/>
      <c r="B804" s="67"/>
      <c r="C804" s="67"/>
      <c r="D804" s="67"/>
      <c r="E804" s="186"/>
      <c r="F804" s="186"/>
      <c r="G804" s="186"/>
      <c r="H804" s="186"/>
      <c r="I804" s="186"/>
      <c r="J804" s="186"/>
      <c r="K804" s="186"/>
      <c r="L804" s="186"/>
      <c r="M804" s="186"/>
      <c r="N804" s="186"/>
      <c r="O804" s="186"/>
      <c r="P804" s="186"/>
      <c r="Q804" s="186"/>
      <c r="R804" s="186"/>
      <c r="S804" s="186"/>
      <c r="T804" s="186"/>
      <c r="U804" s="186"/>
      <c r="V804" s="67"/>
      <c r="W804" s="67"/>
      <c r="X804" s="67"/>
      <c r="Y804" s="187"/>
      <c r="Z804" s="186"/>
      <c r="AA804" s="187"/>
      <c r="AB804" s="187"/>
      <c r="AC804" s="187"/>
      <c r="AD804" s="186"/>
      <c r="AE804" s="186"/>
      <c r="AF804" s="67"/>
      <c r="AG804" s="67"/>
      <c r="AH804" s="67"/>
      <c r="AL804" s="186"/>
    </row>
    <row r="805">
      <c r="A805" s="185"/>
      <c r="B805" s="67"/>
      <c r="C805" s="67"/>
      <c r="D805" s="67"/>
      <c r="E805" s="186"/>
      <c r="F805" s="186"/>
      <c r="G805" s="186"/>
      <c r="H805" s="186"/>
      <c r="I805" s="186"/>
      <c r="J805" s="186"/>
      <c r="K805" s="186"/>
      <c r="L805" s="186"/>
      <c r="M805" s="186"/>
      <c r="N805" s="186"/>
      <c r="O805" s="186"/>
      <c r="P805" s="186"/>
      <c r="Q805" s="186"/>
      <c r="R805" s="186"/>
      <c r="S805" s="186"/>
      <c r="T805" s="186"/>
      <c r="U805" s="186"/>
      <c r="V805" s="67"/>
      <c r="W805" s="67"/>
      <c r="X805" s="67"/>
      <c r="Y805" s="187"/>
      <c r="Z805" s="186"/>
      <c r="AA805" s="187"/>
      <c r="AB805" s="187"/>
      <c r="AC805" s="187"/>
      <c r="AD805" s="186"/>
      <c r="AE805" s="186"/>
      <c r="AF805" s="67"/>
      <c r="AG805" s="67"/>
      <c r="AH805" s="67"/>
      <c r="AL805" s="186"/>
    </row>
    <row r="806">
      <c r="A806" s="185"/>
      <c r="B806" s="67"/>
      <c r="C806" s="67"/>
      <c r="D806" s="67"/>
      <c r="E806" s="186"/>
      <c r="F806" s="186"/>
      <c r="G806" s="186"/>
      <c r="H806" s="186"/>
      <c r="I806" s="186"/>
      <c r="J806" s="186"/>
      <c r="K806" s="186"/>
      <c r="L806" s="186"/>
      <c r="M806" s="186"/>
      <c r="N806" s="186"/>
      <c r="O806" s="186"/>
      <c r="P806" s="186"/>
      <c r="Q806" s="186"/>
      <c r="R806" s="186"/>
      <c r="S806" s="186"/>
      <c r="T806" s="186"/>
      <c r="U806" s="186"/>
      <c r="V806" s="67"/>
      <c r="W806" s="67"/>
      <c r="X806" s="67"/>
      <c r="Y806" s="187"/>
      <c r="Z806" s="186"/>
      <c r="AA806" s="187"/>
      <c r="AB806" s="187"/>
      <c r="AC806" s="187"/>
      <c r="AD806" s="186"/>
      <c r="AE806" s="186"/>
      <c r="AF806" s="67"/>
      <c r="AG806" s="67"/>
      <c r="AH806" s="67"/>
      <c r="AL806" s="186"/>
    </row>
    <row r="807">
      <c r="A807" s="185"/>
      <c r="B807" s="67"/>
      <c r="C807" s="67"/>
      <c r="D807" s="67"/>
      <c r="E807" s="186"/>
      <c r="F807" s="186"/>
      <c r="G807" s="186"/>
      <c r="H807" s="186"/>
      <c r="I807" s="186"/>
      <c r="J807" s="186"/>
      <c r="K807" s="186"/>
      <c r="L807" s="186"/>
      <c r="M807" s="186"/>
      <c r="N807" s="186"/>
      <c r="O807" s="186"/>
      <c r="P807" s="186"/>
      <c r="Q807" s="186"/>
      <c r="R807" s="186"/>
      <c r="S807" s="186"/>
      <c r="T807" s="186"/>
      <c r="U807" s="186"/>
      <c r="V807" s="67"/>
      <c r="W807" s="67"/>
      <c r="X807" s="67"/>
      <c r="Y807" s="187"/>
      <c r="Z807" s="186"/>
      <c r="AA807" s="187"/>
      <c r="AB807" s="187"/>
      <c r="AC807" s="187"/>
      <c r="AD807" s="186"/>
      <c r="AE807" s="186"/>
      <c r="AF807" s="67"/>
      <c r="AG807" s="67"/>
      <c r="AH807" s="67"/>
      <c r="AL807" s="186"/>
    </row>
    <row r="808">
      <c r="A808" s="185"/>
      <c r="B808" s="67"/>
      <c r="C808" s="67"/>
      <c r="D808" s="67"/>
      <c r="E808" s="186"/>
      <c r="F808" s="186"/>
      <c r="G808" s="186"/>
      <c r="H808" s="186"/>
      <c r="I808" s="186"/>
      <c r="J808" s="186"/>
      <c r="K808" s="186"/>
      <c r="L808" s="186"/>
      <c r="M808" s="186"/>
      <c r="N808" s="186"/>
      <c r="O808" s="186"/>
      <c r="P808" s="186"/>
      <c r="Q808" s="186"/>
      <c r="R808" s="186"/>
      <c r="S808" s="186"/>
      <c r="T808" s="186"/>
      <c r="U808" s="186"/>
      <c r="V808" s="67"/>
      <c r="W808" s="67"/>
      <c r="X808" s="67"/>
      <c r="Y808" s="187"/>
      <c r="Z808" s="186"/>
      <c r="AA808" s="187"/>
      <c r="AB808" s="187"/>
      <c r="AC808" s="187"/>
      <c r="AD808" s="186"/>
      <c r="AE808" s="186"/>
      <c r="AF808" s="67"/>
      <c r="AG808" s="67"/>
      <c r="AH808" s="67"/>
      <c r="AL808" s="186"/>
    </row>
    <row r="809">
      <c r="A809" s="185"/>
      <c r="B809" s="67"/>
      <c r="C809" s="67"/>
      <c r="D809" s="67"/>
      <c r="E809" s="186"/>
      <c r="F809" s="186"/>
      <c r="G809" s="186"/>
      <c r="H809" s="186"/>
      <c r="I809" s="186"/>
      <c r="J809" s="186"/>
      <c r="K809" s="186"/>
      <c r="L809" s="186"/>
      <c r="M809" s="186"/>
      <c r="N809" s="186"/>
      <c r="O809" s="186"/>
      <c r="P809" s="186"/>
      <c r="Q809" s="186"/>
      <c r="R809" s="186"/>
      <c r="S809" s="186"/>
      <c r="T809" s="186"/>
      <c r="U809" s="186"/>
      <c r="V809" s="67"/>
      <c r="W809" s="67"/>
      <c r="X809" s="67"/>
      <c r="Y809" s="187"/>
      <c r="Z809" s="186"/>
      <c r="AA809" s="187"/>
      <c r="AB809" s="187"/>
      <c r="AC809" s="187"/>
      <c r="AD809" s="186"/>
      <c r="AE809" s="186"/>
      <c r="AF809" s="67"/>
      <c r="AG809" s="67"/>
      <c r="AH809" s="67"/>
      <c r="AL809" s="186"/>
    </row>
    <row r="810">
      <c r="A810" s="185"/>
      <c r="B810" s="67"/>
      <c r="C810" s="67"/>
      <c r="D810" s="67"/>
      <c r="E810" s="186"/>
      <c r="F810" s="186"/>
      <c r="G810" s="186"/>
      <c r="H810" s="186"/>
      <c r="I810" s="186"/>
      <c r="J810" s="186"/>
      <c r="K810" s="186"/>
      <c r="L810" s="186"/>
      <c r="M810" s="186"/>
      <c r="N810" s="186"/>
      <c r="O810" s="186"/>
      <c r="P810" s="186"/>
      <c r="Q810" s="186"/>
      <c r="R810" s="186"/>
      <c r="S810" s="186"/>
      <c r="T810" s="186"/>
      <c r="U810" s="186"/>
      <c r="V810" s="67"/>
      <c r="W810" s="67"/>
      <c r="X810" s="67"/>
      <c r="Y810" s="187"/>
      <c r="Z810" s="186"/>
      <c r="AA810" s="187"/>
      <c r="AB810" s="187"/>
      <c r="AC810" s="187"/>
      <c r="AD810" s="186"/>
      <c r="AE810" s="186"/>
      <c r="AF810" s="67"/>
      <c r="AG810" s="67"/>
      <c r="AH810" s="67"/>
      <c r="AL810" s="186"/>
    </row>
    <row r="811">
      <c r="A811" s="185"/>
      <c r="B811" s="67"/>
      <c r="C811" s="67"/>
      <c r="D811" s="67"/>
      <c r="E811" s="186"/>
      <c r="F811" s="186"/>
      <c r="G811" s="186"/>
      <c r="H811" s="186"/>
      <c r="I811" s="186"/>
      <c r="J811" s="186"/>
      <c r="K811" s="186"/>
      <c r="L811" s="186"/>
      <c r="M811" s="186"/>
      <c r="N811" s="186"/>
      <c r="O811" s="186"/>
      <c r="P811" s="186"/>
      <c r="Q811" s="186"/>
      <c r="R811" s="186"/>
      <c r="S811" s="186"/>
      <c r="T811" s="186"/>
      <c r="U811" s="186"/>
      <c r="V811" s="67"/>
      <c r="W811" s="67"/>
      <c r="X811" s="67"/>
      <c r="Y811" s="187"/>
      <c r="Z811" s="186"/>
      <c r="AA811" s="187"/>
      <c r="AB811" s="187"/>
      <c r="AC811" s="187"/>
      <c r="AD811" s="186"/>
      <c r="AE811" s="186"/>
      <c r="AF811" s="67"/>
      <c r="AG811" s="67"/>
      <c r="AH811" s="67"/>
      <c r="AL811" s="186"/>
    </row>
    <row r="812">
      <c r="A812" s="185"/>
      <c r="B812" s="67"/>
      <c r="C812" s="67"/>
      <c r="D812" s="67"/>
      <c r="E812" s="186"/>
      <c r="F812" s="186"/>
      <c r="G812" s="186"/>
      <c r="H812" s="186"/>
      <c r="I812" s="186"/>
      <c r="J812" s="186"/>
      <c r="K812" s="186"/>
      <c r="L812" s="186"/>
      <c r="M812" s="186"/>
      <c r="N812" s="186"/>
      <c r="O812" s="186"/>
      <c r="P812" s="186"/>
      <c r="Q812" s="186"/>
      <c r="R812" s="186"/>
      <c r="S812" s="186"/>
      <c r="T812" s="186"/>
      <c r="U812" s="186"/>
      <c r="V812" s="67"/>
      <c r="W812" s="67"/>
      <c r="X812" s="67"/>
      <c r="Y812" s="187"/>
      <c r="Z812" s="186"/>
      <c r="AA812" s="187"/>
      <c r="AB812" s="187"/>
      <c r="AC812" s="187"/>
      <c r="AD812" s="186"/>
      <c r="AE812" s="186"/>
      <c r="AF812" s="67"/>
      <c r="AG812" s="67"/>
      <c r="AH812" s="67"/>
      <c r="AL812" s="186"/>
    </row>
    <row r="813">
      <c r="A813" s="185"/>
      <c r="B813" s="67"/>
      <c r="C813" s="67"/>
      <c r="D813" s="67"/>
      <c r="E813" s="186"/>
      <c r="F813" s="186"/>
      <c r="G813" s="186"/>
      <c r="H813" s="186"/>
      <c r="I813" s="186"/>
      <c r="J813" s="186"/>
      <c r="K813" s="186"/>
      <c r="L813" s="186"/>
      <c r="M813" s="186"/>
      <c r="N813" s="186"/>
      <c r="O813" s="186"/>
      <c r="P813" s="186"/>
      <c r="Q813" s="186"/>
      <c r="R813" s="186"/>
      <c r="S813" s="186"/>
      <c r="T813" s="186"/>
      <c r="U813" s="186"/>
      <c r="V813" s="67"/>
      <c r="W813" s="67"/>
      <c r="X813" s="67"/>
      <c r="Y813" s="187"/>
      <c r="Z813" s="186"/>
      <c r="AA813" s="187"/>
      <c r="AB813" s="187"/>
      <c r="AC813" s="187"/>
      <c r="AD813" s="186"/>
      <c r="AE813" s="186"/>
      <c r="AF813" s="67"/>
      <c r="AG813" s="67"/>
      <c r="AH813" s="67"/>
      <c r="AL813" s="186"/>
    </row>
    <row r="814">
      <c r="A814" s="185"/>
      <c r="B814" s="67"/>
      <c r="C814" s="67"/>
      <c r="D814" s="67"/>
      <c r="E814" s="186"/>
      <c r="F814" s="186"/>
      <c r="G814" s="186"/>
      <c r="H814" s="186"/>
      <c r="I814" s="186"/>
      <c r="J814" s="186"/>
      <c r="K814" s="186"/>
      <c r="L814" s="186"/>
      <c r="M814" s="186"/>
      <c r="N814" s="186"/>
      <c r="O814" s="186"/>
      <c r="P814" s="186"/>
      <c r="Q814" s="186"/>
      <c r="R814" s="186"/>
      <c r="S814" s="186"/>
      <c r="T814" s="186"/>
      <c r="U814" s="186"/>
      <c r="V814" s="67"/>
      <c r="W814" s="67"/>
      <c r="X814" s="67"/>
      <c r="Y814" s="187"/>
      <c r="Z814" s="186"/>
      <c r="AA814" s="187"/>
      <c r="AB814" s="187"/>
      <c r="AC814" s="187"/>
      <c r="AD814" s="186"/>
      <c r="AE814" s="186"/>
      <c r="AF814" s="67"/>
      <c r="AG814" s="67"/>
      <c r="AH814" s="67"/>
      <c r="AL814" s="186"/>
    </row>
    <row r="815">
      <c r="A815" s="185"/>
      <c r="B815" s="67"/>
      <c r="C815" s="67"/>
      <c r="D815" s="67"/>
      <c r="E815" s="186"/>
      <c r="F815" s="186"/>
      <c r="G815" s="186"/>
      <c r="H815" s="186"/>
      <c r="I815" s="186"/>
      <c r="J815" s="186"/>
      <c r="K815" s="186"/>
      <c r="L815" s="186"/>
      <c r="M815" s="186"/>
      <c r="N815" s="186"/>
      <c r="O815" s="186"/>
      <c r="P815" s="186"/>
      <c r="Q815" s="186"/>
      <c r="R815" s="186"/>
      <c r="S815" s="186"/>
      <c r="T815" s="186"/>
      <c r="U815" s="186"/>
      <c r="V815" s="67"/>
      <c r="W815" s="67"/>
      <c r="X815" s="67"/>
      <c r="Y815" s="187"/>
      <c r="Z815" s="186"/>
      <c r="AA815" s="187"/>
      <c r="AB815" s="187"/>
      <c r="AC815" s="187"/>
      <c r="AD815" s="186"/>
      <c r="AE815" s="186"/>
      <c r="AF815" s="67"/>
      <c r="AG815" s="67"/>
      <c r="AH815" s="67"/>
      <c r="AL815" s="186"/>
    </row>
    <row r="816">
      <c r="A816" s="185"/>
      <c r="B816" s="67"/>
      <c r="C816" s="67"/>
      <c r="D816" s="67"/>
      <c r="E816" s="186"/>
      <c r="F816" s="186"/>
      <c r="G816" s="186"/>
      <c r="H816" s="186"/>
      <c r="I816" s="186"/>
      <c r="J816" s="186"/>
      <c r="K816" s="186"/>
      <c r="L816" s="186"/>
      <c r="M816" s="186"/>
      <c r="N816" s="186"/>
      <c r="O816" s="186"/>
      <c r="P816" s="186"/>
      <c r="Q816" s="186"/>
      <c r="R816" s="186"/>
      <c r="S816" s="186"/>
      <c r="T816" s="186"/>
      <c r="U816" s="186"/>
      <c r="V816" s="67"/>
      <c r="W816" s="67"/>
      <c r="X816" s="67"/>
      <c r="Y816" s="187"/>
      <c r="Z816" s="186"/>
      <c r="AA816" s="187"/>
      <c r="AB816" s="187"/>
      <c r="AC816" s="187"/>
      <c r="AD816" s="186"/>
      <c r="AE816" s="186"/>
      <c r="AF816" s="67"/>
      <c r="AG816" s="67"/>
      <c r="AH816" s="67"/>
      <c r="AL816" s="186"/>
    </row>
    <row r="817">
      <c r="A817" s="185"/>
      <c r="B817" s="67"/>
      <c r="C817" s="67"/>
      <c r="D817" s="67"/>
      <c r="E817" s="186"/>
      <c r="F817" s="186"/>
      <c r="G817" s="186"/>
      <c r="H817" s="186"/>
      <c r="I817" s="186"/>
      <c r="J817" s="186"/>
      <c r="K817" s="186"/>
      <c r="L817" s="186"/>
      <c r="M817" s="186"/>
      <c r="N817" s="186"/>
      <c r="O817" s="186"/>
      <c r="P817" s="186"/>
      <c r="Q817" s="186"/>
      <c r="R817" s="186"/>
      <c r="S817" s="186"/>
      <c r="T817" s="186"/>
      <c r="U817" s="186"/>
      <c r="V817" s="67"/>
      <c r="W817" s="67"/>
      <c r="X817" s="67"/>
      <c r="Y817" s="187"/>
      <c r="Z817" s="186"/>
      <c r="AA817" s="187"/>
      <c r="AB817" s="187"/>
      <c r="AC817" s="187"/>
      <c r="AD817" s="186"/>
      <c r="AE817" s="186"/>
      <c r="AF817" s="67"/>
      <c r="AG817" s="67"/>
      <c r="AH817" s="67"/>
      <c r="AL817" s="186"/>
    </row>
    <row r="818">
      <c r="A818" s="185"/>
      <c r="B818" s="67"/>
      <c r="C818" s="67"/>
      <c r="D818" s="67"/>
      <c r="E818" s="186"/>
      <c r="F818" s="186"/>
      <c r="G818" s="186"/>
      <c r="H818" s="186"/>
      <c r="I818" s="186"/>
      <c r="J818" s="186"/>
      <c r="K818" s="186"/>
      <c r="L818" s="186"/>
      <c r="M818" s="186"/>
      <c r="N818" s="186"/>
      <c r="O818" s="186"/>
      <c r="P818" s="186"/>
      <c r="Q818" s="186"/>
      <c r="R818" s="186"/>
      <c r="S818" s="186"/>
      <c r="T818" s="186"/>
      <c r="U818" s="186"/>
      <c r="V818" s="67"/>
      <c r="W818" s="67"/>
      <c r="X818" s="67"/>
      <c r="Y818" s="187"/>
      <c r="Z818" s="186"/>
      <c r="AA818" s="187"/>
      <c r="AB818" s="187"/>
      <c r="AC818" s="187"/>
      <c r="AD818" s="186"/>
      <c r="AE818" s="186"/>
      <c r="AF818" s="67"/>
      <c r="AG818" s="67"/>
      <c r="AH818" s="67"/>
      <c r="AL818" s="186"/>
    </row>
    <row r="819">
      <c r="A819" s="185"/>
      <c r="B819" s="67"/>
      <c r="C819" s="67"/>
      <c r="D819" s="67"/>
      <c r="E819" s="186"/>
      <c r="F819" s="186"/>
      <c r="G819" s="186"/>
      <c r="H819" s="186"/>
      <c r="I819" s="186"/>
      <c r="J819" s="186"/>
      <c r="K819" s="186"/>
      <c r="L819" s="186"/>
      <c r="M819" s="186"/>
      <c r="N819" s="186"/>
      <c r="O819" s="186"/>
      <c r="P819" s="186"/>
      <c r="Q819" s="186"/>
      <c r="R819" s="186"/>
      <c r="S819" s="186"/>
      <c r="T819" s="186"/>
      <c r="U819" s="186"/>
      <c r="V819" s="67"/>
      <c r="W819" s="67"/>
      <c r="X819" s="67"/>
      <c r="Y819" s="187"/>
      <c r="Z819" s="186"/>
      <c r="AA819" s="187"/>
      <c r="AB819" s="187"/>
      <c r="AC819" s="187"/>
      <c r="AD819" s="186"/>
      <c r="AE819" s="186"/>
      <c r="AF819" s="67"/>
      <c r="AG819" s="67"/>
      <c r="AH819" s="67"/>
      <c r="AL819" s="186"/>
    </row>
    <row r="820">
      <c r="A820" s="185"/>
      <c r="B820" s="67"/>
      <c r="C820" s="67"/>
      <c r="D820" s="67"/>
      <c r="E820" s="186"/>
      <c r="F820" s="186"/>
      <c r="G820" s="186"/>
      <c r="H820" s="186"/>
      <c r="I820" s="186"/>
      <c r="J820" s="186"/>
      <c r="K820" s="186"/>
      <c r="L820" s="186"/>
      <c r="M820" s="186"/>
      <c r="N820" s="186"/>
      <c r="O820" s="186"/>
      <c r="P820" s="186"/>
      <c r="Q820" s="186"/>
      <c r="R820" s="186"/>
      <c r="S820" s="186"/>
      <c r="T820" s="186"/>
      <c r="U820" s="186"/>
      <c r="V820" s="67"/>
      <c r="W820" s="67"/>
      <c r="X820" s="67"/>
      <c r="Y820" s="187"/>
      <c r="Z820" s="186"/>
      <c r="AA820" s="187"/>
      <c r="AB820" s="187"/>
      <c r="AC820" s="187"/>
      <c r="AD820" s="186"/>
      <c r="AE820" s="186"/>
      <c r="AF820" s="67"/>
      <c r="AG820" s="67"/>
      <c r="AH820" s="67"/>
      <c r="AL820" s="186"/>
    </row>
    <row r="821">
      <c r="A821" s="185"/>
      <c r="B821" s="67"/>
      <c r="C821" s="67"/>
      <c r="D821" s="67"/>
      <c r="E821" s="186"/>
      <c r="F821" s="186"/>
      <c r="G821" s="186"/>
      <c r="H821" s="186"/>
      <c r="I821" s="186"/>
      <c r="J821" s="186"/>
      <c r="K821" s="186"/>
      <c r="L821" s="186"/>
      <c r="M821" s="186"/>
      <c r="N821" s="186"/>
      <c r="O821" s="186"/>
      <c r="P821" s="186"/>
      <c r="Q821" s="186"/>
      <c r="R821" s="186"/>
      <c r="S821" s="186"/>
      <c r="T821" s="186"/>
      <c r="U821" s="186"/>
      <c r="V821" s="67"/>
      <c r="W821" s="67"/>
      <c r="X821" s="67"/>
      <c r="Y821" s="187"/>
      <c r="Z821" s="186"/>
      <c r="AA821" s="187"/>
      <c r="AB821" s="187"/>
      <c r="AC821" s="187"/>
      <c r="AD821" s="186"/>
      <c r="AE821" s="186"/>
      <c r="AF821" s="67"/>
      <c r="AG821" s="67"/>
      <c r="AH821" s="67"/>
      <c r="AL821" s="186"/>
    </row>
    <row r="822">
      <c r="A822" s="185"/>
      <c r="B822" s="67"/>
      <c r="C822" s="67"/>
      <c r="D822" s="67"/>
      <c r="E822" s="186"/>
      <c r="F822" s="186"/>
      <c r="G822" s="186"/>
      <c r="H822" s="186"/>
      <c r="I822" s="186"/>
      <c r="J822" s="186"/>
      <c r="K822" s="186"/>
      <c r="L822" s="186"/>
      <c r="M822" s="186"/>
      <c r="N822" s="186"/>
      <c r="O822" s="186"/>
      <c r="P822" s="186"/>
      <c r="Q822" s="186"/>
      <c r="R822" s="186"/>
      <c r="S822" s="186"/>
      <c r="T822" s="186"/>
      <c r="U822" s="186"/>
      <c r="V822" s="67"/>
      <c r="W822" s="67"/>
      <c r="X822" s="67"/>
      <c r="Y822" s="187"/>
      <c r="Z822" s="186"/>
      <c r="AA822" s="187"/>
      <c r="AB822" s="187"/>
      <c r="AC822" s="187"/>
      <c r="AD822" s="186"/>
      <c r="AE822" s="186"/>
      <c r="AF822" s="67"/>
      <c r="AG822" s="67"/>
      <c r="AH822" s="67"/>
      <c r="AL822" s="186"/>
    </row>
    <row r="823">
      <c r="A823" s="185"/>
      <c r="B823" s="67"/>
      <c r="C823" s="67"/>
      <c r="D823" s="67"/>
      <c r="E823" s="186"/>
      <c r="F823" s="186"/>
      <c r="G823" s="186"/>
      <c r="H823" s="186"/>
      <c r="I823" s="186"/>
      <c r="J823" s="186"/>
      <c r="K823" s="186"/>
      <c r="L823" s="186"/>
      <c r="M823" s="186"/>
      <c r="N823" s="186"/>
      <c r="O823" s="186"/>
      <c r="P823" s="186"/>
      <c r="Q823" s="186"/>
      <c r="R823" s="186"/>
      <c r="S823" s="186"/>
      <c r="T823" s="186"/>
      <c r="U823" s="186"/>
      <c r="V823" s="67"/>
      <c r="W823" s="67"/>
      <c r="X823" s="67"/>
      <c r="Y823" s="187"/>
      <c r="Z823" s="186"/>
      <c r="AA823" s="187"/>
      <c r="AB823" s="187"/>
      <c r="AC823" s="187"/>
      <c r="AD823" s="186"/>
      <c r="AE823" s="186"/>
      <c r="AF823" s="67"/>
      <c r="AG823" s="67"/>
      <c r="AH823" s="67"/>
      <c r="AL823" s="186"/>
    </row>
    <row r="824">
      <c r="A824" s="185"/>
      <c r="B824" s="67"/>
      <c r="C824" s="67"/>
      <c r="D824" s="67"/>
      <c r="E824" s="186"/>
      <c r="F824" s="186"/>
      <c r="G824" s="186"/>
      <c r="H824" s="186"/>
      <c r="I824" s="186"/>
      <c r="J824" s="186"/>
      <c r="K824" s="186"/>
      <c r="L824" s="186"/>
      <c r="M824" s="186"/>
      <c r="N824" s="186"/>
      <c r="O824" s="186"/>
      <c r="P824" s="186"/>
      <c r="Q824" s="186"/>
      <c r="R824" s="186"/>
      <c r="S824" s="186"/>
      <c r="T824" s="186"/>
      <c r="U824" s="186"/>
      <c r="V824" s="67"/>
      <c r="W824" s="67"/>
      <c r="X824" s="67"/>
      <c r="Y824" s="187"/>
      <c r="Z824" s="186"/>
      <c r="AA824" s="187"/>
      <c r="AB824" s="187"/>
      <c r="AC824" s="187"/>
      <c r="AD824" s="186"/>
      <c r="AE824" s="186"/>
      <c r="AF824" s="67"/>
      <c r="AG824" s="67"/>
      <c r="AH824" s="67"/>
      <c r="AL824" s="186"/>
    </row>
    <row r="825">
      <c r="A825" s="185"/>
      <c r="B825" s="67"/>
      <c r="C825" s="67"/>
      <c r="D825" s="67"/>
      <c r="E825" s="186"/>
      <c r="F825" s="186"/>
      <c r="G825" s="186"/>
      <c r="H825" s="186"/>
      <c r="I825" s="186"/>
      <c r="J825" s="186"/>
      <c r="K825" s="186"/>
      <c r="L825" s="186"/>
      <c r="M825" s="186"/>
      <c r="N825" s="186"/>
      <c r="O825" s="186"/>
      <c r="P825" s="186"/>
      <c r="Q825" s="186"/>
      <c r="R825" s="186"/>
      <c r="S825" s="186"/>
      <c r="T825" s="186"/>
      <c r="U825" s="186"/>
      <c r="V825" s="67"/>
      <c r="W825" s="67"/>
      <c r="X825" s="67"/>
      <c r="Y825" s="187"/>
      <c r="Z825" s="186"/>
      <c r="AA825" s="187"/>
      <c r="AB825" s="187"/>
      <c r="AC825" s="187"/>
      <c r="AD825" s="186"/>
      <c r="AE825" s="186"/>
      <c r="AF825" s="67"/>
      <c r="AG825" s="67"/>
      <c r="AH825" s="67"/>
      <c r="AL825" s="186"/>
    </row>
    <row r="826">
      <c r="A826" s="185"/>
      <c r="B826" s="67"/>
      <c r="C826" s="67"/>
      <c r="D826" s="67"/>
      <c r="E826" s="186"/>
      <c r="F826" s="186"/>
      <c r="G826" s="186"/>
      <c r="H826" s="186"/>
      <c r="I826" s="186"/>
      <c r="J826" s="186"/>
      <c r="K826" s="186"/>
      <c r="L826" s="186"/>
      <c r="M826" s="186"/>
      <c r="N826" s="186"/>
      <c r="O826" s="186"/>
      <c r="P826" s="186"/>
      <c r="Q826" s="186"/>
      <c r="R826" s="186"/>
      <c r="S826" s="186"/>
      <c r="T826" s="186"/>
      <c r="U826" s="186"/>
      <c r="V826" s="67"/>
      <c r="W826" s="67"/>
      <c r="X826" s="67"/>
      <c r="Y826" s="187"/>
      <c r="Z826" s="186"/>
      <c r="AA826" s="187"/>
      <c r="AB826" s="187"/>
      <c r="AC826" s="187"/>
      <c r="AD826" s="186"/>
      <c r="AE826" s="186"/>
      <c r="AF826" s="67"/>
      <c r="AG826" s="67"/>
      <c r="AH826" s="67"/>
      <c r="AL826" s="186"/>
    </row>
    <row r="827">
      <c r="A827" s="185"/>
      <c r="B827" s="67"/>
      <c r="C827" s="67"/>
      <c r="D827" s="67"/>
      <c r="E827" s="186"/>
      <c r="F827" s="186"/>
      <c r="G827" s="186"/>
      <c r="H827" s="186"/>
      <c r="I827" s="186"/>
      <c r="J827" s="186"/>
      <c r="K827" s="186"/>
      <c r="L827" s="186"/>
      <c r="M827" s="186"/>
      <c r="N827" s="186"/>
      <c r="O827" s="186"/>
      <c r="P827" s="186"/>
      <c r="Q827" s="186"/>
      <c r="R827" s="186"/>
      <c r="S827" s="186"/>
      <c r="T827" s="186"/>
      <c r="U827" s="186"/>
      <c r="V827" s="67"/>
      <c r="W827" s="67"/>
      <c r="X827" s="67"/>
      <c r="Y827" s="187"/>
      <c r="Z827" s="186"/>
      <c r="AA827" s="187"/>
      <c r="AB827" s="187"/>
      <c r="AC827" s="187"/>
      <c r="AD827" s="186"/>
      <c r="AE827" s="186"/>
      <c r="AF827" s="67"/>
      <c r="AG827" s="67"/>
      <c r="AH827" s="67"/>
      <c r="AL827" s="186"/>
    </row>
    <row r="828">
      <c r="A828" s="185"/>
      <c r="B828" s="67"/>
      <c r="C828" s="67"/>
      <c r="D828" s="67"/>
      <c r="E828" s="186"/>
      <c r="F828" s="186"/>
      <c r="G828" s="186"/>
      <c r="H828" s="186"/>
      <c r="I828" s="186"/>
      <c r="J828" s="186"/>
      <c r="K828" s="186"/>
      <c r="L828" s="186"/>
      <c r="M828" s="186"/>
      <c r="N828" s="186"/>
      <c r="O828" s="186"/>
      <c r="P828" s="186"/>
      <c r="Q828" s="186"/>
      <c r="R828" s="186"/>
      <c r="S828" s="186"/>
      <c r="T828" s="186"/>
      <c r="U828" s="186"/>
      <c r="V828" s="67"/>
      <c r="W828" s="67"/>
      <c r="X828" s="67"/>
      <c r="Y828" s="187"/>
      <c r="Z828" s="186"/>
      <c r="AA828" s="187"/>
      <c r="AB828" s="187"/>
      <c r="AC828" s="187"/>
      <c r="AD828" s="186"/>
      <c r="AE828" s="186"/>
      <c r="AF828" s="67"/>
      <c r="AG828" s="67"/>
      <c r="AH828" s="67"/>
      <c r="AL828" s="186"/>
    </row>
    <row r="829">
      <c r="A829" s="185"/>
      <c r="B829" s="67"/>
      <c r="C829" s="67"/>
      <c r="D829" s="67"/>
      <c r="E829" s="186"/>
      <c r="F829" s="186"/>
      <c r="G829" s="186"/>
      <c r="H829" s="186"/>
      <c r="I829" s="186"/>
      <c r="J829" s="186"/>
      <c r="K829" s="186"/>
      <c r="L829" s="186"/>
      <c r="M829" s="186"/>
      <c r="N829" s="186"/>
      <c r="O829" s="186"/>
      <c r="P829" s="186"/>
      <c r="Q829" s="186"/>
      <c r="R829" s="186"/>
      <c r="S829" s="186"/>
      <c r="T829" s="186"/>
      <c r="U829" s="186"/>
      <c r="V829" s="67"/>
      <c r="W829" s="67"/>
      <c r="X829" s="67"/>
      <c r="Y829" s="187"/>
      <c r="Z829" s="186"/>
      <c r="AA829" s="187"/>
      <c r="AB829" s="187"/>
      <c r="AC829" s="187"/>
      <c r="AD829" s="186"/>
      <c r="AE829" s="186"/>
      <c r="AF829" s="67"/>
      <c r="AG829" s="67"/>
      <c r="AH829" s="67"/>
      <c r="AL829" s="186"/>
    </row>
    <row r="830">
      <c r="A830" s="185"/>
      <c r="B830" s="67"/>
      <c r="C830" s="67"/>
      <c r="D830" s="67"/>
      <c r="E830" s="186"/>
      <c r="F830" s="186"/>
      <c r="G830" s="186"/>
      <c r="H830" s="186"/>
      <c r="I830" s="186"/>
      <c r="J830" s="186"/>
      <c r="K830" s="186"/>
      <c r="L830" s="186"/>
      <c r="M830" s="186"/>
      <c r="N830" s="186"/>
      <c r="O830" s="186"/>
      <c r="P830" s="186"/>
      <c r="Q830" s="186"/>
      <c r="R830" s="186"/>
      <c r="S830" s="186"/>
      <c r="T830" s="186"/>
      <c r="U830" s="186"/>
      <c r="V830" s="67"/>
      <c r="W830" s="67"/>
      <c r="X830" s="67"/>
      <c r="Y830" s="187"/>
      <c r="Z830" s="186"/>
      <c r="AA830" s="187"/>
      <c r="AB830" s="187"/>
      <c r="AC830" s="187"/>
      <c r="AD830" s="186"/>
      <c r="AE830" s="186"/>
      <c r="AF830" s="67"/>
      <c r="AG830" s="67"/>
      <c r="AH830" s="67"/>
      <c r="AL830" s="186"/>
    </row>
    <row r="831">
      <c r="A831" s="185"/>
      <c r="B831" s="67"/>
      <c r="C831" s="67"/>
      <c r="D831" s="67"/>
      <c r="E831" s="186"/>
      <c r="F831" s="186"/>
      <c r="G831" s="186"/>
      <c r="H831" s="186"/>
      <c r="I831" s="186"/>
      <c r="J831" s="186"/>
      <c r="K831" s="186"/>
      <c r="L831" s="186"/>
      <c r="M831" s="186"/>
      <c r="N831" s="186"/>
      <c r="O831" s="186"/>
      <c r="P831" s="186"/>
      <c r="Q831" s="186"/>
      <c r="R831" s="186"/>
      <c r="S831" s="186"/>
      <c r="T831" s="186"/>
      <c r="U831" s="186"/>
      <c r="V831" s="67"/>
      <c r="W831" s="67"/>
      <c r="X831" s="67"/>
      <c r="Y831" s="187"/>
      <c r="Z831" s="186"/>
      <c r="AA831" s="187"/>
      <c r="AB831" s="187"/>
      <c r="AC831" s="187"/>
      <c r="AD831" s="186"/>
      <c r="AE831" s="186"/>
      <c r="AF831" s="67"/>
      <c r="AG831" s="67"/>
      <c r="AH831" s="67"/>
      <c r="AL831" s="186"/>
    </row>
    <row r="832">
      <c r="A832" s="185"/>
      <c r="B832" s="67"/>
      <c r="C832" s="67"/>
      <c r="D832" s="67"/>
      <c r="E832" s="186"/>
      <c r="F832" s="186"/>
      <c r="G832" s="186"/>
      <c r="H832" s="186"/>
      <c r="I832" s="186"/>
      <c r="J832" s="186"/>
      <c r="K832" s="186"/>
      <c r="L832" s="186"/>
      <c r="M832" s="186"/>
      <c r="N832" s="186"/>
      <c r="O832" s="186"/>
      <c r="P832" s="186"/>
      <c r="Q832" s="186"/>
      <c r="R832" s="186"/>
      <c r="S832" s="186"/>
      <c r="T832" s="186"/>
      <c r="U832" s="186"/>
      <c r="V832" s="67"/>
      <c r="W832" s="67"/>
      <c r="X832" s="67"/>
      <c r="Y832" s="187"/>
      <c r="Z832" s="186"/>
      <c r="AA832" s="187"/>
      <c r="AB832" s="187"/>
      <c r="AC832" s="187"/>
      <c r="AD832" s="186"/>
      <c r="AE832" s="186"/>
      <c r="AF832" s="67"/>
      <c r="AG832" s="67"/>
      <c r="AH832" s="67"/>
      <c r="AL832" s="186"/>
    </row>
    <row r="833">
      <c r="A833" s="185"/>
      <c r="B833" s="67"/>
      <c r="C833" s="67"/>
      <c r="D833" s="67"/>
      <c r="E833" s="186"/>
      <c r="F833" s="186"/>
      <c r="G833" s="186"/>
      <c r="H833" s="186"/>
      <c r="I833" s="186"/>
      <c r="J833" s="186"/>
      <c r="K833" s="186"/>
      <c r="L833" s="186"/>
      <c r="M833" s="186"/>
      <c r="N833" s="186"/>
      <c r="O833" s="186"/>
      <c r="P833" s="186"/>
      <c r="Q833" s="186"/>
      <c r="R833" s="186"/>
      <c r="S833" s="186"/>
      <c r="T833" s="186"/>
      <c r="U833" s="186"/>
      <c r="V833" s="67"/>
      <c r="W833" s="67"/>
      <c r="X833" s="67"/>
      <c r="Y833" s="187"/>
      <c r="Z833" s="186"/>
      <c r="AA833" s="187"/>
      <c r="AB833" s="187"/>
      <c r="AC833" s="187"/>
      <c r="AD833" s="186"/>
      <c r="AE833" s="186"/>
      <c r="AF833" s="67"/>
      <c r="AG833" s="67"/>
      <c r="AH833" s="67"/>
      <c r="AL833" s="186"/>
    </row>
    <row r="834">
      <c r="A834" s="185"/>
      <c r="B834" s="67"/>
      <c r="C834" s="67"/>
      <c r="D834" s="67"/>
      <c r="E834" s="186"/>
      <c r="F834" s="186"/>
      <c r="G834" s="186"/>
      <c r="H834" s="186"/>
      <c r="I834" s="186"/>
      <c r="J834" s="186"/>
      <c r="K834" s="186"/>
      <c r="L834" s="186"/>
      <c r="M834" s="186"/>
      <c r="N834" s="186"/>
      <c r="O834" s="186"/>
      <c r="P834" s="186"/>
      <c r="Q834" s="186"/>
      <c r="R834" s="186"/>
      <c r="S834" s="186"/>
      <c r="T834" s="186"/>
      <c r="U834" s="186"/>
      <c r="V834" s="67"/>
      <c r="W834" s="67"/>
      <c r="X834" s="67"/>
      <c r="Y834" s="187"/>
      <c r="Z834" s="186"/>
      <c r="AA834" s="187"/>
      <c r="AB834" s="187"/>
      <c r="AC834" s="187"/>
      <c r="AD834" s="186"/>
      <c r="AE834" s="186"/>
      <c r="AF834" s="67"/>
      <c r="AG834" s="67"/>
      <c r="AH834" s="67"/>
      <c r="AL834" s="186"/>
    </row>
    <row r="835">
      <c r="A835" s="185"/>
      <c r="B835" s="67"/>
      <c r="C835" s="67"/>
      <c r="D835" s="67"/>
      <c r="E835" s="186"/>
      <c r="F835" s="186"/>
      <c r="G835" s="186"/>
      <c r="H835" s="186"/>
      <c r="I835" s="186"/>
      <c r="J835" s="186"/>
      <c r="K835" s="186"/>
      <c r="L835" s="186"/>
      <c r="M835" s="186"/>
      <c r="N835" s="186"/>
      <c r="O835" s="186"/>
      <c r="P835" s="186"/>
      <c r="Q835" s="186"/>
      <c r="R835" s="186"/>
      <c r="S835" s="186"/>
      <c r="T835" s="186"/>
      <c r="U835" s="186"/>
      <c r="V835" s="67"/>
      <c r="W835" s="67"/>
      <c r="X835" s="67"/>
      <c r="Y835" s="187"/>
      <c r="Z835" s="186"/>
      <c r="AA835" s="187"/>
      <c r="AB835" s="187"/>
      <c r="AC835" s="187"/>
      <c r="AD835" s="186"/>
      <c r="AE835" s="186"/>
      <c r="AF835" s="67"/>
      <c r="AG835" s="67"/>
      <c r="AH835" s="67"/>
      <c r="AL835" s="186"/>
    </row>
    <row r="836">
      <c r="A836" s="185"/>
      <c r="B836" s="67"/>
      <c r="C836" s="67"/>
      <c r="D836" s="67"/>
      <c r="E836" s="186"/>
      <c r="F836" s="186"/>
      <c r="G836" s="186"/>
      <c r="H836" s="186"/>
      <c r="I836" s="186"/>
      <c r="J836" s="186"/>
      <c r="K836" s="186"/>
      <c r="L836" s="186"/>
      <c r="M836" s="186"/>
      <c r="N836" s="186"/>
      <c r="O836" s="186"/>
      <c r="P836" s="186"/>
      <c r="Q836" s="186"/>
      <c r="R836" s="186"/>
      <c r="S836" s="186"/>
      <c r="T836" s="186"/>
      <c r="U836" s="186"/>
      <c r="V836" s="67"/>
      <c r="W836" s="67"/>
      <c r="X836" s="67"/>
      <c r="Y836" s="187"/>
      <c r="Z836" s="186"/>
      <c r="AA836" s="187"/>
      <c r="AB836" s="187"/>
      <c r="AC836" s="187"/>
      <c r="AD836" s="186"/>
      <c r="AE836" s="186"/>
      <c r="AF836" s="67"/>
      <c r="AG836" s="67"/>
      <c r="AH836" s="67"/>
      <c r="AL836" s="186"/>
    </row>
    <row r="837">
      <c r="A837" s="185"/>
      <c r="B837" s="67"/>
      <c r="C837" s="67"/>
      <c r="D837" s="67"/>
      <c r="E837" s="186"/>
      <c r="F837" s="186"/>
      <c r="G837" s="186"/>
      <c r="H837" s="186"/>
      <c r="I837" s="186"/>
      <c r="J837" s="186"/>
      <c r="K837" s="186"/>
      <c r="L837" s="186"/>
      <c r="M837" s="186"/>
      <c r="N837" s="186"/>
      <c r="O837" s="186"/>
      <c r="P837" s="186"/>
      <c r="Q837" s="186"/>
      <c r="R837" s="186"/>
      <c r="S837" s="186"/>
      <c r="T837" s="186"/>
      <c r="U837" s="186"/>
      <c r="V837" s="67"/>
      <c r="W837" s="67"/>
      <c r="X837" s="67"/>
      <c r="Y837" s="187"/>
      <c r="Z837" s="186"/>
      <c r="AA837" s="187"/>
      <c r="AB837" s="187"/>
      <c r="AC837" s="187"/>
      <c r="AD837" s="186"/>
      <c r="AE837" s="186"/>
      <c r="AF837" s="67"/>
      <c r="AG837" s="67"/>
      <c r="AH837" s="67"/>
      <c r="AL837" s="186"/>
    </row>
    <row r="838">
      <c r="A838" s="185"/>
      <c r="B838" s="67"/>
      <c r="C838" s="67"/>
      <c r="D838" s="67"/>
      <c r="E838" s="186"/>
      <c r="F838" s="186"/>
      <c r="G838" s="186"/>
      <c r="H838" s="186"/>
      <c r="I838" s="186"/>
      <c r="J838" s="186"/>
      <c r="K838" s="186"/>
      <c r="L838" s="186"/>
      <c r="M838" s="186"/>
      <c r="N838" s="186"/>
      <c r="O838" s="186"/>
      <c r="P838" s="186"/>
      <c r="Q838" s="186"/>
      <c r="R838" s="186"/>
      <c r="S838" s="186"/>
      <c r="T838" s="186"/>
      <c r="U838" s="186"/>
      <c r="V838" s="67"/>
      <c r="W838" s="67"/>
      <c r="X838" s="67"/>
      <c r="Y838" s="187"/>
      <c r="Z838" s="186"/>
      <c r="AA838" s="187"/>
      <c r="AB838" s="187"/>
      <c r="AC838" s="187"/>
      <c r="AD838" s="186"/>
      <c r="AE838" s="186"/>
      <c r="AF838" s="67"/>
      <c r="AG838" s="67"/>
      <c r="AH838" s="67"/>
      <c r="AL838" s="186"/>
    </row>
    <row r="839">
      <c r="A839" s="185"/>
      <c r="B839" s="67"/>
      <c r="C839" s="67"/>
      <c r="D839" s="67"/>
      <c r="E839" s="186"/>
      <c r="F839" s="186"/>
      <c r="G839" s="186"/>
      <c r="H839" s="186"/>
      <c r="I839" s="186"/>
      <c r="J839" s="186"/>
      <c r="K839" s="186"/>
      <c r="L839" s="186"/>
      <c r="M839" s="186"/>
      <c r="N839" s="186"/>
      <c r="O839" s="186"/>
      <c r="P839" s="186"/>
      <c r="Q839" s="186"/>
      <c r="R839" s="186"/>
      <c r="S839" s="186"/>
      <c r="T839" s="186"/>
      <c r="U839" s="186"/>
      <c r="V839" s="67"/>
      <c r="W839" s="67"/>
      <c r="X839" s="67"/>
      <c r="Y839" s="187"/>
      <c r="Z839" s="186"/>
      <c r="AA839" s="187"/>
      <c r="AB839" s="187"/>
      <c r="AC839" s="187"/>
      <c r="AD839" s="186"/>
      <c r="AE839" s="186"/>
      <c r="AF839" s="67"/>
      <c r="AG839" s="67"/>
      <c r="AH839" s="67"/>
      <c r="AL839" s="186"/>
    </row>
    <row r="840">
      <c r="A840" s="185"/>
      <c r="B840" s="67"/>
      <c r="C840" s="67"/>
      <c r="D840" s="67"/>
      <c r="E840" s="186"/>
      <c r="F840" s="186"/>
      <c r="G840" s="186"/>
      <c r="H840" s="186"/>
      <c r="I840" s="186"/>
      <c r="J840" s="186"/>
      <c r="K840" s="186"/>
      <c r="L840" s="186"/>
      <c r="M840" s="186"/>
      <c r="N840" s="186"/>
      <c r="O840" s="186"/>
      <c r="P840" s="186"/>
      <c r="Q840" s="186"/>
      <c r="R840" s="186"/>
      <c r="S840" s="186"/>
      <c r="T840" s="186"/>
      <c r="U840" s="186"/>
      <c r="V840" s="67"/>
      <c r="W840" s="67"/>
      <c r="X840" s="67"/>
      <c r="Y840" s="187"/>
      <c r="Z840" s="186"/>
      <c r="AA840" s="187"/>
      <c r="AB840" s="187"/>
      <c r="AC840" s="187"/>
      <c r="AD840" s="186"/>
      <c r="AE840" s="186"/>
      <c r="AF840" s="67"/>
      <c r="AG840" s="67"/>
      <c r="AH840" s="67"/>
      <c r="AL840" s="186"/>
    </row>
    <row r="841">
      <c r="A841" s="185"/>
      <c r="B841" s="67"/>
      <c r="C841" s="67"/>
      <c r="D841" s="67"/>
      <c r="E841" s="186"/>
      <c r="F841" s="186"/>
      <c r="G841" s="186"/>
      <c r="H841" s="186"/>
      <c r="I841" s="186"/>
      <c r="J841" s="186"/>
      <c r="K841" s="186"/>
      <c r="L841" s="186"/>
      <c r="M841" s="186"/>
      <c r="N841" s="186"/>
      <c r="O841" s="186"/>
      <c r="P841" s="186"/>
      <c r="Q841" s="186"/>
      <c r="R841" s="186"/>
      <c r="S841" s="186"/>
      <c r="T841" s="186"/>
      <c r="U841" s="186"/>
      <c r="V841" s="67"/>
      <c r="W841" s="67"/>
      <c r="X841" s="67"/>
      <c r="Y841" s="187"/>
      <c r="Z841" s="186"/>
      <c r="AA841" s="187"/>
      <c r="AB841" s="187"/>
      <c r="AC841" s="187"/>
      <c r="AD841" s="186"/>
      <c r="AE841" s="186"/>
      <c r="AF841" s="67"/>
      <c r="AG841" s="67"/>
      <c r="AH841" s="67"/>
      <c r="AL841" s="186"/>
    </row>
    <row r="842">
      <c r="A842" s="185"/>
      <c r="B842" s="67"/>
      <c r="C842" s="67"/>
      <c r="D842" s="67"/>
      <c r="E842" s="186"/>
      <c r="F842" s="186"/>
      <c r="G842" s="186"/>
      <c r="H842" s="186"/>
      <c r="I842" s="186"/>
      <c r="J842" s="186"/>
      <c r="K842" s="186"/>
      <c r="L842" s="186"/>
      <c r="M842" s="186"/>
      <c r="N842" s="186"/>
      <c r="O842" s="186"/>
      <c r="P842" s="186"/>
      <c r="Q842" s="186"/>
      <c r="R842" s="186"/>
      <c r="S842" s="186"/>
      <c r="T842" s="186"/>
      <c r="U842" s="186"/>
      <c r="V842" s="67"/>
      <c r="W842" s="67"/>
      <c r="X842" s="67"/>
      <c r="Y842" s="187"/>
      <c r="Z842" s="186"/>
      <c r="AA842" s="187"/>
      <c r="AB842" s="187"/>
      <c r="AC842" s="187"/>
      <c r="AD842" s="186"/>
      <c r="AE842" s="186"/>
      <c r="AF842" s="67"/>
      <c r="AG842" s="67"/>
      <c r="AH842" s="67"/>
      <c r="AL842" s="186"/>
    </row>
    <row r="843">
      <c r="A843" s="185"/>
      <c r="B843" s="67"/>
      <c r="C843" s="67"/>
      <c r="D843" s="67"/>
      <c r="E843" s="186"/>
      <c r="F843" s="186"/>
      <c r="G843" s="186"/>
      <c r="H843" s="186"/>
      <c r="I843" s="186"/>
      <c r="J843" s="186"/>
      <c r="K843" s="186"/>
      <c r="L843" s="186"/>
      <c r="M843" s="186"/>
      <c r="N843" s="186"/>
      <c r="O843" s="186"/>
      <c r="P843" s="186"/>
      <c r="Q843" s="186"/>
      <c r="R843" s="186"/>
      <c r="S843" s="186"/>
      <c r="T843" s="186"/>
      <c r="U843" s="186"/>
      <c r="V843" s="67"/>
      <c r="W843" s="67"/>
      <c r="X843" s="67"/>
      <c r="Y843" s="187"/>
      <c r="Z843" s="186"/>
      <c r="AA843" s="187"/>
      <c r="AB843" s="187"/>
      <c r="AC843" s="187"/>
      <c r="AD843" s="186"/>
      <c r="AE843" s="186"/>
      <c r="AF843" s="67"/>
      <c r="AG843" s="67"/>
      <c r="AH843" s="67"/>
      <c r="AL843" s="186"/>
    </row>
    <row r="844">
      <c r="A844" s="185"/>
      <c r="B844" s="67"/>
      <c r="C844" s="67"/>
      <c r="D844" s="67"/>
      <c r="E844" s="186"/>
      <c r="F844" s="186"/>
      <c r="G844" s="186"/>
      <c r="H844" s="186"/>
      <c r="I844" s="186"/>
      <c r="J844" s="186"/>
      <c r="K844" s="186"/>
      <c r="L844" s="186"/>
      <c r="M844" s="186"/>
      <c r="N844" s="186"/>
      <c r="O844" s="186"/>
      <c r="P844" s="186"/>
      <c r="Q844" s="186"/>
      <c r="R844" s="186"/>
      <c r="S844" s="186"/>
      <c r="T844" s="186"/>
      <c r="U844" s="186"/>
      <c r="V844" s="67"/>
      <c r="W844" s="67"/>
      <c r="X844" s="67"/>
      <c r="Y844" s="187"/>
      <c r="Z844" s="186"/>
      <c r="AA844" s="187"/>
      <c r="AB844" s="187"/>
      <c r="AC844" s="187"/>
      <c r="AD844" s="186"/>
      <c r="AE844" s="186"/>
      <c r="AF844" s="67"/>
      <c r="AG844" s="67"/>
      <c r="AH844" s="67"/>
      <c r="AL844" s="186"/>
    </row>
    <row r="845">
      <c r="A845" s="185"/>
      <c r="B845" s="67"/>
      <c r="C845" s="67"/>
      <c r="D845" s="67"/>
      <c r="E845" s="186"/>
      <c r="F845" s="186"/>
      <c r="G845" s="186"/>
      <c r="H845" s="186"/>
      <c r="I845" s="186"/>
      <c r="J845" s="186"/>
      <c r="K845" s="186"/>
      <c r="L845" s="186"/>
      <c r="M845" s="186"/>
      <c r="N845" s="186"/>
      <c r="O845" s="186"/>
      <c r="P845" s="186"/>
      <c r="Q845" s="186"/>
      <c r="R845" s="186"/>
      <c r="S845" s="186"/>
      <c r="T845" s="186"/>
      <c r="U845" s="186"/>
      <c r="V845" s="67"/>
      <c r="W845" s="67"/>
      <c r="X845" s="67"/>
      <c r="Y845" s="187"/>
      <c r="Z845" s="186"/>
      <c r="AA845" s="187"/>
      <c r="AB845" s="187"/>
      <c r="AC845" s="187"/>
      <c r="AD845" s="186"/>
      <c r="AE845" s="186"/>
      <c r="AF845" s="67"/>
      <c r="AG845" s="67"/>
      <c r="AH845" s="67"/>
      <c r="AL845" s="186"/>
    </row>
    <row r="846">
      <c r="A846" s="185"/>
      <c r="B846" s="67"/>
      <c r="C846" s="67"/>
      <c r="D846" s="67"/>
      <c r="E846" s="186"/>
      <c r="F846" s="186"/>
      <c r="G846" s="186"/>
      <c r="H846" s="186"/>
      <c r="I846" s="186"/>
      <c r="J846" s="186"/>
      <c r="K846" s="186"/>
      <c r="L846" s="186"/>
      <c r="M846" s="186"/>
      <c r="N846" s="186"/>
      <c r="O846" s="186"/>
      <c r="P846" s="186"/>
      <c r="Q846" s="186"/>
      <c r="R846" s="186"/>
      <c r="S846" s="186"/>
      <c r="T846" s="186"/>
      <c r="U846" s="186"/>
      <c r="V846" s="67"/>
      <c r="W846" s="67"/>
      <c r="X846" s="67"/>
      <c r="Y846" s="187"/>
      <c r="Z846" s="186"/>
      <c r="AA846" s="187"/>
      <c r="AB846" s="187"/>
      <c r="AC846" s="187"/>
      <c r="AD846" s="186"/>
      <c r="AE846" s="186"/>
      <c r="AF846" s="67"/>
      <c r="AG846" s="67"/>
      <c r="AH846" s="67"/>
      <c r="AL846" s="186"/>
    </row>
    <row r="847">
      <c r="A847" s="185"/>
      <c r="B847" s="67"/>
      <c r="C847" s="67"/>
      <c r="D847" s="67"/>
      <c r="E847" s="186"/>
      <c r="F847" s="186"/>
      <c r="G847" s="186"/>
      <c r="H847" s="186"/>
      <c r="I847" s="186"/>
      <c r="J847" s="186"/>
      <c r="K847" s="186"/>
      <c r="L847" s="186"/>
      <c r="M847" s="186"/>
      <c r="N847" s="186"/>
      <c r="O847" s="186"/>
      <c r="P847" s="186"/>
      <c r="Q847" s="186"/>
      <c r="R847" s="186"/>
      <c r="S847" s="186"/>
      <c r="T847" s="186"/>
      <c r="U847" s="186"/>
      <c r="V847" s="67"/>
      <c r="W847" s="67"/>
      <c r="X847" s="67"/>
      <c r="Y847" s="187"/>
      <c r="Z847" s="186"/>
      <c r="AA847" s="187"/>
      <c r="AB847" s="187"/>
      <c r="AC847" s="187"/>
      <c r="AD847" s="186"/>
      <c r="AE847" s="186"/>
      <c r="AF847" s="67"/>
      <c r="AG847" s="67"/>
      <c r="AH847" s="67"/>
      <c r="AL847" s="186"/>
    </row>
    <row r="848">
      <c r="A848" s="185"/>
      <c r="B848" s="67"/>
      <c r="C848" s="67"/>
      <c r="D848" s="67"/>
      <c r="E848" s="186"/>
      <c r="F848" s="186"/>
      <c r="G848" s="186"/>
      <c r="H848" s="186"/>
      <c r="I848" s="186"/>
      <c r="J848" s="186"/>
      <c r="K848" s="186"/>
      <c r="L848" s="186"/>
      <c r="M848" s="186"/>
      <c r="N848" s="186"/>
      <c r="O848" s="186"/>
      <c r="P848" s="186"/>
      <c r="Q848" s="186"/>
      <c r="R848" s="186"/>
      <c r="S848" s="186"/>
      <c r="T848" s="186"/>
      <c r="U848" s="186"/>
      <c r="V848" s="67"/>
      <c r="W848" s="67"/>
      <c r="X848" s="67"/>
      <c r="Y848" s="187"/>
      <c r="Z848" s="186"/>
      <c r="AA848" s="187"/>
      <c r="AB848" s="187"/>
      <c r="AC848" s="187"/>
      <c r="AD848" s="186"/>
      <c r="AE848" s="186"/>
      <c r="AF848" s="67"/>
      <c r="AG848" s="67"/>
      <c r="AH848" s="67"/>
      <c r="AL848" s="186"/>
    </row>
    <row r="849">
      <c r="A849" s="185"/>
      <c r="B849" s="67"/>
      <c r="C849" s="67"/>
      <c r="D849" s="67"/>
      <c r="E849" s="186"/>
      <c r="F849" s="186"/>
      <c r="G849" s="186"/>
      <c r="H849" s="186"/>
      <c r="I849" s="186"/>
      <c r="J849" s="186"/>
      <c r="K849" s="186"/>
      <c r="L849" s="186"/>
      <c r="M849" s="186"/>
      <c r="N849" s="186"/>
      <c r="O849" s="186"/>
      <c r="P849" s="186"/>
      <c r="Q849" s="186"/>
      <c r="R849" s="186"/>
      <c r="S849" s="186"/>
      <c r="T849" s="186"/>
      <c r="U849" s="186"/>
      <c r="V849" s="67"/>
      <c r="W849" s="67"/>
      <c r="X849" s="67"/>
      <c r="Y849" s="187"/>
      <c r="Z849" s="186"/>
      <c r="AA849" s="187"/>
      <c r="AB849" s="187"/>
      <c r="AC849" s="187"/>
      <c r="AD849" s="186"/>
      <c r="AE849" s="186"/>
      <c r="AF849" s="67"/>
      <c r="AG849" s="67"/>
      <c r="AH849" s="67"/>
      <c r="AL849" s="186"/>
    </row>
    <row r="850">
      <c r="A850" s="185"/>
      <c r="B850" s="67"/>
      <c r="C850" s="67"/>
      <c r="D850" s="67"/>
      <c r="E850" s="186"/>
      <c r="F850" s="186"/>
      <c r="G850" s="186"/>
      <c r="H850" s="186"/>
      <c r="I850" s="186"/>
      <c r="J850" s="186"/>
      <c r="K850" s="186"/>
      <c r="L850" s="186"/>
      <c r="M850" s="186"/>
      <c r="N850" s="186"/>
      <c r="O850" s="186"/>
      <c r="P850" s="186"/>
      <c r="Q850" s="186"/>
      <c r="R850" s="186"/>
      <c r="S850" s="186"/>
      <c r="T850" s="186"/>
      <c r="U850" s="186"/>
      <c r="V850" s="67"/>
      <c r="W850" s="67"/>
      <c r="X850" s="67"/>
      <c r="Y850" s="187"/>
      <c r="Z850" s="186"/>
      <c r="AA850" s="187"/>
      <c r="AB850" s="187"/>
      <c r="AC850" s="187"/>
      <c r="AD850" s="186"/>
      <c r="AE850" s="186"/>
      <c r="AF850" s="67"/>
      <c r="AG850" s="67"/>
      <c r="AH850" s="67"/>
      <c r="AL850" s="186"/>
    </row>
    <row r="851">
      <c r="A851" s="185"/>
      <c r="B851" s="67"/>
      <c r="C851" s="67"/>
      <c r="D851" s="67"/>
      <c r="E851" s="186"/>
      <c r="F851" s="186"/>
      <c r="G851" s="186"/>
      <c r="H851" s="186"/>
      <c r="I851" s="186"/>
      <c r="J851" s="186"/>
      <c r="K851" s="186"/>
      <c r="L851" s="186"/>
      <c r="M851" s="186"/>
      <c r="N851" s="186"/>
      <c r="O851" s="186"/>
      <c r="P851" s="186"/>
      <c r="Q851" s="186"/>
      <c r="R851" s="186"/>
      <c r="S851" s="186"/>
      <c r="T851" s="186"/>
      <c r="U851" s="186"/>
      <c r="V851" s="67"/>
      <c r="W851" s="67"/>
      <c r="X851" s="67"/>
      <c r="Y851" s="187"/>
      <c r="Z851" s="186"/>
      <c r="AA851" s="187"/>
      <c r="AB851" s="187"/>
      <c r="AC851" s="187"/>
      <c r="AD851" s="186"/>
      <c r="AE851" s="186"/>
      <c r="AF851" s="67"/>
      <c r="AG851" s="67"/>
      <c r="AH851" s="67"/>
      <c r="AL851" s="186"/>
    </row>
    <row r="852">
      <c r="A852" s="185"/>
      <c r="B852" s="67"/>
      <c r="C852" s="67"/>
      <c r="D852" s="67"/>
      <c r="E852" s="186"/>
      <c r="F852" s="186"/>
      <c r="G852" s="186"/>
      <c r="H852" s="186"/>
      <c r="I852" s="186"/>
      <c r="J852" s="186"/>
      <c r="K852" s="186"/>
      <c r="L852" s="186"/>
      <c r="M852" s="186"/>
      <c r="N852" s="186"/>
      <c r="O852" s="186"/>
      <c r="P852" s="186"/>
      <c r="Q852" s="186"/>
      <c r="R852" s="186"/>
      <c r="S852" s="186"/>
      <c r="T852" s="186"/>
      <c r="U852" s="186"/>
      <c r="V852" s="67"/>
      <c r="W852" s="67"/>
      <c r="X852" s="67"/>
      <c r="Y852" s="187"/>
      <c r="Z852" s="186"/>
      <c r="AA852" s="187"/>
      <c r="AB852" s="187"/>
      <c r="AC852" s="187"/>
      <c r="AD852" s="186"/>
      <c r="AE852" s="186"/>
      <c r="AF852" s="67"/>
      <c r="AG852" s="67"/>
      <c r="AH852" s="67"/>
      <c r="AL852" s="186"/>
    </row>
    <row r="853">
      <c r="A853" s="185"/>
      <c r="B853" s="67"/>
      <c r="C853" s="67"/>
      <c r="D853" s="67"/>
      <c r="E853" s="186"/>
      <c r="F853" s="186"/>
      <c r="G853" s="186"/>
      <c r="H853" s="186"/>
      <c r="I853" s="186"/>
      <c r="J853" s="186"/>
      <c r="K853" s="186"/>
      <c r="L853" s="186"/>
      <c r="M853" s="186"/>
      <c r="N853" s="186"/>
      <c r="O853" s="186"/>
      <c r="P853" s="186"/>
      <c r="Q853" s="186"/>
      <c r="R853" s="186"/>
      <c r="S853" s="186"/>
      <c r="T853" s="186"/>
      <c r="U853" s="186"/>
      <c r="V853" s="67"/>
      <c r="W853" s="67"/>
      <c r="X853" s="67"/>
      <c r="Y853" s="187"/>
      <c r="Z853" s="186"/>
      <c r="AA853" s="187"/>
      <c r="AB853" s="187"/>
      <c r="AC853" s="187"/>
      <c r="AD853" s="186"/>
      <c r="AE853" s="186"/>
      <c r="AF853" s="67"/>
      <c r="AG853" s="67"/>
      <c r="AH853" s="67"/>
      <c r="AL853" s="186"/>
    </row>
    <row r="854">
      <c r="A854" s="185"/>
      <c r="B854" s="67"/>
      <c r="C854" s="67"/>
      <c r="D854" s="67"/>
      <c r="E854" s="186"/>
      <c r="F854" s="186"/>
      <c r="G854" s="186"/>
      <c r="H854" s="186"/>
      <c r="I854" s="186"/>
      <c r="J854" s="186"/>
      <c r="K854" s="186"/>
      <c r="L854" s="186"/>
      <c r="M854" s="186"/>
      <c r="N854" s="186"/>
      <c r="O854" s="186"/>
      <c r="P854" s="186"/>
      <c r="Q854" s="186"/>
      <c r="R854" s="186"/>
      <c r="S854" s="186"/>
      <c r="T854" s="186"/>
      <c r="U854" s="186"/>
      <c r="V854" s="67"/>
      <c r="W854" s="67"/>
      <c r="X854" s="67"/>
      <c r="Y854" s="187"/>
      <c r="Z854" s="186"/>
      <c r="AA854" s="187"/>
      <c r="AB854" s="187"/>
      <c r="AC854" s="187"/>
      <c r="AD854" s="186"/>
      <c r="AE854" s="186"/>
      <c r="AF854" s="67"/>
      <c r="AG854" s="67"/>
      <c r="AH854" s="67"/>
      <c r="AL854" s="186"/>
    </row>
    <row r="855">
      <c r="A855" s="185"/>
      <c r="B855" s="67"/>
      <c r="C855" s="67"/>
      <c r="D855" s="67"/>
      <c r="E855" s="186"/>
      <c r="F855" s="186"/>
      <c r="G855" s="186"/>
      <c r="H855" s="186"/>
      <c r="I855" s="186"/>
      <c r="J855" s="186"/>
      <c r="K855" s="186"/>
      <c r="L855" s="186"/>
      <c r="M855" s="186"/>
      <c r="N855" s="186"/>
      <c r="O855" s="186"/>
      <c r="P855" s="186"/>
      <c r="Q855" s="186"/>
      <c r="R855" s="186"/>
      <c r="S855" s="186"/>
      <c r="T855" s="186"/>
      <c r="U855" s="186"/>
      <c r="V855" s="67"/>
      <c r="W855" s="67"/>
      <c r="X855" s="67"/>
      <c r="Y855" s="187"/>
      <c r="Z855" s="186"/>
      <c r="AA855" s="187"/>
      <c r="AB855" s="187"/>
      <c r="AC855" s="187"/>
      <c r="AD855" s="186"/>
      <c r="AE855" s="186"/>
      <c r="AF855" s="67"/>
      <c r="AG855" s="67"/>
      <c r="AH855" s="67"/>
      <c r="AL855" s="186"/>
    </row>
    <row r="856">
      <c r="A856" s="185"/>
      <c r="B856" s="67"/>
      <c r="C856" s="67"/>
      <c r="D856" s="67"/>
      <c r="E856" s="186"/>
      <c r="F856" s="186"/>
      <c r="G856" s="186"/>
      <c r="H856" s="186"/>
      <c r="I856" s="186"/>
      <c r="J856" s="186"/>
      <c r="K856" s="186"/>
      <c r="L856" s="186"/>
      <c r="M856" s="186"/>
      <c r="N856" s="186"/>
      <c r="O856" s="186"/>
      <c r="P856" s="186"/>
      <c r="Q856" s="186"/>
      <c r="R856" s="186"/>
      <c r="S856" s="186"/>
      <c r="T856" s="186"/>
      <c r="U856" s="186"/>
      <c r="V856" s="67"/>
      <c r="W856" s="67"/>
      <c r="X856" s="67"/>
      <c r="Y856" s="187"/>
      <c r="Z856" s="186"/>
      <c r="AA856" s="187"/>
      <c r="AB856" s="187"/>
      <c r="AC856" s="187"/>
      <c r="AD856" s="186"/>
      <c r="AE856" s="186"/>
      <c r="AF856" s="67"/>
      <c r="AG856" s="67"/>
      <c r="AH856" s="67"/>
      <c r="AL856" s="186"/>
    </row>
    <row r="857">
      <c r="A857" s="185"/>
      <c r="B857" s="67"/>
      <c r="C857" s="67"/>
      <c r="D857" s="67"/>
      <c r="E857" s="186"/>
      <c r="F857" s="186"/>
      <c r="G857" s="186"/>
      <c r="H857" s="186"/>
      <c r="I857" s="186"/>
      <c r="J857" s="186"/>
      <c r="K857" s="186"/>
      <c r="L857" s="186"/>
      <c r="M857" s="186"/>
      <c r="N857" s="186"/>
      <c r="O857" s="186"/>
      <c r="P857" s="186"/>
      <c r="Q857" s="186"/>
      <c r="R857" s="186"/>
      <c r="S857" s="186"/>
      <c r="T857" s="186"/>
      <c r="U857" s="186"/>
      <c r="V857" s="67"/>
      <c r="W857" s="67"/>
      <c r="X857" s="67"/>
      <c r="Y857" s="187"/>
      <c r="Z857" s="186"/>
      <c r="AA857" s="187"/>
      <c r="AB857" s="187"/>
      <c r="AC857" s="187"/>
      <c r="AD857" s="186"/>
      <c r="AE857" s="186"/>
      <c r="AF857" s="67"/>
      <c r="AG857" s="67"/>
      <c r="AH857" s="67"/>
      <c r="AL857" s="186"/>
    </row>
    <row r="858">
      <c r="A858" s="185"/>
      <c r="B858" s="67"/>
      <c r="C858" s="67"/>
      <c r="D858" s="67"/>
      <c r="E858" s="186"/>
      <c r="F858" s="186"/>
      <c r="G858" s="186"/>
      <c r="H858" s="186"/>
      <c r="I858" s="186"/>
      <c r="J858" s="186"/>
      <c r="K858" s="186"/>
      <c r="L858" s="186"/>
      <c r="M858" s="186"/>
      <c r="N858" s="186"/>
      <c r="O858" s="186"/>
      <c r="P858" s="186"/>
      <c r="Q858" s="186"/>
      <c r="R858" s="186"/>
      <c r="S858" s="186"/>
      <c r="T858" s="186"/>
      <c r="U858" s="186"/>
      <c r="V858" s="67"/>
      <c r="W858" s="67"/>
      <c r="X858" s="67"/>
      <c r="Y858" s="187"/>
      <c r="Z858" s="186"/>
      <c r="AA858" s="187"/>
      <c r="AB858" s="187"/>
      <c r="AC858" s="187"/>
      <c r="AD858" s="186"/>
      <c r="AE858" s="186"/>
      <c r="AF858" s="67"/>
      <c r="AG858" s="67"/>
      <c r="AH858" s="67"/>
      <c r="AL858" s="186"/>
    </row>
    <row r="859">
      <c r="A859" s="185"/>
      <c r="B859" s="67"/>
      <c r="C859" s="67"/>
      <c r="D859" s="67"/>
      <c r="E859" s="186"/>
      <c r="F859" s="186"/>
      <c r="G859" s="186"/>
      <c r="H859" s="186"/>
      <c r="I859" s="186"/>
      <c r="J859" s="186"/>
      <c r="K859" s="186"/>
      <c r="L859" s="186"/>
      <c r="M859" s="186"/>
      <c r="N859" s="186"/>
      <c r="O859" s="186"/>
      <c r="P859" s="186"/>
      <c r="Q859" s="186"/>
      <c r="R859" s="186"/>
      <c r="S859" s="186"/>
      <c r="T859" s="186"/>
      <c r="U859" s="186"/>
      <c r="V859" s="67"/>
      <c r="W859" s="67"/>
      <c r="X859" s="67"/>
      <c r="Y859" s="187"/>
      <c r="Z859" s="186"/>
      <c r="AA859" s="187"/>
      <c r="AB859" s="187"/>
      <c r="AC859" s="187"/>
      <c r="AD859" s="186"/>
      <c r="AE859" s="186"/>
      <c r="AF859" s="67"/>
      <c r="AG859" s="67"/>
      <c r="AH859" s="67"/>
      <c r="AL859" s="186"/>
    </row>
    <row r="860">
      <c r="A860" s="185"/>
      <c r="B860" s="67"/>
      <c r="C860" s="67"/>
      <c r="D860" s="67"/>
      <c r="E860" s="186"/>
      <c r="F860" s="186"/>
      <c r="G860" s="186"/>
      <c r="H860" s="186"/>
      <c r="I860" s="186"/>
      <c r="J860" s="186"/>
      <c r="K860" s="186"/>
      <c r="L860" s="186"/>
      <c r="M860" s="186"/>
      <c r="N860" s="186"/>
      <c r="O860" s="186"/>
      <c r="P860" s="186"/>
      <c r="Q860" s="186"/>
      <c r="R860" s="186"/>
      <c r="S860" s="186"/>
      <c r="T860" s="186"/>
      <c r="U860" s="186"/>
      <c r="V860" s="67"/>
      <c r="W860" s="67"/>
      <c r="X860" s="67"/>
      <c r="Y860" s="187"/>
      <c r="Z860" s="186"/>
      <c r="AA860" s="187"/>
      <c r="AB860" s="187"/>
      <c r="AC860" s="187"/>
      <c r="AD860" s="186"/>
      <c r="AE860" s="186"/>
      <c r="AF860" s="67"/>
      <c r="AG860" s="67"/>
      <c r="AH860" s="67"/>
      <c r="AL860" s="186"/>
    </row>
    <row r="861">
      <c r="A861" s="185"/>
      <c r="B861" s="67"/>
      <c r="C861" s="67"/>
      <c r="D861" s="67"/>
      <c r="E861" s="186"/>
      <c r="F861" s="186"/>
      <c r="G861" s="186"/>
      <c r="H861" s="186"/>
      <c r="I861" s="186"/>
      <c r="J861" s="186"/>
      <c r="K861" s="186"/>
      <c r="L861" s="186"/>
      <c r="M861" s="186"/>
      <c r="N861" s="186"/>
      <c r="O861" s="186"/>
      <c r="P861" s="186"/>
      <c r="Q861" s="186"/>
      <c r="R861" s="186"/>
      <c r="S861" s="186"/>
      <c r="T861" s="186"/>
      <c r="U861" s="186"/>
      <c r="V861" s="67"/>
      <c r="W861" s="67"/>
      <c r="X861" s="67"/>
      <c r="Y861" s="187"/>
      <c r="Z861" s="186"/>
      <c r="AA861" s="187"/>
      <c r="AB861" s="187"/>
      <c r="AC861" s="187"/>
      <c r="AD861" s="186"/>
      <c r="AE861" s="186"/>
      <c r="AF861" s="67"/>
      <c r="AG861" s="67"/>
      <c r="AH861" s="67"/>
      <c r="AL861" s="186"/>
    </row>
    <row r="862">
      <c r="A862" s="185"/>
      <c r="B862" s="67"/>
      <c r="C862" s="67"/>
      <c r="D862" s="67"/>
      <c r="E862" s="186"/>
      <c r="F862" s="186"/>
      <c r="G862" s="186"/>
      <c r="H862" s="186"/>
      <c r="I862" s="186"/>
      <c r="J862" s="186"/>
      <c r="K862" s="186"/>
      <c r="L862" s="186"/>
      <c r="M862" s="186"/>
      <c r="N862" s="186"/>
      <c r="O862" s="186"/>
      <c r="P862" s="186"/>
      <c r="Q862" s="186"/>
      <c r="R862" s="186"/>
      <c r="S862" s="186"/>
      <c r="T862" s="186"/>
      <c r="U862" s="186"/>
      <c r="V862" s="67"/>
      <c r="W862" s="67"/>
      <c r="X862" s="67"/>
      <c r="Y862" s="187"/>
      <c r="Z862" s="186"/>
      <c r="AA862" s="187"/>
      <c r="AB862" s="187"/>
      <c r="AC862" s="187"/>
      <c r="AD862" s="186"/>
      <c r="AE862" s="186"/>
      <c r="AF862" s="67"/>
      <c r="AG862" s="67"/>
      <c r="AH862" s="67"/>
      <c r="AL862" s="186"/>
    </row>
    <row r="863">
      <c r="A863" s="185"/>
      <c r="B863" s="67"/>
      <c r="C863" s="67"/>
      <c r="D863" s="67"/>
      <c r="E863" s="186"/>
      <c r="F863" s="186"/>
      <c r="G863" s="186"/>
      <c r="H863" s="186"/>
      <c r="I863" s="186"/>
      <c r="J863" s="186"/>
      <c r="K863" s="186"/>
      <c r="L863" s="186"/>
      <c r="M863" s="186"/>
      <c r="N863" s="186"/>
      <c r="O863" s="186"/>
      <c r="P863" s="186"/>
      <c r="Q863" s="186"/>
      <c r="R863" s="186"/>
      <c r="S863" s="186"/>
      <c r="T863" s="186"/>
      <c r="U863" s="186"/>
      <c r="V863" s="67"/>
      <c r="W863" s="67"/>
      <c r="X863" s="67"/>
      <c r="Y863" s="187"/>
      <c r="Z863" s="186"/>
      <c r="AA863" s="187"/>
      <c r="AB863" s="187"/>
      <c r="AC863" s="187"/>
      <c r="AD863" s="186"/>
      <c r="AE863" s="186"/>
      <c r="AF863" s="67"/>
      <c r="AG863" s="67"/>
      <c r="AH863" s="67"/>
      <c r="AL863" s="186"/>
    </row>
    <row r="864">
      <c r="A864" s="185"/>
      <c r="B864" s="67"/>
      <c r="C864" s="67"/>
      <c r="D864" s="67"/>
      <c r="E864" s="186"/>
      <c r="F864" s="186"/>
      <c r="G864" s="186"/>
      <c r="H864" s="186"/>
      <c r="I864" s="186"/>
      <c r="J864" s="186"/>
      <c r="K864" s="186"/>
      <c r="L864" s="186"/>
      <c r="M864" s="186"/>
      <c r="N864" s="186"/>
      <c r="O864" s="186"/>
      <c r="P864" s="186"/>
      <c r="Q864" s="186"/>
      <c r="R864" s="186"/>
      <c r="S864" s="186"/>
      <c r="T864" s="186"/>
      <c r="U864" s="186"/>
      <c r="V864" s="67"/>
      <c r="W864" s="67"/>
      <c r="X864" s="67"/>
      <c r="Y864" s="187"/>
      <c r="Z864" s="186"/>
      <c r="AA864" s="187"/>
      <c r="AB864" s="187"/>
      <c r="AC864" s="187"/>
      <c r="AD864" s="186"/>
      <c r="AE864" s="186"/>
      <c r="AF864" s="67"/>
      <c r="AG864" s="67"/>
      <c r="AH864" s="67"/>
      <c r="AL864" s="186"/>
    </row>
    <row r="865">
      <c r="A865" s="185"/>
      <c r="B865" s="67"/>
      <c r="C865" s="67"/>
      <c r="D865" s="67"/>
      <c r="E865" s="186"/>
      <c r="F865" s="186"/>
      <c r="G865" s="186"/>
      <c r="H865" s="186"/>
      <c r="I865" s="186"/>
      <c r="J865" s="186"/>
      <c r="K865" s="186"/>
      <c r="L865" s="186"/>
      <c r="M865" s="186"/>
      <c r="N865" s="186"/>
      <c r="O865" s="186"/>
      <c r="P865" s="186"/>
      <c r="Q865" s="186"/>
      <c r="R865" s="186"/>
      <c r="S865" s="186"/>
      <c r="T865" s="186"/>
      <c r="U865" s="186"/>
      <c r="V865" s="67"/>
      <c r="W865" s="67"/>
      <c r="X865" s="67"/>
      <c r="Y865" s="187"/>
      <c r="Z865" s="186"/>
      <c r="AA865" s="187"/>
      <c r="AB865" s="187"/>
      <c r="AC865" s="187"/>
      <c r="AD865" s="186"/>
      <c r="AE865" s="186"/>
      <c r="AF865" s="67"/>
      <c r="AG865" s="67"/>
      <c r="AH865" s="67"/>
      <c r="AL865" s="186"/>
    </row>
    <row r="866">
      <c r="A866" s="185"/>
      <c r="B866" s="67"/>
      <c r="C866" s="67"/>
      <c r="D866" s="67"/>
      <c r="E866" s="186"/>
      <c r="F866" s="186"/>
      <c r="G866" s="186"/>
      <c r="H866" s="186"/>
      <c r="I866" s="186"/>
      <c r="J866" s="186"/>
      <c r="K866" s="186"/>
      <c r="L866" s="186"/>
      <c r="M866" s="186"/>
      <c r="N866" s="186"/>
      <c r="O866" s="186"/>
      <c r="P866" s="186"/>
      <c r="Q866" s="186"/>
      <c r="R866" s="186"/>
      <c r="S866" s="186"/>
      <c r="T866" s="186"/>
      <c r="U866" s="186"/>
      <c r="V866" s="67"/>
      <c r="W866" s="67"/>
      <c r="X866" s="67"/>
      <c r="Y866" s="187"/>
      <c r="Z866" s="186"/>
      <c r="AA866" s="187"/>
      <c r="AB866" s="187"/>
      <c r="AC866" s="187"/>
      <c r="AD866" s="186"/>
      <c r="AE866" s="186"/>
      <c r="AF866" s="67"/>
      <c r="AG866" s="67"/>
      <c r="AH866" s="67"/>
      <c r="AL866" s="186"/>
    </row>
    <row r="867">
      <c r="A867" s="185"/>
      <c r="B867" s="67"/>
      <c r="C867" s="67"/>
      <c r="D867" s="67"/>
      <c r="E867" s="186"/>
      <c r="F867" s="186"/>
      <c r="G867" s="186"/>
      <c r="H867" s="186"/>
      <c r="I867" s="186"/>
      <c r="J867" s="186"/>
      <c r="K867" s="186"/>
      <c r="L867" s="186"/>
      <c r="M867" s="186"/>
      <c r="N867" s="186"/>
      <c r="O867" s="186"/>
      <c r="P867" s="186"/>
      <c r="Q867" s="186"/>
      <c r="R867" s="186"/>
      <c r="S867" s="186"/>
      <c r="T867" s="186"/>
      <c r="U867" s="186"/>
      <c r="V867" s="67"/>
      <c r="W867" s="67"/>
      <c r="X867" s="67"/>
      <c r="Y867" s="187"/>
      <c r="Z867" s="186"/>
      <c r="AA867" s="187"/>
      <c r="AB867" s="187"/>
      <c r="AC867" s="187"/>
      <c r="AD867" s="186"/>
      <c r="AE867" s="186"/>
      <c r="AF867" s="67"/>
      <c r="AG867" s="67"/>
      <c r="AH867" s="67"/>
      <c r="AL867" s="186"/>
    </row>
    <row r="868">
      <c r="A868" s="185"/>
      <c r="B868" s="67"/>
      <c r="C868" s="67"/>
      <c r="D868" s="67"/>
      <c r="E868" s="186"/>
      <c r="F868" s="186"/>
      <c r="G868" s="186"/>
      <c r="H868" s="186"/>
      <c r="I868" s="186"/>
      <c r="J868" s="186"/>
      <c r="K868" s="186"/>
      <c r="L868" s="186"/>
      <c r="M868" s="186"/>
      <c r="N868" s="186"/>
      <c r="O868" s="186"/>
      <c r="P868" s="186"/>
      <c r="Q868" s="186"/>
      <c r="R868" s="186"/>
      <c r="S868" s="186"/>
      <c r="T868" s="186"/>
      <c r="U868" s="186"/>
      <c r="V868" s="67"/>
      <c r="W868" s="67"/>
      <c r="X868" s="67"/>
      <c r="Y868" s="187"/>
      <c r="Z868" s="186"/>
      <c r="AA868" s="187"/>
      <c r="AB868" s="187"/>
      <c r="AC868" s="187"/>
      <c r="AD868" s="186"/>
      <c r="AE868" s="186"/>
      <c r="AF868" s="67"/>
      <c r="AG868" s="67"/>
      <c r="AH868" s="67"/>
      <c r="AL868" s="186"/>
    </row>
    <row r="869">
      <c r="A869" s="185"/>
      <c r="B869" s="67"/>
      <c r="C869" s="67"/>
      <c r="D869" s="67"/>
      <c r="E869" s="186"/>
      <c r="F869" s="186"/>
      <c r="G869" s="186"/>
      <c r="H869" s="186"/>
      <c r="I869" s="186"/>
      <c r="J869" s="186"/>
      <c r="K869" s="186"/>
      <c r="L869" s="186"/>
      <c r="M869" s="186"/>
      <c r="N869" s="186"/>
      <c r="O869" s="186"/>
      <c r="P869" s="186"/>
      <c r="Q869" s="186"/>
      <c r="R869" s="186"/>
      <c r="S869" s="186"/>
      <c r="T869" s="186"/>
      <c r="U869" s="186"/>
      <c r="V869" s="67"/>
      <c r="W869" s="67"/>
      <c r="X869" s="67"/>
      <c r="Y869" s="187"/>
      <c r="Z869" s="186"/>
      <c r="AA869" s="187"/>
      <c r="AB869" s="187"/>
      <c r="AC869" s="187"/>
      <c r="AD869" s="186"/>
      <c r="AE869" s="186"/>
      <c r="AF869" s="67"/>
      <c r="AG869" s="67"/>
      <c r="AH869" s="67"/>
      <c r="AL869" s="186"/>
    </row>
    <row r="870">
      <c r="A870" s="185"/>
      <c r="B870" s="67"/>
      <c r="C870" s="67"/>
      <c r="D870" s="67"/>
      <c r="E870" s="186"/>
      <c r="F870" s="186"/>
      <c r="G870" s="186"/>
      <c r="H870" s="186"/>
      <c r="I870" s="186"/>
      <c r="J870" s="186"/>
      <c r="K870" s="186"/>
      <c r="L870" s="186"/>
      <c r="M870" s="186"/>
      <c r="N870" s="186"/>
      <c r="O870" s="186"/>
      <c r="P870" s="186"/>
      <c r="Q870" s="186"/>
      <c r="R870" s="186"/>
      <c r="S870" s="186"/>
      <c r="T870" s="186"/>
      <c r="U870" s="186"/>
      <c r="V870" s="67"/>
      <c r="W870" s="67"/>
      <c r="X870" s="67"/>
      <c r="Y870" s="187"/>
      <c r="Z870" s="186"/>
      <c r="AA870" s="187"/>
      <c r="AB870" s="187"/>
      <c r="AC870" s="187"/>
      <c r="AD870" s="186"/>
      <c r="AE870" s="186"/>
      <c r="AF870" s="67"/>
      <c r="AG870" s="67"/>
      <c r="AH870" s="67"/>
      <c r="AL870" s="186"/>
    </row>
    <row r="871">
      <c r="A871" s="185"/>
      <c r="B871" s="67"/>
      <c r="C871" s="67"/>
      <c r="D871" s="67"/>
      <c r="E871" s="186"/>
      <c r="F871" s="186"/>
      <c r="G871" s="186"/>
      <c r="H871" s="186"/>
      <c r="I871" s="186"/>
      <c r="J871" s="186"/>
      <c r="K871" s="186"/>
      <c r="L871" s="186"/>
      <c r="M871" s="186"/>
      <c r="N871" s="186"/>
      <c r="O871" s="186"/>
      <c r="P871" s="186"/>
      <c r="Q871" s="186"/>
      <c r="R871" s="186"/>
      <c r="S871" s="186"/>
      <c r="T871" s="186"/>
      <c r="U871" s="186"/>
      <c r="V871" s="67"/>
      <c r="W871" s="67"/>
      <c r="X871" s="67"/>
      <c r="Y871" s="187"/>
      <c r="Z871" s="186"/>
      <c r="AA871" s="187"/>
      <c r="AB871" s="187"/>
      <c r="AC871" s="187"/>
      <c r="AD871" s="186"/>
      <c r="AE871" s="186"/>
      <c r="AF871" s="67"/>
      <c r="AG871" s="67"/>
      <c r="AH871" s="67"/>
      <c r="AL871" s="186"/>
    </row>
    <row r="872">
      <c r="A872" s="185"/>
      <c r="B872" s="67"/>
      <c r="C872" s="67"/>
      <c r="D872" s="67"/>
      <c r="E872" s="186"/>
      <c r="F872" s="186"/>
      <c r="G872" s="186"/>
      <c r="H872" s="186"/>
      <c r="I872" s="186"/>
      <c r="J872" s="186"/>
      <c r="K872" s="186"/>
      <c r="L872" s="186"/>
      <c r="M872" s="186"/>
      <c r="N872" s="186"/>
      <c r="O872" s="186"/>
      <c r="P872" s="186"/>
      <c r="Q872" s="186"/>
      <c r="R872" s="186"/>
      <c r="S872" s="186"/>
      <c r="T872" s="186"/>
      <c r="U872" s="186"/>
      <c r="V872" s="67"/>
      <c r="W872" s="67"/>
      <c r="X872" s="67"/>
      <c r="Y872" s="187"/>
      <c r="Z872" s="186"/>
      <c r="AA872" s="187"/>
      <c r="AB872" s="187"/>
      <c r="AC872" s="187"/>
      <c r="AD872" s="186"/>
      <c r="AE872" s="186"/>
      <c r="AF872" s="67"/>
      <c r="AG872" s="67"/>
      <c r="AH872" s="67"/>
      <c r="AL872" s="186"/>
    </row>
    <row r="873">
      <c r="A873" s="185"/>
      <c r="B873" s="67"/>
      <c r="C873" s="67"/>
      <c r="D873" s="67"/>
      <c r="E873" s="186"/>
      <c r="F873" s="186"/>
      <c r="G873" s="186"/>
      <c r="H873" s="186"/>
      <c r="I873" s="186"/>
      <c r="J873" s="186"/>
      <c r="K873" s="186"/>
      <c r="L873" s="186"/>
      <c r="M873" s="186"/>
      <c r="N873" s="186"/>
      <c r="O873" s="186"/>
      <c r="P873" s="186"/>
      <c r="Q873" s="186"/>
      <c r="R873" s="186"/>
      <c r="S873" s="186"/>
      <c r="T873" s="186"/>
      <c r="U873" s="186"/>
      <c r="V873" s="67"/>
      <c r="W873" s="67"/>
      <c r="X873" s="67"/>
      <c r="Y873" s="187"/>
      <c r="Z873" s="186"/>
      <c r="AA873" s="187"/>
      <c r="AB873" s="187"/>
      <c r="AC873" s="187"/>
      <c r="AD873" s="186"/>
      <c r="AE873" s="186"/>
      <c r="AF873" s="67"/>
      <c r="AG873" s="67"/>
      <c r="AH873" s="67"/>
      <c r="AL873" s="186"/>
    </row>
    <row r="874">
      <c r="A874" s="185"/>
      <c r="B874" s="67"/>
      <c r="C874" s="67"/>
      <c r="D874" s="67"/>
      <c r="E874" s="186"/>
      <c r="F874" s="186"/>
      <c r="G874" s="186"/>
      <c r="H874" s="186"/>
      <c r="I874" s="186"/>
      <c r="J874" s="186"/>
      <c r="K874" s="186"/>
      <c r="L874" s="186"/>
      <c r="M874" s="186"/>
      <c r="N874" s="186"/>
      <c r="O874" s="186"/>
      <c r="P874" s="186"/>
      <c r="Q874" s="186"/>
      <c r="R874" s="186"/>
      <c r="S874" s="186"/>
      <c r="T874" s="186"/>
      <c r="U874" s="186"/>
      <c r="V874" s="67"/>
      <c r="W874" s="67"/>
      <c r="X874" s="67"/>
      <c r="Y874" s="187"/>
      <c r="Z874" s="186"/>
      <c r="AA874" s="187"/>
      <c r="AB874" s="187"/>
      <c r="AC874" s="187"/>
      <c r="AD874" s="186"/>
      <c r="AE874" s="186"/>
      <c r="AF874" s="67"/>
      <c r="AG874" s="67"/>
      <c r="AH874" s="67"/>
      <c r="AL874" s="186"/>
    </row>
    <row r="875">
      <c r="A875" s="185"/>
      <c r="B875" s="67"/>
      <c r="C875" s="67"/>
      <c r="D875" s="67"/>
      <c r="E875" s="186"/>
      <c r="F875" s="186"/>
      <c r="G875" s="186"/>
      <c r="H875" s="186"/>
      <c r="I875" s="186"/>
      <c r="J875" s="186"/>
      <c r="K875" s="186"/>
      <c r="L875" s="186"/>
      <c r="M875" s="186"/>
      <c r="N875" s="186"/>
      <c r="O875" s="186"/>
      <c r="P875" s="186"/>
      <c r="Q875" s="186"/>
      <c r="R875" s="186"/>
      <c r="S875" s="186"/>
      <c r="T875" s="186"/>
      <c r="U875" s="186"/>
      <c r="V875" s="67"/>
      <c r="W875" s="67"/>
      <c r="X875" s="67"/>
      <c r="Y875" s="187"/>
      <c r="Z875" s="186"/>
      <c r="AA875" s="187"/>
      <c r="AB875" s="187"/>
      <c r="AC875" s="187"/>
      <c r="AD875" s="186"/>
      <c r="AE875" s="186"/>
      <c r="AF875" s="67"/>
      <c r="AG875" s="67"/>
      <c r="AH875" s="67"/>
      <c r="AL875" s="186"/>
    </row>
    <row r="876">
      <c r="A876" s="185"/>
      <c r="B876" s="67"/>
      <c r="C876" s="67"/>
      <c r="D876" s="67"/>
      <c r="E876" s="186"/>
      <c r="F876" s="186"/>
      <c r="G876" s="186"/>
      <c r="H876" s="186"/>
      <c r="I876" s="186"/>
      <c r="J876" s="186"/>
      <c r="K876" s="186"/>
      <c r="L876" s="186"/>
      <c r="M876" s="186"/>
      <c r="N876" s="186"/>
      <c r="O876" s="186"/>
      <c r="P876" s="186"/>
      <c r="Q876" s="186"/>
      <c r="R876" s="186"/>
      <c r="S876" s="186"/>
      <c r="T876" s="186"/>
      <c r="U876" s="186"/>
      <c r="V876" s="67"/>
      <c r="W876" s="67"/>
      <c r="X876" s="67"/>
      <c r="Y876" s="187"/>
      <c r="Z876" s="186"/>
      <c r="AA876" s="187"/>
      <c r="AB876" s="187"/>
      <c r="AC876" s="187"/>
      <c r="AD876" s="186"/>
      <c r="AE876" s="186"/>
      <c r="AF876" s="67"/>
      <c r="AG876" s="67"/>
      <c r="AH876" s="67"/>
      <c r="AL876" s="186"/>
    </row>
    <row r="877">
      <c r="A877" s="185"/>
      <c r="B877" s="67"/>
      <c r="C877" s="67"/>
      <c r="D877" s="67"/>
      <c r="E877" s="186"/>
      <c r="F877" s="186"/>
      <c r="G877" s="186"/>
      <c r="H877" s="186"/>
      <c r="I877" s="186"/>
      <c r="J877" s="186"/>
      <c r="K877" s="186"/>
      <c r="L877" s="186"/>
      <c r="M877" s="186"/>
      <c r="N877" s="186"/>
      <c r="O877" s="186"/>
      <c r="P877" s="186"/>
      <c r="Q877" s="186"/>
      <c r="R877" s="186"/>
      <c r="S877" s="186"/>
      <c r="T877" s="186"/>
      <c r="U877" s="186"/>
      <c r="V877" s="67"/>
      <c r="W877" s="67"/>
      <c r="X877" s="67"/>
      <c r="Y877" s="187"/>
      <c r="Z877" s="186"/>
      <c r="AA877" s="187"/>
      <c r="AB877" s="187"/>
      <c r="AC877" s="187"/>
      <c r="AD877" s="186"/>
      <c r="AE877" s="186"/>
      <c r="AF877" s="67"/>
      <c r="AG877" s="67"/>
      <c r="AH877" s="67"/>
      <c r="AL877" s="186"/>
    </row>
    <row r="878">
      <c r="A878" s="185"/>
      <c r="B878" s="67"/>
      <c r="C878" s="67"/>
      <c r="D878" s="67"/>
      <c r="E878" s="186"/>
      <c r="F878" s="186"/>
      <c r="G878" s="186"/>
      <c r="H878" s="186"/>
      <c r="I878" s="186"/>
      <c r="J878" s="186"/>
      <c r="K878" s="186"/>
      <c r="L878" s="186"/>
      <c r="M878" s="186"/>
      <c r="N878" s="186"/>
      <c r="O878" s="186"/>
      <c r="P878" s="186"/>
      <c r="Q878" s="186"/>
      <c r="R878" s="186"/>
      <c r="S878" s="186"/>
      <c r="T878" s="186"/>
      <c r="U878" s="186"/>
      <c r="V878" s="67"/>
      <c r="W878" s="67"/>
      <c r="X878" s="67"/>
      <c r="Y878" s="187"/>
      <c r="Z878" s="186"/>
      <c r="AA878" s="187"/>
      <c r="AB878" s="187"/>
      <c r="AC878" s="187"/>
      <c r="AD878" s="186"/>
      <c r="AE878" s="186"/>
      <c r="AF878" s="67"/>
      <c r="AG878" s="67"/>
      <c r="AH878" s="67"/>
      <c r="AL878" s="186"/>
    </row>
    <row r="879">
      <c r="A879" s="185"/>
      <c r="B879" s="67"/>
      <c r="C879" s="67"/>
      <c r="D879" s="67"/>
      <c r="E879" s="186"/>
      <c r="F879" s="186"/>
      <c r="G879" s="186"/>
      <c r="H879" s="186"/>
      <c r="I879" s="186"/>
      <c r="J879" s="186"/>
      <c r="K879" s="186"/>
      <c r="L879" s="186"/>
      <c r="M879" s="186"/>
      <c r="N879" s="186"/>
      <c r="O879" s="186"/>
      <c r="P879" s="186"/>
      <c r="Q879" s="186"/>
      <c r="R879" s="186"/>
      <c r="S879" s="186"/>
      <c r="T879" s="186"/>
      <c r="U879" s="186"/>
      <c r="V879" s="67"/>
      <c r="W879" s="67"/>
      <c r="X879" s="67"/>
      <c r="Y879" s="187"/>
      <c r="Z879" s="186"/>
      <c r="AA879" s="187"/>
      <c r="AB879" s="187"/>
      <c r="AC879" s="187"/>
      <c r="AD879" s="186"/>
      <c r="AE879" s="186"/>
      <c r="AF879" s="67"/>
      <c r="AG879" s="67"/>
      <c r="AH879" s="67"/>
      <c r="AL879" s="186"/>
    </row>
    <row r="880">
      <c r="A880" s="185"/>
      <c r="B880" s="67"/>
      <c r="C880" s="67"/>
      <c r="D880" s="67"/>
      <c r="E880" s="186"/>
      <c r="F880" s="186"/>
      <c r="G880" s="186"/>
      <c r="H880" s="186"/>
      <c r="I880" s="186"/>
      <c r="J880" s="186"/>
      <c r="K880" s="186"/>
      <c r="L880" s="186"/>
      <c r="M880" s="186"/>
      <c r="N880" s="186"/>
      <c r="O880" s="186"/>
      <c r="P880" s="186"/>
      <c r="Q880" s="186"/>
      <c r="R880" s="186"/>
      <c r="S880" s="186"/>
      <c r="T880" s="186"/>
      <c r="U880" s="186"/>
      <c r="V880" s="67"/>
      <c r="W880" s="67"/>
      <c r="X880" s="67"/>
      <c r="Y880" s="187"/>
      <c r="Z880" s="186"/>
      <c r="AA880" s="187"/>
      <c r="AB880" s="187"/>
      <c r="AC880" s="187"/>
      <c r="AD880" s="186"/>
      <c r="AE880" s="186"/>
      <c r="AF880" s="67"/>
      <c r="AG880" s="67"/>
      <c r="AH880" s="67"/>
      <c r="AL880" s="186"/>
    </row>
    <row r="881">
      <c r="A881" s="185"/>
      <c r="B881" s="67"/>
      <c r="C881" s="67"/>
      <c r="D881" s="67"/>
      <c r="E881" s="186"/>
      <c r="F881" s="186"/>
      <c r="G881" s="186"/>
      <c r="H881" s="186"/>
      <c r="I881" s="186"/>
      <c r="J881" s="186"/>
      <c r="K881" s="186"/>
      <c r="L881" s="186"/>
      <c r="M881" s="186"/>
      <c r="N881" s="186"/>
      <c r="O881" s="186"/>
      <c r="P881" s="186"/>
      <c r="Q881" s="186"/>
      <c r="R881" s="186"/>
      <c r="S881" s="186"/>
      <c r="T881" s="186"/>
      <c r="U881" s="186"/>
      <c r="V881" s="67"/>
      <c r="W881" s="67"/>
      <c r="X881" s="67"/>
      <c r="Y881" s="187"/>
      <c r="Z881" s="186"/>
      <c r="AA881" s="187"/>
      <c r="AB881" s="187"/>
      <c r="AC881" s="187"/>
      <c r="AD881" s="186"/>
      <c r="AE881" s="186"/>
      <c r="AF881" s="67"/>
      <c r="AG881" s="67"/>
      <c r="AH881" s="67"/>
      <c r="AL881" s="186"/>
    </row>
    <row r="882">
      <c r="A882" s="185"/>
      <c r="B882" s="67"/>
      <c r="C882" s="67"/>
      <c r="D882" s="67"/>
      <c r="E882" s="186"/>
      <c r="F882" s="186"/>
      <c r="G882" s="186"/>
      <c r="H882" s="186"/>
      <c r="I882" s="186"/>
      <c r="J882" s="186"/>
      <c r="K882" s="186"/>
      <c r="L882" s="186"/>
      <c r="M882" s="186"/>
      <c r="N882" s="186"/>
      <c r="O882" s="186"/>
      <c r="P882" s="186"/>
      <c r="Q882" s="186"/>
      <c r="R882" s="186"/>
      <c r="S882" s="186"/>
      <c r="T882" s="186"/>
      <c r="U882" s="186"/>
      <c r="V882" s="67"/>
      <c r="W882" s="67"/>
      <c r="X882" s="67"/>
      <c r="Y882" s="187"/>
      <c r="Z882" s="186"/>
      <c r="AA882" s="187"/>
      <c r="AB882" s="187"/>
      <c r="AC882" s="187"/>
      <c r="AD882" s="186"/>
      <c r="AE882" s="186"/>
      <c r="AF882" s="67"/>
      <c r="AG882" s="67"/>
      <c r="AH882" s="67"/>
      <c r="AL882" s="186"/>
    </row>
    <row r="883">
      <c r="A883" s="185"/>
      <c r="B883" s="67"/>
      <c r="C883" s="67"/>
      <c r="D883" s="67"/>
      <c r="E883" s="186"/>
      <c r="F883" s="186"/>
      <c r="G883" s="186"/>
      <c r="H883" s="186"/>
      <c r="I883" s="186"/>
      <c r="J883" s="186"/>
      <c r="K883" s="186"/>
      <c r="L883" s="186"/>
      <c r="M883" s="186"/>
      <c r="N883" s="186"/>
      <c r="O883" s="186"/>
      <c r="P883" s="186"/>
      <c r="Q883" s="186"/>
      <c r="R883" s="186"/>
      <c r="S883" s="186"/>
      <c r="T883" s="186"/>
      <c r="U883" s="186"/>
      <c r="V883" s="67"/>
      <c r="W883" s="67"/>
      <c r="X883" s="67"/>
      <c r="Y883" s="187"/>
      <c r="Z883" s="186"/>
      <c r="AA883" s="187"/>
      <c r="AB883" s="187"/>
      <c r="AC883" s="187"/>
      <c r="AD883" s="186"/>
      <c r="AE883" s="186"/>
      <c r="AF883" s="67"/>
      <c r="AG883" s="67"/>
      <c r="AH883" s="67"/>
      <c r="AL883" s="186"/>
    </row>
    <row r="884">
      <c r="A884" s="185"/>
      <c r="B884" s="67"/>
      <c r="C884" s="67"/>
      <c r="D884" s="67"/>
      <c r="E884" s="186"/>
      <c r="F884" s="186"/>
      <c r="G884" s="186"/>
      <c r="H884" s="186"/>
      <c r="I884" s="186"/>
      <c r="J884" s="186"/>
      <c r="K884" s="186"/>
      <c r="L884" s="186"/>
      <c r="M884" s="186"/>
      <c r="N884" s="186"/>
      <c r="O884" s="186"/>
      <c r="P884" s="186"/>
      <c r="Q884" s="186"/>
      <c r="R884" s="186"/>
      <c r="S884" s="186"/>
      <c r="T884" s="186"/>
      <c r="U884" s="186"/>
      <c r="V884" s="67"/>
      <c r="W884" s="67"/>
      <c r="X884" s="67"/>
      <c r="Y884" s="187"/>
      <c r="Z884" s="186"/>
      <c r="AA884" s="187"/>
      <c r="AB884" s="187"/>
      <c r="AC884" s="187"/>
      <c r="AD884" s="186"/>
      <c r="AE884" s="186"/>
      <c r="AF884" s="67"/>
      <c r="AG884" s="67"/>
      <c r="AH884" s="67"/>
      <c r="AL884" s="186"/>
    </row>
    <row r="885">
      <c r="A885" s="185"/>
      <c r="B885" s="67"/>
      <c r="C885" s="67"/>
      <c r="D885" s="67"/>
      <c r="E885" s="186"/>
      <c r="F885" s="186"/>
      <c r="G885" s="186"/>
      <c r="H885" s="186"/>
      <c r="I885" s="186"/>
      <c r="J885" s="186"/>
      <c r="K885" s="186"/>
      <c r="L885" s="186"/>
      <c r="M885" s="186"/>
      <c r="N885" s="186"/>
      <c r="O885" s="186"/>
      <c r="P885" s="186"/>
      <c r="Q885" s="186"/>
      <c r="R885" s="186"/>
      <c r="S885" s="186"/>
      <c r="T885" s="186"/>
      <c r="U885" s="186"/>
      <c r="V885" s="67"/>
      <c r="W885" s="67"/>
      <c r="X885" s="67"/>
      <c r="Y885" s="187"/>
      <c r="Z885" s="186"/>
      <c r="AA885" s="187"/>
      <c r="AB885" s="187"/>
      <c r="AC885" s="187"/>
      <c r="AD885" s="186"/>
      <c r="AE885" s="186"/>
      <c r="AF885" s="67"/>
      <c r="AG885" s="67"/>
      <c r="AH885" s="67"/>
      <c r="AL885" s="186"/>
    </row>
    <row r="886">
      <c r="A886" s="185"/>
      <c r="B886" s="67"/>
      <c r="C886" s="67"/>
      <c r="D886" s="67"/>
      <c r="E886" s="186"/>
      <c r="F886" s="186"/>
      <c r="G886" s="186"/>
      <c r="H886" s="186"/>
      <c r="I886" s="186"/>
      <c r="J886" s="186"/>
      <c r="K886" s="186"/>
      <c r="L886" s="186"/>
      <c r="M886" s="186"/>
      <c r="N886" s="186"/>
      <c r="O886" s="186"/>
      <c r="P886" s="186"/>
      <c r="Q886" s="186"/>
      <c r="R886" s="186"/>
      <c r="S886" s="186"/>
      <c r="T886" s="186"/>
      <c r="U886" s="186"/>
      <c r="V886" s="67"/>
      <c r="W886" s="67"/>
      <c r="X886" s="67"/>
      <c r="Y886" s="187"/>
      <c r="Z886" s="186"/>
      <c r="AA886" s="187"/>
      <c r="AB886" s="187"/>
      <c r="AC886" s="187"/>
      <c r="AD886" s="186"/>
      <c r="AE886" s="186"/>
      <c r="AF886" s="67"/>
      <c r="AG886" s="67"/>
      <c r="AH886" s="67"/>
      <c r="AL886" s="186"/>
    </row>
    <row r="887">
      <c r="A887" s="185"/>
      <c r="B887" s="67"/>
      <c r="C887" s="67"/>
      <c r="D887" s="67"/>
      <c r="E887" s="186"/>
      <c r="F887" s="186"/>
      <c r="G887" s="186"/>
      <c r="H887" s="186"/>
      <c r="I887" s="186"/>
      <c r="J887" s="186"/>
      <c r="K887" s="186"/>
      <c r="L887" s="186"/>
      <c r="M887" s="186"/>
      <c r="N887" s="186"/>
      <c r="O887" s="186"/>
      <c r="P887" s="186"/>
      <c r="Q887" s="186"/>
      <c r="R887" s="186"/>
      <c r="S887" s="186"/>
      <c r="T887" s="186"/>
      <c r="U887" s="186"/>
      <c r="V887" s="67"/>
      <c r="W887" s="67"/>
      <c r="X887" s="67"/>
      <c r="Y887" s="187"/>
      <c r="Z887" s="186"/>
      <c r="AA887" s="187"/>
      <c r="AB887" s="187"/>
      <c r="AC887" s="187"/>
      <c r="AD887" s="186"/>
      <c r="AE887" s="186"/>
      <c r="AF887" s="67"/>
      <c r="AG887" s="67"/>
      <c r="AH887" s="67"/>
      <c r="AL887" s="186"/>
    </row>
    <row r="888">
      <c r="A888" s="185"/>
      <c r="B888" s="67"/>
      <c r="C888" s="67"/>
      <c r="D888" s="67"/>
      <c r="E888" s="186"/>
      <c r="F888" s="186"/>
      <c r="G888" s="186"/>
      <c r="H888" s="186"/>
      <c r="I888" s="186"/>
      <c r="J888" s="186"/>
      <c r="K888" s="186"/>
      <c r="L888" s="186"/>
      <c r="M888" s="186"/>
      <c r="N888" s="186"/>
      <c r="O888" s="186"/>
      <c r="P888" s="186"/>
      <c r="Q888" s="186"/>
      <c r="R888" s="186"/>
      <c r="S888" s="186"/>
      <c r="T888" s="186"/>
      <c r="U888" s="186"/>
      <c r="V888" s="67"/>
      <c r="W888" s="67"/>
      <c r="X888" s="67"/>
      <c r="Y888" s="187"/>
      <c r="Z888" s="186"/>
      <c r="AA888" s="187"/>
      <c r="AB888" s="187"/>
      <c r="AC888" s="187"/>
      <c r="AD888" s="186"/>
      <c r="AE888" s="186"/>
      <c r="AF888" s="67"/>
      <c r="AG888" s="67"/>
      <c r="AH888" s="67"/>
      <c r="AL888" s="186"/>
    </row>
    <row r="889">
      <c r="A889" s="185"/>
      <c r="B889" s="67"/>
      <c r="C889" s="67"/>
      <c r="D889" s="67"/>
      <c r="E889" s="186"/>
      <c r="F889" s="186"/>
      <c r="G889" s="186"/>
      <c r="H889" s="186"/>
      <c r="I889" s="186"/>
      <c r="J889" s="186"/>
      <c r="K889" s="186"/>
      <c r="L889" s="186"/>
      <c r="M889" s="186"/>
      <c r="N889" s="186"/>
      <c r="O889" s="186"/>
      <c r="P889" s="186"/>
      <c r="Q889" s="186"/>
      <c r="R889" s="186"/>
      <c r="S889" s="186"/>
      <c r="T889" s="186"/>
      <c r="U889" s="186"/>
      <c r="V889" s="67"/>
      <c r="W889" s="67"/>
      <c r="X889" s="67"/>
      <c r="Y889" s="187"/>
      <c r="Z889" s="186"/>
      <c r="AA889" s="187"/>
      <c r="AB889" s="187"/>
      <c r="AC889" s="187"/>
      <c r="AD889" s="186"/>
      <c r="AE889" s="186"/>
      <c r="AF889" s="67"/>
      <c r="AG889" s="67"/>
      <c r="AH889" s="67"/>
      <c r="AL889" s="186"/>
    </row>
    <row r="890">
      <c r="A890" s="185"/>
      <c r="B890" s="67"/>
      <c r="C890" s="67"/>
      <c r="D890" s="67"/>
      <c r="E890" s="186"/>
      <c r="F890" s="186"/>
      <c r="G890" s="186"/>
      <c r="H890" s="186"/>
      <c r="I890" s="186"/>
      <c r="J890" s="186"/>
      <c r="K890" s="186"/>
      <c r="L890" s="186"/>
      <c r="M890" s="186"/>
      <c r="N890" s="186"/>
      <c r="O890" s="186"/>
      <c r="P890" s="186"/>
      <c r="Q890" s="186"/>
      <c r="R890" s="186"/>
      <c r="S890" s="186"/>
      <c r="T890" s="186"/>
      <c r="U890" s="186"/>
      <c r="V890" s="67"/>
      <c r="W890" s="67"/>
      <c r="X890" s="67"/>
      <c r="Y890" s="187"/>
      <c r="Z890" s="186"/>
      <c r="AA890" s="187"/>
      <c r="AB890" s="187"/>
      <c r="AC890" s="187"/>
      <c r="AD890" s="186"/>
      <c r="AE890" s="186"/>
      <c r="AF890" s="67"/>
      <c r="AG890" s="67"/>
      <c r="AH890" s="67"/>
      <c r="AL890" s="186"/>
    </row>
    <row r="891">
      <c r="A891" s="185"/>
      <c r="B891" s="67"/>
      <c r="C891" s="67"/>
      <c r="D891" s="67"/>
      <c r="E891" s="186"/>
      <c r="F891" s="186"/>
      <c r="G891" s="186"/>
      <c r="H891" s="186"/>
      <c r="I891" s="186"/>
      <c r="J891" s="186"/>
      <c r="K891" s="186"/>
      <c r="L891" s="186"/>
      <c r="M891" s="186"/>
      <c r="N891" s="186"/>
      <c r="O891" s="186"/>
      <c r="P891" s="186"/>
      <c r="Q891" s="186"/>
      <c r="R891" s="186"/>
      <c r="S891" s="186"/>
      <c r="T891" s="186"/>
      <c r="U891" s="186"/>
      <c r="V891" s="67"/>
      <c r="W891" s="67"/>
      <c r="X891" s="67"/>
      <c r="Y891" s="187"/>
      <c r="Z891" s="186"/>
      <c r="AA891" s="187"/>
      <c r="AB891" s="187"/>
      <c r="AC891" s="187"/>
      <c r="AD891" s="186"/>
      <c r="AE891" s="186"/>
      <c r="AF891" s="67"/>
      <c r="AG891" s="67"/>
      <c r="AH891" s="67"/>
      <c r="AL891" s="186"/>
    </row>
    <row r="892">
      <c r="A892" s="185"/>
      <c r="B892" s="67"/>
      <c r="C892" s="67"/>
      <c r="D892" s="67"/>
      <c r="E892" s="186"/>
      <c r="F892" s="186"/>
      <c r="G892" s="186"/>
      <c r="H892" s="186"/>
      <c r="I892" s="186"/>
      <c r="J892" s="186"/>
      <c r="K892" s="186"/>
      <c r="L892" s="186"/>
      <c r="M892" s="186"/>
      <c r="N892" s="186"/>
      <c r="O892" s="186"/>
      <c r="P892" s="186"/>
      <c r="Q892" s="186"/>
      <c r="R892" s="186"/>
      <c r="S892" s="186"/>
      <c r="T892" s="186"/>
      <c r="U892" s="186"/>
      <c r="V892" s="67"/>
      <c r="W892" s="67"/>
      <c r="X892" s="67"/>
      <c r="Y892" s="187"/>
      <c r="Z892" s="186"/>
      <c r="AA892" s="187"/>
      <c r="AB892" s="187"/>
      <c r="AC892" s="187"/>
      <c r="AD892" s="186"/>
      <c r="AE892" s="186"/>
      <c r="AF892" s="67"/>
      <c r="AG892" s="67"/>
      <c r="AH892" s="67"/>
      <c r="AL892" s="186"/>
    </row>
    <row r="893">
      <c r="A893" s="185"/>
      <c r="B893" s="67"/>
      <c r="C893" s="67"/>
      <c r="D893" s="67"/>
      <c r="E893" s="186"/>
      <c r="F893" s="186"/>
      <c r="G893" s="186"/>
      <c r="H893" s="186"/>
      <c r="I893" s="186"/>
      <c r="J893" s="186"/>
      <c r="K893" s="186"/>
      <c r="L893" s="186"/>
      <c r="M893" s="186"/>
      <c r="N893" s="186"/>
      <c r="O893" s="186"/>
      <c r="P893" s="186"/>
      <c r="Q893" s="186"/>
      <c r="R893" s="186"/>
      <c r="S893" s="186"/>
      <c r="T893" s="186"/>
      <c r="U893" s="186"/>
      <c r="V893" s="67"/>
      <c r="W893" s="67"/>
      <c r="X893" s="67"/>
      <c r="Y893" s="187"/>
      <c r="Z893" s="186"/>
      <c r="AA893" s="187"/>
      <c r="AB893" s="187"/>
      <c r="AC893" s="187"/>
      <c r="AD893" s="186"/>
      <c r="AE893" s="186"/>
      <c r="AF893" s="67"/>
      <c r="AG893" s="67"/>
      <c r="AH893" s="67"/>
      <c r="AL893" s="186"/>
    </row>
    <row r="894">
      <c r="A894" s="185"/>
      <c r="B894" s="67"/>
      <c r="C894" s="67"/>
      <c r="D894" s="67"/>
      <c r="E894" s="186"/>
      <c r="F894" s="186"/>
      <c r="G894" s="186"/>
      <c r="H894" s="186"/>
      <c r="I894" s="186"/>
      <c r="J894" s="186"/>
      <c r="K894" s="186"/>
      <c r="L894" s="186"/>
      <c r="M894" s="186"/>
      <c r="N894" s="186"/>
      <c r="O894" s="186"/>
      <c r="P894" s="186"/>
      <c r="Q894" s="186"/>
      <c r="R894" s="186"/>
      <c r="S894" s="186"/>
      <c r="T894" s="186"/>
      <c r="U894" s="186"/>
      <c r="V894" s="67"/>
      <c r="W894" s="67"/>
      <c r="X894" s="67"/>
      <c r="Y894" s="187"/>
      <c r="Z894" s="186"/>
      <c r="AA894" s="187"/>
      <c r="AB894" s="187"/>
      <c r="AC894" s="187"/>
      <c r="AD894" s="186"/>
      <c r="AE894" s="186"/>
      <c r="AF894" s="67"/>
      <c r="AG894" s="67"/>
      <c r="AH894" s="67"/>
      <c r="AL894" s="186"/>
    </row>
    <row r="895">
      <c r="A895" s="185"/>
      <c r="B895" s="67"/>
      <c r="C895" s="67"/>
      <c r="D895" s="67"/>
      <c r="E895" s="186"/>
      <c r="F895" s="186"/>
      <c r="G895" s="186"/>
      <c r="H895" s="186"/>
      <c r="I895" s="186"/>
      <c r="J895" s="186"/>
      <c r="K895" s="186"/>
      <c r="L895" s="186"/>
      <c r="M895" s="186"/>
      <c r="N895" s="186"/>
      <c r="O895" s="186"/>
      <c r="P895" s="186"/>
      <c r="Q895" s="186"/>
      <c r="R895" s="186"/>
      <c r="S895" s="186"/>
      <c r="T895" s="186"/>
      <c r="U895" s="186"/>
      <c r="V895" s="67"/>
      <c r="W895" s="67"/>
      <c r="X895" s="67"/>
      <c r="Y895" s="187"/>
      <c r="Z895" s="186"/>
      <c r="AA895" s="187"/>
      <c r="AB895" s="187"/>
      <c r="AC895" s="187"/>
      <c r="AD895" s="186"/>
      <c r="AE895" s="186"/>
      <c r="AF895" s="67"/>
      <c r="AG895" s="67"/>
      <c r="AH895" s="67"/>
      <c r="AL895" s="186"/>
    </row>
    <row r="896">
      <c r="A896" s="185"/>
      <c r="B896" s="67"/>
      <c r="C896" s="67"/>
      <c r="D896" s="67"/>
      <c r="E896" s="186"/>
      <c r="F896" s="186"/>
      <c r="G896" s="186"/>
      <c r="H896" s="186"/>
      <c r="I896" s="186"/>
      <c r="J896" s="186"/>
      <c r="K896" s="186"/>
      <c r="L896" s="186"/>
      <c r="M896" s="186"/>
      <c r="N896" s="186"/>
      <c r="O896" s="186"/>
      <c r="P896" s="186"/>
      <c r="Q896" s="186"/>
      <c r="R896" s="186"/>
      <c r="S896" s="186"/>
      <c r="T896" s="186"/>
      <c r="U896" s="186"/>
      <c r="V896" s="67"/>
      <c r="W896" s="67"/>
      <c r="X896" s="67"/>
      <c r="Y896" s="187"/>
      <c r="Z896" s="186"/>
      <c r="AA896" s="187"/>
      <c r="AB896" s="187"/>
      <c r="AC896" s="187"/>
      <c r="AD896" s="186"/>
      <c r="AE896" s="186"/>
      <c r="AF896" s="67"/>
      <c r="AG896" s="67"/>
      <c r="AH896" s="67"/>
      <c r="AL896" s="186"/>
    </row>
    <row r="897">
      <c r="A897" s="185"/>
      <c r="B897" s="67"/>
      <c r="C897" s="67"/>
      <c r="D897" s="67"/>
      <c r="E897" s="186"/>
      <c r="F897" s="186"/>
      <c r="G897" s="186"/>
      <c r="H897" s="186"/>
      <c r="I897" s="186"/>
      <c r="J897" s="186"/>
      <c r="K897" s="186"/>
      <c r="L897" s="186"/>
      <c r="M897" s="186"/>
      <c r="N897" s="186"/>
      <c r="O897" s="186"/>
      <c r="P897" s="186"/>
      <c r="Q897" s="186"/>
      <c r="R897" s="186"/>
      <c r="S897" s="186"/>
      <c r="T897" s="186"/>
      <c r="U897" s="186"/>
      <c r="V897" s="67"/>
      <c r="W897" s="67"/>
      <c r="X897" s="67"/>
      <c r="Y897" s="187"/>
      <c r="Z897" s="186"/>
      <c r="AA897" s="187"/>
      <c r="AB897" s="187"/>
      <c r="AC897" s="187"/>
      <c r="AD897" s="186"/>
      <c r="AE897" s="186"/>
      <c r="AF897" s="67"/>
      <c r="AG897" s="67"/>
      <c r="AH897" s="67"/>
      <c r="AL897" s="186"/>
    </row>
    <row r="898">
      <c r="A898" s="185"/>
      <c r="B898" s="67"/>
      <c r="C898" s="67"/>
      <c r="D898" s="67"/>
      <c r="E898" s="186"/>
      <c r="F898" s="186"/>
      <c r="G898" s="186"/>
      <c r="H898" s="186"/>
      <c r="I898" s="186"/>
      <c r="J898" s="186"/>
      <c r="K898" s="186"/>
      <c r="L898" s="186"/>
      <c r="M898" s="186"/>
      <c r="N898" s="186"/>
      <c r="O898" s="186"/>
      <c r="P898" s="186"/>
      <c r="Q898" s="186"/>
      <c r="R898" s="186"/>
      <c r="S898" s="186"/>
      <c r="T898" s="186"/>
      <c r="U898" s="186"/>
      <c r="V898" s="67"/>
      <c r="W898" s="67"/>
      <c r="X898" s="67"/>
      <c r="Y898" s="187"/>
      <c r="Z898" s="186"/>
      <c r="AA898" s="187"/>
      <c r="AB898" s="187"/>
      <c r="AC898" s="187"/>
      <c r="AD898" s="186"/>
      <c r="AE898" s="186"/>
      <c r="AF898" s="67"/>
      <c r="AG898" s="67"/>
      <c r="AH898" s="67"/>
      <c r="AL898" s="186"/>
    </row>
    <row r="899">
      <c r="A899" s="185"/>
      <c r="B899" s="67"/>
      <c r="C899" s="67"/>
      <c r="D899" s="67"/>
      <c r="E899" s="186"/>
      <c r="F899" s="186"/>
      <c r="G899" s="186"/>
      <c r="H899" s="186"/>
      <c r="I899" s="186"/>
      <c r="J899" s="186"/>
      <c r="K899" s="186"/>
      <c r="L899" s="186"/>
      <c r="M899" s="186"/>
      <c r="N899" s="186"/>
      <c r="O899" s="186"/>
      <c r="P899" s="186"/>
      <c r="Q899" s="186"/>
      <c r="R899" s="186"/>
      <c r="S899" s="186"/>
      <c r="T899" s="186"/>
      <c r="U899" s="186"/>
      <c r="V899" s="67"/>
      <c r="W899" s="67"/>
      <c r="X899" s="67"/>
      <c r="Y899" s="187"/>
      <c r="Z899" s="186"/>
      <c r="AA899" s="187"/>
      <c r="AB899" s="187"/>
      <c r="AC899" s="187"/>
      <c r="AD899" s="186"/>
      <c r="AE899" s="186"/>
      <c r="AF899" s="67"/>
      <c r="AG899" s="67"/>
      <c r="AH899" s="67"/>
      <c r="AL899" s="186"/>
    </row>
    <row r="900">
      <c r="A900" s="185"/>
      <c r="B900" s="67"/>
      <c r="C900" s="67"/>
      <c r="D900" s="67"/>
      <c r="E900" s="186"/>
      <c r="F900" s="186"/>
      <c r="G900" s="186"/>
      <c r="H900" s="186"/>
      <c r="I900" s="186"/>
      <c r="J900" s="186"/>
      <c r="K900" s="186"/>
      <c r="L900" s="186"/>
      <c r="M900" s="186"/>
      <c r="N900" s="186"/>
      <c r="O900" s="186"/>
      <c r="P900" s="186"/>
      <c r="Q900" s="186"/>
      <c r="R900" s="186"/>
      <c r="S900" s="186"/>
      <c r="T900" s="186"/>
      <c r="U900" s="186"/>
      <c r="V900" s="67"/>
      <c r="W900" s="67"/>
      <c r="X900" s="67"/>
      <c r="Y900" s="187"/>
      <c r="Z900" s="186"/>
      <c r="AA900" s="187"/>
      <c r="AB900" s="187"/>
      <c r="AC900" s="187"/>
      <c r="AD900" s="186"/>
      <c r="AE900" s="186"/>
      <c r="AF900" s="67"/>
      <c r="AG900" s="67"/>
      <c r="AH900" s="67"/>
      <c r="AL900" s="186"/>
    </row>
    <row r="901">
      <c r="A901" s="185"/>
      <c r="B901" s="67"/>
      <c r="C901" s="67"/>
      <c r="D901" s="67"/>
      <c r="E901" s="186"/>
      <c r="F901" s="186"/>
      <c r="G901" s="186"/>
      <c r="H901" s="186"/>
      <c r="I901" s="186"/>
      <c r="J901" s="186"/>
      <c r="K901" s="186"/>
      <c r="L901" s="186"/>
      <c r="M901" s="186"/>
      <c r="N901" s="186"/>
      <c r="O901" s="186"/>
      <c r="P901" s="186"/>
      <c r="Q901" s="186"/>
      <c r="R901" s="186"/>
      <c r="S901" s="186"/>
      <c r="T901" s="186"/>
      <c r="U901" s="186"/>
      <c r="V901" s="67"/>
      <c r="W901" s="67"/>
      <c r="X901" s="67"/>
      <c r="Y901" s="187"/>
      <c r="Z901" s="186"/>
      <c r="AA901" s="187"/>
      <c r="AB901" s="187"/>
      <c r="AC901" s="187"/>
      <c r="AD901" s="186"/>
      <c r="AE901" s="186"/>
      <c r="AF901" s="67"/>
      <c r="AG901" s="67"/>
      <c r="AH901" s="67"/>
      <c r="AL901" s="186"/>
    </row>
    <row r="902">
      <c r="A902" s="185"/>
      <c r="B902" s="67"/>
      <c r="C902" s="67"/>
      <c r="D902" s="67"/>
      <c r="E902" s="186"/>
      <c r="F902" s="186"/>
      <c r="G902" s="186"/>
      <c r="H902" s="186"/>
      <c r="I902" s="186"/>
      <c r="J902" s="186"/>
      <c r="K902" s="186"/>
      <c r="L902" s="186"/>
      <c r="M902" s="186"/>
      <c r="N902" s="186"/>
      <c r="O902" s="186"/>
      <c r="P902" s="186"/>
      <c r="Q902" s="186"/>
      <c r="R902" s="186"/>
      <c r="S902" s="186"/>
      <c r="T902" s="186"/>
      <c r="U902" s="186"/>
      <c r="V902" s="67"/>
      <c r="W902" s="67"/>
      <c r="X902" s="67"/>
      <c r="Y902" s="187"/>
      <c r="Z902" s="186"/>
      <c r="AA902" s="187"/>
      <c r="AB902" s="187"/>
      <c r="AC902" s="187"/>
      <c r="AD902" s="186"/>
      <c r="AE902" s="186"/>
      <c r="AF902" s="67"/>
      <c r="AG902" s="67"/>
      <c r="AH902" s="67"/>
      <c r="AL902" s="186"/>
    </row>
    <row r="903">
      <c r="A903" s="185"/>
      <c r="B903" s="67"/>
      <c r="C903" s="67"/>
      <c r="D903" s="67"/>
      <c r="E903" s="186"/>
      <c r="F903" s="186"/>
      <c r="G903" s="186"/>
      <c r="H903" s="186"/>
      <c r="I903" s="186"/>
      <c r="J903" s="186"/>
      <c r="K903" s="186"/>
      <c r="L903" s="186"/>
      <c r="M903" s="186"/>
      <c r="N903" s="186"/>
      <c r="O903" s="186"/>
      <c r="P903" s="186"/>
      <c r="Q903" s="186"/>
      <c r="R903" s="186"/>
      <c r="S903" s="186"/>
      <c r="T903" s="186"/>
      <c r="U903" s="186"/>
      <c r="V903" s="67"/>
      <c r="W903" s="67"/>
      <c r="X903" s="67"/>
      <c r="Y903" s="187"/>
      <c r="Z903" s="186"/>
      <c r="AA903" s="187"/>
      <c r="AB903" s="187"/>
      <c r="AC903" s="187"/>
      <c r="AD903" s="186"/>
      <c r="AE903" s="186"/>
      <c r="AF903" s="67"/>
      <c r="AG903" s="67"/>
      <c r="AH903" s="67"/>
      <c r="AL903" s="186"/>
    </row>
    <row r="904">
      <c r="A904" s="185"/>
      <c r="B904" s="67"/>
      <c r="C904" s="67"/>
      <c r="D904" s="67"/>
      <c r="E904" s="186"/>
      <c r="F904" s="186"/>
      <c r="G904" s="186"/>
      <c r="H904" s="186"/>
      <c r="I904" s="186"/>
      <c r="J904" s="186"/>
      <c r="K904" s="186"/>
      <c r="L904" s="186"/>
      <c r="M904" s="186"/>
      <c r="N904" s="186"/>
      <c r="O904" s="186"/>
      <c r="P904" s="186"/>
      <c r="Q904" s="186"/>
      <c r="R904" s="186"/>
      <c r="S904" s="186"/>
      <c r="T904" s="186"/>
      <c r="U904" s="186"/>
      <c r="V904" s="67"/>
      <c r="W904" s="67"/>
      <c r="X904" s="67"/>
      <c r="Y904" s="187"/>
      <c r="Z904" s="186"/>
      <c r="AA904" s="187"/>
      <c r="AB904" s="187"/>
      <c r="AC904" s="187"/>
      <c r="AD904" s="186"/>
      <c r="AE904" s="186"/>
      <c r="AF904" s="67"/>
      <c r="AG904" s="67"/>
      <c r="AH904" s="67"/>
      <c r="AL904" s="186"/>
    </row>
    <row r="905">
      <c r="A905" s="185"/>
      <c r="B905" s="67"/>
      <c r="C905" s="67"/>
      <c r="D905" s="67"/>
      <c r="E905" s="186"/>
      <c r="F905" s="186"/>
      <c r="G905" s="186"/>
      <c r="H905" s="186"/>
      <c r="I905" s="186"/>
      <c r="J905" s="186"/>
      <c r="K905" s="186"/>
      <c r="L905" s="186"/>
      <c r="M905" s="186"/>
      <c r="N905" s="186"/>
      <c r="O905" s="186"/>
      <c r="P905" s="186"/>
      <c r="Q905" s="186"/>
      <c r="R905" s="186"/>
      <c r="S905" s="186"/>
      <c r="T905" s="186"/>
      <c r="U905" s="186"/>
      <c r="V905" s="67"/>
      <c r="W905" s="67"/>
      <c r="X905" s="67"/>
      <c r="Y905" s="187"/>
      <c r="Z905" s="186"/>
      <c r="AA905" s="187"/>
      <c r="AB905" s="187"/>
      <c r="AC905" s="187"/>
      <c r="AD905" s="186"/>
      <c r="AE905" s="186"/>
      <c r="AF905" s="67"/>
      <c r="AG905" s="67"/>
      <c r="AH905" s="67"/>
      <c r="AL905" s="186"/>
    </row>
    <row r="906">
      <c r="A906" s="185"/>
      <c r="B906" s="67"/>
      <c r="C906" s="67"/>
      <c r="D906" s="67"/>
      <c r="E906" s="186"/>
      <c r="F906" s="186"/>
      <c r="G906" s="186"/>
      <c r="H906" s="186"/>
      <c r="I906" s="186"/>
      <c r="J906" s="186"/>
      <c r="K906" s="186"/>
      <c r="L906" s="186"/>
      <c r="M906" s="186"/>
      <c r="N906" s="186"/>
      <c r="O906" s="186"/>
      <c r="P906" s="186"/>
      <c r="Q906" s="186"/>
      <c r="R906" s="186"/>
      <c r="S906" s="186"/>
      <c r="T906" s="186"/>
      <c r="U906" s="186"/>
      <c r="V906" s="67"/>
      <c r="W906" s="67"/>
      <c r="X906" s="67"/>
      <c r="Y906" s="187"/>
      <c r="Z906" s="186"/>
      <c r="AA906" s="187"/>
      <c r="AB906" s="187"/>
      <c r="AC906" s="187"/>
      <c r="AD906" s="186"/>
      <c r="AE906" s="186"/>
      <c r="AF906" s="67"/>
      <c r="AG906" s="67"/>
      <c r="AH906" s="67"/>
      <c r="AL906" s="186"/>
    </row>
    <row r="907">
      <c r="A907" s="185"/>
      <c r="B907" s="67"/>
      <c r="C907" s="67"/>
      <c r="D907" s="67"/>
      <c r="E907" s="186"/>
      <c r="F907" s="186"/>
      <c r="G907" s="186"/>
      <c r="H907" s="186"/>
      <c r="I907" s="186"/>
      <c r="J907" s="186"/>
      <c r="K907" s="186"/>
      <c r="L907" s="186"/>
      <c r="M907" s="186"/>
      <c r="N907" s="186"/>
      <c r="O907" s="186"/>
      <c r="P907" s="186"/>
      <c r="Q907" s="186"/>
      <c r="R907" s="186"/>
      <c r="S907" s="186"/>
      <c r="T907" s="186"/>
      <c r="U907" s="186"/>
      <c r="V907" s="67"/>
      <c r="W907" s="67"/>
      <c r="X907" s="67"/>
      <c r="Y907" s="187"/>
      <c r="Z907" s="186"/>
      <c r="AA907" s="187"/>
      <c r="AB907" s="187"/>
      <c r="AC907" s="187"/>
      <c r="AD907" s="186"/>
      <c r="AE907" s="186"/>
      <c r="AF907" s="67"/>
      <c r="AG907" s="67"/>
      <c r="AH907" s="67"/>
      <c r="AL907" s="186"/>
    </row>
    <row r="908">
      <c r="A908" s="185"/>
      <c r="B908" s="67"/>
      <c r="C908" s="67"/>
      <c r="D908" s="67"/>
      <c r="E908" s="186"/>
      <c r="F908" s="186"/>
      <c r="G908" s="186"/>
      <c r="H908" s="186"/>
      <c r="I908" s="186"/>
      <c r="J908" s="186"/>
      <c r="K908" s="186"/>
      <c r="L908" s="186"/>
      <c r="M908" s="186"/>
      <c r="N908" s="186"/>
      <c r="O908" s="186"/>
      <c r="P908" s="186"/>
      <c r="Q908" s="186"/>
      <c r="R908" s="186"/>
      <c r="S908" s="186"/>
      <c r="T908" s="186"/>
      <c r="U908" s="186"/>
      <c r="V908" s="67"/>
      <c r="W908" s="67"/>
      <c r="X908" s="67"/>
      <c r="Y908" s="187"/>
      <c r="Z908" s="186"/>
      <c r="AA908" s="187"/>
      <c r="AB908" s="187"/>
      <c r="AC908" s="187"/>
      <c r="AD908" s="186"/>
      <c r="AE908" s="186"/>
      <c r="AF908" s="67"/>
      <c r="AG908" s="67"/>
      <c r="AH908" s="67"/>
      <c r="AL908" s="186"/>
    </row>
    <row r="909">
      <c r="A909" s="185"/>
      <c r="B909" s="67"/>
      <c r="C909" s="67"/>
      <c r="D909" s="67"/>
      <c r="E909" s="186"/>
      <c r="F909" s="186"/>
      <c r="G909" s="186"/>
      <c r="H909" s="186"/>
      <c r="I909" s="186"/>
      <c r="J909" s="186"/>
      <c r="K909" s="186"/>
      <c r="L909" s="186"/>
      <c r="M909" s="186"/>
      <c r="N909" s="186"/>
      <c r="O909" s="186"/>
      <c r="P909" s="186"/>
      <c r="Q909" s="186"/>
      <c r="R909" s="186"/>
      <c r="S909" s="186"/>
      <c r="T909" s="186"/>
      <c r="U909" s="186"/>
      <c r="V909" s="67"/>
      <c r="W909" s="67"/>
      <c r="X909" s="67"/>
      <c r="Y909" s="187"/>
      <c r="Z909" s="186"/>
      <c r="AA909" s="187"/>
      <c r="AB909" s="187"/>
      <c r="AC909" s="187"/>
      <c r="AD909" s="186"/>
      <c r="AE909" s="186"/>
      <c r="AF909" s="67"/>
      <c r="AG909" s="67"/>
      <c r="AH909" s="67"/>
      <c r="AL909" s="186"/>
    </row>
    <row r="910">
      <c r="A910" s="185"/>
      <c r="B910" s="67"/>
      <c r="C910" s="67"/>
      <c r="D910" s="67"/>
      <c r="E910" s="186"/>
      <c r="F910" s="186"/>
      <c r="G910" s="186"/>
      <c r="H910" s="186"/>
      <c r="I910" s="186"/>
      <c r="J910" s="186"/>
      <c r="K910" s="186"/>
      <c r="L910" s="186"/>
      <c r="M910" s="186"/>
      <c r="N910" s="186"/>
      <c r="O910" s="186"/>
      <c r="P910" s="186"/>
      <c r="Q910" s="186"/>
      <c r="R910" s="186"/>
      <c r="S910" s="186"/>
      <c r="T910" s="186"/>
      <c r="U910" s="186"/>
      <c r="V910" s="67"/>
      <c r="W910" s="67"/>
      <c r="X910" s="67"/>
      <c r="Y910" s="187"/>
      <c r="Z910" s="186"/>
      <c r="AA910" s="187"/>
      <c r="AB910" s="187"/>
      <c r="AC910" s="187"/>
      <c r="AD910" s="186"/>
      <c r="AE910" s="186"/>
      <c r="AF910" s="67"/>
      <c r="AG910" s="67"/>
      <c r="AH910" s="67"/>
      <c r="AL910" s="186"/>
    </row>
    <row r="911">
      <c r="A911" s="185"/>
      <c r="B911" s="67"/>
      <c r="C911" s="67"/>
      <c r="D911" s="67"/>
      <c r="E911" s="186"/>
      <c r="F911" s="186"/>
      <c r="G911" s="186"/>
      <c r="H911" s="186"/>
      <c r="I911" s="186"/>
      <c r="J911" s="186"/>
      <c r="K911" s="186"/>
      <c r="L911" s="186"/>
      <c r="M911" s="186"/>
      <c r="N911" s="186"/>
      <c r="O911" s="186"/>
      <c r="P911" s="186"/>
      <c r="Q911" s="186"/>
      <c r="R911" s="186"/>
      <c r="S911" s="186"/>
      <c r="T911" s="186"/>
      <c r="U911" s="186"/>
      <c r="V911" s="67"/>
      <c r="W911" s="67"/>
      <c r="X911" s="67"/>
      <c r="Y911" s="187"/>
      <c r="Z911" s="186"/>
      <c r="AA911" s="187"/>
      <c r="AB911" s="187"/>
      <c r="AC911" s="187"/>
      <c r="AD911" s="186"/>
      <c r="AE911" s="186"/>
      <c r="AF911" s="67"/>
      <c r="AG911" s="67"/>
      <c r="AH911" s="67"/>
      <c r="AL911" s="186"/>
    </row>
    <row r="912">
      <c r="A912" s="185"/>
      <c r="B912" s="67"/>
      <c r="C912" s="67"/>
      <c r="D912" s="67"/>
      <c r="E912" s="186"/>
      <c r="F912" s="186"/>
      <c r="G912" s="186"/>
      <c r="H912" s="186"/>
      <c r="I912" s="186"/>
      <c r="J912" s="186"/>
      <c r="K912" s="186"/>
      <c r="L912" s="186"/>
      <c r="M912" s="186"/>
      <c r="N912" s="186"/>
      <c r="O912" s="186"/>
      <c r="P912" s="186"/>
      <c r="Q912" s="186"/>
      <c r="R912" s="186"/>
      <c r="S912" s="186"/>
      <c r="T912" s="186"/>
      <c r="U912" s="186"/>
      <c r="V912" s="67"/>
      <c r="W912" s="67"/>
      <c r="X912" s="67"/>
      <c r="Y912" s="187"/>
      <c r="Z912" s="186"/>
      <c r="AA912" s="187"/>
      <c r="AB912" s="187"/>
      <c r="AC912" s="187"/>
      <c r="AD912" s="186"/>
      <c r="AE912" s="186"/>
      <c r="AF912" s="67"/>
      <c r="AG912" s="67"/>
      <c r="AH912" s="67"/>
      <c r="AL912" s="186"/>
    </row>
    <row r="913">
      <c r="A913" s="185"/>
      <c r="B913" s="67"/>
      <c r="C913" s="67"/>
      <c r="D913" s="67"/>
      <c r="E913" s="186"/>
      <c r="F913" s="186"/>
      <c r="G913" s="186"/>
      <c r="H913" s="186"/>
      <c r="I913" s="186"/>
      <c r="J913" s="186"/>
      <c r="K913" s="186"/>
      <c r="L913" s="186"/>
      <c r="M913" s="186"/>
      <c r="N913" s="186"/>
      <c r="O913" s="186"/>
      <c r="P913" s="186"/>
      <c r="Q913" s="186"/>
      <c r="R913" s="186"/>
      <c r="S913" s="186"/>
      <c r="T913" s="186"/>
      <c r="U913" s="186"/>
      <c r="V913" s="67"/>
      <c r="W913" s="67"/>
      <c r="X913" s="67"/>
      <c r="Y913" s="187"/>
      <c r="Z913" s="186"/>
      <c r="AA913" s="187"/>
      <c r="AB913" s="187"/>
      <c r="AC913" s="187"/>
      <c r="AD913" s="186"/>
      <c r="AE913" s="186"/>
      <c r="AF913" s="67"/>
      <c r="AG913" s="67"/>
      <c r="AH913" s="67"/>
      <c r="AL913" s="186"/>
    </row>
    <row r="914">
      <c r="A914" s="185"/>
      <c r="B914" s="67"/>
      <c r="C914" s="67"/>
      <c r="D914" s="67"/>
      <c r="E914" s="186"/>
      <c r="F914" s="186"/>
      <c r="G914" s="186"/>
      <c r="H914" s="186"/>
      <c r="I914" s="186"/>
      <c r="J914" s="186"/>
      <c r="K914" s="186"/>
      <c r="L914" s="186"/>
      <c r="M914" s="186"/>
      <c r="N914" s="186"/>
      <c r="O914" s="186"/>
      <c r="P914" s="186"/>
      <c r="Q914" s="186"/>
      <c r="R914" s="186"/>
      <c r="S914" s="186"/>
      <c r="T914" s="186"/>
      <c r="U914" s="186"/>
      <c r="V914" s="67"/>
      <c r="W914" s="67"/>
      <c r="X914" s="67"/>
      <c r="Y914" s="187"/>
      <c r="Z914" s="186"/>
      <c r="AA914" s="187"/>
      <c r="AB914" s="187"/>
      <c r="AC914" s="187"/>
      <c r="AD914" s="186"/>
      <c r="AE914" s="186"/>
      <c r="AF914" s="67"/>
      <c r="AG914" s="67"/>
      <c r="AH914" s="67"/>
      <c r="AL914" s="186"/>
    </row>
    <row r="915">
      <c r="A915" s="185"/>
      <c r="B915" s="67"/>
      <c r="C915" s="67"/>
      <c r="D915" s="67"/>
      <c r="E915" s="186"/>
      <c r="F915" s="186"/>
      <c r="G915" s="186"/>
      <c r="H915" s="186"/>
      <c r="I915" s="186"/>
      <c r="J915" s="186"/>
      <c r="K915" s="186"/>
      <c r="L915" s="186"/>
      <c r="M915" s="186"/>
      <c r="N915" s="186"/>
      <c r="O915" s="186"/>
      <c r="P915" s="186"/>
      <c r="Q915" s="186"/>
      <c r="R915" s="186"/>
      <c r="S915" s="186"/>
      <c r="T915" s="186"/>
      <c r="U915" s="186"/>
      <c r="V915" s="67"/>
      <c r="W915" s="67"/>
      <c r="X915" s="67"/>
      <c r="Y915" s="187"/>
      <c r="Z915" s="186"/>
      <c r="AA915" s="187"/>
      <c r="AB915" s="187"/>
      <c r="AC915" s="187"/>
      <c r="AD915" s="186"/>
      <c r="AE915" s="186"/>
      <c r="AF915" s="67"/>
      <c r="AG915" s="67"/>
      <c r="AH915" s="67"/>
      <c r="AL915" s="186"/>
    </row>
    <row r="916">
      <c r="A916" s="185"/>
      <c r="B916" s="67"/>
      <c r="C916" s="67"/>
      <c r="D916" s="67"/>
      <c r="E916" s="186"/>
      <c r="F916" s="186"/>
      <c r="G916" s="186"/>
      <c r="H916" s="186"/>
      <c r="I916" s="186"/>
      <c r="J916" s="186"/>
      <c r="K916" s="186"/>
      <c r="L916" s="186"/>
      <c r="M916" s="186"/>
      <c r="N916" s="186"/>
      <c r="O916" s="186"/>
      <c r="P916" s="186"/>
      <c r="Q916" s="186"/>
      <c r="R916" s="186"/>
      <c r="S916" s="186"/>
      <c r="T916" s="186"/>
      <c r="U916" s="186"/>
      <c r="V916" s="67"/>
      <c r="W916" s="67"/>
      <c r="X916" s="67"/>
      <c r="Y916" s="187"/>
      <c r="Z916" s="186"/>
      <c r="AA916" s="187"/>
      <c r="AB916" s="187"/>
      <c r="AC916" s="187"/>
      <c r="AD916" s="186"/>
      <c r="AE916" s="186"/>
      <c r="AF916" s="67"/>
      <c r="AG916" s="67"/>
      <c r="AH916" s="67"/>
      <c r="AL916" s="186"/>
    </row>
    <row r="917">
      <c r="A917" s="185"/>
      <c r="B917" s="67"/>
      <c r="C917" s="67"/>
      <c r="D917" s="67"/>
      <c r="E917" s="186"/>
      <c r="F917" s="186"/>
      <c r="G917" s="186"/>
      <c r="H917" s="186"/>
      <c r="I917" s="186"/>
      <c r="J917" s="186"/>
      <c r="K917" s="186"/>
      <c r="L917" s="186"/>
      <c r="M917" s="186"/>
      <c r="N917" s="186"/>
      <c r="O917" s="186"/>
      <c r="P917" s="186"/>
      <c r="Q917" s="186"/>
      <c r="R917" s="186"/>
      <c r="S917" s="186"/>
      <c r="T917" s="186"/>
      <c r="U917" s="186"/>
      <c r="V917" s="67"/>
      <c r="W917" s="67"/>
      <c r="X917" s="67"/>
      <c r="Y917" s="187"/>
      <c r="Z917" s="186"/>
      <c r="AA917" s="187"/>
      <c r="AB917" s="187"/>
      <c r="AC917" s="187"/>
      <c r="AD917" s="186"/>
      <c r="AE917" s="186"/>
      <c r="AF917" s="67"/>
      <c r="AG917" s="67"/>
      <c r="AH917" s="67"/>
      <c r="AL917" s="186"/>
    </row>
    <row r="918">
      <c r="A918" s="185"/>
      <c r="B918" s="67"/>
      <c r="C918" s="67"/>
      <c r="D918" s="67"/>
      <c r="E918" s="186"/>
      <c r="F918" s="186"/>
      <c r="G918" s="186"/>
      <c r="H918" s="186"/>
      <c r="I918" s="186"/>
      <c r="J918" s="186"/>
      <c r="K918" s="186"/>
      <c r="L918" s="186"/>
      <c r="M918" s="186"/>
      <c r="N918" s="186"/>
      <c r="O918" s="186"/>
      <c r="P918" s="186"/>
      <c r="Q918" s="186"/>
      <c r="R918" s="186"/>
      <c r="S918" s="186"/>
      <c r="T918" s="186"/>
      <c r="U918" s="186"/>
      <c r="V918" s="67"/>
      <c r="W918" s="67"/>
      <c r="X918" s="67"/>
      <c r="Y918" s="187"/>
      <c r="Z918" s="186"/>
      <c r="AA918" s="187"/>
      <c r="AB918" s="187"/>
      <c r="AC918" s="187"/>
      <c r="AD918" s="186"/>
      <c r="AE918" s="186"/>
      <c r="AF918" s="67"/>
      <c r="AG918" s="67"/>
      <c r="AH918" s="67"/>
      <c r="AL918" s="186"/>
    </row>
    <row r="919">
      <c r="A919" s="185"/>
      <c r="B919" s="67"/>
      <c r="C919" s="67"/>
      <c r="D919" s="67"/>
      <c r="E919" s="186"/>
      <c r="F919" s="186"/>
      <c r="G919" s="186"/>
      <c r="H919" s="186"/>
      <c r="I919" s="186"/>
      <c r="J919" s="186"/>
      <c r="K919" s="186"/>
      <c r="L919" s="186"/>
      <c r="M919" s="186"/>
      <c r="N919" s="186"/>
      <c r="O919" s="186"/>
      <c r="P919" s="186"/>
      <c r="Q919" s="186"/>
      <c r="R919" s="186"/>
      <c r="S919" s="186"/>
      <c r="T919" s="186"/>
      <c r="U919" s="186"/>
      <c r="V919" s="67"/>
      <c r="W919" s="67"/>
      <c r="X919" s="67"/>
      <c r="Y919" s="187"/>
      <c r="Z919" s="186"/>
      <c r="AA919" s="187"/>
      <c r="AB919" s="187"/>
      <c r="AC919" s="187"/>
      <c r="AD919" s="186"/>
      <c r="AE919" s="186"/>
      <c r="AF919" s="67"/>
      <c r="AG919" s="67"/>
      <c r="AH919" s="67"/>
      <c r="AL919" s="186"/>
    </row>
    <row r="920">
      <c r="A920" s="185"/>
      <c r="B920" s="67"/>
      <c r="C920" s="67"/>
      <c r="D920" s="67"/>
      <c r="E920" s="186"/>
      <c r="F920" s="186"/>
      <c r="G920" s="186"/>
      <c r="H920" s="186"/>
      <c r="I920" s="186"/>
      <c r="J920" s="186"/>
      <c r="K920" s="186"/>
      <c r="L920" s="186"/>
      <c r="M920" s="186"/>
      <c r="N920" s="186"/>
      <c r="O920" s="186"/>
      <c r="P920" s="186"/>
      <c r="Q920" s="186"/>
      <c r="R920" s="186"/>
      <c r="S920" s="186"/>
      <c r="T920" s="186"/>
      <c r="U920" s="186"/>
      <c r="V920" s="67"/>
      <c r="W920" s="67"/>
      <c r="X920" s="67"/>
      <c r="Y920" s="187"/>
      <c r="Z920" s="186"/>
      <c r="AA920" s="187"/>
      <c r="AB920" s="187"/>
      <c r="AC920" s="187"/>
      <c r="AD920" s="186"/>
      <c r="AE920" s="186"/>
      <c r="AF920" s="67"/>
      <c r="AG920" s="67"/>
      <c r="AH920" s="67"/>
      <c r="AL920" s="186"/>
    </row>
    <row r="921">
      <c r="A921" s="185"/>
      <c r="B921" s="67"/>
      <c r="C921" s="67"/>
      <c r="D921" s="67"/>
      <c r="E921" s="186"/>
      <c r="F921" s="186"/>
      <c r="G921" s="186"/>
      <c r="H921" s="186"/>
      <c r="I921" s="186"/>
      <c r="J921" s="186"/>
      <c r="K921" s="186"/>
      <c r="L921" s="186"/>
      <c r="M921" s="186"/>
      <c r="N921" s="186"/>
      <c r="O921" s="186"/>
      <c r="P921" s="186"/>
      <c r="Q921" s="186"/>
      <c r="R921" s="186"/>
      <c r="S921" s="186"/>
      <c r="T921" s="186"/>
      <c r="U921" s="186"/>
      <c r="V921" s="67"/>
      <c r="W921" s="67"/>
      <c r="X921" s="67"/>
      <c r="Y921" s="187"/>
      <c r="Z921" s="186"/>
      <c r="AA921" s="187"/>
      <c r="AB921" s="187"/>
      <c r="AC921" s="187"/>
      <c r="AD921" s="186"/>
      <c r="AE921" s="186"/>
      <c r="AF921" s="67"/>
      <c r="AG921" s="67"/>
      <c r="AH921" s="67"/>
      <c r="AL921" s="186"/>
    </row>
    <row r="922">
      <c r="A922" s="185"/>
      <c r="B922" s="67"/>
      <c r="C922" s="67"/>
      <c r="D922" s="67"/>
      <c r="E922" s="186"/>
      <c r="F922" s="186"/>
      <c r="G922" s="186"/>
      <c r="H922" s="186"/>
      <c r="I922" s="186"/>
      <c r="J922" s="186"/>
      <c r="K922" s="186"/>
      <c r="L922" s="186"/>
      <c r="M922" s="186"/>
      <c r="N922" s="186"/>
      <c r="O922" s="186"/>
      <c r="P922" s="186"/>
      <c r="Q922" s="186"/>
      <c r="R922" s="186"/>
      <c r="S922" s="186"/>
      <c r="T922" s="186"/>
      <c r="U922" s="186"/>
      <c r="V922" s="67"/>
      <c r="W922" s="67"/>
      <c r="X922" s="67"/>
      <c r="Y922" s="187"/>
      <c r="Z922" s="186"/>
      <c r="AA922" s="187"/>
      <c r="AB922" s="187"/>
      <c r="AC922" s="187"/>
      <c r="AD922" s="186"/>
      <c r="AE922" s="186"/>
      <c r="AF922" s="67"/>
      <c r="AG922" s="67"/>
      <c r="AH922" s="67"/>
      <c r="AL922" s="186"/>
    </row>
    <row r="923">
      <c r="A923" s="185"/>
      <c r="B923" s="67"/>
      <c r="C923" s="67"/>
      <c r="D923" s="67"/>
      <c r="E923" s="186"/>
      <c r="F923" s="186"/>
      <c r="G923" s="186"/>
      <c r="H923" s="186"/>
      <c r="I923" s="186"/>
      <c r="J923" s="186"/>
      <c r="K923" s="186"/>
      <c r="L923" s="186"/>
      <c r="M923" s="186"/>
      <c r="N923" s="186"/>
      <c r="O923" s="186"/>
      <c r="P923" s="186"/>
      <c r="Q923" s="186"/>
      <c r="R923" s="186"/>
      <c r="S923" s="186"/>
      <c r="T923" s="186"/>
      <c r="U923" s="186"/>
      <c r="V923" s="67"/>
      <c r="W923" s="67"/>
      <c r="X923" s="67"/>
      <c r="Y923" s="187"/>
      <c r="Z923" s="186"/>
      <c r="AA923" s="187"/>
      <c r="AB923" s="187"/>
      <c r="AC923" s="187"/>
      <c r="AD923" s="186"/>
      <c r="AE923" s="186"/>
      <c r="AF923" s="67"/>
      <c r="AG923" s="67"/>
      <c r="AH923" s="67"/>
      <c r="AL923" s="186"/>
    </row>
    <row r="924">
      <c r="A924" s="185"/>
      <c r="B924" s="67"/>
      <c r="C924" s="67"/>
      <c r="D924" s="67"/>
      <c r="E924" s="186"/>
      <c r="F924" s="186"/>
      <c r="G924" s="186"/>
      <c r="H924" s="186"/>
      <c r="I924" s="186"/>
      <c r="J924" s="186"/>
      <c r="K924" s="186"/>
      <c r="L924" s="186"/>
      <c r="M924" s="186"/>
      <c r="N924" s="186"/>
      <c r="O924" s="186"/>
      <c r="P924" s="186"/>
      <c r="Q924" s="186"/>
      <c r="R924" s="186"/>
      <c r="S924" s="186"/>
      <c r="T924" s="186"/>
      <c r="U924" s="186"/>
      <c r="V924" s="67"/>
      <c r="W924" s="67"/>
      <c r="X924" s="67"/>
      <c r="Y924" s="187"/>
      <c r="Z924" s="186"/>
      <c r="AA924" s="187"/>
      <c r="AB924" s="187"/>
      <c r="AC924" s="187"/>
      <c r="AD924" s="186"/>
      <c r="AE924" s="186"/>
      <c r="AF924" s="67"/>
      <c r="AG924" s="67"/>
      <c r="AH924" s="67"/>
      <c r="AL924" s="186"/>
    </row>
    <row r="925">
      <c r="A925" s="185"/>
      <c r="B925" s="67"/>
      <c r="C925" s="67"/>
      <c r="D925" s="67"/>
      <c r="E925" s="186"/>
      <c r="F925" s="186"/>
      <c r="G925" s="186"/>
      <c r="H925" s="186"/>
      <c r="I925" s="186"/>
      <c r="J925" s="186"/>
      <c r="K925" s="186"/>
      <c r="L925" s="186"/>
      <c r="M925" s="186"/>
      <c r="N925" s="186"/>
      <c r="O925" s="186"/>
      <c r="P925" s="186"/>
      <c r="Q925" s="186"/>
      <c r="R925" s="186"/>
      <c r="S925" s="186"/>
      <c r="T925" s="186"/>
      <c r="U925" s="186"/>
      <c r="V925" s="67"/>
      <c r="W925" s="67"/>
      <c r="X925" s="67"/>
      <c r="Y925" s="187"/>
      <c r="Z925" s="186"/>
      <c r="AA925" s="187"/>
      <c r="AB925" s="187"/>
      <c r="AC925" s="187"/>
      <c r="AD925" s="186"/>
      <c r="AE925" s="186"/>
      <c r="AF925" s="67"/>
      <c r="AG925" s="67"/>
      <c r="AH925" s="67"/>
      <c r="AL925" s="186"/>
    </row>
    <row r="926">
      <c r="A926" s="185"/>
      <c r="B926" s="67"/>
      <c r="C926" s="67"/>
      <c r="D926" s="67"/>
      <c r="E926" s="186"/>
      <c r="F926" s="186"/>
      <c r="G926" s="186"/>
      <c r="H926" s="186"/>
      <c r="I926" s="186"/>
      <c r="J926" s="186"/>
      <c r="K926" s="186"/>
      <c r="L926" s="186"/>
      <c r="M926" s="186"/>
      <c r="N926" s="186"/>
      <c r="O926" s="186"/>
      <c r="P926" s="186"/>
      <c r="Q926" s="186"/>
      <c r="R926" s="186"/>
      <c r="S926" s="186"/>
      <c r="T926" s="186"/>
      <c r="U926" s="186"/>
      <c r="V926" s="67"/>
      <c r="W926" s="67"/>
      <c r="X926" s="67"/>
      <c r="Y926" s="187"/>
      <c r="Z926" s="186"/>
      <c r="AA926" s="187"/>
      <c r="AB926" s="187"/>
      <c r="AC926" s="187"/>
      <c r="AD926" s="186"/>
      <c r="AE926" s="186"/>
      <c r="AF926" s="67"/>
      <c r="AG926" s="67"/>
      <c r="AH926" s="67"/>
      <c r="AL926" s="186"/>
    </row>
    <row r="927">
      <c r="A927" s="185"/>
      <c r="B927" s="67"/>
      <c r="C927" s="67"/>
      <c r="D927" s="67"/>
      <c r="E927" s="186"/>
      <c r="F927" s="186"/>
      <c r="G927" s="186"/>
      <c r="H927" s="186"/>
      <c r="I927" s="186"/>
      <c r="J927" s="186"/>
      <c r="K927" s="186"/>
      <c r="L927" s="186"/>
      <c r="M927" s="186"/>
      <c r="N927" s="186"/>
      <c r="O927" s="186"/>
      <c r="P927" s="186"/>
      <c r="Q927" s="186"/>
      <c r="R927" s="186"/>
      <c r="S927" s="186"/>
      <c r="T927" s="186"/>
      <c r="U927" s="186"/>
      <c r="V927" s="67"/>
      <c r="W927" s="67"/>
      <c r="X927" s="67"/>
      <c r="Y927" s="187"/>
      <c r="Z927" s="186"/>
      <c r="AA927" s="187"/>
      <c r="AB927" s="187"/>
      <c r="AC927" s="187"/>
      <c r="AD927" s="186"/>
      <c r="AE927" s="186"/>
      <c r="AF927" s="67"/>
      <c r="AG927" s="67"/>
      <c r="AH927" s="67"/>
      <c r="AL927" s="186"/>
    </row>
    <row r="928">
      <c r="A928" s="185"/>
      <c r="B928" s="67"/>
      <c r="C928" s="67"/>
      <c r="D928" s="67"/>
      <c r="E928" s="186"/>
      <c r="F928" s="186"/>
      <c r="G928" s="186"/>
      <c r="H928" s="186"/>
      <c r="I928" s="186"/>
      <c r="J928" s="186"/>
      <c r="K928" s="186"/>
      <c r="L928" s="186"/>
      <c r="M928" s="186"/>
      <c r="N928" s="186"/>
      <c r="O928" s="186"/>
      <c r="P928" s="186"/>
      <c r="Q928" s="186"/>
      <c r="R928" s="186"/>
      <c r="S928" s="186"/>
      <c r="T928" s="186"/>
      <c r="U928" s="186"/>
      <c r="V928" s="67"/>
      <c r="W928" s="67"/>
      <c r="X928" s="67"/>
      <c r="Y928" s="187"/>
      <c r="Z928" s="186"/>
      <c r="AA928" s="187"/>
      <c r="AB928" s="187"/>
      <c r="AC928" s="187"/>
      <c r="AD928" s="186"/>
      <c r="AE928" s="186"/>
      <c r="AF928" s="67"/>
      <c r="AG928" s="67"/>
      <c r="AH928" s="67"/>
      <c r="AL928" s="186"/>
    </row>
    <row r="929">
      <c r="A929" s="185"/>
      <c r="B929" s="67"/>
      <c r="C929" s="67"/>
      <c r="D929" s="67"/>
      <c r="E929" s="186"/>
      <c r="F929" s="186"/>
      <c r="G929" s="186"/>
      <c r="H929" s="186"/>
      <c r="I929" s="186"/>
      <c r="J929" s="186"/>
      <c r="K929" s="186"/>
      <c r="L929" s="186"/>
      <c r="M929" s="186"/>
      <c r="N929" s="186"/>
      <c r="O929" s="186"/>
      <c r="P929" s="186"/>
      <c r="Q929" s="186"/>
      <c r="R929" s="186"/>
      <c r="S929" s="186"/>
      <c r="T929" s="186"/>
      <c r="U929" s="186"/>
      <c r="V929" s="67"/>
      <c r="W929" s="67"/>
      <c r="X929" s="67"/>
      <c r="Y929" s="187"/>
      <c r="Z929" s="186"/>
      <c r="AA929" s="187"/>
      <c r="AB929" s="187"/>
      <c r="AC929" s="187"/>
      <c r="AD929" s="186"/>
      <c r="AE929" s="186"/>
      <c r="AF929" s="67"/>
      <c r="AG929" s="67"/>
      <c r="AH929" s="67"/>
      <c r="AL929" s="186"/>
    </row>
    <row r="930">
      <c r="A930" s="185"/>
      <c r="B930" s="67"/>
      <c r="C930" s="67"/>
      <c r="D930" s="67"/>
      <c r="E930" s="186"/>
      <c r="F930" s="186"/>
      <c r="G930" s="186"/>
      <c r="H930" s="186"/>
      <c r="I930" s="186"/>
      <c r="J930" s="186"/>
      <c r="K930" s="186"/>
      <c r="L930" s="186"/>
      <c r="M930" s="186"/>
      <c r="N930" s="186"/>
      <c r="O930" s="186"/>
      <c r="P930" s="186"/>
      <c r="Q930" s="186"/>
      <c r="R930" s="186"/>
      <c r="S930" s="186"/>
      <c r="T930" s="186"/>
      <c r="U930" s="186"/>
      <c r="V930" s="67"/>
      <c r="W930" s="67"/>
      <c r="X930" s="67"/>
      <c r="Y930" s="187"/>
      <c r="Z930" s="186"/>
      <c r="AA930" s="187"/>
      <c r="AB930" s="187"/>
      <c r="AC930" s="187"/>
      <c r="AD930" s="186"/>
      <c r="AE930" s="186"/>
      <c r="AF930" s="67"/>
      <c r="AG930" s="67"/>
      <c r="AH930" s="67"/>
      <c r="AL930" s="186"/>
    </row>
    <row r="931">
      <c r="A931" s="185"/>
      <c r="B931" s="67"/>
      <c r="C931" s="67"/>
      <c r="D931" s="67"/>
      <c r="E931" s="186"/>
      <c r="F931" s="186"/>
      <c r="G931" s="186"/>
      <c r="H931" s="186"/>
      <c r="I931" s="186"/>
      <c r="J931" s="186"/>
      <c r="K931" s="186"/>
      <c r="L931" s="186"/>
      <c r="M931" s="186"/>
      <c r="N931" s="186"/>
      <c r="O931" s="186"/>
      <c r="P931" s="186"/>
      <c r="Q931" s="186"/>
      <c r="R931" s="186"/>
      <c r="S931" s="186"/>
      <c r="T931" s="186"/>
      <c r="U931" s="186"/>
      <c r="V931" s="67"/>
      <c r="W931" s="67"/>
      <c r="X931" s="67"/>
      <c r="Y931" s="187"/>
      <c r="Z931" s="186"/>
      <c r="AA931" s="187"/>
      <c r="AB931" s="187"/>
      <c r="AC931" s="187"/>
      <c r="AD931" s="186"/>
      <c r="AE931" s="186"/>
      <c r="AF931" s="67"/>
      <c r="AG931" s="67"/>
      <c r="AH931" s="67"/>
      <c r="AL931" s="186"/>
    </row>
    <row r="932">
      <c r="A932" s="185"/>
      <c r="B932" s="67"/>
      <c r="C932" s="67"/>
      <c r="D932" s="67"/>
      <c r="E932" s="186"/>
      <c r="F932" s="186"/>
      <c r="G932" s="186"/>
      <c r="H932" s="186"/>
      <c r="I932" s="186"/>
      <c r="J932" s="186"/>
      <c r="K932" s="186"/>
      <c r="L932" s="186"/>
      <c r="M932" s="186"/>
      <c r="N932" s="186"/>
      <c r="O932" s="186"/>
      <c r="P932" s="186"/>
      <c r="Q932" s="186"/>
      <c r="R932" s="186"/>
      <c r="S932" s="186"/>
      <c r="T932" s="186"/>
      <c r="U932" s="186"/>
      <c r="V932" s="67"/>
      <c r="W932" s="67"/>
      <c r="X932" s="67"/>
      <c r="Y932" s="187"/>
      <c r="Z932" s="186"/>
      <c r="AA932" s="187"/>
      <c r="AB932" s="187"/>
      <c r="AC932" s="187"/>
      <c r="AD932" s="186"/>
      <c r="AE932" s="186"/>
      <c r="AF932" s="67"/>
      <c r="AG932" s="67"/>
      <c r="AH932" s="67"/>
      <c r="AL932" s="186"/>
    </row>
    <row r="933">
      <c r="A933" s="185"/>
      <c r="B933" s="67"/>
      <c r="C933" s="67"/>
      <c r="D933" s="67"/>
      <c r="E933" s="186"/>
      <c r="F933" s="186"/>
      <c r="G933" s="186"/>
      <c r="H933" s="186"/>
      <c r="I933" s="186"/>
      <c r="J933" s="186"/>
      <c r="K933" s="186"/>
      <c r="L933" s="186"/>
      <c r="M933" s="186"/>
      <c r="N933" s="186"/>
      <c r="O933" s="186"/>
      <c r="P933" s="186"/>
      <c r="Q933" s="186"/>
      <c r="R933" s="186"/>
      <c r="S933" s="186"/>
      <c r="T933" s="186"/>
      <c r="U933" s="186"/>
      <c r="V933" s="67"/>
      <c r="W933" s="67"/>
      <c r="X933" s="67"/>
      <c r="Y933" s="187"/>
      <c r="Z933" s="186"/>
      <c r="AA933" s="187"/>
      <c r="AB933" s="187"/>
      <c r="AC933" s="187"/>
      <c r="AD933" s="186"/>
      <c r="AE933" s="186"/>
      <c r="AF933" s="67"/>
      <c r="AG933" s="67"/>
      <c r="AH933" s="67"/>
      <c r="AL933" s="186"/>
    </row>
    <row r="934">
      <c r="A934" s="185"/>
      <c r="B934" s="67"/>
      <c r="C934" s="67"/>
      <c r="D934" s="67"/>
      <c r="E934" s="186"/>
      <c r="F934" s="186"/>
      <c r="G934" s="186"/>
      <c r="H934" s="186"/>
      <c r="I934" s="186"/>
      <c r="J934" s="186"/>
      <c r="K934" s="186"/>
      <c r="L934" s="186"/>
      <c r="M934" s="186"/>
      <c r="N934" s="186"/>
      <c r="O934" s="186"/>
      <c r="P934" s="186"/>
      <c r="Q934" s="186"/>
      <c r="R934" s="186"/>
      <c r="S934" s="186"/>
      <c r="T934" s="186"/>
      <c r="U934" s="186"/>
      <c r="V934" s="67"/>
      <c r="W934" s="67"/>
      <c r="X934" s="67"/>
      <c r="Y934" s="187"/>
      <c r="Z934" s="186"/>
      <c r="AA934" s="187"/>
      <c r="AB934" s="187"/>
      <c r="AC934" s="187"/>
      <c r="AD934" s="186"/>
      <c r="AE934" s="186"/>
      <c r="AF934" s="67"/>
      <c r="AG934" s="67"/>
      <c r="AH934" s="67"/>
      <c r="AL934" s="186"/>
    </row>
    <row r="935">
      <c r="A935" s="185"/>
      <c r="B935" s="67"/>
      <c r="C935" s="67"/>
      <c r="D935" s="67"/>
      <c r="E935" s="186"/>
      <c r="F935" s="186"/>
      <c r="G935" s="186"/>
      <c r="H935" s="186"/>
      <c r="I935" s="186"/>
      <c r="J935" s="186"/>
      <c r="K935" s="186"/>
      <c r="L935" s="186"/>
      <c r="M935" s="186"/>
      <c r="N935" s="186"/>
      <c r="O935" s="186"/>
      <c r="P935" s="186"/>
      <c r="Q935" s="186"/>
      <c r="R935" s="186"/>
      <c r="S935" s="186"/>
      <c r="T935" s="186"/>
      <c r="U935" s="186"/>
      <c r="V935" s="67"/>
      <c r="W935" s="67"/>
      <c r="X935" s="67"/>
      <c r="Y935" s="187"/>
      <c r="Z935" s="186"/>
      <c r="AA935" s="187"/>
      <c r="AB935" s="187"/>
      <c r="AC935" s="187"/>
      <c r="AD935" s="186"/>
      <c r="AE935" s="186"/>
      <c r="AF935" s="67"/>
      <c r="AG935" s="67"/>
      <c r="AH935" s="67"/>
      <c r="AL935" s="186"/>
    </row>
    <row r="936">
      <c r="A936" s="185"/>
      <c r="B936" s="67"/>
      <c r="C936" s="67"/>
      <c r="D936" s="67"/>
      <c r="E936" s="186"/>
      <c r="F936" s="186"/>
      <c r="G936" s="186"/>
      <c r="H936" s="186"/>
      <c r="I936" s="186"/>
      <c r="J936" s="186"/>
      <c r="K936" s="186"/>
      <c r="L936" s="186"/>
      <c r="M936" s="186"/>
      <c r="N936" s="186"/>
      <c r="O936" s="186"/>
      <c r="P936" s="186"/>
      <c r="Q936" s="186"/>
      <c r="R936" s="186"/>
      <c r="S936" s="186"/>
      <c r="T936" s="186"/>
      <c r="U936" s="186"/>
      <c r="V936" s="67"/>
      <c r="W936" s="67"/>
      <c r="X936" s="67"/>
      <c r="Y936" s="187"/>
      <c r="Z936" s="186"/>
      <c r="AA936" s="187"/>
      <c r="AB936" s="187"/>
      <c r="AC936" s="187"/>
      <c r="AD936" s="186"/>
      <c r="AE936" s="186"/>
      <c r="AF936" s="67"/>
      <c r="AG936" s="67"/>
      <c r="AH936" s="67"/>
      <c r="AL936" s="186"/>
    </row>
    <row r="937">
      <c r="A937" s="185"/>
      <c r="B937" s="67"/>
      <c r="C937" s="67"/>
      <c r="D937" s="67"/>
      <c r="E937" s="186"/>
      <c r="F937" s="186"/>
      <c r="G937" s="186"/>
      <c r="H937" s="186"/>
      <c r="I937" s="186"/>
      <c r="J937" s="186"/>
      <c r="K937" s="186"/>
      <c r="L937" s="186"/>
      <c r="M937" s="186"/>
      <c r="N937" s="186"/>
      <c r="O937" s="186"/>
      <c r="P937" s="186"/>
      <c r="Q937" s="186"/>
      <c r="R937" s="186"/>
      <c r="S937" s="186"/>
      <c r="T937" s="186"/>
      <c r="U937" s="186"/>
      <c r="V937" s="67"/>
      <c r="W937" s="67"/>
      <c r="X937" s="67"/>
      <c r="Y937" s="187"/>
      <c r="Z937" s="186"/>
      <c r="AA937" s="187"/>
      <c r="AB937" s="187"/>
      <c r="AC937" s="187"/>
      <c r="AD937" s="186"/>
      <c r="AE937" s="186"/>
      <c r="AF937" s="67"/>
      <c r="AG937" s="67"/>
      <c r="AH937" s="67"/>
      <c r="AL937" s="186"/>
    </row>
    <row r="938">
      <c r="A938" s="185"/>
      <c r="B938" s="67"/>
      <c r="C938" s="67"/>
      <c r="D938" s="67"/>
      <c r="E938" s="186"/>
      <c r="F938" s="186"/>
      <c r="G938" s="186"/>
      <c r="H938" s="186"/>
      <c r="I938" s="186"/>
      <c r="J938" s="186"/>
      <c r="K938" s="186"/>
      <c r="L938" s="186"/>
      <c r="M938" s="186"/>
      <c r="N938" s="186"/>
      <c r="O938" s="186"/>
      <c r="P938" s="186"/>
      <c r="Q938" s="186"/>
      <c r="R938" s="186"/>
      <c r="S938" s="186"/>
      <c r="T938" s="186"/>
      <c r="U938" s="186"/>
      <c r="V938" s="67"/>
      <c r="W938" s="67"/>
      <c r="X938" s="67"/>
      <c r="Y938" s="187"/>
      <c r="Z938" s="186"/>
      <c r="AA938" s="187"/>
      <c r="AB938" s="187"/>
      <c r="AC938" s="187"/>
      <c r="AD938" s="186"/>
      <c r="AE938" s="186"/>
      <c r="AF938" s="67"/>
      <c r="AG938" s="67"/>
      <c r="AH938" s="67"/>
      <c r="AL938" s="186"/>
    </row>
    <row r="939">
      <c r="A939" s="185"/>
      <c r="B939" s="67"/>
      <c r="C939" s="67"/>
      <c r="D939" s="67"/>
      <c r="E939" s="186"/>
      <c r="F939" s="186"/>
      <c r="G939" s="186"/>
      <c r="H939" s="186"/>
      <c r="I939" s="186"/>
      <c r="J939" s="186"/>
      <c r="K939" s="186"/>
      <c r="L939" s="186"/>
      <c r="M939" s="186"/>
      <c r="N939" s="186"/>
      <c r="O939" s="186"/>
      <c r="P939" s="186"/>
      <c r="Q939" s="186"/>
      <c r="R939" s="186"/>
      <c r="S939" s="186"/>
      <c r="T939" s="186"/>
      <c r="U939" s="186"/>
      <c r="V939" s="67"/>
      <c r="W939" s="67"/>
      <c r="X939" s="67"/>
      <c r="Y939" s="187"/>
      <c r="Z939" s="186"/>
      <c r="AA939" s="187"/>
      <c r="AB939" s="187"/>
      <c r="AC939" s="187"/>
      <c r="AD939" s="186"/>
      <c r="AE939" s="186"/>
      <c r="AF939" s="67"/>
      <c r="AG939" s="67"/>
      <c r="AH939" s="67"/>
      <c r="AL939" s="186"/>
    </row>
    <row r="940">
      <c r="A940" s="185"/>
      <c r="B940" s="67"/>
      <c r="C940" s="67"/>
      <c r="D940" s="67"/>
      <c r="E940" s="186"/>
      <c r="F940" s="186"/>
      <c r="G940" s="186"/>
      <c r="H940" s="186"/>
      <c r="I940" s="186"/>
      <c r="J940" s="186"/>
      <c r="K940" s="186"/>
      <c r="L940" s="186"/>
      <c r="M940" s="186"/>
      <c r="N940" s="186"/>
      <c r="O940" s="186"/>
      <c r="P940" s="186"/>
      <c r="Q940" s="186"/>
      <c r="R940" s="186"/>
      <c r="S940" s="186"/>
      <c r="T940" s="186"/>
      <c r="U940" s="186"/>
      <c r="V940" s="67"/>
      <c r="W940" s="67"/>
      <c r="X940" s="67"/>
      <c r="Y940" s="187"/>
      <c r="Z940" s="186"/>
      <c r="AA940" s="187"/>
      <c r="AB940" s="187"/>
      <c r="AC940" s="187"/>
      <c r="AD940" s="186"/>
      <c r="AE940" s="186"/>
      <c r="AF940" s="67"/>
      <c r="AG940" s="67"/>
      <c r="AH940" s="67"/>
      <c r="AL940" s="186"/>
    </row>
    <row r="941">
      <c r="A941" s="185"/>
      <c r="B941" s="67"/>
      <c r="C941" s="67"/>
      <c r="D941" s="67"/>
      <c r="E941" s="186"/>
      <c r="F941" s="186"/>
      <c r="G941" s="186"/>
      <c r="H941" s="186"/>
      <c r="I941" s="186"/>
      <c r="J941" s="186"/>
      <c r="K941" s="186"/>
      <c r="L941" s="186"/>
      <c r="M941" s="186"/>
      <c r="N941" s="186"/>
      <c r="O941" s="186"/>
      <c r="P941" s="186"/>
      <c r="Q941" s="186"/>
      <c r="R941" s="186"/>
      <c r="S941" s="186"/>
      <c r="T941" s="186"/>
      <c r="U941" s="186"/>
      <c r="V941" s="67"/>
      <c r="W941" s="67"/>
      <c r="X941" s="67"/>
      <c r="Y941" s="187"/>
      <c r="Z941" s="186"/>
      <c r="AA941" s="187"/>
      <c r="AB941" s="187"/>
      <c r="AC941" s="187"/>
      <c r="AD941" s="186"/>
      <c r="AE941" s="186"/>
      <c r="AF941" s="67"/>
      <c r="AG941" s="67"/>
      <c r="AH941" s="67"/>
      <c r="AL941" s="186"/>
    </row>
    <row r="942">
      <c r="A942" s="185"/>
      <c r="B942" s="67"/>
      <c r="C942" s="67"/>
      <c r="D942" s="67"/>
      <c r="E942" s="186"/>
      <c r="F942" s="186"/>
      <c r="G942" s="186"/>
      <c r="H942" s="186"/>
      <c r="I942" s="186"/>
      <c r="J942" s="186"/>
      <c r="K942" s="186"/>
      <c r="L942" s="186"/>
      <c r="M942" s="186"/>
      <c r="N942" s="186"/>
      <c r="O942" s="186"/>
      <c r="P942" s="186"/>
      <c r="Q942" s="186"/>
      <c r="R942" s="186"/>
      <c r="S942" s="186"/>
      <c r="T942" s="186"/>
      <c r="U942" s="186"/>
      <c r="V942" s="67"/>
      <c r="W942" s="67"/>
      <c r="X942" s="67"/>
      <c r="Y942" s="187"/>
      <c r="Z942" s="186"/>
      <c r="AA942" s="187"/>
      <c r="AB942" s="187"/>
      <c r="AC942" s="187"/>
      <c r="AD942" s="186"/>
      <c r="AE942" s="186"/>
      <c r="AF942" s="67"/>
      <c r="AG942" s="67"/>
      <c r="AH942" s="67"/>
      <c r="AL942" s="186"/>
    </row>
    <row r="943">
      <c r="A943" s="185"/>
      <c r="B943" s="67"/>
      <c r="C943" s="67"/>
      <c r="D943" s="67"/>
      <c r="E943" s="186"/>
      <c r="F943" s="186"/>
      <c r="G943" s="186"/>
      <c r="H943" s="186"/>
      <c r="I943" s="186"/>
      <c r="J943" s="186"/>
      <c r="K943" s="186"/>
      <c r="L943" s="186"/>
      <c r="M943" s="186"/>
      <c r="N943" s="186"/>
      <c r="O943" s="186"/>
      <c r="P943" s="186"/>
      <c r="Q943" s="186"/>
      <c r="R943" s="186"/>
      <c r="S943" s="186"/>
      <c r="T943" s="186"/>
      <c r="U943" s="186"/>
      <c r="V943" s="67"/>
      <c r="W943" s="67"/>
      <c r="X943" s="67"/>
      <c r="Y943" s="187"/>
      <c r="Z943" s="186"/>
      <c r="AA943" s="187"/>
      <c r="AB943" s="187"/>
      <c r="AC943" s="187"/>
      <c r="AD943" s="186"/>
      <c r="AE943" s="186"/>
      <c r="AF943" s="67"/>
      <c r="AG943" s="67"/>
      <c r="AH943" s="67"/>
      <c r="AL943" s="186"/>
    </row>
    <row r="944">
      <c r="A944" s="185"/>
      <c r="B944" s="67"/>
      <c r="C944" s="67"/>
      <c r="D944" s="67"/>
      <c r="E944" s="186"/>
      <c r="F944" s="186"/>
      <c r="G944" s="186"/>
      <c r="H944" s="186"/>
      <c r="I944" s="186"/>
      <c r="J944" s="186"/>
      <c r="K944" s="186"/>
      <c r="L944" s="186"/>
      <c r="M944" s="186"/>
      <c r="N944" s="186"/>
      <c r="O944" s="186"/>
      <c r="P944" s="186"/>
      <c r="Q944" s="186"/>
      <c r="R944" s="186"/>
      <c r="S944" s="186"/>
      <c r="T944" s="186"/>
      <c r="U944" s="186"/>
      <c r="V944" s="67"/>
      <c r="W944" s="67"/>
      <c r="X944" s="67"/>
      <c r="Y944" s="187"/>
      <c r="Z944" s="186"/>
      <c r="AA944" s="187"/>
      <c r="AB944" s="187"/>
      <c r="AC944" s="187"/>
      <c r="AD944" s="186"/>
      <c r="AE944" s="186"/>
      <c r="AF944" s="67"/>
      <c r="AG944" s="67"/>
      <c r="AH944" s="67"/>
      <c r="AL944" s="186"/>
    </row>
    <row r="945">
      <c r="A945" s="185"/>
      <c r="B945" s="67"/>
      <c r="C945" s="67"/>
      <c r="D945" s="67"/>
      <c r="E945" s="186"/>
      <c r="F945" s="186"/>
      <c r="G945" s="186"/>
      <c r="H945" s="186"/>
      <c r="I945" s="186"/>
      <c r="J945" s="186"/>
      <c r="K945" s="186"/>
      <c r="L945" s="186"/>
      <c r="M945" s="186"/>
      <c r="N945" s="186"/>
      <c r="O945" s="186"/>
      <c r="P945" s="186"/>
      <c r="Q945" s="186"/>
      <c r="R945" s="186"/>
      <c r="S945" s="186"/>
      <c r="T945" s="186"/>
      <c r="U945" s="186"/>
      <c r="V945" s="67"/>
      <c r="W945" s="67"/>
      <c r="X945" s="67"/>
      <c r="Y945" s="187"/>
      <c r="Z945" s="186"/>
      <c r="AA945" s="187"/>
      <c r="AB945" s="187"/>
      <c r="AC945" s="187"/>
      <c r="AD945" s="186"/>
      <c r="AE945" s="186"/>
      <c r="AF945" s="67"/>
      <c r="AG945" s="67"/>
      <c r="AH945" s="67"/>
      <c r="AL945" s="186"/>
    </row>
    <row r="946">
      <c r="A946" s="185"/>
      <c r="B946" s="67"/>
      <c r="C946" s="67"/>
      <c r="D946" s="67"/>
      <c r="E946" s="186"/>
      <c r="F946" s="186"/>
      <c r="G946" s="186"/>
      <c r="H946" s="186"/>
      <c r="I946" s="186"/>
      <c r="J946" s="186"/>
      <c r="K946" s="186"/>
      <c r="L946" s="186"/>
      <c r="M946" s="186"/>
      <c r="N946" s="186"/>
      <c r="O946" s="186"/>
      <c r="P946" s="186"/>
      <c r="Q946" s="186"/>
      <c r="R946" s="186"/>
      <c r="S946" s="186"/>
      <c r="T946" s="186"/>
      <c r="U946" s="186"/>
      <c r="V946" s="67"/>
      <c r="W946" s="67"/>
      <c r="X946" s="67"/>
      <c r="Y946" s="187"/>
      <c r="Z946" s="186"/>
      <c r="AA946" s="187"/>
      <c r="AB946" s="187"/>
      <c r="AC946" s="187"/>
      <c r="AD946" s="186"/>
      <c r="AE946" s="186"/>
      <c r="AF946" s="67"/>
      <c r="AG946" s="67"/>
      <c r="AH946" s="67"/>
      <c r="AL946" s="186"/>
    </row>
    <row r="947">
      <c r="A947" s="185"/>
      <c r="B947" s="67"/>
      <c r="C947" s="67"/>
      <c r="D947" s="67"/>
      <c r="E947" s="186"/>
      <c r="F947" s="186"/>
      <c r="G947" s="186"/>
      <c r="H947" s="186"/>
      <c r="I947" s="186"/>
      <c r="J947" s="186"/>
      <c r="K947" s="186"/>
      <c r="L947" s="186"/>
      <c r="M947" s="186"/>
      <c r="N947" s="186"/>
      <c r="O947" s="186"/>
      <c r="P947" s="186"/>
      <c r="Q947" s="186"/>
      <c r="R947" s="186"/>
      <c r="S947" s="186"/>
      <c r="T947" s="186"/>
      <c r="U947" s="186"/>
      <c r="V947" s="67"/>
      <c r="W947" s="67"/>
      <c r="X947" s="67"/>
      <c r="Y947" s="187"/>
      <c r="Z947" s="186"/>
      <c r="AA947" s="187"/>
      <c r="AB947" s="187"/>
      <c r="AC947" s="187"/>
      <c r="AD947" s="186"/>
      <c r="AE947" s="186"/>
      <c r="AF947" s="67"/>
      <c r="AG947" s="67"/>
      <c r="AH947" s="67"/>
      <c r="AL947" s="186"/>
    </row>
    <row r="948">
      <c r="A948" s="185"/>
      <c r="B948" s="67"/>
      <c r="C948" s="67"/>
      <c r="D948" s="67"/>
      <c r="E948" s="186"/>
      <c r="F948" s="186"/>
      <c r="G948" s="186"/>
      <c r="H948" s="186"/>
      <c r="I948" s="186"/>
      <c r="J948" s="186"/>
      <c r="K948" s="186"/>
      <c r="L948" s="186"/>
      <c r="M948" s="186"/>
      <c r="N948" s="186"/>
      <c r="O948" s="186"/>
      <c r="P948" s="186"/>
      <c r="Q948" s="186"/>
      <c r="R948" s="186"/>
      <c r="S948" s="186"/>
      <c r="T948" s="186"/>
      <c r="U948" s="186"/>
      <c r="V948" s="67"/>
      <c r="W948" s="67"/>
      <c r="X948" s="67"/>
      <c r="Y948" s="187"/>
      <c r="Z948" s="186"/>
      <c r="AA948" s="187"/>
      <c r="AB948" s="187"/>
      <c r="AC948" s="187"/>
      <c r="AD948" s="186"/>
      <c r="AE948" s="186"/>
      <c r="AF948" s="67"/>
      <c r="AG948" s="67"/>
      <c r="AH948" s="67"/>
      <c r="AL948" s="186"/>
    </row>
    <row r="949">
      <c r="A949" s="185"/>
      <c r="B949" s="67"/>
      <c r="C949" s="67"/>
      <c r="D949" s="67"/>
      <c r="E949" s="186"/>
      <c r="F949" s="186"/>
      <c r="G949" s="186"/>
      <c r="H949" s="186"/>
      <c r="I949" s="186"/>
      <c r="J949" s="186"/>
      <c r="K949" s="186"/>
      <c r="L949" s="186"/>
      <c r="M949" s="186"/>
      <c r="N949" s="186"/>
      <c r="O949" s="186"/>
      <c r="P949" s="186"/>
      <c r="Q949" s="186"/>
      <c r="R949" s="186"/>
      <c r="S949" s="186"/>
      <c r="T949" s="186"/>
      <c r="U949" s="186"/>
      <c r="V949" s="67"/>
      <c r="W949" s="67"/>
      <c r="X949" s="67"/>
      <c r="Y949" s="187"/>
      <c r="Z949" s="186"/>
      <c r="AA949" s="187"/>
      <c r="AB949" s="187"/>
      <c r="AC949" s="187"/>
      <c r="AD949" s="186"/>
      <c r="AE949" s="186"/>
      <c r="AF949" s="67"/>
      <c r="AG949" s="67"/>
      <c r="AH949" s="67"/>
      <c r="AL949" s="186"/>
    </row>
    <row r="950">
      <c r="A950" s="185"/>
      <c r="B950" s="67"/>
      <c r="C950" s="67"/>
      <c r="D950" s="67"/>
      <c r="E950" s="186"/>
      <c r="F950" s="186"/>
      <c r="G950" s="186"/>
      <c r="H950" s="186"/>
      <c r="I950" s="186"/>
      <c r="J950" s="186"/>
      <c r="K950" s="186"/>
      <c r="L950" s="186"/>
      <c r="M950" s="186"/>
      <c r="N950" s="186"/>
      <c r="O950" s="186"/>
      <c r="P950" s="186"/>
      <c r="Q950" s="186"/>
      <c r="R950" s="186"/>
      <c r="S950" s="186"/>
      <c r="T950" s="186"/>
      <c r="U950" s="186"/>
      <c r="V950" s="67"/>
      <c r="W950" s="67"/>
      <c r="X950" s="67"/>
      <c r="Y950" s="187"/>
      <c r="Z950" s="186"/>
      <c r="AA950" s="187"/>
      <c r="AB950" s="187"/>
      <c r="AC950" s="187"/>
      <c r="AD950" s="186"/>
      <c r="AE950" s="186"/>
      <c r="AF950" s="67"/>
      <c r="AG950" s="67"/>
      <c r="AH950" s="67"/>
      <c r="AL950" s="186"/>
    </row>
    <row r="951">
      <c r="A951" s="185"/>
      <c r="B951" s="67"/>
      <c r="C951" s="67"/>
      <c r="D951" s="67"/>
      <c r="E951" s="186"/>
      <c r="F951" s="186"/>
      <c r="G951" s="186"/>
      <c r="H951" s="186"/>
      <c r="I951" s="186"/>
      <c r="J951" s="186"/>
      <c r="K951" s="186"/>
      <c r="L951" s="186"/>
      <c r="M951" s="186"/>
      <c r="N951" s="186"/>
      <c r="O951" s="186"/>
      <c r="P951" s="186"/>
      <c r="Q951" s="186"/>
      <c r="R951" s="186"/>
      <c r="S951" s="186"/>
      <c r="T951" s="186"/>
      <c r="U951" s="186"/>
      <c r="V951" s="67"/>
      <c r="W951" s="67"/>
      <c r="X951" s="67"/>
      <c r="Y951" s="187"/>
      <c r="Z951" s="186"/>
      <c r="AA951" s="187"/>
      <c r="AB951" s="187"/>
      <c r="AC951" s="187"/>
      <c r="AD951" s="186"/>
      <c r="AE951" s="186"/>
      <c r="AF951" s="67"/>
      <c r="AG951" s="67"/>
      <c r="AH951" s="67"/>
      <c r="AL951" s="186"/>
    </row>
    <row r="952">
      <c r="A952" s="185"/>
      <c r="B952" s="67"/>
      <c r="C952" s="67"/>
      <c r="D952" s="67"/>
      <c r="E952" s="186"/>
      <c r="F952" s="186"/>
      <c r="G952" s="186"/>
      <c r="H952" s="186"/>
      <c r="I952" s="186"/>
      <c r="J952" s="186"/>
      <c r="K952" s="186"/>
      <c r="L952" s="186"/>
      <c r="M952" s="186"/>
      <c r="N952" s="186"/>
      <c r="O952" s="186"/>
      <c r="P952" s="186"/>
      <c r="Q952" s="186"/>
      <c r="R952" s="186"/>
      <c r="S952" s="186"/>
      <c r="T952" s="186"/>
      <c r="U952" s="186"/>
      <c r="V952" s="67"/>
      <c r="W952" s="67"/>
      <c r="X952" s="67"/>
      <c r="Y952" s="187"/>
      <c r="Z952" s="186"/>
      <c r="AA952" s="187"/>
      <c r="AB952" s="187"/>
      <c r="AC952" s="187"/>
      <c r="AD952" s="186"/>
      <c r="AE952" s="186"/>
      <c r="AF952" s="67"/>
      <c r="AG952" s="67"/>
      <c r="AH952" s="67"/>
      <c r="AL952" s="186"/>
    </row>
    <row r="953">
      <c r="A953" s="185"/>
      <c r="B953" s="67"/>
      <c r="C953" s="67"/>
      <c r="D953" s="67"/>
      <c r="E953" s="186"/>
      <c r="F953" s="186"/>
      <c r="G953" s="186"/>
      <c r="H953" s="186"/>
      <c r="I953" s="186"/>
      <c r="J953" s="186"/>
      <c r="K953" s="186"/>
      <c r="L953" s="186"/>
      <c r="M953" s="186"/>
      <c r="N953" s="186"/>
      <c r="O953" s="186"/>
      <c r="P953" s="186"/>
      <c r="Q953" s="186"/>
      <c r="R953" s="186"/>
      <c r="S953" s="186"/>
      <c r="T953" s="186"/>
      <c r="U953" s="186"/>
      <c r="V953" s="67"/>
      <c r="W953" s="67"/>
      <c r="X953" s="67"/>
      <c r="Y953" s="187"/>
      <c r="Z953" s="186"/>
      <c r="AA953" s="187"/>
      <c r="AB953" s="187"/>
      <c r="AC953" s="187"/>
      <c r="AD953" s="186"/>
      <c r="AE953" s="186"/>
      <c r="AF953" s="67"/>
      <c r="AG953" s="67"/>
      <c r="AH953" s="67"/>
      <c r="AL953" s="186"/>
    </row>
    <row r="954">
      <c r="A954" s="185"/>
      <c r="B954" s="67"/>
      <c r="C954" s="67"/>
      <c r="D954" s="67"/>
      <c r="E954" s="186"/>
      <c r="F954" s="186"/>
      <c r="G954" s="186"/>
      <c r="H954" s="186"/>
      <c r="I954" s="186"/>
      <c r="J954" s="186"/>
      <c r="K954" s="186"/>
      <c r="L954" s="186"/>
      <c r="M954" s="186"/>
      <c r="N954" s="186"/>
      <c r="O954" s="186"/>
      <c r="P954" s="186"/>
      <c r="Q954" s="186"/>
      <c r="R954" s="186"/>
      <c r="S954" s="186"/>
      <c r="T954" s="186"/>
      <c r="U954" s="186"/>
      <c r="V954" s="67"/>
      <c r="W954" s="67"/>
      <c r="X954" s="67"/>
      <c r="Y954" s="187"/>
      <c r="Z954" s="186"/>
      <c r="AA954" s="187"/>
      <c r="AB954" s="187"/>
      <c r="AC954" s="187"/>
      <c r="AD954" s="186"/>
      <c r="AE954" s="186"/>
      <c r="AF954" s="67"/>
      <c r="AG954" s="67"/>
      <c r="AH954" s="67"/>
      <c r="AL954" s="186"/>
    </row>
    <row r="955">
      <c r="A955" s="185"/>
      <c r="B955" s="67"/>
      <c r="C955" s="67"/>
      <c r="D955" s="67"/>
      <c r="E955" s="186"/>
      <c r="F955" s="186"/>
      <c r="G955" s="186"/>
      <c r="H955" s="186"/>
      <c r="I955" s="186"/>
      <c r="J955" s="186"/>
      <c r="K955" s="186"/>
      <c r="L955" s="186"/>
      <c r="M955" s="186"/>
      <c r="N955" s="186"/>
      <c r="O955" s="186"/>
      <c r="P955" s="186"/>
      <c r="Q955" s="186"/>
      <c r="R955" s="186"/>
      <c r="S955" s="186"/>
      <c r="T955" s="186"/>
      <c r="U955" s="186"/>
      <c r="V955" s="67"/>
      <c r="W955" s="67"/>
      <c r="X955" s="67"/>
      <c r="Y955" s="187"/>
      <c r="Z955" s="186"/>
      <c r="AA955" s="187"/>
      <c r="AB955" s="187"/>
      <c r="AC955" s="187"/>
      <c r="AD955" s="186"/>
      <c r="AE955" s="186"/>
      <c r="AF955" s="67"/>
      <c r="AG955" s="67"/>
      <c r="AH955" s="67"/>
      <c r="AL955" s="186"/>
    </row>
    <row r="956">
      <c r="A956" s="185"/>
      <c r="B956" s="67"/>
      <c r="C956" s="67"/>
      <c r="D956" s="67"/>
      <c r="E956" s="186"/>
      <c r="F956" s="186"/>
      <c r="G956" s="186"/>
      <c r="H956" s="186"/>
      <c r="I956" s="186"/>
      <c r="J956" s="186"/>
      <c r="K956" s="186"/>
      <c r="L956" s="186"/>
      <c r="M956" s="186"/>
      <c r="N956" s="186"/>
      <c r="O956" s="186"/>
      <c r="P956" s="186"/>
      <c r="Q956" s="186"/>
      <c r="R956" s="186"/>
      <c r="S956" s="186"/>
      <c r="T956" s="186"/>
      <c r="U956" s="186"/>
      <c r="V956" s="67"/>
      <c r="W956" s="67"/>
      <c r="X956" s="67"/>
      <c r="Y956" s="187"/>
      <c r="Z956" s="186"/>
      <c r="AA956" s="187"/>
      <c r="AB956" s="187"/>
      <c r="AC956" s="187"/>
      <c r="AD956" s="186"/>
      <c r="AE956" s="186"/>
      <c r="AF956" s="67"/>
      <c r="AG956" s="67"/>
      <c r="AH956" s="67"/>
      <c r="AL956" s="186"/>
    </row>
    <row r="957">
      <c r="A957" s="185"/>
      <c r="B957" s="67"/>
      <c r="C957" s="67"/>
      <c r="D957" s="67"/>
      <c r="E957" s="186"/>
      <c r="F957" s="186"/>
      <c r="G957" s="186"/>
      <c r="H957" s="186"/>
      <c r="I957" s="186"/>
      <c r="J957" s="186"/>
      <c r="K957" s="186"/>
      <c r="L957" s="186"/>
      <c r="M957" s="186"/>
      <c r="N957" s="186"/>
      <c r="O957" s="186"/>
      <c r="P957" s="186"/>
      <c r="Q957" s="186"/>
      <c r="R957" s="186"/>
      <c r="S957" s="186"/>
      <c r="T957" s="186"/>
      <c r="U957" s="186"/>
      <c r="V957" s="67"/>
      <c r="W957" s="67"/>
      <c r="X957" s="67"/>
      <c r="Y957" s="187"/>
      <c r="Z957" s="186"/>
      <c r="AA957" s="187"/>
      <c r="AB957" s="187"/>
      <c r="AC957" s="187"/>
      <c r="AD957" s="186"/>
      <c r="AE957" s="186"/>
      <c r="AF957" s="67"/>
      <c r="AG957" s="67"/>
      <c r="AH957" s="67"/>
      <c r="AL957" s="186"/>
    </row>
    <row r="958">
      <c r="A958" s="185"/>
      <c r="B958" s="67"/>
      <c r="C958" s="67"/>
      <c r="D958" s="67"/>
      <c r="E958" s="186"/>
      <c r="F958" s="186"/>
      <c r="G958" s="186"/>
      <c r="H958" s="186"/>
      <c r="I958" s="186"/>
      <c r="J958" s="186"/>
      <c r="K958" s="186"/>
      <c r="L958" s="186"/>
      <c r="M958" s="186"/>
      <c r="N958" s="186"/>
      <c r="O958" s="186"/>
      <c r="P958" s="186"/>
      <c r="Q958" s="186"/>
      <c r="R958" s="186"/>
      <c r="S958" s="186"/>
      <c r="T958" s="186"/>
      <c r="U958" s="186"/>
      <c r="V958" s="67"/>
      <c r="W958" s="67"/>
      <c r="X958" s="67"/>
      <c r="Y958" s="187"/>
      <c r="Z958" s="186"/>
      <c r="AA958" s="187"/>
      <c r="AB958" s="187"/>
      <c r="AC958" s="187"/>
      <c r="AD958" s="186"/>
      <c r="AE958" s="186"/>
      <c r="AF958" s="67"/>
      <c r="AG958" s="67"/>
      <c r="AH958" s="67"/>
      <c r="AL958" s="186"/>
    </row>
    <row r="959">
      <c r="A959" s="185"/>
      <c r="B959" s="67"/>
      <c r="C959" s="67"/>
      <c r="D959" s="67"/>
      <c r="E959" s="186"/>
      <c r="F959" s="186"/>
      <c r="G959" s="186"/>
      <c r="H959" s="186"/>
      <c r="I959" s="186"/>
      <c r="J959" s="186"/>
      <c r="K959" s="186"/>
      <c r="L959" s="186"/>
      <c r="M959" s="186"/>
      <c r="N959" s="186"/>
      <c r="O959" s="186"/>
      <c r="P959" s="186"/>
      <c r="Q959" s="186"/>
      <c r="R959" s="186"/>
      <c r="S959" s="186"/>
      <c r="T959" s="186"/>
      <c r="U959" s="186"/>
      <c r="V959" s="67"/>
      <c r="W959" s="67"/>
      <c r="X959" s="67"/>
      <c r="Y959" s="187"/>
      <c r="Z959" s="186"/>
      <c r="AA959" s="187"/>
      <c r="AB959" s="187"/>
      <c r="AC959" s="187"/>
      <c r="AD959" s="186"/>
      <c r="AE959" s="186"/>
      <c r="AF959" s="67"/>
      <c r="AG959" s="67"/>
      <c r="AH959" s="67"/>
      <c r="AL959" s="186"/>
    </row>
    <row r="960">
      <c r="A960" s="185"/>
      <c r="B960" s="67"/>
      <c r="C960" s="67"/>
      <c r="D960" s="67"/>
      <c r="E960" s="186"/>
      <c r="F960" s="186"/>
      <c r="G960" s="186"/>
      <c r="H960" s="186"/>
      <c r="I960" s="186"/>
      <c r="J960" s="186"/>
      <c r="K960" s="186"/>
      <c r="L960" s="186"/>
      <c r="M960" s="186"/>
      <c r="N960" s="186"/>
      <c r="O960" s="186"/>
      <c r="P960" s="186"/>
      <c r="Q960" s="186"/>
      <c r="R960" s="186"/>
      <c r="S960" s="186"/>
      <c r="T960" s="186"/>
      <c r="U960" s="186"/>
      <c r="V960" s="67"/>
      <c r="W960" s="67"/>
      <c r="X960" s="67"/>
      <c r="Y960" s="187"/>
      <c r="Z960" s="186"/>
      <c r="AA960" s="187"/>
      <c r="AB960" s="187"/>
      <c r="AC960" s="187"/>
      <c r="AD960" s="186"/>
      <c r="AE960" s="186"/>
      <c r="AF960" s="67"/>
      <c r="AG960" s="67"/>
      <c r="AH960" s="67"/>
      <c r="AL960" s="186"/>
    </row>
    <row r="961">
      <c r="A961" s="185"/>
      <c r="B961" s="67"/>
      <c r="C961" s="67"/>
      <c r="D961" s="67"/>
      <c r="E961" s="186"/>
      <c r="F961" s="186"/>
      <c r="G961" s="186"/>
      <c r="H961" s="186"/>
      <c r="I961" s="186"/>
      <c r="J961" s="186"/>
      <c r="K961" s="186"/>
      <c r="L961" s="186"/>
      <c r="M961" s="186"/>
      <c r="N961" s="186"/>
      <c r="O961" s="186"/>
      <c r="P961" s="186"/>
      <c r="Q961" s="186"/>
      <c r="R961" s="186"/>
      <c r="S961" s="186"/>
      <c r="T961" s="186"/>
      <c r="U961" s="186"/>
      <c r="V961" s="67"/>
      <c r="W961" s="67"/>
      <c r="X961" s="67"/>
      <c r="Y961" s="187"/>
      <c r="Z961" s="186"/>
      <c r="AA961" s="187"/>
      <c r="AB961" s="187"/>
      <c r="AC961" s="187"/>
      <c r="AD961" s="186"/>
      <c r="AE961" s="186"/>
      <c r="AF961" s="67"/>
      <c r="AG961" s="67"/>
      <c r="AH961" s="67"/>
      <c r="AL961" s="186"/>
    </row>
    <row r="962">
      <c r="A962" s="185"/>
      <c r="B962" s="67"/>
      <c r="C962" s="67"/>
      <c r="D962" s="67"/>
      <c r="E962" s="186"/>
      <c r="F962" s="186"/>
      <c r="G962" s="186"/>
      <c r="H962" s="186"/>
      <c r="I962" s="186"/>
      <c r="J962" s="186"/>
      <c r="K962" s="186"/>
      <c r="L962" s="186"/>
      <c r="M962" s="186"/>
      <c r="N962" s="186"/>
      <c r="O962" s="186"/>
      <c r="P962" s="186"/>
      <c r="Q962" s="186"/>
      <c r="R962" s="186"/>
      <c r="S962" s="186"/>
      <c r="T962" s="186"/>
      <c r="U962" s="186"/>
      <c r="V962" s="67"/>
      <c r="W962" s="67"/>
      <c r="X962" s="67"/>
      <c r="Y962" s="187"/>
      <c r="Z962" s="186"/>
      <c r="AA962" s="187"/>
      <c r="AB962" s="187"/>
      <c r="AC962" s="187"/>
      <c r="AD962" s="186"/>
      <c r="AE962" s="186"/>
      <c r="AF962" s="67"/>
      <c r="AG962" s="67"/>
      <c r="AH962" s="67"/>
      <c r="AL962" s="186"/>
    </row>
    <row r="963">
      <c r="A963" s="185"/>
      <c r="B963" s="67"/>
      <c r="C963" s="67"/>
      <c r="D963" s="67"/>
      <c r="E963" s="186"/>
      <c r="F963" s="186"/>
      <c r="G963" s="186"/>
      <c r="H963" s="186"/>
      <c r="I963" s="186"/>
      <c r="J963" s="186"/>
      <c r="K963" s="186"/>
      <c r="L963" s="186"/>
      <c r="M963" s="186"/>
      <c r="N963" s="186"/>
      <c r="O963" s="186"/>
      <c r="P963" s="186"/>
      <c r="Q963" s="186"/>
      <c r="R963" s="186"/>
      <c r="S963" s="186"/>
      <c r="T963" s="186"/>
      <c r="U963" s="186"/>
      <c r="V963" s="67"/>
      <c r="W963" s="67"/>
      <c r="X963" s="67"/>
      <c r="Y963" s="187"/>
      <c r="Z963" s="186"/>
      <c r="AA963" s="187"/>
      <c r="AB963" s="187"/>
      <c r="AC963" s="187"/>
      <c r="AD963" s="186"/>
      <c r="AE963" s="186"/>
      <c r="AF963" s="67"/>
      <c r="AG963" s="67"/>
      <c r="AH963" s="67"/>
      <c r="AL963" s="186"/>
    </row>
    <row r="964">
      <c r="A964" s="185"/>
      <c r="B964" s="67"/>
      <c r="C964" s="67"/>
      <c r="D964" s="67"/>
      <c r="E964" s="186"/>
      <c r="F964" s="186"/>
      <c r="G964" s="186"/>
      <c r="H964" s="186"/>
      <c r="I964" s="186"/>
      <c r="J964" s="186"/>
      <c r="K964" s="186"/>
      <c r="L964" s="186"/>
      <c r="M964" s="186"/>
      <c r="N964" s="186"/>
      <c r="O964" s="186"/>
      <c r="P964" s="186"/>
      <c r="Q964" s="186"/>
      <c r="R964" s="186"/>
      <c r="S964" s="186"/>
      <c r="T964" s="186"/>
      <c r="U964" s="186"/>
      <c r="V964" s="67"/>
      <c r="W964" s="67"/>
      <c r="X964" s="67"/>
      <c r="Y964" s="187"/>
      <c r="Z964" s="186"/>
      <c r="AA964" s="187"/>
      <c r="AB964" s="187"/>
      <c r="AC964" s="187"/>
      <c r="AD964" s="186"/>
      <c r="AE964" s="186"/>
      <c r="AF964" s="67"/>
      <c r="AG964" s="67"/>
      <c r="AH964" s="67"/>
      <c r="AL964" s="186"/>
    </row>
    <row r="965">
      <c r="A965" s="185"/>
      <c r="B965" s="67"/>
      <c r="C965" s="67"/>
      <c r="D965" s="67"/>
      <c r="E965" s="186"/>
      <c r="F965" s="186"/>
      <c r="G965" s="186"/>
      <c r="H965" s="186"/>
      <c r="I965" s="186"/>
      <c r="J965" s="186"/>
      <c r="K965" s="186"/>
      <c r="L965" s="186"/>
      <c r="M965" s="186"/>
      <c r="N965" s="186"/>
      <c r="O965" s="186"/>
      <c r="P965" s="186"/>
      <c r="Q965" s="186"/>
      <c r="R965" s="186"/>
      <c r="S965" s="186"/>
      <c r="T965" s="186"/>
      <c r="U965" s="186"/>
      <c r="V965" s="67"/>
      <c r="W965" s="67"/>
      <c r="X965" s="67"/>
      <c r="Y965" s="187"/>
      <c r="Z965" s="186"/>
      <c r="AA965" s="187"/>
      <c r="AB965" s="187"/>
      <c r="AC965" s="187"/>
      <c r="AD965" s="186"/>
      <c r="AE965" s="186"/>
      <c r="AF965" s="67"/>
      <c r="AG965" s="67"/>
      <c r="AH965" s="67"/>
      <c r="AL965" s="186"/>
    </row>
    <row r="966">
      <c r="A966" s="185"/>
      <c r="B966" s="67"/>
      <c r="C966" s="67"/>
      <c r="D966" s="67"/>
      <c r="E966" s="186"/>
      <c r="F966" s="186"/>
      <c r="G966" s="186"/>
      <c r="H966" s="186"/>
      <c r="I966" s="186"/>
      <c r="J966" s="186"/>
      <c r="K966" s="186"/>
      <c r="L966" s="186"/>
      <c r="M966" s="186"/>
      <c r="N966" s="186"/>
      <c r="O966" s="186"/>
      <c r="P966" s="186"/>
      <c r="Q966" s="186"/>
      <c r="R966" s="186"/>
      <c r="S966" s="186"/>
      <c r="T966" s="186"/>
      <c r="U966" s="186"/>
      <c r="V966" s="67"/>
      <c r="W966" s="67"/>
      <c r="X966" s="67"/>
      <c r="Y966" s="187"/>
      <c r="Z966" s="186"/>
      <c r="AA966" s="187"/>
      <c r="AB966" s="187"/>
      <c r="AC966" s="187"/>
      <c r="AD966" s="186"/>
      <c r="AE966" s="186"/>
      <c r="AF966" s="67"/>
      <c r="AG966" s="67"/>
      <c r="AH966" s="67"/>
      <c r="AL966" s="186"/>
    </row>
    <row r="967">
      <c r="A967" s="185"/>
      <c r="B967" s="67"/>
      <c r="C967" s="67"/>
      <c r="D967" s="67"/>
      <c r="E967" s="186"/>
      <c r="F967" s="186"/>
      <c r="G967" s="186"/>
      <c r="H967" s="186"/>
      <c r="I967" s="186"/>
      <c r="J967" s="186"/>
      <c r="K967" s="186"/>
      <c r="L967" s="186"/>
      <c r="M967" s="186"/>
      <c r="N967" s="186"/>
      <c r="O967" s="186"/>
      <c r="P967" s="186"/>
      <c r="Q967" s="186"/>
      <c r="R967" s="186"/>
      <c r="S967" s="186"/>
      <c r="T967" s="186"/>
      <c r="U967" s="186"/>
      <c r="V967" s="67"/>
      <c r="W967" s="67"/>
      <c r="X967" s="67"/>
      <c r="Y967" s="187"/>
      <c r="Z967" s="186"/>
      <c r="AA967" s="187"/>
      <c r="AB967" s="187"/>
      <c r="AC967" s="187"/>
      <c r="AD967" s="186"/>
      <c r="AE967" s="186"/>
      <c r="AF967" s="67"/>
      <c r="AG967" s="67"/>
      <c r="AH967" s="67"/>
      <c r="AL967" s="186"/>
    </row>
    <row r="968">
      <c r="A968" s="185"/>
      <c r="B968" s="67"/>
      <c r="C968" s="67"/>
      <c r="D968" s="67"/>
      <c r="E968" s="186"/>
      <c r="F968" s="186"/>
      <c r="G968" s="186"/>
      <c r="H968" s="186"/>
      <c r="I968" s="186"/>
      <c r="J968" s="186"/>
      <c r="K968" s="186"/>
      <c r="L968" s="186"/>
      <c r="M968" s="186"/>
      <c r="N968" s="186"/>
      <c r="O968" s="186"/>
      <c r="P968" s="186"/>
      <c r="Q968" s="186"/>
      <c r="R968" s="186"/>
      <c r="S968" s="186"/>
      <c r="T968" s="186"/>
      <c r="U968" s="186"/>
      <c r="V968" s="67"/>
      <c r="W968" s="67"/>
      <c r="X968" s="67"/>
      <c r="Y968" s="187"/>
      <c r="Z968" s="186"/>
      <c r="AA968" s="187"/>
      <c r="AB968" s="187"/>
      <c r="AC968" s="187"/>
      <c r="AD968" s="186"/>
      <c r="AE968" s="186"/>
      <c r="AF968" s="67"/>
      <c r="AG968" s="67"/>
      <c r="AH968" s="67"/>
      <c r="AL968" s="186"/>
    </row>
    <row r="969">
      <c r="A969" s="185"/>
      <c r="B969" s="67"/>
      <c r="C969" s="67"/>
      <c r="D969" s="67"/>
      <c r="E969" s="186"/>
      <c r="F969" s="186"/>
      <c r="G969" s="186"/>
      <c r="H969" s="186"/>
      <c r="I969" s="186"/>
      <c r="J969" s="186"/>
      <c r="K969" s="186"/>
      <c r="L969" s="186"/>
      <c r="M969" s="186"/>
      <c r="N969" s="186"/>
      <c r="O969" s="186"/>
      <c r="P969" s="186"/>
      <c r="Q969" s="186"/>
      <c r="R969" s="186"/>
      <c r="S969" s="186"/>
      <c r="T969" s="186"/>
      <c r="U969" s="186"/>
      <c r="V969" s="67"/>
      <c r="W969" s="67"/>
      <c r="X969" s="67"/>
      <c r="Y969" s="187"/>
      <c r="Z969" s="186"/>
      <c r="AA969" s="187"/>
      <c r="AB969" s="187"/>
      <c r="AC969" s="187"/>
      <c r="AD969" s="186"/>
      <c r="AE969" s="186"/>
      <c r="AF969" s="67"/>
      <c r="AG969" s="67"/>
      <c r="AH969" s="67"/>
      <c r="AL969" s="186"/>
    </row>
    <row r="970">
      <c r="A970" s="185"/>
      <c r="B970" s="67"/>
      <c r="C970" s="67"/>
      <c r="D970" s="67"/>
      <c r="E970" s="186"/>
      <c r="F970" s="186"/>
      <c r="G970" s="186"/>
      <c r="H970" s="186"/>
      <c r="I970" s="186"/>
      <c r="J970" s="186"/>
      <c r="K970" s="186"/>
      <c r="L970" s="186"/>
      <c r="M970" s="186"/>
      <c r="N970" s="186"/>
      <c r="O970" s="186"/>
      <c r="P970" s="186"/>
      <c r="Q970" s="186"/>
      <c r="R970" s="186"/>
      <c r="S970" s="186"/>
      <c r="T970" s="186"/>
      <c r="U970" s="186"/>
      <c r="V970" s="67"/>
      <c r="W970" s="67"/>
      <c r="X970" s="67"/>
      <c r="Y970" s="187"/>
      <c r="Z970" s="186"/>
      <c r="AA970" s="187"/>
      <c r="AB970" s="187"/>
      <c r="AC970" s="187"/>
      <c r="AD970" s="186"/>
      <c r="AE970" s="186"/>
      <c r="AF970" s="67"/>
      <c r="AG970" s="67"/>
      <c r="AH970" s="67"/>
      <c r="AL970" s="186"/>
    </row>
    <row r="971">
      <c r="A971" s="185"/>
      <c r="B971" s="67"/>
      <c r="C971" s="67"/>
      <c r="D971" s="67"/>
      <c r="E971" s="186"/>
      <c r="F971" s="186"/>
      <c r="G971" s="186"/>
      <c r="H971" s="186"/>
      <c r="I971" s="186"/>
      <c r="J971" s="186"/>
      <c r="K971" s="186"/>
      <c r="L971" s="186"/>
      <c r="M971" s="186"/>
      <c r="N971" s="186"/>
      <c r="O971" s="186"/>
      <c r="P971" s="186"/>
      <c r="Q971" s="186"/>
      <c r="R971" s="186"/>
      <c r="S971" s="186"/>
      <c r="T971" s="186"/>
      <c r="U971" s="186"/>
      <c r="V971" s="67"/>
      <c r="W971" s="67"/>
      <c r="X971" s="67"/>
      <c r="Y971" s="187"/>
      <c r="Z971" s="186"/>
      <c r="AA971" s="187"/>
      <c r="AB971" s="187"/>
      <c r="AC971" s="187"/>
      <c r="AD971" s="186"/>
      <c r="AE971" s="186"/>
      <c r="AF971" s="67"/>
      <c r="AG971" s="67"/>
      <c r="AH971" s="67"/>
      <c r="AL971" s="186"/>
    </row>
    <row r="972">
      <c r="A972" s="185"/>
      <c r="B972" s="67"/>
      <c r="C972" s="67"/>
      <c r="D972" s="67"/>
      <c r="E972" s="186"/>
      <c r="F972" s="186"/>
      <c r="G972" s="186"/>
      <c r="H972" s="186"/>
      <c r="I972" s="186"/>
      <c r="J972" s="186"/>
      <c r="K972" s="186"/>
      <c r="L972" s="186"/>
      <c r="M972" s="186"/>
      <c r="N972" s="186"/>
      <c r="O972" s="186"/>
      <c r="P972" s="186"/>
      <c r="Q972" s="186"/>
      <c r="R972" s="186"/>
      <c r="S972" s="186"/>
      <c r="T972" s="186"/>
      <c r="U972" s="186"/>
      <c r="V972" s="67"/>
      <c r="W972" s="67"/>
      <c r="X972" s="67"/>
      <c r="Y972" s="187"/>
      <c r="Z972" s="186"/>
      <c r="AA972" s="187"/>
      <c r="AB972" s="187"/>
      <c r="AC972" s="187"/>
      <c r="AD972" s="186"/>
      <c r="AE972" s="186"/>
      <c r="AF972" s="67"/>
      <c r="AG972" s="67"/>
      <c r="AH972" s="67"/>
      <c r="AL972" s="186"/>
    </row>
    <row r="973">
      <c r="A973" s="185"/>
      <c r="B973" s="67"/>
      <c r="C973" s="67"/>
      <c r="D973" s="67"/>
      <c r="E973" s="186"/>
      <c r="F973" s="186"/>
      <c r="G973" s="186"/>
      <c r="H973" s="186"/>
      <c r="I973" s="186"/>
      <c r="J973" s="186"/>
      <c r="K973" s="186"/>
      <c r="L973" s="186"/>
      <c r="M973" s="186"/>
      <c r="N973" s="186"/>
      <c r="O973" s="186"/>
      <c r="P973" s="186"/>
      <c r="Q973" s="186"/>
      <c r="R973" s="186"/>
      <c r="S973" s="186"/>
      <c r="T973" s="186"/>
      <c r="U973" s="186"/>
      <c r="V973" s="67"/>
      <c r="W973" s="67"/>
      <c r="X973" s="67"/>
      <c r="Y973" s="187"/>
      <c r="Z973" s="186"/>
      <c r="AA973" s="187"/>
      <c r="AB973" s="187"/>
      <c r="AC973" s="187"/>
      <c r="AD973" s="186"/>
      <c r="AE973" s="186"/>
      <c r="AF973" s="67"/>
      <c r="AG973" s="67"/>
      <c r="AH973" s="67"/>
      <c r="AL973" s="186"/>
    </row>
    <row r="974">
      <c r="A974" s="185"/>
      <c r="B974" s="67"/>
      <c r="C974" s="67"/>
      <c r="D974" s="67"/>
      <c r="E974" s="186"/>
      <c r="F974" s="186"/>
      <c r="G974" s="186"/>
      <c r="H974" s="186"/>
      <c r="I974" s="186"/>
      <c r="J974" s="186"/>
      <c r="K974" s="186"/>
      <c r="L974" s="186"/>
      <c r="M974" s="186"/>
      <c r="N974" s="186"/>
      <c r="O974" s="186"/>
      <c r="P974" s="186"/>
      <c r="Q974" s="186"/>
      <c r="R974" s="186"/>
      <c r="S974" s="186"/>
      <c r="T974" s="186"/>
      <c r="U974" s="186"/>
      <c r="V974" s="67"/>
      <c r="W974" s="67"/>
      <c r="X974" s="67"/>
      <c r="Y974" s="187"/>
      <c r="Z974" s="186"/>
      <c r="AA974" s="187"/>
      <c r="AB974" s="187"/>
      <c r="AC974" s="187"/>
      <c r="AD974" s="186"/>
      <c r="AE974" s="186"/>
      <c r="AF974" s="67"/>
      <c r="AG974" s="67"/>
      <c r="AH974" s="67"/>
      <c r="AL974" s="186"/>
    </row>
    <row r="975">
      <c r="A975" s="185"/>
      <c r="B975" s="67"/>
      <c r="C975" s="67"/>
      <c r="D975" s="67"/>
      <c r="E975" s="186"/>
      <c r="F975" s="186"/>
      <c r="G975" s="186"/>
      <c r="H975" s="186"/>
      <c r="I975" s="186"/>
      <c r="J975" s="186"/>
      <c r="K975" s="186"/>
      <c r="L975" s="186"/>
      <c r="M975" s="186"/>
      <c r="N975" s="186"/>
      <c r="O975" s="186"/>
      <c r="P975" s="186"/>
      <c r="Q975" s="186"/>
      <c r="R975" s="186"/>
      <c r="S975" s="186"/>
      <c r="T975" s="186"/>
      <c r="U975" s="186"/>
      <c r="V975" s="67"/>
      <c r="W975" s="67"/>
      <c r="X975" s="67"/>
      <c r="Y975" s="187"/>
      <c r="Z975" s="186"/>
      <c r="AA975" s="187"/>
      <c r="AB975" s="187"/>
      <c r="AC975" s="187"/>
      <c r="AD975" s="186"/>
      <c r="AE975" s="186"/>
      <c r="AF975" s="67"/>
      <c r="AG975" s="67"/>
      <c r="AH975" s="67"/>
      <c r="AL975" s="186"/>
    </row>
    <row r="976">
      <c r="A976" s="185"/>
      <c r="B976" s="67"/>
      <c r="C976" s="67"/>
      <c r="D976" s="67"/>
      <c r="E976" s="186"/>
      <c r="F976" s="186"/>
      <c r="G976" s="186"/>
      <c r="H976" s="186"/>
      <c r="I976" s="186"/>
      <c r="J976" s="186"/>
      <c r="K976" s="186"/>
      <c r="L976" s="186"/>
      <c r="M976" s="186"/>
      <c r="N976" s="186"/>
      <c r="O976" s="186"/>
      <c r="P976" s="186"/>
      <c r="Q976" s="186"/>
      <c r="R976" s="186"/>
      <c r="S976" s="186"/>
      <c r="T976" s="186"/>
      <c r="U976" s="186"/>
      <c r="V976" s="67"/>
      <c r="W976" s="67"/>
      <c r="X976" s="67"/>
      <c r="Y976" s="187"/>
      <c r="Z976" s="186"/>
      <c r="AA976" s="187"/>
      <c r="AB976" s="187"/>
      <c r="AC976" s="187"/>
      <c r="AD976" s="186"/>
      <c r="AE976" s="186"/>
      <c r="AF976" s="67"/>
      <c r="AG976" s="67"/>
      <c r="AH976" s="67"/>
      <c r="AL976" s="186"/>
    </row>
    <row r="977">
      <c r="A977" s="185"/>
      <c r="B977" s="67"/>
      <c r="C977" s="67"/>
      <c r="D977" s="67"/>
      <c r="E977" s="186"/>
      <c r="F977" s="186"/>
      <c r="G977" s="186"/>
      <c r="H977" s="186"/>
      <c r="I977" s="186"/>
      <c r="J977" s="186"/>
      <c r="K977" s="186"/>
      <c r="L977" s="186"/>
      <c r="M977" s="186"/>
      <c r="N977" s="186"/>
      <c r="O977" s="186"/>
      <c r="P977" s="186"/>
      <c r="Q977" s="186"/>
      <c r="R977" s="186"/>
      <c r="S977" s="186"/>
      <c r="T977" s="186"/>
      <c r="U977" s="186"/>
      <c r="V977" s="67"/>
      <c r="W977" s="67"/>
      <c r="X977" s="67"/>
      <c r="Y977" s="187"/>
      <c r="Z977" s="186"/>
      <c r="AA977" s="187"/>
      <c r="AB977" s="187"/>
      <c r="AC977" s="187"/>
      <c r="AD977" s="186"/>
      <c r="AE977" s="186"/>
      <c r="AF977" s="67"/>
      <c r="AG977" s="67"/>
      <c r="AH977" s="67"/>
      <c r="AL977" s="186"/>
    </row>
    <row r="978">
      <c r="A978" s="185"/>
      <c r="B978" s="67"/>
      <c r="C978" s="67"/>
      <c r="D978" s="67"/>
      <c r="E978" s="186"/>
      <c r="F978" s="186"/>
      <c r="G978" s="186"/>
      <c r="H978" s="186"/>
      <c r="I978" s="186"/>
      <c r="J978" s="186"/>
      <c r="K978" s="186"/>
      <c r="L978" s="186"/>
      <c r="M978" s="186"/>
      <c r="N978" s="186"/>
      <c r="O978" s="186"/>
      <c r="P978" s="186"/>
      <c r="Q978" s="186"/>
      <c r="R978" s="186"/>
      <c r="S978" s="186"/>
      <c r="T978" s="186"/>
      <c r="U978" s="186"/>
      <c r="V978" s="67"/>
      <c r="W978" s="67"/>
      <c r="X978" s="67"/>
      <c r="Y978" s="187"/>
      <c r="Z978" s="186"/>
      <c r="AA978" s="187"/>
      <c r="AB978" s="187"/>
      <c r="AC978" s="187"/>
      <c r="AD978" s="186"/>
      <c r="AE978" s="186"/>
      <c r="AF978" s="67"/>
      <c r="AG978" s="67"/>
      <c r="AH978" s="67"/>
      <c r="AL978" s="186"/>
    </row>
    <row r="979">
      <c r="A979" s="185"/>
      <c r="B979" s="67"/>
      <c r="C979" s="67"/>
      <c r="D979" s="67"/>
      <c r="E979" s="186"/>
      <c r="F979" s="186"/>
      <c r="G979" s="186"/>
      <c r="H979" s="186"/>
      <c r="I979" s="186"/>
      <c r="J979" s="186"/>
      <c r="K979" s="186"/>
      <c r="L979" s="186"/>
      <c r="M979" s="186"/>
      <c r="N979" s="186"/>
      <c r="O979" s="186"/>
      <c r="P979" s="186"/>
      <c r="Q979" s="186"/>
      <c r="R979" s="186"/>
      <c r="S979" s="186"/>
      <c r="T979" s="186"/>
      <c r="U979" s="186"/>
      <c r="V979" s="67"/>
      <c r="W979" s="67"/>
      <c r="X979" s="67"/>
      <c r="Y979" s="187"/>
      <c r="Z979" s="186"/>
      <c r="AA979" s="187"/>
      <c r="AB979" s="187"/>
      <c r="AC979" s="187"/>
      <c r="AD979" s="186"/>
      <c r="AE979" s="186"/>
      <c r="AF979" s="67"/>
      <c r="AG979" s="67"/>
      <c r="AH979" s="67"/>
      <c r="AL979" s="186"/>
    </row>
    <row r="980">
      <c r="A980" s="185"/>
      <c r="B980" s="67"/>
      <c r="C980" s="67"/>
      <c r="D980" s="67"/>
      <c r="E980" s="186"/>
      <c r="F980" s="186"/>
      <c r="G980" s="186"/>
      <c r="H980" s="186"/>
      <c r="I980" s="186"/>
      <c r="J980" s="186"/>
      <c r="K980" s="186"/>
      <c r="L980" s="186"/>
      <c r="M980" s="186"/>
      <c r="N980" s="186"/>
      <c r="O980" s="186"/>
      <c r="P980" s="186"/>
      <c r="Q980" s="186"/>
      <c r="R980" s="186"/>
      <c r="S980" s="186"/>
      <c r="T980" s="186"/>
      <c r="U980" s="186"/>
      <c r="V980" s="67"/>
      <c r="W980" s="67"/>
      <c r="X980" s="67"/>
      <c r="Y980" s="187"/>
      <c r="Z980" s="186"/>
      <c r="AA980" s="187"/>
      <c r="AB980" s="187"/>
      <c r="AC980" s="187"/>
      <c r="AD980" s="186"/>
      <c r="AE980" s="186"/>
      <c r="AF980" s="67"/>
      <c r="AG980" s="67"/>
      <c r="AH980" s="67"/>
      <c r="AL980" s="186"/>
    </row>
    <row r="981">
      <c r="A981" s="185"/>
      <c r="B981" s="67"/>
      <c r="C981" s="67"/>
      <c r="D981" s="67"/>
      <c r="E981" s="186"/>
      <c r="F981" s="186"/>
      <c r="G981" s="186"/>
      <c r="H981" s="186"/>
      <c r="I981" s="186"/>
      <c r="J981" s="186"/>
      <c r="K981" s="186"/>
      <c r="L981" s="186"/>
      <c r="M981" s="186"/>
      <c r="N981" s="186"/>
      <c r="O981" s="186"/>
      <c r="P981" s="186"/>
      <c r="Q981" s="186"/>
      <c r="R981" s="186"/>
      <c r="S981" s="186"/>
      <c r="T981" s="186"/>
      <c r="U981" s="186"/>
      <c r="V981" s="67"/>
      <c r="W981" s="67"/>
      <c r="X981" s="67"/>
      <c r="Y981" s="187"/>
      <c r="Z981" s="186"/>
      <c r="AA981" s="187"/>
      <c r="AB981" s="187"/>
      <c r="AC981" s="187"/>
      <c r="AD981" s="186"/>
      <c r="AE981" s="186"/>
      <c r="AF981" s="67"/>
      <c r="AG981" s="67"/>
      <c r="AH981" s="67"/>
      <c r="AL981" s="186"/>
    </row>
    <row r="982">
      <c r="A982" s="185"/>
      <c r="B982" s="67"/>
      <c r="C982" s="67"/>
      <c r="D982" s="67"/>
      <c r="E982" s="186"/>
      <c r="F982" s="186"/>
      <c r="G982" s="186"/>
      <c r="H982" s="186"/>
      <c r="I982" s="186"/>
      <c r="J982" s="186"/>
      <c r="K982" s="186"/>
      <c r="L982" s="186"/>
      <c r="M982" s="186"/>
      <c r="N982" s="186"/>
      <c r="O982" s="186"/>
      <c r="P982" s="186"/>
      <c r="Q982" s="186"/>
      <c r="R982" s="186"/>
      <c r="S982" s="186"/>
      <c r="T982" s="186"/>
      <c r="U982" s="186"/>
      <c r="V982" s="67"/>
      <c r="W982" s="67"/>
      <c r="X982" s="67"/>
      <c r="Y982" s="187"/>
      <c r="Z982" s="186"/>
      <c r="AA982" s="187"/>
      <c r="AB982" s="187"/>
      <c r="AC982" s="187"/>
      <c r="AD982" s="186"/>
      <c r="AE982" s="186"/>
      <c r="AF982" s="67"/>
      <c r="AG982" s="67"/>
      <c r="AH982" s="67"/>
      <c r="AL982" s="186"/>
    </row>
    <row r="983">
      <c r="A983" s="185"/>
      <c r="B983" s="67"/>
      <c r="C983" s="67"/>
      <c r="D983" s="67"/>
      <c r="E983" s="186"/>
      <c r="F983" s="186"/>
      <c r="G983" s="186"/>
      <c r="H983" s="186"/>
      <c r="I983" s="186"/>
      <c r="J983" s="186"/>
      <c r="K983" s="186"/>
      <c r="L983" s="186"/>
      <c r="M983" s="186"/>
      <c r="N983" s="186"/>
      <c r="O983" s="186"/>
      <c r="P983" s="186"/>
      <c r="Q983" s="186"/>
      <c r="R983" s="186"/>
      <c r="S983" s="186"/>
      <c r="T983" s="186"/>
      <c r="U983" s="186"/>
      <c r="V983" s="67"/>
      <c r="W983" s="67"/>
      <c r="X983" s="67"/>
      <c r="Y983" s="187"/>
      <c r="Z983" s="186"/>
      <c r="AA983" s="187"/>
      <c r="AB983" s="187"/>
      <c r="AC983" s="187"/>
      <c r="AD983" s="186"/>
      <c r="AE983" s="186"/>
      <c r="AF983" s="67"/>
      <c r="AG983" s="67"/>
      <c r="AH983" s="67"/>
      <c r="AL983" s="186"/>
    </row>
    <row r="984">
      <c r="A984" s="185"/>
      <c r="B984" s="67"/>
      <c r="C984" s="67"/>
      <c r="D984" s="67"/>
      <c r="E984" s="186"/>
      <c r="F984" s="186"/>
      <c r="G984" s="186"/>
      <c r="H984" s="186"/>
      <c r="I984" s="186"/>
      <c r="J984" s="186"/>
      <c r="K984" s="186"/>
      <c r="L984" s="186"/>
      <c r="M984" s="186"/>
      <c r="N984" s="186"/>
      <c r="O984" s="186"/>
      <c r="P984" s="186"/>
      <c r="Q984" s="186"/>
      <c r="R984" s="186"/>
      <c r="S984" s="186"/>
      <c r="T984" s="186"/>
      <c r="U984" s="186"/>
      <c r="V984" s="67"/>
      <c r="W984" s="67"/>
      <c r="X984" s="67"/>
      <c r="Y984" s="187"/>
      <c r="Z984" s="186"/>
      <c r="AA984" s="187"/>
      <c r="AB984" s="187"/>
      <c r="AC984" s="187"/>
      <c r="AD984" s="186"/>
      <c r="AE984" s="186"/>
      <c r="AF984" s="67"/>
      <c r="AG984" s="67"/>
      <c r="AH984" s="67"/>
      <c r="AL984" s="186"/>
    </row>
    <row r="985">
      <c r="A985" s="185"/>
      <c r="B985" s="67"/>
      <c r="C985" s="67"/>
      <c r="D985" s="67"/>
      <c r="E985" s="186"/>
      <c r="F985" s="186"/>
      <c r="G985" s="186"/>
      <c r="H985" s="186"/>
      <c r="I985" s="186"/>
      <c r="J985" s="186"/>
      <c r="K985" s="186"/>
      <c r="L985" s="186"/>
      <c r="M985" s="186"/>
      <c r="N985" s="186"/>
      <c r="O985" s="186"/>
      <c r="P985" s="186"/>
      <c r="Q985" s="186"/>
      <c r="R985" s="186"/>
      <c r="S985" s="186"/>
      <c r="T985" s="186"/>
      <c r="U985" s="186"/>
      <c r="V985" s="67"/>
      <c r="W985" s="67"/>
      <c r="X985" s="67"/>
      <c r="Y985" s="187"/>
      <c r="Z985" s="186"/>
      <c r="AA985" s="187"/>
      <c r="AB985" s="187"/>
      <c r="AC985" s="187"/>
      <c r="AD985" s="186"/>
      <c r="AE985" s="186"/>
      <c r="AF985" s="67"/>
      <c r="AG985" s="67"/>
      <c r="AH985" s="67"/>
      <c r="AL985" s="186"/>
    </row>
    <row r="986">
      <c r="A986" s="185"/>
      <c r="B986" s="67"/>
      <c r="C986" s="67"/>
      <c r="D986" s="67"/>
      <c r="E986" s="186"/>
      <c r="F986" s="186"/>
      <c r="G986" s="186"/>
      <c r="H986" s="186"/>
      <c r="I986" s="186"/>
      <c r="J986" s="186"/>
      <c r="K986" s="186"/>
      <c r="L986" s="186"/>
      <c r="M986" s="186"/>
      <c r="N986" s="186"/>
      <c r="O986" s="186"/>
      <c r="P986" s="186"/>
      <c r="Q986" s="186"/>
      <c r="R986" s="186"/>
      <c r="S986" s="186"/>
      <c r="T986" s="186"/>
      <c r="U986" s="186"/>
      <c r="V986" s="67"/>
      <c r="W986" s="67"/>
      <c r="X986" s="67"/>
      <c r="Y986" s="187"/>
      <c r="Z986" s="186"/>
      <c r="AA986" s="187"/>
      <c r="AB986" s="187"/>
      <c r="AC986" s="187"/>
      <c r="AD986" s="186"/>
      <c r="AE986" s="186"/>
      <c r="AF986" s="67"/>
      <c r="AG986" s="67"/>
      <c r="AH986" s="67"/>
      <c r="AL986" s="186"/>
    </row>
    <row r="987">
      <c r="A987" s="185"/>
      <c r="B987" s="67"/>
      <c r="C987" s="67"/>
      <c r="D987" s="67"/>
      <c r="E987" s="186"/>
      <c r="F987" s="186"/>
      <c r="G987" s="186"/>
      <c r="H987" s="186"/>
      <c r="I987" s="186"/>
      <c r="J987" s="186"/>
      <c r="K987" s="186"/>
      <c r="L987" s="186"/>
      <c r="M987" s="186"/>
      <c r="N987" s="186"/>
      <c r="O987" s="186"/>
      <c r="P987" s="186"/>
      <c r="Q987" s="186"/>
      <c r="R987" s="186"/>
      <c r="S987" s="186"/>
      <c r="T987" s="186"/>
      <c r="U987" s="186"/>
      <c r="V987" s="67"/>
      <c r="W987" s="67"/>
      <c r="X987" s="67"/>
      <c r="Y987" s="187"/>
      <c r="Z987" s="186"/>
      <c r="AA987" s="187"/>
      <c r="AB987" s="187"/>
      <c r="AC987" s="187"/>
      <c r="AD987" s="186"/>
      <c r="AE987" s="186"/>
      <c r="AF987" s="67"/>
      <c r="AG987" s="67"/>
      <c r="AH987" s="67"/>
      <c r="AL987" s="186"/>
    </row>
    <row r="988">
      <c r="A988" s="185"/>
      <c r="B988" s="67"/>
      <c r="C988" s="67"/>
      <c r="D988" s="67"/>
      <c r="E988" s="186"/>
      <c r="F988" s="186"/>
      <c r="G988" s="186"/>
      <c r="H988" s="186"/>
      <c r="I988" s="186"/>
      <c r="J988" s="186"/>
      <c r="K988" s="186"/>
      <c r="L988" s="186"/>
      <c r="M988" s="186"/>
      <c r="N988" s="186"/>
      <c r="O988" s="186"/>
      <c r="P988" s="186"/>
      <c r="Q988" s="186"/>
      <c r="R988" s="186"/>
      <c r="S988" s="186"/>
      <c r="T988" s="186"/>
      <c r="U988" s="186"/>
      <c r="V988" s="67"/>
      <c r="W988" s="67"/>
      <c r="X988" s="67"/>
      <c r="Y988" s="187"/>
      <c r="Z988" s="186"/>
      <c r="AA988" s="187"/>
      <c r="AB988" s="187"/>
      <c r="AC988" s="187"/>
      <c r="AD988" s="186"/>
      <c r="AE988" s="186"/>
      <c r="AF988" s="67"/>
      <c r="AG988" s="67"/>
      <c r="AH988" s="67"/>
      <c r="AL988" s="186"/>
    </row>
    <row r="989">
      <c r="A989" s="185"/>
      <c r="B989" s="67"/>
      <c r="C989" s="67"/>
      <c r="D989" s="67"/>
      <c r="E989" s="186"/>
      <c r="F989" s="186"/>
      <c r="G989" s="186"/>
      <c r="H989" s="186"/>
      <c r="I989" s="186"/>
      <c r="J989" s="186"/>
      <c r="K989" s="186"/>
      <c r="L989" s="186"/>
      <c r="M989" s="186"/>
      <c r="N989" s="186"/>
      <c r="O989" s="186"/>
      <c r="P989" s="186"/>
      <c r="Q989" s="186"/>
      <c r="R989" s="186"/>
      <c r="S989" s="186"/>
      <c r="T989" s="186"/>
      <c r="U989" s="186"/>
      <c r="V989" s="67"/>
      <c r="W989" s="67"/>
      <c r="X989" s="67"/>
      <c r="Y989" s="187"/>
      <c r="Z989" s="186"/>
      <c r="AA989" s="187"/>
      <c r="AB989" s="187"/>
      <c r="AC989" s="187"/>
      <c r="AD989" s="186"/>
      <c r="AE989" s="186"/>
      <c r="AF989" s="67"/>
      <c r="AG989" s="67"/>
      <c r="AH989" s="67"/>
      <c r="AL989" s="186"/>
    </row>
    <row r="990">
      <c r="A990" s="185"/>
      <c r="B990" s="67"/>
      <c r="C990" s="67"/>
      <c r="D990" s="67"/>
      <c r="E990" s="186"/>
      <c r="F990" s="186"/>
      <c r="G990" s="186"/>
      <c r="H990" s="186"/>
      <c r="I990" s="186"/>
      <c r="J990" s="186"/>
      <c r="K990" s="186"/>
      <c r="L990" s="186"/>
      <c r="M990" s="186"/>
      <c r="N990" s="186"/>
      <c r="O990" s="186"/>
      <c r="P990" s="186"/>
      <c r="Q990" s="186"/>
      <c r="R990" s="186"/>
      <c r="S990" s="186"/>
      <c r="T990" s="186"/>
      <c r="U990" s="186"/>
      <c r="V990" s="67"/>
      <c r="W990" s="67"/>
      <c r="X990" s="67"/>
      <c r="Y990" s="187"/>
      <c r="Z990" s="186"/>
      <c r="AA990" s="187"/>
      <c r="AB990" s="187"/>
      <c r="AC990" s="187"/>
      <c r="AD990" s="186"/>
      <c r="AE990" s="186"/>
      <c r="AF990" s="67"/>
      <c r="AG990" s="67"/>
      <c r="AH990" s="67"/>
      <c r="AL990" s="186"/>
    </row>
    <row r="991">
      <c r="A991" s="185"/>
      <c r="B991" s="67"/>
      <c r="C991" s="67"/>
      <c r="D991" s="67"/>
      <c r="E991" s="186"/>
      <c r="F991" s="186"/>
      <c r="G991" s="186"/>
      <c r="H991" s="186"/>
      <c r="I991" s="186"/>
      <c r="J991" s="186"/>
      <c r="K991" s="186"/>
      <c r="L991" s="186"/>
      <c r="M991" s="186"/>
      <c r="N991" s="186"/>
      <c r="O991" s="186"/>
      <c r="P991" s="186"/>
      <c r="Q991" s="186"/>
      <c r="R991" s="186"/>
      <c r="S991" s="186"/>
      <c r="T991" s="186"/>
      <c r="U991" s="186"/>
      <c r="V991" s="67"/>
      <c r="W991" s="67"/>
      <c r="X991" s="67"/>
      <c r="Y991" s="187"/>
      <c r="Z991" s="186"/>
      <c r="AA991" s="187"/>
      <c r="AB991" s="187"/>
      <c r="AC991" s="187"/>
      <c r="AD991" s="186"/>
      <c r="AE991" s="186"/>
      <c r="AF991" s="67"/>
      <c r="AG991" s="67"/>
      <c r="AH991" s="67"/>
      <c r="AL991" s="186"/>
    </row>
    <row r="992">
      <c r="A992" s="185"/>
      <c r="B992" s="67"/>
      <c r="C992" s="67"/>
      <c r="D992" s="67"/>
      <c r="E992" s="186"/>
      <c r="F992" s="186"/>
      <c r="G992" s="186"/>
      <c r="H992" s="186"/>
      <c r="I992" s="186"/>
      <c r="J992" s="186"/>
      <c r="K992" s="186"/>
      <c r="L992" s="186"/>
      <c r="M992" s="186"/>
      <c r="N992" s="186"/>
      <c r="O992" s="186"/>
      <c r="P992" s="186"/>
      <c r="Q992" s="186"/>
      <c r="R992" s="186"/>
      <c r="S992" s="186"/>
      <c r="T992" s="186"/>
      <c r="U992" s="186"/>
      <c r="V992" s="67"/>
      <c r="W992" s="67"/>
      <c r="X992" s="67"/>
      <c r="Y992" s="187"/>
      <c r="Z992" s="186"/>
      <c r="AA992" s="187"/>
      <c r="AB992" s="187"/>
      <c r="AC992" s="187"/>
      <c r="AD992" s="186"/>
      <c r="AE992" s="186"/>
      <c r="AF992" s="67"/>
      <c r="AG992" s="67"/>
      <c r="AH992" s="67"/>
      <c r="AL992" s="186"/>
    </row>
    <row r="993">
      <c r="A993" s="185"/>
      <c r="B993" s="67"/>
      <c r="C993" s="67"/>
      <c r="D993" s="67"/>
      <c r="E993" s="186"/>
      <c r="F993" s="186"/>
      <c r="G993" s="186"/>
      <c r="H993" s="186"/>
      <c r="I993" s="186"/>
      <c r="J993" s="186"/>
      <c r="K993" s="186"/>
      <c r="L993" s="186"/>
      <c r="M993" s="186"/>
      <c r="N993" s="186"/>
      <c r="O993" s="186"/>
      <c r="P993" s="186"/>
      <c r="Q993" s="186"/>
      <c r="R993" s="186"/>
      <c r="S993" s="186"/>
      <c r="T993" s="186"/>
      <c r="U993" s="186"/>
      <c r="V993" s="67"/>
      <c r="W993" s="67"/>
      <c r="X993" s="67"/>
      <c r="Y993" s="187"/>
      <c r="Z993" s="186"/>
      <c r="AA993" s="187"/>
      <c r="AB993" s="187"/>
      <c r="AC993" s="187"/>
      <c r="AD993" s="186"/>
      <c r="AE993" s="186"/>
      <c r="AF993" s="67"/>
      <c r="AG993" s="67"/>
      <c r="AH993" s="67"/>
      <c r="AL993" s="186"/>
    </row>
    <row r="994">
      <c r="A994" s="185"/>
      <c r="B994" s="67"/>
      <c r="C994" s="67"/>
      <c r="D994" s="67"/>
      <c r="E994" s="186"/>
      <c r="F994" s="186"/>
      <c r="G994" s="186"/>
      <c r="H994" s="186"/>
      <c r="I994" s="186"/>
      <c r="J994" s="186"/>
      <c r="K994" s="186"/>
      <c r="L994" s="186"/>
      <c r="M994" s="186"/>
      <c r="N994" s="186"/>
      <c r="O994" s="186"/>
      <c r="P994" s="186"/>
      <c r="Q994" s="186"/>
      <c r="R994" s="186"/>
      <c r="S994" s="186"/>
      <c r="T994" s="186"/>
      <c r="U994" s="186"/>
      <c r="V994" s="67"/>
      <c r="W994" s="67"/>
      <c r="X994" s="67"/>
      <c r="Y994" s="187"/>
      <c r="Z994" s="186"/>
      <c r="AA994" s="187"/>
      <c r="AB994" s="187"/>
      <c r="AC994" s="187"/>
      <c r="AD994" s="186"/>
      <c r="AE994" s="186"/>
      <c r="AF994" s="67"/>
      <c r="AG994" s="67"/>
      <c r="AH994" s="67"/>
      <c r="AL994" s="186"/>
    </row>
    <row r="995">
      <c r="A995" s="185"/>
      <c r="B995" s="67"/>
      <c r="C995" s="67"/>
      <c r="D995" s="67"/>
      <c r="E995" s="186"/>
      <c r="F995" s="186"/>
      <c r="G995" s="186"/>
      <c r="H995" s="186"/>
      <c r="I995" s="186"/>
      <c r="J995" s="186"/>
      <c r="K995" s="186"/>
      <c r="L995" s="186"/>
      <c r="M995" s="186"/>
      <c r="N995" s="186"/>
      <c r="O995" s="186"/>
      <c r="P995" s="186"/>
      <c r="Q995" s="186"/>
      <c r="R995" s="186"/>
      <c r="S995" s="186"/>
      <c r="T995" s="186"/>
      <c r="U995" s="186"/>
      <c r="V995" s="67"/>
      <c r="W995" s="67"/>
      <c r="X995" s="67"/>
      <c r="Y995" s="187"/>
      <c r="Z995" s="186"/>
      <c r="AA995" s="187"/>
      <c r="AB995" s="187"/>
      <c r="AC995" s="187"/>
      <c r="AD995" s="186"/>
      <c r="AE995" s="186"/>
      <c r="AF995" s="67"/>
      <c r="AG995" s="67"/>
      <c r="AH995" s="67"/>
      <c r="AL995" s="186"/>
    </row>
    <row r="996">
      <c r="A996" s="185"/>
      <c r="B996" s="67"/>
      <c r="C996" s="67"/>
      <c r="D996" s="67"/>
      <c r="E996" s="186"/>
      <c r="F996" s="186"/>
      <c r="G996" s="186"/>
      <c r="H996" s="186"/>
      <c r="I996" s="186"/>
      <c r="J996" s="186"/>
      <c r="K996" s="186"/>
      <c r="L996" s="186"/>
      <c r="M996" s="186"/>
      <c r="N996" s="186"/>
      <c r="O996" s="186"/>
      <c r="P996" s="186"/>
      <c r="Q996" s="186"/>
      <c r="R996" s="186"/>
      <c r="S996" s="186"/>
      <c r="T996" s="186"/>
      <c r="U996" s="186"/>
      <c r="V996" s="67"/>
      <c r="W996" s="67"/>
      <c r="X996" s="67"/>
      <c r="Y996" s="187"/>
      <c r="Z996" s="186"/>
      <c r="AA996" s="187"/>
      <c r="AB996" s="187"/>
      <c r="AC996" s="187"/>
      <c r="AD996" s="186"/>
      <c r="AE996" s="186"/>
      <c r="AF996" s="67"/>
      <c r="AG996" s="67"/>
      <c r="AH996" s="67"/>
      <c r="AL996" s="186"/>
    </row>
    <row r="997">
      <c r="A997" s="185"/>
      <c r="B997" s="67"/>
      <c r="C997" s="67"/>
      <c r="D997" s="67"/>
      <c r="E997" s="186"/>
      <c r="F997" s="186"/>
      <c r="G997" s="186"/>
      <c r="H997" s="186"/>
      <c r="I997" s="186"/>
      <c r="J997" s="186"/>
      <c r="K997" s="186"/>
      <c r="L997" s="186"/>
      <c r="M997" s="186"/>
      <c r="N997" s="186"/>
      <c r="O997" s="186"/>
      <c r="P997" s="186"/>
      <c r="Q997" s="186"/>
      <c r="R997" s="186"/>
      <c r="S997" s="186"/>
      <c r="T997" s="186"/>
      <c r="U997" s="186"/>
      <c r="V997" s="67"/>
      <c r="W997" s="67"/>
      <c r="X997" s="67"/>
      <c r="Y997" s="187"/>
      <c r="Z997" s="186"/>
      <c r="AA997" s="187"/>
      <c r="AB997" s="187"/>
      <c r="AC997" s="187"/>
      <c r="AD997" s="186"/>
      <c r="AE997" s="186"/>
      <c r="AF997" s="67"/>
      <c r="AG997" s="67"/>
      <c r="AH997" s="67"/>
      <c r="AL997" s="186"/>
    </row>
    <row r="998">
      <c r="A998" s="185"/>
      <c r="B998" s="67"/>
      <c r="C998" s="67"/>
      <c r="D998" s="67"/>
      <c r="E998" s="186"/>
      <c r="F998" s="186"/>
      <c r="G998" s="186"/>
      <c r="H998" s="186"/>
      <c r="I998" s="186"/>
      <c r="J998" s="186"/>
      <c r="K998" s="186"/>
      <c r="L998" s="186"/>
      <c r="M998" s="186"/>
      <c r="N998" s="186"/>
      <c r="O998" s="186"/>
      <c r="P998" s="186"/>
      <c r="Q998" s="186"/>
      <c r="R998" s="186"/>
      <c r="S998" s="186"/>
      <c r="T998" s="186"/>
      <c r="U998" s="186"/>
      <c r="V998" s="67"/>
      <c r="W998" s="67"/>
      <c r="Y998" s="187"/>
      <c r="Z998" s="186"/>
      <c r="AA998" s="187"/>
      <c r="AB998" s="187"/>
      <c r="AC998" s="187"/>
      <c r="AD998" s="186"/>
      <c r="AE998" s="186"/>
      <c r="AF998" s="67"/>
      <c r="AG998" s="67"/>
      <c r="AH998" s="67"/>
      <c r="AL998" s="186"/>
    </row>
    <row r="999">
      <c r="A999" s="185"/>
      <c r="B999" s="67"/>
      <c r="C999" s="67"/>
      <c r="D999" s="67"/>
      <c r="E999" s="186"/>
      <c r="F999" s="186"/>
      <c r="G999" s="186"/>
      <c r="H999" s="186"/>
      <c r="I999" s="186"/>
      <c r="J999" s="186"/>
      <c r="K999" s="186"/>
      <c r="L999" s="186"/>
      <c r="M999" s="186"/>
      <c r="N999" s="186"/>
      <c r="O999" s="186"/>
      <c r="P999" s="186"/>
      <c r="Q999" s="186"/>
      <c r="R999" s="186"/>
      <c r="S999" s="186"/>
      <c r="T999" s="186"/>
      <c r="U999" s="186"/>
      <c r="V999" s="67"/>
      <c r="W999" s="67"/>
      <c r="Y999" s="187"/>
      <c r="Z999" s="186"/>
      <c r="AA999" s="187"/>
      <c r="AB999" s="187"/>
      <c r="AC999" s="187"/>
      <c r="AD999" s="186"/>
      <c r="AE999" s="186"/>
      <c r="AF999" s="67"/>
      <c r="AG999" s="67"/>
      <c r="AH999" s="67"/>
      <c r="AL999" s="186"/>
    </row>
    <row r="1000">
      <c r="A1000" s="185"/>
      <c r="C1000" s="67"/>
      <c r="D1000" s="67"/>
      <c r="E1000" s="186"/>
      <c r="F1000" s="186"/>
      <c r="G1000" s="186"/>
      <c r="H1000" s="186"/>
      <c r="I1000" s="186"/>
      <c r="J1000" s="186"/>
      <c r="K1000" s="186"/>
      <c r="L1000" s="186"/>
      <c r="M1000" s="186"/>
      <c r="N1000" s="186"/>
      <c r="O1000" s="186"/>
      <c r="P1000" s="186"/>
      <c r="Q1000" s="186"/>
      <c r="R1000" s="186"/>
      <c r="S1000" s="186"/>
      <c r="T1000" s="186"/>
      <c r="U1000" s="186"/>
      <c r="V1000" s="67"/>
      <c r="W1000" s="67"/>
      <c r="Y1000" s="187"/>
      <c r="Z1000" s="186"/>
      <c r="AA1000" s="187"/>
      <c r="AB1000" s="187"/>
      <c r="AC1000" s="187"/>
      <c r="AD1000" s="186"/>
      <c r="AE1000" s="186"/>
      <c r="AF1000" s="67"/>
      <c r="AG1000" s="67"/>
      <c r="AH1000" s="67"/>
      <c r="AL1000" s="186"/>
    </row>
    <row r="1001">
      <c r="A1001" s="185"/>
      <c r="C1001" s="67"/>
      <c r="D1001" s="67"/>
      <c r="E1001" s="186"/>
      <c r="F1001" s="186"/>
      <c r="G1001" s="186"/>
      <c r="H1001" s="186"/>
      <c r="I1001" s="186"/>
      <c r="J1001" s="186"/>
      <c r="K1001" s="186"/>
      <c r="L1001" s="186"/>
      <c r="M1001" s="186"/>
      <c r="N1001" s="186"/>
      <c r="O1001" s="186"/>
      <c r="P1001" s="186"/>
      <c r="Q1001" s="186"/>
      <c r="R1001" s="186"/>
      <c r="S1001" s="186"/>
      <c r="T1001" s="186"/>
      <c r="U1001" s="186"/>
      <c r="V1001" s="67"/>
      <c r="W1001" s="67"/>
      <c r="Y1001" s="187"/>
      <c r="Z1001" s="186"/>
      <c r="AA1001" s="187"/>
      <c r="AB1001" s="187"/>
      <c r="AC1001" s="187"/>
      <c r="AD1001" s="186"/>
      <c r="AE1001" s="186"/>
      <c r="AF1001" s="67"/>
      <c r="AG1001" s="67"/>
      <c r="AH1001" s="67"/>
      <c r="AL1001" s="186"/>
    </row>
    <row r="1002">
      <c r="A1002" s="185"/>
      <c r="C1002" s="67"/>
      <c r="D1002" s="67"/>
      <c r="E1002" s="186"/>
      <c r="F1002" s="186"/>
      <c r="G1002" s="186"/>
      <c r="H1002" s="186"/>
      <c r="I1002" s="186"/>
      <c r="J1002" s="186"/>
      <c r="K1002" s="186"/>
      <c r="L1002" s="186"/>
      <c r="M1002" s="186"/>
      <c r="N1002" s="186"/>
      <c r="O1002" s="186"/>
      <c r="P1002" s="186"/>
      <c r="Q1002" s="186"/>
      <c r="R1002" s="186"/>
      <c r="S1002" s="186"/>
      <c r="T1002" s="186"/>
      <c r="U1002" s="186"/>
      <c r="V1002" s="67"/>
      <c r="W1002" s="67"/>
      <c r="Y1002" s="187"/>
      <c r="Z1002" s="186"/>
      <c r="AA1002" s="187"/>
      <c r="AB1002" s="187"/>
      <c r="AC1002" s="187"/>
      <c r="AD1002" s="186"/>
      <c r="AE1002" s="186"/>
      <c r="AF1002" s="67"/>
      <c r="AG1002" s="67"/>
      <c r="AH1002" s="67"/>
      <c r="AL1002" s="186"/>
    </row>
    <row r="1003">
      <c r="A1003" s="185"/>
      <c r="C1003" s="67"/>
      <c r="D1003" s="67"/>
      <c r="E1003" s="186"/>
      <c r="F1003" s="186"/>
      <c r="G1003" s="186"/>
      <c r="H1003" s="186"/>
      <c r="I1003" s="186"/>
      <c r="J1003" s="186"/>
      <c r="K1003" s="186"/>
      <c r="L1003" s="186"/>
      <c r="M1003" s="186"/>
      <c r="N1003" s="186"/>
      <c r="O1003" s="186"/>
      <c r="P1003" s="186"/>
      <c r="Q1003" s="186"/>
      <c r="R1003" s="186"/>
      <c r="S1003" s="186"/>
      <c r="T1003" s="186"/>
      <c r="U1003" s="186"/>
      <c r="V1003" s="67"/>
      <c r="W1003" s="67"/>
      <c r="Y1003" s="187"/>
      <c r="Z1003" s="186"/>
      <c r="AA1003" s="187"/>
      <c r="AB1003" s="187"/>
      <c r="AC1003" s="187"/>
      <c r="AD1003" s="186"/>
      <c r="AE1003" s="186"/>
      <c r="AF1003" s="67"/>
      <c r="AG1003" s="67"/>
      <c r="AH1003" s="67"/>
      <c r="AL1003" s="186"/>
    </row>
    <row r="1004">
      <c r="A1004" s="185"/>
      <c r="C1004" s="67"/>
      <c r="D1004" s="67"/>
      <c r="E1004" s="186"/>
      <c r="F1004" s="186"/>
      <c r="G1004" s="186"/>
      <c r="H1004" s="186"/>
      <c r="I1004" s="186"/>
      <c r="J1004" s="186"/>
      <c r="K1004" s="186"/>
      <c r="L1004" s="186"/>
      <c r="M1004" s="186"/>
      <c r="N1004" s="186"/>
      <c r="O1004" s="186"/>
      <c r="P1004" s="186"/>
      <c r="Q1004" s="186"/>
      <c r="R1004" s="186"/>
      <c r="S1004" s="186"/>
      <c r="T1004" s="186"/>
      <c r="U1004" s="186"/>
      <c r="V1004" s="67"/>
      <c r="W1004" s="67"/>
      <c r="Y1004" s="187"/>
      <c r="Z1004" s="186"/>
      <c r="AA1004" s="187"/>
      <c r="AB1004" s="187"/>
      <c r="AC1004" s="187"/>
      <c r="AD1004" s="186"/>
      <c r="AE1004" s="186"/>
      <c r="AF1004" s="67"/>
      <c r="AG1004" s="67"/>
      <c r="AH1004" s="67"/>
      <c r="AL1004" s="186"/>
    </row>
    <row r="1005">
      <c r="A1005" s="185"/>
      <c r="C1005" s="67"/>
      <c r="D1005" s="67"/>
      <c r="E1005" s="186"/>
      <c r="F1005" s="186"/>
      <c r="G1005" s="186"/>
      <c r="H1005" s="186"/>
      <c r="I1005" s="186"/>
      <c r="J1005" s="186"/>
      <c r="K1005" s="186"/>
      <c r="L1005" s="186"/>
      <c r="M1005" s="186"/>
      <c r="N1005" s="186"/>
      <c r="O1005" s="186"/>
      <c r="P1005" s="186"/>
      <c r="Q1005" s="186"/>
      <c r="R1005" s="186"/>
      <c r="S1005" s="186"/>
      <c r="T1005" s="186"/>
      <c r="U1005" s="186"/>
      <c r="V1005" s="67"/>
      <c r="W1005" s="67"/>
      <c r="Y1005" s="187"/>
      <c r="Z1005" s="186"/>
      <c r="AA1005" s="187"/>
      <c r="AB1005" s="187"/>
      <c r="AC1005" s="187"/>
      <c r="AD1005" s="186"/>
      <c r="AE1005" s="186"/>
      <c r="AF1005" s="67"/>
      <c r="AG1005" s="67"/>
      <c r="AH1005" s="67"/>
      <c r="AL1005" s="186"/>
    </row>
    <row r="1006">
      <c r="A1006" s="185"/>
      <c r="C1006" s="67"/>
      <c r="D1006" s="67"/>
      <c r="E1006" s="186"/>
      <c r="F1006" s="186"/>
      <c r="G1006" s="186"/>
      <c r="H1006" s="186"/>
      <c r="I1006" s="186"/>
      <c r="J1006" s="186"/>
      <c r="K1006" s="186"/>
      <c r="L1006" s="186"/>
      <c r="M1006" s="186"/>
      <c r="N1006" s="186"/>
      <c r="O1006" s="186"/>
      <c r="P1006" s="186"/>
      <c r="Q1006" s="186"/>
      <c r="R1006" s="186"/>
      <c r="S1006" s="186"/>
      <c r="T1006" s="186"/>
      <c r="U1006" s="186"/>
      <c r="V1006" s="67"/>
      <c r="W1006" s="67"/>
      <c r="Y1006" s="187"/>
      <c r="Z1006" s="186"/>
      <c r="AA1006" s="187"/>
      <c r="AB1006" s="187"/>
      <c r="AC1006" s="187"/>
      <c r="AD1006" s="186"/>
      <c r="AE1006" s="186"/>
      <c r="AF1006" s="67"/>
      <c r="AG1006" s="67"/>
      <c r="AH1006" s="67"/>
      <c r="AL1006" s="186"/>
    </row>
    <row r="1007">
      <c r="A1007" s="185"/>
      <c r="C1007" s="67"/>
      <c r="D1007" s="67"/>
      <c r="E1007" s="186"/>
      <c r="F1007" s="186"/>
      <c r="G1007" s="186"/>
      <c r="H1007" s="186"/>
      <c r="I1007" s="186"/>
      <c r="J1007" s="186"/>
      <c r="K1007" s="186"/>
      <c r="L1007" s="186"/>
      <c r="M1007" s="186"/>
      <c r="N1007" s="186"/>
      <c r="O1007" s="186"/>
      <c r="P1007" s="186"/>
      <c r="Q1007" s="186"/>
      <c r="R1007" s="186"/>
      <c r="S1007" s="186"/>
      <c r="T1007" s="186"/>
      <c r="U1007" s="186"/>
      <c r="V1007" s="67"/>
      <c r="W1007" s="67"/>
      <c r="Y1007" s="187"/>
      <c r="Z1007" s="186"/>
      <c r="AA1007" s="187"/>
      <c r="AB1007" s="187"/>
      <c r="AC1007" s="187"/>
      <c r="AD1007" s="186"/>
      <c r="AE1007" s="186"/>
      <c r="AF1007" s="67"/>
      <c r="AG1007" s="67"/>
      <c r="AH1007" s="67"/>
      <c r="AL1007" s="186"/>
    </row>
    <row r="1008">
      <c r="A1008" s="185"/>
      <c r="C1008" s="67"/>
      <c r="D1008" s="67"/>
      <c r="E1008" s="186"/>
      <c r="F1008" s="186"/>
      <c r="G1008" s="186"/>
      <c r="H1008" s="186"/>
      <c r="I1008" s="186"/>
      <c r="J1008" s="186"/>
      <c r="K1008" s="186"/>
      <c r="L1008" s="186"/>
      <c r="M1008" s="186"/>
      <c r="N1008" s="186"/>
      <c r="O1008" s="186"/>
      <c r="P1008" s="186"/>
      <c r="Q1008" s="186"/>
      <c r="R1008" s="186"/>
      <c r="S1008" s="186"/>
      <c r="T1008" s="186"/>
      <c r="U1008" s="186"/>
      <c r="V1008" s="67"/>
      <c r="W1008" s="67"/>
      <c r="Y1008" s="187"/>
      <c r="Z1008" s="186"/>
      <c r="AA1008" s="187"/>
      <c r="AB1008" s="187"/>
      <c r="AC1008" s="187"/>
      <c r="AD1008" s="186"/>
      <c r="AE1008" s="186"/>
      <c r="AF1008" s="67"/>
      <c r="AG1008" s="67"/>
      <c r="AH1008" s="67"/>
      <c r="AL1008" s="186"/>
    </row>
    <row r="1009">
      <c r="A1009" s="185"/>
      <c r="C1009" s="67"/>
      <c r="D1009" s="67"/>
      <c r="E1009" s="186"/>
      <c r="F1009" s="186"/>
      <c r="G1009" s="186"/>
      <c r="H1009" s="186"/>
      <c r="I1009" s="186"/>
      <c r="J1009" s="186"/>
      <c r="K1009" s="186"/>
      <c r="L1009" s="186"/>
      <c r="M1009" s="186"/>
      <c r="N1009" s="186"/>
      <c r="O1009" s="186"/>
      <c r="P1009" s="186"/>
      <c r="Q1009" s="186"/>
      <c r="R1009" s="186"/>
      <c r="S1009" s="186"/>
      <c r="T1009" s="186"/>
      <c r="U1009" s="186"/>
      <c r="V1009" s="67"/>
      <c r="W1009" s="67"/>
      <c r="Y1009" s="187"/>
      <c r="Z1009" s="186"/>
      <c r="AA1009" s="187"/>
      <c r="AB1009" s="187"/>
      <c r="AC1009" s="187"/>
      <c r="AD1009" s="186"/>
      <c r="AE1009" s="186"/>
      <c r="AF1009" s="67"/>
      <c r="AG1009" s="67"/>
      <c r="AH1009" s="67"/>
      <c r="AL1009" s="186"/>
    </row>
    <row r="1010">
      <c r="A1010" s="113"/>
    </row>
    <row r="1011">
      <c r="A1011" s="113"/>
    </row>
    <row r="1012">
      <c r="A1012" s="113"/>
    </row>
    <row r="1013">
      <c r="A1013" s="113"/>
    </row>
    <row r="1014">
      <c r="A1014" s="113"/>
    </row>
    <row r="1015">
      <c r="A1015" s="113"/>
    </row>
  </sheetData>
  <conditionalFormatting sqref="G2:G31">
    <cfRule type="expression" dxfId="15" priority="1">
      <formula>AND(ISNUMBER(G2), G2&gt;=9)</formula>
    </cfRule>
  </conditionalFormatting>
  <conditionalFormatting sqref="G2:G31">
    <cfRule type="expression" dxfId="16" priority="2">
      <formula>AND(ISNUMBER(G2), G2&gt;=8)</formula>
    </cfRule>
  </conditionalFormatting>
  <conditionalFormatting sqref="G2:G31">
    <cfRule type="expression" dxfId="17" priority="3">
      <formula>AND(ISNUMBER(G2), G2&gt;=6)</formula>
    </cfRule>
  </conditionalFormatting>
  <conditionalFormatting sqref="G2:G31">
    <cfRule type="expression" dxfId="18" priority="4">
      <formula>AND(ISNUMBER(G2), G2&gt;=4)</formula>
    </cfRule>
  </conditionalFormatting>
  <conditionalFormatting sqref="G2:G31">
    <cfRule type="expression" dxfId="19" priority="5">
      <formula>AND(ISNUMBER(G2), G2&lt;4)</formula>
    </cfRule>
  </conditionalFormatting>
  <conditionalFormatting sqref="O2:O31">
    <cfRule type="cellIs" dxfId="3" priority="6" operator="equal">
      <formula>"Expensive"</formula>
    </cfRule>
  </conditionalFormatting>
  <conditionalFormatting sqref="O2:O31">
    <cfRule type="cellIs" dxfId="4" priority="7" operator="equal">
      <formula>"Overrated"</formula>
    </cfRule>
  </conditionalFormatting>
  <conditionalFormatting sqref="K2:K15 O2:O31 Q2:Q17 V2:V15">
    <cfRule type="cellIs" dxfId="12" priority="8" operator="equal">
      <formula>"Buy"</formula>
    </cfRule>
  </conditionalFormatting>
  <conditionalFormatting sqref="K2:K15 O2:O31 Q2:Q17 V2:V15">
    <cfRule type="cellIs" dxfId="6" priority="9" operator="equal">
      <formula>"Strong Buy"</formula>
    </cfRule>
  </conditionalFormatting>
  <conditionalFormatting sqref="K2:K15 O2:O31 Q2:Q17 V2:V15">
    <cfRule type="cellIs" dxfId="3" priority="10" operator="equal">
      <formula>"Avg. Cost"</formula>
    </cfRule>
  </conditionalFormatting>
  <conditionalFormatting sqref="K2:K15 O2:O31 Q2:Q17 V2:V15">
    <cfRule type="cellIs" dxfId="7" priority="11" operator="equal">
      <formula>"Hold"</formula>
    </cfRule>
  </conditionalFormatting>
  <conditionalFormatting sqref="O2:O31">
    <cfRule type="containsText" dxfId="3" priority="12" operator="containsText" text="Expensive">
      <formula>NOT(ISERROR(SEARCH(("Expensive"),(O2))))</formula>
    </cfRule>
  </conditionalFormatting>
  <conditionalFormatting sqref="O2:O31">
    <cfRule type="containsText" dxfId="4" priority="13" operator="containsText" text="Overrated">
      <formula>NOT(ISERROR(SEARCH(("Overrated"),(O2))))</formula>
    </cfRule>
  </conditionalFormatting>
  <conditionalFormatting sqref="O2:O31 Q2:Q31">
    <cfRule type="containsText" dxfId="12" priority="14" operator="containsText" text="Buy">
      <formula>NOT(ISERROR(SEARCH(("Buy"),(O2))))</formula>
    </cfRule>
  </conditionalFormatting>
  <conditionalFormatting sqref="O2:O31 Q2:Q31">
    <cfRule type="containsText" dxfId="6" priority="15" operator="containsText" text="Strong Buy">
      <formula>NOT(ISERROR(SEARCH(("Strong Buy"),(O2))))</formula>
    </cfRule>
  </conditionalFormatting>
  <conditionalFormatting sqref="O2:O31 Q2:Q31">
    <cfRule type="containsText" dxfId="3" priority="16" operator="containsText" text="Avg. Cost">
      <formula>NOT(ISERROR(SEARCH(("Avg. Cost"),(O2))))</formula>
    </cfRule>
  </conditionalFormatting>
  <conditionalFormatting sqref="Q2:Q31">
    <cfRule type="containsText" dxfId="5" priority="17" operator="containsText" text="Overcost">
      <formula>NOT(ISERROR(SEARCH(("Overcost"),(Q2))))</formula>
    </cfRule>
  </conditionalFormatting>
  <conditionalFormatting sqref="O2:O31 Q2:Q31">
    <cfRule type="containsText" dxfId="7" priority="18" operator="containsText" text="Hold">
      <formula>NOT(ISERROR(SEARCH(("Hold"),(O2))))</formula>
    </cfRule>
  </conditionalFormatting>
  <conditionalFormatting sqref="N2:N31 P2:P31">
    <cfRule type="cellIs" dxfId="20" priority="19" operator="lessThan">
      <formula>0</formula>
    </cfRule>
  </conditionalFormatting>
  <conditionalFormatting sqref="N2:N31 P2:P31">
    <cfRule type="cellIs" dxfId="9" priority="20" operator="greaterThanOrEqual">
      <formula>0</formula>
    </cfRule>
  </conditionalFormatting>
  <conditionalFormatting sqref="K8:K15 V8:V15">
    <cfRule type="cellIs" dxfId="20" priority="21" operator="greaterThan">
      <formula>"20%"</formula>
    </cfRule>
  </conditionalFormatting>
  <conditionalFormatting sqref="K2:K8 V2:V8">
    <cfRule type="cellIs" dxfId="20" priority="22" operator="greaterThan">
      <formula>"10%"</formula>
    </cfRule>
  </conditionalFormatting>
  <dataValidations>
    <dataValidation type="list" allowBlank="1" sqref="I19:I31">
      <formula1>"(Select),Communication Services,Consumer Discretionary,Consumer Staples,Energy,ETF,Financials,Health Care,Industrials,Materials,Real Estate,Utilities,Information Technology"</formula1>
    </dataValidation>
    <dataValidation type="list" allowBlank="1" sqref="H2:H31">
      <formula1>"(Select Security),Stocks,ETFs,Crypto"</formula1>
    </dataValidation>
    <dataValidation type="list" allowBlank="1" sqref="I2:I18">
      <formula1>"(Select),Communication Services,Consumer Discretionary,Consumer Staples,Energy,ETF,Financials,Health Care,Industrials,Materials,Real Estate,Utilities,Information Technology,Bonds"</formula1>
    </dataValidation>
    <dataValidation type="list" allowBlank="1" sqref="J2:J31">
      <formula1>"(Select),US Bonds,International Market,Value Stocks,Growth,Foundational"</formula1>
    </dataValidation>
  </dataValidations>
  <drawing r:id="rId1"/>
  <tableParts count="5">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0"/>
    <col customWidth="1" min="2" max="2" width="30.25"/>
    <col customWidth="1" min="3" max="3" width="14.0"/>
    <col customWidth="1" min="4" max="4" width="9.63"/>
    <col customWidth="1" min="5" max="5" width="13.0"/>
    <col customWidth="1" min="6" max="7" width="10.5"/>
    <col customWidth="1" min="8" max="8" width="15.38"/>
    <col customWidth="1" min="9" max="9" width="13.5"/>
    <col customWidth="1" min="10" max="13" width="14.13"/>
  </cols>
  <sheetData>
    <row r="1">
      <c r="A1" s="116" t="s">
        <v>71</v>
      </c>
      <c r="B1" s="117" t="s">
        <v>72</v>
      </c>
      <c r="C1" s="117" t="s">
        <v>150</v>
      </c>
      <c r="D1" s="117" t="s">
        <v>74</v>
      </c>
      <c r="E1" s="118" t="s">
        <v>75</v>
      </c>
      <c r="F1" s="118" t="s">
        <v>151</v>
      </c>
      <c r="G1" s="118" t="s">
        <v>152</v>
      </c>
      <c r="H1" s="117" t="s">
        <v>93</v>
      </c>
      <c r="I1" s="118" t="s">
        <v>10</v>
      </c>
      <c r="J1" s="118" t="s">
        <v>20</v>
      </c>
      <c r="K1" s="118" t="s">
        <v>11</v>
      </c>
      <c r="L1" s="118" t="s">
        <v>21</v>
      </c>
      <c r="M1" s="125" t="s">
        <v>153</v>
      </c>
    </row>
    <row r="2">
      <c r="A2" s="149" t="s">
        <v>107</v>
      </c>
      <c r="B2" s="128" t="str">
        <f>IFERROR(__xludf.DUMMYFUNCTION("IF(ISBLANK(A2),"""", googlefinance(A2, ""name""))"),"Target Corp")</f>
        <v>Target Corp</v>
      </c>
      <c r="C2" s="228">
        <v>45617.0</v>
      </c>
      <c r="D2" s="229">
        <v>2.0</v>
      </c>
      <c r="E2" s="230">
        <f>306.11/D2</f>
        <v>153.055</v>
      </c>
      <c r="F2" s="133">
        <v>122.256</v>
      </c>
      <c r="G2" s="132">
        <f>IFERROR(__xludf.DUMMYFUNCTION("IF(ISBLANK(A2),"""", googlefinance(A2, ""price""))"),120.36)</f>
        <v>120.36</v>
      </c>
      <c r="H2" s="131">
        <v>6.7</v>
      </c>
      <c r="I2" s="135">
        <f t="shared" ref="I2:I15" si="1">if(isblank(A2),"",(F2-E2)*D2)</f>
        <v>-61.598</v>
      </c>
      <c r="J2" s="132">
        <f t="shared" ref="J2:J15" si="2">if(isblank(A2),"",I2+H2)</f>
        <v>-54.898</v>
      </c>
      <c r="K2" s="136">
        <f t="shared" ref="K2:K15" si="3">iferror(if(D2&lt;0,0,I2/(E2*D2)),"")</f>
        <v>-0.2012283166</v>
      </c>
      <c r="L2" s="137">
        <f t="shared" ref="L2:L15" si="4">iferror(if(D2&lt;0,0,J2/(E2*D2)),"")</f>
        <v>-0.1793407599</v>
      </c>
      <c r="M2" s="175">
        <f t="shared" ref="M2:M15" si="5">if(I2&gt;0,I2*0.12,0)</f>
        <v>0</v>
      </c>
    </row>
    <row r="3">
      <c r="A3" s="149" t="s">
        <v>107</v>
      </c>
      <c r="B3" s="128" t="str">
        <f>IFERROR(__xludf.DUMMYFUNCTION("IF(ISBLANK(A3),"""", googlefinance(A3, ""name""))"),"Target Corp")</f>
        <v>Target Corp</v>
      </c>
      <c r="C3" s="228">
        <v>45617.0</v>
      </c>
      <c r="D3" s="229">
        <v>0.5</v>
      </c>
      <c r="E3" s="230">
        <f>94.6/D3</f>
        <v>189.2</v>
      </c>
      <c r="F3" s="133">
        <v>122.24</v>
      </c>
      <c r="G3" s="132">
        <f>IFERROR(__xludf.DUMMYFUNCTION("IF(ISBLANK(A3),"""", googlefinance(A3, ""price""))"),120.36)</f>
        <v>120.36</v>
      </c>
      <c r="H3" s="131">
        <v>0.0</v>
      </c>
      <c r="I3" s="135">
        <f t="shared" si="1"/>
        <v>-33.48</v>
      </c>
      <c r="J3" s="132">
        <f t="shared" si="2"/>
        <v>-33.48</v>
      </c>
      <c r="K3" s="136">
        <f t="shared" si="3"/>
        <v>-0.3539112051</v>
      </c>
      <c r="L3" s="137">
        <f t="shared" si="4"/>
        <v>-0.3539112051</v>
      </c>
      <c r="M3" s="175">
        <f t="shared" si="5"/>
        <v>0</v>
      </c>
    </row>
    <row r="4">
      <c r="A4" s="149"/>
      <c r="B4" s="128" t="str">
        <f>IFERROR(__xludf.DUMMYFUNCTION("IF(ISBLANK(A4),"""", googlefinance(A4, ""name""))"),"")</f>
        <v/>
      </c>
      <c r="C4" s="228"/>
      <c r="D4" s="229"/>
      <c r="E4" s="230"/>
      <c r="F4" s="133"/>
      <c r="G4" s="132" t="str">
        <f>IFERROR(__xludf.DUMMYFUNCTION("IF(ISBLANK(A4),"""", googlefinance(A4, ""price""))"),"")</f>
        <v/>
      </c>
      <c r="H4" s="131"/>
      <c r="I4" s="135" t="str">
        <f t="shared" si="1"/>
        <v/>
      </c>
      <c r="J4" s="132" t="str">
        <f t="shared" si="2"/>
        <v/>
      </c>
      <c r="K4" s="136" t="str">
        <f t="shared" si="3"/>
        <v/>
      </c>
      <c r="L4" s="137" t="str">
        <f t="shared" si="4"/>
        <v/>
      </c>
      <c r="M4" s="175">
        <f t="shared" si="5"/>
        <v>0</v>
      </c>
    </row>
    <row r="5">
      <c r="A5" s="149"/>
      <c r="B5" s="128" t="str">
        <f>IFERROR(__xludf.DUMMYFUNCTION("IF(ISBLANK(A5),"""", googlefinance(A5, ""name""))"),"")</f>
        <v/>
      </c>
      <c r="C5" s="228"/>
      <c r="D5" s="229"/>
      <c r="E5" s="230"/>
      <c r="F5" s="133"/>
      <c r="G5" s="132" t="str">
        <f>IFERROR(__xludf.DUMMYFUNCTION("IF(ISBLANK(A5),"""", googlefinance(A5, ""price""))"),"")</f>
        <v/>
      </c>
      <c r="H5" s="131"/>
      <c r="I5" s="135" t="str">
        <f t="shared" si="1"/>
        <v/>
      </c>
      <c r="J5" s="132" t="str">
        <f t="shared" si="2"/>
        <v/>
      </c>
      <c r="K5" s="136" t="str">
        <f t="shared" si="3"/>
        <v/>
      </c>
      <c r="L5" s="137" t="str">
        <f t="shared" si="4"/>
        <v/>
      </c>
      <c r="M5" s="175">
        <f t="shared" si="5"/>
        <v>0</v>
      </c>
    </row>
    <row r="6">
      <c r="A6" s="149"/>
      <c r="B6" s="128" t="str">
        <f>IFERROR(__xludf.DUMMYFUNCTION("IF(ISBLANK(A6),"""", googlefinance(A6, ""name""))"),"")</f>
        <v/>
      </c>
      <c r="C6" s="228"/>
      <c r="D6" s="229"/>
      <c r="E6" s="230"/>
      <c r="F6" s="133"/>
      <c r="G6" s="132" t="str">
        <f>IFERROR(__xludf.DUMMYFUNCTION("IF(ISBLANK(A6),"""", googlefinance(A6, ""price""))"),"")</f>
        <v/>
      </c>
      <c r="H6" s="131"/>
      <c r="I6" s="135" t="str">
        <f t="shared" si="1"/>
        <v/>
      </c>
      <c r="J6" s="132" t="str">
        <f t="shared" si="2"/>
        <v/>
      </c>
      <c r="K6" s="136" t="str">
        <f t="shared" si="3"/>
        <v/>
      </c>
      <c r="L6" s="137" t="str">
        <f t="shared" si="4"/>
        <v/>
      </c>
      <c r="M6" s="175">
        <f t="shared" si="5"/>
        <v>0</v>
      </c>
    </row>
    <row r="7">
      <c r="A7" s="149"/>
      <c r="B7" s="128" t="str">
        <f>IFERROR(__xludf.DUMMYFUNCTION("IF(ISBLANK(A7),"""", googlefinance(A7, ""name""))"),"")</f>
        <v/>
      </c>
      <c r="C7" s="228"/>
      <c r="D7" s="176"/>
      <c r="E7" s="131"/>
      <c r="F7" s="133"/>
      <c r="G7" s="132" t="str">
        <f>IFERROR(__xludf.DUMMYFUNCTION("IF(ISBLANK(A7),"""", googlefinance(A7, ""price""))"),"")</f>
        <v/>
      </c>
      <c r="H7" s="131"/>
      <c r="I7" s="135" t="str">
        <f t="shared" si="1"/>
        <v/>
      </c>
      <c r="J7" s="132" t="str">
        <f t="shared" si="2"/>
        <v/>
      </c>
      <c r="K7" s="136" t="str">
        <f t="shared" si="3"/>
        <v/>
      </c>
      <c r="L7" s="137" t="str">
        <f t="shared" si="4"/>
        <v/>
      </c>
      <c r="M7" s="175">
        <f t="shared" si="5"/>
        <v>0</v>
      </c>
    </row>
    <row r="8">
      <c r="A8" s="231"/>
      <c r="B8" s="128" t="str">
        <f>IFERROR(__xludf.DUMMYFUNCTION("IF(ISBLANK(A8),"""", googlefinance(A8, ""name""))"),"")</f>
        <v/>
      </c>
      <c r="C8" s="232"/>
      <c r="D8" s="176"/>
      <c r="E8" s="131"/>
      <c r="F8" s="177"/>
      <c r="G8" s="132" t="str">
        <f>IFERROR(__xludf.DUMMYFUNCTION("IF(ISBLANK(A8),"""", googlefinance(A8, ""price""))"),"")</f>
        <v/>
      </c>
      <c r="H8" s="233"/>
      <c r="I8" s="135" t="str">
        <f t="shared" si="1"/>
        <v/>
      </c>
      <c r="J8" s="132" t="str">
        <f t="shared" si="2"/>
        <v/>
      </c>
      <c r="K8" s="136" t="str">
        <f t="shared" si="3"/>
        <v/>
      </c>
      <c r="L8" s="137" t="str">
        <f t="shared" si="4"/>
        <v/>
      </c>
      <c r="M8" s="175">
        <f t="shared" si="5"/>
        <v>0</v>
      </c>
    </row>
    <row r="9">
      <c r="A9" s="231"/>
      <c r="B9" s="128" t="str">
        <f>IFERROR(__xludf.DUMMYFUNCTION("IF(ISBLANK(A9),"""", googlefinance(A9, ""name""))"),"")</f>
        <v/>
      </c>
      <c r="C9" s="232"/>
      <c r="D9" s="176"/>
      <c r="E9" s="131"/>
      <c r="F9" s="177"/>
      <c r="G9" s="132" t="str">
        <f>IFERROR(__xludf.DUMMYFUNCTION("IF(ISBLANK(A9),"""", googlefinance(A9, ""price""))"),"")</f>
        <v/>
      </c>
      <c r="H9" s="233"/>
      <c r="I9" s="135" t="str">
        <f t="shared" si="1"/>
        <v/>
      </c>
      <c r="J9" s="132" t="str">
        <f t="shared" si="2"/>
        <v/>
      </c>
      <c r="K9" s="136" t="str">
        <f t="shared" si="3"/>
        <v/>
      </c>
      <c r="L9" s="137" t="str">
        <f t="shared" si="4"/>
        <v/>
      </c>
      <c r="M9" s="175">
        <f t="shared" si="5"/>
        <v>0</v>
      </c>
    </row>
    <row r="10">
      <c r="A10" s="149"/>
      <c r="B10" s="128" t="str">
        <f>IFERROR(__xludf.DUMMYFUNCTION("IF(ISBLANK(A10),"""", googlefinance(A10, ""name""))"),"")</f>
        <v/>
      </c>
      <c r="C10" s="232"/>
      <c r="D10" s="176"/>
      <c r="E10" s="131"/>
      <c r="F10" s="177"/>
      <c r="G10" s="132" t="str">
        <f>IFERROR(__xludf.DUMMYFUNCTION("IF(ISBLANK(A10),"""", googlefinance(A10, ""price""))"),"")</f>
        <v/>
      </c>
      <c r="H10" s="233"/>
      <c r="I10" s="135" t="str">
        <f t="shared" si="1"/>
        <v/>
      </c>
      <c r="J10" s="132" t="str">
        <f t="shared" si="2"/>
        <v/>
      </c>
      <c r="K10" s="136" t="str">
        <f t="shared" si="3"/>
        <v/>
      </c>
      <c r="L10" s="137" t="str">
        <f t="shared" si="4"/>
        <v/>
      </c>
      <c r="M10" s="175">
        <f t="shared" si="5"/>
        <v>0</v>
      </c>
    </row>
    <row r="11">
      <c r="A11" s="149"/>
      <c r="B11" s="128" t="str">
        <f>IFERROR(__xludf.DUMMYFUNCTION("IF(ISBLANK(A11),"""", googlefinance(A11, ""name""))"),"")</f>
        <v/>
      </c>
      <c r="C11" s="232"/>
      <c r="D11" s="229"/>
      <c r="E11" s="230"/>
      <c r="F11" s="177"/>
      <c r="G11" s="132" t="str">
        <f>IFERROR(__xludf.DUMMYFUNCTION("IF(ISBLANK(A11),"""", googlefinance(A11, ""price""))"),"")</f>
        <v/>
      </c>
      <c r="H11" s="233"/>
      <c r="I11" s="135" t="str">
        <f t="shared" si="1"/>
        <v/>
      </c>
      <c r="J11" s="132" t="str">
        <f t="shared" si="2"/>
        <v/>
      </c>
      <c r="K11" s="136" t="str">
        <f t="shared" si="3"/>
        <v/>
      </c>
      <c r="L11" s="137" t="str">
        <f t="shared" si="4"/>
        <v/>
      </c>
      <c r="M11" s="175">
        <f t="shared" si="5"/>
        <v>0</v>
      </c>
    </row>
    <row r="12">
      <c r="A12" s="231"/>
      <c r="B12" s="128" t="str">
        <f>IFERROR(__xludf.DUMMYFUNCTION("IF(ISBLANK(A12),"""", googlefinance(A12, ""name""))"),"")</f>
        <v/>
      </c>
      <c r="C12" s="232"/>
      <c r="D12" s="176"/>
      <c r="E12" s="131"/>
      <c r="F12" s="177"/>
      <c r="G12" s="132" t="str">
        <f>IFERROR(__xludf.DUMMYFUNCTION("IF(ISBLANK(A12),"""", googlefinance(A12, ""price""))"),"")</f>
        <v/>
      </c>
      <c r="H12" s="233"/>
      <c r="I12" s="135" t="str">
        <f t="shared" si="1"/>
        <v/>
      </c>
      <c r="J12" s="132" t="str">
        <f t="shared" si="2"/>
        <v/>
      </c>
      <c r="K12" s="136" t="str">
        <f t="shared" si="3"/>
        <v/>
      </c>
      <c r="L12" s="137" t="str">
        <f t="shared" si="4"/>
        <v/>
      </c>
      <c r="M12" s="175">
        <f t="shared" si="5"/>
        <v>0</v>
      </c>
    </row>
    <row r="13">
      <c r="A13" s="231"/>
      <c r="B13" s="128" t="str">
        <f>IFERROR(__xludf.DUMMYFUNCTION("IF(ISBLANK(A13),"""", googlefinance(A13, ""name""))"),"")</f>
        <v/>
      </c>
      <c r="C13" s="232"/>
      <c r="D13" s="229"/>
      <c r="E13" s="230"/>
      <c r="F13" s="177"/>
      <c r="G13" s="132" t="str">
        <f>IFERROR(__xludf.DUMMYFUNCTION("IF(ISBLANK(A13),"""", googlefinance(A13, ""price""))"),"")</f>
        <v/>
      </c>
      <c r="H13" s="233"/>
      <c r="I13" s="135" t="str">
        <f t="shared" si="1"/>
        <v/>
      </c>
      <c r="J13" s="132" t="str">
        <f t="shared" si="2"/>
        <v/>
      </c>
      <c r="K13" s="136" t="str">
        <f t="shared" si="3"/>
        <v/>
      </c>
      <c r="L13" s="137" t="str">
        <f t="shared" si="4"/>
        <v/>
      </c>
      <c r="M13" s="175">
        <f t="shared" si="5"/>
        <v>0</v>
      </c>
    </row>
    <row r="14">
      <c r="A14" s="231"/>
      <c r="B14" s="128" t="str">
        <f>IFERROR(__xludf.DUMMYFUNCTION("IF(ISBLANK(A14),"""", googlefinance(A14, ""name""))"),"")</f>
        <v/>
      </c>
      <c r="C14" s="232"/>
      <c r="D14" s="176"/>
      <c r="E14" s="131"/>
      <c r="F14" s="177"/>
      <c r="G14" s="132" t="str">
        <f>IFERROR(__xludf.DUMMYFUNCTION("IF(ISBLANK(A14),"""", googlefinance(A14, ""price""))"),"")</f>
        <v/>
      </c>
      <c r="H14" s="233"/>
      <c r="I14" s="135" t="str">
        <f t="shared" si="1"/>
        <v/>
      </c>
      <c r="J14" s="132" t="str">
        <f t="shared" si="2"/>
        <v/>
      </c>
      <c r="K14" s="136" t="str">
        <f t="shared" si="3"/>
        <v/>
      </c>
      <c r="L14" s="137" t="str">
        <f t="shared" si="4"/>
        <v/>
      </c>
      <c r="M14" s="175">
        <f t="shared" si="5"/>
        <v>0</v>
      </c>
    </row>
    <row r="15">
      <c r="A15" s="149"/>
      <c r="B15" s="128" t="str">
        <f>IFERROR(__xludf.DUMMYFUNCTION("IF(ISBLANK(A15),"""", googlefinance(A15, ""name""))"),"")</f>
        <v/>
      </c>
      <c r="C15" s="232"/>
      <c r="D15" s="176"/>
      <c r="E15" s="131"/>
      <c r="F15" s="177"/>
      <c r="G15" s="132" t="str">
        <f>IFERROR(__xludf.DUMMYFUNCTION("IF(ISBLANK(A15),"""", googlefinance(A15, ""price""))"),"")</f>
        <v/>
      </c>
      <c r="H15" s="233"/>
      <c r="I15" s="135" t="str">
        <f t="shared" si="1"/>
        <v/>
      </c>
      <c r="J15" s="132" t="str">
        <f t="shared" si="2"/>
        <v/>
      </c>
      <c r="K15" s="136" t="str">
        <f t="shared" si="3"/>
        <v/>
      </c>
      <c r="L15" s="137" t="str">
        <f t="shared" si="4"/>
        <v/>
      </c>
      <c r="M15" s="175">
        <f t="shared" si="5"/>
        <v>0</v>
      </c>
    </row>
    <row r="16">
      <c r="A16" s="234">
        <v>2024.0</v>
      </c>
      <c r="B16" s="235"/>
      <c r="C16" s="235"/>
      <c r="D16" s="235"/>
      <c r="E16" s="236"/>
      <c r="F16" s="236"/>
      <c r="G16" s="236"/>
      <c r="H16" s="235"/>
      <c r="I16" s="236">
        <f t="shared" ref="I16:J16" si="6">SUM(I2:I15)</f>
        <v>-95.078</v>
      </c>
      <c r="J16" s="236">
        <f t="shared" si="6"/>
        <v>-88.378</v>
      </c>
      <c r="K16" s="237"/>
      <c r="L16" s="237"/>
      <c r="M16" s="236">
        <f>SUM(M2:M15)</f>
        <v>0</v>
      </c>
    </row>
    <row r="17">
      <c r="A17" s="185"/>
      <c r="B17" s="67"/>
      <c r="C17" s="67"/>
      <c r="D17" s="67"/>
      <c r="E17" s="186"/>
      <c r="F17" s="186"/>
      <c r="G17" s="186"/>
      <c r="H17" s="67"/>
      <c r="I17" s="238"/>
      <c r="J17" s="186"/>
      <c r="K17" s="186"/>
      <c r="L17" s="186"/>
      <c r="M17" s="186"/>
    </row>
    <row r="18">
      <c r="A18" s="185"/>
      <c r="B18" s="198"/>
      <c r="C18" s="198"/>
      <c r="D18" s="198"/>
      <c r="E18" s="198"/>
      <c r="F18" s="186"/>
      <c r="G18" s="186"/>
      <c r="H18" s="67"/>
      <c r="I18" s="238"/>
      <c r="J18" s="238"/>
      <c r="K18" s="238"/>
      <c r="L18" s="238"/>
      <c r="M18" s="238"/>
    </row>
    <row r="19">
      <c r="A19" s="185"/>
      <c r="B19" s="198"/>
      <c r="C19" s="198"/>
      <c r="D19" s="198"/>
      <c r="E19" s="198"/>
      <c r="F19" s="186"/>
      <c r="G19" s="186"/>
      <c r="H19" s="67"/>
      <c r="I19" s="238"/>
      <c r="J19" s="238"/>
      <c r="K19" s="238"/>
      <c r="L19" s="238"/>
      <c r="M19" s="238"/>
    </row>
    <row r="20">
      <c r="A20" s="185"/>
      <c r="B20" s="198"/>
      <c r="C20" s="198"/>
      <c r="D20" s="198"/>
      <c r="E20" s="198"/>
      <c r="F20" s="186"/>
      <c r="G20" s="186"/>
      <c r="H20" s="67"/>
      <c r="I20" s="238"/>
      <c r="J20" s="238"/>
      <c r="K20" s="238"/>
      <c r="L20" s="238"/>
      <c r="M20" s="238"/>
    </row>
    <row r="21">
      <c r="A21" s="185"/>
      <c r="B21" s="239" t="s">
        <v>154</v>
      </c>
      <c r="C21" s="13"/>
      <c r="D21" s="13"/>
      <c r="E21" s="13"/>
      <c r="F21" s="13"/>
      <c r="G21" s="14"/>
      <c r="H21" s="67"/>
      <c r="I21" s="238"/>
      <c r="J21" s="238"/>
      <c r="K21" s="238"/>
      <c r="L21" s="238"/>
      <c r="M21" s="238"/>
    </row>
    <row r="22">
      <c r="A22" s="185"/>
      <c r="B22" s="34"/>
      <c r="G22" s="17"/>
      <c r="H22" s="67"/>
      <c r="I22" s="238"/>
      <c r="J22" s="238"/>
      <c r="K22" s="238"/>
      <c r="L22" s="238"/>
      <c r="M22" s="238"/>
    </row>
    <row r="23">
      <c r="A23" s="185"/>
      <c r="B23" s="240" t="s">
        <v>155</v>
      </c>
      <c r="G23" s="17"/>
      <c r="H23" s="67"/>
      <c r="I23" s="186"/>
      <c r="J23" s="238"/>
      <c r="K23" s="238"/>
      <c r="L23" s="238"/>
      <c r="M23" s="238"/>
    </row>
    <row r="24">
      <c r="A24" s="185"/>
      <c r="B24" s="34"/>
      <c r="G24" s="17"/>
      <c r="H24" s="67"/>
      <c r="I24" s="186"/>
      <c r="J24" s="238"/>
      <c r="K24" s="238"/>
      <c r="L24" s="238"/>
      <c r="M24" s="238"/>
    </row>
    <row r="25">
      <c r="A25" s="185"/>
      <c r="B25" s="34"/>
      <c r="G25" s="17"/>
      <c r="H25" s="67"/>
      <c r="I25" s="186"/>
      <c r="J25" s="186"/>
      <c r="K25" s="186"/>
      <c r="L25" s="186"/>
      <c r="M25" s="186"/>
    </row>
    <row r="26">
      <c r="A26" s="185"/>
      <c r="B26" s="241" t="s">
        <v>156</v>
      </c>
      <c r="G26" s="17"/>
      <c r="H26" s="67"/>
      <c r="I26" s="186"/>
      <c r="J26" s="186"/>
      <c r="K26" s="186"/>
      <c r="L26" s="186"/>
      <c r="M26" s="186"/>
    </row>
    <row r="27">
      <c r="A27" s="185"/>
      <c r="B27" s="34"/>
      <c r="G27" s="17"/>
      <c r="H27" s="67"/>
      <c r="I27" s="186"/>
      <c r="J27" s="186"/>
      <c r="K27" s="186"/>
      <c r="L27" s="186"/>
      <c r="M27" s="186"/>
    </row>
    <row r="28">
      <c r="A28" s="185"/>
      <c r="B28" s="34"/>
      <c r="G28" s="17"/>
      <c r="H28" s="67"/>
      <c r="I28" s="186"/>
      <c r="J28" s="186"/>
      <c r="K28" s="186"/>
      <c r="L28" s="186"/>
      <c r="M28" s="186"/>
    </row>
    <row r="29">
      <c r="A29" s="185"/>
      <c r="B29" s="29"/>
      <c r="C29" s="30"/>
      <c r="D29" s="30"/>
      <c r="E29" s="30"/>
      <c r="F29" s="30"/>
      <c r="G29" s="31"/>
      <c r="H29" s="67"/>
      <c r="I29" s="186"/>
      <c r="J29" s="186"/>
      <c r="K29" s="186"/>
      <c r="L29" s="186"/>
      <c r="M29" s="186"/>
    </row>
    <row r="30">
      <c r="A30" s="185"/>
      <c r="B30" s="67"/>
      <c r="C30" s="67"/>
      <c r="D30" s="67"/>
      <c r="E30" s="186"/>
      <c r="F30" s="186"/>
      <c r="G30" s="186"/>
      <c r="H30" s="67"/>
      <c r="I30" s="186"/>
      <c r="J30" s="186"/>
      <c r="K30" s="186"/>
      <c r="L30" s="186"/>
      <c r="M30" s="186"/>
    </row>
    <row r="31">
      <c r="A31" s="185"/>
      <c r="B31" s="67"/>
      <c r="C31" s="67"/>
      <c r="D31" s="67"/>
      <c r="E31" s="186"/>
      <c r="F31" s="186"/>
      <c r="G31" s="186"/>
      <c r="H31" s="67"/>
      <c r="I31" s="186"/>
      <c r="J31" s="186"/>
      <c r="K31" s="186"/>
      <c r="L31" s="186"/>
      <c r="M31" s="186"/>
    </row>
    <row r="32">
      <c r="A32" s="185"/>
      <c r="B32" s="67"/>
      <c r="C32" s="67"/>
      <c r="D32" s="67"/>
      <c r="E32" s="186"/>
      <c r="F32" s="186"/>
      <c r="G32" s="186"/>
      <c r="H32" s="67"/>
      <c r="I32" s="186"/>
      <c r="J32" s="186"/>
      <c r="K32" s="186"/>
      <c r="L32" s="186"/>
      <c r="M32" s="186"/>
    </row>
    <row r="33">
      <c r="A33" s="185"/>
      <c r="B33" s="67"/>
      <c r="C33" s="67"/>
      <c r="D33" s="67"/>
      <c r="E33" s="186"/>
      <c r="F33" s="186"/>
      <c r="G33" s="186"/>
      <c r="H33" s="67"/>
      <c r="I33" s="186"/>
      <c r="J33" s="186"/>
      <c r="K33" s="186"/>
      <c r="L33" s="186"/>
      <c r="M33" s="186"/>
    </row>
    <row r="34">
      <c r="A34" s="185"/>
      <c r="B34" s="67"/>
      <c r="C34" s="67"/>
      <c r="D34" s="67"/>
      <c r="E34" s="186"/>
      <c r="F34" s="186"/>
      <c r="G34" s="186"/>
      <c r="H34" s="67"/>
      <c r="I34" s="186"/>
      <c r="J34" s="186"/>
      <c r="K34" s="186"/>
      <c r="L34" s="186"/>
      <c r="M34" s="186"/>
    </row>
    <row r="35">
      <c r="A35" s="185"/>
      <c r="B35" s="67"/>
      <c r="C35" s="67"/>
      <c r="D35" s="67"/>
      <c r="E35" s="186"/>
      <c r="F35" s="186"/>
      <c r="G35" s="186"/>
      <c r="H35" s="67"/>
      <c r="I35" s="186"/>
      <c r="J35" s="186"/>
      <c r="K35" s="186"/>
      <c r="L35" s="186"/>
      <c r="M35" s="186"/>
    </row>
    <row r="36">
      <c r="A36" s="185"/>
      <c r="B36" s="67"/>
      <c r="C36" s="67"/>
      <c r="D36" s="67"/>
      <c r="E36" s="186"/>
      <c r="F36" s="186"/>
      <c r="G36" s="186"/>
      <c r="H36" s="67"/>
      <c r="I36" s="186"/>
      <c r="J36" s="186"/>
      <c r="K36" s="186"/>
      <c r="L36" s="186"/>
      <c r="M36" s="186"/>
    </row>
    <row r="37">
      <c r="A37" s="185"/>
      <c r="B37" s="67"/>
      <c r="C37" s="67"/>
      <c r="D37" s="67"/>
      <c r="E37" s="186"/>
      <c r="F37" s="186"/>
      <c r="G37" s="186"/>
      <c r="H37" s="67"/>
      <c r="I37" s="186"/>
      <c r="J37" s="186"/>
      <c r="K37" s="186"/>
      <c r="L37" s="186"/>
      <c r="M37" s="186"/>
    </row>
    <row r="38">
      <c r="A38" s="185"/>
      <c r="B38" s="67"/>
      <c r="C38" s="67"/>
      <c r="D38" s="67"/>
      <c r="E38" s="186"/>
      <c r="F38" s="186"/>
      <c r="G38" s="186"/>
      <c r="H38" s="67"/>
      <c r="I38" s="186"/>
      <c r="J38" s="186"/>
      <c r="K38" s="186"/>
      <c r="L38" s="186"/>
      <c r="M38" s="186"/>
    </row>
    <row r="39">
      <c r="A39" s="185"/>
      <c r="B39" s="67"/>
      <c r="C39" s="67"/>
      <c r="D39" s="67"/>
      <c r="E39" s="186"/>
      <c r="F39" s="186"/>
      <c r="G39" s="186"/>
      <c r="H39" s="67"/>
      <c r="I39" s="186"/>
      <c r="J39" s="186"/>
      <c r="K39" s="186"/>
      <c r="L39" s="186"/>
      <c r="M39" s="186"/>
    </row>
    <row r="40">
      <c r="A40" s="185"/>
      <c r="B40" s="67"/>
      <c r="C40" s="67"/>
      <c r="D40" s="67"/>
      <c r="E40" s="186"/>
      <c r="F40" s="186"/>
      <c r="G40" s="186"/>
      <c r="H40" s="67"/>
      <c r="I40" s="186"/>
      <c r="J40" s="186"/>
      <c r="K40" s="186"/>
      <c r="L40" s="186"/>
      <c r="M40" s="186"/>
    </row>
    <row r="41">
      <c r="A41" s="185"/>
      <c r="B41" s="67"/>
      <c r="C41" s="67"/>
      <c r="D41" s="67"/>
      <c r="E41" s="186"/>
      <c r="F41" s="186"/>
      <c r="G41" s="186"/>
      <c r="H41" s="67"/>
      <c r="I41" s="186"/>
      <c r="J41" s="186"/>
      <c r="K41" s="186"/>
      <c r="L41" s="186"/>
      <c r="M41" s="186"/>
    </row>
    <row r="42">
      <c r="A42" s="185"/>
      <c r="B42" s="67"/>
      <c r="C42" s="67"/>
      <c r="D42" s="67"/>
      <c r="E42" s="186"/>
      <c r="F42" s="186"/>
      <c r="G42" s="186"/>
      <c r="H42" s="67"/>
      <c r="I42" s="186"/>
      <c r="J42" s="186"/>
      <c r="K42" s="186"/>
      <c r="L42" s="186"/>
      <c r="M42" s="186"/>
    </row>
    <row r="43">
      <c r="A43" s="185"/>
      <c r="B43" s="67"/>
      <c r="C43" s="67"/>
      <c r="D43" s="67"/>
      <c r="E43" s="186"/>
      <c r="F43" s="186"/>
      <c r="G43" s="186"/>
      <c r="H43" s="67"/>
      <c r="I43" s="186"/>
      <c r="J43" s="186"/>
      <c r="K43" s="186"/>
      <c r="L43" s="186"/>
      <c r="M43" s="186"/>
    </row>
    <row r="44">
      <c r="A44" s="185"/>
      <c r="B44" s="67"/>
      <c r="C44" s="67"/>
      <c r="D44" s="67"/>
      <c r="E44" s="186"/>
      <c r="F44" s="186"/>
      <c r="G44" s="186"/>
      <c r="H44" s="67"/>
      <c r="I44" s="186"/>
      <c r="J44" s="186"/>
      <c r="K44" s="186"/>
      <c r="L44" s="186"/>
      <c r="M44" s="186"/>
    </row>
    <row r="45">
      <c r="A45" s="185"/>
      <c r="B45" s="67"/>
      <c r="C45" s="67"/>
      <c r="D45" s="67"/>
      <c r="E45" s="186"/>
      <c r="F45" s="186"/>
      <c r="G45" s="186"/>
      <c r="H45" s="67"/>
      <c r="I45" s="186"/>
      <c r="J45" s="186"/>
      <c r="K45" s="186"/>
      <c r="L45" s="186"/>
      <c r="M45" s="186"/>
    </row>
    <row r="46">
      <c r="A46" s="185"/>
      <c r="B46" s="67"/>
      <c r="C46" s="67"/>
      <c r="D46" s="67"/>
      <c r="E46" s="186"/>
      <c r="F46" s="186"/>
      <c r="G46" s="186"/>
      <c r="H46" s="67"/>
      <c r="I46" s="186"/>
      <c r="J46" s="186"/>
      <c r="K46" s="186"/>
      <c r="L46" s="186"/>
      <c r="M46" s="186"/>
    </row>
    <row r="47">
      <c r="A47" s="185"/>
      <c r="B47" s="67"/>
      <c r="C47" s="67"/>
      <c r="D47" s="67"/>
      <c r="E47" s="186"/>
      <c r="F47" s="186"/>
      <c r="G47" s="186"/>
      <c r="H47" s="67"/>
      <c r="I47" s="186"/>
      <c r="J47" s="186"/>
      <c r="K47" s="186"/>
      <c r="L47" s="186"/>
      <c r="M47" s="186"/>
    </row>
    <row r="48">
      <c r="A48" s="185"/>
      <c r="B48" s="67"/>
      <c r="C48" s="67"/>
      <c r="D48" s="67"/>
      <c r="E48" s="186"/>
      <c r="F48" s="186"/>
      <c r="G48" s="186"/>
      <c r="H48" s="67"/>
      <c r="I48" s="186"/>
      <c r="J48" s="186"/>
      <c r="K48" s="186"/>
      <c r="L48" s="186"/>
      <c r="M48" s="186"/>
    </row>
    <row r="49">
      <c r="A49" s="185"/>
      <c r="B49" s="67"/>
      <c r="C49" s="67"/>
      <c r="D49" s="67"/>
      <c r="E49" s="186"/>
      <c r="F49" s="186"/>
      <c r="G49" s="186"/>
      <c r="H49" s="67"/>
      <c r="I49" s="186"/>
      <c r="J49" s="186"/>
      <c r="K49" s="186"/>
      <c r="L49" s="186"/>
      <c r="M49" s="186"/>
    </row>
    <row r="50">
      <c r="A50" s="185"/>
      <c r="B50" s="67"/>
      <c r="C50" s="67"/>
      <c r="D50" s="67"/>
      <c r="E50" s="186"/>
      <c r="F50" s="186"/>
      <c r="G50" s="186"/>
      <c r="H50" s="67"/>
      <c r="I50" s="186"/>
      <c r="J50" s="186"/>
      <c r="K50" s="186"/>
      <c r="L50" s="186"/>
      <c r="M50" s="186"/>
    </row>
    <row r="51">
      <c r="A51" s="185"/>
      <c r="B51" s="67"/>
      <c r="C51" s="67"/>
      <c r="D51" s="67"/>
      <c r="E51" s="186"/>
      <c r="F51" s="186"/>
      <c r="G51" s="186"/>
      <c r="H51" s="67"/>
      <c r="I51" s="186"/>
      <c r="J51" s="186"/>
      <c r="K51" s="186"/>
      <c r="L51" s="186"/>
      <c r="M51" s="186"/>
    </row>
    <row r="52">
      <c r="A52" s="185"/>
      <c r="B52" s="67"/>
      <c r="C52" s="67"/>
      <c r="D52" s="67"/>
      <c r="E52" s="186"/>
      <c r="F52" s="186"/>
      <c r="G52" s="186"/>
      <c r="H52" s="67"/>
      <c r="I52" s="186"/>
      <c r="J52" s="186"/>
      <c r="K52" s="186"/>
      <c r="L52" s="186"/>
      <c r="M52" s="186"/>
    </row>
    <row r="53">
      <c r="A53" s="185"/>
      <c r="B53" s="67"/>
      <c r="C53" s="67"/>
      <c r="D53" s="67"/>
      <c r="E53" s="186"/>
      <c r="F53" s="186"/>
      <c r="G53" s="186"/>
      <c r="H53" s="67"/>
      <c r="I53" s="186"/>
      <c r="J53" s="186"/>
      <c r="K53" s="186"/>
      <c r="L53" s="186"/>
      <c r="M53" s="186"/>
    </row>
    <row r="54">
      <c r="A54" s="185"/>
      <c r="B54" s="67"/>
      <c r="C54" s="67"/>
      <c r="D54" s="67"/>
      <c r="E54" s="186"/>
      <c r="F54" s="186"/>
      <c r="G54" s="186"/>
      <c r="H54" s="67"/>
      <c r="I54" s="186"/>
      <c r="J54" s="186"/>
      <c r="K54" s="186"/>
      <c r="L54" s="186"/>
      <c r="M54" s="186"/>
    </row>
    <row r="55">
      <c r="A55" s="185"/>
      <c r="B55" s="67"/>
      <c r="C55" s="67"/>
      <c r="D55" s="67"/>
      <c r="E55" s="186"/>
      <c r="F55" s="186"/>
      <c r="G55" s="186"/>
      <c r="H55" s="67"/>
      <c r="I55" s="186"/>
      <c r="J55" s="186"/>
      <c r="K55" s="186"/>
      <c r="L55" s="186"/>
      <c r="M55" s="186"/>
    </row>
    <row r="56">
      <c r="A56" s="185"/>
      <c r="B56" s="67"/>
      <c r="C56" s="67"/>
      <c r="D56" s="67"/>
      <c r="E56" s="186"/>
      <c r="F56" s="186"/>
      <c r="G56" s="186"/>
      <c r="H56" s="67"/>
      <c r="I56" s="186"/>
      <c r="J56" s="186"/>
      <c r="K56" s="186"/>
      <c r="L56" s="186"/>
      <c r="M56" s="186"/>
    </row>
    <row r="57">
      <c r="A57" s="185"/>
      <c r="B57" s="67"/>
      <c r="C57" s="67"/>
      <c r="D57" s="67"/>
      <c r="E57" s="186"/>
      <c r="F57" s="186"/>
      <c r="G57" s="186"/>
      <c r="H57" s="67"/>
      <c r="I57" s="186"/>
      <c r="J57" s="186"/>
      <c r="K57" s="186"/>
      <c r="L57" s="186"/>
      <c r="M57" s="186"/>
    </row>
    <row r="58">
      <c r="A58" s="185"/>
      <c r="B58" s="67"/>
      <c r="C58" s="67"/>
      <c r="D58" s="67"/>
      <c r="E58" s="186"/>
      <c r="F58" s="186"/>
      <c r="G58" s="186"/>
      <c r="H58" s="67"/>
      <c r="I58" s="186"/>
      <c r="J58" s="186"/>
      <c r="K58" s="186"/>
      <c r="L58" s="186"/>
      <c r="M58" s="186"/>
    </row>
    <row r="59">
      <c r="A59" s="185"/>
      <c r="B59" s="67"/>
      <c r="C59" s="67"/>
      <c r="D59" s="67"/>
      <c r="E59" s="186"/>
      <c r="F59" s="186"/>
      <c r="G59" s="186"/>
      <c r="H59" s="67"/>
      <c r="I59" s="186"/>
      <c r="J59" s="186"/>
      <c r="K59" s="186"/>
      <c r="L59" s="186"/>
      <c r="M59" s="186"/>
    </row>
    <row r="60">
      <c r="A60" s="185"/>
      <c r="B60" s="67"/>
      <c r="C60" s="67"/>
      <c r="D60" s="67"/>
      <c r="E60" s="186"/>
      <c r="F60" s="186"/>
      <c r="G60" s="186"/>
      <c r="H60" s="67"/>
      <c r="I60" s="186"/>
      <c r="J60" s="186"/>
      <c r="K60" s="186"/>
      <c r="L60" s="186"/>
      <c r="M60" s="186"/>
    </row>
    <row r="61">
      <c r="A61" s="185"/>
      <c r="B61" s="67"/>
      <c r="C61" s="67"/>
      <c r="D61" s="67"/>
      <c r="E61" s="186"/>
      <c r="F61" s="186"/>
      <c r="G61" s="186"/>
      <c r="H61" s="67"/>
      <c r="I61" s="186"/>
      <c r="J61" s="186"/>
      <c r="K61" s="186"/>
      <c r="L61" s="186"/>
      <c r="M61" s="186"/>
    </row>
    <row r="62">
      <c r="A62" s="185"/>
      <c r="B62" s="67"/>
      <c r="C62" s="67"/>
      <c r="D62" s="67"/>
      <c r="E62" s="186"/>
      <c r="F62" s="186"/>
      <c r="G62" s="186"/>
      <c r="H62" s="67"/>
      <c r="I62" s="186"/>
      <c r="J62" s="186"/>
      <c r="K62" s="186"/>
      <c r="L62" s="186"/>
      <c r="M62" s="186"/>
    </row>
    <row r="63">
      <c r="A63" s="185"/>
      <c r="B63" s="67"/>
      <c r="C63" s="67"/>
      <c r="D63" s="67"/>
      <c r="E63" s="186"/>
      <c r="F63" s="186"/>
      <c r="G63" s="186"/>
      <c r="H63" s="67"/>
      <c r="I63" s="186"/>
      <c r="J63" s="186"/>
      <c r="K63" s="186"/>
      <c r="L63" s="186"/>
      <c r="M63" s="186"/>
    </row>
    <row r="64">
      <c r="A64" s="185"/>
      <c r="B64" s="67"/>
      <c r="C64" s="67"/>
      <c r="D64" s="67"/>
      <c r="E64" s="186"/>
      <c r="F64" s="186"/>
      <c r="G64" s="186"/>
      <c r="H64" s="67"/>
      <c r="I64" s="186"/>
      <c r="J64" s="186"/>
      <c r="K64" s="186"/>
      <c r="L64" s="186"/>
      <c r="M64" s="186"/>
    </row>
    <row r="65">
      <c r="A65" s="185"/>
      <c r="B65" s="67"/>
      <c r="C65" s="67"/>
      <c r="D65" s="67"/>
      <c r="E65" s="186"/>
      <c r="F65" s="186"/>
      <c r="G65" s="186"/>
      <c r="H65" s="67"/>
      <c r="I65" s="186"/>
      <c r="J65" s="186"/>
      <c r="K65" s="186"/>
      <c r="L65" s="186"/>
      <c r="M65" s="186"/>
    </row>
    <row r="66">
      <c r="A66" s="185"/>
      <c r="B66" s="67"/>
      <c r="C66" s="67"/>
      <c r="D66" s="67"/>
      <c r="E66" s="186"/>
      <c r="F66" s="186"/>
      <c r="G66" s="186"/>
      <c r="H66" s="67"/>
      <c r="I66" s="186"/>
      <c r="J66" s="186"/>
      <c r="K66" s="186"/>
      <c r="L66" s="186"/>
      <c r="M66" s="186"/>
    </row>
    <row r="67">
      <c r="A67" s="185"/>
      <c r="B67" s="67"/>
      <c r="C67" s="67"/>
      <c r="D67" s="67"/>
      <c r="E67" s="186"/>
      <c r="F67" s="186"/>
      <c r="G67" s="186"/>
      <c r="H67" s="67"/>
      <c r="I67" s="186"/>
      <c r="J67" s="186"/>
      <c r="K67" s="186"/>
      <c r="L67" s="186"/>
      <c r="M67" s="186"/>
    </row>
    <row r="68">
      <c r="A68" s="185"/>
      <c r="B68" s="67"/>
      <c r="C68" s="67"/>
      <c r="D68" s="67"/>
      <c r="E68" s="186"/>
      <c r="F68" s="186"/>
      <c r="G68" s="186"/>
      <c r="H68" s="67"/>
      <c r="I68" s="186"/>
      <c r="J68" s="186"/>
      <c r="K68" s="186"/>
      <c r="L68" s="186"/>
      <c r="M68" s="186"/>
    </row>
    <row r="69">
      <c r="A69" s="185"/>
      <c r="B69" s="67"/>
      <c r="C69" s="67"/>
      <c r="D69" s="67"/>
      <c r="E69" s="186"/>
      <c r="F69" s="186"/>
      <c r="G69" s="186"/>
      <c r="H69" s="67"/>
      <c r="I69" s="186"/>
      <c r="J69" s="186"/>
      <c r="K69" s="186"/>
      <c r="L69" s="186"/>
      <c r="M69" s="186"/>
    </row>
    <row r="70">
      <c r="A70" s="185"/>
      <c r="B70" s="67"/>
      <c r="C70" s="67"/>
      <c r="D70" s="67"/>
      <c r="E70" s="186"/>
      <c r="F70" s="186"/>
      <c r="G70" s="186"/>
      <c r="H70" s="67"/>
      <c r="I70" s="186"/>
      <c r="J70" s="186"/>
      <c r="K70" s="186"/>
      <c r="L70" s="186"/>
      <c r="M70" s="186"/>
    </row>
    <row r="71">
      <c r="A71" s="185"/>
      <c r="B71" s="67"/>
      <c r="C71" s="67"/>
      <c r="D71" s="67"/>
      <c r="E71" s="186"/>
      <c r="F71" s="186"/>
      <c r="G71" s="186"/>
      <c r="H71" s="67"/>
      <c r="I71" s="186"/>
      <c r="J71" s="186"/>
      <c r="K71" s="186"/>
      <c r="L71" s="186"/>
      <c r="M71" s="186"/>
    </row>
    <row r="72">
      <c r="A72" s="185"/>
      <c r="B72" s="67"/>
      <c r="C72" s="67"/>
      <c r="D72" s="67"/>
      <c r="E72" s="186"/>
      <c r="F72" s="186"/>
      <c r="G72" s="186"/>
      <c r="H72" s="67"/>
      <c r="I72" s="186"/>
      <c r="J72" s="186"/>
      <c r="K72" s="186"/>
      <c r="L72" s="186"/>
      <c r="M72" s="186"/>
    </row>
    <row r="73">
      <c r="A73" s="185"/>
      <c r="B73" s="67"/>
      <c r="C73" s="67"/>
      <c r="D73" s="67"/>
      <c r="E73" s="186"/>
      <c r="F73" s="186"/>
      <c r="G73" s="186"/>
      <c r="H73" s="67"/>
      <c r="I73" s="186"/>
      <c r="J73" s="186"/>
      <c r="K73" s="186"/>
      <c r="L73" s="186"/>
      <c r="M73" s="186"/>
    </row>
    <row r="74">
      <c r="A74" s="185"/>
      <c r="B74" s="67"/>
      <c r="C74" s="67"/>
      <c r="D74" s="67"/>
      <c r="E74" s="186"/>
      <c r="F74" s="186"/>
      <c r="G74" s="186"/>
      <c r="H74" s="67"/>
      <c r="I74" s="186"/>
      <c r="J74" s="186"/>
      <c r="K74" s="186"/>
      <c r="L74" s="186"/>
      <c r="M74" s="186"/>
    </row>
    <row r="75">
      <c r="A75" s="185"/>
      <c r="B75" s="67"/>
      <c r="C75" s="67"/>
      <c r="D75" s="67"/>
      <c r="E75" s="186"/>
      <c r="F75" s="186"/>
      <c r="G75" s="186"/>
      <c r="H75" s="67"/>
      <c r="I75" s="186"/>
      <c r="J75" s="186"/>
      <c r="K75" s="186"/>
      <c r="L75" s="186"/>
      <c r="M75" s="186"/>
    </row>
    <row r="76">
      <c r="A76" s="185"/>
      <c r="B76" s="67"/>
      <c r="C76" s="67"/>
      <c r="D76" s="67"/>
      <c r="E76" s="186"/>
      <c r="F76" s="186"/>
      <c r="G76" s="186"/>
      <c r="H76" s="67"/>
      <c r="I76" s="186"/>
      <c r="J76" s="186"/>
      <c r="K76" s="186"/>
      <c r="L76" s="186"/>
      <c r="M76" s="186"/>
    </row>
    <row r="77">
      <c r="A77" s="185"/>
      <c r="B77" s="67"/>
      <c r="C77" s="67"/>
      <c r="D77" s="67"/>
      <c r="E77" s="186"/>
      <c r="F77" s="186"/>
      <c r="G77" s="186"/>
      <c r="H77" s="67"/>
      <c r="I77" s="186"/>
      <c r="J77" s="186"/>
      <c r="K77" s="186"/>
      <c r="L77" s="186"/>
      <c r="M77" s="186"/>
    </row>
    <row r="78">
      <c r="A78" s="185"/>
      <c r="B78" s="67"/>
      <c r="C78" s="67"/>
      <c r="D78" s="67"/>
      <c r="E78" s="186"/>
      <c r="F78" s="186"/>
      <c r="G78" s="186"/>
      <c r="H78" s="67"/>
      <c r="I78" s="186"/>
      <c r="J78" s="186"/>
      <c r="K78" s="186"/>
      <c r="L78" s="186"/>
      <c r="M78" s="186"/>
    </row>
    <row r="79">
      <c r="A79" s="185"/>
      <c r="B79" s="67"/>
      <c r="C79" s="67"/>
      <c r="D79" s="67"/>
      <c r="E79" s="186"/>
      <c r="F79" s="186"/>
      <c r="G79" s="186"/>
      <c r="H79" s="67"/>
      <c r="I79" s="186"/>
      <c r="J79" s="186"/>
      <c r="K79" s="186"/>
      <c r="L79" s="186"/>
      <c r="M79" s="186"/>
    </row>
    <row r="80">
      <c r="A80" s="185"/>
      <c r="B80" s="67"/>
      <c r="C80" s="67"/>
      <c r="D80" s="67"/>
      <c r="E80" s="186"/>
      <c r="F80" s="186"/>
      <c r="G80" s="186"/>
      <c r="H80" s="67"/>
      <c r="I80" s="186"/>
      <c r="J80" s="186"/>
      <c r="K80" s="186"/>
      <c r="L80" s="186"/>
      <c r="M80" s="186"/>
    </row>
    <row r="81">
      <c r="A81" s="185"/>
      <c r="B81" s="67"/>
      <c r="C81" s="67"/>
      <c r="D81" s="67"/>
      <c r="E81" s="186"/>
      <c r="F81" s="186"/>
      <c r="G81" s="186"/>
      <c r="H81" s="67"/>
      <c r="I81" s="186"/>
      <c r="J81" s="186"/>
      <c r="K81" s="186"/>
      <c r="L81" s="186"/>
      <c r="M81" s="186"/>
    </row>
    <row r="82">
      <c r="A82" s="185"/>
      <c r="B82" s="67"/>
      <c r="C82" s="67"/>
      <c r="D82" s="67"/>
      <c r="E82" s="186"/>
      <c r="F82" s="186"/>
      <c r="G82" s="186"/>
      <c r="H82" s="67"/>
      <c r="I82" s="186"/>
      <c r="J82" s="186"/>
      <c r="K82" s="186"/>
      <c r="L82" s="186"/>
      <c r="M82" s="186"/>
    </row>
    <row r="83">
      <c r="A83" s="185"/>
      <c r="B83" s="67"/>
      <c r="C83" s="67"/>
      <c r="D83" s="67"/>
      <c r="E83" s="186"/>
      <c r="F83" s="186"/>
      <c r="G83" s="186"/>
      <c r="H83" s="67"/>
      <c r="I83" s="186"/>
      <c r="J83" s="186"/>
      <c r="K83" s="186"/>
      <c r="L83" s="186"/>
      <c r="M83" s="186"/>
    </row>
    <row r="84">
      <c r="A84" s="185"/>
      <c r="B84" s="67"/>
      <c r="C84" s="67"/>
      <c r="D84" s="67"/>
      <c r="E84" s="186"/>
      <c r="F84" s="186"/>
      <c r="G84" s="186"/>
      <c r="H84" s="67"/>
      <c r="I84" s="186"/>
      <c r="J84" s="186"/>
      <c r="K84" s="186"/>
      <c r="L84" s="186"/>
      <c r="M84" s="186"/>
    </row>
    <row r="85">
      <c r="A85" s="185"/>
      <c r="B85" s="67"/>
      <c r="C85" s="67"/>
      <c r="D85" s="67"/>
      <c r="E85" s="186"/>
      <c r="F85" s="186"/>
      <c r="G85" s="186"/>
      <c r="H85" s="67"/>
      <c r="I85" s="186"/>
      <c r="J85" s="186"/>
      <c r="K85" s="186"/>
      <c r="L85" s="186"/>
      <c r="M85" s="186"/>
    </row>
    <row r="86">
      <c r="A86" s="185"/>
      <c r="B86" s="67"/>
      <c r="C86" s="67"/>
      <c r="D86" s="67"/>
      <c r="E86" s="186"/>
      <c r="F86" s="186"/>
      <c r="G86" s="186"/>
      <c r="H86" s="67"/>
      <c r="I86" s="186"/>
      <c r="J86" s="186"/>
      <c r="K86" s="186"/>
      <c r="L86" s="186"/>
      <c r="M86" s="186"/>
    </row>
    <row r="87">
      <c r="A87" s="185"/>
      <c r="B87" s="67"/>
      <c r="C87" s="67"/>
      <c r="D87" s="67"/>
      <c r="E87" s="186"/>
      <c r="F87" s="186"/>
      <c r="G87" s="186"/>
      <c r="H87" s="67"/>
      <c r="I87" s="186"/>
      <c r="J87" s="186"/>
      <c r="K87" s="186"/>
      <c r="L87" s="186"/>
      <c r="M87" s="186"/>
    </row>
    <row r="88">
      <c r="A88" s="185"/>
      <c r="B88" s="67"/>
      <c r="C88" s="67"/>
      <c r="D88" s="67"/>
      <c r="E88" s="186"/>
      <c r="F88" s="186"/>
      <c r="G88" s="186"/>
      <c r="H88" s="67"/>
      <c r="I88" s="186"/>
      <c r="J88" s="186"/>
      <c r="K88" s="186"/>
      <c r="L88" s="186"/>
      <c r="M88" s="186"/>
    </row>
    <row r="89">
      <c r="A89" s="185"/>
      <c r="B89" s="67"/>
      <c r="C89" s="67"/>
      <c r="D89" s="67"/>
      <c r="E89" s="186"/>
      <c r="F89" s="186"/>
      <c r="G89" s="186"/>
      <c r="H89" s="67"/>
      <c r="I89" s="186"/>
      <c r="J89" s="186"/>
      <c r="K89" s="186"/>
      <c r="L89" s="186"/>
      <c r="M89" s="186"/>
    </row>
    <row r="90">
      <c r="A90" s="185"/>
      <c r="B90" s="67"/>
      <c r="C90" s="67"/>
      <c r="D90" s="67"/>
      <c r="E90" s="186"/>
      <c r="F90" s="186"/>
      <c r="G90" s="186"/>
      <c r="H90" s="67"/>
      <c r="I90" s="186"/>
      <c r="J90" s="186"/>
      <c r="K90" s="186"/>
      <c r="L90" s="186"/>
      <c r="M90" s="186"/>
    </row>
    <row r="91">
      <c r="A91" s="185"/>
      <c r="B91" s="67"/>
      <c r="C91" s="67"/>
      <c r="D91" s="67"/>
      <c r="E91" s="186"/>
      <c r="F91" s="186"/>
      <c r="G91" s="186"/>
      <c r="H91" s="67"/>
      <c r="I91" s="186"/>
      <c r="J91" s="186"/>
      <c r="K91" s="186"/>
      <c r="L91" s="186"/>
      <c r="M91" s="186"/>
    </row>
    <row r="92">
      <c r="A92" s="185"/>
      <c r="B92" s="67"/>
      <c r="C92" s="67"/>
      <c r="D92" s="67"/>
      <c r="E92" s="186"/>
      <c r="F92" s="186"/>
      <c r="G92" s="186"/>
      <c r="H92" s="67"/>
      <c r="I92" s="186"/>
      <c r="J92" s="186"/>
      <c r="K92" s="186"/>
      <c r="L92" s="186"/>
      <c r="M92" s="186"/>
    </row>
    <row r="93">
      <c r="A93" s="185"/>
      <c r="B93" s="67"/>
      <c r="C93" s="67"/>
      <c r="D93" s="67"/>
      <c r="E93" s="186"/>
      <c r="F93" s="186"/>
      <c r="G93" s="186"/>
      <c r="H93" s="67"/>
      <c r="I93" s="186"/>
      <c r="J93" s="186"/>
      <c r="K93" s="186"/>
      <c r="L93" s="186"/>
      <c r="M93" s="186"/>
    </row>
    <row r="94">
      <c r="A94" s="185"/>
      <c r="B94" s="67"/>
      <c r="C94" s="67"/>
      <c r="D94" s="67"/>
      <c r="E94" s="186"/>
      <c r="F94" s="186"/>
      <c r="G94" s="186"/>
      <c r="H94" s="67"/>
      <c r="I94" s="186"/>
      <c r="J94" s="186"/>
      <c r="K94" s="186"/>
      <c r="L94" s="186"/>
      <c r="M94" s="186"/>
    </row>
    <row r="95">
      <c r="A95" s="185"/>
      <c r="B95" s="67"/>
      <c r="C95" s="67"/>
      <c r="D95" s="67"/>
      <c r="E95" s="186"/>
      <c r="F95" s="186"/>
      <c r="G95" s="186"/>
      <c r="H95" s="67"/>
      <c r="I95" s="186"/>
      <c r="J95" s="186"/>
      <c r="K95" s="186"/>
      <c r="L95" s="186"/>
      <c r="M95" s="186"/>
    </row>
    <row r="96">
      <c r="A96" s="185"/>
      <c r="B96" s="67"/>
      <c r="C96" s="67"/>
      <c r="D96" s="67"/>
      <c r="E96" s="186"/>
      <c r="F96" s="186"/>
      <c r="G96" s="186"/>
      <c r="H96" s="67"/>
      <c r="I96" s="186"/>
      <c r="J96" s="186"/>
      <c r="K96" s="186"/>
      <c r="L96" s="186"/>
      <c r="M96" s="186"/>
    </row>
    <row r="97">
      <c r="A97" s="185"/>
      <c r="B97" s="67"/>
      <c r="C97" s="67"/>
      <c r="D97" s="67"/>
      <c r="E97" s="186"/>
      <c r="F97" s="186"/>
      <c r="G97" s="186"/>
      <c r="H97" s="67"/>
      <c r="I97" s="186"/>
      <c r="J97" s="186"/>
      <c r="K97" s="186"/>
      <c r="L97" s="186"/>
      <c r="M97" s="186"/>
    </row>
    <row r="98">
      <c r="A98" s="185"/>
      <c r="B98" s="67"/>
      <c r="C98" s="67"/>
      <c r="D98" s="67"/>
      <c r="E98" s="186"/>
      <c r="F98" s="186"/>
      <c r="G98" s="186"/>
      <c r="H98" s="67"/>
      <c r="I98" s="186"/>
      <c r="J98" s="186"/>
      <c r="K98" s="186"/>
      <c r="L98" s="186"/>
      <c r="M98" s="186"/>
    </row>
    <row r="99">
      <c r="A99" s="185"/>
      <c r="B99" s="67"/>
      <c r="C99" s="67"/>
      <c r="D99" s="67"/>
      <c r="E99" s="186"/>
      <c r="F99" s="186"/>
      <c r="G99" s="186"/>
      <c r="H99" s="67"/>
      <c r="I99" s="186"/>
      <c r="J99" s="186"/>
      <c r="K99" s="186"/>
      <c r="L99" s="186"/>
      <c r="M99" s="186"/>
    </row>
    <row r="100">
      <c r="A100" s="185"/>
      <c r="B100" s="67"/>
      <c r="C100" s="67"/>
      <c r="D100" s="67"/>
      <c r="E100" s="186"/>
      <c r="F100" s="186"/>
      <c r="G100" s="186"/>
      <c r="H100" s="67"/>
      <c r="I100" s="186"/>
      <c r="J100" s="186"/>
      <c r="K100" s="186"/>
      <c r="L100" s="186"/>
      <c r="M100" s="186"/>
    </row>
    <row r="101">
      <c r="A101" s="185"/>
      <c r="B101" s="67"/>
      <c r="C101" s="67"/>
      <c r="D101" s="67"/>
      <c r="E101" s="186"/>
      <c r="F101" s="186"/>
      <c r="G101" s="186"/>
      <c r="H101" s="67"/>
      <c r="I101" s="186"/>
      <c r="J101" s="186"/>
      <c r="K101" s="186"/>
      <c r="L101" s="186"/>
      <c r="M101" s="186"/>
    </row>
    <row r="102">
      <c r="A102" s="185"/>
      <c r="B102" s="67"/>
      <c r="C102" s="67"/>
      <c r="D102" s="67"/>
      <c r="E102" s="186"/>
      <c r="F102" s="186"/>
      <c r="G102" s="186"/>
      <c r="H102" s="67"/>
      <c r="I102" s="186"/>
      <c r="J102" s="186"/>
      <c r="K102" s="186"/>
      <c r="L102" s="186"/>
      <c r="M102" s="186"/>
    </row>
    <row r="103">
      <c r="A103" s="185"/>
      <c r="B103" s="67"/>
      <c r="C103" s="67"/>
      <c r="D103" s="67"/>
      <c r="E103" s="186"/>
      <c r="F103" s="186"/>
      <c r="G103" s="186"/>
      <c r="H103" s="67"/>
      <c r="I103" s="186"/>
      <c r="J103" s="186"/>
      <c r="K103" s="186"/>
      <c r="L103" s="186"/>
      <c r="M103" s="186"/>
    </row>
    <row r="104">
      <c r="A104" s="185"/>
      <c r="B104" s="67"/>
      <c r="C104" s="67"/>
      <c r="D104" s="67"/>
      <c r="E104" s="186"/>
      <c r="F104" s="186"/>
      <c r="G104" s="186"/>
      <c r="H104" s="67"/>
      <c r="I104" s="186"/>
      <c r="J104" s="186"/>
      <c r="K104" s="186"/>
      <c r="L104" s="186"/>
      <c r="M104" s="186"/>
    </row>
    <row r="105">
      <c r="A105" s="185"/>
      <c r="B105" s="67"/>
      <c r="C105" s="67"/>
      <c r="D105" s="67"/>
      <c r="E105" s="186"/>
      <c r="F105" s="186"/>
      <c r="G105" s="186"/>
      <c r="H105" s="67"/>
      <c r="I105" s="186"/>
      <c r="J105" s="186"/>
      <c r="K105" s="186"/>
      <c r="L105" s="186"/>
      <c r="M105" s="186"/>
    </row>
    <row r="106">
      <c r="A106" s="185"/>
      <c r="B106" s="67"/>
      <c r="C106" s="67"/>
      <c r="D106" s="67"/>
      <c r="E106" s="186"/>
      <c r="F106" s="186"/>
      <c r="G106" s="186"/>
      <c r="H106" s="67"/>
      <c r="I106" s="186"/>
      <c r="J106" s="186"/>
      <c r="K106" s="186"/>
      <c r="L106" s="186"/>
      <c r="M106" s="186"/>
    </row>
    <row r="107">
      <c r="A107" s="185"/>
      <c r="B107" s="67"/>
      <c r="C107" s="67"/>
      <c r="D107" s="67"/>
      <c r="E107" s="186"/>
      <c r="F107" s="186"/>
      <c r="G107" s="186"/>
      <c r="H107" s="67"/>
      <c r="I107" s="186"/>
      <c r="J107" s="186"/>
      <c r="K107" s="186"/>
      <c r="L107" s="186"/>
      <c r="M107" s="186"/>
    </row>
    <row r="108">
      <c r="A108" s="185"/>
      <c r="B108" s="67"/>
      <c r="C108" s="67"/>
      <c r="D108" s="67"/>
      <c r="E108" s="186"/>
      <c r="F108" s="186"/>
      <c r="G108" s="186"/>
      <c r="H108" s="67"/>
      <c r="I108" s="186"/>
      <c r="J108" s="186"/>
      <c r="K108" s="186"/>
      <c r="L108" s="186"/>
      <c r="M108" s="186"/>
    </row>
    <row r="109">
      <c r="A109" s="185"/>
      <c r="B109" s="67"/>
      <c r="C109" s="67"/>
      <c r="D109" s="67"/>
      <c r="E109" s="186"/>
      <c r="F109" s="186"/>
      <c r="G109" s="186"/>
      <c r="H109" s="67"/>
      <c r="I109" s="186"/>
      <c r="J109" s="186"/>
      <c r="K109" s="186"/>
      <c r="L109" s="186"/>
      <c r="M109" s="186"/>
    </row>
    <row r="110">
      <c r="A110" s="185"/>
      <c r="B110" s="67"/>
      <c r="C110" s="67"/>
      <c r="D110" s="67"/>
      <c r="E110" s="186"/>
      <c r="F110" s="186"/>
      <c r="G110" s="186"/>
      <c r="H110" s="67"/>
      <c r="I110" s="186"/>
      <c r="J110" s="186"/>
      <c r="K110" s="186"/>
      <c r="L110" s="186"/>
      <c r="M110" s="186"/>
    </row>
    <row r="111">
      <c r="A111" s="185"/>
      <c r="B111" s="67"/>
      <c r="C111" s="67"/>
      <c r="D111" s="67"/>
      <c r="E111" s="186"/>
      <c r="F111" s="186"/>
      <c r="G111" s="186"/>
      <c r="H111" s="67"/>
      <c r="I111" s="186"/>
      <c r="J111" s="186"/>
      <c r="K111" s="186"/>
      <c r="L111" s="186"/>
      <c r="M111" s="186"/>
    </row>
    <row r="112">
      <c r="A112" s="185"/>
      <c r="B112" s="67"/>
      <c r="C112" s="67"/>
      <c r="D112" s="67"/>
      <c r="E112" s="186"/>
      <c r="F112" s="186"/>
      <c r="G112" s="186"/>
      <c r="H112" s="67"/>
      <c r="I112" s="186"/>
      <c r="J112" s="186"/>
      <c r="K112" s="186"/>
      <c r="L112" s="186"/>
      <c r="M112" s="186"/>
    </row>
    <row r="113">
      <c r="A113" s="185"/>
      <c r="B113" s="67"/>
      <c r="C113" s="67"/>
      <c r="D113" s="67"/>
      <c r="E113" s="186"/>
      <c r="F113" s="186"/>
      <c r="G113" s="186"/>
      <c r="H113" s="67"/>
      <c r="I113" s="186"/>
      <c r="J113" s="186"/>
      <c r="K113" s="186"/>
      <c r="L113" s="186"/>
      <c r="M113" s="186"/>
    </row>
    <row r="114">
      <c r="A114" s="185"/>
      <c r="B114" s="67"/>
      <c r="C114" s="67"/>
      <c r="D114" s="67"/>
      <c r="E114" s="186"/>
      <c r="F114" s="186"/>
      <c r="G114" s="186"/>
      <c r="H114" s="67"/>
      <c r="I114" s="186"/>
      <c r="J114" s="186"/>
      <c r="K114" s="186"/>
      <c r="L114" s="186"/>
      <c r="M114" s="186"/>
    </row>
    <row r="115">
      <c r="A115" s="185"/>
      <c r="B115" s="67"/>
      <c r="C115" s="67"/>
      <c r="D115" s="67"/>
      <c r="E115" s="186"/>
      <c r="F115" s="186"/>
      <c r="G115" s="186"/>
      <c r="H115" s="67"/>
      <c r="I115" s="186"/>
      <c r="J115" s="186"/>
      <c r="K115" s="186"/>
      <c r="L115" s="186"/>
      <c r="M115" s="186"/>
    </row>
    <row r="116">
      <c r="A116" s="185"/>
      <c r="B116" s="67"/>
      <c r="C116" s="67"/>
      <c r="D116" s="67"/>
      <c r="E116" s="186"/>
      <c r="F116" s="186"/>
      <c r="G116" s="186"/>
      <c r="H116" s="67"/>
      <c r="I116" s="186"/>
      <c r="J116" s="186"/>
      <c r="K116" s="186"/>
      <c r="L116" s="186"/>
      <c r="M116" s="186"/>
    </row>
    <row r="117">
      <c r="A117" s="185"/>
      <c r="B117" s="67"/>
      <c r="C117" s="67"/>
      <c r="D117" s="67"/>
      <c r="E117" s="186"/>
      <c r="F117" s="186"/>
      <c r="G117" s="186"/>
      <c r="H117" s="67"/>
      <c r="I117" s="186"/>
      <c r="J117" s="186"/>
      <c r="K117" s="186"/>
      <c r="L117" s="186"/>
      <c r="M117" s="186"/>
    </row>
    <row r="118">
      <c r="A118" s="185"/>
      <c r="B118" s="67"/>
      <c r="C118" s="67"/>
      <c r="D118" s="67"/>
      <c r="E118" s="186"/>
      <c r="F118" s="186"/>
      <c r="G118" s="186"/>
      <c r="H118" s="67"/>
      <c r="I118" s="186"/>
      <c r="J118" s="186"/>
      <c r="K118" s="186"/>
      <c r="L118" s="186"/>
      <c r="M118" s="186"/>
    </row>
    <row r="119">
      <c r="A119" s="185"/>
      <c r="B119" s="67"/>
      <c r="C119" s="67"/>
      <c r="D119" s="67"/>
      <c r="E119" s="186"/>
      <c r="F119" s="186"/>
      <c r="G119" s="186"/>
      <c r="H119" s="67"/>
      <c r="I119" s="186"/>
      <c r="J119" s="186"/>
      <c r="K119" s="186"/>
      <c r="L119" s="186"/>
      <c r="M119" s="186"/>
    </row>
    <row r="120">
      <c r="A120" s="185"/>
      <c r="B120" s="67"/>
      <c r="C120" s="67"/>
      <c r="D120" s="67"/>
      <c r="E120" s="186"/>
      <c r="F120" s="186"/>
      <c r="G120" s="186"/>
      <c r="H120" s="67"/>
      <c r="I120" s="186"/>
      <c r="J120" s="186"/>
      <c r="K120" s="186"/>
      <c r="L120" s="186"/>
      <c r="M120" s="186"/>
    </row>
    <row r="121">
      <c r="A121" s="185"/>
      <c r="B121" s="67"/>
      <c r="C121" s="67"/>
      <c r="D121" s="67"/>
      <c r="E121" s="186"/>
      <c r="F121" s="186"/>
      <c r="G121" s="186"/>
      <c r="H121" s="67"/>
      <c r="I121" s="186"/>
      <c r="J121" s="186"/>
      <c r="K121" s="186"/>
      <c r="L121" s="186"/>
      <c r="M121" s="186"/>
    </row>
    <row r="122">
      <c r="A122" s="185"/>
      <c r="B122" s="67"/>
      <c r="C122" s="67"/>
      <c r="D122" s="67"/>
      <c r="E122" s="186"/>
      <c r="F122" s="186"/>
      <c r="G122" s="186"/>
      <c r="H122" s="67"/>
      <c r="I122" s="186"/>
      <c r="J122" s="186"/>
      <c r="K122" s="186"/>
      <c r="L122" s="186"/>
      <c r="M122" s="186"/>
    </row>
    <row r="123">
      <c r="A123" s="185"/>
      <c r="B123" s="67"/>
      <c r="C123" s="67"/>
      <c r="D123" s="67"/>
      <c r="E123" s="186"/>
      <c r="F123" s="186"/>
      <c r="G123" s="186"/>
      <c r="H123" s="67"/>
      <c r="I123" s="186"/>
      <c r="J123" s="186"/>
      <c r="K123" s="186"/>
      <c r="L123" s="186"/>
      <c r="M123" s="186"/>
    </row>
    <row r="124">
      <c r="A124" s="185"/>
      <c r="B124" s="67"/>
      <c r="C124" s="67"/>
      <c r="D124" s="67"/>
      <c r="E124" s="186"/>
      <c r="F124" s="186"/>
      <c r="G124" s="186"/>
      <c r="H124" s="67"/>
      <c r="I124" s="186"/>
      <c r="J124" s="186"/>
      <c r="K124" s="186"/>
      <c r="L124" s="186"/>
      <c r="M124" s="186"/>
    </row>
    <row r="125">
      <c r="A125" s="185"/>
      <c r="B125" s="67"/>
      <c r="C125" s="67"/>
      <c r="D125" s="67"/>
      <c r="E125" s="186"/>
      <c r="F125" s="186"/>
      <c r="G125" s="186"/>
      <c r="H125" s="67"/>
      <c r="I125" s="186"/>
      <c r="J125" s="186"/>
      <c r="K125" s="186"/>
      <c r="L125" s="186"/>
      <c r="M125" s="186"/>
    </row>
    <row r="126">
      <c r="A126" s="185"/>
      <c r="B126" s="67"/>
      <c r="C126" s="67"/>
      <c r="D126" s="67"/>
      <c r="E126" s="186"/>
      <c r="F126" s="186"/>
      <c r="G126" s="186"/>
      <c r="H126" s="67"/>
      <c r="I126" s="186"/>
      <c r="J126" s="186"/>
      <c r="K126" s="186"/>
      <c r="L126" s="186"/>
      <c r="M126" s="186"/>
    </row>
    <row r="127">
      <c r="A127" s="185"/>
      <c r="B127" s="67"/>
      <c r="C127" s="67"/>
      <c r="D127" s="67"/>
      <c r="E127" s="186"/>
      <c r="F127" s="186"/>
      <c r="G127" s="186"/>
      <c r="H127" s="67"/>
      <c r="I127" s="186"/>
      <c r="J127" s="186"/>
      <c r="K127" s="186"/>
      <c r="L127" s="186"/>
      <c r="M127" s="186"/>
    </row>
    <row r="128">
      <c r="A128" s="185"/>
      <c r="B128" s="67"/>
      <c r="C128" s="67"/>
      <c r="D128" s="67"/>
      <c r="E128" s="186"/>
      <c r="F128" s="186"/>
      <c r="G128" s="186"/>
      <c r="H128" s="67"/>
      <c r="I128" s="186"/>
      <c r="J128" s="186"/>
      <c r="K128" s="186"/>
      <c r="L128" s="186"/>
      <c r="M128" s="186"/>
    </row>
    <row r="129">
      <c r="A129" s="185"/>
      <c r="B129" s="67"/>
      <c r="C129" s="67"/>
      <c r="D129" s="67"/>
      <c r="E129" s="186"/>
      <c r="F129" s="186"/>
      <c r="G129" s="186"/>
      <c r="H129" s="67"/>
      <c r="I129" s="186"/>
      <c r="J129" s="186"/>
      <c r="K129" s="186"/>
      <c r="L129" s="186"/>
      <c r="M129" s="186"/>
    </row>
    <row r="130">
      <c r="A130" s="185"/>
      <c r="B130" s="67"/>
      <c r="C130" s="67"/>
      <c r="D130" s="67"/>
      <c r="E130" s="186"/>
      <c r="F130" s="186"/>
      <c r="G130" s="186"/>
      <c r="H130" s="67"/>
      <c r="I130" s="186"/>
      <c r="J130" s="186"/>
      <c r="K130" s="186"/>
      <c r="L130" s="186"/>
      <c r="M130" s="186"/>
    </row>
    <row r="131">
      <c r="A131" s="185"/>
      <c r="B131" s="67"/>
      <c r="C131" s="67"/>
      <c r="D131" s="67"/>
      <c r="E131" s="186"/>
      <c r="F131" s="186"/>
      <c r="G131" s="186"/>
      <c r="H131" s="67"/>
      <c r="I131" s="186"/>
      <c r="J131" s="186"/>
      <c r="K131" s="186"/>
      <c r="L131" s="186"/>
      <c r="M131" s="186"/>
    </row>
    <row r="132">
      <c r="A132" s="185"/>
      <c r="B132" s="67"/>
      <c r="C132" s="67"/>
      <c r="D132" s="67"/>
      <c r="E132" s="186"/>
      <c r="F132" s="186"/>
      <c r="G132" s="186"/>
      <c r="H132" s="67"/>
      <c r="I132" s="186"/>
      <c r="J132" s="186"/>
      <c r="K132" s="186"/>
      <c r="L132" s="186"/>
      <c r="M132" s="186"/>
    </row>
    <row r="133">
      <c r="A133" s="185"/>
      <c r="B133" s="67"/>
      <c r="C133" s="67"/>
      <c r="D133" s="67"/>
      <c r="E133" s="186"/>
      <c r="F133" s="186"/>
      <c r="G133" s="186"/>
      <c r="H133" s="67"/>
      <c r="I133" s="186"/>
      <c r="J133" s="186"/>
      <c r="K133" s="186"/>
      <c r="L133" s="186"/>
      <c r="M133" s="186"/>
    </row>
    <row r="134">
      <c r="A134" s="185"/>
      <c r="B134" s="67"/>
      <c r="C134" s="67"/>
      <c r="D134" s="67"/>
      <c r="E134" s="186"/>
      <c r="F134" s="186"/>
      <c r="G134" s="186"/>
      <c r="H134" s="67"/>
      <c r="I134" s="186"/>
      <c r="J134" s="186"/>
      <c r="K134" s="186"/>
      <c r="L134" s="186"/>
      <c r="M134" s="186"/>
    </row>
    <row r="135">
      <c r="A135" s="185"/>
      <c r="B135" s="67"/>
      <c r="C135" s="67"/>
      <c r="D135" s="67"/>
      <c r="E135" s="186"/>
      <c r="F135" s="186"/>
      <c r="G135" s="186"/>
      <c r="H135" s="67"/>
      <c r="I135" s="186"/>
      <c r="J135" s="186"/>
      <c r="K135" s="186"/>
      <c r="L135" s="186"/>
      <c r="M135" s="186"/>
    </row>
    <row r="136">
      <c r="A136" s="185"/>
      <c r="B136" s="67"/>
      <c r="C136" s="67"/>
      <c r="D136" s="67"/>
      <c r="E136" s="186"/>
      <c r="F136" s="186"/>
      <c r="G136" s="186"/>
      <c r="H136" s="67"/>
      <c r="I136" s="186"/>
      <c r="J136" s="186"/>
      <c r="K136" s="186"/>
      <c r="L136" s="186"/>
      <c r="M136" s="186"/>
    </row>
    <row r="137">
      <c r="A137" s="185"/>
      <c r="B137" s="67"/>
      <c r="C137" s="67"/>
      <c r="D137" s="67"/>
      <c r="E137" s="186"/>
      <c r="F137" s="186"/>
      <c r="G137" s="186"/>
      <c r="H137" s="67"/>
      <c r="I137" s="186"/>
      <c r="J137" s="186"/>
      <c r="K137" s="186"/>
      <c r="L137" s="186"/>
      <c r="M137" s="186"/>
    </row>
    <row r="138">
      <c r="A138" s="185"/>
      <c r="B138" s="67"/>
      <c r="C138" s="67"/>
      <c r="D138" s="67"/>
      <c r="E138" s="186"/>
      <c r="F138" s="186"/>
      <c r="G138" s="186"/>
      <c r="H138" s="67"/>
      <c r="I138" s="186"/>
      <c r="J138" s="186"/>
      <c r="K138" s="186"/>
      <c r="L138" s="186"/>
      <c r="M138" s="186"/>
    </row>
    <row r="139">
      <c r="A139" s="185"/>
      <c r="B139" s="67"/>
      <c r="C139" s="67"/>
      <c r="D139" s="67"/>
      <c r="E139" s="186"/>
      <c r="F139" s="186"/>
      <c r="G139" s="186"/>
      <c r="H139" s="67"/>
      <c r="I139" s="186"/>
      <c r="J139" s="186"/>
      <c r="K139" s="186"/>
      <c r="L139" s="186"/>
      <c r="M139" s="186"/>
    </row>
    <row r="140">
      <c r="A140" s="185"/>
      <c r="B140" s="67"/>
      <c r="C140" s="67"/>
      <c r="D140" s="67"/>
      <c r="E140" s="186"/>
      <c r="F140" s="186"/>
      <c r="G140" s="186"/>
      <c r="H140" s="67"/>
      <c r="I140" s="186"/>
      <c r="J140" s="186"/>
      <c r="K140" s="186"/>
      <c r="L140" s="186"/>
      <c r="M140" s="186"/>
    </row>
    <row r="141">
      <c r="A141" s="185"/>
      <c r="B141" s="67"/>
      <c r="C141" s="67"/>
      <c r="D141" s="67"/>
      <c r="E141" s="186"/>
      <c r="F141" s="186"/>
      <c r="G141" s="186"/>
      <c r="H141" s="67"/>
      <c r="I141" s="186"/>
      <c r="J141" s="186"/>
      <c r="K141" s="186"/>
      <c r="L141" s="186"/>
      <c r="M141" s="186"/>
    </row>
    <row r="142">
      <c r="A142" s="185"/>
      <c r="B142" s="67"/>
      <c r="C142" s="67"/>
      <c r="D142" s="67"/>
      <c r="E142" s="186"/>
      <c r="F142" s="186"/>
      <c r="G142" s="186"/>
      <c r="H142" s="67"/>
      <c r="I142" s="186"/>
      <c r="J142" s="186"/>
      <c r="K142" s="186"/>
      <c r="L142" s="186"/>
      <c r="M142" s="186"/>
    </row>
    <row r="143">
      <c r="A143" s="185"/>
      <c r="B143" s="67"/>
      <c r="C143" s="67"/>
      <c r="D143" s="67"/>
      <c r="E143" s="186"/>
      <c r="F143" s="186"/>
      <c r="G143" s="186"/>
      <c r="H143" s="67"/>
      <c r="I143" s="186"/>
      <c r="J143" s="186"/>
      <c r="K143" s="186"/>
      <c r="L143" s="186"/>
      <c r="M143" s="186"/>
    </row>
    <row r="144">
      <c r="A144" s="185"/>
      <c r="B144" s="67"/>
      <c r="C144" s="67"/>
      <c r="D144" s="67"/>
      <c r="E144" s="186"/>
      <c r="F144" s="186"/>
      <c r="G144" s="186"/>
      <c r="H144" s="67"/>
      <c r="I144" s="186"/>
      <c r="J144" s="186"/>
      <c r="K144" s="186"/>
      <c r="L144" s="186"/>
      <c r="M144" s="186"/>
    </row>
    <row r="145">
      <c r="A145" s="185"/>
      <c r="B145" s="67"/>
      <c r="C145" s="67"/>
      <c r="D145" s="67"/>
      <c r="E145" s="186"/>
      <c r="F145" s="186"/>
      <c r="G145" s="186"/>
      <c r="H145" s="67"/>
      <c r="I145" s="186"/>
      <c r="J145" s="186"/>
      <c r="K145" s="186"/>
      <c r="L145" s="186"/>
      <c r="M145" s="186"/>
    </row>
    <row r="146">
      <c r="A146" s="185"/>
      <c r="B146" s="67"/>
      <c r="C146" s="67"/>
      <c r="D146" s="67"/>
      <c r="E146" s="186"/>
      <c r="F146" s="186"/>
      <c r="G146" s="186"/>
      <c r="H146" s="67"/>
      <c r="I146" s="186"/>
      <c r="J146" s="186"/>
      <c r="K146" s="186"/>
      <c r="L146" s="186"/>
      <c r="M146" s="186"/>
    </row>
    <row r="147">
      <c r="A147" s="185"/>
      <c r="B147" s="67"/>
      <c r="C147" s="67"/>
      <c r="D147" s="67"/>
      <c r="E147" s="186"/>
      <c r="F147" s="186"/>
      <c r="G147" s="186"/>
      <c r="H147" s="67"/>
      <c r="I147" s="186"/>
      <c r="J147" s="186"/>
      <c r="K147" s="186"/>
      <c r="L147" s="186"/>
      <c r="M147" s="186"/>
    </row>
    <row r="148">
      <c r="A148" s="185"/>
      <c r="B148" s="67"/>
      <c r="C148" s="67"/>
      <c r="D148" s="67"/>
      <c r="E148" s="186"/>
      <c r="F148" s="186"/>
      <c r="G148" s="186"/>
      <c r="H148" s="67"/>
      <c r="I148" s="186"/>
      <c r="J148" s="186"/>
      <c r="K148" s="186"/>
      <c r="L148" s="186"/>
      <c r="M148" s="186"/>
    </row>
    <row r="149">
      <c r="A149" s="185"/>
      <c r="B149" s="67"/>
      <c r="C149" s="67"/>
      <c r="D149" s="67"/>
      <c r="E149" s="186"/>
      <c r="F149" s="186"/>
      <c r="G149" s="186"/>
      <c r="H149" s="67"/>
      <c r="I149" s="186"/>
      <c r="J149" s="186"/>
      <c r="K149" s="186"/>
      <c r="L149" s="186"/>
      <c r="M149" s="186"/>
    </row>
    <row r="150">
      <c r="A150" s="185"/>
      <c r="B150" s="67"/>
      <c r="C150" s="67"/>
      <c r="D150" s="67"/>
      <c r="E150" s="186"/>
      <c r="F150" s="186"/>
      <c r="G150" s="186"/>
      <c r="H150" s="67"/>
      <c r="I150" s="186"/>
      <c r="J150" s="186"/>
      <c r="K150" s="186"/>
      <c r="L150" s="186"/>
      <c r="M150" s="186"/>
    </row>
    <row r="151">
      <c r="A151" s="185"/>
      <c r="B151" s="67"/>
      <c r="C151" s="67"/>
      <c r="D151" s="67"/>
      <c r="E151" s="186"/>
      <c r="F151" s="186"/>
      <c r="G151" s="186"/>
      <c r="H151" s="67"/>
      <c r="I151" s="186"/>
      <c r="J151" s="186"/>
      <c r="K151" s="186"/>
      <c r="L151" s="186"/>
      <c r="M151" s="186"/>
    </row>
    <row r="152">
      <c r="A152" s="185"/>
      <c r="B152" s="67"/>
      <c r="C152" s="67"/>
      <c r="D152" s="67"/>
      <c r="E152" s="186"/>
      <c r="F152" s="186"/>
      <c r="G152" s="186"/>
      <c r="H152" s="67"/>
      <c r="I152" s="186"/>
      <c r="J152" s="186"/>
      <c r="K152" s="186"/>
      <c r="L152" s="186"/>
      <c r="M152" s="186"/>
    </row>
    <row r="153">
      <c r="A153" s="185"/>
      <c r="B153" s="67"/>
      <c r="C153" s="67"/>
      <c r="D153" s="67"/>
      <c r="E153" s="186"/>
      <c r="F153" s="186"/>
      <c r="G153" s="186"/>
      <c r="H153" s="67"/>
      <c r="I153" s="186"/>
      <c r="J153" s="186"/>
      <c r="K153" s="186"/>
      <c r="L153" s="186"/>
      <c r="M153" s="186"/>
    </row>
    <row r="154">
      <c r="A154" s="185"/>
      <c r="B154" s="67"/>
      <c r="C154" s="67"/>
      <c r="D154" s="67"/>
      <c r="E154" s="186"/>
      <c r="F154" s="186"/>
      <c r="G154" s="186"/>
      <c r="H154" s="67"/>
      <c r="I154" s="186"/>
      <c r="J154" s="186"/>
      <c r="K154" s="186"/>
      <c r="L154" s="186"/>
      <c r="M154" s="186"/>
    </row>
    <row r="155">
      <c r="A155" s="185"/>
      <c r="B155" s="67"/>
      <c r="C155" s="67"/>
      <c r="D155" s="67"/>
      <c r="E155" s="186"/>
      <c r="F155" s="186"/>
      <c r="G155" s="186"/>
      <c r="H155" s="67"/>
      <c r="I155" s="186"/>
      <c r="J155" s="186"/>
      <c r="K155" s="186"/>
      <c r="L155" s="186"/>
      <c r="M155" s="186"/>
    </row>
    <row r="156">
      <c r="A156" s="185"/>
      <c r="B156" s="67"/>
      <c r="C156" s="67"/>
      <c r="D156" s="67"/>
      <c r="E156" s="186"/>
      <c r="F156" s="186"/>
      <c r="G156" s="186"/>
      <c r="H156" s="67"/>
      <c r="I156" s="186"/>
      <c r="J156" s="186"/>
      <c r="K156" s="186"/>
      <c r="L156" s="186"/>
      <c r="M156" s="186"/>
    </row>
    <row r="157">
      <c r="A157" s="185"/>
      <c r="B157" s="67"/>
      <c r="C157" s="67"/>
      <c r="D157" s="67"/>
      <c r="E157" s="186"/>
      <c r="F157" s="186"/>
      <c r="G157" s="186"/>
      <c r="H157" s="67"/>
      <c r="I157" s="186"/>
      <c r="J157" s="186"/>
      <c r="K157" s="186"/>
      <c r="L157" s="186"/>
      <c r="M157" s="186"/>
    </row>
    <row r="158">
      <c r="A158" s="185"/>
      <c r="B158" s="67"/>
      <c r="C158" s="67"/>
      <c r="D158" s="67"/>
      <c r="E158" s="186"/>
      <c r="F158" s="186"/>
      <c r="G158" s="186"/>
      <c r="H158" s="67"/>
      <c r="I158" s="186"/>
      <c r="J158" s="186"/>
      <c r="K158" s="186"/>
      <c r="L158" s="186"/>
      <c r="M158" s="186"/>
    </row>
    <row r="159">
      <c r="A159" s="185"/>
      <c r="B159" s="67"/>
      <c r="C159" s="67"/>
      <c r="D159" s="67"/>
      <c r="E159" s="186"/>
      <c r="F159" s="186"/>
      <c r="G159" s="186"/>
      <c r="H159" s="67"/>
      <c r="I159" s="186"/>
      <c r="J159" s="186"/>
      <c r="K159" s="186"/>
      <c r="L159" s="186"/>
      <c r="M159" s="186"/>
    </row>
    <row r="160">
      <c r="A160" s="185"/>
      <c r="B160" s="67"/>
      <c r="C160" s="67"/>
      <c r="D160" s="67"/>
      <c r="E160" s="186"/>
      <c r="F160" s="186"/>
      <c r="G160" s="186"/>
      <c r="H160" s="67"/>
      <c r="I160" s="186"/>
      <c r="J160" s="186"/>
      <c r="K160" s="186"/>
      <c r="L160" s="186"/>
      <c r="M160" s="186"/>
    </row>
    <row r="161">
      <c r="A161" s="185"/>
      <c r="B161" s="67"/>
      <c r="C161" s="67"/>
      <c r="D161" s="67"/>
      <c r="E161" s="186"/>
      <c r="F161" s="186"/>
      <c r="G161" s="186"/>
      <c r="H161" s="67"/>
      <c r="I161" s="186"/>
      <c r="J161" s="186"/>
      <c r="K161" s="186"/>
      <c r="L161" s="186"/>
      <c r="M161" s="186"/>
    </row>
    <row r="162">
      <c r="A162" s="185"/>
      <c r="B162" s="67"/>
      <c r="C162" s="67"/>
      <c r="D162" s="67"/>
      <c r="E162" s="186"/>
      <c r="F162" s="186"/>
      <c r="G162" s="186"/>
      <c r="H162" s="67"/>
      <c r="I162" s="186"/>
      <c r="J162" s="186"/>
      <c r="K162" s="186"/>
      <c r="L162" s="186"/>
      <c r="M162" s="186"/>
    </row>
    <row r="163">
      <c r="A163" s="185"/>
      <c r="B163" s="67"/>
      <c r="C163" s="67"/>
      <c r="D163" s="67"/>
      <c r="E163" s="186"/>
      <c r="F163" s="186"/>
      <c r="G163" s="186"/>
      <c r="H163" s="67"/>
      <c r="I163" s="186"/>
      <c r="J163" s="186"/>
      <c r="K163" s="186"/>
      <c r="L163" s="186"/>
      <c r="M163" s="186"/>
    </row>
    <row r="164">
      <c r="A164" s="185"/>
      <c r="B164" s="67"/>
      <c r="C164" s="67"/>
      <c r="D164" s="67"/>
      <c r="E164" s="186"/>
      <c r="F164" s="186"/>
      <c r="G164" s="186"/>
      <c r="H164" s="67"/>
      <c r="I164" s="186"/>
      <c r="J164" s="186"/>
      <c r="K164" s="186"/>
      <c r="L164" s="186"/>
      <c r="M164" s="186"/>
    </row>
    <row r="165">
      <c r="A165" s="185"/>
      <c r="B165" s="67"/>
      <c r="C165" s="67"/>
      <c r="D165" s="67"/>
      <c r="E165" s="186"/>
      <c r="F165" s="186"/>
      <c r="G165" s="186"/>
      <c r="H165" s="67"/>
      <c r="I165" s="186"/>
      <c r="J165" s="186"/>
      <c r="K165" s="186"/>
      <c r="L165" s="186"/>
      <c r="M165" s="186"/>
    </row>
    <row r="166">
      <c r="A166" s="185"/>
      <c r="B166" s="67"/>
      <c r="C166" s="67"/>
      <c r="D166" s="67"/>
      <c r="E166" s="186"/>
      <c r="F166" s="186"/>
      <c r="G166" s="186"/>
      <c r="H166" s="67"/>
      <c r="I166" s="186"/>
      <c r="J166" s="186"/>
      <c r="K166" s="186"/>
      <c r="L166" s="186"/>
      <c r="M166" s="186"/>
    </row>
    <row r="167">
      <c r="A167" s="185"/>
      <c r="B167" s="67"/>
      <c r="C167" s="67"/>
      <c r="D167" s="67"/>
      <c r="E167" s="186"/>
      <c r="F167" s="186"/>
      <c r="G167" s="186"/>
      <c r="H167" s="67"/>
      <c r="I167" s="186"/>
      <c r="J167" s="186"/>
      <c r="K167" s="186"/>
      <c r="L167" s="186"/>
      <c r="M167" s="186"/>
    </row>
    <row r="168">
      <c r="A168" s="185"/>
      <c r="B168" s="67"/>
      <c r="C168" s="67"/>
      <c r="D168" s="67"/>
      <c r="E168" s="186"/>
      <c r="F168" s="186"/>
      <c r="G168" s="186"/>
      <c r="H168" s="67"/>
      <c r="I168" s="186"/>
      <c r="J168" s="186"/>
      <c r="K168" s="186"/>
      <c r="L168" s="186"/>
      <c r="M168" s="186"/>
    </row>
    <row r="169">
      <c r="A169" s="185"/>
      <c r="B169" s="67"/>
      <c r="C169" s="67"/>
      <c r="D169" s="67"/>
      <c r="E169" s="186"/>
      <c r="F169" s="186"/>
      <c r="G169" s="186"/>
      <c r="H169" s="67"/>
      <c r="I169" s="186"/>
      <c r="J169" s="186"/>
      <c r="K169" s="186"/>
      <c r="L169" s="186"/>
      <c r="M169" s="186"/>
    </row>
    <row r="170">
      <c r="A170" s="185"/>
      <c r="B170" s="67"/>
      <c r="C170" s="67"/>
      <c r="D170" s="67"/>
      <c r="E170" s="186"/>
      <c r="F170" s="186"/>
      <c r="G170" s="186"/>
      <c r="H170" s="67"/>
      <c r="I170" s="186"/>
      <c r="J170" s="186"/>
      <c r="K170" s="186"/>
      <c r="L170" s="186"/>
      <c r="M170" s="186"/>
    </row>
    <row r="171">
      <c r="A171" s="185"/>
      <c r="B171" s="67"/>
      <c r="C171" s="67"/>
      <c r="D171" s="67"/>
      <c r="E171" s="186"/>
      <c r="F171" s="186"/>
      <c r="G171" s="186"/>
      <c r="H171" s="67"/>
      <c r="I171" s="186"/>
      <c r="J171" s="186"/>
      <c r="K171" s="186"/>
      <c r="L171" s="186"/>
      <c r="M171" s="186"/>
    </row>
    <row r="172">
      <c r="A172" s="185"/>
      <c r="B172" s="67"/>
      <c r="C172" s="67"/>
      <c r="D172" s="67"/>
      <c r="E172" s="186"/>
      <c r="F172" s="186"/>
      <c r="G172" s="186"/>
      <c r="H172" s="67"/>
      <c r="I172" s="186"/>
      <c r="J172" s="186"/>
      <c r="K172" s="186"/>
      <c r="L172" s="186"/>
      <c r="M172" s="186"/>
    </row>
    <row r="173">
      <c r="A173" s="185"/>
      <c r="B173" s="67"/>
      <c r="C173" s="67"/>
      <c r="D173" s="67"/>
      <c r="E173" s="186"/>
      <c r="F173" s="186"/>
      <c r="G173" s="186"/>
      <c r="H173" s="67"/>
      <c r="I173" s="186"/>
      <c r="J173" s="186"/>
      <c r="K173" s="186"/>
      <c r="L173" s="186"/>
      <c r="M173" s="186"/>
    </row>
    <row r="174">
      <c r="A174" s="185"/>
      <c r="B174" s="67"/>
      <c r="C174" s="67"/>
      <c r="D174" s="67"/>
      <c r="E174" s="186"/>
      <c r="F174" s="186"/>
      <c r="G174" s="186"/>
      <c r="H174" s="67"/>
      <c r="I174" s="186"/>
      <c r="J174" s="186"/>
      <c r="K174" s="186"/>
      <c r="L174" s="186"/>
      <c r="M174" s="186"/>
    </row>
    <row r="175">
      <c r="A175" s="185"/>
      <c r="B175" s="67"/>
      <c r="C175" s="67"/>
      <c r="D175" s="67"/>
      <c r="E175" s="186"/>
      <c r="F175" s="186"/>
      <c r="G175" s="186"/>
      <c r="H175" s="67"/>
      <c r="I175" s="186"/>
      <c r="J175" s="186"/>
      <c r="K175" s="186"/>
      <c r="L175" s="186"/>
      <c r="M175" s="186"/>
    </row>
    <row r="176">
      <c r="A176" s="185"/>
      <c r="B176" s="67"/>
      <c r="C176" s="67"/>
      <c r="D176" s="67"/>
      <c r="E176" s="186"/>
      <c r="F176" s="186"/>
      <c r="G176" s="186"/>
      <c r="H176" s="67"/>
      <c r="I176" s="186"/>
      <c r="J176" s="186"/>
      <c r="K176" s="186"/>
      <c r="L176" s="186"/>
      <c r="M176" s="186"/>
    </row>
    <row r="177">
      <c r="A177" s="185"/>
      <c r="B177" s="67"/>
      <c r="C177" s="67"/>
      <c r="D177" s="67"/>
      <c r="E177" s="186"/>
      <c r="F177" s="186"/>
      <c r="G177" s="186"/>
      <c r="H177" s="67"/>
      <c r="I177" s="186"/>
      <c r="J177" s="186"/>
      <c r="K177" s="186"/>
      <c r="L177" s="186"/>
      <c r="M177" s="186"/>
    </row>
    <row r="178">
      <c r="A178" s="185"/>
      <c r="B178" s="67"/>
      <c r="C178" s="67"/>
      <c r="D178" s="67"/>
      <c r="E178" s="186"/>
      <c r="F178" s="186"/>
      <c r="G178" s="186"/>
      <c r="H178" s="67"/>
      <c r="I178" s="186"/>
      <c r="J178" s="186"/>
      <c r="K178" s="186"/>
      <c r="L178" s="186"/>
      <c r="M178" s="186"/>
    </row>
    <row r="179">
      <c r="A179" s="185"/>
      <c r="B179" s="67"/>
      <c r="C179" s="67"/>
      <c r="D179" s="67"/>
      <c r="E179" s="186"/>
      <c r="F179" s="186"/>
      <c r="G179" s="186"/>
      <c r="H179" s="67"/>
      <c r="I179" s="186"/>
      <c r="J179" s="186"/>
      <c r="K179" s="186"/>
      <c r="L179" s="186"/>
      <c r="M179" s="186"/>
    </row>
    <row r="180">
      <c r="A180" s="185"/>
      <c r="B180" s="67"/>
      <c r="C180" s="67"/>
      <c r="D180" s="67"/>
      <c r="E180" s="186"/>
      <c r="F180" s="186"/>
      <c r="G180" s="186"/>
      <c r="H180" s="67"/>
      <c r="I180" s="186"/>
      <c r="J180" s="186"/>
      <c r="K180" s="186"/>
      <c r="L180" s="186"/>
      <c r="M180" s="186"/>
    </row>
    <row r="181">
      <c r="A181" s="185"/>
      <c r="B181" s="67"/>
      <c r="C181" s="67"/>
      <c r="D181" s="67"/>
      <c r="E181" s="186"/>
      <c r="F181" s="186"/>
      <c r="G181" s="186"/>
      <c r="H181" s="67"/>
      <c r="I181" s="186"/>
      <c r="J181" s="186"/>
      <c r="K181" s="186"/>
      <c r="L181" s="186"/>
      <c r="M181" s="186"/>
    </row>
    <row r="182">
      <c r="A182" s="185"/>
      <c r="B182" s="67"/>
      <c r="C182" s="67"/>
      <c r="D182" s="67"/>
      <c r="E182" s="186"/>
      <c r="F182" s="186"/>
      <c r="G182" s="186"/>
      <c r="H182" s="67"/>
      <c r="I182" s="186"/>
      <c r="J182" s="186"/>
      <c r="K182" s="186"/>
      <c r="L182" s="186"/>
      <c r="M182" s="186"/>
    </row>
    <row r="183">
      <c r="A183" s="185"/>
      <c r="B183" s="67"/>
      <c r="C183" s="67"/>
      <c r="D183" s="67"/>
      <c r="E183" s="186"/>
      <c r="F183" s="186"/>
      <c r="G183" s="186"/>
      <c r="H183" s="67"/>
      <c r="I183" s="186"/>
      <c r="J183" s="186"/>
      <c r="K183" s="186"/>
      <c r="L183" s="186"/>
      <c r="M183" s="186"/>
    </row>
    <row r="184">
      <c r="A184" s="185"/>
      <c r="B184" s="67"/>
      <c r="C184" s="67"/>
      <c r="D184" s="67"/>
      <c r="E184" s="186"/>
      <c r="F184" s="186"/>
      <c r="G184" s="186"/>
      <c r="H184" s="67"/>
      <c r="I184" s="186"/>
      <c r="J184" s="186"/>
      <c r="K184" s="186"/>
      <c r="L184" s="186"/>
      <c r="M184" s="186"/>
    </row>
    <row r="185">
      <c r="A185" s="185"/>
      <c r="B185" s="67"/>
      <c r="C185" s="67"/>
      <c r="D185" s="67"/>
      <c r="E185" s="186"/>
      <c r="F185" s="186"/>
      <c r="G185" s="186"/>
      <c r="H185" s="67"/>
      <c r="I185" s="186"/>
      <c r="J185" s="186"/>
      <c r="K185" s="186"/>
      <c r="L185" s="186"/>
      <c r="M185" s="186"/>
    </row>
    <row r="186">
      <c r="A186" s="185"/>
      <c r="B186" s="67"/>
      <c r="C186" s="67"/>
      <c r="D186" s="67"/>
      <c r="E186" s="186"/>
      <c r="F186" s="186"/>
      <c r="G186" s="186"/>
      <c r="H186" s="67"/>
      <c r="I186" s="186"/>
      <c r="J186" s="186"/>
      <c r="K186" s="186"/>
      <c r="L186" s="186"/>
      <c r="M186" s="186"/>
    </row>
    <row r="187">
      <c r="A187" s="185"/>
      <c r="B187" s="67"/>
      <c r="C187" s="67"/>
      <c r="D187" s="67"/>
      <c r="E187" s="186"/>
      <c r="F187" s="186"/>
      <c r="G187" s="186"/>
      <c r="H187" s="67"/>
      <c r="I187" s="186"/>
      <c r="J187" s="186"/>
      <c r="K187" s="186"/>
      <c r="L187" s="186"/>
      <c r="M187" s="186"/>
    </row>
    <row r="188">
      <c r="A188" s="185"/>
      <c r="B188" s="67"/>
      <c r="C188" s="67"/>
      <c r="D188" s="67"/>
      <c r="E188" s="186"/>
      <c r="F188" s="186"/>
      <c r="G188" s="186"/>
      <c r="H188" s="67"/>
      <c r="I188" s="186"/>
      <c r="J188" s="186"/>
      <c r="K188" s="186"/>
      <c r="L188" s="186"/>
      <c r="M188" s="186"/>
    </row>
    <row r="189">
      <c r="A189" s="185"/>
      <c r="B189" s="67"/>
      <c r="C189" s="67"/>
      <c r="D189" s="67"/>
      <c r="E189" s="186"/>
      <c r="F189" s="186"/>
      <c r="G189" s="186"/>
      <c r="H189" s="67"/>
      <c r="I189" s="186"/>
      <c r="J189" s="186"/>
      <c r="K189" s="186"/>
      <c r="L189" s="186"/>
      <c r="M189" s="186"/>
    </row>
    <row r="190">
      <c r="A190" s="185"/>
      <c r="B190" s="67"/>
      <c r="C190" s="67"/>
      <c r="D190" s="67"/>
      <c r="E190" s="186"/>
      <c r="F190" s="186"/>
      <c r="G190" s="186"/>
      <c r="H190" s="67"/>
      <c r="I190" s="186"/>
      <c r="J190" s="186"/>
      <c r="K190" s="186"/>
      <c r="L190" s="186"/>
      <c r="M190" s="186"/>
    </row>
    <row r="191">
      <c r="A191" s="185"/>
      <c r="B191" s="67"/>
      <c r="C191" s="67"/>
      <c r="D191" s="67"/>
      <c r="E191" s="186"/>
      <c r="F191" s="186"/>
      <c r="G191" s="186"/>
      <c r="H191" s="67"/>
      <c r="I191" s="186"/>
      <c r="J191" s="186"/>
      <c r="K191" s="186"/>
      <c r="L191" s="186"/>
      <c r="M191" s="186"/>
    </row>
    <row r="192">
      <c r="A192" s="185"/>
      <c r="B192" s="67"/>
      <c r="C192" s="67"/>
      <c r="D192" s="67"/>
      <c r="E192" s="186"/>
      <c r="F192" s="186"/>
      <c r="G192" s="186"/>
      <c r="H192" s="67"/>
      <c r="I192" s="186"/>
      <c r="J192" s="186"/>
      <c r="K192" s="186"/>
      <c r="L192" s="186"/>
      <c r="M192" s="186"/>
    </row>
    <row r="193">
      <c r="A193" s="185"/>
      <c r="B193" s="67"/>
      <c r="C193" s="67"/>
      <c r="D193" s="67"/>
      <c r="E193" s="186"/>
      <c r="F193" s="186"/>
      <c r="G193" s="186"/>
      <c r="H193" s="67"/>
      <c r="I193" s="186"/>
      <c r="J193" s="186"/>
      <c r="K193" s="186"/>
      <c r="L193" s="186"/>
      <c r="M193" s="186"/>
    </row>
    <row r="194">
      <c r="A194" s="185"/>
      <c r="B194" s="67"/>
      <c r="C194" s="67"/>
      <c r="D194" s="67"/>
      <c r="E194" s="186"/>
      <c r="F194" s="186"/>
      <c r="G194" s="186"/>
      <c r="H194" s="67"/>
      <c r="I194" s="186"/>
      <c r="J194" s="186"/>
      <c r="K194" s="186"/>
      <c r="L194" s="186"/>
      <c r="M194" s="186"/>
    </row>
    <row r="195">
      <c r="A195" s="185"/>
      <c r="B195" s="67"/>
      <c r="C195" s="67"/>
      <c r="D195" s="67"/>
      <c r="E195" s="186"/>
      <c r="F195" s="186"/>
      <c r="G195" s="186"/>
      <c r="H195" s="67"/>
      <c r="I195" s="186"/>
      <c r="J195" s="186"/>
      <c r="K195" s="186"/>
      <c r="L195" s="186"/>
      <c r="M195" s="186"/>
    </row>
    <row r="196">
      <c r="A196" s="185"/>
      <c r="B196" s="67"/>
      <c r="C196" s="67"/>
      <c r="D196" s="67"/>
      <c r="E196" s="186"/>
      <c r="F196" s="186"/>
      <c r="G196" s="186"/>
      <c r="H196" s="67"/>
      <c r="I196" s="186"/>
      <c r="J196" s="186"/>
      <c r="K196" s="186"/>
      <c r="L196" s="186"/>
      <c r="M196" s="186"/>
    </row>
    <row r="197">
      <c r="A197" s="185"/>
      <c r="B197" s="67"/>
      <c r="C197" s="67"/>
      <c r="D197" s="67"/>
      <c r="E197" s="186"/>
      <c r="F197" s="186"/>
      <c r="G197" s="186"/>
      <c r="H197" s="67"/>
      <c r="I197" s="186"/>
      <c r="J197" s="186"/>
      <c r="K197" s="186"/>
      <c r="L197" s="186"/>
      <c r="M197" s="186"/>
    </row>
    <row r="198">
      <c r="A198" s="185"/>
      <c r="B198" s="67"/>
      <c r="C198" s="67"/>
      <c r="D198" s="67"/>
      <c r="E198" s="186"/>
      <c r="F198" s="186"/>
      <c r="G198" s="186"/>
      <c r="H198" s="67"/>
      <c r="I198" s="186"/>
      <c r="J198" s="186"/>
      <c r="K198" s="186"/>
      <c r="L198" s="186"/>
      <c r="M198" s="186"/>
    </row>
    <row r="199">
      <c r="A199" s="185"/>
      <c r="B199" s="67"/>
      <c r="C199" s="67"/>
      <c r="D199" s="67"/>
      <c r="E199" s="186"/>
      <c r="F199" s="186"/>
      <c r="G199" s="186"/>
      <c r="H199" s="67"/>
      <c r="I199" s="186"/>
      <c r="J199" s="186"/>
      <c r="K199" s="186"/>
      <c r="L199" s="186"/>
      <c r="M199" s="186"/>
    </row>
    <row r="200">
      <c r="A200" s="185"/>
      <c r="B200" s="67"/>
      <c r="C200" s="67"/>
      <c r="D200" s="67"/>
      <c r="E200" s="186"/>
      <c r="F200" s="186"/>
      <c r="G200" s="186"/>
      <c r="H200" s="67"/>
      <c r="I200" s="186"/>
      <c r="J200" s="186"/>
      <c r="K200" s="186"/>
      <c r="L200" s="186"/>
      <c r="M200" s="186"/>
    </row>
    <row r="201">
      <c r="A201" s="185"/>
      <c r="B201" s="67"/>
      <c r="C201" s="67"/>
      <c r="D201" s="67"/>
      <c r="E201" s="186"/>
      <c r="F201" s="186"/>
      <c r="G201" s="186"/>
      <c r="H201" s="67"/>
      <c r="I201" s="186"/>
      <c r="J201" s="186"/>
      <c r="K201" s="186"/>
      <c r="L201" s="186"/>
      <c r="M201" s="186"/>
    </row>
    <row r="202">
      <c r="A202" s="185"/>
      <c r="B202" s="67"/>
      <c r="C202" s="67"/>
      <c r="D202" s="67"/>
      <c r="E202" s="186"/>
      <c r="F202" s="186"/>
      <c r="G202" s="186"/>
      <c r="H202" s="67"/>
      <c r="I202" s="186"/>
      <c r="J202" s="186"/>
      <c r="K202" s="186"/>
      <c r="L202" s="186"/>
      <c r="M202" s="186"/>
    </row>
    <row r="203">
      <c r="A203" s="185"/>
      <c r="B203" s="67"/>
      <c r="C203" s="67"/>
      <c r="D203" s="67"/>
      <c r="E203" s="186"/>
      <c r="F203" s="186"/>
      <c r="G203" s="186"/>
      <c r="H203" s="67"/>
      <c r="I203" s="186"/>
      <c r="J203" s="186"/>
      <c r="K203" s="186"/>
      <c r="L203" s="186"/>
      <c r="M203" s="186"/>
    </row>
    <row r="204">
      <c r="A204" s="185"/>
      <c r="B204" s="67"/>
      <c r="C204" s="67"/>
      <c r="D204" s="67"/>
      <c r="E204" s="186"/>
      <c r="F204" s="186"/>
      <c r="G204" s="186"/>
      <c r="H204" s="67"/>
      <c r="I204" s="186"/>
      <c r="J204" s="186"/>
      <c r="K204" s="186"/>
      <c r="L204" s="186"/>
      <c r="M204" s="186"/>
    </row>
    <row r="205">
      <c r="A205" s="185"/>
      <c r="B205" s="67"/>
      <c r="C205" s="67"/>
      <c r="D205" s="67"/>
      <c r="E205" s="186"/>
      <c r="F205" s="186"/>
      <c r="G205" s="186"/>
      <c r="H205" s="67"/>
      <c r="I205" s="186"/>
      <c r="J205" s="186"/>
      <c r="K205" s="186"/>
      <c r="L205" s="186"/>
      <c r="M205" s="186"/>
    </row>
    <row r="206">
      <c r="A206" s="185"/>
      <c r="B206" s="67"/>
      <c r="C206" s="67"/>
      <c r="D206" s="67"/>
      <c r="E206" s="186"/>
      <c r="F206" s="186"/>
      <c r="G206" s="186"/>
      <c r="H206" s="67"/>
      <c r="I206" s="186"/>
      <c r="J206" s="186"/>
      <c r="K206" s="186"/>
      <c r="L206" s="186"/>
      <c r="M206" s="186"/>
    </row>
    <row r="207">
      <c r="A207" s="185"/>
      <c r="B207" s="67"/>
      <c r="C207" s="67"/>
      <c r="D207" s="67"/>
      <c r="E207" s="186"/>
      <c r="F207" s="186"/>
      <c r="G207" s="186"/>
      <c r="H207" s="67"/>
      <c r="I207" s="186"/>
      <c r="J207" s="186"/>
      <c r="K207" s="186"/>
      <c r="L207" s="186"/>
      <c r="M207" s="186"/>
    </row>
    <row r="208">
      <c r="A208" s="185"/>
      <c r="B208" s="67"/>
      <c r="C208" s="67"/>
      <c r="D208" s="67"/>
      <c r="E208" s="186"/>
      <c r="F208" s="186"/>
      <c r="G208" s="186"/>
      <c r="H208" s="67"/>
      <c r="I208" s="186"/>
      <c r="J208" s="186"/>
      <c r="K208" s="186"/>
      <c r="L208" s="186"/>
      <c r="M208" s="186"/>
    </row>
    <row r="209">
      <c r="A209" s="185"/>
      <c r="B209" s="67"/>
      <c r="C209" s="67"/>
      <c r="D209" s="67"/>
      <c r="E209" s="186"/>
      <c r="F209" s="186"/>
      <c r="G209" s="186"/>
      <c r="H209" s="67"/>
      <c r="I209" s="186"/>
      <c r="J209" s="186"/>
      <c r="K209" s="186"/>
      <c r="L209" s="186"/>
      <c r="M209" s="186"/>
    </row>
    <row r="210">
      <c r="A210" s="185"/>
      <c r="B210" s="67"/>
      <c r="C210" s="67"/>
      <c r="D210" s="67"/>
      <c r="E210" s="186"/>
      <c r="F210" s="186"/>
      <c r="G210" s="186"/>
      <c r="H210" s="67"/>
      <c r="I210" s="186"/>
      <c r="J210" s="186"/>
      <c r="K210" s="186"/>
      <c r="L210" s="186"/>
      <c r="M210" s="186"/>
    </row>
    <row r="211">
      <c r="A211" s="185"/>
      <c r="B211" s="67"/>
      <c r="C211" s="67"/>
      <c r="D211" s="67"/>
      <c r="E211" s="186"/>
      <c r="F211" s="186"/>
      <c r="G211" s="186"/>
      <c r="H211" s="67"/>
      <c r="I211" s="186"/>
      <c r="J211" s="186"/>
      <c r="K211" s="186"/>
      <c r="L211" s="186"/>
      <c r="M211" s="186"/>
    </row>
    <row r="212">
      <c r="A212" s="185"/>
      <c r="B212" s="67"/>
      <c r="C212" s="67"/>
      <c r="D212" s="67"/>
      <c r="E212" s="186"/>
      <c r="F212" s="186"/>
      <c r="G212" s="186"/>
      <c r="H212" s="67"/>
      <c r="I212" s="186"/>
      <c r="J212" s="186"/>
      <c r="K212" s="186"/>
      <c r="L212" s="186"/>
      <c r="M212" s="186"/>
    </row>
    <row r="213">
      <c r="A213" s="185"/>
      <c r="B213" s="67"/>
      <c r="C213" s="67"/>
      <c r="D213" s="67"/>
      <c r="E213" s="186"/>
      <c r="F213" s="186"/>
      <c r="G213" s="186"/>
      <c r="H213" s="67"/>
      <c r="I213" s="186"/>
      <c r="J213" s="186"/>
      <c r="K213" s="186"/>
      <c r="L213" s="186"/>
      <c r="M213" s="186"/>
    </row>
    <row r="214">
      <c r="A214" s="185"/>
      <c r="B214" s="67"/>
      <c r="C214" s="67"/>
      <c r="D214" s="67"/>
      <c r="E214" s="186"/>
      <c r="F214" s="186"/>
      <c r="G214" s="186"/>
      <c r="H214" s="67"/>
      <c r="I214" s="186"/>
      <c r="J214" s="186"/>
      <c r="K214" s="186"/>
      <c r="L214" s="186"/>
      <c r="M214" s="186"/>
    </row>
    <row r="215">
      <c r="A215" s="185"/>
      <c r="B215" s="67"/>
      <c r="C215" s="67"/>
      <c r="D215" s="67"/>
      <c r="E215" s="186"/>
      <c r="F215" s="186"/>
      <c r="G215" s="186"/>
      <c r="H215" s="67"/>
      <c r="I215" s="186"/>
      <c r="J215" s="186"/>
      <c r="K215" s="186"/>
      <c r="L215" s="186"/>
      <c r="M215" s="186"/>
    </row>
    <row r="216">
      <c r="A216" s="185"/>
      <c r="B216" s="67"/>
      <c r="C216" s="67"/>
      <c r="D216" s="67"/>
      <c r="E216" s="186"/>
      <c r="F216" s="186"/>
      <c r="G216" s="186"/>
      <c r="H216" s="67"/>
      <c r="I216" s="186"/>
      <c r="J216" s="186"/>
      <c r="K216" s="186"/>
      <c r="L216" s="186"/>
      <c r="M216" s="186"/>
    </row>
    <row r="217">
      <c r="A217" s="185"/>
      <c r="B217" s="67"/>
      <c r="C217" s="67"/>
      <c r="D217" s="67"/>
      <c r="E217" s="186"/>
      <c r="F217" s="186"/>
      <c r="G217" s="186"/>
      <c r="H217" s="67"/>
      <c r="I217" s="186"/>
      <c r="J217" s="186"/>
      <c r="K217" s="186"/>
      <c r="L217" s="186"/>
      <c r="M217" s="186"/>
    </row>
    <row r="218">
      <c r="A218" s="185"/>
      <c r="B218" s="67"/>
      <c r="C218" s="67"/>
      <c r="D218" s="67"/>
      <c r="E218" s="186"/>
      <c r="F218" s="186"/>
      <c r="G218" s="186"/>
      <c r="H218" s="67"/>
      <c r="I218" s="186"/>
      <c r="J218" s="186"/>
      <c r="K218" s="186"/>
      <c r="L218" s="186"/>
      <c r="M218" s="186"/>
    </row>
    <row r="219">
      <c r="A219" s="185"/>
      <c r="B219" s="67"/>
      <c r="C219" s="67"/>
      <c r="D219" s="67"/>
      <c r="E219" s="186"/>
      <c r="F219" s="186"/>
      <c r="G219" s="186"/>
      <c r="H219" s="67"/>
      <c r="I219" s="186"/>
      <c r="J219" s="186"/>
      <c r="K219" s="186"/>
      <c r="L219" s="186"/>
      <c r="M219" s="186"/>
    </row>
    <row r="220">
      <c r="A220" s="185"/>
      <c r="B220" s="67"/>
      <c r="C220" s="67"/>
      <c r="D220" s="67"/>
      <c r="E220" s="186"/>
      <c r="F220" s="186"/>
      <c r="G220" s="186"/>
      <c r="H220" s="67"/>
      <c r="I220" s="186"/>
      <c r="J220" s="186"/>
      <c r="K220" s="186"/>
      <c r="L220" s="186"/>
      <c r="M220" s="186"/>
    </row>
    <row r="221">
      <c r="A221" s="185"/>
      <c r="B221" s="67"/>
      <c r="C221" s="67"/>
      <c r="D221" s="67"/>
      <c r="E221" s="186"/>
      <c r="F221" s="186"/>
      <c r="G221" s="186"/>
      <c r="H221" s="67"/>
      <c r="I221" s="186"/>
      <c r="J221" s="186"/>
      <c r="K221" s="186"/>
      <c r="L221" s="186"/>
      <c r="M221" s="186"/>
    </row>
    <row r="222">
      <c r="A222" s="185"/>
      <c r="B222" s="67"/>
      <c r="C222" s="67"/>
      <c r="D222" s="67"/>
      <c r="E222" s="186"/>
      <c r="F222" s="186"/>
      <c r="G222" s="186"/>
      <c r="H222" s="67"/>
      <c r="I222" s="186"/>
      <c r="J222" s="186"/>
      <c r="K222" s="186"/>
      <c r="L222" s="186"/>
      <c r="M222" s="186"/>
    </row>
    <row r="223">
      <c r="A223" s="185"/>
      <c r="B223" s="67"/>
      <c r="C223" s="67"/>
      <c r="D223" s="67"/>
      <c r="E223" s="186"/>
      <c r="F223" s="186"/>
      <c r="G223" s="186"/>
      <c r="H223" s="67"/>
      <c r="I223" s="186"/>
      <c r="J223" s="186"/>
      <c r="K223" s="186"/>
      <c r="L223" s="186"/>
      <c r="M223" s="186"/>
    </row>
    <row r="224">
      <c r="A224" s="185"/>
      <c r="B224" s="67"/>
      <c r="C224" s="67"/>
      <c r="D224" s="67"/>
      <c r="E224" s="186"/>
      <c r="F224" s="186"/>
      <c r="G224" s="186"/>
      <c r="H224" s="67"/>
      <c r="I224" s="186"/>
      <c r="J224" s="186"/>
      <c r="K224" s="186"/>
      <c r="L224" s="186"/>
      <c r="M224" s="186"/>
    </row>
    <row r="225">
      <c r="A225" s="185"/>
      <c r="B225" s="67"/>
      <c r="C225" s="67"/>
      <c r="D225" s="67"/>
      <c r="E225" s="186"/>
      <c r="F225" s="186"/>
      <c r="G225" s="186"/>
      <c r="H225" s="67"/>
      <c r="I225" s="186"/>
      <c r="J225" s="186"/>
      <c r="K225" s="186"/>
      <c r="L225" s="186"/>
      <c r="M225" s="186"/>
    </row>
    <row r="226">
      <c r="A226" s="185"/>
      <c r="B226" s="67"/>
      <c r="C226" s="67"/>
      <c r="D226" s="67"/>
      <c r="E226" s="186"/>
      <c r="F226" s="186"/>
      <c r="G226" s="186"/>
      <c r="H226" s="67"/>
      <c r="I226" s="186"/>
      <c r="J226" s="186"/>
      <c r="K226" s="186"/>
      <c r="L226" s="186"/>
      <c r="M226" s="186"/>
    </row>
    <row r="227">
      <c r="A227" s="185"/>
      <c r="B227" s="67"/>
      <c r="C227" s="67"/>
      <c r="D227" s="67"/>
      <c r="E227" s="186"/>
      <c r="F227" s="186"/>
      <c r="G227" s="186"/>
      <c r="H227" s="67"/>
      <c r="I227" s="186"/>
      <c r="J227" s="186"/>
      <c r="K227" s="186"/>
      <c r="L227" s="186"/>
      <c r="M227" s="186"/>
    </row>
    <row r="228">
      <c r="A228" s="185"/>
      <c r="B228" s="67"/>
      <c r="C228" s="67"/>
      <c r="D228" s="67"/>
      <c r="E228" s="186"/>
      <c r="F228" s="186"/>
      <c r="G228" s="186"/>
      <c r="H228" s="67"/>
      <c r="I228" s="186"/>
      <c r="J228" s="186"/>
      <c r="K228" s="186"/>
      <c r="L228" s="186"/>
      <c r="M228" s="186"/>
    </row>
    <row r="229">
      <c r="A229" s="185"/>
      <c r="B229" s="67"/>
      <c r="C229" s="67"/>
      <c r="D229" s="67"/>
      <c r="E229" s="186"/>
      <c r="F229" s="186"/>
      <c r="G229" s="186"/>
      <c r="H229" s="67"/>
      <c r="I229" s="186"/>
      <c r="J229" s="186"/>
      <c r="K229" s="186"/>
      <c r="L229" s="186"/>
      <c r="M229" s="186"/>
    </row>
    <row r="230">
      <c r="A230" s="185"/>
      <c r="B230" s="67"/>
      <c r="C230" s="67"/>
      <c r="D230" s="67"/>
      <c r="E230" s="186"/>
      <c r="F230" s="186"/>
      <c r="G230" s="186"/>
      <c r="H230" s="67"/>
      <c r="I230" s="186"/>
      <c r="J230" s="186"/>
      <c r="K230" s="186"/>
      <c r="L230" s="186"/>
      <c r="M230" s="186"/>
    </row>
    <row r="231">
      <c r="A231" s="185"/>
      <c r="B231" s="67"/>
      <c r="C231" s="67"/>
      <c r="D231" s="67"/>
      <c r="E231" s="186"/>
      <c r="F231" s="186"/>
      <c r="G231" s="186"/>
      <c r="H231" s="67"/>
      <c r="I231" s="186"/>
      <c r="J231" s="186"/>
      <c r="K231" s="186"/>
      <c r="L231" s="186"/>
      <c r="M231" s="186"/>
    </row>
    <row r="232">
      <c r="A232" s="185"/>
      <c r="B232" s="67"/>
      <c r="C232" s="67"/>
      <c r="D232" s="67"/>
      <c r="E232" s="186"/>
      <c r="F232" s="186"/>
      <c r="G232" s="186"/>
      <c r="H232" s="67"/>
      <c r="I232" s="186"/>
      <c r="J232" s="186"/>
      <c r="K232" s="186"/>
      <c r="L232" s="186"/>
      <c r="M232" s="186"/>
    </row>
    <row r="233">
      <c r="A233" s="185"/>
      <c r="B233" s="67"/>
      <c r="C233" s="67"/>
      <c r="D233" s="67"/>
      <c r="E233" s="186"/>
      <c r="F233" s="186"/>
      <c r="G233" s="186"/>
      <c r="H233" s="67"/>
      <c r="I233" s="186"/>
      <c r="J233" s="186"/>
      <c r="K233" s="186"/>
      <c r="L233" s="186"/>
      <c r="M233" s="186"/>
    </row>
    <row r="234">
      <c r="A234" s="185"/>
      <c r="B234" s="67"/>
      <c r="C234" s="67"/>
      <c r="D234" s="67"/>
      <c r="E234" s="186"/>
      <c r="F234" s="186"/>
      <c r="G234" s="186"/>
      <c r="H234" s="67"/>
      <c r="I234" s="186"/>
      <c r="J234" s="186"/>
      <c r="K234" s="186"/>
      <c r="L234" s="186"/>
      <c r="M234" s="186"/>
    </row>
    <row r="235">
      <c r="A235" s="185"/>
      <c r="B235" s="67"/>
      <c r="C235" s="67"/>
      <c r="D235" s="67"/>
      <c r="E235" s="186"/>
      <c r="F235" s="186"/>
      <c r="G235" s="186"/>
      <c r="H235" s="67"/>
      <c r="I235" s="186"/>
      <c r="J235" s="186"/>
      <c r="K235" s="186"/>
      <c r="L235" s="186"/>
      <c r="M235" s="186"/>
    </row>
    <row r="236">
      <c r="A236" s="185"/>
      <c r="B236" s="67"/>
      <c r="C236" s="67"/>
      <c r="D236" s="67"/>
      <c r="E236" s="186"/>
      <c r="F236" s="186"/>
      <c r="G236" s="186"/>
      <c r="H236" s="67"/>
      <c r="I236" s="186"/>
      <c r="J236" s="186"/>
      <c r="K236" s="186"/>
      <c r="L236" s="186"/>
      <c r="M236" s="186"/>
    </row>
    <row r="237">
      <c r="A237" s="185"/>
      <c r="B237" s="67"/>
      <c r="C237" s="67"/>
      <c r="D237" s="67"/>
      <c r="E237" s="186"/>
      <c r="F237" s="186"/>
      <c r="G237" s="186"/>
      <c r="H237" s="67"/>
      <c r="I237" s="186"/>
      <c r="J237" s="186"/>
      <c r="K237" s="186"/>
      <c r="L237" s="186"/>
      <c r="M237" s="186"/>
    </row>
    <row r="238">
      <c r="A238" s="185"/>
      <c r="B238" s="67"/>
      <c r="C238" s="67"/>
      <c r="D238" s="67"/>
      <c r="E238" s="186"/>
      <c r="F238" s="186"/>
      <c r="G238" s="186"/>
      <c r="H238" s="67"/>
      <c r="I238" s="186"/>
      <c r="J238" s="186"/>
      <c r="K238" s="186"/>
      <c r="L238" s="186"/>
      <c r="M238" s="186"/>
    </row>
    <row r="239">
      <c r="A239" s="185"/>
      <c r="B239" s="67"/>
      <c r="C239" s="67"/>
      <c r="D239" s="67"/>
      <c r="E239" s="186"/>
      <c r="F239" s="186"/>
      <c r="G239" s="186"/>
      <c r="H239" s="67"/>
      <c r="I239" s="186"/>
      <c r="J239" s="186"/>
      <c r="K239" s="186"/>
      <c r="L239" s="186"/>
      <c r="M239" s="186"/>
    </row>
    <row r="240">
      <c r="A240" s="185"/>
      <c r="B240" s="67"/>
      <c r="C240" s="67"/>
      <c r="D240" s="67"/>
      <c r="E240" s="186"/>
      <c r="F240" s="186"/>
      <c r="G240" s="186"/>
      <c r="H240" s="67"/>
      <c r="I240" s="186"/>
      <c r="J240" s="186"/>
      <c r="K240" s="186"/>
      <c r="L240" s="186"/>
      <c r="M240" s="186"/>
    </row>
    <row r="241">
      <c r="A241" s="185"/>
      <c r="B241" s="67"/>
      <c r="C241" s="67"/>
      <c r="D241" s="67"/>
      <c r="E241" s="186"/>
      <c r="F241" s="186"/>
      <c r="G241" s="186"/>
      <c r="H241" s="67"/>
      <c r="I241" s="186"/>
      <c r="J241" s="186"/>
      <c r="K241" s="186"/>
      <c r="L241" s="186"/>
      <c r="M241" s="186"/>
    </row>
    <row r="242">
      <c r="A242" s="185"/>
      <c r="B242" s="67"/>
      <c r="C242" s="67"/>
      <c r="D242" s="67"/>
      <c r="E242" s="186"/>
      <c r="F242" s="186"/>
      <c r="G242" s="186"/>
      <c r="H242" s="67"/>
      <c r="I242" s="186"/>
      <c r="J242" s="186"/>
      <c r="K242" s="186"/>
      <c r="L242" s="186"/>
      <c r="M242" s="186"/>
    </row>
    <row r="243">
      <c r="A243" s="185"/>
      <c r="B243" s="67"/>
      <c r="C243" s="67"/>
      <c r="D243" s="67"/>
      <c r="E243" s="186"/>
      <c r="F243" s="186"/>
      <c r="G243" s="186"/>
      <c r="H243" s="67"/>
      <c r="I243" s="186"/>
      <c r="J243" s="186"/>
      <c r="K243" s="186"/>
      <c r="L243" s="186"/>
      <c r="M243" s="186"/>
    </row>
    <row r="244">
      <c r="A244" s="185"/>
      <c r="B244" s="67"/>
      <c r="C244" s="67"/>
      <c r="D244" s="67"/>
      <c r="E244" s="186"/>
      <c r="F244" s="186"/>
      <c r="G244" s="186"/>
      <c r="H244" s="67"/>
      <c r="I244" s="186"/>
      <c r="J244" s="186"/>
      <c r="K244" s="186"/>
      <c r="L244" s="186"/>
      <c r="M244" s="186"/>
    </row>
    <row r="245">
      <c r="A245" s="185"/>
      <c r="B245" s="67"/>
      <c r="C245" s="67"/>
      <c r="D245" s="67"/>
      <c r="E245" s="186"/>
      <c r="F245" s="186"/>
      <c r="G245" s="186"/>
      <c r="H245" s="67"/>
      <c r="I245" s="186"/>
      <c r="J245" s="186"/>
      <c r="K245" s="186"/>
      <c r="L245" s="186"/>
      <c r="M245" s="186"/>
    </row>
    <row r="246">
      <c r="A246" s="185"/>
      <c r="B246" s="67"/>
      <c r="C246" s="67"/>
      <c r="D246" s="67"/>
      <c r="E246" s="186"/>
      <c r="F246" s="186"/>
      <c r="G246" s="186"/>
      <c r="H246" s="67"/>
      <c r="I246" s="186"/>
      <c r="J246" s="186"/>
      <c r="K246" s="186"/>
      <c r="L246" s="186"/>
      <c r="M246" s="186"/>
    </row>
    <row r="247">
      <c r="A247" s="185"/>
      <c r="B247" s="67"/>
      <c r="C247" s="67"/>
      <c r="D247" s="67"/>
      <c r="E247" s="186"/>
      <c r="F247" s="186"/>
      <c r="G247" s="186"/>
      <c r="H247" s="67"/>
      <c r="I247" s="186"/>
      <c r="J247" s="186"/>
      <c r="K247" s="186"/>
      <c r="L247" s="186"/>
      <c r="M247" s="186"/>
    </row>
    <row r="248">
      <c r="A248" s="185"/>
      <c r="B248" s="67"/>
      <c r="C248" s="67"/>
      <c r="D248" s="67"/>
      <c r="E248" s="186"/>
      <c r="F248" s="186"/>
      <c r="G248" s="186"/>
      <c r="H248" s="67"/>
      <c r="I248" s="186"/>
      <c r="J248" s="186"/>
      <c r="K248" s="186"/>
      <c r="L248" s="186"/>
      <c r="M248" s="186"/>
    </row>
    <row r="249">
      <c r="A249" s="185"/>
      <c r="B249" s="67"/>
      <c r="C249" s="67"/>
      <c r="D249" s="67"/>
      <c r="E249" s="186"/>
      <c r="F249" s="186"/>
      <c r="G249" s="186"/>
      <c r="H249" s="67"/>
      <c r="I249" s="186"/>
      <c r="J249" s="186"/>
      <c r="K249" s="186"/>
      <c r="L249" s="186"/>
      <c r="M249" s="186"/>
    </row>
    <row r="250">
      <c r="A250" s="185"/>
      <c r="B250" s="67"/>
      <c r="C250" s="67"/>
      <c r="D250" s="67"/>
      <c r="E250" s="186"/>
      <c r="F250" s="186"/>
      <c r="G250" s="186"/>
      <c r="H250" s="67"/>
      <c r="I250" s="186"/>
      <c r="J250" s="186"/>
      <c r="K250" s="186"/>
      <c r="L250" s="186"/>
      <c r="M250" s="186"/>
    </row>
    <row r="251">
      <c r="A251" s="185"/>
      <c r="B251" s="67"/>
      <c r="C251" s="67"/>
      <c r="D251" s="67"/>
      <c r="E251" s="186"/>
      <c r="F251" s="186"/>
      <c r="G251" s="186"/>
      <c r="H251" s="67"/>
      <c r="I251" s="186"/>
      <c r="J251" s="186"/>
      <c r="K251" s="186"/>
      <c r="L251" s="186"/>
      <c r="M251" s="186"/>
    </row>
    <row r="252">
      <c r="A252" s="185"/>
      <c r="B252" s="67"/>
      <c r="C252" s="67"/>
      <c r="D252" s="67"/>
      <c r="E252" s="186"/>
      <c r="F252" s="186"/>
      <c r="G252" s="186"/>
      <c r="H252" s="67"/>
      <c r="I252" s="186"/>
      <c r="J252" s="186"/>
      <c r="K252" s="186"/>
      <c r="L252" s="186"/>
      <c r="M252" s="186"/>
    </row>
    <row r="253">
      <c r="A253" s="185"/>
      <c r="B253" s="67"/>
      <c r="C253" s="67"/>
      <c r="D253" s="67"/>
      <c r="E253" s="186"/>
      <c r="F253" s="186"/>
      <c r="G253" s="186"/>
      <c r="H253" s="67"/>
      <c r="I253" s="186"/>
      <c r="J253" s="186"/>
      <c r="K253" s="186"/>
      <c r="L253" s="186"/>
      <c r="M253" s="186"/>
    </row>
    <row r="254">
      <c r="A254" s="185"/>
      <c r="B254" s="67"/>
      <c r="C254" s="67"/>
      <c r="D254" s="67"/>
      <c r="E254" s="186"/>
      <c r="F254" s="186"/>
      <c r="G254" s="186"/>
      <c r="H254" s="67"/>
      <c r="I254" s="186"/>
      <c r="J254" s="186"/>
      <c r="K254" s="186"/>
      <c r="L254" s="186"/>
      <c r="M254" s="186"/>
    </row>
    <row r="255">
      <c r="A255" s="185"/>
      <c r="B255" s="67"/>
      <c r="C255" s="67"/>
      <c r="D255" s="67"/>
      <c r="E255" s="186"/>
      <c r="F255" s="186"/>
      <c r="G255" s="186"/>
      <c r="H255" s="67"/>
      <c r="I255" s="186"/>
      <c r="J255" s="186"/>
      <c r="K255" s="186"/>
      <c r="L255" s="186"/>
      <c r="M255" s="186"/>
    </row>
    <row r="256">
      <c r="A256" s="185"/>
      <c r="B256" s="67"/>
      <c r="C256" s="67"/>
      <c r="D256" s="67"/>
      <c r="E256" s="186"/>
      <c r="F256" s="186"/>
      <c r="G256" s="186"/>
      <c r="H256" s="67"/>
      <c r="I256" s="186"/>
      <c r="J256" s="186"/>
      <c r="K256" s="186"/>
      <c r="L256" s="186"/>
      <c r="M256" s="186"/>
    </row>
    <row r="257">
      <c r="A257" s="185"/>
      <c r="B257" s="67"/>
      <c r="C257" s="67"/>
      <c r="D257" s="67"/>
      <c r="E257" s="186"/>
      <c r="F257" s="186"/>
      <c r="G257" s="186"/>
      <c r="H257" s="67"/>
      <c r="I257" s="186"/>
      <c r="J257" s="186"/>
      <c r="K257" s="186"/>
      <c r="L257" s="186"/>
      <c r="M257" s="186"/>
    </row>
    <row r="258">
      <c r="A258" s="185"/>
      <c r="B258" s="67"/>
      <c r="C258" s="67"/>
      <c r="D258" s="67"/>
      <c r="E258" s="186"/>
      <c r="F258" s="186"/>
      <c r="G258" s="186"/>
      <c r="H258" s="67"/>
      <c r="I258" s="186"/>
      <c r="J258" s="186"/>
      <c r="K258" s="186"/>
      <c r="L258" s="186"/>
      <c r="M258" s="186"/>
    </row>
    <row r="259">
      <c r="A259" s="185"/>
      <c r="B259" s="67"/>
      <c r="C259" s="67"/>
      <c r="D259" s="67"/>
      <c r="E259" s="186"/>
      <c r="F259" s="186"/>
      <c r="G259" s="186"/>
      <c r="H259" s="67"/>
      <c r="I259" s="186"/>
      <c r="J259" s="186"/>
      <c r="K259" s="186"/>
      <c r="L259" s="186"/>
      <c r="M259" s="186"/>
    </row>
    <row r="260">
      <c r="A260" s="185"/>
      <c r="B260" s="67"/>
      <c r="C260" s="67"/>
      <c r="D260" s="67"/>
      <c r="E260" s="186"/>
      <c r="F260" s="186"/>
      <c r="G260" s="186"/>
      <c r="H260" s="67"/>
      <c r="I260" s="186"/>
      <c r="J260" s="186"/>
      <c r="K260" s="186"/>
      <c r="L260" s="186"/>
      <c r="M260" s="186"/>
    </row>
    <row r="261">
      <c r="A261" s="185"/>
      <c r="B261" s="67"/>
      <c r="C261" s="67"/>
      <c r="D261" s="67"/>
      <c r="E261" s="186"/>
      <c r="F261" s="186"/>
      <c r="G261" s="186"/>
      <c r="H261" s="67"/>
      <c r="I261" s="186"/>
      <c r="J261" s="186"/>
      <c r="K261" s="186"/>
      <c r="L261" s="186"/>
      <c r="M261" s="186"/>
    </row>
    <row r="262">
      <c r="A262" s="185"/>
      <c r="B262" s="67"/>
      <c r="C262" s="67"/>
      <c r="D262" s="67"/>
      <c r="E262" s="186"/>
      <c r="F262" s="186"/>
      <c r="G262" s="186"/>
      <c r="H262" s="67"/>
      <c r="I262" s="186"/>
      <c r="J262" s="186"/>
      <c r="K262" s="186"/>
      <c r="L262" s="186"/>
      <c r="M262" s="186"/>
    </row>
    <row r="263">
      <c r="A263" s="185"/>
      <c r="B263" s="67"/>
      <c r="C263" s="67"/>
      <c r="D263" s="67"/>
      <c r="E263" s="186"/>
      <c r="F263" s="186"/>
      <c r="G263" s="186"/>
      <c r="H263" s="67"/>
      <c r="I263" s="186"/>
      <c r="J263" s="186"/>
      <c r="K263" s="186"/>
      <c r="L263" s="186"/>
      <c r="M263" s="186"/>
    </row>
    <row r="264">
      <c r="A264" s="185"/>
      <c r="B264" s="67"/>
      <c r="C264" s="67"/>
      <c r="D264" s="67"/>
      <c r="E264" s="186"/>
      <c r="F264" s="186"/>
      <c r="G264" s="186"/>
      <c r="H264" s="67"/>
      <c r="I264" s="186"/>
      <c r="J264" s="186"/>
      <c r="K264" s="186"/>
      <c r="L264" s="186"/>
      <c r="M264" s="186"/>
    </row>
    <row r="265">
      <c r="A265" s="185"/>
      <c r="B265" s="67"/>
      <c r="C265" s="67"/>
      <c r="D265" s="67"/>
      <c r="E265" s="186"/>
      <c r="F265" s="186"/>
      <c r="G265" s="186"/>
      <c r="H265" s="67"/>
      <c r="I265" s="186"/>
      <c r="J265" s="186"/>
      <c r="K265" s="186"/>
      <c r="L265" s="186"/>
      <c r="M265" s="186"/>
    </row>
    <row r="266">
      <c r="A266" s="185"/>
      <c r="B266" s="67"/>
      <c r="C266" s="67"/>
      <c r="D266" s="67"/>
      <c r="E266" s="186"/>
      <c r="F266" s="186"/>
      <c r="G266" s="186"/>
      <c r="H266" s="67"/>
      <c r="I266" s="186"/>
      <c r="J266" s="186"/>
      <c r="K266" s="186"/>
      <c r="L266" s="186"/>
      <c r="M266" s="186"/>
    </row>
    <row r="267">
      <c r="A267" s="185"/>
      <c r="B267" s="67"/>
      <c r="C267" s="67"/>
      <c r="D267" s="67"/>
      <c r="E267" s="186"/>
      <c r="F267" s="186"/>
      <c r="G267" s="186"/>
      <c r="H267" s="67"/>
      <c r="I267" s="186"/>
      <c r="J267" s="186"/>
      <c r="K267" s="186"/>
      <c r="L267" s="186"/>
      <c r="M267" s="186"/>
    </row>
    <row r="268">
      <c r="A268" s="185"/>
      <c r="B268" s="67"/>
      <c r="C268" s="67"/>
      <c r="D268" s="67"/>
      <c r="E268" s="186"/>
      <c r="F268" s="186"/>
      <c r="G268" s="186"/>
      <c r="H268" s="67"/>
      <c r="I268" s="186"/>
      <c r="J268" s="186"/>
      <c r="K268" s="186"/>
      <c r="L268" s="186"/>
      <c r="M268" s="186"/>
    </row>
    <row r="269">
      <c r="A269" s="185"/>
      <c r="B269" s="67"/>
      <c r="C269" s="67"/>
      <c r="D269" s="67"/>
      <c r="E269" s="186"/>
      <c r="F269" s="186"/>
      <c r="G269" s="186"/>
      <c r="H269" s="67"/>
      <c r="I269" s="186"/>
      <c r="J269" s="186"/>
      <c r="K269" s="186"/>
      <c r="L269" s="186"/>
      <c r="M269" s="186"/>
    </row>
    <row r="270">
      <c r="A270" s="185"/>
      <c r="B270" s="67"/>
      <c r="C270" s="67"/>
      <c r="D270" s="67"/>
      <c r="E270" s="186"/>
      <c r="F270" s="186"/>
      <c r="G270" s="186"/>
      <c r="H270" s="67"/>
      <c r="I270" s="186"/>
      <c r="J270" s="186"/>
      <c r="K270" s="186"/>
      <c r="L270" s="186"/>
      <c r="M270" s="186"/>
    </row>
    <row r="271">
      <c r="A271" s="185"/>
      <c r="B271" s="67"/>
      <c r="C271" s="67"/>
      <c r="D271" s="67"/>
      <c r="E271" s="186"/>
      <c r="F271" s="186"/>
      <c r="G271" s="186"/>
      <c r="H271" s="67"/>
      <c r="I271" s="186"/>
      <c r="J271" s="186"/>
      <c r="K271" s="186"/>
      <c r="L271" s="186"/>
      <c r="M271" s="186"/>
    </row>
    <row r="272">
      <c r="A272" s="185"/>
      <c r="B272" s="67"/>
      <c r="C272" s="67"/>
      <c r="D272" s="67"/>
      <c r="E272" s="186"/>
      <c r="F272" s="186"/>
      <c r="G272" s="186"/>
      <c r="H272" s="67"/>
      <c r="I272" s="186"/>
      <c r="J272" s="186"/>
      <c r="K272" s="186"/>
      <c r="L272" s="186"/>
      <c r="M272" s="186"/>
    </row>
    <row r="273">
      <c r="A273" s="185"/>
      <c r="B273" s="67"/>
      <c r="C273" s="67"/>
      <c r="D273" s="67"/>
      <c r="E273" s="186"/>
      <c r="F273" s="186"/>
      <c r="G273" s="186"/>
      <c r="H273" s="67"/>
      <c r="I273" s="186"/>
      <c r="J273" s="186"/>
      <c r="K273" s="186"/>
      <c r="L273" s="186"/>
      <c r="M273" s="186"/>
    </row>
    <row r="274">
      <c r="A274" s="185"/>
      <c r="B274" s="67"/>
      <c r="C274" s="67"/>
      <c r="D274" s="67"/>
      <c r="E274" s="186"/>
      <c r="F274" s="186"/>
      <c r="G274" s="186"/>
      <c r="H274" s="67"/>
      <c r="I274" s="186"/>
      <c r="J274" s="186"/>
      <c r="K274" s="186"/>
      <c r="L274" s="186"/>
      <c r="M274" s="186"/>
    </row>
    <row r="275">
      <c r="A275" s="185"/>
      <c r="B275" s="67"/>
      <c r="C275" s="67"/>
      <c r="D275" s="67"/>
      <c r="E275" s="186"/>
      <c r="F275" s="186"/>
      <c r="G275" s="186"/>
      <c r="H275" s="67"/>
      <c r="I275" s="186"/>
      <c r="J275" s="186"/>
      <c r="K275" s="186"/>
      <c r="L275" s="186"/>
      <c r="M275" s="186"/>
    </row>
    <row r="276">
      <c r="A276" s="185"/>
      <c r="B276" s="67"/>
      <c r="C276" s="67"/>
      <c r="D276" s="67"/>
      <c r="E276" s="186"/>
      <c r="F276" s="186"/>
      <c r="G276" s="186"/>
      <c r="H276" s="67"/>
      <c r="I276" s="186"/>
      <c r="J276" s="186"/>
      <c r="K276" s="186"/>
      <c r="L276" s="186"/>
      <c r="M276" s="186"/>
    </row>
    <row r="277">
      <c r="A277" s="185"/>
      <c r="B277" s="67"/>
      <c r="C277" s="67"/>
      <c r="D277" s="67"/>
      <c r="E277" s="186"/>
      <c r="F277" s="186"/>
      <c r="G277" s="186"/>
      <c r="H277" s="67"/>
      <c r="I277" s="186"/>
      <c r="J277" s="186"/>
      <c r="K277" s="186"/>
      <c r="L277" s="186"/>
      <c r="M277" s="186"/>
    </row>
    <row r="278">
      <c r="A278" s="185"/>
      <c r="B278" s="67"/>
      <c r="C278" s="67"/>
      <c r="D278" s="67"/>
      <c r="E278" s="186"/>
      <c r="F278" s="186"/>
      <c r="G278" s="186"/>
      <c r="H278" s="67"/>
      <c r="I278" s="186"/>
      <c r="J278" s="186"/>
      <c r="K278" s="186"/>
      <c r="L278" s="186"/>
      <c r="M278" s="186"/>
    </row>
    <row r="279">
      <c r="A279" s="185"/>
      <c r="B279" s="67"/>
      <c r="C279" s="67"/>
      <c r="D279" s="67"/>
      <c r="E279" s="186"/>
      <c r="F279" s="186"/>
      <c r="G279" s="186"/>
      <c r="H279" s="67"/>
      <c r="I279" s="186"/>
      <c r="J279" s="186"/>
      <c r="K279" s="186"/>
      <c r="L279" s="186"/>
      <c r="M279" s="186"/>
    </row>
    <row r="280">
      <c r="A280" s="185"/>
      <c r="B280" s="67"/>
      <c r="C280" s="67"/>
      <c r="D280" s="67"/>
      <c r="E280" s="186"/>
      <c r="F280" s="186"/>
      <c r="G280" s="186"/>
      <c r="H280" s="67"/>
      <c r="I280" s="186"/>
      <c r="J280" s="186"/>
      <c r="K280" s="186"/>
      <c r="L280" s="186"/>
      <c r="M280" s="186"/>
    </row>
    <row r="281">
      <c r="A281" s="185"/>
      <c r="B281" s="67"/>
      <c r="C281" s="67"/>
      <c r="D281" s="67"/>
      <c r="E281" s="186"/>
      <c r="F281" s="186"/>
      <c r="G281" s="186"/>
      <c r="H281" s="67"/>
      <c r="I281" s="186"/>
      <c r="J281" s="186"/>
      <c r="K281" s="186"/>
      <c r="L281" s="186"/>
      <c r="M281" s="186"/>
    </row>
    <row r="282">
      <c r="A282" s="185"/>
      <c r="B282" s="67"/>
      <c r="C282" s="67"/>
      <c r="D282" s="67"/>
      <c r="E282" s="186"/>
      <c r="F282" s="186"/>
      <c r="G282" s="186"/>
      <c r="H282" s="67"/>
      <c r="I282" s="186"/>
      <c r="J282" s="186"/>
      <c r="K282" s="186"/>
      <c r="L282" s="186"/>
      <c r="M282" s="186"/>
    </row>
    <row r="283">
      <c r="A283" s="185"/>
      <c r="B283" s="67"/>
      <c r="C283" s="67"/>
      <c r="D283" s="67"/>
      <c r="E283" s="186"/>
      <c r="F283" s="186"/>
      <c r="G283" s="186"/>
      <c r="H283" s="67"/>
      <c r="I283" s="186"/>
      <c r="J283" s="186"/>
      <c r="K283" s="186"/>
      <c r="L283" s="186"/>
      <c r="M283" s="186"/>
    </row>
    <row r="284">
      <c r="A284" s="185"/>
      <c r="B284" s="67"/>
      <c r="C284" s="67"/>
      <c r="D284" s="67"/>
      <c r="E284" s="186"/>
      <c r="F284" s="186"/>
      <c r="G284" s="186"/>
      <c r="H284" s="67"/>
      <c r="I284" s="186"/>
      <c r="J284" s="186"/>
      <c r="K284" s="186"/>
      <c r="L284" s="186"/>
      <c r="M284" s="186"/>
    </row>
    <row r="285">
      <c r="A285" s="185"/>
      <c r="B285" s="67"/>
      <c r="C285" s="67"/>
      <c r="D285" s="67"/>
      <c r="E285" s="186"/>
      <c r="F285" s="186"/>
      <c r="G285" s="186"/>
      <c r="H285" s="67"/>
      <c r="I285" s="186"/>
      <c r="J285" s="186"/>
      <c r="K285" s="186"/>
      <c r="L285" s="186"/>
      <c r="M285" s="186"/>
    </row>
    <row r="286">
      <c r="A286" s="185"/>
      <c r="B286" s="67"/>
      <c r="C286" s="67"/>
      <c r="D286" s="67"/>
      <c r="E286" s="186"/>
      <c r="F286" s="186"/>
      <c r="G286" s="186"/>
      <c r="H286" s="67"/>
      <c r="I286" s="186"/>
      <c r="J286" s="186"/>
      <c r="K286" s="186"/>
      <c r="L286" s="186"/>
      <c r="M286" s="186"/>
    </row>
    <row r="287">
      <c r="A287" s="185"/>
      <c r="B287" s="67"/>
      <c r="C287" s="67"/>
      <c r="D287" s="67"/>
      <c r="E287" s="186"/>
      <c r="F287" s="186"/>
      <c r="G287" s="186"/>
      <c r="H287" s="67"/>
      <c r="I287" s="186"/>
      <c r="J287" s="186"/>
      <c r="K287" s="186"/>
      <c r="L287" s="186"/>
      <c r="M287" s="186"/>
    </row>
    <row r="288">
      <c r="A288" s="185"/>
      <c r="B288" s="67"/>
      <c r="C288" s="67"/>
      <c r="D288" s="67"/>
      <c r="E288" s="186"/>
      <c r="F288" s="186"/>
      <c r="G288" s="186"/>
      <c r="H288" s="67"/>
      <c r="I288" s="186"/>
      <c r="J288" s="186"/>
      <c r="K288" s="186"/>
      <c r="L288" s="186"/>
      <c r="M288" s="186"/>
    </row>
    <row r="289">
      <c r="A289" s="185"/>
      <c r="B289" s="67"/>
      <c r="C289" s="67"/>
      <c r="D289" s="67"/>
      <c r="E289" s="186"/>
      <c r="F289" s="186"/>
      <c r="G289" s="186"/>
      <c r="H289" s="67"/>
      <c r="I289" s="186"/>
      <c r="J289" s="186"/>
      <c r="K289" s="186"/>
      <c r="L289" s="186"/>
      <c r="M289" s="186"/>
    </row>
    <row r="290">
      <c r="A290" s="185"/>
      <c r="B290" s="67"/>
      <c r="C290" s="67"/>
      <c r="D290" s="67"/>
      <c r="E290" s="186"/>
      <c r="F290" s="186"/>
      <c r="G290" s="186"/>
      <c r="H290" s="67"/>
      <c r="I290" s="186"/>
      <c r="J290" s="186"/>
      <c r="K290" s="186"/>
      <c r="L290" s="186"/>
      <c r="M290" s="186"/>
    </row>
    <row r="291">
      <c r="A291" s="185"/>
      <c r="B291" s="67"/>
      <c r="C291" s="67"/>
      <c r="D291" s="67"/>
      <c r="E291" s="186"/>
      <c r="F291" s="186"/>
      <c r="G291" s="186"/>
      <c r="H291" s="67"/>
      <c r="I291" s="186"/>
      <c r="J291" s="186"/>
      <c r="K291" s="186"/>
      <c r="L291" s="186"/>
      <c r="M291" s="186"/>
    </row>
    <row r="292">
      <c r="A292" s="185"/>
      <c r="B292" s="67"/>
      <c r="C292" s="67"/>
      <c r="D292" s="67"/>
      <c r="E292" s="186"/>
      <c r="F292" s="186"/>
      <c r="G292" s="186"/>
      <c r="H292" s="67"/>
      <c r="I292" s="186"/>
      <c r="J292" s="186"/>
      <c r="K292" s="186"/>
      <c r="L292" s="186"/>
      <c r="M292" s="186"/>
    </row>
    <row r="293">
      <c r="A293" s="185"/>
      <c r="B293" s="67"/>
      <c r="C293" s="67"/>
      <c r="D293" s="67"/>
      <c r="E293" s="186"/>
      <c r="F293" s="186"/>
      <c r="G293" s="186"/>
      <c r="H293" s="67"/>
      <c r="I293" s="186"/>
      <c r="J293" s="186"/>
      <c r="K293" s="186"/>
      <c r="L293" s="186"/>
      <c r="M293" s="186"/>
    </row>
    <row r="294">
      <c r="A294" s="185"/>
      <c r="B294" s="67"/>
      <c r="C294" s="67"/>
      <c r="D294" s="67"/>
      <c r="E294" s="186"/>
      <c r="F294" s="186"/>
      <c r="G294" s="186"/>
      <c r="H294" s="67"/>
      <c r="I294" s="186"/>
      <c r="J294" s="186"/>
      <c r="K294" s="186"/>
      <c r="L294" s="186"/>
      <c r="M294" s="186"/>
    </row>
    <row r="295">
      <c r="A295" s="185"/>
      <c r="B295" s="67"/>
      <c r="C295" s="67"/>
      <c r="D295" s="67"/>
      <c r="E295" s="186"/>
      <c r="F295" s="186"/>
      <c r="G295" s="186"/>
      <c r="H295" s="67"/>
      <c r="I295" s="186"/>
      <c r="J295" s="186"/>
      <c r="K295" s="186"/>
      <c r="L295" s="186"/>
      <c r="M295" s="186"/>
    </row>
    <row r="296">
      <c r="A296" s="185"/>
      <c r="B296" s="67"/>
      <c r="C296" s="67"/>
      <c r="D296" s="67"/>
      <c r="E296" s="186"/>
      <c r="F296" s="186"/>
      <c r="G296" s="186"/>
      <c r="H296" s="67"/>
      <c r="I296" s="186"/>
      <c r="J296" s="186"/>
      <c r="K296" s="186"/>
      <c r="L296" s="186"/>
      <c r="M296" s="186"/>
    </row>
    <row r="297">
      <c r="A297" s="185"/>
      <c r="B297" s="67"/>
      <c r="C297" s="67"/>
      <c r="D297" s="67"/>
      <c r="E297" s="186"/>
      <c r="F297" s="186"/>
      <c r="G297" s="186"/>
      <c r="H297" s="67"/>
      <c r="I297" s="186"/>
      <c r="J297" s="186"/>
      <c r="K297" s="186"/>
      <c r="L297" s="186"/>
      <c r="M297" s="186"/>
    </row>
    <row r="298">
      <c r="A298" s="185"/>
      <c r="B298" s="67"/>
      <c r="C298" s="67"/>
      <c r="D298" s="67"/>
      <c r="E298" s="186"/>
      <c r="F298" s="186"/>
      <c r="G298" s="186"/>
      <c r="H298" s="67"/>
      <c r="I298" s="186"/>
      <c r="J298" s="186"/>
      <c r="K298" s="186"/>
      <c r="L298" s="186"/>
      <c r="M298" s="186"/>
    </row>
    <row r="299">
      <c r="A299" s="185"/>
      <c r="B299" s="67"/>
      <c r="C299" s="67"/>
      <c r="D299" s="67"/>
      <c r="E299" s="186"/>
      <c r="F299" s="186"/>
      <c r="G299" s="186"/>
      <c r="H299" s="67"/>
      <c r="I299" s="186"/>
      <c r="J299" s="186"/>
      <c r="K299" s="186"/>
      <c r="L299" s="186"/>
      <c r="M299" s="186"/>
    </row>
    <row r="300">
      <c r="A300" s="185"/>
      <c r="B300" s="67"/>
      <c r="C300" s="67"/>
      <c r="D300" s="67"/>
      <c r="E300" s="186"/>
      <c r="F300" s="186"/>
      <c r="G300" s="186"/>
      <c r="H300" s="67"/>
      <c r="I300" s="186"/>
      <c r="J300" s="186"/>
      <c r="K300" s="186"/>
      <c r="L300" s="186"/>
      <c r="M300" s="186"/>
    </row>
    <row r="301">
      <c r="A301" s="185"/>
      <c r="B301" s="67"/>
      <c r="C301" s="67"/>
      <c r="D301" s="67"/>
      <c r="E301" s="186"/>
      <c r="F301" s="186"/>
      <c r="G301" s="186"/>
      <c r="H301" s="67"/>
      <c r="I301" s="186"/>
      <c r="J301" s="186"/>
      <c r="K301" s="186"/>
      <c r="L301" s="186"/>
      <c r="M301" s="186"/>
    </row>
    <row r="302">
      <c r="A302" s="185"/>
      <c r="B302" s="67"/>
      <c r="C302" s="67"/>
      <c r="D302" s="67"/>
      <c r="E302" s="186"/>
      <c r="F302" s="186"/>
      <c r="G302" s="186"/>
      <c r="H302" s="67"/>
      <c r="I302" s="186"/>
      <c r="J302" s="186"/>
      <c r="K302" s="186"/>
      <c r="L302" s="186"/>
      <c r="M302" s="186"/>
    </row>
    <row r="303">
      <c r="A303" s="185"/>
      <c r="B303" s="67"/>
      <c r="C303" s="67"/>
      <c r="D303" s="67"/>
      <c r="E303" s="186"/>
      <c r="F303" s="186"/>
      <c r="G303" s="186"/>
      <c r="H303" s="67"/>
      <c r="I303" s="186"/>
      <c r="J303" s="186"/>
      <c r="K303" s="186"/>
      <c r="L303" s="186"/>
      <c r="M303" s="186"/>
    </row>
    <row r="304">
      <c r="A304" s="185"/>
      <c r="B304" s="67"/>
      <c r="C304" s="67"/>
      <c r="D304" s="67"/>
      <c r="E304" s="186"/>
      <c r="F304" s="186"/>
      <c r="G304" s="186"/>
      <c r="H304" s="67"/>
      <c r="I304" s="186"/>
      <c r="J304" s="186"/>
      <c r="K304" s="186"/>
      <c r="L304" s="186"/>
      <c r="M304" s="186"/>
    </row>
    <row r="305">
      <c r="A305" s="185"/>
      <c r="B305" s="67"/>
      <c r="C305" s="67"/>
      <c r="D305" s="67"/>
      <c r="E305" s="186"/>
      <c r="F305" s="186"/>
      <c r="G305" s="186"/>
      <c r="H305" s="67"/>
      <c r="I305" s="186"/>
      <c r="J305" s="186"/>
      <c r="K305" s="186"/>
      <c r="L305" s="186"/>
      <c r="M305" s="186"/>
    </row>
    <row r="306">
      <c r="A306" s="185"/>
      <c r="B306" s="67"/>
      <c r="C306" s="67"/>
      <c r="D306" s="67"/>
      <c r="E306" s="186"/>
      <c r="F306" s="186"/>
      <c r="G306" s="186"/>
      <c r="H306" s="67"/>
      <c r="I306" s="186"/>
      <c r="J306" s="186"/>
      <c r="K306" s="186"/>
      <c r="L306" s="186"/>
      <c r="M306" s="186"/>
    </row>
    <row r="307">
      <c r="A307" s="185"/>
      <c r="B307" s="67"/>
      <c r="C307" s="67"/>
      <c r="D307" s="67"/>
      <c r="E307" s="186"/>
      <c r="F307" s="186"/>
      <c r="G307" s="186"/>
      <c r="H307" s="67"/>
      <c r="I307" s="186"/>
      <c r="J307" s="186"/>
      <c r="K307" s="186"/>
      <c r="L307" s="186"/>
      <c r="M307" s="186"/>
    </row>
    <row r="308">
      <c r="A308" s="185"/>
      <c r="B308" s="67"/>
      <c r="C308" s="67"/>
      <c r="D308" s="67"/>
      <c r="E308" s="186"/>
      <c r="F308" s="186"/>
      <c r="G308" s="186"/>
      <c r="H308" s="67"/>
      <c r="I308" s="186"/>
      <c r="J308" s="186"/>
      <c r="K308" s="186"/>
      <c r="L308" s="186"/>
      <c r="M308" s="186"/>
    </row>
    <row r="309">
      <c r="A309" s="185"/>
      <c r="B309" s="67"/>
      <c r="C309" s="67"/>
      <c r="D309" s="67"/>
      <c r="E309" s="186"/>
      <c r="F309" s="186"/>
      <c r="G309" s="186"/>
      <c r="H309" s="67"/>
      <c r="I309" s="186"/>
      <c r="J309" s="186"/>
      <c r="K309" s="186"/>
      <c r="L309" s="186"/>
      <c r="M309" s="186"/>
    </row>
    <row r="310">
      <c r="A310" s="185"/>
      <c r="B310" s="67"/>
      <c r="C310" s="67"/>
      <c r="D310" s="67"/>
      <c r="E310" s="186"/>
      <c r="F310" s="186"/>
      <c r="G310" s="186"/>
      <c r="H310" s="67"/>
      <c r="I310" s="186"/>
      <c r="J310" s="186"/>
      <c r="K310" s="186"/>
      <c r="L310" s="186"/>
      <c r="M310" s="186"/>
    </row>
    <row r="311">
      <c r="A311" s="185"/>
      <c r="B311" s="67"/>
      <c r="C311" s="67"/>
      <c r="D311" s="67"/>
      <c r="E311" s="186"/>
      <c r="F311" s="186"/>
      <c r="G311" s="186"/>
      <c r="H311" s="67"/>
      <c r="I311" s="186"/>
      <c r="J311" s="186"/>
      <c r="K311" s="186"/>
      <c r="L311" s="186"/>
      <c r="M311" s="186"/>
    </row>
    <row r="312">
      <c r="A312" s="185"/>
      <c r="B312" s="67"/>
      <c r="C312" s="67"/>
      <c r="D312" s="67"/>
      <c r="E312" s="186"/>
      <c r="F312" s="186"/>
      <c r="G312" s="186"/>
      <c r="H312" s="67"/>
      <c r="I312" s="186"/>
      <c r="J312" s="186"/>
      <c r="K312" s="186"/>
      <c r="L312" s="186"/>
      <c r="M312" s="186"/>
    </row>
    <row r="313">
      <c r="A313" s="185"/>
      <c r="B313" s="67"/>
      <c r="C313" s="67"/>
      <c r="D313" s="67"/>
      <c r="E313" s="186"/>
      <c r="F313" s="186"/>
      <c r="G313" s="186"/>
      <c r="H313" s="67"/>
      <c r="I313" s="186"/>
      <c r="J313" s="186"/>
      <c r="K313" s="186"/>
      <c r="L313" s="186"/>
      <c r="M313" s="186"/>
    </row>
    <row r="314">
      <c r="A314" s="185"/>
      <c r="B314" s="67"/>
      <c r="C314" s="67"/>
      <c r="D314" s="67"/>
      <c r="E314" s="186"/>
      <c r="F314" s="186"/>
      <c r="G314" s="186"/>
      <c r="H314" s="67"/>
      <c r="I314" s="186"/>
      <c r="J314" s="186"/>
      <c r="K314" s="186"/>
      <c r="L314" s="186"/>
      <c r="M314" s="186"/>
    </row>
    <row r="315">
      <c r="A315" s="185"/>
      <c r="B315" s="67"/>
      <c r="C315" s="67"/>
      <c r="D315" s="67"/>
      <c r="E315" s="186"/>
      <c r="F315" s="186"/>
      <c r="G315" s="186"/>
      <c r="H315" s="67"/>
      <c r="I315" s="186"/>
      <c r="J315" s="186"/>
      <c r="K315" s="186"/>
      <c r="L315" s="186"/>
      <c r="M315" s="186"/>
    </row>
    <row r="316">
      <c r="A316" s="185"/>
      <c r="B316" s="67"/>
      <c r="C316" s="67"/>
      <c r="D316" s="67"/>
      <c r="E316" s="186"/>
      <c r="F316" s="186"/>
      <c r="G316" s="186"/>
      <c r="H316" s="67"/>
      <c r="I316" s="186"/>
      <c r="J316" s="186"/>
      <c r="K316" s="186"/>
      <c r="L316" s="186"/>
      <c r="M316" s="186"/>
    </row>
    <row r="317">
      <c r="A317" s="185"/>
      <c r="B317" s="67"/>
      <c r="C317" s="67"/>
      <c r="D317" s="67"/>
      <c r="E317" s="186"/>
      <c r="F317" s="186"/>
      <c r="G317" s="186"/>
      <c r="H317" s="67"/>
      <c r="I317" s="186"/>
      <c r="J317" s="186"/>
      <c r="K317" s="186"/>
      <c r="L317" s="186"/>
      <c r="M317" s="186"/>
    </row>
    <row r="318">
      <c r="A318" s="185"/>
      <c r="B318" s="67"/>
      <c r="C318" s="67"/>
      <c r="D318" s="67"/>
      <c r="E318" s="186"/>
      <c r="F318" s="186"/>
      <c r="G318" s="186"/>
      <c r="H318" s="67"/>
      <c r="I318" s="186"/>
      <c r="J318" s="186"/>
      <c r="K318" s="186"/>
      <c r="L318" s="186"/>
      <c r="M318" s="186"/>
    </row>
    <row r="319">
      <c r="A319" s="185"/>
      <c r="B319" s="67"/>
      <c r="C319" s="67"/>
      <c r="D319" s="67"/>
      <c r="E319" s="186"/>
      <c r="F319" s="186"/>
      <c r="G319" s="186"/>
      <c r="H319" s="67"/>
      <c r="I319" s="186"/>
      <c r="J319" s="186"/>
      <c r="K319" s="186"/>
      <c r="L319" s="186"/>
      <c r="M319" s="186"/>
    </row>
    <row r="320">
      <c r="A320" s="185"/>
      <c r="B320" s="67"/>
      <c r="C320" s="67"/>
      <c r="D320" s="67"/>
      <c r="E320" s="186"/>
      <c r="F320" s="186"/>
      <c r="G320" s="186"/>
      <c r="H320" s="67"/>
      <c r="I320" s="186"/>
      <c r="J320" s="186"/>
      <c r="K320" s="186"/>
      <c r="L320" s="186"/>
      <c r="M320" s="186"/>
    </row>
    <row r="321">
      <c r="A321" s="185"/>
      <c r="B321" s="67"/>
      <c r="C321" s="67"/>
      <c r="D321" s="67"/>
      <c r="E321" s="186"/>
      <c r="F321" s="186"/>
      <c r="G321" s="186"/>
      <c r="H321" s="67"/>
      <c r="I321" s="186"/>
      <c r="J321" s="186"/>
      <c r="K321" s="186"/>
      <c r="L321" s="186"/>
      <c r="M321" s="186"/>
    </row>
    <row r="322">
      <c r="A322" s="185"/>
      <c r="B322" s="67"/>
      <c r="C322" s="67"/>
      <c r="D322" s="67"/>
      <c r="E322" s="186"/>
      <c r="F322" s="186"/>
      <c r="G322" s="186"/>
      <c r="H322" s="67"/>
      <c r="I322" s="186"/>
      <c r="J322" s="186"/>
      <c r="K322" s="186"/>
      <c r="L322" s="186"/>
      <c r="M322" s="186"/>
    </row>
    <row r="323">
      <c r="A323" s="185"/>
      <c r="B323" s="67"/>
      <c r="C323" s="67"/>
      <c r="D323" s="67"/>
      <c r="E323" s="186"/>
      <c r="F323" s="186"/>
      <c r="G323" s="186"/>
      <c r="H323" s="67"/>
      <c r="I323" s="186"/>
      <c r="J323" s="186"/>
      <c r="K323" s="186"/>
      <c r="L323" s="186"/>
      <c r="M323" s="186"/>
    </row>
    <row r="324">
      <c r="A324" s="185"/>
      <c r="B324" s="67"/>
      <c r="C324" s="67"/>
      <c r="D324" s="67"/>
      <c r="E324" s="186"/>
      <c r="F324" s="186"/>
      <c r="G324" s="186"/>
      <c r="H324" s="67"/>
      <c r="I324" s="186"/>
      <c r="J324" s="186"/>
      <c r="K324" s="186"/>
      <c r="L324" s="186"/>
      <c r="M324" s="186"/>
    </row>
    <row r="325">
      <c r="A325" s="185"/>
      <c r="B325" s="67"/>
      <c r="C325" s="67"/>
      <c r="D325" s="67"/>
      <c r="E325" s="186"/>
      <c r="F325" s="186"/>
      <c r="G325" s="186"/>
      <c r="H325" s="67"/>
      <c r="I325" s="186"/>
      <c r="J325" s="186"/>
      <c r="K325" s="186"/>
      <c r="L325" s="186"/>
      <c r="M325" s="186"/>
    </row>
    <row r="326">
      <c r="A326" s="185"/>
      <c r="B326" s="67"/>
      <c r="C326" s="67"/>
      <c r="D326" s="67"/>
      <c r="E326" s="186"/>
      <c r="F326" s="186"/>
      <c r="G326" s="186"/>
      <c r="H326" s="67"/>
      <c r="I326" s="186"/>
      <c r="J326" s="186"/>
      <c r="K326" s="186"/>
      <c r="L326" s="186"/>
      <c r="M326" s="186"/>
    </row>
    <row r="327">
      <c r="A327" s="185"/>
      <c r="B327" s="67"/>
      <c r="C327" s="67"/>
      <c r="D327" s="67"/>
      <c r="E327" s="186"/>
      <c r="F327" s="186"/>
      <c r="G327" s="186"/>
      <c r="H327" s="67"/>
      <c r="I327" s="186"/>
      <c r="J327" s="186"/>
      <c r="K327" s="186"/>
      <c r="L327" s="186"/>
      <c r="M327" s="186"/>
    </row>
    <row r="328">
      <c r="A328" s="185"/>
      <c r="B328" s="67"/>
      <c r="C328" s="67"/>
      <c r="D328" s="67"/>
      <c r="E328" s="186"/>
      <c r="F328" s="186"/>
      <c r="G328" s="186"/>
      <c r="H328" s="67"/>
      <c r="I328" s="186"/>
      <c r="J328" s="186"/>
      <c r="K328" s="186"/>
      <c r="L328" s="186"/>
      <c r="M328" s="186"/>
    </row>
    <row r="329">
      <c r="A329" s="185"/>
      <c r="B329" s="67"/>
      <c r="C329" s="67"/>
      <c r="D329" s="67"/>
      <c r="E329" s="186"/>
      <c r="F329" s="186"/>
      <c r="G329" s="186"/>
      <c r="H329" s="67"/>
      <c r="I329" s="186"/>
      <c r="J329" s="186"/>
      <c r="K329" s="186"/>
      <c r="L329" s="186"/>
      <c r="M329" s="186"/>
    </row>
    <row r="330">
      <c r="A330" s="185"/>
      <c r="B330" s="67"/>
      <c r="C330" s="67"/>
      <c r="D330" s="67"/>
      <c r="E330" s="186"/>
      <c r="F330" s="186"/>
      <c r="G330" s="186"/>
      <c r="H330" s="67"/>
      <c r="I330" s="186"/>
      <c r="J330" s="186"/>
      <c r="K330" s="186"/>
      <c r="L330" s="186"/>
      <c r="M330" s="186"/>
    </row>
    <row r="331">
      <c r="A331" s="185"/>
      <c r="B331" s="67"/>
      <c r="C331" s="67"/>
      <c r="D331" s="67"/>
      <c r="E331" s="186"/>
      <c r="F331" s="186"/>
      <c r="G331" s="186"/>
      <c r="H331" s="67"/>
      <c r="I331" s="186"/>
      <c r="J331" s="186"/>
      <c r="K331" s="186"/>
      <c r="L331" s="186"/>
      <c r="M331" s="186"/>
    </row>
    <row r="332">
      <c r="A332" s="185"/>
      <c r="B332" s="67"/>
      <c r="C332" s="67"/>
      <c r="D332" s="67"/>
      <c r="E332" s="186"/>
      <c r="F332" s="186"/>
      <c r="G332" s="186"/>
      <c r="H332" s="67"/>
      <c r="I332" s="186"/>
      <c r="J332" s="186"/>
      <c r="K332" s="186"/>
      <c r="L332" s="186"/>
      <c r="M332" s="186"/>
    </row>
    <row r="333">
      <c r="A333" s="185"/>
      <c r="B333" s="67"/>
      <c r="C333" s="67"/>
      <c r="D333" s="67"/>
      <c r="E333" s="186"/>
      <c r="F333" s="186"/>
      <c r="G333" s="186"/>
      <c r="H333" s="67"/>
      <c r="I333" s="186"/>
      <c r="J333" s="186"/>
      <c r="K333" s="186"/>
      <c r="L333" s="186"/>
      <c r="M333" s="186"/>
    </row>
    <row r="334">
      <c r="A334" s="185"/>
      <c r="B334" s="67"/>
      <c r="C334" s="67"/>
      <c r="D334" s="67"/>
      <c r="E334" s="186"/>
      <c r="F334" s="186"/>
      <c r="G334" s="186"/>
      <c r="H334" s="67"/>
      <c r="I334" s="186"/>
      <c r="J334" s="186"/>
      <c r="K334" s="186"/>
      <c r="L334" s="186"/>
      <c r="M334" s="186"/>
    </row>
    <row r="335">
      <c r="A335" s="185"/>
      <c r="B335" s="67"/>
      <c r="C335" s="67"/>
      <c r="D335" s="67"/>
      <c r="E335" s="186"/>
      <c r="F335" s="186"/>
      <c r="G335" s="186"/>
      <c r="H335" s="67"/>
      <c r="I335" s="186"/>
      <c r="J335" s="186"/>
      <c r="K335" s="186"/>
      <c r="L335" s="186"/>
      <c r="M335" s="186"/>
    </row>
    <row r="336">
      <c r="A336" s="185"/>
      <c r="B336" s="67"/>
      <c r="C336" s="67"/>
      <c r="D336" s="67"/>
      <c r="E336" s="186"/>
      <c r="F336" s="186"/>
      <c r="G336" s="186"/>
      <c r="H336" s="67"/>
      <c r="I336" s="186"/>
      <c r="J336" s="186"/>
      <c r="K336" s="186"/>
      <c r="L336" s="186"/>
      <c r="M336" s="186"/>
    </row>
    <row r="337">
      <c r="A337" s="185"/>
      <c r="B337" s="67"/>
      <c r="C337" s="67"/>
      <c r="D337" s="67"/>
      <c r="E337" s="186"/>
      <c r="F337" s="186"/>
      <c r="G337" s="186"/>
      <c r="H337" s="67"/>
      <c r="I337" s="186"/>
      <c r="J337" s="186"/>
      <c r="K337" s="186"/>
      <c r="L337" s="186"/>
      <c r="M337" s="186"/>
    </row>
    <row r="338">
      <c r="A338" s="185"/>
      <c r="B338" s="67"/>
      <c r="C338" s="67"/>
      <c r="D338" s="67"/>
      <c r="E338" s="186"/>
      <c r="F338" s="186"/>
      <c r="G338" s="186"/>
      <c r="H338" s="67"/>
      <c r="I338" s="186"/>
      <c r="J338" s="186"/>
      <c r="K338" s="186"/>
      <c r="L338" s="186"/>
      <c r="M338" s="186"/>
    </row>
    <row r="339">
      <c r="A339" s="185"/>
      <c r="B339" s="67"/>
      <c r="C339" s="67"/>
      <c r="D339" s="67"/>
      <c r="E339" s="186"/>
      <c r="F339" s="186"/>
      <c r="G339" s="186"/>
      <c r="H339" s="67"/>
      <c r="I339" s="186"/>
      <c r="J339" s="186"/>
      <c r="K339" s="186"/>
      <c r="L339" s="186"/>
      <c r="M339" s="186"/>
    </row>
    <row r="340">
      <c r="A340" s="185"/>
      <c r="B340" s="67"/>
      <c r="C340" s="67"/>
      <c r="D340" s="67"/>
      <c r="E340" s="186"/>
      <c r="F340" s="186"/>
      <c r="G340" s="186"/>
      <c r="H340" s="67"/>
      <c r="I340" s="186"/>
      <c r="J340" s="186"/>
      <c r="K340" s="186"/>
      <c r="L340" s="186"/>
      <c r="M340" s="186"/>
    </row>
    <row r="341">
      <c r="A341" s="185"/>
      <c r="B341" s="67"/>
      <c r="C341" s="67"/>
      <c r="D341" s="67"/>
      <c r="E341" s="186"/>
      <c r="F341" s="186"/>
      <c r="G341" s="186"/>
      <c r="H341" s="67"/>
      <c r="I341" s="186"/>
      <c r="J341" s="186"/>
      <c r="K341" s="186"/>
      <c r="L341" s="186"/>
      <c r="M341" s="186"/>
    </row>
    <row r="342">
      <c r="A342" s="185"/>
      <c r="B342" s="67"/>
      <c r="C342" s="67"/>
      <c r="D342" s="67"/>
      <c r="E342" s="186"/>
      <c r="F342" s="186"/>
      <c r="G342" s="186"/>
      <c r="H342" s="67"/>
      <c r="I342" s="186"/>
      <c r="J342" s="186"/>
      <c r="K342" s="186"/>
      <c r="L342" s="186"/>
      <c r="M342" s="186"/>
    </row>
    <row r="343">
      <c r="A343" s="185"/>
      <c r="B343" s="67"/>
      <c r="C343" s="67"/>
      <c r="D343" s="67"/>
      <c r="E343" s="186"/>
      <c r="F343" s="186"/>
      <c r="G343" s="186"/>
      <c r="H343" s="67"/>
      <c r="I343" s="186"/>
      <c r="J343" s="186"/>
      <c r="K343" s="186"/>
      <c r="L343" s="186"/>
      <c r="M343" s="186"/>
    </row>
    <row r="344">
      <c r="A344" s="185"/>
      <c r="B344" s="67"/>
      <c r="C344" s="67"/>
      <c r="D344" s="67"/>
      <c r="E344" s="186"/>
      <c r="F344" s="186"/>
      <c r="G344" s="186"/>
      <c r="H344" s="67"/>
      <c r="I344" s="186"/>
      <c r="J344" s="186"/>
      <c r="K344" s="186"/>
      <c r="L344" s="186"/>
      <c r="M344" s="186"/>
    </row>
    <row r="345">
      <c r="A345" s="185"/>
      <c r="B345" s="67"/>
      <c r="C345" s="67"/>
      <c r="D345" s="67"/>
      <c r="E345" s="186"/>
      <c r="F345" s="186"/>
      <c r="G345" s="186"/>
      <c r="H345" s="67"/>
      <c r="I345" s="186"/>
      <c r="J345" s="186"/>
      <c r="K345" s="186"/>
      <c r="L345" s="186"/>
      <c r="M345" s="186"/>
    </row>
    <row r="346">
      <c r="A346" s="185"/>
      <c r="B346" s="67"/>
      <c r="C346" s="67"/>
      <c r="D346" s="67"/>
      <c r="E346" s="186"/>
      <c r="F346" s="186"/>
      <c r="G346" s="186"/>
      <c r="H346" s="67"/>
      <c r="I346" s="186"/>
      <c r="J346" s="186"/>
      <c r="K346" s="186"/>
      <c r="L346" s="186"/>
      <c r="M346" s="186"/>
    </row>
    <row r="347">
      <c r="A347" s="185"/>
      <c r="B347" s="67"/>
      <c r="C347" s="67"/>
      <c r="D347" s="67"/>
      <c r="E347" s="186"/>
      <c r="F347" s="186"/>
      <c r="G347" s="186"/>
      <c r="H347" s="67"/>
      <c r="I347" s="186"/>
      <c r="J347" s="186"/>
      <c r="K347" s="186"/>
      <c r="L347" s="186"/>
      <c r="M347" s="186"/>
    </row>
    <row r="348">
      <c r="A348" s="185"/>
      <c r="B348" s="67"/>
      <c r="C348" s="67"/>
      <c r="D348" s="67"/>
      <c r="E348" s="186"/>
      <c r="F348" s="186"/>
      <c r="G348" s="186"/>
      <c r="H348" s="67"/>
      <c r="I348" s="186"/>
      <c r="J348" s="186"/>
      <c r="K348" s="186"/>
      <c r="L348" s="186"/>
      <c r="M348" s="186"/>
    </row>
    <row r="349">
      <c r="A349" s="185"/>
      <c r="B349" s="67"/>
      <c r="C349" s="67"/>
      <c r="D349" s="67"/>
      <c r="E349" s="186"/>
      <c r="F349" s="186"/>
      <c r="G349" s="186"/>
      <c r="H349" s="67"/>
      <c r="I349" s="186"/>
      <c r="J349" s="186"/>
      <c r="K349" s="186"/>
      <c r="L349" s="186"/>
      <c r="M349" s="186"/>
    </row>
    <row r="350">
      <c r="A350" s="185"/>
      <c r="B350" s="67"/>
      <c r="C350" s="67"/>
      <c r="D350" s="67"/>
      <c r="E350" s="186"/>
      <c r="F350" s="186"/>
      <c r="G350" s="186"/>
      <c r="H350" s="67"/>
      <c r="I350" s="186"/>
      <c r="J350" s="186"/>
      <c r="K350" s="186"/>
      <c r="L350" s="186"/>
      <c r="M350" s="186"/>
    </row>
    <row r="351">
      <c r="A351" s="185"/>
      <c r="B351" s="67"/>
      <c r="C351" s="67"/>
      <c r="D351" s="67"/>
      <c r="E351" s="186"/>
      <c r="F351" s="186"/>
      <c r="G351" s="186"/>
      <c r="H351" s="67"/>
      <c r="I351" s="186"/>
      <c r="J351" s="186"/>
      <c r="K351" s="186"/>
      <c r="L351" s="186"/>
      <c r="M351" s="186"/>
    </row>
    <row r="352">
      <c r="A352" s="185"/>
      <c r="B352" s="67"/>
      <c r="C352" s="67"/>
      <c r="D352" s="67"/>
      <c r="E352" s="186"/>
      <c r="F352" s="186"/>
      <c r="G352" s="186"/>
      <c r="H352" s="67"/>
      <c r="I352" s="186"/>
      <c r="J352" s="186"/>
      <c r="K352" s="186"/>
      <c r="L352" s="186"/>
      <c r="M352" s="186"/>
    </row>
    <row r="353">
      <c r="A353" s="185"/>
      <c r="B353" s="67"/>
      <c r="C353" s="67"/>
      <c r="D353" s="67"/>
      <c r="E353" s="186"/>
      <c r="F353" s="186"/>
      <c r="G353" s="186"/>
      <c r="H353" s="67"/>
      <c r="I353" s="186"/>
      <c r="J353" s="186"/>
      <c r="K353" s="186"/>
      <c r="L353" s="186"/>
      <c r="M353" s="186"/>
    </row>
    <row r="354">
      <c r="A354" s="185"/>
      <c r="B354" s="67"/>
      <c r="C354" s="67"/>
      <c r="D354" s="67"/>
      <c r="E354" s="186"/>
      <c r="F354" s="186"/>
      <c r="G354" s="186"/>
      <c r="H354" s="67"/>
      <c r="I354" s="186"/>
      <c r="J354" s="186"/>
      <c r="K354" s="186"/>
      <c r="L354" s="186"/>
      <c r="M354" s="186"/>
    </row>
    <row r="355">
      <c r="A355" s="185"/>
      <c r="B355" s="67"/>
      <c r="C355" s="67"/>
      <c r="D355" s="67"/>
      <c r="E355" s="186"/>
      <c r="F355" s="186"/>
      <c r="G355" s="186"/>
      <c r="H355" s="67"/>
      <c r="I355" s="186"/>
      <c r="J355" s="186"/>
      <c r="K355" s="186"/>
      <c r="L355" s="186"/>
      <c r="M355" s="186"/>
    </row>
    <row r="356">
      <c r="A356" s="185"/>
      <c r="B356" s="67"/>
      <c r="C356" s="67"/>
      <c r="D356" s="67"/>
      <c r="E356" s="186"/>
      <c r="F356" s="186"/>
      <c r="G356" s="186"/>
      <c r="H356" s="67"/>
      <c r="I356" s="186"/>
      <c r="J356" s="186"/>
      <c r="K356" s="186"/>
      <c r="L356" s="186"/>
      <c r="M356" s="186"/>
    </row>
    <row r="357">
      <c r="A357" s="185"/>
      <c r="B357" s="67"/>
      <c r="C357" s="67"/>
      <c r="D357" s="67"/>
      <c r="E357" s="186"/>
      <c r="F357" s="186"/>
      <c r="G357" s="186"/>
      <c r="H357" s="67"/>
      <c r="I357" s="186"/>
      <c r="J357" s="186"/>
      <c r="K357" s="186"/>
      <c r="L357" s="186"/>
      <c r="M357" s="186"/>
    </row>
    <row r="358">
      <c r="A358" s="185"/>
      <c r="B358" s="67"/>
      <c r="C358" s="67"/>
      <c r="D358" s="67"/>
      <c r="E358" s="186"/>
      <c r="F358" s="186"/>
      <c r="G358" s="186"/>
      <c r="H358" s="67"/>
      <c r="I358" s="186"/>
      <c r="J358" s="186"/>
      <c r="K358" s="186"/>
      <c r="L358" s="186"/>
      <c r="M358" s="186"/>
    </row>
    <row r="359">
      <c r="A359" s="185"/>
      <c r="B359" s="67"/>
      <c r="C359" s="67"/>
      <c r="D359" s="67"/>
      <c r="E359" s="186"/>
      <c r="F359" s="186"/>
      <c r="G359" s="186"/>
      <c r="H359" s="67"/>
      <c r="I359" s="186"/>
      <c r="J359" s="186"/>
      <c r="K359" s="186"/>
      <c r="L359" s="186"/>
      <c r="M359" s="186"/>
    </row>
    <row r="360">
      <c r="A360" s="185"/>
      <c r="B360" s="67"/>
      <c r="C360" s="67"/>
      <c r="D360" s="67"/>
      <c r="E360" s="186"/>
      <c r="F360" s="186"/>
      <c r="G360" s="186"/>
      <c r="H360" s="67"/>
      <c r="I360" s="186"/>
      <c r="J360" s="186"/>
      <c r="K360" s="186"/>
      <c r="L360" s="186"/>
      <c r="M360" s="186"/>
    </row>
    <row r="361">
      <c r="A361" s="185"/>
      <c r="B361" s="67"/>
      <c r="C361" s="67"/>
      <c r="D361" s="67"/>
      <c r="E361" s="186"/>
      <c r="F361" s="186"/>
      <c r="G361" s="186"/>
      <c r="H361" s="67"/>
      <c r="I361" s="186"/>
      <c r="J361" s="186"/>
      <c r="K361" s="186"/>
      <c r="L361" s="186"/>
      <c r="M361" s="186"/>
    </row>
    <row r="362">
      <c r="A362" s="185"/>
      <c r="B362" s="67"/>
      <c r="C362" s="67"/>
      <c r="D362" s="67"/>
      <c r="E362" s="186"/>
      <c r="F362" s="186"/>
      <c r="G362" s="186"/>
      <c r="H362" s="67"/>
      <c r="I362" s="186"/>
      <c r="J362" s="186"/>
      <c r="K362" s="186"/>
      <c r="L362" s="186"/>
      <c r="M362" s="186"/>
    </row>
    <row r="363">
      <c r="A363" s="185"/>
      <c r="B363" s="67"/>
      <c r="C363" s="67"/>
      <c r="D363" s="67"/>
      <c r="E363" s="186"/>
      <c r="F363" s="186"/>
      <c r="G363" s="186"/>
      <c r="H363" s="67"/>
      <c r="I363" s="186"/>
      <c r="J363" s="186"/>
      <c r="K363" s="186"/>
      <c r="L363" s="186"/>
      <c r="M363" s="186"/>
    </row>
    <row r="364">
      <c r="A364" s="185"/>
      <c r="B364" s="67"/>
      <c r="C364" s="67"/>
      <c r="D364" s="67"/>
      <c r="E364" s="186"/>
      <c r="F364" s="186"/>
      <c r="G364" s="186"/>
      <c r="H364" s="67"/>
      <c r="I364" s="186"/>
      <c r="J364" s="186"/>
      <c r="K364" s="186"/>
      <c r="L364" s="186"/>
      <c r="M364" s="186"/>
    </row>
    <row r="365">
      <c r="A365" s="185"/>
      <c r="B365" s="67"/>
      <c r="C365" s="67"/>
      <c r="D365" s="67"/>
      <c r="E365" s="186"/>
      <c r="F365" s="186"/>
      <c r="G365" s="186"/>
      <c r="H365" s="67"/>
      <c r="I365" s="186"/>
      <c r="J365" s="186"/>
      <c r="K365" s="186"/>
      <c r="L365" s="186"/>
      <c r="M365" s="186"/>
    </row>
    <row r="366">
      <c r="A366" s="185"/>
      <c r="B366" s="67"/>
      <c r="C366" s="67"/>
      <c r="D366" s="67"/>
      <c r="E366" s="186"/>
      <c r="F366" s="186"/>
      <c r="G366" s="186"/>
      <c r="H366" s="67"/>
      <c r="I366" s="186"/>
      <c r="J366" s="186"/>
      <c r="K366" s="186"/>
      <c r="L366" s="186"/>
      <c r="M366" s="186"/>
    </row>
    <row r="367">
      <c r="A367" s="185"/>
      <c r="B367" s="67"/>
      <c r="C367" s="67"/>
      <c r="D367" s="67"/>
      <c r="E367" s="186"/>
      <c r="F367" s="186"/>
      <c r="G367" s="186"/>
      <c r="H367" s="67"/>
      <c r="I367" s="186"/>
      <c r="J367" s="186"/>
      <c r="K367" s="186"/>
      <c r="L367" s="186"/>
      <c r="M367" s="186"/>
    </row>
    <row r="368">
      <c r="A368" s="185"/>
      <c r="B368" s="67"/>
      <c r="C368" s="67"/>
      <c r="D368" s="67"/>
      <c r="E368" s="186"/>
      <c r="F368" s="186"/>
      <c r="G368" s="186"/>
      <c r="H368" s="67"/>
      <c r="I368" s="186"/>
      <c r="J368" s="186"/>
      <c r="K368" s="186"/>
      <c r="L368" s="186"/>
      <c r="M368" s="186"/>
    </row>
    <row r="369">
      <c r="A369" s="185"/>
      <c r="B369" s="67"/>
      <c r="C369" s="67"/>
      <c r="D369" s="67"/>
      <c r="E369" s="186"/>
      <c r="F369" s="186"/>
      <c r="G369" s="186"/>
      <c r="H369" s="67"/>
      <c r="I369" s="186"/>
      <c r="J369" s="186"/>
      <c r="K369" s="186"/>
      <c r="L369" s="186"/>
      <c r="M369" s="186"/>
    </row>
    <row r="370">
      <c r="A370" s="185"/>
      <c r="B370" s="67"/>
      <c r="C370" s="67"/>
      <c r="D370" s="67"/>
      <c r="E370" s="186"/>
      <c r="F370" s="186"/>
      <c r="G370" s="186"/>
      <c r="H370" s="67"/>
      <c r="I370" s="186"/>
      <c r="J370" s="186"/>
      <c r="K370" s="186"/>
      <c r="L370" s="186"/>
      <c r="M370" s="186"/>
    </row>
    <row r="371">
      <c r="A371" s="185"/>
      <c r="B371" s="67"/>
      <c r="C371" s="67"/>
      <c r="D371" s="67"/>
      <c r="E371" s="186"/>
      <c r="F371" s="186"/>
      <c r="G371" s="186"/>
      <c r="H371" s="67"/>
      <c r="I371" s="186"/>
      <c r="J371" s="186"/>
      <c r="K371" s="186"/>
      <c r="L371" s="186"/>
      <c r="M371" s="186"/>
    </row>
    <row r="372">
      <c r="A372" s="185"/>
      <c r="B372" s="67"/>
      <c r="C372" s="67"/>
      <c r="D372" s="67"/>
      <c r="E372" s="186"/>
      <c r="F372" s="186"/>
      <c r="G372" s="186"/>
      <c r="H372" s="67"/>
      <c r="I372" s="186"/>
      <c r="J372" s="186"/>
      <c r="K372" s="186"/>
      <c r="L372" s="186"/>
      <c r="M372" s="186"/>
    </row>
    <row r="373">
      <c r="A373" s="185"/>
      <c r="B373" s="67"/>
      <c r="C373" s="67"/>
      <c r="D373" s="67"/>
      <c r="E373" s="186"/>
      <c r="F373" s="186"/>
      <c r="G373" s="186"/>
      <c r="H373" s="67"/>
      <c r="I373" s="186"/>
      <c r="J373" s="186"/>
      <c r="K373" s="186"/>
      <c r="L373" s="186"/>
      <c r="M373" s="186"/>
    </row>
    <row r="374">
      <c r="A374" s="185"/>
      <c r="B374" s="67"/>
      <c r="C374" s="67"/>
      <c r="D374" s="67"/>
      <c r="E374" s="186"/>
      <c r="F374" s="186"/>
      <c r="G374" s="186"/>
      <c r="H374" s="67"/>
      <c r="I374" s="186"/>
      <c r="J374" s="186"/>
      <c r="K374" s="186"/>
      <c r="L374" s="186"/>
      <c r="M374" s="186"/>
    </row>
    <row r="375">
      <c r="A375" s="185"/>
      <c r="B375" s="67"/>
      <c r="C375" s="67"/>
      <c r="D375" s="67"/>
      <c r="E375" s="186"/>
      <c r="F375" s="186"/>
      <c r="G375" s="186"/>
      <c r="H375" s="67"/>
      <c r="I375" s="186"/>
      <c r="J375" s="186"/>
      <c r="K375" s="186"/>
      <c r="L375" s="186"/>
      <c r="M375" s="186"/>
    </row>
    <row r="376">
      <c r="A376" s="185"/>
      <c r="B376" s="67"/>
      <c r="C376" s="67"/>
      <c r="D376" s="67"/>
      <c r="E376" s="186"/>
      <c r="F376" s="186"/>
      <c r="G376" s="186"/>
      <c r="H376" s="67"/>
      <c r="I376" s="186"/>
      <c r="J376" s="186"/>
      <c r="K376" s="186"/>
      <c r="L376" s="186"/>
      <c r="M376" s="186"/>
    </row>
    <row r="377">
      <c r="A377" s="185"/>
      <c r="B377" s="67"/>
      <c r="C377" s="67"/>
      <c r="D377" s="67"/>
      <c r="E377" s="186"/>
      <c r="F377" s="186"/>
      <c r="G377" s="186"/>
      <c r="H377" s="67"/>
      <c r="I377" s="186"/>
      <c r="J377" s="186"/>
      <c r="K377" s="186"/>
      <c r="L377" s="186"/>
      <c r="M377" s="186"/>
    </row>
    <row r="378">
      <c r="A378" s="185"/>
      <c r="B378" s="67"/>
      <c r="C378" s="67"/>
      <c r="D378" s="67"/>
      <c r="E378" s="186"/>
      <c r="F378" s="186"/>
      <c r="G378" s="186"/>
      <c r="H378" s="67"/>
      <c r="I378" s="186"/>
      <c r="J378" s="186"/>
      <c r="K378" s="186"/>
      <c r="L378" s="186"/>
      <c r="M378" s="186"/>
    </row>
    <row r="379">
      <c r="A379" s="185"/>
      <c r="B379" s="67"/>
      <c r="C379" s="67"/>
      <c r="D379" s="67"/>
      <c r="E379" s="186"/>
      <c r="F379" s="186"/>
      <c r="G379" s="186"/>
      <c r="H379" s="67"/>
      <c r="I379" s="186"/>
      <c r="J379" s="186"/>
      <c r="K379" s="186"/>
      <c r="L379" s="186"/>
      <c r="M379" s="186"/>
    </row>
    <row r="380">
      <c r="A380" s="185"/>
      <c r="B380" s="67"/>
      <c r="C380" s="67"/>
      <c r="D380" s="67"/>
      <c r="E380" s="186"/>
      <c r="F380" s="186"/>
      <c r="G380" s="186"/>
      <c r="H380" s="67"/>
      <c r="I380" s="186"/>
      <c r="J380" s="186"/>
      <c r="K380" s="186"/>
      <c r="L380" s="186"/>
      <c r="M380" s="186"/>
    </row>
    <row r="381">
      <c r="A381" s="185"/>
      <c r="B381" s="67"/>
      <c r="C381" s="67"/>
      <c r="D381" s="67"/>
      <c r="E381" s="186"/>
      <c r="F381" s="186"/>
      <c r="G381" s="186"/>
      <c r="H381" s="67"/>
      <c r="I381" s="186"/>
      <c r="J381" s="186"/>
      <c r="K381" s="186"/>
      <c r="L381" s="186"/>
      <c r="M381" s="186"/>
    </row>
    <row r="382">
      <c r="A382" s="185"/>
      <c r="B382" s="67"/>
      <c r="C382" s="67"/>
      <c r="D382" s="67"/>
      <c r="E382" s="186"/>
      <c r="F382" s="186"/>
      <c r="G382" s="186"/>
      <c r="H382" s="67"/>
      <c r="I382" s="186"/>
      <c r="J382" s="186"/>
      <c r="K382" s="186"/>
      <c r="L382" s="186"/>
      <c r="M382" s="186"/>
    </row>
    <row r="383">
      <c r="A383" s="185"/>
      <c r="B383" s="67"/>
      <c r="C383" s="67"/>
      <c r="D383" s="67"/>
      <c r="E383" s="186"/>
      <c r="F383" s="186"/>
      <c r="G383" s="186"/>
      <c r="H383" s="67"/>
      <c r="I383" s="186"/>
      <c r="J383" s="186"/>
      <c r="K383" s="186"/>
      <c r="L383" s="186"/>
      <c r="M383" s="186"/>
    </row>
    <row r="384">
      <c r="A384" s="185"/>
      <c r="B384" s="67"/>
      <c r="C384" s="67"/>
      <c r="D384" s="67"/>
      <c r="E384" s="186"/>
      <c r="F384" s="186"/>
      <c r="G384" s="186"/>
      <c r="H384" s="67"/>
      <c r="I384" s="186"/>
      <c r="J384" s="186"/>
      <c r="K384" s="186"/>
      <c r="L384" s="186"/>
      <c r="M384" s="186"/>
    </row>
    <row r="385">
      <c r="A385" s="185"/>
      <c r="B385" s="67"/>
      <c r="C385" s="67"/>
      <c r="D385" s="67"/>
      <c r="E385" s="186"/>
      <c r="F385" s="186"/>
      <c r="G385" s="186"/>
      <c r="H385" s="67"/>
      <c r="I385" s="186"/>
      <c r="J385" s="186"/>
      <c r="K385" s="186"/>
      <c r="L385" s="186"/>
      <c r="M385" s="186"/>
    </row>
    <row r="386">
      <c r="A386" s="185"/>
      <c r="B386" s="67"/>
      <c r="C386" s="67"/>
      <c r="D386" s="67"/>
      <c r="E386" s="186"/>
      <c r="F386" s="186"/>
      <c r="G386" s="186"/>
      <c r="H386" s="67"/>
      <c r="I386" s="186"/>
      <c r="J386" s="186"/>
      <c r="K386" s="186"/>
      <c r="L386" s="186"/>
      <c r="M386" s="186"/>
    </row>
    <row r="387">
      <c r="A387" s="185"/>
      <c r="B387" s="67"/>
      <c r="C387" s="67"/>
      <c r="D387" s="67"/>
      <c r="E387" s="186"/>
      <c r="F387" s="186"/>
      <c r="G387" s="186"/>
      <c r="H387" s="67"/>
      <c r="I387" s="186"/>
      <c r="J387" s="186"/>
      <c r="K387" s="186"/>
      <c r="L387" s="186"/>
      <c r="M387" s="186"/>
    </row>
    <row r="388">
      <c r="A388" s="185"/>
      <c r="B388" s="67"/>
      <c r="C388" s="67"/>
      <c r="D388" s="67"/>
      <c r="E388" s="186"/>
      <c r="F388" s="186"/>
      <c r="G388" s="186"/>
      <c r="H388" s="67"/>
      <c r="I388" s="186"/>
      <c r="J388" s="186"/>
      <c r="K388" s="186"/>
      <c r="L388" s="186"/>
      <c r="M388" s="186"/>
    </row>
    <row r="389">
      <c r="A389" s="185"/>
      <c r="B389" s="67"/>
      <c r="C389" s="67"/>
      <c r="D389" s="67"/>
      <c r="E389" s="186"/>
      <c r="F389" s="186"/>
      <c r="G389" s="186"/>
      <c r="H389" s="67"/>
      <c r="I389" s="186"/>
      <c r="J389" s="186"/>
      <c r="K389" s="186"/>
      <c r="L389" s="186"/>
      <c r="M389" s="186"/>
    </row>
    <row r="390">
      <c r="A390" s="185"/>
      <c r="B390" s="67"/>
      <c r="C390" s="67"/>
      <c r="D390" s="67"/>
      <c r="E390" s="186"/>
      <c r="F390" s="186"/>
      <c r="G390" s="186"/>
      <c r="H390" s="67"/>
      <c r="I390" s="186"/>
      <c r="J390" s="186"/>
      <c r="K390" s="186"/>
      <c r="L390" s="186"/>
      <c r="M390" s="186"/>
    </row>
    <row r="391">
      <c r="A391" s="185"/>
      <c r="B391" s="67"/>
      <c r="C391" s="67"/>
      <c r="D391" s="67"/>
      <c r="E391" s="186"/>
      <c r="F391" s="186"/>
      <c r="G391" s="186"/>
      <c r="H391" s="67"/>
      <c r="I391" s="186"/>
      <c r="J391" s="186"/>
      <c r="K391" s="186"/>
      <c r="L391" s="186"/>
      <c r="M391" s="186"/>
    </row>
    <row r="392">
      <c r="A392" s="185"/>
      <c r="B392" s="67"/>
      <c r="C392" s="67"/>
      <c r="D392" s="67"/>
      <c r="E392" s="186"/>
      <c r="F392" s="186"/>
      <c r="G392" s="186"/>
      <c r="H392" s="67"/>
      <c r="I392" s="186"/>
      <c r="J392" s="186"/>
      <c r="K392" s="186"/>
      <c r="L392" s="186"/>
      <c r="M392" s="186"/>
    </row>
    <row r="393">
      <c r="A393" s="185"/>
      <c r="B393" s="67"/>
      <c r="C393" s="67"/>
      <c r="D393" s="67"/>
      <c r="E393" s="186"/>
      <c r="F393" s="186"/>
      <c r="G393" s="186"/>
      <c r="H393" s="67"/>
      <c r="I393" s="186"/>
      <c r="J393" s="186"/>
      <c r="K393" s="186"/>
      <c r="L393" s="186"/>
      <c r="M393" s="186"/>
    </row>
    <row r="394">
      <c r="A394" s="185"/>
      <c r="B394" s="67"/>
      <c r="C394" s="67"/>
      <c r="D394" s="67"/>
      <c r="E394" s="186"/>
      <c r="F394" s="186"/>
      <c r="G394" s="186"/>
      <c r="H394" s="67"/>
      <c r="I394" s="186"/>
      <c r="J394" s="186"/>
      <c r="K394" s="186"/>
      <c r="L394" s="186"/>
      <c r="M394" s="186"/>
    </row>
    <row r="395">
      <c r="A395" s="185"/>
      <c r="B395" s="67"/>
      <c r="C395" s="67"/>
      <c r="D395" s="67"/>
      <c r="E395" s="186"/>
      <c r="F395" s="186"/>
      <c r="G395" s="186"/>
      <c r="H395" s="67"/>
      <c r="I395" s="186"/>
      <c r="J395" s="186"/>
      <c r="K395" s="186"/>
      <c r="L395" s="186"/>
      <c r="M395" s="186"/>
    </row>
    <row r="396">
      <c r="A396" s="185"/>
      <c r="B396" s="67"/>
      <c r="C396" s="67"/>
      <c r="D396" s="67"/>
      <c r="E396" s="186"/>
      <c r="F396" s="186"/>
      <c r="G396" s="186"/>
      <c r="H396" s="67"/>
      <c r="I396" s="186"/>
      <c r="J396" s="186"/>
      <c r="K396" s="186"/>
      <c r="L396" s="186"/>
      <c r="M396" s="186"/>
    </row>
    <row r="397">
      <c r="A397" s="185"/>
      <c r="B397" s="67"/>
      <c r="C397" s="67"/>
      <c r="D397" s="67"/>
      <c r="E397" s="186"/>
      <c r="F397" s="186"/>
      <c r="G397" s="186"/>
      <c r="H397" s="67"/>
      <c r="I397" s="186"/>
      <c r="J397" s="186"/>
      <c r="K397" s="186"/>
      <c r="L397" s="186"/>
      <c r="M397" s="186"/>
    </row>
    <row r="398">
      <c r="A398" s="185"/>
      <c r="B398" s="67"/>
      <c r="C398" s="67"/>
      <c r="D398" s="67"/>
      <c r="E398" s="186"/>
      <c r="F398" s="186"/>
      <c r="G398" s="186"/>
      <c r="H398" s="67"/>
      <c r="I398" s="186"/>
      <c r="J398" s="186"/>
      <c r="K398" s="186"/>
      <c r="L398" s="186"/>
      <c r="M398" s="186"/>
    </row>
    <row r="399">
      <c r="A399" s="185"/>
      <c r="B399" s="67"/>
      <c r="C399" s="67"/>
      <c r="D399" s="67"/>
      <c r="E399" s="186"/>
      <c r="F399" s="186"/>
      <c r="G399" s="186"/>
      <c r="H399" s="67"/>
      <c r="I399" s="186"/>
      <c r="J399" s="186"/>
      <c r="K399" s="186"/>
      <c r="L399" s="186"/>
      <c r="M399" s="186"/>
    </row>
    <row r="400">
      <c r="A400" s="185"/>
      <c r="B400" s="67"/>
      <c r="C400" s="67"/>
      <c r="D400" s="67"/>
      <c r="E400" s="186"/>
      <c r="F400" s="186"/>
      <c r="G400" s="186"/>
      <c r="H400" s="67"/>
      <c r="I400" s="186"/>
      <c r="J400" s="186"/>
      <c r="K400" s="186"/>
      <c r="L400" s="186"/>
      <c r="M400" s="186"/>
    </row>
    <row r="401">
      <c r="A401" s="185"/>
      <c r="B401" s="67"/>
      <c r="C401" s="67"/>
      <c r="D401" s="67"/>
      <c r="E401" s="186"/>
      <c r="F401" s="186"/>
      <c r="G401" s="186"/>
      <c r="H401" s="67"/>
      <c r="I401" s="186"/>
      <c r="J401" s="186"/>
      <c r="K401" s="186"/>
      <c r="L401" s="186"/>
      <c r="M401" s="186"/>
    </row>
    <row r="402">
      <c r="A402" s="185"/>
      <c r="B402" s="67"/>
      <c r="C402" s="67"/>
      <c r="D402" s="67"/>
      <c r="E402" s="186"/>
      <c r="F402" s="186"/>
      <c r="G402" s="186"/>
      <c r="H402" s="67"/>
      <c r="I402" s="186"/>
      <c r="J402" s="186"/>
      <c r="K402" s="186"/>
      <c r="L402" s="186"/>
      <c r="M402" s="186"/>
    </row>
    <row r="403">
      <c r="A403" s="185"/>
      <c r="B403" s="67"/>
      <c r="C403" s="67"/>
      <c r="D403" s="67"/>
      <c r="E403" s="186"/>
      <c r="F403" s="186"/>
      <c r="G403" s="186"/>
      <c r="H403" s="67"/>
      <c r="I403" s="186"/>
      <c r="J403" s="186"/>
      <c r="K403" s="186"/>
      <c r="L403" s="186"/>
      <c r="M403" s="186"/>
    </row>
    <row r="404">
      <c r="A404" s="185"/>
      <c r="B404" s="67"/>
      <c r="C404" s="67"/>
      <c r="D404" s="67"/>
      <c r="E404" s="186"/>
      <c r="F404" s="186"/>
      <c r="G404" s="186"/>
      <c r="H404" s="67"/>
      <c r="I404" s="186"/>
      <c r="J404" s="186"/>
      <c r="K404" s="186"/>
      <c r="L404" s="186"/>
      <c r="M404" s="186"/>
    </row>
    <row r="405">
      <c r="A405" s="185"/>
      <c r="B405" s="67"/>
      <c r="C405" s="67"/>
      <c r="D405" s="67"/>
      <c r="E405" s="186"/>
      <c r="F405" s="186"/>
      <c r="G405" s="186"/>
      <c r="H405" s="67"/>
      <c r="I405" s="186"/>
      <c r="J405" s="186"/>
      <c r="K405" s="186"/>
      <c r="L405" s="186"/>
      <c r="M405" s="186"/>
    </row>
    <row r="406">
      <c r="A406" s="185"/>
      <c r="B406" s="67"/>
      <c r="C406" s="67"/>
      <c r="D406" s="67"/>
      <c r="E406" s="186"/>
      <c r="F406" s="186"/>
      <c r="G406" s="186"/>
      <c r="H406" s="67"/>
      <c r="I406" s="186"/>
      <c r="J406" s="186"/>
      <c r="K406" s="186"/>
      <c r="L406" s="186"/>
      <c r="M406" s="186"/>
    </row>
    <row r="407">
      <c r="A407" s="185"/>
      <c r="B407" s="67"/>
      <c r="C407" s="67"/>
      <c r="D407" s="67"/>
      <c r="E407" s="186"/>
      <c r="F407" s="186"/>
      <c r="G407" s="186"/>
      <c r="H407" s="67"/>
      <c r="I407" s="186"/>
      <c r="J407" s="186"/>
      <c r="K407" s="186"/>
      <c r="L407" s="186"/>
      <c r="M407" s="186"/>
    </row>
    <row r="408">
      <c r="A408" s="185"/>
      <c r="B408" s="67"/>
      <c r="C408" s="67"/>
      <c r="D408" s="67"/>
      <c r="E408" s="186"/>
      <c r="F408" s="186"/>
      <c r="G408" s="186"/>
      <c r="H408" s="67"/>
      <c r="I408" s="186"/>
      <c r="J408" s="186"/>
      <c r="K408" s="186"/>
      <c r="L408" s="186"/>
      <c r="M408" s="186"/>
    </row>
    <row r="409">
      <c r="A409" s="185"/>
      <c r="B409" s="67"/>
      <c r="C409" s="67"/>
      <c r="D409" s="67"/>
      <c r="E409" s="186"/>
      <c r="F409" s="186"/>
      <c r="G409" s="186"/>
      <c r="H409" s="67"/>
      <c r="I409" s="186"/>
      <c r="J409" s="186"/>
      <c r="K409" s="186"/>
      <c r="L409" s="186"/>
      <c r="M409" s="186"/>
    </row>
    <row r="410">
      <c r="A410" s="185"/>
      <c r="B410" s="67"/>
      <c r="C410" s="67"/>
      <c r="D410" s="67"/>
      <c r="E410" s="186"/>
      <c r="F410" s="186"/>
      <c r="G410" s="186"/>
      <c r="H410" s="67"/>
      <c r="I410" s="186"/>
      <c r="J410" s="186"/>
      <c r="K410" s="186"/>
      <c r="L410" s="186"/>
      <c r="M410" s="186"/>
    </row>
    <row r="411">
      <c r="A411" s="185"/>
      <c r="B411" s="67"/>
      <c r="C411" s="67"/>
      <c r="D411" s="67"/>
      <c r="E411" s="186"/>
      <c r="F411" s="186"/>
      <c r="G411" s="186"/>
      <c r="H411" s="67"/>
      <c r="I411" s="186"/>
      <c r="J411" s="186"/>
      <c r="K411" s="186"/>
      <c r="L411" s="186"/>
      <c r="M411" s="186"/>
    </row>
    <row r="412">
      <c r="A412" s="185"/>
      <c r="B412" s="67"/>
      <c r="C412" s="67"/>
      <c r="D412" s="67"/>
      <c r="E412" s="186"/>
      <c r="F412" s="186"/>
      <c r="G412" s="186"/>
      <c r="H412" s="67"/>
      <c r="I412" s="186"/>
      <c r="J412" s="186"/>
      <c r="K412" s="186"/>
      <c r="L412" s="186"/>
      <c r="M412" s="186"/>
    </row>
    <row r="413">
      <c r="A413" s="185"/>
      <c r="B413" s="67"/>
      <c r="C413" s="67"/>
      <c r="D413" s="67"/>
      <c r="E413" s="186"/>
      <c r="F413" s="186"/>
      <c r="G413" s="186"/>
      <c r="H413" s="67"/>
      <c r="I413" s="186"/>
      <c r="J413" s="186"/>
      <c r="K413" s="186"/>
      <c r="L413" s="186"/>
      <c r="M413" s="186"/>
    </row>
    <row r="414">
      <c r="A414" s="185"/>
      <c r="B414" s="67"/>
      <c r="C414" s="67"/>
      <c r="D414" s="67"/>
      <c r="E414" s="186"/>
      <c r="F414" s="186"/>
      <c r="G414" s="186"/>
      <c r="H414" s="67"/>
      <c r="I414" s="186"/>
      <c r="J414" s="186"/>
      <c r="K414" s="186"/>
      <c r="L414" s="186"/>
      <c r="M414" s="186"/>
    </row>
    <row r="415">
      <c r="A415" s="185"/>
      <c r="B415" s="67"/>
      <c r="C415" s="67"/>
      <c r="D415" s="67"/>
      <c r="E415" s="186"/>
      <c r="F415" s="186"/>
      <c r="G415" s="186"/>
      <c r="H415" s="67"/>
      <c r="I415" s="186"/>
      <c r="J415" s="186"/>
      <c r="K415" s="186"/>
      <c r="L415" s="186"/>
      <c r="M415" s="186"/>
    </row>
    <row r="416">
      <c r="A416" s="185"/>
      <c r="B416" s="67"/>
      <c r="C416" s="67"/>
      <c r="D416" s="67"/>
      <c r="E416" s="186"/>
      <c r="F416" s="186"/>
      <c r="G416" s="186"/>
      <c r="H416" s="67"/>
      <c r="I416" s="186"/>
      <c r="J416" s="186"/>
      <c r="K416" s="186"/>
      <c r="L416" s="186"/>
      <c r="M416" s="186"/>
    </row>
    <row r="417">
      <c r="A417" s="185"/>
      <c r="B417" s="67"/>
      <c r="C417" s="67"/>
      <c r="D417" s="67"/>
      <c r="E417" s="186"/>
      <c r="F417" s="186"/>
      <c r="G417" s="186"/>
      <c r="H417" s="67"/>
      <c r="I417" s="186"/>
      <c r="J417" s="186"/>
      <c r="K417" s="186"/>
      <c r="L417" s="186"/>
      <c r="M417" s="186"/>
    </row>
    <row r="418">
      <c r="A418" s="185"/>
      <c r="B418" s="67"/>
      <c r="C418" s="67"/>
      <c r="D418" s="67"/>
      <c r="E418" s="186"/>
      <c r="F418" s="186"/>
      <c r="G418" s="186"/>
      <c r="H418" s="67"/>
      <c r="I418" s="186"/>
      <c r="J418" s="186"/>
      <c r="K418" s="186"/>
      <c r="L418" s="186"/>
      <c r="M418" s="186"/>
    </row>
    <row r="419">
      <c r="A419" s="185"/>
      <c r="B419" s="67"/>
      <c r="C419" s="67"/>
      <c r="D419" s="67"/>
      <c r="E419" s="186"/>
      <c r="F419" s="186"/>
      <c r="G419" s="186"/>
      <c r="H419" s="67"/>
      <c r="I419" s="186"/>
      <c r="J419" s="186"/>
      <c r="K419" s="186"/>
      <c r="L419" s="186"/>
      <c r="M419" s="186"/>
    </row>
    <row r="420">
      <c r="A420" s="185"/>
      <c r="B420" s="67"/>
      <c r="C420" s="67"/>
      <c r="D420" s="67"/>
      <c r="E420" s="186"/>
      <c r="F420" s="186"/>
      <c r="G420" s="186"/>
      <c r="H420" s="67"/>
      <c r="I420" s="186"/>
      <c r="J420" s="186"/>
      <c r="K420" s="186"/>
      <c r="L420" s="186"/>
      <c r="M420" s="186"/>
    </row>
    <row r="421">
      <c r="A421" s="185"/>
      <c r="B421" s="67"/>
      <c r="C421" s="67"/>
      <c r="D421" s="67"/>
      <c r="E421" s="186"/>
      <c r="F421" s="186"/>
      <c r="G421" s="186"/>
      <c r="H421" s="67"/>
      <c r="I421" s="186"/>
      <c r="J421" s="186"/>
      <c r="K421" s="186"/>
      <c r="L421" s="186"/>
      <c r="M421" s="186"/>
    </row>
    <row r="422">
      <c r="A422" s="185"/>
      <c r="B422" s="67"/>
      <c r="C422" s="67"/>
      <c r="D422" s="67"/>
      <c r="E422" s="186"/>
      <c r="F422" s="186"/>
      <c r="G422" s="186"/>
      <c r="H422" s="67"/>
      <c r="I422" s="186"/>
      <c r="J422" s="186"/>
      <c r="K422" s="186"/>
      <c r="L422" s="186"/>
      <c r="M422" s="186"/>
    </row>
    <row r="423">
      <c r="A423" s="185"/>
      <c r="B423" s="67"/>
      <c r="C423" s="67"/>
      <c r="D423" s="67"/>
      <c r="E423" s="186"/>
      <c r="F423" s="186"/>
      <c r="G423" s="186"/>
      <c r="H423" s="67"/>
      <c r="I423" s="186"/>
      <c r="J423" s="186"/>
      <c r="K423" s="186"/>
      <c r="L423" s="186"/>
      <c r="M423" s="186"/>
    </row>
    <row r="424">
      <c r="A424" s="185"/>
      <c r="B424" s="67"/>
      <c r="C424" s="67"/>
      <c r="D424" s="67"/>
      <c r="E424" s="186"/>
      <c r="F424" s="186"/>
      <c r="G424" s="186"/>
      <c r="H424" s="67"/>
      <c r="I424" s="186"/>
      <c r="J424" s="186"/>
      <c r="K424" s="186"/>
      <c r="L424" s="186"/>
      <c r="M424" s="186"/>
    </row>
    <row r="425">
      <c r="A425" s="185"/>
      <c r="B425" s="67"/>
      <c r="C425" s="67"/>
      <c r="D425" s="67"/>
      <c r="E425" s="186"/>
      <c r="F425" s="186"/>
      <c r="G425" s="186"/>
      <c r="H425" s="67"/>
      <c r="I425" s="186"/>
      <c r="J425" s="186"/>
      <c r="K425" s="186"/>
      <c r="L425" s="186"/>
      <c r="M425" s="186"/>
    </row>
    <row r="426">
      <c r="A426" s="185"/>
      <c r="B426" s="67"/>
      <c r="C426" s="67"/>
      <c r="D426" s="67"/>
      <c r="E426" s="186"/>
      <c r="F426" s="186"/>
      <c r="G426" s="186"/>
      <c r="H426" s="67"/>
      <c r="I426" s="186"/>
      <c r="J426" s="186"/>
      <c r="K426" s="186"/>
      <c r="L426" s="186"/>
      <c r="M426" s="186"/>
    </row>
    <row r="427">
      <c r="A427" s="185"/>
      <c r="B427" s="67"/>
      <c r="C427" s="67"/>
      <c r="D427" s="67"/>
      <c r="E427" s="186"/>
      <c r="F427" s="186"/>
      <c r="G427" s="186"/>
      <c r="H427" s="67"/>
      <c r="I427" s="186"/>
      <c r="J427" s="186"/>
      <c r="K427" s="186"/>
      <c r="L427" s="186"/>
      <c r="M427" s="186"/>
    </row>
    <row r="428">
      <c r="A428" s="185"/>
      <c r="B428" s="67"/>
      <c r="C428" s="67"/>
      <c r="D428" s="67"/>
      <c r="E428" s="186"/>
      <c r="F428" s="186"/>
      <c r="G428" s="186"/>
      <c r="H428" s="67"/>
      <c r="I428" s="186"/>
      <c r="J428" s="186"/>
      <c r="K428" s="186"/>
      <c r="L428" s="186"/>
      <c r="M428" s="186"/>
    </row>
    <row r="429">
      <c r="A429" s="185"/>
      <c r="B429" s="67"/>
      <c r="C429" s="67"/>
      <c r="D429" s="67"/>
      <c r="E429" s="186"/>
      <c r="F429" s="186"/>
      <c r="G429" s="186"/>
      <c r="H429" s="67"/>
      <c r="I429" s="186"/>
      <c r="J429" s="186"/>
      <c r="K429" s="186"/>
      <c r="L429" s="186"/>
      <c r="M429" s="186"/>
    </row>
    <row r="430">
      <c r="A430" s="185"/>
      <c r="B430" s="67"/>
      <c r="C430" s="67"/>
      <c r="D430" s="67"/>
      <c r="E430" s="186"/>
      <c r="F430" s="186"/>
      <c r="G430" s="186"/>
      <c r="H430" s="67"/>
      <c r="I430" s="186"/>
      <c r="J430" s="186"/>
      <c r="K430" s="186"/>
      <c r="L430" s="186"/>
      <c r="M430" s="186"/>
    </row>
    <row r="431">
      <c r="A431" s="185"/>
      <c r="B431" s="67"/>
      <c r="C431" s="67"/>
      <c r="D431" s="67"/>
      <c r="E431" s="186"/>
      <c r="F431" s="186"/>
      <c r="G431" s="186"/>
      <c r="H431" s="67"/>
      <c r="I431" s="186"/>
      <c r="J431" s="186"/>
      <c r="K431" s="186"/>
      <c r="L431" s="186"/>
      <c r="M431" s="186"/>
    </row>
    <row r="432">
      <c r="A432" s="185"/>
      <c r="B432" s="67"/>
      <c r="C432" s="67"/>
      <c r="D432" s="67"/>
      <c r="E432" s="186"/>
      <c r="F432" s="186"/>
      <c r="G432" s="186"/>
      <c r="H432" s="67"/>
      <c r="I432" s="186"/>
      <c r="J432" s="186"/>
      <c r="K432" s="186"/>
      <c r="L432" s="186"/>
      <c r="M432" s="186"/>
    </row>
    <row r="433">
      <c r="A433" s="185"/>
      <c r="B433" s="67"/>
      <c r="C433" s="67"/>
      <c r="D433" s="67"/>
      <c r="E433" s="186"/>
      <c r="F433" s="186"/>
      <c r="G433" s="186"/>
      <c r="H433" s="67"/>
      <c r="I433" s="186"/>
      <c r="J433" s="186"/>
      <c r="K433" s="186"/>
      <c r="L433" s="186"/>
      <c r="M433" s="186"/>
    </row>
    <row r="434">
      <c r="A434" s="185"/>
      <c r="B434" s="67"/>
      <c r="C434" s="67"/>
      <c r="D434" s="67"/>
      <c r="E434" s="186"/>
      <c r="F434" s="186"/>
      <c r="G434" s="186"/>
      <c r="H434" s="67"/>
      <c r="I434" s="186"/>
      <c r="J434" s="186"/>
      <c r="K434" s="186"/>
      <c r="L434" s="186"/>
      <c r="M434" s="186"/>
    </row>
    <row r="435">
      <c r="A435" s="185"/>
      <c r="B435" s="67"/>
      <c r="C435" s="67"/>
      <c r="D435" s="67"/>
      <c r="E435" s="186"/>
      <c r="F435" s="186"/>
      <c r="G435" s="186"/>
      <c r="H435" s="67"/>
      <c r="I435" s="186"/>
      <c r="J435" s="186"/>
      <c r="K435" s="186"/>
      <c r="L435" s="186"/>
      <c r="M435" s="186"/>
    </row>
    <row r="436">
      <c r="A436" s="185"/>
      <c r="B436" s="67"/>
      <c r="C436" s="67"/>
      <c r="D436" s="67"/>
      <c r="E436" s="186"/>
      <c r="F436" s="186"/>
      <c r="G436" s="186"/>
      <c r="H436" s="67"/>
      <c r="I436" s="186"/>
      <c r="J436" s="186"/>
      <c r="K436" s="186"/>
      <c r="L436" s="186"/>
      <c r="M436" s="186"/>
    </row>
    <row r="437">
      <c r="A437" s="185"/>
      <c r="B437" s="67"/>
      <c r="C437" s="67"/>
      <c r="D437" s="67"/>
      <c r="E437" s="186"/>
      <c r="F437" s="186"/>
      <c r="G437" s="186"/>
      <c r="H437" s="67"/>
      <c r="I437" s="186"/>
      <c r="J437" s="186"/>
      <c r="K437" s="186"/>
      <c r="L437" s="186"/>
      <c r="M437" s="186"/>
    </row>
    <row r="438">
      <c r="A438" s="185"/>
      <c r="B438" s="67"/>
      <c r="C438" s="67"/>
      <c r="D438" s="67"/>
      <c r="E438" s="186"/>
      <c r="F438" s="186"/>
      <c r="G438" s="186"/>
      <c r="H438" s="67"/>
      <c r="I438" s="186"/>
      <c r="J438" s="186"/>
      <c r="K438" s="186"/>
      <c r="L438" s="186"/>
      <c r="M438" s="186"/>
    </row>
    <row r="439">
      <c r="A439" s="185"/>
      <c r="B439" s="67"/>
      <c r="C439" s="67"/>
      <c r="D439" s="67"/>
      <c r="E439" s="186"/>
      <c r="F439" s="186"/>
      <c r="G439" s="186"/>
      <c r="H439" s="67"/>
      <c r="I439" s="186"/>
      <c r="J439" s="186"/>
      <c r="K439" s="186"/>
      <c r="L439" s="186"/>
      <c r="M439" s="186"/>
    </row>
    <row r="440">
      <c r="A440" s="185"/>
      <c r="B440" s="67"/>
      <c r="C440" s="67"/>
      <c r="D440" s="67"/>
      <c r="E440" s="186"/>
      <c r="F440" s="186"/>
      <c r="G440" s="186"/>
      <c r="H440" s="67"/>
      <c r="I440" s="186"/>
      <c r="J440" s="186"/>
      <c r="K440" s="186"/>
      <c r="L440" s="186"/>
      <c r="M440" s="186"/>
    </row>
    <row r="441">
      <c r="A441" s="185"/>
      <c r="B441" s="67"/>
      <c r="C441" s="67"/>
      <c r="D441" s="67"/>
      <c r="E441" s="186"/>
      <c r="F441" s="186"/>
      <c r="G441" s="186"/>
      <c r="H441" s="67"/>
      <c r="I441" s="186"/>
      <c r="J441" s="186"/>
      <c r="K441" s="186"/>
      <c r="L441" s="186"/>
      <c r="M441" s="186"/>
    </row>
    <row r="442">
      <c r="A442" s="185"/>
      <c r="B442" s="67"/>
      <c r="C442" s="67"/>
      <c r="D442" s="67"/>
      <c r="E442" s="186"/>
      <c r="F442" s="186"/>
      <c r="G442" s="186"/>
      <c r="H442" s="67"/>
      <c r="I442" s="186"/>
      <c r="J442" s="186"/>
      <c r="K442" s="186"/>
      <c r="L442" s="186"/>
      <c r="M442" s="186"/>
    </row>
    <row r="443">
      <c r="A443" s="185"/>
      <c r="B443" s="67"/>
      <c r="C443" s="67"/>
      <c r="D443" s="67"/>
      <c r="E443" s="186"/>
      <c r="F443" s="186"/>
      <c r="G443" s="186"/>
      <c r="H443" s="67"/>
      <c r="I443" s="186"/>
      <c r="J443" s="186"/>
      <c r="K443" s="186"/>
      <c r="L443" s="186"/>
      <c r="M443" s="186"/>
    </row>
    <row r="444">
      <c r="A444" s="185"/>
      <c r="B444" s="67"/>
      <c r="C444" s="67"/>
      <c r="D444" s="67"/>
      <c r="E444" s="186"/>
      <c r="F444" s="186"/>
      <c r="G444" s="186"/>
      <c r="H444" s="67"/>
      <c r="I444" s="186"/>
      <c r="J444" s="186"/>
      <c r="K444" s="186"/>
      <c r="L444" s="186"/>
      <c r="M444" s="186"/>
    </row>
    <row r="445">
      <c r="A445" s="185"/>
      <c r="B445" s="67"/>
      <c r="C445" s="67"/>
      <c r="D445" s="67"/>
      <c r="E445" s="186"/>
      <c r="F445" s="186"/>
      <c r="G445" s="186"/>
      <c r="H445" s="67"/>
      <c r="I445" s="186"/>
      <c r="J445" s="186"/>
      <c r="K445" s="186"/>
      <c r="L445" s="186"/>
      <c r="M445" s="186"/>
    </row>
    <row r="446">
      <c r="A446" s="185"/>
      <c r="B446" s="67"/>
      <c r="C446" s="67"/>
      <c r="D446" s="67"/>
      <c r="E446" s="186"/>
      <c r="F446" s="186"/>
      <c r="G446" s="186"/>
      <c r="H446" s="67"/>
      <c r="I446" s="186"/>
      <c r="J446" s="186"/>
      <c r="K446" s="186"/>
      <c r="L446" s="186"/>
      <c r="M446" s="186"/>
    </row>
    <row r="447">
      <c r="A447" s="185"/>
      <c r="B447" s="67"/>
      <c r="C447" s="67"/>
      <c r="D447" s="67"/>
      <c r="E447" s="186"/>
      <c r="F447" s="186"/>
      <c r="G447" s="186"/>
      <c r="H447" s="67"/>
      <c r="I447" s="186"/>
      <c r="J447" s="186"/>
      <c r="K447" s="186"/>
      <c r="L447" s="186"/>
      <c r="M447" s="186"/>
    </row>
    <row r="448">
      <c r="A448" s="185"/>
      <c r="B448" s="67"/>
      <c r="C448" s="67"/>
      <c r="D448" s="67"/>
      <c r="E448" s="186"/>
      <c r="F448" s="186"/>
      <c r="G448" s="186"/>
      <c r="H448" s="67"/>
      <c r="I448" s="186"/>
      <c r="J448" s="186"/>
      <c r="K448" s="186"/>
      <c r="L448" s="186"/>
      <c r="M448" s="186"/>
    </row>
    <row r="449">
      <c r="A449" s="185"/>
      <c r="B449" s="67"/>
      <c r="C449" s="67"/>
      <c r="D449" s="67"/>
      <c r="E449" s="186"/>
      <c r="F449" s="186"/>
      <c r="G449" s="186"/>
      <c r="H449" s="67"/>
      <c r="I449" s="186"/>
      <c r="J449" s="186"/>
      <c r="K449" s="186"/>
      <c r="L449" s="186"/>
      <c r="M449" s="186"/>
    </row>
    <row r="450">
      <c r="A450" s="185"/>
      <c r="B450" s="67"/>
      <c r="C450" s="67"/>
      <c r="D450" s="67"/>
      <c r="E450" s="186"/>
      <c r="F450" s="186"/>
      <c r="G450" s="186"/>
      <c r="H450" s="67"/>
      <c r="I450" s="186"/>
      <c r="J450" s="186"/>
      <c r="K450" s="186"/>
      <c r="L450" s="186"/>
      <c r="M450" s="186"/>
    </row>
    <row r="451">
      <c r="A451" s="185"/>
      <c r="B451" s="67"/>
      <c r="C451" s="67"/>
      <c r="D451" s="67"/>
      <c r="E451" s="186"/>
      <c r="F451" s="186"/>
      <c r="G451" s="186"/>
      <c r="H451" s="67"/>
      <c r="I451" s="186"/>
      <c r="J451" s="186"/>
      <c r="K451" s="186"/>
      <c r="L451" s="186"/>
      <c r="M451" s="186"/>
    </row>
    <row r="452">
      <c r="A452" s="185"/>
      <c r="B452" s="67"/>
      <c r="C452" s="67"/>
      <c r="D452" s="67"/>
      <c r="E452" s="186"/>
      <c r="F452" s="186"/>
      <c r="G452" s="186"/>
      <c r="H452" s="67"/>
      <c r="I452" s="186"/>
      <c r="J452" s="186"/>
      <c r="K452" s="186"/>
      <c r="L452" s="186"/>
      <c r="M452" s="186"/>
    </row>
    <row r="453">
      <c r="A453" s="185"/>
      <c r="B453" s="67"/>
      <c r="C453" s="67"/>
      <c r="D453" s="67"/>
      <c r="E453" s="186"/>
      <c r="F453" s="186"/>
      <c r="G453" s="186"/>
      <c r="H453" s="67"/>
      <c r="I453" s="186"/>
      <c r="J453" s="186"/>
      <c r="K453" s="186"/>
      <c r="L453" s="186"/>
      <c r="M453" s="186"/>
    </row>
    <row r="454">
      <c r="A454" s="185"/>
      <c r="B454" s="67"/>
      <c r="C454" s="67"/>
      <c r="D454" s="67"/>
      <c r="E454" s="186"/>
      <c r="F454" s="186"/>
      <c r="G454" s="186"/>
      <c r="H454" s="67"/>
      <c r="I454" s="186"/>
      <c r="J454" s="186"/>
      <c r="K454" s="186"/>
      <c r="L454" s="186"/>
      <c r="M454" s="186"/>
    </row>
    <row r="455">
      <c r="A455" s="185"/>
      <c r="B455" s="67"/>
      <c r="C455" s="67"/>
      <c r="D455" s="67"/>
      <c r="E455" s="186"/>
      <c r="F455" s="186"/>
      <c r="G455" s="186"/>
      <c r="H455" s="67"/>
      <c r="I455" s="186"/>
      <c r="J455" s="186"/>
      <c r="K455" s="186"/>
      <c r="L455" s="186"/>
      <c r="M455" s="186"/>
    </row>
    <row r="456">
      <c r="A456" s="185"/>
      <c r="B456" s="67"/>
      <c r="C456" s="67"/>
      <c r="D456" s="67"/>
      <c r="E456" s="186"/>
      <c r="F456" s="186"/>
      <c r="G456" s="186"/>
      <c r="H456" s="67"/>
      <c r="I456" s="186"/>
      <c r="J456" s="186"/>
      <c r="K456" s="186"/>
      <c r="L456" s="186"/>
      <c r="M456" s="186"/>
    </row>
    <row r="457">
      <c r="A457" s="185"/>
      <c r="B457" s="67"/>
      <c r="C457" s="67"/>
      <c r="D457" s="67"/>
      <c r="E457" s="186"/>
      <c r="F457" s="186"/>
      <c r="G457" s="186"/>
      <c r="H457" s="67"/>
      <c r="I457" s="186"/>
      <c r="J457" s="186"/>
      <c r="K457" s="186"/>
      <c r="L457" s="186"/>
      <c r="M457" s="186"/>
    </row>
    <row r="458">
      <c r="A458" s="185"/>
      <c r="B458" s="67"/>
      <c r="C458" s="67"/>
      <c r="D458" s="67"/>
      <c r="E458" s="186"/>
      <c r="F458" s="186"/>
      <c r="G458" s="186"/>
      <c r="H458" s="67"/>
      <c r="I458" s="186"/>
      <c r="J458" s="186"/>
      <c r="K458" s="186"/>
      <c r="L458" s="186"/>
      <c r="M458" s="186"/>
    </row>
    <row r="459">
      <c r="A459" s="185"/>
      <c r="B459" s="67"/>
      <c r="C459" s="67"/>
      <c r="D459" s="67"/>
      <c r="E459" s="186"/>
      <c r="F459" s="186"/>
      <c r="G459" s="186"/>
      <c r="H459" s="67"/>
      <c r="I459" s="186"/>
      <c r="J459" s="186"/>
      <c r="K459" s="186"/>
      <c r="L459" s="186"/>
      <c r="M459" s="186"/>
    </row>
    <row r="460">
      <c r="A460" s="185"/>
      <c r="B460" s="67"/>
      <c r="C460" s="67"/>
      <c r="D460" s="67"/>
      <c r="E460" s="186"/>
      <c r="F460" s="186"/>
      <c r="G460" s="186"/>
      <c r="H460" s="67"/>
      <c r="I460" s="186"/>
      <c r="J460" s="186"/>
      <c r="K460" s="186"/>
      <c r="L460" s="186"/>
      <c r="M460" s="186"/>
    </row>
    <row r="461">
      <c r="A461" s="185"/>
      <c r="B461" s="67"/>
      <c r="C461" s="67"/>
      <c r="D461" s="67"/>
      <c r="E461" s="186"/>
      <c r="F461" s="186"/>
      <c r="G461" s="186"/>
      <c r="H461" s="67"/>
      <c r="I461" s="186"/>
      <c r="J461" s="186"/>
      <c r="K461" s="186"/>
      <c r="L461" s="186"/>
      <c r="M461" s="186"/>
    </row>
    <row r="462">
      <c r="A462" s="185"/>
      <c r="B462" s="67"/>
      <c r="C462" s="67"/>
      <c r="D462" s="67"/>
      <c r="E462" s="186"/>
      <c r="F462" s="186"/>
      <c r="G462" s="186"/>
      <c r="H462" s="67"/>
      <c r="I462" s="186"/>
      <c r="J462" s="186"/>
      <c r="K462" s="186"/>
      <c r="L462" s="186"/>
      <c r="M462" s="186"/>
    </row>
    <row r="463">
      <c r="A463" s="185"/>
      <c r="B463" s="67"/>
      <c r="C463" s="67"/>
      <c r="D463" s="67"/>
      <c r="E463" s="186"/>
      <c r="F463" s="186"/>
      <c r="G463" s="186"/>
      <c r="H463" s="67"/>
      <c r="I463" s="186"/>
      <c r="J463" s="186"/>
      <c r="K463" s="186"/>
      <c r="L463" s="186"/>
      <c r="M463" s="186"/>
    </row>
    <row r="464">
      <c r="A464" s="185"/>
      <c r="B464" s="67"/>
      <c r="C464" s="67"/>
      <c r="D464" s="67"/>
      <c r="E464" s="186"/>
      <c r="F464" s="186"/>
      <c r="G464" s="186"/>
      <c r="H464" s="67"/>
      <c r="I464" s="186"/>
      <c r="J464" s="186"/>
      <c r="K464" s="186"/>
      <c r="L464" s="186"/>
      <c r="M464" s="186"/>
    </row>
    <row r="465">
      <c r="A465" s="185"/>
      <c r="B465" s="67"/>
      <c r="C465" s="67"/>
      <c r="D465" s="67"/>
      <c r="E465" s="186"/>
      <c r="F465" s="186"/>
      <c r="G465" s="186"/>
      <c r="H465" s="67"/>
      <c r="I465" s="186"/>
      <c r="J465" s="186"/>
      <c r="K465" s="186"/>
      <c r="L465" s="186"/>
      <c r="M465" s="186"/>
    </row>
    <row r="466">
      <c r="A466" s="185"/>
      <c r="B466" s="67"/>
      <c r="C466" s="67"/>
      <c r="D466" s="67"/>
      <c r="E466" s="186"/>
      <c r="F466" s="186"/>
      <c r="G466" s="186"/>
      <c r="H466" s="67"/>
      <c r="I466" s="186"/>
      <c r="J466" s="186"/>
      <c r="K466" s="186"/>
      <c r="L466" s="186"/>
      <c r="M466" s="186"/>
    </row>
    <row r="467">
      <c r="A467" s="185"/>
      <c r="B467" s="67"/>
      <c r="C467" s="67"/>
      <c r="D467" s="67"/>
      <c r="E467" s="186"/>
      <c r="F467" s="186"/>
      <c r="G467" s="186"/>
      <c r="H467" s="67"/>
      <c r="I467" s="186"/>
      <c r="J467" s="186"/>
      <c r="K467" s="186"/>
      <c r="L467" s="186"/>
      <c r="M467" s="186"/>
    </row>
    <row r="468">
      <c r="A468" s="185"/>
      <c r="B468" s="67"/>
      <c r="C468" s="67"/>
      <c r="D468" s="67"/>
      <c r="E468" s="186"/>
      <c r="F468" s="186"/>
      <c r="G468" s="186"/>
      <c r="H468" s="67"/>
      <c r="I468" s="186"/>
      <c r="J468" s="186"/>
      <c r="K468" s="186"/>
      <c r="L468" s="186"/>
      <c r="M468" s="186"/>
    </row>
    <row r="469">
      <c r="A469" s="185"/>
      <c r="B469" s="67"/>
      <c r="C469" s="67"/>
      <c r="D469" s="67"/>
      <c r="E469" s="186"/>
      <c r="F469" s="186"/>
      <c r="G469" s="186"/>
      <c r="H469" s="67"/>
      <c r="I469" s="186"/>
      <c r="J469" s="186"/>
      <c r="K469" s="186"/>
      <c r="L469" s="186"/>
      <c r="M469" s="186"/>
    </row>
    <row r="470">
      <c r="A470" s="185"/>
      <c r="B470" s="67"/>
      <c r="C470" s="67"/>
      <c r="D470" s="67"/>
      <c r="E470" s="186"/>
      <c r="F470" s="186"/>
      <c r="G470" s="186"/>
      <c r="H470" s="67"/>
      <c r="I470" s="186"/>
      <c r="J470" s="186"/>
      <c r="K470" s="186"/>
      <c r="L470" s="186"/>
      <c r="M470" s="186"/>
    </row>
    <row r="471">
      <c r="A471" s="185"/>
      <c r="B471" s="67"/>
      <c r="C471" s="67"/>
      <c r="D471" s="67"/>
      <c r="E471" s="186"/>
      <c r="F471" s="186"/>
      <c r="G471" s="186"/>
      <c r="H471" s="67"/>
      <c r="I471" s="186"/>
      <c r="J471" s="186"/>
      <c r="K471" s="186"/>
      <c r="L471" s="186"/>
      <c r="M471" s="186"/>
    </row>
    <row r="472">
      <c r="A472" s="185"/>
      <c r="B472" s="67"/>
      <c r="C472" s="67"/>
      <c r="D472" s="67"/>
      <c r="E472" s="186"/>
      <c r="F472" s="186"/>
      <c r="G472" s="186"/>
      <c r="H472" s="67"/>
      <c r="I472" s="186"/>
      <c r="J472" s="186"/>
      <c r="K472" s="186"/>
      <c r="L472" s="186"/>
      <c r="M472" s="186"/>
    </row>
    <row r="473">
      <c r="A473" s="185"/>
      <c r="B473" s="67"/>
      <c r="C473" s="67"/>
      <c r="D473" s="67"/>
      <c r="E473" s="186"/>
      <c r="F473" s="186"/>
      <c r="G473" s="186"/>
      <c r="H473" s="67"/>
      <c r="I473" s="186"/>
      <c r="J473" s="186"/>
      <c r="K473" s="186"/>
      <c r="L473" s="186"/>
      <c r="M473" s="186"/>
    </row>
    <row r="474">
      <c r="A474" s="185"/>
      <c r="B474" s="67"/>
      <c r="C474" s="67"/>
      <c r="D474" s="67"/>
      <c r="E474" s="186"/>
      <c r="F474" s="186"/>
      <c r="G474" s="186"/>
      <c r="H474" s="67"/>
      <c r="I474" s="186"/>
      <c r="J474" s="186"/>
      <c r="K474" s="186"/>
      <c r="L474" s="186"/>
      <c r="M474" s="186"/>
    </row>
    <row r="475">
      <c r="A475" s="185"/>
      <c r="B475" s="67"/>
      <c r="C475" s="67"/>
      <c r="D475" s="67"/>
      <c r="E475" s="186"/>
      <c r="F475" s="186"/>
      <c r="G475" s="186"/>
      <c r="H475" s="67"/>
      <c r="I475" s="186"/>
      <c r="J475" s="186"/>
      <c r="K475" s="186"/>
      <c r="L475" s="186"/>
      <c r="M475" s="186"/>
    </row>
    <row r="476">
      <c r="A476" s="185"/>
      <c r="B476" s="67"/>
      <c r="C476" s="67"/>
      <c r="D476" s="67"/>
      <c r="E476" s="186"/>
      <c r="F476" s="186"/>
      <c r="G476" s="186"/>
      <c r="H476" s="67"/>
      <c r="I476" s="186"/>
      <c r="J476" s="186"/>
      <c r="K476" s="186"/>
      <c r="L476" s="186"/>
      <c r="M476" s="186"/>
    </row>
    <row r="477">
      <c r="A477" s="185"/>
      <c r="B477" s="67"/>
      <c r="C477" s="67"/>
      <c r="D477" s="67"/>
      <c r="E477" s="186"/>
      <c r="F477" s="186"/>
      <c r="G477" s="186"/>
      <c r="H477" s="67"/>
      <c r="I477" s="186"/>
      <c r="J477" s="186"/>
      <c r="K477" s="186"/>
      <c r="L477" s="186"/>
      <c r="M477" s="186"/>
    </row>
    <row r="478">
      <c r="A478" s="185"/>
      <c r="B478" s="67"/>
      <c r="C478" s="67"/>
      <c r="D478" s="67"/>
      <c r="E478" s="186"/>
      <c r="F478" s="186"/>
      <c r="G478" s="186"/>
      <c r="H478" s="67"/>
      <c r="I478" s="186"/>
      <c r="J478" s="186"/>
      <c r="K478" s="186"/>
      <c r="L478" s="186"/>
      <c r="M478" s="186"/>
    </row>
    <row r="479">
      <c r="A479" s="185"/>
      <c r="B479" s="67"/>
      <c r="C479" s="67"/>
      <c r="D479" s="67"/>
      <c r="E479" s="186"/>
      <c r="F479" s="186"/>
      <c r="G479" s="186"/>
      <c r="H479" s="67"/>
      <c r="I479" s="186"/>
      <c r="J479" s="186"/>
      <c r="K479" s="186"/>
      <c r="L479" s="186"/>
      <c r="M479" s="186"/>
    </row>
    <row r="480">
      <c r="A480" s="185"/>
      <c r="B480" s="67"/>
      <c r="C480" s="67"/>
      <c r="D480" s="67"/>
      <c r="E480" s="186"/>
      <c r="F480" s="186"/>
      <c r="G480" s="186"/>
      <c r="H480" s="67"/>
      <c r="I480" s="186"/>
      <c r="J480" s="186"/>
      <c r="K480" s="186"/>
      <c r="L480" s="186"/>
      <c r="M480" s="186"/>
    </row>
    <row r="481">
      <c r="A481" s="185"/>
      <c r="B481" s="67"/>
      <c r="C481" s="67"/>
      <c r="D481" s="67"/>
      <c r="E481" s="186"/>
      <c r="F481" s="186"/>
      <c r="G481" s="186"/>
      <c r="H481" s="67"/>
      <c r="I481" s="186"/>
      <c r="J481" s="186"/>
      <c r="K481" s="186"/>
      <c r="L481" s="186"/>
      <c r="M481" s="186"/>
    </row>
    <row r="482">
      <c r="A482" s="185"/>
      <c r="B482" s="67"/>
      <c r="C482" s="67"/>
      <c r="D482" s="67"/>
      <c r="E482" s="186"/>
      <c r="F482" s="186"/>
      <c r="G482" s="186"/>
      <c r="H482" s="67"/>
      <c r="I482" s="186"/>
      <c r="J482" s="186"/>
      <c r="K482" s="186"/>
      <c r="L482" s="186"/>
      <c r="M482" s="186"/>
    </row>
    <row r="483">
      <c r="A483" s="185"/>
      <c r="B483" s="67"/>
      <c r="C483" s="67"/>
      <c r="D483" s="67"/>
      <c r="E483" s="186"/>
      <c r="F483" s="186"/>
      <c r="G483" s="186"/>
      <c r="H483" s="67"/>
      <c r="I483" s="186"/>
      <c r="J483" s="186"/>
      <c r="K483" s="186"/>
      <c r="L483" s="186"/>
      <c r="M483" s="186"/>
    </row>
    <row r="484">
      <c r="A484" s="185"/>
      <c r="B484" s="67"/>
      <c r="C484" s="67"/>
      <c r="D484" s="67"/>
      <c r="E484" s="186"/>
      <c r="F484" s="186"/>
      <c r="G484" s="186"/>
      <c r="H484" s="67"/>
      <c r="I484" s="186"/>
      <c r="J484" s="186"/>
      <c r="K484" s="186"/>
      <c r="L484" s="186"/>
      <c r="M484" s="186"/>
    </row>
    <row r="485">
      <c r="A485" s="185"/>
      <c r="B485" s="67"/>
      <c r="C485" s="67"/>
      <c r="D485" s="67"/>
      <c r="E485" s="186"/>
      <c r="F485" s="186"/>
      <c r="G485" s="186"/>
      <c r="H485" s="67"/>
      <c r="I485" s="186"/>
      <c r="J485" s="186"/>
      <c r="K485" s="186"/>
      <c r="L485" s="186"/>
      <c r="M485" s="186"/>
    </row>
    <row r="486">
      <c r="A486" s="185"/>
      <c r="B486" s="67"/>
      <c r="C486" s="67"/>
      <c r="D486" s="67"/>
      <c r="E486" s="186"/>
      <c r="F486" s="186"/>
      <c r="G486" s="186"/>
      <c r="H486" s="67"/>
      <c r="I486" s="186"/>
      <c r="J486" s="186"/>
      <c r="K486" s="186"/>
      <c r="L486" s="186"/>
      <c r="M486" s="186"/>
    </row>
    <row r="487">
      <c r="A487" s="185"/>
      <c r="B487" s="67"/>
      <c r="C487" s="67"/>
      <c r="D487" s="67"/>
      <c r="E487" s="186"/>
      <c r="F487" s="186"/>
      <c r="G487" s="186"/>
      <c r="H487" s="67"/>
      <c r="I487" s="186"/>
      <c r="J487" s="186"/>
      <c r="K487" s="186"/>
      <c r="L487" s="186"/>
      <c r="M487" s="186"/>
    </row>
    <row r="488">
      <c r="A488" s="185"/>
      <c r="B488" s="67"/>
      <c r="C488" s="67"/>
      <c r="D488" s="67"/>
      <c r="E488" s="186"/>
      <c r="F488" s="186"/>
      <c r="G488" s="186"/>
      <c r="H488" s="67"/>
      <c r="I488" s="186"/>
      <c r="J488" s="186"/>
      <c r="K488" s="186"/>
      <c r="L488" s="186"/>
      <c r="M488" s="186"/>
    </row>
    <row r="489">
      <c r="A489" s="185"/>
      <c r="B489" s="67"/>
      <c r="C489" s="67"/>
      <c r="D489" s="67"/>
      <c r="E489" s="186"/>
      <c r="F489" s="186"/>
      <c r="G489" s="186"/>
      <c r="H489" s="67"/>
      <c r="I489" s="186"/>
      <c r="J489" s="186"/>
      <c r="K489" s="186"/>
      <c r="L489" s="186"/>
      <c r="M489" s="186"/>
    </row>
    <row r="490">
      <c r="A490" s="185"/>
      <c r="B490" s="67"/>
      <c r="C490" s="67"/>
      <c r="D490" s="67"/>
      <c r="E490" s="186"/>
      <c r="F490" s="186"/>
      <c r="G490" s="186"/>
      <c r="H490" s="67"/>
      <c r="I490" s="186"/>
      <c r="J490" s="186"/>
      <c r="K490" s="186"/>
      <c r="L490" s="186"/>
      <c r="M490" s="186"/>
    </row>
    <row r="491">
      <c r="A491" s="185"/>
      <c r="B491" s="67"/>
      <c r="C491" s="67"/>
      <c r="D491" s="67"/>
      <c r="E491" s="186"/>
      <c r="F491" s="186"/>
      <c r="G491" s="186"/>
      <c r="H491" s="67"/>
      <c r="I491" s="186"/>
      <c r="J491" s="186"/>
      <c r="K491" s="186"/>
      <c r="L491" s="186"/>
      <c r="M491" s="186"/>
    </row>
    <row r="492">
      <c r="A492" s="185"/>
      <c r="B492" s="67"/>
      <c r="C492" s="67"/>
      <c r="D492" s="67"/>
      <c r="E492" s="186"/>
      <c r="F492" s="186"/>
      <c r="G492" s="186"/>
      <c r="H492" s="67"/>
      <c r="I492" s="186"/>
      <c r="J492" s="186"/>
      <c r="K492" s="186"/>
      <c r="L492" s="186"/>
      <c r="M492" s="186"/>
    </row>
    <row r="493">
      <c r="A493" s="185"/>
      <c r="B493" s="67"/>
      <c r="C493" s="67"/>
      <c r="D493" s="67"/>
      <c r="E493" s="186"/>
      <c r="F493" s="186"/>
      <c r="G493" s="186"/>
      <c r="H493" s="67"/>
      <c r="I493" s="186"/>
      <c r="J493" s="186"/>
      <c r="K493" s="186"/>
      <c r="L493" s="186"/>
      <c r="M493" s="186"/>
    </row>
    <row r="494">
      <c r="A494" s="185"/>
      <c r="B494" s="67"/>
      <c r="C494" s="67"/>
      <c r="D494" s="67"/>
      <c r="E494" s="186"/>
      <c r="F494" s="186"/>
      <c r="G494" s="186"/>
      <c r="H494" s="67"/>
      <c r="I494" s="186"/>
      <c r="J494" s="186"/>
      <c r="K494" s="186"/>
      <c r="L494" s="186"/>
      <c r="M494" s="186"/>
    </row>
    <row r="495">
      <c r="A495" s="185"/>
      <c r="B495" s="67"/>
      <c r="C495" s="67"/>
      <c r="D495" s="67"/>
      <c r="E495" s="186"/>
      <c r="F495" s="186"/>
      <c r="G495" s="186"/>
      <c r="H495" s="67"/>
      <c r="I495" s="186"/>
      <c r="J495" s="186"/>
      <c r="K495" s="186"/>
      <c r="L495" s="186"/>
      <c r="M495" s="186"/>
    </row>
    <row r="496">
      <c r="A496" s="185"/>
      <c r="B496" s="67"/>
      <c r="C496" s="67"/>
      <c r="D496" s="67"/>
      <c r="E496" s="186"/>
      <c r="F496" s="186"/>
      <c r="G496" s="186"/>
      <c r="H496" s="67"/>
      <c r="I496" s="186"/>
      <c r="J496" s="186"/>
      <c r="K496" s="186"/>
      <c r="L496" s="186"/>
      <c r="M496" s="186"/>
    </row>
    <row r="497">
      <c r="A497" s="185"/>
      <c r="B497" s="67"/>
      <c r="C497" s="67"/>
      <c r="D497" s="67"/>
      <c r="E497" s="186"/>
      <c r="F497" s="186"/>
      <c r="G497" s="186"/>
      <c r="H497" s="67"/>
      <c r="I497" s="186"/>
      <c r="J497" s="186"/>
      <c r="K497" s="186"/>
      <c r="L497" s="186"/>
      <c r="M497" s="186"/>
    </row>
    <row r="498">
      <c r="A498" s="185"/>
      <c r="B498" s="67"/>
      <c r="C498" s="67"/>
      <c r="D498" s="67"/>
      <c r="E498" s="186"/>
      <c r="F498" s="186"/>
      <c r="G498" s="186"/>
      <c r="H498" s="67"/>
      <c r="I498" s="186"/>
      <c r="J498" s="186"/>
      <c r="K498" s="186"/>
      <c r="L498" s="186"/>
      <c r="M498" s="186"/>
    </row>
    <row r="499">
      <c r="A499" s="185"/>
      <c r="B499" s="67"/>
      <c r="C499" s="67"/>
      <c r="D499" s="67"/>
      <c r="E499" s="186"/>
      <c r="F499" s="186"/>
      <c r="G499" s="186"/>
      <c r="H499" s="67"/>
      <c r="I499" s="186"/>
      <c r="J499" s="186"/>
      <c r="K499" s="186"/>
      <c r="L499" s="186"/>
      <c r="M499" s="186"/>
    </row>
    <row r="500">
      <c r="A500" s="185"/>
      <c r="B500" s="67"/>
      <c r="C500" s="67"/>
      <c r="D500" s="67"/>
      <c r="E500" s="186"/>
      <c r="F500" s="186"/>
      <c r="G500" s="186"/>
      <c r="H500" s="67"/>
      <c r="I500" s="186"/>
      <c r="J500" s="186"/>
      <c r="K500" s="186"/>
      <c r="L500" s="186"/>
      <c r="M500" s="186"/>
    </row>
    <row r="501">
      <c r="A501" s="185"/>
      <c r="B501" s="67"/>
      <c r="C501" s="67"/>
      <c r="D501" s="67"/>
      <c r="E501" s="186"/>
      <c r="F501" s="186"/>
      <c r="G501" s="186"/>
      <c r="H501" s="67"/>
      <c r="I501" s="186"/>
      <c r="J501" s="186"/>
      <c r="K501" s="186"/>
      <c r="L501" s="186"/>
      <c r="M501" s="186"/>
    </row>
    <row r="502">
      <c r="A502" s="185"/>
      <c r="B502" s="67"/>
      <c r="C502" s="67"/>
      <c r="D502" s="67"/>
      <c r="E502" s="186"/>
      <c r="F502" s="186"/>
      <c r="G502" s="186"/>
      <c r="H502" s="67"/>
      <c r="I502" s="186"/>
      <c r="J502" s="186"/>
      <c r="K502" s="186"/>
      <c r="L502" s="186"/>
      <c r="M502" s="186"/>
    </row>
    <row r="503">
      <c r="A503" s="185"/>
      <c r="B503" s="67"/>
      <c r="C503" s="67"/>
      <c r="D503" s="67"/>
      <c r="E503" s="186"/>
      <c r="F503" s="186"/>
      <c r="G503" s="186"/>
      <c r="H503" s="67"/>
      <c r="I503" s="186"/>
      <c r="J503" s="186"/>
      <c r="K503" s="186"/>
      <c r="L503" s="186"/>
      <c r="M503" s="186"/>
    </row>
    <row r="504">
      <c r="A504" s="185"/>
      <c r="B504" s="67"/>
      <c r="C504" s="67"/>
      <c r="D504" s="67"/>
      <c r="E504" s="186"/>
      <c r="F504" s="186"/>
      <c r="G504" s="186"/>
      <c r="H504" s="67"/>
      <c r="I504" s="186"/>
      <c r="J504" s="186"/>
      <c r="K504" s="186"/>
      <c r="L504" s="186"/>
      <c r="M504" s="186"/>
    </row>
    <row r="505">
      <c r="A505" s="185"/>
      <c r="B505" s="67"/>
      <c r="C505" s="67"/>
      <c r="D505" s="67"/>
      <c r="E505" s="186"/>
      <c r="F505" s="186"/>
      <c r="G505" s="186"/>
      <c r="H505" s="67"/>
      <c r="I505" s="186"/>
      <c r="J505" s="186"/>
      <c r="K505" s="186"/>
      <c r="L505" s="186"/>
      <c r="M505" s="186"/>
    </row>
    <row r="506">
      <c r="A506" s="185"/>
      <c r="B506" s="67"/>
      <c r="C506" s="67"/>
      <c r="D506" s="67"/>
      <c r="E506" s="186"/>
      <c r="F506" s="186"/>
      <c r="G506" s="186"/>
      <c r="H506" s="67"/>
      <c r="I506" s="186"/>
      <c r="J506" s="186"/>
      <c r="K506" s="186"/>
      <c r="L506" s="186"/>
      <c r="M506" s="186"/>
    </row>
    <row r="507">
      <c r="A507" s="185"/>
      <c r="B507" s="67"/>
      <c r="C507" s="67"/>
      <c r="D507" s="67"/>
      <c r="E507" s="186"/>
      <c r="F507" s="186"/>
      <c r="G507" s="186"/>
      <c r="H507" s="67"/>
      <c r="I507" s="186"/>
      <c r="J507" s="186"/>
      <c r="K507" s="186"/>
      <c r="L507" s="186"/>
      <c r="M507" s="186"/>
    </row>
    <row r="508">
      <c r="A508" s="185"/>
      <c r="B508" s="67"/>
      <c r="C508" s="67"/>
      <c r="D508" s="67"/>
      <c r="E508" s="186"/>
      <c r="F508" s="186"/>
      <c r="G508" s="186"/>
      <c r="H508" s="67"/>
      <c r="I508" s="186"/>
      <c r="J508" s="186"/>
      <c r="K508" s="186"/>
      <c r="L508" s="186"/>
      <c r="M508" s="186"/>
    </row>
    <row r="509">
      <c r="A509" s="185"/>
      <c r="B509" s="67"/>
      <c r="C509" s="67"/>
      <c r="D509" s="67"/>
      <c r="E509" s="186"/>
      <c r="F509" s="186"/>
      <c r="G509" s="186"/>
      <c r="H509" s="67"/>
      <c r="I509" s="186"/>
      <c r="J509" s="186"/>
      <c r="K509" s="186"/>
      <c r="L509" s="186"/>
      <c r="M509" s="186"/>
    </row>
    <row r="510">
      <c r="A510" s="185"/>
      <c r="B510" s="67"/>
      <c r="C510" s="67"/>
      <c r="D510" s="67"/>
      <c r="E510" s="186"/>
      <c r="F510" s="186"/>
      <c r="G510" s="186"/>
      <c r="H510" s="67"/>
      <c r="I510" s="186"/>
      <c r="J510" s="186"/>
      <c r="K510" s="186"/>
      <c r="L510" s="186"/>
      <c r="M510" s="186"/>
    </row>
    <row r="511">
      <c r="A511" s="185"/>
      <c r="B511" s="67"/>
      <c r="C511" s="67"/>
      <c r="D511" s="67"/>
      <c r="E511" s="186"/>
      <c r="F511" s="186"/>
      <c r="G511" s="186"/>
      <c r="H511" s="67"/>
      <c r="I511" s="186"/>
      <c r="J511" s="186"/>
      <c r="K511" s="186"/>
      <c r="L511" s="186"/>
      <c r="M511" s="186"/>
    </row>
    <row r="512">
      <c r="A512" s="185"/>
      <c r="B512" s="67"/>
      <c r="C512" s="67"/>
      <c r="D512" s="67"/>
      <c r="E512" s="186"/>
      <c r="F512" s="186"/>
      <c r="G512" s="186"/>
      <c r="H512" s="67"/>
      <c r="I512" s="186"/>
      <c r="J512" s="186"/>
      <c r="K512" s="186"/>
      <c r="L512" s="186"/>
      <c r="M512" s="186"/>
    </row>
    <row r="513">
      <c r="A513" s="185"/>
      <c r="B513" s="67"/>
      <c r="C513" s="67"/>
      <c r="D513" s="67"/>
      <c r="E513" s="186"/>
      <c r="F513" s="186"/>
      <c r="G513" s="186"/>
      <c r="H513" s="67"/>
      <c r="I513" s="186"/>
      <c r="J513" s="186"/>
      <c r="K513" s="186"/>
      <c r="L513" s="186"/>
      <c r="M513" s="186"/>
    </row>
    <row r="514">
      <c r="A514" s="185"/>
      <c r="B514" s="67"/>
      <c r="C514" s="67"/>
      <c r="D514" s="67"/>
      <c r="E514" s="186"/>
      <c r="F514" s="186"/>
      <c r="G514" s="186"/>
      <c r="H514" s="67"/>
      <c r="I514" s="186"/>
      <c r="J514" s="186"/>
      <c r="K514" s="186"/>
      <c r="L514" s="186"/>
      <c r="M514" s="186"/>
    </row>
    <row r="515">
      <c r="A515" s="185"/>
      <c r="B515" s="67"/>
      <c r="C515" s="67"/>
      <c r="D515" s="67"/>
      <c r="E515" s="186"/>
      <c r="F515" s="186"/>
      <c r="G515" s="186"/>
      <c r="H515" s="67"/>
      <c r="I515" s="186"/>
      <c r="J515" s="186"/>
      <c r="K515" s="186"/>
      <c r="L515" s="186"/>
      <c r="M515" s="186"/>
    </row>
    <row r="516">
      <c r="A516" s="185"/>
      <c r="B516" s="67"/>
      <c r="C516" s="67"/>
      <c r="D516" s="67"/>
      <c r="E516" s="186"/>
      <c r="F516" s="186"/>
      <c r="G516" s="186"/>
      <c r="H516" s="67"/>
      <c r="I516" s="186"/>
      <c r="J516" s="186"/>
      <c r="K516" s="186"/>
      <c r="L516" s="186"/>
      <c r="M516" s="186"/>
    </row>
    <row r="517">
      <c r="A517" s="185"/>
      <c r="B517" s="67"/>
      <c r="C517" s="67"/>
      <c r="D517" s="67"/>
      <c r="E517" s="186"/>
      <c r="F517" s="186"/>
      <c r="G517" s="186"/>
      <c r="H517" s="67"/>
      <c r="I517" s="186"/>
      <c r="J517" s="186"/>
      <c r="K517" s="186"/>
      <c r="L517" s="186"/>
      <c r="M517" s="186"/>
    </row>
    <row r="518">
      <c r="A518" s="185"/>
      <c r="B518" s="67"/>
      <c r="C518" s="67"/>
      <c r="D518" s="67"/>
      <c r="E518" s="186"/>
      <c r="F518" s="186"/>
      <c r="G518" s="186"/>
      <c r="H518" s="67"/>
      <c r="I518" s="186"/>
      <c r="J518" s="186"/>
      <c r="K518" s="186"/>
      <c r="L518" s="186"/>
      <c r="M518" s="186"/>
    </row>
    <row r="519">
      <c r="A519" s="185"/>
      <c r="B519" s="67"/>
      <c r="C519" s="67"/>
      <c r="D519" s="67"/>
      <c r="E519" s="186"/>
      <c r="F519" s="186"/>
      <c r="G519" s="186"/>
      <c r="H519" s="67"/>
      <c r="I519" s="186"/>
      <c r="J519" s="186"/>
      <c r="K519" s="186"/>
      <c r="L519" s="186"/>
      <c r="M519" s="186"/>
    </row>
    <row r="520">
      <c r="A520" s="185"/>
      <c r="B520" s="67"/>
      <c r="C520" s="67"/>
      <c r="D520" s="67"/>
      <c r="E520" s="186"/>
      <c r="F520" s="186"/>
      <c r="G520" s="186"/>
      <c r="H520" s="67"/>
      <c r="I520" s="186"/>
      <c r="J520" s="186"/>
      <c r="K520" s="186"/>
      <c r="L520" s="186"/>
      <c r="M520" s="186"/>
    </row>
    <row r="521">
      <c r="A521" s="185"/>
      <c r="B521" s="67"/>
      <c r="C521" s="67"/>
      <c r="D521" s="67"/>
      <c r="E521" s="186"/>
      <c r="F521" s="186"/>
      <c r="G521" s="186"/>
      <c r="H521" s="67"/>
      <c r="I521" s="186"/>
      <c r="J521" s="186"/>
      <c r="K521" s="186"/>
      <c r="L521" s="186"/>
      <c r="M521" s="186"/>
    </row>
    <row r="522">
      <c r="A522" s="185"/>
      <c r="B522" s="67"/>
      <c r="C522" s="67"/>
      <c r="D522" s="67"/>
      <c r="E522" s="186"/>
      <c r="F522" s="186"/>
      <c r="G522" s="186"/>
      <c r="H522" s="67"/>
      <c r="I522" s="186"/>
      <c r="J522" s="186"/>
      <c r="K522" s="186"/>
      <c r="L522" s="186"/>
      <c r="M522" s="186"/>
    </row>
    <row r="523">
      <c r="A523" s="185"/>
      <c r="B523" s="67"/>
      <c r="C523" s="67"/>
      <c r="D523" s="67"/>
      <c r="E523" s="186"/>
      <c r="F523" s="186"/>
      <c r="G523" s="186"/>
      <c r="H523" s="67"/>
      <c r="I523" s="186"/>
      <c r="J523" s="186"/>
      <c r="K523" s="186"/>
      <c r="L523" s="186"/>
      <c r="M523" s="186"/>
    </row>
    <row r="524">
      <c r="A524" s="185"/>
      <c r="B524" s="67"/>
      <c r="C524" s="67"/>
      <c r="D524" s="67"/>
      <c r="E524" s="186"/>
      <c r="F524" s="186"/>
      <c r="G524" s="186"/>
      <c r="H524" s="67"/>
      <c r="I524" s="186"/>
      <c r="J524" s="186"/>
      <c r="K524" s="186"/>
      <c r="L524" s="186"/>
      <c r="M524" s="186"/>
    </row>
    <row r="525">
      <c r="A525" s="185"/>
      <c r="B525" s="67"/>
      <c r="C525" s="67"/>
      <c r="D525" s="67"/>
      <c r="E525" s="186"/>
      <c r="F525" s="186"/>
      <c r="G525" s="186"/>
      <c r="H525" s="67"/>
      <c r="I525" s="186"/>
      <c r="J525" s="186"/>
      <c r="K525" s="186"/>
      <c r="L525" s="186"/>
      <c r="M525" s="186"/>
    </row>
    <row r="526">
      <c r="A526" s="185"/>
      <c r="B526" s="67"/>
      <c r="C526" s="67"/>
      <c r="D526" s="67"/>
      <c r="E526" s="186"/>
      <c r="F526" s="186"/>
      <c r="G526" s="186"/>
      <c r="H526" s="67"/>
      <c r="I526" s="186"/>
      <c r="J526" s="186"/>
      <c r="K526" s="186"/>
      <c r="L526" s="186"/>
      <c r="M526" s="186"/>
    </row>
    <row r="527">
      <c r="A527" s="185"/>
      <c r="B527" s="67"/>
      <c r="C527" s="67"/>
      <c r="D527" s="67"/>
      <c r="E527" s="186"/>
      <c r="F527" s="186"/>
      <c r="G527" s="186"/>
      <c r="H527" s="67"/>
      <c r="I527" s="186"/>
      <c r="J527" s="186"/>
      <c r="K527" s="186"/>
      <c r="L527" s="186"/>
      <c r="M527" s="186"/>
    </row>
    <row r="528">
      <c r="A528" s="185"/>
      <c r="B528" s="67"/>
      <c r="C528" s="67"/>
      <c r="D528" s="67"/>
      <c r="E528" s="186"/>
      <c r="F528" s="186"/>
      <c r="G528" s="186"/>
      <c r="H528" s="67"/>
      <c r="I528" s="186"/>
      <c r="J528" s="186"/>
      <c r="K528" s="186"/>
      <c r="L528" s="186"/>
      <c r="M528" s="186"/>
    </row>
    <row r="529">
      <c r="A529" s="185"/>
      <c r="B529" s="67"/>
      <c r="C529" s="67"/>
      <c r="D529" s="67"/>
      <c r="E529" s="186"/>
      <c r="F529" s="186"/>
      <c r="G529" s="186"/>
      <c r="H529" s="67"/>
      <c r="I529" s="186"/>
      <c r="J529" s="186"/>
      <c r="K529" s="186"/>
      <c r="L529" s="186"/>
      <c r="M529" s="186"/>
    </row>
    <row r="530">
      <c r="A530" s="185"/>
      <c r="B530" s="67"/>
      <c r="C530" s="67"/>
      <c r="D530" s="67"/>
      <c r="E530" s="186"/>
      <c r="F530" s="186"/>
      <c r="G530" s="186"/>
      <c r="H530" s="67"/>
      <c r="I530" s="186"/>
      <c r="J530" s="186"/>
      <c r="K530" s="186"/>
      <c r="L530" s="186"/>
      <c r="M530" s="186"/>
    </row>
    <row r="531">
      <c r="A531" s="185"/>
      <c r="B531" s="67"/>
      <c r="C531" s="67"/>
      <c r="D531" s="67"/>
      <c r="E531" s="186"/>
      <c r="F531" s="186"/>
      <c r="G531" s="186"/>
      <c r="H531" s="67"/>
      <c r="I531" s="186"/>
      <c r="J531" s="186"/>
      <c r="K531" s="186"/>
      <c r="L531" s="186"/>
      <c r="M531" s="186"/>
    </row>
    <row r="532">
      <c r="A532" s="185"/>
      <c r="B532" s="67"/>
      <c r="C532" s="67"/>
      <c r="D532" s="67"/>
      <c r="E532" s="186"/>
      <c r="F532" s="186"/>
      <c r="G532" s="186"/>
      <c r="H532" s="67"/>
      <c r="I532" s="186"/>
      <c r="J532" s="186"/>
      <c r="K532" s="186"/>
      <c r="L532" s="186"/>
      <c r="M532" s="186"/>
    </row>
    <row r="533">
      <c r="A533" s="185"/>
      <c r="B533" s="67"/>
      <c r="C533" s="67"/>
      <c r="D533" s="67"/>
      <c r="E533" s="186"/>
      <c r="F533" s="186"/>
      <c r="G533" s="186"/>
      <c r="H533" s="67"/>
      <c r="I533" s="186"/>
      <c r="J533" s="186"/>
      <c r="K533" s="186"/>
      <c r="L533" s="186"/>
      <c r="M533" s="186"/>
    </row>
    <row r="534">
      <c r="A534" s="185"/>
      <c r="B534" s="67"/>
      <c r="C534" s="67"/>
      <c r="D534" s="67"/>
      <c r="E534" s="186"/>
      <c r="F534" s="186"/>
      <c r="G534" s="186"/>
      <c r="H534" s="67"/>
      <c r="I534" s="186"/>
      <c r="J534" s="186"/>
      <c r="K534" s="186"/>
      <c r="L534" s="186"/>
      <c r="M534" s="186"/>
    </row>
    <row r="535">
      <c r="A535" s="185"/>
      <c r="B535" s="67"/>
      <c r="C535" s="67"/>
      <c r="D535" s="67"/>
      <c r="E535" s="186"/>
      <c r="F535" s="186"/>
      <c r="G535" s="186"/>
      <c r="H535" s="67"/>
      <c r="I535" s="186"/>
      <c r="J535" s="186"/>
      <c r="K535" s="186"/>
      <c r="L535" s="186"/>
      <c r="M535" s="186"/>
    </row>
    <row r="536">
      <c r="A536" s="185"/>
      <c r="B536" s="67"/>
      <c r="C536" s="67"/>
      <c r="D536" s="67"/>
      <c r="E536" s="186"/>
      <c r="F536" s="186"/>
      <c r="G536" s="186"/>
      <c r="H536" s="67"/>
      <c r="I536" s="186"/>
      <c r="J536" s="186"/>
      <c r="K536" s="186"/>
      <c r="L536" s="186"/>
      <c r="M536" s="186"/>
    </row>
    <row r="537">
      <c r="A537" s="185"/>
      <c r="B537" s="67"/>
      <c r="C537" s="67"/>
      <c r="D537" s="67"/>
      <c r="E537" s="186"/>
      <c r="F537" s="186"/>
      <c r="G537" s="186"/>
      <c r="H537" s="67"/>
      <c r="I537" s="186"/>
      <c r="J537" s="186"/>
      <c r="K537" s="186"/>
      <c r="L537" s="186"/>
      <c r="M537" s="186"/>
    </row>
    <row r="538">
      <c r="A538" s="185"/>
      <c r="B538" s="67"/>
      <c r="C538" s="67"/>
      <c r="D538" s="67"/>
      <c r="E538" s="186"/>
      <c r="F538" s="186"/>
      <c r="G538" s="186"/>
      <c r="H538" s="67"/>
      <c r="I538" s="186"/>
      <c r="J538" s="186"/>
      <c r="K538" s="186"/>
      <c r="L538" s="186"/>
      <c r="M538" s="186"/>
    </row>
    <row r="539">
      <c r="A539" s="185"/>
      <c r="B539" s="67"/>
      <c r="C539" s="67"/>
      <c r="D539" s="67"/>
      <c r="E539" s="186"/>
      <c r="F539" s="186"/>
      <c r="G539" s="186"/>
      <c r="H539" s="67"/>
      <c r="I539" s="186"/>
      <c r="J539" s="186"/>
      <c r="K539" s="186"/>
      <c r="L539" s="186"/>
      <c r="M539" s="186"/>
    </row>
    <row r="540">
      <c r="A540" s="185"/>
      <c r="B540" s="67"/>
      <c r="C540" s="67"/>
      <c r="D540" s="67"/>
      <c r="E540" s="186"/>
      <c r="F540" s="186"/>
      <c r="G540" s="186"/>
      <c r="H540" s="67"/>
      <c r="I540" s="186"/>
      <c r="J540" s="186"/>
      <c r="K540" s="186"/>
      <c r="L540" s="186"/>
      <c r="M540" s="186"/>
    </row>
    <row r="541">
      <c r="A541" s="185"/>
      <c r="B541" s="67"/>
      <c r="C541" s="67"/>
      <c r="D541" s="67"/>
      <c r="E541" s="186"/>
      <c r="F541" s="186"/>
      <c r="G541" s="186"/>
      <c r="H541" s="67"/>
      <c r="I541" s="186"/>
      <c r="J541" s="186"/>
      <c r="K541" s="186"/>
      <c r="L541" s="186"/>
      <c r="M541" s="186"/>
    </row>
    <row r="542">
      <c r="A542" s="185"/>
      <c r="B542" s="67"/>
      <c r="C542" s="67"/>
      <c r="D542" s="67"/>
      <c r="E542" s="186"/>
      <c r="F542" s="186"/>
      <c r="G542" s="186"/>
      <c r="H542" s="67"/>
      <c r="I542" s="186"/>
      <c r="J542" s="186"/>
      <c r="K542" s="186"/>
      <c r="L542" s="186"/>
      <c r="M542" s="186"/>
    </row>
    <row r="543">
      <c r="A543" s="185"/>
      <c r="B543" s="67"/>
      <c r="C543" s="67"/>
      <c r="D543" s="67"/>
      <c r="E543" s="186"/>
      <c r="F543" s="186"/>
      <c r="G543" s="186"/>
      <c r="H543" s="67"/>
      <c r="I543" s="186"/>
      <c r="J543" s="186"/>
      <c r="K543" s="186"/>
      <c r="L543" s="186"/>
      <c r="M543" s="186"/>
    </row>
    <row r="544">
      <c r="A544" s="185"/>
      <c r="B544" s="67"/>
      <c r="C544" s="67"/>
      <c r="D544" s="67"/>
      <c r="E544" s="186"/>
      <c r="F544" s="186"/>
      <c r="G544" s="186"/>
      <c r="H544" s="67"/>
      <c r="I544" s="186"/>
      <c r="J544" s="186"/>
      <c r="K544" s="186"/>
      <c r="L544" s="186"/>
      <c r="M544" s="186"/>
    </row>
    <row r="545">
      <c r="A545" s="185"/>
      <c r="B545" s="67"/>
      <c r="C545" s="67"/>
      <c r="D545" s="67"/>
      <c r="E545" s="186"/>
      <c r="F545" s="186"/>
      <c r="G545" s="186"/>
      <c r="H545" s="67"/>
      <c r="I545" s="186"/>
      <c r="J545" s="186"/>
      <c r="K545" s="186"/>
      <c r="L545" s="186"/>
      <c r="M545" s="186"/>
    </row>
    <row r="546">
      <c r="A546" s="185"/>
      <c r="B546" s="67"/>
      <c r="C546" s="67"/>
      <c r="D546" s="67"/>
      <c r="E546" s="186"/>
      <c r="F546" s="186"/>
      <c r="G546" s="186"/>
      <c r="H546" s="67"/>
      <c r="I546" s="186"/>
      <c r="J546" s="186"/>
      <c r="K546" s="186"/>
      <c r="L546" s="186"/>
      <c r="M546" s="186"/>
    </row>
    <row r="547">
      <c r="A547" s="185"/>
      <c r="B547" s="67"/>
      <c r="C547" s="67"/>
      <c r="D547" s="67"/>
      <c r="E547" s="186"/>
      <c r="F547" s="186"/>
      <c r="G547" s="186"/>
      <c r="H547" s="67"/>
      <c r="I547" s="186"/>
      <c r="J547" s="186"/>
      <c r="K547" s="186"/>
      <c r="L547" s="186"/>
      <c r="M547" s="186"/>
    </row>
    <row r="548">
      <c r="A548" s="185"/>
      <c r="B548" s="67"/>
      <c r="C548" s="67"/>
      <c r="D548" s="67"/>
      <c r="E548" s="186"/>
      <c r="F548" s="186"/>
      <c r="G548" s="186"/>
      <c r="H548" s="67"/>
      <c r="I548" s="186"/>
      <c r="J548" s="186"/>
      <c r="K548" s="186"/>
      <c r="L548" s="186"/>
      <c r="M548" s="186"/>
    </row>
    <row r="549">
      <c r="A549" s="185"/>
      <c r="B549" s="67"/>
      <c r="C549" s="67"/>
      <c r="D549" s="67"/>
      <c r="E549" s="186"/>
      <c r="F549" s="186"/>
      <c r="G549" s="186"/>
      <c r="H549" s="67"/>
      <c r="I549" s="186"/>
      <c r="J549" s="186"/>
      <c r="K549" s="186"/>
      <c r="L549" s="186"/>
      <c r="M549" s="186"/>
    </row>
    <row r="550">
      <c r="A550" s="185"/>
      <c r="B550" s="67"/>
      <c r="C550" s="67"/>
      <c r="D550" s="67"/>
      <c r="E550" s="186"/>
      <c r="F550" s="186"/>
      <c r="G550" s="186"/>
      <c r="H550" s="67"/>
      <c r="I550" s="186"/>
      <c r="J550" s="186"/>
      <c r="K550" s="186"/>
      <c r="L550" s="186"/>
      <c r="M550" s="186"/>
    </row>
    <row r="551">
      <c r="A551" s="185"/>
      <c r="B551" s="67"/>
      <c r="C551" s="67"/>
      <c r="D551" s="67"/>
      <c r="E551" s="186"/>
      <c r="F551" s="186"/>
      <c r="G551" s="186"/>
      <c r="H551" s="67"/>
      <c r="I551" s="186"/>
      <c r="J551" s="186"/>
      <c r="K551" s="186"/>
      <c r="L551" s="186"/>
      <c r="M551" s="186"/>
    </row>
    <row r="552">
      <c r="A552" s="185"/>
      <c r="B552" s="67"/>
      <c r="C552" s="67"/>
      <c r="D552" s="67"/>
      <c r="E552" s="186"/>
      <c r="F552" s="186"/>
      <c r="G552" s="186"/>
      <c r="H552" s="67"/>
      <c r="I552" s="186"/>
      <c r="J552" s="186"/>
      <c r="K552" s="186"/>
      <c r="L552" s="186"/>
      <c r="M552" s="186"/>
    </row>
    <row r="553">
      <c r="A553" s="185"/>
      <c r="B553" s="67"/>
      <c r="C553" s="67"/>
      <c r="D553" s="67"/>
      <c r="E553" s="186"/>
      <c r="F553" s="186"/>
      <c r="G553" s="186"/>
      <c r="H553" s="67"/>
      <c r="I553" s="186"/>
      <c r="J553" s="186"/>
      <c r="K553" s="186"/>
      <c r="L553" s="186"/>
      <c r="M553" s="186"/>
    </row>
    <row r="554">
      <c r="A554" s="185"/>
      <c r="B554" s="67"/>
      <c r="C554" s="67"/>
      <c r="D554" s="67"/>
      <c r="E554" s="186"/>
      <c r="F554" s="186"/>
      <c r="G554" s="186"/>
      <c r="H554" s="67"/>
      <c r="I554" s="186"/>
      <c r="J554" s="186"/>
      <c r="K554" s="186"/>
      <c r="L554" s="186"/>
      <c r="M554" s="186"/>
    </row>
    <row r="555">
      <c r="A555" s="185"/>
      <c r="B555" s="67"/>
      <c r="C555" s="67"/>
      <c r="D555" s="67"/>
      <c r="E555" s="186"/>
      <c r="F555" s="186"/>
      <c r="G555" s="186"/>
      <c r="H555" s="67"/>
      <c r="I555" s="186"/>
      <c r="J555" s="186"/>
      <c r="K555" s="186"/>
      <c r="L555" s="186"/>
      <c r="M555" s="186"/>
    </row>
    <row r="556">
      <c r="A556" s="185"/>
      <c r="B556" s="67"/>
      <c r="C556" s="67"/>
      <c r="D556" s="67"/>
      <c r="E556" s="186"/>
      <c r="F556" s="186"/>
      <c r="G556" s="186"/>
      <c r="H556" s="67"/>
      <c r="I556" s="186"/>
      <c r="J556" s="186"/>
      <c r="K556" s="186"/>
      <c r="L556" s="186"/>
      <c r="M556" s="186"/>
    </row>
    <row r="557">
      <c r="A557" s="185"/>
      <c r="B557" s="67"/>
      <c r="C557" s="67"/>
      <c r="D557" s="67"/>
      <c r="E557" s="186"/>
      <c r="F557" s="186"/>
      <c r="G557" s="186"/>
      <c r="H557" s="67"/>
      <c r="I557" s="186"/>
      <c r="J557" s="186"/>
      <c r="K557" s="186"/>
      <c r="L557" s="186"/>
      <c r="M557" s="186"/>
    </row>
    <row r="558">
      <c r="A558" s="185"/>
      <c r="B558" s="67"/>
      <c r="C558" s="67"/>
      <c r="D558" s="67"/>
      <c r="E558" s="186"/>
      <c r="F558" s="186"/>
      <c r="G558" s="186"/>
      <c r="H558" s="67"/>
      <c r="I558" s="186"/>
      <c r="J558" s="186"/>
      <c r="K558" s="186"/>
      <c r="L558" s="186"/>
      <c r="M558" s="186"/>
    </row>
    <row r="559">
      <c r="A559" s="185"/>
      <c r="B559" s="67"/>
      <c r="C559" s="67"/>
      <c r="D559" s="67"/>
      <c r="E559" s="186"/>
      <c r="F559" s="186"/>
      <c r="G559" s="186"/>
      <c r="H559" s="67"/>
      <c r="I559" s="186"/>
      <c r="J559" s="186"/>
      <c r="K559" s="186"/>
      <c r="L559" s="186"/>
      <c r="M559" s="186"/>
    </row>
    <row r="560">
      <c r="A560" s="185"/>
      <c r="B560" s="67"/>
      <c r="C560" s="67"/>
      <c r="D560" s="67"/>
      <c r="E560" s="186"/>
      <c r="F560" s="186"/>
      <c r="G560" s="186"/>
      <c r="H560" s="67"/>
      <c r="I560" s="186"/>
      <c r="J560" s="186"/>
      <c r="K560" s="186"/>
      <c r="L560" s="186"/>
      <c r="M560" s="186"/>
    </row>
    <row r="561">
      <c r="A561" s="185"/>
      <c r="B561" s="67"/>
      <c r="C561" s="67"/>
      <c r="D561" s="67"/>
      <c r="E561" s="186"/>
      <c r="F561" s="186"/>
      <c r="G561" s="186"/>
      <c r="H561" s="67"/>
      <c r="I561" s="186"/>
      <c r="J561" s="186"/>
      <c r="K561" s="186"/>
      <c r="L561" s="186"/>
      <c r="M561" s="186"/>
    </row>
    <row r="562">
      <c r="A562" s="185"/>
      <c r="B562" s="67"/>
      <c r="C562" s="67"/>
      <c r="D562" s="67"/>
      <c r="E562" s="186"/>
      <c r="F562" s="186"/>
      <c r="G562" s="186"/>
      <c r="H562" s="67"/>
      <c r="I562" s="186"/>
      <c r="J562" s="186"/>
      <c r="K562" s="186"/>
      <c r="L562" s="186"/>
      <c r="M562" s="186"/>
    </row>
    <row r="563">
      <c r="A563" s="185"/>
      <c r="B563" s="67"/>
      <c r="C563" s="67"/>
      <c r="D563" s="67"/>
      <c r="E563" s="186"/>
      <c r="F563" s="186"/>
      <c r="G563" s="186"/>
      <c r="H563" s="67"/>
      <c r="I563" s="186"/>
      <c r="J563" s="186"/>
      <c r="K563" s="186"/>
      <c r="L563" s="186"/>
      <c r="M563" s="186"/>
    </row>
    <row r="564">
      <c r="A564" s="185"/>
      <c r="B564" s="67"/>
      <c r="C564" s="67"/>
      <c r="D564" s="67"/>
      <c r="E564" s="186"/>
      <c r="F564" s="186"/>
      <c r="G564" s="186"/>
      <c r="H564" s="67"/>
      <c r="I564" s="186"/>
      <c r="J564" s="186"/>
      <c r="K564" s="186"/>
      <c r="L564" s="186"/>
      <c r="M564" s="186"/>
    </row>
    <row r="565">
      <c r="A565" s="185"/>
      <c r="B565" s="67"/>
      <c r="C565" s="67"/>
      <c r="D565" s="67"/>
      <c r="E565" s="186"/>
      <c r="F565" s="186"/>
      <c r="G565" s="186"/>
      <c r="H565" s="67"/>
      <c r="I565" s="186"/>
      <c r="J565" s="186"/>
      <c r="K565" s="186"/>
      <c r="L565" s="186"/>
      <c r="M565" s="186"/>
    </row>
    <row r="566">
      <c r="A566" s="185"/>
      <c r="B566" s="67"/>
      <c r="C566" s="67"/>
      <c r="D566" s="67"/>
      <c r="E566" s="186"/>
      <c r="F566" s="186"/>
      <c r="G566" s="186"/>
      <c r="H566" s="67"/>
      <c r="I566" s="186"/>
      <c r="J566" s="186"/>
      <c r="K566" s="186"/>
      <c r="L566" s="186"/>
      <c r="M566" s="186"/>
    </row>
    <row r="567">
      <c r="A567" s="185"/>
      <c r="B567" s="67"/>
      <c r="C567" s="67"/>
      <c r="D567" s="67"/>
      <c r="E567" s="186"/>
      <c r="F567" s="186"/>
      <c r="G567" s="186"/>
      <c r="H567" s="67"/>
      <c r="I567" s="186"/>
      <c r="J567" s="186"/>
      <c r="K567" s="186"/>
      <c r="L567" s="186"/>
      <c r="M567" s="186"/>
    </row>
    <row r="568">
      <c r="A568" s="185"/>
      <c r="B568" s="67"/>
      <c r="C568" s="67"/>
      <c r="D568" s="67"/>
      <c r="E568" s="186"/>
      <c r="F568" s="186"/>
      <c r="G568" s="186"/>
      <c r="H568" s="67"/>
      <c r="I568" s="186"/>
      <c r="J568" s="186"/>
      <c r="K568" s="186"/>
      <c r="L568" s="186"/>
      <c r="M568" s="186"/>
    </row>
    <row r="569">
      <c r="A569" s="185"/>
      <c r="B569" s="67"/>
      <c r="C569" s="67"/>
      <c r="D569" s="67"/>
      <c r="E569" s="186"/>
      <c r="F569" s="186"/>
      <c r="G569" s="186"/>
      <c r="H569" s="67"/>
      <c r="I569" s="186"/>
      <c r="J569" s="186"/>
      <c r="K569" s="186"/>
      <c r="L569" s="186"/>
      <c r="M569" s="186"/>
    </row>
    <row r="570">
      <c r="A570" s="185"/>
      <c r="B570" s="67"/>
      <c r="C570" s="67"/>
      <c r="D570" s="67"/>
      <c r="E570" s="186"/>
      <c r="F570" s="186"/>
      <c r="G570" s="186"/>
      <c r="H570" s="67"/>
      <c r="I570" s="186"/>
      <c r="J570" s="186"/>
      <c r="K570" s="186"/>
      <c r="L570" s="186"/>
      <c r="M570" s="186"/>
    </row>
    <row r="571">
      <c r="A571" s="185"/>
      <c r="B571" s="67"/>
      <c r="C571" s="67"/>
      <c r="D571" s="67"/>
      <c r="E571" s="186"/>
      <c r="F571" s="186"/>
      <c r="G571" s="186"/>
      <c r="H571" s="67"/>
      <c r="I571" s="186"/>
      <c r="J571" s="186"/>
      <c r="K571" s="186"/>
      <c r="L571" s="186"/>
      <c r="M571" s="186"/>
    </row>
    <row r="572">
      <c r="A572" s="185"/>
      <c r="B572" s="67"/>
      <c r="C572" s="67"/>
      <c r="D572" s="67"/>
      <c r="E572" s="186"/>
      <c r="F572" s="186"/>
      <c r="G572" s="186"/>
      <c r="H572" s="67"/>
      <c r="I572" s="186"/>
      <c r="J572" s="186"/>
      <c r="K572" s="186"/>
      <c r="L572" s="186"/>
      <c r="M572" s="186"/>
    </row>
    <row r="573">
      <c r="A573" s="185"/>
      <c r="B573" s="67"/>
      <c r="C573" s="67"/>
      <c r="D573" s="67"/>
      <c r="E573" s="186"/>
      <c r="F573" s="186"/>
      <c r="G573" s="186"/>
      <c r="H573" s="67"/>
      <c r="I573" s="186"/>
      <c r="J573" s="186"/>
      <c r="K573" s="186"/>
      <c r="L573" s="186"/>
      <c r="M573" s="186"/>
    </row>
    <row r="574">
      <c r="A574" s="185"/>
      <c r="B574" s="67"/>
      <c r="C574" s="67"/>
      <c r="D574" s="67"/>
      <c r="E574" s="186"/>
      <c r="F574" s="186"/>
      <c r="G574" s="186"/>
      <c r="H574" s="67"/>
      <c r="I574" s="186"/>
      <c r="J574" s="186"/>
      <c r="K574" s="186"/>
      <c r="L574" s="186"/>
      <c r="M574" s="186"/>
    </row>
    <row r="575">
      <c r="A575" s="185"/>
      <c r="B575" s="67"/>
      <c r="C575" s="67"/>
      <c r="D575" s="67"/>
      <c r="E575" s="186"/>
      <c r="F575" s="186"/>
      <c r="G575" s="186"/>
      <c r="H575" s="67"/>
      <c r="I575" s="186"/>
      <c r="J575" s="186"/>
      <c r="K575" s="186"/>
      <c r="L575" s="186"/>
      <c r="M575" s="186"/>
    </row>
    <row r="576">
      <c r="A576" s="185"/>
      <c r="B576" s="67"/>
      <c r="C576" s="67"/>
      <c r="D576" s="67"/>
      <c r="E576" s="186"/>
      <c r="F576" s="186"/>
      <c r="G576" s="186"/>
      <c r="H576" s="67"/>
      <c r="I576" s="186"/>
      <c r="J576" s="186"/>
      <c r="K576" s="186"/>
      <c r="L576" s="186"/>
      <c r="M576" s="186"/>
    </row>
    <row r="577">
      <c r="A577" s="185"/>
      <c r="B577" s="67"/>
      <c r="C577" s="67"/>
      <c r="D577" s="67"/>
      <c r="E577" s="186"/>
      <c r="F577" s="186"/>
      <c r="G577" s="186"/>
      <c r="H577" s="67"/>
      <c r="I577" s="186"/>
      <c r="J577" s="186"/>
      <c r="K577" s="186"/>
      <c r="L577" s="186"/>
      <c r="M577" s="186"/>
    </row>
    <row r="578">
      <c r="A578" s="185"/>
      <c r="B578" s="67"/>
      <c r="C578" s="67"/>
      <c r="D578" s="67"/>
      <c r="E578" s="186"/>
      <c r="F578" s="186"/>
      <c r="G578" s="186"/>
      <c r="H578" s="67"/>
      <c r="I578" s="186"/>
      <c r="J578" s="186"/>
      <c r="K578" s="186"/>
      <c r="L578" s="186"/>
      <c r="M578" s="186"/>
    </row>
    <row r="579">
      <c r="A579" s="185"/>
      <c r="B579" s="67"/>
      <c r="C579" s="67"/>
      <c r="D579" s="67"/>
      <c r="E579" s="186"/>
      <c r="F579" s="186"/>
      <c r="G579" s="186"/>
      <c r="H579" s="67"/>
      <c r="I579" s="186"/>
      <c r="J579" s="186"/>
      <c r="K579" s="186"/>
      <c r="L579" s="186"/>
      <c r="M579" s="186"/>
    </row>
    <row r="580">
      <c r="A580" s="185"/>
      <c r="B580" s="67"/>
      <c r="C580" s="67"/>
      <c r="D580" s="67"/>
      <c r="E580" s="186"/>
      <c r="F580" s="186"/>
      <c r="G580" s="186"/>
      <c r="H580" s="67"/>
      <c r="I580" s="186"/>
      <c r="J580" s="186"/>
      <c r="K580" s="186"/>
      <c r="L580" s="186"/>
      <c r="M580" s="186"/>
    </row>
    <row r="581">
      <c r="A581" s="185"/>
      <c r="B581" s="67"/>
      <c r="C581" s="67"/>
      <c r="D581" s="67"/>
      <c r="E581" s="186"/>
      <c r="F581" s="186"/>
      <c r="G581" s="186"/>
      <c r="H581" s="67"/>
      <c r="I581" s="186"/>
      <c r="J581" s="186"/>
      <c r="K581" s="186"/>
      <c r="L581" s="186"/>
      <c r="M581" s="186"/>
    </row>
    <row r="582">
      <c r="A582" s="185"/>
      <c r="B582" s="67"/>
      <c r="C582" s="67"/>
      <c r="D582" s="67"/>
      <c r="E582" s="186"/>
      <c r="F582" s="186"/>
      <c r="G582" s="186"/>
      <c r="H582" s="67"/>
      <c r="I582" s="186"/>
      <c r="J582" s="186"/>
      <c r="K582" s="186"/>
      <c r="L582" s="186"/>
      <c r="M582" s="186"/>
    </row>
    <row r="583">
      <c r="A583" s="185"/>
      <c r="B583" s="67"/>
      <c r="C583" s="67"/>
      <c r="D583" s="67"/>
      <c r="E583" s="186"/>
      <c r="F583" s="186"/>
      <c r="G583" s="186"/>
      <c r="H583" s="67"/>
      <c r="I583" s="186"/>
      <c r="J583" s="186"/>
      <c r="K583" s="186"/>
      <c r="L583" s="186"/>
      <c r="M583" s="186"/>
    </row>
    <row r="584">
      <c r="A584" s="185"/>
      <c r="B584" s="67"/>
      <c r="C584" s="67"/>
      <c r="D584" s="67"/>
      <c r="E584" s="186"/>
      <c r="F584" s="186"/>
      <c r="G584" s="186"/>
      <c r="H584" s="67"/>
      <c r="I584" s="186"/>
      <c r="J584" s="186"/>
      <c r="K584" s="186"/>
      <c r="L584" s="186"/>
      <c r="M584" s="186"/>
    </row>
    <row r="585">
      <c r="A585" s="185"/>
      <c r="B585" s="67"/>
      <c r="C585" s="67"/>
      <c r="D585" s="67"/>
      <c r="E585" s="186"/>
      <c r="F585" s="186"/>
      <c r="G585" s="186"/>
      <c r="H585" s="67"/>
      <c r="I585" s="186"/>
      <c r="J585" s="186"/>
      <c r="K585" s="186"/>
      <c r="L585" s="186"/>
      <c r="M585" s="186"/>
    </row>
    <row r="586">
      <c r="A586" s="185"/>
      <c r="B586" s="67"/>
      <c r="C586" s="67"/>
      <c r="D586" s="67"/>
      <c r="E586" s="186"/>
      <c r="F586" s="186"/>
      <c r="G586" s="186"/>
      <c r="H586" s="67"/>
      <c r="I586" s="186"/>
      <c r="J586" s="186"/>
      <c r="K586" s="186"/>
      <c r="L586" s="186"/>
      <c r="M586" s="186"/>
    </row>
    <row r="587">
      <c r="A587" s="185"/>
      <c r="B587" s="67"/>
      <c r="C587" s="67"/>
      <c r="D587" s="67"/>
      <c r="E587" s="186"/>
      <c r="F587" s="186"/>
      <c r="G587" s="186"/>
      <c r="H587" s="67"/>
      <c r="I587" s="186"/>
      <c r="J587" s="186"/>
      <c r="K587" s="186"/>
      <c r="L587" s="186"/>
      <c r="M587" s="186"/>
    </row>
    <row r="588">
      <c r="A588" s="185"/>
      <c r="B588" s="67"/>
      <c r="C588" s="67"/>
      <c r="D588" s="67"/>
      <c r="E588" s="186"/>
      <c r="F588" s="186"/>
      <c r="G588" s="186"/>
      <c r="H588" s="67"/>
      <c r="I588" s="186"/>
      <c r="J588" s="186"/>
      <c r="K588" s="186"/>
      <c r="L588" s="186"/>
      <c r="M588" s="186"/>
    </row>
    <row r="589">
      <c r="A589" s="185"/>
      <c r="B589" s="67"/>
      <c r="C589" s="67"/>
      <c r="D589" s="67"/>
      <c r="E589" s="186"/>
      <c r="F589" s="186"/>
      <c r="G589" s="186"/>
      <c r="H589" s="67"/>
      <c r="I589" s="186"/>
      <c r="J589" s="186"/>
      <c r="K589" s="186"/>
      <c r="L589" s="186"/>
      <c r="M589" s="186"/>
    </row>
    <row r="590">
      <c r="A590" s="185"/>
      <c r="B590" s="67"/>
      <c r="C590" s="67"/>
      <c r="D590" s="67"/>
      <c r="E590" s="186"/>
      <c r="F590" s="186"/>
      <c r="G590" s="186"/>
      <c r="H590" s="67"/>
      <c r="I590" s="186"/>
      <c r="J590" s="186"/>
      <c r="K590" s="186"/>
      <c r="L590" s="186"/>
      <c r="M590" s="186"/>
    </row>
    <row r="591">
      <c r="A591" s="185"/>
      <c r="B591" s="67"/>
      <c r="C591" s="67"/>
      <c r="D591" s="67"/>
      <c r="E591" s="186"/>
      <c r="F591" s="186"/>
      <c r="G591" s="186"/>
      <c r="H591" s="67"/>
      <c r="I591" s="186"/>
      <c r="J591" s="186"/>
      <c r="K591" s="186"/>
      <c r="L591" s="186"/>
      <c r="M591" s="186"/>
    </row>
    <row r="592">
      <c r="A592" s="185"/>
      <c r="B592" s="67"/>
      <c r="C592" s="67"/>
      <c r="D592" s="67"/>
      <c r="E592" s="186"/>
      <c r="F592" s="186"/>
      <c r="G592" s="186"/>
      <c r="H592" s="67"/>
      <c r="I592" s="186"/>
      <c r="J592" s="186"/>
      <c r="K592" s="186"/>
      <c r="L592" s="186"/>
      <c r="M592" s="186"/>
    </row>
    <row r="593">
      <c r="A593" s="185"/>
      <c r="B593" s="67"/>
      <c r="C593" s="67"/>
      <c r="D593" s="67"/>
      <c r="E593" s="186"/>
      <c r="F593" s="186"/>
      <c r="G593" s="186"/>
      <c r="H593" s="67"/>
      <c r="I593" s="186"/>
      <c r="J593" s="186"/>
      <c r="K593" s="186"/>
      <c r="L593" s="186"/>
      <c r="M593" s="186"/>
    </row>
    <row r="594">
      <c r="A594" s="185"/>
      <c r="B594" s="67"/>
      <c r="C594" s="67"/>
      <c r="D594" s="67"/>
      <c r="E594" s="186"/>
      <c r="F594" s="186"/>
      <c r="G594" s="186"/>
      <c r="H594" s="67"/>
      <c r="I594" s="186"/>
      <c r="J594" s="186"/>
      <c r="K594" s="186"/>
      <c r="L594" s="186"/>
      <c r="M594" s="186"/>
    </row>
    <row r="595">
      <c r="A595" s="185"/>
      <c r="B595" s="67"/>
      <c r="C595" s="67"/>
      <c r="D595" s="67"/>
      <c r="E595" s="186"/>
      <c r="F595" s="186"/>
      <c r="G595" s="186"/>
      <c r="H595" s="67"/>
      <c r="I595" s="186"/>
      <c r="J595" s="186"/>
      <c r="K595" s="186"/>
      <c r="L595" s="186"/>
      <c r="M595" s="186"/>
    </row>
    <row r="596">
      <c r="A596" s="185"/>
      <c r="B596" s="67"/>
      <c r="C596" s="67"/>
      <c r="D596" s="67"/>
      <c r="E596" s="186"/>
      <c r="F596" s="186"/>
      <c r="G596" s="186"/>
      <c r="H596" s="67"/>
      <c r="I596" s="186"/>
      <c r="J596" s="186"/>
      <c r="K596" s="186"/>
      <c r="L596" s="186"/>
      <c r="M596" s="186"/>
    </row>
    <row r="597">
      <c r="A597" s="185"/>
      <c r="B597" s="67"/>
      <c r="C597" s="67"/>
      <c r="D597" s="67"/>
      <c r="E597" s="186"/>
      <c r="F597" s="186"/>
      <c r="G597" s="186"/>
      <c r="H597" s="67"/>
      <c r="I597" s="186"/>
      <c r="J597" s="186"/>
      <c r="K597" s="186"/>
      <c r="L597" s="186"/>
      <c r="M597" s="186"/>
    </row>
    <row r="598">
      <c r="A598" s="185"/>
      <c r="B598" s="67"/>
      <c r="C598" s="67"/>
      <c r="D598" s="67"/>
      <c r="E598" s="186"/>
      <c r="F598" s="186"/>
      <c r="G598" s="186"/>
      <c r="H598" s="67"/>
      <c r="I598" s="186"/>
      <c r="J598" s="186"/>
      <c r="K598" s="186"/>
      <c r="L598" s="186"/>
      <c r="M598" s="186"/>
    </row>
    <row r="599">
      <c r="A599" s="185"/>
      <c r="B599" s="67"/>
      <c r="C599" s="67"/>
      <c r="D599" s="67"/>
      <c r="E599" s="186"/>
      <c r="F599" s="186"/>
      <c r="G599" s="186"/>
      <c r="H599" s="67"/>
      <c r="I599" s="186"/>
      <c r="J599" s="186"/>
      <c r="K599" s="186"/>
      <c r="L599" s="186"/>
      <c r="M599" s="186"/>
    </row>
    <row r="600">
      <c r="A600" s="185"/>
      <c r="B600" s="67"/>
      <c r="C600" s="67"/>
      <c r="D600" s="67"/>
      <c r="E600" s="186"/>
      <c r="F600" s="186"/>
      <c r="G600" s="186"/>
      <c r="H600" s="67"/>
      <c r="I600" s="186"/>
      <c r="J600" s="186"/>
      <c r="K600" s="186"/>
      <c r="L600" s="186"/>
      <c r="M600" s="186"/>
    </row>
    <row r="601">
      <c r="A601" s="185"/>
      <c r="B601" s="67"/>
      <c r="C601" s="67"/>
      <c r="D601" s="67"/>
      <c r="E601" s="186"/>
      <c r="F601" s="186"/>
      <c r="G601" s="186"/>
      <c r="H601" s="67"/>
      <c r="I601" s="186"/>
      <c r="J601" s="186"/>
      <c r="K601" s="186"/>
      <c r="L601" s="186"/>
      <c r="M601" s="186"/>
    </row>
    <row r="602">
      <c r="A602" s="185"/>
      <c r="B602" s="67"/>
      <c r="C602" s="67"/>
      <c r="D602" s="67"/>
      <c r="E602" s="186"/>
      <c r="F602" s="186"/>
      <c r="G602" s="186"/>
      <c r="H602" s="67"/>
      <c r="I602" s="186"/>
      <c r="J602" s="186"/>
      <c r="K602" s="186"/>
      <c r="L602" s="186"/>
      <c r="M602" s="186"/>
    </row>
    <row r="603">
      <c r="A603" s="185"/>
      <c r="B603" s="67"/>
      <c r="C603" s="67"/>
      <c r="D603" s="67"/>
      <c r="E603" s="186"/>
      <c r="F603" s="186"/>
      <c r="G603" s="186"/>
      <c r="H603" s="67"/>
      <c r="I603" s="186"/>
      <c r="J603" s="186"/>
      <c r="K603" s="186"/>
      <c r="L603" s="186"/>
      <c r="M603" s="186"/>
    </row>
    <row r="604">
      <c r="A604" s="185"/>
      <c r="B604" s="67"/>
      <c r="C604" s="67"/>
      <c r="D604" s="67"/>
      <c r="E604" s="186"/>
      <c r="F604" s="186"/>
      <c r="G604" s="186"/>
      <c r="H604" s="67"/>
      <c r="I604" s="186"/>
      <c r="J604" s="186"/>
      <c r="K604" s="186"/>
      <c r="L604" s="186"/>
      <c r="M604" s="186"/>
    </row>
    <row r="605">
      <c r="A605" s="185"/>
      <c r="B605" s="67"/>
      <c r="C605" s="67"/>
      <c r="D605" s="67"/>
      <c r="E605" s="186"/>
      <c r="F605" s="186"/>
      <c r="G605" s="186"/>
      <c r="H605" s="67"/>
      <c r="I605" s="186"/>
      <c r="J605" s="186"/>
      <c r="K605" s="186"/>
      <c r="L605" s="186"/>
      <c r="M605" s="186"/>
    </row>
    <row r="606">
      <c r="A606" s="185"/>
      <c r="B606" s="67"/>
      <c r="C606" s="67"/>
      <c r="D606" s="67"/>
      <c r="E606" s="186"/>
      <c r="F606" s="186"/>
      <c r="G606" s="186"/>
      <c r="H606" s="67"/>
      <c r="I606" s="186"/>
      <c r="J606" s="186"/>
      <c r="K606" s="186"/>
      <c r="L606" s="186"/>
      <c r="M606" s="186"/>
    </row>
    <row r="607">
      <c r="A607" s="185"/>
      <c r="B607" s="67"/>
      <c r="C607" s="67"/>
      <c r="D607" s="67"/>
      <c r="E607" s="186"/>
      <c r="F607" s="186"/>
      <c r="G607" s="186"/>
      <c r="H607" s="67"/>
      <c r="I607" s="186"/>
      <c r="J607" s="186"/>
      <c r="K607" s="186"/>
      <c r="L607" s="186"/>
      <c r="M607" s="186"/>
    </row>
    <row r="608">
      <c r="A608" s="185"/>
      <c r="B608" s="67"/>
      <c r="C608" s="67"/>
      <c r="D608" s="67"/>
      <c r="E608" s="186"/>
      <c r="F608" s="186"/>
      <c r="G608" s="186"/>
      <c r="H608" s="67"/>
      <c r="I608" s="186"/>
      <c r="J608" s="186"/>
      <c r="K608" s="186"/>
      <c r="L608" s="186"/>
      <c r="M608" s="186"/>
    </row>
    <row r="609">
      <c r="A609" s="185"/>
      <c r="B609" s="67"/>
      <c r="C609" s="67"/>
      <c r="D609" s="67"/>
      <c r="E609" s="186"/>
      <c r="F609" s="186"/>
      <c r="G609" s="186"/>
      <c r="H609" s="67"/>
      <c r="I609" s="186"/>
      <c r="J609" s="186"/>
      <c r="K609" s="186"/>
      <c r="L609" s="186"/>
      <c r="M609" s="186"/>
    </row>
    <row r="610">
      <c r="A610" s="185"/>
      <c r="B610" s="67"/>
      <c r="C610" s="67"/>
      <c r="D610" s="67"/>
      <c r="E610" s="186"/>
      <c r="F610" s="186"/>
      <c r="G610" s="186"/>
      <c r="H610" s="67"/>
      <c r="I610" s="186"/>
      <c r="J610" s="186"/>
      <c r="K610" s="186"/>
      <c r="L610" s="186"/>
      <c r="M610" s="186"/>
    </row>
    <row r="611">
      <c r="A611" s="185"/>
      <c r="B611" s="67"/>
      <c r="C611" s="67"/>
      <c r="D611" s="67"/>
      <c r="E611" s="186"/>
      <c r="F611" s="186"/>
      <c r="G611" s="186"/>
      <c r="H611" s="67"/>
      <c r="I611" s="186"/>
      <c r="J611" s="186"/>
      <c r="K611" s="186"/>
      <c r="L611" s="186"/>
      <c r="M611" s="186"/>
    </row>
    <row r="612">
      <c r="A612" s="185"/>
      <c r="B612" s="67"/>
      <c r="C612" s="67"/>
      <c r="D612" s="67"/>
      <c r="E612" s="186"/>
      <c r="F612" s="186"/>
      <c r="G612" s="186"/>
      <c r="H612" s="67"/>
      <c r="I612" s="186"/>
      <c r="J612" s="186"/>
      <c r="K612" s="186"/>
      <c r="L612" s="186"/>
      <c r="M612" s="186"/>
    </row>
    <row r="613">
      <c r="A613" s="185"/>
      <c r="B613" s="67"/>
      <c r="C613" s="67"/>
      <c r="D613" s="67"/>
      <c r="E613" s="186"/>
      <c r="F613" s="186"/>
      <c r="G613" s="186"/>
      <c r="H613" s="67"/>
      <c r="I613" s="186"/>
      <c r="J613" s="186"/>
      <c r="K613" s="186"/>
      <c r="L613" s="186"/>
      <c r="M613" s="186"/>
    </row>
    <row r="614">
      <c r="A614" s="185"/>
      <c r="B614" s="67"/>
      <c r="C614" s="67"/>
      <c r="D614" s="67"/>
      <c r="E614" s="186"/>
      <c r="F614" s="186"/>
      <c r="G614" s="186"/>
      <c r="H614" s="67"/>
      <c r="I614" s="186"/>
      <c r="J614" s="186"/>
      <c r="K614" s="186"/>
      <c r="L614" s="186"/>
      <c r="M614" s="186"/>
    </row>
    <row r="615">
      <c r="A615" s="185"/>
      <c r="B615" s="67"/>
      <c r="C615" s="67"/>
      <c r="D615" s="67"/>
      <c r="E615" s="186"/>
      <c r="F615" s="186"/>
      <c r="G615" s="186"/>
      <c r="H615" s="67"/>
      <c r="I615" s="186"/>
      <c r="J615" s="186"/>
      <c r="K615" s="186"/>
      <c r="L615" s="186"/>
      <c r="M615" s="186"/>
    </row>
    <row r="616">
      <c r="A616" s="185"/>
      <c r="B616" s="67"/>
      <c r="C616" s="67"/>
      <c r="D616" s="67"/>
      <c r="E616" s="186"/>
      <c r="F616" s="186"/>
      <c r="G616" s="186"/>
      <c r="H616" s="67"/>
      <c r="I616" s="186"/>
      <c r="J616" s="186"/>
      <c r="K616" s="186"/>
      <c r="L616" s="186"/>
      <c r="M616" s="186"/>
    </row>
    <row r="617">
      <c r="A617" s="185"/>
      <c r="B617" s="67"/>
      <c r="C617" s="67"/>
      <c r="D617" s="67"/>
      <c r="E617" s="186"/>
      <c r="F617" s="186"/>
      <c r="G617" s="186"/>
      <c r="H617" s="67"/>
      <c r="I617" s="186"/>
      <c r="J617" s="186"/>
      <c r="K617" s="186"/>
      <c r="L617" s="186"/>
      <c r="M617" s="186"/>
    </row>
    <row r="618">
      <c r="A618" s="185"/>
      <c r="B618" s="67"/>
      <c r="C618" s="67"/>
      <c r="D618" s="67"/>
      <c r="E618" s="186"/>
      <c r="F618" s="186"/>
      <c r="G618" s="186"/>
      <c r="H618" s="67"/>
      <c r="I618" s="186"/>
      <c r="J618" s="186"/>
      <c r="K618" s="186"/>
      <c r="L618" s="186"/>
      <c r="M618" s="186"/>
    </row>
    <row r="619">
      <c r="A619" s="185"/>
      <c r="B619" s="67"/>
      <c r="C619" s="67"/>
      <c r="D619" s="67"/>
      <c r="E619" s="186"/>
      <c r="F619" s="186"/>
      <c r="G619" s="186"/>
      <c r="H619" s="67"/>
      <c r="I619" s="186"/>
      <c r="J619" s="186"/>
      <c r="K619" s="186"/>
      <c r="L619" s="186"/>
      <c r="M619" s="186"/>
    </row>
    <row r="620">
      <c r="A620" s="185"/>
      <c r="B620" s="67"/>
      <c r="C620" s="67"/>
      <c r="D620" s="67"/>
      <c r="E620" s="186"/>
      <c r="F620" s="186"/>
      <c r="G620" s="186"/>
      <c r="H620" s="67"/>
      <c r="I620" s="186"/>
      <c r="J620" s="186"/>
      <c r="K620" s="186"/>
      <c r="L620" s="186"/>
      <c r="M620" s="186"/>
    </row>
    <row r="621">
      <c r="A621" s="185"/>
      <c r="B621" s="67"/>
      <c r="C621" s="67"/>
      <c r="D621" s="67"/>
      <c r="E621" s="186"/>
      <c r="F621" s="186"/>
      <c r="G621" s="186"/>
      <c r="H621" s="67"/>
      <c r="I621" s="186"/>
      <c r="J621" s="186"/>
      <c r="K621" s="186"/>
      <c r="L621" s="186"/>
      <c r="M621" s="186"/>
    </row>
    <row r="622">
      <c r="A622" s="185"/>
      <c r="B622" s="67"/>
      <c r="C622" s="67"/>
      <c r="D622" s="67"/>
      <c r="E622" s="186"/>
      <c r="F622" s="186"/>
      <c r="G622" s="186"/>
      <c r="H622" s="67"/>
      <c r="I622" s="186"/>
      <c r="J622" s="186"/>
      <c r="K622" s="186"/>
      <c r="L622" s="186"/>
      <c r="M622" s="186"/>
    </row>
    <row r="623">
      <c r="A623" s="185"/>
      <c r="B623" s="67"/>
      <c r="C623" s="67"/>
      <c r="D623" s="67"/>
      <c r="E623" s="186"/>
      <c r="F623" s="186"/>
      <c r="G623" s="186"/>
      <c r="H623" s="67"/>
      <c r="I623" s="186"/>
      <c r="J623" s="186"/>
      <c r="K623" s="186"/>
      <c r="L623" s="186"/>
      <c r="M623" s="186"/>
    </row>
    <row r="624">
      <c r="A624" s="185"/>
      <c r="B624" s="67"/>
      <c r="C624" s="67"/>
      <c r="D624" s="67"/>
      <c r="E624" s="186"/>
      <c r="F624" s="186"/>
      <c r="G624" s="186"/>
      <c r="H624" s="67"/>
      <c r="I624" s="186"/>
      <c r="J624" s="186"/>
      <c r="K624" s="186"/>
      <c r="L624" s="186"/>
      <c r="M624" s="186"/>
    </row>
    <row r="625">
      <c r="A625" s="185"/>
      <c r="B625" s="67"/>
      <c r="C625" s="67"/>
      <c r="D625" s="67"/>
      <c r="E625" s="186"/>
      <c r="F625" s="186"/>
      <c r="G625" s="186"/>
      <c r="H625" s="67"/>
      <c r="I625" s="186"/>
      <c r="J625" s="186"/>
      <c r="K625" s="186"/>
      <c r="L625" s="186"/>
      <c r="M625" s="186"/>
    </row>
    <row r="626">
      <c r="A626" s="185"/>
      <c r="B626" s="67"/>
      <c r="C626" s="67"/>
      <c r="D626" s="67"/>
      <c r="E626" s="186"/>
      <c r="F626" s="186"/>
      <c r="G626" s="186"/>
      <c r="H626" s="67"/>
      <c r="I626" s="186"/>
      <c r="J626" s="186"/>
      <c r="K626" s="186"/>
      <c r="L626" s="186"/>
      <c r="M626" s="186"/>
    </row>
    <row r="627">
      <c r="A627" s="185"/>
      <c r="B627" s="67"/>
      <c r="C627" s="67"/>
      <c r="D627" s="67"/>
      <c r="E627" s="186"/>
      <c r="F627" s="186"/>
      <c r="G627" s="186"/>
      <c r="H627" s="67"/>
      <c r="I627" s="186"/>
      <c r="J627" s="186"/>
      <c r="K627" s="186"/>
      <c r="L627" s="186"/>
      <c r="M627" s="186"/>
    </row>
    <row r="628">
      <c r="A628" s="185"/>
      <c r="B628" s="67"/>
      <c r="C628" s="67"/>
      <c r="D628" s="67"/>
      <c r="E628" s="186"/>
      <c r="F628" s="186"/>
      <c r="G628" s="186"/>
      <c r="H628" s="67"/>
      <c r="I628" s="186"/>
      <c r="J628" s="186"/>
      <c r="K628" s="186"/>
      <c r="L628" s="186"/>
      <c r="M628" s="186"/>
    </row>
    <row r="629">
      <c r="A629" s="185"/>
      <c r="B629" s="67"/>
      <c r="C629" s="67"/>
      <c r="D629" s="67"/>
      <c r="E629" s="186"/>
      <c r="F629" s="186"/>
      <c r="G629" s="186"/>
      <c r="H629" s="67"/>
      <c r="I629" s="186"/>
      <c r="J629" s="186"/>
      <c r="K629" s="186"/>
      <c r="L629" s="186"/>
      <c r="M629" s="186"/>
    </row>
    <row r="630">
      <c r="A630" s="185"/>
      <c r="B630" s="67"/>
      <c r="C630" s="67"/>
      <c r="D630" s="67"/>
      <c r="E630" s="186"/>
      <c r="F630" s="186"/>
      <c r="G630" s="186"/>
      <c r="H630" s="67"/>
      <c r="I630" s="186"/>
      <c r="J630" s="186"/>
      <c r="K630" s="186"/>
      <c r="L630" s="186"/>
      <c r="M630" s="186"/>
    </row>
    <row r="631">
      <c r="A631" s="185"/>
      <c r="B631" s="67"/>
      <c r="C631" s="67"/>
      <c r="D631" s="67"/>
      <c r="E631" s="186"/>
      <c r="F631" s="186"/>
      <c r="G631" s="186"/>
      <c r="H631" s="67"/>
      <c r="I631" s="186"/>
      <c r="J631" s="186"/>
      <c r="K631" s="186"/>
      <c r="L631" s="186"/>
      <c r="M631" s="186"/>
    </row>
    <row r="632">
      <c r="A632" s="185"/>
      <c r="B632" s="67"/>
      <c r="C632" s="67"/>
      <c r="D632" s="67"/>
      <c r="E632" s="186"/>
      <c r="F632" s="186"/>
      <c r="G632" s="186"/>
      <c r="H632" s="67"/>
      <c r="I632" s="186"/>
      <c r="J632" s="186"/>
      <c r="K632" s="186"/>
      <c r="L632" s="186"/>
      <c r="M632" s="186"/>
    </row>
    <row r="633">
      <c r="A633" s="185"/>
      <c r="B633" s="67"/>
      <c r="C633" s="67"/>
      <c r="D633" s="67"/>
      <c r="E633" s="186"/>
      <c r="F633" s="186"/>
      <c r="G633" s="186"/>
      <c r="H633" s="67"/>
      <c r="I633" s="186"/>
      <c r="J633" s="186"/>
      <c r="K633" s="186"/>
      <c r="L633" s="186"/>
      <c r="M633" s="186"/>
    </row>
    <row r="634">
      <c r="A634" s="185"/>
      <c r="B634" s="67"/>
      <c r="C634" s="67"/>
      <c r="D634" s="67"/>
      <c r="E634" s="186"/>
      <c r="F634" s="186"/>
      <c r="G634" s="186"/>
      <c r="H634" s="67"/>
      <c r="I634" s="186"/>
      <c r="J634" s="186"/>
      <c r="K634" s="186"/>
      <c r="L634" s="186"/>
      <c r="M634" s="186"/>
    </row>
    <row r="635">
      <c r="A635" s="185"/>
      <c r="B635" s="67"/>
      <c r="C635" s="67"/>
      <c r="D635" s="67"/>
      <c r="E635" s="186"/>
      <c r="F635" s="186"/>
      <c r="G635" s="186"/>
      <c r="H635" s="67"/>
      <c r="I635" s="186"/>
      <c r="J635" s="186"/>
      <c r="K635" s="186"/>
      <c r="L635" s="186"/>
      <c r="M635" s="186"/>
    </row>
    <row r="636">
      <c r="A636" s="185"/>
      <c r="B636" s="67"/>
      <c r="C636" s="67"/>
      <c r="D636" s="67"/>
      <c r="E636" s="186"/>
      <c r="F636" s="186"/>
      <c r="G636" s="186"/>
      <c r="H636" s="67"/>
      <c r="I636" s="186"/>
      <c r="J636" s="186"/>
      <c r="K636" s="186"/>
      <c r="L636" s="186"/>
      <c r="M636" s="186"/>
    </row>
    <row r="637">
      <c r="A637" s="185"/>
      <c r="B637" s="67"/>
      <c r="C637" s="67"/>
      <c r="D637" s="67"/>
      <c r="E637" s="186"/>
      <c r="F637" s="186"/>
      <c r="G637" s="186"/>
      <c r="H637" s="67"/>
      <c r="I637" s="186"/>
      <c r="J637" s="186"/>
      <c r="K637" s="186"/>
      <c r="L637" s="186"/>
      <c r="M637" s="186"/>
    </row>
    <row r="638">
      <c r="A638" s="185"/>
      <c r="B638" s="67"/>
      <c r="C638" s="67"/>
      <c r="D638" s="67"/>
      <c r="E638" s="186"/>
      <c r="F638" s="186"/>
      <c r="G638" s="186"/>
      <c r="H638" s="67"/>
      <c r="I638" s="186"/>
      <c r="J638" s="186"/>
      <c r="K638" s="186"/>
      <c r="L638" s="186"/>
      <c r="M638" s="186"/>
    </row>
    <row r="639">
      <c r="A639" s="185"/>
      <c r="B639" s="67"/>
      <c r="C639" s="67"/>
      <c r="D639" s="67"/>
      <c r="E639" s="186"/>
      <c r="F639" s="186"/>
      <c r="G639" s="186"/>
      <c r="H639" s="67"/>
      <c r="I639" s="186"/>
      <c r="J639" s="186"/>
      <c r="K639" s="186"/>
      <c r="L639" s="186"/>
      <c r="M639" s="186"/>
    </row>
    <row r="640">
      <c r="A640" s="185"/>
      <c r="B640" s="67"/>
      <c r="C640" s="67"/>
      <c r="D640" s="67"/>
      <c r="E640" s="186"/>
      <c r="F640" s="186"/>
      <c r="G640" s="186"/>
      <c r="H640" s="67"/>
      <c r="I640" s="186"/>
      <c r="J640" s="186"/>
      <c r="K640" s="186"/>
      <c r="L640" s="186"/>
      <c r="M640" s="186"/>
    </row>
    <row r="641">
      <c r="A641" s="185"/>
      <c r="B641" s="67"/>
      <c r="C641" s="67"/>
      <c r="D641" s="67"/>
      <c r="E641" s="186"/>
      <c r="F641" s="186"/>
      <c r="G641" s="186"/>
      <c r="H641" s="67"/>
      <c r="I641" s="186"/>
      <c r="J641" s="186"/>
      <c r="K641" s="186"/>
      <c r="L641" s="186"/>
      <c r="M641" s="186"/>
    </row>
    <row r="642">
      <c r="A642" s="185"/>
      <c r="B642" s="67"/>
      <c r="C642" s="67"/>
      <c r="D642" s="67"/>
      <c r="E642" s="186"/>
      <c r="F642" s="186"/>
      <c r="G642" s="186"/>
      <c r="H642" s="67"/>
      <c r="I642" s="186"/>
      <c r="J642" s="186"/>
      <c r="K642" s="186"/>
      <c r="L642" s="186"/>
      <c r="M642" s="186"/>
    </row>
    <row r="643">
      <c r="A643" s="185"/>
      <c r="B643" s="67"/>
      <c r="C643" s="67"/>
      <c r="D643" s="67"/>
      <c r="E643" s="186"/>
      <c r="F643" s="186"/>
      <c r="G643" s="186"/>
      <c r="H643" s="67"/>
      <c r="I643" s="186"/>
      <c r="J643" s="186"/>
      <c r="K643" s="186"/>
      <c r="L643" s="186"/>
      <c r="M643" s="186"/>
    </row>
    <row r="644">
      <c r="A644" s="185"/>
      <c r="B644" s="67"/>
      <c r="C644" s="67"/>
      <c r="D644" s="67"/>
      <c r="E644" s="186"/>
      <c r="F644" s="186"/>
      <c r="G644" s="186"/>
      <c r="H644" s="67"/>
      <c r="I644" s="186"/>
      <c r="J644" s="186"/>
      <c r="K644" s="186"/>
      <c r="L644" s="186"/>
      <c r="M644" s="186"/>
    </row>
    <row r="645">
      <c r="A645" s="185"/>
      <c r="B645" s="67"/>
      <c r="C645" s="67"/>
      <c r="D645" s="67"/>
      <c r="E645" s="186"/>
      <c r="F645" s="186"/>
      <c r="G645" s="186"/>
      <c r="H645" s="67"/>
      <c r="I645" s="186"/>
      <c r="J645" s="186"/>
      <c r="K645" s="186"/>
      <c r="L645" s="186"/>
      <c r="M645" s="186"/>
    </row>
    <row r="646">
      <c r="A646" s="185"/>
      <c r="B646" s="67"/>
      <c r="C646" s="67"/>
      <c r="D646" s="67"/>
      <c r="E646" s="186"/>
      <c r="F646" s="186"/>
      <c r="G646" s="186"/>
      <c r="H646" s="67"/>
      <c r="I646" s="186"/>
      <c r="J646" s="186"/>
      <c r="K646" s="186"/>
      <c r="L646" s="186"/>
      <c r="M646" s="186"/>
    </row>
    <row r="647">
      <c r="A647" s="185"/>
      <c r="B647" s="67"/>
      <c r="C647" s="67"/>
      <c r="D647" s="67"/>
      <c r="E647" s="186"/>
      <c r="F647" s="186"/>
      <c r="G647" s="186"/>
      <c r="H647" s="67"/>
      <c r="I647" s="186"/>
      <c r="J647" s="186"/>
      <c r="K647" s="186"/>
      <c r="L647" s="186"/>
      <c r="M647" s="186"/>
    </row>
    <row r="648">
      <c r="A648" s="185"/>
      <c r="B648" s="67"/>
      <c r="C648" s="67"/>
      <c r="D648" s="67"/>
      <c r="E648" s="186"/>
      <c r="F648" s="186"/>
      <c r="G648" s="186"/>
      <c r="H648" s="67"/>
      <c r="I648" s="186"/>
      <c r="J648" s="186"/>
      <c r="K648" s="186"/>
      <c r="L648" s="186"/>
      <c r="M648" s="186"/>
    </row>
    <row r="649">
      <c r="A649" s="185"/>
      <c r="B649" s="67"/>
      <c r="C649" s="67"/>
      <c r="D649" s="67"/>
      <c r="E649" s="186"/>
      <c r="F649" s="186"/>
      <c r="G649" s="186"/>
      <c r="H649" s="67"/>
      <c r="I649" s="186"/>
      <c r="J649" s="186"/>
      <c r="K649" s="186"/>
      <c r="L649" s="186"/>
      <c r="M649" s="186"/>
    </row>
    <row r="650">
      <c r="A650" s="185"/>
      <c r="B650" s="67"/>
      <c r="C650" s="67"/>
      <c r="D650" s="67"/>
      <c r="E650" s="186"/>
      <c r="F650" s="186"/>
      <c r="G650" s="186"/>
      <c r="H650" s="67"/>
      <c r="I650" s="186"/>
      <c r="J650" s="186"/>
      <c r="K650" s="186"/>
      <c r="L650" s="186"/>
      <c r="M650" s="186"/>
    </row>
    <row r="651">
      <c r="A651" s="185"/>
      <c r="B651" s="67"/>
      <c r="C651" s="67"/>
      <c r="D651" s="67"/>
      <c r="E651" s="186"/>
      <c r="F651" s="186"/>
      <c r="G651" s="186"/>
      <c r="H651" s="67"/>
      <c r="I651" s="186"/>
      <c r="J651" s="186"/>
      <c r="K651" s="186"/>
      <c r="L651" s="186"/>
      <c r="M651" s="186"/>
    </row>
    <row r="652">
      <c r="A652" s="185"/>
      <c r="B652" s="67"/>
      <c r="C652" s="67"/>
      <c r="D652" s="67"/>
      <c r="E652" s="186"/>
      <c r="F652" s="186"/>
      <c r="G652" s="186"/>
      <c r="H652" s="67"/>
      <c r="I652" s="186"/>
      <c r="J652" s="186"/>
      <c r="K652" s="186"/>
      <c r="L652" s="186"/>
      <c r="M652" s="186"/>
    </row>
    <row r="653">
      <c r="A653" s="185"/>
      <c r="B653" s="67"/>
      <c r="C653" s="67"/>
      <c r="D653" s="67"/>
      <c r="E653" s="186"/>
      <c r="F653" s="186"/>
      <c r="G653" s="186"/>
      <c r="H653" s="67"/>
      <c r="I653" s="186"/>
      <c r="J653" s="186"/>
      <c r="K653" s="186"/>
      <c r="L653" s="186"/>
      <c r="M653" s="186"/>
    </row>
    <row r="654">
      <c r="A654" s="185"/>
      <c r="B654" s="67"/>
      <c r="C654" s="67"/>
      <c r="D654" s="67"/>
      <c r="E654" s="186"/>
      <c r="F654" s="186"/>
      <c r="G654" s="186"/>
      <c r="H654" s="67"/>
      <c r="I654" s="186"/>
      <c r="J654" s="186"/>
      <c r="K654" s="186"/>
      <c r="L654" s="186"/>
      <c r="M654" s="186"/>
    </row>
    <row r="655">
      <c r="A655" s="185"/>
      <c r="B655" s="67"/>
      <c r="C655" s="67"/>
      <c r="D655" s="67"/>
      <c r="E655" s="186"/>
      <c r="F655" s="186"/>
      <c r="G655" s="186"/>
      <c r="H655" s="67"/>
      <c r="I655" s="186"/>
      <c r="J655" s="186"/>
      <c r="K655" s="186"/>
      <c r="L655" s="186"/>
      <c r="M655" s="186"/>
    </row>
    <row r="656">
      <c r="A656" s="185"/>
      <c r="B656" s="67"/>
      <c r="C656" s="67"/>
      <c r="D656" s="67"/>
      <c r="E656" s="186"/>
      <c r="F656" s="186"/>
      <c r="G656" s="186"/>
      <c r="H656" s="67"/>
      <c r="I656" s="186"/>
      <c r="J656" s="186"/>
      <c r="K656" s="186"/>
      <c r="L656" s="186"/>
      <c r="M656" s="186"/>
    </row>
    <row r="657">
      <c r="A657" s="185"/>
      <c r="B657" s="67"/>
      <c r="C657" s="67"/>
      <c r="D657" s="67"/>
      <c r="E657" s="186"/>
      <c r="F657" s="186"/>
      <c r="G657" s="186"/>
      <c r="H657" s="67"/>
      <c r="I657" s="186"/>
      <c r="J657" s="186"/>
      <c r="K657" s="186"/>
      <c r="L657" s="186"/>
      <c r="M657" s="186"/>
    </row>
    <row r="658">
      <c r="A658" s="185"/>
      <c r="B658" s="67"/>
      <c r="C658" s="67"/>
      <c r="D658" s="67"/>
      <c r="E658" s="186"/>
      <c r="F658" s="186"/>
      <c r="G658" s="186"/>
      <c r="H658" s="67"/>
      <c r="I658" s="186"/>
      <c r="J658" s="186"/>
      <c r="K658" s="186"/>
      <c r="L658" s="186"/>
      <c r="M658" s="186"/>
    </row>
    <row r="659">
      <c r="A659" s="185"/>
      <c r="B659" s="67"/>
      <c r="C659" s="67"/>
      <c r="D659" s="67"/>
      <c r="E659" s="186"/>
      <c r="F659" s="186"/>
      <c r="G659" s="186"/>
      <c r="H659" s="67"/>
      <c r="I659" s="186"/>
      <c r="J659" s="186"/>
      <c r="K659" s="186"/>
      <c r="L659" s="186"/>
      <c r="M659" s="186"/>
    </row>
    <row r="660">
      <c r="A660" s="185"/>
      <c r="B660" s="67"/>
      <c r="C660" s="67"/>
      <c r="D660" s="67"/>
      <c r="E660" s="186"/>
      <c r="F660" s="186"/>
      <c r="G660" s="186"/>
      <c r="H660" s="67"/>
      <c r="I660" s="186"/>
      <c r="J660" s="186"/>
      <c r="K660" s="186"/>
      <c r="L660" s="186"/>
      <c r="M660" s="186"/>
    </row>
    <row r="661">
      <c r="A661" s="185"/>
      <c r="B661" s="67"/>
      <c r="C661" s="67"/>
      <c r="D661" s="67"/>
      <c r="E661" s="186"/>
      <c r="F661" s="186"/>
      <c r="G661" s="186"/>
      <c r="H661" s="67"/>
      <c r="I661" s="186"/>
      <c r="J661" s="186"/>
      <c r="K661" s="186"/>
      <c r="L661" s="186"/>
      <c r="M661" s="186"/>
    </row>
    <row r="662">
      <c r="A662" s="185"/>
      <c r="B662" s="67"/>
      <c r="C662" s="67"/>
      <c r="D662" s="67"/>
      <c r="E662" s="186"/>
      <c r="F662" s="186"/>
      <c r="G662" s="186"/>
      <c r="H662" s="67"/>
      <c r="I662" s="186"/>
      <c r="J662" s="186"/>
      <c r="K662" s="186"/>
      <c r="L662" s="186"/>
      <c r="M662" s="186"/>
    </row>
    <row r="663">
      <c r="A663" s="185"/>
      <c r="B663" s="67"/>
      <c r="C663" s="67"/>
      <c r="D663" s="67"/>
      <c r="E663" s="186"/>
      <c r="F663" s="186"/>
      <c r="G663" s="186"/>
      <c r="H663" s="67"/>
      <c r="I663" s="186"/>
      <c r="J663" s="186"/>
      <c r="K663" s="186"/>
      <c r="L663" s="186"/>
      <c r="M663" s="186"/>
    </row>
    <row r="664">
      <c r="A664" s="185"/>
      <c r="B664" s="67"/>
      <c r="C664" s="67"/>
      <c r="D664" s="67"/>
      <c r="E664" s="186"/>
      <c r="F664" s="186"/>
      <c r="G664" s="186"/>
      <c r="H664" s="67"/>
      <c r="I664" s="186"/>
      <c r="J664" s="186"/>
      <c r="K664" s="186"/>
      <c r="L664" s="186"/>
      <c r="M664" s="186"/>
    </row>
    <row r="665">
      <c r="A665" s="185"/>
      <c r="B665" s="67"/>
      <c r="C665" s="67"/>
      <c r="D665" s="67"/>
      <c r="E665" s="186"/>
      <c r="F665" s="186"/>
      <c r="G665" s="186"/>
      <c r="H665" s="67"/>
      <c r="I665" s="186"/>
      <c r="J665" s="186"/>
      <c r="K665" s="186"/>
      <c r="L665" s="186"/>
      <c r="M665" s="186"/>
    </row>
    <row r="666">
      <c r="A666" s="185"/>
      <c r="B666" s="67"/>
      <c r="C666" s="67"/>
      <c r="D666" s="67"/>
      <c r="E666" s="186"/>
      <c r="F666" s="186"/>
      <c r="G666" s="186"/>
      <c r="H666" s="67"/>
      <c r="I666" s="186"/>
      <c r="J666" s="186"/>
      <c r="K666" s="186"/>
      <c r="L666" s="186"/>
      <c r="M666" s="186"/>
    </row>
    <row r="667">
      <c r="A667" s="185"/>
      <c r="B667" s="67"/>
      <c r="C667" s="67"/>
      <c r="D667" s="67"/>
      <c r="E667" s="186"/>
      <c r="F667" s="186"/>
      <c r="G667" s="186"/>
      <c r="H667" s="67"/>
      <c r="I667" s="186"/>
      <c r="J667" s="186"/>
      <c r="K667" s="186"/>
      <c r="L667" s="186"/>
      <c r="M667" s="186"/>
    </row>
    <row r="668">
      <c r="A668" s="185"/>
      <c r="B668" s="67"/>
      <c r="C668" s="67"/>
      <c r="D668" s="67"/>
      <c r="E668" s="186"/>
      <c r="F668" s="186"/>
      <c r="G668" s="186"/>
      <c r="H668" s="67"/>
      <c r="I668" s="186"/>
      <c r="J668" s="186"/>
      <c r="K668" s="186"/>
      <c r="L668" s="186"/>
      <c r="M668" s="186"/>
    </row>
    <row r="669">
      <c r="A669" s="185"/>
      <c r="B669" s="67"/>
      <c r="C669" s="67"/>
      <c r="D669" s="67"/>
      <c r="E669" s="186"/>
      <c r="F669" s="186"/>
      <c r="G669" s="186"/>
      <c r="H669" s="67"/>
      <c r="I669" s="186"/>
      <c r="J669" s="186"/>
      <c r="K669" s="186"/>
      <c r="L669" s="186"/>
      <c r="M669" s="186"/>
    </row>
    <row r="670">
      <c r="A670" s="185"/>
      <c r="B670" s="67"/>
      <c r="C670" s="67"/>
      <c r="D670" s="67"/>
      <c r="E670" s="186"/>
      <c r="F670" s="186"/>
      <c r="G670" s="186"/>
      <c r="H670" s="67"/>
      <c r="I670" s="186"/>
      <c r="J670" s="186"/>
      <c r="K670" s="186"/>
      <c r="L670" s="186"/>
      <c r="M670" s="186"/>
    </row>
    <row r="671">
      <c r="A671" s="185"/>
      <c r="B671" s="67"/>
      <c r="C671" s="67"/>
      <c r="D671" s="67"/>
      <c r="E671" s="186"/>
      <c r="F671" s="186"/>
      <c r="G671" s="186"/>
      <c r="H671" s="67"/>
      <c r="I671" s="186"/>
      <c r="J671" s="186"/>
      <c r="K671" s="186"/>
      <c r="L671" s="186"/>
      <c r="M671" s="186"/>
    </row>
    <row r="672">
      <c r="A672" s="185"/>
      <c r="B672" s="67"/>
      <c r="C672" s="67"/>
      <c r="D672" s="67"/>
      <c r="E672" s="186"/>
      <c r="F672" s="186"/>
      <c r="G672" s="186"/>
      <c r="H672" s="67"/>
      <c r="I672" s="186"/>
      <c r="J672" s="186"/>
      <c r="K672" s="186"/>
      <c r="L672" s="186"/>
      <c r="M672" s="186"/>
    </row>
    <row r="673">
      <c r="A673" s="185"/>
      <c r="B673" s="67"/>
      <c r="C673" s="67"/>
      <c r="D673" s="67"/>
      <c r="E673" s="186"/>
      <c r="F673" s="186"/>
      <c r="G673" s="186"/>
      <c r="H673" s="67"/>
      <c r="I673" s="186"/>
      <c r="J673" s="186"/>
      <c r="K673" s="186"/>
      <c r="L673" s="186"/>
      <c r="M673" s="186"/>
    </row>
    <row r="674">
      <c r="A674" s="185"/>
      <c r="B674" s="67"/>
      <c r="C674" s="67"/>
      <c r="D674" s="67"/>
      <c r="E674" s="186"/>
      <c r="F674" s="186"/>
      <c r="G674" s="186"/>
      <c r="H674" s="67"/>
      <c r="I674" s="186"/>
      <c r="J674" s="186"/>
      <c r="K674" s="186"/>
      <c r="L674" s="186"/>
      <c r="M674" s="186"/>
    </row>
    <row r="675">
      <c r="A675" s="185"/>
      <c r="B675" s="67"/>
      <c r="C675" s="67"/>
      <c r="D675" s="67"/>
      <c r="E675" s="186"/>
      <c r="F675" s="186"/>
      <c r="G675" s="186"/>
      <c r="H675" s="67"/>
      <c r="I675" s="186"/>
      <c r="J675" s="186"/>
      <c r="K675" s="186"/>
      <c r="L675" s="186"/>
      <c r="M675" s="186"/>
    </row>
    <row r="676">
      <c r="A676" s="185"/>
      <c r="B676" s="67"/>
      <c r="C676" s="67"/>
      <c r="D676" s="67"/>
      <c r="E676" s="186"/>
      <c r="F676" s="186"/>
      <c r="G676" s="186"/>
      <c r="H676" s="67"/>
      <c r="I676" s="186"/>
      <c r="J676" s="186"/>
      <c r="K676" s="186"/>
      <c r="L676" s="186"/>
      <c r="M676" s="186"/>
    </row>
    <row r="677">
      <c r="A677" s="185"/>
      <c r="B677" s="67"/>
      <c r="C677" s="67"/>
      <c r="D677" s="67"/>
      <c r="E677" s="186"/>
      <c r="F677" s="186"/>
      <c r="G677" s="186"/>
      <c r="H677" s="67"/>
      <c r="I677" s="186"/>
      <c r="J677" s="186"/>
      <c r="K677" s="186"/>
      <c r="L677" s="186"/>
      <c r="M677" s="186"/>
    </row>
    <row r="678">
      <c r="A678" s="185"/>
      <c r="B678" s="67"/>
      <c r="C678" s="67"/>
      <c r="D678" s="67"/>
      <c r="E678" s="186"/>
      <c r="F678" s="186"/>
      <c r="G678" s="186"/>
      <c r="H678" s="67"/>
      <c r="I678" s="186"/>
      <c r="J678" s="186"/>
      <c r="K678" s="186"/>
      <c r="L678" s="186"/>
      <c r="M678" s="186"/>
    </row>
    <row r="679">
      <c r="A679" s="185"/>
      <c r="B679" s="67"/>
      <c r="C679" s="67"/>
      <c r="D679" s="67"/>
      <c r="E679" s="186"/>
      <c r="F679" s="186"/>
      <c r="G679" s="186"/>
      <c r="H679" s="67"/>
      <c r="I679" s="186"/>
      <c r="J679" s="186"/>
      <c r="K679" s="186"/>
      <c r="L679" s="186"/>
      <c r="M679" s="186"/>
    </row>
    <row r="680">
      <c r="A680" s="185"/>
      <c r="B680" s="67"/>
      <c r="C680" s="67"/>
      <c r="D680" s="67"/>
      <c r="E680" s="186"/>
      <c r="F680" s="186"/>
      <c r="G680" s="186"/>
      <c r="H680" s="67"/>
      <c r="I680" s="186"/>
      <c r="J680" s="186"/>
      <c r="K680" s="186"/>
      <c r="L680" s="186"/>
      <c r="M680" s="186"/>
    </row>
    <row r="681">
      <c r="A681" s="185"/>
      <c r="B681" s="67"/>
      <c r="C681" s="67"/>
      <c r="D681" s="67"/>
      <c r="E681" s="186"/>
      <c r="F681" s="186"/>
      <c r="G681" s="186"/>
      <c r="H681" s="67"/>
      <c r="I681" s="186"/>
      <c r="J681" s="186"/>
      <c r="K681" s="186"/>
      <c r="L681" s="186"/>
      <c r="M681" s="186"/>
    </row>
    <row r="682">
      <c r="A682" s="185"/>
      <c r="B682" s="67"/>
      <c r="C682" s="67"/>
      <c r="D682" s="67"/>
      <c r="E682" s="186"/>
      <c r="F682" s="186"/>
      <c r="G682" s="186"/>
      <c r="H682" s="67"/>
      <c r="I682" s="186"/>
      <c r="J682" s="186"/>
      <c r="K682" s="186"/>
      <c r="L682" s="186"/>
      <c r="M682" s="186"/>
    </row>
    <row r="683">
      <c r="A683" s="185"/>
      <c r="B683" s="67"/>
      <c r="C683" s="67"/>
      <c r="D683" s="67"/>
      <c r="E683" s="186"/>
      <c r="F683" s="186"/>
      <c r="G683" s="186"/>
      <c r="H683" s="67"/>
      <c r="I683" s="186"/>
      <c r="J683" s="186"/>
      <c r="K683" s="186"/>
      <c r="L683" s="186"/>
      <c r="M683" s="186"/>
    </row>
    <row r="684">
      <c r="A684" s="185"/>
      <c r="B684" s="67"/>
      <c r="C684" s="67"/>
      <c r="D684" s="67"/>
      <c r="E684" s="186"/>
      <c r="F684" s="186"/>
      <c r="G684" s="186"/>
      <c r="H684" s="67"/>
      <c r="I684" s="186"/>
      <c r="J684" s="186"/>
      <c r="K684" s="186"/>
      <c r="L684" s="186"/>
      <c r="M684" s="186"/>
    </row>
    <row r="685">
      <c r="A685" s="185"/>
      <c r="B685" s="67"/>
      <c r="C685" s="67"/>
      <c r="D685" s="67"/>
      <c r="E685" s="186"/>
      <c r="F685" s="186"/>
      <c r="G685" s="186"/>
      <c r="H685" s="67"/>
      <c r="I685" s="186"/>
      <c r="J685" s="186"/>
      <c r="K685" s="186"/>
      <c r="L685" s="186"/>
      <c r="M685" s="186"/>
    </row>
    <row r="686">
      <c r="A686" s="185"/>
      <c r="B686" s="67"/>
      <c r="C686" s="67"/>
      <c r="D686" s="67"/>
      <c r="E686" s="186"/>
      <c r="F686" s="186"/>
      <c r="G686" s="186"/>
      <c r="H686" s="67"/>
      <c r="I686" s="186"/>
      <c r="J686" s="186"/>
      <c r="K686" s="186"/>
      <c r="L686" s="186"/>
      <c r="M686" s="186"/>
    </row>
    <row r="687">
      <c r="A687" s="185"/>
      <c r="B687" s="67"/>
      <c r="C687" s="67"/>
      <c r="D687" s="67"/>
      <c r="E687" s="186"/>
      <c r="F687" s="186"/>
      <c r="G687" s="186"/>
      <c r="H687" s="67"/>
      <c r="I687" s="186"/>
      <c r="J687" s="186"/>
      <c r="K687" s="186"/>
      <c r="L687" s="186"/>
      <c r="M687" s="186"/>
    </row>
    <row r="688">
      <c r="A688" s="185"/>
      <c r="B688" s="67"/>
      <c r="C688" s="67"/>
      <c r="D688" s="67"/>
      <c r="E688" s="186"/>
      <c r="F688" s="186"/>
      <c r="G688" s="186"/>
      <c r="H688" s="67"/>
      <c r="I688" s="186"/>
      <c r="J688" s="186"/>
      <c r="K688" s="186"/>
      <c r="L688" s="186"/>
      <c r="M688" s="186"/>
    </row>
    <row r="689">
      <c r="A689" s="185"/>
      <c r="B689" s="67"/>
      <c r="C689" s="67"/>
      <c r="D689" s="67"/>
      <c r="E689" s="186"/>
      <c r="F689" s="186"/>
      <c r="G689" s="186"/>
      <c r="H689" s="67"/>
      <c r="I689" s="186"/>
      <c r="J689" s="186"/>
      <c r="K689" s="186"/>
      <c r="L689" s="186"/>
      <c r="M689" s="186"/>
    </row>
    <row r="690">
      <c r="A690" s="185"/>
      <c r="B690" s="67"/>
      <c r="C690" s="67"/>
      <c r="D690" s="67"/>
      <c r="E690" s="186"/>
      <c r="F690" s="186"/>
      <c r="G690" s="186"/>
      <c r="H690" s="67"/>
      <c r="I690" s="186"/>
      <c r="J690" s="186"/>
      <c r="K690" s="186"/>
      <c r="L690" s="186"/>
      <c r="M690" s="186"/>
    </row>
    <row r="691">
      <c r="A691" s="185"/>
      <c r="B691" s="67"/>
      <c r="C691" s="67"/>
      <c r="D691" s="67"/>
      <c r="E691" s="186"/>
      <c r="F691" s="186"/>
      <c r="G691" s="186"/>
      <c r="H691" s="67"/>
      <c r="I691" s="186"/>
      <c r="J691" s="186"/>
      <c r="K691" s="186"/>
      <c r="L691" s="186"/>
      <c r="M691" s="186"/>
    </row>
    <row r="692">
      <c r="A692" s="185"/>
      <c r="B692" s="67"/>
      <c r="C692" s="67"/>
      <c r="D692" s="67"/>
      <c r="E692" s="186"/>
      <c r="F692" s="186"/>
      <c r="G692" s="186"/>
      <c r="H692" s="67"/>
      <c r="I692" s="186"/>
      <c r="J692" s="186"/>
      <c r="K692" s="186"/>
      <c r="L692" s="186"/>
      <c r="M692" s="186"/>
    </row>
    <row r="693">
      <c r="A693" s="185"/>
      <c r="B693" s="67"/>
      <c r="C693" s="67"/>
      <c r="D693" s="67"/>
      <c r="E693" s="186"/>
      <c r="F693" s="186"/>
      <c r="G693" s="186"/>
      <c r="H693" s="67"/>
      <c r="I693" s="186"/>
      <c r="J693" s="186"/>
      <c r="K693" s="186"/>
      <c r="L693" s="186"/>
      <c r="M693" s="186"/>
    </row>
    <row r="694">
      <c r="A694" s="185"/>
      <c r="B694" s="67"/>
      <c r="C694" s="67"/>
      <c r="D694" s="67"/>
      <c r="E694" s="186"/>
      <c r="F694" s="186"/>
      <c r="G694" s="186"/>
      <c r="H694" s="67"/>
      <c r="I694" s="186"/>
      <c r="J694" s="186"/>
      <c r="K694" s="186"/>
      <c r="L694" s="186"/>
      <c r="M694" s="186"/>
    </row>
    <row r="695">
      <c r="A695" s="185"/>
      <c r="B695" s="67"/>
      <c r="C695" s="67"/>
      <c r="D695" s="67"/>
      <c r="E695" s="186"/>
      <c r="F695" s="186"/>
      <c r="G695" s="186"/>
      <c r="H695" s="67"/>
      <c r="I695" s="186"/>
      <c r="J695" s="186"/>
      <c r="K695" s="186"/>
      <c r="L695" s="186"/>
      <c r="M695" s="186"/>
    </row>
    <row r="696">
      <c r="A696" s="185"/>
      <c r="B696" s="67"/>
      <c r="C696" s="67"/>
      <c r="D696" s="67"/>
      <c r="E696" s="186"/>
      <c r="F696" s="186"/>
      <c r="G696" s="186"/>
      <c r="H696" s="67"/>
      <c r="I696" s="186"/>
      <c r="J696" s="186"/>
      <c r="K696" s="186"/>
      <c r="L696" s="186"/>
      <c r="M696" s="186"/>
    </row>
    <row r="697">
      <c r="A697" s="185"/>
      <c r="B697" s="67"/>
      <c r="C697" s="67"/>
      <c r="D697" s="67"/>
      <c r="E697" s="186"/>
      <c r="F697" s="186"/>
      <c r="G697" s="186"/>
      <c r="H697" s="67"/>
      <c r="I697" s="186"/>
      <c r="J697" s="186"/>
      <c r="K697" s="186"/>
      <c r="L697" s="186"/>
      <c r="M697" s="186"/>
    </row>
    <row r="698">
      <c r="A698" s="185"/>
      <c r="B698" s="67"/>
      <c r="C698" s="67"/>
      <c r="D698" s="67"/>
      <c r="E698" s="186"/>
      <c r="F698" s="186"/>
      <c r="G698" s="186"/>
      <c r="H698" s="67"/>
      <c r="I698" s="186"/>
      <c r="J698" s="186"/>
      <c r="K698" s="186"/>
      <c r="L698" s="186"/>
      <c r="M698" s="186"/>
    </row>
    <row r="699">
      <c r="A699" s="185"/>
      <c r="B699" s="67"/>
      <c r="C699" s="67"/>
      <c r="D699" s="67"/>
      <c r="E699" s="186"/>
      <c r="F699" s="186"/>
      <c r="G699" s="186"/>
      <c r="H699" s="67"/>
      <c r="I699" s="186"/>
      <c r="J699" s="186"/>
      <c r="K699" s="186"/>
      <c r="L699" s="186"/>
      <c r="M699" s="186"/>
    </row>
    <row r="700">
      <c r="A700" s="185"/>
      <c r="B700" s="67"/>
      <c r="C700" s="67"/>
      <c r="D700" s="67"/>
      <c r="E700" s="186"/>
      <c r="F700" s="186"/>
      <c r="G700" s="186"/>
      <c r="H700" s="67"/>
      <c r="I700" s="186"/>
      <c r="J700" s="186"/>
      <c r="K700" s="186"/>
      <c r="L700" s="186"/>
      <c r="M700" s="186"/>
    </row>
    <row r="701">
      <c r="A701" s="185"/>
      <c r="B701" s="67"/>
      <c r="C701" s="67"/>
      <c r="D701" s="67"/>
      <c r="E701" s="186"/>
      <c r="F701" s="186"/>
      <c r="G701" s="186"/>
      <c r="H701" s="67"/>
      <c r="I701" s="186"/>
      <c r="J701" s="186"/>
      <c r="K701" s="186"/>
      <c r="L701" s="186"/>
      <c r="M701" s="186"/>
    </row>
    <row r="702">
      <c r="A702" s="185"/>
      <c r="B702" s="67"/>
      <c r="C702" s="67"/>
      <c r="D702" s="67"/>
      <c r="E702" s="186"/>
      <c r="F702" s="186"/>
      <c r="G702" s="186"/>
      <c r="H702" s="67"/>
      <c r="I702" s="186"/>
      <c r="J702" s="186"/>
      <c r="K702" s="186"/>
      <c r="L702" s="186"/>
      <c r="M702" s="186"/>
    </row>
    <row r="703">
      <c r="A703" s="185"/>
      <c r="B703" s="67"/>
      <c r="C703" s="67"/>
      <c r="D703" s="67"/>
      <c r="E703" s="186"/>
      <c r="F703" s="186"/>
      <c r="G703" s="186"/>
      <c r="H703" s="67"/>
      <c r="I703" s="186"/>
      <c r="J703" s="186"/>
      <c r="K703" s="186"/>
      <c r="L703" s="186"/>
      <c r="M703" s="186"/>
    </row>
    <row r="704">
      <c r="A704" s="185"/>
      <c r="B704" s="67"/>
      <c r="C704" s="67"/>
      <c r="D704" s="67"/>
      <c r="E704" s="186"/>
      <c r="F704" s="186"/>
      <c r="G704" s="186"/>
      <c r="H704" s="67"/>
      <c r="I704" s="186"/>
      <c r="J704" s="186"/>
      <c r="K704" s="186"/>
      <c r="L704" s="186"/>
      <c r="M704" s="186"/>
    </row>
    <row r="705">
      <c r="A705" s="185"/>
      <c r="B705" s="67"/>
      <c r="C705" s="67"/>
      <c r="D705" s="67"/>
      <c r="E705" s="186"/>
      <c r="F705" s="186"/>
      <c r="G705" s="186"/>
      <c r="H705" s="67"/>
      <c r="I705" s="186"/>
      <c r="J705" s="186"/>
      <c r="K705" s="186"/>
      <c r="L705" s="186"/>
      <c r="M705" s="186"/>
    </row>
    <row r="706">
      <c r="A706" s="185"/>
      <c r="B706" s="67"/>
      <c r="C706" s="67"/>
      <c r="D706" s="67"/>
      <c r="E706" s="186"/>
      <c r="F706" s="186"/>
      <c r="G706" s="186"/>
      <c r="H706" s="67"/>
      <c r="I706" s="186"/>
      <c r="J706" s="186"/>
      <c r="K706" s="186"/>
      <c r="L706" s="186"/>
      <c r="M706" s="186"/>
    </row>
    <row r="707">
      <c r="A707" s="185"/>
      <c r="B707" s="67"/>
      <c r="C707" s="67"/>
      <c r="D707" s="67"/>
      <c r="E707" s="186"/>
      <c r="F707" s="186"/>
      <c r="G707" s="186"/>
      <c r="H707" s="67"/>
      <c r="I707" s="186"/>
      <c r="J707" s="186"/>
      <c r="K707" s="186"/>
      <c r="L707" s="186"/>
      <c r="M707" s="186"/>
    </row>
    <row r="708">
      <c r="A708" s="185"/>
      <c r="B708" s="67"/>
      <c r="C708" s="67"/>
      <c r="D708" s="67"/>
      <c r="E708" s="186"/>
      <c r="F708" s="186"/>
      <c r="G708" s="186"/>
      <c r="H708" s="67"/>
      <c r="I708" s="186"/>
      <c r="J708" s="186"/>
      <c r="K708" s="186"/>
      <c r="L708" s="186"/>
      <c r="M708" s="186"/>
    </row>
    <row r="709">
      <c r="A709" s="185"/>
      <c r="B709" s="67"/>
      <c r="C709" s="67"/>
      <c r="D709" s="67"/>
      <c r="E709" s="186"/>
      <c r="F709" s="186"/>
      <c r="G709" s="186"/>
      <c r="H709" s="67"/>
      <c r="I709" s="186"/>
      <c r="J709" s="186"/>
      <c r="K709" s="186"/>
      <c r="L709" s="186"/>
      <c r="M709" s="186"/>
    </row>
    <row r="710">
      <c r="A710" s="185"/>
      <c r="B710" s="67"/>
      <c r="C710" s="67"/>
      <c r="D710" s="67"/>
      <c r="E710" s="186"/>
      <c r="F710" s="186"/>
      <c r="G710" s="186"/>
      <c r="H710" s="67"/>
      <c r="I710" s="186"/>
      <c r="J710" s="186"/>
      <c r="K710" s="186"/>
      <c r="L710" s="186"/>
      <c r="M710" s="186"/>
    </row>
    <row r="711">
      <c r="A711" s="185"/>
      <c r="B711" s="67"/>
      <c r="C711" s="67"/>
      <c r="D711" s="67"/>
      <c r="E711" s="186"/>
      <c r="F711" s="186"/>
      <c r="G711" s="186"/>
      <c r="H711" s="67"/>
      <c r="I711" s="186"/>
      <c r="J711" s="186"/>
      <c r="K711" s="186"/>
      <c r="L711" s="186"/>
      <c r="M711" s="186"/>
    </row>
    <row r="712">
      <c r="A712" s="185"/>
      <c r="B712" s="67"/>
      <c r="C712" s="67"/>
      <c r="D712" s="67"/>
      <c r="E712" s="186"/>
      <c r="F712" s="186"/>
      <c r="G712" s="186"/>
      <c r="H712" s="67"/>
      <c r="I712" s="186"/>
      <c r="J712" s="186"/>
      <c r="K712" s="186"/>
      <c r="L712" s="186"/>
      <c r="M712" s="186"/>
    </row>
    <row r="713">
      <c r="A713" s="185"/>
      <c r="B713" s="67"/>
      <c r="C713" s="67"/>
      <c r="D713" s="67"/>
      <c r="E713" s="186"/>
      <c r="F713" s="186"/>
      <c r="G713" s="186"/>
      <c r="H713" s="67"/>
      <c r="I713" s="186"/>
      <c r="J713" s="186"/>
      <c r="K713" s="186"/>
      <c r="L713" s="186"/>
      <c r="M713" s="186"/>
    </row>
    <row r="714">
      <c r="A714" s="185"/>
      <c r="B714" s="67"/>
      <c r="C714" s="67"/>
      <c r="D714" s="67"/>
      <c r="E714" s="186"/>
      <c r="F714" s="186"/>
      <c r="G714" s="186"/>
      <c r="H714" s="67"/>
      <c r="I714" s="186"/>
      <c r="J714" s="186"/>
      <c r="K714" s="186"/>
      <c r="L714" s="186"/>
      <c r="M714" s="186"/>
    </row>
    <row r="715">
      <c r="A715" s="185"/>
      <c r="B715" s="67"/>
      <c r="C715" s="67"/>
      <c r="D715" s="67"/>
      <c r="E715" s="186"/>
      <c r="F715" s="186"/>
      <c r="G715" s="186"/>
      <c r="H715" s="67"/>
      <c r="I715" s="186"/>
      <c r="J715" s="186"/>
      <c r="K715" s="186"/>
      <c r="L715" s="186"/>
      <c r="M715" s="186"/>
    </row>
    <row r="716">
      <c r="A716" s="185"/>
      <c r="B716" s="67"/>
      <c r="C716" s="67"/>
      <c r="D716" s="67"/>
      <c r="E716" s="186"/>
      <c r="F716" s="186"/>
      <c r="G716" s="186"/>
      <c r="H716" s="67"/>
      <c r="I716" s="186"/>
      <c r="J716" s="186"/>
      <c r="K716" s="186"/>
      <c r="L716" s="186"/>
      <c r="M716" s="186"/>
    </row>
    <row r="717">
      <c r="A717" s="185"/>
      <c r="B717" s="67"/>
      <c r="C717" s="67"/>
      <c r="D717" s="67"/>
      <c r="E717" s="186"/>
      <c r="F717" s="186"/>
      <c r="G717" s="186"/>
      <c r="H717" s="67"/>
      <c r="I717" s="186"/>
      <c r="J717" s="186"/>
      <c r="K717" s="186"/>
      <c r="L717" s="186"/>
      <c r="M717" s="186"/>
    </row>
    <row r="718">
      <c r="A718" s="185"/>
      <c r="B718" s="67"/>
      <c r="C718" s="67"/>
      <c r="D718" s="67"/>
      <c r="E718" s="186"/>
      <c r="F718" s="186"/>
      <c r="G718" s="186"/>
      <c r="H718" s="67"/>
      <c r="I718" s="186"/>
      <c r="J718" s="186"/>
      <c r="K718" s="186"/>
      <c r="L718" s="186"/>
      <c r="M718" s="186"/>
    </row>
    <row r="719">
      <c r="A719" s="185"/>
      <c r="B719" s="67"/>
      <c r="C719" s="67"/>
      <c r="D719" s="67"/>
      <c r="E719" s="186"/>
      <c r="F719" s="186"/>
      <c r="G719" s="186"/>
      <c r="H719" s="67"/>
      <c r="I719" s="186"/>
      <c r="J719" s="186"/>
      <c r="K719" s="186"/>
      <c r="L719" s="186"/>
      <c r="M719" s="186"/>
    </row>
    <row r="720">
      <c r="A720" s="185"/>
      <c r="B720" s="67"/>
      <c r="C720" s="67"/>
      <c r="D720" s="67"/>
      <c r="E720" s="186"/>
      <c r="F720" s="186"/>
      <c r="G720" s="186"/>
      <c r="H720" s="67"/>
      <c r="I720" s="186"/>
      <c r="J720" s="186"/>
      <c r="K720" s="186"/>
      <c r="L720" s="186"/>
      <c r="M720" s="186"/>
    </row>
    <row r="721">
      <c r="A721" s="185"/>
      <c r="B721" s="67"/>
      <c r="C721" s="67"/>
      <c r="D721" s="67"/>
      <c r="E721" s="186"/>
      <c r="F721" s="186"/>
      <c r="G721" s="186"/>
      <c r="H721" s="67"/>
      <c r="I721" s="186"/>
      <c r="J721" s="186"/>
      <c r="K721" s="186"/>
      <c r="L721" s="186"/>
      <c r="M721" s="186"/>
    </row>
    <row r="722">
      <c r="A722" s="185"/>
      <c r="B722" s="67"/>
      <c r="C722" s="67"/>
      <c r="D722" s="67"/>
      <c r="E722" s="186"/>
      <c r="F722" s="186"/>
      <c r="G722" s="186"/>
      <c r="H722" s="67"/>
      <c r="I722" s="186"/>
      <c r="J722" s="186"/>
      <c r="K722" s="186"/>
      <c r="L722" s="186"/>
      <c r="M722" s="186"/>
    </row>
    <row r="723">
      <c r="A723" s="185"/>
      <c r="B723" s="67"/>
      <c r="C723" s="67"/>
      <c r="D723" s="67"/>
      <c r="E723" s="186"/>
      <c r="F723" s="186"/>
      <c r="G723" s="186"/>
      <c r="H723" s="67"/>
      <c r="I723" s="186"/>
      <c r="J723" s="186"/>
      <c r="K723" s="186"/>
      <c r="L723" s="186"/>
      <c r="M723" s="186"/>
    </row>
    <row r="724">
      <c r="A724" s="185"/>
      <c r="B724" s="67"/>
      <c r="C724" s="67"/>
      <c r="D724" s="67"/>
      <c r="E724" s="186"/>
      <c r="F724" s="186"/>
      <c r="G724" s="186"/>
      <c r="H724" s="67"/>
      <c r="I724" s="186"/>
      <c r="J724" s="186"/>
      <c r="K724" s="186"/>
      <c r="L724" s="186"/>
      <c r="M724" s="186"/>
    </row>
    <row r="725">
      <c r="A725" s="185"/>
      <c r="B725" s="67"/>
      <c r="C725" s="67"/>
      <c r="D725" s="67"/>
      <c r="E725" s="186"/>
      <c r="F725" s="186"/>
      <c r="G725" s="186"/>
      <c r="H725" s="67"/>
      <c r="I725" s="186"/>
      <c r="J725" s="186"/>
      <c r="K725" s="186"/>
      <c r="L725" s="186"/>
      <c r="M725" s="186"/>
    </row>
    <row r="726">
      <c r="A726" s="185"/>
      <c r="B726" s="67"/>
      <c r="C726" s="67"/>
      <c r="D726" s="67"/>
      <c r="E726" s="186"/>
      <c r="F726" s="186"/>
      <c r="G726" s="186"/>
      <c r="H726" s="67"/>
      <c r="I726" s="186"/>
      <c r="J726" s="186"/>
      <c r="K726" s="186"/>
      <c r="L726" s="186"/>
      <c r="M726" s="186"/>
    </row>
    <row r="727">
      <c r="A727" s="185"/>
      <c r="B727" s="67"/>
      <c r="C727" s="67"/>
      <c r="D727" s="67"/>
      <c r="E727" s="186"/>
      <c r="F727" s="186"/>
      <c r="G727" s="186"/>
      <c r="H727" s="67"/>
      <c r="I727" s="186"/>
      <c r="J727" s="186"/>
      <c r="K727" s="186"/>
      <c r="L727" s="186"/>
      <c r="M727" s="186"/>
    </row>
    <row r="728">
      <c r="A728" s="185"/>
      <c r="B728" s="67"/>
      <c r="C728" s="67"/>
      <c r="D728" s="67"/>
      <c r="E728" s="186"/>
      <c r="F728" s="186"/>
      <c r="G728" s="186"/>
      <c r="H728" s="67"/>
      <c r="I728" s="186"/>
      <c r="J728" s="186"/>
      <c r="K728" s="186"/>
      <c r="L728" s="186"/>
      <c r="M728" s="186"/>
    </row>
    <row r="729">
      <c r="A729" s="185"/>
      <c r="B729" s="67"/>
      <c r="C729" s="67"/>
      <c r="D729" s="67"/>
      <c r="E729" s="186"/>
      <c r="F729" s="186"/>
      <c r="G729" s="186"/>
      <c r="H729" s="67"/>
      <c r="I729" s="186"/>
      <c r="J729" s="186"/>
      <c r="K729" s="186"/>
      <c r="L729" s="186"/>
      <c r="M729" s="186"/>
    </row>
    <row r="730">
      <c r="A730" s="185"/>
      <c r="B730" s="67"/>
      <c r="C730" s="67"/>
      <c r="D730" s="67"/>
      <c r="E730" s="186"/>
      <c r="F730" s="186"/>
      <c r="G730" s="186"/>
      <c r="H730" s="67"/>
      <c r="I730" s="186"/>
      <c r="J730" s="186"/>
      <c r="K730" s="186"/>
      <c r="L730" s="186"/>
      <c r="M730" s="186"/>
    </row>
    <row r="731">
      <c r="A731" s="185"/>
      <c r="B731" s="67"/>
      <c r="C731" s="67"/>
      <c r="D731" s="67"/>
      <c r="E731" s="186"/>
      <c r="F731" s="186"/>
      <c r="G731" s="186"/>
      <c r="H731" s="67"/>
      <c r="I731" s="186"/>
      <c r="J731" s="186"/>
      <c r="K731" s="186"/>
      <c r="L731" s="186"/>
      <c r="M731" s="186"/>
    </row>
    <row r="732">
      <c r="A732" s="185"/>
      <c r="B732" s="67"/>
      <c r="C732" s="67"/>
      <c r="D732" s="67"/>
      <c r="E732" s="186"/>
      <c r="F732" s="186"/>
      <c r="G732" s="186"/>
      <c r="H732" s="67"/>
      <c r="I732" s="186"/>
      <c r="J732" s="186"/>
      <c r="K732" s="186"/>
      <c r="L732" s="186"/>
      <c r="M732" s="186"/>
    </row>
    <row r="733">
      <c r="A733" s="185"/>
      <c r="B733" s="67"/>
      <c r="C733" s="67"/>
      <c r="D733" s="67"/>
      <c r="E733" s="186"/>
      <c r="F733" s="186"/>
      <c r="G733" s="186"/>
      <c r="H733" s="67"/>
      <c r="I733" s="186"/>
      <c r="J733" s="186"/>
      <c r="K733" s="186"/>
      <c r="L733" s="186"/>
      <c r="M733" s="186"/>
    </row>
    <row r="734">
      <c r="A734" s="185"/>
      <c r="B734" s="67"/>
      <c r="C734" s="67"/>
      <c r="D734" s="67"/>
      <c r="E734" s="186"/>
      <c r="F734" s="186"/>
      <c r="G734" s="186"/>
      <c r="H734" s="67"/>
      <c r="I734" s="186"/>
      <c r="J734" s="186"/>
      <c r="K734" s="186"/>
      <c r="L734" s="186"/>
      <c r="M734" s="186"/>
    </row>
    <row r="735">
      <c r="A735" s="185"/>
      <c r="B735" s="67"/>
      <c r="C735" s="67"/>
      <c r="D735" s="67"/>
      <c r="E735" s="186"/>
      <c r="F735" s="186"/>
      <c r="G735" s="186"/>
      <c r="H735" s="67"/>
      <c r="I735" s="186"/>
      <c r="J735" s="186"/>
      <c r="K735" s="186"/>
      <c r="L735" s="186"/>
      <c r="M735" s="186"/>
    </row>
    <row r="736">
      <c r="A736" s="185"/>
      <c r="B736" s="67"/>
      <c r="C736" s="67"/>
      <c r="D736" s="67"/>
      <c r="E736" s="186"/>
      <c r="F736" s="186"/>
      <c r="G736" s="186"/>
      <c r="H736" s="67"/>
      <c r="I736" s="186"/>
      <c r="J736" s="186"/>
      <c r="K736" s="186"/>
      <c r="L736" s="186"/>
      <c r="M736" s="186"/>
    </row>
    <row r="737">
      <c r="A737" s="185"/>
      <c r="B737" s="67"/>
      <c r="C737" s="67"/>
      <c r="D737" s="67"/>
      <c r="E737" s="186"/>
      <c r="F737" s="186"/>
      <c r="G737" s="186"/>
      <c r="H737" s="67"/>
      <c r="I737" s="186"/>
      <c r="J737" s="186"/>
      <c r="K737" s="186"/>
      <c r="L737" s="186"/>
      <c r="M737" s="186"/>
    </row>
    <row r="738">
      <c r="A738" s="185"/>
      <c r="B738" s="67"/>
      <c r="C738" s="67"/>
      <c r="D738" s="67"/>
      <c r="E738" s="186"/>
      <c r="F738" s="186"/>
      <c r="G738" s="186"/>
      <c r="H738" s="67"/>
      <c r="I738" s="186"/>
      <c r="J738" s="186"/>
      <c r="K738" s="186"/>
      <c r="L738" s="186"/>
      <c r="M738" s="186"/>
    </row>
    <row r="739">
      <c r="A739" s="185"/>
      <c r="B739" s="67"/>
      <c r="C739" s="67"/>
      <c r="D739" s="67"/>
      <c r="E739" s="186"/>
      <c r="F739" s="186"/>
      <c r="G739" s="186"/>
      <c r="H739" s="67"/>
      <c r="I739" s="186"/>
      <c r="J739" s="186"/>
      <c r="K739" s="186"/>
      <c r="L739" s="186"/>
      <c r="M739" s="186"/>
    </row>
    <row r="740">
      <c r="A740" s="185"/>
      <c r="B740" s="67"/>
      <c r="C740" s="67"/>
      <c r="D740" s="67"/>
      <c r="E740" s="186"/>
      <c r="F740" s="186"/>
      <c r="G740" s="186"/>
      <c r="H740" s="67"/>
      <c r="I740" s="186"/>
      <c r="J740" s="186"/>
      <c r="K740" s="186"/>
      <c r="L740" s="186"/>
      <c r="M740" s="186"/>
    </row>
    <row r="741">
      <c r="A741" s="185"/>
      <c r="B741" s="67"/>
      <c r="C741" s="67"/>
      <c r="D741" s="67"/>
      <c r="E741" s="186"/>
      <c r="F741" s="186"/>
      <c r="G741" s="186"/>
      <c r="H741" s="67"/>
      <c r="I741" s="186"/>
      <c r="J741" s="186"/>
      <c r="K741" s="186"/>
      <c r="L741" s="186"/>
      <c r="M741" s="186"/>
    </row>
    <row r="742">
      <c r="A742" s="185"/>
      <c r="B742" s="67"/>
      <c r="C742" s="67"/>
      <c r="D742" s="67"/>
      <c r="E742" s="186"/>
      <c r="F742" s="186"/>
      <c r="G742" s="186"/>
      <c r="H742" s="67"/>
      <c r="I742" s="186"/>
      <c r="J742" s="186"/>
      <c r="K742" s="186"/>
      <c r="L742" s="186"/>
      <c r="M742" s="186"/>
    </row>
    <row r="743">
      <c r="A743" s="185"/>
      <c r="B743" s="67"/>
      <c r="C743" s="67"/>
      <c r="D743" s="67"/>
      <c r="E743" s="186"/>
      <c r="F743" s="186"/>
      <c r="G743" s="186"/>
      <c r="H743" s="67"/>
      <c r="I743" s="186"/>
      <c r="J743" s="186"/>
      <c r="K743" s="186"/>
      <c r="L743" s="186"/>
      <c r="M743" s="186"/>
    </row>
    <row r="744">
      <c r="A744" s="185"/>
      <c r="B744" s="67"/>
      <c r="C744" s="67"/>
      <c r="D744" s="67"/>
      <c r="E744" s="186"/>
      <c r="F744" s="186"/>
      <c r="G744" s="186"/>
      <c r="H744" s="67"/>
      <c r="I744" s="186"/>
      <c r="J744" s="186"/>
      <c r="K744" s="186"/>
      <c r="L744" s="186"/>
      <c r="M744" s="186"/>
    </row>
    <row r="745">
      <c r="A745" s="185"/>
      <c r="B745" s="67"/>
      <c r="C745" s="67"/>
      <c r="D745" s="67"/>
      <c r="E745" s="186"/>
      <c r="F745" s="186"/>
      <c r="G745" s="186"/>
      <c r="H745" s="67"/>
      <c r="I745" s="186"/>
      <c r="J745" s="186"/>
      <c r="K745" s="186"/>
      <c r="L745" s="186"/>
      <c r="M745" s="186"/>
    </row>
    <row r="746">
      <c r="A746" s="185"/>
      <c r="B746" s="67"/>
      <c r="C746" s="67"/>
      <c r="D746" s="67"/>
      <c r="E746" s="186"/>
      <c r="F746" s="186"/>
      <c r="G746" s="186"/>
      <c r="H746" s="67"/>
      <c r="I746" s="186"/>
      <c r="J746" s="186"/>
      <c r="K746" s="186"/>
      <c r="L746" s="186"/>
      <c r="M746" s="186"/>
    </row>
    <row r="747">
      <c r="A747" s="185"/>
      <c r="B747" s="67"/>
      <c r="C747" s="67"/>
      <c r="D747" s="67"/>
      <c r="E747" s="186"/>
      <c r="F747" s="186"/>
      <c r="G747" s="186"/>
      <c r="H747" s="67"/>
      <c r="I747" s="186"/>
      <c r="J747" s="186"/>
      <c r="K747" s="186"/>
      <c r="L747" s="186"/>
      <c r="M747" s="186"/>
    </row>
    <row r="748">
      <c r="A748" s="185"/>
      <c r="B748" s="67"/>
      <c r="C748" s="67"/>
      <c r="D748" s="67"/>
      <c r="E748" s="186"/>
      <c r="F748" s="186"/>
      <c r="G748" s="186"/>
      <c r="H748" s="67"/>
      <c r="I748" s="186"/>
      <c r="J748" s="186"/>
      <c r="K748" s="186"/>
      <c r="L748" s="186"/>
      <c r="M748" s="186"/>
    </row>
    <row r="749">
      <c r="A749" s="185"/>
      <c r="B749" s="67"/>
      <c r="C749" s="67"/>
      <c r="D749" s="67"/>
      <c r="E749" s="186"/>
      <c r="F749" s="186"/>
      <c r="G749" s="186"/>
      <c r="H749" s="67"/>
      <c r="I749" s="186"/>
      <c r="J749" s="186"/>
      <c r="K749" s="186"/>
      <c r="L749" s="186"/>
      <c r="M749" s="186"/>
    </row>
    <row r="750">
      <c r="A750" s="185"/>
      <c r="B750" s="67"/>
      <c r="C750" s="67"/>
      <c r="D750" s="67"/>
      <c r="E750" s="186"/>
      <c r="F750" s="186"/>
      <c r="G750" s="186"/>
      <c r="H750" s="67"/>
      <c r="I750" s="186"/>
      <c r="J750" s="186"/>
      <c r="K750" s="186"/>
      <c r="L750" s="186"/>
      <c r="M750" s="186"/>
    </row>
    <row r="751">
      <c r="A751" s="185"/>
      <c r="B751" s="67"/>
      <c r="C751" s="67"/>
      <c r="D751" s="67"/>
      <c r="E751" s="186"/>
      <c r="F751" s="186"/>
      <c r="G751" s="186"/>
      <c r="H751" s="67"/>
      <c r="I751" s="186"/>
      <c r="J751" s="186"/>
      <c r="K751" s="186"/>
      <c r="L751" s="186"/>
      <c r="M751" s="186"/>
    </row>
    <row r="752">
      <c r="A752" s="185"/>
      <c r="B752" s="67"/>
      <c r="C752" s="67"/>
      <c r="D752" s="67"/>
      <c r="E752" s="186"/>
      <c r="F752" s="186"/>
      <c r="G752" s="186"/>
      <c r="H752" s="67"/>
      <c r="I752" s="186"/>
      <c r="J752" s="186"/>
      <c r="K752" s="186"/>
      <c r="L752" s="186"/>
      <c r="M752" s="186"/>
    </row>
    <row r="753">
      <c r="A753" s="185"/>
      <c r="B753" s="67"/>
      <c r="C753" s="67"/>
      <c r="D753" s="67"/>
      <c r="E753" s="186"/>
      <c r="F753" s="186"/>
      <c r="G753" s="186"/>
      <c r="H753" s="67"/>
      <c r="I753" s="186"/>
      <c r="J753" s="186"/>
      <c r="K753" s="186"/>
      <c r="L753" s="186"/>
      <c r="M753" s="186"/>
    </row>
    <row r="754">
      <c r="A754" s="185"/>
      <c r="B754" s="67"/>
      <c r="C754" s="67"/>
      <c r="D754" s="67"/>
      <c r="E754" s="186"/>
      <c r="F754" s="186"/>
      <c r="G754" s="186"/>
      <c r="H754" s="67"/>
      <c r="I754" s="186"/>
      <c r="J754" s="186"/>
      <c r="K754" s="186"/>
      <c r="L754" s="186"/>
      <c r="M754" s="186"/>
    </row>
    <row r="755">
      <c r="A755" s="185"/>
      <c r="B755" s="67"/>
      <c r="C755" s="67"/>
      <c r="D755" s="67"/>
      <c r="E755" s="186"/>
      <c r="F755" s="186"/>
      <c r="G755" s="186"/>
      <c r="H755" s="67"/>
      <c r="I755" s="186"/>
      <c r="J755" s="186"/>
      <c r="K755" s="186"/>
      <c r="L755" s="186"/>
      <c r="M755" s="186"/>
    </row>
    <row r="756">
      <c r="A756" s="185"/>
      <c r="B756" s="67"/>
      <c r="C756" s="67"/>
      <c r="D756" s="67"/>
      <c r="E756" s="186"/>
      <c r="F756" s="186"/>
      <c r="G756" s="186"/>
      <c r="H756" s="67"/>
      <c r="I756" s="186"/>
      <c r="J756" s="186"/>
      <c r="K756" s="186"/>
      <c r="L756" s="186"/>
      <c r="M756" s="186"/>
    </row>
    <row r="757">
      <c r="A757" s="185"/>
      <c r="B757" s="67"/>
      <c r="C757" s="67"/>
      <c r="D757" s="67"/>
      <c r="E757" s="186"/>
      <c r="F757" s="186"/>
      <c r="G757" s="186"/>
      <c r="H757" s="67"/>
      <c r="I757" s="186"/>
      <c r="J757" s="186"/>
      <c r="K757" s="186"/>
      <c r="L757" s="186"/>
      <c r="M757" s="186"/>
    </row>
    <row r="758">
      <c r="A758" s="185"/>
      <c r="B758" s="67"/>
      <c r="C758" s="67"/>
      <c r="D758" s="67"/>
      <c r="E758" s="186"/>
      <c r="F758" s="186"/>
      <c r="G758" s="186"/>
      <c r="H758" s="67"/>
      <c r="I758" s="186"/>
      <c r="J758" s="186"/>
      <c r="K758" s="186"/>
      <c r="L758" s="186"/>
      <c r="M758" s="186"/>
    </row>
    <row r="759">
      <c r="A759" s="185"/>
      <c r="B759" s="67"/>
      <c r="C759" s="67"/>
      <c r="D759" s="67"/>
      <c r="E759" s="186"/>
      <c r="F759" s="186"/>
      <c r="G759" s="186"/>
      <c r="H759" s="67"/>
      <c r="I759" s="186"/>
      <c r="J759" s="186"/>
      <c r="K759" s="186"/>
      <c r="L759" s="186"/>
      <c r="M759" s="186"/>
    </row>
    <row r="760">
      <c r="A760" s="185"/>
      <c r="B760" s="67"/>
      <c r="C760" s="67"/>
      <c r="D760" s="67"/>
      <c r="E760" s="186"/>
      <c r="F760" s="186"/>
      <c r="G760" s="186"/>
      <c r="H760" s="67"/>
      <c r="I760" s="186"/>
      <c r="J760" s="186"/>
      <c r="K760" s="186"/>
      <c r="L760" s="186"/>
      <c r="M760" s="186"/>
    </row>
    <row r="761">
      <c r="A761" s="185"/>
      <c r="B761" s="67"/>
      <c r="C761" s="67"/>
      <c r="D761" s="67"/>
      <c r="E761" s="186"/>
      <c r="F761" s="186"/>
      <c r="G761" s="186"/>
      <c r="H761" s="67"/>
      <c r="I761" s="186"/>
      <c r="J761" s="186"/>
      <c r="K761" s="186"/>
      <c r="L761" s="186"/>
      <c r="M761" s="186"/>
    </row>
    <row r="762">
      <c r="A762" s="185"/>
      <c r="B762" s="67"/>
      <c r="C762" s="67"/>
      <c r="D762" s="67"/>
      <c r="E762" s="186"/>
      <c r="F762" s="186"/>
      <c r="G762" s="186"/>
      <c r="H762" s="67"/>
      <c r="I762" s="186"/>
      <c r="J762" s="186"/>
      <c r="K762" s="186"/>
      <c r="L762" s="186"/>
      <c r="M762" s="186"/>
    </row>
    <row r="763">
      <c r="A763" s="185"/>
      <c r="B763" s="67"/>
      <c r="C763" s="67"/>
      <c r="D763" s="67"/>
      <c r="E763" s="186"/>
      <c r="F763" s="186"/>
      <c r="G763" s="186"/>
      <c r="H763" s="67"/>
      <c r="I763" s="186"/>
      <c r="J763" s="186"/>
      <c r="K763" s="186"/>
      <c r="L763" s="186"/>
      <c r="M763" s="186"/>
    </row>
    <row r="764">
      <c r="A764" s="185"/>
      <c r="B764" s="67"/>
      <c r="C764" s="67"/>
      <c r="D764" s="67"/>
      <c r="E764" s="186"/>
      <c r="F764" s="186"/>
      <c r="G764" s="186"/>
      <c r="H764" s="67"/>
      <c r="I764" s="186"/>
      <c r="J764" s="186"/>
      <c r="K764" s="186"/>
      <c r="L764" s="186"/>
      <c r="M764" s="186"/>
    </row>
    <row r="765">
      <c r="A765" s="185"/>
      <c r="B765" s="67"/>
      <c r="C765" s="67"/>
      <c r="D765" s="67"/>
      <c r="E765" s="186"/>
      <c r="F765" s="186"/>
      <c r="G765" s="186"/>
      <c r="H765" s="67"/>
      <c r="I765" s="186"/>
      <c r="J765" s="186"/>
      <c r="K765" s="186"/>
      <c r="L765" s="186"/>
      <c r="M765" s="186"/>
    </row>
    <row r="766">
      <c r="A766" s="185"/>
      <c r="B766" s="67"/>
      <c r="C766" s="67"/>
      <c r="D766" s="67"/>
      <c r="E766" s="186"/>
      <c r="F766" s="186"/>
      <c r="G766" s="186"/>
      <c r="H766" s="67"/>
      <c r="I766" s="186"/>
      <c r="J766" s="186"/>
      <c r="K766" s="186"/>
      <c r="L766" s="186"/>
      <c r="M766" s="186"/>
    </row>
    <row r="767">
      <c r="A767" s="185"/>
      <c r="B767" s="67"/>
      <c r="C767" s="67"/>
      <c r="D767" s="67"/>
      <c r="E767" s="186"/>
      <c r="F767" s="186"/>
      <c r="G767" s="186"/>
      <c r="H767" s="67"/>
      <c r="I767" s="186"/>
      <c r="J767" s="186"/>
      <c r="K767" s="186"/>
      <c r="L767" s="186"/>
      <c r="M767" s="186"/>
    </row>
    <row r="768">
      <c r="A768" s="185"/>
      <c r="B768" s="67"/>
      <c r="C768" s="67"/>
      <c r="D768" s="67"/>
      <c r="E768" s="186"/>
      <c r="F768" s="186"/>
      <c r="G768" s="186"/>
      <c r="H768" s="67"/>
      <c r="I768" s="186"/>
      <c r="J768" s="186"/>
      <c r="K768" s="186"/>
      <c r="L768" s="186"/>
      <c r="M768" s="186"/>
    </row>
    <row r="769">
      <c r="A769" s="185"/>
      <c r="B769" s="67"/>
      <c r="C769" s="67"/>
      <c r="D769" s="67"/>
      <c r="E769" s="186"/>
      <c r="F769" s="186"/>
      <c r="G769" s="186"/>
      <c r="H769" s="67"/>
      <c r="I769" s="186"/>
      <c r="J769" s="186"/>
      <c r="K769" s="186"/>
      <c r="L769" s="186"/>
      <c r="M769" s="186"/>
    </row>
    <row r="770">
      <c r="A770" s="185"/>
      <c r="B770" s="67"/>
      <c r="C770" s="67"/>
      <c r="D770" s="67"/>
      <c r="E770" s="186"/>
      <c r="F770" s="186"/>
      <c r="G770" s="186"/>
      <c r="H770" s="67"/>
      <c r="I770" s="186"/>
      <c r="J770" s="186"/>
      <c r="K770" s="186"/>
      <c r="L770" s="186"/>
      <c r="M770" s="186"/>
    </row>
    <row r="771">
      <c r="A771" s="185"/>
      <c r="B771" s="67"/>
      <c r="C771" s="67"/>
      <c r="D771" s="67"/>
      <c r="E771" s="186"/>
      <c r="F771" s="186"/>
      <c r="G771" s="186"/>
      <c r="H771" s="67"/>
      <c r="I771" s="186"/>
      <c r="J771" s="186"/>
      <c r="K771" s="186"/>
      <c r="L771" s="186"/>
      <c r="M771" s="186"/>
    </row>
    <row r="772">
      <c r="A772" s="185"/>
      <c r="B772" s="67"/>
      <c r="C772" s="67"/>
      <c r="D772" s="67"/>
      <c r="E772" s="186"/>
      <c r="F772" s="186"/>
      <c r="G772" s="186"/>
      <c r="H772" s="67"/>
      <c r="I772" s="186"/>
      <c r="J772" s="186"/>
      <c r="K772" s="186"/>
      <c r="L772" s="186"/>
      <c r="M772" s="186"/>
    </row>
    <row r="773">
      <c r="A773" s="185"/>
      <c r="B773" s="67"/>
      <c r="C773" s="67"/>
      <c r="D773" s="67"/>
      <c r="E773" s="186"/>
      <c r="F773" s="186"/>
      <c r="G773" s="186"/>
      <c r="H773" s="67"/>
      <c r="I773" s="186"/>
      <c r="J773" s="186"/>
      <c r="K773" s="186"/>
      <c r="L773" s="186"/>
      <c r="M773" s="186"/>
    </row>
    <row r="774">
      <c r="A774" s="185"/>
      <c r="B774" s="67"/>
      <c r="C774" s="67"/>
      <c r="D774" s="67"/>
      <c r="E774" s="186"/>
      <c r="F774" s="186"/>
      <c r="G774" s="186"/>
      <c r="H774" s="67"/>
      <c r="I774" s="186"/>
      <c r="J774" s="186"/>
      <c r="K774" s="186"/>
      <c r="L774" s="186"/>
      <c r="M774" s="186"/>
    </row>
    <row r="775">
      <c r="A775" s="185"/>
      <c r="B775" s="67"/>
      <c r="C775" s="67"/>
      <c r="D775" s="67"/>
      <c r="E775" s="186"/>
      <c r="F775" s="186"/>
      <c r="G775" s="186"/>
      <c r="H775" s="67"/>
      <c r="I775" s="186"/>
      <c r="J775" s="186"/>
      <c r="K775" s="186"/>
      <c r="L775" s="186"/>
      <c r="M775" s="186"/>
    </row>
    <row r="776">
      <c r="A776" s="185"/>
      <c r="B776" s="67"/>
      <c r="C776" s="67"/>
      <c r="D776" s="67"/>
      <c r="E776" s="186"/>
      <c r="F776" s="186"/>
      <c r="G776" s="186"/>
      <c r="H776" s="67"/>
      <c r="I776" s="186"/>
      <c r="J776" s="186"/>
      <c r="K776" s="186"/>
      <c r="L776" s="186"/>
      <c r="M776" s="186"/>
    </row>
    <row r="777">
      <c r="A777" s="185"/>
      <c r="B777" s="67"/>
      <c r="C777" s="67"/>
      <c r="D777" s="67"/>
      <c r="E777" s="186"/>
      <c r="F777" s="186"/>
      <c r="G777" s="186"/>
      <c r="H777" s="67"/>
      <c r="I777" s="186"/>
      <c r="J777" s="186"/>
      <c r="K777" s="186"/>
      <c r="L777" s="186"/>
      <c r="M777" s="186"/>
    </row>
    <row r="778">
      <c r="A778" s="185"/>
      <c r="B778" s="67"/>
      <c r="C778" s="67"/>
      <c r="D778" s="67"/>
      <c r="E778" s="186"/>
      <c r="F778" s="186"/>
      <c r="G778" s="186"/>
      <c r="H778" s="67"/>
      <c r="I778" s="186"/>
      <c r="J778" s="186"/>
      <c r="K778" s="186"/>
      <c r="L778" s="186"/>
      <c r="M778" s="186"/>
    </row>
    <row r="779">
      <c r="A779" s="185"/>
      <c r="B779" s="67"/>
      <c r="C779" s="67"/>
      <c r="D779" s="67"/>
      <c r="E779" s="186"/>
      <c r="F779" s="186"/>
      <c r="G779" s="186"/>
      <c r="H779" s="67"/>
      <c r="I779" s="186"/>
      <c r="J779" s="186"/>
      <c r="K779" s="186"/>
      <c r="L779" s="186"/>
      <c r="M779" s="186"/>
    </row>
    <row r="780">
      <c r="A780" s="185"/>
      <c r="B780" s="67"/>
      <c r="C780" s="67"/>
      <c r="D780" s="67"/>
      <c r="E780" s="186"/>
      <c r="F780" s="186"/>
      <c r="G780" s="186"/>
      <c r="H780" s="67"/>
      <c r="I780" s="186"/>
      <c r="J780" s="186"/>
      <c r="K780" s="186"/>
      <c r="L780" s="186"/>
      <c r="M780" s="186"/>
    </row>
    <row r="781">
      <c r="A781" s="185"/>
      <c r="B781" s="67"/>
      <c r="C781" s="67"/>
      <c r="D781" s="67"/>
      <c r="E781" s="186"/>
      <c r="F781" s="186"/>
      <c r="G781" s="186"/>
      <c r="H781" s="67"/>
      <c r="I781" s="186"/>
      <c r="J781" s="186"/>
      <c r="K781" s="186"/>
      <c r="L781" s="186"/>
      <c r="M781" s="186"/>
    </row>
    <row r="782">
      <c r="A782" s="185"/>
      <c r="B782" s="67"/>
      <c r="C782" s="67"/>
      <c r="D782" s="67"/>
      <c r="E782" s="186"/>
      <c r="F782" s="186"/>
      <c r="G782" s="186"/>
      <c r="H782" s="67"/>
      <c r="I782" s="186"/>
      <c r="J782" s="186"/>
      <c r="K782" s="186"/>
      <c r="L782" s="186"/>
      <c r="M782" s="186"/>
    </row>
    <row r="783">
      <c r="A783" s="185"/>
      <c r="B783" s="67"/>
      <c r="C783" s="67"/>
      <c r="D783" s="67"/>
      <c r="E783" s="186"/>
      <c r="F783" s="186"/>
      <c r="G783" s="186"/>
      <c r="H783" s="67"/>
      <c r="I783" s="186"/>
      <c r="J783" s="186"/>
      <c r="K783" s="186"/>
      <c r="L783" s="186"/>
      <c r="M783" s="186"/>
    </row>
    <row r="784">
      <c r="A784" s="185"/>
      <c r="B784" s="67"/>
      <c r="C784" s="67"/>
      <c r="D784" s="67"/>
      <c r="E784" s="186"/>
      <c r="F784" s="186"/>
      <c r="G784" s="186"/>
      <c r="H784" s="67"/>
      <c r="I784" s="186"/>
      <c r="J784" s="186"/>
      <c r="K784" s="186"/>
      <c r="L784" s="186"/>
      <c r="M784" s="186"/>
    </row>
    <row r="785">
      <c r="A785" s="185"/>
      <c r="B785" s="67"/>
      <c r="C785" s="67"/>
      <c r="D785" s="67"/>
      <c r="E785" s="186"/>
      <c r="F785" s="186"/>
      <c r="G785" s="186"/>
      <c r="H785" s="67"/>
      <c r="I785" s="186"/>
      <c r="J785" s="186"/>
      <c r="K785" s="186"/>
      <c r="L785" s="186"/>
      <c r="M785" s="186"/>
    </row>
    <row r="786">
      <c r="A786" s="185"/>
      <c r="B786" s="67"/>
      <c r="C786" s="67"/>
      <c r="D786" s="67"/>
      <c r="E786" s="186"/>
      <c r="F786" s="186"/>
      <c r="G786" s="186"/>
      <c r="H786" s="67"/>
      <c r="I786" s="186"/>
      <c r="J786" s="186"/>
      <c r="K786" s="186"/>
      <c r="L786" s="186"/>
      <c r="M786" s="186"/>
    </row>
    <row r="787">
      <c r="A787" s="185"/>
      <c r="B787" s="67"/>
      <c r="C787" s="67"/>
      <c r="D787" s="67"/>
      <c r="E787" s="186"/>
      <c r="F787" s="186"/>
      <c r="G787" s="186"/>
      <c r="H787" s="67"/>
      <c r="I787" s="186"/>
      <c r="J787" s="186"/>
      <c r="K787" s="186"/>
      <c r="L787" s="186"/>
      <c r="M787" s="186"/>
    </row>
    <row r="788">
      <c r="A788" s="185"/>
      <c r="B788" s="67"/>
      <c r="C788" s="67"/>
      <c r="D788" s="67"/>
      <c r="E788" s="186"/>
      <c r="F788" s="186"/>
      <c r="G788" s="186"/>
      <c r="H788" s="67"/>
      <c r="I788" s="186"/>
      <c r="J788" s="186"/>
      <c r="K788" s="186"/>
      <c r="L788" s="186"/>
      <c r="M788" s="186"/>
    </row>
    <row r="789">
      <c r="A789" s="185"/>
      <c r="B789" s="67"/>
      <c r="C789" s="67"/>
      <c r="D789" s="67"/>
      <c r="E789" s="186"/>
      <c r="F789" s="186"/>
      <c r="G789" s="186"/>
      <c r="H789" s="67"/>
      <c r="I789" s="186"/>
      <c r="J789" s="186"/>
      <c r="K789" s="186"/>
      <c r="L789" s="186"/>
      <c r="M789" s="186"/>
    </row>
    <row r="790">
      <c r="A790" s="185"/>
      <c r="B790" s="67"/>
      <c r="C790" s="67"/>
      <c r="D790" s="67"/>
      <c r="E790" s="186"/>
      <c r="F790" s="186"/>
      <c r="G790" s="186"/>
      <c r="H790" s="67"/>
      <c r="I790" s="186"/>
      <c r="J790" s="186"/>
      <c r="K790" s="186"/>
      <c r="L790" s="186"/>
      <c r="M790" s="186"/>
    </row>
    <row r="791">
      <c r="A791" s="185"/>
      <c r="B791" s="67"/>
      <c r="C791" s="67"/>
      <c r="D791" s="67"/>
      <c r="E791" s="186"/>
      <c r="F791" s="186"/>
      <c r="G791" s="186"/>
      <c r="H791" s="67"/>
      <c r="I791" s="186"/>
      <c r="J791" s="186"/>
      <c r="K791" s="186"/>
      <c r="L791" s="186"/>
      <c r="M791" s="186"/>
    </row>
    <row r="792">
      <c r="A792" s="185"/>
      <c r="B792" s="67"/>
      <c r="C792" s="67"/>
      <c r="D792" s="67"/>
      <c r="E792" s="186"/>
      <c r="F792" s="186"/>
      <c r="G792" s="186"/>
      <c r="H792" s="67"/>
      <c r="I792" s="186"/>
      <c r="J792" s="186"/>
      <c r="K792" s="186"/>
      <c r="L792" s="186"/>
      <c r="M792" s="186"/>
    </row>
    <row r="793">
      <c r="A793" s="185"/>
      <c r="B793" s="67"/>
      <c r="C793" s="67"/>
      <c r="D793" s="67"/>
      <c r="E793" s="186"/>
      <c r="F793" s="186"/>
      <c r="G793" s="186"/>
      <c r="H793" s="67"/>
      <c r="I793" s="186"/>
      <c r="J793" s="186"/>
      <c r="K793" s="186"/>
      <c r="L793" s="186"/>
      <c r="M793" s="186"/>
    </row>
    <row r="794">
      <c r="A794" s="185"/>
      <c r="B794" s="67"/>
      <c r="C794" s="67"/>
      <c r="D794" s="67"/>
      <c r="E794" s="186"/>
      <c r="F794" s="186"/>
      <c r="G794" s="186"/>
      <c r="H794" s="67"/>
      <c r="I794" s="186"/>
      <c r="J794" s="186"/>
      <c r="K794" s="186"/>
      <c r="L794" s="186"/>
      <c r="M794" s="186"/>
    </row>
    <row r="795">
      <c r="A795" s="185"/>
      <c r="B795" s="67"/>
      <c r="C795" s="67"/>
      <c r="D795" s="67"/>
      <c r="E795" s="186"/>
      <c r="F795" s="186"/>
      <c r="G795" s="186"/>
      <c r="H795" s="67"/>
      <c r="I795" s="186"/>
      <c r="J795" s="186"/>
      <c r="K795" s="186"/>
      <c r="L795" s="186"/>
      <c r="M795" s="186"/>
    </row>
    <row r="796">
      <c r="A796" s="185"/>
      <c r="B796" s="67"/>
      <c r="C796" s="67"/>
      <c r="D796" s="67"/>
      <c r="E796" s="186"/>
      <c r="F796" s="186"/>
      <c r="G796" s="186"/>
      <c r="H796" s="67"/>
      <c r="I796" s="186"/>
      <c r="J796" s="186"/>
      <c r="K796" s="186"/>
      <c r="L796" s="186"/>
      <c r="M796" s="186"/>
    </row>
    <row r="797">
      <c r="A797" s="185"/>
      <c r="B797" s="67"/>
      <c r="C797" s="67"/>
      <c r="D797" s="67"/>
      <c r="E797" s="186"/>
      <c r="F797" s="186"/>
      <c r="G797" s="186"/>
      <c r="H797" s="67"/>
      <c r="I797" s="186"/>
      <c r="J797" s="186"/>
      <c r="K797" s="186"/>
      <c r="L797" s="186"/>
      <c r="M797" s="186"/>
    </row>
    <row r="798">
      <c r="A798" s="185"/>
      <c r="B798" s="67"/>
      <c r="C798" s="67"/>
      <c r="D798" s="67"/>
      <c r="E798" s="186"/>
      <c r="F798" s="186"/>
      <c r="G798" s="186"/>
      <c r="H798" s="67"/>
      <c r="I798" s="186"/>
      <c r="J798" s="186"/>
      <c r="K798" s="186"/>
      <c r="L798" s="186"/>
      <c r="M798" s="186"/>
    </row>
    <row r="799">
      <c r="A799" s="185"/>
      <c r="B799" s="67"/>
      <c r="C799" s="67"/>
      <c r="D799" s="67"/>
      <c r="E799" s="186"/>
      <c r="F799" s="186"/>
      <c r="G799" s="186"/>
      <c r="H799" s="67"/>
      <c r="I799" s="186"/>
      <c r="J799" s="186"/>
      <c r="K799" s="186"/>
      <c r="L799" s="186"/>
      <c r="M799" s="186"/>
    </row>
    <row r="800">
      <c r="A800" s="185"/>
      <c r="B800" s="67"/>
      <c r="C800" s="67"/>
      <c r="D800" s="67"/>
      <c r="E800" s="186"/>
      <c r="F800" s="186"/>
      <c r="G800" s="186"/>
      <c r="H800" s="67"/>
      <c r="I800" s="186"/>
      <c r="J800" s="186"/>
      <c r="K800" s="186"/>
      <c r="L800" s="186"/>
      <c r="M800" s="186"/>
    </row>
    <row r="801">
      <c r="A801" s="185"/>
      <c r="B801" s="67"/>
      <c r="C801" s="67"/>
      <c r="D801" s="67"/>
      <c r="E801" s="186"/>
      <c r="F801" s="186"/>
      <c r="G801" s="186"/>
      <c r="H801" s="67"/>
      <c r="I801" s="186"/>
      <c r="J801" s="186"/>
      <c r="K801" s="186"/>
      <c r="L801" s="186"/>
      <c r="M801" s="186"/>
    </row>
    <row r="802">
      <c r="A802" s="185"/>
      <c r="B802" s="67"/>
      <c r="C802" s="67"/>
      <c r="D802" s="67"/>
      <c r="E802" s="186"/>
      <c r="F802" s="186"/>
      <c r="G802" s="186"/>
      <c r="H802" s="67"/>
      <c r="I802" s="186"/>
      <c r="J802" s="186"/>
      <c r="K802" s="186"/>
      <c r="L802" s="186"/>
      <c r="M802" s="186"/>
    </row>
    <row r="803">
      <c r="A803" s="185"/>
      <c r="B803" s="67"/>
      <c r="C803" s="67"/>
      <c r="D803" s="67"/>
      <c r="E803" s="186"/>
      <c r="F803" s="186"/>
      <c r="G803" s="186"/>
      <c r="H803" s="67"/>
      <c r="I803" s="186"/>
      <c r="J803" s="186"/>
      <c r="K803" s="186"/>
      <c r="L803" s="186"/>
      <c r="M803" s="186"/>
    </row>
    <row r="804">
      <c r="A804" s="185"/>
      <c r="B804" s="67"/>
      <c r="C804" s="67"/>
      <c r="D804" s="67"/>
      <c r="E804" s="186"/>
      <c r="F804" s="186"/>
      <c r="G804" s="186"/>
      <c r="H804" s="67"/>
      <c r="I804" s="186"/>
      <c r="J804" s="186"/>
      <c r="K804" s="186"/>
      <c r="L804" s="186"/>
      <c r="M804" s="186"/>
    </row>
    <row r="805">
      <c r="A805" s="185"/>
      <c r="B805" s="67"/>
      <c r="C805" s="67"/>
      <c r="D805" s="67"/>
      <c r="E805" s="186"/>
      <c r="F805" s="186"/>
      <c r="G805" s="186"/>
      <c r="H805" s="67"/>
      <c r="I805" s="186"/>
      <c r="J805" s="186"/>
      <c r="K805" s="186"/>
      <c r="L805" s="186"/>
      <c r="M805" s="186"/>
    </row>
    <row r="806">
      <c r="A806" s="185"/>
      <c r="B806" s="67"/>
      <c r="C806" s="67"/>
      <c r="D806" s="67"/>
      <c r="E806" s="186"/>
      <c r="F806" s="186"/>
      <c r="G806" s="186"/>
      <c r="H806" s="67"/>
      <c r="I806" s="186"/>
      <c r="J806" s="186"/>
      <c r="K806" s="186"/>
      <c r="L806" s="186"/>
      <c r="M806" s="186"/>
    </row>
    <row r="807">
      <c r="A807" s="185"/>
      <c r="B807" s="67"/>
      <c r="C807" s="67"/>
      <c r="D807" s="67"/>
      <c r="E807" s="186"/>
      <c r="F807" s="186"/>
      <c r="G807" s="186"/>
      <c r="H807" s="67"/>
      <c r="I807" s="186"/>
      <c r="J807" s="186"/>
      <c r="K807" s="186"/>
      <c r="L807" s="186"/>
      <c r="M807" s="186"/>
    </row>
    <row r="808">
      <c r="A808" s="185"/>
      <c r="B808" s="67"/>
      <c r="C808" s="67"/>
      <c r="D808" s="67"/>
      <c r="E808" s="186"/>
      <c r="F808" s="186"/>
      <c r="G808" s="186"/>
      <c r="H808" s="67"/>
      <c r="I808" s="186"/>
      <c r="J808" s="186"/>
      <c r="K808" s="186"/>
      <c r="L808" s="186"/>
      <c r="M808" s="186"/>
    </row>
    <row r="809">
      <c r="A809" s="185"/>
      <c r="B809" s="67"/>
      <c r="C809" s="67"/>
      <c r="D809" s="67"/>
      <c r="E809" s="186"/>
      <c r="F809" s="186"/>
      <c r="G809" s="186"/>
      <c r="H809" s="67"/>
      <c r="I809" s="186"/>
      <c r="J809" s="186"/>
      <c r="K809" s="186"/>
      <c r="L809" s="186"/>
      <c r="M809" s="186"/>
    </row>
    <row r="810">
      <c r="A810" s="185"/>
      <c r="B810" s="67"/>
      <c r="C810" s="67"/>
      <c r="D810" s="67"/>
      <c r="E810" s="186"/>
      <c r="F810" s="186"/>
      <c r="G810" s="186"/>
      <c r="H810" s="67"/>
      <c r="I810" s="186"/>
      <c r="J810" s="186"/>
      <c r="K810" s="186"/>
      <c r="L810" s="186"/>
      <c r="M810" s="186"/>
    </row>
    <row r="811">
      <c r="A811" s="185"/>
      <c r="B811" s="67"/>
      <c r="C811" s="67"/>
      <c r="D811" s="67"/>
      <c r="E811" s="186"/>
      <c r="F811" s="186"/>
      <c r="G811" s="186"/>
      <c r="H811" s="67"/>
      <c r="I811" s="186"/>
      <c r="J811" s="186"/>
      <c r="K811" s="186"/>
      <c r="L811" s="186"/>
      <c r="M811" s="186"/>
    </row>
    <row r="812">
      <c r="A812" s="185"/>
      <c r="B812" s="67"/>
      <c r="C812" s="67"/>
      <c r="D812" s="67"/>
      <c r="E812" s="186"/>
      <c r="F812" s="186"/>
      <c r="G812" s="186"/>
      <c r="H812" s="67"/>
      <c r="I812" s="186"/>
      <c r="J812" s="186"/>
      <c r="K812" s="186"/>
      <c r="L812" s="186"/>
      <c r="M812" s="186"/>
    </row>
    <row r="813">
      <c r="A813" s="185"/>
      <c r="B813" s="67"/>
      <c r="C813" s="67"/>
      <c r="D813" s="67"/>
      <c r="E813" s="186"/>
      <c r="F813" s="186"/>
      <c r="G813" s="186"/>
      <c r="H813" s="67"/>
      <c r="I813" s="186"/>
      <c r="J813" s="186"/>
      <c r="K813" s="186"/>
      <c r="L813" s="186"/>
      <c r="M813" s="186"/>
    </row>
    <row r="814">
      <c r="A814" s="185"/>
      <c r="B814" s="67"/>
      <c r="C814" s="67"/>
      <c r="D814" s="67"/>
      <c r="E814" s="186"/>
      <c r="F814" s="186"/>
      <c r="G814" s="186"/>
      <c r="H814" s="67"/>
      <c r="I814" s="186"/>
      <c r="J814" s="186"/>
      <c r="K814" s="186"/>
      <c r="L814" s="186"/>
      <c r="M814" s="186"/>
    </row>
    <row r="815">
      <c r="A815" s="185"/>
      <c r="B815" s="67"/>
      <c r="C815" s="67"/>
      <c r="D815" s="67"/>
      <c r="E815" s="186"/>
      <c r="F815" s="186"/>
      <c r="G815" s="186"/>
      <c r="H815" s="67"/>
      <c r="I815" s="186"/>
      <c r="J815" s="186"/>
      <c r="K815" s="186"/>
      <c r="L815" s="186"/>
      <c r="M815" s="186"/>
    </row>
    <row r="816">
      <c r="A816" s="185"/>
      <c r="B816" s="67"/>
      <c r="C816" s="67"/>
      <c r="D816" s="67"/>
      <c r="E816" s="186"/>
      <c r="F816" s="186"/>
      <c r="G816" s="186"/>
      <c r="H816" s="67"/>
      <c r="I816" s="186"/>
      <c r="J816" s="186"/>
      <c r="K816" s="186"/>
      <c r="L816" s="186"/>
      <c r="M816" s="186"/>
    </row>
    <row r="817">
      <c r="A817" s="185"/>
      <c r="B817" s="67"/>
      <c r="C817" s="67"/>
      <c r="D817" s="67"/>
      <c r="E817" s="186"/>
      <c r="F817" s="186"/>
      <c r="G817" s="186"/>
      <c r="H817" s="67"/>
      <c r="I817" s="186"/>
      <c r="J817" s="186"/>
      <c r="K817" s="186"/>
      <c r="L817" s="186"/>
      <c r="M817" s="186"/>
    </row>
    <row r="818">
      <c r="A818" s="185"/>
      <c r="B818" s="67"/>
      <c r="C818" s="67"/>
      <c r="D818" s="67"/>
      <c r="E818" s="186"/>
      <c r="F818" s="186"/>
      <c r="G818" s="186"/>
      <c r="H818" s="67"/>
      <c r="I818" s="186"/>
      <c r="J818" s="186"/>
      <c r="K818" s="186"/>
      <c r="L818" s="186"/>
      <c r="M818" s="186"/>
    </row>
    <row r="819">
      <c r="A819" s="185"/>
      <c r="B819" s="67"/>
      <c r="C819" s="67"/>
      <c r="D819" s="67"/>
      <c r="E819" s="186"/>
      <c r="F819" s="186"/>
      <c r="G819" s="186"/>
      <c r="H819" s="67"/>
      <c r="I819" s="186"/>
      <c r="J819" s="186"/>
      <c r="K819" s="186"/>
      <c r="L819" s="186"/>
      <c r="M819" s="186"/>
    </row>
    <row r="820">
      <c r="A820" s="185"/>
      <c r="B820" s="67"/>
      <c r="C820" s="67"/>
      <c r="D820" s="67"/>
      <c r="E820" s="186"/>
      <c r="F820" s="186"/>
      <c r="G820" s="186"/>
      <c r="H820" s="67"/>
      <c r="I820" s="186"/>
      <c r="J820" s="186"/>
      <c r="K820" s="186"/>
      <c r="L820" s="186"/>
      <c r="M820" s="186"/>
    </row>
    <row r="821">
      <c r="A821" s="185"/>
      <c r="B821" s="67"/>
      <c r="C821" s="67"/>
      <c r="D821" s="67"/>
      <c r="E821" s="186"/>
      <c r="F821" s="186"/>
      <c r="G821" s="186"/>
      <c r="H821" s="67"/>
      <c r="I821" s="186"/>
      <c r="J821" s="186"/>
      <c r="K821" s="186"/>
      <c r="L821" s="186"/>
      <c r="M821" s="186"/>
    </row>
    <row r="822">
      <c r="A822" s="185"/>
      <c r="B822" s="67"/>
      <c r="C822" s="67"/>
      <c r="D822" s="67"/>
      <c r="E822" s="186"/>
      <c r="F822" s="186"/>
      <c r="G822" s="186"/>
      <c r="H822" s="67"/>
      <c r="I822" s="186"/>
      <c r="J822" s="186"/>
      <c r="K822" s="186"/>
      <c r="L822" s="186"/>
      <c r="M822" s="186"/>
    </row>
    <row r="823">
      <c r="A823" s="185"/>
      <c r="B823" s="67"/>
      <c r="C823" s="67"/>
      <c r="D823" s="67"/>
      <c r="E823" s="186"/>
      <c r="F823" s="186"/>
      <c r="G823" s="186"/>
      <c r="H823" s="67"/>
      <c r="I823" s="186"/>
      <c r="J823" s="186"/>
      <c r="K823" s="186"/>
      <c r="L823" s="186"/>
      <c r="M823" s="186"/>
    </row>
    <row r="824">
      <c r="A824" s="185"/>
      <c r="B824" s="67"/>
      <c r="C824" s="67"/>
      <c r="D824" s="67"/>
      <c r="E824" s="186"/>
      <c r="F824" s="186"/>
      <c r="G824" s="186"/>
      <c r="H824" s="67"/>
      <c r="I824" s="186"/>
      <c r="J824" s="186"/>
      <c r="K824" s="186"/>
      <c r="L824" s="186"/>
      <c r="M824" s="186"/>
    </row>
    <row r="825">
      <c r="A825" s="185"/>
      <c r="B825" s="67"/>
      <c r="C825" s="67"/>
      <c r="D825" s="67"/>
      <c r="E825" s="186"/>
      <c r="F825" s="186"/>
      <c r="G825" s="186"/>
      <c r="H825" s="67"/>
      <c r="I825" s="186"/>
      <c r="J825" s="186"/>
      <c r="K825" s="186"/>
      <c r="L825" s="186"/>
      <c r="M825" s="186"/>
    </row>
    <row r="826">
      <c r="A826" s="185"/>
      <c r="B826" s="67"/>
      <c r="C826" s="67"/>
      <c r="D826" s="67"/>
      <c r="E826" s="186"/>
      <c r="F826" s="186"/>
      <c r="G826" s="186"/>
      <c r="H826" s="67"/>
      <c r="I826" s="186"/>
      <c r="J826" s="186"/>
      <c r="K826" s="186"/>
      <c r="L826" s="186"/>
      <c r="M826" s="186"/>
    </row>
    <row r="827">
      <c r="A827" s="185"/>
      <c r="B827" s="67"/>
      <c r="C827" s="67"/>
      <c r="D827" s="67"/>
      <c r="E827" s="186"/>
      <c r="F827" s="186"/>
      <c r="G827" s="186"/>
      <c r="H827" s="67"/>
      <c r="I827" s="186"/>
      <c r="J827" s="186"/>
      <c r="K827" s="186"/>
      <c r="L827" s="186"/>
      <c r="M827" s="186"/>
    </row>
    <row r="828">
      <c r="A828" s="185"/>
      <c r="B828" s="67"/>
      <c r="C828" s="67"/>
      <c r="D828" s="67"/>
      <c r="E828" s="186"/>
      <c r="F828" s="186"/>
      <c r="G828" s="186"/>
      <c r="H828" s="67"/>
      <c r="I828" s="186"/>
      <c r="J828" s="186"/>
      <c r="K828" s="186"/>
      <c r="L828" s="186"/>
      <c r="M828" s="186"/>
    </row>
    <row r="829">
      <c r="A829" s="185"/>
      <c r="B829" s="67"/>
      <c r="C829" s="67"/>
      <c r="D829" s="67"/>
      <c r="E829" s="186"/>
      <c r="F829" s="186"/>
      <c r="G829" s="186"/>
      <c r="H829" s="67"/>
      <c r="I829" s="186"/>
      <c r="J829" s="186"/>
      <c r="K829" s="186"/>
      <c r="L829" s="186"/>
      <c r="M829" s="186"/>
    </row>
    <row r="830">
      <c r="A830" s="185"/>
      <c r="B830" s="67"/>
      <c r="C830" s="67"/>
      <c r="D830" s="67"/>
      <c r="E830" s="186"/>
      <c r="F830" s="186"/>
      <c r="G830" s="186"/>
      <c r="H830" s="67"/>
      <c r="I830" s="186"/>
      <c r="J830" s="186"/>
      <c r="K830" s="186"/>
      <c r="L830" s="186"/>
      <c r="M830" s="186"/>
    </row>
    <row r="831">
      <c r="A831" s="185"/>
      <c r="B831" s="67"/>
      <c r="C831" s="67"/>
      <c r="D831" s="67"/>
      <c r="E831" s="186"/>
      <c r="F831" s="186"/>
      <c r="G831" s="186"/>
      <c r="H831" s="67"/>
      <c r="I831" s="186"/>
      <c r="J831" s="186"/>
      <c r="K831" s="186"/>
      <c r="L831" s="186"/>
      <c r="M831" s="186"/>
    </row>
    <row r="832">
      <c r="A832" s="185"/>
      <c r="B832" s="67"/>
      <c r="C832" s="67"/>
      <c r="D832" s="67"/>
      <c r="E832" s="186"/>
      <c r="F832" s="186"/>
      <c r="G832" s="186"/>
      <c r="H832" s="67"/>
      <c r="I832" s="186"/>
      <c r="J832" s="186"/>
      <c r="K832" s="186"/>
      <c r="L832" s="186"/>
      <c r="M832" s="186"/>
    </row>
    <row r="833">
      <c r="A833" s="185"/>
      <c r="B833" s="67"/>
      <c r="C833" s="67"/>
      <c r="D833" s="67"/>
      <c r="E833" s="186"/>
      <c r="F833" s="186"/>
      <c r="G833" s="186"/>
      <c r="H833" s="67"/>
      <c r="I833" s="186"/>
      <c r="J833" s="186"/>
      <c r="K833" s="186"/>
      <c r="L833" s="186"/>
      <c r="M833" s="186"/>
    </row>
    <row r="834">
      <c r="A834" s="185"/>
      <c r="B834" s="67"/>
      <c r="C834" s="67"/>
      <c r="D834" s="67"/>
      <c r="E834" s="186"/>
      <c r="F834" s="186"/>
      <c r="G834" s="186"/>
      <c r="H834" s="67"/>
      <c r="I834" s="186"/>
      <c r="J834" s="186"/>
      <c r="K834" s="186"/>
      <c r="L834" s="186"/>
      <c r="M834" s="186"/>
    </row>
    <row r="835">
      <c r="A835" s="185"/>
      <c r="B835" s="67"/>
      <c r="C835" s="67"/>
      <c r="D835" s="67"/>
      <c r="E835" s="186"/>
      <c r="F835" s="186"/>
      <c r="G835" s="186"/>
      <c r="H835" s="67"/>
      <c r="I835" s="186"/>
      <c r="J835" s="186"/>
      <c r="K835" s="186"/>
      <c r="L835" s="186"/>
      <c r="M835" s="186"/>
    </row>
    <row r="836">
      <c r="A836" s="185"/>
      <c r="B836" s="67"/>
      <c r="C836" s="67"/>
      <c r="D836" s="67"/>
      <c r="E836" s="186"/>
      <c r="F836" s="186"/>
      <c r="G836" s="186"/>
      <c r="H836" s="67"/>
      <c r="I836" s="186"/>
      <c r="J836" s="186"/>
      <c r="K836" s="186"/>
      <c r="L836" s="186"/>
      <c r="M836" s="186"/>
    </row>
    <row r="837">
      <c r="A837" s="185"/>
      <c r="B837" s="67"/>
      <c r="C837" s="67"/>
      <c r="D837" s="67"/>
      <c r="E837" s="186"/>
      <c r="F837" s="186"/>
      <c r="G837" s="186"/>
      <c r="H837" s="67"/>
      <c r="I837" s="186"/>
      <c r="J837" s="186"/>
      <c r="K837" s="186"/>
      <c r="L837" s="186"/>
      <c r="M837" s="186"/>
    </row>
    <row r="838">
      <c r="A838" s="185"/>
      <c r="B838" s="67"/>
      <c r="C838" s="67"/>
      <c r="D838" s="67"/>
      <c r="E838" s="186"/>
      <c r="F838" s="186"/>
      <c r="G838" s="186"/>
      <c r="H838" s="67"/>
      <c r="I838" s="186"/>
      <c r="J838" s="186"/>
      <c r="K838" s="186"/>
      <c r="L838" s="186"/>
      <c r="M838" s="186"/>
    </row>
    <row r="839">
      <c r="A839" s="185"/>
      <c r="B839" s="67"/>
      <c r="C839" s="67"/>
      <c r="D839" s="67"/>
      <c r="E839" s="186"/>
      <c r="F839" s="186"/>
      <c r="G839" s="186"/>
      <c r="H839" s="67"/>
      <c r="I839" s="186"/>
      <c r="J839" s="186"/>
      <c r="K839" s="186"/>
      <c r="L839" s="186"/>
      <c r="M839" s="186"/>
    </row>
    <row r="840">
      <c r="A840" s="185"/>
      <c r="B840" s="67"/>
      <c r="C840" s="67"/>
      <c r="D840" s="67"/>
      <c r="E840" s="186"/>
      <c r="F840" s="186"/>
      <c r="G840" s="186"/>
      <c r="H840" s="67"/>
      <c r="I840" s="186"/>
      <c r="J840" s="186"/>
      <c r="K840" s="186"/>
      <c r="L840" s="186"/>
      <c r="M840" s="186"/>
    </row>
    <row r="841">
      <c r="A841" s="185"/>
      <c r="B841" s="67"/>
      <c r="C841" s="67"/>
      <c r="D841" s="67"/>
      <c r="E841" s="186"/>
      <c r="F841" s="186"/>
      <c r="G841" s="186"/>
      <c r="H841" s="67"/>
      <c r="I841" s="186"/>
      <c r="J841" s="186"/>
      <c r="K841" s="186"/>
      <c r="L841" s="186"/>
      <c r="M841" s="186"/>
    </row>
    <row r="842">
      <c r="A842" s="185"/>
      <c r="B842" s="67"/>
      <c r="C842" s="67"/>
      <c r="D842" s="67"/>
      <c r="E842" s="186"/>
      <c r="F842" s="186"/>
      <c r="G842" s="186"/>
      <c r="H842" s="67"/>
      <c r="I842" s="186"/>
      <c r="J842" s="186"/>
      <c r="K842" s="186"/>
      <c r="L842" s="186"/>
      <c r="M842" s="186"/>
    </row>
    <row r="843">
      <c r="A843" s="185"/>
      <c r="B843" s="67"/>
      <c r="C843" s="67"/>
      <c r="D843" s="67"/>
      <c r="E843" s="186"/>
      <c r="F843" s="186"/>
      <c r="G843" s="186"/>
      <c r="H843" s="67"/>
      <c r="I843" s="186"/>
      <c r="J843" s="186"/>
      <c r="K843" s="186"/>
      <c r="L843" s="186"/>
      <c r="M843" s="186"/>
    </row>
    <row r="844">
      <c r="A844" s="185"/>
      <c r="B844" s="67"/>
      <c r="C844" s="67"/>
      <c r="D844" s="67"/>
      <c r="E844" s="186"/>
      <c r="F844" s="186"/>
      <c r="G844" s="186"/>
      <c r="H844" s="67"/>
      <c r="I844" s="186"/>
      <c r="J844" s="186"/>
      <c r="K844" s="186"/>
      <c r="L844" s="186"/>
      <c r="M844" s="186"/>
    </row>
    <row r="845">
      <c r="A845" s="185"/>
      <c r="B845" s="67"/>
      <c r="C845" s="67"/>
      <c r="D845" s="67"/>
      <c r="E845" s="186"/>
      <c r="F845" s="186"/>
      <c r="G845" s="186"/>
      <c r="H845" s="67"/>
      <c r="I845" s="186"/>
      <c r="J845" s="186"/>
      <c r="K845" s="186"/>
      <c r="L845" s="186"/>
      <c r="M845" s="186"/>
    </row>
    <row r="846">
      <c r="A846" s="185"/>
      <c r="B846" s="67"/>
      <c r="C846" s="67"/>
      <c r="D846" s="67"/>
      <c r="E846" s="186"/>
      <c r="F846" s="186"/>
      <c r="G846" s="186"/>
      <c r="H846" s="67"/>
      <c r="I846" s="186"/>
      <c r="J846" s="186"/>
      <c r="K846" s="186"/>
      <c r="L846" s="186"/>
      <c r="M846" s="186"/>
    </row>
    <row r="847">
      <c r="A847" s="185"/>
      <c r="B847" s="67"/>
      <c r="C847" s="67"/>
      <c r="D847" s="67"/>
      <c r="E847" s="186"/>
      <c r="F847" s="186"/>
      <c r="G847" s="186"/>
      <c r="H847" s="67"/>
      <c r="I847" s="186"/>
      <c r="J847" s="186"/>
      <c r="K847" s="186"/>
      <c r="L847" s="186"/>
      <c r="M847" s="186"/>
    </row>
    <row r="848">
      <c r="A848" s="185"/>
      <c r="B848" s="67"/>
      <c r="C848" s="67"/>
      <c r="D848" s="67"/>
      <c r="E848" s="186"/>
      <c r="F848" s="186"/>
      <c r="G848" s="186"/>
      <c r="H848" s="67"/>
      <c r="I848" s="186"/>
      <c r="J848" s="186"/>
      <c r="K848" s="186"/>
      <c r="L848" s="186"/>
      <c r="M848" s="186"/>
    </row>
    <row r="849">
      <c r="A849" s="185"/>
      <c r="B849" s="67"/>
      <c r="C849" s="67"/>
      <c r="D849" s="67"/>
      <c r="E849" s="186"/>
      <c r="F849" s="186"/>
      <c r="G849" s="186"/>
      <c r="H849" s="67"/>
      <c r="I849" s="186"/>
      <c r="J849" s="186"/>
      <c r="K849" s="186"/>
      <c r="L849" s="186"/>
      <c r="M849" s="186"/>
    </row>
    <row r="850">
      <c r="A850" s="185"/>
      <c r="B850" s="67"/>
      <c r="C850" s="67"/>
      <c r="D850" s="67"/>
      <c r="E850" s="186"/>
      <c r="F850" s="186"/>
      <c r="G850" s="186"/>
      <c r="H850" s="67"/>
      <c r="I850" s="186"/>
      <c r="J850" s="186"/>
      <c r="K850" s="186"/>
      <c r="L850" s="186"/>
      <c r="M850" s="186"/>
    </row>
    <row r="851">
      <c r="A851" s="185"/>
      <c r="B851" s="67"/>
      <c r="C851" s="67"/>
      <c r="D851" s="67"/>
      <c r="E851" s="186"/>
      <c r="F851" s="186"/>
      <c r="G851" s="186"/>
      <c r="H851" s="67"/>
      <c r="I851" s="186"/>
      <c r="J851" s="186"/>
      <c r="K851" s="186"/>
      <c r="L851" s="186"/>
      <c r="M851" s="186"/>
    </row>
    <row r="852">
      <c r="A852" s="185"/>
      <c r="B852" s="67"/>
      <c r="C852" s="67"/>
      <c r="D852" s="67"/>
      <c r="E852" s="186"/>
      <c r="F852" s="186"/>
      <c r="G852" s="186"/>
      <c r="H852" s="67"/>
      <c r="I852" s="186"/>
      <c r="J852" s="186"/>
      <c r="K852" s="186"/>
      <c r="L852" s="186"/>
      <c r="M852" s="186"/>
    </row>
    <row r="853">
      <c r="A853" s="185"/>
      <c r="B853" s="67"/>
      <c r="C853" s="67"/>
      <c r="D853" s="67"/>
      <c r="E853" s="186"/>
      <c r="F853" s="186"/>
      <c r="G853" s="186"/>
      <c r="H853" s="67"/>
      <c r="I853" s="186"/>
      <c r="J853" s="186"/>
      <c r="K853" s="186"/>
      <c r="L853" s="186"/>
      <c r="M853" s="186"/>
    </row>
    <row r="854">
      <c r="A854" s="185"/>
      <c r="B854" s="67"/>
      <c r="C854" s="67"/>
      <c r="D854" s="67"/>
      <c r="E854" s="186"/>
      <c r="F854" s="186"/>
      <c r="G854" s="186"/>
      <c r="H854" s="67"/>
      <c r="I854" s="186"/>
      <c r="J854" s="186"/>
      <c r="K854" s="186"/>
      <c r="L854" s="186"/>
      <c r="M854" s="186"/>
    </row>
    <row r="855">
      <c r="A855" s="185"/>
      <c r="B855" s="67"/>
      <c r="C855" s="67"/>
      <c r="D855" s="67"/>
      <c r="E855" s="186"/>
      <c r="F855" s="186"/>
      <c r="G855" s="186"/>
      <c r="H855" s="67"/>
      <c r="I855" s="186"/>
      <c r="J855" s="186"/>
      <c r="K855" s="186"/>
      <c r="L855" s="186"/>
      <c r="M855" s="186"/>
    </row>
    <row r="856">
      <c r="A856" s="185"/>
      <c r="B856" s="67"/>
      <c r="C856" s="67"/>
      <c r="D856" s="67"/>
      <c r="E856" s="186"/>
      <c r="F856" s="186"/>
      <c r="G856" s="186"/>
      <c r="H856" s="67"/>
      <c r="I856" s="186"/>
      <c r="J856" s="186"/>
      <c r="K856" s="186"/>
      <c r="L856" s="186"/>
      <c r="M856" s="186"/>
    </row>
    <row r="857">
      <c r="A857" s="185"/>
      <c r="B857" s="67"/>
      <c r="C857" s="67"/>
      <c r="D857" s="67"/>
      <c r="E857" s="186"/>
      <c r="F857" s="186"/>
      <c r="G857" s="186"/>
      <c r="H857" s="67"/>
      <c r="I857" s="186"/>
      <c r="J857" s="186"/>
      <c r="K857" s="186"/>
      <c r="L857" s="186"/>
      <c r="M857" s="186"/>
    </row>
    <row r="858">
      <c r="A858" s="185"/>
      <c r="B858" s="67"/>
      <c r="C858" s="67"/>
      <c r="D858" s="67"/>
      <c r="E858" s="186"/>
      <c r="F858" s="186"/>
      <c r="G858" s="186"/>
      <c r="H858" s="67"/>
      <c r="I858" s="186"/>
      <c r="J858" s="186"/>
      <c r="K858" s="186"/>
      <c r="L858" s="186"/>
      <c r="M858" s="186"/>
    </row>
    <row r="859">
      <c r="A859" s="185"/>
      <c r="B859" s="67"/>
      <c r="C859" s="67"/>
      <c r="D859" s="67"/>
      <c r="E859" s="186"/>
      <c r="F859" s="186"/>
      <c r="G859" s="186"/>
      <c r="H859" s="67"/>
      <c r="I859" s="186"/>
      <c r="J859" s="186"/>
      <c r="K859" s="186"/>
      <c r="L859" s="186"/>
      <c r="M859" s="186"/>
    </row>
    <row r="860">
      <c r="A860" s="185"/>
      <c r="B860" s="67"/>
      <c r="C860" s="67"/>
      <c r="D860" s="67"/>
      <c r="E860" s="186"/>
      <c r="F860" s="186"/>
      <c r="G860" s="186"/>
      <c r="H860" s="67"/>
      <c r="I860" s="186"/>
      <c r="J860" s="186"/>
      <c r="K860" s="186"/>
      <c r="L860" s="186"/>
      <c r="M860" s="186"/>
    </row>
    <row r="861">
      <c r="A861" s="185"/>
      <c r="B861" s="67"/>
      <c r="C861" s="67"/>
      <c r="D861" s="67"/>
      <c r="E861" s="186"/>
      <c r="F861" s="186"/>
      <c r="G861" s="186"/>
      <c r="H861" s="67"/>
      <c r="I861" s="186"/>
      <c r="J861" s="186"/>
      <c r="K861" s="186"/>
      <c r="L861" s="186"/>
      <c r="M861" s="186"/>
    </row>
    <row r="862">
      <c r="A862" s="185"/>
      <c r="B862" s="67"/>
      <c r="C862" s="67"/>
      <c r="D862" s="67"/>
      <c r="E862" s="186"/>
      <c r="F862" s="186"/>
      <c r="G862" s="186"/>
      <c r="H862" s="67"/>
      <c r="I862" s="186"/>
      <c r="J862" s="186"/>
      <c r="K862" s="186"/>
      <c r="L862" s="186"/>
      <c r="M862" s="186"/>
    </row>
    <row r="863">
      <c r="A863" s="185"/>
      <c r="B863" s="67"/>
      <c r="C863" s="67"/>
      <c r="D863" s="67"/>
      <c r="E863" s="186"/>
      <c r="F863" s="186"/>
      <c r="G863" s="186"/>
      <c r="H863" s="67"/>
      <c r="I863" s="186"/>
      <c r="J863" s="186"/>
      <c r="K863" s="186"/>
      <c r="L863" s="186"/>
      <c r="M863" s="186"/>
    </row>
    <row r="864">
      <c r="A864" s="185"/>
      <c r="B864" s="67"/>
      <c r="C864" s="67"/>
      <c r="D864" s="67"/>
      <c r="E864" s="186"/>
      <c r="F864" s="186"/>
      <c r="G864" s="186"/>
      <c r="H864" s="67"/>
      <c r="I864" s="186"/>
      <c r="J864" s="186"/>
      <c r="K864" s="186"/>
      <c r="L864" s="186"/>
      <c r="M864" s="186"/>
    </row>
    <row r="865">
      <c r="A865" s="185"/>
      <c r="B865" s="67"/>
      <c r="C865" s="67"/>
      <c r="D865" s="67"/>
      <c r="E865" s="186"/>
      <c r="F865" s="186"/>
      <c r="G865" s="186"/>
      <c r="H865" s="67"/>
      <c r="I865" s="186"/>
      <c r="J865" s="186"/>
      <c r="K865" s="186"/>
      <c r="L865" s="186"/>
      <c r="M865" s="186"/>
    </row>
    <row r="866">
      <c r="A866" s="185"/>
      <c r="B866" s="67"/>
      <c r="C866" s="67"/>
      <c r="D866" s="67"/>
      <c r="E866" s="186"/>
      <c r="F866" s="186"/>
      <c r="G866" s="186"/>
      <c r="H866" s="67"/>
      <c r="I866" s="186"/>
      <c r="J866" s="186"/>
      <c r="K866" s="186"/>
      <c r="L866" s="186"/>
      <c r="M866" s="186"/>
    </row>
    <row r="867">
      <c r="A867" s="185"/>
      <c r="B867" s="67"/>
      <c r="C867" s="67"/>
      <c r="D867" s="67"/>
      <c r="E867" s="186"/>
      <c r="F867" s="186"/>
      <c r="G867" s="186"/>
      <c r="H867" s="67"/>
      <c r="I867" s="186"/>
      <c r="J867" s="186"/>
      <c r="K867" s="186"/>
      <c r="L867" s="186"/>
      <c r="M867" s="186"/>
    </row>
    <row r="868">
      <c r="A868" s="185"/>
      <c r="B868" s="67"/>
      <c r="C868" s="67"/>
      <c r="D868" s="67"/>
      <c r="E868" s="186"/>
      <c r="F868" s="186"/>
      <c r="G868" s="186"/>
      <c r="H868" s="67"/>
      <c r="I868" s="186"/>
      <c r="J868" s="186"/>
      <c r="K868" s="186"/>
      <c r="L868" s="186"/>
      <c r="M868" s="186"/>
    </row>
    <row r="869">
      <c r="A869" s="185"/>
      <c r="B869" s="67"/>
      <c r="C869" s="67"/>
      <c r="D869" s="67"/>
      <c r="E869" s="186"/>
      <c r="F869" s="186"/>
      <c r="G869" s="186"/>
      <c r="H869" s="67"/>
      <c r="I869" s="186"/>
      <c r="J869" s="186"/>
      <c r="K869" s="186"/>
      <c r="L869" s="186"/>
      <c r="M869" s="186"/>
    </row>
    <row r="870">
      <c r="A870" s="185"/>
      <c r="B870" s="67"/>
      <c r="C870" s="67"/>
      <c r="D870" s="67"/>
      <c r="E870" s="186"/>
      <c r="F870" s="186"/>
      <c r="G870" s="186"/>
      <c r="H870" s="67"/>
      <c r="I870" s="186"/>
      <c r="J870" s="186"/>
      <c r="K870" s="186"/>
      <c r="L870" s="186"/>
      <c r="M870" s="186"/>
    </row>
    <row r="871">
      <c r="A871" s="185"/>
      <c r="B871" s="67"/>
      <c r="C871" s="67"/>
      <c r="D871" s="67"/>
      <c r="E871" s="186"/>
      <c r="F871" s="186"/>
      <c r="G871" s="186"/>
      <c r="H871" s="67"/>
      <c r="I871" s="186"/>
      <c r="J871" s="186"/>
      <c r="K871" s="186"/>
      <c r="L871" s="186"/>
      <c r="M871" s="186"/>
    </row>
    <row r="872">
      <c r="A872" s="185"/>
      <c r="B872" s="67"/>
      <c r="C872" s="67"/>
      <c r="D872" s="67"/>
      <c r="E872" s="186"/>
      <c r="F872" s="186"/>
      <c r="G872" s="186"/>
      <c r="H872" s="67"/>
      <c r="I872" s="186"/>
      <c r="J872" s="186"/>
      <c r="K872" s="186"/>
      <c r="L872" s="186"/>
      <c r="M872" s="186"/>
    </row>
    <row r="873">
      <c r="A873" s="185"/>
      <c r="B873" s="67"/>
      <c r="C873" s="67"/>
      <c r="D873" s="67"/>
      <c r="E873" s="186"/>
      <c r="F873" s="186"/>
      <c r="G873" s="186"/>
      <c r="H873" s="67"/>
      <c r="I873" s="186"/>
      <c r="J873" s="186"/>
      <c r="K873" s="186"/>
      <c r="L873" s="186"/>
      <c r="M873" s="186"/>
    </row>
    <row r="874">
      <c r="A874" s="185"/>
      <c r="B874" s="67"/>
      <c r="C874" s="67"/>
      <c r="D874" s="67"/>
      <c r="E874" s="186"/>
      <c r="F874" s="186"/>
      <c r="G874" s="186"/>
      <c r="H874" s="67"/>
      <c r="I874" s="186"/>
      <c r="J874" s="186"/>
      <c r="K874" s="186"/>
      <c r="L874" s="186"/>
      <c r="M874" s="186"/>
    </row>
    <row r="875">
      <c r="A875" s="185"/>
      <c r="B875" s="67"/>
      <c r="C875" s="67"/>
      <c r="D875" s="67"/>
      <c r="E875" s="186"/>
      <c r="F875" s="186"/>
      <c r="G875" s="186"/>
      <c r="H875" s="67"/>
      <c r="I875" s="186"/>
      <c r="J875" s="186"/>
      <c r="K875" s="186"/>
      <c r="L875" s="186"/>
      <c r="M875" s="186"/>
    </row>
    <row r="876">
      <c r="A876" s="185"/>
      <c r="B876" s="67"/>
      <c r="C876" s="67"/>
      <c r="D876" s="67"/>
      <c r="E876" s="186"/>
      <c r="F876" s="186"/>
      <c r="G876" s="186"/>
      <c r="H876" s="67"/>
      <c r="I876" s="186"/>
      <c r="J876" s="186"/>
      <c r="K876" s="186"/>
      <c r="L876" s="186"/>
      <c r="M876" s="186"/>
    </row>
    <row r="877">
      <c r="A877" s="185"/>
      <c r="B877" s="67"/>
      <c r="C877" s="67"/>
      <c r="D877" s="67"/>
      <c r="E877" s="186"/>
      <c r="F877" s="186"/>
      <c r="G877" s="186"/>
      <c r="H877" s="67"/>
      <c r="I877" s="186"/>
      <c r="J877" s="186"/>
      <c r="K877" s="186"/>
      <c r="L877" s="186"/>
      <c r="M877" s="186"/>
    </row>
    <row r="878">
      <c r="A878" s="185"/>
      <c r="B878" s="67"/>
      <c r="C878" s="67"/>
      <c r="D878" s="67"/>
      <c r="E878" s="186"/>
      <c r="F878" s="186"/>
      <c r="G878" s="186"/>
      <c r="H878" s="67"/>
      <c r="I878" s="186"/>
      <c r="J878" s="186"/>
      <c r="K878" s="186"/>
      <c r="L878" s="186"/>
      <c r="M878" s="186"/>
    </row>
    <row r="879">
      <c r="A879" s="185"/>
      <c r="B879" s="67"/>
      <c r="C879" s="67"/>
      <c r="D879" s="67"/>
      <c r="E879" s="186"/>
      <c r="F879" s="186"/>
      <c r="G879" s="186"/>
      <c r="H879" s="67"/>
      <c r="I879" s="186"/>
      <c r="J879" s="186"/>
      <c r="K879" s="186"/>
      <c r="L879" s="186"/>
      <c r="M879" s="186"/>
    </row>
    <row r="880">
      <c r="A880" s="185"/>
      <c r="B880" s="67"/>
      <c r="C880" s="67"/>
      <c r="D880" s="67"/>
      <c r="E880" s="186"/>
      <c r="F880" s="186"/>
      <c r="G880" s="186"/>
      <c r="H880" s="67"/>
      <c r="I880" s="186"/>
      <c r="J880" s="186"/>
      <c r="K880" s="186"/>
      <c r="L880" s="186"/>
      <c r="M880" s="186"/>
    </row>
    <row r="881">
      <c r="A881" s="185"/>
      <c r="B881" s="67"/>
      <c r="C881" s="67"/>
      <c r="D881" s="67"/>
      <c r="E881" s="186"/>
      <c r="F881" s="186"/>
      <c r="G881" s="186"/>
      <c r="H881" s="67"/>
      <c r="I881" s="186"/>
      <c r="J881" s="186"/>
      <c r="K881" s="186"/>
      <c r="L881" s="186"/>
      <c r="M881" s="186"/>
    </row>
    <row r="882">
      <c r="A882" s="185"/>
      <c r="B882" s="67"/>
      <c r="C882" s="67"/>
      <c r="D882" s="67"/>
      <c r="E882" s="186"/>
      <c r="F882" s="186"/>
      <c r="G882" s="186"/>
      <c r="H882" s="67"/>
      <c r="I882" s="186"/>
      <c r="J882" s="186"/>
      <c r="K882" s="186"/>
      <c r="L882" s="186"/>
      <c r="M882" s="186"/>
    </row>
    <row r="883">
      <c r="A883" s="185"/>
      <c r="B883" s="67"/>
      <c r="C883" s="67"/>
      <c r="D883" s="67"/>
      <c r="E883" s="186"/>
      <c r="F883" s="186"/>
      <c r="G883" s="186"/>
      <c r="H883" s="67"/>
      <c r="I883" s="186"/>
      <c r="J883" s="186"/>
      <c r="K883" s="186"/>
      <c r="L883" s="186"/>
      <c r="M883" s="186"/>
    </row>
    <row r="884">
      <c r="A884" s="185"/>
      <c r="B884" s="67"/>
      <c r="C884" s="67"/>
      <c r="D884" s="67"/>
      <c r="E884" s="186"/>
      <c r="F884" s="186"/>
      <c r="G884" s="186"/>
      <c r="H884" s="67"/>
      <c r="I884" s="186"/>
      <c r="J884" s="186"/>
      <c r="K884" s="186"/>
      <c r="L884" s="186"/>
      <c r="M884" s="186"/>
    </row>
    <row r="885">
      <c r="A885" s="185"/>
      <c r="B885" s="67"/>
      <c r="C885" s="67"/>
      <c r="D885" s="67"/>
      <c r="E885" s="186"/>
      <c r="F885" s="186"/>
      <c r="G885" s="186"/>
      <c r="H885" s="67"/>
      <c r="I885" s="186"/>
      <c r="J885" s="186"/>
      <c r="K885" s="186"/>
      <c r="L885" s="186"/>
      <c r="M885" s="186"/>
    </row>
    <row r="886">
      <c r="A886" s="185"/>
      <c r="B886" s="67"/>
      <c r="C886" s="67"/>
      <c r="D886" s="67"/>
      <c r="E886" s="186"/>
      <c r="F886" s="186"/>
      <c r="G886" s="186"/>
      <c r="H886" s="67"/>
      <c r="I886" s="186"/>
      <c r="J886" s="186"/>
      <c r="K886" s="186"/>
      <c r="L886" s="186"/>
      <c r="M886" s="186"/>
    </row>
    <row r="887">
      <c r="A887" s="185"/>
      <c r="B887" s="67"/>
      <c r="C887" s="67"/>
      <c r="D887" s="67"/>
      <c r="E887" s="186"/>
      <c r="F887" s="186"/>
      <c r="G887" s="186"/>
      <c r="H887" s="67"/>
      <c r="I887" s="186"/>
      <c r="J887" s="186"/>
      <c r="K887" s="186"/>
      <c r="L887" s="186"/>
      <c r="M887" s="186"/>
    </row>
    <row r="888">
      <c r="A888" s="185"/>
      <c r="B888" s="67"/>
      <c r="C888" s="67"/>
      <c r="D888" s="67"/>
      <c r="E888" s="186"/>
      <c r="F888" s="186"/>
      <c r="G888" s="186"/>
      <c r="H888" s="67"/>
      <c r="I888" s="186"/>
      <c r="J888" s="186"/>
      <c r="K888" s="186"/>
      <c r="L888" s="186"/>
      <c r="M888" s="186"/>
    </row>
    <row r="889">
      <c r="A889" s="185"/>
      <c r="B889" s="67"/>
      <c r="C889" s="67"/>
      <c r="D889" s="67"/>
      <c r="E889" s="186"/>
      <c r="F889" s="186"/>
      <c r="G889" s="186"/>
      <c r="H889" s="67"/>
      <c r="I889" s="186"/>
      <c r="J889" s="186"/>
      <c r="K889" s="186"/>
      <c r="L889" s="186"/>
      <c r="M889" s="186"/>
    </row>
    <row r="890">
      <c r="A890" s="185"/>
      <c r="B890" s="67"/>
      <c r="C890" s="67"/>
      <c r="D890" s="67"/>
      <c r="E890" s="186"/>
      <c r="F890" s="186"/>
      <c r="G890" s="186"/>
      <c r="H890" s="67"/>
      <c r="I890" s="186"/>
      <c r="J890" s="186"/>
      <c r="K890" s="186"/>
      <c r="L890" s="186"/>
      <c r="M890" s="186"/>
    </row>
    <row r="891">
      <c r="A891" s="185"/>
      <c r="B891" s="67"/>
      <c r="C891" s="67"/>
      <c r="D891" s="67"/>
      <c r="E891" s="186"/>
      <c r="F891" s="186"/>
      <c r="G891" s="186"/>
      <c r="H891" s="67"/>
      <c r="I891" s="186"/>
      <c r="J891" s="186"/>
      <c r="K891" s="186"/>
      <c r="L891" s="186"/>
      <c r="M891" s="186"/>
    </row>
    <row r="892">
      <c r="A892" s="185"/>
      <c r="B892" s="67"/>
      <c r="C892" s="67"/>
      <c r="D892" s="67"/>
      <c r="E892" s="186"/>
      <c r="F892" s="186"/>
      <c r="G892" s="186"/>
      <c r="H892" s="67"/>
      <c r="I892" s="186"/>
      <c r="J892" s="186"/>
      <c r="K892" s="186"/>
      <c r="L892" s="186"/>
      <c r="M892" s="186"/>
    </row>
    <row r="893">
      <c r="A893" s="185"/>
      <c r="B893" s="67"/>
      <c r="C893" s="67"/>
      <c r="D893" s="67"/>
      <c r="E893" s="186"/>
      <c r="F893" s="186"/>
      <c r="G893" s="186"/>
      <c r="H893" s="67"/>
      <c r="I893" s="186"/>
      <c r="J893" s="186"/>
      <c r="K893" s="186"/>
      <c r="L893" s="186"/>
      <c r="M893" s="186"/>
    </row>
    <row r="894">
      <c r="A894" s="185"/>
      <c r="B894" s="67"/>
      <c r="C894" s="67"/>
      <c r="D894" s="67"/>
      <c r="E894" s="186"/>
      <c r="F894" s="186"/>
      <c r="G894" s="186"/>
      <c r="H894" s="67"/>
      <c r="I894" s="186"/>
      <c r="J894" s="186"/>
      <c r="K894" s="186"/>
      <c r="L894" s="186"/>
      <c r="M894" s="186"/>
    </row>
    <row r="895">
      <c r="A895" s="185"/>
      <c r="B895" s="67"/>
      <c r="C895" s="67"/>
      <c r="D895" s="67"/>
      <c r="E895" s="186"/>
      <c r="F895" s="186"/>
      <c r="G895" s="186"/>
      <c r="H895" s="67"/>
      <c r="I895" s="186"/>
      <c r="J895" s="186"/>
      <c r="K895" s="186"/>
      <c r="L895" s="186"/>
      <c r="M895" s="186"/>
    </row>
    <row r="896">
      <c r="A896" s="185"/>
      <c r="B896" s="67"/>
      <c r="C896" s="67"/>
      <c r="D896" s="67"/>
      <c r="E896" s="186"/>
      <c r="F896" s="186"/>
      <c r="G896" s="186"/>
      <c r="H896" s="67"/>
      <c r="I896" s="186"/>
      <c r="J896" s="186"/>
      <c r="K896" s="186"/>
      <c r="L896" s="186"/>
      <c r="M896" s="186"/>
    </row>
    <row r="897">
      <c r="A897" s="185"/>
      <c r="B897" s="67"/>
      <c r="C897" s="67"/>
      <c r="D897" s="67"/>
      <c r="E897" s="186"/>
      <c r="F897" s="186"/>
      <c r="G897" s="186"/>
      <c r="H897" s="67"/>
      <c r="I897" s="186"/>
      <c r="J897" s="186"/>
      <c r="K897" s="186"/>
      <c r="L897" s="186"/>
      <c r="M897" s="186"/>
    </row>
    <row r="898">
      <c r="A898" s="185"/>
      <c r="B898" s="67"/>
      <c r="C898" s="67"/>
      <c r="D898" s="67"/>
      <c r="E898" s="186"/>
      <c r="F898" s="186"/>
      <c r="G898" s="186"/>
      <c r="H898" s="67"/>
      <c r="I898" s="186"/>
      <c r="J898" s="186"/>
      <c r="K898" s="186"/>
      <c r="L898" s="186"/>
      <c r="M898" s="186"/>
    </row>
    <row r="899">
      <c r="A899" s="185"/>
      <c r="B899" s="67"/>
      <c r="C899" s="67"/>
      <c r="D899" s="67"/>
      <c r="E899" s="186"/>
      <c r="F899" s="186"/>
      <c r="G899" s="186"/>
      <c r="H899" s="67"/>
      <c r="I899" s="186"/>
      <c r="J899" s="186"/>
      <c r="K899" s="186"/>
      <c r="L899" s="186"/>
      <c r="M899" s="186"/>
    </row>
    <row r="900">
      <c r="A900" s="185"/>
      <c r="B900" s="67"/>
      <c r="C900" s="67"/>
      <c r="D900" s="67"/>
      <c r="E900" s="186"/>
      <c r="F900" s="186"/>
      <c r="G900" s="186"/>
      <c r="H900" s="67"/>
      <c r="I900" s="186"/>
      <c r="J900" s="186"/>
      <c r="K900" s="186"/>
      <c r="L900" s="186"/>
      <c r="M900" s="186"/>
    </row>
    <row r="901">
      <c r="A901" s="185"/>
      <c r="B901" s="67"/>
      <c r="C901" s="67"/>
      <c r="D901" s="67"/>
      <c r="E901" s="186"/>
      <c r="F901" s="186"/>
      <c r="G901" s="186"/>
      <c r="H901" s="67"/>
      <c r="I901" s="186"/>
      <c r="J901" s="186"/>
      <c r="K901" s="186"/>
      <c r="L901" s="186"/>
      <c r="M901" s="186"/>
    </row>
    <row r="902">
      <c r="A902" s="185"/>
      <c r="B902" s="67"/>
      <c r="C902" s="67"/>
      <c r="D902" s="67"/>
      <c r="E902" s="186"/>
      <c r="F902" s="186"/>
      <c r="G902" s="186"/>
      <c r="H902" s="67"/>
      <c r="I902" s="186"/>
      <c r="J902" s="186"/>
      <c r="K902" s="186"/>
      <c r="L902" s="186"/>
      <c r="M902" s="186"/>
    </row>
    <row r="903">
      <c r="A903" s="185"/>
      <c r="B903" s="67"/>
      <c r="C903" s="67"/>
      <c r="D903" s="67"/>
      <c r="E903" s="186"/>
      <c r="F903" s="186"/>
      <c r="G903" s="186"/>
      <c r="H903" s="67"/>
      <c r="I903" s="186"/>
      <c r="J903" s="186"/>
      <c r="K903" s="186"/>
      <c r="L903" s="186"/>
      <c r="M903" s="186"/>
    </row>
    <row r="904">
      <c r="A904" s="185"/>
      <c r="B904" s="67"/>
      <c r="C904" s="67"/>
      <c r="D904" s="67"/>
      <c r="E904" s="186"/>
      <c r="F904" s="186"/>
      <c r="G904" s="186"/>
      <c r="H904" s="67"/>
      <c r="I904" s="186"/>
      <c r="J904" s="186"/>
      <c r="K904" s="186"/>
      <c r="L904" s="186"/>
      <c r="M904" s="186"/>
    </row>
    <row r="905">
      <c r="A905" s="185"/>
      <c r="B905" s="67"/>
      <c r="C905" s="67"/>
      <c r="D905" s="67"/>
      <c r="E905" s="186"/>
      <c r="F905" s="186"/>
      <c r="G905" s="186"/>
      <c r="H905" s="67"/>
      <c r="I905" s="186"/>
      <c r="J905" s="186"/>
      <c r="K905" s="186"/>
      <c r="L905" s="186"/>
      <c r="M905" s="186"/>
    </row>
    <row r="906">
      <c r="A906" s="185"/>
      <c r="B906" s="67"/>
      <c r="C906" s="67"/>
      <c r="D906" s="67"/>
      <c r="E906" s="186"/>
      <c r="F906" s="186"/>
      <c r="G906" s="186"/>
      <c r="H906" s="67"/>
      <c r="I906" s="186"/>
      <c r="J906" s="186"/>
      <c r="K906" s="186"/>
      <c r="L906" s="186"/>
      <c r="M906" s="186"/>
    </row>
    <row r="907">
      <c r="A907" s="185"/>
      <c r="B907" s="67"/>
      <c r="C907" s="67"/>
      <c r="D907" s="67"/>
      <c r="E907" s="186"/>
      <c r="F907" s="186"/>
      <c r="G907" s="186"/>
      <c r="H907" s="67"/>
      <c r="I907" s="186"/>
      <c r="J907" s="186"/>
      <c r="K907" s="186"/>
      <c r="L907" s="186"/>
      <c r="M907" s="186"/>
    </row>
    <row r="908">
      <c r="A908" s="185"/>
      <c r="B908" s="67"/>
      <c r="C908" s="67"/>
      <c r="D908" s="67"/>
      <c r="E908" s="186"/>
      <c r="F908" s="186"/>
      <c r="G908" s="186"/>
      <c r="H908" s="67"/>
      <c r="I908" s="186"/>
      <c r="J908" s="186"/>
      <c r="K908" s="186"/>
      <c r="L908" s="186"/>
      <c r="M908" s="186"/>
    </row>
    <row r="909">
      <c r="A909" s="185"/>
      <c r="B909" s="67"/>
      <c r="C909" s="67"/>
      <c r="D909" s="67"/>
      <c r="E909" s="186"/>
      <c r="F909" s="186"/>
      <c r="G909" s="186"/>
      <c r="H909" s="67"/>
      <c r="I909" s="186"/>
      <c r="J909" s="186"/>
      <c r="K909" s="186"/>
      <c r="L909" s="186"/>
      <c r="M909" s="186"/>
    </row>
    <row r="910">
      <c r="A910" s="185"/>
      <c r="B910" s="67"/>
      <c r="C910" s="67"/>
      <c r="D910" s="67"/>
      <c r="E910" s="186"/>
      <c r="F910" s="186"/>
      <c r="G910" s="186"/>
      <c r="H910" s="67"/>
      <c r="I910" s="186"/>
      <c r="J910" s="186"/>
      <c r="K910" s="186"/>
      <c r="L910" s="186"/>
      <c r="M910" s="186"/>
    </row>
    <row r="911">
      <c r="A911" s="185"/>
      <c r="B911" s="67"/>
      <c r="C911" s="67"/>
      <c r="D911" s="67"/>
      <c r="E911" s="186"/>
      <c r="F911" s="186"/>
      <c r="G911" s="186"/>
      <c r="H911" s="67"/>
      <c r="I911" s="186"/>
      <c r="J911" s="186"/>
      <c r="K911" s="186"/>
      <c r="L911" s="186"/>
      <c r="M911" s="186"/>
    </row>
    <row r="912">
      <c r="A912" s="185"/>
      <c r="B912" s="67"/>
      <c r="C912" s="67"/>
      <c r="D912" s="67"/>
      <c r="E912" s="186"/>
      <c r="F912" s="186"/>
      <c r="G912" s="186"/>
      <c r="H912" s="67"/>
      <c r="I912" s="186"/>
      <c r="J912" s="186"/>
      <c r="K912" s="186"/>
      <c r="L912" s="186"/>
      <c r="M912" s="186"/>
    </row>
    <row r="913">
      <c r="A913" s="185"/>
      <c r="B913" s="67"/>
      <c r="C913" s="67"/>
      <c r="D913" s="67"/>
      <c r="E913" s="186"/>
      <c r="F913" s="186"/>
      <c r="G913" s="186"/>
      <c r="H913" s="67"/>
      <c r="I913" s="186"/>
      <c r="J913" s="186"/>
      <c r="K913" s="186"/>
      <c r="L913" s="186"/>
      <c r="M913" s="186"/>
    </row>
    <row r="914">
      <c r="A914" s="185"/>
      <c r="B914" s="67"/>
      <c r="C914" s="67"/>
      <c r="D914" s="67"/>
      <c r="E914" s="186"/>
      <c r="F914" s="186"/>
      <c r="G914" s="186"/>
      <c r="H914" s="67"/>
      <c r="I914" s="186"/>
      <c r="J914" s="186"/>
      <c r="K914" s="186"/>
      <c r="L914" s="186"/>
      <c r="M914" s="186"/>
    </row>
    <row r="915">
      <c r="A915" s="185"/>
      <c r="B915" s="67"/>
      <c r="C915" s="67"/>
      <c r="D915" s="67"/>
      <c r="E915" s="186"/>
      <c r="F915" s="186"/>
      <c r="G915" s="186"/>
      <c r="H915" s="67"/>
      <c r="I915" s="186"/>
      <c r="J915" s="186"/>
      <c r="K915" s="186"/>
      <c r="L915" s="186"/>
      <c r="M915" s="186"/>
    </row>
    <row r="916">
      <c r="A916" s="185"/>
      <c r="B916" s="67"/>
      <c r="C916" s="67"/>
      <c r="D916" s="67"/>
      <c r="E916" s="186"/>
      <c r="F916" s="186"/>
      <c r="G916" s="186"/>
      <c r="H916" s="67"/>
      <c r="I916" s="186"/>
      <c r="J916" s="186"/>
      <c r="K916" s="186"/>
      <c r="L916" s="186"/>
      <c r="M916" s="186"/>
    </row>
    <row r="917">
      <c r="A917" s="185"/>
      <c r="B917" s="67"/>
      <c r="C917" s="67"/>
      <c r="D917" s="67"/>
      <c r="E917" s="186"/>
      <c r="F917" s="186"/>
      <c r="G917" s="186"/>
      <c r="H917" s="67"/>
      <c r="I917" s="186"/>
      <c r="J917" s="186"/>
      <c r="K917" s="186"/>
      <c r="L917" s="186"/>
      <c r="M917" s="186"/>
    </row>
    <row r="918">
      <c r="A918" s="185"/>
      <c r="B918" s="67"/>
      <c r="C918" s="67"/>
      <c r="D918" s="67"/>
      <c r="E918" s="186"/>
      <c r="F918" s="186"/>
      <c r="G918" s="186"/>
      <c r="H918" s="67"/>
      <c r="I918" s="186"/>
      <c r="J918" s="186"/>
      <c r="K918" s="186"/>
      <c r="L918" s="186"/>
      <c r="M918" s="186"/>
    </row>
    <row r="919">
      <c r="A919" s="185"/>
      <c r="B919" s="67"/>
      <c r="C919" s="67"/>
      <c r="D919" s="67"/>
      <c r="E919" s="186"/>
      <c r="F919" s="186"/>
      <c r="G919" s="186"/>
      <c r="H919" s="67"/>
      <c r="I919" s="186"/>
      <c r="J919" s="186"/>
      <c r="K919" s="186"/>
      <c r="L919" s="186"/>
      <c r="M919" s="186"/>
    </row>
    <row r="920">
      <c r="A920" s="185"/>
      <c r="B920" s="67"/>
      <c r="C920" s="67"/>
      <c r="D920" s="67"/>
      <c r="E920" s="186"/>
      <c r="F920" s="186"/>
      <c r="G920" s="186"/>
      <c r="H920" s="67"/>
      <c r="I920" s="186"/>
      <c r="J920" s="186"/>
      <c r="K920" s="186"/>
      <c r="L920" s="186"/>
      <c r="M920" s="186"/>
    </row>
    <row r="921">
      <c r="A921" s="185"/>
      <c r="B921" s="67"/>
      <c r="C921" s="67"/>
      <c r="D921" s="67"/>
      <c r="E921" s="186"/>
      <c r="F921" s="186"/>
      <c r="G921" s="186"/>
      <c r="H921" s="67"/>
      <c r="I921" s="186"/>
      <c r="J921" s="186"/>
      <c r="K921" s="186"/>
      <c r="L921" s="186"/>
      <c r="M921" s="186"/>
    </row>
    <row r="922">
      <c r="A922" s="185"/>
      <c r="B922" s="67"/>
      <c r="C922" s="67"/>
      <c r="D922" s="67"/>
      <c r="E922" s="186"/>
      <c r="F922" s="186"/>
      <c r="G922" s="186"/>
      <c r="H922" s="67"/>
      <c r="I922" s="186"/>
      <c r="J922" s="186"/>
      <c r="K922" s="186"/>
      <c r="L922" s="186"/>
      <c r="M922" s="186"/>
    </row>
    <row r="923">
      <c r="A923" s="185"/>
      <c r="B923" s="67"/>
      <c r="C923" s="67"/>
      <c r="D923" s="67"/>
      <c r="E923" s="186"/>
      <c r="F923" s="186"/>
      <c r="G923" s="186"/>
      <c r="H923" s="67"/>
      <c r="I923" s="186"/>
      <c r="J923" s="186"/>
      <c r="K923" s="186"/>
      <c r="L923" s="186"/>
      <c r="M923" s="186"/>
    </row>
    <row r="924">
      <c r="A924" s="185"/>
      <c r="B924" s="67"/>
      <c r="C924" s="67"/>
      <c r="D924" s="67"/>
      <c r="E924" s="186"/>
      <c r="F924" s="186"/>
      <c r="G924" s="186"/>
      <c r="H924" s="67"/>
      <c r="I924" s="186"/>
      <c r="J924" s="186"/>
      <c r="K924" s="186"/>
      <c r="L924" s="186"/>
      <c r="M924" s="186"/>
    </row>
    <row r="925">
      <c r="A925" s="185"/>
      <c r="B925" s="67"/>
      <c r="C925" s="67"/>
      <c r="D925" s="67"/>
      <c r="E925" s="186"/>
      <c r="F925" s="186"/>
      <c r="G925" s="186"/>
      <c r="H925" s="67"/>
      <c r="I925" s="186"/>
      <c r="J925" s="186"/>
      <c r="K925" s="186"/>
      <c r="L925" s="186"/>
      <c r="M925" s="186"/>
    </row>
    <row r="926">
      <c r="A926" s="185"/>
      <c r="B926" s="67"/>
      <c r="C926" s="67"/>
      <c r="D926" s="67"/>
      <c r="E926" s="186"/>
      <c r="F926" s="186"/>
      <c r="G926" s="186"/>
      <c r="H926" s="67"/>
      <c r="I926" s="186"/>
      <c r="J926" s="186"/>
      <c r="K926" s="186"/>
      <c r="L926" s="186"/>
      <c r="M926" s="186"/>
    </row>
    <row r="927">
      <c r="A927" s="185"/>
      <c r="B927" s="67"/>
      <c r="C927" s="67"/>
      <c r="D927" s="67"/>
      <c r="E927" s="186"/>
      <c r="F927" s="186"/>
      <c r="G927" s="186"/>
      <c r="H927" s="67"/>
      <c r="I927" s="186"/>
      <c r="J927" s="186"/>
      <c r="K927" s="186"/>
      <c r="L927" s="186"/>
      <c r="M927" s="186"/>
    </row>
    <row r="928">
      <c r="A928" s="185"/>
      <c r="B928" s="67"/>
      <c r="C928" s="67"/>
      <c r="D928" s="67"/>
      <c r="E928" s="186"/>
      <c r="F928" s="186"/>
      <c r="G928" s="186"/>
      <c r="H928" s="67"/>
      <c r="I928" s="186"/>
      <c r="J928" s="186"/>
      <c r="K928" s="186"/>
      <c r="L928" s="186"/>
      <c r="M928" s="186"/>
    </row>
    <row r="929">
      <c r="A929" s="185"/>
      <c r="B929" s="67"/>
      <c r="C929" s="67"/>
      <c r="D929" s="67"/>
      <c r="E929" s="186"/>
      <c r="F929" s="186"/>
      <c r="G929" s="186"/>
      <c r="H929" s="67"/>
      <c r="I929" s="186"/>
      <c r="J929" s="186"/>
      <c r="K929" s="186"/>
      <c r="L929" s="186"/>
      <c r="M929" s="186"/>
    </row>
    <row r="930">
      <c r="A930" s="185"/>
      <c r="B930" s="67"/>
      <c r="C930" s="67"/>
      <c r="D930" s="67"/>
      <c r="E930" s="186"/>
      <c r="F930" s="186"/>
      <c r="G930" s="186"/>
      <c r="H930" s="67"/>
      <c r="I930" s="186"/>
      <c r="J930" s="186"/>
      <c r="K930" s="186"/>
      <c r="L930" s="186"/>
      <c r="M930" s="186"/>
    </row>
    <row r="931">
      <c r="A931" s="185"/>
      <c r="B931" s="67"/>
      <c r="C931" s="67"/>
      <c r="D931" s="67"/>
      <c r="E931" s="186"/>
      <c r="F931" s="186"/>
      <c r="G931" s="186"/>
      <c r="H931" s="67"/>
      <c r="I931" s="186"/>
      <c r="J931" s="186"/>
      <c r="K931" s="186"/>
      <c r="L931" s="186"/>
      <c r="M931" s="186"/>
    </row>
    <row r="932">
      <c r="A932" s="185"/>
      <c r="B932" s="67"/>
      <c r="C932" s="67"/>
      <c r="D932" s="67"/>
      <c r="E932" s="186"/>
      <c r="F932" s="186"/>
      <c r="G932" s="186"/>
      <c r="H932" s="67"/>
      <c r="I932" s="186"/>
      <c r="J932" s="186"/>
      <c r="K932" s="186"/>
      <c r="L932" s="186"/>
      <c r="M932" s="186"/>
    </row>
    <row r="933">
      <c r="A933" s="185"/>
      <c r="B933" s="67"/>
      <c r="C933" s="67"/>
      <c r="D933" s="67"/>
      <c r="E933" s="186"/>
      <c r="F933" s="186"/>
      <c r="G933" s="186"/>
      <c r="H933" s="67"/>
      <c r="I933" s="186"/>
      <c r="J933" s="186"/>
      <c r="K933" s="186"/>
      <c r="L933" s="186"/>
      <c r="M933" s="186"/>
    </row>
    <row r="934">
      <c r="A934" s="185"/>
      <c r="B934" s="67"/>
      <c r="C934" s="67"/>
      <c r="D934" s="67"/>
      <c r="E934" s="186"/>
      <c r="F934" s="186"/>
      <c r="G934" s="186"/>
      <c r="H934" s="67"/>
      <c r="I934" s="186"/>
      <c r="J934" s="186"/>
      <c r="K934" s="186"/>
      <c r="L934" s="186"/>
      <c r="M934" s="186"/>
    </row>
    <row r="935">
      <c r="A935" s="185"/>
      <c r="B935" s="67"/>
      <c r="C935" s="67"/>
      <c r="D935" s="67"/>
      <c r="E935" s="186"/>
      <c r="F935" s="186"/>
      <c r="G935" s="186"/>
      <c r="H935" s="67"/>
      <c r="I935" s="186"/>
      <c r="J935" s="186"/>
      <c r="K935" s="186"/>
      <c r="L935" s="186"/>
      <c r="M935" s="186"/>
    </row>
    <row r="936">
      <c r="A936" s="185"/>
      <c r="B936" s="67"/>
      <c r="C936" s="67"/>
      <c r="D936" s="67"/>
      <c r="E936" s="186"/>
      <c r="F936" s="186"/>
      <c r="G936" s="186"/>
      <c r="H936" s="67"/>
      <c r="I936" s="186"/>
      <c r="J936" s="186"/>
      <c r="K936" s="186"/>
      <c r="L936" s="186"/>
      <c r="M936" s="186"/>
    </row>
    <row r="937">
      <c r="A937" s="185"/>
      <c r="B937" s="67"/>
      <c r="C937" s="67"/>
      <c r="D937" s="67"/>
      <c r="E937" s="186"/>
      <c r="F937" s="186"/>
      <c r="G937" s="186"/>
      <c r="H937" s="67"/>
      <c r="I937" s="186"/>
      <c r="J937" s="186"/>
      <c r="K937" s="186"/>
      <c r="L937" s="186"/>
      <c r="M937" s="186"/>
    </row>
    <row r="938">
      <c r="A938" s="185"/>
      <c r="B938" s="67"/>
      <c r="C938" s="67"/>
      <c r="D938" s="67"/>
      <c r="E938" s="186"/>
      <c r="F938" s="186"/>
      <c r="G938" s="186"/>
      <c r="H938" s="67"/>
      <c r="I938" s="186"/>
      <c r="J938" s="186"/>
      <c r="K938" s="186"/>
      <c r="L938" s="186"/>
      <c r="M938" s="186"/>
    </row>
    <row r="939">
      <c r="A939" s="185"/>
      <c r="B939" s="67"/>
      <c r="C939" s="67"/>
      <c r="D939" s="67"/>
      <c r="E939" s="186"/>
      <c r="F939" s="186"/>
      <c r="G939" s="186"/>
      <c r="H939" s="67"/>
      <c r="I939" s="186"/>
      <c r="J939" s="186"/>
      <c r="K939" s="186"/>
      <c r="L939" s="186"/>
      <c r="M939" s="186"/>
    </row>
    <row r="940">
      <c r="A940" s="185"/>
      <c r="B940" s="67"/>
      <c r="C940" s="67"/>
      <c r="D940" s="67"/>
      <c r="E940" s="186"/>
      <c r="F940" s="186"/>
      <c r="G940" s="186"/>
      <c r="H940" s="67"/>
      <c r="I940" s="186"/>
      <c r="J940" s="186"/>
      <c r="K940" s="186"/>
      <c r="L940" s="186"/>
      <c r="M940" s="186"/>
    </row>
    <row r="941">
      <c r="A941" s="185"/>
      <c r="B941" s="67"/>
      <c r="C941" s="67"/>
      <c r="D941" s="67"/>
      <c r="E941" s="186"/>
      <c r="F941" s="186"/>
      <c r="G941" s="186"/>
      <c r="H941" s="67"/>
      <c r="I941" s="186"/>
      <c r="J941" s="186"/>
      <c r="K941" s="186"/>
      <c r="L941" s="186"/>
      <c r="M941" s="186"/>
    </row>
    <row r="942">
      <c r="A942" s="185"/>
      <c r="B942" s="67"/>
      <c r="C942" s="67"/>
      <c r="D942" s="67"/>
      <c r="E942" s="186"/>
      <c r="F942" s="186"/>
      <c r="G942" s="186"/>
      <c r="H942" s="67"/>
      <c r="I942" s="186"/>
      <c r="J942" s="186"/>
      <c r="K942" s="186"/>
      <c r="L942" s="186"/>
      <c r="M942" s="186"/>
    </row>
    <row r="943">
      <c r="A943" s="185"/>
      <c r="B943" s="67"/>
      <c r="C943" s="67"/>
      <c r="D943" s="67"/>
      <c r="E943" s="186"/>
      <c r="F943" s="186"/>
      <c r="G943" s="186"/>
      <c r="H943" s="67"/>
      <c r="I943" s="186"/>
      <c r="J943" s="186"/>
      <c r="K943" s="186"/>
      <c r="L943" s="186"/>
      <c r="M943" s="186"/>
    </row>
    <row r="944">
      <c r="A944" s="185"/>
      <c r="B944" s="67"/>
      <c r="C944" s="67"/>
      <c r="D944" s="67"/>
      <c r="E944" s="186"/>
      <c r="F944" s="186"/>
      <c r="G944" s="186"/>
      <c r="H944" s="67"/>
      <c r="I944" s="186"/>
      <c r="J944" s="186"/>
      <c r="K944" s="186"/>
      <c r="L944" s="186"/>
      <c r="M944" s="186"/>
    </row>
    <row r="945">
      <c r="A945" s="185"/>
      <c r="B945" s="67"/>
      <c r="C945" s="67"/>
      <c r="D945" s="67"/>
      <c r="E945" s="186"/>
      <c r="F945" s="186"/>
      <c r="G945" s="186"/>
      <c r="H945" s="67"/>
      <c r="I945" s="186"/>
      <c r="J945" s="186"/>
      <c r="K945" s="186"/>
      <c r="L945" s="186"/>
      <c r="M945" s="186"/>
    </row>
    <row r="946">
      <c r="A946" s="185"/>
      <c r="B946" s="67"/>
      <c r="C946" s="67"/>
      <c r="D946" s="67"/>
      <c r="E946" s="186"/>
      <c r="F946" s="186"/>
      <c r="G946" s="186"/>
      <c r="H946" s="67"/>
      <c r="I946" s="186"/>
      <c r="J946" s="186"/>
      <c r="K946" s="186"/>
      <c r="L946" s="186"/>
      <c r="M946" s="186"/>
    </row>
    <row r="947">
      <c r="A947" s="185"/>
      <c r="B947" s="67"/>
      <c r="C947" s="67"/>
      <c r="D947" s="67"/>
      <c r="E947" s="186"/>
      <c r="F947" s="186"/>
      <c r="G947" s="186"/>
      <c r="H947" s="67"/>
      <c r="I947" s="186"/>
      <c r="J947" s="186"/>
      <c r="K947" s="186"/>
      <c r="L947" s="186"/>
      <c r="M947" s="186"/>
    </row>
    <row r="948">
      <c r="A948" s="185"/>
      <c r="B948" s="67"/>
      <c r="C948" s="67"/>
      <c r="D948" s="67"/>
      <c r="E948" s="186"/>
      <c r="F948" s="186"/>
      <c r="G948" s="186"/>
      <c r="H948" s="67"/>
      <c r="I948" s="186"/>
      <c r="J948" s="186"/>
      <c r="K948" s="186"/>
      <c r="L948" s="186"/>
      <c r="M948" s="186"/>
    </row>
    <row r="949">
      <c r="A949" s="185"/>
      <c r="B949" s="67"/>
      <c r="C949" s="67"/>
      <c r="D949" s="67"/>
      <c r="E949" s="186"/>
      <c r="F949" s="186"/>
      <c r="G949" s="186"/>
      <c r="H949" s="67"/>
      <c r="I949" s="186"/>
      <c r="J949" s="186"/>
      <c r="K949" s="186"/>
      <c r="L949" s="186"/>
      <c r="M949" s="186"/>
    </row>
    <row r="950">
      <c r="A950" s="185"/>
      <c r="B950" s="67"/>
      <c r="C950" s="67"/>
      <c r="D950" s="67"/>
      <c r="E950" s="186"/>
      <c r="F950" s="186"/>
      <c r="G950" s="186"/>
      <c r="H950" s="67"/>
      <c r="I950" s="186"/>
      <c r="J950" s="186"/>
      <c r="K950" s="186"/>
      <c r="L950" s="186"/>
      <c r="M950" s="186"/>
    </row>
    <row r="951">
      <c r="A951" s="185"/>
      <c r="B951" s="67"/>
      <c r="C951" s="67"/>
      <c r="D951" s="67"/>
      <c r="E951" s="186"/>
      <c r="F951" s="186"/>
      <c r="G951" s="186"/>
      <c r="H951" s="67"/>
      <c r="I951" s="186"/>
      <c r="J951" s="186"/>
      <c r="K951" s="186"/>
      <c r="L951" s="186"/>
      <c r="M951" s="186"/>
    </row>
    <row r="952">
      <c r="A952" s="185"/>
      <c r="B952" s="67"/>
      <c r="C952" s="67"/>
      <c r="D952" s="67"/>
      <c r="E952" s="186"/>
      <c r="F952" s="186"/>
      <c r="G952" s="186"/>
      <c r="H952" s="67"/>
      <c r="I952" s="186"/>
      <c r="J952" s="186"/>
      <c r="K952" s="186"/>
      <c r="L952" s="186"/>
      <c r="M952" s="186"/>
    </row>
    <row r="953">
      <c r="A953" s="185"/>
      <c r="B953" s="67"/>
      <c r="C953" s="67"/>
      <c r="D953" s="67"/>
      <c r="E953" s="186"/>
      <c r="F953" s="186"/>
      <c r="G953" s="186"/>
      <c r="H953" s="67"/>
      <c r="I953" s="186"/>
      <c r="J953" s="186"/>
      <c r="K953" s="186"/>
      <c r="L953" s="186"/>
      <c r="M953" s="186"/>
    </row>
    <row r="954">
      <c r="A954" s="185"/>
      <c r="B954" s="67"/>
      <c r="C954" s="67"/>
      <c r="D954" s="67"/>
      <c r="E954" s="186"/>
      <c r="F954" s="186"/>
      <c r="G954" s="186"/>
      <c r="H954" s="67"/>
      <c r="I954" s="186"/>
      <c r="J954" s="186"/>
      <c r="K954" s="186"/>
      <c r="L954" s="186"/>
      <c r="M954" s="186"/>
    </row>
    <row r="955">
      <c r="A955" s="185"/>
      <c r="B955" s="67"/>
      <c r="C955" s="67"/>
      <c r="D955" s="67"/>
      <c r="E955" s="186"/>
      <c r="F955" s="186"/>
      <c r="G955" s="186"/>
      <c r="H955" s="67"/>
      <c r="I955" s="186"/>
      <c r="J955" s="186"/>
      <c r="K955" s="186"/>
      <c r="L955" s="186"/>
      <c r="M955" s="186"/>
    </row>
    <row r="956">
      <c r="A956" s="185"/>
      <c r="B956" s="67"/>
      <c r="C956" s="67"/>
      <c r="D956" s="67"/>
      <c r="E956" s="186"/>
      <c r="F956" s="186"/>
      <c r="G956" s="186"/>
      <c r="H956" s="67"/>
      <c r="I956" s="186"/>
      <c r="J956" s="186"/>
      <c r="K956" s="186"/>
      <c r="L956" s="186"/>
      <c r="M956" s="186"/>
    </row>
    <row r="957">
      <c r="A957" s="185"/>
      <c r="B957" s="67"/>
      <c r="C957" s="67"/>
      <c r="D957" s="67"/>
      <c r="E957" s="186"/>
      <c r="F957" s="186"/>
      <c r="G957" s="186"/>
      <c r="H957" s="67"/>
      <c r="I957" s="186"/>
      <c r="J957" s="186"/>
      <c r="K957" s="186"/>
      <c r="L957" s="186"/>
      <c r="M957" s="186"/>
    </row>
    <row r="958">
      <c r="A958" s="185"/>
      <c r="B958" s="67"/>
      <c r="C958" s="67"/>
      <c r="D958" s="67"/>
      <c r="E958" s="186"/>
      <c r="F958" s="186"/>
      <c r="G958" s="186"/>
      <c r="H958" s="67"/>
      <c r="I958" s="186"/>
      <c r="J958" s="186"/>
      <c r="K958" s="186"/>
      <c r="L958" s="186"/>
      <c r="M958" s="186"/>
    </row>
    <row r="959">
      <c r="A959" s="185"/>
      <c r="B959" s="67"/>
      <c r="C959" s="67"/>
      <c r="D959" s="67"/>
      <c r="E959" s="186"/>
      <c r="F959" s="186"/>
      <c r="G959" s="186"/>
      <c r="H959" s="67"/>
      <c r="I959" s="186"/>
      <c r="J959" s="186"/>
      <c r="K959" s="186"/>
      <c r="L959" s="186"/>
      <c r="M959" s="186"/>
    </row>
    <row r="960">
      <c r="A960" s="185"/>
      <c r="B960" s="67"/>
      <c r="C960" s="67"/>
      <c r="D960" s="67"/>
      <c r="E960" s="186"/>
      <c r="F960" s="186"/>
      <c r="G960" s="186"/>
      <c r="H960" s="67"/>
      <c r="I960" s="186"/>
      <c r="J960" s="186"/>
      <c r="K960" s="186"/>
      <c r="L960" s="186"/>
      <c r="M960" s="186"/>
    </row>
    <row r="961">
      <c r="A961" s="185"/>
      <c r="B961" s="67"/>
      <c r="C961" s="67"/>
      <c r="D961" s="67"/>
      <c r="E961" s="186"/>
      <c r="F961" s="186"/>
      <c r="G961" s="186"/>
      <c r="H961" s="67"/>
      <c r="I961" s="186"/>
      <c r="J961" s="186"/>
      <c r="K961" s="186"/>
      <c r="L961" s="186"/>
      <c r="M961" s="186"/>
    </row>
    <row r="962">
      <c r="A962" s="185"/>
      <c r="B962" s="67"/>
      <c r="C962" s="67"/>
      <c r="D962" s="67"/>
      <c r="E962" s="186"/>
      <c r="F962" s="186"/>
      <c r="G962" s="186"/>
      <c r="H962" s="67"/>
      <c r="I962" s="186"/>
      <c r="J962" s="186"/>
      <c r="K962" s="186"/>
      <c r="L962" s="186"/>
      <c r="M962" s="186"/>
    </row>
    <row r="963">
      <c r="A963" s="185"/>
      <c r="B963" s="67"/>
      <c r="C963" s="67"/>
      <c r="D963" s="67"/>
      <c r="E963" s="186"/>
      <c r="F963" s="186"/>
      <c r="G963" s="186"/>
      <c r="H963" s="67"/>
      <c r="I963" s="186"/>
      <c r="J963" s="186"/>
      <c r="K963" s="186"/>
      <c r="L963" s="186"/>
      <c r="M963" s="186"/>
    </row>
    <row r="964">
      <c r="A964" s="185"/>
      <c r="B964" s="67"/>
      <c r="C964" s="67"/>
      <c r="D964" s="67"/>
      <c r="E964" s="186"/>
      <c r="F964" s="186"/>
      <c r="G964" s="186"/>
      <c r="H964" s="67"/>
      <c r="I964" s="186"/>
      <c r="J964" s="186"/>
      <c r="K964" s="186"/>
      <c r="L964" s="186"/>
      <c r="M964" s="186"/>
    </row>
    <row r="965">
      <c r="A965" s="185"/>
      <c r="B965" s="67"/>
      <c r="C965" s="67"/>
      <c r="D965" s="67"/>
      <c r="E965" s="186"/>
      <c r="F965" s="186"/>
      <c r="G965" s="186"/>
      <c r="H965" s="67"/>
      <c r="I965" s="186"/>
      <c r="J965" s="186"/>
      <c r="K965" s="186"/>
      <c r="L965" s="186"/>
      <c r="M965" s="186"/>
    </row>
    <row r="966">
      <c r="A966" s="185"/>
      <c r="B966" s="67"/>
      <c r="C966" s="67"/>
      <c r="D966" s="67"/>
      <c r="E966" s="186"/>
      <c r="F966" s="186"/>
      <c r="G966" s="186"/>
      <c r="H966" s="67"/>
      <c r="I966" s="186"/>
      <c r="J966" s="186"/>
      <c r="K966" s="186"/>
      <c r="L966" s="186"/>
      <c r="M966" s="186"/>
    </row>
    <row r="967">
      <c r="A967" s="185"/>
      <c r="B967" s="67"/>
      <c r="C967" s="67"/>
      <c r="D967" s="67"/>
      <c r="E967" s="186"/>
      <c r="F967" s="186"/>
      <c r="G967" s="186"/>
      <c r="H967" s="67"/>
      <c r="I967" s="186"/>
      <c r="J967" s="186"/>
      <c r="K967" s="186"/>
      <c r="L967" s="186"/>
      <c r="M967" s="186"/>
    </row>
    <row r="968">
      <c r="A968" s="185"/>
      <c r="B968" s="67"/>
      <c r="C968" s="67"/>
      <c r="D968" s="67"/>
      <c r="E968" s="186"/>
      <c r="F968" s="186"/>
      <c r="G968" s="186"/>
      <c r="H968" s="67"/>
      <c r="I968" s="186"/>
      <c r="J968" s="186"/>
      <c r="K968" s="186"/>
      <c r="L968" s="186"/>
      <c r="M968" s="186"/>
    </row>
    <row r="969">
      <c r="A969" s="185"/>
      <c r="B969" s="67"/>
      <c r="C969" s="67"/>
      <c r="D969" s="67"/>
      <c r="E969" s="186"/>
      <c r="F969" s="186"/>
      <c r="G969" s="186"/>
      <c r="H969" s="67"/>
      <c r="I969" s="186"/>
      <c r="J969" s="186"/>
      <c r="K969" s="186"/>
      <c r="L969" s="186"/>
      <c r="M969" s="186"/>
    </row>
    <row r="970">
      <c r="A970" s="185"/>
      <c r="B970" s="67"/>
      <c r="C970" s="67"/>
      <c r="D970" s="67"/>
      <c r="E970" s="186"/>
      <c r="F970" s="186"/>
      <c r="G970" s="186"/>
      <c r="H970" s="67"/>
      <c r="I970" s="186"/>
      <c r="J970" s="186"/>
      <c r="K970" s="186"/>
      <c r="L970" s="186"/>
      <c r="M970" s="186"/>
    </row>
    <row r="971">
      <c r="A971" s="185"/>
      <c r="B971" s="67"/>
      <c r="C971" s="67"/>
      <c r="D971" s="67"/>
      <c r="E971" s="186"/>
      <c r="F971" s="186"/>
      <c r="G971" s="186"/>
      <c r="H971" s="67"/>
      <c r="I971" s="186"/>
      <c r="J971" s="186"/>
      <c r="K971" s="186"/>
      <c r="L971" s="186"/>
      <c r="M971" s="186"/>
    </row>
    <row r="972">
      <c r="A972" s="185"/>
      <c r="B972" s="67"/>
      <c r="C972" s="67"/>
      <c r="D972" s="67"/>
      <c r="E972" s="186"/>
      <c r="F972" s="186"/>
      <c r="G972" s="186"/>
      <c r="H972" s="67"/>
      <c r="I972" s="186"/>
      <c r="J972" s="186"/>
      <c r="K972" s="186"/>
      <c r="L972" s="186"/>
      <c r="M972" s="186"/>
    </row>
    <row r="973">
      <c r="A973" s="185"/>
      <c r="B973" s="67"/>
      <c r="C973" s="67"/>
      <c r="D973" s="67"/>
      <c r="E973" s="186"/>
      <c r="F973" s="186"/>
      <c r="G973" s="186"/>
      <c r="H973" s="67"/>
      <c r="I973" s="186"/>
      <c r="J973" s="186"/>
      <c r="K973" s="186"/>
      <c r="L973" s="186"/>
      <c r="M973" s="186"/>
    </row>
    <row r="974">
      <c r="A974" s="185"/>
      <c r="B974" s="67"/>
      <c r="C974" s="67"/>
      <c r="D974" s="67"/>
      <c r="E974" s="186"/>
      <c r="F974" s="186"/>
      <c r="G974" s="186"/>
      <c r="H974" s="67"/>
      <c r="I974" s="186"/>
      <c r="J974" s="186"/>
      <c r="K974" s="186"/>
      <c r="L974" s="186"/>
      <c r="M974" s="186"/>
    </row>
    <row r="975">
      <c r="A975" s="185"/>
      <c r="B975" s="67"/>
      <c r="C975" s="67"/>
      <c r="D975" s="67"/>
      <c r="E975" s="186"/>
      <c r="F975" s="186"/>
      <c r="G975" s="186"/>
      <c r="H975" s="67"/>
      <c r="I975" s="186"/>
      <c r="J975" s="186"/>
      <c r="K975" s="186"/>
      <c r="L975" s="186"/>
      <c r="M975" s="186"/>
    </row>
    <row r="976">
      <c r="A976" s="185"/>
      <c r="B976" s="67"/>
      <c r="C976" s="67"/>
      <c r="D976" s="67"/>
      <c r="E976" s="186"/>
      <c r="F976" s="186"/>
      <c r="G976" s="186"/>
      <c r="H976" s="67"/>
      <c r="I976" s="186"/>
      <c r="J976" s="186"/>
      <c r="K976" s="186"/>
      <c r="L976" s="186"/>
      <c r="M976" s="186"/>
    </row>
    <row r="977">
      <c r="A977" s="185"/>
      <c r="B977" s="67"/>
      <c r="C977" s="67"/>
      <c r="D977" s="67"/>
      <c r="E977" s="186"/>
      <c r="F977" s="186"/>
      <c r="G977" s="186"/>
      <c r="H977" s="67"/>
      <c r="I977" s="186"/>
      <c r="J977" s="186"/>
      <c r="K977" s="186"/>
      <c r="L977" s="186"/>
      <c r="M977" s="186"/>
    </row>
    <row r="978">
      <c r="A978" s="185"/>
      <c r="B978" s="67"/>
      <c r="C978" s="67"/>
      <c r="D978" s="67"/>
      <c r="E978" s="186"/>
      <c r="F978" s="186"/>
      <c r="G978" s="186"/>
      <c r="H978" s="67"/>
      <c r="I978" s="186"/>
      <c r="J978" s="186"/>
      <c r="K978" s="186"/>
      <c r="L978" s="186"/>
      <c r="M978" s="186"/>
    </row>
    <row r="979">
      <c r="A979" s="185"/>
      <c r="B979" s="67"/>
      <c r="C979" s="67"/>
      <c r="D979" s="67"/>
      <c r="E979" s="186"/>
      <c r="F979" s="186"/>
      <c r="G979" s="186"/>
      <c r="H979" s="67"/>
      <c r="I979" s="186"/>
      <c r="J979" s="186"/>
      <c r="K979" s="186"/>
      <c r="L979" s="186"/>
      <c r="M979" s="186"/>
    </row>
    <row r="980">
      <c r="A980" s="185"/>
      <c r="B980" s="67"/>
      <c r="C980" s="67"/>
      <c r="D980" s="67"/>
      <c r="E980" s="186"/>
      <c r="F980" s="186"/>
      <c r="G980" s="186"/>
      <c r="H980" s="67"/>
      <c r="I980" s="186"/>
      <c r="J980" s="186"/>
      <c r="K980" s="186"/>
      <c r="L980" s="186"/>
      <c r="M980" s="186"/>
    </row>
    <row r="981">
      <c r="A981" s="185"/>
      <c r="B981" s="67"/>
      <c r="C981" s="67"/>
      <c r="D981" s="67"/>
      <c r="E981" s="186"/>
      <c r="F981" s="186"/>
      <c r="G981" s="186"/>
      <c r="H981" s="67"/>
      <c r="I981" s="186"/>
      <c r="J981" s="186"/>
      <c r="K981" s="186"/>
      <c r="L981" s="186"/>
      <c r="M981" s="186"/>
    </row>
    <row r="982">
      <c r="A982" s="185"/>
      <c r="B982" s="67"/>
      <c r="C982" s="67"/>
      <c r="D982" s="67"/>
      <c r="E982" s="186"/>
      <c r="F982" s="186"/>
      <c r="G982" s="186"/>
      <c r="H982" s="67"/>
      <c r="I982" s="186"/>
      <c r="J982" s="186"/>
      <c r="K982" s="186"/>
      <c r="L982" s="186"/>
      <c r="M982" s="186"/>
    </row>
    <row r="983">
      <c r="A983" s="185"/>
      <c r="B983" s="67"/>
      <c r="C983" s="67"/>
      <c r="D983" s="67"/>
      <c r="E983" s="186"/>
      <c r="F983" s="186"/>
      <c r="G983" s="186"/>
      <c r="H983" s="67"/>
      <c r="I983" s="186"/>
      <c r="J983" s="186"/>
      <c r="K983" s="186"/>
      <c r="L983" s="186"/>
      <c r="M983" s="186"/>
    </row>
    <row r="984">
      <c r="A984" s="185"/>
      <c r="B984" s="67"/>
      <c r="C984" s="67"/>
      <c r="D984" s="67"/>
      <c r="E984" s="186"/>
      <c r="F984" s="186"/>
      <c r="G984" s="186"/>
      <c r="H984" s="67"/>
      <c r="I984" s="186"/>
      <c r="J984" s="186"/>
      <c r="K984" s="186"/>
      <c r="L984" s="186"/>
      <c r="M984" s="186"/>
    </row>
    <row r="985">
      <c r="A985" s="185"/>
      <c r="B985" s="67"/>
      <c r="C985" s="67"/>
      <c r="D985" s="67"/>
      <c r="E985" s="186"/>
      <c r="F985" s="186"/>
      <c r="G985" s="186"/>
      <c r="H985" s="67"/>
      <c r="I985" s="186"/>
      <c r="J985" s="186"/>
      <c r="K985" s="186"/>
      <c r="L985" s="186"/>
      <c r="M985" s="186"/>
    </row>
    <row r="986">
      <c r="A986" s="185"/>
      <c r="B986" s="67"/>
      <c r="C986" s="67"/>
      <c r="D986" s="67"/>
      <c r="E986" s="186"/>
      <c r="F986" s="186"/>
      <c r="G986" s="186"/>
      <c r="H986" s="67"/>
      <c r="I986" s="186"/>
      <c r="J986" s="186"/>
      <c r="K986" s="186"/>
      <c r="L986" s="186"/>
      <c r="M986" s="186"/>
    </row>
    <row r="987">
      <c r="A987" s="185"/>
      <c r="B987" s="67"/>
      <c r="C987" s="67"/>
      <c r="D987" s="67"/>
      <c r="E987" s="186"/>
      <c r="F987" s="186"/>
      <c r="G987" s="186"/>
      <c r="H987" s="67"/>
      <c r="I987" s="186"/>
      <c r="J987" s="186"/>
      <c r="K987" s="186"/>
      <c r="L987" s="186"/>
      <c r="M987" s="186"/>
    </row>
    <row r="988">
      <c r="A988" s="185"/>
      <c r="B988" s="67"/>
      <c r="C988" s="67"/>
      <c r="D988" s="67"/>
      <c r="E988" s="186"/>
      <c r="F988" s="186"/>
      <c r="G988" s="186"/>
      <c r="H988" s="67"/>
      <c r="I988" s="186"/>
      <c r="J988" s="186"/>
      <c r="K988" s="186"/>
      <c r="L988" s="186"/>
      <c r="M988" s="186"/>
    </row>
    <row r="989">
      <c r="A989" s="185"/>
      <c r="B989" s="67"/>
      <c r="C989" s="67"/>
      <c r="D989" s="67"/>
      <c r="E989" s="186"/>
      <c r="F989" s="186"/>
      <c r="G989" s="186"/>
      <c r="H989" s="67"/>
      <c r="I989" s="186"/>
      <c r="J989" s="186"/>
      <c r="K989" s="186"/>
      <c r="L989" s="186"/>
      <c r="M989" s="186"/>
    </row>
    <row r="990">
      <c r="A990" s="185"/>
      <c r="B990" s="67"/>
      <c r="C990" s="67"/>
      <c r="D990" s="67"/>
      <c r="E990" s="186"/>
      <c r="F990" s="186"/>
      <c r="G990" s="186"/>
      <c r="H990" s="67"/>
      <c r="I990" s="186"/>
      <c r="J990" s="186"/>
      <c r="K990" s="186"/>
      <c r="L990" s="186"/>
      <c r="M990" s="186"/>
    </row>
    <row r="991">
      <c r="A991" s="185"/>
      <c r="B991" s="67"/>
      <c r="C991" s="67"/>
      <c r="D991" s="67"/>
      <c r="E991" s="186"/>
      <c r="F991" s="186"/>
      <c r="G991" s="186"/>
      <c r="H991" s="67"/>
      <c r="I991" s="186"/>
      <c r="J991" s="186"/>
      <c r="K991" s="186"/>
      <c r="L991" s="186"/>
      <c r="M991" s="186"/>
    </row>
    <row r="992">
      <c r="A992" s="185"/>
      <c r="B992" s="67"/>
      <c r="C992" s="67"/>
      <c r="D992" s="67"/>
      <c r="E992" s="186"/>
      <c r="F992" s="186"/>
      <c r="G992" s="186"/>
      <c r="J992" s="186"/>
      <c r="K992" s="186"/>
      <c r="L992" s="186"/>
      <c r="M992" s="186"/>
    </row>
    <row r="993">
      <c r="A993" s="185"/>
      <c r="B993" s="67"/>
      <c r="C993" s="67"/>
      <c r="D993" s="67"/>
      <c r="E993" s="186"/>
      <c r="F993" s="186"/>
      <c r="G993" s="186"/>
      <c r="J993" s="186"/>
      <c r="K993" s="186"/>
      <c r="L993" s="186"/>
      <c r="M993" s="186"/>
    </row>
    <row r="994">
      <c r="A994" s="113"/>
    </row>
    <row r="995">
      <c r="A995" s="113"/>
    </row>
    <row r="996">
      <c r="A996" s="113"/>
    </row>
    <row r="997">
      <c r="A997" s="113"/>
    </row>
    <row r="998">
      <c r="A998" s="113"/>
    </row>
    <row r="999">
      <c r="A999" s="113"/>
    </row>
  </sheetData>
  <mergeCells count="3">
    <mergeCell ref="B21:G22"/>
    <mergeCell ref="B23:G25"/>
    <mergeCell ref="B26:G29"/>
  </mergeCells>
  <conditionalFormatting sqref="I2:M15">
    <cfRule type="cellIs" dxfId="21" priority="1" operator="lessThan">
      <formula>0</formula>
    </cfRule>
  </conditionalFormatting>
  <conditionalFormatting sqref="I16 M16">
    <cfRule type="cellIs" dxfId="21" priority="2" operator="lessThan">
      <formula>0</formula>
    </cfRule>
  </conditionalFormatting>
  <conditionalFormatting sqref="J16:M16">
    <cfRule type="cellIs" dxfId="21" priority="3" operator="lessThan">
      <formula>0</formula>
    </cfRule>
  </conditionalFormatting>
  <hyperlinks>
    <hyperlink r:id="rId4" ref="B26"/>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hidden="1" min="19" max="31" width="12.63"/>
    <col customWidth="1" min="32" max="32" width="16.75"/>
    <col customWidth="1" min="33" max="33" width="14.88"/>
    <col customWidth="1" min="34" max="34" width="17.75"/>
  </cols>
  <sheetData>
    <row r="1" ht="42.0" customHeight="1">
      <c r="A1" s="242"/>
      <c r="B1" s="243" t="str">
        <f>Dashboard!B1</f>
        <v>PORTFOLIO FIDELITY 2024</v>
      </c>
      <c r="K1" s="244" t="s">
        <v>157</v>
      </c>
      <c r="N1" s="245">
        <f>SUM(AH4+AH18+AH46+AH60+AH74+AH88+AH102+AH116)</f>
        <v>886.2</v>
      </c>
      <c r="P1" s="246"/>
      <c r="Q1" s="246"/>
      <c r="R1" s="246"/>
      <c r="S1" s="246"/>
      <c r="T1" s="246"/>
      <c r="U1" s="246"/>
      <c r="V1" s="246"/>
      <c r="W1" s="246"/>
      <c r="X1" s="246"/>
      <c r="Y1" s="246"/>
      <c r="Z1" s="246"/>
      <c r="AA1" s="246"/>
      <c r="AB1" s="246"/>
      <c r="AC1" s="246"/>
      <c r="AD1" s="246"/>
      <c r="AE1" s="246"/>
      <c r="AF1" s="247" t="s">
        <v>158</v>
      </c>
      <c r="AG1" s="248" t="s">
        <v>28</v>
      </c>
      <c r="AH1" s="249" t="s">
        <v>159</v>
      </c>
    </row>
    <row r="2" ht="43.5" customHeight="1">
      <c r="A2" s="250"/>
      <c r="B2" s="251" t="str">
        <f>Positions!A2</f>
        <v>GOOGL</v>
      </c>
      <c r="C2" s="251" t="str">
        <f>Positions!A3</f>
        <v>MSFT</v>
      </c>
      <c r="D2" s="251" t="str">
        <f>Positions!A4</f>
        <v>DIS</v>
      </c>
      <c r="E2" s="252" t="str">
        <f>Positions!A5</f>
        <v>TGT</v>
      </c>
      <c r="F2" s="251" t="str">
        <f>Positions!A6</f>
        <v>SBUX</v>
      </c>
      <c r="G2" s="251" t="str">
        <f>Positions!A7</f>
        <v>JPM</v>
      </c>
      <c r="H2" s="251" t="str">
        <f>Positions!A8</f>
        <v>KO</v>
      </c>
      <c r="I2" s="251" t="str">
        <f>Positions!A9</f>
        <v>O</v>
      </c>
      <c r="J2" s="251" t="str">
        <f>Positions!A10</f>
        <v>VICI</v>
      </c>
      <c r="K2" s="251" t="str">
        <f>Positions!A11</f>
        <v>UNH</v>
      </c>
      <c r="L2" s="251" t="str">
        <f>Positions!A12</f>
        <v>VGT</v>
      </c>
      <c r="M2" s="251" t="str">
        <f>Positions!A13</f>
        <v>VOO</v>
      </c>
      <c r="N2" s="251" t="str">
        <f>Positions!A14</f>
        <v>VTI</v>
      </c>
      <c r="O2" s="251" t="str">
        <f>Positions!A15</f>
        <v>SCHD</v>
      </c>
      <c r="P2" s="251" t="str">
        <f>Positions!A16</f>
        <v>VIG</v>
      </c>
      <c r="Q2" s="251" t="str">
        <f>Positions!A17</f>
        <v>VXUS</v>
      </c>
      <c r="R2" s="251" t="str">
        <f>Positions!A18</f>
        <v>BND</v>
      </c>
      <c r="S2" s="251" t="str">
        <f>Positions!A19</f>
        <v/>
      </c>
      <c r="T2" s="251" t="str">
        <f>Positions!A20</f>
        <v/>
      </c>
      <c r="U2" s="251" t="str">
        <f>Positions!A21</f>
        <v/>
      </c>
      <c r="V2" s="251" t="str">
        <f>Positions!A22</f>
        <v/>
      </c>
      <c r="W2" s="251" t="str">
        <f>Positions!A23</f>
        <v/>
      </c>
      <c r="X2" s="251" t="str">
        <f>Positions!A24</f>
        <v/>
      </c>
      <c r="Y2" s="251" t="str">
        <f>Positions!A25</f>
        <v/>
      </c>
      <c r="Z2" s="251" t="str">
        <f>Positions!A26</f>
        <v/>
      </c>
      <c r="AA2" s="251" t="str">
        <f>Positions!A27</f>
        <v/>
      </c>
      <c r="AB2" s="251" t="str">
        <f>Positions!A28</f>
        <v/>
      </c>
      <c r="AC2" s="251" t="str">
        <f>Positions!A29</f>
        <v/>
      </c>
      <c r="AD2" s="251" t="str">
        <f>Positions!A30</f>
        <v/>
      </c>
      <c r="AE2" s="251" t="str">
        <f>Positions!A31</f>
        <v/>
      </c>
      <c r="AF2" s="253" t="s">
        <v>160</v>
      </c>
      <c r="AG2" s="254"/>
      <c r="AH2" s="255"/>
    </row>
    <row r="3" ht="24.0" customHeight="1">
      <c r="A3" s="250" t="s">
        <v>161</v>
      </c>
      <c r="B3" s="256">
        <f t="shared" ref="B3:AF3" si="1">SUM(B17,B31,B45,B59,B73,B87,B101,B115)</f>
        <v>5.67</v>
      </c>
      <c r="C3" s="256">
        <f t="shared" si="1"/>
        <v>33.03</v>
      </c>
      <c r="D3" s="256">
        <f t="shared" si="1"/>
        <v>29.71</v>
      </c>
      <c r="E3" s="256">
        <f t="shared" si="1"/>
        <v>172.39</v>
      </c>
      <c r="F3" s="256">
        <f t="shared" si="1"/>
        <v>12.43</v>
      </c>
      <c r="G3" s="256">
        <f t="shared" si="1"/>
        <v>18.03</v>
      </c>
      <c r="H3" s="256">
        <f t="shared" si="1"/>
        <v>28.74</v>
      </c>
      <c r="I3" s="256">
        <f t="shared" si="1"/>
        <v>124</v>
      </c>
      <c r="J3" s="256">
        <f t="shared" si="1"/>
        <v>27.02</v>
      </c>
      <c r="K3" s="256">
        <f t="shared" si="1"/>
        <v>22.17</v>
      </c>
      <c r="L3" s="256">
        <f t="shared" si="1"/>
        <v>10.16</v>
      </c>
      <c r="M3" s="256">
        <f t="shared" si="1"/>
        <v>35.23</v>
      </c>
      <c r="N3" s="256">
        <f t="shared" si="1"/>
        <v>44.1</v>
      </c>
      <c r="O3" s="256">
        <f t="shared" si="1"/>
        <v>197.34</v>
      </c>
      <c r="P3" s="256">
        <f t="shared" si="1"/>
        <v>6.25</v>
      </c>
      <c r="Q3" s="256">
        <f t="shared" si="1"/>
        <v>51.61</v>
      </c>
      <c r="R3" s="256">
        <f t="shared" si="1"/>
        <v>8.45</v>
      </c>
      <c r="S3" s="256">
        <f t="shared" si="1"/>
        <v>0</v>
      </c>
      <c r="T3" s="256">
        <f t="shared" si="1"/>
        <v>0</v>
      </c>
      <c r="U3" s="256">
        <f t="shared" si="1"/>
        <v>0</v>
      </c>
      <c r="V3" s="256">
        <f t="shared" si="1"/>
        <v>0</v>
      </c>
      <c r="W3" s="256">
        <f t="shared" si="1"/>
        <v>0</v>
      </c>
      <c r="X3" s="256">
        <f t="shared" si="1"/>
        <v>0</v>
      </c>
      <c r="Y3" s="256">
        <f t="shared" si="1"/>
        <v>0</v>
      </c>
      <c r="Z3" s="256">
        <f t="shared" si="1"/>
        <v>0</v>
      </c>
      <c r="AA3" s="256">
        <f t="shared" si="1"/>
        <v>0</v>
      </c>
      <c r="AB3" s="256">
        <f t="shared" si="1"/>
        <v>0</v>
      </c>
      <c r="AC3" s="256">
        <f t="shared" si="1"/>
        <v>0</v>
      </c>
      <c r="AD3" s="256">
        <f t="shared" si="1"/>
        <v>0</v>
      </c>
      <c r="AE3" s="256">
        <f t="shared" si="1"/>
        <v>0</v>
      </c>
      <c r="AF3" s="256">
        <f t="shared" si="1"/>
        <v>180.66</v>
      </c>
      <c r="AG3" s="257"/>
      <c r="AH3" s="258"/>
    </row>
    <row r="4" ht="24.0" customHeight="1">
      <c r="A4" s="250">
        <v>2024.0</v>
      </c>
      <c r="B4" s="259" t="s">
        <v>162</v>
      </c>
      <c r="E4" s="260">
        <f>MAX(AH5:AH16)</f>
        <v>66.58</v>
      </c>
      <c r="F4" s="261"/>
      <c r="G4" s="261"/>
      <c r="H4" s="261"/>
      <c r="I4" s="261"/>
      <c r="J4" s="261"/>
      <c r="K4" s="261"/>
      <c r="L4" s="261"/>
      <c r="M4" s="261"/>
      <c r="N4" s="261"/>
      <c r="O4" s="261"/>
      <c r="P4" s="261"/>
      <c r="Q4" s="261"/>
      <c r="R4" s="261"/>
      <c r="S4" s="261"/>
      <c r="T4" s="261"/>
      <c r="U4" s="261"/>
      <c r="V4" s="261"/>
      <c r="W4" s="261"/>
      <c r="X4" s="261"/>
      <c r="Y4" s="261"/>
      <c r="Z4" s="261"/>
      <c r="AA4" s="261"/>
      <c r="AB4" s="261"/>
      <c r="AC4" s="261"/>
      <c r="AD4" s="261"/>
      <c r="AE4" s="262" t="s">
        <v>153</v>
      </c>
      <c r="AG4" s="263">
        <f>AH4*0.06</f>
        <v>9.0456</v>
      </c>
      <c r="AH4" s="264">
        <f>SUM(AH17)</f>
        <v>150.76</v>
      </c>
    </row>
    <row r="5">
      <c r="A5" s="265" t="s">
        <v>163</v>
      </c>
      <c r="B5" s="266"/>
      <c r="C5" s="266"/>
      <c r="D5" s="266"/>
      <c r="E5" s="266"/>
      <c r="F5" s="267"/>
      <c r="G5" s="267"/>
      <c r="H5" s="267"/>
      <c r="I5" s="267"/>
      <c r="J5" s="267"/>
      <c r="K5" s="266"/>
      <c r="L5" s="266"/>
      <c r="M5" s="266"/>
      <c r="N5" s="266"/>
      <c r="O5" s="266"/>
      <c r="P5" s="267"/>
      <c r="Q5" s="267"/>
      <c r="R5" s="267"/>
      <c r="S5" s="267"/>
      <c r="T5" s="267"/>
      <c r="U5" s="267"/>
      <c r="V5" s="267"/>
      <c r="W5" s="267"/>
      <c r="X5" s="267"/>
      <c r="Y5" s="267"/>
      <c r="Z5" s="267"/>
      <c r="AA5" s="267"/>
      <c r="AB5" s="267"/>
      <c r="AC5" s="267"/>
      <c r="AD5" s="267"/>
      <c r="AE5" s="267"/>
      <c r="AF5" s="267"/>
      <c r="AG5" s="267"/>
      <c r="AH5" s="268">
        <f t="shared" ref="AH5:AH17" si="2">SUM(B5:AF5)+AG5</f>
        <v>0</v>
      </c>
    </row>
    <row r="6">
      <c r="A6" s="265" t="s">
        <v>164</v>
      </c>
      <c r="B6" s="266"/>
      <c r="C6" s="266"/>
      <c r="D6" s="267"/>
      <c r="E6" s="266"/>
      <c r="F6" s="266"/>
      <c r="G6" s="267"/>
      <c r="H6" s="266"/>
      <c r="I6" s="267"/>
      <c r="J6" s="267"/>
      <c r="K6" s="266"/>
      <c r="L6" s="266"/>
      <c r="M6" s="267"/>
      <c r="N6" s="267"/>
      <c r="O6" s="267"/>
      <c r="P6" s="266"/>
      <c r="Q6" s="267"/>
      <c r="R6" s="267"/>
      <c r="S6" s="267"/>
      <c r="T6" s="267"/>
      <c r="U6" s="267"/>
      <c r="V6" s="267"/>
      <c r="W6" s="267"/>
      <c r="X6" s="267"/>
      <c r="Y6" s="267"/>
      <c r="Z6" s="267"/>
      <c r="AA6" s="267"/>
      <c r="AB6" s="267"/>
      <c r="AC6" s="267"/>
      <c r="AD6" s="267"/>
      <c r="AE6" s="267"/>
      <c r="AF6" s="267"/>
      <c r="AG6" s="267"/>
      <c r="AH6" s="268">
        <f t="shared" si="2"/>
        <v>0</v>
      </c>
    </row>
    <row r="7">
      <c r="A7" s="265" t="s">
        <v>165</v>
      </c>
      <c r="B7" s="266"/>
      <c r="C7" s="266"/>
      <c r="D7" s="266"/>
      <c r="E7" s="267"/>
      <c r="F7" s="267"/>
      <c r="G7" s="267"/>
      <c r="H7" s="266"/>
      <c r="I7" s="267"/>
      <c r="J7" s="267"/>
      <c r="K7" s="266"/>
      <c r="L7" s="266"/>
      <c r="M7" s="266"/>
      <c r="N7" s="266"/>
      <c r="O7" s="267"/>
      <c r="P7" s="266"/>
      <c r="Q7" s="267"/>
      <c r="R7" s="267"/>
      <c r="S7" s="267"/>
      <c r="T7" s="267"/>
      <c r="U7" s="267"/>
      <c r="V7" s="267"/>
      <c r="W7" s="267"/>
      <c r="X7" s="267"/>
      <c r="Y7" s="267"/>
      <c r="Z7" s="267"/>
      <c r="AA7" s="267"/>
      <c r="AB7" s="267"/>
      <c r="AC7" s="267"/>
      <c r="AD7" s="267"/>
      <c r="AE7" s="267"/>
      <c r="AF7" s="267"/>
      <c r="AG7" s="267"/>
      <c r="AH7" s="268">
        <f t="shared" si="2"/>
        <v>0</v>
      </c>
    </row>
    <row r="8">
      <c r="A8" s="265" t="s">
        <v>166</v>
      </c>
      <c r="B8" s="267"/>
      <c r="C8" s="267"/>
      <c r="D8" s="267"/>
      <c r="E8" s="267"/>
      <c r="F8" s="266"/>
      <c r="G8" s="267"/>
      <c r="H8" s="267"/>
      <c r="I8" s="266"/>
      <c r="J8" s="267"/>
      <c r="K8" s="267"/>
      <c r="L8" s="267"/>
      <c r="M8" s="266"/>
      <c r="N8" s="267"/>
      <c r="O8" s="266"/>
      <c r="P8" s="266"/>
      <c r="Q8" s="267"/>
      <c r="R8" s="267"/>
      <c r="S8" s="267"/>
      <c r="T8" s="267"/>
      <c r="U8" s="267"/>
      <c r="V8" s="267"/>
      <c r="W8" s="266"/>
      <c r="X8" s="266"/>
      <c r="Y8" s="266"/>
      <c r="Z8" s="266"/>
      <c r="AA8" s="266"/>
      <c r="AB8" s="266"/>
      <c r="AC8" s="266"/>
      <c r="AD8" s="266"/>
      <c r="AE8" s="266"/>
      <c r="AF8" s="267"/>
      <c r="AG8" s="267"/>
      <c r="AH8" s="268">
        <f t="shared" si="2"/>
        <v>0</v>
      </c>
    </row>
    <row r="9" ht="15.0" customHeight="1">
      <c r="A9" s="265" t="s">
        <v>167</v>
      </c>
      <c r="B9" s="267"/>
      <c r="C9" s="267"/>
      <c r="D9" s="267"/>
      <c r="E9" s="267"/>
      <c r="F9" s="266"/>
      <c r="G9" s="267"/>
      <c r="H9" s="267"/>
      <c r="I9" s="267"/>
      <c r="J9" s="267"/>
      <c r="K9" s="267"/>
      <c r="L9" s="267"/>
      <c r="M9" s="267"/>
      <c r="N9" s="266"/>
      <c r="O9" s="267"/>
      <c r="P9" s="267"/>
      <c r="Q9" s="266"/>
      <c r="R9" s="266"/>
      <c r="S9" s="266"/>
      <c r="T9" s="267"/>
      <c r="U9" s="267"/>
      <c r="V9" s="266"/>
      <c r="W9" s="266"/>
      <c r="X9" s="267"/>
      <c r="Y9" s="267"/>
      <c r="Z9" s="267"/>
      <c r="AA9" s="267"/>
      <c r="AB9" s="267"/>
      <c r="AC9" s="267"/>
      <c r="AD9" s="267"/>
      <c r="AE9" s="267"/>
      <c r="AF9" s="266">
        <v>3.56</v>
      </c>
      <c r="AG9" s="266"/>
      <c r="AH9" s="268">
        <f t="shared" si="2"/>
        <v>3.56</v>
      </c>
    </row>
    <row r="10">
      <c r="A10" s="265" t="s">
        <v>168</v>
      </c>
      <c r="B10" s="266"/>
      <c r="C10" s="266">
        <v>0.75</v>
      </c>
      <c r="D10" s="267"/>
      <c r="E10" s="266">
        <v>1.1</v>
      </c>
      <c r="F10" s="267"/>
      <c r="G10" s="267"/>
      <c r="H10" s="267"/>
      <c r="I10" s="266">
        <v>0.79</v>
      </c>
      <c r="J10" s="266"/>
      <c r="K10" s="266"/>
      <c r="L10" s="266"/>
      <c r="M10" s="266"/>
      <c r="N10" s="267"/>
      <c r="O10" s="267"/>
      <c r="P10" s="266"/>
      <c r="Q10" s="266">
        <v>1.93</v>
      </c>
      <c r="R10" s="266">
        <v>0.22</v>
      </c>
      <c r="S10" s="267"/>
      <c r="T10" s="267"/>
      <c r="U10" s="266"/>
      <c r="V10" s="267"/>
      <c r="W10" s="267"/>
      <c r="X10" s="267"/>
      <c r="Y10" s="267"/>
      <c r="Z10" s="267"/>
      <c r="AA10" s="267"/>
      <c r="AB10" s="267"/>
      <c r="AC10" s="267"/>
      <c r="AD10" s="267"/>
      <c r="AE10" s="267"/>
      <c r="AF10" s="266">
        <v>3.38</v>
      </c>
      <c r="AG10" s="266"/>
      <c r="AH10" s="268">
        <f t="shared" si="2"/>
        <v>8.17</v>
      </c>
    </row>
    <row r="11">
      <c r="A11" s="265" t="s">
        <v>169</v>
      </c>
      <c r="B11" s="267"/>
      <c r="C11" s="267"/>
      <c r="D11" s="266">
        <v>1.8</v>
      </c>
      <c r="E11" s="267"/>
      <c r="F11" s="266"/>
      <c r="G11" s="266">
        <v>1.15</v>
      </c>
      <c r="H11" s="266">
        <v>1.46</v>
      </c>
      <c r="I11" s="266">
        <v>2.37</v>
      </c>
      <c r="J11" s="266"/>
      <c r="K11" s="266"/>
      <c r="L11" s="266">
        <v>0.76</v>
      </c>
      <c r="M11" s="266">
        <v>3.57</v>
      </c>
      <c r="N11" s="266">
        <v>4.76</v>
      </c>
      <c r="O11" s="266">
        <v>3.3</v>
      </c>
      <c r="P11" s="266">
        <v>0.9</v>
      </c>
      <c r="Q11" s="267"/>
      <c r="R11" s="266">
        <v>0.22</v>
      </c>
      <c r="S11" s="267"/>
      <c r="T11" s="267"/>
      <c r="U11" s="267"/>
      <c r="V11" s="267"/>
      <c r="W11" s="267"/>
      <c r="X11" s="266"/>
      <c r="Y11" s="266"/>
      <c r="Z11" s="266"/>
      <c r="AA11" s="266"/>
      <c r="AB11" s="266"/>
      <c r="AC11" s="266"/>
      <c r="AD11" s="266"/>
      <c r="AE11" s="266"/>
      <c r="AF11" s="266">
        <v>0.48</v>
      </c>
      <c r="AG11" s="266"/>
      <c r="AH11" s="268">
        <f t="shared" si="2"/>
        <v>20.77</v>
      </c>
    </row>
    <row r="12">
      <c r="A12" s="265" t="s">
        <v>170</v>
      </c>
      <c r="B12" s="266"/>
      <c r="C12" s="266"/>
      <c r="D12" s="266"/>
      <c r="E12" s="267"/>
      <c r="F12" s="266"/>
      <c r="G12" s="266"/>
      <c r="H12" s="267"/>
      <c r="I12" s="266">
        <v>2.38</v>
      </c>
      <c r="J12" s="267"/>
      <c r="K12" s="267"/>
      <c r="L12" s="267"/>
      <c r="M12" s="267"/>
      <c r="N12" s="267"/>
      <c r="O12" s="267"/>
      <c r="P12" s="266"/>
      <c r="Q12" s="267"/>
      <c r="R12" s="266">
        <v>0.22</v>
      </c>
      <c r="S12" s="266"/>
      <c r="T12" s="267"/>
      <c r="U12" s="267"/>
      <c r="V12" s="266"/>
      <c r="W12" s="266"/>
      <c r="X12" s="267"/>
      <c r="Y12" s="267"/>
      <c r="Z12" s="267"/>
      <c r="AA12" s="267"/>
      <c r="AB12" s="267"/>
      <c r="AC12" s="267"/>
      <c r="AD12" s="267"/>
      <c r="AE12" s="267"/>
      <c r="AF12" s="266">
        <v>1.75</v>
      </c>
      <c r="AG12" s="266"/>
      <c r="AH12" s="268">
        <f t="shared" si="2"/>
        <v>4.35</v>
      </c>
    </row>
    <row r="13">
      <c r="A13" s="265" t="s">
        <v>171</v>
      </c>
      <c r="B13" s="266"/>
      <c r="C13" s="266">
        <v>1.13</v>
      </c>
      <c r="D13" s="267"/>
      <c r="E13" s="266">
        <v>5.6</v>
      </c>
      <c r="F13" s="267"/>
      <c r="G13" s="267"/>
      <c r="H13" s="266"/>
      <c r="I13" s="266">
        <v>2.39</v>
      </c>
      <c r="J13" s="266"/>
      <c r="K13" s="266"/>
      <c r="L13" s="266"/>
      <c r="M13" s="266"/>
      <c r="N13" s="267"/>
      <c r="O13" s="266">
        <v>12.1</v>
      </c>
      <c r="P13" s="266"/>
      <c r="Q13" s="266">
        <v>3.28</v>
      </c>
      <c r="R13" s="266">
        <v>0.23</v>
      </c>
      <c r="S13" s="267"/>
      <c r="T13" s="267"/>
      <c r="U13" s="266"/>
      <c r="V13" s="267"/>
      <c r="W13" s="267"/>
      <c r="X13" s="267"/>
      <c r="Y13" s="267"/>
      <c r="Z13" s="267"/>
      <c r="AA13" s="267"/>
      <c r="AB13" s="267"/>
      <c r="AC13" s="267"/>
      <c r="AD13" s="267"/>
      <c r="AE13" s="267"/>
      <c r="AF13" s="266">
        <v>0.72</v>
      </c>
      <c r="AG13" s="266"/>
      <c r="AH13" s="268">
        <f t="shared" si="2"/>
        <v>25.45</v>
      </c>
    </row>
    <row r="14">
      <c r="A14" s="265" t="s">
        <v>172</v>
      </c>
      <c r="B14" s="267"/>
      <c r="C14" s="267"/>
      <c r="D14" s="267"/>
      <c r="E14" s="267"/>
      <c r="F14" s="266"/>
      <c r="G14" s="266">
        <v>2.51</v>
      </c>
      <c r="H14" s="266">
        <v>1.47</v>
      </c>
      <c r="I14" s="266">
        <v>2.4</v>
      </c>
      <c r="J14" s="266"/>
      <c r="K14" s="266"/>
      <c r="L14" s="266">
        <v>0.92</v>
      </c>
      <c r="M14" s="266">
        <v>4.93</v>
      </c>
      <c r="N14" s="266">
        <v>5.24</v>
      </c>
      <c r="O14" s="267"/>
      <c r="P14" s="266">
        <v>0.84</v>
      </c>
      <c r="Q14" s="266"/>
      <c r="R14" s="266">
        <v>0.22</v>
      </c>
      <c r="S14" s="267"/>
      <c r="T14" s="267"/>
      <c r="U14" s="267"/>
      <c r="V14" s="267"/>
      <c r="W14" s="267"/>
      <c r="X14" s="266"/>
      <c r="Y14" s="266"/>
      <c r="Z14" s="266"/>
      <c r="AA14" s="266"/>
      <c r="AB14" s="266"/>
      <c r="AC14" s="266"/>
      <c r="AD14" s="266"/>
      <c r="AE14" s="266"/>
      <c r="AF14" s="266">
        <v>0.37</v>
      </c>
      <c r="AG14" s="266"/>
      <c r="AH14" s="268">
        <f t="shared" si="2"/>
        <v>18.9</v>
      </c>
    </row>
    <row r="15">
      <c r="A15" s="265" t="s">
        <v>173</v>
      </c>
      <c r="B15" s="266"/>
      <c r="C15" s="266"/>
      <c r="D15" s="266"/>
      <c r="E15" s="266"/>
      <c r="F15" s="266"/>
      <c r="G15" s="266"/>
      <c r="H15" s="267"/>
      <c r="I15" s="266">
        <v>2.41</v>
      </c>
      <c r="J15" s="267"/>
      <c r="K15" s="267"/>
      <c r="L15" s="267"/>
      <c r="M15" s="267"/>
      <c r="N15" s="267"/>
      <c r="O15" s="267"/>
      <c r="P15" s="266"/>
      <c r="Q15" s="267"/>
      <c r="R15" s="266">
        <v>0.23</v>
      </c>
      <c r="S15" s="266"/>
      <c r="T15" s="267"/>
      <c r="U15" s="267"/>
      <c r="V15" s="266"/>
      <c r="W15" s="266"/>
      <c r="X15" s="267"/>
      <c r="Y15" s="267"/>
      <c r="Z15" s="267"/>
      <c r="AA15" s="267"/>
      <c r="AB15" s="267"/>
      <c r="AC15" s="267"/>
      <c r="AD15" s="267"/>
      <c r="AE15" s="267"/>
      <c r="AF15" s="266">
        <v>0.34</v>
      </c>
      <c r="AG15" s="266"/>
      <c r="AH15" s="268">
        <f t="shared" si="2"/>
        <v>2.98</v>
      </c>
    </row>
    <row r="16">
      <c r="A16" s="265" t="s">
        <v>174</v>
      </c>
      <c r="B16" s="266"/>
      <c r="C16" s="266">
        <v>2.91</v>
      </c>
      <c r="D16" s="267"/>
      <c r="E16" s="266">
        <v>7.88</v>
      </c>
      <c r="F16" s="267"/>
      <c r="G16" s="267"/>
      <c r="H16" s="266">
        <v>2.93</v>
      </c>
      <c r="I16" s="266">
        <v>2.42</v>
      </c>
      <c r="J16" s="266"/>
      <c r="K16" s="266"/>
      <c r="L16" s="266">
        <v>0.78</v>
      </c>
      <c r="M16" s="266">
        <v>5.24</v>
      </c>
      <c r="N16" s="266">
        <v>5.68</v>
      </c>
      <c r="O16" s="266">
        <v>23.95</v>
      </c>
      <c r="P16" s="266">
        <v>0.88</v>
      </c>
      <c r="Q16" s="266">
        <v>12.14</v>
      </c>
      <c r="R16" s="266">
        <f>0.23+0.47</f>
        <v>0.7</v>
      </c>
      <c r="S16" s="267"/>
      <c r="T16" s="267"/>
      <c r="U16" s="266"/>
      <c r="V16" s="267"/>
      <c r="W16" s="267"/>
      <c r="X16" s="267"/>
      <c r="Y16" s="267"/>
      <c r="Z16" s="267"/>
      <c r="AA16" s="267"/>
      <c r="AB16" s="267"/>
      <c r="AC16" s="267"/>
      <c r="AD16" s="267"/>
      <c r="AE16" s="267"/>
      <c r="AF16" s="266">
        <v>1.07</v>
      </c>
      <c r="AG16" s="266"/>
      <c r="AH16" s="268">
        <f t="shared" si="2"/>
        <v>66.58</v>
      </c>
    </row>
    <row r="17">
      <c r="A17" s="261" t="s">
        <v>36</v>
      </c>
      <c r="B17" s="268">
        <f t="shared" ref="B17:AG17" si="3">SUM(B5:B16)</f>
        <v>0</v>
      </c>
      <c r="C17" s="268">
        <f t="shared" si="3"/>
        <v>4.79</v>
      </c>
      <c r="D17" s="268">
        <f t="shared" si="3"/>
        <v>1.8</v>
      </c>
      <c r="E17" s="268">
        <f t="shared" si="3"/>
        <v>14.58</v>
      </c>
      <c r="F17" s="268">
        <f t="shared" si="3"/>
        <v>0</v>
      </c>
      <c r="G17" s="268">
        <f t="shared" si="3"/>
        <v>3.66</v>
      </c>
      <c r="H17" s="268">
        <f t="shared" si="3"/>
        <v>5.86</v>
      </c>
      <c r="I17" s="268">
        <f t="shared" si="3"/>
        <v>15.16</v>
      </c>
      <c r="J17" s="268">
        <f t="shared" si="3"/>
        <v>0</v>
      </c>
      <c r="K17" s="268">
        <f t="shared" si="3"/>
        <v>0</v>
      </c>
      <c r="L17" s="268">
        <f t="shared" si="3"/>
        <v>2.46</v>
      </c>
      <c r="M17" s="268">
        <f t="shared" si="3"/>
        <v>13.74</v>
      </c>
      <c r="N17" s="268">
        <f t="shared" si="3"/>
        <v>15.68</v>
      </c>
      <c r="O17" s="268">
        <f t="shared" si="3"/>
        <v>39.35</v>
      </c>
      <c r="P17" s="268">
        <f t="shared" si="3"/>
        <v>2.62</v>
      </c>
      <c r="Q17" s="268">
        <f t="shared" si="3"/>
        <v>17.35</v>
      </c>
      <c r="R17" s="268">
        <f t="shared" si="3"/>
        <v>2.04</v>
      </c>
      <c r="S17" s="268">
        <f t="shared" si="3"/>
        <v>0</v>
      </c>
      <c r="T17" s="268">
        <f t="shared" si="3"/>
        <v>0</v>
      </c>
      <c r="U17" s="268">
        <f t="shared" si="3"/>
        <v>0</v>
      </c>
      <c r="V17" s="268">
        <f t="shared" si="3"/>
        <v>0</v>
      </c>
      <c r="W17" s="268">
        <f t="shared" si="3"/>
        <v>0</v>
      </c>
      <c r="X17" s="268">
        <f t="shared" si="3"/>
        <v>0</v>
      </c>
      <c r="Y17" s="268">
        <f t="shared" si="3"/>
        <v>0</v>
      </c>
      <c r="Z17" s="268">
        <f t="shared" si="3"/>
        <v>0</v>
      </c>
      <c r="AA17" s="268">
        <f t="shared" si="3"/>
        <v>0</v>
      </c>
      <c r="AB17" s="268">
        <f t="shared" si="3"/>
        <v>0</v>
      </c>
      <c r="AC17" s="268">
        <f t="shared" si="3"/>
        <v>0</v>
      </c>
      <c r="AD17" s="268">
        <f t="shared" si="3"/>
        <v>0</v>
      </c>
      <c r="AE17" s="268">
        <f t="shared" si="3"/>
        <v>0</v>
      </c>
      <c r="AF17" s="268">
        <f t="shared" si="3"/>
        <v>11.67</v>
      </c>
      <c r="AG17" s="268">
        <f t="shared" si="3"/>
        <v>0</v>
      </c>
      <c r="AH17" s="268">
        <f t="shared" si="2"/>
        <v>150.76</v>
      </c>
    </row>
    <row r="18">
      <c r="A18" s="250">
        <v>2025.0</v>
      </c>
      <c r="B18" s="259" t="s">
        <v>162</v>
      </c>
      <c r="E18" s="260">
        <f>MAX(AH19:AH30)</f>
        <v>177.54</v>
      </c>
      <c r="F18" s="261"/>
      <c r="G18" s="261"/>
      <c r="H18" s="261"/>
      <c r="I18" s="261"/>
      <c r="J18" s="261"/>
      <c r="K18" s="261"/>
      <c r="L18" s="261"/>
      <c r="M18" s="261"/>
      <c r="N18" s="261"/>
      <c r="O18" s="261"/>
      <c r="P18" s="261"/>
      <c r="Q18" s="261"/>
      <c r="R18" s="261"/>
      <c r="S18" s="261"/>
      <c r="T18" s="261"/>
      <c r="U18" s="261"/>
      <c r="V18" s="261"/>
      <c r="W18" s="261"/>
      <c r="X18" s="261"/>
      <c r="Y18" s="261"/>
      <c r="Z18" s="261"/>
      <c r="AA18" s="261"/>
      <c r="AB18" s="261"/>
      <c r="AC18" s="261"/>
      <c r="AD18" s="261"/>
      <c r="AE18" s="262" t="s">
        <v>153</v>
      </c>
      <c r="AG18" s="263">
        <f>AH18*0.06</f>
        <v>44.1264</v>
      </c>
      <c r="AH18" s="264">
        <f>SUM(AH31)</f>
        <v>735.44</v>
      </c>
    </row>
    <row r="19">
      <c r="A19" s="265" t="s">
        <v>163</v>
      </c>
      <c r="B19" s="267"/>
      <c r="C19" s="267"/>
      <c r="D19" s="266">
        <v>6.51</v>
      </c>
      <c r="E19" s="267"/>
      <c r="F19" s="266"/>
      <c r="G19" s="266">
        <v>2.52</v>
      </c>
      <c r="H19" s="267"/>
      <c r="I19" s="266">
        <v>5.87</v>
      </c>
      <c r="J19" s="267"/>
      <c r="K19" s="267"/>
      <c r="L19" s="267"/>
      <c r="M19" s="267"/>
      <c r="N19" s="267"/>
      <c r="O19" s="266"/>
      <c r="P19" s="267"/>
      <c r="Q19" s="266"/>
      <c r="R19" s="266"/>
      <c r="S19" s="267"/>
      <c r="T19" s="267"/>
      <c r="U19" s="267"/>
      <c r="V19" s="267"/>
      <c r="W19" s="267"/>
      <c r="X19" s="266"/>
      <c r="Y19" s="266"/>
      <c r="Z19" s="266"/>
      <c r="AA19" s="266"/>
      <c r="AB19" s="266"/>
      <c r="AC19" s="266"/>
      <c r="AD19" s="266"/>
      <c r="AE19" s="266"/>
      <c r="AF19" s="266">
        <v>4.83</v>
      </c>
      <c r="AG19" s="266"/>
      <c r="AH19" s="268">
        <f t="shared" ref="AH19:AH31" si="4">SUM(B19:AF19)+AG19</f>
        <v>19.73</v>
      </c>
    </row>
    <row r="20">
      <c r="A20" s="265" t="s">
        <v>164</v>
      </c>
      <c r="B20" s="266"/>
      <c r="C20" s="266"/>
      <c r="D20" s="266"/>
      <c r="E20" s="267"/>
      <c r="F20" s="266"/>
      <c r="G20" s="266"/>
      <c r="H20" s="267"/>
      <c r="I20" s="266">
        <v>5.9</v>
      </c>
      <c r="J20" s="267"/>
      <c r="K20" s="267"/>
      <c r="L20" s="267"/>
      <c r="M20" s="267"/>
      <c r="N20" s="267"/>
      <c r="O20" s="266"/>
      <c r="P20" s="267"/>
      <c r="Q20" s="266"/>
      <c r="R20" s="266">
        <v>0.48</v>
      </c>
      <c r="S20" s="266"/>
      <c r="T20" s="267"/>
      <c r="U20" s="267"/>
      <c r="V20" s="266"/>
      <c r="W20" s="266"/>
      <c r="X20" s="267"/>
      <c r="Y20" s="267"/>
      <c r="Z20" s="267"/>
      <c r="AA20" s="267"/>
      <c r="AB20" s="267"/>
      <c r="AC20" s="267"/>
      <c r="AD20" s="267"/>
      <c r="AE20" s="267"/>
      <c r="AF20" s="266">
        <v>5.72</v>
      </c>
      <c r="AG20" s="266"/>
      <c r="AH20" s="268">
        <f t="shared" si="4"/>
        <v>12.1</v>
      </c>
    </row>
    <row r="21">
      <c r="A21" s="265" t="s">
        <v>165</v>
      </c>
      <c r="B21" s="266"/>
      <c r="C21" s="266">
        <v>3.74</v>
      </c>
      <c r="D21" s="267"/>
      <c r="E21" s="266">
        <v>16.23</v>
      </c>
      <c r="F21" s="267"/>
      <c r="G21" s="267"/>
      <c r="H21" s="266"/>
      <c r="I21" s="266">
        <v>7.63</v>
      </c>
      <c r="J21" s="266"/>
      <c r="K21" s="266"/>
      <c r="L21" s="266">
        <v>0.73</v>
      </c>
      <c r="M21" s="266">
        <v>5.48</v>
      </c>
      <c r="N21" s="266">
        <v>5.97</v>
      </c>
      <c r="O21" s="266">
        <v>24.98</v>
      </c>
      <c r="P21" s="266">
        <v>0.95</v>
      </c>
      <c r="Q21" s="266">
        <v>2.35</v>
      </c>
      <c r="R21" s="266">
        <v>0.45</v>
      </c>
      <c r="S21" s="267"/>
      <c r="T21" s="266"/>
      <c r="U21" s="266"/>
      <c r="V21" s="267"/>
      <c r="W21" s="267"/>
      <c r="X21" s="267"/>
      <c r="Y21" s="267"/>
      <c r="Z21" s="267"/>
      <c r="AA21" s="267"/>
      <c r="AB21" s="267"/>
      <c r="AC21" s="267"/>
      <c r="AD21" s="267"/>
      <c r="AE21" s="267"/>
      <c r="AF21" s="266">
        <v>23.92</v>
      </c>
      <c r="AG21" s="266"/>
      <c r="AH21" s="268">
        <f t="shared" si="4"/>
        <v>92.43</v>
      </c>
    </row>
    <row r="22">
      <c r="A22" s="265" t="s">
        <v>166</v>
      </c>
      <c r="B22" s="267"/>
      <c r="C22" s="267"/>
      <c r="D22" s="267"/>
      <c r="E22" s="267"/>
      <c r="F22" s="267"/>
      <c r="G22" s="266">
        <v>2.84</v>
      </c>
      <c r="H22" s="266">
        <v>5.66</v>
      </c>
      <c r="I22" s="266">
        <v>7.68</v>
      </c>
      <c r="J22" s="266">
        <v>6.49</v>
      </c>
      <c r="K22" s="266"/>
      <c r="L22" s="266"/>
      <c r="M22" s="267"/>
      <c r="N22" s="267"/>
      <c r="O22" s="266"/>
      <c r="P22" s="267"/>
      <c r="Q22" s="266"/>
      <c r="R22" s="266">
        <v>0.49</v>
      </c>
      <c r="S22" s="267"/>
      <c r="T22" s="267"/>
      <c r="U22" s="267"/>
      <c r="V22" s="267"/>
      <c r="W22" s="267"/>
      <c r="X22" s="266"/>
      <c r="Y22" s="266"/>
      <c r="Z22" s="266"/>
      <c r="AA22" s="266"/>
      <c r="AB22" s="266"/>
      <c r="AC22" s="266"/>
      <c r="AD22" s="266"/>
      <c r="AE22" s="266"/>
      <c r="AF22" s="266">
        <v>12.78</v>
      </c>
      <c r="AG22" s="266"/>
      <c r="AH22" s="268">
        <f t="shared" si="4"/>
        <v>35.94</v>
      </c>
    </row>
    <row r="23">
      <c r="A23" s="265" t="s">
        <v>167</v>
      </c>
      <c r="B23" s="266"/>
      <c r="C23" s="266"/>
      <c r="D23" s="267"/>
      <c r="E23" s="266"/>
      <c r="F23" s="266">
        <v>3.05</v>
      </c>
      <c r="G23" s="266"/>
      <c r="H23" s="267"/>
      <c r="I23" s="266">
        <v>7.98</v>
      </c>
      <c r="J23" s="267"/>
      <c r="K23" s="266"/>
      <c r="L23" s="266"/>
      <c r="M23" s="266"/>
      <c r="N23" s="267"/>
      <c r="O23" s="267"/>
      <c r="P23" s="266"/>
      <c r="Q23" s="266"/>
      <c r="R23" s="266">
        <v>0.48</v>
      </c>
      <c r="S23" s="267"/>
      <c r="T23" s="267"/>
      <c r="U23" s="266"/>
      <c r="V23" s="266"/>
      <c r="W23" s="267"/>
      <c r="X23" s="267"/>
      <c r="Y23" s="267"/>
      <c r="Z23" s="267"/>
      <c r="AA23" s="267"/>
      <c r="AB23" s="267"/>
      <c r="AC23" s="267"/>
      <c r="AD23" s="267"/>
      <c r="AE23" s="267"/>
      <c r="AF23" s="266">
        <v>10.25</v>
      </c>
      <c r="AG23" s="266"/>
      <c r="AH23" s="268">
        <f t="shared" si="4"/>
        <v>21.76</v>
      </c>
    </row>
    <row r="24">
      <c r="A24" s="265" t="s">
        <v>168</v>
      </c>
      <c r="B24" s="266">
        <v>1.89</v>
      </c>
      <c r="C24" s="266">
        <v>7.9</v>
      </c>
      <c r="D24" s="266"/>
      <c r="E24" s="266">
        <v>34.3</v>
      </c>
      <c r="F24" s="266"/>
      <c r="G24" s="266"/>
      <c r="H24" s="266"/>
      <c r="I24" s="266">
        <v>8.02</v>
      </c>
      <c r="J24" s="267"/>
      <c r="K24" s="266"/>
      <c r="L24" s="266">
        <v>2.11</v>
      </c>
      <c r="M24" s="266"/>
      <c r="N24" s="266"/>
      <c r="O24" s="266">
        <v>34.17</v>
      </c>
      <c r="P24" s="266"/>
      <c r="Q24" s="266">
        <v>6.95</v>
      </c>
      <c r="R24" s="266">
        <v>0.49</v>
      </c>
      <c r="S24" s="266"/>
      <c r="T24" s="266"/>
      <c r="U24" s="267"/>
      <c r="V24" s="267"/>
      <c r="W24" s="267"/>
      <c r="X24" s="267"/>
      <c r="Y24" s="267"/>
      <c r="Z24" s="267"/>
      <c r="AA24" s="267"/>
      <c r="AB24" s="267"/>
      <c r="AC24" s="267"/>
      <c r="AD24" s="267"/>
      <c r="AE24" s="267"/>
      <c r="AF24" s="266">
        <v>10.12</v>
      </c>
      <c r="AG24" s="266"/>
      <c r="AH24" s="268">
        <f t="shared" si="4"/>
        <v>105.95</v>
      </c>
    </row>
    <row r="25">
      <c r="A25" s="265" t="s">
        <v>169</v>
      </c>
      <c r="B25" s="267"/>
      <c r="C25" s="267"/>
      <c r="D25" s="266">
        <v>8.54</v>
      </c>
      <c r="E25" s="267"/>
      <c r="F25" s="267"/>
      <c r="G25" s="266">
        <v>2.85</v>
      </c>
      <c r="H25" s="266">
        <v>5.7</v>
      </c>
      <c r="I25" s="266">
        <v>8.08</v>
      </c>
      <c r="J25" s="266">
        <v>6.57</v>
      </c>
      <c r="K25" s="267"/>
      <c r="L25" s="267"/>
      <c r="M25" s="266">
        <v>5.3</v>
      </c>
      <c r="N25" s="266">
        <v>7.38</v>
      </c>
      <c r="O25" s="266"/>
      <c r="P25" s="266">
        <v>0.89</v>
      </c>
      <c r="Q25" s="267"/>
      <c r="R25" s="266">
        <v>0.48</v>
      </c>
      <c r="S25" s="267"/>
      <c r="T25" s="267"/>
      <c r="U25" s="267"/>
      <c r="V25" s="267"/>
      <c r="W25" s="266"/>
      <c r="X25" s="266"/>
      <c r="Y25" s="266"/>
      <c r="Z25" s="266"/>
      <c r="AA25" s="266"/>
      <c r="AB25" s="266"/>
      <c r="AC25" s="266"/>
      <c r="AD25" s="266"/>
      <c r="AE25" s="266"/>
      <c r="AF25" s="266">
        <v>9.59</v>
      </c>
      <c r="AG25" s="266"/>
      <c r="AH25" s="268">
        <f t="shared" si="4"/>
        <v>55.38</v>
      </c>
    </row>
    <row r="26">
      <c r="A26" s="265" t="s">
        <v>170</v>
      </c>
      <c r="B26" s="266"/>
      <c r="C26" s="266"/>
      <c r="D26" s="267"/>
      <c r="E26" s="266"/>
      <c r="F26" s="266">
        <v>3.07</v>
      </c>
      <c r="G26" s="266"/>
      <c r="H26" s="267"/>
      <c r="I26" s="266">
        <v>8.11</v>
      </c>
      <c r="J26" s="267"/>
      <c r="K26" s="266"/>
      <c r="L26" s="266"/>
      <c r="M26" s="266"/>
      <c r="N26" s="267"/>
      <c r="O26" s="267"/>
      <c r="P26" s="266"/>
      <c r="Q26" s="266"/>
      <c r="R26" s="266">
        <v>0.5</v>
      </c>
      <c r="S26" s="267"/>
      <c r="T26" s="267"/>
      <c r="U26" s="266"/>
      <c r="V26" s="266"/>
      <c r="W26" s="267"/>
      <c r="X26" s="267"/>
      <c r="Y26" s="267"/>
      <c r="Z26" s="267"/>
      <c r="AA26" s="267"/>
      <c r="AB26" s="267"/>
      <c r="AC26" s="267"/>
      <c r="AD26" s="267"/>
      <c r="AE26" s="267"/>
      <c r="AF26" s="266">
        <v>6.78</v>
      </c>
      <c r="AG26" s="266"/>
      <c r="AH26" s="268">
        <f t="shared" si="4"/>
        <v>18.46</v>
      </c>
    </row>
    <row r="27">
      <c r="A27" s="265" t="s">
        <v>171</v>
      </c>
      <c r="B27" s="266">
        <v>1.89</v>
      </c>
      <c r="C27" s="266">
        <v>7.91</v>
      </c>
      <c r="D27" s="266"/>
      <c r="E27" s="266">
        <v>35.33</v>
      </c>
      <c r="F27" s="266"/>
      <c r="G27" s="266"/>
      <c r="H27" s="266"/>
      <c r="I27" s="266">
        <v>8.15</v>
      </c>
      <c r="J27" s="267"/>
      <c r="K27" s="266">
        <v>11.05</v>
      </c>
      <c r="L27" s="266">
        <v>2.58</v>
      </c>
      <c r="M27" s="266"/>
      <c r="N27" s="266"/>
      <c r="O27" s="266">
        <v>47.55</v>
      </c>
      <c r="P27" s="266"/>
      <c r="Q27" s="266">
        <v>5.19</v>
      </c>
      <c r="R27" s="266">
        <v>0.5</v>
      </c>
      <c r="S27" s="266"/>
      <c r="T27" s="266"/>
      <c r="U27" s="267"/>
      <c r="V27" s="267"/>
      <c r="W27" s="267"/>
      <c r="X27" s="267"/>
      <c r="Y27" s="267"/>
      <c r="Z27" s="267"/>
      <c r="AA27" s="267"/>
      <c r="AB27" s="267"/>
      <c r="AC27" s="267"/>
      <c r="AD27" s="267"/>
      <c r="AE27" s="267"/>
      <c r="AF27" s="266">
        <v>4.86</v>
      </c>
      <c r="AG27" s="266"/>
      <c r="AH27" s="268">
        <f t="shared" si="4"/>
        <v>125.01</v>
      </c>
    </row>
    <row r="28">
      <c r="A28" s="265" t="s">
        <v>172</v>
      </c>
      <c r="B28" s="267"/>
      <c r="C28" s="267"/>
      <c r="D28" s="267"/>
      <c r="E28" s="266"/>
      <c r="F28" s="267"/>
      <c r="G28" s="266">
        <v>3.07</v>
      </c>
      <c r="H28" s="266">
        <v>5.74</v>
      </c>
      <c r="I28" s="266">
        <v>8.2</v>
      </c>
      <c r="J28" s="266">
        <v>6.93</v>
      </c>
      <c r="K28" s="267"/>
      <c r="L28" s="267"/>
      <c r="M28" s="266">
        <v>5.3</v>
      </c>
      <c r="N28" s="266">
        <v>7.35</v>
      </c>
      <c r="O28" s="266"/>
      <c r="P28" s="266">
        <v>0.88</v>
      </c>
      <c r="Q28" s="267"/>
      <c r="R28" s="266">
        <v>0.49</v>
      </c>
      <c r="S28" s="267"/>
      <c r="T28" s="267"/>
      <c r="U28" s="267"/>
      <c r="V28" s="267"/>
      <c r="W28" s="266"/>
      <c r="X28" s="266"/>
      <c r="Y28" s="266"/>
      <c r="Z28" s="266"/>
      <c r="AA28" s="266"/>
      <c r="AB28" s="266"/>
      <c r="AC28" s="266"/>
      <c r="AD28" s="266"/>
      <c r="AE28" s="266"/>
      <c r="AF28" s="266">
        <v>8.3</v>
      </c>
      <c r="AG28" s="266"/>
      <c r="AH28" s="268">
        <f t="shared" si="4"/>
        <v>46.26</v>
      </c>
    </row>
    <row r="29">
      <c r="A29" s="265" t="s">
        <v>173</v>
      </c>
      <c r="B29" s="266"/>
      <c r="C29" s="266"/>
      <c r="D29" s="267"/>
      <c r="E29" s="266"/>
      <c r="F29" s="266">
        <v>3.14</v>
      </c>
      <c r="G29" s="266"/>
      <c r="H29" s="267"/>
      <c r="I29" s="266">
        <v>8.24</v>
      </c>
      <c r="J29" s="267"/>
      <c r="K29" s="266"/>
      <c r="L29" s="266"/>
      <c r="M29" s="266"/>
      <c r="N29" s="267"/>
      <c r="O29" s="267"/>
      <c r="P29" s="266"/>
      <c r="Q29" s="266"/>
      <c r="R29" s="266">
        <v>0.51</v>
      </c>
      <c r="S29" s="267"/>
      <c r="T29" s="267"/>
      <c r="U29" s="266"/>
      <c r="V29" s="266"/>
      <c r="W29" s="267"/>
      <c r="X29" s="267"/>
      <c r="Y29" s="267"/>
      <c r="Z29" s="267"/>
      <c r="AA29" s="267"/>
      <c r="AB29" s="267"/>
      <c r="AC29" s="267"/>
      <c r="AD29" s="267"/>
      <c r="AE29" s="267"/>
      <c r="AF29" s="266">
        <v>12.99</v>
      </c>
      <c r="AG29" s="266"/>
      <c r="AH29" s="268">
        <f t="shared" si="4"/>
        <v>24.88</v>
      </c>
    </row>
    <row r="30">
      <c r="A30" s="265" t="s">
        <v>174</v>
      </c>
      <c r="B30" s="266">
        <v>1.89</v>
      </c>
      <c r="C30" s="266">
        <v>8.69</v>
      </c>
      <c r="D30" s="266"/>
      <c r="E30" s="266">
        <v>35.75</v>
      </c>
      <c r="F30" s="266"/>
      <c r="G30" s="266"/>
      <c r="H30" s="266">
        <v>5.78</v>
      </c>
      <c r="I30" s="266">
        <v>8.28</v>
      </c>
      <c r="J30" s="267"/>
      <c r="K30" s="266">
        <v>11.12</v>
      </c>
      <c r="L30" s="266">
        <v>2.28</v>
      </c>
      <c r="M30" s="266">
        <v>5.41</v>
      </c>
      <c r="N30" s="266">
        <v>7.72</v>
      </c>
      <c r="O30" s="266">
        <v>51.29</v>
      </c>
      <c r="P30" s="266">
        <v>0.91</v>
      </c>
      <c r="Q30" s="266">
        <v>19.77</v>
      </c>
      <c r="R30" s="266">
        <f>0.5+0.52</f>
        <v>1.02</v>
      </c>
      <c r="S30" s="266"/>
      <c r="T30" s="266"/>
      <c r="U30" s="266"/>
      <c r="V30" s="266"/>
      <c r="W30" s="267"/>
      <c r="X30" s="267"/>
      <c r="Y30" s="267"/>
      <c r="Z30" s="267"/>
      <c r="AA30" s="267"/>
      <c r="AB30" s="267"/>
      <c r="AC30" s="267"/>
      <c r="AD30" s="267"/>
      <c r="AE30" s="267"/>
      <c r="AF30" s="266">
        <v>17.63</v>
      </c>
      <c r="AG30" s="266"/>
      <c r="AH30" s="268">
        <f t="shared" si="4"/>
        <v>177.54</v>
      </c>
    </row>
    <row r="31">
      <c r="A31" s="261" t="s">
        <v>36</v>
      </c>
      <c r="B31" s="268">
        <f t="shared" ref="B31:AG31" si="5">SUM(B19:B30)</f>
        <v>5.67</v>
      </c>
      <c r="C31" s="268">
        <f t="shared" si="5"/>
        <v>28.24</v>
      </c>
      <c r="D31" s="268">
        <f t="shared" si="5"/>
        <v>15.05</v>
      </c>
      <c r="E31" s="268">
        <f t="shared" si="5"/>
        <v>121.61</v>
      </c>
      <c r="F31" s="268">
        <f t="shared" si="5"/>
        <v>9.26</v>
      </c>
      <c r="G31" s="268">
        <f t="shared" si="5"/>
        <v>11.28</v>
      </c>
      <c r="H31" s="268">
        <f t="shared" si="5"/>
        <v>22.88</v>
      </c>
      <c r="I31" s="268">
        <f t="shared" si="5"/>
        <v>92.14</v>
      </c>
      <c r="J31" s="268">
        <f t="shared" si="5"/>
        <v>19.99</v>
      </c>
      <c r="K31" s="268">
        <f t="shared" si="5"/>
        <v>22.17</v>
      </c>
      <c r="L31" s="268">
        <f t="shared" si="5"/>
        <v>7.7</v>
      </c>
      <c r="M31" s="268">
        <f t="shared" si="5"/>
        <v>21.49</v>
      </c>
      <c r="N31" s="268">
        <f t="shared" si="5"/>
        <v>28.42</v>
      </c>
      <c r="O31" s="268">
        <f t="shared" si="5"/>
        <v>157.99</v>
      </c>
      <c r="P31" s="268">
        <f t="shared" si="5"/>
        <v>3.63</v>
      </c>
      <c r="Q31" s="268">
        <f t="shared" si="5"/>
        <v>34.26</v>
      </c>
      <c r="R31" s="268">
        <f t="shared" si="5"/>
        <v>5.89</v>
      </c>
      <c r="S31" s="268">
        <f t="shared" si="5"/>
        <v>0</v>
      </c>
      <c r="T31" s="268">
        <f t="shared" si="5"/>
        <v>0</v>
      </c>
      <c r="U31" s="268">
        <f t="shared" si="5"/>
        <v>0</v>
      </c>
      <c r="V31" s="268">
        <f t="shared" si="5"/>
        <v>0</v>
      </c>
      <c r="W31" s="268">
        <f t="shared" si="5"/>
        <v>0</v>
      </c>
      <c r="X31" s="268">
        <f t="shared" si="5"/>
        <v>0</v>
      </c>
      <c r="Y31" s="268">
        <f t="shared" si="5"/>
        <v>0</v>
      </c>
      <c r="Z31" s="268">
        <f t="shared" si="5"/>
        <v>0</v>
      </c>
      <c r="AA31" s="268">
        <f t="shared" si="5"/>
        <v>0</v>
      </c>
      <c r="AB31" s="268">
        <f t="shared" si="5"/>
        <v>0</v>
      </c>
      <c r="AC31" s="268">
        <f t="shared" si="5"/>
        <v>0</v>
      </c>
      <c r="AD31" s="268">
        <f t="shared" si="5"/>
        <v>0</v>
      </c>
      <c r="AE31" s="268">
        <f t="shared" si="5"/>
        <v>0</v>
      </c>
      <c r="AF31" s="268">
        <f t="shared" si="5"/>
        <v>127.77</v>
      </c>
      <c r="AG31" s="268">
        <f t="shared" si="5"/>
        <v>0</v>
      </c>
      <c r="AH31" s="268">
        <f t="shared" si="4"/>
        <v>735.44</v>
      </c>
    </row>
    <row r="32">
      <c r="A32" s="250">
        <v>2026.0</v>
      </c>
      <c r="B32" s="259" t="s">
        <v>162</v>
      </c>
      <c r="E32" s="260">
        <f>MAX(AH33:AH44)</f>
        <v>52.21</v>
      </c>
      <c r="F32" s="261"/>
      <c r="G32" s="261"/>
      <c r="H32" s="261"/>
      <c r="I32" s="261"/>
      <c r="J32" s="261"/>
      <c r="K32" s="261"/>
      <c r="L32" s="261"/>
      <c r="M32" s="261"/>
      <c r="N32" s="261"/>
      <c r="O32" s="261"/>
      <c r="P32" s="261"/>
      <c r="Q32" s="261"/>
      <c r="R32" s="261"/>
      <c r="S32" s="261"/>
      <c r="T32" s="261"/>
      <c r="U32" s="261"/>
      <c r="V32" s="261"/>
      <c r="W32" s="261"/>
      <c r="X32" s="261"/>
      <c r="Y32" s="261"/>
      <c r="Z32" s="261"/>
      <c r="AA32" s="261"/>
      <c r="AB32" s="261"/>
      <c r="AC32" s="261"/>
      <c r="AD32" s="261"/>
      <c r="AE32" s="262" t="s">
        <v>153</v>
      </c>
      <c r="AG32" s="263">
        <f>AH32*0.06</f>
        <v>7.2474</v>
      </c>
      <c r="AH32" s="264">
        <f>SUM(AH45)</f>
        <v>120.79</v>
      </c>
    </row>
    <row r="33">
      <c r="A33" s="265" t="s">
        <v>163</v>
      </c>
      <c r="B33" s="267"/>
      <c r="C33" s="267"/>
      <c r="D33" s="266">
        <v>12.86</v>
      </c>
      <c r="E33" s="267"/>
      <c r="F33" s="267"/>
      <c r="G33" s="266">
        <v>3.09</v>
      </c>
      <c r="H33" s="267"/>
      <c r="I33" s="266">
        <v>8.33</v>
      </c>
      <c r="J33" s="266">
        <v>7.03</v>
      </c>
      <c r="K33" s="267"/>
      <c r="L33" s="266"/>
      <c r="M33" s="266"/>
      <c r="N33" s="266"/>
      <c r="O33" s="266"/>
      <c r="P33" s="266"/>
      <c r="Q33" s="267"/>
      <c r="R33" s="267"/>
      <c r="S33" s="267"/>
      <c r="T33" s="267"/>
      <c r="U33" s="267"/>
      <c r="V33" s="267"/>
      <c r="W33" s="266"/>
      <c r="X33" s="266"/>
      <c r="Y33" s="266"/>
      <c r="Z33" s="266"/>
      <c r="AA33" s="266"/>
      <c r="AB33" s="266"/>
      <c r="AC33" s="266"/>
      <c r="AD33" s="266"/>
      <c r="AE33" s="266"/>
      <c r="AF33" s="266">
        <v>20.9</v>
      </c>
      <c r="AG33" s="267"/>
      <c r="AH33" s="268">
        <f t="shared" ref="AH33:AH45" si="6">SUM(B33:AF33)+AG33</f>
        <v>52.21</v>
      </c>
    </row>
    <row r="34">
      <c r="A34" s="265" t="s">
        <v>164</v>
      </c>
      <c r="B34" s="267"/>
      <c r="C34" s="267"/>
      <c r="D34" s="267"/>
      <c r="E34" s="267"/>
      <c r="F34" s="266">
        <v>3.17</v>
      </c>
      <c r="G34" s="267"/>
      <c r="H34" s="267"/>
      <c r="I34" s="266">
        <v>8.37</v>
      </c>
      <c r="J34" s="267"/>
      <c r="K34" s="267"/>
      <c r="L34" s="267"/>
      <c r="M34" s="267"/>
      <c r="N34" s="267"/>
      <c r="O34" s="267"/>
      <c r="P34" s="267"/>
      <c r="Q34" s="267"/>
      <c r="R34" s="266">
        <v>0.52</v>
      </c>
      <c r="S34" s="267"/>
      <c r="T34" s="267"/>
      <c r="U34" s="267"/>
      <c r="V34" s="267"/>
      <c r="W34" s="267"/>
      <c r="X34" s="267"/>
      <c r="Y34" s="267"/>
      <c r="Z34" s="267"/>
      <c r="AA34" s="267"/>
      <c r="AB34" s="267"/>
      <c r="AC34" s="267"/>
      <c r="AD34" s="267"/>
      <c r="AE34" s="267"/>
      <c r="AF34" s="266">
        <v>20.32</v>
      </c>
      <c r="AG34" s="267"/>
      <c r="AH34" s="268">
        <f t="shared" si="6"/>
        <v>32.38</v>
      </c>
    </row>
    <row r="35">
      <c r="A35" s="265" t="s">
        <v>165</v>
      </c>
      <c r="B35" s="267"/>
      <c r="C35" s="267"/>
      <c r="D35" s="267"/>
      <c r="E35" s="266">
        <v>36.2</v>
      </c>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8">
        <f t="shared" si="6"/>
        <v>36.2</v>
      </c>
    </row>
    <row r="36">
      <c r="A36" s="265" t="s">
        <v>166</v>
      </c>
      <c r="B36" s="267"/>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8">
        <f t="shared" si="6"/>
        <v>0</v>
      </c>
    </row>
    <row r="37">
      <c r="A37" s="265" t="s">
        <v>167</v>
      </c>
      <c r="B37" s="267"/>
      <c r="C37" s="267"/>
      <c r="D37" s="267"/>
      <c r="E37" s="267"/>
      <c r="F37" s="267"/>
      <c r="G37" s="267"/>
      <c r="H37" s="267"/>
      <c r="I37" s="267"/>
      <c r="J37" s="267"/>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8">
        <f t="shared" si="6"/>
        <v>0</v>
      </c>
    </row>
    <row r="38">
      <c r="A38" s="265" t="s">
        <v>168</v>
      </c>
      <c r="B38" s="267"/>
      <c r="C38" s="267"/>
      <c r="D38" s="267"/>
      <c r="E38" s="267"/>
      <c r="F38" s="267"/>
      <c r="G38" s="267"/>
      <c r="H38" s="267"/>
      <c r="I38" s="267"/>
      <c r="J38" s="267"/>
      <c r="K38" s="267"/>
      <c r="L38" s="267"/>
      <c r="M38" s="267"/>
      <c r="N38" s="267"/>
      <c r="O38" s="267"/>
      <c r="P38" s="267"/>
      <c r="Q38" s="267"/>
      <c r="R38" s="267"/>
      <c r="S38" s="267"/>
      <c r="T38" s="267"/>
      <c r="U38" s="267"/>
      <c r="V38" s="267"/>
      <c r="W38" s="267"/>
      <c r="X38" s="267"/>
      <c r="Y38" s="267"/>
      <c r="Z38" s="267"/>
      <c r="AA38" s="267"/>
      <c r="AB38" s="267"/>
      <c r="AC38" s="267"/>
      <c r="AD38" s="267"/>
      <c r="AE38" s="267"/>
      <c r="AF38" s="267"/>
      <c r="AG38" s="267"/>
      <c r="AH38" s="268">
        <f t="shared" si="6"/>
        <v>0</v>
      </c>
    </row>
    <row r="39">
      <c r="A39" s="265" t="s">
        <v>169</v>
      </c>
      <c r="B39" s="267"/>
      <c r="C39" s="267"/>
      <c r="D39" s="267"/>
      <c r="E39" s="267"/>
      <c r="F39" s="267"/>
      <c r="G39" s="267"/>
      <c r="H39" s="267"/>
      <c r="I39" s="267"/>
      <c r="J39" s="267"/>
      <c r="K39" s="267"/>
      <c r="L39" s="267"/>
      <c r="M39" s="267"/>
      <c r="N39" s="267"/>
      <c r="O39" s="267"/>
      <c r="P39" s="267"/>
      <c r="Q39" s="267"/>
      <c r="R39" s="267"/>
      <c r="S39" s="267"/>
      <c r="T39" s="267"/>
      <c r="U39" s="267"/>
      <c r="V39" s="267"/>
      <c r="W39" s="267"/>
      <c r="X39" s="267"/>
      <c r="Y39" s="267"/>
      <c r="Z39" s="267"/>
      <c r="AA39" s="267"/>
      <c r="AB39" s="267"/>
      <c r="AC39" s="267"/>
      <c r="AD39" s="267"/>
      <c r="AE39" s="267"/>
      <c r="AF39" s="267"/>
      <c r="AG39" s="267"/>
      <c r="AH39" s="268">
        <f t="shared" si="6"/>
        <v>0</v>
      </c>
    </row>
    <row r="40">
      <c r="A40" s="265" t="s">
        <v>170</v>
      </c>
      <c r="B40" s="267"/>
      <c r="C40" s="267"/>
      <c r="D40" s="267"/>
      <c r="E40" s="267"/>
      <c r="F40" s="267"/>
      <c r="G40" s="267"/>
      <c r="H40" s="267"/>
      <c r="I40" s="267"/>
      <c r="J40" s="267"/>
      <c r="K40" s="267"/>
      <c r="L40" s="267"/>
      <c r="M40" s="267"/>
      <c r="N40" s="267"/>
      <c r="O40" s="267"/>
      <c r="P40" s="267"/>
      <c r="Q40" s="267"/>
      <c r="R40" s="267"/>
      <c r="S40" s="267"/>
      <c r="T40" s="267"/>
      <c r="U40" s="267"/>
      <c r="V40" s="267"/>
      <c r="W40" s="267"/>
      <c r="X40" s="267"/>
      <c r="Y40" s="267"/>
      <c r="Z40" s="267"/>
      <c r="AA40" s="267"/>
      <c r="AB40" s="267"/>
      <c r="AC40" s="267"/>
      <c r="AD40" s="267"/>
      <c r="AE40" s="267"/>
      <c r="AF40" s="267"/>
      <c r="AG40" s="267"/>
      <c r="AH40" s="268">
        <f t="shared" si="6"/>
        <v>0</v>
      </c>
    </row>
    <row r="41">
      <c r="A41" s="265" t="s">
        <v>171</v>
      </c>
      <c r="B41" s="267"/>
      <c r="C41" s="267"/>
      <c r="D41" s="267"/>
      <c r="E41" s="267"/>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8">
        <f t="shared" si="6"/>
        <v>0</v>
      </c>
    </row>
    <row r="42">
      <c r="A42" s="265" t="s">
        <v>172</v>
      </c>
      <c r="B42" s="267"/>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8">
        <f t="shared" si="6"/>
        <v>0</v>
      </c>
    </row>
    <row r="43">
      <c r="A43" s="265" t="s">
        <v>173</v>
      </c>
      <c r="B43" s="267"/>
      <c r="C43" s="267"/>
      <c r="D43" s="267"/>
      <c r="E43" s="267"/>
      <c r="F43" s="267"/>
      <c r="G43" s="267"/>
      <c r="H43" s="267"/>
      <c r="I43" s="267"/>
      <c r="J43" s="267"/>
      <c r="K43" s="267"/>
      <c r="L43" s="267"/>
      <c r="M43" s="267"/>
      <c r="N43" s="267"/>
      <c r="O43" s="267"/>
      <c r="P43" s="267"/>
      <c r="Q43" s="267"/>
      <c r="R43" s="267"/>
      <c r="S43" s="267"/>
      <c r="T43" s="267"/>
      <c r="U43" s="267"/>
      <c r="V43" s="267"/>
      <c r="W43" s="267"/>
      <c r="X43" s="267"/>
      <c r="Y43" s="267"/>
      <c r="Z43" s="267"/>
      <c r="AA43" s="267"/>
      <c r="AB43" s="267"/>
      <c r="AC43" s="267"/>
      <c r="AD43" s="267"/>
      <c r="AE43" s="267"/>
      <c r="AF43" s="267"/>
      <c r="AG43" s="267"/>
      <c r="AH43" s="268">
        <f t="shared" si="6"/>
        <v>0</v>
      </c>
    </row>
    <row r="44">
      <c r="A44" s="265" t="s">
        <v>174</v>
      </c>
      <c r="B44" s="267"/>
      <c r="C44" s="267"/>
      <c r="D44" s="267"/>
      <c r="E44" s="267"/>
      <c r="F44" s="267"/>
      <c r="G44" s="267"/>
      <c r="H44" s="267"/>
      <c r="I44" s="267"/>
      <c r="J44" s="267"/>
      <c r="K44" s="267"/>
      <c r="L44" s="267"/>
      <c r="M44" s="267"/>
      <c r="N44" s="267"/>
      <c r="O44" s="267"/>
      <c r="P44" s="267"/>
      <c r="Q44" s="267"/>
      <c r="R44" s="267"/>
      <c r="S44" s="267"/>
      <c r="T44" s="267"/>
      <c r="U44" s="267"/>
      <c r="V44" s="267"/>
      <c r="W44" s="267"/>
      <c r="X44" s="267"/>
      <c r="Y44" s="267"/>
      <c r="Z44" s="267"/>
      <c r="AA44" s="267"/>
      <c r="AB44" s="267"/>
      <c r="AC44" s="267"/>
      <c r="AD44" s="267"/>
      <c r="AE44" s="267"/>
      <c r="AF44" s="267"/>
      <c r="AG44" s="267"/>
      <c r="AH44" s="268">
        <f t="shared" si="6"/>
        <v>0</v>
      </c>
    </row>
    <row r="45">
      <c r="A45" s="261" t="s">
        <v>36</v>
      </c>
      <c r="B45" s="268">
        <f t="shared" ref="B45:AG45" si="7">SUM(B33:B44)</f>
        <v>0</v>
      </c>
      <c r="C45" s="268">
        <f t="shared" si="7"/>
        <v>0</v>
      </c>
      <c r="D45" s="268">
        <f t="shared" si="7"/>
        <v>12.86</v>
      </c>
      <c r="E45" s="268">
        <f t="shared" si="7"/>
        <v>36.2</v>
      </c>
      <c r="F45" s="268">
        <f t="shared" si="7"/>
        <v>3.17</v>
      </c>
      <c r="G45" s="268">
        <f t="shared" si="7"/>
        <v>3.09</v>
      </c>
      <c r="H45" s="268">
        <f t="shared" si="7"/>
        <v>0</v>
      </c>
      <c r="I45" s="268">
        <f t="shared" si="7"/>
        <v>16.7</v>
      </c>
      <c r="J45" s="268">
        <f t="shared" si="7"/>
        <v>7.03</v>
      </c>
      <c r="K45" s="268">
        <f t="shared" si="7"/>
        <v>0</v>
      </c>
      <c r="L45" s="268">
        <f t="shared" si="7"/>
        <v>0</v>
      </c>
      <c r="M45" s="268">
        <f t="shared" si="7"/>
        <v>0</v>
      </c>
      <c r="N45" s="268">
        <f t="shared" si="7"/>
        <v>0</v>
      </c>
      <c r="O45" s="268">
        <f t="shared" si="7"/>
        <v>0</v>
      </c>
      <c r="P45" s="268">
        <f t="shared" si="7"/>
        <v>0</v>
      </c>
      <c r="Q45" s="268">
        <f t="shared" si="7"/>
        <v>0</v>
      </c>
      <c r="R45" s="268">
        <f t="shared" si="7"/>
        <v>0.52</v>
      </c>
      <c r="S45" s="268">
        <f t="shared" si="7"/>
        <v>0</v>
      </c>
      <c r="T45" s="268">
        <f t="shared" si="7"/>
        <v>0</v>
      </c>
      <c r="U45" s="268">
        <f t="shared" si="7"/>
        <v>0</v>
      </c>
      <c r="V45" s="268">
        <f t="shared" si="7"/>
        <v>0</v>
      </c>
      <c r="W45" s="268">
        <f t="shared" si="7"/>
        <v>0</v>
      </c>
      <c r="X45" s="268">
        <f t="shared" si="7"/>
        <v>0</v>
      </c>
      <c r="Y45" s="268">
        <f t="shared" si="7"/>
        <v>0</v>
      </c>
      <c r="Z45" s="268">
        <f t="shared" si="7"/>
        <v>0</v>
      </c>
      <c r="AA45" s="268">
        <f t="shared" si="7"/>
        <v>0</v>
      </c>
      <c r="AB45" s="268">
        <f t="shared" si="7"/>
        <v>0</v>
      </c>
      <c r="AC45" s="268">
        <f t="shared" si="7"/>
        <v>0</v>
      </c>
      <c r="AD45" s="268">
        <f t="shared" si="7"/>
        <v>0</v>
      </c>
      <c r="AE45" s="268">
        <f t="shared" si="7"/>
        <v>0</v>
      </c>
      <c r="AF45" s="268">
        <f t="shared" si="7"/>
        <v>41.22</v>
      </c>
      <c r="AG45" s="268">
        <f t="shared" si="7"/>
        <v>0</v>
      </c>
      <c r="AH45" s="268">
        <f t="shared" si="6"/>
        <v>120.79</v>
      </c>
    </row>
    <row r="46">
      <c r="A46" s="250">
        <v>2027.0</v>
      </c>
      <c r="B46" s="259" t="s">
        <v>162</v>
      </c>
      <c r="E46" s="260">
        <f>MAX(AH47:AH58)</f>
        <v>0</v>
      </c>
      <c r="F46" s="261"/>
      <c r="G46" s="261"/>
      <c r="H46" s="261"/>
      <c r="I46" s="261"/>
      <c r="J46" s="261"/>
      <c r="K46" s="261"/>
      <c r="L46" s="261"/>
      <c r="M46" s="261"/>
      <c r="N46" s="261"/>
      <c r="O46" s="261"/>
      <c r="P46" s="261"/>
      <c r="Q46" s="261"/>
      <c r="R46" s="261"/>
      <c r="S46" s="261"/>
      <c r="T46" s="261"/>
      <c r="U46" s="261"/>
      <c r="V46" s="261"/>
      <c r="W46" s="261"/>
      <c r="X46" s="261"/>
      <c r="Y46" s="261"/>
      <c r="Z46" s="261"/>
      <c r="AA46" s="261"/>
      <c r="AB46" s="261"/>
      <c r="AC46" s="261"/>
      <c r="AD46" s="261"/>
      <c r="AE46" s="262" t="s">
        <v>153</v>
      </c>
      <c r="AG46" s="263">
        <f>AH46*0.06</f>
        <v>0</v>
      </c>
      <c r="AH46" s="264">
        <f>SUM(AH59)</f>
        <v>0</v>
      </c>
    </row>
    <row r="47">
      <c r="A47" s="265" t="s">
        <v>163</v>
      </c>
      <c r="B47" s="267"/>
      <c r="C47" s="267"/>
      <c r="D47" s="267"/>
      <c r="E47" s="267"/>
      <c r="F47" s="267"/>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8">
        <f t="shared" ref="AH47:AH59" si="8">SUM(B47:AF47)+AG47</f>
        <v>0</v>
      </c>
    </row>
    <row r="48">
      <c r="A48" s="265" t="s">
        <v>164</v>
      </c>
      <c r="B48" s="266"/>
      <c r="C48" s="267"/>
      <c r="D48" s="267"/>
      <c r="E48" s="267"/>
      <c r="F48" s="267"/>
      <c r="G48" s="267"/>
      <c r="H48" s="267"/>
      <c r="I48" s="267"/>
      <c r="J48" s="267"/>
      <c r="K48" s="267"/>
      <c r="L48" s="267"/>
      <c r="M48" s="267"/>
      <c r="N48" s="267"/>
      <c r="O48" s="267"/>
      <c r="P48" s="267"/>
      <c r="Q48" s="267"/>
      <c r="R48" s="267"/>
      <c r="S48" s="267"/>
      <c r="T48" s="267"/>
      <c r="U48" s="267"/>
      <c r="V48" s="267"/>
      <c r="W48" s="267"/>
      <c r="X48" s="267"/>
      <c r="Y48" s="267"/>
      <c r="Z48" s="267"/>
      <c r="AA48" s="267"/>
      <c r="AB48" s="267"/>
      <c r="AC48" s="267"/>
      <c r="AD48" s="267"/>
      <c r="AE48" s="267"/>
      <c r="AF48" s="267"/>
      <c r="AG48" s="267"/>
      <c r="AH48" s="268">
        <f t="shared" si="8"/>
        <v>0</v>
      </c>
    </row>
    <row r="49">
      <c r="A49" s="265" t="s">
        <v>165</v>
      </c>
      <c r="B49" s="267"/>
      <c r="C49" s="267"/>
      <c r="D49" s="267"/>
      <c r="E49" s="267"/>
      <c r="F49" s="267"/>
      <c r="G49" s="267"/>
      <c r="H49" s="267"/>
      <c r="I49" s="267"/>
      <c r="J49" s="267"/>
      <c r="K49" s="267"/>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8">
        <f t="shared" si="8"/>
        <v>0</v>
      </c>
    </row>
    <row r="50">
      <c r="A50" s="265" t="s">
        <v>166</v>
      </c>
      <c r="B50" s="267"/>
      <c r="C50" s="267"/>
      <c r="D50" s="267"/>
      <c r="E50" s="267"/>
      <c r="F50" s="267"/>
      <c r="G50" s="267"/>
      <c r="H50" s="267"/>
      <c r="I50" s="267"/>
      <c r="J50" s="267"/>
      <c r="K50" s="267"/>
      <c r="L50" s="267"/>
      <c r="M50" s="267"/>
      <c r="N50" s="267"/>
      <c r="O50" s="267"/>
      <c r="P50" s="267"/>
      <c r="Q50" s="267"/>
      <c r="R50" s="267"/>
      <c r="S50" s="267"/>
      <c r="T50" s="267"/>
      <c r="U50" s="267"/>
      <c r="V50" s="267"/>
      <c r="W50" s="267"/>
      <c r="X50" s="267"/>
      <c r="Y50" s="267"/>
      <c r="Z50" s="267"/>
      <c r="AA50" s="267"/>
      <c r="AB50" s="267"/>
      <c r="AC50" s="267"/>
      <c r="AD50" s="267"/>
      <c r="AE50" s="267"/>
      <c r="AF50" s="267"/>
      <c r="AG50" s="267"/>
      <c r="AH50" s="268">
        <f t="shared" si="8"/>
        <v>0</v>
      </c>
    </row>
    <row r="51">
      <c r="A51" s="265" t="s">
        <v>167</v>
      </c>
      <c r="B51" s="267"/>
      <c r="C51" s="267"/>
      <c r="D51" s="267"/>
      <c r="E51" s="267"/>
      <c r="F51" s="267"/>
      <c r="G51" s="267"/>
      <c r="H51" s="267"/>
      <c r="I51" s="267"/>
      <c r="J51" s="267"/>
      <c r="K51" s="267"/>
      <c r="L51" s="267"/>
      <c r="M51" s="267"/>
      <c r="N51" s="267"/>
      <c r="O51" s="267"/>
      <c r="P51" s="267"/>
      <c r="Q51" s="267"/>
      <c r="R51" s="267"/>
      <c r="S51" s="267"/>
      <c r="T51" s="267"/>
      <c r="U51" s="267"/>
      <c r="V51" s="267"/>
      <c r="W51" s="267"/>
      <c r="X51" s="267"/>
      <c r="Y51" s="267"/>
      <c r="Z51" s="267"/>
      <c r="AA51" s="267"/>
      <c r="AB51" s="267"/>
      <c r="AC51" s="267"/>
      <c r="AD51" s="267"/>
      <c r="AE51" s="267"/>
      <c r="AF51" s="267"/>
      <c r="AG51" s="267"/>
      <c r="AH51" s="268">
        <f t="shared" si="8"/>
        <v>0</v>
      </c>
    </row>
    <row r="52">
      <c r="A52" s="265" t="s">
        <v>168</v>
      </c>
      <c r="B52" s="267"/>
      <c r="C52" s="267"/>
      <c r="D52" s="267"/>
      <c r="E52" s="267"/>
      <c r="F52" s="267"/>
      <c r="G52" s="267"/>
      <c r="H52" s="267"/>
      <c r="I52" s="267"/>
      <c r="J52" s="267"/>
      <c r="K52" s="267"/>
      <c r="L52" s="267"/>
      <c r="M52" s="267"/>
      <c r="N52" s="267"/>
      <c r="O52" s="267"/>
      <c r="P52" s="267"/>
      <c r="Q52" s="267"/>
      <c r="R52" s="267"/>
      <c r="S52" s="267"/>
      <c r="T52" s="267"/>
      <c r="U52" s="267"/>
      <c r="V52" s="267"/>
      <c r="W52" s="267"/>
      <c r="X52" s="267"/>
      <c r="Y52" s="267"/>
      <c r="Z52" s="267"/>
      <c r="AA52" s="267"/>
      <c r="AB52" s="267"/>
      <c r="AC52" s="267"/>
      <c r="AD52" s="267"/>
      <c r="AE52" s="267"/>
      <c r="AF52" s="267"/>
      <c r="AG52" s="267"/>
      <c r="AH52" s="268">
        <f t="shared" si="8"/>
        <v>0</v>
      </c>
    </row>
    <row r="53">
      <c r="A53" s="265" t="s">
        <v>169</v>
      </c>
      <c r="B53" s="267"/>
      <c r="C53" s="267"/>
      <c r="D53" s="267"/>
      <c r="E53" s="267"/>
      <c r="F53" s="267"/>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8">
        <f t="shared" si="8"/>
        <v>0</v>
      </c>
    </row>
    <row r="54">
      <c r="A54" s="265" t="s">
        <v>170</v>
      </c>
      <c r="B54" s="267"/>
      <c r="C54" s="267"/>
      <c r="D54" s="267"/>
      <c r="E54" s="267"/>
      <c r="F54" s="267"/>
      <c r="G54" s="267"/>
      <c r="H54" s="267"/>
      <c r="I54" s="267"/>
      <c r="J54" s="267"/>
      <c r="K54" s="267"/>
      <c r="L54" s="267"/>
      <c r="M54" s="267"/>
      <c r="N54" s="267"/>
      <c r="O54" s="267"/>
      <c r="P54" s="267"/>
      <c r="Q54" s="267"/>
      <c r="R54" s="267"/>
      <c r="S54" s="267"/>
      <c r="T54" s="267"/>
      <c r="U54" s="267"/>
      <c r="V54" s="267"/>
      <c r="W54" s="267"/>
      <c r="X54" s="267"/>
      <c r="Y54" s="267"/>
      <c r="Z54" s="267"/>
      <c r="AA54" s="267"/>
      <c r="AB54" s="267"/>
      <c r="AC54" s="267"/>
      <c r="AD54" s="267"/>
      <c r="AE54" s="267"/>
      <c r="AF54" s="267"/>
      <c r="AG54" s="267"/>
      <c r="AH54" s="268">
        <f t="shared" si="8"/>
        <v>0</v>
      </c>
    </row>
    <row r="55">
      <c r="A55" s="265" t="s">
        <v>171</v>
      </c>
      <c r="B55" s="267"/>
      <c r="C55" s="267"/>
      <c r="D55" s="267"/>
      <c r="E55" s="267"/>
      <c r="F55" s="267"/>
      <c r="G55" s="267"/>
      <c r="H55" s="267"/>
      <c r="I55" s="267"/>
      <c r="J55" s="267"/>
      <c r="K55" s="267"/>
      <c r="L55" s="267"/>
      <c r="M55" s="267"/>
      <c r="N55" s="267"/>
      <c r="O55" s="267"/>
      <c r="P55" s="267"/>
      <c r="Q55" s="267"/>
      <c r="R55" s="267"/>
      <c r="S55" s="267"/>
      <c r="T55" s="267"/>
      <c r="U55" s="267"/>
      <c r="V55" s="267"/>
      <c r="W55" s="267"/>
      <c r="X55" s="267"/>
      <c r="Y55" s="267"/>
      <c r="Z55" s="267"/>
      <c r="AA55" s="267"/>
      <c r="AB55" s="267"/>
      <c r="AC55" s="267"/>
      <c r="AD55" s="267"/>
      <c r="AE55" s="267"/>
      <c r="AF55" s="267"/>
      <c r="AG55" s="267"/>
      <c r="AH55" s="268">
        <f t="shared" si="8"/>
        <v>0</v>
      </c>
    </row>
    <row r="56">
      <c r="A56" s="265" t="s">
        <v>172</v>
      </c>
      <c r="B56" s="267"/>
      <c r="C56" s="267"/>
      <c r="D56" s="267"/>
      <c r="E56" s="267"/>
      <c r="F56" s="267"/>
      <c r="G56" s="267"/>
      <c r="H56" s="267"/>
      <c r="I56" s="267"/>
      <c r="J56" s="267"/>
      <c r="K56" s="267"/>
      <c r="L56" s="267"/>
      <c r="M56" s="267"/>
      <c r="N56" s="267"/>
      <c r="O56" s="267"/>
      <c r="P56" s="267"/>
      <c r="Q56" s="267"/>
      <c r="R56" s="267"/>
      <c r="S56" s="267"/>
      <c r="T56" s="267"/>
      <c r="U56" s="267"/>
      <c r="V56" s="267"/>
      <c r="W56" s="267"/>
      <c r="X56" s="267"/>
      <c r="Y56" s="267"/>
      <c r="Z56" s="267"/>
      <c r="AA56" s="267"/>
      <c r="AB56" s="267"/>
      <c r="AC56" s="267"/>
      <c r="AD56" s="267"/>
      <c r="AE56" s="267"/>
      <c r="AF56" s="267"/>
      <c r="AG56" s="267"/>
      <c r="AH56" s="268">
        <f t="shared" si="8"/>
        <v>0</v>
      </c>
    </row>
    <row r="57">
      <c r="A57" s="265" t="s">
        <v>173</v>
      </c>
      <c r="B57" s="267"/>
      <c r="C57" s="267"/>
      <c r="D57" s="267"/>
      <c r="E57" s="267"/>
      <c r="F57" s="267"/>
      <c r="G57" s="267"/>
      <c r="H57" s="267"/>
      <c r="I57" s="267"/>
      <c r="J57" s="267"/>
      <c r="K57" s="267"/>
      <c r="L57" s="267"/>
      <c r="M57" s="267"/>
      <c r="N57" s="267"/>
      <c r="O57" s="267"/>
      <c r="P57" s="267"/>
      <c r="Q57" s="267"/>
      <c r="R57" s="267"/>
      <c r="S57" s="267"/>
      <c r="T57" s="267"/>
      <c r="U57" s="267"/>
      <c r="V57" s="267"/>
      <c r="W57" s="267"/>
      <c r="X57" s="267"/>
      <c r="Y57" s="267"/>
      <c r="Z57" s="267"/>
      <c r="AA57" s="267"/>
      <c r="AB57" s="267"/>
      <c r="AC57" s="267"/>
      <c r="AD57" s="267"/>
      <c r="AE57" s="267"/>
      <c r="AF57" s="267"/>
      <c r="AG57" s="267"/>
      <c r="AH57" s="268">
        <f t="shared" si="8"/>
        <v>0</v>
      </c>
    </row>
    <row r="58">
      <c r="A58" s="265" t="s">
        <v>174</v>
      </c>
      <c r="B58" s="267"/>
      <c r="C58" s="267"/>
      <c r="D58" s="267"/>
      <c r="E58" s="267"/>
      <c r="F58" s="267"/>
      <c r="G58" s="267"/>
      <c r="H58" s="267"/>
      <c r="I58" s="267"/>
      <c r="J58" s="267"/>
      <c r="K58" s="267"/>
      <c r="L58" s="267"/>
      <c r="M58" s="267"/>
      <c r="N58" s="267"/>
      <c r="O58" s="267"/>
      <c r="P58" s="267"/>
      <c r="Q58" s="267"/>
      <c r="R58" s="267"/>
      <c r="S58" s="267"/>
      <c r="T58" s="267"/>
      <c r="U58" s="267"/>
      <c r="V58" s="267"/>
      <c r="W58" s="267"/>
      <c r="X58" s="267"/>
      <c r="Y58" s="267"/>
      <c r="Z58" s="267"/>
      <c r="AA58" s="267"/>
      <c r="AB58" s="267"/>
      <c r="AC58" s="267"/>
      <c r="AD58" s="267"/>
      <c r="AE58" s="267"/>
      <c r="AF58" s="267"/>
      <c r="AG58" s="267"/>
      <c r="AH58" s="268">
        <f t="shared" si="8"/>
        <v>0</v>
      </c>
    </row>
    <row r="59">
      <c r="A59" s="261" t="s">
        <v>36</v>
      </c>
      <c r="B59" s="268">
        <f t="shared" ref="B59:AG59" si="9">SUM(B47:B58)</f>
        <v>0</v>
      </c>
      <c r="C59" s="268">
        <f t="shared" si="9"/>
        <v>0</v>
      </c>
      <c r="D59" s="268">
        <f t="shared" si="9"/>
        <v>0</v>
      </c>
      <c r="E59" s="268">
        <f t="shared" si="9"/>
        <v>0</v>
      </c>
      <c r="F59" s="268">
        <f t="shared" si="9"/>
        <v>0</v>
      </c>
      <c r="G59" s="268">
        <f t="shared" si="9"/>
        <v>0</v>
      </c>
      <c r="H59" s="268">
        <f t="shared" si="9"/>
        <v>0</v>
      </c>
      <c r="I59" s="268">
        <f t="shared" si="9"/>
        <v>0</v>
      </c>
      <c r="J59" s="268">
        <f t="shared" si="9"/>
        <v>0</v>
      </c>
      <c r="K59" s="268">
        <f t="shared" si="9"/>
        <v>0</v>
      </c>
      <c r="L59" s="268">
        <f t="shared" si="9"/>
        <v>0</v>
      </c>
      <c r="M59" s="268">
        <f t="shared" si="9"/>
        <v>0</v>
      </c>
      <c r="N59" s="268">
        <f t="shared" si="9"/>
        <v>0</v>
      </c>
      <c r="O59" s="268">
        <f t="shared" si="9"/>
        <v>0</v>
      </c>
      <c r="P59" s="268">
        <f t="shared" si="9"/>
        <v>0</v>
      </c>
      <c r="Q59" s="268">
        <f t="shared" si="9"/>
        <v>0</v>
      </c>
      <c r="R59" s="268">
        <f t="shared" si="9"/>
        <v>0</v>
      </c>
      <c r="S59" s="268">
        <f t="shared" si="9"/>
        <v>0</v>
      </c>
      <c r="T59" s="268">
        <f t="shared" si="9"/>
        <v>0</v>
      </c>
      <c r="U59" s="268">
        <f t="shared" si="9"/>
        <v>0</v>
      </c>
      <c r="V59" s="268">
        <f t="shared" si="9"/>
        <v>0</v>
      </c>
      <c r="W59" s="268">
        <f t="shared" si="9"/>
        <v>0</v>
      </c>
      <c r="X59" s="268">
        <f t="shared" si="9"/>
        <v>0</v>
      </c>
      <c r="Y59" s="268">
        <f t="shared" si="9"/>
        <v>0</v>
      </c>
      <c r="Z59" s="268">
        <f t="shared" si="9"/>
        <v>0</v>
      </c>
      <c r="AA59" s="268">
        <f t="shared" si="9"/>
        <v>0</v>
      </c>
      <c r="AB59" s="268">
        <f t="shared" si="9"/>
        <v>0</v>
      </c>
      <c r="AC59" s="268">
        <f t="shared" si="9"/>
        <v>0</v>
      </c>
      <c r="AD59" s="268">
        <f t="shared" si="9"/>
        <v>0</v>
      </c>
      <c r="AE59" s="268">
        <f t="shared" si="9"/>
        <v>0</v>
      </c>
      <c r="AF59" s="268">
        <f t="shared" si="9"/>
        <v>0</v>
      </c>
      <c r="AG59" s="268">
        <f t="shared" si="9"/>
        <v>0</v>
      </c>
      <c r="AH59" s="268">
        <f t="shared" si="8"/>
        <v>0</v>
      </c>
    </row>
    <row r="60">
      <c r="A60" s="250">
        <v>2028.0</v>
      </c>
      <c r="B60" s="259" t="s">
        <v>162</v>
      </c>
      <c r="E60" s="260">
        <f>MAX(AH61:AH72)</f>
        <v>0</v>
      </c>
      <c r="F60" s="261"/>
      <c r="G60" s="261"/>
      <c r="H60" s="261"/>
      <c r="I60" s="261"/>
      <c r="J60" s="261"/>
      <c r="K60" s="261"/>
      <c r="L60" s="261"/>
      <c r="M60" s="261"/>
      <c r="N60" s="261"/>
      <c r="O60" s="261"/>
      <c r="P60" s="261"/>
      <c r="Q60" s="261"/>
      <c r="R60" s="261"/>
      <c r="S60" s="261"/>
      <c r="T60" s="261"/>
      <c r="U60" s="261"/>
      <c r="V60" s="261"/>
      <c r="W60" s="261"/>
      <c r="X60" s="261"/>
      <c r="Y60" s="261"/>
      <c r="Z60" s="261"/>
      <c r="AA60" s="261"/>
      <c r="AB60" s="261"/>
      <c r="AC60" s="261"/>
      <c r="AD60" s="261"/>
      <c r="AE60" s="262" t="s">
        <v>153</v>
      </c>
      <c r="AG60" s="263">
        <f>AH60*0.06</f>
        <v>0</v>
      </c>
      <c r="AH60" s="264">
        <f>SUM(AH73)</f>
        <v>0</v>
      </c>
    </row>
    <row r="61">
      <c r="A61" s="265" t="s">
        <v>163</v>
      </c>
      <c r="B61" s="267"/>
      <c r="C61" s="267"/>
      <c r="D61" s="267"/>
      <c r="E61" s="267"/>
      <c r="F61" s="267"/>
      <c r="G61" s="267"/>
      <c r="H61" s="267"/>
      <c r="I61" s="267"/>
      <c r="J61" s="267"/>
      <c r="K61" s="267"/>
      <c r="L61" s="267"/>
      <c r="M61" s="267"/>
      <c r="N61" s="267"/>
      <c r="O61" s="267"/>
      <c r="P61" s="267"/>
      <c r="Q61" s="267"/>
      <c r="R61" s="267"/>
      <c r="S61" s="267"/>
      <c r="T61" s="267"/>
      <c r="U61" s="267"/>
      <c r="V61" s="267"/>
      <c r="W61" s="267"/>
      <c r="X61" s="267"/>
      <c r="Y61" s="267"/>
      <c r="Z61" s="267"/>
      <c r="AA61" s="267"/>
      <c r="AB61" s="267"/>
      <c r="AC61" s="267"/>
      <c r="AD61" s="267"/>
      <c r="AE61" s="267"/>
      <c r="AF61" s="267"/>
      <c r="AG61" s="267"/>
      <c r="AH61" s="268">
        <f t="shared" ref="AH61:AH72" si="10">SUM(B61:AF61)+AG61</f>
        <v>0</v>
      </c>
    </row>
    <row r="62">
      <c r="A62" s="265" t="s">
        <v>164</v>
      </c>
      <c r="B62" s="267"/>
      <c r="C62" s="267"/>
      <c r="D62" s="267"/>
      <c r="E62" s="267"/>
      <c r="F62" s="267"/>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267"/>
      <c r="AF62" s="267"/>
      <c r="AG62" s="267"/>
      <c r="AH62" s="268">
        <f t="shared" si="10"/>
        <v>0</v>
      </c>
    </row>
    <row r="63">
      <c r="A63" s="265" t="s">
        <v>165</v>
      </c>
      <c r="B63" s="267"/>
      <c r="C63" s="267"/>
      <c r="D63" s="267"/>
      <c r="E63" s="267"/>
      <c r="F63" s="267"/>
      <c r="G63" s="267"/>
      <c r="H63" s="267"/>
      <c r="I63" s="267"/>
      <c r="J63" s="267"/>
      <c r="K63" s="267"/>
      <c r="L63" s="267"/>
      <c r="M63" s="267"/>
      <c r="N63" s="267"/>
      <c r="O63" s="267"/>
      <c r="P63" s="267"/>
      <c r="Q63" s="267"/>
      <c r="R63" s="267"/>
      <c r="S63" s="267"/>
      <c r="T63" s="267"/>
      <c r="U63" s="267"/>
      <c r="V63" s="267"/>
      <c r="W63" s="267"/>
      <c r="X63" s="267"/>
      <c r="Y63" s="267"/>
      <c r="Z63" s="267"/>
      <c r="AA63" s="267"/>
      <c r="AB63" s="267"/>
      <c r="AC63" s="267"/>
      <c r="AD63" s="267"/>
      <c r="AE63" s="267"/>
      <c r="AF63" s="267"/>
      <c r="AG63" s="267"/>
      <c r="AH63" s="268">
        <f t="shared" si="10"/>
        <v>0</v>
      </c>
    </row>
    <row r="64">
      <c r="A64" s="265" t="s">
        <v>166</v>
      </c>
      <c r="B64" s="267"/>
      <c r="C64" s="267"/>
      <c r="D64" s="267"/>
      <c r="E64" s="267"/>
      <c r="F64" s="267"/>
      <c r="G64" s="267"/>
      <c r="H64" s="267"/>
      <c r="I64" s="267"/>
      <c r="J64" s="267"/>
      <c r="K64" s="267"/>
      <c r="L64" s="267"/>
      <c r="M64" s="267"/>
      <c r="N64" s="267"/>
      <c r="O64" s="267"/>
      <c r="P64" s="267"/>
      <c r="Q64" s="267"/>
      <c r="R64" s="267"/>
      <c r="S64" s="267"/>
      <c r="T64" s="267"/>
      <c r="U64" s="267"/>
      <c r="V64" s="267"/>
      <c r="W64" s="267"/>
      <c r="X64" s="267"/>
      <c r="Y64" s="267"/>
      <c r="Z64" s="267"/>
      <c r="AA64" s="267"/>
      <c r="AB64" s="267"/>
      <c r="AC64" s="267"/>
      <c r="AD64" s="267"/>
      <c r="AE64" s="267"/>
      <c r="AF64" s="267"/>
      <c r="AG64" s="267"/>
      <c r="AH64" s="268">
        <f t="shared" si="10"/>
        <v>0</v>
      </c>
    </row>
    <row r="65">
      <c r="A65" s="265" t="s">
        <v>167</v>
      </c>
      <c r="B65" s="267"/>
      <c r="C65" s="267"/>
      <c r="D65" s="267"/>
      <c r="E65" s="267"/>
      <c r="F65" s="267"/>
      <c r="G65" s="267"/>
      <c r="H65" s="267"/>
      <c r="I65" s="267"/>
      <c r="J65" s="267"/>
      <c r="K65" s="267"/>
      <c r="L65" s="267"/>
      <c r="M65" s="267"/>
      <c r="N65" s="267"/>
      <c r="O65" s="267"/>
      <c r="P65" s="267"/>
      <c r="Q65" s="267"/>
      <c r="R65" s="267"/>
      <c r="S65" s="267"/>
      <c r="T65" s="267"/>
      <c r="U65" s="267"/>
      <c r="V65" s="267"/>
      <c r="W65" s="267"/>
      <c r="X65" s="267"/>
      <c r="Y65" s="267"/>
      <c r="Z65" s="267"/>
      <c r="AA65" s="267"/>
      <c r="AB65" s="267"/>
      <c r="AC65" s="267"/>
      <c r="AD65" s="267"/>
      <c r="AE65" s="267"/>
      <c r="AF65" s="267"/>
      <c r="AG65" s="267"/>
      <c r="AH65" s="268">
        <f t="shared" si="10"/>
        <v>0</v>
      </c>
    </row>
    <row r="66">
      <c r="A66" s="265" t="s">
        <v>168</v>
      </c>
      <c r="B66" s="267"/>
      <c r="C66" s="267"/>
      <c r="D66" s="267"/>
      <c r="E66" s="267"/>
      <c r="F66" s="267"/>
      <c r="G66" s="267"/>
      <c r="H66" s="267"/>
      <c r="I66" s="267"/>
      <c r="J66" s="267"/>
      <c r="K66" s="267"/>
      <c r="L66" s="267"/>
      <c r="M66" s="267"/>
      <c r="N66" s="267"/>
      <c r="O66" s="267"/>
      <c r="P66" s="267"/>
      <c r="Q66" s="267"/>
      <c r="R66" s="267"/>
      <c r="S66" s="267"/>
      <c r="T66" s="267"/>
      <c r="U66" s="267"/>
      <c r="V66" s="267"/>
      <c r="W66" s="267"/>
      <c r="X66" s="267"/>
      <c r="Y66" s="267"/>
      <c r="Z66" s="267"/>
      <c r="AA66" s="267"/>
      <c r="AB66" s="267"/>
      <c r="AC66" s="267"/>
      <c r="AD66" s="267"/>
      <c r="AE66" s="267"/>
      <c r="AF66" s="267"/>
      <c r="AG66" s="267"/>
      <c r="AH66" s="268">
        <f t="shared" si="10"/>
        <v>0</v>
      </c>
    </row>
    <row r="67">
      <c r="A67" s="265" t="s">
        <v>169</v>
      </c>
      <c r="B67" s="267"/>
      <c r="C67" s="267"/>
      <c r="D67" s="267"/>
      <c r="E67" s="267"/>
      <c r="F67" s="267"/>
      <c r="G67" s="267"/>
      <c r="H67" s="267"/>
      <c r="I67" s="267"/>
      <c r="J67" s="267"/>
      <c r="K67" s="267"/>
      <c r="L67" s="267"/>
      <c r="M67" s="267"/>
      <c r="N67" s="267"/>
      <c r="O67" s="267"/>
      <c r="P67" s="267"/>
      <c r="Q67" s="267"/>
      <c r="R67" s="267"/>
      <c r="S67" s="267"/>
      <c r="T67" s="267"/>
      <c r="U67" s="267"/>
      <c r="V67" s="267"/>
      <c r="W67" s="267"/>
      <c r="X67" s="267"/>
      <c r="Y67" s="267"/>
      <c r="Z67" s="267"/>
      <c r="AA67" s="267"/>
      <c r="AB67" s="267"/>
      <c r="AC67" s="267"/>
      <c r="AD67" s="267"/>
      <c r="AE67" s="267"/>
      <c r="AF67" s="267"/>
      <c r="AG67" s="267"/>
      <c r="AH67" s="268">
        <f t="shared" si="10"/>
        <v>0</v>
      </c>
    </row>
    <row r="68">
      <c r="A68" s="265" t="s">
        <v>170</v>
      </c>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8">
        <f t="shared" si="10"/>
        <v>0</v>
      </c>
    </row>
    <row r="69">
      <c r="A69" s="265" t="s">
        <v>171</v>
      </c>
      <c r="B69" s="267"/>
      <c r="C69" s="267"/>
      <c r="D69" s="267"/>
      <c r="E69" s="267"/>
      <c r="F69" s="267"/>
      <c r="G69" s="267"/>
      <c r="H69" s="267"/>
      <c r="I69" s="267"/>
      <c r="J69" s="267"/>
      <c r="K69" s="267"/>
      <c r="L69" s="267"/>
      <c r="M69" s="267"/>
      <c r="N69" s="267"/>
      <c r="O69" s="267"/>
      <c r="P69" s="267"/>
      <c r="Q69" s="267"/>
      <c r="R69" s="267"/>
      <c r="S69" s="267"/>
      <c r="T69" s="267"/>
      <c r="U69" s="267"/>
      <c r="V69" s="267"/>
      <c r="W69" s="267"/>
      <c r="X69" s="267"/>
      <c r="Y69" s="267"/>
      <c r="Z69" s="267"/>
      <c r="AA69" s="267"/>
      <c r="AB69" s="267"/>
      <c r="AC69" s="267"/>
      <c r="AD69" s="267"/>
      <c r="AE69" s="267"/>
      <c r="AF69" s="267"/>
      <c r="AG69" s="267"/>
      <c r="AH69" s="268">
        <f t="shared" si="10"/>
        <v>0</v>
      </c>
    </row>
    <row r="70">
      <c r="A70" s="265" t="s">
        <v>172</v>
      </c>
      <c r="B70" s="267"/>
      <c r="C70" s="267"/>
      <c r="D70" s="267"/>
      <c r="E70" s="267"/>
      <c r="F70" s="267"/>
      <c r="G70" s="267"/>
      <c r="H70" s="267"/>
      <c r="I70" s="267"/>
      <c r="J70" s="267"/>
      <c r="K70" s="267"/>
      <c r="L70" s="267"/>
      <c r="M70" s="267"/>
      <c r="N70" s="267"/>
      <c r="O70" s="267"/>
      <c r="P70" s="267"/>
      <c r="Q70" s="267"/>
      <c r="R70" s="267"/>
      <c r="S70" s="267"/>
      <c r="T70" s="267"/>
      <c r="U70" s="267"/>
      <c r="V70" s="267"/>
      <c r="W70" s="267"/>
      <c r="X70" s="267"/>
      <c r="Y70" s="267"/>
      <c r="Z70" s="267"/>
      <c r="AA70" s="267"/>
      <c r="AB70" s="267"/>
      <c r="AC70" s="267"/>
      <c r="AD70" s="267"/>
      <c r="AE70" s="267"/>
      <c r="AF70" s="267"/>
      <c r="AG70" s="267"/>
      <c r="AH70" s="268">
        <f t="shared" si="10"/>
        <v>0</v>
      </c>
    </row>
    <row r="71">
      <c r="A71" s="265" t="s">
        <v>173</v>
      </c>
      <c r="B71" s="267"/>
      <c r="C71" s="267"/>
      <c r="D71" s="267"/>
      <c r="E71" s="267"/>
      <c r="F71" s="267"/>
      <c r="G71" s="267"/>
      <c r="H71" s="267"/>
      <c r="I71" s="267"/>
      <c r="J71" s="267"/>
      <c r="K71" s="267"/>
      <c r="L71" s="267"/>
      <c r="M71" s="267"/>
      <c r="N71" s="267"/>
      <c r="O71" s="267"/>
      <c r="P71" s="267"/>
      <c r="Q71" s="267"/>
      <c r="R71" s="267"/>
      <c r="S71" s="267"/>
      <c r="T71" s="267"/>
      <c r="U71" s="267"/>
      <c r="V71" s="267"/>
      <c r="W71" s="267"/>
      <c r="X71" s="267"/>
      <c r="Y71" s="267"/>
      <c r="Z71" s="267"/>
      <c r="AA71" s="267"/>
      <c r="AB71" s="267"/>
      <c r="AC71" s="267"/>
      <c r="AD71" s="267"/>
      <c r="AE71" s="267"/>
      <c r="AF71" s="267"/>
      <c r="AG71" s="267"/>
      <c r="AH71" s="268">
        <f t="shared" si="10"/>
        <v>0</v>
      </c>
    </row>
    <row r="72">
      <c r="A72" s="265" t="s">
        <v>174</v>
      </c>
      <c r="B72" s="267"/>
      <c r="C72" s="267"/>
      <c r="D72" s="267"/>
      <c r="E72" s="267"/>
      <c r="F72" s="267"/>
      <c r="G72" s="267"/>
      <c r="H72" s="267"/>
      <c r="I72" s="267"/>
      <c r="J72" s="267"/>
      <c r="K72" s="267"/>
      <c r="L72" s="267"/>
      <c r="M72" s="267"/>
      <c r="N72" s="267"/>
      <c r="O72" s="267"/>
      <c r="P72" s="267"/>
      <c r="Q72" s="267"/>
      <c r="R72" s="267"/>
      <c r="S72" s="267"/>
      <c r="T72" s="267"/>
      <c r="U72" s="267"/>
      <c r="V72" s="267"/>
      <c r="W72" s="267"/>
      <c r="X72" s="267"/>
      <c r="Y72" s="267"/>
      <c r="Z72" s="267"/>
      <c r="AA72" s="267"/>
      <c r="AB72" s="267"/>
      <c r="AC72" s="267"/>
      <c r="AD72" s="267"/>
      <c r="AE72" s="267"/>
      <c r="AF72" s="267"/>
      <c r="AG72" s="267"/>
      <c r="AH72" s="268">
        <f t="shared" si="10"/>
        <v>0</v>
      </c>
    </row>
    <row r="73">
      <c r="A73" s="261" t="s">
        <v>36</v>
      </c>
      <c r="B73" s="268">
        <f t="shared" ref="B73:AE73" si="11">SUM(B61:B72)</f>
        <v>0</v>
      </c>
      <c r="C73" s="268">
        <f t="shared" si="11"/>
        <v>0</v>
      </c>
      <c r="D73" s="268">
        <f t="shared" si="11"/>
        <v>0</v>
      </c>
      <c r="E73" s="268">
        <f t="shared" si="11"/>
        <v>0</v>
      </c>
      <c r="F73" s="268">
        <f t="shared" si="11"/>
        <v>0</v>
      </c>
      <c r="G73" s="268">
        <f t="shared" si="11"/>
        <v>0</v>
      </c>
      <c r="H73" s="268">
        <f t="shared" si="11"/>
        <v>0</v>
      </c>
      <c r="I73" s="268">
        <f t="shared" si="11"/>
        <v>0</v>
      </c>
      <c r="J73" s="268">
        <f t="shared" si="11"/>
        <v>0</v>
      </c>
      <c r="K73" s="268">
        <f t="shared" si="11"/>
        <v>0</v>
      </c>
      <c r="L73" s="268">
        <f t="shared" si="11"/>
        <v>0</v>
      </c>
      <c r="M73" s="268">
        <f t="shared" si="11"/>
        <v>0</v>
      </c>
      <c r="N73" s="268">
        <f t="shared" si="11"/>
        <v>0</v>
      </c>
      <c r="O73" s="268">
        <f t="shared" si="11"/>
        <v>0</v>
      </c>
      <c r="P73" s="268">
        <f t="shared" si="11"/>
        <v>0</v>
      </c>
      <c r="Q73" s="268">
        <f t="shared" si="11"/>
        <v>0</v>
      </c>
      <c r="R73" s="268">
        <f t="shared" si="11"/>
        <v>0</v>
      </c>
      <c r="S73" s="268">
        <f t="shared" si="11"/>
        <v>0</v>
      </c>
      <c r="T73" s="268">
        <f t="shared" si="11"/>
        <v>0</v>
      </c>
      <c r="U73" s="268">
        <f t="shared" si="11"/>
        <v>0</v>
      </c>
      <c r="V73" s="268">
        <f t="shared" si="11"/>
        <v>0</v>
      </c>
      <c r="W73" s="268">
        <f t="shared" si="11"/>
        <v>0</v>
      </c>
      <c r="X73" s="268">
        <f t="shared" si="11"/>
        <v>0</v>
      </c>
      <c r="Y73" s="268">
        <f t="shared" si="11"/>
        <v>0</v>
      </c>
      <c r="Z73" s="268">
        <f t="shared" si="11"/>
        <v>0</v>
      </c>
      <c r="AA73" s="268">
        <f t="shared" si="11"/>
        <v>0</v>
      </c>
      <c r="AB73" s="268">
        <f t="shared" si="11"/>
        <v>0</v>
      </c>
      <c r="AC73" s="268">
        <f t="shared" si="11"/>
        <v>0</v>
      </c>
      <c r="AD73" s="268">
        <f t="shared" si="11"/>
        <v>0</v>
      </c>
      <c r="AE73" s="268">
        <f t="shared" si="11"/>
        <v>0</v>
      </c>
      <c r="AF73" s="268"/>
      <c r="AG73" s="268">
        <f>SUM(AG61:AG72)</f>
        <v>0</v>
      </c>
      <c r="AH73" s="268">
        <f>SUM(B73:AE73)+AG73</f>
        <v>0</v>
      </c>
    </row>
    <row r="74">
      <c r="A74" s="250">
        <v>2029.0</v>
      </c>
      <c r="B74" s="259" t="s">
        <v>162</v>
      </c>
      <c r="E74" s="260">
        <f>MAX(AH75:AH86)</f>
        <v>0</v>
      </c>
      <c r="F74" s="261"/>
      <c r="G74" s="261"/>
      <c r="H74" s="261"/>
      <c r="I74" s="261"/>
      <c r="J74" s="261"/>
      <c r="K74" s="261"/>
      <c r="L74" s="261"/>
      <c r="M74" s="261"/>
      <c r="N74" s="261"/>
      <c r="O74" s="261"/>
      <c r="P74" s="261"/>
      <c r="Q74" s="261"/>
      <c r="R74" s="261"/>
      <c r="S74" s="261"/>
      <c r="T74" s="261"/>
      <c r="U74" s="261"/>
      <c r="V74" s="261"/>
      <c r="W74" s="261"/>
      <c r="X74" s="261"/>
      <c r="Y74" s="261"/>
      <c r="Z74" s="261"/>
      <c r="AA74" s="261"/>
      <c r="AB74" s="261"/>
      <c r="AC74" s="261"/>
      <c r="AD74" s="261"/>
      <c r="AE74" s="262" t="s">
        <v>153</v>
      </c>
      <c r="AG74" s="263">
        <f>AH74*0.06</f>
        <v>0</v>
      </c>
      <c r="AH74" s="264">
        <f>SUM(AH87)</f>
        <v>0</v>
      </c>
    </row>
    <row r="75">
      <c r="A75" s="265" t="s">
        <v>163</v>
      </c>
      <c r="B75" s="267"/>
      <c r="C75" s="267"/>
      <c r="D75" s="267"/>
      <c r="E75" s="267"/>
      <c r="F75" s="267"/>
      <c r="G75" s="267"/>
      <c r="H75" s="267"/>
      <c r="I75" s="267"/>
      <c r="J75" s="267"/>
      <c r="K75" s="267"/>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8">
        <f t="shared" ref="AH75:AH87" si="12">SUM(B75:AF75)+AG75</f>
        <v>0</v>
      </c>
    </row>
    <row r="76">
      <c r="A76" s="265" t="s">
        <v>164</v>
      </c>
      <c r="B76" s="267"/>
      <c r="C76" s="267"/>
      <c r="D76" s="267"/>
      <c r="E76" s="267"/>
      <c r="F76" s="267"/>
      <c r="G76" s="267"/>
      <c r="H76" s="267"/>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8">
        <f t="shared" si="12"/>
        <v>0</v>
      </c>
    </row>
    <row r="77">
      <c r="A77" s="265" t="s">
        <v>165</v>
      </c>
      <c r="B77" s="267"/>
      <c r="C77" s="267"/>
      <c r="D77" s="267"/>
      <c r="E77" s="267"/>
      <c r="F77" s="267"/>
      <c r="G77" s="267"/>
      <c r="H77" s="267"/>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8">
        <f t="shared" si="12"/>
        <v>0</v>
      </c>
    </row>
    <row r="78">
      <c r="A78" s="265" t="s">
        <v>166</v>
      </c>
      <c r="B78" s="267"/>
      <c r="C78" s="267"/>
      <c r="D78" s="267"/>
      <c r="E78" s="267"/>
      <c r="F78" s="267"/>
      <c r="G78" s="267"/>
      <c r="H78" s="267"/>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8">
        <f t="shared" si="12"/>
        <v>0</v>
      </c>
    </row>
    <row r="79">
      <c r="A79" s="265" t="s">
        <v>167</v>
      </c>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8">
        <f t="shared" si="12"/>
        <v>0</v>
      </c>
    </row>
    <row r="80">
      <c r="A80" s="265" t="s">
        <v>168</v>
      </c>
      <c r="B80" s="267"/>
      <c r="C80" s="267"/>
      <c r="D80" s="267"/>
      <c r="E80" s="267"/>
      <c r="F80" s="267"/>
      <c r="G80" s="267"/>
      <c r="H80" s="267"/>
      <c r="I80" s="267"/>
      <c r="J80" s="267"/>
      <c r="K80" s="267"/>
      <c r="L80" s="267"/>
      <c r="M80" s="267"/>
      <c r="N80" s="267"/>
      <c r="O80" s="267"/>
      <c r="P80" s="267"/>
      <c r="Q80" s="267"/>
      <c r="R80" s="267"/>
      <c r="S80" s="267"/>
      <c r="T80" s="267"/>
      <c r="U80" s="267"/>
      <c r="V80" s="267"/>
      <c r="W80" s="267"/>
      <c r="X80" s="267"/>
      <c r="Y80" s="267"/>
      <c r="Z80" s="267"/>
      <c r="AA80" s="267"/>
      <c r="AB80" s="267"/>
      <c r="AC80" s="267"/>
      <c r="AD80" s="267"/>
      <c r="AE80" s="267"/>
      <c r="AF80" s="267"/>
      <c r="AG80" s="267"/>
      <c r="AH80" s="268">
        <f t="shared" si="12"/>
        <v>0</v>
      </c>
    </row>
    <row r="81">
      <c r="A81" s="265" t="s">
        <v>169</v>
      </c>
      <c r="B81" s="267"/>
      <c r="C81" s="267"/>
      <c r="D81" s="267"/>
      <c r="E81" s="267"/>
      <c r="F81" s="267"/>
      <c r="G81" s="267"/>
      <c r="H81" s="267"/>
      <c r="I81" s="267"/>
      <c r="J81" s="267"/>
      <c r="K81" s="267"/>
      <c r="L81" s="267"/>
      <c r="M81" s="267"/>
      <c r="N81" s="267"/>
      <c r="O81" s="267"/>
      <c r="P81" s="267"/>
      <c r="Q81" s="267"/>
      <c r="R81" s="267"/>
      <c r="S81" s="267"/>
      <c r="T81" s="267"/>
      <c r="U81" s="267"/>
      <c r="V81" s="267"/>
      <c r="W81" s="267"/>
      <c r="X81" s="267"/>
      <c r="Y81" s="267"/>
      <c r="Z81" s="267"/>
      <c r="AA81" s="267"/>
      <c r="AB81" s="267"/>
      <c r="AC81" s="267"/>
      <c r="AD81" s="267"/>
      <c r="AE81" s="267"/>
      <c r="AF81" s="267"/>
      <c r="AG81" s="267"/>
      <c r="AH81" s="268">
        <f t="shared" si="12"/>
        <v>0</v>
      </c>
    </row>
    <row r="82">
      <c r="A82" s="265" t="s">
        <v>170</v>
      </c>
      <c r="B82" s="267"/>
      <c r="C82" s="267"/>
      <c r="D82" s="267"/>
      <c r="E82" s="267"/>
      <c r="F82" s="267"/>
      <c r="G82" s="267"/>
      <c r="H82" s="267"/>
      <c r="I82" s="267"/>
      <c r="J82" s="267"/>
      <c r="K82" s="267"/>
      <c r="L82" s="267"/>
      <c r="M82" s="267"/>
      <c r="N82" s="267"/>
      <c r="O82" s="267"/>
      <c r="P82" s="267"/>
      <c r="Q82" s="267"/>
      <c r="R82" s="267"/>
      <c r="S82" s="267"/>
      <c r="T82" s="267"/>
      <c r="U82" s="267"/>
      <c r="V82" s="267"/>
      <c r="W82" s="267"/>
      <c r="X82" s="267"/>
      <c r="Y82" s="267"/>
      <c r="Z82" s="267"/>
      <c r="AA82" s="267"/>
      <c r="AB82" s="267"/>
      <c r="AC82" s="267"/>
      <c r="AD82" s="267"/>
      <c r="AE82" s="267"/>
      <c r="AF82" s="267"/>
      <c r="AG82" s="267"/>
      <c r="AH82" s="268">
        <f t="shared" si="12"/>
        <v>0</v>
      </c>
    </row>
    <row r="83">
      <c r="A83" s="265" t="s">
        <v>171</v>
      </c>
      <c r="B83" s="267"/>
      <c r="C83" s="267"/>
      <c r="D83" s="267"/>
      <c r="E83" s="267"/>
      <c r="F83" s="267"/>
      <c r="G83" s="267"/>
      <c r="H83" s="267"/>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8">
        <f t="shared" si="12"/>
        <v>0</v>
      </c>
    </row>
    <row r="84">
      <c r="A84" s="265" t="s">
        <v>172</v>
      </c>
      <c r="B84" s="267"/>
      <c r="C84" s="267"/>
      <c r="D84" s="267"/>
      <c r="E84" s="267"/>
      <c r="F84" s="267"/>
      <c r="G84" s="267"/>
      <c r="H84" s="267"/>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8">
        <f t="shared" si="12"/>
        <v>0</v>
      </c>
    </row>
    <row r="85">
      <c r="A85" s="265" t="s">
        <v>173</v>
      </c>
      <c r="B85" s="267"/>
      <c r="C85" s="267"/>
      <c r="D85" s="267"/>
      <c r="E85" s="267"/>
      <c r="F85" s="267"/>
      <c r="G85" s="267"/>
      <c r="H85" s="267"/>
      <c r="I85" s="267"/>
      <c r="J85" s="267"/>
      <c r="K85" s="267"/>
      <c r="L85" s="267"/>
      <c r="M85" s="267"/>
      <c r="N85" s="267"/>
      <c r="O85" s="267"/>
      <c r="P85" s="267"/>
      <c r="Q85" s="267"/>
      <c r="R85" s="267"/>
      <c r="S85" s="267"/>
      <c r="T85" s="267"/>
      <c r="U85" s="267"/>
      <c r="V85" s="267"/>
      <c r="W85" s="267"/>
      <c r="X85" s="267"/>
      <c r="Y85" s="267"/>
      <c r="Z85" s="267"/>
      <c r="AA85" s="267"/>
      <c r="AB85" s="267"/>
      <c r="AC85" s="267"/>
      <c r="AD85" s="267"/>
      <c r="AE85" s="267"/>
      <c r="AF85" s="267"/>
      <c r="AG85" s="267"/>
      <c r="AH85" s="268">
        <f t="shared" si="12"/>
        <v>0</v>
      </c>
    </row>
    <row r="86">
      <c r="A86" s="265" t="s">
        <v>174</v>
      </c>
      <c r="B86" s="267"/>
      <c r="C86" s="267"/>
      <c r="D86" s="267"/>
      <c r="E86" s="267"/>
      <c r="F86" s="267"/>
      <c r="G86" s="267"/>
      <c r="H86" s="267"/>
      <c r="I86" s="267"/>
      <c r="J86" s="267"/>
      <c r="K86" s="267"/>
      <c r="L86" s="267"/>
      <c r="M86" s="267"/>
      <c r="N86" s="267"/>
      <c r="O86" s="267"/>
      <c r="P86" s="267"/>
      <c r="Q86" s="267"/>
      <c r="R86" s="267"/>
      <c r="S86" s="267"/>
      <c r="T86" s="267"/>
      <c r="U86" s="267"/>
      <c r="V86" s="267"/>
      <c r="W86" s="267"/>
      <c r="X86" s="267"/>
      <c r="Y86" s="267"/>
      <c r="Z86" s="267"/>
      <c r="AA86" s="267"/>
      <c r="AB86" s="267"/>
      <c r="AC86" s="267"/>
      <c r="AD86" s="267"/>
      <c r="AE86" s="267"/>
      <c r="AF86" s="267"/>
      <c r="AG86" s="267"/>
      <c r="AH86" s="268">
        <f t="shared" si="12"/>
        <v>0</v>
      </c>
    </row>
    <row r="87">
      <c r="A87" s="261" t="s">
        <v>36</v>
      </c>
      <c r="B87" s="268">
        <f t="shared" ref="B87:AG87" si="13">SUM(B75:B86)</f>
        <v>0</v>
      </c>
      <c r="C87" s="268">
        <f t="shared" si="13"/>
        <v>0</v>
      </c>
      <c r="D87" s="268">
        <f t="shared" si="13"/>
        <v>0</v>
      </c>
      <c r="E87" s="268">
        <f t="shared" si="13"/>
        <v>0</v>
      </c>
      <c r="F87" s="268">
        <f t="shared" si="13"/>
        <v>0</v>
      </c>
      <c r="G87" s="268">
        <f t="shared" si="13"/>
        <v>0</v>
      </c>
      <c r="H87" s="268">
        <f t="shared" si="13"/>
        <v>0</v>
      </c>
      <c r="I87" s="268">
        <f t="shared" si="13"/>
        <v>0</v>
      </c>
      <c r="J87" s="268">
        <f t="shared" si="13"/>
        <v>0</v>
      </c>
      <c r="K87" s="268">
        <f t="shared" si="13"/>
        <v>0</v>
      </c>
      <c r="L87" s="268">
        <f t="shared" si="13"/>
        <v>0</v>
      </c>
      <c r="M87" s="268">
        <f t="shared" si="13"/>
        <v>0</v>
      </c>
      <c r="N87" s="268">
        <f t="shared" si="13"/>
        <v>0</v>
      </c>
      <c r="O87" s="268">
        <f t="shared" si="13"/>
        <v>0</v>
      </c>
      <c r="P87" s="268">
        <f t="shared" si="13"/>
        <v>0</v>
      </c>
      <c r="Q87" s="268">
        <f t="shared" si="13"/>
        <v>0</v>
      </c>
      <c r="R87" s="268">
        <f t="shared" si="13"/>
        <v>0</v>
      </c>
      <c r="S87" s="268">
        <f t="shared" si="13"/>
        <v>0</v>
      </c>
      <c r="T87" s="268">
        <f t="shared" si="13"/>
        <v>0</v>
      </c>
      <c r="U87" s="268">
        <f t="shared" si="13"/>
        <v>0</v>
      </c>
      <c r="V87" s="268">
        <f t="shared" si="13"/>
        <v>0</v>
      </c>
      <c r="W87" s="268">
        <f t="shared" si="13"/>
        <v>0</v>
      </c>
      <c r="X87" s="268">
        <f t="shared" si="13"/>
        <v>0</v>
      </c>
      <c r="Y87" s="268">
        <f t="shared" si="13"/>
        <v>0</v>
      </c>
      <c r="Z87" s="268">
        <f t="shared" si="13"/>
        <v>0</v>
      </c>
      <c r="AA87" s="268">
        <f t="shared" si="13"/>
        <v>0</v>
      </c>
      <c r="AB87" s="268">
        <f t="shared" si="13"/>
        <v>0</v>
      </c>
      <c r="AC87" s="268">
        <f t="shared" si="13"/>
        <v>0</v>
      </c>
      <c r="AD87" s="268">
        <f t="shared" si="13"/>
        <v>0</v>
      </c>
      <c r="AE87" s="268">
        <f t="shared" si="13"/>
        <v>0</v>
      </c>
      <c r="AF87" s="268">
        <f t="shared" si="13"/>
        <v>0</v>
      </c>
      <c r="AG87" s="268">
        <f t="shared" si="13"/>
        <v>0</v>
      </c>
      <c r="AH87" s="268">
        <f t="shared" si="12"/>
        <v>0</v>
      </c>
    </row>
    <row r="88">
      <c r="A88" s="250">
        <v>2030.0</v>
      </c>
      <c r="B88" s="259" t="s">
        <v>162</v>
      </c>
      <c r="E88" s="260">
        <f>MAX(AH89:AH100)</f>
        <v>0</v>
      </c>
      <c r="F88" s="261"/>
      <c r="G88" s="261"/>
      <c r="H88" s="261"/>
      <c r="I88" s="261"/>
      <c r="J88" s="261"/>
      <c r="K88" s="261"/>
      <c r="L88" s="261"/>
      <c r="M88" s="261"/>
      <c r="N88" s="261"/>
      <c r="O88" s="261"/>
      <c r="P88" s="261"/>
      <c r="Q88" s="261"/>
      <c r="R88" s="261"/>
      <c r="S88" s="261"/>
      <c r="T88" s="261"/>
      <c r="U88" s="261"/>
      <c r="V88" s="261"/>
      <c r="W88" s="261"/>
      <c r="X88" s="261"/>
      <c r="Y88" s="261"/>
      <c r="Z88" s="261"/>
      <c r="AA88" s="261"/>
      <c r="AB88" s="261"/>
      <c r="AC88" s="261"/>
      <c r="AD88" s="261"/>
      <c r="AE88" s="262" t="s">
        <v>153</v>
      </c>
      <c r="AG88" s="263">
        <f>AH88*0.06</f>
        <v>0</v>
      </c>
      <c r="AH88" s="264">
        <f>SUM(AH101)</f>
        <v>0</v>
      </c>
    </row>
    <row r="89">
      <c r="A89" s="265" t="s">
        <v>163</v>
      </c>
      <c r="B89" s="267"/>
      <c r="C89" s="267"/>
      <c r="D89" s="267"/>
      <c r="E89" s="267"/>
      <c r="F89" s="267"/>
      <c r="G89" s="267"/>
      <c r="H89" s="267"/>
      <c r="I89" s="267"/>
      <c r="J89" s="267"/>
      <c r="K89" s="267"/>
      <c r="L89" s="267"/>
      <c r="M89" s="267"/>
      <c r="N89" s="267"/>
      <c r="O89" s="267"/>
      <c r="P89" s="267"/>
      <c r="Q89" s="267"/>
      <c r="R89" s="267"/>
      <c r="S89" s="267"/>
      <c r="T89" s="267"/>
      <c r="U89" s="267"/>
      <c r="V89" s="267"/>
      <c r="W89" s="267"/>
      <c r="X89" s="267"/>
      <c r="Y89" s="267"/>
      <c r="Z89" s="267"/>
      <c r="AA89" s="267"/>
      <c r="AB89" s="267"/>
      <c r="AC89" s="267"/>
      <c r="AD89" s="267"/>
      <c r="AE89" s="267"/>
      <c r="AF89" s="267"/>
      <c r="AG89" s="267"/>
      <c r="AH89" s="268">
        <f t="shared" ref="AH89:AH101" si="14">SUM(B89:AF89)+AG89</f>
        <v>0</v>
      </c>
    </row>
    <row r="90">
      <c r="A90" s="265" t="s">
        <v>164</v>
      </c>
      <c r="B90" s="267"/>
      <c r="C90" s="267"/>
      <c r="D90" s="267"/>
      <c r="E90" s="267"/>
      <c r="F90" s="267"/>
      <c r="G90" s="267"/>
      <c r="H90" s="267"/>
      <c r="I90" s="267"/>
      <c r="J90" s="267"/>
      <c r="K90" s="267"/>
      <c r="L90" s="267"/>
      <c r="M90" s="267"/>
      <c r="N90" s="267"/>
      <c r="O90" s="267"/>
      <c r="P90" s="267"/>
      <c r="Q90" s="267"/>
      <c r="R90" s="267"/>
      <c r="S90" s="267"/>
      <c r="T90" s="267"/>
      <c r="U90" s="267"/>
      <c r="V90" s="267"/>
      <c r="W90" s="267"/>
      <c r="X90" s="267"/>
      <c r="Y90" s="267"/>
      <c r="Z90" s="267"/>
      <c r="AA90" s="267"/>
      <c r="AB90" s="267"/>
      <c r="AC90" s="267"/>
      <c r="AD90" s="267"/>
      <c r="AE90" s="267"/>
      <c r="AF90" s="267"/>
      <c r="AG90" s="267"/>
      <c r="AH90" s="268">
        <f t="shared" si="14"/>
        <v>0</v>
      </c>
    </row>
    <row r="91">
      <c r="A91" s="265" t="s">
        <v>165</v>
      </c>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8">
        <f t="shared" si="14"/>
        <v>0</v>
      </c>
    </row>
    <row r="92">
      <c r="A92" s="265" t="s">
        <v>166</v>
      </c>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8">
        <f t="shared" si="14"/>
        <v>0</v>
      </c>
    </row>
    <row r="93">
      <c r="A93" s="265" t="s">
        <v>167</v>
      </c>
      <c r="B93" s="267"/>
      <c r="C93" s="267"/>
      <c r="D93" s="267"/>
      <c r="E93" s="267"/>
      <c r="F93" s="267"/>
      <c r="G93" s="267"/>
      <c r="H93" s="267"/>
      <c r="I93" s="267"/>
      <c r="J93" s="267"/>
      <c r="K93" s="267"/>
      <c r="L93" s="267"/>
      <c r="M93" s="267"/>
      <c r="N93" s="267"/>
      <c r="O93" s="267"/>
      <c r="P93" s="267"/>
      <c r="Q93" s="267"/>
      <c r="R93" s="267"/>
      <c r="S93" s="267"/>
      <c r="T93" s="267"/>
      <c r="U93" s="267"/>
      <c r="V93" s="267"/>
      <c r="W93" s="267"/>
      <c r="X93" s="267"/>
      <c r="Y93" s="267"/>
      <c r="Z93" s="267"/>
      <c r="AA93" s="267"/>
      <c r="AB93" s="267"/>
      <c r="AC93" s="267"/>
      <c r="AD93" s="267"/>
      <c r="AE93" s="267"/>
      <c r="AF93" s="267"/>
      <c r="AG93" s="267"/>
      <c r="AH93" s="268">
        <f t="shared" si="14"/>
        <v>0</v>
      </c>
    </row>
    <row r="94">
      <c r="A94" s="265" t="s">
        <v>168</v>
      </c>
      <c r="B94" s="267"/>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8">
        <f t="shared" si="14"/>
        <v>0</v>
      </c>
    </row>
    <row r="95">
      <c r="A95" s="265" t="s">
        <v>169</v>
      </c>
      <c r="B95" s="267"/>
      <c r="C95" s="267"/>
      <c r="D95" s="267"/>
      <c r="E95" s="267"/>
      <c r="F95" s="267"/>
      <c r="G95" s="267"/>
      <c r="H95" s="267"/>
      <c r="I95" s="267"/>
      <c r="J95" s="267"/>
      <c r="K95" s="267"/>
      <c r="L95" s="267"/>
      <c r="M95" s="267"/>
      <c r="N95" s="267"/>
      <c r="O95" s="267"/>
      <c r="P95" s="267"/>
      <c r="Q95" s="267"/>
      <c r="R95" s="267"/>
      <c r="S95" s="267"/>
      <c r="T95" s="267"/>
      <c r="U95" s="267"/>
      <c r="V95" s="267"/>
      <c r="W95" s="267"/>
      <c r="X95" s="267"/>
      <c r="Y95" s="267"/>
      <c r="Z95" s="267"/>
      <c r="AA95" s="267"/>
      <c r="AB95" s="267"/>
      <c r="AC95" s="267"/>
      <c r="AD95" s="267"/>
      <c r="AE95" s="267"/>
      <c r="AF95" s="267"/>
      <c r="AG95" s="267"/>
      <c r="AH95" s="268">
        <f t="shared" si="14"/>
        <v>0</v>
      </c>
    </row>
    <row r="96">
      <c r="A96" s="265" t="s">
        <v>170</v>
      </c>
      <c r="B96" s="267"/>
      <c r="C96" s="267"/>
      <c r="D96" s="267"/>
      <c r="E96" s="267"/>
      <c r="F96" s="267"/>
      <c r="G96" s="267"/>
      <c r="H96" s="267"/>
      <c r="I96" s="267"/>
      <c r="J96" s="267"/>
      <c r="K96" s="267"/>
      <c r="L96" s="267"/>
      <c r="M96" s="267"/>
      <c r="N96" s="267"/>
      <c r="O96" s="267"/>
      <c r="P96" s="267"/>
      <c r="Q96" s="267"/>
      <c r="R96" s="267"/>
      <c r="S96" s="267"/>
      <c r="T96" s="267"/>
      <c r="U96" s="267"/>
      <c r="V96" s="267"/>
      <c r="W96" s="267"/>
      <c r="X96" s="267"/>
      <c r="Y96" s="267"/>
      <c r="Z96" s="267"/>
      <c r="AA96" s="267"/>
      <c r="AB96" s="267"/>
      <c r="AC96" s="267"/>
      <c r="AD96" s="267"/>
      <c r="AE96" s="267"/>
      <c r="AF96" s="267"/>
      <c r="AG96" s="267"/>
      <c r="AH96" s="268">
        <f t="shared" si="14"/>
        <v>0</v>
      </c>
    </row>
    <row r="97">
      <c r="A97" s="265" t="s">
        <v>171</v>
      </c>
      <c r="B97" s="267"/>
      <c r="C97" s="267"/>
      <c r="D97" s="267"/>
      <c r="E97" s="267"/>
      <c r="F97" s="267"/>
      <c r="G97" s="267"/>
      <c r="H97" s="267"/>
      <c r="I97" s="267"/>
      <c r="J97" s="267"/>
      <c r="K97" s="267"/>
      <c r="L97" s="267"/>
      <c r="M97" s="267"/>
      <c r="N97" s="267"/>
      <c r="O97" s="267"/>
      <c r="P97" s="267"/>
      <c r="Q97" s="267"/>
      <c r="R97" s="267"/>
      <c r="S97" s="267"/>
      <c r="T97" s="267"/>
      <c r="U97" s="267"/>
      <c r="V97" s="267"/>
      <c r="W97" s="267"/>
      <c r="X97" s="267"/>
      <c r="Y97" s="267"/>
      <c r="Z97" s="267"/>
      <c r="AA97" s="267"/>
      <c r="AB97" s="267"/>
      <c r="AC97" s="267"/>
      <c r="AD97" s="267"/>
      <c r="AE97" s="267"/>
      <c r="AF97" s="267"/>
      <c r="AG97" s="267"/>
      <c r="AH97" s="268">
        <f t="shared" si="14"/>
        <v>0</v>
      </c>
    </row>
    <row r="98">
      <c r="A98" s="265" t="s">
        <v>172</v>
      </c>
      <c r="B98" s="267"/>
      <c r="C98" s="267"/>
      <c r="D98" s="267"/>
      <c r="E98" s="267"/>
      <c r="F98" s="267"/>
      <c r="G98" s="267"/>
      <c r="H98" s="267"/>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267"/>
      <c r="AH98" s="268">
        <f t="shared" si="14"/>
        <v>0</v>
      </c>
    </row>
    <row r="99">
      <c r="A99" s="265" t="s">
        <v>173</v>
      </c>
      <c r="B99" s="267"/>
      <c r="C99" s="267"/>
      <c r="D99" s="267"/>
      <c r="E99" s="267"/>
      <c r="F99" s="267"/>
      <c r="G99" s="267"/>
      <c r="H99" s="267"/>
      <c r="I99" s="267"/>
      <c r="J99" s="267"/>
      <c r="K99" s="267"/>
      <c r="L99" s="267"/>
      <c r="M99" s="267"/>
      <c r="N99" s="267"/>
      <c r="O99" s="267"/>
      <c r="P99" s="267"/>
      <c r="Q99" s="267"/>
      <c r="R99" s="267"/>
      <c r="S99" s="267"/>
      <c r="T99" s="267"/>
      <c r="U99" s="267"/>
      <c r="V99" s="267"/>
      <c r="W99" s="267"/>
      <c r="X99" s="267"/>
      <c r="Y99" s="267"/>
      <c r="Z99" s="267"/>
      <c r="AA99" s="267"/>
      <c r="AB99" s="267"/>
      <c r="AC99" s="267"/>
      <c r="AD99" s="267"/>
      <c r="AE99" s="267"/>
      <c r="AF99" s="267"/>
      <c r="AG99" s="267"/>
      <c r="AH99" s="268">
        <f t="shared" si="14"/>
        <v>0</v>
      </c>
    </row>
    <row r="100">
      <c r="A100" s="265" t="s">
        <v>174</v>
      </c>
      <c r="B100" s="267"/>
      <c r="C100" s="267"/>
      <c r="D100" s="267"/>
      <c r="E100" s="267"/>
      <c r="F100" s="267"/>
      <c r="G100" s="267"/>
      <c r="H100" s="267"/>
      <c r="I100" s="267"/>
      <c r="J100" s="267"/>
      <c r="K100" s="267"/>
      <c r="L100" s="267"/>
      <c r="M100" s="267"/>
      <c r="N100" s="267"/>
      <c r="O100" s="267"/>
      <c r="P100" s="267"/>
      <c r="Q100" s="267"/>
      <c r="R100" s="267"/>
      <c r="S100" s="267"/>
      <c r="T100" s="267"/>
      <c r="U100" s="267"/>
      <c r="V100" s="267"/>
      <c r="W100" s="267"/>
      <c r="X100" s="267"/>
      <c r="Y100" s="267"/>
      <c r="Z100" s="267"/>
      <c r="AA100" s="267"/>
      <c r="AB100" s="267"/>
      <c r="AC100" s="267"/>
      <c r="AD100" s="267"/>
      <c r="AE100" s="267"/>
      <c r="AF100" s="267"/>
      <c r="AG100" s="267"/>
      <c r="AH100" s="268">
        <f t="shared" si="14"/>
        <v>0</v>
      </c>
    </row>
    <row r="101">
      <c r="A101" s="261" t="s">
        <v>36</v>
      </c>
      <c r="B101" s="268">
        <f t="shared" ref="B101:AG101" si="15">SUM(B89:B100)</f>
        <v>0</v>
      </c>
      <c r="C101" s="268">
        <f t="shared" si="15"/>
        <v>0</v>
      </c>
      <c r="D101" s="268">
        <f t="shared" si="15"/>
        <v>0</v>
      </c>
      <c r="E101" s="268">
        <f t="shared" si="15"/>
        <v>0</v>
      </c>
      <c r="F101" s="268">
        <f t="shared" si="15"/>
        <v>0</v>
      </c>
      <c r="G101" s="268">
        <f t="shared" si="15"/>
        <v>0</v>
      </c>
      <c r="H101" s="268">
        <f t="shared" si="15"/>
        <v>0</v>
      </c>
      <c r="I101" s="268">
        <f t="shared" si="15"/>
        <v>0</v>
      </c>
      <c r="J101" s="268">
        <f t="shared" si="15"/>
        <v>0</v>
      </c>
      <c r="K101" s="268">
        <f t="shared" si="15"/>
        <v>0</v>
      </c>
      <c r="L101" s="268">
        <f t="shared" si="15"/>
        <v>0</v>
      </c>
      <c r="M101" s="268">
        <f t="shared" si="15"/>
        <v>0</v>
      </c>
      <c r="N101" s="268">
        <f t="shared" si="15"/>
        <v>0</v>
      </c>
      <c r="O101" s="268">
        <f t="shared" si="15"/>
        <v>0</v>
      </c>
      <c r="P101" s="268">
        <f t="shared" si="15"/>
        <v>0</v>
      </c>
      <c r="Q101" s="268">
        <f t="shared" si="15"/>
        <v>0</v>
      </c>
      <c r="R101" s="268">
        <f t="shared" si="15"/>
        <v>0</v>
      </c>
      <c r="S101" s="268">
        <f t="shared" si="15"/>
        <v>0</v>
      </c>
      <c r="T101" s="268">
        <f t="shared" si="15"/>
        <v>0</v>
      </c>
      <c r="U101" s="268">
        <f t="shared" si="15"/>
        <v>0</v>
      </c>
      <c r="V101" s="268">
        <f t="shared" si="15"/>
        <v>0</v>
      </c>
      <c r="W101" s="268">
        <f t="shared" si="15"/>
        <v>0</v>
      </c>
      <c r="X101" s="268">
        <f t="shared" si="15"/>
        <v>0</v>
      </c>
      <c r="Y101" s="268">
        <f t="shared" si="15"/>
        <v>0</v>
      </c>
      <c r="Z101" s="268">
        <f t="shared" si="15"/>
        <v>0</v>
      </c>
      <c r="AA101" s="268">
        <f t="shared" si="15"/>
        <v>0</v>
      </c>
      <c r="AB101" s="268">
        <f t="shared" si="15"/>
        <v>0</v>
      </c>
      <c r="AC101" s="268">
        <f t="shared" si="15"/>
        <v>0</v>
      </c>
      <c r="AD101" s="268">
        <f t="shared" si="15"/>
        <v>0</v>
      </c>
      <c r="AE101" s="268">
        <f t="shared" si="15"/>
        <v>0</v>
      </c>
      <c r="AF101" s="268">
        <f t="shared" si="15"/>
        <v>0</v>
      </c>
      <c r="AG101" s="268">
        <f t="shared" si="15"/>
        <v>0</v>
      </c>
      <c r="AH101" s="268">
        <f t="shared" si="14"/>
        <v>0</v>
      </c>
    </row>
    <row r="102">
      <c r="A102" s="250">
        <v>2031.0</v>
      </c>
      <c r="B102" s="259" t="s">
        <v>162</v>
      </c>
      <c r="E102" s="260">
        <f>MAX(AH103:AH114)</f>
        <v>0</v>
      </c>
      <c r="F102" s="261"/>
      <c r="G102" s="261"/>
      <c r="H102" s="261"/>
      <c r="I102" s="261"/>
      <c r="J102" s="261"/>
      <c r="K102" s="261"/>
      <c r="L102" s="261"/>
      <c r="M102" s="261"/>
      <c r="N102" s="261"/>
      <c r="O102" s="261"/>
      <c r="P102" s="261"/>
      <c r="Q102" s="261"/>
      <c r="R102" s="261"/>
      <c r="S102" s="261"/>
      <c r="T102" s="261"/>
      <c r="U102" s="261"/>
      <c r="V102" s="261"/>
      <c r="W102" s="261"/>
      <c r="X102" s="261"/>
      <c r="Y102" s="261"/>
      <c r="Z102" s="261"/>
      <c r="AA102" s="261"/>
      <c r="AB102" s="261"/>
      <c r="AC102" s="261"/>
      <c r="AD102" s="261"/>
      <c r="AE102" s="262" t="s">
        <v>153</v>
      </c>
      <c r="AG102" s="263">
        <f>AH102*0.06</f>
        <v>0</v>
      </c>
      <c r="AH102" s="264">
        <f>SUM(AH115)</f>
        <v>0</v>
      </c>
    </row>
    <row r="103">
      <c r="A103" s="265" t="s">
        <v>163</v>
      </c>
      <c r="B103" s="266"/>
      <c r="C103" s="267"/>
      <c r="D103" s="267"/>
      <c r="E103" s="267"/>
      <c r="F103" s="267"/>
      <c r="G103" s="267"/>
      <c r="H103" s="267"/>
      <c r="I103" s="267"/>
      <c r="J103" s="267"/>
      <c r="K103" s="267"/>
      <c r="L103" s="267"/>
      <c r="M103" s="267"/>
      <c r="N103" s="267"/>
      <c r="O103" s="267"/>
      <c r="P103" s="267"/>
      <c r="Q103" s="267"/>
      <c r="R103" s="267"/>
      <c r="S103" s="267"/>
      <c r="T103" s="267"/>
      <c r="U103" s="267"/>
      <c r="V103" s="267"/>
      <c r="W103" s="267"/>
      <c r="X103" s="267"/>
      <c r="Y103" s="267"/>
      <c r="Z103" s="267"/>
      <c r="AA103" s="267"/>
      <c r="AB103" s="267"/>
      <c r="AC103" s="267"/>
      <c r="AD103" s="267"/>
      <c r="AE103" s="267"/>
      <c r="AF103" s="266"/>
      <c r="AG103" s="266"/>
      <c r="AH103" s="268">
        <f t="shared" ref="AH103:AH115" si="16">SUM(B103:AF103)+AG103</f>
        <v>0</v>
      </c>
    </row>
    <row r="104">
      <c r="A104" s="265" t="s">
        <v>164</v>
      </c>
      <c r="B104" s="267"/>
      <c r="C104" s="267"/>
      <c r="D104" s="267"/>
      <c r="E104" s="267"/>
      <c r="F104" s="267"/>
      <c r="G104" s="267"/>
      <c r="H104" s="267"/>
      <c r="I104" s="267"/>
      <c r="J104" s="267"/>
      <c r="K104" s="267"/>
      <c r="L104" s="267"/>
      <c r="M104" s="267"/>
      <c r="N104" s="267"/>
      <c r="O104" s="267"/>
      <c r="P104" s="267"/>
      <c r="Q104" s="267"/>
      <c r="R104" s="267"/>
      <c r="S104" s="267"/>
      <c r="T104" s="267"/>
      <c r="U104" s="267"/>
      <c r="V104" s="267"/>
      <c r="W104" s="267"/>
      <c r="X104" s="267"/>
      <c r="Y104" s="267"/>
      <c r="Z104" s="267"/>
      <c r="AA104" s="267"/>
      <c r="AB104" s="267"/>
      <c r="AC104" s="267"/>
      <c r="AD104" s="267"/>
      <c r="AE104" s="267"/>
      <c r="AF104" s="266"/>
      <c r="AG104" s="266"/>
      <c r="AH104" s="268">
        <f t="shared" si="16"/>
        <v>0</v>
      </c>
    </row>
    <row r="105">
      <c r="A105" s="265" t="s">
        <v>165</v>
      </c>
      <c r="B105" s="267"/>
      <c r="C105" s="267"/>
      <c r="D105" s="267"/>
      <c r="E105" s="267"/>
      <c r="F105" s="267"/>
      <c r="G105" s="267"/>
      <c r="H105" s="267"/>
      <c r="I105" s="267"/>
      <c r="J105" s="267"/>
      <c r="K105" s="267"/>
      <c r="L105" s="267"/>
      <c r="M105" s="267"/>
      <c r="N105" s="267"/>
      <c r="O105" s="267"/>
      <c r="P105" s="267"/>
      <c r="Q105" s="267"/>
      <c r="R105" s="267"/>
      <c r="S105" s="267"/>
      <c r="T105" s="267"/>
      <c r="U105" s="267"/>
      <c r="V105" s="267"/>
      <c r="W105" s="267"/>
      <c r="X105" s="267"/>
      <c r="Y105" s="267"/>
      <c r="Z105" s="267"/>
      <c r="AA105" s="267"/>
      <c r="AB105" s="267"/>
      <c r="AC105" s="267"/>
      <c r="AD105" s="267"/>
      <c r="AE105" s="267"/>
      <c r="AF105" s="266"/>
      <c r="AG105" s="266"/>
      <c r="AH105" s="268">
        <f t="shared" si="16"/>
        <v>0</v>
      </c>
    </row>
    <row r="106">
      <c r="A106" s="265" t="s">
        <v>166</v>
      </c>
      <c r="B106" s="267"/>
      <c r="C106" s="267"/>
      <c r="D106" s="267"/>
      <c r="E106" s="267"/>
      <c r="F106" s="267"/>
      <c r="G106" s="267"/>
      <c r="H106" s="267"/>
      <c r="I106" s="267"/>
      <c r="J106" s="267"/>
      <c r="K106" s="267"/>
      <c r="L106" s="267"/>
      <c r="M106" s="267"/>
      <c r="N106" s="267"/>
      <c r="O106" s="267"/>
      <c r="P106" s="267"/>
      <c r="Q106" s="267"/>
      <c r="R106" s="267"/>
      <c r="S106" s="267"/>
      <c r="T106" s="267"/>
      <c r="U106" s="267"/>
      <c r="V106" s="267"/>
      <c r="W106" s="267"/>
      <c r="X106" s="267"/>
      <c r="Y106" s="267"/>
      <c r="Z106" s="267"/>
      <c r="AA106" s="267"/>
      <c r="AB106" s="267"/>
      <c r="AC106" s="267"/>
      <c r="AD106" s="267"/>
      <c r="AE106" s="267"/>
      <c r="AF106" s="266"/>
      <c r="AG106" s="266"/>
      <c r="AH106" s="268">
        <f t="shared" si="16"/>
        <v>0</v>
      </c>
    </row>
    <row r="107">
      <c r="A107" s="265" t="s">
        <v>167</v>
      </c>
      <c r="B107" s="267"/>
      <c r="C107" s="267"/>
      <c r="D107" s="267"/>
      <c r="E107" s="267"/>
      <c r="F107" s="267"/>
      <c r="G107" s="267"/>
      <c r="H107" s="267"/>
      <c r="I107" s="267"/>
      <c r="J107" s="267"/>
      <c r="K107" s="267"/>
      <c r="L107" s="267"/>
      <c r="M107" s="267"/>
      <c r="N107" s="267"/>
      <c r="O107" s="267"/>
      <c r="P107" s="267"/>
      <c r="Q107" s="267"/>
      <c r="R107" s="267"/>
      <c r="S107" s="267"/>
      <c r="T107" s="267"/>
      <c r="U107" s="267"/>
      <c r="V107" s="267"/>
      <c r="W107" s="267"/>
      <c r="X107" s="267"/>
      <c r="Y107" s="267"/>
      <c r="Z107" s="267"/>
      <c r="AA107" s="267"/>
      <c r="AB107" s="267"/>
      <c r="AC107" s="267"/>
      <c r="AD107" s="267"/>
      <c r="AE107" s="267"/>
      <c r="AF107" s="266"/>
      <c r="AG107" s="266"/>
      <c r="AH107" s="268">
        <f t="shared" si="16"/>
        <v>0</v>
      </c>
    </row>
    <row r="108">
      <c r="A108" s="265" t="s">
        <v>168</v>
      </c>
      <c r="B108" s="267"/>
      <c r="C108" s="267"/>
      <c r="D108" s="267"/>
      <c r="E108" s="267"/>
      <c r="F108" s="267"/>
      <c r="G108" s="267"/>
      <c r="H108" s="267"/>
      <c r="I108" s="267"/>
      <c r="J108" s="267"/>
      <c r="K108" s="267"/>
      <c r="L108" s="267"/>
      <c r="M108" s="267"/>
      <c r="N108" s="267"/>
      <c r="O108" s="267"/>
      <c r="P108" s="267"/>
      <c r="Q108" s="267"/>
      <c r="R108" s="267"/>
      <c r="S108" s="267"/>
      <c r="T108" s="267"/>
      <c r="U108" s="267"/>
      <c r="V108" s="267"/>
      <c r="W108" s="267"/>
      <c r="X108" s="267"/>
      <c r="Y108" s="267"/>
      <c r="Z108" s="267"/>
      <c r="AA108" s="267"/>
      <c r="AB108" s="267"/>
      <c r="AC108" s="267"/>
      <c r="AD108" s="267"/>
      <c r="AE108" s="267"/>
      <c r="AF108" s="266"/>
      <c r="AG108" s="266"/>
      <c r="AH108" s="268">
        <f t="shared" si="16"/>
        <v>0</v>
      </c>
    </row>
    <row r="109">
      <c r="A109" s="265" t="s">
        <v>169</v>
      </c>
      <c r="B109" s="267"/>
      <c r="C109" s="267"/>
      <c r="D109" s="267"/>
      <c r="E109" s="267"/>
      <c r="F109" s="267"/>
      <c r="G109" s="267"/>
      <c r="H109" s="267"/>
      <c r="I109" s="267"/>
      <c r="J109" s="267"/>
      <c r="K109" s="267"/>
      <c r="L109" s="267"/>
      <c r="M109" s="267"/>
      <c r="N109" s="267"/>
      <c r="O109" s="267"/>
      <c r="P109" s="267"/>
      <c r="Q109" s="267"/>
      <c r="R109" s="267"/>
      <c r="S109" s="267"/>
      <c r="T109" s="267"/>
      <c r="U109" s="267"/>
      <c r="V109" s="267"/>
      <c r="W109" s="267"/>
      <c r="X109" s="267"/>
      <c r="Y109" s="267"/>
      <c r="Z109" s="267"/>
      <c r="AA109" s="267"/>
      <c r="AB109" s="267"/>
      <c r="AC109" s="267"/>
      <c r="AD109" s="267"/>
      <c r="AE109" s="267"/>
      <c r="AF109" s="266"/>
      <c r="AG109" s="266"/>
      <c r="AH109" s="268">
        <f t="shared" si="16"/>
        <v>0</v>
      </c>
    </row>
    <row r="110">
      <c r="A110" s="265" t="s">
        <v>170</v>
      </c>
      <c r="B110" s="267"/>
      <c r="C110" s="267"/>
      <c r="D110" s="267"/>
      <c r="E110" s="267"/>
      <c r="F110" s="267"/>
      <c r="G110" s="267"/>
      <c r="H110" s="267"/>
      <c r="I110" s="267"/>
      <c r="J110" s="267"/>
      <c r="K110" s="267"/>
      <c r="L110" s="267"/>
      <c r="M110" s="267"/>
      <c r="N110" s="267"/>
      <c r="O110" s="267"/>
      <c r="P110" s="267"/>
      <c r="Q110" s="267"/>
      <c r="R110" s="267"/>
      <c r="S110" s="267"/>
      <c r="T110" s="267"/>
      <c r="U110" s="267"/>
      <c r="V110" s="267"/>
      <c r="W110" s="267"/>
      <c r="X110" s="267"/>
      <c r="Y110" s="267"/>
      <c r="Z110" s="267"/>
      <c r="AA110" s="267"/>
      <c r="AB110" s="267"/>
      <c r="AC110" s="267"/>
      <c r="AD110" s="267"/>
      <c r="AE110" s="267"/>
      <c r="AF110" s="266"/>
      <c r="AG110" s="266"/>
      <c r="AH110" s="268">
        <f t="shared" si="16"/>
        <v>0</v>
      </c>
    </row>
    <row r="111">
      <c r="A111" s="265" t="s">
        <v>171</v>
      </c>
      <c r="B111" s="267"/>
      <c r="C111" s="267"/>
      <c r="D111" s="267"/>
      <c r="E111" s="267"/>
      <c r="F111" s="267"/>
      <c r="G111" s="267"/>
      <c r="H111" s="267"/>
      <c r="I111" s="267"/>
      <c r="J111" s="267"/>
      <c r="K111" s="267"/>
      <c r="L111" s="267"/>
      <c r="M111" s="267"/>
      <c r="N111" s="267"/>
      <c r="O111" s="267"/>
      <c r="P111" s="267"/>
      <c r="Q111" s="267"/>
      <c r="R111" s="267"/>
      <c r="S111" s="267"/>
      <c r="T111" s="267"/>
      <c r="U111" s="267"/>
      <c r="V111" s="267"/>
      <c r="W111" s="267"/>
      <c r="X111" s="267"/>
      <c r="Y111" s="267"/>
      <c r="Z111" s="267"/>
      <c r="AA111" s="267"/>
      <c r="AB111" s="267"/>
      <c r="AC111" s="267"/>
      <c r="AD111" s="267"/>
      <c r="AE111" s="267"/>
      <c r="AF111" s="266"/>
      <c r="AG111" s="266"/>
      <c r="AH111" s="268">
        <f t="shared" si="16"/>
        <v>0</v>
      </c>
    </row>
    <row r="112">
      <c r="A112" s="265" t="s">
        <v>172</v>
      </c>
      <c r="B112" s="267"/>
      <c r="C112" s="267"/>
      <c r="D112" s="267"/>
      <c r="E112" s="267"/>
      <c r="F112" s="267"/>
      <c r="G112" s="267"/>
      <c r="H112" s="267"/>
      <c r="I112" s="267"/>
      <c r="J112" s="267"/>
      <c r="K112" s="267"/>
      <c r="L112" s="267"/>
      <c r="M112" s="267"/>
      <c r="N112" s="267"/>
      <c r="O112" s="267"/>
      <c r="P112" s="267"/>
      <c r="Q112" s="267"/>
      <c r="R112" s="267"/>
      <c r="S112" s="267"/>
      <c r="T112" s="267"/>
      <c r="U112" s="267"/>
      <c r="V112" s="267"/>
      <c r="W112" s="267"/>
      <c r="X112" s="267"/>
      <c r="Y112" s="267"/>
      <c r="Z112" s="267"/>
      <c r="AA112" s="267"/>
      <c r="AB112" s="267"/>
      <c r="AC112" s="267"/>
      <c r="AD112" s="267"/>
      <c r="AE112" s="267"/>
      <c r="AF112" s="266"/>
      <c r="AG112" s="266"/>
      <c r="AH112" s="268">
        <f t="shared" si="16"/>
        <v>0</v>
      </c>
    </row>
    <row r="113">
      <c r="A113" s="265" t="s">
        <v>173</v>
      </c>
      <c r="B113" s="267"/>
      <c r="C113" s="267"/>
      <c r="D113" s="267"/>
      <c r="E113" s="267"/>
      <c r="F113" s="267"/>
      <c r="G113" s="267"/>
      <c r="H113" s="267"/>
      <c r="I113" s="267"/>
      <c r="J113" s="267"/>
      <c r="K113" s="267"/>
      <c r="L113" s="267"/>
      <c r="M113" s="267"/>
      <c r="N113" s="267"/>
      <c r="O113" s="267"/>
      <c r="P113" s="267"/>
      <c r="Q113" s="267"/>
      <c r="R113" s="267"/>
      <c r="S113" s="267"/>
      <c r="T113" s="267"/>
      <c r="U113" s="267"/>
      <c r="V113" s="267"/>
      <c r="W113" s="267"/>
      <c r="X113" s="267"/>
      <c r="Y113" s="267"/>
      <c r="Z113" s="267"/>
      <c r="AA113" s="267"/>
      <c r="AB113" s="267"/>
      <c r="AC113" s="267"/>
      <c r="AD113" s="267"/>
      <c r="AE113" s="267"/>
      <c r="AF113" s="266"/>
      <c r="AG113" s="266"/>
      <c r="AH113" s="268">
        <f t="shared" si="16"/>
        <v>0</v>
      </c>
    </row>
    <row r="114">
      <c r="A114" s="265" t="s">
        <v>174</v>
      </c>
      <c r="B114" s="267"/>
      <c r="C114" s="267"/>
      <c r="D114" s="267"/>
      <c r="E114" s="267"/>
      <c r="F114" s="267"/>
      <c r="G114" s="267"/>
      <c r="H114" s="267"/>
      <c r="I114" s="267"/>
      <c r="J114" s="267"/>
      <c r="K114" s="267"/>
      <c r="L114" s="267"/>
      <c r="M114" s="267"/>
      <c r="N114" s="267"/>
      <c r="O114" s="267"/>
      <c r="P114" s="267"/>
      <c r="Q114" s="267"/>
      <c r="R114" s="267"/>
      <c r="S114" s="267"/>
      <c r="T114" s="267"/>
      <c r="U114" s="267"/>
      <c r="V114" s="267"/>
      <c r="W114" s="267"/>
      <c r="X114" s="267"/>
      <c r="Y114" s="267"/>
      <c r="Z114" s="267"/>
      <c r="AA114" s="267"/>
      <c r="AB114" s="267"/>
      <c r="AC114" s="267"/>
      <c r="AD114" s="267"/>
      <c r="AE114" s="267"/>
      <c r="AF114" s="266"/>
      <c r="AG114" s="266"/>
      <c r="AH114" s="268">
        <f t="shared" si="16"/>
        <v>0</v>
      </c>
    </row>
    <row r="115">
      <c r="A115" s="261" t="s">
        <v>36</v>
      </c>
      <c r="B115" s="268">
        <f t="shared" ref="B115:AG115" si="17">SUM(B103:B114)</f>
        <v>0</v>
      </c>
      <c r="C115" s="268">
        <f t="shared" si="17"/>
        <v>0</v>
      </c>
      <c r="D115" s="268">
        <f t="shared" si="17"/>
        <v>0</v>
      </c>
      <c r="E115" s="268">
        <f t="shared" si="17"/>
        <v>0</v>
      </c>
      <c r="F115" s="268">
        <f t="shared" si="17"/>
        <v>0</v>
      </c>
      <c r="G115" s="268">
        <f t="shared" si="17"/>
        <v>0</v>
      </c>
      <c r="H115" s="268">
        <f t="shared" si="17"/>
        <v>0</v>
      </c>
      <c r="I115" s="268">
        <f t="shared" si="17"/>
        <v>0</v>
      </c>
      <c r="J115" s="268">
        <f t="shared" si="17"/>
        <v>0</v>
      </c>
      <c r="K115" s="268">
        <f t="shared" si="17"/>
        <v>0</v>
      </c>
      <c r="L115" s="268">
        <f t="shared" si="17"/>
        <v>0</v>
      </c>
      <c r="M115" s="268">
        <f t="shared" si="17"/>
        <v>0</v>
      </c>
      <c r="N115" s="268">
        <f t="shared" si="17"/>
        <v>0</v>
      </c>
      <c r="O115" s="268">
        <f t="shared" si="17"/>
        <v>0</v>
      </c>
      <c r="P115" s="268">
        <f t="shared" si="17"/>
        <v>0</v>
      </c>
      <c r="Q115" s="268">
        <f t="shared" si="17"/>
        <v>0</v>
      </c>
      <c r="R115" s="268">
        <f t="shared" si="17"/>
        <v>0</v>
      </c>
      <c r="S115" s="268">
        <f t="shared" si="17"/>
        <v>0</v>
      </c>
      <c r="T115" s="268">
        <f t="shared" si="17"/>
        <v>0</v>
      </c>
      <c r="U115" s="268">
        <f t="shared" si="17"/>
        <v>0</v>
      </c>
      <c r="V115" s="268">
        <f t="shared" si="17"/>
        <v>0</v>
      </c>
      <c r="W115" s="268">
        <f t="shared" si="17"/>
        <v>0</v>
      </c>
      <c r="X115" s="268">
        <f t="shared" si="17"/>
        <v>0</v>
      </c>
      <c r="Y115" s="268">
        <f t="shared" si="17"/>
        <v>0</v>
      </c>
      <c r="Z115" s="268">
        <f t="shared" si="17"/>
        <v>0</v>
      </c>
      <c r="AA115" s="268">
        <f t="shared" si="17"/>
        <v>0</v>
      </c>
      <c r="AB115" s="268">
        <f t="shared" si="17"/>
        <v>0</v>
      </c>
      <c r="AC115" s="268">
        <f t="shared" si="17"/>
        <v>0</v>
      </c>
      <c r="AD115" s="268">
        <f t="shared" si="17"/>
        <v>0</v>
      </c>
      <c r="AE115" s="268">
        <f t="shared" si="17"/>
        <v>0</v>
      </c>
      <c r="AF115" s="268">
        <f t="shared" si="17"/>
        <v>0</v>
      </c>
      <c r="AG115" s="268">
        <f t="shared" si="17"/>
        <v>0</v>
      </c>
      <c r="AH115" s="268">
        <f t="shared" si="16"/>
        <v>0</v>
      </c>
    </row>
    <row r="116">
      <c r="A116" s="269"/>
      <c r="B116" s="269"/>
      <c r="C116" s="269"/>
      <c r="D116" s="269"/>
      <c r="E116" s="269"/>
      <c r="F116" s="269"/>
      <c r="G116" s="269"/>
      <c r="H116" s="269"/>
      <c r="I116" s="269"/>
      <c r="J116" s="269"/>
      <c r="K116" s="269"/>
      <c r="L116" s="269"/>
      <c r="M116" s="262"/>
      <c r="N116" s="262"/>
      <c r="O116" s="270"/>
      <c r="P116" s="270"/>
      <c r="Q116" s="270"/>
      <c r="R116" s="270"/>
      <c r="S116" s="270"/>
      <c r="T116" s="270"/>
      <c r="U116" s="270"/>
      <c r="V116" s="270"/>
      <c r="W116" s="270"/>
      <c r="X116" s="270"/>
      <c r="Y116" s="270"/>
      <c r="Z116" s="270"/>
      <c r="AA116" s="270"/>
      <c r="AB116" s="270"/>
      <c r="AC116" s="270"/>
      <c r="AD116" s="270"/>
      <c r="AE116" s="270"/>
      <c r="AF116" s="262" t="s">
        <v>153</v>
      </c>
      <c r="AG116" s="263">
        <f>AH116*0.12</f>
        <v>0</v>
      </c>
      <c r="AH116" s="264">
        <f>SUM(AH115)</f>
        <v>0</v>
      </c>
    </row>
  </sheetData>
  <mergeCells count="19">
    <mergeCell ref="B1:J1"/>
    <mergeCell ref="K1:M1"/>
    <mergeCell ref="N1:O1"/>
    <mergeCell ref="B4:D4"/>
    <mergeCell ref="AE4:AF4"/>
    <mergeCell ref="B18:D18"/>
    <mergeCell ref="AE18:AF18"/>
    <mergeCell ref="B74:D74"/>
    <mergeCell ref="B88:D88"/>
    <mergeCell ref="AE88:AF88"/>
    <mergeCell ref="B102:D102"/>
    <mergeCell ref="AE102:AF102"/>
    <mergeCell ref="B32:D32"/>
    <mergeCell ref="AE32:AF32"/>
    <mergeCell ref="B46:D46"/>
    <mergeCell ref="AE46:AF46"/>
    <mergeCell ref="B60:D60"/>
    <mergeCell ref="AE60:AF60"/>
    <mergeCell ref="AE74:AF7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3" max="3" width="14.0"/>
    <col customWidth="1" min="4" max="4" width="14.63"/>
    <col customWidth="1" min="5" max="5" width="13.0"/>
    <col customWidth="1" min="6" max="8" width="16.63"/>
    <col customWidth="1" min="9" max="10" width="11.25"/>
    <col customWidth="1" min="11" max="11" width="25.5"/>
    <col customWidth="1" min="12" max="20" width="16.63"/>
  </cols>
  <sheetData>
    <row r="1" ht="27.75" customHeight="1">
      <c r="A1" s="271" t="s">
        <v>175</v>
      </c>
      <c r="C1" s="272" t="str">
        <f>Dashboard!B1</f>
        <v>PORTFOLIO FIDELITY 2024</v>
      </c>
      <c r="I1" s="273"/>
      <c r="J1" s="274"/>
      <c r="K1" s="275" t="s">
        <v>176</v>
      </c>
      <c r="T1" s="276"/>
    </row>
    <row r="2">
      <c r="A2" s="277">
        <f>4260</f>
        <v>4260</v>
      </c>
      <c r="C2" s="278" t="s">
        <v>177</v>
      </c>
      <c r="D2" s="278" t="s">
        <v>178</v>
      </c>
      <c r="E2" s="278" t="s">
        <v>179</v>
      </c>
      <c r="F2" s="278" t="s">
        <v>180</v>
      </c>
      <c r="G2" s="279" t="s">
        <v>181</v>
      </c>
      <c r="H2" s="278" t="s">
        <v>21</v>
      </c>
      <c r="I2" s="280" t="s">
        <v>182</v>
      </c>
      <c r="J2" s="281"/>
      <c r="K2" s="282" t="s">
        <v>183</v>
      </c>
      <c r="L2" s="283">
        <v>2024.0</v>
      </c>
      <c r="M2" s="283">
        <v>2025.0</v>
      </c>
      <c r="N2" s="283">
        <v>2026.0</v>
      </c>
      <c r="O2" s="283">
        <v>2027.0</v>
      </c>
      <c r="P2" s="283">
        <v>2028.0</v>
      </c>
      <c r="Q2" s="283">
        <v>2029.0</v>
      </c>
      <c r="R2" s="283">
        <v>2030.0</v>
      </c>
      <c r="S2" s="283">
        <v>2031.0</v>
      </c>
      <c r="T2" s="283" t="s">
        <v>184</v>
      </c>
    </row>
    <row r="3">
      <c r="A3" s="284">
        <v>2024.0</v>
      </c>
      <c r="B3" s="285" t="s">
        <v>185</v>
      </c>
      <c r="C3" s="286">
        <v>0.0</v>
      </c>
      <c r="D3" s="286">
        <v>0.0</v>
      </c>
      <c r="E3" s="287">
        <f>'Dividend Log'!AH5</f>
        <v>0</v>
      </c>
      <c r="F3" s="287">
        <f t="shared" ref="F3:F6" si="1">Sum(D3:E3)</f>
        <v>0</v>
      </c>
      <c r="G3" s="287">
        <f t="shared" ref="G3:G98" si="2">C3-F3</f>
        <v>0</v>
      </c>
      <c r="H3" s="288">
        <f t="shared" ref="H3:H98" si="3">IFERROR((G3)/F3,0)</f>
        <v>0</v>
      </c>
      <c r="I3" s="289"/>
      <c r="J3" s="290"/>
      <c r="K3" s="291" t="s">
        <v>163</v>
      </c>
      <c r="L3" s="292">
        <f t="shared" ref="L3:L14" si="4">E3</f>
        <v>0</v>
      </c>
      <c r="M3" s="292">
        <f t="shared" ref="M3:M14" si="5">E15</f>
        <v>19.73</v>
      </c>
      <c r="N3" s="292">
        <f t="shared" ref="N3:N14" si="6">E27</f>
        <v>52.21</v>
      </c>
      <c r="O3" s="292">
        <f t="shared" ref="O3:O14" si="7">E39</f>
        <v>0</v>
      </c>
      <c r="P3" s="292">
        <f t="shared" ref="P3:P14" si="8">E51</f>
        <v>0</v>
      </c>
      <c r="Q3" s="292">
        <f t="shared" ref="Q3:Q14" si="9">E63</f>
        <v>0</v>
      </c>
      <c r="R3" s="292">
        <f t="shared" ref="R3:R14" si="10">E75</f>
        <v>0</v>
      </c>
      <c r="S3" s="292">
        <f t="shared" ref="S3:S14" si="11">E87</f>
        <v>0</v>
      </c>
      <c r="T3" s="293">
        <f t="shared" ref="T3:T14" si="12">iferror((N3-M3)/N3,"")</f>
        <v>0.6221030454</v>
      </c>
    </row>
    <row r="4">
      <c r="B4" s="285" t="s">
        <v>186</v>
      </c>
      <c r="C4" s="286">
        <v>0.0</v>
      </c>
      <c r="D4" s="286">
        <v>0.0</v>
      </c>
      <c r="E4" s="287">
        <f>'Dividend Log'!AH6</f>
        <v>0</v>
      </c>
      <c r="F4" s="287">
        <f t="shared" si="1"/>
        <v>0</v>
      </c>
      <c r="G4" s="287">
        <f t="shared" si="2"/>
        <v>0</v>
      </c>
      <c r="H4" s="288">
        <f t="shared" si="3"/>
        <v>0</v>
      </c>
      <c r="I4" s="289"/>
      <c r="J4" s="290"/>
      <c r="K4" s="291" t="s">
        <v>164</v>
      </c>
      <c r="L4" s="292">
        <f t="shared" si="4"/>
        <v>0</v>
      </c>
      <c r="M4" s="292">
        <f t="shared" si="5"/>
        <v>12.1</v>
      </c>
      <c r="N4" s="292">
        <f t="shared" si="6"/>
        <v>32.38</v>
      </c>
      <c r="O4" s="292">
        <f t="shared" si="7"/>
        <v>0</v>
      </c>
      <c r="P4" s="292">
        <f t="shared" si="8"/>
        <v>0</v>
      </c>
      <c r="Q4" s="292">
        <f t="shared" si="9"/>
        <v>0</v>
      </c>
      <c r="R4" s="292">
        <f t="shared" si="10"/>
        <v>0</v>
      </c>
      <c r="S4" s="292">
        <f t="shared" si="11"/>
        <v>0</v>
      </c>
      <c r="T4" s="293">
        <f t="shared" si="12"/>
        <v>0.6263125386</v>
      </c>
    </row>
    <row r="5">
      <c r="B5" s="285" t="s">
        <v>187</v>
      </c>
      <c r="C5" s="286">
        <v>0.0</v>
      </c>
      <c r="D5" s="286">
        <v>0.0</v>
      </c>
      <c r="E5" s="287">
        <f>'Dividend Log'!AH7</f>
        <v>0</v>
      </c>
      <c r="F5" s="287">
        <f t="shared" si="1"/>
        <v>0</v>
      </c>
      <c r="G5" s="287">
        <f t="shared" si="2"/>
        <v>0</v>
      </c>
      <c r="H5" s="288">
        <f t="shared" si="3"/>
        <v>0</v>
      </c>
      <c r="I5" s="289"/>
      <c r="J5" s="290"/>
      <c r="K5" s="291" t="s">
        <v>165</v>
      </c>
      <c r="L5" s="292">
        <f t="shared" si="4"/>
        <v>0</v>
      </c>
      <c r="M5" s="292">
        <f t="shared" si="5"/>
        <v>92.43</v>
      </c>
      <c r="N5" s="292">
        <f t="shared" si="6"/>
        <v>36.2</v>
      </c>
      <c r="O5" s="292">
        <f t="shared" si="7"/>
        <v>0</v>
      </c>
      <c r="P5" s="292">
        <f t="shared" si="8"/>
        <v>0</v>
      </c>
      <c r="Q5" s="292">
        <f t="shared" si="9"/>
        <v>0</v>
      </c>
      <c r="R5" s="292">
        <f t="shared" si="10"/>
        <v>0</v>
      </c>
      <c r="S5" s="292">
        <f t="shared" si="11"/>
        <v>0</v>
      </c>
      <c r="T5" s="293">
        <f t="shared" si="12"/>
        <v>-1.553314917</v>
      </c>
    </row>
    <row r="6">
      <c r="B6" s="285" t="s">
        <v>188</v>
      </c>
      <c r="C6" s="286">
        <v>0.0</v>
      </c>
      <c r="D6" s="286">
        <v>0.0</v>
      </c>
      <c r="E6" s="287">
        <f>'Dividend Log'!AH8</f>
        <v>0</v>
      </c>
      <c r="F6" s="287">
        <f t="shared" si="1"/>
        <v>0</v>
      </c>
      <c r="G6" s="287">
        <f t="shared" si="2"/>
        <v>0</v>
      </c>
      <c r="H6" s="288">
        <f t="shared" si="3"/>
        <v>0</v>
      </c>
      <c r="I6" s="289"/>
      <c r="J6" s="290"/>
      <c r="K6" s="291" t="s">
        <v>166</v>
      </c>
      <c r="L6" s="292">
        <f t="shared" si="4"/>
        <v>0</v>
      </c>
      <c r="M6" s="292">
        <f t="shared" si="5"/>
        <v>35.94</v>
      </c>
      <c r="N6" s="292">
        <f t="shared" si="6"/>
        <v>0</v>
      </c>
      <c r="O6" s="292">
        <f t="shared" si="7"/>
        <v>0</v>
      </c>
      <c r="P6" s="292">
        <f t="shared" si="8"/>
        <v>0</v>
      </c>
      <c r="Q6" s="292">
        <f t="shared" si="9"/>
        <v>0</v>
      </c>
      <c r="R6" s="292">
        <f t="shared" si="10"/>
        <v>0</v>
      </c>
      <c r="S6" s="292">
        <f t="shared" si="11"/>
        <v>0</v>
      </c>
      <c r="T6" s="293" t="str">
        <f t="shared" si="12"/>
        <v/>
      </c>
    </row>
    <row r="7">
      <c r="B7" s="285" t="s">
        <v>189</v>
      </c>
      <c r="C7" s="286">
        <v>4318.02</v>
      </c>
      <c r="D7" s="286">
        <v>0.0</v>
      </c>
      <c r="E7" s="287">
        <f>'Dividend Log'!AH9</f>
        <v>3.56</v>
      </c>
      <c r="F7" s="287">
        <f t="shared" ref="F7:F28" si="13">$A$2+sum($D$3:D7)</f>
        <v>4260</v>
      </c>
      <c r="G7" s="287">
        <f t="shared" si="2"/>
        <v>58.02</v>
      </c>
      <c r="H7" s="288">
        <f t="shared" si="3"/>
        <v>0.01361971831</v>
      </c>
      <c r="I7" s="289"/>
      <c r="J7" s="290"/>
      <c r="K7" s="291" t="s">
        <v>167</v>
      </c>
      <c r="L7" s="292">
        <f t="shared" si="4"/>
        <v>3.56</v>
      </c>
      <c r="M7" s="292">
        <f t="shared" si="5"/>
        <v>21.76</v>
      </c>
      <c r="N7" s="292">
        <f t="shared" si="6"/>
        <v>0</v>
      </c>
      <c r="O7" s="292">
        <f t="shared" si="7"/>
        <v>0</v>
      </c>
      <c r="P7" s="292">
        <f t="shared" si="8"/>
        <v>0</v>
      </c>
      <c r="Q7" s="292">
        <f t="shared" si="9"/>
        <v>0</v>
      </c>
      <c r="R7" s="292">
        <f t="shared" si="10"/>
        <v>0</v>
      </c>
      <c r="S7" s="292">
        <f t="shared" si="11"/>
        <v>0</v>
      </c>
      <c r="T7" s="293" t="str">
        <f t="shared" si="12"/>
        <v/>
      </c>
    </row>
    <row r="8">
      <c r="B8" s="285" t="s">
        <v>190</v>
      </c>
      <c r="C8" s="286">
        <v>6230.35</v>
      </c>
      <c r="D8" s="286">
        <v>1800.0</v>
      </c>
      <c r="E8" s="287">
        <f>'Dividend Log'!AH10</f>
        <v>8.17</v>
      </c>
      <c r="F8" s="287">
        <f t="shared" si="13"/>
        <v>6060</v>
      </c>
      <c r="G8" s="287">
        <f t="shared" si="2"/>
        <v>170.35</v>
      </c>
      <c r="H8" s="288">
        <f t="shared" si="3"/>
        <v>0.02811056106</v>
      </c>
      <c r="I8" s="289"/>
      <c r="J8" s="290"/>
      <c r="K8" s="291" t="s">
        <v>168</v>
      </c>
      <c r="L8" s="292">
        <f t="shared" si="4"/>
        <v>8.17</v>
      </c>
      <c r="M8" s="292">
        <f t="shared" si="5"/>
        <v>105.95</v>
      </c>
      <c r="N8" s="292">
        <f t="shared" si="6"/>
        <v>0</v>
      </c>
      <c r="O8" s="292">
        <f t="shared" si="7"/>
        <v>0</v>
      </c>
      <c r="P8" s="292">
        <f t="shared" si="8"/>
        <v>0</v>
      </c>
      <c r="Q8" s="292">
        <f t="shared" si="9"/>
        <v>0</v>
      </c>
      <c r="R8" s="292">
        <f t="shared" si="10"/>
        <v>0</v>
      </c>
      <c r="S8" s="292">
        <f t="shared" si="11"/>
        <v>0</v>
      </c>
      <c r="T8" s="293" t="str">
        <f t="shared" si="12"/>
        <v/>
      </c>
    </row>
    <row r="9">
      <c r="B9" s="285" t="s">
        <v>191</v>
      </c>
      <c r="C9" s="286">
        <v>7339.37</v>
      </c>
      <c r="D9" s="286">
        <v>1000.0</v>
      </c>
      <c r="E9" s="287">
        <f>'Dividend Log'!AH11</f>
        <v>20.77</v>
      </c>
      <c r="F9" s="287">
        <f t="shared" si="13"/>
        <v>7060</v>
      </c>
      <c r="G9" s="287">
        <f t="shared" si="2"/>
        <v>279.37</v>
      </c>
      <c r="H9" s="288">
        <f t="shared" si="3"/>
        <v>0.03957082153</v>
      </c>
      <c r="I9" s="289"/>
      <c r="J9" s="290"/>
      <c r="K9" s="291" t="s">
        <v>169</v>
      </c>
      <c r="L9" s="292">
        <f t="shared" si="4"/>
        <v>20.77</v>
      </c>
      <c r="M9" s="292">
        <f t="shared" si="5"/>
        <v>55.38</v>
      </c>
      <c r="N9" s="292">
        <f t="shared" si="6"/>
        <v>0</v>
      </c>
      <c r="O9" s="292">
        <f t="shared" si="7"/>
        <v>0</v>
      </c>
      <c r="P9" s="292">
        <f t="shared" si="8"/>
        <v>0</v>
      </c>
      <c r="Q9" s="292">
        <f t="shared" si="9"/>
        <v>0</v>
      </c>
      <c r="R9" s="292">
        <f t="shared" si="10"/>
        <v>0</v>
      </c>
      <c r="S9" s="292">
        <f t="shared" si="11"/>
        <v>0</v>
      </c>
      <c r="T9" s="293" t="str">
        <f t="shared" si="12"/>
        <v/>
      </c>
    </row>
    <row r="10">
      <c r="B10" s="285" t="s">
        <v>192</v>
      </c>
      <c r="C10" s="286">
        <v>8638.08</v>
      </c>
      <c r="D10" s="286">
        <v>1000.0</v>
      </c>
      <c r="E10" s="287">
        <f>'Dividend Log'!AH12</f>
        <v>4.35</v>
      </c>
      <c r="F10" s="287">
        <f t="shared" si="13"/>
        <v>8060</v>
      </c>
      <c r="G10" s="287">
        <f t="shared" si="2"/>
        <v>578.08</v>
      </c>
      <c r="H10" s="288">
        <f t="shared" si="3"/>
        <v>0.07172208437</v>
      </c>
      <c r="I10" s="289"/>
      <c r="J10" s="290"/>
      <c r="K10" s="291" t="s">
        <v>170</v>
      </c>
      <c r="L10" s="292">
        <f t="shared" si="4"/>
        <v>4.35</v>
      </c>
      <c r="M10" s="292">
        <f t="shared" si="5"/>
        <v>18.46</v>
      </c>
      <c r="N10" s="292">
        <f t="shared" si="6"/>
        <v>0</v>
      </c>
      <c r="O10" s="292">
        <f t="shared" si="7"/>
        <v>0</v>
      </c>
      <c r="P10" s="292">
        <f t="shared" si="8"/>
        <v>0</v>
      </c>
      <c r="Q10" s="292">
        <f t="shared" si="9"/>
        <v>0</v>
      </c>
      <c r="R10" s="292">
        <f t="shared" si="10"/>
        <v>0</v>
      </c>
      <c r="S10" s="292">
        <f t="shared" si="11"/>
        <v>0</v>
      </c>
      <c r="T10" s="293" t="str">
        <f t="shared" si="12"/>
        <v/>
      </c>
    </row>
    <row r="11">
      <c r="B11" s="285" t="s">
        <v>193</v>
      </c>
      <c r="C11" s="286">
        <f>9922.32</f>
        <v>9922.32</v>
      </c>
      <c r="D11" s="286">
        <v>1070.0</v>
      </c>
      <c r="E11" s="287">
        <f>'Dividend Log'!AH13</f>
        <v>25.45</v>
      </c>
      <c r="F11" s="287">
        <f t="shared" si="13"/>
        <v>9130</v>
      </c>
      <c r="G11" s="287">
        <f t="shared" si="2"/>
        <v>792.32</v>
      </c>
      <c r="H11" s="288">
        <f t="shared" si="3"/>
        <v>0.08678203724</v>
      </c>
      <c r="I11" s="289"/>
      <c r="J11" s="290"/>
      <c r="K11" s="291" t="s">
        <v>171</v>
      </c>
      <c r="L11" s="292">
        <f t="shared" si="4"/>
        <v>25.45</v>
      </c>
      <c r="M11" s="292">
        <f t="shared" si="5"/>
        <v>125.01</v>
      </c>
      <c r="N11" s="292">
        <f t="shared" si="6"/>
        <v>0</v>
      </c>
      <c r="O11" s="292">
        <f t="shared" si="7"/>
        <v>0</v>
      </c>
      <c r="P11" s="292">
        <f t="shared" si="8"/>
        <v>0</v>
      </c>
      <c r="Q11" s="292">
        <f t="shared" si="9"/>
        <v>0</v>
      </c>
      <c r="R11" s="292">
        <f t="shared" si="10"/>
        <v>0</v>
      </c>
      <c r="S11" s="292">
        <f t="shared" si="11"/>
        <v>0</v>
      </c>
      <c r="T11" s="293" t="str">
        <f t="shared" si="12"/>
        <v/>
      </c>
    </row>
    <row r="12">
      <c r="B12" s="285" t="s">
        <v>194</v>
      </c>
      <c r="C12" s="286">
        <v>10975.41</v>
      </c>
      <c r="D12" s="286">
        <v>1200.0</v>
      </c>
      <c r="E12" s="287">
        <f>'Dividend Log'!AH14</f>
        <v>18.9</v>
      </c>
      <c r="F12" s="287">
        <f t="shared" si="13"/>
        <v>10330</v>
      </c>
      <c r="G12" s="287">
        <f t="shared" si="2"/>
        <v>645.41</v>
      </c>
      <c r="H12" s="288">
        <f t="shared" si="3"/>
        <v>0.06247918683</v>
      </c>
      <c r="I12" s="289"/>
      <c r="J12" s="290"/>
      <c r="K12" s="291" t="s">
        <v>172</v>
      </c>
      <c r="L12" s="292">
        <f t="shared" si="4"/>
        <v>18.9</v>
      </c>
      <c r="M12" s="292">
        <f t="shared" si="5"/>
        <v>46.26</v>
      </c>
      <c r="N12" s="292">
        <f t="shared" si="6"/>
        <v>0</v>
      </c>
      <c r="O12" s="292">
        <f t="shared" si="7"/>
        <v>0</v>
      </c>
      <c r="P12" s="292">
        <f t="shared" si="8"/>
        <v>0</v>
      </c>
      <c r="Q12" s="292">
        <f t="shared" si="9"/>
        <v>0</v>
      </c>
      <c r="R12" s="292">
        <f t="shared" si="10"/>
        <v>0</v>
      </c>
      <c r="S12" s="292">
        <f t="shared" si="11"/>
        <v>0</v>
      </c>
      <c r="T12" s="293" t="str">
        <f t="shared" si="12"/>
        <v/>
      </c>
    </row>
    <row r="13">
      <c r="B13" s="285" t="s">
        <v>195</v>
      </c>
      <c r="C13" s="286">
        <v>13901.98</v>
      </c>
      <c r="D13" s="286">
        <v>2250.0</v>
      </c>
      <c r="E13" s="287">
        <f>'Dividend Log'!AH15</f>
        <v>2.98</v>
      </c>
      <c r="F13" s="287">
        <f t="shared" si="13"/>
        <v>12580</v>
      </c>
      <c r="G13" s="287">
        <f t="shared" si="2"/>
        <v>1321.98</v>
      </c>
      <c r="H13" s="288">
        <f t="shared" si="3"/>
        <v>0.1050858506</v>
      </c>
      <c r="I13" s="289"/>
      <c r="J13" s="290"/>
      <c r="K13" s="291" t="s">
        <v>173</v>
      </c>
      <c r="L13" s="292">
        <f t="shared" si="4"/>
        <v>2.98</v>
      </c>
      <c r="M13" s="292">
        <f t="shared" si="5"/>
        <v>24.88</v>
      </c>
      <c r="N13" s="292">
        <f t="shared" si="6"/>
        <v>0</v>
      </c>
      <c r="O13" s="292">
        <f t="shared" si="7"/>
        <v>0</v>
      </c>
      <c r="P13" s="292">
        <f t="shared" si="8"/>
        <v>0</v>
      </c>
      <c r="Q13" s="292">
        <f t="shared" si="9"/>
        <v>0</v>
      </c>
      <c r="R13" s="292">
        <f t="shared" si="10"/>
        <v>0</v>
      </c>
      <c r="S13" s="292">
        <f t="shared" si="11"/>
        <v>0</v>
      </c>
      <c r="T13" s="293" t="str">
        <f t="shared" si="12"/>
        <v/>
      </c>
    </row>
    <row r="14">
      <c r="B14" s="285" t="s">
        <v>196</v>
      </c>
      <c r="C14" s="286">
        <v>14947.02</v>
      </c>
      <c r="D14" s="286">
        <v>1500.0</v>
      </c>
      <c r="E14" s="287">
        <f>'Dividend Log'!AH16</f>
        <v>66.58</v>
      </c>
      <c r="F14" s="287">
        <f t="shared" si="13"/>
        <v>14080</v>
      </c>
      <c r="G14" s="287">
        <f t="shared" si="2"/>
        <v>867.02</v>
      </c>
      <c r="H14" s="288">
        <f t="shared" si="3"/>
        <v>0.061578125</v>
      </c>
      <c r="I14" s="290"/>
      <c r="J14" s="290"/>
      <c r="K14" s="294" t="s">
        <v>174</v>
      </c>
      <c r="L14" s="292">
        <f t="shared" si="4"/>
        <v>66.58</v>
      </c>
      <c r="M14" s="292">
        <f t="shared" si="5"/>
        <v>177.54</v>
      </c>
      <c r="N14" s="292">
        <f t="shared" si="6"/>
        <v>0</v>
      </c>
      <c r="O14" s="292">
        <f t="shared" si="7"/>
        <v>0</v>
      </c>
      <c r="P14" s="292">
        <f t="shared" si="8"/>
        <v>0</v>
      </c>
      <c r="Q14" s="292">
        <f t="shared" si="9"/>
        <v>0</v>
      </c>
      <c r="R14" s="292">
        <f t="shared" si="10"/>
        <v>0</v>
      </c>
      <c r="S14" s="292">
        <f t="shared" si="11"/>
        <v>0</v>
      </c>
      <c r="T14" s="293" t="str">
        <f t="shared" si="12"/>
        <v/>
      </c>
    </row>
    <row r="15">
      <c r="A15" s="284">
        <v>2025.0</v>
      </c>
      <c r="B15" s="295" t="s">
        <v>197</v>
      </c>
      <c r="C15" s="286">
        <v>16775.1</v>
      </c>
      <c r="D15" s="286">
        <v>1500.0</v>
      </c>
      <c r="E15" s="296">
        <f>'Dividend Log'!AH19</f>
        <v>19.73</v>
      </c>
      <c r="F15" s="297">
        <f t="shared" si="13"/>
        <v>15580</v>
      </c>
      <c r="G15" s="297">
        <f t="shared" si="2"/>
        <v>1195.1</v>
      </c>
      <c r="H15" s="298">
        <f t="shared" si="3"/>
        <v>0.07670731707</v>
      </c>
      <c r="I15" s="289"/>
      <c r="J15" s="290"/>
      <c r="K15" s="283" t="s">
        <v>198</v>
      </c>
      <c r="L15" s="299">
        <f t="shared" ref="L15:S15" si="14">MAX(L3:L14)</f>
        <v>66.58</v>
      </c>
      <c r="M15" s="299">
        <f t="shared" si="14"/>
        <v>177.54</v>
      </c>
      <c r="N15" s="299">
        <f t="shared" si="14"/>
        <v>52.21</v>
      </c>
      <c r="O15" s="299">
        <f t="shared" si="14"/>
        <v>0</v>
      </c>
      <c r="P15" s="299">
        <f t="shared" si="14"/>
        <v>0</v>
      </c>
      <c r="Q15" s="299">
        <f t="shared" si="14"/>
        <v>0</v>
      </c>
      <c r="R15" s="299">
        <f t="shared" si="14"/>
        <v>0</v>
      </c>
      <c r="S15" s="299">
        <f t="shared" si="14"/>
        <v>0</v>
      </c>
      <c r="T15" s="300">
        <f>iferror((M15-L15)/M15,"")</f>
        <v>0.6249859187</v>
      </c>
    </row>
    <row r="16">
      <c r="B16" s="295" t="s">
        <v>199</v>
      </c>
      <c r="C16" s="286">
        <v>23233.26</v>
      </c>
      <c r="D16" s="286">
        <v>6500.0</v>
      </c>
      <c r="E16" s="296">
        <f>'Dividend Log'!AH20</f>
        <v>12.1</v>
      </c>
      <c r="F16" s="297">
        <f t="shared" si="13"/>
        <v>22080</v>
      </c>
      <c r="G16" s="297">
        <f t="shared" si="2"/>
        <v>1153.26</v>
      </c>
      <c r="H16" s="298">
        <f t="shared" si="3"/>
        <v>0.05223097826</v>
      </c>
      <c r="I16" s="289"/>
      <c r="J16" s="290"/>
      <c r="K16" s="106"/>
      <c r="L16" s="106"/>
      <c r="M16" s="106"/>
      <c r="N16" s="106"/>
      <c r="O16" s="106"/>
      <c r="P16" s="106"/>
      <c r="Q16" s="106"/>
      <c r="R16" s="106"/>
      <c r="S16" s="106"/>
      <c r="T16" s="106"/>
    </row>
    <row r="17">
      <c r="B17" s="295" t="s">
        <v>200</v>
      </c>
      <c r="C17" s="286">
        <v>23838.27</v>
      </c>
      <c r="D17" s="286">
        <v>1500.0</v>
      </c>
      <c r="E17" s="296">
        <f>'Dividend Log'!AH21</f>
        <v>92.43</v>
      </c>
      <c r="F17" s="297">
        <f t="shared" si="13"/>
        <v>23580</v>
      </c>
      <c r="G17" s="297">
        <f t="shared" si="2"/>
        <v>258.27</v>
      </c>
      <c r="H17" s="298">
        <f t="shared" si="3"/>
        <v>0.01095292621</v>
      </c>
      <c r="I17" s="289"/>
      <c r="J17" s="290"/>
      <c r="K17" s="301" t="s">
        <v>201</v>
      </c>
      <c r="L17" s="302">
        <f t="shared" ref="L17:S17" si="15">SUM(L3:L14)</f>
        <v>150.76</v>
      </c>
      <c r="M17" s="302">
        <f t="shared" si="15"/>
        <v>735.44</v>
      </c>
      <c r="N17" s="302">
        <f t="shared" si="15"/>
        <v>120.79</v>
      </c>
      <c r="O17" s="302">
        <f t="shared" si="15"/>
        <v>0</v>
      </c>
      <c r="P17" s="302">
        <f t="shared" si="15"/>
        <v>0</v>
      </c>
      <c r="Q17" s="302">
        <f t="shared" si="15"/>
        <v>0</v>
      </c>
      <c r="R17" s="302">
        <f t="shared" si="15"/>
        <v>0</v>
      </c>
      <c r="S17" s="302">
        <f t="shared" si="15"/>
        <v>0</v>
      </c>
      <c r="T17" s="293">
        <f>iferror((M17-L17)/M17,"")</f>
        <v>0.7950070706</v>
      </c>
    </row>
    <row r="18">
      <c r="B18" s="295" t="s">
        <v>202</v>
      </c>
      <c r="C18" s="286">
        <v>25271.25</v>
      </c>
      <c r="D18" s="286">
        <v>1500.0</v>
      </c>
      <c r="E18" s="296">
        <f>'Dividend Log'!AH22</f>
        <v>35.94</v>
      </c>
      <c r="F18" s="297">
        <f t="shared" si="13"/>
        <v>25080</v>
      </c>
      <c r="G18" s="297">
        <f t="shared" si="2"/>
        <v>191.25</v>
      </c>
      <c r="H18" s="298">
        <f t="shared" si="3"/>
        <v>0.007625598086</v>
      </c>
      <c r="I18" s="289"/>
      <c r="J18" s="290"/>
      <c r="K18" s="106"/>
      <c r="L18" s="106"/>
      <c r="M18" s="106"/>
      <c r="N18" s="106"/>
      <c r="O18" s="106"/>
      <c r="P18" s="106"/>
      <c r="Q18" s="106"/>
      <c r="R18" s="106"/>
      <c r="S18" s="106"/>
      <c r="T18" s="106"/>
    </row>
    <row r="19">
      <c r="B19" s="295" t="s">
        <v>203</v>
      </c>
      <c r="C19" s="286">
        <v>28355.93</v>
      </c>
      <c r="D19" s="286">
        <v>1500.0</v>
      </c>
      <c r="E19" s="296">
        <f>'Dividend Log'!AH23</f>
        <v>21.76</v>
      </c>
      <c r="F19" s="297">
        <f t="shared" si="13"/>
        <v>26580</v>
      </c>
      <c r="G19" s="297">
        <f t="shared" si="2"/>
        <v>1775.93</v>
      </c>
      <c r="H19" s="298">
        <f t="shared" si="3"/>
        <v>0.0668145222</v>
      </c>
      <c r="I19" s="289"/>
      <c r="J19" s="290"/>
      <c r="K19" s="290"/>
      <c r="L19" s="290"/>
      <c r="M19" s="290"/>
      <c r="N19" s="290"/>
      <c r="O19" s="290"/>
      <c r="P19" s="290"/>
      <c r="Q19" s="290"/>
      <c r="R19" s="290"/>
      <c r="S19" s="290"/>
      <c r="T19" s="290"/>
    </row>
    <row r="20">
      <c r="B20" s="295" t="s">
        <v>204</v>
      </c>
      <c r="C20" s="286">
        <v>30753.41</v>
      </c>
      <c r="D20" s="286">
        <v>1000.0</v>
      </c>
      <c r="E20" s="296">
        <f>'Dividend Log'!AH24</f>
        <v>105.95</v>
      </c>
      <c r="F20" s="297">
        <f t="shared" si="13"/>
        <v>27580</v>
      </c>
      <c r="G20" s="297">
        <f t="shared" si="2"/>
        <v>3173.41</v>
      </c>
      <c r="H20" s="298">
        <f t="shared" si="3"/>
        <v>0.1150620015</v>
      </c>
      <c r="I20" s="289"/>
      <c r="J20" s="290"/>
      <c r="K20" s="290"/>
      <c r="L20" s="290"/>
      <c r="M20" s="290"/>
      <c r="N20" s="290"/>
      <c r="O20" s="290"/>
      <c r="P20" s="290"/>
      <c r="Q20" s="290"/>
      <c r="R20" s="290"/>
      <c r="S20" s="290"/>
      <c r="T20" s="290"/>
    </row>
    <row r="21">
      <c r="B21" s="295" t="s">
        <v>205</v>
      </c>
      <c r="C21" s="286">
        <v>31357.29</v>
      </c>
      <c r="D21" s="286">
        <v>0.0</v>
      </c>
      <c r="E21" s="296">
        <f>'Dividend Log'!AH25</f>
        <v>55.38</v>
      </c>
      <c r="F21" s="297">
        <f t="shared" si="13"/>
        <v>27580</v>
      </c>
      <c r="G21" s="297">
        <f t="shared" si="2"/>
        <v>3777.29</v>
      </c>
      <c r="H21" s="298">
        <f t="shared" si="3"/>
        <v>0.136957578</v>
      </c>
      <c r="I21" s="289"/>
      <c r="J21" s="290"/>
      <c r="K21" s="290"/>
      <c r="L21" s="290"/>
      <c r="M21" s="290"/>
      <c r="N21" s="290"/>
      <c r="O21" s="290"/>
      <c r="P21" s="290"/>
      <c r="Q21" s="290"/>
      <c r="R21" s="290"/>
      <c r="S21" s="290"/>
      <c r="T21" s="290"/>
    </row>
    <row r="22">
      <c r="B22" s="295" t="s">
        <v>206</v>
      </c>
      <c r="C22" s="286">
        <v>31939.91</v>
      </c>
      <c r="D22" s="286">
        <v>0.0</v>
      </c>
      <c r="E22" s="296">
        <f>'Dividend Log'!AH26</f>
        <v>18.46</v>
      </c>
      <c r="F22" s="297">
        <f t="shared" si="13"/>
        <v>27580</v>
      </c>
      <c r="G22" s="297">
        <f t="shared" si="2"/>
        <v>4359.91</v>
      </c>
      <c r="H22" s="298">
        <f t="shared" si="3"/>
        <v>0.158082306</v>
      </c>
      <c r="I22" s="289"/>
      <c r="J22" s="290"/>
      <c r="K22" s="290"/>
      <c r="L22" s="290"/>
      <c r="M22" s="290"/>
      <c r="N22" s="290"/>
      <c r="O22" s="290"/>
      <c r="P22" s="290"/>
      <c r="Q22" s="290"/>
      <c r="R22" s="290"/>
      <c r="S22" s="290"/>
      <c r="T22" s="290"/>
    </row>
    <row r="23">
      <c r="B23" s="295" t="s">
        <v>207</v>
      </c>
      <c r="C23" s="286">
        <v>32595.16</v>
      </c>
      <c r="D23" s="286">
        <v>0.0</v>
      </c>
      <c r="E23" s="296">
        <f>'Dividend Log'!AH27</f>
        <v>125.01</v>
      </c>
      <c r="F23" s="297">
        <f t="shared" si="13"/>
        <v>27580</v>
      </c>
      <c r="G23" s="297">
        <f t="shared" si="2"/>
        <v>5015.16</v>
      </c>
      <c r="H23" s="298">
        <f t="shared" si="3"/>
        <v>0.1818404641</v>
      </c>
      <c r="I23" s="289"/>
      <c r="J23" s="290"/>
      <c r="K23" s="290"/>
      <c r="L23" s="290"/>
      <c r="M23" s="290"/>
      <c r="N23" s="290"/>
      <c r="O23" s="290"/>
      <c r="P23" s="290"/>
      <c r="Q23" s="290"/>
      <c r="R23" s="290"/>
      <c r="S23" s="290"/>
      <c r="T23" s="290"/>
    </row>
    <row r="24">
      <c r="B24" s="295" t="s">
        <v>208</v>
      </c>
      <c r="C24" s="286">
        <v>34563.82</v>
      </c>
      <c r="D24" s="286">
        <v>3000.0</v>
      </c>
      <c r="E24" s="296">
        <f>'Dividend Log'!AH28</f>
        <v>46.26</v>
      </c>
      <c r="F24" s="297">
        <f t="shared" si="13"/>
        <v>30580</v>
      </c>
      <c r="G24" s="297">
        <f t="shared" si="2"/>
        <v>3983.82</v>
      </c>
      <c r="H24" s="298">
        <f t="shared" si="3"/>
        <v>0.1302753434</v>
      </c>
      <c r="I24" s="289"/>
      <c r="J24" s="290"/>
      <c r="K24" s="290"/>
      <c r="L24" s="290"/>
      <c r="M24" s="290"/>
      <c r="N24" s="290"/>
      <c r="O24" s="290"/>
      <c r="P24" s="290"/>
      <c r="Q24" s="290"/>
      <c r="R24" s="290"/>
      <c r="S24" s="290"/>
      <c r="T24" s="290"/>
    </row>
    <row r="25">
      <c r="B25" s="295" t="s">
        <v>209</v>
      </c>
      <c r="C25" s="286">
        <v>36036.33</v>
      </c>
      <c r="D25" s="286">
        <v>1500.0</v>
      </c>
      <c r="E25" s="296">
        <f>'Dividend Log'!AH29</f>
        <v>24.88</v>
      </c>
      <c r="F25" s="297">
        <f t="shared" si="13"/>
        <v>32080</v>
      </c>
      <c r="G25" s="297">
        <f t="shared" si="2"/>
        <v>3956.33</v>
      </c>
      <c r="H25" s="298">
        <f t="shared" si="3"/>
        <v>0.123326995</v>
      </c>
      <c r="I25" s="289"/>
      <c r="J25" s="290"/>
      <c r="K25" s="290"/>
      <c r="L25" s="290"/>
      <c r="M25" s="290"/>
      <c r="N25" s="290"/>
      <c r="O25" s="290"/>
      <c r="P25" s="290"/>
      <c r="Q25" s="290"/>
      <c r="R25" s="290"/>
      <c r="S25" s="290"/>
      <c r="T25" s="290"/>
    </row>
    <row r="26">
      <c r="B26" s="295" t="s">
        <v>210</v>
      </c>
      <c r="C26" s="286">
        <v>39944.91</v>
      </c>
      <c r="D26" s="286">
        <v>1500.0</v>
      </c>
      <c r="E26" s="296">
        <f>'Dividend Log'!AH30</f>
        <v>177.54</v>
      </c>
      <c r="F26" s="297">
        <f t="shared" si="13"/>
        <v>33580</v>
      </c>
      <c r="G26" s="297">
        <f t="shared" si="2"/>
        <v>6364.91</v>
      </c>
      <c r="H26" s="298">
        <f t="shared" si="3"/>
        <v>0.1895446694</v>
      </c>
      <c r="I26" s="290"/>
      <c r="K26" s="289"/>
      <c r="L26" s="303"/>
      <c r="M26" s="290"/>
      <c r="N26" s="290"/>
      <c r="O26" s="290"/>
      <c r="P26" s="290"/>
      <c r="Q26" s="290"/>
      <c r="R26" s="290"/>
      <c r="S26" s="290"/>
      <c r="T26" s="290"/>
    </row>
    <row r="27">
      <c r="A27" s="284">
        <v>2026.0</v>
      </c>
      <c r="B27" s="285" t="s">
        <v>211</v>
      </c>
      <c r="C27" s="286">
        <v>40289.09</v>
      </c>
      <c r="D27" s="286">
        <v>400.0</v>
      </c>
      <c r="E27" s="304">
        <f>'Dividend Log'!AH33</f>
        <v>52.21</v>
      </c>
      <c r="F27" s="305">
        <f t="shared" si="13"/>
        <v>33980</v>
      </c>
      <c r="G27" s="287">
        <f t="shared" si="2"/>
        <v>6309.09</v>
      </c>
      <c r="H27" s="288">
        <f t="shared" si="3"/>
        <v>0.1856706886</v>
      </c>
      <c r="I27" s="289"/>
      <c r="J27" s="290"/>
      <c r="K27" s="290"/>
      <c r="L27" s="290"/>
      <c r="M27" s="290"/>
      <c r="N27" s="290"/>
      <c r="O27" s="290"/>
      <c r="P27" s="290"/>
      <c r="Q27" s="290"/>
      <c r="R27" s="290"/>
      <c r="S27" s="290"/>
      <c r="T27" s="290"/>
    </row>
    <row r="28">
      <c r="B28" s="285" t="s">
        <v>212</v>
      </c>
      <c r="C28" s="286">
        <v>40554.79</v>
      </c>
      <c r="D28" s="286">
        <v>0.0</v>
      </c>
      <c r="E28" s="304">
        <f>'Dividend Log'!AH34</f>
        <v>32.38</v>
      </c>
      <c r="F28" s="305">
        <f t="shared" si="13"/>
        <v>33980</v>
      </c>
      <c r="G28" s="287">
        <f t="shared" si="2"/>
        <v>6574.79</v>
      </c>
      <c r="H28" s="288">
        <f t="shared" si="3"/>
        <v>0.1934899941</v>
      </c>
      <c r="I28" s="289"/>
      <c r="J28" s="290"/>
      <c r="K28" s="290"/>
      <c r="L28" s="290"/>
      <c r="M28" s="290"/>
      <c r="N28" s="290"/>
      <c r="O28" s="290"/>
      <c r="P28" s="290"/>
      <c r="Q28" s="290"/>
      <c r="R28" s="290"/>
      <c r="S28" s="290"/>
      <c r="T28" s="290"/>
    </row>
    <row r="29">
      <c r="B29" s="285" t="s">
        <v>213</v>
      </c>
      <c r="C29" s="286">
        <f>Dashboard!D4</f>
        <v>40306.35125</v>
      </c>
      <c r="D29" s="286"/>
      <c r="E29" s="304">
        <f>'Dividend Log'!AH35</f>
        <v>36.2</v>
      </c>
      <c r="F29" s="287"/>
      <c r="G29" s="287">
        <f t="shared" si="2"/>
        <v>40306.35125</v>
      </c>
      <c r="H29" s="288">
        <f t="shared" si="3"/>
        <v>0</v>
      </c>
      <c r="I29" s="289"/>
      <c r="J29" s="290"/>
      <c r="K29" s="290"/>
      <c r="L29" s="290"/>
      <c r="M29" s="290"/>
      <c r="N29" s="290"/>
      <c r="O29" s="290"/>
      <c r="P29" s="290"/>
      <c r="Q29" s="290"/>
      <c r="R29" s="290"/>
      <c r="S29" s="290"/>
      <c r="T29" s="290"/>
    </row>
    <row r="30">
      <c r="B30" s="285" t="s">
        <v>214</v>
      </c>
      <c r="C30" s="286"/>
      <c r="D30" s="286"/>
      <c r="E30" s="304">
        <f>'Dividend Log'!AH36</f>
        <v>0</v>
      </c>
      <c r="F30" s="287"/>
      <c r="G30" s="287">
        <f t="shared" si="2"/>
        <v>0</v>
      </c>
      <c r="H30" s="288">
        <f t="shared" si="3"/>
        <v>0</v>
      </c>
      <c r="I30" s="289"/>
      <c r="J30" s="290"/>
      <c r="K30" s="290"/>
      <c r="L30" s="290"/>
      <c r="M30" s="290"/>
      <c r="N30" s="290"/>
      <c r="O30" s="290"/>
      <c r="P30" s="290"/>
      <c r="Q30" s="290"/>
      <c r="R30" s="290"/>
      <c r="S30" s="290"/>
      <c r="T30" s="290"/>
    </row>
    <row r="31">
      <c r="B31" s="285" t="s">
        <v>215</v>
      </c>
      <c r="C31" s="286"/>
      <c r="D31" s="286"/>
      <c r="E31" s="304">
        <f>'Dividend Log'!AH37</f>
        <v>0</v>
      </c>
      <c r="F31" s="287"/>
      <c r="G31" s="287">
        <f t="shared" si="2"/>
        <v>0</v>
      </c>
      <c r="H31" s="288">
        <f t="shared" si="3"/>
        <v>0</v>
      </c>
      <c r="I31" s="289"/>
      <c r="J31" s="290"/>
      <c r="K31" s="290"/>
      <c r="L31" s="290"/>
      <c r="M31" s="290"/>
      <c r="N31" s="290"/>
      <c r="O31" s="290"/>
      <c r="P31" s="290"/>
      <c r="Q31" s="290"/>
      <c r="R31" s="290"/>
      <c r="S31" s="290"/>
      <c r="T31" s="290"/>
    </row>
    <row r="32">
      <c r="B32" s="285" t="s">
        <v>216</v>
      </c>
      <c r="C32" s="286"/>
      <c r="D32" s="286"/>
      <c r="E32" s="304">
        <f>'Dividend Log'!AH38</f>
        <v>0</v>
      </c>
      <c r="F32" s="287"/>
      <c r="G32" s="287">
        <f t="shared" si="2"/>
        <v>0</v>
      </c>
      <c r="H32" s="288">
        <f t="shared" si="3"/>
        <v>0</v>
      </c>
      <c r="I32" s="289"/>
      <c r="J32" s="290"/>
      <c r="K32" s="290"/>
      <c r="L32" s="290"/>
      <c r="M32" s="290"/>
      <c r="N32" s="290"/>
      <c r="O32" s="290"/>
      <c r="P32" s="290"/>
      <c r="Q32" s="290"/>
      <c r="R32" s="290"/>
      <c r="S32" s="290"/>
      <c r="T32" s="290"/>
    </row>
    <row r="33">
      <c r="B33" s="285" t="s">
        <v>217</v>
      </c>
      <c r="C33" s="286"/>
      <c r="D33" s="286"/>
      <c r="E33" s="304">
        <f>'Dividend Log'!AH39</f>
        <v>0</v>
      </c>
      <c r="F33" s="287"/>
      <c r="G33" s="287">
        <f t="shared" si="2"/>
        <v>0</v>
      </c>
      <c r="H33" s="288">
        <f t="shared" si="3"/>
        <v>0</v>
      </c>
      <c r="I33" s="289"/>
      <c r="J33" s="306" t="s">
        <v>0</v>
      </c>
      <c r="K33" s="290"/>
      <c r="L33" s="290"/>
      <c r="M33" s="290"/>
      <c r="N33" s="290"/>
      <c r="O33" s="290"/>
      <c r="P33" s="290"/>
      <c r="Q33" s="290"/>
      <c r="R33" s="290"/>
      <c r="S33" s="290"/>
      <c r="T33" s="290"/>
    </row>
    <row r="34">
      <c r="B34" s="285" t="s">
        <v>218</v>
      </c>
      <c r="C34" s="286"/>
      <c r="D34" s="286"/>
      <c r="E34" s="304">
        <f>'Dividend Log'!AH40</f>
        <v>0</v>
      </c>
      <c r="F34" s="287"/>
      <c r="G34" s="287">
        <f t="shared" si="2"/>
        <v>0</v>
      </c>
      <c r="H34" s="288">
        <f t="shared" si="3"/>
        <v>0</v>
      </c>
      <c r="I34" s="289"/>
      <c r="J34" s="290"/>
      <c r="K34" s="290"/>
      <c r="L34" s="290"/>
      <c r="M34" s="290"/>
      <c r="N34" s="290"/>
      <c r="O34" s="290"/>
      <c r="P34" s="290"/>
      <c r="Q34" s="290"/>
      <c r="R34" s="290"/>
      <c r="S34" s="290"/>
      <c r="T34" s="290"/>
    </row>
    <row r="35">
      <c r="B35" s="285" t="s">
        <v>219</v>
      </c>
      <c r="C35" s="286"/>
      <c r="D35" s="286"/>
      <c r="E35" s="304">
        <f>'Dividend Log'!AH41</f>
        <v>0</v>
      </c>
      <c r="F35" s="287"/>
      <c r="G35" s="287">
        <f t="shared" si="2"/>
        <v>0</v>
      </c>
      <c r="H35" s="288">
        <f t="shared" si="3"/>
        <v>0</v>
      </c>
      <c r="I35" s="289"/>
      <c r="J35" s="290"/>
      <c r="K35" s="290"/>
      <c r="L35" s="290"/>
      <c r="M35" s="290"/>
      <c r="N35" s="290"/>
      <c r="O35" s="290"/>
      <c r="P35" s="290"/>
      <c r="Q35" s="290"/>
      <c r="R35" s="290"/>
      <c r="S35" s="290"/>
      <c r="T35" s="290"/>
    </row>
    <row r="36">
      <c r="B36" s="285" t="s">
        <v>220</v>
      </c>
      <c r="C36" s="286"/>
      <c r="D36" s="286"/>
      <c r="E36" s="304">
        <f>'Dividend Log'!AH42</f>
        <v>0</v>
      </c>
      <c r="F36" s="287"/>
      <c r="G36" s="287">
        <f t="shared" si="2"/>
        <v>0</v>
      </c>
      <c r="H36" s="288">
        <f t="shared" si="3"/>
        <v>0</v>
      </c>
      <c r="I36" s="289"/>
      <c r="J36" s="290"/>
      <c r="K36" s="290"/>
      <c r="L36" s="290"/>
      <c r="M36" s="290"/>
      <c r="N36" s="290"/>
      <c r="O36" s="290"/>
      <c r="P36" s="290"/>
      <c r="Q36" s="290"/>
      <c r="R36" s="290"/>
      <c r="S36" s="290"/>
      <c r="T36" s="290"/>
    </row>
    <row r="37">
      <c r="B37" s="285" t="s">
        <v>221</v>
      </c>
      <c r="C37" s="286"/>
      <c r="D37" s="286"/>
      <c r="E37" s="304">
        <f>'Dividend Log'!AH43</f>
        <v>0</v>
      </c>
      <c r="F37" s="287"/>
      <c r="G37" s="287">
        <f t="shared" si="2"/>
        <v>0</v>
      </c>
      <c r="H37" s="288">
        <f t="shared" si="3"/>
        <v>0</v>
      </c>
      <c r="I37" s="289"/>
      <c r="J37" s="290"/>
      <c r="K37" s="290"/>
      <c r="L37" s="290"/>
      <c r="M37" s="290"/>
      <c r="N37" s="290"/>
      <c r="O37" s="290"/>
      <c r="P37" s="290"/>
      <c r="Q37" s="290"/>
      <c r="R37" s="290"/>
      <c r="S37" s="290"/>
      <c r="T37" s="290"/>
    </row>
    <row r="38">
      <c r="B38" s="285" t="s">
        <v>222</v>
      </c>
      <c r="C38" s="286"/>
      <c r="D38" s="286"/>
      <c r="E38" s="304">
        <f>'Dividend Log'!AH44</f>
        <v>0</v>
      </c>
      <c r="F38" s="287"/>
      <c r="G38" s="287">
        <f t="shared" si="2"/>
        <v>0</v>
      </c>
      <c r="H38" s="288">
        <f t="shared" si="3"/>
        <v>0</v>
      </c>
      <c r="I38" s="289"/>
      <c r="J38" s="290"/>
      <c r="K38" s="290"/>
      <c r="L38" s="290"/>
      <c r="M38" s="290"/>
      <c r="N38" s="290"/>
      <c r="O38" s="290"/>
      <c r="P38" s="290"/>
      <c r="Q38" s="290"/>
      <c r="R38" s="290"/>
      <c r="S38" s="290"/>
      <c r="T38" s="290"/>
    </row>
    <row r="39">
      <c r="A39" s="284">
        <v>2027.0</v>
      </c>
      <c r="B39" s="295" t="s">
        <v>223</v>
      </c>
      <c r="C39" s="286"/>
      <c r="D39" s="286"/>
      <c r="E39" s="296">
        <f>'Dividend Log'!AH47</f>
        <v>0</v>
      </c>
      <c r="F39" s="297"/>
      <c r="G39" s="297">
        <f t="shared" si="2"/>
        <v>0</v>
      </c>
      <c r="H39" s="298">
        <f t="shared" si="3"/>
        <v>0</v>
      </c>
      <c r="I39" s="289"/>
      <c r="J39" s="290"/>
      <c r="K39" s="290"/>
      <c r="L39" s="290"/>
      <c r="M39" s="290"/>
      <c r="N39" s="290"/>
      <c r="O39" s="290"/>
      <c r="P39" s="290"/>
      <c r="Q39" s="290"/>
      <c r="R39" s="290"/>
      <c r="S39" s="290"/>
      <c r="T39" s="290"/>
    </row>
    <row r="40">
      <c r="B40" s="295" t="s">
        <v>224</v>
      </c>
      <c r="C40" s="307"/>
      <c r="D40" s="286"/>
      <c r="E40" s="296">
        <f>'Dividend Log'!AH48</f>
        <v>0</v>
      </c>
      <c r="F40" s="297"/>
      <c r="G40" s="297">
        <f t="shared" si="2"/>
        <v>0</v>
      </c>
      <c r="H40" s="298">
        <f t="shared" si="3"/>
        <v>0</v>
      </c>
      <c r="I40" s="289"/>
      <c r="J40" s="290"/>
      <c r="K40" s="290"/>
      <c r="L40" s="290"/>
      <c r="M40" s="290"/>
      <c r="N40" s="290"/>
      <c r="O40" s="290"/>
      <c r="P40" s="290"/>
      <c r="Q40" s="290"/>
      <c r="R40" s="290"/>
      <c r="S40" s="290"/>
      <c r="T40" s="290"/>
    </row>
    <row r="41">
      <c r="B41" s="295" t="s">
        <v>225</v>
      </c>
      <c r="C41" s="307"/>
      <c r="D41" s="286"/>
      <c r="E41" s="296">
        <f>'Dividend Log'!AH49</f>
        <v>0</v>
      </c>
      <c r="F41" s="297"/>
      <c r="G41" s="297">
        <f t="shared" si="2"/>
        <v>0</v>
      </c>
      <c r="H41" s="298">
        <f t="shared" si="3"/>
        <v>0</v>
      </c>
      <c r="I41" s="289"/>
      <c r="J41" s="290"/>
      <c r="K41" s="290"/>
      <c r="L41" s="290"/>
      <c r="M41" s="290"/>
      <c r="N41" s="290"/>
      <c r="O41" s="290"/>
      <c r="P41" s="290"/>
      <c r="Q41" s="290"/>
      <c r="R41" s="290"/>
      <c r="S41" s="290"/>
      <c r="T41" s="290"/>
    </row>
    <row r="42">
      <c r="B42" s="295" t="s">
        <v>226</v>
      </c>
      <c r="C42" s="307"/>
      <c r="D42" s="286"/>
      <c r="E42" s="296">
        <f>'Dividend Log'!AH50</f>
        <v>0</v>
      </c>
      <c r="F42" s="297"/>
      <c r="G42" s="297">
        <f t="shared" si="2"/>
        <v>0</v>
      </c>
      <c r="H42" s="298">
        <f t="shared" si="3"/>
        <v>0</v>
      </c>
      <c r="I42" s="289"/>
      <c r="J42" s="290"/>
      <c r="K42" s="290"/>
      <c r="L42" s="290"/>
      <c r="M42" s="290"/>
      <c r="N42" s="290"/>
      <c r="O42" s="290"/>
      <c r="P42" s="290"/>
      <c r="Q42" s="290"/>
      <c r="R42" s="290"/>
      <c r="S42" s="290"/>
      <c r="T42" s="290"/>
    </row>
    <row r="43">
      <c r="B43" s="295" t="s">
        <v>227</v>
      </c>
      <c r="C43" s="307"/>
      <c r="D43" s="286"/>
      <c r="E43" s="296">
        <f>'Dividend Log'!AH51</f>
        <v>0</v>
      </c>
      <c r="F43" s="297"/>
      <c r="G43" s="297">
        <f t="shared" si="2"/>
        <v>0</v>
      </c>
      <c r="H43" s="298">
        <f t="shared" si="3"/>
        <v>0</v>
      </c>
      <c r="I43" s="289"/>
      <c r="J43" s="290"/>
      <c r="K43" s="290"/>
      <c r="L43" s="290"/>
      <c r="M43" s="290"/>
      <c r="N43" s="290"/>
      <c r="O43" s="290"/>
      <c r="P43" s="290"/>
      <c r="Q43" s="290"/>
      <c r="R43" s="290"/>
      <c r="S43" s="290"/>
      <c r="T43" s="290"/>
    </row>
    <row r="44">
      <c r="B44" s="295" t="s">
        <v>228</v>
      </c>
      <c r="C44" s="307"/>
      <c r="D44" s="286"/>
      <c r="E44" s="296">
        <f>'Dividend Log'!AH52</f>
        <v>0</v>
      </c>
      <c r="F44" s="297"/>
      <c r="G44" s="297">
        <f t="shared" si="2"/>
        <v>0</v>
      </c>
      <c r="H44" s="298">
        <f t="shared" si="3"/>
        <v>0</v>
      </c>
      <c r="I44" s="289"/>
      <c r="J44" s="290"/>
      <c r="K44" s="290"/>
      <c r="L44" s="290"/>
      <c r="M44" s="290"/>
      <c r="N44" s="290"/>
      <c r="O44" s="290"/>
      <c r="P44" s="290"/>
      <c r="Q44" s="290"/>
      <c r="R44" s="290"/>
      <c r="S44" s="290"/>
      <c r="T44" s="290"/>
    </row>
    <row r="45">
      <c r="B45" s="295" t="s">
        <v>229</v>
      </c>
      <c r="C45" s="307"/>
      <c r="D45" s="286"/>
      <c r="E45" s="296">
        <f>'Dividend Log'!AH53</f>
        <v>0</v>
      </c>
      <c r="F45" s="297"/>
      <c r="G45" s="297">
        <f t="shared" si="2"/>
        <v>0</v>
      </c>
      <c r="H45" s="298">
        <f t="shared" si="3"/>
        <v>0</v>
      </c>
      <c r="I45" s="289"/>
      <c r="J45" s="290"/>
      <c r="K45" s="290"/>
      <c r="L45" s="290"/>
      <c r="M45" s="290"/>
      <c r="N45" s="290"/>
      <c r="O45" s="290"/>
      <c r="P45" s="290"/>
      <c r="Q45" s="290"/>
      <c r="R45" s="290"/>
      <c r="S45" s="290"/>
      <c r="T45" s="290"/>
    </row>
    <row r="46">
      <c r="B46" s="295" t="s">
        <v>230</v>
      </c>
      <c r="C46" s="307"/>
      <c r="D46" s="286"/>
      <c r="E46" s="296">
        <f>'Dividend Log'!AH54</f>
        <v>0</v>
      </c>
      <c r="F46" s="297"/>
      <c r="G46" s="297">
        <f t="shared" si="2"/>
        <v>0</v>
      </c>
      <c r="H46" s="298">
        <f t="shared" si="3"/>
        <v>0</v>
      </c>
      <c r="I46" s="289"/>
      <c r="J46" s="290"/>
      <c r="K46" s="290"/>
      <c r="L46" s="290"/>
      <c r="M46" s="290"/>
      <c r="N46" s="290"/>
      <c r="O46" s="290"/>
      <c r="P46" s="290"/>
      <c r="Q46" s="290"/>
      <c r="R46" s="290"/>
      <c r="S46" s="290"/>
      <c r="T46" s="290"/>
    </row>
    <row r="47">
      <c r="B47" s="295" t="s">
        <v>231</v>
      </c>
      <c r="C47" s="307"/>
      <c r="D47" s="286"/>
      <c r="E47" s="296">
        <f>'Dividend Log'!AH55</f>
        <v>0</v>
      </c>
      <c r="F47" s="297"/>
      <c r="G47" s="297">
        <f t="shared" si="2"/>
        <v>0</v>
      </c>
      <c r="H47" s="298">
        <f t="shared" si="3"/>
        <v>0</v>
      </c>
      <c r="I47" s="289"/>
      <c r="J47" s="290"/>
      <c r="K47" s="290"/>
      <c r="L47" s="290"/>
      <c r="M47" s="290"/>
      <c r="N47" s="290"/>
      <c r="O47" s="290"/>
      <c r="P47" s="290"/>
      <c r="Q47" s="290"/>
      <c r="R47" s="290"/>
      <c r="S47" s="290"/>
      <c r="T47" s="290"/>
    </row>
    <row r="48">
      <c r="B48" s="295" t="s">
        <v>232</v>
      </c>
      <c r="C48" s="307"/>
      <c r="D48" s="286"/>
      <c r="E48" s="296">
        <f>'Dividend Log'!AH56</f>
        <v>0</v>
      </c>
      <c r="F48" s="297"/>
      <c r="G48" s="297">
        <f t="shared" si="2"/>
        <v>0</v>
      </c>
      <c r="H48" s="298">
        <f t="shared" si="3"/>
        <v>0</v>
      </c>
      <c r="I48" s="289"/>
      <c r="J48" s="290"/>
      <c r="K48" s="290"/>
      <c r="L48" s="290"/>
      <c r="M48" s="290"/>
      <c r="N48" s="290"/>
      <c r="O48" s="290"/>
      <c r="P48" s="290"/>
      <c r="Q48" s="290"/>
      <c r="R48" s="290"/>
      <c r="S48" s="290"/>
      <c r="T48" s="290"/>
    </row>
    <row r="49">
      <c r="B49" s="295" t="s">
        <v>233</v>
      </c>
      <c r="C49" s="307"/>
      <c r="D49" s="286"/>
      <c r="E49" s="296">
        <f>'Dividend Log'!AH57</f>
        <v>0</v>
      </c>
      <c r="F49" s="297"/>
      <c r="G49" s="297">
        <f t="shared" si="2"/>
        <v>0</v>
      </c>
      <c r="H49" s="298">
        <f t="shared" si="3"/>
        <v>0</v>
      </c>
      <c r="I49" s="289"/>
      <c r="J49" s="290"/>
      <c r="K49" s="290"/>
      <c r="L49" s="290"/>
      <c r="M49" s="290"/>
      <c r="N49" s="290"/>
      <c r="O49" s="290"/>
      <c r="P49" s="290"/>
      <c r="Q49" s="290"/>
      <c r="R49" s="290"/>
      <c r="S49" s="290"/>
      <c r="T49" s="290"/>
    </row>
    <row r="50">
      <c r="B50" s="295" t="s">
        <v>234</v>
      </c>
      <c r="C50" s="307"/>
      <c r="D50" s="286"/>
      <c r="E50" s="296">
        <f>'Dividend Log'!AH58</f>
        <v>0</v>
      </c>
      <c r="F50" s="297"/>
      <c r="G50" s="297">
        <f t="shared" si="2"/>
        <v>0</v>
      </c>
      <c r="H50" s="298">
        <f t="shared" si="3"/>
        <v>0</v>
      </c>
      <c r="I50" s="289"/>
      <c r="J50" s="290"/>
      <c r="K50" s="290"/>
      <c r="L50" s="290"/>
      <c r="M50" s="290"/>
      <c r="N50" s="290"/>
      <c r="O50" s="290"/>
      <c r="P50" s="290"/>
      <c r="Q50" s="290"/>
      <c r="R50" s="290"/>
      <c r="S50" s="290"/>
      <c r="T50" s="290"/>
    </row>
    <row r="51">
      <c r="A51" s="284">
        <v>2028.0</v>
      </c>
      <c r="B51" s="308" t="s">
        <v>235</v>
      </c>
      <c r="C51" s="286"/>
      <c r="D51" s="286"/>
      <c r="E51" s="304">
        <f>'Dividend Log'!AH61</f>
        <v>0</v>
      </c>
      <c r="F51" s="287"/>
      <c r="G51" s="287">
        <f t="shared" si="2"/>
        <v>0</v>
      </c>
      <c r="H51" s="288">
        <f t="shared" si="3"/>
        <v>0</v>
      </c>
      <c r="I51" s="289"/>
      <c r="J51" s="290"/>
      <c r="K51" s="290"/>
      <c r="L51" s="290"/>
      <c r="M51" s="290"/>
      <c r="N51" s="290"/>
      <c r="O51" s="290"/>
      <c r="P51" s="290"/>
      <c r="Q51" s="290"/>
      <c r="R51" s="290"/>
      <c r="S51" s="290"/>
      <c r="T51" s="290"/>
    </row>
    <row r="52">
      <c r="B52" s="308" t="s">
        <v>236</v>
      </c>
      <c r="C52" s="286"/>
      <c r="D52" s="286"/>
      <c r="E52" s="304">
        <f>'Dividend Log'!AH62</f>
        <v>0</v>
      </c>
      <c r="F52" s="287"/>
      <c r="G52" s="287">
        <f t="shared" si="2"/>
        <v>0</v>
      </c>
      <c r="H52" s="288">
        <f t="shared" si="3"/>
        <v>0</v>
      </c>
      <c r="I52" s="289"/>
      <c r="J52" s="290"/>
      <c r="K52" s="290"/>
      <c r="L52" s="290"/>
      <c r="M52" s="290"/>
      <c r="N52" s="290"/>
      <c r="O52" s="290"/>
      <c r="P52" s="290"/>
      <c r="Q52" s="290"/>
      <c r="R52" s="290"/>
      <c r="S52" s="290"/>
      <c r="T52" s="290"/>
    </row>
    <row r="53">
      <c r="B53" s="308" t="s">
        <v>237</v>
      </c>
      <c r="C53" s="286"/>
      <c r="D53" s="286"/>
      <c r="E53" s="304">
        <f>'Dividend Log'!AH63</f>
        <v>0</v>
      </c>
      <c r="F53" s="287"/>
      <c r="G53" s="287">
        <f t="shared" si="2"/>
        <v>0</v>
      </c>
      <c r="H53" s="288">
        <f t="shared" si="3"/>
        <v>0</v>
      </c>
      <c r="I53" s="289"/>
      <c r="J53" s="290"/>
      <c r="K53" s="290"/>
      <c r="L53" s="290"/>
      <c r="M53" s="290"/>
      <c r="N53" s="290"/>
      <c r="O53" s="290"/>
      <c r="P53" s="290"/>
      <c r="Q53" s="290"/>
      <c r="R53" s="290"/>
      <c r="S53" s="290"/>
      <c r="T53" s="290"/>
    </row>
    <row r="54">
      <c r="B54" s="308" t="s">
        <v>238</v>
      </c>
      <c r="C54" s="286"/>
      <c r="D54" s="286"/>
      <c r="E54" s="304">
        <f>'Dividend Log'!AH64</f>
        <v>0</v>
      </c>
      <c r="F54" s="287"/>
      <c r="G54" s="287">
        <f t="shared" si="2"/>
        <v>0</v>
      </c>
      <c r="H54" s="288">
        <f t="shared" si="3"/>
        <v>0</v>
      </c>
      <c r="I54" s="289"/>
      <c r="J54" s="290"/>
      <c r="K54" s="290"/>
      <c r="L54" s="290"/>
      <c r="M54" s="290"/>
      <c r="N54" s="290"/>
      <c r="O54" s="290"/>
      <c r="P54" s="290"/>
      <c r="Q54" s="290"/>
      <c r="R54" s="290"/>
      <c r="S54" s="290"/>
      <c r="T54" s="290"/>
    </row>
    <row r="55">
      <c r="B55" s="308" t="s">
        <v>239</v>
      </c>
      <c r="C55" s="286"/>
      <c r="D55" s="286"/>
      <c r="E55" s="304">
        <f>'Dividend Log'!AH65</f>
        <v>0</v>
      </c>
      <c r="F55" s="287"/>
      <c r="G55" s="287">
        <f t="shared" si="2"/>
        <v>0</v>
      </c>
      <c r="H55" s="288">
        <f t="shared" si="3"/>
        <v>0</v>
      </c>
      <c r="I55" s="289"/>
      <c r="J55" s="290"/>
      <c r="K55" s="290"/>
      <c r="L55" s="290"/>
      <c r="M55" s="290"/>
      <c r="N55" s="290"/>
      <c r="O55" s="290"/>
      <c r="P55" s="290"/>
      <c r="Q55" s="290"/>
      <c r="R55" s="290"/>
      <c r="S55" s="290"/>
      <c r="T55" s="290"/>
    </row>
    <row r="56">
      <c r="B56" s="308" t="s">
        <v>240</v>
      </c>
      <c r="C56" s="286"/>
      <c r="D56" s="286"/>
      <c r="E56" s="304">
        <f>'Dividend Log'!AH66</f>
        <v>0</v>
      </c>
      <c r="F56" s="287"/>
      <c r="G56" s="287">
        <f t="shared" si="2"/>
        <v>0</v>
      </c>
      <c r="H56" s="288">
        <f t="shared" si="3"/>
        <v>0</v>
      </c>
      <c r="I56" s="289"/>
      <c r="J56" s="290"/>
      <c r="K56" s="290"/>
      <c r="L56" s="290"/>
      <c r="M56" s="290"/>
      <c r="N56" s="290"/>
      <c r="O56" s="290"/>
      <c r="P56" s="290"/>
      <c r="Q56" s="290"/>
      <c r="R56" s="290"/>
      <c r="S56" s="290"/>
      <c r="T56" s="290"/>
    </row>
    <row r="57">
      <c r="B57" s="308" t="s">
        <v>241</v>
      </c>
      <c r="C57" s="286"/>
      <c r="D57" s="286"/>
      <c r="E57" s="304">
        <f>'Dividend Log'!AH67</f>
        <v>0</v>
      </c>
      <c r="F57" s="287"/>
      <c r="G57" s="287">
        <f t="shared" si="2"/>
        <v>0</v>
      </c>
      <c r="H57" s="288">
        <f t="shared" si="3"/>
        <v>0</v>
      </c>
      <c r="I57" s="289"/>
      <c r="J57" s="290"/>
      <c r="K57" s="290"/>
      <c r="L57" s="290"/>
      <c r="M57" s="290"/>
      <c r="N57" s="290"/>
      <c r="O57" s="290"/>
      <c r="P57" s="290"/>
      <c r="Q57" s="290"/>
      <c r="R57" s="290"/>
      <c r="S57" s="290"/>
      <c r="T57" s="290"/>
    </row>
    <row r="58">
      <c r="B58" s="308" t="s">
        <v>242</v>
      </c>
      <c r="C58" s="286"/>
      <c r="D58" s="286"/>
      <c r="E58" s="304">
        <f>'Dividend Log'!AH68</f>
        <v>0</v>
      </c>
      <c r="F58" s="287"/>
      <c r="G58" s="287">
        <f t="shared" si="2"/>
        <v>0</v>
      </c>
      <c r="H58" s="288">
        <f t="shared" si="3"/>
        <v>0</v>
      </c>
      <c r="I58" s="289"/>
      <c r="J58" s="290"/>
      <c r="K58" s="290"/>
      <c r="L58" s="290"/>
      <c r="M58" s="290"/>
      <c r="N58" s="290"/>
      <c r="O58" s="290"/>
      <c r="P58" s="290"/>
      <c r="Q58" s="290"/>
      <c r="R58" s="290"/>
      <c r="S58" s="290"/>
      <c r="T58" s="290"/>
    </row>
    <row r="59">
      <c r="B59" s="308" t="s">
        <v>243</v>
      </c>
      <c r="C59" s="286"/>
      <c r="D59" s="286"/>
      <c r="E59" s="304">
        <f>'Dividend Log'!AH69</f>
        <v>0</v>
      </c>
      <c r="F59" s="287"/>
      <c r="G59" s="287">
        <f t="shared" si="2"/>
        <v>0</v>
      </c>
      <c r="H59" s="288">
        <f t="shared" si="3"/>
        <v>0</v>
      </c>
      <c r="I59" s="289"/>
      <c r="J59" s="290"/>
      <c r="K59" s="290"/>
      <c r="L59" s="290"/>
      <c r="M59" s="290"/>
      <c r="N59" s="290"/>
      <c r="O59" s="290"/>
      <c r="P59" s="290"/>
      <c r="Q59" s="290"/>
      <c r="R59" s="290"/>
      <c r="S59" s="290"/>
      <c r="T59" s="290"/>
    </row>
    <row r="60">
      <c r="B60" s="308" t="s">
        <v>244</v>
      </c>
      <c r="C60" s="286"/>
      <c r="D60" s="286"/>
      <c r="E60" s="304">
        <f>'Dividend Log'!AH70</f>
        <v>0</v>
      </c>
      <c r="F60" s="287"/>
      <c r="G60" s="287">
        <f t="shared" si="2"/>
        <v>0</v>
      </c>
      <c r="H60" s="288">
        <f t="shared" si="3"/>
        <v>0</v>
      </c>
      <c r="I60" s="289"/>
      <c r="J60" s="290"/>
      <c r="K60" s="290"/>
      <c r="L60" s="290"/>
      <c r="M60" s="290"/>
      <c r="N60" s="290"/>
      <c r="O60" s="290"/>
      <c r="P60" s="290"/>
      <c r="Q60" s="290"/>
      <c r="R60" s="290"/>
      <c r="S60" s="290"/>
      <c r="T60" s="290"/>
    </row>
    <row r="61">
      <c r="B61" s="308" t="s">
        <v>245</v>
      </c>
      <c r="C61" s="286"/>
      <c r="D61" s="286"/>
      <c r="E61" s="304">
        <f>'Dividend Log'!AH71</f>
        <v>0</v>
      </c>
      <c r="F61" s="287"/>
      <c r="G61" s="287">
        <f t="shared" si="2"/>
        <v>0</v>
      </c>
      <c r="H61" s="288">
        <f t="shared" si="3"/>
        <v>0</v>
      </c>
      <c r="I61" s="289"/>
      <c r="J61" s="290"/>
      <c r="K61" s="290"/>
      <c r="L61" s="290"/>
      <c r="M61" s="290"/>
      <c r="N61" s="290"/>
      <c r="O61" s="290"/>
      <c r="P61" s="290"/>
      <c r="Q61" s="290"/>
      <c r="R61" s="290"/>
      <c r="S61" s="290"/>
      <c r="T61" s="290"/>
    </row>
    <row r="62">
      <c r="B62" s="308" t="s">
        <v>246</v>
      </c>
      <c r="C62" s="307"/>
      <c r="D62" s="286"/>
      <c r="E62" s="304">
        <f>'Dividend Log'!AH72</f>
        <v>0</v>
      </c>
      <c r="F62" s="287"/>
      <c r="G62" s="287">
        <f t="shared" si="2"/>
        <v>0</v>
      </c>
      <c r="H62" s="288">
        <f t="shared" si="3"/>
        <v>0</v>
      </c>
      <c r="I62" s="289"/>
      <c r="J62" s="290"/>
      <c r="K62" s="290"/>
      <c r="L62" s="290"/>
      <c r="M62" s="290"/>
      <c r="N62" s="290"/>
      <c r="O62" s="290"/>
      <c r="P62" s="290"/>
      <c r="Q62" s="290"/>
      <c r="R62" s="290"/>
      <c r="S62" s="290"/>
      <c r="T62" s="290"/>
    </row>
    <row r="63">
      <c r="A63" s="284">
        <v>2029.0</v>
      </c>
      <c r="B63" s="295" t="s">
        <v>247</v>
      </c>
      <c r="C63" s="286"/>
      <c r="D63" s="286"/>
      <c r="E63" s="309">
        <f>'Dividend Log'!AH75</f>
        <v>0</v>
      </c>
      <c r="F63" s="297"/>
      <c r="G63" s="297">
        <f t="shared" si="2"/>
        <v>0</v>
      </c>
      <c r="H63" s="298">
        <f t="shared" si="3"/>
        <v>0</v>
      </c>
      <c r="I63" s="289"/>
      <c r="J63" s="290"/>
      <c r="K63" s="290"/>
      <c r="L63" s="290"/>
      <c r="M63" s="290"/>
      <c r="N63" s="290"/>
      <c r="O63" s="290"/>
      <c r="P63" s="290"/>
      <c r="Q63" s="290"/>
      <c r="R63" s="290"/>
      <c r="S63" s="290"/>
      <c r="T63" s="290"/>
    </row>
    <row r="64">
      <c r="B64" s="295" t="s">
        <v>248</v>
      </c>
      <c r="C64" s="286"/>
      <c r="D64" s="286"/>
      <c r="E64" s="309">
        <f>'Dividend Log'!AH76</f>
        <v>0</v>
      </c>
      <c r="F64" s="297"/>
      <c r="G64" s="297">
        <f t="shared" si="2"/>
        <v>0</v>
      </c>
      <c r="H64" s="298">
        <f t="shared" si="3"/>
        <v>0</v>
      </c>
      <c r="I64" s="289"/>
      <c r="J64" s="290"/>
      <c r="K64" s="290"/>
      <c r="L64" s="290"/>
      <c r="M64" s="290"/>
      <c r="N64" s="290"/>
      <c r="O64" s="290"/>
      <c r="P64" s="290"/>
      <c r="Q64" s="290"/>
      <c r="R64" s="290"/>
      <c r="S64" s="290"/>
      <c r="T64" s="290"/>
    </row>
    <row r="65">
      <c r="B65" s="295" t="s">
        <v>249</v>
      </c>
      <c r="C65" s="286"/>
      <c r="D65" s="286"/>
      <c r="E65" s="309">
        <f>'Dividend Log'!AH77</f>
        <v>0</v>
      </c>
      <c r="F65" s="297"/>
      <c r="G65" s="297">
        <f t="shared" si="2"/>
        <v>0</v>
      </c>
      <c r="H65" s="298">
        <f t="shared" si="3"/>
        <v>0</v>
      </c>
      <c r="I65" s="289"/>
      <c r="J65" s="290"/>
      <c r="K65" s="290"/>
      <c r="L65" s="290"/>
      <c r="M65" s="290"/>
      <c r="N65" s="290"/>
      <c r="O65" s="290"/>
      <c r="P65" s="290"/>
      <c r="Q65" s="290"/>
      <c r="R65" s="290"/>
      <c r="S65" s="290"/>
      <c r="T65" s="290"/>
    </row>
    <row r="66">
      <c r="B66" s="295" t="s">
        <v>250</v>
      </c>
      <c r="C66" s="286"/>
      <c r="D66" s="286"/>
      <c r="E66" s="309">
        <f>'Dividend Log'!AH78</f>
        <v>0</v>
      </c>
      <c r="F66" s="297"/>
      <c r="G66" s="297">
        <f t="shared" si="2"/>
        <v>0</v>
      </c>
      <c r="H66" s="298">
        <f t="shared" si="3"/>
        <v>0</v>
      </c>
      <c r="I66" s="289"/>
      <c r="J66" s="290"/>
      <c r="K66" s="290"/>
      <c r="L66" s="290"/>
      <c r="M66" s="290"/>
      <c r="N66" s="290"/>
      <c r="O66" s="290"/>
      <c r="P66" s="290"/>
      <c r="Q66" s="290"/>
      <c r="R66" s="290"/>
      <c r="S66" s="290"/>
      <c r="T66" s="290"/>
    </row>
    <row r="67">
      <c r="B67" s="295" t="s">
        <v>251</v>
      </c>
      <c r="C67" s="286"/>
      <c r="D67" s="286"/>
      <c r="E67" s="309">
        <f>'Dividend Log'!AH79</f>
        <v>0</v>
      </c>
      <c r="F67" s="297"/>
      <c r="G67" s="297">
        <f t="shared" si="2"/>
        <v>0</v>
      </c>
      <c r="H67" s="298">
        <f t="shared" si="3"/>
        <v>0</v>
      </c>
      <c r="I67" s="289"/>
      <c r="J67" s="290"/>
      <c r="K67" s="290"/>
      <c r="L67" s="290"/>
      <c r="M67" s="290"/>
      <c r="N67" s="290"/>
      <c r="O67" s="290"/>
      <c r="P67" s="290"/>
      <c r="Q67" s="290"/>
      <c r="R67" s="290"/>
      <c r="S67" s="290"/>
      <c r="T67" s="290"/>
    </row>
    <row r="68">
      <c r="B68" s="295" t="s">
        <v>252</v>
      </c>
      <c r="C68" s="286"/>
      <c r="D68" s="286"/>
      <c r="E68" s="309">
        <f>'Dividend Log'!AH80</f>
        <v>0</v>
      </c>
      <c r="F68" s="297"/>
      <c r="G68" s="297">
        <f t="shared" si="2"/>
        <v>0</v>
      </c>
      <c r="H68" s="298">
        <f t="shared" si="3"/>
        <v>0</v>
      </c>
      <c r="I68" s="289"/>
      <c r="J68" s="290"/>
      <c r="K68" s="290"/>
      <c r="L68" s="290"/>
      <c r="M68" s="290"/>
      <c r="N68" s="290"/>
      <c r="O68" s="290"/>
      <c r="P68" s="290"/>
      <c r="Q68" s="290"/>
      <c r="R68" s="290"/>
      <c r="S68" s="290"/>
      <c r="T68" s="290"/>
    </row>
    <row r="69">
      <c r="B69" s="295" t="s">
        <v>253</v>
      </c>
      <c r="C69" s="286"/>
      <c r="D69" s="286"/>
      <c r="E69" s="309">
        <f>'Dividend Log'!AH81</f>
        <v>0</v>
      </c>
      <c r="F69" s="297"/>
      <c r="G69" s="297">
        <f t="shared" si="2"/>
        <v>0</v>
      </c>
      <c r="H69" s="298">
        <f t="shared" si="3"/>
        <v>0</v>
      </c>
      <c r="I69" s="289"/>
      <c r="J69" s="290"/>
      <c r="K69" s="290"/>
      <c r="L69" s="290"/>
      <c r="M69" s="290"/>
      <c r="N69" s="290"/>
      <c r="O69" s="290"/>
      <c r="P69" s="290"/>
      <c r="Q69" s="290"/>
      <c r="R69" s="290"/>
      <c r="S69" s="290"/>
      <c r="T69" s="290"/>
    </row>
    <row r="70">
      <c r="B70" s="295" t="s">
        <v>254</v>
      </c>
      <c r="C70" s="286"/>
      <c r="D70" s="286"/>
      <c r="E70" s="309">
        <f>'Dividend Log'!AH82</f>
        <v>0</v>
      </c>
      <c r="F70" s="297"/>
      <c r="G70" s="297">
        <f t="shared" si="2"/>
        <v>0</v>
      </c>
      <c r="H70" s="298">
        <f t="shared" si="3"/>
        <v>0</v>
      </c>
      <c r="I70" s="289"/>
      <c r="J70" s="290"/>
      <c r="K70" s="290"/>
      <c r="L70" s="290"/>
      <c r="M70" s="290"/>
      <c r="N70" s="290"/>
      <c r="O70" s="290"/>
      <c r="P70" s="290"/>
      <c r="Q70" s="290"/>
      <c r="R70" s="290"/>
      <c r="S70" s="290"/>
      <c r="T70" s="290"/>
    </row>
    <row r="71">
      <c r="B71" s="295" t="s">
        <v>255</v>
      </c>
      <c r="C71" s="286"/>
      <c r="D71" s="286"/>
      <c r="E71" s="309">
        <f>'Dividend Log'!AH83</f>
        <v>0</v>
      </c>
      <c r="F71" s="297"/>
      <c r="G71" s="297">
        <f t="shared" si="2"/>
        <v>0</v>
      </c>
      <c r="H71" s="298">
        <f t="shared" si="3"/>
        <v>0</v>
      </c>
      <c r="I71" s="289"/>
      <c r="J71" s="290"/>
      <c r="K71" s="290"/>
      <c r="L71" s="290"/>
      <c r="M71" s="290"/>
      <c r="N71" s="290"/>
      <c r="O71" s="290"/>
      <c r="P71" s="290"/>
      <c r="Q71" s="290"/>
      <c r="R71" s="290"/>
      <c r="S71" s="290"/>
      <c r="T71" s="290"/>
    </row>
    <row r="72">
      <c r="B72" s="295" t="s">
        <v>256</v>
      </c>
      <c r="C72" s="286"/>
      <c r="D72" s="286"/>
      <c r="E72" s="309">
        <f>'Dividend Log'!AH84</f>
        <v>0</v>
      </c>
      <c r="F72" s="297"/>
      <c r="G72" s="297">
        <f t="shared" si="2"/>
        <v>0</v>
      </c>
      <c r="H72" s="298">
        <f t="shared" si="3"/>
        <v>0</v>
      </c>
      <c r="I72" s="289"/>
      <c r="J72" s="290"/>
      <c r="K72" s="290"/>
      <c r="L72" s="290"/>
      <c r="M72" s="290"/>
      <c r="N72" s="290"/>
      <c r="O72" s="290"/>
      <c r="P72" s="290"/>
      <c r="Q72" s="290"/>
      <c r="R72" s="290"/>
      <c r="S72" s="290"/>
      <c r="T72" s="290"/>
    </row>
    <row r="73">
      <c r="B73" s="295" t="s">
        <v>257</v>
      </c>
      <c r="C73" s="286"/>
      <c r="D73" s="286"/>
      <c r="E73" s="309">
        <f>'Dividend Log'!AH85</f>
        <v>0</v>
      </c>
      <c r="F73" s="297"/>
      <c r="G73" s="297">
        <f t="shared" si="2"/>
        <v>0</v>
      </c>
      <c r="H73" s="298">
        <f t="shared" si="3"/>
        <v>0</v>
      </c>
      <c r="I73" s="289"/>
      <c r="J73" s="290"/>
      <c r="K73" s="290"/>
      <c r="L73" s="290"/>
      <c r="M73" s="290"/>
      <c r="N73" s="290"/>
      <c r="O73" s="290"/>
      <c r="P73" s="290"/>
      <c r="Q73" s="290"/>
      <c r="R73" s="290"/>
      <c r="S73" s="290"/>
      <c r="T73" s="290"/>
    </row>
    <row r="74">
      <c r="B74" s="295" t="s">
        <v>258</v>
      </c>
      <c r="C74" s="307"/>
      <c r="D74" s="286"/>
      <c r="E74" s="309">
        <f>'Dividend Log'!AH86</f>
        <v>0</v>
      </c>
      <c r="F74" s="297"/>
      <c r="G74" s="297">
        <f t="shared" si="2"/>
        <v>0</v>
      </c>
      <c r="H74" s="298">
        <f t="shared" si="3"/>
        <v>0</v>
      </c>
      <c r="I74" s="289"/>
      <c r="J74" s="290"/>
      <c r="K74" s="290"/>
      <c r="L74" s="290"/>
      <c r="M74" s="290"/>
      <c r="N74" s="290"/>
      <c r="O74" s="290"/>
      <c r="P74" s="290"/>
      <c r="Q74" s="290"/>
      <c r="R74" s="290"/>
      <c r="S74" s="290"/>
      <c r="T74" s="290"/>
    </row>
    <row r="75">
      <c r="A75" s="284">
        <v>2030.0</v>
      </c>
      <c r="B75" s="308" t="s">
        <v>259</v>
      </c>
      <c r="C75" s="286"/>
      <c r="D75" s="286"/>
      <c r="E75" s="310">
        <f>'Dividend Log'!AH89</f>
        <v>0</v>
      </c>
      <c r="F75" s="287"/>
      <c r="G75" s="287">
        <f t="shared" si="2"/>
        <v>0</v>
      </c>
      <c r="H75" s="288">
        <f t="shared" si="3"/>
        <v>0</v>
      </c>
      <c r="I75" s="289"/>
      <c r="J75" s="290"/>
      <c r="K75" s="290"/>
      <c r="L75" s="290"/>
      <c r="M75" s="290"/>
      <c r="N75" s="290"/>
      <c r="O75" s="290"/>
      <c r="P75" s="290"/>
      <c r="Q75" s="290"/>
      <c r="R75" s="290"/>
      <c r="S75" s="290"/>
      <c r="T75" s="290"/>
    </row>
    <row r="76">
      <c r="B76" s="308" t="s">
        <v>260</v>
      </c>
      <c r="C76" s="286"/>
      <c r="D76" s="286"/>
      <c r="E76" s="310">
        <f>'Dividend Log'!AH90</f>
        <v>0</v>
      </c>
      <c r="F76" s="287"/>
      <c r="G76" s="287">
        <f t="shared" si="2"/>
        <v>0</v>
      </c>
      <c r="H76" s="288">
        <f t="shared" si="3"/>
        <v>0</v>
      </c>
      <c r="I76" s="289"/>
      <c r="J76" s="290"/>
      <c r="K76" s="290"/>
      <c r="L76" s="290"/>
      <c r="M76" s="290"/>
      <c r="N76" s="290"/>
      <c r="O76" s="290"/>
      <c r="P76" s="290"/>
      <c r="Q76" s="290"/>
      <c r="R76" s="290"/>
      <c r="S76" s="290"/>
      <c r="T76" s="290"/>
    </row>
    <row r="77">
      <c r="B77" s="308" t="s">
        <v>261</v>
      </c>
      <c r="C77" s="286"/>
      <c r="D77" s="286"/>
      <c r="E77" s="310">
        <f>'Dividend Log'!AH91</f>
        <v>0</v>
      </c>
      <c r="F77" s="287"/>
      <c r="G77" s="287">
        <f t="shared" si="2"/>
        <v>0</v>
      </c>
      <c r="H77" s="288">
        <f t="shared" si="3"/>
        <v>0</v>
      </c>
      <c r="I77" s="289"/>
      <c r="J77" s="290"/>
      <c r="K77" s="290"/>
      <c r="L77" s="290"/>
      <c r="M77" s="290"/>
      <c r="N77" s="290"/>
      <c r="O77" s="290"/>
      <c r="P77" s="290"/>
      <c r="Q77" s="290"/>
      <c r="R77" s="290"/>
      <c r="S77" s="290"/>
      <c r="T77" s="290"/>
    </row>
    <row r="78">
      <c r="B78" s="308" t="s">
        <v>262</v>
      </c>
      <c r="C78" s="286"/>
      <c r="D78" s="286"/>
      <c r="E78" s="310">
        <f>'Dividend Log'!AH92</f>
        <v>0</v>
      </c>
      <c r="F78" s="287"/>
      <c r="G78" s="287">
        <f t="shared" si="2"/>
        <v>0</v>
      </c>
      <c r="H78" s="288">
        <f t="shared" si="3"/>
        <v>0</v>
      </c>
      <c r="I78" s="289"/>
      <c r="J78" s="290"/>
      <c r="K78" s="290"/>
      <c r="L78" s="290"/>
      <c r="M78" s="290"/>
      <c r="N78" s="290"/>
      <c r="O78" s="290"/>
      <c r="P78" s="290"/>
      <c r="Q78" s="290"/>
      <c r="R78" s="290"/>
      <c r="S78" s="290"/>
      <c r="T78" s="290"/>
    </row>
    <row r="79">
      <c r="B79" s="308" t="s">
        <v>263</v>
      </c>
      <c r="C79" s="286"/>
      <c r="D79" s="286"/>
      <c r="E79" s="310">
        <f>'Dividend Log'!AH93</f>
        <v>0</v>
      </c>
      <c r="F79" s="287"/>
      <c r="G79" s="287">
        <f t="shared" si="2"/>
        <v>0</v>
      </c>
      <c r="H79" s="288">
        <f t="shared" si="3"/>
        <v>0</v>
      </c>
      <c r="I79" s="289"/>
      <c r="J79" s="290"/>
      <c r="K79" s="290"/>
      <c r="L79" s="290"/>
      <c r="M79" s="290"/>
      <c r="N79" s="290"/>
      <c r="O79" s="290"/>
      <c r="P79" s="290"/>
      <c r="Q79" s="290"/>
      <c r="R79" s="290"/>
      <c r="S79" s="290"/>
      <c r="T79" s="290"/>
    </row>
    <row r="80">
      <c r="B80" s="308" t="s">
        <v>264</v>
      </c>
      <c r="C80" s="286"/>
      <c r="D80" s="286"/>
      <c r="E80" s="310">
        <f>'Dividend Log'!AH94</f>
        <v>0</v>
      </c>
      <c r="F80" s="287"/>
      <c r="G80" s="287">
        <f t="shared" si="2"/>
        <v>0</v>
      </c>
      <c r="H80" s="288">
        <f t="shared" si="3"/>
        <v>0</v>
      </c>
      <c r="I80" s="289"/>
      <c r="J80" s="290"/>
      <c r="K80" s="290"/>
      <c r="L80" s="290"/>
      <c r="M80" s="290"/>
      <c r="N80" s="290"/>
      <c r="O80" s="290"/>
      <c r="P80" s="290"/>
      <c r="Q80" s="290"/>
      <c r="R80" s="290"/>
      <c r="S80" s="290"/>
      <c r="T80" s="290"/>
    </row>
    <row r="81">
      <c r="B81" s="308" t="s">
        <v>265</v>
      </c>
      <c r="C81" s="286"/>
      <c r="D81" s="286"/>
      <c r="E81" s="310">
        <f>'Dividend Log'!AH95</f>
        <v>0</v>
      </c>
      <c r="F81" s="287"/>
      <c r="G81" s="287">
        <f t="shared" si="2"/>
        <v>0</v>
      </c>
      <c r="H81" s="288">
        <f t="shared" si="3"/>
        <v>0</v>
      </c>
      <c r="I81" s="289"/>
      <c r="J81" s="290"/>
      <c r="K81" s="290"/>
      <c r="L81" s="290"/>
      <c r="M81" s="290"/>
      <c r="N81" s="290"/>
      <c r="O81" s="290"/>
      <c r="P81" s="290"/>
      <c r="Q81" s="290"/>
      <c r="R81" s="290"/>
      <c r="S81" s="290"/>
      <c r="T81" s="290"/>
    </row>
    <row r="82">
      <c r="B82" s="308" t="s">
        <v>266</v>
      </c>
      <c r="C82" s="286"/>
      <c r="D82" s="286"/>
      <c r="E82" s="310">
        <f>'Dividend Log'!AH96</f>
        <v>0</v>
      </c>
      <c r="F82" s="287"/>
      <c r="G82" s="287">
        <f t="shared" si="2"/>
        <v>0</v>
      </c>
      <c r="H82" s="288">
        <f t="shared" si="3"/>
        <v>0</v>
      </c>
      <c r="I82" s="289"/>
      <c r="J82" s="290"/>
      <c r="K82" s="290"/>
      <c r="L82" s="290"/>
      <c r="M82" s="290"/>
      <c r="N82" s="290"/>
      <c r="O82" s="290"/>
      <c r="P82" s="290"/>
      <c r="Q82" s="290"/>
      <c r="R82" s="290"/>
      <c r="S82" s="290"/>
      <c r="T82" s="290"/>
    </row>
    <row r="83">
      <c r="B83" s="308" t="s">
        <v>267</v>
      </c>
      <c r="C83" s="286"/>
      <c r="D83" s="286"/>
      <c r="E83" s="310">
        <f>'Dividend Log'!AH97</f>
        <v>0</v>
      </c>
      <c r="F83" s="287"/>
      <c r="G83" s="287">
        <f t="shared" si="2"/>
        <v>0</v>
      </c>
      <c r="H83" s="288">
        <f t="shared" si="3"/>
        <v>0</v>
      </c>
      <c r="I83" s="289"/>
      <c r="J83" s="290"/>
      <c r="K83" s="290"/>
      <c r="L83" s="290"/>
      <c r="M83" s="290"/>
      <c r="N83" s="290"/>
      <c r="O83" s="290"/>
      <c r="P83" s="290"/>
      <c r="Q83" s="290"/>
      <c r="R83" s="290"/>
      <c r="S83" s="290"/>
      <c r="T83" s="290"/>
    </row>
    <row r="84">
      <c r="B84" s="308" t="s">
        <v>268</v>
      </c>
      <c r="C84" s="286"/>
      <c r="D84" s="286"/>
      <c r="E84" s="310">
        <f>'Dividend Log'!AH98</f>
        <v>0</v>
      </c>
      <c r="F84" s="287"/>
      <c r="G84" s="287">
        <f t="shared" si="2"/>
        <v>0</v>
      </c>
      <c r="H84" s="288">
        <f t="shared" si="3"/>
        <v>0</v>
      </c>
      <c r="I84" s="289"/>
      <c r="J84" s="290"/>
      <c r="K84" s="290"/>
      <c r="L84" s="290"/>
      <c r="M84" s="290"/>
      <c r="N84" s="290"/>
      <c r="O84" s="290"/>
      <c r="P84" s="290"/>
      <c r="Q84" s="290"/>
      <c r="R84" s="290"/>
      <c r="S84" s="290"/>
      <c r="T84" s="290"/>
    </row>
    <row r="85">
      <c r="B85" s="308" t="s">
        <v>269</v>
      </c>
      <c r="C85" s="286"/>
      <c r="D85" s="286"/>
      <c r="E85" s="310">
        <f>'Dividend Log'!AH99</f>
        <v>0</v>
      </c>
      <c r="F85" s="287"/>
      <c r="G85" s="287">
        <f t="shared" si="2"/>
        <v>0</v>
      </c>
      <c r="H85" s="288">
        <f t="shared" si="3"/>
        <v>0</v>
      </c>
      <c r="I85" s="289"/>
      <c r="J85" s="290"/>
      <c r="K85" s="290"/>
      <c r="L85" s="290"/>
      <c r="M85" s="290"/>
      <c r="N85" s="290"/>
      <c r="O85" s="290"/>
      <c r="P85" s="290"/>
      <c r="Q85" s="290"/>
      <c r="R85" s="290"/>
      <c r="S85" s="290"/>
      <c r="T85" s="290"/>
    </row>
    <row r="86">
      <c r="B86" s="308" t="s">
        <v>270</v>
      </c>
      <c r="C86" s="307"/>
      <c r="D86" s="286"/>
      <c r="E86" s="310">
        <f>'Dividend Log'!AH100</f>
        <v>0</v>
      </c>
      <c r="F86" s="287"/>
      <c r="G86" s="287">
        <f t="shared" si="2"/>
        <v>0</v>
      </c>
      <c r="H86" s="288">
        <f t="shared" si="3"/>
        <v>0</v>
      </c>
      <c r="I86" s="289"/>
      <c r="J86" s="290"/>
      <c r="K86" s="290"/>
      <c r="L86" s="290"/>
      <c r="M86" s="290"/>
      <c r="N86" s="290"/>
      <c r="O86" s="290"/>
      <c r="P86" s="290"/>
      <c r="Q86" s="290"/>
      <c r="R86" s="290"/>
      <c r="S86" s="290"/>
      <c r="T86" s="290"/>
    </row>
    <row r="87">
      <c r="A87" s="284">
        <v>2031.0</v>
      </c>
      <c r="B87" s="295" t="s">
        <v>271</v>
      </c>
      <c r="C87" s="286"/>
      <c r="D87" s="286"/>
      <c r="E87" s="309">
        <f>'Dividend Log'!AH103</f>
        <v>0</v>
      </c>
      <c r="F87" s="297"/>
      <c r="G87" s="297">
        <f t="shared" si="2"/>
        <v>0</v>
      </c>
      <c r="H87" s="298">
        <f t="shared" si="3"/>
        <v>0</v>
      </c>
      <c r="I87" s="289"/>
      <c r="J87" s="290"/>
      <c r="K87" s="290"/>
      <c r="L87" s="290"/>
      <c r="M87" s="290"/>
      <c r="N87" s="290"/>
      <c r="O87" s="290"/>
      <c r="P87" s="290"/>
      <c r="Q87" s="290"/>
      <c r="R87" s="290"/>
      <c r="S87" s="290"/>
      <c r="T87" s="290"/>
    </row>
    <row r="88">
      <c r="B88" s="295" t="s">
        <v>272</v>
      </c>
      <c r="C88" s="286"/>
      <c r="D88" s="286"/>
      <c r="E88" s="309">
        <f>'Dividend Log'!AH104</f>
        <v>0</v>
      </c>
      <c r="F88" s="297"/>
      <c r="G88" s="297">
        <f t="shared" si="2"/>
        <v>0</v>
      </c>
      <c r="H88" s="298">
        <f t="shared" si="3"/>
        <v>0</v>
      </c>
      <c r="I88" s="289"/>
      <c r="J88" s="290"/>
      <c r="K88" s="290"/>
      <c r="L88" s="290"/>
      <c r="M88" s="290"/>
      <c r="N88" s="290"/>
      <c r="O88" s="290"/>
      <c r="P88" s="290"/>
      <c r="Q88" s="290"/>
      <c r="R88" s="290"/>
      <c r="S88" s="290"/>
      <c r="T88" s="290"/>
    </row>
    <row r="89">
      <c r="B89" s="295" t="s">
        <v>273</v>
      </c>
      <c r="C89" s="286"/>
      <c r="D89" s="286"/>
      <c r="E89" s="309">
        <f>'Dividend Log'!AH105</f>
        <v>0</v>
      </c>
      <c r="F89" s="297"/>
      <c r="G89" s="297">
        <f t="shared" si="2"/>
        <v>0</v>
      </c>
      <c r="H89" s="298">
        <f t="shared" si="3"/>
        <v>0</v>
      </c>
      <c r="I89" s="289"/>
      <c r="J89" s="290"/>
      <c r="K89" s="290"/>
      <c r="L89" s="290"/>
      <c r="M89" s="290"/>
      <c r="N89" s="290"/>
      <c r="O89" s="290"/>
      <c r="P89" s="290"/>
      <c r="Q89" s="290"/>
      <c r="R89" s="290"/>
      <c r="S89" s="290"/>
      <c r="T89" s="290"/>
    </row>
    <row r="90">
      <c r="B90" s="295" t="s">
        <v>274</v>
      </c>
      <c r="C90" s="286"/>
      <c r="D90" s="286"/>
      <c r="E90" s="309">
        <f>'Dividend Log'!AH106</f>
        <v>0</v>
      </c>
      <c r="F90" s="297"/>
      <c r="G90" s="297">
        <f t="shared" si="2"/>
        <v>0</v>
      </c>
      <c r="H90" s="298">
        <f t="shared" si="3"/>
        <v>0</v>
      </c>
      <c r="I90" s="289"/>
      <c r="J90" s="290"/>
      <c r="K90" s="290"/>
      <c r="L90" s="290"/>
      <c r="M90" s="290"/>
      <c r="N90" s="290"/>
      <c r="O90" s="290"/>
      <c r="P90" s="290"/>
      <c r="Q90" s="290"/>
      <c r="R90" s="290"/>
      <c r="S90" s="290"/>
      <c r="T90" s="290"/>
    </row>
    <row r="91">
      <c r="B91" s="295" t="s">
        <v>275</v>
      </c>
      <c r="C91" s="286"/>
      <c r="D91" s="286"/>
      <c r="E91" s="309">
        <f>'Dividend Log'!AH107</f>
        <v>0</v>
      </c>
      <c r="F91" s="297"/>
      <c r="G91" s="297">
        <f t="shared" si="2"/>
        <v>0</v>
      </c>
      <c r="H91" s="298">
        <f t="shared" si="3"/>
        <v>0</v>
      </c>
      <c r="I91" s="289"/>
      <c r="J91" s="290"/>
      <c r="K91" s="290"/>
      <c r="L91" s="290"/>
      <c r="M91" s="290"/>
      <c r="N91" s="290"/>
      <c r="O91" s="290"/>
      <c r="P91" s="290"/>
      <c r="Q91" s="290"/>
      <c r="R91" s="290"/>
      <c r="S91" s="290"/>
      <c r="T91" s="290"/>
    </row>
    <row r="92">
      <c r="B92" s="295" t="s">
        <v>276</v>
      </c>
      <c r="C92" s="286"/>
      <c r="D92" s="286"/>
      <c r="E92" s="309">
        <f>'Dividend Log'!AH108</f>
        <v>0</v>
      </c>
      <c r="F92" s="297"/>
      <c r="G92" s="297">
        <f t="shared" si="2"/>
        <v>0</v>
      </c>
      <c r="H92" s="298">
        <f t="shared" si="3"/>
        <v>0</v>
      </c>
      <c r="I92" s="289"/>
      <c r="J92" s="290"/>
      <c r="K92" s="290"/>
      <c r="L92" s="290"/>
      <c r="M92" s="290"/>
      <c r="N92" s="290"/>
      <c r="O92" s="290"/>
      <c r="P92" s="290"/>
      <c r="Q92" s="290"/>
      <c r="R92" s="290"/>
      <c r="S92" s="290"/>
      <c r="T92" s="290"/>
    </row>
    <row r="93">
      <c r="B93" s="295" t="s">
        <v>277</v>
      </c>
      <c r="C93" s="286"/>
      <c r="D93" s="286"/>
      <c r="E93" s="309">
        <f>'Dividend Log'!AH109</f>
        <v>0</v>
      </c>
      <c r="F93" s="297"/>
      <c r="G93" s="297">
        <f t="shared" si="2"/>
        <v>0</v>
      </c>
      <c r="H93" s="298">
        <f t="shared" si="3"/>
        <v>0</v>
      </c>
      <c r="I93" s="289"/>
      <c r="J93" s="290"/>
      <c r="K93" s="290"/>
      <c r="L93" s="290"/>
      <c r="M93" s="290"/>
      <c r="N93" s="290"/>
      <c r="O93" s="290"/>
      <c r="P93" s="290"/>
      <c r="Q93" s="290"/>
      <c r="R93" s="290"/>
      <c r="S93" s="290"/>
      <c r="T93" s="290"/>
    </row>
    <row r="94">
      <c r="B94" s="295" t="s">
        <v>278</v>
      </c>
      <c r="C94" s="286"/>
      <c r="D94" s="286"/>
      <c r="E94" s="309">
        <f>'Dividend Log'!AH110</f>
        <v>0</v>
      </c>
      <c r="F94" s="297"/>
      <c r="G94" s="297">
        <f t="shared" si="2"/>
        <v>0</v>
      </c>
      <c r="H94" s="298">
        <f t="shared" si="3"/>
        <v>0</v>
      </c>
      <c r="I94" s="289"/>
      <c r="J94" s="290"/>
      <c r="K94" s="290"/>
      <c r="L94" s="290"/>
      <c r="M94" s="290"/>
      <c r="N94" s="290"/>
      <c r="O94" s="290"/>
      <c r="P94" s="290"/>
      <c r="Q94" s="290"/>
      <c r="R94" s="290"/>
      <c r="S94" s="290"/>
      <c r="T94" s="290"/>
    </row>
    <row r="95">
      <c r="B95" s="295" t="s">
        <v>279</v>
      </c>
      <c r="C95" s="286"/>
      <c r="D95" s="286"/>
      <c r="E95" s="309">
        <f>'Dividend Log'!AH111</f>
        <v>0</v>
      </c>
      <c r="F95" s="297"/>
      <c r="G95" s="297">
        <f t="shared" si="2"/>
        <v>0</v>
      </c>
      <c r="H95" s="298">
        <f t="shared" si="3"/>
        <v>0</v>
      </c>
      <c r="I95" s="289"/>
      <c r="J95" s="290"/>
      <c r="K95" s="290"/>
      <c r="L95" s="290"/>
      <c r="M95" s="290"/>
      <c r="N95" s="290"/>
      <c r="O95" s="290"/>
      <c r="P95" s="290"/>
      <c r="Q95" s="290"/>
      <c r="R95" s="290"/>
      <c r="S95" s="290"/>
      <c r="T95" s="290"/>
    </row>
    <row r="96">
      <c r="B96" s="295" t="s">
        <v>280</v>
      </c>
      <c r="C96" s="286"/>
      <c r="D96" s="286"/>
      <c r="E96" s="309">
        <f>'Dividend Log'!AH112</f>
        <v>0</v>
      </c>
      <c r="F96" s="297"/>
      <c r="G96" s="297">
        <f t="shared" si="2"/>
        <v>0</v>
      </c>
      <c r="H96" s="298">
        <f t="shared" si="3"/>
        <v>0</v>
      </c>
      <c r="I96" s="289"/>
      <c r="J96" s="290"/>
      <c r="K96" s="290"/>
      <c r="L96" s="290"/>
      <c r="M96" s="290"/>
      <c r="N96" s="290"/>
      <c r="O96" s="290"/>
      <c r="P96" s="290"/>
      <c r="Q96" s="290"/>
      <c r="R96" s="290"/>
      <c r="S96" s="290"/>
      <c r="T96" s="290"/>
    </row>
    <row r="97">
      <c r="B97" s="295" t="s">
        <v>281</v>
      </c>
      <c r="C97" s="286"/>
      <c r="D97" s="286"/>
      <c r="E97" s="309">
        <f>'Dividend Log'!AH113</f>
        <v>0</v>
      </c>
      <c r="F97" s="297"/>
      <c r="G97" s="297">
        <f t="shared" si="2"/>
        <v>0</v>
      </c>
      <c r="H97" s="298">
        <f t="shared" si="3"/>
        <v>0</v>
      </c>
      <c r="I97" s="289"/>
      <c r="J97" s="290"/>
      <c r="K97" s="290"/>
      <c r="L97" s="290"/>
      <c r="M97" s="290"/>
      <c r="N97" s="290"/>
      <c r="O97" s="290"/>
      <c r="P97" s="290"/>
      <c r="Q97" s="290"/>
      <c r="R97" s="290"/>
      <c r="S97" s="290"/>
      <c r="T97" s="290"/>
    </row>
    <row r="98">
      <c r="B98" s="295" t="s">
        <v>282</v>
      </c>
      <c r="C98" s="307"/>
      <c r="D98" s="286"/>
      <c r="E98" s="309">
        <f>'Dividend Log'!AH114</f>
        <v>0</v>
      </c>
      <c r="F98" s="297"/>
      <c r="G98" s="297">
        <f t="shared" si="2"/>
        <v>0</v>
      </c>
      <c r="H98" s="298">
        <f t="shared" si="3"/>
        <v>0</v>
      </c>
      <c r="I98" s="289"/>
      <c r="J98" s="290"/>
      <c r="K98" s="290"/>
      <c r="L98" s="290"/>
      <c r="M98" s="290"/>
      <c r="N98" s="290"/>
      <c r="O98" s="290"/>
      <c r="P98" s="290"/>
      <c r="Q98" s="290"/>
      <c r="R98" s="290"/>
      <c r="S98" s="290"/>
      <c r="T98" s="290"/>
    </row>
    <row r="99">
      <c r="G99" s="311"/>
      <c r="I99" s="312"/>
    </row>
    <row r="100">
      <c r="G100" s="311"/>
      <c r="I100" s="312"/>
    </row>
    <row r="101">
      <c r="G101" s="311"/>
      <c r="I101" s="312"/>
    </row>
    <row r="102">
      <c r="G102" s="311"/>
      <c r="I102" s="312"/>
    </row>
    <row r="103">
      <c r="G103" s="311"/>
      <c r="I103" s="312"/>
    </row>
    <row r="104">
      <c r="G104" s="311"/>
      <c r="I104" s="312"/>
    </row>
    <row r="105">
      <c r="G105" s="311"/>
      <c r="I105" s="312"/>
    </row>
    <row r="106">
      <c r="G106" s="311"/>
      <c r="I106" s="312"/>
    </row>
    <row r="107">
      <c r="G107" s="311"/>
      <c r="I107" s="312"/>
    </row>
    <row r="108">
      <c r="G108" s="311"/>
      <c r="I108" s="312"/>
    </row>
    <row r="109">
      <c r="G109" s="311"/>
      <c r="I109" s="312"/>
    </row>
    <row r="110">
      <c r="G110" s="311"/>
      <c r="I110" s="312"/>
    </row>
    <row r="111">
      <c r="G111" s="311"/>
      <c r="I111" s="312"/>
    </row>
    <row r="112">
      <c r="G112" s="311"/>
      <c r="I112" s="312"/>
    </row>
    <row r="113">
      <c r="G113" s="311"/>
      <c r="I113" s="312"/>
    </row>
    <row r="114">
      <c r="G114" s="311"/>
      <c r="I114" s="312"/>
    </row>
    <row r="115">
      <c r="G115" s="311"/>
      <c r="I115" s="312"/>
    </row>
    <row r="116">
      <c r="G116" s="311"/>
      <c r="I116" s="312"/>
    </row>
    <row r="117">
      <c r="G117" s="311"/>
      <c r="I117" s="312"/>
    </row>
    <row r="118">
      <c r="G118" s="311"/>
      <c r="I118" s="312"/>
    </row>
    <row r="119">
      <c r="G119" s="311"/>
      <c r="I119" s="312"/>
    </row>
    <row r="120">
      <c r="G120" s="311"/>
      <c r="I120" s="312"/>
    </row>
    <row r="121">
      <c r="G121" s="311"/>
      <c r="I121" s="312"/>
    </row>
    <row r="122">
      <c r="G122" s="311"/>
      <c r="I122" s="312"/>
    </row>
    <row r="123">
      <c r="G123" s="311"/>
      <c r="I123" s="312"/>
    </row>
    <row r="124">
      <c r="G124" s="311"/>
      <c r="I124" s="312"/>
    </row>
    <row r="125">
      <c r="G125" s="311"/>
      <c r="I125" s="312"/>
    </row>
    <row r="126">
      <c r="G126" s="311"/>
      <c r="I126" s="312"/>
    </row>
    <row r="127">
      <c r="G127" s="311"/>
      <c r="I127" s="312"/>
    </row>
    <row r="128">
      <c r="G128" s="311"/>
      <c r="I128" s="312"/>
    </row>
    <row r="129">
      <c r="G129" s="311"/>
      <c r="I129" s="312"/>
    </row>
    <row r="130">
      <c r="G130" s="311"/>
      <c r="I130" s="312"/>
    </row>
    <row r="131">
      <c r="G131" s="311"/>
      <c r="I131" s="312"/>
    </row>
    <row r="132">
      <c r="G132" s="311"/>
      <c r="I132" s="312"/>
    </row>
    <row r="133">
      <c r="G133" s="311"/>
      <c r="I133" s="312"/>
    </row>
    <row r="134">
      <c r="G134" s="311"/>
      <c r="I134" s="312"/>
    </row>
    <row r="135">
      <c r="G135" s="311"/>
      <c r="I135" s="312"/>
    </row>
    <row r="136">
      <c r="G136" s="311"/>
      <c r="I136" s="312"/>
    </row>
    <row r="137">
      <c r="G137" s="311"/>
      <c r="I137" s="312"/>
    </row>
    <row r="138">
      <c r="G138" s="311"/>
      <c r="I138" s="312"/>
    </row>
    <row r="139">
      <c r="G139" s="311"/>
      <c r="I139" s="312"/>
    </row>
    <row r="140">
      <c r="G140" s="311"/>
      <c r="I140" s="312"/>
    </row>
    <row r="141">
      <c r="G141" s="311"/>
      <c r="I141" s="312"/>
    </row>
    <row r="142">
      <c r="G142" s="311"/>
      <c r="I142" s="312"/>
    </row>
    <row r="143">
      <c r="G143" s="311"/>
      <c r="I143" s="312"/>
    </row>
    <row r="144">
      <c r="G144" s="311"/>
      <c r="I144" s="312"/>
    </row>
    <row r="145">
      <c r="G145" s="311"/>
      <c r="I145" s="312"/>
    </row>
    <row r="146">
      <c r="G146" s="311"/>
      <c r="I146" s="312"/>
    </row>
    <row r="147">
      <c r="G147" s="311"/>
      <c r="I147" s="312"/>
    </row>
    <row r="148">
      <c r="G148" s="311"/>
      <c r="I148" s="312"/>
    </row>
    <row r="149">
      <c r="G149" s="311"/>
      <c r="I149" s="312"/>
    </row>
    <row r="150">
      <c r="G150" s="311"/>
      <c r="I150" s="312"/>
    </row>
    <row r="151">
      <c r="G151" s="311"/>
      <c r="I151" s="312"/>
    </row>
    <row r="152">
      <c r="G152" s="311"/>
      <c r="I152" s="312"/>
    </row>
    <row r="153">
      <c r="G153" s="311"/>
      <c r="I153" s="312"/>
    </row>
    <row r="154">
      <c r="G154" s="311"/>
      <c r="I154" s="312"/>
    </row>
    <row r="155">
      <c r="G155" s="311"/>
      <c r="I155" s="312"/>
    </row>
    <row r="156">
      <c r="G156" s="311"/>
      <c r="I156" s="312"/>
    </row>
    <row r="157">
      <c r="G157" s="311"/>
      <c r="I157" s="312"/>
    </row>
    <row r="158">
      <c r="G158" s="311"/>
      <c r="I158" s="312"/>
    </row>
    <row r="159">
      <c r="G159" s="311"/>
      <c r="I159" s="312"/>
    </row>
    <row r="160">
      <c r="G160" s="311"/>
      <c r="I160" s="312"/>
    </row>
    <row r="161">
      <c r="G161" s="311"/>
      <c r="I161" s="312"/>
    </row>
    <row r="162">
      <c r="G162" s="311"/>
      <c r="I162" s="312"/>
    </row>
    <row r="163">
      <c r="G163" s="311"/>
      <c r="I163" s="312"/>
    </row>
    <row r="164">
      <c r="G164" s="311"/>
      <c r="I164" s="312"/>
    </row>
    <row r="165">
      <c r="G165" s="311"/>
      <c r="I165" s="312"/>
    </row>
    <row r="166">
      <c r="G166" s="311"/>
      <c r="I166" s="312"/>
    </row>
    <row r="167">
      <c r="G167" s="311"/>
      <c r="I167" s="312"/>
    </row>
    <row r="168">
      <c r="G168" s="311"/>
      <c r="I168" s="312"/>
    </row>
    <row r="169">
      <c r="G169" s="311"/>
      <c r="I169" s="312"/>
    </row>
    <row r="170">
      <c r="G170" s="311"/>
      <c r="I170" s="312"/>
    </row>
    <row r="171">
      <c r="G171" s="311"/>
      <c r="I171" s="312"/>
    </row>
    <row r="172">
      <c r="G172" s="311"/>
      <c r="I172" s="312"/>
    </row>
    <row r="173">
      <c r="G173" s="311"/>
      <c r="I173" s="312"/>
    </row>
    <row r="174">
      <c r="G174" s="311"/>
      <c r="I174" s="312"/>
    </row>
    <row r="175">
      <c r="G175" s="311"/>
      <c r="I175" s="312"/>
    </row>
    <row r="176">
      <c r="G176" s="311"/>
      <c r="I176" s="312"/>
    </row>
    <row r="177">
      <c r="G177" s="311"/>
      <c r="I177" s="312"/>
    </row>
    <row r="178">
      <c r="G178" s="311"/>
      <c r="I178" s="312"/>
    </row>
    <row r="179">
      <c r="G179" s="311"/>
      <c r="I179" s="312"/>
    </row>
    <row r="180">
      <c r="G180" s="311"/>
      <c r="I180" s="312"/>
    </row>
    <row r="181">
      <c r="G181" s="311"/>
      <c r="I181" s="312"/>
    </row>
    <row r="182">
      <c r="G182" s="311"/>
      <c r="I182" s="312"/>
    </row>
    <row r="183">
      <c r="G183" s="311"/>
      <c r="I183" s="312"/>
    </row>
    <row r="184">
      <c r="G184" s="311"/>
      <c r="I184" s="312"/>
    </row>
    <row r="185">
      <c r="G185" s="311"/>
      <c r="I185" s="312"/>
    </row>
    <row r="186">
      <c r="G186" s="311"/>
      <c r="I186" s="312"/>
    </row>
    <row r="187">
      <c r="G187" s="311"/>
      <c r="I187" s="312"/>
    </row>
    <row r="188">
      <c r="G188" s="311"/>
      <c r="I188" s="312"/>
    </row>
    <row r="189">
      <c r="G189" s="311"/>
      <c r="I189" s="312"/>
    </row>
    <row r="190">
      <c r="G190" s="311"/>
      <c r="I190" s="312"/>
    </row>
    <row r="191">
      <c r="G191" s="311"/>
      <c r="I191" s="312"/>
    </row>
    <row r="192">
      <c r="G192" s="311"/>
      <c r="I192" s="312"/>
    </row>
    <row r="193">
      <c r="G193" s="311"/>
      <c r="I193" s="312"/>
    </row>
    <row r="194">
      <c r="G194" s="311"/>
      <c r="I194" s="312"/>
    </row>
    <row r="195">
      <c r="G195" s="311"/>
      <c r="I195" s="312"/>
    </row>
    <row r="196">
      <c r="G196" s="311"/>
      <c r="I196" s="312"/>
    </row>
    <row r="197">
      <c r="G197" s="311"/>
      <c r="I197" s="312"/>
    </row>
    <row r="198">
      <c r="G198" s="311"/>
      <c r="I198" s="312"/>
    </row>
    <row r="199">
      <c r="G199" s="311"/>
      <c r="I199" s="312"/>
    </row>
    <row r="200">
      <c r="G200" s="311"/>
      <c r="I200" s="312"/>
    </row>
    <row r="201">
      <c r="G201" s="311"/>
      <c r="I201" s="312"/>
    </row>
    <row r="202">
      <c r="G202" s="311"/>
      <c r="I202" s="312"/>
    </row>
    <row r="203">
      <c r="G203" s="311"/>
      <c r="I203" s="312"/>
    </row>
    <row r="204">
      <c r="G204" s="311"/>
      <c r="I204" s="312"/>
    </row>
    <row r="205">
      <c r="G205" s="311"/>
      <c r="I205" s="312"/>
    </row>
    <row r="206">
      <c r="G206" s="311"/>
      <c r="I206" s="312"/>
    </row>
    <row r="207">
      <c r="G207" s="311"/>
      <c r="I207" s="312"/>
    </row>
    <row r="208">
      <c r="G208" s="311"/>
      <c r="I208" s="312"/>
    </row>
    <row r="209">
      <c r="G209" s="311"/>
      <c r="I209" s="312"/>
    </row>
    <row r="210">
      <c r="G210" s="311"/>
      <c r="I210" s="312"/>
    </row>
    <row r="211">
      <c r="G211" s="311"/>
      <c r="I211" s="312"/>
    </row>
    <row r="212">
      <c r="G212" s="311"/>
      <c r="I212" s="312"/>
    </row>
    <row r="213">
      <c r="G213" s="311"/>
      <c r="I213" s="312"/>
    </row>
    <row r="214">
      <c r="G214" s="311"/>
      <c r="I214" s="312"/>
    </row>
    <row r="215">
      <c r="G215" s="311"/>
      <c r="I215" s="312"/>
    </row>
    <row r="216">
      <c r="G216" s="311"/>
      <c r="I216" s="312"/>
    </row>
    <row r="217">
      <c r="G217" s="311"/>
      <c r="I217" s="312"/>
    </row>
    <row r="218">
      <c r="G218" s="311"/>
      <c r="I218" s="312"/>
    </row>
    <row r="219">
      <c r="G219" s="311"/>
      <c r="I219" s="312"/>
    </row>
    <row r="220">
      <c r="G220" s="311"/>
      <c r="I220" s="312"/>
    </row>
    <row r="221">
      <c r="G221" s="311"/>
      <c r="I221" s="312"/>
    </row>
    <row r="222">
      <c r="G222" s="311"/>
      <c r="I222" s="312"/>
    </row>
    <row r="223">
      <c r="G223" s="311"/>
      <c r="I223" s="312"/>
    </row>
    <row r="224">
      <c r="G224" s="311"/>
      <c r="I224" s="312"/>
    </row>
    <row r="225">
      <c r="G225" s="311"/>
      <c r="I225" s="312"/>
    </row>
    <row r="226">
      <c r="G226" s="311"/>
      <c r="I226" s="312"/>
    </row>
    <row r="227">
      <c r="G227" s="311"/>
      <c r="I227" s="312"/>
    </row>
    <row r="228">
      <c r="G228" s="311"/>
      <c r="I228" s="312"/>
    </row>
    <row r="229">
      <c r="G229" s="311"/>
      <c r="I229" s="312"/>
    </row>
    <row r="230">
      <c r="G230" s="311"/>
      <c r="I230" s="312"/>
    </row>
    <row r="231">
      <c r="G231" s="311"/>
      <c r="I231" s="312"/>
    </row>
    <row r="232">
      <c r="G232" s="311"/>
      <c r="I232" s="312"/>
    </row>
    <row r="233">
      <c r="G233" s="311"/>
      <c r="I233" s="312"/>
    </row>
    <row r="234">
      <c r="G234" s="311"/>
      <c r="I234" s="312"/>
    </row>
    <row r="235">
      <c r="G235" s="311"/>
      <c r="I235" s="312"/>
    </row>
    <row r="236">
      <c r="G236" s="311"/>
      <c r="I236" s="312"/>
    </row>
    <row r="237">
      <c r="G237" s="311"/>
      <c r="I237" s="312"/>
    </row>
    <row r="238">
      <c r="G238" s="311"/>
      <c r="I238" s="312"/>
    </row>
    <row r="239">
      <c r="G239" s="311"/>
      <c r="I239" s="312"/>
    </row>
    <row r="240">
      <c r="G240" s="311"/>
      <c r="I240" s="312"/>
    </row>
    <row r="241">
      <c r="G241" s="311"/>
      <c r="I241" s="312"/>
    </row>
    <row r="242">
      <c r="G242" s="311"/>
      <c r="I242" s="312"/>
    </row>
    <row r="243">
      <c r="G243" s="311"/>
      <c r="I243" s="312"/>
    </row>
    <row r="244">
      <c r="G244" s="311"/>
      <c r="I244" s="312"/>
    </row>
    <row r="245">
      <c r="G245" s="311"/>
      <c r="I245" s="312"/>
    </row>
    <row r="246">
      <c r="G246" s="311"/>
      <c r="I246" s="312"/>
    </row>
    <row r="247">
      <c r="G247" s="311"/>
      <c r="I247" s="312"/>
    </row>
    <row r="248">
      <c r="G248" s="311"/>
      <c r="I248" s="312"/>
    </row>
    <row r="249">
      <c r="G249" s="311"/>
      <c r="I249" s="312"/>
    </row>
    <row r="250">
      <c r="G250" s="311"/>
      <c r="I250" s="312"/>
    </row>
    <row r="251">
      <c r="G251" s="311"/>
      <c r="I251" s="312"/>
    </row>
    <row r="252">
      <c r="G252" s="311"/>
      <c r="I252" s="312"/>
    </row>
    <row r="253">
      <c r="G253" s="311"/>
      <c r="I253" s="312"/>
    </row>
    <row r="254">
      <c r="G254" s="311"/>
      <c r="I254" s="312"/>
    </row>
    <row r="255">
      <c r="G255" s="311"/>
      <c r="I255" s="312"/>
    </row>
    <row r="256">
      <c r="G256" s="311"/>
      <c r="I256" s="312"/>
    </row>
    <row r="257">
      <c r="G257" s="311"/>
      <c r="I257" s="312"/>
    </row>
    <row r="258">
      <c r="G258" s="311"/>
      <c r="I258" s="312"/>
    </row>
    <row r="259">
      <c r="G259" s="311"/>
      <c r="I259" s="312"/>
    </row>
    <row r="260">
      <c r="G260" s="311"/>
      <c r="I260" s="312"/>
    </row>
    <row r="261">
      <c r="G261" s="311"/>
      <c r="I261" s="312"/>
    </row>
    <row r="262">
      <c r="G262" s="311"/>
      <c r="I262" s="312"/>
    </row>
    <row r="263">
      <c r="G263" s="311"/>
      <c r="I263" s="312"/>
    </row>
    <row r="264">
      <c r="G264" s="311"/>
      <c r="I264" s="312"/>
    </row>
    <row r="265">
      <c r="G265" s="311"/>
      <c r="I265" s="312"/>
    </row>
    <row r="266">
      <c r="G266" s="311"/>
      <c r="I266" s="312"/>
    </row>
    <row r="267">
      <c r="G267" s="311"/>
      <c r="I267" s="312"/>
    </row>
    <row r="268">
      <c r="G268" s="311"/>
      <c r="I268" s="312"/>
    </row>
    <row r="269">
      <c r="G269" s="311"/>
      <c r="I269" s="312"/>
    </row>
    <row r="270">
      <c r="G270" s="311"/>
      <c r="I270" s="312"/>
    </row>
    <row r="271">
      <c r="G271" s="311"/>
      <c r="I271" s="312"/>
    </row>
    <row r="272">
      <c r="G272" s="311"/>
      <c r="I272" s="312"/>
    </row>
    <row r="273">
      <c r="G273" s="311"/>
      <c r="I273" s="312"/>
    </row>
    <row r="274">
      <c r="G274" s="311"/>
      <c r="I274" s="312"/>
    </row>
    <row r="275">
      <c r="G275" s="311"/>
      <c r="I275" s="312"/>
    </row>
    <row r="276">
      <c r="G276" s="311"/>
      <c r="I276" s="312"/>
    </row>
    <row r="277">
      <c r="G277" s="311"/>
      <c r="I277" s="312"/>
    </row>
    <row r="278">
      <c r="G278" s="311"/>
      <c r="I278" s="312"/>
    </row>
    <row r="279">
      <c r="G279" s="311"/>
      <c r="I279" s="312"/>
    </row>
    <row r="280">
      <c r="G280" s="311"/>
      <c r="I280" s="312"/>
    </row>
    <row r="281">
      <c r="G281" s="311"/>
      <c r="I281" s="312"/>
    </row>
    <row r="282">
      <c r="G282" s="311"/>
      <c r="I282" s="312"/>
    </row>
    <row r="283">
      <c r="G283" s="311"/>
      <c r="I283" s="312"/>
    </row>
    <row r="284">
      <c r="G284" s="311"/>
      <c r="I284" s="312"/>
    </row>
    <row r="285">
      <c r="G285" s="311"/>
      <c r="I285" s="312"/>
    </row>
    <row r="286">
      <c r="G286" s="311"/>
      <c r="I286" s="312"/>
    </row>
    <row r="287">
      <c r="G287" s="311"/>
      <c r="I287" s="312"/>
    </row>
    <row r="288">
      <c r="G288" s="311"/>
      <c r="I288" s="312"/>
    </row>
    <row r="289">
      <c r="G289" s="311"/>
      <c r="I289" s="312"/>
    </row>
    <row r="290">
      <c r="G290" s="311"/>
      <c r="I290" s="312"/>
    </row>
    <row r="291">
      <c r="G291" s="311"/>
      <c r="I291" s="312"/>
    </row>
    <row r="292">
      <c r="G292" s="311"/>
      <c r="I292" s="312"/>
    </row>
    <row r="293">
      <c r="G293" s="311"/>
      <c r="I293" s="312"/>
    </row>
    <row r="294">
      <c r="G294" s="311"/>
      <c r="I294" s="312"/>
    </row>
    <row r="295">
      <c r="G295" s="311"/>
      <c r="I295" s="312"/>
    </row>
    <row r="296">
      <c r="G296" s="311"/>
      <c r="I296" s="312"/>
    </row>
    <row r="297">
      <c r="G297" s="311"/>
      <c r="I297" s="312"/>
    </row>
    <row r="298">
      <c r="G298" s="311"/>
      <c r="I298" s="312"/>
    </row>
    <row r="299">
      <c r="G299" s="311"/>
      <c r="I299" s="312"/>
    </row>
    <row r="300">
      <c r="G300" s="311"/>
      <c r="I300" s="312"/>
    </row>
    <row r="301">
      <c r="G301" s="311"/>
      <c r="I301" s="312"/>
    </row>
    <row r="302">
      <c r="G302" s="311"/>
      <c r="I302" s="312"/>
    </row>
    <row r="303">
      <c r="G303" s="311"/>
      <c r="I303" s="312"/>
    </row>
    <row r="304">
      <c r="G304" s="311"/>
      <c r="I304" s="312"/>
    </row>
    <row r="305">
      <c r="G305" s="311"/>
      <c r="I305" s="312"/>
    </row>
    <row r="306">
      <c r="G306" s="311"/>
      <c r="I306" s="312"/>
    </row>
    <row r="307">
      <c r="G307" s="311"/>
      <c r="I307" s="312"/>
    </row>
    <row r="308">
      <c r="G308" s="311"/>
      <c r="I308" s="312"/>
    </row>
    <row r="309">
      <c r="G309" s="311"/>
      <c r="I309" s="312"/>
    </row>
    <row r="310">
      <c r="G310" s="311"/>
      <c r="I310" s="312"/>
    </row>
    <row r="311">
      <c r="G311" s="311"/>
      <c r="I311" s="312"/>
    </row>
    <row r="312">
      <c r="G312" s="311"/>
      <c r="I312" s="312"/>
    </row>
    <row r="313">
      <c r="G313" s="311"/>
      <c r="I313" s="312"/>
    </row>
    <row r="314">
      <c r="G314" s="311"/>
      <c r="I314" s="312"/>
    </row>
    <row r="315">
      <c r="G315" s="311"/>
      <c r="I315" s="312"/>
    </row>
    <row r="316">
      <c r="G316" s="311"/>
      <c r="I316" s="312"/>
    </row>
    <row r="317">
      <c r="G317" s="311"/>
      <c r="I317" s="312"/>
    </row>
    <row r="318">
      <c r="G318" s="311"/>
      <c r="I318" s="312"/>
    </row>
    <row r="319">
      <c r="G319" s="311"/>
      <c r="I319" s="312"/>
    </row>
    <row r="320">
      <c r="G320" s="311"/>
      <c r="I320" s="312"/>
    </row>
    <row r="321">
      <c r="G321" s="311"/>
      <c r="I321" s="312"/>
    </row>
    <row r="322">
      <c r="G322" s="311"/>
      <c r="I322" s="312"/>
    </row>
    <row r="323">
      <c r="G323" s="311"/>
      <c r="I323" s="312"/>
    </row>
    <row r="324">
      <c r="G324" s="311"/>
      <c r="I324" s="312"/>
    </row>
    <row r="325">
      <c r="G325" s="311"/>
      <c r="I325" s="312"/>
    </row>
    <row r="326">
      <c r="G326" s="311"/>
      <c r="I326" s="312"/>
    </row>
    <row r="327">
      <c r="G327" s="311"/>
      <c r="I327" s="312"/>
    </row>
    <row r="328">
      <c r="G328" s="311"/>
      <c r="I328" s="312"/>
    </row>
    <row r="329">
      <c r="G329" s="311"/>
      <c r="I329" s="312"/>
    </row>
    <row r="330">
      <c r="G330" s="311"/>
      <c r="I330" s="312"/>
    </row>
    <row r="331">
      <c r="G331" s="311"/>
      <c r="I331" s="312"/>
    </row>
    <row r="332">
      <c r="G332" s="311"/>
      <c r="I332" s="312"/>
    </row>
    <row r="333">
      <c r="G333" s="311"/>
      <c r="I333" s="312"/>
    </row>
    <row r="334">
      <c r="G334" s="311"/>
      <c r="I334" s="312"/>
    </row>
    <row r="335">
      <c r="G335" s="311"/>
      <c r="I335" s="312"/>
    </row>
    <row r="336">
      <c r="G336" s="311"/>
      <c r="I336" s="312"/>
    </row>
    <row r="337">
      <c r="G337" s="311"/>
      <c r="I337" s="312"/>
    </row>
    <row r="338">
      <c r="G338" s="311"/>
      <c r="I338" s="312"/>
    </row>
    <row r="339">
      <c r="G339" s="311"/>
      <c r="I339" s="312"/>
    </row>
    <row r="340">
      <c r="G340" s="311"/>
      <c r="I340" s="312"/>
    </row>
    <row r="341">
      <c r="G341" s="311"/>
      <c r="I341" s="312"/>
    </row>
    <row r="342">
      <c r="G342" s="311"/>
      <c r="I342" s="312"/>
    </row>
    <row r="343">
      <c r="G343" s="311"/>
      <c r="I343" s="312"/>
    </row>
    <row r="344">
      <c r="G344" s="311"/>
      <c r="I344" s="312"/>
    </row>
    <row r="345">
      <c r="G345" s="311"/>
      <c r="I345" s="312"/>
    </row>
    <row r="346">
      <c r="G346" s="311"/>
      <c r="I346" s="312"/>
    </row>
    <row r="347">
      <c r="G347" s="311"/>
      <c r="I347" s="312"/>
    </row>
    <row r="348">
      <c r="G348" s="311"/>
      <c r="I348" s="312"/>
    </row>
    <row r="349">
      <c r="G349" s="311"/>
      <c r="I349" s="312"/>
    </row>
    <row r="350">
      <c r="G350" s="311"/>
      <c r="I350" s="312"/>
    </row>
    <row r="351">
      <c r="G351" s="311"/>
      <c r="I351" s="312"/>
    </row>
    <row r="352">
      <c r="G352" s="311"/>
      <c r="I352" s="312"/>
    </row>
    <row r="353">
      <c r="G353" s="311"/>
      <c r="I353" s="312"/>
    </row>
    <row r="354">
      <c r="G354" s="311"/>
      <c r="I354" s="312"/>
    </row>
    <row r="355">
      <c r="G355" s="311"/>
      <c r="I355" s="312"/>
    </row>
    <row r="356">
      <c r="G356" s="311"/>
      <c r="I356" s="312"/>
    </row>
    <row r="357">
      <c r="G357" s="311"/>
      <c r="I357" s="312"/>
    </row>
    <row r="358">
      <c r="G358" s="311"/>
      <c r="I358" s="312"/>
    </row>
    <row r="359">
      <c r="G359" s="311"/>
      <c r="I359" s="312"/>
    </row>
    <row r="360">
      <c r="G360" s="311"/>
      <c r="I360" s="312"/>
    </row>
    <row r="361">
      <c r="G361" s="311"/>
      <c r="I361" s="312"/>
    </row>
    <row r="362">
      <c r="G362" s="311"/>
      <c r="I362" s="312"/>
    </row>
    <row r="363">
      <c r="G363" s="311"/>
      <c r="I363" s="312"/>
    </row>
    <row r="364">
      <c r="G364" s="311"/>
      <c r="I364" s="312"/>
    </row>
    <row r="365">
      <c r="G365" s="311"/>
      <c r="I365" s="312"/>
    </row>
    <row r="366">
      <c r="G366" s="311"/>
      <c r="I366" s="312"/>
    </row>
    <row r="367">
      <c r="G367" s="311"/>
      <c r="I367" s="312"/>
    </row>
    <row r="368">
      <c r="G368" s="311"/>
      <c r="I368" s="312"/>
    </row>
    <row r="369">
      <c r="G369" s="311"/>
      <c r="I369" s="312"/>
    </row>
    <row r="370">
      <c r="G370" s="311"/>
      <c r="I370" s="312"/>
    </row>
    <row r="371">
      <c r="G371" s="311"/>
      <c r="I371" s="312"/>
    </row>
    <row r="372">
      <c r="G372" s="311"/>
      <c r="I372" s="312"/>
    </row>
    <row r="373">
      <c r="G373" s="311"/>
      <c r="I373" s="312"/>
    </row>
    <row r="374">
      <c r="G374" s="311"/>
      <c r="I374" s="312"/>
    </row>
    <row r="375">
      <c r="G375" s="311"/>
      <c r="I375" s="312"/>
    </row>
    <row r="376">
      <c r="G376" s="311"/>
      <c r="I376" s="312"/>
    </row>
    <row r="377">
      <c r="G377" s="311"/>
      <c r="I377" s="312"/>
    </row>
    <row r="378">
      <c r="G378" s="311"/>
      <c r="I378" s="312"/>
    </row>
    <row r="379">
      <c r="G379" s="311"/>
      <c r="I379" s="312"/>
    </row>
    <row r="380">
      <c r="G380" s="311"/>
      <c r="I380" s="312"/>
    </row>
    <row r="381">
      <c r="G381" s="311"/>
      <c r="I381" s="312"/>
    </row>
    <row r="382">
      <c r="G382" s="311"/>
      <c r="I382" s="312"/>
    </row>
    <row r="383">
      <c r="G383" s="311"/>
      <c r="I383" s="312"/>
    </row>
    <row r="384">
      <c r="G384" s="311"/>
      <c r="I384" s="312"/>
    </row>
    <row r="385">
      <c r="G385" s="311"/>
      <c r="I385" s="312"/>
    </row>
    <row r="386">
      <c r="G386" s="311"/>
      <c r="I386" s="312"/>
    </row>
    <row r="387">
      <c r="G387" s="311"/>
      <c r="I387" s="312"/>
    </row>
    <row r="388">
      <c r="G388" s="311"/>
      <c r="I388" s="312"/>
    </row>
    <row r="389">
      <c r="G389" s="311"/>
      <c r="I389" s="312"/>
    </row>
    <row r="390">
      <c r="G390" s="311"/>
      <c r="I390" s="312"/>
    </row>
    <row r="391">
      <c r="G391" s="311"/>
      <c r="I391" s="312"/>
    </row>
    <row r="392">
      <c r="G392" s="311"/>
      <c r="I392" s="312"/>
    </row>
    <row r="393">
      <c r="G393" s="311"/>
      <c r="I393" s="312"/>
    </row>
    <row r="394">
      <c r="G394" s="311"/>
      <c r="I394" s="312"/>
    </row>
    <row r="395">
      <c r="G395" s="311"/>
      <c r="I395" s="312"/>
    </row>
    <row r="396">
      <c r="G396" s="311"/>
      <c r="I396" s="312"/>
    </row>
    <row r="397">
      <c r="G397" s="311"/>
      <c r="I397" s="312"/>
    </row>
    <row r="398">
      <c r="G398" s="311"/>
      <c r="I398" s="312"/>
    </row>
    <row r="399">
      <c r="G399" s="311"/>
      <c r="I399" s="312"/>
    </row>
    <row r="400">
      <c r="G400" s="311"/>
      <c r="I400" s="312"/>
    </row>
    <row r="401">
      <c r="G401" s="311"/>
      <c r="I401" s="312"/>
    </row>
    <row r="402">
      <c r="G402" s="311"/>
      <c r="I402" s="312"/>
    </row>
    <row r="403">
      <c r="G403" s="311"/>
      <c r="I403" s="312"/>
    </row>
    <row r="404">
      <c r="G404" s="311"/>
      <c r="I404" s="312"/>
    </row>
    <row r="405">
      <c r="G405" s="311"/>
      <c r="I405" s="312"/>
    </row>
    <row r="406">
      <c r="G406" s="311"/>
      <c r="I406" s="312"/>
    </row>
    <row r="407">
      <c r="G407" s="311"/>
      <c r="I407" s="312"/>
    </row>
    <row r="408">
      <c r="G408" s="311"/>
      <c r="I408" s="312"/>
    </row>
    <row r="409">
      <c r="G409" s="311"/>
      <c r="I409" s="312"/>
    </row>
    <row r="410">
      <c r="G410" s="311"/>
      <c r="I410" s="312"/>
    </row>
    <row r="411">
      <c r="G411" s="311"/>
      <c r="I411" s="312"/>
    </row>
    <row r="412">
      <c r="G412" s="311"/>
      <c r="I412" s="312"/>
    </row>
    <row r="413">
      <c r="G413" s="311"/>
      <c r="I413" s="312"/>
    </row>
    <row r="414">
      <c r="G414" s="311"/>
      <c r="I414" s="312"/>
    </row>
    <row r="415">
      <c r="G415" s="311"/>
      <c r="I415" s="312"/>
    </row>
    <row r="416">
      <c r="G416" s="311"/>
      <c r="I416" s="312"/>
    </row>
    <row r="417">
      <c r="G417" s="311"/>
      <c r="I417" s="312"/>
    </row>
    <row r="418">
      <c r="G418" s="311"/>
      <c r="I418" s="312"/>
    </row>
    <row r="419">
      <c r="G419" s="311"/>
      <c r="I419" s="312"/>
    </row>
    <row r="420">
      <c r="G420" s="311"/>
      <c r="I420" s="312"/>
    </row>
    <row r="421">
      <c r="G421" s="311"/>
      <c r="I421" s="312"/>
    </row>
    <row r="422">
      <c r="G422" s="311"/>
      <c r="I422" s="312"/>
    </row>
    <row r="423">
      <c r="G423" s="311"/>
      <c r="I423" s="312"/>
    </row>
    <row r="424">
      <c r="G424" s="311"/>
      <c r="I424" s="312"/>
    </row>
    <row r="425">
      <c r="G425" s="311"/>
      <c r="I425" s="312"/>
    </row>
    <row r="426">
      <c r="G426" s="311"/>
      <c r="I426" s="312"/>
    </row>
    <row r="427">
      <c r="G427" s="311"/>
      <c r="I427" s="312"/>
    </row>
    <row r="428">
      <c r="G428" s="311"/>
      <c r="I428" s="312"/>
    </row>
    <row r="429">
      <c r="G429" s="311"/>
      <c r="I429" s="312"/>
    </row>
    <row r="430">
      <c r="G430" s="311"/>
      <c r="I430" s="312"/>
    </row>
    <row r="431">
      <c r="G431" s="311"/>
      <c r="I431" s="312"/>
    </row>
    <row r="432">
      <c r="G432" s="311"/>
      <c r="I432" s="312"/>
    </row>
    <row r="433">
      <c r="G433" s="311"/>
      <c r="I433" s="312"/>
    </row>
    <row r="434">
      <c r="G434" s="311"/>
      <c r="I434" s="312"/>
    </row>
    <row r="435">
      <c r="G435" s="311"/>
      <c r="I435" s="312"/>
    </row>
    <row r="436">
      <c r="G436" s="311"/>
      <c r="I436" s="312"/>
    </row>
    <row r="437">
      <c r="G437" s="311"/>
      <c r="I437" s="312"/>
    </row>
    <row r="438">
      <c r="G438" s="311"/>
      <c r="I438" s="312"/>
    </row>
    <row r="439">
      <c r="G439" s="311"/>
      <c r="I439" s="312"/>
    </row>
    <row r="440">
      <c r="G440" s="311"/>
      <c r="I440" s="312"/>
    </row>
    <row r="441">
      <c r="G441" s="311"/>
      <c r="I441" s="312"/>
    </row>
    <row r="442">
      <c r="G442" s="311"/>
      <c r="I442" s="312"/>
    </row>
    <row r="443">
      <c r="G443" s="311"/>
      <c r="I443" s="312"/>
    </row>
    <row r="444">
      <c r="G444" s="311"/>
      <c r="I444" s="312"/>
    </row>
    <row r="445">
      <c r="G445" s="311"/>
      <c r="I445" s="312"/>
    </row>
    <row r="446">
      <c r="G446" s="311"/>
      <c r="I446" s="312"/>
    </row>
    <row r="447">
      <c r="G447" s="311"/>
      <c r="I447" s="312"/>
    </row>
    <row r="448">
      <c r="G448" s="311"/>
      <c r="I448" s="312"/>
    </row>
    <row r="449">
      <c r="G449" s="311"/>
      <c r="I449" s="312"/>
    </row>
    <row r="450">
      <c r="G450" s="311"/>
      <c r="I450" s="312"/>
    </row>
    <row r="451">
      <c r="G451" s="311"/>
      <c r="I451" s="312"/>
    </row>
    <row r="452">
      <c r="G452" s="311"/>
      <c r="I452" s="312"/>
    </row>
    <row r="453">
      <c r="G453" s="311"/>
      <c r="I453" s="312"/>
    </row>
    <row r="454">
      <c r="G454" s="311"/>
      <c r="I454" s="312"/>
    </row>
    <row r="455">
      <c r="G455" s="311"/>
      <c r="I455" s="312"/>
    </row>
    <row r="456">
      <c r="G456" s="311"/>
      <c r="I456" s="312"/>
    </row>
    <row r="457">
      <c r="G457" s="311"/>
      <c r="I457" s="312"/>
    </row>
    <row r="458">
      <c r="G458" s="311"/>
      <c r="I458" s="312"/>
    </row>
    <row r="459">
      <c r="G459" s="311"/>
      <c r="I459" s="312"/>
    </row>
    <row r="460">
      <c r="G460" s="311"/>
      <c r="I460" s="312"/>
    </row>
    <row r="461">
      <c r="G461" s="311"/>
      <c r="I461" s="312"/>
    </row>
    <row r="462">
      <c r="G462" s="311"/>
      <c r="I462" s="312"/>
    </row>
    <row r="463">
      <c r="G463" s="311"/>
      <c r="I463" s="312"/>
    </row>
    <row r="464">
      <c r="G464" s="311"/>
      <c r="I464" s="312"/>
    </row>
    <row r="465">
      <c r="G465" s="311"/>
      <c r="I465" s="312"/>
    </row>
    <row r="466">
      <c r="G466" s="311"/>
      <c r="I466" s="312"/>
    </row>
    <row r="467">
      <c r="G467" s="311"/>
      <c r="I467" s="312"/>
    </row>
    <row r="468">
      <c r="G468" s="311"/>
      <c r="I468" s="312"/>
    </row>
    <row r="469">
      <c r="G469" s="311"/>
      <c r="I469" s="312"/>
    </row>
    <row r="470">
      <c r="G470" s="311"/>
      <c r="I470" s="312"/>
    </row>
    <row r="471">
      <c r="G471" s="311"/>
      <c r="I471" s="312"/>
    </row>
    <row r="472">
      <c r="G472" s="311"/>
      <c r="I472" s="312"/>
    </row>
    <row r="473">
      <c r="G473" s="311"/>
      <c r="I473" s="312"/>
    </row>
    <row r="474">
      <c r="G474" s="311"/>
      <c r="I474" s="312"/>
    </row>
    <row r="475">
      <c r="G475" s="311"/>
      <c r="I475" s="312"/>
    </row>
    <row r="476">
      <c r="G476" s="311"/>
      <c r="I476" s="312"/>
    </row>
    <row r="477">
      <c r="G477" s="311"/>
      <c r="I477" s="312"/>
    </row>
    <row r="478">
      <c r="G478" s="311"/>
      <c r="I478" s="312"/>
    </row>
    <row r="479">
      <c r="G479" s="311"/>
      <c r="I479" s="312"/>
    </row>
    <row r="480">
      <c r="G480" s="311"/>
      <c r="I480" s="312"/>
    </row>
    <row r="481">
      <c r="G481" s="311"/>
      <c r="I481" s="312"/>
    </row>
    <row r="482">
      <c r="G482" s="311"/>
      <c r="I482" s="312"/>
    </row>
    <row r="483">
      <c r="G483" s="311"/>
      <c r="I483" s="312"/>
    </row>
    <row r="484">
      <c r="G484" s="311"/>
      <c r="I484" s="312"/>
    </row>
    <row r="485">
      <c r="G485" s="311"/>
      <c r="I485" s="312"/>
    </row>
    <row r="486">
      <c r="G486" s="311"/>
      <c r="I486" s="312"/>
    </row>
    <row r="487">
      <c r="G487" s="311"/>
      <c r="I487" s="312"/>
    </row>
    <row r="488">
      <c r="G488" s="311"/>
      <c r="I488" s="312"/>
    </row>
    <row r="489">
      <c r="G489" s="311"/>
      <c r="I489" s="312"/>
    </row>
    <row r="490">
      <c r="G490" s="311"/>
      <c r="I490" s="312"/>
    </row>
    <row r="491">
      <c r="G491" s="311"/>
      <c r="I491" s="312"/>
    </row>
    <row r="492">
      <c r="G492" s="311"/>
      <c r="I492" s="312"/>
    </row>
    <row r="493">
      <c r="G493" s="311"/>
      <c r="I493" s="312"/>
    </row>
    <row r="494">
      <c r="G494" s="311"/>
      <c r="I494" s="312"/>
    </row>
    <row r="495">
      <c r="G495" s="311"/>
      <c r="I495" s="312"/>
    </row>
    <row r="496">
      <c r="G496" s="311"/>
      <c r="I496" s="312"/>
    </row>
    <row r="497">
      <c r="G497" s="311"/>
      <c r="I497" s="312"/>
    </row>
    <row r="498">
      <c r="G498" s="311"/>
      <c r="I498" s="312"/>
    </row>
    <row r="499">
      <c r="G499" s="311"/>
      <c r="I499" s="312"/>
    </row>
    <row r="500">
      <c r="G500" s="311"/>
      <c r="I500" s="312"/>
    </row>
    <row r="501">
      <c r="G501" s="311"/>
      <c r="I501" s="312"/>
    </row>
    <row r="502">
      <c r="G502" s="311"/>
      <c r="I502" s="312"/>
    </row>
    <row r="503">
      <c r="G503" s="311"/>
      <c r="I503" s="312"/>
    </row>
    <row r="504">
      <c r="G504" s="311"/>
      <c r="I504" s="312"/>
    </row>
    <row r="505">
      <c r="G505" s="311"/>
      <c r="I505" s="312"/>
    </row>
    <row r="506">
      <c r="G506" s="311"/>
      <c r="I506" s="312"/>
    </row>
    <row r="507">
      <c r="G507" s="311"/>
      <c r="I507" s="312"/>
    </row>
    <row r="508">
      <c r="G508" s="311"/>
      <c r="I508" s="312"/>
    </row>
    <row r="509">
      <c r="G509" s="311"/>
      <c r="I509" s="312"/>
    </row>
    <row r="510">
      <c r="G510" s="311"/>
      <c r="I510" s="312"/>
    </row>
    <row r="511">
      <c r="G511" s="311"/>
      <c r="I511" s="312"/>
    </row>
    <row r="512">
      <c r="G512" s="311"/>
      <c r="I512" s="312"/>
    </row>
    <row r="513">
      <c r="G513" s="311"/>
      <c r="I513" s="312"/>
    </row>
    <row r="514">
      <c r="G514" s="311"/>
      <c r="I514" s="312"/>
    </row>
    <row r="515">
      <c r="G515" s="311"/>
      <c r="I515" s="312"/>
    </row>
    <row r="516">
      <c r="G516" s="311"/>
      <c r="I516" s="312"/>
    </row>
    <row r="517">
      <c r="G517" s="311"/>
      <c r="I517" s="312"/>
    </row>
    <row r="518">
      <c r="G518" s="311"/>
      <c r="I518" s="312"/>
    </row>
    <row r="519">
      <c r="G519" s="311"/>
      <c r="I519" s="312"/>
    </row>
    <row r="520">
      <c r="G520" s="311"/>
      <c r="I520" s="312"/>
    </row>
    <row r="521">
      <c r="G521" s="311"/>
      <c r="I521" s="312"/>
    </row>
    <row r="522">
      <c r="G522" s="311"/>
      <c r="I522" s="312"/>
    </row>
    <row r="523">
      <c r="G523" s="311"/>
      <c r="I523" s="312"/>
    </row>
    <row r="524">
      <c r="G524" s="311"/>
      <c r="I524" s="312"/>
    </row>
    <row r="525">
      <c r="G525" s="311"/>
      <c r="I525" s="312"/>
    </row>
    <row r="526">
      <c r="G526" s="311"/>
      <c r="I526" s="312"/>
    </row>
    <row r="527">
      <c r="G527" s="311"/>
      <c r="I527" s="312"/>
    </row>
    <row r="528">
      <c r="G528" s="311"/>
      <c r="I528" s="312"/>
    </row>
    <row r="529">
      <c r="G529" s="311"/>
      <c r="I529" s="312"/>
    </row>
    <row r="530">
      <c r="G530" s="311"/>
      <c r="I530" s="312"/>
    </row>
    <row r="531">
      <c r="G531" s="311"/>
      <c r="I531" s="312"/>
    </row>
    <row r="532">
      <c r="G532" s="311"/>
      <c r="I532" s="312"/>
    </row>
    <row r="533">
      <c r="G533" s="311"/>
      <c r="I533" s="312"/>
    </row>
    <row r="534">
      <c r="G534" s="311"/>
      <c r="I534" s="312"/>
    </row>
    <row r="535">
      <c r="G535" s="311"/>
      <c r="I535" s="312"/>
    </row>
    <row r="536">
      <c r="G536" s="311"/>
      <c r="I536" s="312"/>
    </row>
    <row r="537">
      <c r="G537" s="311"/>
      <c r="I537" s="312"/>
    </row>
    <row r="538">
      <c r="G538" s="311"/>
      <c r="I538" s="312"/>
    </row>
    <row r="539">
      <c r="G539" s="311"/>
      <c r="I539" s="312"/>
    </row>
    <row r="540">
      <c r="G540" s="311"/>
      <c r="I540" s="312"/>
    </row>
    <row r="541">
      <c r="G541" s="311"/>
      <c r="I541" s="312"/>
    </row>
    <row r="542">
      <c r="G542" s="311"/>
      <c r="I542" s="312"/>
    </row>
    <row r="543">
      <c r="G543" s="311"/>
      <c r="I543" s="312"/>
    </row>
    <row r="544">
      <c r="G544" s="311"/>
      <c r="I544" s="312"/>
    </row>
    <row r="545">
      <c r="G545" s="311"/>
      <c r="I545" s="312"/>
    </row>
    <row r="546">
      <c r="G546" s="311"/>
      <c r="I546" s="312"/>
    </row>
    <row r="547">
      <c r="G547" s="311"/>
      <c r="I547" s="312"/>
    </row>
    <row r="548">
      <c r="G548" s="311"/>
      <c r="I548" s="312"/>
    </row>
    <row r="549">
      <c r="G549" s="311"/>
      <c r="I549" s="312"/>
    </row>
    <row r="550">
      <c r="G550" s="311"/>
      <c r="I550" s="312"/>
    </row>
    <row r="551">
      <c r="G551" s="311"/>
      <c r="I551" s="312"/>
    </row>
    <row r="552">
      <c r="G552" s="311"/>
      <c r="I552" s="312"/>
    </row>
    <row r="553">
      <c r="G553" s="311"/>
      <c r="I553" s="312"/>
    </row>
    <row r="554">
      <c r="G554" s="311"/>
      <c r="I554" s="312"/>
    </row>
    <row r="555">
      <c r="G555" s="311"/>
      <c r="I555" s="312"/>
    </row>
    <row r="556">
      <c r="G556" s="311"/>
      <c r="I556" s="312"/>
    </row>
    <row r="557">
      <c r="G557" s="311"/>
      <c r="I557" s="312"/>
    </row>
    <row r="558">
      <c r="G558" s="311"/>
      <c r="I558" s="312"/>
    </row>
    <row r="559">
      <c r="G559" s="311"/>
      <c r="I559" s="312"/>
    </row>
    <row r="560">
      <c r="G560" s="311"/>
      <c r="I560" s="312"/>
    </row>
    <row r="561">
      <c r="G561" s="311"/>
      <c r="I561" s="312"/>
    </row>
    <row r="562">
      <c r="G562" s="311"/>
      <c r="I562" s="312"/>
    </row>
    <row r="563">
      <c r="G563" s="311"/>
      <c r="I563" s="312"/>
    </row>
    <row r="564">
      <c r="G564" s="311"/>
      <c r="I564" s="312"/>
    </row>
    <row r="565">
      <c r="G565" s="311"/>
      <c r="I565" s="312"/>
    </row>
    <row r="566">
      <c r="G566" s="311"/>
      <c r="I566" s="312"/>
    </row>
    <row r="567">
      <c r="G567" s="311"/>
      <c r="I567" s="312"/>
    </row>
    <row r="568">
      <c r="G568" s="311"/>
      <c r="I568" s="312"/>
    </row>
    <row r="569">
      <c r="G569" s="311"/>
      <c r="I569" s="312"/>
    </row>
    <row r="570">
      <c r="G570" s="311"/>
      <c r="I570" s="312"/>
    </row>
    <row r="571">
      <c r="G571" s="311"/>
      <c r="I571" s="312"/>
    </row>
    <row r="572">
      <c r="G572" s="311"/>
      <c r="I572" s="312"/>
    </row>
    <row r="573">
      <c r="G573" s="311"/>
      <c r="I573" s="312"/>
    </row>
    <row r="574">
      <c r="G574" s="311"/>
      <c r="I574" s="312"/>
    </row>
    <row r="575">
      <c r="G575" s="311"/>
      <c r="I575" s="312"/>
    </row>
    <row r="576">
      <c r="G576" s="311"/>
      <c r="I576" s="312"/>
    </row>
    <row r="577">
      <c r="G577" s="311"/>
      <c r="I577" s="312"/>
    </row>
    <row r="578">
      <c r="G578" s="311"/>
      <c r="I578" s="312"/>
    </row>
    <row r="579">
      <c r="G579" s="311"/>
      <c r="I579" s="312"/>
    </row>
    <row r="580">
      <c r="G580" s="311"/>
      <c r="I580" s="312"/>
    </row>
    <row r="581">
      <c r="G581" s="311"/>
      <c r="I581" s="312"/>
    </row>
    <row r="582">
      <c r="G582" s="311"/>
      <c r="I582" s="312"/>
    </row>
    <row r="583">
      <c r="G583" s="311"/>
      <c r="I583" s="312"/>
    </row>
    <row r="584">
      <c r="G584" s="311"/>
      <c r="I584" s="312"/>
    </row>
    <row r="585">
      <c r="G585" s="311"/>
      <c r="I585" s="312"/>
    </row>
    <row r="586">
      <c r="G586" s="311"/>
      <c r="I586" s="312"/>
    </row>
    <row r="587">
      <c r="G587" s="311"/>
      <c r="I587" s="312"/>
    </row>
    <row r="588">
      <c r="G588" s="311"/>
      <c r="I588" s="312"/>
    </row>
    <row r="589">
      <c r="G589" s="311"/>
      <c r="I589" s="312"/>
    </row>
    <row r="590">
      <c r="G590" s="311"/>
      <c r="I590" s="312"/>
    </row>
    <row r="591">
      <c r="G591" s="311"/>
      <c r="I591" s="312"/>
    </row>
    <row r="592">
      <c r="G592" s="311"/>
      <c r="I592" s="312"/>
    </row>
    <row r="593">
      <c r="G593" s="311"/>
      <c r="I593" s="312"/>
    </row>
    <row r="594">
      <c r="G594" s="311"/>
      <c r="I594" s="312"/>
    </row>
    <row r="595">
      <c r="G595" s="311"/>
      <c r="I595" s="312"/>
    </row>
    <row r="596">
      <c r="G596" s="311"/>
      <c r="I596" s="312"/>
    </row>
    <row r="597">
      <c r="G597" s="311"/>
      <c r="I597" s="312"/>
    </row>
    <row r="598">
      <c r="G598" s="311"/>
      <c r="I598" s="312"/>
    </row>
    <row r="599">
      <c r="G599" s="311"/>
      <c r="I599" s="312"/>
    </row>
    <row r="600">
      <c r="G600" s="311"/>
      <c r="I600" s="312"/>
    </row>
    <row r="601">
      <c r="G601" s="311"/>
      <c r="I601" s="312"/>
    </row>
    <row r="602">
      <c r="G602" s="311"/>
      <c r="I602" s="312"/>
    </row>
    <row r="603">
      <c r="G603" s="311"/>
      <c r="I603" s="312"/>
    </row>
    <row r="604">
      <c r="G604" s="311"/>
      <c r="I604" s="312"/>
    </row>
    <row r="605">
      <c r="G605" s="311"/>
      <c r="I605" s="312"/>
    </row>
    <row r="606">
      <c r="G606" s="311"/>
      <c r="I606" s="312"/>
    </row>
    <row r="607">
      <c r="G607" s="311"/>
      <c r="I607" s="312"/>
    </row>
    <row r="608">
      <c r="G608" s="311"/>
      <c r="I608" s="312"/>
    </row>
    <row r="609">
      <c r="G609" s="311"/>
      <c r="I609" s="312"/>
    </row>
    <row r="610">
      <c r="G610" s="311"/>
      <c r="I610" s="312"/>
    </row>
    <row r="611">
      <c r="G611" s="311"/>
      <c r="I611" s="312"/>
    </row>
    <row r="612">
      <c r="G612" s="311"/>
      <c r="I612" s="312"/>
    </row>
    <row r="613">
      <c r="G613" s="311"/>
      <c r="I613" s="312"/>
    </row>
    <row r="614">
      <c r="G614" s="311"/>
      <c r="I614" s="312"/>
    </row>
    <row r="615">
      <c r="G615" s="311"/>
      <c r="I615" s="312"/>
    </row>
    <row r="616">
      <c r="G616" s="311"/>
      <c r="I616" s="312"/>
    </row>
    <row r="617">
      <c r="G617" s="311"/>
      <c r="I617" s="312"/>
    </row>
    <row r="618">
      <c r="G618" s="311"/>
      <c r="I618" s="312"/>
    </row>
    <row r="619">
      <c r="G619" s="311"/>
      <c r="I619" s="312"/>
    </row>
    <row r="620">
      <c r="G620" s="311"/>
      <c r="I620" s="312"/>
    </row>
    <row r="621">
      <c r="G621" s="311"/>
      <c r="I621" s="312"/>
    </row>
    <row r="622">
      <c r="G622" s="311"/>
      <c r="I622" s="312"/>
    </row>
    <row r="623">
      <c r="G623" s="311"/>
      <c r="I623" s="312"/>
    </row>
    <row r="624">
      <c r="G624" s="311"/>
      <c r="I624" s="312"/>
    </row>
    <row r="625">
      <c r="G625" s="311"/>
      <c r="I625" s="312"/>
    </row>
    <row r="626">
      <c r="G626" s="311"/>
      <c r="I626" s="312"/>
    </row>
    <row r="627">
      <c r="G627" s="311"/>
      <c r="I627" s="312"/>
    </row>
    <row r="628">
      <c r="G628" s="311"/>
      <c r="I628" s="312"/>
    </row>
    <row r="629">
      <c r="G629" s="311"/>
      <c r="I629" s="312"/>
    </row>
    <row r="630">
      <c r="G630" s="311"/>
      <c r="I630" s="312"/>
    </row>
    <row r="631">
      <c r="G631" s="311"/>
      <c r="I631" s="312"/>
    </row>
    <row r="632">
      <c r="G632" s="311"/>
      <c r="I632" s="312"/>
    </row>
    <row r="633">
      <c r="G633" s="311"/>
      <c r="I633" s="312"/>
    </row>
    <row r="634">
      <c r="G634" s="311"/>
      <c r="I634" s="312"/>
    </row>
    <row r="635">
      <c r="G635" s="311"/>
      <c r="I635" s="312"/>
    </row>
    <row r="636">
      <c r="G636" s="311"/>
      <c r="I636" s="312"/>
    </row>
    <row r="637">
      <c r="G637" s="311"/>
      <c r="I637" s="312"/>
    </row>
    <row r="638">
      <c r="G638" s="311"/>
      <c r="I638" s="312"/>
    </row>
    <row r="639">
      <c r="G639" s="311"/>
      <c r="I639" s="312"/>
    </row>
    <row r="640">
      <c r="G640" s="311"/>
      <c r="I640" s="312"/>
    </row>
    <row r="641">
      <c r="G641" s="311"/>
      <c r="I641" s="312"/>
    </row>
    <row r="642">
      <c r="G642" s="311"/>
      <c r="I642" s="312"/>
    </row>
    <row r="643">
      <c r="G643" s="311"/>
      <c r="I643" s="312"/>
    </row>
    <row r="644">
      <c r="G644" s="311"/>
      <c r="I644" s="312"/>
    </row>
    <row r="645">
      <c r="G645" s="311"/>
      <c r="I645" s="312"/>
    </row>
    <row r="646">
      <c r="G646" s="311"/>
      <c r="I646" s="312"/>
    </row>
    <row r="647">
      <c r="G647" s="311"/>
      <c r="I647" s="312"/>
    </row>
    <row r="648">
      <c r="G648" s="311"/>
      <c r="I648" s="312"/>
    </row>
    <row r="649">
      <c r="G649" s="311"/>
      <c r="I649" s="312"/>
    </row>
    <row r="650">
      <c r="G650" s="311"/>
      <c r="I650" s="312"/>
    </row>
    <row r="651">
      <c r="G651" s="311"/>
      <c r="I651" s="312"/>
    </row>
    <row r="652">
      <c r="G652" s="311"/>
      <c r="I652" s="312"/>
    </row>
    <row r="653">
      <c r="G653" s="311"/>
      <c r="I653" s="312"/>
    </row>
    <row r="654">
      <c r="G654" s="311"/>
      <c r="I654" s="312"/>
    </row>
    <row r="655">
      <c r="G655" s="311"/>
      <c r="I655" s="312"/>
    </row>
    <row r="656">
      <c r="G656" s="311"/>
      <c r="I656" s="312"/>
    </row>
    <row r="657">
      <c r="G657" s="311"/>
      <c r="I657" s="312"/>
    </row>
    <row r="658">
      <c r="G658" s="311"/>
      <c r="I658" s="312"/>
    </row>
    <row r="659">
      <c r="G659" s="311"/>
      <c r="I659" s="312"/>
    </row>
    <row r="660">
      <c r="G660" s="311"/>
      <c r="I660" s="312"/>
    </row>
    <row r="661">
      <c r="G661" s="311"/>
      <c r="I661" s="312"/>
    </row>
    <row r="662">
      <c r="G662" s="311"/>
      <c r="I662" s="312"/>
    </row>
    <row r="663">
      <c r="G663" s="311"/>
      <c r="I663" s="312"/>
    </row>
    <row r="664">
      <c r="G664" s="311"/>
      <c r="I664" s="312"/>
    </row>
    <row r="665">
      <c r="G665" s="311"/>
      <c r="I665" s="312"/>
    </row>
    <row r="666">
      <c r="G666" s="311"/>
      <c r="I666" s="312"/>
    </row>
    <row r="667">
      <c r="G667" s="311"/>
      <c r="I667" s="312"/>
    </row>
    <row r="668">
      <c r="G668" s="311"/>
      <c r="I668" s="312"/>
    </row>
    <row r="669">
      <c r="G669" s="311"/>
      <c r="I669" s="312"/>
    </row>
    <row r="670">
      <c r="G670" s="311"/>
      <c r="I670" s="312"/>
    </row>
    <row r="671">
      <c r="G671" s="311"/>
      <c r="I671" s="312"/>
    </row>
    <row r="672">
      <c r="G672" s="311"/>
      <c r="I672" s="312"/>
    </row>
    <row r="673">
      <c r="G673" s="311"/>
      <c r="I673" s="312"/>
    </row>
    <row r="674">
      <c r="G674" s="311"/>
      <c r="I674" s="312"/>
    </row>
    <row r="675">
      <c r="G675" s="311"/>
      <c r="I675" s="312"/>
    </row>
    <row r="676">
      <c r="G676" s="311"/>
      <c r="I676" s="312"/>
    </row>
    <row r="677">
      <c r="G677" s="311"/>
      <c r="I677" s="312"/>
    </row>
    <row r="678">
      <c r="G678" s="311"/>
      <c r="I678" s="312"/>
    </row>
    <row r="679">
      <c r="G679" s="311"/>
      <c r="I679" s="312"/>
    </row>
    <row r="680">
      <c r="G680" s="311"/>
      <c r="I680" s="312"/>
    </row>
    <row r="681">
      <c r="G681" s="311"/>
      <c r="I681" s="312"/>
    </row>
    <row r="682">
      <c r="G682" s="311"/>
      <c r="I682" s="312"/>
    </row>
    <row r="683">
      <c r="G683" s="311"/>
      <c r="I683" s="312"/>
    </row>
    <row r="684">
      <c r="G684" s="311"/>
      <c r="I684" s="312"/>
    </row>
    <row r="685">
      <c r="G685" s="311"/>
      <c r="I685" s="312"/>
    </row>
    <row r="686">
      <c r="G686" s="311"/>
      <c r="I686" s="312"/>
    </row>
    <row r="687">
      <c r="G687" s="311"/>
      <c r="I687" s="312"/>
    </row>
    <row r="688">
      <c r="G688" s="311"/>
      <c r="I688" s="312"/>
    </row>
    <row r="689">
      <c r="G689" s="311"/>
      <c r="I689" s="312"/>
    </row>
    <row r="690">
      <c r="G690" s="311"/>
      <c r="I690" s="312"/>
    </row>
    <row r="691">
      <c r="G691" s="311"/>
      <c r="I691" s="312"/>
    </row>
    <row r="692">
      <c r="G692" s="311"/>
      <c r="I692" s="312"/>
    </row>
    <row r="693">
      <c r="G693" s="311"/>
      <c r="I693" s="312"/>
    </row>
    <row r="694">
      <c r="G694" s="311"/>
      <c r="I694" s="312"/>
    </row>
    <row r="695">
      <c r="G695" s="311"/>
      <c r="I695" s="312"/>
    </row>
    <row r="696">
      <c r="G696" s="311"/>
      <c r="I696" s="312"/>
    </row>
    <row r="697">
      <c r="G697" s="311"/>
      <c r="I697" s="312"/>
    </row>
    <row r="698">
      <c r="G698" s="311"/>
      <c r="I698" s="312"/>
    </row>
    <row r="699">
      <c r="G699" s="311"/>
      <c r="I699" s="312"/>
    </row>
    <row r="700">
      <c r="G700" s="311"/>
      <c r="I700" s="312"/>
    </row>
    <row r="701">
      <c r="G701" s="311"/>
      <c r="I701" s="312"/>
    </row>
    <row r="702">
      <c r="G702" s="311"/>
      <c r="I702" s="312"/>
    </row>
    <row r="703">
      <c r="G703" s="311"/>
      <c r="I703" s="312"/>
    </row>
    <row r="704">
      <c r="G704" s="311"/>
      <c r="I704" s="312"/>
    </row>
    <row r="705">
      <c r="G705" s="311"/>
      <c r="I705" s="312"/>
    </row>
    <row r="706">
      <c r="G706" s="311"/>
      <c r="I706" s="312"/>
    </row>
    <row r="707">
      <c r="G707" s="311"/>
      <c r="I707" s="312"/>
    </row>
    <row r="708">
      <c r="G708" s="311"/>
      <c r="I708" s="312"/>
    </row>
    <row r="709">
      <c r="G709" s="311"/>
      <c r="I709" s="312"/>
    </row>
    <row r="710">
      <c r="G710" s="311"/>
      <c r="I710" s="312"/>
    </row>
    <row r="711">
      <c r="G711" s="311"/>
      <c r="I711" s="312"/>
    </row>
    <row r="712">
      <c r="G712" s="311"/>
      <c r="I712" s="312"/>
    </row>
    <row r="713">
      <c r="G713" s="311"/>
      <c r="I713" s="312"/>
    </row>
    <row r="714">
      <c r="G714" s="311"/>
      <c r="I714" s="312"/>
    </row>
    <row r="715">
      <c r="G715" s="311"/>
      <c r="I715" s="312"/>
    </row>
    <row r="716">
      <c r="G716" s="311"/>
      <c r="I716" s="312"/>
    </row>
    <row r="717">
      <c r="G717" s="311"/>
      <c r="I717" s="312"/>
    </row>
    <row r="718">
      <c r="G718" s="311"/>
      <c r="I718" s="312"/>
    </row>
    <row r="719">
      <c r="G719" s="311"/>
      <c r="I719" s="312"/>
    </row>
    <row r="720">
      <c r="G720" s="311"/>
      <c r="I720" s="312"/>
    </row>
    <row r="721">
      <c r="G721" s="311"/>
      <c r="I721" s="312"/>
    </row>
    <row r="722">
      <c r="G722" s="311"/>
      <c r="I722" s="312"/>
    </row>
    <row r="723">
      <c r="G723" s="311"/>
      <c r="I723" s="312"/>
    </row>
    <row r="724">
      <c r="G724" s="311"/>
      <c r="I724" s="312"/>
    </row>
    <row r="725">
      <c r="G725" s="311"/>
      <c r="I725" s="312"/>
    </row>
    <row r="726">
      <c r="G726" s="311"/>
      <c r="I726" s="312"/>
    </row>
    <row r="727">
      <c r="G727" s="311"/>
      <c r="I727" s="312"/>
    </row>
    <row r="728">
      <c r="G728" s="311"/>
      <c r="I728" s="312"/>
    </row>
    <row r="729">
      <c r="G729" s="311"/>
      <c r="I729" s="312"/>
    </row>
    <row r="730">
      <c r="G730" s="311"/>
      <c r="I730" s="312"/>
    </row>
    <row r="731">
      <c r="G731" s="311"/>
      <c r="I731" s="312"/>
    </row>
    <row r="732">
      <c r="G732" s="311"/>
      <c r="I732" s="312"/>
    </row>
    <row r="733">
      <c r="G733" s="311"/>
      <c r="I733" s="312"/>
    </row>
    <row r="734">
      <c r="G734" s="311"/>
      <c r="I734" s="312"/>
    </row>
    <row r="735">
      <c r="G735" s="311"/>
      <c r="I735" s="312"/>
    </row>
    <row r="736">
      <c r="G736" s="311"/>
      <c r="I736" s="312"/>
    </row>
    <row r="737">
      <c r="G737" s="311"/>
      <c r="I737" s="312"/>
    </row>
    <row r="738">
      <c r="G738" s="311"/>
      <c r="I738" s="312"/>
    </row>
    <row r="739">
      <c r="G739" s="311"/>
      <c r="I739" s="312"/>
    </row>
    <row r="740">
      <c r="G740" s="311"/>
      <c r="I740" s="312"/>
    </row>
    <row r="741">
      <c r="G741" s="311"/>
      <c r="I741" s="312"/>
    </row>
    <row r="742">
      <c r="G742" s="311"/>
      <c r="I742" s="312"/>
    </row>
    <row r="743">
      <c r="G743" s="311"/>
      <c r="I743" s="312"/>
    </row>
    <row r="744">
      <c r="G744" s="311"/>
      <c r="I744" s="312"/>
    </row>
    <row r="745">
      <c r="G745" s="311"/>
      <c r="I745" s="312"/>
    </row>
    <row r="746">
      <c r="G746" s="311"/>
      <c r="I746" s="312"/>
    </row>
    <row r="747">
      <c r="G747" s="311"/>
      <c r="I747" s="312"/>
    </row>
    <row r="748">
      <c r="G748" s="311"/>
      <c r="I748" s="312"/>
    </row>
    <row r="749">
      <c r="G749" s="311"/>
      <c r="I749" s="312"/>
    </row>
    <row r="750">
      <c r="G750" s="311"/>
      <c r="I750" s="312"/>
    </row>
    <row r="751">
      <c r="G751" s="311"/>
      <c r="I751" s="312"/>
    </row>
    <row r="752">
      <c r="G752" s="311"/>
      <c r="I752" s="312"/>
    </row>
    <row r="753">
      <c r="G753" s="311"/>
      <c r="I753" s="312"/>
    </row>
    <row r="754">
      <c r="G754" s="311"/>
      <c r="I754" s="312"/>
    </row>
    <row r="755">
      <c r="G755" s="311"/>
      <c r="I755" s="312"/>
    </row>
    <row r="756">
      <c r="G756" s="311"/>
      <c r="I756" s="312"/>
    </row>
    <row r="757">
      <c r="G757" s="311"/>
      <c r="I757" s="312"/>
    </row>
    <row r="758">
      <c r="G758" s="311"/>
      <c r="I758" s="312"/>
    </row>
    <row r="759">
      <c r="G759" s="311"/>
      <c r="I759" s="312"/>
    </row>
    <row r="760">
      <c r="G760" s="311"/>
      <c r="I760" s="312"/>
    </row>
    <row r="761">
      <c r="G761" s="311"/>
      <c r="I761" s="312"/>
    </row>
    <row r="762">
      <c r="G762" s="311"/>
      <c r="I762" s="312"/>
    </row>
    <row r="763">
      <c r="G763" s="311"/>
      <c r="I763" s="312"/>
    </row>
    <row r="764">
      <c r="G764" s="311"/>
      <c r="I764" s="312"/>
    </row>
    <row r="765">
      <c r="G765" s="311"/>
      <c r="I765" s="312"/>
    </row>
    <row r="766">
      <c r="G766" s="311"/>
      <c r="I766" s="312"/>
    </row>
    <row r="767">
      <c r="G767" s="311"/>
      <c r="I767" s="312"/>
    </row>
    <row r="768">
      <c r="G768" s="311"/>
      <c r="I768" s="312"/>
    </row>
    <row r="769">
      <c r="G769" s="311"/>
      <c r="I769" s="312"/>
    </row>
    <row r="770">
      <c r="G770" s="311"/>
      <c r="I770" s="312"/>
    </row>
    <row r="771">
      <c r="G771" s="311"/>
      <c r="I771" s="312"/>
    </row>
    <row r="772">
      <c r="G772" s="311"/>
      <c r="I772" s="312"/>
    </row>
    <row r="773">
      <c r="G773" s="311"/>
      <c r="I773" s="312"/>
    </row>
    <row r="774">
      <c r="G774" s="311"/>
      <c r="I774" s="312"/>
    </row>
    <row r="775">
      <c r="G775" s="311"/>
      <c r="I775" s="312"/>
    </row>
    <row r="776">
      <c r="G776" s="311"/>
      <c r="I776" s="312"/>
    </row>
    <row r="777">
      <c r="G777" s="311"/>
      <c r="I777" s="312"/>
    </row>
    <row r="778">
      <c r="G778" s="311"/>
      <c r="I778" s="312"/>
    </row>
    <row r="779">
      <c r="G779" s="311"/>
      <c r="I779" s="312"/>
    </row>
    <row r="780">
      <c r="G780" s="311"/>
      <c r="I780" s="312"/>
    </row>
    <row r="781">
      <c r="G781" s="311"/>
      <c r="I781" s="312"/>
    </row>
    <row r="782">
      <c r="G782" s="311"/>
      <c r="I782" s="312"/>
    </row>
    <row r="783">
      <c r="G783" s="311"/>
      <c r="I783" s="312"/>
    </row>
    <row r="784">
      <c r="G784" s="311"/>
      <c r="I784" s="312"/>
    </row>
    <row r="785">
      <c r="G785" s="311"/>
      <c r="I785" s="312"/>
    </row>
    <row r="786">
      <c r="G786" s="311"/>
      <c r="I786" s="312"/>
    </row>
    <row r="787">
      <c r="G787" s="311"/>
      <c r="I787" s="312"/>
    </row>
    <row r="788">
      <c r="G788" s="311"/>
      <c r="I788" s="312"/>
    </row>
    <row r="789">
      <c r="G789" s="311"/>
      <c r="I789" s="312"/>
    </row>
    <row r="790">
      <c r="G790" s="311"/>
      <c r="I790" s="312"/>
    </row>
    <row r="791">
      <c r="G791" s="311"/>
      <c r="I791" s="312"/>
    </row>
    <row r="792">
      <c r="G792" s="311"/>
      <c r="I792" s="312"/>
    </row>
    <row r="793">
      <c r="G793" s="311"/>
      <c r="I793" s="312"/>
    </row>
    <row r="794">
      <c r="G794" s="311"/>
      <c r="I794" s="312"/>
    </row>
    <row r="795">
      <c r="G795" s="311"/>
      <c r="I795" s="312"/>
    </row>
    <row r="796">
      <c r="G796" s="311"/>
      <c r="I796" s="312"/>
    </row>
    <row r="797">
      <c r="G797" s="311"/>
      <c r="I797" s="312"/>
    </row>
    <row r="798">
      <c r="G798" s="311"/>
      <c r="I798" s="312"/>
    </row>
    <row r="799">
      <c r="G799" s="311"/>
      <c r="I799" s="312"/>
    </row>
    <row r="800">
      <c r="G800" s="311"/>
      <c r="I800" s="312"/>
    </row>
    <row r="801">
      <c r="G801" s="311"/>
      <c r="I801" s="312"/>
    </row>
    <row r="802">
      <c r="G802" s="311"/>
      <c r="I802" s="312"/>
    </row>
    <row r="803">
      <c r="G803" s="311"/>
      <c r="I803" s="312"/>
    </row>
    <row r="804">
      <c r="G804" s="311"/>
      <c r="I804" s="312"/>
    </row>
    <row r="805">
      <c r="G805" s="311"/>
      <c r="I805" s="312"/>
    </row>
    <row r="806">
      <c r="G806" s="311"/>
      <c r="I806" s="312"/>
    </row>
    <row r="807">
      <c r="G807" s="311"/>
      <c r="I807" s="312"/>
    </row>
    <row r="808">
      <c r="G808" s="311"/>
      <c r="I808" s="312"/>
    </row>
    <row r="809">
      <c r="G809" s="311"/>
      <c r="I809" s="312"/>
    </row>
    <row r="810">
      <c r="G810" s="311"/>
      <c r="I810" s="312"/>
    </row>
    <row r="811">
      <c r="G811" s="311"/>
      <c r="I811" s="312"/>
    </row>
    <row r="812">
      <c r="G812" s="311"/>
      <c r="I812" s="312"/>
    </row>
    <row r="813">
      <c r="G813" s="311"/>
      <c r="I813" s="312"/>
    </row>
    <row r="814">
      <c r="G814" s="311"/>
      <c r="I814" s="312"/>
    </row>
    <row r="815">
      <c r="G815" s="311"/>
      <c r="I815" s="312"/>
    </row>
    <row r="816">
      <c r="G816" s="311"/>
      <c r="I816" s="312"/>
    </row>
    <row r="817">
      <c r="G817" s="311"/>
      <c r="I817" s="312"/>
    </row>
    <row r="818">
      <c r="G818" s="311"/>
      <c r="I818" s="312"/>
    </row>
    <row r="819">
      <c r="G819" s="311"/>
      <c r="I819" s="312"/>
    </row>
    <row r="820">
      <c r="G820" s="311"/>
      <c r="I820" s="312"/>
    </row>
    <row r="821">
      <c r="G821" s="311"/>
      <c r="I821" s="312"/>
    </row>
    <row r="822">
      <c r="G822" s="311"/>
      <c r="I822" s="312"/>
    </row>
    <row r="823">
      <c r="G823" s="311"/>
      <c r="I823" s="312"/>
    </row>
    <row r="824">
      <c r="G824" s="311"/>
      <c r="I824" s="312"/>
    </row>
    <row r="825">
      <c r="G825" s="311"/>
      <c r="I825" s="312"/>
    </row>
    <row r="826">
      <c r="G826" s="311"/>
      <c r="I826" s="312"/>
    </row>
    <row r="827">
      <c r="G827" s="311"/>
      <c r="I827" s="312"/>
    </row>
    <row r="828">
      <c r="G828" s="311"/>
      <c r="I828" s="312"/>
    </row>
    <row r="829">
      <c r="G829" s="311"/>
      <c r="I829" s="312"/>
    </row>
    <row r="830">
      <c r="G830" s="311"/>
      <c r="I830" s="312"/>
    </row>
    <row r="831">
      <c r="G831" s="311"/>
      <c r="I831" s="312"/>
    </row>
    <row r="832">
      <c r="G832" s="311"/>
      <c r="I832" s="312"/>
    </row>
    <row r="833">
      <c r="G833" s="311"/>
      <c r="I833" s="312"/>
    </row>
    <row r="834">
      <c r="G834" s="311"/>
      <c r="I834" s="312"/>
    </row>
    <row r="835">
      <c r="G835" s="311"/>
      <c r="I835" s="312"/>
    </row>
    <row r="836">
      <c r="G836" s="311"/>
      <c r="I836" s="312"/>
    </row>
    <row r="837">
      <c r="G837" s="311"/>
      <c r="I837" s="312"/>
    </row>
    <row r="838">
      <c r="G838" s="311"/>
      <c r="I838" s="312"/>
    </row>
    <row r="839">
      <c r="G839" s="311"/>
      <c r="I839" s="312"/>
    </row>
    <row r="840">
      <c r="G840" s="311"/>
      <c r="I840" s="312"/>
    </row>
    <row r="841">
      <c r="G841" s="311"/>
      <c r="I841" s="312"/>
    </row>
    <row r="842">
      <c r="G842" s="311"/>
      <c r="I842" s="312"/>
    </row>
    <row r="843">
      <c r="G843" s="311"/>
      <c r="I843" s="312"/>
    </row>
    <row r="844">
      <c r="G844" s="311"/>
      <c r="I844" s="312"/>
    </row>
    <row r="845">
      <c r="G845" s="311"/>
      <c r="I845" s="312"/>
    </row>
    <row r="846">
      <c r="G846" s="311"/>
      <c r="I846" s="312"/>
    </row>
    <row r="847">
      <c r="G847" s="311"/>
      <c r="I847" s="312"/>
    </row>
    <row r="848">
      <c r="G848" s="311"/>
      <c r="I848" s="312"/>
    </row>
    <row r="849">
      <c r="G849" s="311"/>
      <c r="I849" s="312"/>
    </row>
    <row r="850">
      <c r="G850" s="311"/>
      <c r="I850" s="312"/>
    </row>
    <row r="851">
      <c r="G851" s="311"/>
      <c r="I851" s="312"/>
    </row>
    <row r="852">
      <c r="G852" s="311"/>
      <c r="I852" s="312"/>
    </row>
    <row r="853">
      <c r="G853" s="311"/>
      <c r="I853" s="312"/>
    </row>
    <row r="854">
      <c r="G854" s="311"/>
      <c r="I854" s="312"/>
    </row>
    <row r="855">
      <c r="G855" s="311"/>
      <c r="I855" s="312"/>
    </row>
    <row r="856">
      <c r="G856" s="311"/>
      <c r="I856" s="312"/>
    </row>
    <row r="857">
      <c r="G857" s="311"/>
      <c r="I857" s="312"/>
    </row>
    <row r="858">
      <c r="G858" s="311"/>
      <c r="I858" s="312"/>
    </row>
    <row r="859">
      <c r="G859" s="311"/>
      <c r="I859" s="312"/>
    </row>
    <row r="860">
      <c r="G860" s="311"/>
      <c r="I860" s="312"/>
    </row>
    <row r="861">
      <c r="G861" s="311"/>
      <c r="I861" s="312"/>
    </row>
    <row r="862">
      <c r="G862" s="311"/>
      <c r="I862" s="312"/>
    </row>
    <row r="863">
      <c r="G863" s="311"/>
      <c r="I863" s="312"/>
    </row>
    <row r="864">
      <c r="G864" s="311"/>
      <c r="I864" s="312"/>
    </row>
    <row r="865">
      <c r="G865" s="311"/>
      <c r="I865" s="312"/>
    </row>
    <row r="866">
      <c r="G866" s="311"/>
      <c r="I866" s="312"/>
    </row>
    <row r="867">
      <c r="G867" s="311"/>
      <c r="I867" s="312"/>
    </row>
    <row r="868">
      <c r="G868" s="311"/>
      <c r="I868" s="312"/>
    </row>
    <row r="869">
      <c r="G869" s="311"/>
      <c r="I869" s="312"/>
    </row>
    <row r="870">
      <c r="G870" s="311"/>
      <c r="I870" s="312"/>
    </row>
    <row r="871">
      <c r="G871" s="311"/>
      <c r="I871" s="312"/>
    </row>
    <row r="872">
      <c r="G872" s="311"/>
      <c r="I872" s="312"/>
    </row>
    <row r="873">
      <c r="G873" s="311"/>
      <c r="I873" s="312"/>
    </row>
    <row r="874">
      <c r="G874" s="311"/>
      <c r="I874" s="312"/>
    </row>
    <row r="875">
      <c r="G875" s="311"/>
      <c r="I875" s="312"/>
    </row>
    <row r="876">
      <c r="G876" s="311"/>
      <c r="I876" s="312"/>
    </row>
    <row r="877">
      <c r="G877" s="311"/>
      <c r="I877" s="312"/>
    </row>
    <row r="878">
      <c r="G878" s="311"/>
      <c r="I878" s="312"/>
    </row>
    <row r="879">
      <c r="G879" s="311"/>
      <c r="I879" s="312"/>
    </row>
    <row r="880">
      <c r="G880" s="311"/>
      <c r="I880" s="312"/>
    </row>
    <row r="881">
      <c r="G881" s="311"/>
      <c r="I881" s="312"/>
    </row>
    <row r="882">
      <c r="G882" s="311"/>
      <c r="I882" s="312"/>
    </row>
    <row r="883">
      <c r="G883" s="311"/>
      <c r="I883" s="312"/>
    </row>
    <row r="884">
      <c r="G884" s="311"/>
      <c r="I884" s="312"/>
    </row>
    <row r="885">
      <c r="G885" s="311"/>
      <c r="I885" s="312"/>
    </row>
    <row r="886">
      <c r="G886" s="311"/>
      <c r="I886" s="312"/>
    </row>
    <row r="887">
      <c r="G887" s="311"/>
      <c r="I887" s="312"/>
    </row>
    <row r="888">
      <c r="G888" s="311"/>
      <c r="I888" s="312"/>
    </row>
    <row r="889">
      <c r="G889" s="311"/>
      <c r="I889" s="312"/>
    </row>
    <row r="890">
      <c r="G890" s="311"/>
      <c r="I890" s="312"/>
    </row>
    <row r="891">
      <c r="G891" s="311"/>
      <c r="I891" s="312"/>
    </row>
    <row r="892">
      <c r="G892" s="311"/>
      <c r="I892" s="312"/>
    </row>
    <row r="893">
      <c r="G893" s="311"/>
      <c r="I893" s="312"/>
    </row>
    <row r="894">
      <c r="G894" s="311"/>
      <c r="I894" s="312"/>
    </row>
    <row r="895">
      <c r="G895" s="311"/>
      <c r="I895" s="312"/>
    </row>
    <row r="896">
      <c r="G896" s="311"/>
      <c r="I896" s="312"/>
    </row>
    <row r="897">
      <c r="G897" s="311"/>
      <c r="I897" s="312"/>
    </row>
    <row r="898">
      <c r="G898" s="311"/>
      <c r="I898" s="312"/>
    </row>
    <row r="899">
      <c r="G899" s="311"/>
      <c r="I899" s="312"/>
    </row>
    <row r="900">
      <c r="G900" s="311"/>
      <c r="I900" s="312"/>
    </row>
    <row r="901">
      <c r="G901" s="311"/>
      <c r="I901" s="312"/>
    </row>
    <row r="902">
      <c r="G902" s="311"/>
      <c r="I902" s="312"/>
    </row>
    <row r="903">
      <c r="G903" s="311"/>
      <c r="I903" s="312"/>
    </row>
    <row r="904">
      <c r="G904" s="311"/>
      <c r="I904" s="312"/>
    </row>
    <row r="905">
      <c r="G905" s="311"/>
      <c r="I905" s="312"/>
    </row>
    <row r="906">
      <c r="G906" s="311"/>
      <c r="I906" s="312"/>
    </row>
    <row r="907">
      <c r="G907" s="311"/>
      <c r="I907" s="312"/>
    </row>
    <row r="908">
      <c r="G908" s="311"/>
      <c r="I908" s="312"/>
    </row>
    <row r="909">
      <c r="G909" s="311"/>
      <c r="I909" s="312"/>
    </row>
    <row r="910">
      <c r="G910" s="311"/>
      <c r="I910" s="312"/>
    </row>
    <row r="911">
      <c r="G911" s="311"/>
      <c r="I911" s="312"/>
    </row>
    <row r="912">
      <c r="G912" s="311"/>
      <c r="I912" s="312"/>
    </row>
    <row r="913">
      <c r="G913" s="311"/>
      <c r="I913" s="312"/>
    </row>
    <row r="914">
      <c r="G914" s="311"/>
      <c r="I914" s="312"/>
    </row>
    <row r="915">
      <c r="G915" s="311"/>
      <c r="I915" s="312"/>
    </row>
    <row r="916">
      <c r="G916" s="311"/>
      <c r="I916" s="312"/>
    </row>
    <row r="917">
      <c r="G917" s="311"/>
      <c r="I917" s="312"/>
    </row>
    <row r="918">
      <c r="G918" s="311"/>
      <c r="I918" s="312"/>
    </row>
    <row r="919">
      <c r="G919" s="311"/>
      <c r="I919" s="312"/>
    </row>
    <row r="920">
      <c r="G920" s="311"/>
      <c r="I920" s="312"/>
    </row>
    <row r="921">
      <c r="G921" s="311"/>
      <c r="I921" s="312"/>
    </row>
    <row r="922">
      <c r="G922" s="311"/>
      <c r="I922" s="312"/>
    </row>
    <row r="923">
      <c r="G923" s="311"/>
      <c r="I923" s="312"/>
    </row>
    <row r="924">
      <c r="G924" s="311"/>
      <c r="I924" s="312"/>
    </row>
    <row r="925">
      <c r="G925" s="311"/>
      <c r="I925" s="312"/>
    </row>
    <row r="926">
      <c r="G926" s="311"/>
      <c r="I926" s="312"/>
    </row>
    <row r="927">
      <c r="G927" s="311"/>
      <c r="I927" s="312"/>
    </row>
    <row r="928">
      <c r="G928" s="311"/>
      <c r="I928" s="312"/>
    </row>
    <row r="929">
      <c r="G929" s="311"/>
      <c r="I929" s="312"/>
    </row>
    <row r="930">
      <c r="G930" s="311"/>
      <c r="I930" s="312"/>
    </row>
    <row r="931">
      <c r="G931" s="311"/>
      <c r="I931" s="312"/>
    </row>
    <row r="932">
      <c r="G932" s="311"/>
      <c r="I932" s="312"/>
    </row>
    <row r="933">
      <c r="G933" s="311"/>
      <c r="I933" s="312"/>
    </row>
    <row r="934">
      <c r="G934" s="311"/>
      <c r="I934" s="312"/>
    </row>
    <row r="935">
      <c r="G935" s="311"/>
      <c r="I935" s="312"/>
    </row>
    <row r="936">
      <c r="G936" s="311"/>
      <c r="I936" s="312"/>
    </row>
    <row r="937">
      <c r="G937" s="311"/>
      <c r="I937" s="312"/>
    </row>
    <row r="938">
      <c r="G938" s="311"/>
      <c r="I938" s="312"/>
    </row>
    <row r="939">
      <c r="G939" s="311"/>
      <c r="I939" s="312"/>
    </row>
    <row r="940">
      <c r="G940" s="311"/>
      <c r="I940" s="312"/>
    </row>
    <row r="941">
      <c r="G941" s="311"/>
      <c r="I941" s="312"/>
    </row>
    <row r="942">
      <c r="G942" s="311"/>
      <c r="I942" s="312"/>
    </row>
    <row r="943">
      <c r="G943" s="311"/>
      <c r="I943" s="312"/>
    </row>
    <row r="944">
      <c r="G944" s="311"/>
      <c r="I944" s="312"/>
    </row>
    <row r="945">
      <c r="G945" s="311"/>
      <c r="I945" s="312"/>
    </row>
    <row r="946">
      <c r="G946" s="311"/>
      <c r="I946" s="312"/>
    </row>
    <row r="947">
      <c r="G947" s="311"/>
      <c r="I947" s="312"/>
    </row>
    <row r="948">
      <c r="G948" s="311"/>
      <c r="I948" s="312"/>
    </row>
    <row r="949">
      <c r="G949" s="311"/>
      <c r="I949" s="312"/>
    </row>
    <row r="950">
      <c r="G950" s="311"/>
      <c r="I950" s="312"/>
    </row>
    <row r="951">
      <c r="G951" s="311"/>
      <c r="I951" s="312"/>
    </row>
    <row r="952">
      <c r="G952" s="311"/>
      <c r="I952" s="312"/>
    </row>
    <row r="953">
      <c r="G953" s="311"/>
      <c r="I953" s="312"/>
    </row>
    <row r="954">
      <c r="G954" s="311"/>
      <c r="I954" s="312"/>
    </row>
    <row r="955">
      <c r="G955" s="311"/>
      <c r="I955" s="312"/>
    </row>
    <row r="956">
      <c r="G956" s="311"/>
      <c r="I956" s="312"/>
    </row>
    <row r="957">
      <c r="G957" s="311"/>
      <c r="I957" s="312"/>
    </row>
    <row r="958">
      <c r="G958" s="311"/>
      <c r="I958" s="312"/>
    </row>
    <row r="959">
      <c r="G959" s="311"/>
      <c r="I959" s="312"/>
    </row>
    <row r="960">
      <c r="G960" s="311"/>
      <c r="I960" s="312"/>
    </row>
    <row r="961">
      <c r="G961" s="311"/>
      <c r="I961" s="312"/>
    </row>
    <row r="962">
      <c r="G962" s="311"/>
      <c r="I962" s="312"/>
    </row>
    <row r="963">
      <c r="G963" s="311"/>
      <c r="I963" s="312"/>
    </row>
    <row r="964">
      <c r="G964" s="311"/>
      <c r="I964" s="312"/>
    </row>
    <row r="965">
      <c r="G965" s="311"/>
      <c r="I965" s="312"/>
    </row>
    <row r="966">
      <c r="G966" s="311"/>
      <c r="I966" s="312"/>
    </row>
    <row r="967">
      <c r="G967" s="311"/>
      <c r="I967" s="312"/>
    </row>
    <row r="968">
      <c r="G968" s="311"/>
      <c r="I968" s="312"/>
    </row>
    <row r="969">
      <c r="G969" s="311"/>
      <c r="I969" s="312"/>
    </row>
    <row r="970">
      <c r="G970" s="311"/>
      <c r="I970" s="312"/>
    </row>
    <row r="971">
      <c r="G971" s="311"/>
      <c r="I971" s="312"/>
    </row>
    <row r="972">
      <c r="G972" s="311"/>
      <c r="I972" s="312"/>
    </row>
    <row r="973">
      <c r="G973" s="311"/>
      <c r="I973" s="312"/>
    </row>
    <row r="974">
      <c r="G974" s="311"/>
      <c r="I974" s="312"/>
    </row>
    <row r="975">
      <c r="G975" s="311"/>
      <c r="I975" s="312"/>
    </row>
    <row r="976">
      <c r="G976" s="311"/>
      <c r="I976" s="312"/>
    </row>
    <row r="977">
      <c r="G977" s="311"/>
      <c r="I977" s="312"/>
    </row>
    <row r="978">
      <c r="G978" s="311"/>
      <c r="I978" s="312"/>
    </row>
    <row r="979">
      <c r="G979" s="311"/>
      <c r="I979" s="312"/>
    </row>
    <row r="980">
      <c r="G980" s="311"/>
      <c r="I980" s="312"/>
    </row>
    <row r="981">
      <c r="G981" s="311"/>
      <c r="I981" s="312"/>
    </row>
    <row r="982">
      <c r="G982" s="311"/>
      <c r="I982" s="312"/>
    </row>
    <row r="983">
      <c r="G983" s="311"/>
      <c r="I983" s="312"/>
    </row>
    <row r="984">
      <c r="G984" s="311"/>
      <c r="I984" s="312"/>
    </row>
    <row r="985">
      <c r="G985" s="311"/>
      <c r="I985" s="312"/>
    </row>
    <row r="986">
      <c r="G986" s="311"/>
      <c r="I986" s="312"/>
    </row>
    <row r="987">
      <c r="G987" s="311"/>
      <c r="I987" s="312"/>
    </row>
    <row r="988">
      <c r="G988" s="311"/>
      <c r="I988" s="312"/>
    </row>
    <row r="989">
      <c r="G989" s="311"/>
      <c r="I989" s="312"/>
    </row>
    <row r="990">
      <c r="G990" s="311"/>
      <c r="I990" s="312"/>
    </row>
    <row r="991">
      <c r="G991" s="311"/>
      <c r="I991" s="312"/>
    </row>
    <row r="992">
      <c r="G992" s="311"/>
      <c r="I992" s="312"/>
    </row>
    <row r="993">
      <c r="G993" s="311"/>
      <c r="I993" s="312"/>
    </row>
    <row r="994">
      <c r="G994" s="311"/>
      <c r="I994" s="312"/>
    </row>
    <row r="995">
      <c r="G995" s="311"/>
      <c r="I995" s="312"/>
    </row>
    <row r="996">
      <c r="G996" s="311"/>
      <c r="I996" s="312"/>
    </row>
    <row r="997">
      <c r="G997" s="311"/>
      <c r="I997" s="312"/>
    </row>
    <row r="998">
      <c r="G998" s="311"/>
      <c r="I998" s="312"/>
    </row>
    <row r="999">
      <c r="G999" s="311"/>
      <c r="I999" s="312"/>
    </row>
    <row r="1000">
      <c r="G1000" s="311"/>
      <c r="I1000" s="312"/>
    </row>
    <row r="1001">
      <c r="G1001" s="311"/>
      <c r="I1001" s="312"/>
    </row>
    <row r="1002">
      <c r="G1002" s="311"/>
      <c r="I1002" s="312"/>
    </row>
  </sheetData>
  <mergeCells count="32">
    <mergeCell ref="Q17:Q18"/>
    <mergeCell ref="R17:R18"/>
    <mergeCell ref="A15:A26"/>
    <mergeCell ref="A27:A38"/>
    <mergeCell ref="A39:A50"/>
    <mergeCell ref="A51:A62"/>
    <mergeCell ref="A63:A74"/>
    <mergeCell ref="A75:A86"/>
    <mergeCell ref="A87:A98"/>
    <mergeCell ref="A1:B1"/>
    <mergeCell ref="C1:H1"/>
    <mergeCell ref="K1:S1"/>
    <mergeCell ref="A2:B2"/>
    <mergeCell ref="A3:A14"/>
    <mergeCell ref="K15:K16"/>
    <mergeCell ref="S17:S18"/>
    <mergeCell ref="L15:L16"/>
    <mergeCell ref="M15:M16"/>
    <mergeCell ref="N15:N16"/>
    <mergeCell ref="O15:O16"/>
    <mergeCell ref="P15:P16"/>
    <mergeCell ref="Q15:Q16"/>
    <mergeCell ref="R15:R16"/>
    <mergeCell ref="S15:S16"/>
    <mergeCell ref="T15:T16"/>
    <mergeCell ref="T17:T18"/>
    <mergeCell ref="K17:K18"/>
    <mergeCell ref="L17:L18"/>
    <mergeCell ref="M17:M18"/>
    <mergeCell ref="N17:N18"/>
    <mergeCell ref="O17:O18"/>
    <mergeCell ref="P17:P18"/>
  </mergeCells>
  <conditionalFormatting sqref="L3:S14 T3:T18">
    <cfRule type="cellIs" dxfId="22" priority="1" operator="greaterThan">
      <formula>0</formula>
    </cfRule>
  </conditionalFormatting>
  <conditionalFormatting sqref="L3:S14 T3:T18">
    <cfRule type="cellIs" dxfId="23" priority="2" operator="equal">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75"/>
    <col customWidth="1" min="2" max="2" width="15.75"/>
    <col customWidth="1" min="3" max="3" width="16.63"/>
    <col customWidth="1" min="4" max="4" width="13.88"/>
    <col customWidth="1" min="5" max="7" width="13.38"/>
  </cols>
  <sheetData>
    <row r="1" ht="28.5" customHeight="1">
      <c r="A1" s="313"/>
      <c r="B1" s="247" t="str">
        <f>Dashboard!B1</f>
        <v>PORTFOLIO FIDELITY 2024</v>
      </c>
      <c r="G1" s="247" t="s">
        <v>283</v>
      </c>
    </row>
    <row r="2">
      <c r="A2" s="314"/>
      <c r="B2" s="315" t="s">
        <v>284</v>
      </c>
      <c r="C2" s="315" t="s">
        <v>285</v>
      </c>
      <c r="D2" s="315" t="s">
        <v>179</v>
      </c>
      <c r="E2" s="315" t="s">
        <v>12</v>
      </c>
      <c r="F2" s="315" t="s">
        <v>182</v>
      </c>
      <c r="G2" s="315" t="s">
        <v>286</v>
      </c>
    </row>
    <row r="3">
      <c r="A3" s="316" t="s">
        <v>287</v>
      </c>
      <c r="B3" s="317">
        <f>LOOKUP(1.E+308, B2:B9)
</f>
        <v>40306.35125</v>
      </c>
      <c r="C3" s="317">
        <f t="shared" ref="C3:D3" si="1">SUM(C4:C11)</f>
        <v>33980</v>
      </c>
      <c r="D3" s="317">
        <f t="shared" si="1"/>
        <v>1006.99</v>
      </c>
      <c r="E3" s="318">
        <f>iferror(D3/C3,0)</f>
        <v>0.02963478517</v>
      </c>
      <c r="F3" s="319">
        <f t="shared" ref="F3:G3" si="2">LOOKUP(1E+308, F4:F11)</f>
        <v>0</v>
      </c>
      <c r="G3" s="319">
        <f t="shared" si="2"/>
        <v>0.1788</v>
      </c>
    </row>
    <row r="4">
      <c r="A4" s="314" t="s">
        <v>288</v>
      </c>
      <c r="B4" s="320">
        <f>IFERROR(__xludf.DUMMYFUNCTION("IFerror(INDEX('Monthly Data '!C3:C14, MAX(FILTER(ROW('Monthly Data '!C3:C14) - ROW('Monthly Data '!C3) + 1, 'Monthly Data '!C3:C14 &lt;&gt; """"))),"""")
"),14947.02)</f>
        <v>14947.02</v>
      </c>
      <c r="C4" s="321">
        <f>'Monthly Data '!A2+sum('Monthly Data '!D3:D14)</f>
        <v>14080</v>
      </c>
      <c r="D4" s="321">
        <f>SUM('Monthly Data '!E3:E14)</f>
        <v>150.76</v>
      </c>
      <c r="E4" s="322">
        <f t="shared" ref="E4:E5" si="3">iferror(D4/B4,0)</f>
        <v>0.01008629145</v>
      </c>
      <c r="F4" s="323">
        <f>IFERROR(__xludf.DUMMYFUNCTION("IFERROR(
IF(
COUNTIFS('Monthly Data '!B:B,""December ""&amp;RIGHT(A4,2),'Monthly Data '!C:C,"""")&gt;0,
INDEX(
  FILTER('Monthly Data '!H:H,
         'Monthly Data '!C:C&lt;&gt;"""",
         RIGHT('Monthly Data '!B:B,2)=RIGHT(A4,2)
  ),
  COUNTA(
    FILTER('Monthly "&amp;"Data '!H:H,
           'Monthly Data '!C:C&lt;&gt;"""",
           RIGHT('Monthly Data '!B:B,2)=RIGHT(A4,2)
    )
  )
),
IF(
COUNTIF('Monthly Data '!B:B,""December ""&amp;RIGHT(A4-1,2))=0,
INDEX(FILTER('Monthly Data '!H:H,'Monthly Data '!B:B=""December ""&amp;RIGHT(A4,"&amp;"2)),1),
((1+INDEX(FILTER('Monthly Data '!H:H,'Monthly Data '!B:B=""December ""&amp;RIGHT(A4,2)),1)) /
 (1+INDEX(FILTER('Monthly Data '!H:H,'Monthly Data '!B:B=""December ""&amp;RIGHT(A4-1,2)),1))) - 1
)
)
,
"""")
"),0.06157812500000003)</f>
        <v>0.061578125</v>
      </c>
      <c r="G4" s="324">
        <v>0.1085</v>
      </c>
    </row>
    <row r="5">
      <c r="A5" s="314" t="s">
        <v>289</v>
      </c>
      <c r="B5" s="320">
        <f>IFERROR(__xludf.DUMMYFUNCTION("IFerror(INDEX('Monthly Data '!C15:C25, MAX(FILTER(ROW('Monthly Data '!C15:C25) - ROW('Monthly Data '!C15) + 1, 'Monthly Data '!C15:C25 &lt;&gt; """"))),"""")
"),36036.33)</f>
        <v>36036.33</v>
      </c>
      <c r="C5" s="320">
        <f>sum('Monthly Data '!D15:D26)</f>
        <v>19500</v>
      </c>
      <c r="D5" s="320">
        <f>SUM('Monthly Data '!E15:E26)</f>
        <v>735.44</v>
      </c>
      <c r="E5" s="322">
        <f t="shared" si="3"/>
        <v>0.02040829352</v>
      </c>
      <c r="F5" s="323">
        <f>IFERROR(__xludf.DUMMYFUNCTION("IFERROR(
IF(
COUNTIFS('Monthly Data '!B:B,""December ""&amp;RIGHT(A5,2),'Monthly Data '!C:C,"""")&gt;0,
INDEX(
  FILTER('Monthly Data '!H:H,
         'Monthly Data '!C:C&lt;&gt;"""",
         RIGHT('Monthly Data '!B:B,2)=RIGHT(A5,2)
  ),
  COUNTA(
    FILTER('Monthly "&amp;"Data '!H:H,
           'Monthly Data '!C:C&lt;&gt;"""",
           RIGHT('Monthly Data '!B:B,2)=RIGHT(A5,2)
    )
  )
),
IF(
COUNTIF('Monthly Data '!B:B,""December ""&amp;RIGHT(A5-1,2))=0,
INDEX(FILTER('Monthly Data '!H:H,'Monthly Data '!B:B=""December ""&amp;RIGHT(A5,"&amp;"2)),1),
((1+INDEX(FILTER('Monthly Data '!H:H,'Monthly Data '!B:B=""December ""&amp;RIGHT(A5,2)),1)) /
 (1+INDEX(FILTER('Monthly Data '!H:H,'Monthly Data '!B:B=""December ""&amp;RIGHT(A5-1,2)),1))) - 1
)
)
,
"""")
"),0.12054369003326904)</f>
        <v>0.12054369</v>
      </c>
      <c r="G5" s="324">
        <v>0.1788</v>
      </c>
    </row>
    <row r="6">
      <c r="A6" s="314" t="s">
        <v>290</v>
      </c>
      <c r="B6" s="320">
        <f>IFERROR(__xludf.DUMMYFUNCTION("IFERROR(INDEX('Monthly Data '!C27:C38, MAX(FILTER(ROW('Monthly Data '!C27:C38) - ROW('Monthly Data '!C27) + 1, 'Monthly Data '!C27:C38 &lt;&gt; """"))),"""")
"),40306.35125)</f>
        <v>40306.35125</v>
      </c>
      <c r="C6" s="320">
        <f>Sum('Monthly Data '!D27:D38)</f>
        <v>400</v>
      </c>
      <c r="D6" s="320">
        <f>SUM('Monthly Data '!E27:E38)</f>
        <v>120.79</v>
      </c>
      <c r="E6" s="322">
        <f t="shared" ref="E6:E11" si="4">iferror(D6/C6,0)</f>
        <v>0.301975</v>
      </c>
      <c r="F6" s="323">
        <f>IFERROR(__xludf.DUMMYFUNCTION("IFERROR(
IF(
COUNTIFS('Monthly Data '!B:B,""December ""&amp;RIGHT(A6,2),'Monthly Data '!C:C,"""")&gt;0,
INDEX(
  FILTER('Monthly Data '!H:H,
         'Monthly Data '!C:C&lt;&gt;"""",
         RIGHT('Monthly Data '!B:B,2)=RIGHT(A6,2)
  ),
  COUNTA(
    FILTER('Monthly "&amp;"Data '!H:H,
           'Monthly Data '!C:C&lt;&gt;"""",
           RIGHT('Monthly Data '!B:B,2)=RIGHT(A6,2)
    )
  )
),
IF(
COUNTIF('Monthly Data '!B:B,""December ""&amp;RIGHT(A6-1,2))=0,
INDEX(FILTER('Monthly Data '!H:H,'Monthly Data '!B:B=""December ""&amp;RIGHT(A6,"&amp;"2)),1),
((1+INDEX(FILTER('Monthly Data '!H:H,'Monthly Data '!B:B=""December ""&amp;RIGHT(A6,2)),1)) /
 (1+INDEX(FILTER('Monthly Data '!H:H,'Monthly Data '!B:B=""December ""&amp;RIGHT(A6-1,2)),1))) - 1
)
)
,
"""")
"),0.0)</f>
        <v>0</v>
      </c>
      <c r="G6" s="324"/>
    </row>
    <row r="7">
      <c r="A7" s="314" t="s">
        <v>291</v>
      </c>
      <c r="B7" s="320" t="str">
        <f>IFERROR(__xludf.DUMMYFUNCTION("IFERROR(INDEX('Monthly Data '!C39:C50, MAX(FILTER(ROW('Monthly Data '!C39:C50) - ROW('Monthly Data '!C39) + 1, 'Monthly Data '!C39:C50 &lt;&gt; """"))),"""")
"),"")</f>
        <v/>
      </c>
      <c r="C7" s="320">
        <f>Sum('Monthly Data '!D39:D50)</f>
        <v>0</v>
      </c>
      <c r="D7" s="320">
        <f>SUM('Monthly Data '!E39:E50)</f>
        <v>0</v>
      </c>
      <c r="E7" s="322">
        <f t="shared" si="4"/>
        <v>0</v>
      </c>
      <c r="F7" s="323" t="str">
        <f>IFERROR(__xludf.DUMMYFUNCTION("IFERROR(
IF(
COUNTIFS('Monthly Data '!B:B,""December ""&amp;RIGHT(A7,2),'Monthly Data '!C:C,"""")&gt;0,
INDEX(
  FILTER('Monthly Data '!H:H,
         'Monthly Data '!C:C&lt;&gt;"""",
         RIGHT('Monthly Data '!B:B,2)=RIGHT(A7,2)
  ),
  COUNTA(
    FILTER('Monthly "&amp;"Data '!H:H,
           'Monthly Data '!C:C&lt;&gt;"""",
           RIGHT('Monthly Data '!B:B,2)=RIGHT(A7,2)
    )
  )
),
IF(
COUNTIF('Monthly Data '!B:B,""December ""&amp;RIGHT(A7-1,2))=0,
INDEX(FILTER('Monthly Data '!H:H,'Monthly Data '!B:B=""December ""&amp;RIGHT(A7,"&amp;"2)),1),
((1+INDEX(FILTER('Monthly Data '!H:H,'Monthly Data '!B:B=""December ""&amp;RIGHT(A7,2)),1)) /
 (1+INDEX(FILTER('Monthly Data '!H:H,'Monthly Data '!B:B=""December ""&amp;RIGHT(A7-1,2)),1))) - 1
)
)
,
"""")
"),"")</f>
        <v/>
      </c>
      <c r="G7" s="324"/>
    </row>
    <row r="8">
      <c r="A8" s="314" t="s">
        <v>292</v>
      </c>
      <c r="B8" s="320" t="str">
        <f>IFERROR(__xludf.DUMMYFUNCTION("IFERROR(INDEX('Monthly Data '!C51:C62, MAX(FILTER(ROW('Monthly Data '!C51:C62) - ROW('Monthly Data '!C51) + 1, 'Monthly Data '!C51:C62 &lt;&gt; """"))),"""")
"),"")</f>
        <v/>
      </c>
      <c r="C8" s="320">
        <f>sum('Monthly Data '!D51:D62)</f>
        <v>0</v>
      </c>
      <c r="D8" s="320">
        <f>SUM('Monthly Data '!E51:E62)</f>
        <v>0</v>
      </c>
      <c r="E8" s="322">
        <f t="shared" si="4"/>
        <v>0</v>
      </c>
      <c r="F8" s="323" t="str">
        <f>IFERROR(__xludf.DUMMYFUNCTION("IFERROR(
IF(
COUNTIFS('Monthly Data '!B:B,""December ""&amp;RIGHT(A8,2),'Monthly Data '!C:C,"""")&gt;0,
INDEX(
  FILTER('Monthly Data '!H:H,
         'Monthly Data '!C:C&lt;&gt;"""",
         RIGHT('Monthly Data '!B:B,2)=RIGHT(A8,2)
  ),
  COUNTA(
    FILTER('Monthly "&amp;"Data '!H:H,
           'Monthly Data '!C:C&lt;&gt;"""",
           RIGHT('Monthly Data '!B:B,2)=RIGHT(A8,2)
    )
  )
),
IF(
COUNTIF('Monthly Data '!B:B,""December ""&amp;RIGHT(A8-1,2))=0,
INDEX(FILTER('Monthly Data '!H:H,'Monthly Data '!B:B=""December ""&amp;RIGHT(A8,"&amp;"2)),1),
((1+INDEX(FILTER('Monthly Data '!H:H,'Monthly Data '!B:B=""December ""&amp;RIGHT(A8,2)),1)) /
 (1+INDEX(FILTER('Monthly Data '!H:H,'Monthly Data '!B:B=""December ""&amp;RIGHT(A8-1,2)),1))) - 1
)
)
,
"""")
"),"")</f>
        <v/>
      </c>
      <c r="G8" s="324"/>
    </row>
    <row r="9">
      <c r="A9" s="325" t="s">
        <v>293</v>
      </c>
      <c r="B9" s="320" t="str">
        <f>IFERROR(__xludf.DUMMYFUNCTION("IFERROR(INDEX('Monthly Data '!C63:C74, MAX(FILTER(ROW('Monthly Data '!C63:C74) - ROW('Monthly Data '!C63) + 1, 'Monthly Data '!C63:C74 &lt;&gt; """"))),"""")
"),"")</f>
        <v/>
      </c>
      <c r="C9" s="326">
        <f>SUM('Monthly Data '!D63:D74)</f>
        <v>0</v>
      </c>
      <c r="D9" s="326">
        <f>SUM('Monthly Data '!E63:E74)</f>
        <v>0</v>
      </c>
      <c r="E9" s="322">
        <f t="shared" si="4"/>
        <v>0</v>
      </c>
      <c r="F9" s="323" t="str">
        <f>IFERROR(__xludf.DUMMYFUNCTION("IFERROR(
IF(
COUNTIFS('Monthly Data '!B:B,""December ""&amp;RIGHT(A9,2),'Monthly Data '!C:C,"""")&gt;0,
INDEX(
  FILTER('Monthly Data '!H:H,
         'Monthly Data '!C:C&lt;&gt;"""",
         RIGHT('Monthly Data '!B:B,2)=RIGHT(A9,2)
  ),
  COUNTA(
    FILTER('Monthly "&amp;"Data '!H:H,
           'Monthly Data '!C:C&lt;&gt;"""",
           RIGHT('Monthly Data '!B:B,2)=RIGHT(A9,2)
    )
  )
),
IF(
COUNTIF('Monthly Data '!B:B,""December ""&amp;RIGHT(A9-1,2))=0,
INDEX(FILTER('Monthly Data '!H:H,'Monthly Data '!B:B=""December ""&amp;RIGHT(A9,"&amp;"2)),1),
((1+INDEX(FILTER('Monthly Data '!H:H,'Monthly Data '!B:B=""December ""&amp;RIGHT(A9,2)),1)) /
 (1+INDEX(FILTER('Monthly Data '!H:H,'Monthly Data '!B:B=""December ""&amp;RIGHT(A9-1,2)),1))) - 1
)
)
,
"""")
"),"")</f>
        <v/>
      </c>
      <c r="G9" s="324"/>
    </row>
    <row r="10">
      <c r="A10" s="325" t="s">
        <v>294</v>
      </c>
      <c r="B10" s="320" t="str">
        <f>IFERROR(__xludf.DUMMYFUNCTION("IFERROR(INDEX('Monthly Data '!C75:C86, MAX(FILTER(ROW('Monthly Data '!C75:C86) - ROW('Monthly Data '!C75) + 1, 'Monthly Data '!C75:C86 &lt;&gt; """"))),"""")
"),"")</f>
        <v/>
      </c>
      <c r="C10" s="326">
        <f>SUM('Monthly Data '!D75:D86)</f>
        <v>0</v>
      </c>
      <c r="D10" s="326">
        <f>SUM('Monthly Data '!E75:E86)</f>
        <v>0</v>
      </c>
      <c r="E10" s="322">
        <f t="shared" si="4"/>
        <v>0</v>
      </c>
      <c r="F10" s="323" t="str">
        <f>IFERROR(__xludf.DUMMYFUNCTION("IFERROR(
IF(
COUNTIFS('Monthly Data '!B:B,""December ""&amp;RIGHT(A10,2),'Monthly Data '!C:C,"""")&gt;0,
INDEX(
  FILTER('Monthly Data '!H:H,
         'Monthly Data '!C:C&lt;&gt;"""",
         RIGHT('Monthly Data '!B:B,2)=RIGHT(A10,2)
  ),
  COUNTA(
    FILTER('Monthl"&amp;"y Data '!H:H,
           'Monthly Data '!C:C&lt;&gt;"""",
           RIGHT('Monthly Data '!B:B,2)=RIGHT(A10,2)
    )
  )
),
IF(
COUNTIF('Monthly Data '!B:B,""December ""&amp;RIGHT(A10-1,2))=0,
INDEX(FILTER('Monthly Data '!H:H,'Monthly Data '!B:B=""December ""&amp;RIGHT"&amp;"(A10,2)),1),
((1+INDEX(FILTER('Monthly Data '!H:H,'Monthly Data '!B:B=""December ""&amp;RIGHT(A10,2)),1)) /
 (1+INDEX(FILTER('Monthly Data '!H:H,'Monthly Data '!B:B=""December ""&amp;RIGHT(A10-1,2)),1))) - 1
)
)
,
"""")
"),"")</f>
        <v/>
      </c>
      <c r="G10" s="324"/>
    </row>
    <row r="11">
      <c r="A11" s="325" t="s">
        <v>295</v>
      </c>
      <c r="B11" s="320" t="str">
        <f>IFERROR(__xludf.DUMMYFUNCTION("IFERROR(INDEX('Monthly Data '!C87:C98, MAX(FILTER(ROW('Monthly Data '!C87:C98) - ROW('Monthly Data '!C87) + 1, 'Monthly Data '!C87:C98 &lt;&gt; """"))),"""")
"),"")</f>
        <v/>
      </c>
      <c r="C11" s="326">
        <f>SUM('Monthly Data '!D87:D98)</f>
        <v>0</v>
      </c>
      <c r="D11" s="326">
        <f>SUM('Monthly Data '!E87:E98)</f>
        <v>0</v>
      </c>
      <c r="E11" s="322">
        <f t="shared" si="4"/>
        <v>0</v>
      </c>
      <c r="F11" s="323" t="str">
        <f>IFERROR(__xludf.DUMMYFUNCTION("IFERROR(
IF(
COUNTIFS('Monthly Data '!B:B,""December ""&amp;RIGHT(A11,2),'Monthly Data '!C:C,"""")&gt;0,
INDEX(
  FILTER('Monthly Data '!H:H,
         'Monthly Data '!C:C&lt;&gt;"""",
         RIGHT('Monthly Data '!B:B,2)=RIGHT(A11,2)
  ),
  COUNTA(
    FILTER('Monthl"&amp;"y Data '!H:H,
           'Monthly Data '!C:C&lt;&gt;"""",
           RIGHT('Monthly Data '!B:B,2)=RIGHT(A11,2)
    )
  )
),
IF(
COUNTIF('Monthly Data '!B:B,""December ""&amp;RIGHT(A11-1,2))=0,
INDEX(FILTER('Monthly Data '!H:H,'Monthly Data '!B:B=""December ""&amp;RIGHT"&amp;"(A11,2)),1),
((1+INDEX(FILTER('Monthly Data '!H:H,'Monthly Data '!B:B=""December ""&amp;RIGHT(A11,2)),1)) /
 (1+INDEX(FILTER('Monthly Data '!H:H,'Monthly Data '!B:B=""December ""&amp;RIGHT(A11-1,2)),1))) - 1
)
)
,
"""")
"),"")</f>
        <v/>
      </c>
      <c r="G11" s="324"/>
    </row>
    <row r="12">
      <c r="A12" s="327"/>
      <c r="B12" s="328"/>
      <c r="C12" s="328"/>
      <c r="D12" s="329"/>
      <c r="E12" s="330"/>
      <c r="F12" s="330"/>
      <c r="G12" s="330"/>
    </row>
    <row r="13">
      <c r="A13" s="331"/>
      <c r="B13" s="328"/>
      <c r="C13" s="328"/>
      <c r="D13" s="329"/>
      <c r="E13" s="330"/>
      <c r="F13" s="330"/>
      <c r="G13" s="330"/>
    </row>
    <row r="14">
      <c r="E14" s="191"/>
      <c r="F14" s="191"/>
      <c r="G14" s="191"/>
    </row>
    <row r="15">
      <c r="A15" s="332"/>
      <c r="B15" s="333" t="s">
        <v>296</v>
      </c>
      <c r="C15" s="332"/>
    </row>
    <row r="16">
      <c r="A16" s="332"/>
      <c r="B16" s="332"/>
      <c r="C16" s="332"/>
      <c r="D16" s="332"/>
    </row>
    <row r="17">
      <c r="A17" s="332"/>
      <c r="B17" s="332"/>
      <c r="C17" s="332"/>
      <c r="D17" s="332"/>
    </row>
    <row r="18">
      <c r="A18" s="332"/>
      <c r="B18" s="332"/>
      <c r="C18" s="332"/>
      <c r="D18" s="332"/>
    </row>
    <row r="19">
      <c r="A19" s="332"/>
      <c r="B19" s="332"/>
      <c r="C19" s="332"/>
      <c r="D19" s="332"/>
    </row>
    <row r="20">
      <c r="A20" s="332"/>
      <c r="B20" s="332"/>
      <c r="C20" s="332"/>
      <c r="D20" s="332"/>
    </row>
    <row r="21">
      <c r="A21" s="332"/>
      <c r="B21" s="332"/>
      <c r="C21" s="332"/>
      <c r="D21" s="332"/>
    </row>
    <row r="22">
      <c r="A22" s="332"/>
      <c r="B22" s="332"/>
      <c r="C22" s="332"/>
      <c r="D22" s="332"/>
      <c r="E22" s="191"/>
      <c r="F22" s="191"/>
      <c r="G22" s="191"/>
    </row>
    <row r="23">
      <c r="A23" s="332"/>
      <c r="B23" s="332"/>
      <c r="C23" s="332"/>
      <c r="D23" s="332"/>
      <c r="E23" s="186"/>
      <c r="F23" s="186"/>
      <c r="G23" s="186"/>
    </row>
    <row r="24">
      <c r="A24" s="332"/>
      <c r="B24" s="332"/>
      <c r="C24" s="332"/>
      <c r="D24" s="332"/>
      <c r="E24" s="186"/>
      <c r="F24" s="186"/>
      <c r="G24" s="186"/>
    </row>
    <row r="25">
      <c r="A25" s="332"/>
      <c r="B25" s="332"/>
      <c r="C25" s="332"/>
      <c r="D25" s="332"/>
      <c r="E25" s="186"/>
      <c r="F25" s="186"/>
      <c r="G25" s="186"/>
    </row>
    <row r="26">
      <c r="A26" s="332"/>
      <c r="B26" s="332"/>
      <c r="C26" s="332"/>
      <c r="D26" s="332"/>
      <c r="E26" s="186"/>
      <c r="F26" s="186"/>
      <c r="G26" s="186"/>
    </row>
    <row r="27">
      <c r="A27" s="332"/>
      <c r="B27" s="332"/>
      <c r="C27" s="332"/>
      <c r="D27" s="332"/>
      <c r="E27" s="186"/>
      <c r="F27" s="186"/>
      <c r="G27" s="186"/>
    </row>
    <row r="28">
      <c r="E28" s="186"/>
      <c r="F28" s="186"/>
      <c r="G28" s="186"/>
    </row>
    <row r="29">
      <c r="E29" s="186"/>
      <c r="F29" s="186"/>
      <c r="G29" s="186"/>
    </row>
    <row r="30">
      <c r="E30" s="186"/>
      <c r="F30" s="186"/>
      <c r="G30" s="186"/>
    </row>
    <row r="31">
      <c r="E31" s="186"/>
      <c r="F31" s="186"/>
      <c r="G31" s="186"/>
    </row>
    <row r="32">
      <c r="E32" s="186"/>
      <c r="F32" s="186"/>
      <c r="G32" s="186"/>
    </row>
    <row r="33">
      <c r="E33" s="186"/>
      <c r="F33" s="186"/>
      <c r="G33" s="186"/>
    </row>
    <row r="34">
      <c r="E34" s="186"/>
      <c r="F34" s="186"/>
      <c r="G34" s="186"/>
    </row>
    <row r="35">
      <c r="E35" s="186"/>
      <c r="F35" s="186"/>
      <c r="G35" s="186"/>
    </row>
    <row r="36">
      <c r="E36" s="186"/>
      <c r="F36" s="186"/>
      <c r="G36" s="186"/>
    </row>
    <row r="37">
      <c r="E37" s="186"/>
      <c r="F37" s="186"/>
      <c r="G37" s="186"/>
    </row>
    <row r="38">
      <c r="E38" s="186"/>
      <c r="F38" s="186"/>
      <c r="G38" s="186"/>
    </row>
    <row r="39">
      <c r="E39" s="186"/>
      <c r="F39" s="186"/>
      <c r="G39" s="186"/>
    </row>
    <row r="40">
      <c r="E40" s="186"/>
      <c r="F40" s="186"/>
      <c r="G40" s="186"/>
    </row>
    <row r="41">
      <c r="E41" s="186"/>
      <c r="F41" s="186"/>
      <c r="G41" s="186"/>
    </row>
    <row r="42">
      <c r="E42" s="186"/>
      <c r="F42" s="186"/>
      <c r="G42" s="186"/>
    </row>
    <row r="43">
      <c r="E43" s="186"/>
      <c r="F43" s="186"/>
      <c r="G43" s="186"/>
    </row>
    <row r="44">
      <c r="E44" s="186"/>
      <c r="F44" s="186"/>
      <c r="G44" s="186"/>
    </row>
    <row r="45">
      <c r="E45" s="186"/>
      <c r="F45" s="186"/>
      <c r="G45" s="186"/>
    </row>
    <row r="46">
      <c r="E46" s="186"/>
      <c r="F46" s="186"/>
      <c r="G46" s="186"/>
    </row>
    <row r="47">
      <c r="E47" s="186"/>
      <c r="F47" s="186"/>
      <c r="G47" s="186"/>
    </row>
    <row r="48">
      <c r="E48" s="186"/>
      <c r="F48" s="186"/>
      <c r="G48" s="186"/>
    </row>
    <row r="49">
      <c r="E49" s="186"/>
      <c r="F49" s="186"/>
      <c r="G49" s="186"/>
    </row>
    <row r="50">
      <c r="E50" s="186"/>
      <c r="F50" s="186"/>
      <c r="G50" s="186"/>
    </row>
    <row r="51">
      <c r="E51" s="186"/>
      <c r="F51" s="186"/>
      <c r="G51" s="186"/>
    </row>
    <row r="52">
      <c r="E52" s="186"/>
      <c r="F52" s="186"/>
      <c r="G52" s="186"/>
    </row>
    <row r="53">
      <c r="B53" s="311"/>
      <c r="E53" s="186"/>
      <c r="F53" s="186"/>
      <c r="G53" s="186"/>
    </row>
    <row r="54">
      <c r="B54" s="311"/>
      <c r="E54" s="186"/>
      <c r="F54" s="186"/>
      <c r="G54" s="186"/>
    </row>
    <row r="55">
      <c r="B55" s="311"/>
      <c r="E55" s="186"/>
      <c r="F55" s="186"/>
      <c r="G55" s="186"/>
    </row>
    <row r="56">
      <c r="B56" s="311"/>
      <c r="E56" s="186"/>
      <c r="F56" s="186"/>
      <c r="G56" s="186"/>
    </row>
    <row r="57">
      <c r="B57" s="311"/>
      <c r="E57" s="186"/>
      <c r="F57" s="186"/>
      <c r="G57" s="186"/>
    </row>
    <row r="58">
      <c r="B58" s="311"/>
      <c r="E58" s="186"/>
      <c r="F58" s="186"/>
      <c r="G58" s="186"/>
    </row>
    <row r="59">
      <c r="B59" s="311"/>
      <c r="E59" s="186"/>
      <c r="F59" s="186"/>
      <c r="G59" s="186"/>
    </row>
    <row r="60">
      <c r="B60" s="311"/>
      <c r="E60" s="186"/>
      <c r="F60" s="186"/>
      <c r="G60" s="186"/>
    </row>
    <row r="61">
      <c r="B61" s="311"/>
      <c r="E61" s="186"/>
      <c r="F61" s="186"/>
      <c r="G61" s="186"/>
    </row>
    <row r="62">
      <c r="B62" s="311"/>
      <c r="E62" s="186"/>
      <c r="F62" s="186"/>
      <c r="G62" s="186"/>
    </row>
    <row r="63">
      <c r="B63" s="311"/>
      <c r="E63" s="186"/>
      <c r="F63" s="186"/>
      <c r="G63" s="186"/>
    </row>
    <row r="64">
      <c r="B64" s="311"/>
      <c r="E64" s="186"/>
      <c r="F64" s="186"/>
      <c r="G64" s="186"/>
    </row>
    <row r="65">
      <c r="B65" s="311"/>
      <c r="E65" s="186"/>
      <c r="F65" s="186"/>
      <c r="G65" s="186"/>
    </row>
    <row r="66">
      <c r="B66" s="311"/>
      <c r="E66" s="186"/>
      <c r="F66" s="186"/>
      <c r="G66" s="186"/>
    </row>
    <row r="67">
      <c r="B67" s="311"/>
      <c r="E67" s="186"/>
      <c r="F67" s="186"/>
      <c r="G67" s="186"/>
    </row>
    <row r="68">
      <c r="B68" s="311"/>
      <c r="E68" s="186"/>
      <c r="F68" s="186"/>
      <c r="G68" s="186"/>
    </row>
    <row r="69">
      <c r="B69" s="311"/>
      <c r="E69" s="186"/>
      <c r="F69" s="186"/>
      <c r="G69" s="186"/>
    </row>
    <row r="70">
      <c r="B70" s="311"/>
      <c r="E70" s="186"/>
      <c r="F70" s="186"/>
      <c r="G70" s="186"/>
    </row>
    <row r="71">
      <c r="B71" s="311"/>
      <c r="E71" s="186"/>
      <c r="F71" s="186"/>
      <c r="G71" s="186"/>
    </row>
    <row r="72">
      <c r="B72" s="311"/>
      <c r="E72" s="186"/>
      <c r="F72" s="186"/>
      <c r="G72" s="186"/>
    </row>
    <row r="73">
      <c r="B73" s="311"/>
      <c r="E73" s="186"/>
      <c r="F73" s="186"/>
      <c r="G73" s="186"/>
    </row>
    <row r="74">
      <c r="B74" s="311"/>
      <c r="E74" s="186"/>
      <c r="F74" s="186"/>
      <c r="G74" s="186"/>
    </row>
    <row r="75">
      <c r="B75" s="311"/>
      <c r="E75" s="186"/>
      <c r="F75" s="186"/>
      <c r="G75" s="186"/>
    </row>
    <row r="76">
      <c r="B76" s="311"/>
      <c r="E76" s="186"/>
      <c r="F76" s="186"/>
      <c r="G76" s="186"/>
    </row>
    <row r="77">
      <c r="B77" s="311"/>
      <c r="E77" s="186"/>
      <c r="F77" s="186"/>
      <c r="G77" s="186"/>
    </row>
    <row r="78">
      <c r="B78" s="311"/>
      <c r="E78" s="186"/>
      <c r="F78" s="186"/>
      <c r="G78" s="186"/>
    </row>
    <row r="79">
      <c r="B79" s="311"/>
      <c r="E79" s="186"/>
      <c r="F79" s="186"/>
      <c r="G79" s="186"/>
    </row>
    <row r="80">
      <c r="B80" s="311"/>
      <c r="E80" s="186"/>
      <c r="F80" s="186"/>
      <c r="G80" s="186"/>
    </row>
    <row r="81">
      <c r="B81" s="311"/>
      <c r="E81" s="186"/>
      <c r="F81" s="186"/>
      <c r="G81" s="186"/>
    </row>
    <row r="82">
      <c r="B82" s="311"/>
      <c r="E82" s="186"/>
      <c r="F82" s="186"/>
      <c r="G82" s="186"/>
    </row>
    <row r="83">
      <c r="B83" s="311"/>
      <c r="E83" s="186"/>
      <c r="F83" s="186"/>
      <c r="G83" s="186"/>
    </row>
    <row r="84">
      <c r="B84" s="311"/>
      <c r="E84" s="186"/>
      <c r="F84" s="186"/>
      <c r="G84" s="186"/>
    </row>
    <row r="85">
      <c r="B85" s="311"/>
      <c r="E85" s="186"/>
      <c r="F85" s="186"/>
      <c r="G85" s="186"/>
    </row>
    <row r="86">
      <c r="B86" s="311"/>
      <c r="E86" s="186"/>
      <c r="F86" s="186"/>
      <c r="G86" s="186"/>
    </row>
    <row r="87">
      <c r="B87" s="311"/>
      <c r="E87" s="186"/>
      <c r="F87" s="186"/>
      <c r="G87" s="186"/>
    </row>
    <row r="88">
      <c r="B88" s="311"/>
      <c r="E88" s="186"/>
      <c r="F88" s="186"/>
      <c r="G88" s="186"/>
    </row>
    <row r="89">
      <c r="B89" s="311"/>
      <c r="E89" s="186"/>
      <c r="F89" s="186"/>
      <c r="G89" s="186"/>
    </row>
    <row r="90">
      <c r="B90" s="311"/>
      <c r="E90" s="186"/>
      <c r="F90" s="186"/>
      <c r="G90" s="186"/>
    </row>
    <row r="91">
      <c r="B91" s="311"/>
      <c r="E91" s="186"/>
      <c r="F91" s="186"/>
      <c r="G91" s="186"/>
    </row>
    <row r="92">
      <c r="B92" s="311"/>
      <c r="E92" s="186"/>
      <c r="F92" s="186"/>
      <c r="G92" s="186"/>
    </row>
    <row r="93">
      <c r="B93" s="311"/>
      <c r="E93" s="186"/>
      <c r="F93" s="186"/>
      <c r="G93" s="186"/>
    </row>
    <row r="94">
      <c r="B94" s="311"/>
      <c r="E94" s="186"/>
      <c r="F94" s="186"/>
      <c r="G94" s="186"/>
    </row>
    <row r="95">
      <c r="B95" s="311"/>
      <c r="E95" s="186"/>
      <c r="F95" s="186"/>
      <c r="G95" s="186"/>
    </row>
    <row r="96">
      <c r="B96" s="311"/>
      <c r="E96" s="186"/>
      <c r="F96" s="186"/>
      <c r="G96" s="186"/>
    </row>
    <row r="97">
      <c r="B97" s="311"/>
      <c r="E97" s="186"/>
      <c r="F97" s="186"/>
      <c r="G97" s="186"/>
    </row>
    <row r="98">
      <c r="B98" s="311"/>
      <c r="E98" s="186"/>
      <c r="F98" s="186"/>
      <c r="G98" s="186"/>
    </row>
    <row r="99">
      <c r="B99" s="311"/>
      <c r="E99" s="186"/>
      <c r="F99" s="186"/>
      <c r="G99" s="186"/>
    </row>
    <row r="100">
      <c r="B100" s="311"/>
      <c r="E100" s="186"/>
      <c r="F100" s="186"/>
      <c r="G100" s="186"/>
    </row>
    <row r="101">
      <c r="B101" s="311"/>
      <c r="E101" s="186"/>
      <c r="F101" s="186"/>
      <c r="G101" s="186"/>
    </row>
    <row r="102">
      <c r="B102" s="311"/>
      <c r="E102" s="186"/>
      <c r="F102" s="186"/>
      <c r="G102" s="186"/>
    </row>
    <row r="103">
      <c r="B103" s="311"/>
      <c r="E103" s="186"/>
      <c r="F103" s="186"/>
      <c r="G103" s="186"/>
    </row>
    <row r="104">
      <c r="B104" s="311"/>
      <c r="E104" s="186"/>
      <c r="F104" s="186"/>
      <c r="G104" s="186"/>
    </row>
    <row r="105">
      <c r="B105" s="311"/>
      <c r="E105" s="186"/>
      <c r="F105" s="186"/>
      <c r="G105" s="186"/>
    </row>
    <row r="106">
      <c r="B106" s="311"/>
      <c r="E106" s="186"/>
      <c r="F106" s="186"/>
      <c r="G106" s="186"/>
    </row>
    <row r="107">
      <c r="B107" s="311"/>
      <c r="E107" s="186"/>
      <c r="F107" s="186"/>
      <c r="G107" s="186"/>
    </row>
    <row r="108">
      <c r="B108" s="311"/>
      <c r="E108" s="186"/>
      <c r="F108" s="186"/>
      <c r="G108" s="186"/>
    </row>
    <row r="109">
      <c r="B109" s="311"/>
      <c r="E109" s="186"/>
      <c r="F109" s="186"/>
      <c r="G109" s="186"/>
    </row>
    <row r="110">
      <c r="B110" s="311"/>
      <c r="E110" s="186"/>
      <c r="F110" s="186"/>
      <c r="G110" s="186"/>
    </row>
    <row r="111">
      <c r="B111" s="311"/>
      <c r="E111" s="186"/>
      <c r="F111" s="186"/>
      <c r="G111" s="186"/>
    </row>
    <row r="112">
      <c r="B112" s="311"/>
      <c r="E112" s="186"/>
      <c r="F112" s="186"/>
      <c r="G112" s="186"/>
    </row>
    <row r="113">
      <c r="B113" s="311"/>
      <c r="E113" s="186"/>
      <c r="F113" s="186"/>
      <c r="G113" s="186"/>
    </row>
    <row r="114">
      <c r="B114" s="311"/>
      <c r="E114" s="186"/>
      <c r="F114" s="186"/>
      <c r="G114" s="186"/>
    </row>
    <row r="115">
      <c r="B115" s="311"/>
      <c r="E115" s="186"/>
      <c r="F115" s="186"/>
      <c r="G115" s="186"/>
    </row>
    <row r="116">
      <c r="B116" s="311"/>
      <c r="E116" s="186"/>
      <c r="F116" s="186"/>
      <c r="G116" s="186"/>
    </row>
    <row r="117">
      <c r="B117" s="311"/>
      <c r="E117" s="186"/>
      <c r="F117" s="186"/>
      <c r="G117" s="186"/>
    </row>
    <row r="118">
      <c r="B118" s="311"/>
      <c r="E118" s="186"/>
      <c r="F118" s="186"/>
      <c r="G118" s="186"/>
    </row>
    <row r="119">
      <c r="B119" s="311"/>
      <c r="E119" s="186"/>
      <c r="F119" s="186"/>
      <c r="G119" s="186"/>
    </row>
    <row r="120">
      <c r="B120" s="311"/>
      <c r="E120" s="186"/>
      <c r="F120" s="186"/>
      <c r="G120" s="186"/>
    </row>
    <row r="121">
      <c r="B121" s="311"/>
      <c r="E121" s="186"/>
      <c r="F121" s="186"/>
      <c r="G121" s="186"/>
    </row>
    <row r="122">
      <c r="B122" s="311"/>
      <c r="E122" s="186"/>
      <c r="F122" s="186"/>
      <c r="G122" s="186"/>
    </row>
    <row r="123">
      <c r="B123" s="311"/>
      <c r="E123" s="186"/>
      <c r="F123" s="186"/>
      <c r="G123" s="186"/>
    </row>
    <row r="124">
      <c r="B124" s="311"/>
      <c r="E124" s="186"/>
      <c r="F124" s="186"/>
      <c r="G124" s="186"/>
    </row>
    <row r="125">
      <c r="B125" s="311"/>
      <c r="E125" s="186"/>
      <c r="F125" s="186"/>
      <c r="G125" s="186"/>
    </row>
    <row r="126">
      <c r="B126" s="311"/>
      <c r="E126" s="186"/>
      <c r="F126" s="186"/>
      <c r="G126" s="186"/>
    </row>
    <row r="127">
      <c r="B127" s="311"/>
      <c r="E127" s="186"/>
      <c r="F127" s="186"/>
      <c r="G127" s="186"/>
    </row>
    <row r="128">
      <c r="B128" s="311"/>
      <c r="E128" s="186"/>
      <c r="F128" s="186"/>
      <c r="G128" s="186"/>
    </row>
    <row r="129">
      <c r="B129" s="311"/>
      <c r="E129" s="186"/>
      <c r="F129" s="186"/>
      <c r="G129" s="186"/>
    </row>
    <row r="130">
      <c r="B130" s="311"/>
      <c r="E130" s="186"/>
      <c r="F130" s="186"/>
      <c r="G130" s="186"/>
    </row>
    <row r="131">
      <c r="B131" s="311"/>
      <c r="E131" s="186"/>
      <c r="F131" s="186"/>
      <c r="G131" s="186"/>
    </row>
    <row r="132">
      <c r="B132" s="311"/>
      <c r="E132" s="186"/>
      <c r="F132" s="186"/>
      <c r="G132" s="186"/>
    </row>
    <row r="133">
      <c r="B133" s="311"/>
      <c r="E133" s="186"/>
      <c r="F133" s="186"/>
      <c r="G133" s="186"/>
    </row>
    <row r="134">
      <c r="B134" s="311"/>
      <c r="E134" s="186"/>
      <c r="F134" s="186"/>
      <c r="G134" s="186"/>
    </row>
    <row r="135">
      <c r="B135" s="311"/>
      <c r="E135" s="186"/>
      <c r="F135" s="186"/>
      <c r="G135" s="186"/>
    </row>
    <row r="136">
      <c r="B136" s="311"/>
      <c r="E136" s="186"/>
      <c r="F136" s="186"/>
      <c r="G136" s="186"/>
    </row>
    <row r="137">
      <c r="B137" s="311"/>
      <c r="E137" s="186"/>
      <c r="F137" s="186"/>
      <c r="G137" s="186"/>
    </row>
    <row r="138">
      <c r="B138" s="311"/>
      <c r="E138" s="186"/>
      <c r="F138" s="186"/>
      <c r="G138" s="186"/>
    </row>
    <row r="139">
      <c r="B139" s="311"/>
      <c r="E139" s="186"/>
      <c r="F139" s="186"/>
      <c r="G139" s="186"/>
    </row>
    <row r="140">
      <c r="B140" s="311"/>
      <c r="E140" s="186"/>
      <c r="F140" s="186"/>
      <c r="G140" s="186"/>
    </row>
    <row r="141">
      <c r="B141" s="311"/>
      <c r="E141" s="186"/>
      <c r="F141" s="186"/>
      <c r="G141" s="186"/>
    </row>
    <row r="142">
      <c r="B142" s="311"/>
      <c r="E142" s="186"/>
      <c r="F142" s="186"/>
      <c r="G142" s="186"/>
    </row>
    <row r="143">
      <c r="B143" s="311"/>
      <c r="E143" s="186"/>
      <c r="F143" s="186"/>
      <c r="G143" s="186"/>
    </row>
    <row r="144">
      <c r="B144" s="311"/>
      <c r="E144" s="186"/>
      <c r="F144" s="186"/>
      <c r="G144" s="186"/>
    </row>
    <row r="145">
      <c r="B145" s="311"/>
      <c r="E145" s="186"/>
      <c r="F145" s="186"/>
      <c r="G145" s="186"/>
    </row>
    <row r="146">
      <c r="B146" s="311"/>
      <c r="E146" s="186"/>
      <c r="F146" s="186"/>
      <c r="G146" s="186"/>
    </row>
    <row r="147">
      <c r="B147" s="311"/>
      <c r="E147" s="186"/>
      <c r="F147" s="186"/>
      <c r="G147" s="186"/>
    </row>
    <row r="148">
      <c r="B148" s="311"/>
      <c r="E148" s="186"/>
      <c r="F148" s="186"/>
      <c r="G148" s="186"/>
    </row>
    <row r="149">
      <c r="B149" s="311"/>
      <c r="E149" s="186"/>
      <c r="F149" s="186"/>
      <c r="G149" s="186"/>
    </row>
    <row r="150">
      <c r="B150" s="311"/>
      <c r="E150" s="186"/>
      <c r="F150" s="186"/>
      <c r="G150" s="186"/>
    </row>
    <row r="151">
      <c r="B151" s="311"/>
      <c r="E151" s="186"/>
      <c r="F151" s="186"/>
      <c r="G151" s="186"/>
    </row>
    <row r="152">
      <c r="B152" s="311"/>
      <c r="E152" s="186"/>
      <c r="F152" s="186"/>
      <c r="G152" s="186"/>
    </row>
    <row r="153">
      <c r="B153" s="311"/>
      <c r="E153" s="186"/>
      <c r="F153" s="186"/>
      <c r="G153" s="186"/>
    </row>
    <row r="154">
      <c r="B154" s="311"/>
      <c r="E154" s="186"/>
      <c r="F154" s="186"/>
      <c r="G154" s="186"/>
    </row>
    <row r="155">
      <c r="B155" s="311"/>
      <c r="E155" s="186"/>
      <c r="F155" s="186"/>
      <c r="G155" s="186"/>
    </row>
    <row r="156">
      <c r="B156" s="311"/>
      <c r="E156" s="186"/>
      <c r="F156" s="186"/>
      <c r="G156" s="186"/>
    </row>
    <row r="157">
      <c r="B157" s="311"/>
      <c r="E157" s="186"/>
      <c r="F157" s="186"/>
      <c r="G157" s="186"/>
    </row>
    <row r="158">
      <c r="B158" s="311"/>
      <c r="E158" s="186"/>
      <c r="F158" s="186"/>
      <c r="G158" s="186"/>
    </row>
    <row r="159">
      <c r="B159" s="311"/>
      <c r="E159" s="186"/>
      <c r="F159" s="186"/>
      <c r="G159" s="186"/>
    </row>
    <row r="160">
      <c r="B160" s="311"/>
      <c r="E160" s="186"/>
      <c r="F160" s="186"/>
      <c r="G160" s="186"/>
    </row>
    <row r="161">
      <c r="B161" s="311"/>
      <c r="E161" s="186"/>
      <c r="F161" s="186"/>
      <c r="G161" s="186"/>
    </row>
    <row r="162">
      <c r="B162" s="311"/>
      <c r="E162" s="186"/>
      <c r="F162" s="186"/>
      <c r="G162" s="186"/>
    </row>
    <row r="163">
      <c r="B163" s="311"/>
      <c r="E163" s="186"/>
      <c r="F163" s="186"/>
      <c r="G163" s="186"/>
    </row>
    <row r="164">
      <c r="B164" s="311"/>
      <c r="E164" s="186"/>
      <c r="F164" s="186"/>
      <c r="G164" s="186"/>
    </row>
    <row r="165">
      <c r="B165" s="311"/>
      <c r="E165" s="186"/>
      <c r="F165" s="186"/>
      <c r="G165" s="186"/>
    </row>
    <row r="166">
      <c r="B166" s="311"/>
      <c r="E166" s="186"/>
      <c r="F166" s="186"/>
      <c r="G166" s="186"/>
    </row>
    <row r="167">
      <c r="B167" s="311"/>
      <c r="E167" s="186"/>
      <c r="F167" s="186"/>
      <c r="G167" s="186"/>
    </row>
    <row r="168">
      <c r="B168" s="311"/>
      <c r="E168" s="186"/>
      <c r="F168" s="186"/>
      <c r="G168" s="186"/>
    </row>
    <row r="169">
      <c r="B169" s="311"/>
      <c r="E169" s="186"/>
      <c r="F169" s="186"/>
      <c r="G169" s="186"/>
    </row>
    <row r="170">
      <c r="B170" s="311"/>
      <c r="E170" s="186"/>
      <c r="F170" s="186"/>
      <c r="G170" s="186"/>
    </row>
    <row r="171">
      <c r="B171" s="311"/>
      <c r="E171" s="186"/>
      <c r="F171" s="186"/>
      <c r="G171" s="186"/>
    </row>
    <row r="172">
      <c r="B172" s="311"/>
      <c r="E172" s="186"/>
      <c r="F172" s="186"/>
      <c r="G172" s="186"/>
    </row>
    <row r="173">
      <c r="B173" s="311"/>
      <c r="E173" s="186"/>
      <c r="F173" s="186"/>
      <c r="G173" s="186"/>
    </row>
    <row r="174">
      <c r="B174" s="311"/>
      <c r="E174" s="186"/>
      <c r="F174" s="186"/>
      <c r="G174" s="186"/>
    </row>
    <row r="175">
      <c r="B175" s="311"/>
      <c r="E175" s="186"/>
      <c r="F175" s="186"/>
      <c r="G175" s="186"/>
    </row>
    <row r="176">
      <c r="B176" s="311"/>
      <c r="E176" s="186"/>
      <c r="F176" s="186"/>
      <c r="G176" s="186"/>
    </row>
    <row r="177">
      <c r="B177" s="311"/>
      <c r="E177" s="186"/>
      <c r="F177" s="186"/>
      <c r="G177" s="186"/>
    </row>
    <row r="178">
      <c r="B178" s="311"/>
      <c r="E178" s="186"/>
      <c r="F178" s="186"/>
      <c r="G178" s="186"/>
    </row>
    <row r="179">
      <c r="B179" s="311"/>
      <c r="E179" s="186"/>
      <c r="F179" s="186"/>
      <c r="G179" s="186"/>
    </row>
    <row r="180">
      <c r="B180" s="311"/>
      <c r="E180" s="186"/>
      <c r="F180" s="186"/>
      <c r="G180" s="186"/>
    </row>
    <row r="181">
      <c r="B181" s="311"/>
      <c r="E181" s="186"/>
      <c r="F181" s="186"/>
      <c r="G181" s="186"/>
    </row>
    <row r="182">
      <c r="B182" s="311"/>
      <c r="E182" s="186"/>
      <c r="F182" s="186"/>
      <c r="G182" s="186"/>
    </row>
    <row r="183">
      <c r="B183" s="311"/>
      <c r="E183" s="186"/>
      <c r="F183" s="186"/>
      <c r="G183" s="186"/>
    </row>
    <row r="184">
      <c r="B184" s="311"/>
      <c r="E184" s="186"/>
      <c r="F184" s="186"/>
      <c r="G184" s="186"/>
    </row>
    <row r="185">
      <c r="B185" s="311"/>
      <c r="E185" s="186"/>
      <c r="F185" s="186"/>
      <c r="G185" s="186"/>
    </row>
    <row r="186">
      <c r="B186" s="311"/>
      <c r="E186" s="186"/>
      <c r="F186" s="186"/>
      <c r="G186" s="186"/>
    </row>
    <row r="187">
      <c r="B187" s="311"/>
      <c r="E187" s="186"/>
      <c r="F187" s="186"/>
      <c r="G187" s="186"/>
    </row>
    <row r="188">
      <c r="B188" s="311"/>
      <c r="E188" s="186"/>
      <c r="F188" s="186"/>
      <c r="G188" s="186"/>
    </row>
    <row r="189">
      <c r="B189" s="311"/>
      <c r="E189" s="186"/>
      <c r="F189" s="186"/>
      <c r="G189" s="186"/>
    </row>
    <row r="190">
      <c r="B190" s="311"/>
      <c r="E190" s="186"/>
      <c r="F190" s="186"/>
      <c r="G190" s="186"/>
    </row>
    <row r="191">
      <c r="B191" s="311"/>
      <c r="E191" s="186"/>
      <c r="F191" s="186"/>
      <c r="G191" s="186"/>
    </row>
    <row r="192">
      <c r="B192" s="311"/>
      <c r="E192" s="186"/>
      <c r="F192" s="186"/>
      <c r="G192" s="186"/>
    </row>
    <row r="193">
      <c r="B193" s="311"/>
      <c r="E193" s="186"/>
      <c r="F193" s="186"/>
      <c r="G193" s="186"/>
    </row>
    <row r="194">
      <c r="B194" s="311"/>
      <c r="E194" s="186"/>
      <c r="F194" s="186"/>
      <c r="G194" s="186"/>
    </row>
    <row r="195">
      <c r="B195" s="311"/>
      <c r="E195" s="186"/>
      <c r="F195" s="186"/>
      <c r="G195" s="186"/>
    </row>
    <row r="196">
      <c r="B196" s="311"/>
      <c r="E196" s="186"/>
      <c r="F196" s="186"/>
      <c r="G196" s="186"/>
    </row>
    <row r="197">
      <c r="B197" s="311"/>
      <c r="E197" s="186"/>
      <c r="F197" s="186"/>
      <c r="G197" s="186"/>
    </row>
    <row r="198">
      <c r="B198" s="311"/>
      <c r="E198" s="186"/>
      <c r="F198" s="186"/>
      <c r="G198" s="186"/>
    </row>
    <row r="199">
      <c r="B199" s="311"/>
      <c r="E199" s="186"/>
      <c r="F199" s="186"/>
      <c r="G199" s="186"/>
    </row>
    <row r="200">
      <c r="B200" s="311"/>
      <c r="E200" s="186"/>
      <c r="F200" s="186"/>
      <c r="G200" s="186"/>
    </row>
    <row r="201">
      <c r="B201" s="311"/>
      <c r="E201" s="186"/>
      <c r="F201" s="186"/>
      <c r="G201" s="186"/>
    </row>
    <row r="202">
      <c r="B202" s="311"/>
      <c r="E202" s="186"/>
      <c r="F202" s="186"/>
      <c r="G202" s="186"/>
    </row>
    <row r="203">
      <c r="B203" s="311"/>
      <c r="E203" s="186"/>
      <c r="F203" s="186"/>
      <c r="G203" s="186"/>
    </row>
    <row r="204">
      <c r="B204" s="311"/>
      <c r="E204" s="186"/>
      <c r="F204" s="186"/>
      <c r="G204" s="186"/>
    </row>
    <row r="205">
      <c r="B205" s="311"/>
      <c r="E205" s="186"/>
      <c r="F205" s="186"/>
      <c r="G205" s="186"/>
    </row>
    <row r="206">
      <c r="B206" s="311"/>
      <c r="E206" s="186"/>
      <c r="F206" s="186"/>
      <c r="G206" s="186"/>
    </row>
    <row r="207">
      <c r="B207" s="311"/>
      <c r="E207" s="186"/>
      <c r="F207" s="186"/>
      <c r="G207" s="186"/>
    </row>
    <row r="208">
      <c r="B208" s="311"/>
      <c r="E208" s="186"/>
      <c r="F208" s="186"/>
      <c r="G208" s="186"/>
    </row>
    <row r="209">
      <c r="B209" s="311"/>
      <c r="E209" s="186"/>
      <c r="F209" s="186"/>
      <c r="G209" s="186"/>
    </row>
    <row r="210">
      <c r="B210" s="311"/>
      <c r="E210" s="186"/>
      <c r="F210" s="186"/>
      <c r="G210" s="186"/>
    </row>
    <row r="211">
      <c r="B211" s="311"/>
      <c r="E211" s="186"/>
      <c r="F211" s="186"/>
      <c r="G211" s="186"/>
    </row>
    <row r="212">
      <c r="B212" s="311"/>
      <c r="E212" s="186"/>
      <c r="F212" s="186"/>
      <c r="G212" s="186"/>
    </row>
    <row r="213">
      <c r="B213" s="311"/>
      <c r="E213" s="186"/>
      <c r="F213" s="186"/>
      <c r="G213" s="186"/>
    </row>
    <row r="214">
      <c r="B214" s="311"/>
      <c r="E214" s="186"/>
      <c r="F214" s="186"/>
      <c r="G214" s="186"/>
    </row>
    <row r="215">
      <c r="B215" s="311"/>
      <c r="E215" s="186"/>
      <c r="F215" s="186"/>
      <c r="G215" s="186"/>
    </row>
    <row r="216">
      <c r="B216" s="311"/>
      <c r="E216" s="186"/>
      <c r="F216" s="186"/>
      <c r="G216" s="186"/>
    </row>
    <row r="217">
      <c r="B217" s="311"/>
      <c r="E217" s="186"/>
      <c r="F217" s="186"/>
      <c r="G217" s="186"/>
    </row>
    <row r="218">
      <c r="B218" s="311"/>
      <c r="E218" s="186"/>
      <c r="F218" s="186"/>
      <c r="G218" s="186"/>
    </row>
    <row r="219">
      <c r="B219" s="311"/>
      <c r="E219" s="186"/>
      <c r="F219" s="186"/>
      <c r="G219" s="186"/>
    </row>
    <row r="220">
      <c r="B220" s="311"/>
      <c r="E220" s="186"/>
      <c r="F220" s="186"/>
      <c r="G220" s="186"/>
    </row>
    <row r="221">
      <c r="B221" s="311"/>
      <c r="E221" s="186"/>
      <c r="F221" s="186"/>
      <c r="G221" s="186"/>
    </row>
    <row r="222">
      <c r="B222" s="311"/>
      <c r="E222" s="186"/>
      <c r="F222" s="186"/>
      <c r="G222" s="186"/>
    </row>
    <row r="223">
      <c r="B223" s="311"/>
      <c r="E223" s="186"/>
      <c r="F223" s="186"/>
      <c r="G223" s="186"/>
    </row>
    <row r="224">
      <c r="B224" s="311"/>
      <c r="E224" s="186"/>
      <c r="F224" s="186"/>
      <c r="G224" s="186"/>
    </row>
    <row r="225">
      <c r="B225" s="311"/>
      <c r="E225" s="186"/>
      <c r="F225" s="186"/>
      <c r="G225" s="186"/>
    </row>
    <row r="226">
      <c r="B226" s="311"/>
      <c r="E226" s="186"/>
      <c r="F226" s="186"/>
      <c r="G226" s="186"/>
    </row>
    <row r="227">
      <c r="B227" s="311"/>
      <c r="E227" s="186"/>
      <c r="F227" s="186"/>
      <c r="G227" s="186"/>
    </row>
    <row r="228">
      <c r="B228" s="311"/>
      <c r="E228" s="186"/>
      <c r="F228" s="186"/>
      <c r="G228" s="186"/>
    </row>
    <row r="229">
      <c r="B229" s="311"/>
      <c r="E229" s="186"/>
      <c r="F229" s="186"/>
      <c r="G229" s="186"/>
    </row>
    <row r="230">
      <c r="B230" s="311"/>
      <c r="E230" s="186"/>
      <c r="F230" s="186"/>
      <c r="G230" s="186"/>
    </row>
    <row r="231">
      <c r="B231" s="311"/>
      <c r="E231" s="186"/>
      <c r="F231" s="186"/>
      <c r="G231" s="186"/>
    </row>
    <row r="232">
      <c r="B232" s="311"/>
      <c r="E232" s="186"/>
      <c r="F232" s="186"/>
      <c r="G232" s="186"/>
    </row>
    <row r="233">
      <c r="B233" s="311"/>
      <c r="E233" s="186"/>
      <c r="F233" s="186"/>
      <c r="G233" s="186"/>
    </row>
    <row r="234">
      <c r="B234" s="311"/>
      <c r="E234" s="186"/>
      <c r="F234" s="186"/>
      <c r="G234" s="186"/>
    </row>
    <row r="235">
      <c r="B235" s="311"/>
      <c r="E235" s="186"/>
      <c r="F235" s="186"/>
      <c r="G235" s="186"/>
    </row>
    <row r="236">
      <c r="B236" s="311"/>
      <c r="E236" s="186"/>
      <c r="F236" s="186"/>
      <c r="G236" s="186"/>
    </row>
    <row r="237">
      <c r="B237" s="311"/>
      <c r="E237" s="186"/>
      <c r="F237" s="186"/>
      <c r="G237" s="186"/>
    </row>
    <row r="238">
      <c r="B238" s="311"/>
      <c r="E238" s="186"/>
      <c r="F238" s="186"/>
      <c r="G238" s="186"/>
    </row>
    <row r="239">
      <c r="B239" s="311"/>
      <c r="E239" s="186"/>
      <c r="F239" s="186"/>
      <c r="G239" s="186"/>
    </row>
    <row r="240">
      <c r="B240" s="311"/>
      <c r="E240" s="186"/>
      <c r="F240" s="186"/>
      <c r="G240" s="186"/>
    </row>
    <row r="241">
      <c r="B241" s="311"/>
      <c r="E241" s="186"/>
      <c r="F241" s="186"/>
      <c r="G241" s="186"/>
    </row>
    <row r="242">
      <c r="B242" s="311"/>
      <c r="E242" s="186"/>
      <c r="F242" s="186"/>
      <c r="G242" s="186"/>
    </row>
    <row r="243">
      <c r="B243" s="311"/>
      <c r="E243" s="186"/>
      <c r="F243" s="186"/>
      <c r="G243" s="186"/>
    </row>
    <row r="244">
      <c r="B244" s="311"/>
      <c r="E244" s="186"/>
      <c r="F244" s="186"/>
      <c r="G244" s="186"/>
    </row>
    <row r="245">
      <c r="B245" s="311"/>
      <c r="E245" s="186"/>
      <c r="F245" s="186"/>
      <c r="G245" s="186"/>
    </row>
    <row r="246">
      <c r="B246" s="311"/>
      <c r="E246" s="186"/>
      <c r="F246" s="186"/>
      <c r="G246" s="186"/>
    </row>
    <row r="247">
      <c r="B247" s="311"/>
      <c r="E247" s="186"/>
      <c r="F247" s="186"/>
      <c r="G247" s="186"/>
    </row>
    <row r="248">
      <c r="B248" s="311"/>
      <c r="E248" s="186"/>
      <c r="F248" s="186"/>
      <c r="G248" s="186"/>
    </row>
    <row r="249">
      <c r="B249" s="311"/>
      <c r="E249" s="186"/>
      <c r="F249" s="186"/>
      <c r="G249" s="186"/>
    </row>
    <row r="250">
      <c r="B250" s="311"/>
      <c r="E250" s="186"/>
      <c r="F250" s="186"/>
      <c r="G250" s="186"/>
    </row>
    <row r="251">
      <c r="B251" s="311"/>
      <c r="E251" s="186"/>
      <c r="F251" s="186"/>
      <c r="G251" s="186"/>
    </row>
    <row r="252">
      <c r="B252" s="311"/>
      <c r="E252" s="186"/>
      <c r="F252" s="186"/>
      <c r="G252" s="186"/>
    </row>
    <row r="253">
      <c r="B253" s="311"/>
      <c r="E253" s="186"/>
      <c r="F253" s="186"/>
      <c r="G253" s="186"/>
    </row>
    <row r="254">
      <c r="B254" s="311"/>
      <c r="E254" s="186"/>
      <c r="F254" s="186"/>
      <c r="G254" s="186"/>
    </row>
    <row r="255">
      <c r="B255" s="311"/>
      <c r="E255" s="186"/>
      <c r="F255" s="186"/>
      <c r="G255" s="186"/>
    </row>
    <row r="256">
      <c r="B256" s="311"/>
      <c r="E256" s="186"/>
      <c r="F256" s="186"/>
      <c r="G256" s="186"/>
    </row>
    <row r="257">
      <c r="B257" s="311"/>
      <c r="E257" s="186"/>
      <c r="F257" s="186"/>
      <c r="G257" s="186"/>
    </row>
    <row r="258">
      <c r="B258" s="311"/>
      <c r="E258" s="186"/>
      <c r="F258" s="186"/>
      <c r="G258" s="186"/>
    </row>
    <row r="259">
      <c r="B259" s="311"/>
      <c r="E259" s="186"/>
      <c r="F259" s="186"/>
      <c r="G259" s="186"/>
    </row>
    <row r="260">
      <c r="B260" s="311"/>
      <c r="E260" s="186"/>
      <c r="F260" s="186"/>
      <c r="G260" s="186"/>
    </row>
    <row r="261">
      <c r="B261" s="311"/>
      <c r="E261" s="186"/>
      <c r="F261" s="186"/>
      <c r="G261" s="186"/>
    </row>
    <row r="262">
      <c r="B262" s="311"/>
      <c r="E262" s="186"/>
      <c r="F262" s="186"/>
      <c r="G262" s="186"/>
    </row>
    <row r="263">
      <c r="B263" s="311"/>
      <c r="E263" s="186"/>
      <c r="F263" s="186"/>
      <c r="G263" s="186"/>
    </row>
    <row r="264">
      <c r="B264" s="311"/>
      <c r="E264" s="186"/>
      <c r="F264" s="186"/>
      <c r="G264" s="186"/>
    </row>
    <row r="265">
      <c r="B265" s="311"/>
      <c r="E265" s="186"/>
      <c r="F265" s="186"/>
      <c r="G265" s="186"/>
    </row>
    <row r="266">
      <c r="B266" s="311"/>
      <c r="E266" s="186"/>
      <c r="F266" s="186"/>
      <c r="G266" s="186"/>
    </row>
    <row r="267">
      <c r="B267" s="311"/>
      <c r="E267" s="186"/>
      <c r="F267" s="186"/>
      <c r="G267" s="186"/>
    </row>
    <row r="268">
      <c r="B268" s="311"/>
      <c r="E268" s="186"/>
      <c r="F268" s="186"/>
      <c r="G268" s="186"/>
    </row>
    <row r="269">
      <c r="B269" s="311"/>
      <c r="E269" s="186"/>
      <c r="F269" s="186"/>
      <c r="G269" s="186"/>
    </row>
    <row r="270">
      <c r="B270" s="311"/>
      <c r="E270" s="186"/>
      <c r="F270" s="186"/>
      <c r="G270" s="186"/>
    </row>
    <row r="271">
      <c r="B271" s="311"/>
      <c r="E271" s="186"/>
      <c r="F271" s="186"/>
      <c r="G271" s="186"/>
    </row>
    <row r="272">
      <c r="B272" s="311"/>
      <c r="E272" s="186"/>
      <c r="F272" s="186"/>
      <c r="G272" s="186"/>
    </row>
    <row r="273">
      <c r="B273" s="311"/>
      <c r="E273" s="186"/>
      <c r="F273" s="186"/>
      <c r="G273" s="186"/>
    </row>
    <row r="274">
      <c r="B274" s="311"/>
      <c r="E274" s="186"/>
      <c r="F274" s="186"/>
      <c r="G274" s="186"/>
    </row>
    <row r="275">
      <c r="B275" s="311"/>
      <c r="E275" s="186"/>
      <c r="F275" s="186"/>
      <c r="G275" s="186"/>
    </row>
    <row r="276">
      <c r="B276" s="311"/>
      <c r="E276" s="186"/>
      <c r="F276" s="186"/>
      <c r="G276" s="186"/>
    </row>
    <row r="277">
      <c r="B277" s="311"/>
      <c r="E277" s="186"/>
      <c r="F277" s="186"/>
      <c r="G277" s="186"/>
    </row>
    <row r="278">
      <c r="B278" s="311"/>
      <c r="E278" s="186"/>
      <c r="F278" s="186"/>
      <c r="G278" s="186"/>
    </row>
    <row r="279">
      <c r="B279" s="311"/>
      <c r="E279" s="186"/>
      <c r="F279" s="186"/>
      <c r="G279" s="186"/>
    </row>
    <row r="280">
      <c r="B280" s="311"/>
      <c r="E280" s="186"/>
      <c r="F280" s="186"/>
      <c r="G280" s="186"/>
    </row>
    <row r="281">
      <c r="B281" s="311"/>
      <c r="E281" s="186"/>
      <c r="F281" s="186"/>
      <c r="G281" s="186"/>
    </row>
    <row r="282">
      <c r="B282" s="311"/>
      <c r="E282" s="186"/>
      <c r="F282" s="186"/>
      <c r="G282" s="186"/>
    </row>
    <row r="283">
      <c r="B283" s="311"/>
      <c r="E283" s="186"/>
      <c r="F283" s="186"/>
      <c r="G283" s="186"/>
    </row>
    <row r="284">
      <c r="B284" s="311"/>
      <c r="E284" s="186"/>
      <c r="F284" s="186"/>
      <c r="G284" s="186"/>
    </row>
    <row r="285">
      <c r="B285" s="311"/>
      <c r="E285" s="186"/>
      <c r="F285" s="186"/>
      <c r="G285" s="186"/>
    </row>
    <row r="286">
      <c r="B286" s="311"/>
      <c r="E286" s="186"/>
      <c r="F286" s="186"/>
      <c r="G286" s="186"/>
    </row>
    <row r="287">
      <c r="B287" s="311"/>
      <c r="E287" s="186"/>
      <c r="F287" s="186"/>
      <c r="G287" s="186"/>
    </row>
    <row r="288">
      <c r="B288" s="311"/>
      <c r="E288" s="186"/>
      <c r="F288" s="186"/>
      <c r="G288" s="186"/>
    </row>
    <row r="289">
      <c r="B289" s="311"/>
      <c r="E289" s="186"/>
      <c r="F289" s="186"/>
      <c r="G289" s="186"/>
    </row>
    <row r="290">
      <c r="B290" s="311"/>
      <c r="E290" s="186"/>
      <c r="F290" s="186"/>
      <c r="G290" s="186"/>
    </row>
    <row r="291">
      <c r="B291" s="311"/>
      <c r="E291" s="186"/>
      <c r="F291" s="186"/>
      <c r="G291" s="186"/>
    </row>
    <row r="292">
      <c r="B292" s="311"/>
      <c r="E292" s="186"/>
      <c r="F292" s="186"/>
      <c r="G292" s="186"/>
    </row>
    <row r="293">
      <c r="B293" s="311"/>
      <c r="E293" s="186"/>
      <c r="F293" s="186"/>
      <c r="G293" s="186"/>
    </row>
    <row r="294">
      <c r="B294" s="311"/>
      <c r="E294" s="186"/>
      <c r="F294" s="186"/>
      <c r="G294" s="186"/>
    </row>
    <row r="295">
      <c r="B295" s="311"/>
      <c r="E295" s="186"/>
      <c r="F295" s="186"/>
      <c r="G295" s="186"/>
    </row>
    <row r="296">
      <c r="B296" s="311"/>
      <c r="E296" s="186"/>
      <c r="F296" s="186"/>
      <c r="G296" s="186"/>
    </row>
    <row r="297">
      <c r="B297" s="311"/>
      <c r="E297" s="186"/>
      <c r="F297" s="186"/>
      <c r="G297" s="186"/>
    </row>
    <row r="298">
      <c r="B298" s="311"/>
      <c r="E298" s="186"/>
      <c r="F298" s="186"/>
      <c r="G298" s="186"/>
    </row>
    <row r="299">
      <c r="B299" s="311"/>
      <c r="E299" s="186"/>
      <c r="F299" s="186"/>
      <c r="G299" s="186"/>
    </row>
    <row r="300">
      <c r="B300" s="311"/>
      <c r="E300" s="186"/>
      <c r="F300" s="186"/>
      <c r="G300" s="186"/>
    </row>
    <row r="301">
      <c r="B301" s="311"/>
      <c r="E301" s="186"/>
      <c r="F301" s="186"/>
      <c r="G301" s="186"/>
    </row>
    <row r="302">
      <c r="B302" s="311"/>
      <c r="E302" s="186"/>
      <c r="F302" s="186"/>
      <c r="G302" s="186"/>
    </row>
    <row r="303">
      <c r="B303" s="311"/>
      <c r="E303" s="186"/>
      <c r="F303" s="186"/>
      <c r="G303" s="186"/>
    </row>
    <row r="304">
      <c r="B304" s="311"/>
      <c r="E304" s="186"/>
      <c r="F304" s="186"/>
      <c r="G304" s="186"/>
    </row>
    <row r="305">
      <c r="B305" s="311"/>
      <c r="E305" s="186"/>
      <c r="F305" s="186"/>
      <c r="G305" s="186"/>
    </row>
    <row r="306">
      <c r="B306" s="311"/>
      <c r="E306" s="186"/>
      <c r="F306" s="186"/>
      <c r="G306" s="186"/>
    </row>
    <row r="307">
      <c r="B307" s="311"/>
      <c r="E307" s="186"/>
      <c r="F307" s="186"/>
      <c r="G307" s="186"/>
    </row>
    <row r="308">
      <c r="B308" s="311"/>
      <c r="E308" s="186"/>
      <c r="F308" s="186"/>
      <c r="G308" s="186"/>
    </row>
    <row r="309">
      <c r="B309" s="311"/>
      <c r="E309" s="186"/>
      <c r="F309" s="186"/>
      <c r="G309" s="186"/>
    </row>
    <row r="310">
      <c r="B310" s="311"/>
      <c r="E310" s="186"/>
      <c r="F310" s="186"/>
      <c r="G310" s="186"/>
    </row>
    <row r="311">
      <c r="B311" s="311"/>
      <c r="E311" s="186"/>
      <c r="F311" s="186"/>
      <c r="G311" s="186"/>
    </row>
    <row r="312">
      <c r="B312" s="311"/>
      <c r="E312" s="186"/>
      <c r="F312" s="186"/>
      <c r="G312" s="186"/>
    </row>
    <row r="313">
      <c r="B313" s="311"/>
      <c r="E313" s="186"/>
      <c r="F313" s="186"/>
      <c r="G313" s="186"/>
    </row>
    <row r="314">
      <c r="B314" s="311"/>
      <c r="E314" s="186"/>
      <c r="F314" s="186"/>
      <c r="G314" s="186"/>
    </row>
    <row r="315">
      <c r="B315" s="311"/>
      <c r="E315" s="186"/>
      <c r="F315" s="186"/>
      <c r="G315" s="186"/>
    </row>
    <row r="316">
      <c r="B316" s="311"/>
      <c r="E316" s="186"/>
      <c r="F316" s="186"/>
      <c r="G316" s="186"/>
    </row>
    <row r="317">
      <c r="B317" s="311"/>
      <c r="E317" s="186"/>
      <c r="F317" s="186"/>
      <c r="G317" s="186"/>
    </row>
    <row r="318">
      <c r="B318" s="311"/>
      <c r="E318" s="186"/>
      <c r="F318" s="186"/>
      <c r="G318" s="186"/>
    </row>
    <row r="319">
      <c r="B319" s="311"/>
      <c r="E319" s="186"/>
      <c r="F319" s="186"/>
      <c r="G319" s="186"/>
    </row>
    <row r="320">
      <c r="B320" s="311"/>
      <c r="E320" s="186"/>
      <c r="F320" s="186"/>
      <c r="G320" s="186"/>
    </row>
    <row r="321">
      <c r="B321" s="311"/>
      <c r="E321" s="186"/>
      <c r="F321" s="186"/>
      <c r="G321" s="186"/>
    </row>
    <row r="322">
      <c r="B322" s="311"/>
      <c r="E322" s="186"/>
      <c r="F322" s="186"/>
      <c r="G322" s="186"/>
    </row>
    <row r="323">
      <c r="B323" s="311"/>
      <c r="E323" s="186"/>
      <c r="F323" s="186"/>
      <c r="G323" s="186"/>
    </row>
    <row r="324">
      <c r="B324" s="311"/>
      <c r="E324" s="186"/>
      <c r="F324" s="186"/>
      <c r="G324" s="186"/>
    </row>
    <row r="325">
      <c r="B325" s="311"/>
      <c r="E325" s="186"/>
      <c r="F325" s="186"/>
      <c r="G325" s="186"/>
    </row>
    <row r="326">
      <c r="B326" s="311"/>
      <c r="E326" s="186"/>
      <c r="F326" s="186"/>
      <c r="G326" s="186"/>
    </row>
    <row r="327">
      <c r="B327" s="311"/>
      <c r="E327" s="186"/>
      <c r="F327" s="186"/>
      <c r="G327" s="186"/>
    </row>
    <row r="328">
      <c r="B328" s="311"/>
      <c r="E328" s="186"/>
      <c r="F328" s="186"/>
      <c r="G328" s="186"/>
    </row>
    <row r="329">
      <c r="B329" s="311"/>
      <c r="E329" s="186"/>
      <c r="F329" s="186"/>
      <c r="G329" s="186"/>
    </row>
    <row r="330">
      <c r="B330" s="311"/>
      <c r="E330" s="186"/>
      <c r="F330" s="186"/>
      <c r="G330" s="186"/>
    </row>
    <row r="331">
      <c r="B331" s="311"/>
      <c r="E331" s="186"/>
      <c r="F331" s="186"/>
      <c r="G331" s="186"/>
    </row>
    <row r="332">
      <c r="B332" s="311"/>
      <c r="E332" s="186"/>
      <c r="F332" s="186"/>
      <c r="G332" s="186"/>
    </row>
    <row r="333">
      <c r="B333" s="311"/>
      <c r="E333" s="186"/>
      <c r="F333" s="186"/>
      <c r="G333" s="186"/>
    </row>
    <row r="334">
      <c r="B334" s="311"/>
      <c r="E334" s="186"/>
      <c r="F334" s="186"/>
      <c r="G334" s="186"/>
    </row>
    <row r="335">
      <c r="B335" s="311"/>
      <c r="E335" s="186"/>
      <c r="F335" s="186"/>
      <c r="G335" s="186"/>
    </row>
    <row r="336">
      <c r="B336" s="311"/>
      <c r="E336" s="186"/>
      <c r="F336" s="186"/>
      <c r="G336" s="186"/>
    </row>
    <row r="337">
      <c r="B337" s="311"/>
      <c r="E337" s="186"/>
      <c r="F337" s="186"/>
      <c r="G337" s="186"/>
    </row>
    <row r="338">
      <c r="B338" s="311"/>
      <c r="E338" s="186"/>
      <c r="F338" s="186"/>
      <c r="G338" s="186"/>
    </row>
    <row r="339">
      <c r="B339" s="311"/>
      <c r="E339" s="186"/>
      <c r="F339" s="186"/>
      <c r="G339" s="186"/>
    </row>
    <row r="340">
      <c r="B340" s="311"/>
      <c r="E340" s="186"/>
      <c r="F340" s="186"/>
      <c r="G340" s="186"/>
    </row>
    <row r="341">
      <c r="B341" s="311"/>
      <c r="E341" s="186"/>
      <c r="F341" s="186"/>
      <c r="G341" s="186"/>
    </row>
    <row r="342">
      <c r="B342" s="311"/>
      <c r="E342" s="186"/>
      <c r="F342" s="186"/>
      <c r="G342" s="186"/>
    </row>
    <row r="343">
      <c r="B343" s="311"/>
      <c r="E343" s="186"/>
      <c r="F343" s="186"/>
      <c r="G343" s="186"/>
    </row>
    <row r="344">
      <c r="B344" s="311"/>
      <c r="E344" s="186"/>
      <c r="F344" s="186"/>
      <c r="G344" s="186"/>
    </row>
    <row r="345">
      <c r="B345" s="311"/>
      <c r="E345" s="186"/>
      <c r="F345" s="186"/>
      <c r="G345" s="186"/>
    </row>
    <row r="346">
      <c r="B346" s="311"/>
      <c r="E346" s="186"/>
      <c r="F346" s="186"/>
      <c r="G346" s="186"/>
    </row>
    <row r="347">
      <c r="B347" s="311"/>
      <c r="E347" s="186"/>
      <c r="F347" s="186"/>
      <c r="G347" s="186"/>
    </row>
    <row r="348">
      <c r="B348" s="311"/>
      <c r="E348" s="186"/>
      <c r="F348" s="186"/>
      <c r="G348" s="186"/>
    </row>
    <row r="349">
      <c r="B349" s="311"/>
      <c r="E349" s="186"/>
      <c r="F349" s="186"/>
      <c r="G349" s="186"/>
    </row>
    <row r="350">
      <c r="B350" s="311"/>
      <c r="E350" s="186"/>
      <c r="F350" s="186"/>
      <c r="G350" s="186"/>
    </row>
    <row r="351">
      <c r="B351" s="311"/>
      <c r="E351" s="186"/>
      <c r="F351" s="186"/>
      <c r="G351" s="186"/>
    </row>
    <row r="352">
      <c r="B352" s="311"/>
      <c r="E352" s="186"/>
      <c r="F352" s="186"/>
      <c r="G352" s="186"/>
    </row>
    <row r="353">
      <c r="B353" s="311"/>
      <c r="E353" s="186"/>
      <c r="F353" s="186"/>
      <c r="G353" s="186"/>
    </row>
    <row r="354">
      <c r="B354" s="311"/>
      <c r="E354" s="186"/>
      <c r="F354" s="186"/>
      <c r="G354" s="186"/>
    </row>
    <row r="355">
      <c r="B355" s="311"/>
      <c r="E355" s="186"/>
      <c r="F355" s="186"/>
      <c r="G355" s="186"/>
    </row>
    <row r="356">
      <c r="B356" s="311"/>
      <c r="E356" s="186"/>
      <c r="F356" s="186"/>
      <c r="G356" s="186"/>
    </row>
    <row r="357">
      <c r="B357" s="311"/>
      <c r="E357" s="186"/>
      <c r="F357" s="186"/>
      <c r="G357" s="186"/>
    </row>
    <row r="358">
      <c r="B358" s="311"/>
      <c r="E358" s="186"/>
      <c r="F358" s="186"/>
      <c r="G358" s="186"/>
    </row>
    <row r="359">
      <c r="B359" s="311"/>
      <c r="E359" s="186"/>
      <c r="F359" s="186"/>
      <c r="G359" s="186"/>
    </row>
    <row r="360">
      <c r="B360" s="311"/>
      <c r="E360" s="186"/>
      <c r="F360" s="186"/>
      <c r="G360" s="186"/>
    </row>
    <row r="361">
      <c r="B361" s="311"/>
      <c r="E361" s="186"/>
      <c r="F361" s="186"/>
      <c r="G361" s="186"/>
    </row>
    <row r="362">
      <c r="B362" s="311"/>
      <c r="E362" s="186"/>
      <c r="F362" s="186"/>
      <c r="G362" s="186"/>
    </row>
    <row r="363">
      <c r="B363" s="311"/>
      <c r="E363" s="186"/>
      <c r="F363" s="186"/>
      <c r="G363" s="186"/>
    </row>
    <row r="364">
      <c r="B364" s="311"/>
      <c r="E364" s="186"/>
      <c r="F364" s="186"/>
      <c r="G364" s="186"/>
    </row>
    <row r="365">
      <c r="B365" s="311"/>
      <c r="E365" s="186"/>
      <c r="F365" s="186"/>
      <c r="G365" s="186"/>
    </row>
    <row r="366">
      <c r="B366" s="311"/>
      <c r="E366" s="186"/>
      <c r="F366" s="186"/>
      <c r="G366" s="186"/>
    </row>
    <row r="367">
      <c r="B367" s="311"/>
      <c r="E367" s="186"/>
      <c r="F367" s="186"/>
      <c r="G367" s="186"/>
    </row>
    <row r="368">
      <c r="B368" s="311"/>
      <c r="E368" s="186"/>
      <c r="F368" s="186"/>
      <c r="G368" s="186"/>
    </row>
    <row r="369">
      <c r="B369" s="311"/>
      <c r="E369" s="186"/>
      <c r="F369" s="186"/>
      <c r="G369" s="186"/>
    </row>
    <row r="370">
      <c r="B370" s="311"/>
      <c r="E370" s="186"/>
      <c r="F370" s="186"/>
      <c r="G370" s="186"/>
    </row>
    <row r="371">
      <c r="B371" s="311"/>
      <c r="E371" s="186"/>
      <c r="F371" s="186"/>
      <c r="G371" s="186"/>
    </row>
    <row r="372">
      <c r="B372" s="311"/>
      <c r="E372" s="186"/>
      <c r="F372" s="186"/>
      <c r="G372" s="186"/>
    </row>
    <row r="373">
      <c r="B373" s="311"/>
      <c r="E373" s="186"/>
      <c r="F373" s="186"/>
      <c r="G373" s="186"/>
    </row>
    <row r="374">
      <c r="B374" s="311"/>
      <c r="E374" s="186"/>
      <c r="F374" s="186"/>
      <c r="G374" s="186"/>
    </row>
    <row r="375">
      <c r="B375" s="311"/>
      <c r="E375" s="186"/>
      <c r="F375" s="186"/>
      <c r="G375" s="186"/>
    </row>
    <row r="376">
      <c r="B376" s="311"/>
      <c r="E376" s="186"/>
      <c r="F376" s="186"/>
      <c r="G376" s="186"/>
    </row>
    <row r="377">
      <c r="B377" s="311"/>
      <c r="E377" s="186"/>
      <c r="F377" s="186"/>
      <c r="G377" s="186"/>
    </row>
    <row r="378">
      <c r="B378" s="311"/>
      <c r="E378" s="186"/>
      <c r="F378" s="186"/>
      <c r="G378" s="186"/>
    </row>
    <row r="379">
      <c r="B379" s="311"/>
      <c r="E379" s="186"/>
      <c r="F379" s="186"/>
      <c r="G379" s="186"/>
    </row>
    <row r="380">
      <c r="B380" s="311"/>
      <c r="E380" s="186"/>
      <c r="F380" s="186"/>
      <c r="G380" s="186"/>
    </row>
    <row r="381">
      <c r="B381" s="311"/>
      <c r="E381" s="186"/>
      <c r="F381" s="186"/>
      <c r="G381" s="186"/>
    </row>
    <row r="382">
      <c r="B382" s="311"/>
      <c r="E382" s="186"/>
      <c r="F382" s="186"/>
      <c r="G382" s="186"/>
    </row>
    <row r="383">
      <c r="B383" s="311"/>
      <c r="E383" s="186"/>
      <c r="F383" s="186"/>
      <c r="G383" s="186"/>
    </row>
    <row r="384">
      <c r="B384" s="311"/>
      <c r="E384" s="186"/>
      <c r="F384" s="186"/>
      <c r="G384" s="186"/>
    </row>
    <row r="385">
      <c r="B385" s="311"/>
      <c r="E385" s="186"/>
      <c r="F385" s="186"/>
      <c r="G385" s="186"/>
    </row>
    <row r="386">
      <c r="B386" s="311"/>
      <c r="E386" s="186"/>
      <c r="F386" s="186"/>
      <c r="G386" s="186"/>
    </row>
    <row r="387">
      <c r="B387" s="311"/>
      <c r="E387" s="186"/>
      <c r="F387" s="186"/>
      <c r="G387" s="186"/>
    </row>
    <row r="388">
      <c r="B388" s="311"/>
      <c r="E388" s="186"/>
      <c r="F388" s="186"/>
      <c r="G388" s="186"/>
    </row>
    <row r="389">
      <c r="B389" s="311"/>
      <c r="E389" s="186"/>
      <c r="F389" s="186"/>
      <c r="G389" s="186"/>
    </row>
    <row r="390">
      <c r="B390" s="311"/>
      <c r="E390" s="186"/>
      <c r="F390" s="186"/>
      <c r="G390" s="186"/>
    </row>
    <row r="391">
      <c r="B391" s="311"/>
      <c r="E391" s="186"/>
      <c r="F391" s="186"/>
      <c r="G391" s="186"/>
    </row>
    <row r="392">
      <c r="B392" s="311"/>
      <c r="E392" s="186"/>
      <c r="F392" s="186"/>
      <c r="G392" s="186"/>
    </row>
    <row r="393">
      <c r="B393" s="311"/>
      <c r="E393" s="186"/>
      <c r="F393" s="186"/>
      <c r="G393" s="186"/>
    </row>
    <row r="394">
      <c r="B394" s="311"/>
      <c r="E394" s="186"/>
      <c r="F394" s="186"/>
      <c r="G394" s="186"/>
    </row>
    <row r="395">
      <c r="B395" s="311"/>
      <c r="E395" s="186"/>
      <c r="F395" s="186"/>
      <c r="G395" s="186"/>
    </row>
    <row r="396">
      <c r="B396" s="311"/>
      <c r="E396" s="186"/>
      <c r="F396" s="186"/>
      <c r="G396" s="186"/>
    </row>
    <row r="397">
      <c r="B397" s="311"/>
      <c r="E397" s="186"/>
      <c r="F397" s="186"/>
      <c r="G397" s="186"/>
    </row>
    <row r="398">
      <c r="B398" s="311"/>
      <c r="E398" s="186"/>
      <c r="F398" s="186"/>
      <c r="G398" s="186"/>
    </row>
    <row r="399">
      <c r="B399" s="311"/>
      <c r="E399" s="186"/>
      <c r="F399" s="186"/>
      <c r="G399" s="186"/>
    </row>
    <row r="400">
      <c r="B400" s="311"/>
      <c r="E400" s="186"/>
      <c r="F400" s="186"/>
      <c r="G400" s="186"/>
    </row>
    <row r="401">
      <c r="B401" s="311"/>
      <c r="E401" s="186"/>
      <c r="F401" s="186"/>
      <c r="G401" s="186"/>
    </row>
    <row r="402">
      <c r="B402" s="311"/>
      <c r="E402" s="186"/>
      <c r="F402" s="186"/>
      <c r="G402" s="186"/>
    </row>
    <row r="403">
      <c r="B403" s="311"/>
      <c r="E403" s="186"/>
      <c r="F403" s="186"/>
      <c r="G403" s="186"/>
    </row>
    <row r="404">
      <c r="B404" s="311"/>
      <c r="E404" s="186"/>
      <c r="F404" s="186"/>
      <c r="G404" s="186"/>
    </row>
    <row r="405">
      <c r="B405" s="311"/>
      <c r="E405" s="186"/>
      <c r="F405" s="186"/>
      <c r="G405" s="186"/>
    </row>
    <row r="406">
      <c r="B406" s="311"/>
      <c r="E406" s="186"/>
      <c r="F406" s="186"/>
      <c r="G406" s="186"/>
    </row>
    <row r="407">
      <c r="B407" s="311"/>
      <c r="E407" s="186"/>
      <c r="F407" s="186"/>
      <c r="G407" s="186"/>
    </row>
    <row r="408">
      <c r="B408" s="311"/>
      <c r="E408" s="186"/>
      <c r="F408" s="186"/>
      <c r="G408" s="186"/>
    </row>
    <row r="409">
      <c r="B409" s="311"/>
      <c r="E409" s="186"/>
      <c r="F409" s="186"/>
      <c r="G409" s="186"/>
    </row>
    <row r="410">
      <c r="B410" s="311"/>
      <c r="E410" s="186"/>
      <c r="F410" s="186"/>
      <c r="G410" s="186"/>
    </row>
    <row r="411">
      <c r="B411" s="311"/>
      <c r="E411" s="186"/>
      <c r="F411" s="186"/>
      <c r="G411" s="186"/>
    </row>
    <row r="412">
      <c r="B412" s="311"/>
      <c r="E412" s="186"/>
      <c r="F412" s="186"/>
      <c r="G412" s="186"/>
    </row>
    <row r="413">
      <c r="B413" s="311"/>
      <c r="E413" s="186"/>
      <c r="F413" s="186"/>
      <c r="G413" s="186"/>
    </row>
    <row r="414">
      <c r="B414" s="311"/>
      <c r="E414" s="186"/>
      <c r="F414" s="186"/>
      <c r="G414" s="186"/>
    </row>
    <row r="415">
      <c r="B415" s="311"/>
      <c r="E415" s="186"/>
      <c r="F415" s="186"/>
      <c r="G415" s="186"/>
    </row>
    <row r="416">
      <c r="B416" s="311"/>
      <c r="E416" s="186"/>
      <c r="F416" s="186"/>
      <c r="G416" s="186"/>
    </row>
    <row r="417">
      <c r="B417" s="311"/>
      <c r="E417" s="186"/>
      <c r="F417" s="186"/>
      <c r="G417" s="186"/>
    </row>
    <row r="418">
      <c r="B418" s="311"/>
      <c r="E418" s="186"/>
      <c r="F418" s="186"/>
      <c r="G418" s="186"/>
    </row>
    <row r="419">
      <c r="B419" s="311"/>
      <c r="E419" s="186"/>
      <c r="F419" s="186"/>
      <c r="G419" s="186"/>
    </row>
    <row r="420">
      <c r="B420" s="311"/>
      <c r="E420" s="186"/>
      <c r="F420" s="186"/>
      <c r="G420" s="186"/>
    </row>
    <row r="421">
      <c r="B421" s="311"/>
      <c r="E421" s="186"/>
      <c r="F421" s="186"/>
      <c r="G421" s="186"/>
    </row>
    <row r="422">
      <c r="B422" s="311"/>
      <c r="E422" s="186"/>
      <c r="F422" s="186"/>
      <c r="G422" s="186"/>
    </row>
    <row r="423">
      <c r="B423" s="311"/>
      <c r="E423" s="186"/>
      <c r="F423" s="186"/>
      <c r="G423" s="186"/>
    </row>
    <row r="424">
      <c r="B424" s="311"/>
      <c r="E424" s="186"/>
      <c r="F424" s="186"/>
      <c r="G424" s="186"/>
    </row>
    <row r="425">
      <c r="B425" s="311"/>
      <c r="E425" s="186"/>
      <c r="F425" s="186"/>
      <c r="G425" s="186"/>
    </row>
    <row r="426">
      <c r="B426" s="311"/>
      <c r="E426" s="186"/>
      <c r="F426" s="186"/>
      <c r="G426" s="186"/>
    </row>
    <row r="427">
      <c r="B427" s="311"/>
      <c r="E427" s="186"/>
      <c r="F427" s="186"/>
      <c r="G427" s="186"/>
    </row>
    <row r="428">
      <c r="B428" s="311"/>
      <c r="E428" s="186"/>
      <c r="F428" s="186"/>
      <c r="G428" s="186"/>
    </row>
    <row r="429">
      <c r="B429" s="311"/>
      <c r="E429" s="186"/>
      <c r="F429" s="186"/>
      <c r="G429" s="186"/>
    </row>
    <row r="430">
      <c r="B430" s="311"/>
      <c r="E430" s="186"/>
      <c r="F430" s="186"/>
      <c r="G430" s="186"/>
    </row>
    <row r="431">
      <c r="B431" s="311"/>
      <c r="E431" s="186"/>
      <c r="F431" s="186"/>
      <c r="G431" s="186"/>
    </row>
    <row r="432">
      <c r="B432" s="311"/>
      <c r="E432" s="186"/>
      <c r="F432" s="186"/>
      <c r="G432" s="186"/>
    </row>
    <row r="433">
      <c r="B433" s="311"/>
      <c r="E433" s="186"/>
      <c r="F433" s="186"/>
      <c r="G433" s="186"/>
    </row>
    <row r="434">
      <c r="B434" s="311"/>
      <c r="E434" s="186"/>
      <c r="F434" s="186"/>
      <c r="G434" s="186"/>
    </row>
    <row r="435">
      <c r="B435" s="311"/>
      <c r="E435" s="186"/>
      <c r="F435" s="186"/>
      <c r="G435" s="186"/>
    </row>
    <row r="436">
      <c r="B436" s="311"/>
      <c r="E436" s="186"/>
      <c r="F436" s="186"/>
      <c r="G436" s="186"/>
    </row>
    <row r="437">
      <c r="B437" s="311"/>
      <c r="E437" s="186"/>
      <c r="F437" s="186"/>
      <c r="G437" s="186"/>
    </row>
    <row r="438">
      <c r="B438" s="311"/>
      <c r="E438" s="186"/>
      <c r="F438" s="186"/>
      <c r="G438" s="186"/>
    </row>
    <row r="439">
      <c r="B439" s="311"/>
      <c r="E439" s="186"/>
      <c r="F439" s="186"/>
      <c r="G439" s="186"/>
    </row>
    <row r="440">
      <c r="B440" s="311"/>
      <c r="E440" s="186"/>
      <c r="F440" s="186"/>
      <c r="G440" s="186"/>
    </row>
    <row r="441">
      <c r="B441" s="311"/>
      <c r="E441" s="186"/>
      <c r="F441" s="186"/>
      <c r="G441" s="186"/>
    </row>
    <row r="442">
      <c r="B442" s="311"/>
      <c r="E442" s="186"/>
      <c r="F442" s="186"/>
      <c r="G442" s="186"/>
    </row>
    <row r="443">
      <c r="B443" s="311"/>
      <c r="E443" s="186"/>
      <c r="F443" s="186"/>
      <c r="G443" s="186"/>
    </row>
    <row r="444">
      <c r="B444" s="311"/>
      <c r="E444" s="186"/>
      <c r="F444" s="186"/>
      <c r="G444" s="186"/>
    </row>
    <row r="445">
      <c r="B445" s="311"/>
      <c r="E445" s="186"/>
      <c r="F445" s="186"/>
      <c r="G445" s="186"/>
    </row>
    <row r="446">
      <c r="B446" s="311"/>
      <c r="E446" s="186"/>
      <c r="F446" s="186"/>
      <c r="G446" s="186"/>
    </row>
    <row r="447">
      <c r="B447" s="311"/>
      <c r="E447" s="186"/>
      <c r="F447" s="186"/>
      <c r="G447" s="186"/>
    </row>
    <row r="448">
      <c r="B448" s="311"/>
      <c r="E448" s="186"/>
      <c r="F448" s="186"/>
      <c r="G448" s="186"/>
    </row>
    <row r="449">
      <c r="B449" s="311"/>
      <c r="E449" s="186"/>
      <c r="F449" s="186"/>
      <c r="G449" s="186"/>
    </row>
    <row r="450">
      <c r="B450" s="311"/>
      <c r="E450" s="186"/>
      <c r="F450" s="186"/>
      <c r="G450" s="186"/>
    </row>
    <row r="451">
      <c r="B451" s="311"/>
      <c r="E451" s="186"/>
      <c r="F451" s="186"/>
      <c r="G451" s="186"/>
    </row>
    <row r="452">
      <c r="B452" s="311"/>
      <c r="E452" s="186"/>
      <c r="F452" s="186"/>
      <c r="G452" s="186"/>
    </row>
    <row r="453">
      <c r="B453" s="311"/>
      <c r="E453" s="186"/>
      <c r="F453" s="186"/>
      <c r="G453" s="186"/>
    </row>
    <row r="454">
      <c r="B454" s="311"/>
      <c r="E454" s="186"/>
      <c r="F454" s="186"/>
      <c r="G454" s="186"/>
    </row>
    <row r="455">
      <c r="B455" s="311"/>
      <c r="E455" s="186"/>
      <c r="F455" s="186"/>
      <c r="G455" s="186"/>
    </row>
    <row r="456">
      <c r="B456" s="311"/>
      <c r="E456" s="186"/>
      <c r="F456" s="186"/>
      <c r="G456" s="186"/>
    </row>
    <row r="457">
      <c r="B457" s="311"/>
      <c r="E457" s="186"/>
      <c r="F457" s="186"/>
      <c r="G457" s="186"/>
    </row>
    <row r="458">
      <c r="B458" s="311"/>
      <c r="E458" s="186"/>
      <c r="F458" s="186"/>
      <c r="G458" s="186"/>
    </row>
    <row r="459">
      <c r="B459" s="311"/>
      <c r="E459" s="186"/>
      <c r="F459" s="186"/>
      <c r="G459" s="186"/>
    </row>
    <row r="460">
      <c r="B460" s="311"/>
      <c r="E460" s="186"/>
      <c r="F460" s="186"/>
      <c r="G460" s="186"/>
    </row>
    <row r="461">
      <c r="B461" s="311"/>
      <c r="E461" s="186"/>
      <c r="F461" s="186"/>
      <c r="G461" s="186"/>
    </row>
    <row r="462">
      <c r="B462" s="311"/>
      <c r="E462" s="186"/>
      <c r="F462" s="186"/>
      <c r="G462" s="186"/>
    </row>
    <row r="463">
      <c r="B463" s="311"/>
      <c r="E463" s="186"/>
      <c r="F463" s="186"/>
      <c r="G463" s="186"/>
    </row>
    <row r="464">
      <c r="B464" s="311"/>
      <c r="E464" s="186"/>
      <c r="F464" s="186"/>
      <c r="G464" s="186"/>
    </row>
    <row r="465">
      <c r="B465" s="311"/>
      <c r="E465" s="186"/>
      <c r="F465" s="186"/>
      <c r="G465" s="186"/>
    </row>
    <row r="466">
      <c r="B466" s="311"/>
      <c r="E466" s="186"/>
      <c r="F466" s="186"/>
      <c r="G466" s="186"/>
    </row>
    <row r="467">
      <c r="B467" s="311"/>
      <c r="E467" s="186"/>
      <c r="F467" s="186"/>
      <c r="G467" s="186"/>
    </row>
    <row r="468">
      <c r="B468" s="311"/>
      <c r="E468" s="186"/>
      <c r="F468" s="186"/>
      <c r="G468" s="186"/>
    </row>
    <row r="469">
      <c r="B469" s="311"/>
      <c r="E469" s="186"/>
      <c r="F469" s="186"/>
      <c r="G469" s="186"/>
    </row>
    <row r="470">
      <c r="B470" s="311"/>
      <c r="E470" s="186"/>
      <c r="F470" s="186"/>
      <c r="G470" s="186"/>
    </row>
    <row r="471">
      <c r="B471" s="311"/>
      <c r="E471" s="186"/>
      <c r="F471" s="186"/>
      <c r="G471" s="186"/>
    </row>
    <row r="472">
      <c r="B472" s="311"/>
      <c r="E472" s="186"/>
      <c r="F472" s="186"/>
      <c r="G472" s="186"/>
    </row>
    <row r="473">
      <c r="B473" s="311"/>
      <c r="E473" s="186"/>
      <c r="F473" s="186"/>
      <c r="G473" s="186"/>
    </row>
    <row r="474">
      <c r="B474" s="311"/>
      <c r="E474" s="186"/>
      <c r="F474" s="186"/>
      <c r="G474" s="186"/>
    </row>
    <row r="475">
      <c r="B475" s="311"/>
      <c r="E475" s="186"/>
      <c r="F475" s="186"/>
      <c r="G475" s="186"/>
    </row>
    <row r="476">
      <c r="B476" s="311"/>
      <c r="E476" s="186"/>
      <c r="F476" s="186"/>
      <c r="G476" s="186"/>
    </row>
    <row r="477">
      <c r="B477" s="311"/>
      <c r="E477" s="186"/>
      <c r="F477" s="186"/>
      <c r="G477" s="186"/>
    </row>
    <row r="478">
      <c r="B478" s="311"/>
      <c r="E478" s="186"/>
      <c r="F478" s="186"/>
      <c r="G478" s="186"/>
    </row>
    <row r="479">
      <c r="B479" s="311"/>
      <c r="E479" s="186"/>
      <c r="F479" s="186"/>
      <c r="G479" s="186"/>
    </row>
    <row r="480">
      <c r="B480" s="311"/>
      <c r="E480" s="186"/>
      <c r="F480" s="186"/>
      <c r="G480" s="186"/>
    </row>
    <row r="481">
      <c r="B481" s="311"/>
      <c r="E481" s="186"/>
      <c r="F481" s="186"/>
      <c r="G481" s="186"/>
    </row>
    <row r="482">
      <c r="B482" s="311"/>
      <c r="E482" s="186"/>
      <c r="F482" s="186"/>
      <c r="G482" s="186"/>
    </row>
    <row r="483">
      <c r="B483" s="311"/>
      <c r="E483" s="186"/>
      <c r="F483" s="186"/>
      <c r="G483" s="186"/>
    </row>
    <row r="484">
      <c r="B484" s="311"/>
      <c r="E484" s="186"/>
      <c r="F484" s="186"/>
      <c r="G484" s="186"/>
    </row>
    <row r="485">
      <c r="B485" s="311"/>
      <c r="E485" s="186"/>
      <c r="F485" s="186"/>
      <c r="G485" s="186"/>
    </row>
    <row r="486">
      <c r="B486" s="311"/>
      <c r="E486" s="186"/>
      <c r="F486" s="186"/>
      <c r="G486" s="186"/>
    </row>
    <row r="487">
      <c r="B487" s="311"/>
      <c r="E487" s="186"/>
      <c r="F487" s="186"/>
      <c r="G487" s="186"/>
    </row>
    <row r="488">
      <c r="B488" s="311"/>
      <c r="E488" s="186"/>
      <c r="F488" s="186"/>
      <c r="G488" s="186"/>
    </row>
    <row r="489">
      <c r="B489" s="311"/>
      <c r="E489" s="186"/>
      <c r="F489" s="186"/>
      <c r="G489" s="186"/>
    </row>
    <row r="490">
      <c r="B490" s="311"/>
      <c r="E490" s="186"/>
      <c r="F490" s="186"/>
      <c r="G490" s="186"/>
    </row>
    <row r="491">
      <c r="B491" s="311"/>
      <c r="E491" s="186"/>
      <c r="F491" s="186"/>
      <c r="G491" s="186"/>
    </row>
    <row r="492">
      <c r="B492" s="311"/>
      <c r="E492" s="186"/>
      <c r="F492" s="186"/>
      <c r="G492" s="186"/>
    </row>
    <row r="493">
      <c r="B493" s="311"/>
      <c r="E493" s="186"/>
      <c r="F493" s="186"/>
      <c r="G493" s="186"/>
    </row>
    <row r="494">
      <c r="B494" s="311"/>
      <c r="E494" s="186"/>
      <c r="F494" s="186"/>
      <c r="G494" s="186"/>
    </row>
    <row r="495">
      <c r="B495" s="311"/>
      <c r="E495" s="186"/>
      <c r="F495" s="186"/>
      <c r="G495" s="186"/>
    </row>
    <row r="496">
      <c r="B496" s="311"/>
      <c r="E496" s="186"/>
      <c r="F496" s="186"/>
      <c r="G496" s="186"/>
    </row>
    <row r="497">
      <c r="B497" s="311"/>
      <c r="E497" s="186"/>
      <c r="F497" s="186"/>
      <c r="G497" s="186"/>
    </row>
    <row r="498">
      <c r="B498" s="311"/>
      <c r="E498" s="186"/>
      <c r="F498" s="186"/>
      <c r="G498" s="186"/>
    </row>
    <row r="499">
      <c r="B499" s="311"/>
      <c r="E499" s="186"/>
      <c r="F499" s="186"/>
      <c r="G499" s="186"/>
    </row>
    <row r="500">
      <c r="B500" s="311"/>
      <c r="E500" s="186"/>
      <c r="F500" s="186"/>
      <c r="G500" s="186"/>
    </row>
    <row r="501">
      <c r="B501" s="311"/>
      <c r="E501" s="186"/>
      <c r="F501" s="186"/>
      <c r="G501" s="186"/>
    </row>
    <row r="502">
      <c r="B502" s="311"/>
      <c r="E502" s="186"/>
      <c r="F502" s="186"/>
      <c r="G502" s="186"/>
    </row>
    <row r="503">
      <c r="B503" s="311"/>
      <c r="E503" s="186"/>
      <c r="F503" s="186"/>
      <c r="G503" s="186"/>
    </row>
    <row r="504">
      <c r="B504" s="311"/>
      <c r="E504" s="186"/>
      <c r="F504" s="186"/>
      <c r="G504" s="186"/>
    </row>
    <row r="505">
      <c r="B505" s="311"/>
      <c r="E505" s="186"/>
      <c r="F505" s="186"/>
      <c r="G505" s="186"/>
    </row>
    <row r="506">
      <c r="B506" s="311"/>
      <c r="E506" s="186"/>
      <c r="F506" s="186"/>
      <c r="G506" s="186"/>
    </row>
    <row r="507">
      <c r="B507" s="311"/>
      <c r="E507" s="186"/>
      <c r="F507" s="186"/>
      <c r="G507" s="186"/>
    </row>
    <row r="508">
      <c r="B508" s="311"/>
      <c r="E508" s="186"/>
      <c r="F508" s="186"/>
      <c r="G508" s="186"/>
    </row>
    <row r="509">
      <c r="B509" s="311"/>
      <c r="E509" s="186"/>
      <c r="F509" s="186"/>
      <c r="G509" s="186"/>
    </row>
    <row r="510">
      <c r="B510" s="311"/>
      <c r="E510" s="186"/>
      <c r="F510" s="186"/>
      <c r="G510" s="186"/>
    </row>
    <row r="511">
      <c r="B511" s="311"/>
      <c r="E511" s="186"/>
      <c r="F511" s="186"/>
      <c r="G511" s="186"/>
    </row>
    <row r="512">
      <c r="B512" s="311"/>
      <c r="E512" s="186"/>
      <c r="F512" s="186"/>
      <c r="G512" s="186"/>
    </row>
    <row r="513">
      <c r="B513" s="311"/>
      <c r="E513" s="186"/>
      <c r="F513" s="186"/>
      <c r="G513" s="186"/>
    </row>
    <row r="514">
      <c r="B514" s="311"/>
      <c r="E514" s="186"/>
      <c r="F514" s="186"/>
      <c r="G514" s="186"/>
    </row>
    <row r="515">
      <c r="B515" s="311"/>
      <c r="E515" s="186"/>
      <c r="F515" s="186"/>
      <c r="G515" s="186"/>
    </row>
    <row r="516">
      <c r="B516" s="311"/>
      <c r="E516" s="186"/>
      <c r="F516" s="186"/>
      <c r="G516" s="186"/>
    </row>
    <row r="517">
      <c r="B517" s="311"/>
      <c r="E517" s="186"/>
      <c r="F517" s="186"/>
      <c r="G517" s="186"/>
    </row>
    <row r="518">
      <c r="B518" s="311"/>
      <c r="E518" s="186"/>
      <c r="F518" s="186"/>
      <c r="G518" s="186"/>
    </row>
    <row r="519">
      <c r="B519" s="311"/>
      <c r="E519" s="186"/>
      <c r="F519" s="186"/>
      <c r="G519" s="186"/>
    </row>
    <row r="520">
      <c r="B520" s="311"/>
      <c r="E520" s="186"/>
      <c r="F520" s="186"/>
      <c r="G520" s="186"/>
    </row>
    <row r="521">
      <c r="B521" s="311"/>
      <c r="E521" s="186"/>
      <c r="F521" s="186"/>
      <c r="G521" s="186"/>
    </row>
    <row r="522">
      <c r="B522" s="311"/>
      <c r="E522" s="186"/>
      <c r="F522" s="186"/>
      <c r="G522" s="186"/>
    </row>
    <row r="523">
      <c r="B523" s="311"/>
      <c r="E523" s="186"/>
      <c r="F523" s="186"/>
      <c r="G523" s="186"/>
    </row>
    <row r="524">
      <c r="B524" s="311"/>
      <c r="E524" s="186"/>
      <c r="F524" s="186"/>
      <c r="G524" s="186"/>
    </row>
    <row r="525">
      <c r="B525" s="311"/>
      <c r="E525" s="186"/>
      <c r="F525" s="186"/>
      <c r="G525" s="186"/>
    </row>
    <row r="526">
      <c r="B526" s="311"/>
      <c r="E526" s="186"/>
      <c r="F526" s="186"/>
      <c r="G526" s="186"/>
    </row>
    <row r="527">
      <c r="B527" s="311"/>
      <c r="E527" s="186"/>
      <c r="F527" s="186"/>
      <c r="G527" s="186"/>
    </row>
    <row r="528">
      <c r="B528" s="311"/>
      <c r="E528" s="186"/>
      <c r="F528" s="186"/>
      <c r="G528" s="186"/>
    </row>
    <row r="529">
      <c r="B529" s="311"/>
      <c r="E529" s="186"/>
      <c r="F529" s="186"/>
      <c r="G529" s="186"/>
    </row>
    <row r="530">
      <c r="B530" s="311"/>
      <c r="E530" s="186"/>
      <c r="F530" s="186"/>
      <c r="G530" s="186"/>
    </row>
    <row r="531">
      <c r="B531" s="311"/>
      <c r="E531" s="186"/>
      <c r="F531" s="186"/>
      <c r="G531" s="186"/>
    </row>
    <row r="532">
      <c r="B532" s="311"/>
      <c r="E532" s="186"/>
      <c r="F532" s="186"/>
      <c r="G532" s="186"/>
    </row>
    <row r="533">
      <c r="B533" s="311"/>
      <c r="E533" s="186"/>
      <c r="F533" s="186"/>
      <c r="G533" s="186"/>
    </row>
    <row r="534">
      <c r="B534" s="311"/>
      <c r="E534" s="186"/>
      <c r="F534" s="186"/>
      <c r="G534" s="186"/>
    </row>
    <row r="535">
      <c r="B535" s="311"/>
      <c r="E535" s="186"/>
      <c r="F535" s="186"/>
      <c r="G535" s="186"/>
    </row>
    <row r="536">
      <c r="B536" s="311"/>
      <c r="E536" s="186"/>
      <c r="F536" s="186"/>
      <c r="G536" s="186"/>
    </row>
    <row r="537">
      <c r="B537" s="311"/>
      <c r="E537" s="186"/>
      <c r="F537" s="186"/>
      <c r="G537" s="186"/>
    </row>
    <row r="538">
      <c r="B538" s="311"/>
      <c r="E538" s="186"/>
      <c r="F538" s="186"/>
      <c r="G538" s="186"/>
    </row>
    <row r="539">
      <c r="B539" s="311"/>
      <c r="E539" s="186"/>
      <c r="F539" s="186"/>
      <c r="G539" s="186"/>
    </row>
    <row r="540">
      <c r="B540" s="311"/>
      <c r="E540" s="186"/>
      <c r="F540" s="186"/>
      <c r="G540" s="186"/>
    </row>
    <row r="541">
      <c r="B541" s="311"/>
      <c r="E541" s="186"/>
      <c r="F541" s="186"/>
      <c r="G541" s="186"/>
    </row>
    <row r="542">
      <c r="B542" s="311"/>
      <c r="E542" s="186"/>
      <c r="F542" s="186"/>
      <c r="G542" s="186"/>
    </row>
    <row r="543">
      <c r="B543" s="311"/>
      <c r="E543" s="186"/>
      <c r="F543" s="186"/>
      <c r="G543" s="186"/>
    </row>
    <row r="544">
      <c r="B544" s="311"/>
      <c r="E544" s="186"/>
      <c r="F544" s="186"/>
      <c r="G544" s="186"/>
    </row>
    <row r="545">
      <c r="B545" s="311"/>
      <c r="E545" s="186"/>
      <c r="F545" s="186"/>
      <c r="G545" s="186"/>
    </row>
    <row r="546">
      <c r="B546" s="311"/>
      <c r="E546" s="186"/>
      <c r="F546" s="186"/>
      <c r="G546" s="186"/>
    </row>
    <row r="547">
      <c r="B547" s="311"/>
      <c r="E547" s="186"/>
      <c r="F547" s="186"/>
      <c r="G547" s="186"/>
    </row>
    <row r="548">
      <c r="B548" s="311"/>
      <c r="E548" s="186"/>
      <c r="F548" s="186"/>
      <c r="G548" s="186"/>
    </row>
    <row r="549">
      <c r="B549" s="311"/>
      <c r="E549" s="186"/>
      <c r="F549" s="186"/>
      <c r="G549" s="186"/>
    </row>
    <row r="550">
      <c r="B550" s="311"/>
      <c r="E550" s="186"/>
      <c r="F550" s="186"/>
      <c r="G550" s="186"/>
    </row>
    <row r="551">
      <c r="B551" s="311"/>
      <c r="E551" s="186"/>
      <c r="F551" s="186"/>
      <c r="G551" s="186"/>
    </row>
    <row r="552">
      <c r="B552" s="311"/>
      <c r="E552" s="186"/>
      <c r="F552" s="186"/>
      <c r="G552" s="186"/>
    </row>
    <row r="553">
      <c r="B553" s="311"/>
      <c r="E553" s="186"/>
      <c r="F553" s="186"/>
      <c r="G553" s="186"/>
    </row>
    <row r="554">
      <c r="B554" s="311"/>
      <c r="E554" s="186"/>
      <c r="F554" s="186"/>
      <c r="G554" s="186"/>
    </row>
    <row r="555">
      <c r="B555" s="311"/>
      <c r="E555" s="186"/>
      <c r="F555" s="186"/>
      <c r="G555" s="186"/>
    </row>
    <row r="556">
      <c r="B556" s="311"/>
      <c r="E556" s="186"/>
      <c r="F556" s="186"/>
      <c r="G556" s="186"/>
    </row>
    <row r="557">
      <c r="B557" s="311"/>
      <c r="E557" s="186"/>
      <c r="F557" s="186"/>
      <c r="G557" s="186"/>
    </row>
    <row r="558">
      <c r="B558" s="311"/>
      <c r="E558" s="186"/>
      <c r="F558" s="186"/>
      <c r="G558" s="186"/>
    </row>
    <row r="559">
      <c r="B559" s="311"/>
      <c r="E559" s="186"/>
      <c r="F559" s="186"/>
      <c r="G559" s="186"/>
    </row>
    <row r="560">
      <c r="B560" s="311"/>
      <c r="E560" s="186"/>
      <c r="F560" s="186"/>
      <c r="G560" s="186"/>
    </row>
    <row r="561">
      <c r="B561" s="311"/>
      <c r="E561" s="186"/>
      <c r="F561" s="186"/>
      <c r="G561" s="186"/>
    </row>
    <row r="562">
      <c r="B562" s="311"/>
      <c r="E562" s="186"/>
      <c r="F562" s="186"/>
      <c r="G562" s="186"/>
    </row>
    <row r="563">
      <c r="B563" s="311"/>
      <c r="E563" s="186"/>
      <c r="F563" s="186"/>
      <c r="G563" s="186"/>
    </row>
    <row r="564">
      <c r="B564" s="311"/>
      <c r="E564" s="186"/>
      <c r="F564" s="186"/>
      <c r="G564" s="186"/>
    </row>
    <row r="565">
      <c r="B565" s="311"/>
      <c r="E565" s="186"/>
      <c r="F565" s="186"/>
      <c r="G565" s="186"/>
    </row>
    <row r="566">
      <c r="B566" s="311"/>
      <c r="E566" s="186"/>
      <c r="F566" s="186"/>
      <c r="G566" s="186"/>
    </row>
    <row r="567">
      <c r="B567" s="311"/>
      <c r="E567" s="186"/>
      <c r="F567" s="186"/>
      <c r="G567" s="186"/>
    </row>
    <row r="568">
      <c r="B568" s="311"/>
      <c r="E568" s="186"/>
      <c r="F568" s="186"/>
      <c r="G568" s="186"/>
    </row>
    <row r="569">
      <c r="B569" s="311"/>
      <c r="E569" s="186"/>
      <c r="F569" s="186"/>
      <c r="G569" s="186"/>
    </row>
    <row r="570">
      <c r="B570" s="311"/>
      <c r="E570" s="186"/>
      <c r="F570" s="186"/>
      <c r="G570" s="186"/>
    </row>
    <row r="571">
      <c r="B571" s="311"/>
      <c r="E571" s="186"/>
      <c r="F571" s="186"/>
      <c r="G571" s="186"/>
    </row>
    <row r="572">
      <c r="B572" s="311"/>
      <c r="E572" s="186"/>
      <c r="F572" s="186"/>
      <c r="G572" s="186"/>
    </row>
    <row r="573">
      <c r="B573" s="311"/>
      <c r="E573" s="186"/>
      <c r="F573" s="186"/>
      <c r="G573" s="186"/>
    </row>
    <row r="574">
      <c r="B574" s="311"/>
      <c r="E574" s="186"/>
      <c r="F574" s="186"/>
      <c r="G574" s="186"/>
    </row>
    <row r="575">
      <c r="B575" s="311"/>
      <c r="E575" s="186"/>
      <c r="F575" s="186"/>
      <c r="G575" s="186"/>
    </row>
    <row r="576">
      <c r="B576" s="311"/>
      <c r="E576" s="186"/>
      <c r="F576" s="186"/>
      <c r="G576" s="186"/>
    </row>
    <row r="577">
      <c r="B577" s="311"/>
      <c r="E577" s="186"/>
      <c r="F577" s="186"/>
      <c r="G577" s="186"/>
    </row>
    <row r="578">
      <c r="B578" s="311"/>
      <c r="E578" s="186"/>
      <c r="F578" s="186"/>
      <c r="G578" s="186"/>
    </row>
    <row r="579">
      <c r="B579" s="311"/>
      <c r="E579" s="186"/>
      <c r="F579" s="186"/>
      <c r="G579" s="186"/>
    </row>
    <row r="580">
      <c r="B580" s="311"/>
      <c r="E580" s="186"/>
      <c r="F580" s="186"/>
      <c r="G580" s="186"/>
    </row>
    <row r="581">
      <c r="B581" s="311"/>
      <c r="E581" s="186"/>
      <c r="F581" s="186"/>
      <c r="G581" s="186"/>
    </row>
    <row r="582">
      <c r="B582" s="311"/>
      <c r="E582" s="186"/>
      <c r="F582" s="186"/>
      <c r="G582" s="186"/>
    </row>
    <row r="583">
      <c r="B583" s="311"/>
      <c r="E583" s="186"/>
      <c r="F583" s="186"/>
      <c r="G583" s="186"/>
    </row>
    <row r="584">
      <c r="B584" s="311"/>
      <c r="E584" s="186"/>
      <c r="F584" s="186"/>
      <c r="G584" s="186"/>
    </row>
    <row r="585">
      <c r="B585" s="311"/>
      <c r="E585" s="186"/>
      <c r="F585" s="186"/>
      <c r="G585" s="186"/>
    </row>
    <row r="586">
      <c r="B586" s="311"/>
      <c r="E586" s="186"/>
      <c r="F586" s="186"/>
      <c r="G586" s="186"/>
    </row>
    <row r="587">
      <c r="B587" s="311"/>
      <c r="E587" s="186"/>
      <c r="F587" s="186"/>
      <c r="G587" s="186"/>
    </row>
    <row r="588">
      <c r="B588" s="311"/>
      <c r="E588" s="186"/>
      <c r="F588" s="186"/>
      <c r="G588" s="186"/>
    </row>
    <row r="589">
      <c r="B589" s="311"/>
      <c r="E589" s="186"/>
      <c r="F589" s="186"/>
      <c r="G589" s="186"/>
    </row>
    <row r="590">
      <c r="B590" s="311"/>
      <c r="E590" s="186"/>
      <c r="F590" s="186"/>
      <c r="G590" s="186"/>
    </row>
    <row r="591">
      <c r="B591" s="311"/>
      <c r="E591" s="186"/>
      <c r="F591" s="186"/>
      <c r="G591" s="186"/>
    </row>
    <row r="592">
      <c r="B592" s="311"/>
      <c r="E592" s="186"/>
      <c r="F592" s="186"/>
      <c r="G592" s="186"/>
    </row>
    <row r="593">
      <c r="B593" s="311"/>
      <c r="E593" s="186"/>
      <c r="F593" s="186"/>
      <c r="G593" s="186"/>
    </row>
    <row r="594">
      <c r="B594" s="311"/>
      <c r="E594" s="186"/>
      <c r="F594" s="186"/>
      <c r="G594" s="186"/>
    </row>
    <row r="595">
      <c r="B595" s="311"/>
      <c r="E595" s="186"/>
      <c r="F595" s="186"/>
      <c r="G595" s="186"/>
    </row>
    <row r="596">
      <c r="B596" s="311"/>
      <c r="E596" s="186"/>
      <c r="F596" s="186"/>
      <c r="G596" s="186"/>
    </row>
    <row r="597">
      <c r="B597" s="311"/>
      <c r="E597" s="186"/>
      <c r="F597" s="186"/>
      <c r="G597" s="186"/>
    </row>
    <row r="598">
      <c r="B598" s="311"/>
      <c r="E598" s="186"/>
      <c r="F598" s="186"/>
      <c r="G598" s="186"/>
    </row>
    <row r="599">
      <c r="B599" s="311"/>
      <c r="E599" s="186"/>
      <c r="F599" s="186"/>
      <c r="G599" s="186"/>
    </row>
    <row r="600">
      <c r="B600" s="311"/>
      <c r="E600" s="186"/>
      <c r="F600" s="186"/>
      <c r="G600" s="186"/>
    </row>
    <row r="601">
      <c r="B601" s="311"/>
      <c r="E601" s="186"/>
      <c r="F601" s="186"/>
      <c r="G601" s="186"/>
    </row>
    <row r="602">
      <c r="B602" s="311"/>
      <c r="E602" s="186"/>
      <c r="F602" s="186"/>
      <c r="G602" s="186"/>
    </row>
    <row r="603">
      <c r="B603" s="311"/>
      <c r="E603" s="186"/>
      <c r="F603" s="186"/>
      <c r="G603" s="186"/>
    </row>
    <row r="604">
      <c r="B604" s="311"/>
      <c r="E604" s="186"/>
      <c r="F604" s="186"/>
      <c r="G604" s="186"/>
    </row>
    <row r="605">
      <c r="B605" s="311"/>
      <c r="E605" s="186"/>
      <c r="F605" s="186"/>
      <c r="G605" s="186"/>
    </row>
    <row r="606">
      <c r="B606" s="311"/>
      <c r="E606" s="186"/>
      <c r="F606" s="186"/>
      <c r="G606" s="186"/>
    </row>
    <row r="607">
      <c r="B607" s="311"/>
      <c r="E607" s="186"/>
      <c r="F607" s="186"/>
      <c r="G607" s="186"/>
    </row>
    <row r="608">
      <c r="B608" s="311"/>
      <c r="E608" s="186"/>
      <c r="F608" s="186"/>
      <c r="G608" s="186"/>
    </row>
    <row r="609">
      <c r="B609" s="311"/>
      <c r="E609" s="186"/>
      <c r="F609" s="186"/>
      <c r="G609" s="186"/>
    </row>
    <row r="610">
      <c r="B610" s="311"/>
      <c r="E610" s="186"/>
      <c r="F610" s="186"/>
      <c r="G610" s="186"/>
    </row>
    <row r="611">
      <c r="B611" s="311"/>
      <c r="E611" s="186"/>
      <c r="F611" s="186"/>
      <c r="G611" s="186"/>
    </row>
    <row r="612">
      <c r="B612" s="311"/>
      <c r="E612" s="186"/>
      <c r="F612" s="186"/>
      <c r="G612" s="186"/>
    </row>
    <row r="613">
      <c r="B613" s="311"/>
      <c r="E613" s="186"/>
      <c r="F613" s="186"/>
      <c r="G613" s="186"/>
    </row>
    <row r="614">
      <c r="B614" s="311"/>
      <c r="E614" s="186"/>
      <c r="F614" s="186"/>
      <c r="G614" s="186"/>
    </row>
    <row r="615">
      <c r="B615" s="311"/>
      <c r="E615" s="186"/>
      <c r="F615" s="186"/>
      <c r="G615" s="186"/>
    </row>
    <row r="616">
      <c r="B616" s="311"/>
      <c r="E616" s="186"/>
      <c r="F616" s="186"/>
      <c r="G616" s="186"/>
    </row>
    <row r="617">
      <c r="B617" s="311"/>
      <c r="E617" s="186"/>
      <c r="F617" s="186"/>
      <c r="G617" s="186"/>
    </row>
    <row r="618">
      <c r="B618" s="311"/>
      <c r="E618" s="186"/>
      <c r="F618" s="186"/>
      <c r="G618" s="186"/>
    </row>
    <row r="619">
      <c r="B619" s="311"/>
      <c r="E619" s="186"/>
      <c r="F619" s="186"/>
      <c r="G619" s="186"/>
    </row>
    <row r="620">
      <c r="B620" s="311"/>
      <c r="E620" s="186"/>
      <c r="F620" s="186"/>
      <c r="G620" s="186"/>
    </row>
    <row r="621">
      <c r="B621" s="311"/>
      <c r="E621" s="186"/>
      <c r="F621" s="186"/>
      <c r="G621" s="186"/>
    </row>
    <row r="622">
      <c r="B622" s="311"/>
      <c r="E622" s="186"/>
      <c r="F622" s="186"/>
      <c r="G622" s="186"/>
    </row>
    <row r="623">
      <c r="B623" s="311"/>
      <c r="E623" s="186"/>
      <c r="F623" s="186"/>
      <c r="G623" s="186"/>
    </row>
    <row r="624">
      <c r="B624" s="311"/>
      <c r="E624" s="186"/>
      <c r="F624" s="186"/>
      <c r="G624" s="186"/>
    </row>
    <row r="625">
      <c r="B625" s="311"/>
      <c r="E625" s="186"/>
      <c r="F625" s="186"/>
      <c r="G625" s="186"/>
    </row>
    <row r="626">
      <c r="B626" s="311"/>
      <c r="E626" s="186"/>
      <c r="F626" s="186"/>
      <c r="G626" s="186"/>
    </row>
    <row r="627">
      <c r="B627" s="311"/>
      <c r="E627" s="186"/>
      <c r="F627" s="186"/>
      <c r="G627" s="186"/>
    </row>
    <row r="628">
      <c r="B628" s="311"/>
      <c r="E628" s="186"/>
      <c r="F628" s="186"/>
      <c r="G628" s="186"/>
    </row>
    <row r="629">
      <c r="B629" s="311"/>
      <c r="E629" s="186"/>
      <c r="F629" s="186"/>
      <c r="G629" s="186"/>
    </row>
    <row r="630">
      <c r="B630" s="311"/>
      <c r="E630" s="186"/>
      <c r="F630" s="186"/>
      <c r="G630" s="186"/>
    </row>
    <row r="631">
      <c r="B631" s="311"/>
      <c r="E631" s="186"/>
      <c r="F631" s="186"/>
      <c r="G631" s="186"/>
    </row>
    <row r="632">
      <c r="B632" s="311"/>
      <c r="E632" s="186"/>
      <c r="F632" s="186"/>
      <c r="G632" s="186"/>
    </row>
    <row r="633">
      <c r="B633" s="311"/>
      <c r="E633" s="186"/>
      <c r="F633" s="186"/>
      <c r="G633" s="186"/>
    </row>
    <row r="634">
      <c r="B634" s="311"/>
      <c r="E634" s="186"/>
      <c r="F634" s="186"/>
      <c r="G634" s="186"/>
    </row>
    <row r="635">
      <c r="B635" s="311"/>
      <c r="E635" s="186"/>
      <c r="F635" s="186"/>
      <c r="G635" s="186"/>
    </row>
    <row r="636">
      <c r="B636" s="311"/>
      <c r="E636" s="186"/>
      <c r="F636" s="186"/>
      <c r="G636" s="186"/>
    </row>
    <row r="637">
      <c r="B637" s="311"/>
      <c r="E637" s="186"/>
      <c r="F637" s="186"/>
      <c r="G637" s="186"/>
    </row>
    <row r="638">
      <c r="B638" s="311"/>
      <c r="E638" s="186"/>
      <c r="F638" s="186"/>
      <c r="G638" s="186"/>
    </row>
    <row r="639">
      <c r="B639" s="311"/>
      <c r="E639" s="186"/>
      <c r="F639" s="186"/>
      <c r="G639" s="186"/>
    </row>
    <row r="640">
      <c r="B640" s="311"/>
      <c r="E640" s="186"/>
      <c r="F640" s="186"/>
      <c r="G640" s="186"/>
    </row>
    <row r="641">
      <c r="B641" s="311"/>
      <c r="E641" s="186"/>
      <c r="F641" s="186"/>
      <c r="G641" s="186"/>
    </row>
    <row r="642">
      <c r="B642" s="311"/>
      <c r="E642" s="186"/>
      <c r="F642" s="186"/>
      <c r="G642" s="186"/>
    </row>
    <row r="643">
      <c r="B643" s="311"/>
      <c r="E643" s="186"/>
      <c r="F643" s="186"/>
      <c r="G643" s="186"/>
    </row>
    <row r="644">
      <c r="B644" s="311"/>
      <c r="E644" s="186"/>
      <c r="F644" s="186"/>
      <c r="G644" s="186"/>
    </row>
    <row r="645">
      <c r="B645" s="311"/>
      <c r="E645" s="186"/>
      <c r="F645" s="186"/>
      <c r="G645" s="186"/>
    </row>
    <row r="646">
      <c r="B646" s="311"/>
      <c r="E646" s="186"/>
      <c r="F646" s="186"/>
      <c r="G646" s="186"/>
    </row>
    <row r="647">
      <c r="B647" s="311"/>
      <c r="E647" s="186"/>
      <c r="F647" s="186"/>
      <c r="G647" s="186"/>
    </row>
    <row r="648">
      <c r="B648" s="311"/>
      <c r="E648" s="186"/>
      <c r="F648" s="186"/>
      <c r="G648" s="186"/>
    </row>
    <row r="649">
      <c r="B649" s="311"/>
      <c r="E649" s="186"/>
      <c r="F649" s="186"/>
      <c r="G649" s="186"/>
    </row>
    <row r="650">
      <c r="B650" s="311"/>
      <c r="E650" s="186"/>
      <c r="F650" s="186"/>
      <c r="G650" s="186"/>
    </row>
    <row r="651">
      <c r="B651" s="311"/>
      <c r="E651" s="186"/>
      <c r="F651" s="186"/>
      <c r="G651" s="186"/>
    </row>
    <row r="652">
      <c r="B652" s="311"/>
      <c r="E652" s="186"/>
      <c r="F652" s="186"/>
      <c r="G652" s="186"/>
    </row>
    <row r="653">
      <c r="B653" s="311"/>
      <c r="E653" s="186"/>
      <c r="F653" s="186"/>
      <c r="G653" s="186"/>
    </row>
    <row r="654">
      <c r="B654" s="311"/>
      <c r="E654" s="186"/>
      <c r="F654" s="186"/>
      <c r="G654" s="186"/>
    </row>
    <row r="655">
      <c r="B655" s="311"/>
      <c r="E655" s="186"/>
      <c r="F655" s="186"/>
      <c r="G655" s="186"/>
    </row>
    <row r="656">
      <c r="B656" s="311"/>
      <c r="E656" s="186"/>
      <c r="F656" s="186"/>
      <c r="G656" s="186"/>
    </row>
    <row r="657">
      <c r="B657" s="311"/>
      <c r="E657" s="186"/>
      <c r="F657" s="186"/>
      <c r="G657" s="186"/>
    </row>
    <row r="658">
      <c r="B658" s="311"/>
      <c r="E658" s="186"/>
      <c r="F658" s="186"/>
      <c r="G658" s="186"/>
    </row>
    <row r="659">
      <c r="B659" s="311"/>
      <c r="E659" s="186"/>
      <c r="F659" s="186"/>
      <c r="G659" s="186"/>
    </row>
    <row r="660">
      <c r="B660" s="311"/>
      <c r="E660" s="186"/>
      <c r="F660" s="186"/>
      <c r="G660" s="186"/>
    </row>
    <row r="661">
      <c r="B661" s="311"/>
      <c r="E661" s="186"/>
      <c r="F661" s="186"/>
      <c r="G661" s="186"/>
    </row>
    <row r="662">
      <c r="B662" s="311"/>
      <c r="E662" s="186"/>
      <c r="F662" s="186"/>
      <c r="G662" s="186"/>
    </row>
    <row r="663">
      <c r="B663" s="311"/>
      <c r="E663" s="186"/>
      <c r="F663" s="186"/>
      <c r="G663" s="186"/>
    </row>
    <row r="664">
      <c r="B664" s="311"/>
      <c r="E664" s="186"/>
      <c r="F664" s="186"/>
      <c r="G664" s="186"/>
    </row>
    <row r="665">
      <c r="B665" s="311"/>
      <c r="E665" s="186"/>
      <c r="F665" s="186"/>
      <c r="G665" s="186"/>
    </row>
    <row r="666">
      <c r="B666" s="311"/>
      <c r="E666" s="186"/>
      <c r="F666" s="186"/>
      <c r="G666" s="186"/>
    </row>
    <row r="667">
      <c r="B667" s="311"/>
      <c r="E667" s="186"/>
      <c r="F667" s="186"/>
      <c r="G667" s="186"/>
    </row>
    <row r="668">
      <c r="B668" s="311"/>
      <c r="E668" s="186"/>
      <c r="F668" s="186"/>
      <c r="G668" s="186"/>
    </row>
    <row r="669">
      <c r="B669" s="311"/>
      <c r="E669" s="186"/>
      <c r="F669" s="186"/>
      <c r="G669" s="186"/>
    </row>
    <row r="670">
      <c r="B670" s="311"/>
      <c r="E670" s="186"/>
      <c r="F670" s="186"/>
      <c r="G670" s="186"/>
    </row>
    <row r="671">
      <c r="B671" s="311"/>
      <c r="E671" s="186"/>
      <c r="F671" s="186"/>
      <c r="G671" s="186"/>
    </row>
    <row r="672">
      <c r="B672" s="311"/>
      <c r="E672" s="186"/>
      <c r="F672" s="186"/>
      <c r="G672" s="186"/>
    </row>
    <row r="673">
      <c r="B673" s="311"/>
      <c r="E673" s="186"/>
      <c r="F673" s="186"/>
      <c r="G673" s="186"/>
    </row>
    <row r="674">
      <c r="B674" s="311"/>
      <c r="E674" s="186"/>
      <c r="F674" s="186"/>
      <c r="G674" s="186"/>
    </row>
    <row r="675">
      <c r="B675" s="311"/>
      <c r="E675" s="186"/>
      <c r="F675" s="186"/>
      <c r="G675" s="186"/>
    </row>
    <row r="676">
      <c r="B676" s="311"/>
      <c r="E676" s="186"/>
      <c r="F676" s="186"/>
      <c r="G676" s="186"/>
    </row>
    <row r="677">
      <c r="B677" s="311"/>
      <c r="E677" s="186"/>
      <c r="F677" s="186"/>
      <c r="G677" s="186"/>
    </row>
    <row r="678">
      <c r="B678" s="311"/>
      <c r="E678" s="186"/>
      <c r="F678" s="186"/>
      <c r="G678" s="186"/>
    </row>
    <row r="679">
      <c r="B679" s="311"/>
      <c r="E679" s="186"/>
      <c r="F679" s="186"/>
      <c r="G679" s="186"/>
    </row>
    <row r="680">
      <c r="B680" s="311"/>
      <c r="E680" s="186"/>
      <c r="F680" s="186"/>
      <c r="G680" s="186"/>
    </row>
    <row r="681">
      <c r="B681" s="311"/>
      <c r="E681" s="186"/>
      <c r="F681" s="186"/>
      <c r="G681" s="186"/>
    </row>
    <row r="682">
      <c r="B682" s="311"/>
      <c r="E682" s="186"/>
      <c r="F682" s="186"/>
      <c r="G682" s="186"/>
    </row>
    <row r="683">
      <c r="B683" s="311"/>
      <c r="E683" s="186"/>
      <c r="F683" s="186"/>
      <c r="G683" s="186"/>
    </row>
    <row r="684">
      <c r="B684" s="311"/>
      <c r="E684" s="186"/>
      <c r="F684" s="186"/>
      <c r="G684" s="186"/>
    </row>
    <row r="685">
      <c r="B685" s="311"/>
      <c r="E685" s="186"/>
      <c r="F685" s="186"/>
      <c r="G685" s="186"/>
    </row>
    <row r="686">
      <c r="B686" s="311"/>
      <c r="E686" s="186"/>
      <c r="F686" s="186"/>
      <c r="G686" s="186"/>
    </row>
    <row r="687">
      <c r="B687" s="311"/>
      <c r="E687" s="186"/>
      <c r="F687" s="186"/>
      <c r="G687" s="186"/>
    </row>
    <row r="688">
      <c r="B688" s="311"/>
      <c r="E688" s="186"/>
      <c r="F688" s="186"/>
      <c r="G688" s="186"/>
    </row>
    <row r="689">
      <c r="B689" s="311"/>
      <c r="E689" s="186"/>
      <c r="F689" s="186"/>
      <c r="G689" s="186"/>
    </row>
    <row r="690">
      <c r="B690" s="311"/>
      <c r="E690" s="186"/>
      <c r="F690" s="186"/>
      <c r="G690" s="186"/>
    </row>
    <row r="691">
      <c r="B691" s="311"/>
      <c r="E691" s="186"/>
      <c r="F691" s="186"/>
      <c r="G691" s="186"/>
    </row>
    <row r="692">
      <c r="B692" s="311"/>
      <c r="E692" s="186"/>
      <c r="F692" s="186"/>
      <c r="G692" s="186"/>
    </row>
    <row r="693">
      <c r="B693" s="311"/>
      <c r="E693" s="186"/>
      <c r="F693" s="186"/>
      <c r="G693" s="186"/>
    </row>
    <row r="694">
      <c r="B694" s="311"/>
      <c r="E694" s="186"/>
      <c r="F694" s="186"/>
      <c r="G694" s="186"/>
    </row>
    <row r="695">
      <c r="B695" s="311"/>
      <c r="E695" s="186"/>
      <c r="F695" s="186"/>
      <c r="G695" s="186"/>
    </row>
    <row r="696">
      <c r="B696" s="311"/>
      <c r="E696" s="186"/>
      <c r="F696" s="186"/>
      <c r="G696" s="186"/>
    </row>
    <row r="697">
      <c r="B697" s="311"/>
      <c r="E697" s="186"/>
      <c r="F697" s="186"/>
      <c r="G697" s="186"/>
    </row>
    <row r="698">
      <c r="B698" s="311"/>
      <c r="E698" s="186"/>
      <c r="F698" s="186"/>
      <c r="G698" s="186"/>
    </row>
    <row r="699">
      <c r="B699" s="311"/>
      <c r="E699" s="186"/>
      <c r="F699" s="186"/>
      <c r="G699" s="186"/>
    </row>
    <row r="700">
      <c r="B700" s="311"/>
      <c r="E700" s="186"/>
      <c r="F700" s="186"/>
      <c r="G700" s="186"/>
    </row>
    <row r="701">
      <c r="B701" s="311"/>
      <c r="E701" s="186"/>
      <c r="F701" s="186"/>
      <c r="G701" s="186"/>
    </row>
    <row r="702">
      <c r="B702" s="311"/>
      <c r="E702" s="186"/>
      <c r="F702" s="186"/>
      <c r="G702" s="186"/>
    </row>
    <row r="703">
      <c r="B703" s="311"/>
      <c r="E703" s="186"/>
      <c r="F703" s="186"/>
      <c r="G703" s="186"/>
    </row>
    <row r="704">
      <c r="B704" s="311"/>
      <c r="E704" s="186"/>
      <c r="F704" s="186"/>
      <c r="G704" s="186"/>
    </row>
    <row r="705">
      <c r="B705" s="311"/>
      <c r="E705" s="186"/>
      <c r="F705" s="186"/>
      <c r="G705" s="186"/>
    </row>
    <row r="706">
      <c r="B706" s="311"/>
      <c r="E706" s="186"/>
      <c r="F706" s="186"/>
      <c r="G706" s="186"/>
    </row>
    <row r="707">
      <c r="B707" s="311"/>
      <c r="E707" s="186"/>
      <c r="F707" s="186"/>
      <c r="G707" s="186"/>
    </row>
    <row r="708">
      <c r="B708" s="311"/>
      <c r="E708" s="186"/>
      <c r="F708" s="186"/>
      <c r="G708" s="186"/>
    </row>
    <row r="709">
      <c r="B709" s="311"/>
      <c r="E709" s="186"/>
      <c r="F709" s="186"/>
      <c r="G709" s="186"/>
    </row>
    <row r="710">
      <c r="B710" s="311"/>
      <c r="E710" s="186"/>
      <c r="F710" s="186"/>
      <c r="G710" s="186"/>
    </row>
    <row r="711">
      <c r="B711" s="311"/>
      <c r="E711" s="186"/>
      <c r="F711" s="186"/>
      <c r="G711" s="186"/>
    </row>
    <row r="712">
      <c r="B712" s="311"/>
      <c r="E712" s="186"/>
      <c r="F712" s="186"/>
      <c r="G712" s="186"/>
    </row>
    <row r="713">
      <c r="B713" s="311"/>
      <c r="E713" s="186"/>
      <c r="F713" s="186"/>
      <c r="G713" s="186"/>
    </row>
    <row r="714">
      <c r="B714" s="311"/>
      <c r="E714" s="186"/>
      <c r="F714" s="186"/>
      <c r="G714" s="186"/>
    </row>
    <row r="715">
      <c r="B715" s="311"/>
      <c r="E715" s="186"/>
      <c r="F715" s="186"/>
      <c r="G715" s="186"/>
    </row>
    <row r="716">
      <c r="B716" s="311"/>
      <c r="E716" s="186"/>
      <c r="F716" s="186"/>
      <c r="G716" s="186"/>
    </row>
    <row r="717">
      <c r="B717" s="311"/>
      <c r="E717" s="186"/>
      <c r="F717" s="186"/>
      <c r="G717" s="186"/>
    </row>
    <row r="718">
      <c r="B718" s="311"/>
      <c r="E718" s="186"/>
      <c r="F718" s="186"/>
      <c r="G718" s="186"/>
    </row>
    <row r="719">
      <c r="B719" s="311"/>
      <c r="E719" s="186"/>
      <c r="F719" s="186"/>
      <c r="G719" s="186"/>
    </row>
    <row r="720">
      <c r="B720" s="311"/>
      <c r="E720" s="186"/>
      <c r="F720" s="186"/>
      <c r="G720" s="186"/>
    </row>
    <row r="721">
      <c r="B721" s="311"/>
      <c r="E721" s="186"/>
      <c r="F721" s="186"/>
      <c r="G721" s="186"/>
    </row>
    <row r="722">
      <c r="B722" s="311"/>
      <c r="E722" s="186"/>
      <c r="F722" s="186"/>
      <c r="G722" s="186"/>
    </row>
    <row r="723">
      <c r="B723" s="311"/>
      <c r="E723" s="186"/>
      <c r="F723" s="186"/>
      <c r="G723" s="186"/>
    </row>
    <row r="724">
      <c r="B724" s="311"/>
      <c r="E724" s="186"/>
      <c r="F724" s="186"/>
      <c r="G724" s="186"/>
    </row>
    <row r="725">
      <c r="B725" s="311"/>
      <c r="E725" s="186"/>
      <c r="F725" s="186"/>
      <c r="G725" s="186"/>
    </row>
    <row r="726">
      <c r="B726" s="311"/>
      <c r="E726" s="186"/>
      <c r="F726" s="186"/>
      <c r="G726" s="186"/>
    </row>
    <row r="727">
      <c r="B727" s="311"/>
      <c r="E727" s="186"/>
      <c r="F727" s="186"/>
      <c r="G727" s="186"/>
    </row>
    <row r="728">
      <c r="B728" s="311"/>
      <c r="E728" s="186"/>
      <c r="F728" s="186"/>
      <c r="G728" s="186"/>
    </row>
    <row r="729">
      <c r="B729" s="311"/>
      <c r="E729" s="186"/>
      <c r="F729" s="186"/>
      <c r="G729" s="186"/>
    </row>
    <row r="730">
      <c r="B730" s="311"/>
      <c r="E730" s="186"/>
      <c r="F730" s="186"/>
      <c r="G730" s="186"/>
    </row>
    <row r="731">
      <c r="B731" s="311"/>
      <c r="E731" s="186"/>
      <c r="F731" s="186"/>
      <c r="G731" s="186"/>
    </row>
    <row r="732">
      <c r="B732" s="311"/>
      <c r="E732" s="186"/>
      <c r="F732" s="186"/>
      <c r="G732" s="186"/>
    </row>
    <row r="733">
      <c r="B733" s="311"/>
      <c r="E733" s="186"/>
      <c r="F733" s="186"/>
      <c r="G733" s="186"/>
    </row>
    <row r="734">
      <c r="B734" s="311"/>
      <c r="E734" s="186"/>
      <c r="F734" s="186"/>
      <c r="G734" s="186"/>
    </row>
    <row r="735">
      <c r="B735" s="311"/>
      <c r="E735" s="186"/>
      <c r="F735" s="186"/>
      <c r="G735" s="186"/>
    </row>
    <row r="736">
      <c r="B736" s="311"/>
      <c r="E736" s="186"/>
      <c r="F736" s="186"/>
      <c r="G736" s="186"/>
    </row>
    <row r="737">
      <c r="B737" s="311"/>
      <c r="E737" s="186"/>
      <c r="F737" s="186"/>
      <c r="G737" s="186"/>
    </row>
    <row r="738">
      <c r="B738" s="311"/>
      <c r="E738" s="186"/>
      <c r="F738" s="186"/>
      <c r="G738" s="186"/>
    </row>
    <row r="739">
      <c r="B739" s="311"/>
      <c r="E739" s="186"/>
      <c r="F739" s="186"/>
      <c r="G739" s="186"/>
    </row>
    <row r="740">
      <c r="B740" s="311"/>
      <c r="E740" s="186"/>
      <c r="F740" s="186"/>
      <c r="G740" s="186"/>
    </row>
    <row r="741">
      <c r="B741" s="311"/>
      <c r="E741" s="186"/>
      <c r="F741" s="186"/>
      <c r="G741" s="186"/>
    </row>
    <row r="742">
      <c r="B742" s="311"/>
      <c r="E742" s="186"/>
      <c r="F742" s="186"/>
      <c r="G742" s="186"/>
    </row>
    <row r="743">
      <c r="B743" s="311"/>
      <c r="E743" s="186"/>
      <c r="F743" s="186"/>
      <c r="G743" s="186"/>
    </row>
    <row r="744">
      <c r="B744" s="311"/>
      <c r="E744" s="186"/>
      <c r="F744" s="186"/>
      <c r="G744" s="186"/>
    </row>
    <row r="745">
      <c r="B745" s="311"/>
      <c r="E745" s="186"/>
      <c r="F745" s="186"/>
      <c r="G745" s="186"/>
    </row>
    <row r="746">
      <c r="B746" s="311"/>
      <c r="E746" s="186"/>
      <c r="F746" s="186"/>
      <c r="G746" s="186"/>
    </row>
    <row r="747">
      <c r="B747" s="311"/>
      <c r="E747" s="186"/>
      <c r="F747" s="186"/>
      <c r="G747" s="186"/>
    </row>
    <row r="748">
      <c r="B748" s="311"/>
      <c r="E748" s="186"/>
      <c r="F748" s="186"/>
      <c r="G748" s="186"/>
    </row>
    <row r="749">
      <c r="B749" s="311"/>
      <c r="E749" s="186"/>
      <c r="F749" s="186"/>
      <c r="G749" s="186"/>
    </row>
    <row r="750">
      <c r="B750" s="311"/>
      <c r="E750" s="186"/>
      <c r="F750" s="186"/>
      <c r="G750" s="186"/>
    </row>
    <row r="751">
      <c r="B751" s="311"/>
      <c r="E751" s="186"/>
      <c r="F751" s="186"/>
      <c r="G751" s="186"/>
    </row>
    <row r="752">
      <c r="B752" s="311"/>
      <c r="E752" s="186"/>
      <c r="F752" s="186"/>
      <c r="G752" s="186"/>
    </row>
    <row r="753">
      <c r="B753" s="311"/>
      <c r="E753" s="186"/>
      <c r="F753" s="186"/>
      <c r="G753" s="186"/>
    </row>
    <row r="754">
      <c r="B754" s="311"/>
      <c r="E754" s="186"/>
      <c r="F754" s="186"/>
      <c r="G754" s="186"/>
    </row>
    <row r="755">
      <c r="B755" s="311"/>
      <c r="E755" s="186"/>
      <c r="F755" s="186"/>
      <c r="G755" s="186"/>
    </row>
    <row r="756">
      <c r="B756" s="311"/>
      <c r="E756" s="186"/>
      <c r="F756" s="186"/>
      <c r="G756" s="186"/>
    </row>
    <row r="757">
      <c r="B757" s="311"/>
      <c r="E757" s="186"/>
      <c r="F757" s="186"/>
      <c r="G757" s="186"/>
    </row>
    <row r="758">
      <c r="B758" s="311"/>
      <c r="E758" s="186"/>
      <c r="F758" s="186"/>
      <c r="G758" s="186"/>
    </row>
    <row r="759">
      <c r="B759" s="311"/>
      <c r="E759" s="186"/>
      <c r="F759" s="186"/>
      <c r="G759" s="186"/>
    </row>
    <row r="760">
      <c r="B760" s="311"/>
      <c r="E760" s="186"/>
      <c r="F760" s="186"/>
      <c r="G760" s="186"/>
    </row>
    <row r="761">
      <c r="B761" s="311"/>
      <c r="E761" s="186"/>
      <c r="F761" s="186"/>
      <c r="G761" s="186"/>
    </row>
    <row r="762">
      <c r="B762" s="311"/>
      <c r="E762" s="186"/>
      <c r="F762" s="186"/>
      <c r="G762" s="186"/>
    </row>
    <row r="763">
      <c r="B763" s="311"/>
      <c r="E763" s="186"/>
      <c r="F763" s="186"/>
      <c r="G763" s="186"/>
    </row>
    <row r="764">
      <c r="B764" s="311"/>
      <c r="E764" s="186"/>
      <c r="F764" s="186"/>
      <c r="G764" s="186"/>
    </row>
    <row r="765">
      <c r="B765" s="311"/>
      <c r="E765" s="186"/>
      <c r="F765" s="186"/>
      <c r="G765" s="186"/>
    </row>
    <row r="766">
      <c r="B766" s="311"/>
      <c r="E766" s="186"/>
      <c r="F766" s="186"/>
      <c r="G766" s="186"/>
    </row>
    <row r="767">
      <c r="B767" s="311"/>
      <c r="E767" s="186"/>
      <c r="F767" s="186"/>
      <c r="G767" s="186"/>
    </row>
    <row r="768">
      <c r="B768" s="311"/>
      <c r="E768" s="186"/>
      <c r="F768" s="186"/>
      <c r="G768" s="186"/>
    </row>
    <row r="769">
      <c r="B769" s="311"/>
      <c r="E769" s="186"/>
      <c r="F769" s="186"/>
      <c r="G769" s="186"/>
    </row>
    <row r="770">
      <c r="B770" s="311"/>
      <c r="E770" s="186"/>
      <c r="F770" s="186"/>
      <c r="G770" s="186"/>
    </row>
    <row r="771">
      <c r="B771" s="311"/>
      <c r="E771" s="186"/>
      <c r="F771" s="186"/>
      <c r="G771" s="186"/>
    </row>
    <row r="772">
      <c r="B772" s="311"/>
      <c r="E772" s="186"/>
      <c r="F772" s="186"/>
      <c r="G772" s="186"/>
    </row>
    <row r="773">
      <c r="B773" s="311"/>
      <c r="E773" s="186"/>
      <c r="F773" s="186"/>
      <c r="G773" s="186"/>
    </row>
    <row r="774">
      <c r="B774" s="311"/>
      <c r="E774" s="186"/>
      <c r="F774" s="186"/>
      <c r="G774" s="186"/>
    </row>
    <row r="775">
      <c r="B775" s="311"/>
      <c r="E775" s="186"/>
      <c r="F775" s="186"/>
      <c r="G775" s="186"/>
    </row>
    <row r="776">
      <c r="B776" s="311"/>
      <c r="E776" s="186"/>
      <c r="F776" s="186"/>
      <c r="G776" s="186"/>
    </row>
    <row r="777">
      <c r="B777" s="311"/>
      <c r="E777" s="186"/>
      <c r="F777" s="186"/>
      <c r="G777" s="186"/>
    </row>
    <row r="778">
      <c r="B778" s="311"/>
      <c r="E778" s="186"/>
      <c r="F778" s="186"/>
      <c r="G778" s="186"/>
    </row>
    <row r="779">
      <c r="B779" s="311"/>
      <c r="E779" s="186"/>
      <c r="F779" s="186"/>
      <c r="G779" s="186"/>
    </row>
    <row r="780">
      <c r="B780" s="311"/>
      <c r="E780" s="186"/>
      <c r="F780" s="186"/>
      <c r="G780" s="186"/>
    </row>
    <row r="781">
      <c r="B781" s="311"/>
      <c r="E781" s="186"/>
      <c r="F781" s="186"/>
      <c r="G781" s="186"/>
    </row>
    <row r="782">
      <c r="B782" s="311"/>
      <c r="E782" s="186"/>
      <c r="F782" s="186"/>
      <c r="G782" s="186"/>
    </row>
    <row r="783">
      <c r="B783" s="311"/>
      <c r="E783" s="186"/>
      <c r="F783" s="186"/>
      <c r="G783" s="186"/>
    </row>
    <row r="784">
      <c r="B784" s="311"/>
      <c r="E784" s="186"/>
      <c r="F784" s="186"/>
      <c r="G784" s="186"/>
    </row>
    <row r="785">
      <c r="B785" s="311"/>
      <c r="E785" s="186"/>
      <c r="F785" s="186"/>
      <c r="G785" s="186"/>
    </row>
    <row r="786">
      <c r="B786" s="311"/>
      <c r="E786" s="186"/>
      <c r="F786" s="186"/>
      <c r="G786" s="186"/>
    </row>
    <row r="787">
      <c r="B787" s="311"/>
      <c r="E787" s="186"/>
      <c r="F787" s="186"/>
      <c r="G787" s="186"/>
    </row>
    <row r="788">
      <c r="B788" s="311"/>
      <c r="E788" s="186"/>
      <c r="F788" s="186"/>
      <c r="G788" s="186"/>
    </row>
    <row r="789">
      <c r="B789" s="311"/>
      <c r="E789" s="186"/>
      <c r="F789" s="186"/>
      <c r="G789" s="186"/>
    </row>
    <row r="790">
      <c r="B790" s="311"/>
      <c r="E790" s="186"/>
      <c r="F790" s="186"/>
      <c r="G790" s="186"/>
    </row>
    <row r="791">
      <c r="B791" s="311"/>
      <c r="E791" s="186"/>
      <c r="F791" s="186"/>
      <c r="G791" s="186"/>
    </row>
    <row r="792">
      <c r="B792" s="311"/>
      <c r="E792" s="186"/>
      <c r="F792" s="186"/>
      <c r="G792" s="186"/>
    </row>
    <row r="793">
      <c r="B793" s="311"/>
      <c r="E793" s="186"/>
      <c r="F793" s="186"/>
      <c r="G793" s="186"/>
    </row>
    <row r="794">
      <c r="B794" s="311"/>
      <c r="E794" s="186"/>
      <c r="F794" s="186"/>
      <c r="G794" s="186"/>
    </row>
    <row r="795">
      <c r="B795" s="311"/>
      <c r="E795" s="186"/>
      <c r="F795" s="186"/>
      <c r="G795" s="186"/>
    </row>
    <row r="796">
      <c r="B796" s="311"/>
      <c r="E796" s="186"/>
      <c r="F796" s="186"/>
      <c r="G796" s="186"/>
    </row>
    <row r="797">
      <c r="B797" s="311"/>
      <c r="E797" s="186"/>
      <c r="F797" s="186"/>
      <c r="G797" s="186"/>
    </row>
    <row r="798">
      <c r="B798" s="311"/>
      <c r="E798" s="186"/>
      <c r="F798" s="186"/>
      <c r="G798" s="186"/>
    </row>
    <row r="799">
      <c r="B799" s="311"/>
      <c r="E799" s="186"/>
      <c r="F799" s="186"/>
      <c r="G799" s="186"/>
    </row>
    <row r="800">
      <c r="B800" s="311"/>
      <c r="E800" s="186"/>
      <c r="F800" s="186"/>
      <c r="G800" s="186"/>
    </row>
    <row r="801">
      <c r="B801" s="311"/>
      <c r="E801" s="186"/>
      <c r="F801" s="186"/>
      <c r="G801" s="186"/>
    </row>
    <row r="802">
      <c r="B802" s="311"/>
      <c r="E802" s="186"/>
      <c r="F802" s="186"/>
      <c r="G802" s="186"/>
    </row>
    <row r="803">
      <c r="B803" s="311"/>
      <c r="E803" s="186"/>
      <c r="F803" s="186"/>
      <c r="G803" s="186"/>
    </row>
    <row r="804">
      <c r="B804" s="311"/>
      <c r="E804" s="186"/>
      <c r="F804" s="186"/>
      <c r="G804" s="186"/>
    </row>
    <row r="805">
      <c r="B805" s="311"/>
      <c r="E805" s="186"/>
      <c r="F805" s="186"/>
      <c r="G805" s="186"/>
    </row>
    <row r="806">
      <c r="B806" s="311"/>
      <c r="E806" s="186"/>
      <c r="F806" s="186"/>
      <c r="G806" s="186"/>
    </row>
    <row r="807">
      <c r="B807" s="311"/>
      <c r="E807" s="186"/>
      <c r="F807" s="186"/>
      <c r="G807" s="186"/>
    </row>
    <row r="808">
      <c r="B808" s="311"/>
      <c r="E808" s="186"/>
      <c r="F808" s="186"/>
      <c r="G808" s="186"/>
    </row>
    <row r="809">
      <c r="B809" s="311"/>
      <c r="E809" s="186"/>
      <c r="F809" s="186"/>
      <c r="G809" s="186"/>
    </row>
    <row r="810">
      <c r="B810" s="311"/>
      <c r="E810" s="186"/>
      <c r="F810" s="186"/>
      <c r="G810" s="186"/>
    </row>
    <row r="811">
      <c r="B811" s="311"/>
      <c r="E811" s="186"/>
      <c r="F811" s="186"/>
      <c r="G811" s="186"/>
    </row>
    <row r="812">
      <c r="B812" s="311"/>
      <c r="E812" s="186"/>
      <c r="F812" s="186"/>
      <c r="G812" s="186"/>
    </row>
    <row r="813">
      <c r="B813" s="311"/>
      <c r="E813" s="186"/>
      <c r="F813" s="186"/>
      <c r="G813" s="186"/>
    </row>
    <row r="814">
      <c r="B814" s="311"/>
      <c r="E814" s="186"/>
      <c r="F814" s="186"/>
      <c r="G814" s="186"/>
    </row>
    <row r="815">
      <c r="B815" s="311"/>
      <c r="E815" s="186"/>
      <c r="F815" s="186"/>
      <c r="G815" s="186"/>
    </row>
    <row r="816">
      <c r="B816" s="311"/>
      <c r="E816" s="186"/>
      <c r="F816" s="186"/>
      <c r="G816" s="186"/>
    </row>
    <row r="817">
      <c r="B817" s="311"/>
      <c r="E817" s="186"/>
      <c r="F817" s="186"/>
      <c r="G817" s="186"/>
    </row>
    <row r="818">
      <c r="B818" s="311"/>
      <c r="E818" s="186"/>
      <c r="F818" s="186"/>
      <c r="G818" s="186"/>
    </row>
    <row r="819">
      <c r="B819" s="311"/>
      <c r="E819" s="186"/>
      <c r="F819" s="186"/>
      <c r="G819" s="186"/>
    </row>
    <row r="820">
      <c r="B820" s="311"/>
      <c r="E820" s="186"/>
      <c r="F820" s="186"/>
      <c r="G820" s="186"/>
    </row>
    <row r="821">
      <c r="B821" s="311"/>
      <c r="E821" s="186"/>
      <c r="F821" s="186"/>
      <c r="G821" s="186"/>
    </row>
    <row r="822">
      <c r="B822" s="311"/>
      <c r="E822" s="186"/>
      <c r="F822" s="186"/>
      <c r="G822" s="186"/>
    </row>
    <row r="823">
      <c r="B823" s="311"/>
      <c r="E823" s="186"/>
      <c r="F823" s="186"/>
      <c r="G823" s="186"/>
    </row>
    <row r="824">
      <c r="B824" s="311"/>
      <c r="E824" s="186"/>
      <c r="F824" s="186"/>
      <c r="G824" s="186"/>
    </row>
    <row r="825">
      <c r="B825" s="311"/>
      <c r="E825" s="186"/>
      <c r="F825" s="186"/>
      <c r="G825" s="186"/>
    </row>
    <row r="826">
      <c r="B826" s="311"/>
      <c r="E826" s="186"/>
      <c r="F826" s="186"/>
      <c r="G826" s="186"/>
    </row>
    <row r="827">
      <c r="B827" s="311"/>
      <c r="E827" s="186"/>
      <c r="F827" s="186"/>
      <c r="G827" s="186"/>
    </row>
    <row r="828">
      <c r="B828" s="311"/>
      <c r="E828" s="186"/>
      <c r="F828" s="186"/>
      <c r="G828" s="186"/>
    </row>
    <row r="829">
      <c r="B829" s="311"/>
      <c r="E829" s="186"/>
      <c r="F829" s="186"/>
      <c r="G829" s="186"/>
    </row>
    <row r="830">
      <c r="B830" s="311"/>
      <c r="E830" s="186"/>
      <c r="F830" s="186"/>
      <c r="G830" s="186"/>
    </row>
    <row r="831">
      <c r="B831" s="311"/>
      <c r="E831" s="186"/>
      <c r="F831" s="186"/>
      <c r="G831" s="186"/>
    </row>
    <row r="832">
      <c r="B832" s="311"/>
      <c r="E832" s="186"/>
      <c r="F832" s="186"/>
      <c r="G832" s="186"/>
    </row>
    <row r="833">
      <c r="B833" s="311"/>
      <c r="E833" s="186"/>
      <c r="F833" s="186"/>
      <c r="G833" s="186"/>
    </row>
    <row r="834">
      <c r="B834" s="311"/>
      <c r="E834" s="186"/>
      <c r="F834" s="186"/>
      <c r="G834" s="186"/>
    </row>
    <row r="835">
      <c r="B835" s="311"/>
      <c r="E835" s="186"/>
      <c r="F835" s="186"/>
      <c r="G835" s="186"/>
    </row>
    <row r="836">
      <c r="B836" s="311"/>
      <c r="E836" s="186"/>
      <c r="F836" s="186"/>
      <c r="G836" s="186"/>
    </row>
    <row r="837">
      <c r="B837" s="311"/>
      <c r="E837" s="186"/>
      <c r="F837" s="186"/>
      <c r="G837" s="186"/>
    </row>
    <row r="838">
      <c r="B838" s="311"/>
      <c r="E838" s="186"/>
      <c r="F838" s="186"/>
      <c r="G838" s="186"/>
    </row>
    <row r="839">
      <c r="B839" s="311"/>
      <c r="E839" s="186"/>
      <c r="F839" s="186"/>
      <c r="G839" s="186"/>
    </row>
    <row r="840">
      <c r="B840" s="311"/>
      <c r="E840" s="186"/>
      <c r="F840" s="186"/>
      <c r="G840" s="186"/>
    </row>
    <row r="841">
      <c r="B841" s="311"/>
      <c r="E841" s="186"/>
      <c r="F841" s="186"/>
      <c r="G841" s="186"/>
    </row>
    <row r="842">
      <c r="B842" s="311"/>
      <c r="E842" s="186"/>
      <c r="F842" s="186"/>
      <c r="G842" s="186"/>
    </row>
    <row r="843">
      <c r="B843" s="311"/>
      <c r="E843" s="186"/>
      <c r="F843" s="186"/>
      <c r="G843" s="186"/>
    </row>
    <row r="844">
      <c r="B844" s="311"/>
      <c r="E844" s="186"/>
      <c r="F844" s="186"/>
      <c r="G844" s="186"/>
    </row>
    <row r="845">
      <c r="B845" s="311"/>
      <c r="E845" s="186"/>
      <c r="F845" s="186"/>
      <c r="G845" s="186"/>
    </row>
    <row r="846">
      <c r="B846" s="311"/>
      <c r="E846" s="186"/>
      <c r="F846" s="186"/>
      <c r="G846" s="186"/>
    </row>
    <row r="847">
      <c r="B847" s="311"/>
      <c r="E847" s="186"/>
      <c r="F847" s="186"/>
      <c r="G847" s="186"/>
    </row>
    <row r="848">
      <c r="B848" s="311"/>
      <c r="E848" s="186"/>
      <c r="F848" s="186"/>
      <c r="G848" s="186"/>
    </row>
    <row r="849">
      <c r="B849" s="311"/>
      <c r="E849" s="186"/>
      <c r="F849" s="186"/>
      <c r="G849" s="186"/>
    </row>
    <row r="850">
      <c r="B850" s="311"/>
      <c r="E850" s="186"/>
      <c r="F850" s="186"/>
      <c r="G850" s="186"/>
    </row>
    <row r="851">
      <c r="B851" s="311"/>
      <c r="E851" s="186"/>
      <c r="F851" s="186"/>
      <c r="G851" s="186"/>
    </row>
    <row r="852">
      <c r="B852" s="311"/>
      <c r="E852" s="186"/>
      <c r="F852" s="186"/>
      <c r="G852" s="186"/>
    </row>
    <row r="853">
      <c r="B853" s="311"/>
      <c r="E853" s="186"/>
      <c r="F853" s="186"/>
      <c r="G853" s="186"/>
    </row>
    <row r="854">
      <c r="B854" s="311"/>
      <c r="E854" s="186"/>
      <c r="F854" s="186"/>
      <c r="G854" s="186"/>
    </row>
    <row r="855">
      <c r="B855" s="311"/>
      <c r="E855" s="186"/>
      <c r="F855" s="186"/>
      <c r="G855" s="186"/>
    </row>
    <row r="856">
      <c r="B856" s="311"/>
      <c r="E856" s="186"/>
      <c r="F856" s="186"/>
      <c r="G856" s="186"/>
    </row>
    <row r="857">
      <c r="B857" s="311"/>
      <c r="E857" s="186"/>
      <c r="F857" s="186"/>
      <c r="G857" s="186"/>
    </row>
    <row r="858">
      <c r="B858" s="311"/>
      <c r="E858" s="186"/>
      <c r="F858" s="186"/>
      <c r="G858" s="186"/>
    </row>
    <row r="859">
      <c r="B859" s="311"/>
      <c r="E859" s="186"/>
      <c r="F859" s="186"/>
      <c r="G859" s="186"/>
    </row>
    <row r="860">
      <c r="B860" s="311"/>
      <c r="E860" s="186"/>
      <c r="F860" s="186"/>
      <c r="G860" s="186"/>
    </row>
    <row r="861">
      <c r="B861" s="311"/>
      <c r="E861" s="186"/>
      <c r="F861" s="186"/>
      <c r="G861" s="186"/>
    </row>
    <row r="862">
      <c r="B862" s="311"/>
      <c r="E862" s="186"/>
      <c r="F862" s="186"/>
      <c r="G862" s="186"/>
    </row>
    <row r="863">
      <c r="B863" s="311"/>
      <c r="E863" s="186"/>
      <c r="F863" s="186"/>
      <c r="G863" s="186"/>
    </row>
    <row r="864">
      <c r="B864" s="311"/>
      <c r="E864" s="186"/>
      <c r="F864" s="186"/>
      <c r="G864" s="186"/>
    </row>
    <row r="865">
      <c r="B865" s="311"/>
      <c r="E865" s="186"/>
      <c r="F865" s="186"/>
      <c r="G865" s="186"/>
    </row>
    <row r="866">
      <c r="B866" s="311"/>
      <c r="E866" s="186"/>
      <c r="F866" s="186"/>
      <c r="G866" s="186"/>
    </row>
    <row r="867">
      <c r="B867" s="311"/>
      <c r="E867" s="186"/>
      <c r="F867" s="186"/>
      <c r="G867" s="186"/>
    </row>
    <row r="868">
      <c r="B868" s="311"/>
      <c r="E868" s="186"/>
      <c r="F868" s="186"/>
      <c r="G868" s="186"/>
    </row>
    <row r="869">
      <c r="B869" s="311"/>
      <c r="E869" s="186"/>
      <c r="F869" s="186"/>
      <c r="G869" s="186"/>
    </row>
    <row r="870">
      <c r="B870" s="311"/>
      <c r="E870" s="186"/>
      <c r="F870" s="186"/>
      <c r="G870" s="186"/>
    </row>
    <row r="871">
      <c r="B871" s="311"/>
      <c r="E871" s="186"/>
      <c r="F871" s="186"/>
      <c r="G871" s="186"/>
    </row>
    <row r="872">
      <c r="B872" s="311"/>
      <c r="E872" s="186"/>
      <c r="F872" s="186"/>
      <c r="G872" s="186"/>
    </row>
    <row r="873">
      <c r="B873" s="311"/>
      <c r="E873" s="186"/>
      <c r="F873" s="186"/>
      <c r="G873" s="186"/>
    </row>
    <row r="874">
      <c r="B874" s="311"/>
      <c r="E874" s="186"/>
      <c r="F874" s="186"/>
      <c r="G874" s="186"/>
    </row>
    <row r="875">
      <c r="B875" s="311"/>
      <c r="E875" s="186"/>
      <c r="F875" s="186"/>
      <c r="G875" s="186"/>
    </row>
    <row r="876">
      <c r="B876" s="311"/>
      <c r="E876" s="186"/>
      <c r="F876" s="186"/>
      <c r="G876" s="186"/>
    </row>
    <row r="877">
      <c r="B877" s="311"/>
      <c r="E877" s="186"/>
      <c r="F877" s="186"/>
      <c r="G877" s="186"/>
    </row>
    <row r="878">
      <c r="B878" s="311"/>
      <c r="E878" s="186"/>
      <c r="F878" s="186"/>
      <c r="G878" s="186"/>
    </row>
    <row r="879">
      <c r="B879" s="311"/>
      <c r="E879" s="186"/>
      <c r="F879" s="186"/>
      <c r="G879" s="186"/>
    </row>
    <row r="880">
      <c r="B880" s="311"/>
      <c r="E880" s="186"/>
      <c r="F880" s="186"/>
      <c r="G880" s="186"/>
    </row>
    <row r="881">
      <c r="B881" s="311"/>
      <c r="E881" s="186"/>
      <c r="F881" s="186"/>
      <c r="G881" s="186"/>
    </row>
    <row r="882">
      <c r="B882" s="311"/>
      <c r="E882" s="186"/>
      <c r="F882" s="186"/>
      <c r="G882" s="186"/>
    </row>
    <row r="883">
      <c r="B883" s="311"/>
      <c r="E883" s="186"/>
      <c r="F883" s="186"/>
      <c r="G883" s="186"/>
    </row>
    <row r="884">
      <c r="B884" s="311"/>
      <c r="E884" s="186"/>
      <c r="F884" s="186"/>
      <c r="G884" s="186"/>
    </row>
    <row r="885">
      <c r="B885" s="311"/>
      <c r="E885" s="186"/>
      <c r="F885" s="186"/>
      <c r="G885" s="186"/>
    </row>
    <row r="886">
      <c r="B886" s="311"/>
      <c r="E886" s="186"/>
      <c r="F886" s="186"/>
      <c r="G886" s="186"/>
    </row>
    <row r="887">
      <c r="B887" s="311"/>
      <c r="E887" s="186"/>
      <c r="F887" s="186"/>
      <c r="G887" s="186"/>
    </row>
    <row r="888">
      <c r="B888" s="311"/>
      <c r="E888" s="186"/>
      <c r="F888" s="186"/>
      <c r="G888" s="186"/>
    </row>
    <row r="889">
      <c r="B889" s="311"/>
      <c r="E889" s="186"/>
      <c r="F889" s="186"/>
      <c r="G889" s="186"/>
    </row>
    <row r="890">
      <c r="B890" s="311"/>
      <c r="E890" s="186"/>
      <c r="F890" s="186"/>
      <c r="G890" s="186"/>
    </row>
    <row r="891">
      <c r="B891" s="311"/>
      <c r="E891" s="186"/>
      <c r="F891" s="186"/>
      <c r="G891" s="186"/>
    </row>
    <row r="892">
      <c r="B892" s="311"/>
      <c r="E892" s="186"/>
      <c r="F892" s="186"/>
      <c r="G892" s="186"/>
    </row>
    <row r="893">
      <c r="B893" s="311"/>
      <c r="E893" s="186"/>
      <c r="F893" s="186"/>
      <c r="G893" s="186"/>
    </row>
    <row r="894">
      <c r="B894" s="311"/>
      <c r="E894" s="186"/>
      <c r="F894" s="186"/>
      <c r="G894" s="186"/>
    </row>
    <row r="895">
      <c r="B895" s="311"/>
      <c r="E895" s="186"/>
      <c r="F895" s="186"/>
      <c r="G895" s="186"/>
    </row>
    <row r="896">
      <c r="B896" s="311"/>
      <c r="E896" s="186"/>
      <c r="F896" s="186"/>
      <c r="G896" s="186"/>
    </row>
    <row r="897">
      <c r="B897" s="311"/>
      <c r="E897" s="186"/>
      <c r="F897" s="186"/>
      <c r="G897" s="186"/>
    </row>
    <row r="898">
      <c r="B898" s="311"/>
      <c r="E898" s="186"/>
      <c r="F898" s="186"/>
      <c r="G898" s="186"/>
    </row>
    <row r="899">
      <c r="B899" s="311"/>
      <c r="E899" s="186"/>
      <c r="F899" s="186"/>
      <c r="G899" s="186"/>
    </row>
    <row r="900">
      <c r="B900" s="311"/>
      <c r="E900" s="186"/>
      <c r="F900" s="186"/>
      <c r="G900" s="186"/>
    </row>
    <row r="901">
      <c r="B901" s="311"/>
      <c r="E901" s="186"/>
      <c r="F901" s="186"/>
      <c r="G901" s="186"/>
    </row>
    <row r="902">
      <c r="B902" s="311"/>
      <c r="E902" s="186"/>
      <c r="F902" s="186"/>
      <c r="G902" s="186"/>
    </row>
    <row r="903">
      <c r="B903" s="311"/>
      <c r="E903" s="186"/>
      <c r="F903" s="186"/>
      <c r="G903" s="186"/>
    </row>
    <row r="904">
      <c r="B904" s="311"/>
      <c r="E904" s="186"/>
      <c r="F904" s="186"/>
      <c r="G904" s="186"/>
    </row>
    <row r="905">
      <c r="B905" s="311"/>
      <c r="E905" s="186"/>
      <c r="F905" s="186"/>
      <c r="G905" s="186"/>
    </row>
    <row r="906">
      <c r="B906" s="311"/>
      <c r="E906" s="186"/>
      <c r="F906" s="186"/>
      <c r="G906" s="186"/>
    </row>
    <row r="907">
      <c r="B907" s="311"/>
      <c r="E907" s="186"/>
      <c r="F907" s="186"/>
      <c r="G907" s="186"/>
    </row>
    <row r="908">
      <c r="B908" s="311"/>
      <c r="E908" s="186"/>
      <c r="F908" s="186"/>
      <c r="G908" s="186"/>
    </row>
    <row r="909">
      <c r="B909" s="311"/>
      <c r="E909" s="186"/>
      <c r="F909" s="186"/>
      <c r="G909" s="186"/>
    </row>
    <row r="910">
      <c r="B910" s="311"/>
      <c r="E910" s="186"/>
      <c r="F910" s="186"/>
      <c r="G910" s="186"/>
    </row>
    <row r="911">
      <c r="B911" s="311"/>
      <c r="E911" s="186"/>
      <c r="F911" s="186"/>
      <c r="G911" s="186"/>
    </row>
    <row r="912">
      <c r="B912" s="311"/>
      <c r="E912" s="186"/>
      <c r="F912" s="186"/>
      <c r="G912" s="186"/>
    </row>
    <row r="913">
      <c r="B913" s="311"/>
      <c r="E913" s="186"/>
      <c r="F913" s="186"/>
      <c r="G913" s="186"/>
    </row>
    <row r="914">
      <c r="B914" s="311"/>
      <c r="E914" s="186"/>
      <c r="F914" s="186"/>
      <c r="G914" s="186"/>
    </row>
    <row r="915">
      <c r="B915" s="311"/>
      <c r="E915" s="186"/>
      <c r="F915" s="186"/>
      <c r="G915" s="186"/>
    </row>
    <row r="916">
      <c r="B916" s="311"/>
      <c r="E916" s="186"/>
      <c r="F916" s="186"/>
      <c r="G916" s="186"/>
    </row>
    <row r="917">
      <c r="B917" s="311"/>
      <c r="E917" s="186"/>
      <c r="F917" s="186"/>
      <c r="G917" s="186"/>
    </row>
    <row r="918">
      <c r="B918" s="311"/>
      <c r="E918" s="186"/>
      <c r="F918" s="186"/>
      <c r="G918" s="186"/>
    </row>
    <row r="919">
      <c r="B919" s="311"/>
      <c r="E919" s="186"/>
      <c r="F919" s="186"/>
      <c r="G919" s="186"/>
    </row>
    <row r="920">
      <c r="B920" s="311"/>
      <c r="E920" s="186"/>
      <c r="F920" s="186"/>
      <c r="G920" s="186"/>
    </row>
    <row r="921">
      <c r="B921" s="311"/>
      <c r="E921" s="186"/>
      <c r="F921" s="186"/>
      <c r="G921" s="186"/>
    </row>
    <row r="922">
      <c r="B922" s="311"/>
      <c r="E922" s="186"/>
      <c r="F922" s="186"/>
      <c r="G922" s="186"/>
    </row>
    <row r="923">
      <c r="B923" s="311"/>
      <c r="E923" s="186"/>
      <c r="F923" s="186"/>
      <c r="G923" s="186"/>
    </row>
    <row r="924">
      <c r="B924" s="311"/>
      <c r="E924" s="186"/>
      <c r="F924" s="186"/>
      <c r="G924" s="186"/>
    </row>
    <row r="925">
      <c r="B925" s="311"/>
      <c r="E925" s="186"/>
      <c r="F925" s="186"/>
      <c r="G925" s="186"/>
    </row>
    <row r="926">
      <c r="B926" s="311"/>
      <c r="E926" s="186"/>
      <c r="F926" s="186"/>
      <c r="G926" s="186"/>
    </row>
    <row r="927">
      <c r="B927" s="311"/>
      <c r="E927" s="186"/>
      <c r="F927" s="186"/>
      <c r="G927" s="186"/>
    </row>
    <row r="928">
      <c r="B928" s="311"/>
      <c r="E928" s="186"/>
      <c r="F928" s="186"/>
      <c r="G928" s="186"/>
    </row>
    <row r="929">
      <c r="B929" s="311"/>
      <c r="E929" s="186"/>
      <c r="F929" s="186"/>
      <c r="G929" s="186"/>
    </row>
    <row r="930">
      <c r="B930" s="311"/>
      <c r="E930" s="186"/>
      <c r="F930" s="186"/>
      <c r="G930" s="186"/>
    </row>
    <row r="931">
      <c r="B931" s="311"/>
      <c r="E931" s="186"/>
      <c r="F931" s="186"/>
      <c r="G931" s="186"/>
    </row>
    <row r="932">
      <c r="B932" s="311"/>
      <c r="E932" s="186"/>
      <c r="F932" s="186"/>
      <c r="G932" s="186"/>
    </row>
    <row r="933">
      <c r="B933" s="311"/>
      <c r="E933" s="186"/>
      <c r="F933" s="186"/>
      <c r="G933" s="186"/>
    </row>
    <row r="934">
      <c r="B934" s="311"/>
      <c r="E934" s="186"/>
      <c r="F934" s="186"/>
      <c r="G934" s="186"/>
    </row>
    <row r="935">
      <c r="B935" s="311"/>
      <c r="E935" s="186"/>
      <c r="F935" s="186"/>
      <c r="G935" s="186"/>
    </row>
    <row r="936">
      <c r="B936" s="311"/>
      <c r="E936" s="186"/>
      <c r="F936" s="186"/>
      <c r="G936" s="186"/>
    </row>
    <row r="937">
      <c r="B937" s="311"/>
      <c r="E937" s="186"/>
      <c r="F937" s="186"/>
      <c r="G937" s="186"/>
    </row>
    <row r="938">
      <c r="B938" s="311"/>
      <c r="E938" s="186"/>
      <c r="F938" s="186"/>
      <c r="G938" s="186"/>
    </row>
    <row r="939">
      <c r="B939" s="311"/>
      <c r="E939" s="186"/>
      <c r="F939" s="186"/>
      <c r="G939" s="186"/>
    </row>
    <row r="940">
      <c r="B940" s="311"/>
      <c r="E940" s="186"/>
      <c r="F940" s="186"/>
      <c r="G940" s="186"/>
    </row>
    <row r="941">
      <c r="B941" s="311"/>
      <c r="E941" s="186"/>
      <c r="F941" s="186"/>
      <c r="G941" s="186"/>
    </row>
    <row r="942">
      <c r="B942" s="311"/>
      <c r="E942" s="186"/>
      <c r="F942" s="186"/>
      <c r="G942" s="186"/>
    </row>
    <row r="943">
      <c r="B943" s="311"/>
      <c r="E943" s="186"/>
      <c r="F943" s="186"/>
      <c r="G943" s="186"/>
    </row>
    <row r="944">
      <c r="B944" s="311"/>
      <c r="E944" s="186"/>
      <c r="F944" s="186"/>
      <c r="G944" s="186"/>
    </row>
    <row r="945">
      <c r="B945" s="311"/>
      <c r="E945" s="186"/>
      <c r="F945" s="186"/>
      <c r="G945" s="186"/>
    </row>
    <row r="946">
      <c r="B946" s="311"/>
      <c r="E946" s="186"/>
      <c r="F946" s="186"/>
      <c r="G946" s="186"/>
    </row>
    <row r="947">
      <c r="B947" s="311"/>
      <c r="E947" s="186"/>
      <c r="F947" s="186"/>
      <c r="G947" s="186"/>
    </row>
    <row r="948">
      <c r="B948" s="311"/>
      <c r="E948" s="186"/>
      <c r="F948" s="186"/>
      <c r="G948" s="186"/>
    </row>
    <row r="949">
      <c r="B949" s="311"/>
      <c r="E949" s="186"/>
      <c r="F949" s="186"/>
      <c r="G949" s="186"/>
    </row>
    <row r="950">
      <c r="B950" s="311"/>
      <c r="E950" s="186"/>
      <c r="F950" s="186"/>
      <c r="G950" s="186"/>
    </row>
    <row r="951">
      <c r="B951" s="311"/>
      <c r="E951" s="186"/>
      <c r="F951" s="186"/>
      <c r="G951" s="186"/>
    </row>
    <row r="952">
      <c r="B952" s="311"/>
      <c r="E952" s="186"/>
      <c r="F952" s="186"/>
      <c r="G952" s="186"/>
    </row>
    <row r="953">
      <c r="B953" s="311"/>
      <c r="E953" s="186"/>
      <c r="F953" s="186"/>
      <c r="G953" s="186"/>
    </row>
    <row r="954">
      <c r="B954" s="311"/>
      <c r="E954" s="186"/>
      <c r="F954" s="186"/>
      <c r="G954" s="186"/>
    </row>
    <row r="955">
      <c r="B955" s="311"/>
      <c r="E955" s="186"/>
      <c r="F955" s="186"/>
      <c r="G955" s="186"/>
    </row>
    <row r="956">
      <c r="B956" s="311"/>
      <c r="E956" s="186"/>
      <c r="F956" s="186"/>
      <c r="G956" s="186"/>
    </row>
    <row r="957">
      <c r="B957" s="311"/>
      <c r="E957" s="186"/>
      <c r="F957" s="186"/>
      <c r="G957" s="186"/>
    </row>
    <row r="958">
      <c r="B958" s="311"/>
      <c r="E958" s="186"/>
      <c r="F958" s="186"/>
      <c r="G958" s="186"/>
    </row>
    <row r="959">
      <c r="B959" s="311"/>
      <c r="E959" s="186"/>
      <c r="F959" s="186"/>
      <c r="G959" s="186"/>
    </row>
    <row r="960">
      <c r="B960" s="311"/>
      <c r="E960" s="186"/>
      <c r="F960" s="186"/>
      <c r="G960" s="186"/>
    </row>
    <row r="961">
      <c r="B961" s="311"/>
      <c r="E961" s="186"/>
      <c r="F961" s="186"/>
      <c r="G961" s="186"/>
    </row>
    <row r="962">
      <c r="B962" s="311"/>
      <c r="E962" s="186"/>
      <c r="F962" s="186"/>
      <c r="G962" s="186"/>
    </row>
    <row r="963">
      <c r="B963" s="311"/>
      <c r="E963" s="186"/>
      <c r="F963" s="186"/>
      <c r="G963" s="186"/>
    </row>
    <row r="964">
      <c r="B964" s="311"/>
      <c r="E964" s="186"/>
      <c r="F964" s="186"/>
      <c r="G964" s="186"/>
    </row>
    <row r="965">
      <c r="B965" s="311"/>
      <c r="E965" s="186"/>
      <c r="F965" s="186"/>
      <c r="G965" s="186"/>
    </row>
    <row r="966">
      <c r="B966" s="311"/>
      <c r="E966" s="186"/>
      <c r="F966" s="186"/>
      <c r="G966" s="186"/>
    </row>
    <row r="967">
      <c r="B967" s="311"/>
      <c r="E967" s="186"/>
      <c r="F967" s="186"/>
      <c r="G967" s="186"/>
    </row>
    <row r="968">
      <c r="B968" s="311"/>
      <c r="E968" s="186"/>
      <c r="F968" s="186"/>
      <c r="G968" s="186"/>
    </row>
    <row r="969">
      <c r="B969" s="311"/>
      <c r="E969" s="186"/>
      <c r="F969" s="186"/>
      <c r="G969" s="186"/>
    </row>
    <row r="970">
      <c r="B970" s="311"/>
      <c r="E970" s="186"/>
      <c r="F970" s="186"/>
      <c r="G970" s="186"/>
    </row>
    <row r="971">
      <c r="B971" s="311"/>
      <c r="E971" s="186"/>
      <c r="F971" s="186"/>
      <c r="G971" s="186"/>
    </row>
    <row r="972">
      <c r="B972" s="311"/>
      <c r="E972" s="186"/>
      <c r="F972" s="186"/>
      <c r="G972" s="186"/>
    </row>
    <row r="973">
      <c r="B973" s="311"/>
      <c r="E973" s="186"/>
      <c r="F973" s="186"/>
      <c r="G973" s="186"/>
    </row>
    <row r="974">
      <c r="B974" s="311"/>
      <c r="E974" s="186"/>
      <c r="F974" s="186"/>
      <c r="G974" s="186"/>
    </row>
    <row r="975">
      <c r="B975" s="311"/>
      <c r="E975" s="186"/>
      <c r="F975" s="186"/>
      <c r="G975" s="186"/>
    </row>
    <row r="976">
      <c r="B976" s="311"/>
      <c r="E976" s="186"/>
      <c r="F976" s="186"/>
      <c r="G976" s="186"/>
    </row>
    <row r="977">
      <c r="B977" s="311"/>
      <c r="E977" s="186"/>
      <c r="F977" s="186"/>
      <c r="G977" s="186"/>
    </row>
    <row r="978">
      <c r="B978" s="311"/>
      <c r="E978" s="186"/>
      <c r="F978" s="186"/>
      <c r="G978" s="186"/>
    </row>
    <row r="979">
      <c r="B979" s="311"/>
      <c r="E979" s="186"/>
      <c r="F979" s="186"/>
      <c r="G979" s="186"/>
    </row>
    <row r="980">
      <c r="B980" s="311"/>
      <c r="E980" s="186"/>
      <c r="F980" s="186"/>
      <c r="G980" s="186"/>
    </row>
    <row r="981">
      <c r="B981" s="311"/>
      <c r="E981" s="186"/>
      <c r="F981" s="186"/>
      <c r="G981" s="186"/>
    </row>
    <row r="982">
      <c r="B982" s="311"/>
      <c r="E982" s="186"/>
      <c r="F982" s="186"/>
      <c r="G982" s="186"/>
    </row>
    <row r="983">
      <c r="B983" s="311"/>
      <c r="E983" s="186"/>
      <c r="F983" s="186"/>
      <c r="G983" s="186"/>
    </row>
    <row r="984">
      <c r="B984" s="311"/>
      <c r="E984" s="186"/>
      <c r="F984" s="186"/>
      <c r="G984" s="186"/>
    </row>
    <row r="985">
      <c r="B985" s="311"/>
      <c r="E985" s="186"/>
      <c r="F985" s="186"/>
      <c r="G985" s="186"/>
    </row>
    <row r="986">
      <c r="B986" s="311"/>
      <c r="E986" s="186"/>
      <c r="F986" s="186"/>
      <c r="G986" s="186"/>
    </row>
    <row r="987">
      <c r="B987" s="311"/>
      <c r="E987" s="186"/>
      <c r="F987" s="186"/>
      <c r="G987" s="186"/>
    </row>
    <row r="988">
      <c r="B988" s="311"/>
      <c r="E988" s="186"/>
      <c r="F988" s="186"/>
      <c r="G988" s="186"/>
    </row>
    <row r="989">
      <c r="B989" s="311"/>
      <c r="E989" s="186"/>
      <c r="F989" s="186"/>
      <c r="G989" s="186"/>
    </row>
    <row r="990">
      <c r="B990" s="311"/>
      <c r="E990" s="186"/>
      <c r="F990" s="186"/>
      <c r="G990" s="186"/>
    </row>
    <row r="991">
      <c r="B991" s="311"/>
      <c r="E991" s="186"/>
      <c r="F991" s="186"/>
      <c r="G991" s="186"/>
    </row>
    <row r="992">
      <c r="B992" s="311"/>
      <c r="E992" s="186"/>
      <c r="F992" s="186"/>
      <c r="G992" s="186"/>
    </row>
    <row r="993">
      <c r="B993" s="311"/>
      <c r="E993" s="186"/>
      <c r="F993" s="186"/>
      <c r="G993" s="186"/>
    </row>
    <row r="994">
      <c r="B994" s="311"/>
      <c r="E994" s="186"/>
      <c r="F994" s="186"/>
      <c r="G994" s="186"/>
    </row>
    <row r="995">
      <c r="B995" s="311"/>
      <c r="E995" s="186"/>
      <c r="F995" s="186"/>
      <c r="G995" s="186"/>
    </row>
    <row r="996">
      <c r="B996" s="311"/>
      <c r="E996" s="186"/>
      <c r="F996" s="186"/>
      <c r="G996" s="186"/>
    </row>
    <row r="997">
      <c r="B997" s="311"/>
      <c r="E997" s="186"/>
      <c r="F997" s="186"/>
      <c r="G997" s="186"/>
    </row>
    <row r="998">
      <c r="B998" s="311"/>
      <c r="E998" s="186"/>
      <c r="F998" s="186"/>
      <c r="G998" s="186"/>
    </row>
    <row r="999">
      <c r="B999" s="311"/>
      <c r="E999" s="186"/>
      <c r="F999" s="186"/>
      <c r="G999" s="186"/>
    </row>
    <row r="1000">
      <c r="B1000" s="311"/>
      <c r="E1000" s="186"/>
      <c r="F1000" s="186"/>
      <c r="G1000" s="186"/>
    </row>
    <row r="1001">
      <c r="B1001" s="311"/>
      <c r="E1001" s="186"/>
      <c r="F1001" s="186"/>
      <c r="G1001" s="186"/>
    </row>
    <row r="1002">
      <c r="B1002" s="311"/>
      <c r="E1002" s="186"/>
      <c r="F1002" s="186"/>
      <c r="G1002" s="186"/>
    </row>
    <row r="1003">
      <c r="B1003" s="311"/>
      <c r="E1003" s="186"/>
      <c r="F1003" s="186"/>
      <c r="G1003" s="186"/>
    </row>
    <row r="1004">
      <c r="B1004" s="311"/>
      <c r="E1004" s="186"/>
      <c r="F1004" s="186"/>
      <c r="G1004" s="186"/>
    </row>
    <row r="1005">
      <c r="B1005" s="311"/>
      <c r="E1005" s="186"/>
      <c r="F1005" s="186"/>
      <c r="G1005" s="186"/>
    </row>
    <row r="1006">
      <c r="B1006" s="311"/>
      <c r="E1006" s="186"/>
      <c r="F1006" s="186"/>
      <c r="G1006" s="186"/>
    </row>
    <row r="1007">
      <c r="B1007" s="311"/>
      <c r="E1007" s="186"/>
      <c r="F1007" s="186"/>
      <c r="G1007" s="186"/>
    </row>
    <row r="1008">
      <c r="B1008" s="311"/>
      <c r="E1008" s="186"/>
      <c r="F1008" s="186"/>
      <c r="G1008" s="186"/>
    </row>
    <row r="1009">
      <c r="B1009" s="311"/>
      <c r="E1009" s="186"/>
      <c r="F1009" s="186"/>
      <c r="G1009" s="186"/>
    </row>
    <row r="1010">
      <c r="B1010" s="311"/>
      <c r="E1010" s="186"/>
      <c r="F1010" s="186"/>
      <c r="G1010" s="186"/>
    </row>
    <row r="1011">
      <c r="B1011" s="311"/>
      <c r="E1011" s="186"/>
      <c r="F1011" s="186"/>
      <c r="G1011" s="186"/>
    </row>
    <row r="1012">
      <c r="B1012" s="311"/>
      <c r="E1012" s="186"/>
      <c r="F1012" s="186"/>
      <c r="G1012" s="186"/>
    </row>
    <row r="1013">
      <c r="B1013" s="311"/>
      <c r="E1013" s="186"/>
      <c r="F1013" s="186"/>
      <c r="G1013" s="186"/>
    </row>
    <row r="1014">
      <c r="B1014" s="311"/>
      <c r="E1014" s="186"/>
      <c r="F1014" s="186"/>
      <c r="G1014" s="186"/>
    </row>
    <row r="1015">
      <c r="B1015" s="311"/>
      <c r="E1015" s="186"/>
      <c r="F1015" s="186"/>
      <c r="G1015" s="186"/>
    </row>
    <row r="1016">
      <c r="B1016" s="311"/>
      <c r="E1016" s="186"/>
      <c r="F1016" s="186"/>
      <c r="G1016" s="186"/>
    </row>
    <row r="1017">
      <c r="B1017" s="311"/>
      <c r="E1017" s="186"/>
      <c r="F1017" s="186"/>
      <c r="G1017" s="186"/>
    </row>
    <row r="1018">
      <c r="B1018" s="311"/>
      <c r="E1018" s="186"/>
      <c r="F1018" s="186"/>
      <c r="G1018" s="186"/>
    </row>
    <row r="1019">
      <c r="B1019" s="311"/>
      <c r="E1019" s="186"/>
      <c r="F1019" s="186"/>
      <c r="G1019" s="186"/>
    </row>
    <row r="1020">
      <c r="B1020" s="311"/>
      <c r="E1020" s="186"/>
      <c r="F1020" s="186"/>
      <c r="G1020" s="186"/>
    </row>
    <row r="1021">
      <c r="B1021" s="311"/>
      <c r="E1021" s="186"/>
      <c r="F1021" s="186"/>
      <c r="G1021" s="186"/>
    </row>
    <row r="1022">
      <c r="B1022" s="311"/>
      <c r="E1022" s="186"/>
      <c r="F1022" s="186"/>
      <c r="G1022" s="186"/>
    </row>
    <row r="1023">
      <c r="B1023" s="311"/>
      <c r="E1023" s="186"/>
      <c r="F1023" s="186"/>
      <c r="G1023" s="186"/>
    </row>
    <row r="1024">
      <c r="B1024" s="311"/>
      <c r="E1024" s="186"/>
      <c r="F1024" s="186"/>
      <c r="G1024" s="186"/>
    </row>
    <row r="1025">
      <c r="B1025" s="311"/>
      <c r="E1025" s="186"/>
      <c r="F1025" s="186"/>
      <c r="G1025" s="186"/>
    </row>
    <row r="1026">
      <c r="B1026" s="311"/>
      <c r="E1026" s="186"/>
      <c r="F1026" s="186"/>
      <c r="G1026" s="186"/>
    </row>
    <row r="1027">
      <c r="B1027" s="311"/>
      <c r="E1027" s="186"/>
      <c r="F1027" s="186"/>
      <c r="G1027" s="186"/>
    </row>
    <row r="1028">
      <c r="B1028" s="311"/>
      <c r="E1028" s="186"/>
      <c r="F1028" s="186"/>
      <c r="G1028" s="186"/>
    </row>
    <row r="1029">
      <c r="B1029" s="311"/>
      <c r="E1029" s="186"/>
      <c r="F1029" s="186"/>
      <c r="G1029" s="186"/>
    </row>
  </sheetData>
  <mergeCells count="1">
    <mergeCell ref="B1:F1"/>
  </mergeCells>
  <hyperlinks>
    <hyperlink r:id="rId4" ref="B15"/>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5"/>
    <col customWidth="1" min="2" max="2" width="28.63"/>
    <col customWidth="1" min="3" max="3" width="10.5"/>
    <col customWidth="1" min="4" max="5" width="11.75"/>
    <col customWidth="1" min="6" max="6" width="11.88"/>
    <col customWidth="1" min="7" max="7" width="14.13"/>
    <col customWidth="1" min="8" max="8" width="11.25"/>
    <col customWidth="1" min="9" max="9" width="13.0"/>
    <col customWidth="1" min="10" max="10" width="11.75"/>
    <col customWidth="1" min="11" max="11" width="13.5"/>
    <col customWidth="1" min="12" max="12" width="12.25"/>
    <col customWidth="1" min="13" max="13" width="16.0"/>
    <col customWidth="1" min="14" max="14" width="21.0"/>
    <col customWidth="1" min="15" max="15" width="18.25"/>
    <col customWidth="1" min="16" max="16" width="10.38"/>
    <col customWidth="1" min="17" max="17" width="10.0"/>
    <col customWidth="1" min="18" max="18" width="9.88"/>
    <col customWidth="1" min="19" max="19" width="10.25"/>
    <col customWidth="1" min="20" max="20" width="12.5"/>
    <col customWidth="1" min="21" max="21" width="15.63"/>
    <col customWidth="1" min="22" max="23" width="13.75"/>
  </cols>
  <sheetData>
    <row r="1">
      <c r="A1" s="334" t="s">
        <v>71</v>
      </c>
      <c r="B1" s="335" t="s">
        <v>72</v>
      </c>
      <c r="C1" s="336" t="s">
        <v>76</v>
      </c>
      <c r="D1" s="336" t="s">
        <v>77</v>
      </c>
      <c r="E1" s="336" t="s">
        <v>297</v>
      </c>
      <c r="F1" s="336" t="s">
        <v>298</v>
      </c>
      <c r="G1" s="336" t="s">
        <v>299</v>
      </c>
      <c r="H1" s="336" t="s">
        <v>79</v>
      </c>
      <c r="I1" s="336" t="s">
        <v>80</v>
      </c>
      <c r="J1" s="336" t="s">
        <v>82</v>
      </c>
      <c r="K1" s="336" t="s">
        <v>83</v>
      </c>
      <c r="L1" s="336" t="s">
        <v>84</v>
      </c>
      <c r="M1" s="337" t="s">
        <v>85</v>
      </c>
      <c r="N1" s="337" t="s">
        <v>86</v>
      </c>
      <c r="O1" s="337" t="s">
        <v>87</v>
      </c>
      <c r="P1" s="335" t="s">
        <v>300</v>
      </c>
      <c r="Q1" s="335" t="s">
        <v>301</v>
      </c>
      <c r="R1" s="336" t="s">
        <v>89</v>
      </c>
      <c r="S1" s="338" t="s">
        <v>12</v>
      </c>
      <c r="T1" s="334" t="s">
        <v>302</v>
      </c>
      <c r="U1" s="336" t="s">
        <v>303</v>
      </c>
      <c r="V1" s="336" t="s">
        <v>304</v>
      </c>
      <c r="W1" s="339" t="s">
        <v>305</v>
      </c>
    </row>
    <row r="2">
      <c r="A2" s="340" t="s">
        <v>306</v>
      </c>
      <c r="B2" s="341" t="str">
        <f>IFERROR(__xludf.DUMMYFUNCTION("IF(ISBLANK(A2),"""", googlefinance(A2, ""name""))"),"Apple Inc")</f>
        <v>Apple Inc</v>
      </c>
      <c r="C2" s="342">
        <f>IFERROR(__xludf.DUMMYFUNCTION("IF(ISBLANK(A2),"""", googlefinance(A2, ""price""))"),260.29)</f>
        <v>260.29</v>
      </c>
      <c r="D2" s="133">
        <f>IF(ISBLANK(A2),"",IFERROR(VLOOKUP(A2, 'Intrinsic Values List'!$A$2:$D$70, 4, FALSE), "Not Found" ))</f>
        <v>173.95</v>
      </c>
      <c r="E2" s="134">
        <f>IF(ISBLANK(A2),"",IFERROR(VLOOKUP(A2, 'Intrinsic Values List'!$A$2:$G$70, 7, FALSE), "Not Found" ))</f>
        <v>8.1</v>
      </c>
      <c r="F2" s="343" t="s">
        <v>307</v>
      </c>
      <c r="G2" s="344">
        <f t="shared" ref="G2:G37" si="1">IF(ISBLANK(D2),"", IFERROR((C2-D2)/D2,""))</f>
        <v>0.4963495257</v>
      </c>
      <c r="H2" s="342">
        <f>IFERROR(__xludf.DUMMYFUNCTION("IFERROR(googlefinance(A2,""change""),"""")"),-2.23)</f>
        <v>-2.23</v>
      </c>
      <c r="I2" s="148">
        <f>IFERROR(__xludf.DUMMYFUNCTION("iferror(GOOGLEFINANCE(A2,""changepct"")/100,"""")"),-0.0085)</f>
        <v>-0.0085</v>
      </c>
      <c r="J2" s="345">
        <f>IFERROR(__xludf.DUMMYFUNCTION("IF(ISBLANK(A2),"""", googlefinance(A2, ""low52""))"),169.21)</f>
        <v>169.21</v>
      </c>
      <c r="K2" s="344" t="str">
        <f>IFERROR(__xludf.DUMMYFUNCTION("IF(ISBLANK(A2),"""",IFERROR(SPARKLINE((C2-J2)/(L2-J2),{""charttype"",""bar"";""max"",1;""min"",0;""color1"",""2c79b5""}),""n/a""))"),"")</f>
        <v/>
      </c>
      <c r="L2" s="345">
        <f>IFERROR(__xludf.DUMMYFUNCTION("IF(ISBLANK(A2),"""", googlefinance(A2, ""high52""))"),288.61)</f>
        <v>288.61</v>
      </c>
      <c r="M2" s="343" t="s">
        <v>101</v>
      </c>
      <c r="N2" s="343" t="s">
        <v>102</v>
      </c>
      <c r="O2" s="138" t="s">
        <v>103</v>
      </c>
      <c r="P2" s="346">
        <f>IFERROR(__xludf.DUMMYFUNCTION("IF(ISBLANK(A2),"""", googlefinance(A2, ""PE""))"),32.93)</f>
        <v>32.93</v>
      </c>
      <c r="Q2" s="345">
        <f>IFERROR(__xludf.DUMMYFUNCTION("IF(ISBLANK(A2),"""", googlefinance(A2, ""eps""))"),7.9)</f>
        <v>7.9</v>
      </c>
      <c r="R2" s="347">
        <f>IFERROR(__xludf.DUMMYFUNCTION("IfError(IF(isblank(A2),"""",split(V2, ""()"")))"),1.04)</f>
        <v>1.04</v>
      </c>
      <c r="S2" s="148">
        <f>IFERROR(__xludf.DUMMYFUNCTION("""COMPUTED_VALUE"""),0.004)</f>
        <v>0.004</v>
      </c>
      <c r="T2" s="345">
        <f t="shared" ref="T2:T37" si="2">IF(ISBLANK(A2),"", (R2*100))</f>
        <v>104</v>
      </c>
      <c r="U2" s="345">
        <f t="shared" ref="U2:U37" si="3">IF(ISBLANK(A2),"", C2*100)</f>
        <v>26029</v>
      </c>
      <c r="V2" s="348" t="str">
        <f>IFERROR(__xludf.DUMMYFUNCTION("LET(t, A2,
  IF(t="""","""",
    IFERROR(
      SUBSTITUTE(
        INDEX(
          IMPORTXML(
            ""https://finviz.com/quote.ashx?t=""&amp;t&amp;""&amp;ty=dv"",
            ""(//td[normalize-space()='Dividend TTM' or contains(.,'Dividend TTM')]/following-si"&amp;"bling::td[1])[1]""
          ),1,1),
      ""*"",""""),
      IFERROR(
        SUBSTITUTE(
          INDEX(
            IMPORTXML(
              ""https://finviz.com/quote.ashx?t=""&amp;t,
              ""(//td[normalize-space()='Dividend']/following-sibling:"&amp;":td[1])[1]""
            ),1,1),
        ""*"",""""),
      """")
    )
  )
)
"),"1.04 (0.40%)")</f>
        <v>1.04 (0.40%)</v>
      </c>
      <c r="W2" s="146" t="str">
        <f t="shared" ref="W2:W37" si="4">IF(A2="", "", IF(G2&lt;=-15%, "Strong Buy", IF(G2&lt;0%, "Buy", IF(G2&lt;=15%, "Expensive", "Overrated"))))
</f>
        <v>Overrated</v>
      </c>
    </row>
    <row r="3">
      <c r="A3" s="340" t="s">
        <v>308</v>
      </c>
      <c r="B3" s="349" t="str">
        <f>IFERROR(__xludf.DUMMYFUNCTION("IF(ISBLANK(A3),"""", googlefinance(A3, ""name""))"),"Visa Inc")</f>
        <v>Visa Inc</v>
      </c>
      <c r="C3" s="135">
        <f>IFERROR(__xludf.DUMMYFUNCTION("IF(ISBLANK(A3),"""", googlefinance(A3, ""price""))"),319.8)</f>
        <v>319.8</v>
      </c>
      <c r="D3" s="133">
        <f>IF(ISBLANK(A3),"",IFERROR(VLOOKUP(A3, 'Intrinsic Values List'!$A$2:$D$70, 4, FALSE), "Not Found" ))</f>
        <v>207.57</v>
      </c>
      <c r="E3" s="134">
        <f>IF(ISBLANK(A3),"",IFERROR(VLOOKUP(A3, 'Intrinsic Values List'!$A$2:$G$70, 7, FALSE), "Not Found" ))</f>
        <v>8.71</v>
      </c>
      <c r="F3" s="343" t="s">
        <v>309</v>
      </c>
      <c r="G3" s="344">
        <f t="shared" si="1"/>
        <v>0.5406850701</v>
      </c>
      <c r="H3" s="135">
        <f>IFERROR(__xludf.DUMMYFUNCTION("IFERROR(googlefinance(A3,""change""),"""")"),-0.67)</f>
        <v>-0.67</v>
      </c>
      <c r="I3" s="136">
        <f>IFERROR(__xludf.DUMMYFUNCTION("iferror(GOOGLEFINANCE(A3,""changepct"")/100,"""")"),-0.0021)</f>
        <v>-0.0021</v>
      </c>
      <c r="J3" s="132">
        <f>IFERROR(__xludf.DUMMYFUNCTION("IF(ISBLANK(A3),"""", googlefinance(A3, ""low52""))"),299.0)</f>
        <v>299</v>
      </c>
      <c r="K3" s="350" t="str">
        <f>IFERROR(__xludf.DUMMYFUNCTION("IF(ISBLANK(A3),"""",IFERROR(SPARKLINE((C3-J3)/(L3-J3),{""charttype"",""bar"";""max"",1;""min"",0;""color1"",""2c79b5""}),""n/a""))"),"")</f>
        <v/>
      </c>
      <c r="L3" s="132">
        <f>IFERROR(__xludf.DUMMYFUNCTION("IF(ISBLANK(A3),"""", googlefinance(A3, ""high52""))"),375.51)</f>
        <v>375.51</v>
      </c>
      <c r="M3" s="343" t="s">
        <v>101</v>
      </c>
      <c r="N3" s="343" t="s">
        <v>112</v>
      </c>
      <c r="O3" s="138" t="s">
        <v>103</v>
      </c>
      <c r="P3" s="351">
        <f>IFERROR(__xludf.DUMMYFUNCTION("IF(ISBLANK(A3),"""", googlefinance(A3, ""PE""))"),30.01)</f>
        <v>30.01</v>
      </c>
      <c r="Q3" s="345">
        <f>IFERROR(__xludf.DUMMYFUNCTION("IF(ISBLANK(A3),"""", googlefinance(A3, ""eps""))"),10.65)</f>
        <v>10.65</v>
      </c>
      <c r="R3" s="140">
        <f>IFERROR(__xludf.DUMMYFUNCTION("IfError(IF(isblank(A3),"""",split(V3, ""()"")))"),2.52)</f>
        <v>2.52</v>
      </c>
      <c r="S3" s="136">
        <f>IFERROR(__xludf.DUMMYFUNCTION("""COMPUTED_VALUE"""),0.0079)</f>
        <v>0.0079</v>
      </c>
      <c r="T3" s="345">
        <f t="shared" si="2"/>
        <v>252</v>
      </c>
      <c r="U3" s="132">
        <f t="shared" si="3"/>
        <v>31980</v>
      </c>
      <c r="V3" s="348" t="str">
        <f>IFERROR(__xludf.DUMMYFUNCTION("LET(t, A3,
  IF(t="""","""",
    IFERROR(
      SUBSTITUTE(
        INDEX(
          IMPORTXML(
            ""https://finviz.com/quote.ashx?t=""&amp;t&amp;""&amp;ty=dv"",
            ""(//td[normalize-space()='Dividend TTM' or contains(.,'Dividend TTM')]/following-si"&amp;"bling::td[1])[1]""
          ),1,1),
      ""*"",""""),
      IFERROR(
        SUBSTITUTE(
          INDEX(
            IMPORTXML(
              ""https://finviz.com/quote.ashx?t=""&amp;t,
              ""(//td[normalize-space()='Dividend']/following-sibling:"&amp;":td[1])[1]""
            ),1,1),
        ""*"",""""),
      """")
    )
  )
)
"),"2.52 (0.79%)")</f>
        <v>2.52 (0.79%)</v>
      </c>
      <c r="W3" s="146" t="str">
        <f t="shared" si="4"/>
        <v>Overrated</v>
      </c>
    </row>
    <row r="4">
      <c r="A4" s="352" t="s">
        <v>310</v>
      </c>
      <c r="B4" s="353" t="str">
        <f>IFERROR(__xludf.DUMMYFUNCTION("IF(ISBLANK(A4),"""", googlefinance(A4, ""name""))"),"PepsiCo Inc")</f>
        <v>PepsiCo Inc</v>
      </c>
      <c r="C4" s="167">
        <f>IFERROR(__xludf.DUMMYFUNCTION("IF(ISBLANK(A4),"""", googlefinance(A4, ""price""))"),160.7)</f>
        <v>160.7</v>
      </c>
      <c r="D4" s="133">
        <f>IF(ISBLANK(A4),"",IFERROR(VLOOKUP(A4, 'Intrinsic Values List'!$A$2:$D$70, 4, FALSE), "Not Found" ))</f>
        <v>120.16</v>
      </c>
      <c r="E4" s="134">
        <f>IF(ISBLANK(A4),"",IFERROR(VLOOKUP(A4, 'Intrinsic Values List'!$A$2:$G$70, 7, FALSE), "Not Found" ))</f>
        <v>5.99</v>
      </c>
      <c r="F4" s="343" t="s">
        <v>309</v>
      </c>
      <c r="G4" s="344">
        <f t="shared" si="1"/>
        <v>0.3373834887</v>
      </c>
      <c r="H4" s="167">
        <f>IFERROR(__xludf.DUMMYFUNCTION("IFERROR(googlefinance(A4,""change""),"""")"),-3.22)</f>
        <v>-3.22</v>
      </c>
      <c r="I4" s="164">
        <f>IFERROR(__xludf.DUMMYFUNCTION("iferror(GOOGLEFINANCE(A4,""changepct"")/100,"""")"),-0.0196)</f>
        <v>-0.0196</v>
      </c>
      <c r="J4" s="155">
        <f>IFERROR(__xludf.DUMMYFUNCTION("IF(ISBLANK(A4),"""", googlefinance(A4, ""low52""))"),127.6)</f>
        <v>127.6</v>
      </c>
      <c r="K4" s="354" t="str">
        <f>IFERROR(__xludf.DUMMYFUNCTION("IF(ISBLANK(A4),"""",IFERROR(SPARKLINE((C4-J4)/(L4-J4),{""charttype"",""bar"";""max"",1;""min"",0;""color1"",""2c79b5""}),""n/a""))"),"")</f>
        <v/>
      </c>
      <c r="L4" s="155">
        <f>IFERROR(__xludf.DUMMYFUNCTION("IF(ISBLANK(A4),"""", googlefinance(A4, ""high52""))"),171.48)</f>
        <v>171.48</v>
      </c>
      <c r="M4" s="355" t="s">
        <v>101</v>
      </c>
      <c r="N4" s="356" t="s">
        <v>108</v>
      </c>
      <c r="O4" s="138" t="s">
        <v>113</v>
      </c>
      <c r="P4" s="357">
        <f>IFERROR(__xludf.DUMMYFUNCTION("IF(ISBLANK(A4),"""", googlefinance(A4, ""PE""))"),26.78)</f>
        <v>26.78</v>
      </c>
      <c r="Q4" s="155">
        <f>IFERROR(__xludf.DUMMYFUNCTION("IF(ISBLANK(A4),"""", googlefinance(A4, ""eps""))"),6.0)</f>
        <v>6</v>
      </c>
      <c r="R4" s="165">
        <f>IFERROR(__xludf.DUMMYFUNCTION("IfError(IF(isblank(A4),"""",split(V4, ""()"")))"),5.62)</f>
        <v>5.62</v>
      </c>
      <c r="S4" s="164">
        <f>IFERROR(__xludf.DUMMYFUNCTION("""COMPUTED_VALUE"""),0.035)</f>
        <v>0.035</v>
      </c>
      <c r="T4" s="155">
        <f t="shared" si="2"/>
        <v>562</v>
      </c>
      <c r="U4" s="155">
        <f t="shared" si="3"/>
        <v>16070</v>
      </c>
      <c r="V4" s="348" t="str">
        <f>IFERROR(__xludf.DUMMYFUNCTION("LET(t, A4,
  IF(t="""","""",
    IFERROR(
      SUBSTITUTE(
        INDEX(
          IMPORTXML(
            ""https://finviz.com/quote.ashx?t=""&amp;t&amp;""&amp;ty=dv"",
            ""(//td[normalize-space()='Dividend TTM' or contains(.,'Dividend TTM')]/following-si"&amp;"bling::td[1])[1]""
          ),1,1),
      ""*"",""""),
      IFERROR(
        SUBSTITUTE(
          INDEX(
            IMPORTXML(
              ""https://finviz.com/quote.ashx?t=""&amp;t,
              ""(//td[normalize-space()='Dividend']/following-sibling:"&amp;":td[1])[1]""
            ),1,1),
        ""*"",""""),
      """")
    )
  )
)
"),"5.62 (3.50%)")</f>
        <v>5.62 (3.50%)</v>
      </c>
      <c r="W4" s="146" t="str">
        <f t="shared" si="4"/>
        <v>Overrated</v>
      </c>
    </row>
    <row r="5">
      <c r="A5" s="352" t="s">
        <v>311</v>
      </c>
      <c r="B5" s="353" t="str">
        <f>IFERROR(__xludf.DUMMYFUNCTION("IF(ISBLANK(A5),"""", googlefinance(A5, ""name""))"),"Altria Group Inc")</f>
        <v>Altria Group Inc</v>
      </c>
      <c r="C5" s="167">
        <f>IFERROR(__xludf.DUMMYFUNCTION("IF(ISBLANK(A5),"""", googlefinance(A5, ""price""))"),66.98)</f>
        <v>66.98</v>
      </c>
      <c r="D5" s="133">
        <f>IF(ISBLANK(A5),"",IFERROR(VLOOKUP(A5, 'Intrinsic Values List'!$A$2:$D$70, 4, FALSE), "Not Found" ))</f>
        <v>94.06</v>
      </c>
      <c r="E5" s="134">
        <f>IF(ISBLANK(A5),"",IFERROR(VLOOKUP(A5, 'Intrinsic Values List'!$A$2:$G$70, 7, FALSE), "Not Found" ))</f>
        <v>6.26</v>
      </c>
      <c r="F5" s="343" t="s">
        <v>309</v>
      </c>
      <c r="G5" s="344">
        <f t="shared" si="1"/>
        <v>-0.2879013396</v>
      </c>
      <c r="H5" s="167">
        <f>IFERROR(__xludf.DUMMYFUNCTION("IFERROR(googlefinance(A5,""change""),"""")"),-1.14)</f>
        <v>-1.14</v>
      </c>
      <c r="I5" s="164">
        <f>IFERROR(__xludf.DUMMYFUNCTION("iferror(GOOGLEFINANCE(A5,""changepct"")/100,"""")"),-0.0166)</f>
        <v>-0.0166</v>
      </c>
      <c r="J5" s="155">
        <f>IFERROR(__xludf.DUMMYFUNCTION("IF(ISBLANK(A5),"""", googlefinance(A5, ""low52""))"),52.82)</f>
        <v>52.82</v>
      </c>
      <c r="K5" s="354" t="str">
        <f>IFERROR(__xludf.DUMMYFUNCTION("IF(ISBLANK(A5),"""",IFERROR(SPARKLINE((C5-J5)/(L5-J5),{""charttype"",""bar"";""max"",1;""min"",0;""color1"",""2c79b5""}),""n/a""))"),"")</f>
        <v/>
      </c>
      <c r="L5" s="155">
        <f>IFERROR(__xludf.DUMMYFUNCTION("IF(ISBLANK(A5),"""", googlefinance(A5, ""high52""))"),70.51)</f>
        <v>70.51</v>
      </c>
      <c r="M5" s="355" t="s">
        <v>101</v>
      </c>
      <c r="N5" s="355" t="s">
        <v>108</v>
      </c>
      <c r="O5" s="138" t="s">
        <v>113</v>
      </c>
      <c r="P5" s="357">
        <f>IFERROR(__xludf.DUMMYFUNCTION("IF(ISBLANK(A5),"""", googlefinance(A5, ""PE""))"),16.27)</f>
        <v>16.27</v>
      </c>
      <c r="Q5" s="155">
        <f>IFERROR(__xludf.DUMMYFUNCTION("IF(ISBLANK(A5),"""", googlefinance(A5, ""eps""))"),4.12)</f>
        <v>4.12</v>
      </c>
      <c r="R5" s="165">
        <f>IFERROR(__xludf.DUMMYFUNCTION("IfError(IF(isblank(A5),"""",split(V5, ""()"")))"),4.16)</f>
        <v>4.16</v>
      </c>
      <c r="S5" s="358">
        <f>IFERROR(__xludf.DUMMYFUNCTION("""COMPUTED_VALUE"""),0.0621)</f>
        <v>0.0621</v>
      </c>
      <c r="T5" s="155">
        <f t="shared" si="2"/>
        <v>416</v>
      </c>
      <c r="U5" s="155">
        <f t="shared" si="3"/>
        <v>6698</v>
      </c>
      <c r="V5" s="348" t="str">
        <f>IFERROR(__xludf.DUMMYFUNCTION("LET(t, A5,
  IF(t="""","""",
    IFERROR(
      SUBSTITUTE(
        INDEX(
          IMPORTXML(
            ""https://finviz.com/quote.ashx?t=""&amp;t&amp;""&amp;ty=dv"",
            ""(//td[normalize-space()='Dividend TTM' or contains(.,'Dividend TTM')]/following-si"&amp;"bling::td[1])[1]""
          ),1,1),
      ""*"",""""),
      IFERROR(
        SUBSTITUTE(
          INDEX(
            IMPORTXML(
              ""https://finviz.com/quote.ashx?t=""&amp;t,
              ""(//td[normalize-space()='Dividend']/following-sibling:"&amp;":td[1])[1]""
            ),1,1),
        ""*"",""""),
      """")
    )
  )
)
"),"4.16 (6.21%)")</f>
        <v>4.16 (6.21%)</v>
      </c>
      <c r="W5" s="146" t="str">
        <f t="shared" si="4"/>
        <v>Strong Buy</v>
      </c>
    </row>
    <row r="6" ht="15.0" customHeight="1">
      <c r="A6" s="359" t="s">
        <v>312</v>
      </c>
      <c r="B6" s="355" t="str">
        <f>IFERROR(__xludf.DUMMYFUNCTION("IF(ISBLANK(A6),"""", googlefinance(A6, ""name""))"),"AbbVie Common Stock")</f>
        <v>AbbVie Common Stock</v>
      </c>
      <c r="C6" s="360">
        <f>IFERROR(__xludf.DUMMYFUNCTION("IF(ISBLANK(A6),"""", googlefinance(A6, ""price""))"),232.35)</f>
        <v>232.35</v>
      </c>
      <c r="D6" s="133">
        <f>IF(ISBLANK(A6),"",IFERROR(VLOOKUP(A6, 'Intrinsic Values List'!$A$2:$D$70, 4, FALSE), "Not Found" ))</f>
        <v>124.34</v>
      </c>
      <c r="E6" s="134">
        <f>IF(ISBLANK(A6),"",IFERROR(VLOOKUP(A6, 'Intrinsic Values List'!$A$2:$G$70, 7, FALSE), "Not Found" ))</f>
        <v>5.34</v>
      </c>
      <c r="F6" s="356" t="s">
        <v>307</v>
      </c>
      <c r="G6" s="344">
        <f t="shared" si="1"/>
        <v>0.8686665594</v>
      </c>
      <c r="H6" s="360">
        <f>IFERROR(__xludf.DUMMYFUNCTION("IFERROR(googlefinance(A6,""change""),"""")"),-3.84)</f>
        <v>-3.84</v>
      </c>
      <c r="I6" s="361">
        <f>IFERROR(__xludf.DUMMYFUNCTION("iferror(GOOGLEFINANCE(A6,""changepct"")/100,"""")"),-0.0163)</f>
        <v>-0.0163</v>
      </c>
      <c r="J6" s="362">
        <f>IFERROR(__xludf.DUMMYFUNCTION("IF(ISBLANK(A6),"""", googlefinance(A6, ""low52""))"),164.39)</f>
        <v>164.39</v>
      </c>
      <c r="K6" s="363" t="str">
        <f>IFERROR(__xludf.DUMMYFUNCTION("IF(ISBLANK(A6),"""",IFERROR(SPARKLINE((C6-J6)/(L6-J6),{""charttype"",""bar"";""max"",1;""min"",0;""color1"",""2c79b5""}),""n/a""))"),"")</f>
        <v/>
      </c>
      <c r="L6" s="362">
        <f>IFERROR(__xludf.DUMMYFUNCTION("IF(ISBLANK(A6),"""", googlefinance(A6, ""high52""))"),244.81)</f>
        <v>244.81</v>
      </c>
      <c r="M6" s="355" t="s">
        <v>101</v>
      </c>
      <c r="N6" s="356" t="s">
        <v>119</v>
      </c>
      <c r="O6" s="364" t="s">
        <v>113</v>
      </c>
      <c r="P6" s="365">
        <f>IFERROR(__xludf.DUMMYFUNCTION("IF(ISBLANK(A6),"""", googlefinance(A6, ""PE""))"),98.41)</f>
        <v>98.41</v>
      </c>
      <c r="Q6" s="362">
        <f>IFERROR(__xludf.DUMMYFUNCTION("IF(ISBLANK(A6),"""", googlefinance(A6, ""eps""))"),2.36)</f>
        <v>2.36</v>
      </c>
      <c r="R6" s="366">
        <f>IFERROR(__xludf.DUMMYFUNCTION("IfError(IF(isblank(A6),"""",split(V6, ""()"")))"),6.65)</f>
        <v>6.65</v>
      </c>
      <c r="S6" s="367">
        <f>IFERROR(__xludf.DUMMYFUNCTION("""COMPUTED_VALUE"""),0.0286)</f>
        <v>0.0286</v>
      </c>
      <c r="T6" s="362">
        <f t="shared" si="2"/>
        <v>665</v>
      </c>
      <c r="U6" s="362">
        <f t="shared" si="3"/>
        <v>23235</v>
      </c>
      <c r="V6" s="348" t="str">
        <f>IFERROR(__xludf.DUMMYFUNCTION("LET(t, A6,
  IF(t="""","""",
    IFERROR(
      SUBSTITUTE(
        INDEX(
          IMPORTXML(
            ""https://finviz.com/quote.ashx?t=""&amp;t&amp;""&amp;ty=dv"",
            ""(//td[normalize-space()='Dividend TTM' or contains(.,'Dividend TTM')]/following-si"&amp;"bling::td[1])[1]""
          ),1,1),
      ""*"",""""),
      IFERROR(
        SUBSTITUTE(
          INDEX(
            IMPORTXML(
              ""https://finviz.com/quote.ashx?t=""&amp;t,
              ""(//td[normalize-space()='Dividend']/following-sibling:"&amp;":td[1])[1]""
            ),1,1),
        ""*"",""""),
      """")
    )
  )
)
"),"6.65 (2.86%)")</f>
        <v>6.65 (2.86%)</v>
      </c>
      <c r="W6" s="146" t="str">
        <f t="shared" si="4"/>
        <v>Overrated</v>
      </c>
    </row>
    <row r="7">
      <c r="A7" s="352" t="s">
        <v>313</v>
      </c>
      <c r="B7" s="353" t="str">
        <f>IFERROR(__xludf.DUMMYFUNCTION("IF(ISBLANK(A7),"""", googlefinance(A7, ""name""))"),"Johnson &amp; Johnson")</f>
        <v>Johnson &amp; Johnson</v>
      </c>
      <c r="C7" s="167">
        <f>IFERROR(__xludf.DUMMYFUNCTION("IF(ISBLANK(A7),"""", googlefinance(A7, ""price""))"),239.63)</f>
        <v>239.63</v>
      </c>
      <c r="D7" s="133">
        <f>IF(ISBLANK(A7),"",IFERROR(VLOOKUP(A7, 'Intrinsic Values List'!$A$2:$D$70, 4, FALSE), "Not Found" ))</f>
        <v>148.99</v>
      </c>
      <c r="E7" s="134">
        <f>IF(ISBLANK(A7),"",IFERROR(VLOOKUP(A7, 'Intrinsic Values List'!$A$2:$G$70, 7, FALSE), "Not Found" ))</f>
        <v>7.25</v>
      </c>
      <c r="F7" s="343" t="s">
        <v>307</v>
      </c>
      <c r="G7" s="344">
        <f t="shared" si="1"/>
        <v>0.6083629774</v>
      </c>
      <c r="H7" s="167">
        <f>IFERROR(__xludf.DUMMYFUNCTION("IFERROR(googlefinance(A7,""change""),"""")"),-5.67)</f>
        <v>-5.67</v>
      </c>
      <c r="I7" s="164">
        <f>IFERROR(__xludf.DUMMYFUNCTION("iferror(GOOGLEFINANCE(A7,""changepct"")/100,"""")"),-0.023)</f>
        <v>-0.023</v>
      </c>
      <c r="J7" s="155">
        <f>IFERROR(__xludf.DUMMYFUNCTION("IF(ISBLANK(A7),"""", googlefinance(A7, ""low52""))"),141.5)</f>
        <v>141.5</v>
      </c>
      <c r="K7" s="354" t="str">
        <f>IFERROR(__xludf.DUMMYFUNCTION("IF(ISBLANK(A7),"""",IFERROR(SPARKLINE((C7-J7)/(L7-J7),{""charttype"",""bar"";""max"",1;""min"",0;""color1"",""2c79b5""}),""n/a""))"),"")</f>
        <v/>
      </c>
      <c r="L7" s="155">
        <f>IFERROR(__xludf.DUMMYFUNCTION("IF(ISBLANK(A7),"""", googlefinance(A7, ""high52""))"),251.71)</f>
        <v>251.71</v>
      </c>
      <c r="M7" s="355" t="s">
        <v>101</v>
      </c>
      <c r="N7" s="356" t="s">
        <v>119</v>
      </c>
      <c r="O7" s="138" t="s">
        <v>113</v>
      </c>
      <c r="P7" s="357">
        <f>IFERROR(__xludf.DUMMYFUNCTION("IF(ISBLANK(A7),"""", googlefinance(A7, ""PE""))"),20.94)</f>
        <v>20.94</v>
      </c>
      <c r="Q7" s="155">
        <f>IFERROR(__xludf.DUMMYFUNCTION("IF(ISBLANK(A7),"""", googlefinance(A7, ""eps""))"),11.44)</f>
        <v>11.44</v>
      </c>
      <c r="R7" s="165">
        <f>IFERROR(__xludf.DUMMYFUNCTION("IfError(IF(isblank(A7),"""",split(V7, ""()"")))"),5.2)</f>
        <v>5.2</v>
      </c>
      <c r="S7" s="358">
        <f>IFERROR(__xludf.DUMMYFUNCTION("""COMPUTED_VALUE"""),0.0217)</f>
        <v>0.0217</v>
      </c>
      <c r="T7" s="155">
        <f t="shared" si="2"/>
        <v>520</v>
      </c>
      <c r="U7" s="155">
        <f t="shared" si="3"/>
        <v>23963</v>
      </c>
      <c r="V7" s="348" t="str">
        <f>IFERROR(__xludf.DUMMYFUNCTION("LET(t, A7,
  IF(t="""","""",
    IFERROR(
      SUBSTITUTE(
        INDEX(
          IMPORTXML(
            ""https://finviz.com/quote.ashx?t=""&amp;t&amp;""&amp;ty=dv"",
            ""(//td[normalize-space()='Dividend TTM' or contains(.,'Dividend TTM')]/following-si"&amp;"bling::td[1])[1]""
          ),1,1),
      ""*"",""""),
      IFERROR(
        SUBSTITUTE(
          INDEX(
            IMPORTXML(
              ""https://finviz.com/quote.ashx?t=""&amp;t,
              ""(//td[normalize-space()='Dividend']/following-sibling:"&amp;":td[1])[1]""
            ),1,1),
        ""*"",""""),
      """")
    )
  )
)
"),"5.20 (2.17%)")</f>
        <v>5.20 (2.17%)</v>
      </c>
      <c r="W7" s="146" t="str">
        <f t="shared" si="4"/>
        <v>Overrated</v>
      </c>
    </row>
    <row r="8">
      <c r="A8" s="359" t="s">
        <v>314</v>
      </c>
      <c r="B8" s="355" t="str">
        <f>IFERROR(__xludf.DUMMYFUNCTION("IF(ISBLANK(A8),"""", googlefinance(A8, ""name""))"),"Costco Wholesale Corp")</f>
        <v>Costco Wholesale Corp</v>
      </c>
      <c r="C8" s="360">
        <f>IFERROR(__xludf.DUMMYFUNCTION("IF(ISBLANK(A8),"""", googlefinance(A8, ""price""))"),982.57)</f>
        <v>982.57</v>
      </c>
      <c r="D8" s="133">
        <f>IF(ISBLANK(A8),"",IFERROR(VLOOKUP(A8, 'Intrinsic Values List'!$A$2:$D$70, 4, FALSE), "Not Found" ))</f>
        <v>426.65</v>
      </c>
      <c r="E8" s="134">
        <f>IF(ISBLANK(A8),"",IFERROR(VLOOKUP(A8, 'Intrinsic Values List'!$A$2:$G$70, 7, FALSE), "Not Found" ))</f>
        <v>6.36</v>
      </c>
      <c r="F8" s="355" t="s">
        <v>309</v>
      </c>
      <c r="G8" s="344">
        <f t="shared" si="1"/>
        <v>1.302988398</v>
      </c>
      <c r="H8" s="360">
        <f>IFERROR(__xludf.DUMMYFUNCTION("IFERROR(googlefinance(A8,""change""),"""")"),-24.17)</f>
        <v>-24.17</v>
      </c>
      <c r="I8" s="361">
        <f>IFERROR(__xludf.DUMMYFUNCTION("iferror(GOOGLEFINANCE(A8,""changepct"")/100,"""")"),-0.024)</f>
        <v>-0.024</v>
      </c>
      <c r="J8" s="362">
        <f>IFERROR(__xludf.DUMMYFUNCTION("IF(ISBLANK(A8),"""", googlefinance(A8, ""low52""))"),844.06)</f>
        <v>844.06</v>
      </c>
      <c r="K8" s="363" t="str">
        <f>IFERROR(__xludf.DUMMYFUNCTION("IF(ISBLANK(A8),"""",IFERROR(SPARKLINE((C8-J8)/(L8-J8),{""charttype"",""bar"";""max"",1;""min"",0;""color1"",""2c79b5""}),""n/a""))"),"")</f>
        <v/>
      </c>
      <c r="L8" s="362">
        <f>IFERROR(__xludf.DUMMYFUNCTION("IF(ISBLANK(A8),"""", googlefinance(A8, ""high52""))"),1067.08)</f>
        <v>1067.08</v>
      </c>
      <c r="M8" s="355" t="s">
        <v>101</v>
      </c>
      <c r="N8" s="355" t="s">
        <v>108</v>
      </c>
      <c r="O8" s="163" t="s">
        <v>103</v>
      </c>
      <c r="P8" s="365">
        <f>IFERROR(__xludf.DUMMYFUNCTION("IF(ISBLANK(A8),"""", googlefinance(A8, ""PE""))"),52.63)</f>
        <v>52.63</v>
      </c>
      <c r="Q8" s="362">
        <f>IFERROR(__xludf.DUMMYFUNCTION("IF(ISBLANK(A8),"""", googlefinance(A8, ""eps""))"),18.67)</f>
        <v>18.67</v>
      </c>
      <c r="R8" s="366">
        <f>IFERROR(__xludf.DUMMYFUNCTION("IfError(IF(isblank(A8),"""",split(V8, ""()"")))"),5.2)</f>
        <v>5.2</v>
      </c>
      <c r="S8" s="367">
        <f>IFERROR(__xludf.DUMMYFUNCTION("""COMPUTED_VALUE"""),0.0053)</f>
        <v>0.0053</v>
      </c>
      <c r="T8" s="362">
        <f t="shared" si="2"/>
        <v>520</v>
      </c>
      <c r="U8" s="362">
        <f t="shared" si="3"/>
        <v>98257</v>
      </c>
      <c r="V8" s="348" t="str">
        <f>IFERROR(__xludf.DUMMYFUNCTION("LET(t, A8,
  IF(t="""","""",
    IFERROR(
      SUBSTITUTE(
        INDEX(
          IMPORTXML(
            ""https://finviz.com/quote.ashx?t=""&amp;t&amp;""&amp;ty=dv"",
            ""(//td[normalize-space()='Dividend TTM' or contains(.,'Dividend TTM')]/following-si"&amp;"bling::td[1])[1]""
          ),1,1),
      ""*"",""""),
      IFERROR(
        SUBSTITUTE(
          INDEX(
            IMPORTXML(
              ""https://finviz.com/quote.ashx?t=""&amp;t,
              ""(//td[normalize-space()='Dividend']/following-sibling:"&amp;":td[1])[1]""
            ),1,1),
        ""*"",""""),
      """")
    )
  )
)
"),"5.20 (0.53%)")</f>
        <v>5.20 (0.53%)</v>
      </c>
      <c r="W8" s="146" t="str">
        <f t="shared" si="4"/>
        <v>Overrated</v>
      </c>
    </row>
    <row r="9">
      <c r="A9" s="359" t="s">
        <v>315</v>
      </c>
      <c r="B9" s="355" t="str">
        <f>IFERROR(__xludf.DUMMYFUNCTION("IF(ISBLANK(A9),"""", googlefinance(A9, ""name""))"),"Texas Roadhouse Inc")</f>
        <v>Texas Roadhouse Inc</v>
      </c>
      <c r="C9" s="360">
        <f>IFERROR(__xludf.DUMMYFUNCTION("IF(ISBLANK(A9),"""", googlefinance(A9, ""price""))"),175.04)</f>
        <v>175.04</v>
      </c>
      <c r="D9" s="133">
        <f>IF(ISBLANK(A9),"",IFERROR(VLOOKUP(A9, 'Intrinsic Values List'!$A$2:$D$70, 4, FALSE), "Not Found" ))</f>
        <v>142.76</v>
      </c>
      <c r="E9" s="134">
        <f>IF(ISBLANK(A9),"",IFERROR(VLOOKUP(A9, 'Intrinsic Values List'!$A$2:$G$70, 7, FALSE), "Not Found" ))</f>
        <v>7.16</v>
      </c>
      <c r="F9" s="355" t="s">
        <v>309</v>
      </c>
      <c r="G9" s="344">
        <f t="shared" si="1"/>
        <v>0.2261137574</v>
      </c>
      <c r="H9" s="360">
        <f>IFERROR(__xludf.DUMMYFUNCTION("IFERROR(googlefinance(A9,""change""),"""")"),-3.66)</f>
        <v>-3.66</v>
      </c>
      <c r="I9" s="361">
        <f>IFERROR(__xludf.DUMMYFUNCTION("iferror(GOOGLEFINANCE(A9,""changepct"")/100,"""")"),-0.020499999999999997)</f>
        <v>-0.0205</v>
      </c>
      <c r="J9" s="362">
        <f>IFERROR(__xludf.DUMMYFUNCTION("IF(ISBLANK(A9),"""", googlefinance(A9, ""low52""))"),148.73)</f>
        <v>148.73</v>
      </c>
      <c r="K9" s="363" t="str">
        <f>IFERROR(__xludf.DUMMYFUNCTION("IF(ISBLANK(A9),"""",IFERROR(SPARKLINE((C9-J9)/(L9-J9),{""charttype"",""bar"";""max"",1;""min"",0;""color1"",""2c79b5""}),""n/a""))"),"")</f>
        <v/>
      </c>
      <c r="L9" s="362">
        <f>IFERROR(__xludf.DUMMYFUNCTION("IF(ISBLANK(A9),"""", googlefinance(A9, ""high52""))"),199.99)</f>
        <v>199.99</v>
      </c>
      <c r="M9" s="355" t="s">
        <v>101</v>
      </c>
      <c r="N9" s="355" t="s">
        <v>110</v>
      </c>
      <c r="O9" s="163" t="s">
        <v>113</v>
      </c>
      <c r="P9" s="365">
        <f>IFERROR(__xludf.DUMMYFUNCTION("IF(ISBLANK(A9),"""", googlefinance(A9, ""PE""))"),28.71)</f>
        <v>28.71</v>
      </c>
      <c r="Q9" s="362">
        <f>IFERROR(__xludf.DUMMYFUNCTION("IF(ISBLANK(A9),"""", googlefinance(A9, ""eps""))"),6.1)</f>
        <v>6.1</v>
      </c>
      <c r="R9" s="366">
        <f>IFERROR(__xludf.DUMMYFUNCTION("IfError(IF(isblank(A9),"""",split(V9, ""()"")))"),2.72)</f>
        <v>2.72</v>
      </c>
      <c r="S9" s="367">
        <f>IFERROR(__xludf.DUMMYFUNCTION("""COMPUTED_VALUE"""),0.0155)</f>
        <v>0.0155</v>
      </c>
      <c r="T9" s="362">
        <f t="shared" si="2"/>
        <v>272</v>
      </c>
      <c r="U9" s="362">
        <f t="shared" si="3"/>
        <v>17504</v>
      </c>
      <c r="V9" s="348" t="str">
        <f>IFERROR(__xludf.DUMMYFUNCTION("LET(t, A9,
  IF(t="""","""",
    IFERROR(
      SUBSTITUTE(
        INDEX(
          IMPORTXML(
            ""https://finviz.com/quote.ashx?t=""&amp;t&amp;""&amp;ty=dv"",
            ""(//td[normalize-space()='Dividend TTM' or contains(.,'Dividend TTM')]/following-si"&amp;"bling::td[1])[1]""
          ),1,1),
      ""*"",""""),
      IFERROR(
        SUBSTITUTE(
          INDEX(
            IMPORTXML(
              ""https://finviz.com/quote.ashx?t=""&amp;t,
              ""(//td[normalize-space()='Dividend']/following-sibling:"&amp;":td[1])[1]""
            ),1,1),
        ""*"",""""),
      """")
    )
  )
)
"),"2.72 (1.55%)")</f>
        <v>2.72 (1.55%)</v>
      </c>
      <c r="W9" s="146" t="str">
        <f t="shared" si="4"/>
        <v>Overrated</v>
      </c>
    </row>
    <row r="10">
      <c r="A10" s="359" t="s">
        <v>316</v>
      </c>
      <c r="B10" s="355" t="str">
        <f>IFERROR(__xludf.DUMMYFUNCTION("IF(ISBLANK(A10),"""", googlefinance(A10, ""name""))"),"Chipotle Mexican Grill Inc")</f>
        <v>Chipotle Mexican Grill Inc</v>
      </c>
      <c r="C10" s="360">
        <f>IFERROR(__xludf.DUMMYFUNCTION("IF(ISBLANK(A10),"""", googlefinance(A10, ""price""))"),37.06)</f>
        <v>37.06</v>
      </c>
      <c r="D10" s="133">
        <f>IF(ISBLANK(A10),"",IFERROR(VLOOKUP(A10, 'Intrinsic Values List'!$A$2:$D$70, 4, FALSE), "Not Found" ))</f>
        <v>28.31</v>
      </c>
      <c r="E10" s="134">
        <f>IF(ISBLANK(A10),"",IFERROR(VLOOKUP(A10, 'Intrinsic Values List'!$A$2:$G$70, 7, FALSE), "Not Found" ))</f>
        <v>5.91</v>
      </c>
      <c r="F10" s="355" t="s">
        <v>309</v>
      </c>
      <c r="G10" s="344">
        <f t="shared" si="1"/>
        <v>0.3090780643</v>
      </c>
      <c r="H10" s="360">
        <f>IFERROR(__xludf.DUMMYFUNCTION("IFERROR(googlefinance(A10,""change""),"""")"),0.35)</f>
        <v>0.35</v>
      </c>
      <c r="I10" s="361">
        <f>IFERROR(__xludf.DUMMYFUNCTION("iferror(GOOGLEFINANCE(A10,""changepct"")/100,"""")"),0.0095)</f>
        <v>0.0095</v>
      </c>
      <c r="J10" s="362">
        <f>IFERROR(__xludf.DUMMYFUNCTION("IF(ISBLANK(A10),"""", googlefinance(A10, ""low52""))"),29.75)</f>
        <v>29.75</v>
      </c>
      <c r="K10" s="363" t="str">
        <f>IFERROR(__xludf.DUMMYFUNCTION("IF(ISBLANK(A10),"""",IFERROR(SPARKLINE((C10-J10)/(L10-J10),{""charttype"",""bar"";""max"",1;""min"",0;""color1"",""2c79b5""}),""n/a""))"),"")</f>
        <v/>
      </c>
      <c r="L10" s="362">
        <f>IFERROR(__xludf.DUMMYFUNCTION("IF(ISBLANK(A10),"""", googlefinance(A10, ""high52""))"),58.42)</f>
        <v>58.42</v>
      </c>
      <c r="M10" s="355" t="s">
        <v>101</v>
      </c>
      <c r="N10" s="355" t="s">
        <v>110</v>
      </c>
      <c r="O10" s="163" t="s">
        <v>103</v>
      </c>
      <c r="P10" s="365">
        <f>IFERROR(__xludf.DUMMYFUNCTION("IF(ISBLANK(A10),"""", googlefinance(A10, ""PE""))"),32.4)</f>
        <v>32.4</v>
      </c>
      <c r="Q10" s="362">
        <f>IFERROR(__xludf.DUMMYFUNCTION("IF(ISBLANK(A10),"""", googlefinance(A10, ""eps""))"),1.14)</f>
        <v>1.14</v>
      </c>
      <c r="R10" s="366" t="str">
        <f>IFERROR(__xludf.DUMMYFUNCTION("IfError(IF(isblank(A10),"""",split(V10, ""()"")))"),"-")</f>
        <v>-</v>
      </c>
      <c r="S10" s="367"/>
      <c r="T10" s="362" t="str">
        <f t="shared" si="2"/>
        <v>#VALUE!</v>
      </c>
      <c r="U10" s="362">
        <f t="shared" si="3"/>
        <v>3706</v>
      </c>
      <c r="V10" s="348" t="str">
        <f>IFERROR(__xludf.DUMMYFUNCTION("LET(t, A10,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W10" s="146" t="str">
        <f t="shared" si="4"/>
        <v>Overrated</v>
      </c>
    </row>
    <row r="11">
      <c r="A11" s="359" t="s">
        <v>317</v>
      </c>
      <c r="B11" s="355" t="str">
        <f>IFERROR(__xludf.DUMMYFUNCTION("IF(ISBLANK(A11),"""", googlefinance(A11, ""name""))"),"Constellation Brands Inc")</f>
        <v>Constellation Brands Inc</v>
      </c>
      <c r="C11" s="360">
        <f>IFERROR(__xludf.DUMMYFUNCTION("IF(ISBLANK(A11),"""", googlefinance(A11, ""price""))"),147.3)</f>
        <v>147.3</v>
      </c>
      <c r="D11" s="133">
        <f>IF(ISBLANK(A11),"",IFERROR(VLOOKUP(A11, 'Intrinsic Values List'!$A$2:$D$70, 4, FALSE), "Not Found" ))</f>
        <v>140.3878245</v>
      </c>
      <c r="E11" s="134">
        <f>IF(ISBLANK(A11),"",IFERROR(VLOOKUP(A11, 'Intrinsic Values List'!$A$2:$G$70, 7, FALSE), "Not Found" ))</f>
        <v>4.75</v>
      </c>
      <c r="F11" s="355" t="s">
        <v>309</v>
      </c>
      <c r="G11" s="344">
        <f t="shared" si="1"/>
        <v>0.04923628897</v>
      </c>
      <c r="H11" s="360">
        <f>IFERROR(__xludf.DUMMYFUNCTION("IFERROR(googlefinance(A11,""change""),"""")"),-3.94)</f>
        <v>-3.94</v>
      </c>
      <c r="I11" s="361">
        <f>IFERROR(__xludf.DUMMYFUNCTION("iferror(GOOGLEFINANCE(A11,""changepct"")/100,"""")"),-0.026099999999999998)</f>
        <v>-0.0261</v>
      </c>
      <c r="J11" s="362">
        <f>IFERROR(__xludf.DUMMYFUNCTION("IF(ISBLANK(A11),"""", googlefinance(A11, ""low52""))"),126.45)</f>
        <v>126.45</v>
      </c>
      <c r="K11" s="363" t="str">
        <f>IFERROR(__xludf.DUMMYFUNCTION("IF(ISBLANK(A11),"""",IFERROR(SPARKLINE((C11-J11)/(L11-J11),{""charttype"",""bar"";""max"",1;""min"",0;""color1"",""2c79b5""}),""n/a""))"),"")</f>
        <v/>
      </c>
      <c r="L11" s="362">
        <f>IFERROR(__xludf.DUMMYFUNCTION("IF(ISBLANK(A11),"""", googlefinance(A11, ""high52""))"),196.91)</f>
        <v>196.91</v>
      </c>
      <c r="M11" s="355" t="s">
        <v>101</v>
      </c>
      <c r="N11" s="355" t="s">
        <v>108</v>
      </c>
      <c r="O11" s="163" t="s">
        <v>103</v>
      </c>
      <c r="P11" s="365">
        <f>IFERROR(__xludf.DUMMYFUNCTION("IF(ISBLANK(A11),"""", googlefinance(A11, ""PE""))"),23.23)</f>
        <v>23.23</v>
      </c>
      <c r="Q11" s="362">
        <f>IFERROR(__xludf.DUMMYFUNCTION("IF(ISBLANK(A11),"""", googlefinance(A11, ""eps""))"),6.34)</f>
        <v>6.34</v>
      </c>
      <c r="R11" s="366">
        <f>IFERROR(__xludf.DUMMYFUNCTION("IfError(IF(isblank(A11),"""",split(V11, ""()"")))"),4.08)</f>
        <v>4.08</v>
      </c>
      <c r="S11" s="367">
        <f>IFERROR(__xludf.DUMMYFUNCTION("""COMPUTED_VALUE"""),0.0277)</f>
        <v>0.0277</v>
      </c>
      <c r="T11" s="362">
        <f t="shared" si="2"/>
        <v>408</v>
      </c>
      <c r="U11" s="362">
        <f t="shared" si="3"/>
        <v>14730</v>
      </c>
      <c r="V11" s="348" t="str">
        <f>IFERROR(__xludf.DUMMYFUNCTION("LET(t, A11,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"),"4.08 (2.77%)")</f>
        <v>4.08 (2.77%)</v>
      </c>
      <c r="W11" s="146" t="str">
        <f t="shared" si="4"/>
        <v>Expensive</v>
      </c>
    </row>
    <row r="12">
      <c r="A12" s="359" t="s">
        <v>318</v>
      </c>
      <c r="B12" s="355" t="str">
        <f>IFERROR(__xludf.DUMMYFUNCTION("IF(ISBLANK(A12),"""", googlefinance(A12, ""name""))"),"Comcast Corp")</f>
        <v>Comcast Corp</v>
      </c>
      <c r="C12" s="360">
        <f>IFERROR(__xludf.DUMMYFUNCTION("IF(ISBLANK(A12),"""", googlefinance(A12, ""price""))"),31.6)</f>
        <v>31.6</v>
      </c>
      <c r="D12" s="133">
        <f>IF(ISBLANK(A12),"",IFERROR(VLOOKUP(A12, 'Intrinsic Values List'!$A$2:$D$70, 4, FALSE), "Not Found" ))</f>
        <v>60.23</v>
      </c>
      <c r="E12" s="134">
        <f>IF(ISBLANK(A12),"",IFERROR(VLOOKUP(A12, 'Intrinsic Values List'!$A$2:$G$70, 7, FALSE), "Not Found" ))</f>
        <v>6.33</v>
      </c>
      <c r="F12" s="355" t="s">
        <v>309</v>
      </c>
      <c r="G12" s="344">
        <f t="shared" si="1"/>
        <v>-0.4753445127</v>
      </c>
      <c r="H12" s="360">
        <f>IFERROR(__xludf.DUMMYFUNCTION("IFERROR(googlefinance(A12,""change""),"""")"),-0.49)</f>
        <v>-0.49</v>
      </c>
      <c r="I12" s="361">
        <f>IFERROR(__xludf.DUMMYFUNCTION("iferror(GOOGLEFINANCE(A12,""changepct"")/100,"""")"),-0.015300000000000001)</f>
        <v>-0.0153</v>
      </c>
      <c r="J12" s="362">
        <f>IFERROR(__xludf.DUMMYFUNCTION("IF(ISBLANK(A12),"""", googlefinance(A12, ""low52""))"),24.12)</f>
        <v>24.12</v>
      </c>
      <c r="K12" s="363" t="str">
        <f>IFERROR(__xludf.DUMMYFUNCTION("IF(ISBLANK(A12),"""",IFERROR(SPARKLINE((C12-J12)/(L12-J12),{""charttype"",""bar"";""max"",1;""min"",0;""color1"",""2c79b5""}),""n/a""))"),"")</f>
        <v/>
      </c>
      <c r="L12" s="362">
        <f>IFERROR(__xludf.DUMMYFUNCTION("IF(ISBLANK(A12),"""", googlefinance(A12, ""high52""))"),35.58)</f>
        <v>35.58</v>
      </c>
      <c r="M12" s="355" t="s">
        <v>101</v>
      </c>
      <c r="N12" s="356" t="s">
        <v>106</v>
      </c>
      <c r="O12" s="364" t="s">
        <v>113</v>
      </c>
      <c r="P12" s="365">
        <f>IFERROR(__xludf.DUMMYFUNCTION("IF(ISBLANK(A12),"""", googlefinance(A12, ""PE""))"),5.86)</f>
        <v>5.86</v>
      </c>
      <c r="Q12" s="362">
        <f>IFERROR(__xludf.DUMMYFUNCTION("IF(ISBLANK(A12),"""", googlefinance(A12, ""eps""))"),5.39)</f>
        <v>5.39</v>
      </c>
      <c r="R12" s="366" t="str">
        <f>IFERROR(__xludf.DUMMYFUNCTION("IfError(IF(isblank(A12),"""",split(V12, ""()"")))"),"")</f>
        <v/>
      </c>
      <c r="S12" s="367"/>
      <c r="T12" s="362">
        <f t="shared" si="2"/>
        <v>0</v>
      </c>
      <c r="U12" s="362">
        <f t="shared" si="3"/>
        <v>3160</v>
      </c>
      <c r="V12" s="348" t="str">
        <f>IFERROR(__xludf.DUMMYFUNCTION("LET(t, A12,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12" s="146" t="str">
        <f t="shared" si="4"/>
        <v>Strong Buy</v>
      </c>
    </row>
    <row r="13">
      <c r="A13" s="359" t="s">
        <v>319</v>
      </c>
      <c r="B13" s="355" t="str">
        <f>IFERROR(__xludf.DUMMYFUNCTION("IF(ISBLANK(A13),"""", googlefinance(A13, ""name""))"),"Chevron Corp")</f>
        <v>Chevron Corp</v>
      </c>
      <c r="C13" s="360">
        <f>IFERROR(__xludf.DUMMYFUNCTION("IF(ISBLANK(A13),"""", googlefinance(A13, ""price""))"),189.9)</f>
        <v>189.9</v>
      </c>
      <c r="D13" s="133">
        <f>IF(ISBLANK(A13),"",IFERROR(VLOOKUP(A13, 'Intrinsic Values List'!$A$2:$D$70, 4, FALSE), "Not Found" ))</f>
        <v>214.15</v>
      </c>
      <c r="E13" s="134">
        <f>IF(ISBLANK(A13),"",IFERROR(VLOOKUP(A13, 'Intrinsic Values List'!$A$2:$G$70, 7, FALSE), "Not Found" ))</f>
        <v>5.26</v>
      </c>
      <c r="F13" s="355" t="s">
        <v>309</v>
      </c>
      <c r="G13" s="344">
        <f t="shared" si="1"/>
        <v>-0.1132383843</v>
      </c>
      <c r="H13" s="360">
        <f>IFERROR(__xludf.DUMMYFUNCTION("IFERROR(googlefinance(A13,""change""),"""")"),3.87)</f>
        <v>3.87</v>
      </c>
      <c r="I13" s="361">
        <f>IFERROR(__xludf.DUMMYFUNCTION("iferror(GOOGLEFINANCE(A13,""changepct"")/100,"""")"),0.0208)</f>
        <v>0.0208</v>
      </c>
      <c r="J13" s="362">
        <f>IFERROR(__xludf.DUMMYFUNCTION("IF(ISBLANK(A13),"""", googlefinance(A13, ""low52""))"),132.04)</f>
        <v>132.04</v>
      </c>
      <c r="K13" s="363" t="str">
        <f>IFERROR(__xludf.DUMMYFUNCTION("IF(ISBLANK(A13),"""",IFERROR(SPARKLINE((C13-J13)/(L13-J13),{""charttype"",""bar"";""max"",1;""min"",0;""color1"",""2c79b5""}),""n/a""))"),"")</f>
        <v/>
      </c>
      <c r="L13" s="362">
        <f>IFERROR(__xludf.DUMMYFUNCTION("IF(ISBLANK(A13),"""", googlefinance(A13, ""high52""))"),191.56)</f>
        <v>191.56</v>
      </c>
      <c r="M13" s="355" t="s">
        <v>101</v>
      </c>
      <c r="N13" s="356" t="s">
        <v>320</v>
      </c>
      <c r="O13" s="364" t="s">
        <v>113</v>
      </c>
      <c r="P13" s="365">
        <f>IFERROR(__xludf.DUMMYFUNCTION("IF(ISBLANK(A13),"""", googlefinance(A13, ""PE""))"),28.66)</f>
        <v>28.66</v>
      </c>
      <c r="Q13" s="362">
        <f>IFERROR(__xludf.DUMMYFUNCTION("IF(ISBLANK(A13),"""", googlefinance(A13, ""eps""))"),6.63)</f>
        <v>6.63</v>
      </c>
      <c r="R13" s="366">
        <f>IFERROR(__xludf.DUMMYFUNCTION("IfError(IF(isblank(A13),"""",split(V13, ""()"")))"),6.91)</f>
        <v>6.91</v>
      </c>
      <c r="S13" s="367">
        <f>IFERROR(__xludf.DUMMYFUNCTION("""COMPUTED_VALUE"""),0.0364)</f>
        <v>0.0364</v>
      </c>
      <c r="T13" s="362">
        <f t="shared" si="2"/>
        <v>691</v>
      </c>
      <c r="U13" s="362">
        <f t="shared" si="3"/>
        <v>18990</v>
      </c>
      <c r="V13" s="348" t="str">
        <f>IFERROR(__xludf.DUMMYFUNCTION("LET(t, A13,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"),"6.91 (3.64%)")</f>
        <v>6.91 (3.64%)</v>
      </c>
      <c r="W13" s="146" t="str">
        <f t="shared" si="4"/>
        <v>Buy</v>
      </c>
    </row>
    <row r="14">
      <c r="A14" s="368" t="s">
        <v>321</v>
      </c>
      <c r="B14" s="355" t="str">
        <f>IFERROR(__xludf.DUMMYFUNCTION("IF(ISBLANK(A14),"""", googlefinance(A14, ""name""))"),"Procter &amp; Gamble Co")</f>
        <v>Procter &amp; Gamble Co</v>
      </c>
      <c r="C14" s="360">
        <f>IFERROR(__xludf.DUMMYFUNCTION("IF(ISBLANK(A14),"""", googlefinance(A14, ""price""))"),153.99)</f>
        <v>153.99</v>
      </c>
      <c r="D14" s="133">
        <f>IF(ISBLANK(A14),"",IFERROR(VLOOKUP(A14, 'Intrinsic Values List'!$A$2:$D$70, 4, FALSE), "Not Found" ))</f>
        <v>152.58</v>
      </c>
      <c r="E14" s="134">
        <f>IF(ISBLANK(A14),"",IFERROR(VLOOKUP(A14, 'Intrinsic Values List'!$A$2:$G$70, 7, FALSE), "Not Found" ))</f>
        <v>7.22</v>
      </c>
      <c r="F14" s="355" t="s">
        <v>309</v>
      </c>
      <c r="G14" s="344">
        <f t="shared" si="1"/>
        <v>0.009241053873</v>
      </c>
      <c r="H14" s="360">
        <f>IFERROR(__xludf.DUMMYFUNCTION("IFERROR(googlefinance(A14,""change""),"""")"),-4.31)</f>
        <v>-4.31</v>
      </c>
      <c r="I14" s="361">
        <f>IFERROR(__xludf.DUMMYFUNCTION("iferror(GOOGLEFINANCE(A14,""changepct"")/100,"""")"),-0.027200000000000002)</f>
        <v>-0.0272</v>
      </c>
      <c r="J14" s="362">
        <f>IFERROR(__xludf.DUMMYFUNCTION("IF(ISBLANK(A14),"""", googlefinance(A14, ""low52""))"),137.62)</f>
        <v>137.62</v>
      </c>
      <c r="K14" s="363" t="str">
        <f>IFERROR(__xludf.DUMMYFUNCTION("IF(ISBLANK(A14),"""",IFERROR(SPARKLINE((C14-J14)/(L14-J14),{""charttype"",""bar"";""max"",1;""min"",0;""color1"",""2c79b5""}),""n/a""))"),"")</f>
        <v/>
      </c>
      <c r="L14" s="362">
        <f>IFERROR(__xludf.DUMMYFUNCTION("IF(ISBLANK(A14),"""", googlefinance(A14, ""high52""))"),179.99)</f>
        <v>179.99</v>
      </c>
      <c r="M14" s="355" t="s">
        <v>101</v>
      </c>
      <c r="N14" s="343" t="s">
        <v>108</v>
      </c>
      <c r="O14" s="138" t="s">
        <v>113</v>
      </c>
      <c r="P14" s="365">
        <f>IFERROR(__xludf.DUMMYFUNCTION("IF(ISBLANK(A14),"""", googlefinance(A14, ""PE""))"),22.82)</f>
        <v>22.82</v>
      </c>
      <c r="Q14" s="362">
        <f>IFERROR(__xludf.DUMMYFUNCTION("IF(ISBLANK(A14),"""", googlefinance(A14, ""eps""))"),6.75)</f>
        <v>6.75</v>
      </c>
      <c r="R14" s="366">
        <f>IFERROR(__xludf.DUMMYFUNCTION("IfError(IF(isblank(A14),"""",split(V14, ""()"")))"),4.23)</f>
        <v>4.23</v>
      </c>
      <c r="S14" s="367">
        <f>IFERROR(__xludf.DUMMYFUNCTION("""COMPUTED_VALUE"""),0.0275)</f>
        <v>0.0275</v>
      </c>
      <c r="T14" s="362">
        <f t="shared" si="2"/>
        <v>423</v>
      </c>
      <c r="U14" s="362">
        <f t="shared" si="3"/>
        <v>15399</v>
      </c>
      <c r="V14" s="348" t="str">
        <f>IFERROR(__xludf.DUMMYFUNCTION("LET(t, A14,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"),"4.23 (2.75%)")</f>
        <v>4.23 (2.75%)</v>
      </c>
      <c r="W14" s="146" t="str">
        <f t="shared" si="4"/>
        <v>Expensive</v>
      </c>
    </row>
    <row r="15">
      <c r="A15" s="359" t="s">
        <v>322</v>
      </c>
      <c r="B15" s="355" t="str">
        <f>IFERROR(__xludf.DUMMYFUNCTION("IF(ISBLANK(A15),"""", googlefinance(A15, ""name""))"),"Home Depot Inc")</f>
        <v>Home Depot Inc</v>
      </c>
      <c r="C15" s="360">
        <f>IFERROR(__xludf.DUMMYFUNCTION("IF(ISBLANK(A15),"""", googlefinance(A15, ""price""))"),361.68)</f>
        <v>361.68</v>
      </c>
      <c r="D15" s="133">
        <f>IF(ISBLANK(A15),"",IFERROR(VLOOKUP(A15, 'Intrinsic Values List'!$A$2:$D$70, 4, FALSE), "Not Found" ))</f>
        <v>305.12</v>
      </c>
      <c r="E15" s="134">
        <f>IF(ISBLANK(A15),"",IFERROR(VLOOKUP(A15, 'Intrinsic Values List'!$A$2:$G$70, 7, FALSE), "Not Found" ))</f>
        <v>6.96</v>
      </c>
      <c r="F15" s="355" t="s">
        <v>309</v>
      </c>
      <c r="G15" s="344">
        <f t="shared" si="1"/>
        <v>0.1853696906</v>
      </c>
      <c r="H15" s="360">
        <f>IFERROR(__xludf.DUMMYFUNCTION("IFERROR(googlefinance(A15,""change""),"""")"),-7.43)</f>
        <v>-7.43</v>
      </c>
      <c r="I15" s="361">
        <f>IFERROR(__xludf.DUMMYFUNCTION("iferror(GOOGLEFINANCE(A15,""changepct"")/100,"""")"),-0.020099999999999996)</f>
        <v>-0.0201</v>
      </c>
      <c r="J15" s="362">
        <f>IFERROR(__xludf.DUMMYFUNCTION("IF(ISBLANK(A15),"""", googlefinance(A15, ""low52""))"),326.31)</f>
        <v>326.31</v>
      </c>
      <c r="K15" s="363" t="str">
        <f>IFERROR(__xludf.DUMMYFUNCTION("IF(ISBLANK(A15),"""",IFERROR(SPARKLINE((C15-J15)/(L15-J15),{""charttype"",""bar"";""max"",1;""min"",0;""color1"",""2c79b5""}),""n/a""))"),"")</f>
        <v/>
      </c>
      <c r="L15" s="362">
        <f>IFERROR(__xludf.DUMMYFUNCTION("IF(ISBLANK(A15),"""", googlefinance(A15, ""high52""))"),426.75)</f>
        <v>426.75</v>
      </c>
      <c r="M15" s="355" t="s">
        <v>101</v>
      </c>
      <c r="N15" s="343" t="s">
        <v>110</v>
      </c>
      <c r="O15" s="138" t="s">
        <v>103</v>
      </c>
      <c r="P15" s="365">
        <f>IFERROR(__xludf.DUMMYFUNCTION("IF(ISBLANK(A15),"""", googlefinance(A15, ""PE""))"),25.42)</f>
        <v>25.42</v>
      </c>
      <c r="Q15" s="362">
        <f>IFERROR(__xludf.DUMMYFUNCTION("IF(ISBLANK(A15),"""", googlefinance(A15, ""eps""))"),14.23)</f>
        <v>14.23</v>
      </c>
      <c r="R15" s="366">
        <f>IFERROR(__xludf.DUMMYFUNCTION("IfError(IF(isblank(A15),"""",split(V15, ""()"")))"),9.2)</f>
        <v>9.2</v>
      </c>
      <c r="S15" s="367">
        <f>IFERROR(__xludf.DUMMYFUNCTION("""COMPUTED_VALUE"""),0.0254)</f>
        <v>0.0254</v>
      </c>
      <c r="T15" s="362">
        <f t="shared" si="2"/>
        <v>920</v>
      </c>
      <c r="U15" s="362">
        <f t="shared" si="3"/>
        <v>36168</v>
      </c>
      <c r="V15" s="348" t="str">
        <f>IFERROR(__xludf.DUMMYFUNCTION("LET(t, A15,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"),"9.20 (2.54%)")</f>
        <v>9.20 (2.54%)</v>
      </c>
      <c r="W15" s="146" t="str">
        <f t="shared" si="4"/>
        <v>Overrated</v>
      </c>
    </row>
    <row r="16">
      <c r="A16" s="369"/>
      <c r="B16" s="355" t="str">
        <f>IFERROR(__xludf.DUMMYFUNCTION("IF(ISBLANK(A16),"""", googlefinance(A16, ""name""))"),"")</f>
        <v/>
      </c>
      <c r="C16" s="360" t="str">
        <f>IFERROR(__xludf.DUMMYFUNCTION("IF(ISBLANK(A16),"""", googlefinance(A16, ""price""))"),"")</f>
        <v/>
      </c>
      <c r="D16" s="133" t="str">
        <f>IF(ISBLANK(A16),"",IFERROR(VLOOKUP(A16, 'Intrinsic Values List'!$A$2:$D$70, 4, FALSE), "Not Found" ))</f>
        <v/>
      </c>
      <c r="E16" s="134" t="str">
        <f>IF(ISBLANK(A16),"",IFERROR(VLOOKUP(A16, 'Intrinsic Values List'!$A$2:$G$70, 7, FALSE), "Not Found" ))</f>
        <v/>
      </c>
      <c r="F16" s="356" t="s">
        <v>134</v>
      </c>
      <c r="G16" s="344" t="str">
        <f t="shared" si="1"/>
        <v/>
      </c>
      <c r="H16" s="360" t="str">
        <f>IFERROR(__xludf.DUMMYFUNCTION("IFERROR(googlefinance(A16,""change""),"""")"),"")</f>
        <v/>
      </c>
      <c r="I16" s="361" t="str">
        <f>IFERROR(__xludf.DUMMYFUNCTION("iferror(GOOGLEFINANCE(A16,""changepct"")/100,"""")"),"")</f>
        <v/>
      </c>
      <c r="J16" s="362" t="str">
        <f>IFERROR(__xludf.DUMMYFUNCTION("IF(ISBLANK(A16),"""", googlefinance(A16, ""low52""))"),"")</f>
        <v/>
      </c>
      <c r="K16" s="363" t="str">
        <f>IFERROR(__xludf.DUMMYFUNCTION("IF(ISBLANK(A16),"""",IFERROR(SPARKLINE((C16-J16)/(L16-J16),{""charttype"",""bar"";""max"",1;""min"",0;""color1"",""2c79b5""}),""n/a""))"),"")</f>
        <v/>
      </c>
      <c r="L16" s="362" t="str">
        <f>IFERROR(__xludf.DUMMYFUNCTION("IF(ISBLANK(A16),"""", googlefinance(A16, ""high52""))"),"")</f>
        <v/>
      </c>
      <c r="M16" s="353" t="s">
        <v>133</v>
      </c>
      <c r="N16" s="353" t="s">
        <v>134</v>
      </c>
      <c r="O16" s="138" t="s">
        <v>134</v>
      </c>
      <c r="P16" s="365" t="str">
        <f>IFERROR(__xludf.DUMMYFUNCTION("IF(ISBLANK(A16),"""", googlefinance(A16, ""PE""))"),"")</f>
        <v/>
      </c>
      <c r="Q16" s="362" t="str">
        <f>IFERROR(__xludf.DUMMYFUNCTION("IF(ISBLANK(A16),"""", googlefinance(A16, ""eps""))"),"")</f>
        <v/>
      </c>
      <c r="R16" s="366" t="str">
        <f>IFERROR(__xludf.DUMMYFUNCTION("IfError(IF(isblank(A16),"""",split(V16, ""()"")))"),"")</f>
        <v/>
      </c>
      <c r="S16" s="367"/>
      <c r="T16" s="362" t="str">
        <f t="shared" si="2"/>
        <v/>
      </c>
      <c r="U16" s="362" t="str">
        <f t="shared" si="3"/>
        <v/>
      </c>
      <c r="V16" s="348" t="str">
        <f>IFERROR(__xludf.DUMMYFUNCTION("LET(t, A16,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16" s="146" t="str">
        <f t="shared" si="4"/>
        <v/>
      </c>
    </row>
    <row r="17">
      <c r="A17" s="369"/>
      <c r="B17" s="355" t="str">
        <f>IFERROR(__xludf.DUMMYFUNCTION("IF(ISBLANK(A17),"""", googlefinance(A17, ""name""))"),"")</f>
        <v/>
      </c>
      <c r="C17" s="360" t="str">
        <f>IFERROR(__xludf.DUMMYFUNCTION("IF(ISBLANK(A17),"""", googlefinance(A17, ""price""))"),"")</f>
        <v/>
      </c>
      <c r="D17" s="133" t="str">
        <f>IF(ISBLANK(A17),"",IFERROR(VLOOKUP(A17, 'Intrinsic Values List'!$A$2:$D$70, 4, FALSE), "Not Found" ))</f>
        <v/>
      </c>
      <c r="E17" s="134" t="str">
        <f>IF(ISBLANK(A17),"",IFERROR(VLOOKUP(A17, 'Intrinsic Values List'!$A$2:$G$70, 7, FALSE), "Not Found" ))</f>
        <v/>
      </c>
      <c r="F17" s="356" t="s">
        <v>134</v>
      </c>
      <c r="G17" s="344" t="str">
        <f t="shared" si="1"/>
        <v/>
      </c>
      <c r="H17" s="360" t="str">
        <f>IFERROR(__xludf.DUMMYFUNCTION("IFERROR(googlefinance(A17,""change""),"""")"),"")</f>
        <v/>
      </c>
      <c r="I17" s="361" t="str">
        <f>IFERROR(__xludf.DUMMYFUNCTION("iferror(GOOGLEFINANCE(A17,""changepct"")/100,"""")"),"")</f>
        <v/>
      </c>
      <c r="J17" s="362" t="str">
        <f>IFERROR(__xludf.DUMMYFUNCTION("IF(ISBLANK(A17),"""", googlefinance(A17, ""low52""))"),"")</f>
        <v/>
      </c>
      <c r="K17" s="363" t="str">
        <f>IFERROR(__xludf.DUMMYFUNCTION("IF(ISBLANK(A17),"""",IFERROR(SPARKLINE((C17-J17)/(L17-J17),{""charttype"",""bar"";""max"",1;""min"",0;""color1"",""2c79b5""}),""n/a""))"),"")</f>
        <v/>
      </c>
      <c r="L17" s="362" t="str">
        <f>IFERROR(__xludf.DUMMYFUNCTION("IF(ISBLANK(A17),"""", googlefinance(A17, ""high52""))"),"")</f>
        <v/>
      </c>
      <c r="M17" s="353" t="s">
        <v>133</v>
      </c>
      <c r="N17" s="353" t="s">
        <v>134</v>
      </c>
      <c r="O17" s="138" t="s">
        <v>134</v>
      </c>
      <c r="P17" s="365" t="str">
        <f>IFERROR(__xludf.DUMMYFUNCTION("IF(ISBLANK(A17),"""", googlefinance(A17, ""PE""))"),"")</f>
        <v/>
      </c>
      <c r="Q17" s="362" t="str">
        <f>IFERROR(__xludf.DUMMYFUNCTION("IF(ISBLANK(A17),"""", googlefinance(A17, ""eps""))"),"")</f>
        <v/>
      </c>
      <c r="R17" s="366" t="str">
        <f>IFERROR(__xludf.DUMMYFUNCTION("IfError(IF(isblank(A17),"""",split(V17, ""()"")))"),"")</f>
        <v/>
      </c>
      <c r="S17" s="367"/>
      <c r="T17" s="362" t="str">
        <f t="shared" si="2"/>
        <v/>
      </c>
      <c r="U17" s="362" t="str">
        <f t="shared" si="3"/>
        <v/>
      </c>
      <c r="V17" s="348" t="str">
        <f>IFERROR(__xludf.DUMMYFUNCTION("LET(t, A17,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17" s="146" t="str">
        <f t="shared" si="4"/>
        <v/>
      </c>
    </row>
    <row r="18">
      <c r="A18" s="369"/>
      <c r="B18" s="355" t="str">
        <f>IFERROR(__xludf.DUMMYFUNCTION("IF(ISBLANK(A18),"""", googlefinance(A18, ""name""))"),"")</f>
        <v/>
      </c>
      <c r="C18" s="360" t="str">
        <f>IFERROR(__xludf.DUMMYFUNCTION("IF(ISBLANK(A18),"""", googlefinance(A18, ""price""))"),"")</f>
        <v/>
      </c>
      <c r="D18" s="133" t="str">
        <f>IF(ISBLANK(A18),"",IFERROR(VLOOKUP(A18, 'Intrinsic Values List'!$A$2:$D$70, 4, FALSE), "Not Found" ))</f>
        <v/>
      </c>
      <c r="E18" s="134" t="str">
        <f>IF(ISBLANK(A18),"",IFERROR(VLOOKUP(A18, 'Intrinsic Values List'!$A$2:$G$70, 7, FALSE), "Not Found" ))</f>
        <v/>
      </c>
      <c r="F18" s="356" t="s">
        <v>134</v>
      </c>
      <c r="G18" s="344" t="str">
        <f t="shared" si="1"/>
        <v/>
      </c>
      <c r="H18" s="360" t="str">
        <f>IFERROR(__xludf.DUMMYFUNCTION("IFERROR(googlefinance(A18,""change""),"""")"),"")</f>
        <v/>
      </c>
      <c r="I18" s="361" t="str">
        <f>IFERROR(__xludf.DUMMYFUNCTION("iferror(GOOGLEFINANCE(A18,""changepct"")/100,"""")"),"")</f>
        <v/>
      </c>
      <c r="J18" s="362" t="str">
        <f>IFERROR(__xludf.DUMMYFUNCTION("IF(ISBLANK(A18),"""", googlefinance(A18, ""low52""))"),"")</f>
        <v/>
      </c>
      <c r="K18" s="363" t="str">
        <f>IFERROR(__xludf.DUMMYFUNCTION("IF(ISBLANK(A18),"""",IFERROR(SPARKLINE((C18-J18)/(L18-J18),{""charttype"",""bar"";""max"",1;""min"",0;""color1"",""2c79b5""}),""n/a""))"),"")</f>
        <v/>
      </c>
      <c r="L18" s="362" t="str">
        <f>IFERROR(__xludf.DUMMYFUNCTION("IF(ISBLANK(A18),"""", googlefinance(A18, ""high52""))"),"")</f>
        <v/>
      </c>
      <c r="M18" s="353" t="s">
        <v>133</v>
      </c>
      <c r="N18" s="353" t="s">
        <v>134</v>
      </c>
      <c r="O18" s="138" t="s">
        <v>134</v>
      </c>
      <c r="P18" s="365" t="str">
        <f>IFERROR(__xludf.DUMMYFUNCTION("IF(ISBLANK(A18),"""", googlefinance(A18, ""PE""))"),"")</f>
        <v/>
      </c>
      <c r="Q18" s="362" t="str">
        <f>IFERROR(__xludf.DUMMYFUNCTION("IF(ISBLANK(A18),"""", googlefinance(A18, ""eps""))"),"")</f>
        <v/>
      </c>
      <c r="R18" s="366" t="str">
        <f>IFERROR(__xludf.DUMMYFUNCTION("IfError(IF(isblank(A18),"""",split(V18, ""()"")))"),"")</f>
        <v/>
      </c>
      <c r="S18" s="367"/>
      <c r="T18" s="362" t="str">
        <f t="shared" si="2"/>
        <v/>
      </c>
      <c r="U18" s="362" t="str">
        <f t="shared" si="3"/>
        <v/>
      </c>
      <c r="V18" s="348" t="str">
        <f>IFERROR(__xludf.DUMMYFUNCTION("LET(t, A18,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18" s="146" t="str">
        <f t="shared" si="4"/>
        <v/>
      </c>
    </row>
    <row r="19">
      <c r="A19" s="149"/>
      <c r="B19" s="349" t="str">
        <f>IFERROR(__xludf.DUMMYFUNCTION("IF(ISBLANK(A19),"""", googlefinance(A19, ""name""))"),"")</f>
        <v/>
      </c>
      <c r="C19" s="135" t="str">
        <f>IFERROR(__xludf.DUMMYFUNCTION("IF(ISBLANK(A19),"""", googlefinance(A19, ""price""))"),"")</f>
        <v/>
      </c>
      <c r="D19" s="133" t="str">
        <f>IF(ISBLANK(A19),"",IFERROR(VLOOKUP(A19, 'Intrinsic Values List'!$A$2:$D$70, 4, FALSE), "Not Found" ))</f>
        <v/>
      </c>
      <c r="E19" s="134" t="str">
        <f>IF(ISBLANK(A19),"",IFERROR(VLOOKUP(A19, 'Intrinsic Values List'!$A$2:$G$70, 7, FALSE), "Not Found" ))</f>
        <v/>
      </c>
      <c r="F19" s="343" t="s">
        <v>134</v>
      </c>
      <c r="G19" s="344" t="str">
        <f t="shared" si="1"/>
        <v/>
      </c>
      <c r="H19" s="135" t="str">
        <f>IFERROR(__xludf.DUMMYFUNCTION("IFERROR(googlefinance(A19,""change""),"""")"),"")</f>
        <v/>
      </c>
      <c r="I19" s="136" t="str">
        <f>IFERROR(__xludf.DUMMYFUNCTION("iferror(GOOGLEFINANCE(A19,""changepct"")/100,"""")"),"")</f>
        <v/>
      </c>
      <c r="J19" s="132" t="str">
        <f>IFERROR(__xludf.DUMMYFUNCTION("IF(ISBLANK(A19),"""", googlefinance(A19, ""low52""))"),"")</f>
        <v/>
      </c>
      <c r="K19" s="350" t="str">
        <f>IFERROR(__xludf.DUMMYFUNCTION("IF(ISBLANK(A19),"""",IFERROR(SPARKLINE((C19-J19)/(L19-J19),{""charttype"",""bar"";""max"",1;""min"",0;""color1"",""2c79b5""}),""n/a""))"),"")</f>
        <v/>
      </c>
      <c r="L19" s="132" t="str">
        <f>IFERROR(__xludf.DUMMYFUNCTION("IF(ISBLANK(A19),"""", googlefinance(A19, ""high52""))"),"")</f>
        <v/>
      </c>
      <c r="M19" s="353" t="s">
        <v>133</v>
      </c>
      <c r="N19" s="353" t="s">
        <v>134</v>
      </c>
      <c r="O19" s="138" t="s">
        <v>134</v>
      </c>
      <c r="P19" s="351" t="str">
        <f>IFERROR(__xludf.DUMMYFUNCTION("IF(ISBLANK(A19),"""", googlefinance(A19, ""PE""))"),"")</f>
        <v/>
      </c>
      <c r="Q19" s="345" t="str">
        <f>IFERROR(__xludf.DUMMYFUNCTION("IF(ISBLANK(A19),"""", googlefinance(A19, ""eps""))"),"")</f>
        <v/>
      </c>
      <c r="R19" s="140" t="str">
        <f>IFERROR(__xludf.DUMMYFUNCTION("IfError(IF(isblank(A19),"""",split(V19, ""()"")))"),"")</f>
        <v/>
      </c>
      <c r="S19" s="136"/>
      <c r="T19" s="345" t="str">
        <f t="shared" si="2"/>
        <v/>
      </c>
      <c r="U19" s="132" t="str">
        <f t="shared" si="3"/>
        <v/>
      </c>
      <c r="V19" s="348" t="str">
        <f>IFERROR(__xludf.DUMMYFUNCTION("LET(t, A19,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19" s="146" t="str">
        <f t="shared" si="4"/>
        <v/>
      </c>
    </row>
    <row r="20">
      <c r="A20" s="149"/>
      <c r="B20" s="349" t="str">
        <f>IFERROR(__xludf.DUMMYFUNCTION("IF(ISBLANK(A20),"""", googlefinance(A20, ""name""))"),"")</f>
        <v/>
      </c>
      <c r="C20" s="135" t="str">
        <f>IFERROR(__xludf.DUMMYFUNCTION("IF(ISBLANK(A20),"""", googlefinance(A20, ""price""))"),"")</f>
        <v/>
      </c>
      <c r="D20" s="133" t="str">
        <f>IF(ISBLANK(A20),"",IFERROR(VLOOKUP(A20, 'Intrinsic Values List'!$A$2:$D$70, 4, FALSE), "Not Found" ))</f>
        <v/>
      </c>
      <c r="E20" s="134" t="str">
        <f>IF(ISBLANK(A20),"",IFERROR(VLOOKUP(A20, 'Intrinsic Values List'!$A$2:$G$70, 7, FALSE), "Not Found" ))</f>
        <v/>
      </c>
      <c r="F20" s="343" t="s">
        <v>134</v>
      </c>
      <c r="G20" s="344" t="str">
        <f t="shared" si="1"/>
        <v/>
      </c>
      <c r="H20" s="135" t="str">
        <f>IFERROR(__xludf.DUMMYFUNCTION("IFERROR(googlefinance(A20,""change""),"""")"),"")</f>
        <v/>
      </c>
      <c r="I20" s="136" t="str">
        <f>IFERROR(__xludf.DUMMYFUNCTION("iferror(GOOGLEFINANCE(A20,""changepct"")/100,"""")"),"")</f>
        <v/>
      </c>
      <c r="J20" s="132" t="str">
        <f>IFERROR(__xludf.DUMMYFUNCTION("IF(ISBLANK(A20),"""", googlefinance(A20, ""low52""))"),"")</f>
        <v/>
      </c>
      <c r="K20" s="350" t="str">
        <f>IFERROR(__xludf.DUMMYFUNCTION("IF(ISBLANK(A20),"""",IFERROR(SPARKLINE((C20-J20)/(L20-J20),{""charttype"",""bar"";""max"",1;""min"",0;""color1"",""2c79b5""}),""n/a""))"),"")</f>
        <v/>
      </c>
      <c r="L20" s="132" t="str">
        <f>IFERROR(__xludf.DUMMYFUNCTION("IF(ISBLANK(A20),"""", googlefinance(A20, ""high52""))"),"")</f>
        <v/>
      </c>
      <c r="M20" s="353" t="s">
        <v>133</v>
      </c>
      <c r="N20" s="353" t="s">
        <v>134</v>
      </c>
      <c r="O20" s="138" t="s">
        <v>134</v>
      </c>
      <c r="P20" s="351" t="str">
        <f>IFERROR(__xludf.DUMMYFUNCTION("IF(ISBLANK(A20),"""", googlefinance(A20, ""PE""))"),"")</f>
        <v/>
      </c>
      <c r="Q20" s="345" t="str">
        <f>IFERROR(__xludf.DUMMYFUNCTION("IF(ISBLANK(A20),"""", googlefinance(A20, ""eps""))"),"")</f>
        <v/>
      </c>
      <c r="R20" s="140" t="str">
        <f>IFERROR(__xludf.DUMMYFUNCTION("IfError(IF(isblank(A20),"""",split(V20, ""()"")))"),"")</f>
        <v/>
      </c>
      <c r="S20" s="136"/>
      <c r="T20" s="345" t="str">
        <f t="shared" si="2"/>
        <v/>
      </c>
      <c r="U20" s="132" t="str">
        <f t="shared" si="3"/>
        <v/>
      </c>
      <c r="V20" s="348" t="str">
        <f>IFERROR(__xludf.DUMMYFUNCTION("LET(t, A20,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0" s="146" t="str">
        <f t="shared" si="4"/>
        <v/>
      </c>
    </row>
    <row r="21">
      <c r="A21" s="149"/>
      <c r="B21" s="349" t="str">
        <f>IFERROR(__xludf.DUMMYFUNCTION("IF(ISBLANK(A21),"""", googlefinance(A21, ""name""))"),"")</f>
        <v/>
      </c>
      <c r="C21" s="135" t="str">
        <f>IFERROR(__xludf.DUMMYFUNCTION("IF(ISBLANK(A21),"""", googlefinance(A21, ""price""))"),"")</f>
        <v/>
      </c>
      <c r="D21" s="133" t="str">
        <f>IF(ISBLANK(A21),"",IFERROR(VLOOKUP(A21, 'Intrinsic Values List'!$A$2:$D$70, 4, FALSE), "Not Found" ))</f>
        <v/>
      </c>
      <c r="E21" s="134" t="str">
        <f>IF(ISBLANK(A21),"",IFERROR(VLOOKUP(A21, 'Intrinsic Values List'!$A$2:$G$70, 7, FALSE), "Not Found" ))</f>
        <v/>
      </c>
      <c r="F21" s="343" t="s">
        <v>134</v>
      </c>
      <c r="G21" s="344" t="str">
        <f t="shared" si="1"/>
        <v/>
      </c>
      <c r="H21" s="135" t="str">
        <f>IFERROR(__xludf.DUMMYFUNCTION("IFERROR(googlefinance(A21,""change""),"""")"),"")</f>
        <v/>
      </c>
      <c r="I21" s="136" t="str">
        <f>IFERROR(__xludf.DUMMYFUNCTION("iferror(GOOGLEFINANCE(A21,""changepct"")/100,"""")"),"")</f>
        <v/>
      </c>
      <c r="J21" s="132" t="str">
        <f>IFERROR(__xludf.DUMMYFUNCTION("IF(ISBLANK(A21),"""", googlefinance(A21, ""low52""))"),"")</f>
        <v/>
      </c>
      <c r="K21" s="350" t="str">
        <f>IFERROR(__xludf.DUMMYFUNCTION("IF(ISBLANK(A21),"""",IFERROR(SPARKLINE((C21-J21)/(L21-J21),{""charttype"",""bar"";""max"",1;""min"",0;""color1"",""2c79b5""}),""n/a""))"),"")</f>
        <v/>
      </c>
      <c r="L21" s="132" t="str">
        <f>IFERROR(__xludf.DUMMYFUNCTION("IF(ISBLANK(A21),"""", googlefinance(A21, ""high52""))"),"")</f>
        <v/>
      </c>
      <c r="M21" s="353" t="s">
        <v>133</v>
      </c>
      <c r="N21" s="353" t="s">
        <v>134</v>
      </c>
      <c r="O21" s="138" t="s">
        <v>134</v>
      </c>
      <c r="P21" s="351" t="str">
        <f>IFERROR(__xludf.DUMMYFUNCTION("IF(ISBLANK(A21),"""", googlefinance(A21, ""PE""))"),"")</f>
        <v/>
      </c>
      <c r="Q21" s="345" t="str">
        <f>IFERROR(__xludf.DUMMYFUNCTION("IF(ISBLANK(A21),"""", googlefinance(A21, ""eps""))"),"")</f>
        <v/>
      </c>
      <c r="R21" s="140" t="str">
        <f>IFERROR(__xludf.DUMMYFUNCTION("IfError(IF(isblank(A21),"""",split(V21, ""()"")))"),"")</f>
        <v/>
      </c>
      <c r="S21" s="136"/>
      <c r="T21" s="345" t="str">
        <f t="shared" si="2"/>
        <v/>
      </c>
      <c r="U21" s="132" t="str">
        <f t="shared" si="3"/>
        <v/>
      </c>
      <c r="V21" s="348" t="str">
        <f>IFERROR(__xludf.DUMMYFUNCTION("LET(t, A21,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1" s="146" t="str">
        <f t="shared" si="4"/>
        <v/>
      </c>
    </row>
    <row r="22">
      <c r="A22" s="149"/>
      <c r="B22" s="349" t="str">
        <f>IFERROR(__xludf.DUMMYFUNCTION("IF(ISBLANK(A22),"""", googlefinance(A22, ""name""))"),"")</f>
        <v/>
      </c>
      <c r="C22" s="135" t="str">
        <f>IFERROR(__xludf.DUMMYFUNCTION("IF(ISBLANK(A22),"""", googlefinance(A22, ""price""))"),"")</f>
        <v/>
      </c>
      <c r="D22" s="133" t="str">
        <f>IF(ISBLANK(A22),"",IFERROR(VLOOKUP(A22, 'Intrinsic Values List'!$A$2:$D$70, 4, FALSE), "Not Found" ))</f>
        <v/>
      </c>
      <c r="E22" s="134" t="str">
        <f>IF(ISBLANK(A22),"",IFERROR(VLOOKUP(A22, 'Intrinsic Values List'!$A$2:$G$70, 7, FALSE), "Not Found" ))</f>
        <v/>
      </c>
      <c r="F22" s="343" t="s">
        <v>134</v>
      </c>
      <c r="G22" s="344" t="str">
        <f t="shared" si="1"/>
        <v/>
      </c>
      <c r="H22" s="135" t="str">
        <f>IFERROR(__xludf.DUMMYFUNCTION("IFERROR(googlefinance(A22,""change""),"""")"),"")</f>
        <v/>
      </c>
      <c r="I22" s="136" t="str">
        <f>IFERROR(__xludf.DUMMYFUNCTION("iferror(GOOGLEFINANCE(A22,""changepct"")/100,"""")"),"")</f>
        <v/>
      </c>
      <c r="J22" s="132" t="str">
        <f>IFERROR(__xludf.DUMMYFUNCTION("IF(ISBLANK(A22),"""", googlefinance(A22, ""low52""))"),"")</f>
        <v/>
      </c>
      <c r="K22" s="350" t="str">
        <f>IFERROR(__xludf.DUMMYFUNCTION("IF(ISBLANK(A22),"""",IFERROR(SPARKLINE((C22-J22)/(L22-J22),{""charttype"",""bar"";""max"",1;""min"",0;""color1"",""2c79b5""}),""n/a""))"),"")</f>
        <v/>
      </c>
      <c r="L22" s="132" t="str">
        <f>IFERROR(__xludf.DUMMYFUNCTION("IF(ISBLANK(A22),"""", googlefinance(A22, ""high52""))"),"")</f>
        <v/>
      </c>
      <c r="M22" s="353" t="s">
        <v>133</v>
      </c>
      <c r="N22" s="353" t="s">
        <v>134</v>
      </c>
      <c r="O22" s="138" t="s">
        <v>134</v>
      </c>
      <c r="P22" s="351" t="str">
        <f>IFERROR(__xludf.DUMMYFUNCTION("IF(ISBLANK(A22),"""", googlefinance(A22, ""PE""))"),"")</f>
        <v/>
      </c>
      <c r="Q22" s="345" t="str">
        <f>IFERROR(__xludf.DUMMYFUNCTION("IF(ISBLANK(A22),"""", googlefinance(A22, ""eps""))"),"")</f>
        <v/>
      </c>
      <c r="R22" s="140" t="str">
        <f>IFERROR(__xludf.DUMMYFUNCTION("IfError(IF(isblank(A22),"""",split(V22, ""()"")))"),"")</f>
        <v/>
      </c>
      <c r="S22" s="136"/>
      <c r="T22" s="345" t="str">
        <f t="shared" si="2"/>
        <v/>
      </c>
      <c r="U22" s="132" t="str">
        <f t="shared" si="3"/>
        <v/>
      </c>
      <c r="V22" s="348" t="str">
        <f>IFERROR(__xludf.DUMMYFUNCTION("LET(t, A22,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2" s="146" t="str">
        <f t="shared" si="4"/>
        <v/>
      </c>
    </row>
    <row r="23">
      <c r="A23" s="149"/>
      <c r="B23" s="349" t="str">
        <f>IFERROR(__xludf.DUMMYFUNCTION("IF(ISBLANK(A23),"""", googlefinance(A23, ""name""))"),"")</f>
        <v/>
      </c>
      <c r="C23" s="135" t="str">
        <f>IFERROR(__xludf.DUMMYFUNCTION("IF(ISBLANK(A23),"""", googlefinance(A23, ""price""))"),"")</f>
        <v/>
      </c>
      <c r="D23" s="133" t="str">
        <f>IF(ISBLANK(A23),"",IFERROR(VLOOKUP(A23, 'Intrinsic Values List'!$A$2:$D$70, 4, FALSE), "Not Found" ))</f>
        <v/>
      </c>
      <c r="E23" s="134" t="str">
        <f>IF(ISBLANK(A23),"",IFERROR(VLOOKUP(A23, 'Intrinsic Values List'!$A$2:$G$70, 7, FALSE), "Not Found" ))</f>
        <v/>
      </c>
      <c r="F23" s="343" t="s">
        <v>134</v>
      </c>
      <c r="G23" s="344" t="str">
        <f t="shared" si="1"/>
        <v/>
      </c>
      <c r="H23" s="135" t="str">
        <f>IFERROR(__xludf.DUMMYFUNCTION("IFERROR(googlefinance(A23,""change""),"""")"),"")</f>
        <v/>
      </c>
      <c r="I23" s="136" t="str">
        <f>IFERROR(__xludf.DUMMYFUNCTION("iferror(GOOGLEFINANCE(A23,""changepct"")/100,"""")"),"")</f>
        <v/>
      </c>
      <c r="J23" s="132" t="str">
        <f>IFERROR(__xludf.DUMMYFUNCTION("IF(ISBLANK(A23),"""", googlefinance(A23, ""low52""))"),"")</f>
        <v/>
      </c>
      <c r="K23" s="350" t="str">
        <f>IFERROR(__xludf.DUMMYFUNCTION("IF(ISBLANK(A23),"""",IFERROR(SPARKLINE((C23-J23)/(L23-J23),{""charttype"",""bar"";""max"",1;""min"",0;""color1"",""2c79b5""}),""n/a""))"),"")</f>
        <v/>
      </c>
      <c r="L23" s="132" t="str">
        <f>IFERROR(__xludf.DUMMYFUNCTION("IF(ISBLANK(A23),"""", googlefinance(A23, ""high52""))"),"")</f>
        <v/>
      </c>
      <c r="M23" s="353" t="s">
        <v>133</v>
      </c>
      <c r="N23" s="353" t="s">
        <v>134</v>
      </c>
      <c r="O23" s="138" t="s">
        <v>134</v>
      </c>
      <c r="P23" s="351" t="str">
        <f>IFERROR(__xludf.DUMMYFUNCTION("IF(ISBLANK(A23),"""", googlefinance(A23, ""PE""))"),"")</f>
        <v/>
      </c>
      <c r="Q23" s="345" t="str">
        <f>IFERROR(__xludf.DUMMYFUNCTION("IF(ISBLANK(A23),"""", googlefinance(A23, ""eps""))"),"")</f>
        <v/>
      </c>
      <c r="R23" s="140" t="str">
        <f>IFERROR(__xludf.DUMMYFUNCTION("IfError(IF(isblank(A23),"""",split(V23, ""()"")))"),"")</f>
        <v/>
      </c>
      <c r="S23" s="136"/>
      <c r="T23" s="345" t="str">
        <f t="shared" si="2"/>
        <v/>
      </c>
      <c r="U23" s="132" t="str">
        <f t="shared" si="3"/>
        <v/>
      </c>
      <c r="V23" s="348" t="str">
        <f>IFERROR(__xludf.DUMMYFUNCTION("LET(t, A23,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3" s="146" t="str">
        <f t="shared" si="4"/>
        <v/>
      </c>
    </row>
    <row r="24">
      <c r="A24" s="149"/>
      <c r="B24" s="349" t="str">
        <f>IFERROR(__xludf.DUMMYFUNCTION("IF(ISBLANK(A24),"""", googlefinance(A24, ""name""))"),"")</f>
        <v/>
      </c>
      <c r="C24" s="135" t="str">
        <f>IFERROR(__xludf.DUMMYFUNCTION("IF(ISBLANK(A24),"""", googlefinance(A24, ""price""))"),"")</f>
        <v/>
      </c>
      <c r="D24" s="133" t="str">
        <f>IF(ISBLANK(A24),"",IFERROR(VLOOKUP(A24, 'Intrinsic Values List'!$A$2:$D$70, 4, FALSE), "Not Found" ))</f>
        <v/>
      </c>
      <c r="E24" s="134" t="str">
        <f>IF(ISBLANK(A24),"",IFERROR(VLOOKUP(A24, 'Intrinsic Values List'!$A$2:$G$70, 7, FALSE), "Not Found" ))</f>
        <v/>
      </c>
      <c r="F24" s="343" t="s">
        <v>134</v>
      </c>
      <c r="G24" s="344" t="str">
        <f t="shared" si="1"/>
        <v/>
      </c>
      <c r="H24" s="135" t="str">
        <f>IFERROR(__xludf.DUMMYFUNCTION("IFERROR(googlefinance(A24,""change""),"""")"),"")</f>
        <v/>
      </c>
      <c r="I24" s="136" t="str">
        <f>IFERROR(__xludf.DUMMYFUNCTION("iferror(GOOGLEFINANCE(A24,""changepct"")/100,"""")"),"")</f>
        <v/>
      </c>
      <c r="J24" s="132" t="str">
        <f>IFERROR(__xludf.DUMMYFUNCTION("IF(ISBLANK(A24),"""", googlefinance(A24, ""low52""))"),"")</f>
        <v/>
      </c>
      <c r="K24" s="350" t="str">
        <f>IFERROR(__xludf.DUMMYFUNCTION("IF(ISBLANK(A24),"""",IFERROR(SPARKLINE((C24-J24)/(L24-J24),{""charttype"",""bar"";""max"",1;""min"",0;""color1"",""2c79b5""}),""n/a""))"),"")</f>
        <v/>
      </c>
      <c r="L24" s="132" t="str">
        <f>IFERROR(__xludf.DUMMYFUNCTION("IF(ISBLANK(A24),"""", googlefinance(A24, ""high52""))"),"")</f>
        <v/>
      </c>
      <c r="M24" s="353" t="s">
        <v>133</v>
      </c>
      <c r="N24" s="353" t="s">
        <v>134</v>
      </c>
      <c r="O24" s="138" t="s">
        <v>134</v>
      </c>
      <c r="P24" s="351" t="str">
        <f>IFERROR(__xludf.DUMMYFUNCTION("IF(ISBLANK(A24),"""", googlefinance(A24, ""PE""))"),"")</f>
        <v/>
      </c>
      <c r="Q24" s="345" t="str">
        <f>IFERROR(__xludf.DUMMYFUNCTION("IF(ISBLANK(A24),"""", googlefinance(A24, ""eps""))"),"")</f>
        <v/>
      </c>
      <c r="R24" s="140" t="str">
        <f>IFERROR(__xludf.DUMMYFUNCTION("IfError(IF(isblank(A24),"""",split(V24, ""()"")))"),"")</f>
        <v/>
      </c>
      <c r="S24" s="136"/>
      <c r="T24" s="345" t="str">
        <f t="shared" si="2"/>
        <v/>
      </c>
      <c r="U24" s="132" t="str">
        <f t="shared" si="3"/>
        <v/>
      </c>
      <c r="V24" s="348" t="str">
        <f>IFERROR(__xludf.DUMMYFUNCTION("LET(t, A24,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4" s="146" t="str">
        <f t="shared" si="4"/>
        <v/>
      </c>
    </row>
    <row r="25">
      <c r="A25" s="149"/>
      <c r="B25" s="349" t="str">
        <f>IFERROR(__xludf.DUMMYFUNCTION("IF(ISBLANK(A25),"""", googlefinance(A25, ""name""))"),"")</f>
        <v/>
      </c>
      <c r="C25" s="135" t="str">
        <f>IFERROR(__xludf.DUMMYFUNCTION("IF(ISBLANK(A25),"""", googlefinance(A25, ""price""))"),"")</f>
        <v/>
      </c>
      <c r="D25" s="133" t="str">
        <f>IF(ISBLANK(A25),"",IFERROR(VLOOKUP(A25, 'Intrinsic Values List'!$A$2:$D$70, 4, FALSE), "Not Found" ))</f>
        <v/>
      </c>
      <c r="E25" s="134" t="str">
        <f>IF(ISBLANK(A25),"",IFERROR(VLOOKUP(A25, 'Intrinsic Values List'!$A$2:$G$70, 7, FALSE), "Not Found" ))</f>
        <v/>
      </c>
      <c r="F25" s="343" t="s">
        <v>134</v>
      </c>
      <c r="G25" s="344" t="str">
        <f t="shared" si="1"/>
        <v/>
      </c>
      <c r="H25" s="135" t="str">
        <f>IFERROR(__xludf.DUMMYFUNCTION("IFERROR(googlefinance(A25,""change""),"""")"),"")</f>
        <v/>
      </c>
      <c r="I25" s="136" t="str">
        <f>IFERROR(__xludf.DUMMYFUNCTION("iferror(GOOGLEFINANCE(A25,""changepct"")/100,"""")"),"")</f>
        <v/>
      </c>
      <c r="J25" s="132" t="str">
        <f>IFERROR(__xludf.DUMMYFUNCTION("IF(ISBLANK(A25),"""", googlefinance(A25, ""low52""))"),"")</f>
        <v/>
      </c>
      <c r="K25" s="350" t="str">
        <f>IFERROR(__xludf.DUMMYFUNCTION("IF(ISBLANK(A25),"""",IFERROR(SPARKLINE((C25-J25)/(L25-J25),{""charttype"",""bar"";""max"",1;""min"",0;""color1"",""2c79b5""}),""n/a""))"),"")</f>
        <v/>
      </c>
      <c r="L25" s="132" t="str">
        <f>IFERROR(__xludf.DUMMYFUNCTION("IF(ISBLANK(A25),"""", googlefinance(A25, ""high52""))"),"")</f>
        <v/>
      </c>
      <c r="M25" s="353" t="s">
        <v>133</v>
      </c>
      <c r="N25" s="353" t="s">
        <v>134</v>
      </c>
      <c r="O25" s="138" t="s">
        <v>134</v>
      </c>
      <c r="P25" s="351" t="str">
        <f>IFERROR(__xludf.DUMMYFUNCTION("IF(ISBLANK(A25),"""", googlefinance(A25, ""PE""))"),"")</f>
        <v/>
      </c>
      <c r="Q25" s="345" t="str">
        <f>IFERROR(__xludf.DUMMYFUNCTION("IF(ISBLANK(A25),"""", googlefinance(A25, ""eps""))"),"")</f>
        <v/>
      </c>
      <c r="R25" s="140" t="str">
        <f>IFERROR(__xludf.DUMMYFUNCTION("IfError(IF(isblank(A25),"""",split(V25, ""()"")))"),"")</f>
        <v/>
      </c>
      <c r="S25" s="136"/>
      <c r="T25" s="345" t="str">
        <f t="shared" si="2"/>
        <v/>
      </c>
      <c r="U25" s="132" t="str">
        <f t="shared" si="3"/>
        <v/>
      </c>
      <c r="V25" s="348" t="str">
        <f>IFERROR(__xludf.DUMMYFUNCTION("LET(t, A25,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5" s="146" t="str">
        <f t="shared" si="4"/>
        <v/>
      </c>
    </row>
    <row r="26">
      <c r="A26" s="149"/>
      <c r="B26" s="349" t="str">
        <f>IFERROR(__xludf.DUMMYFUNCTION("IF(ISBLANK(A26),"""", googlefinance(A26, ""name""))"),"")</f>
        <v/>
      </c>
      <c r="C26" s="135" t="str">
        <f>IFERROR(__xludf.DUMMYFUNCTION("IF(ISBLANK(A26),"""", googlefinance(A26, ""price""))"),"")</f>
        <v/>
      </c>
      <c r="D26" s="133" t="str">
        <f>IF(ISBLANK(A26),"",IFERROR(VLOOKUP(A26, 'Intrinsic Values List'!$A$2:$D$70, 4, FALSE), "Not Found" ))</f>
        <v/>
      </c>
      <c r="E26" s="134" t="str">
        <f>IF(ISBLANK(A26),"",IFERROR(VLOOKUP(A26, 'Intrinsic Values List'!$A$2:$G$70, 7, FALSE), "Not Found" ))</f>
        <v/>
      </c>
      <c r="F26" s="343" t="s">
        <v>134</v>
      </c>
      <c r="G26" s="344" t="str">
        <f t="shared" si="1"/>
        <v/>
      </c>
      <c r="H26" s="135" t="str">
        <f>IFERROR(__xludf.DUMMYFUNCTION("IFERROR(googlefinance(A26,""change""),"""")"),"")</f>
        <v/>
      </c>
      <c r="I26" s="136" t="str">
        <f>IFERROR(__xludf.DUMMYFUNCTION("iferror(GOOGLEFINANCE(A26,""changepct"")/100,"""")"),"")</f>
        <v/>
      </c>
      <c r="J26" s="132" t="str">
        <f>IFERROR(__xludf.DUMMYFUNCTION("IF(ISBLANK(A26),"""", googlefinance(A26, ""low52""))"),"")</f>
        <v/>
      </c>
      <c r="K26" s="350" t="str">
        <f>IFERROR(__xludf.DUMMYFUNCTION("IF(ISBLANK(A26),"""",IFERROR(SPARKLINE((C26-J26)/(L26-J26),{""charttype"",""bar"";""max"",1;""min"",0;""color1"",""2c79b5""}),""n/a""))"),"")</f>
        <v/>
      </c>
      <c r="L26" s="132" t="str">
        <f>IFERROR(__xludf.DUMMYFUNCTION("IF(ISBLANK(A26),"""", googlefinance(A26, ""high52""))"),"")</f>
        <v/>
      </c>
      <c r="M26" s="353" t="s">
        <v>133</v>
      </c>
      <c r="N26" s="353" t="s">
        <v>134</v>
      </c>
      <c r="O26" s="138" t="s">
        <v>134</v>
      </c>
      <c r="P26" s="351" t="str">
        <f>IFERROR(__xludf.DUMMYFUNCTION("IF(ISBLANK(A26),"""", googlefinance(A26, ""PE""))"),"")</f>
        <v/>
      </c>
      <c r="Q26" s="345" t="str">
        <f>IFERROR(__xludf.DUMMYFUNCTION("IF(ISBLANK(A26),"""", googlefinance(A26, ""eps""))"),"")</f>
        <v/>
      </c>
      <c r="R26" s="140" t="str">
        <f>IFERROR(__xludf.DUMMYFUNCTION("IfError(IF(isblank(A26),"""",split(V26, ""()"")))"),"")</f>
        <v/>
      </c>
      <c r="S26" s="136"/>
      <c r="T26" s="345" t="str">
        <f t="shared" si="2"/>
        <v/>
      </c>
      <c r="U26" s="132" t="str">
        <f t="shared" si="3"/>
        <v/>
      </c>
      <c r="V26" s="348" t="str">
        <f>IFERROR(__xludf.DUMMYFUNCTION("LET(t, A26,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6" s="146" t="str">
        <f t="shared" si="4"/>
        <v/>
      </c>
    </row>
    <row r="27">
      <c r="A27" s="149"/>
      <c r="B27" s="349" t="str">
        <f>IFERROR(__xludf.DUMMYFUNCTION("IF(ISBLANK(A27),"""", googlefinance(A27, ""name""))"),"")</f>
        <v/>
      </c>
      <c r="C27" s="135" t="str">
        <f>IFERROR(__xludf.DUMMYFUNCTION("IF(ISBLANK(A27),"""", googlefinance(A27, ""price""))"),"")</f>
        <v/>
      </c>
      <c r="D27" s="133" t="str">
        <f>IF(ISBLANK(A27),"",IFERROR(VLOOKUP(A27, 'Intrinsic Values List'!$A$2:$D$70, 4, FALSE), "Not Found" ))</f>
        <v/>
      </c>
      <c r="E27" s="134" t="str">
        <f>IF(ISBLANK(A27),"",IFERROR(VLOOKUP(A27, 'Intrinsic Values List'!$A$2:$G$70, 7, FALSE), "Not Found" ))</f>
        <v/>
      </c>
      <c r="F27" s="343" t="s">
        <v>134</v>
      </c>
      <c r="G27" s="344" t="str">
        <f t="shared" si="1"/>
        <v/>
      </c>
      <c r="H27" s="135" t="str">
        <f>IFERROR(__xludf.DUMMYFUNCTION("IFERROR(googlefinance(A27,""change""),"""")"),"")</f>
        <v/>
      </c>
      <c r="I27" s="136" t="str">
        <f>IFERROR(__xludf.DUMMYFUNCTION("iferror(GOOGLEFINANCE(A27,""changepct"")/100,"""")"),"")</f>
        <v/>
      </c>
      <c r="J27" s="132" t="str">
        <f>IFERROR(__xludf.DUMMYFUNCTION("IF(ISBLANK(A27),"""", googlefinance(A27, ""low52""))"),"")</f>
        <v/>
      </c>
      <c r="K27" s="350" t="str">
        <f>IFERROR(__xludf.DUMMYFUNCTION("IF(ISBLANK(A27),"""",IFERROR(SPARKLINE((C27-J27)/(L27-J27),{""charttype"",""bar"";""max"",1;""min"",0;""color1"",""2c79b5""}),""n/a""))"),"")</f>
        <v/>
      </c>
      <c r="L27" s="132" t="str">
        <f>IFERROR(__xludf.DUMMYFUNCTION("IF(ISBLANK(A27),"""", googlefinance(A27, ""high52""))"),"")</f>
        <v/>
      </c>
      <c r="M27" s="353" t="s">
        <v>133</v>
      </c>
      <c r="N27" s="353" t="s">
        <v>134</v>
      </c>
      <c r="O27" s="138" t="s">
        <v>134</v>
      </c>
      <c r="P27" s="351" t="str">
        <f>IFERROR(__xludf.DUMMYFUNCTION("IF(ISBLANK(A27),"""", googlefinance(A27, ""PE""))"),"")</f>
        <v/>
      </c>
      <c r="Q27" s="345" t="str">
        <f>IFERROR(__xludf.DUMMYFUNCTION("IF(ISBLANK(A27),"""", googlefinance(A27, ""eps""))"),"")</f>
        <v/>
      </c>
      <c r="R27" s="140" t="str">
        <f>IFERROR(__xludf.DUMMYFUNCTION("IfError(IF(isblank(A27),"""",split(V27, ""()"")))"),"")</f>
        <v/>
      </c>
      <c r="S27" s="136"/>
      <c r="T27" s="345" t="str">
        <f t="shared" si="2"/>
        <v/>
      </c>
      <c r="U27" s="132" t="str">
        <f t="shared" si="3"/>
        <v/>
      </c>
      <c r="V27" s="348" t="str">
        <f>IFERROR(__xludf.DUMMYFUNCTION("LET(t, A27,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7" s="146" t="str">
        <f t="shared" si="4"/>
        <v/>
      </c>
    </row>
    <row r="28">
      <c r="A28" s="149"/>
      <c r="B28" s="349" t="str">
        <f>IFERROR(__xludf.DUMMYFUNCTION("IF(ISBLANK(A28),"""", googlefinance(A28, ""name""))"),"")</f>
        <v/>
      </c>
      <c r="C28" s="135" t="str">
        <f>IFERROR(__xludf.DUMMYFUNCTION("IF(ISBLANK(A28),"""", googlefinance(A28, ""price""))"),"")</f>
        <v/>
      </c>
      <c r="D28" s="133" t="str">
        <f>IF(ISBLANK(A28),"",IFERROR(VLOOKUP(A28, 'Intrinsic Values List'!$A$2:$D$70, 4, FALSE), "Not Found" ))</f>
        <v/>
      </c>
      <c r="E28" s="134" t="str">
        <f>IF(ISBLANK(A28),"",IFERROR(VLOOKUP(A28, 'Intrinsic Values List'!$A$2:$G$70, 7, FALSE), "Not Found" ))</f>
        <v/>
      </c>
      <c r="F28" s="343" t="s">
        <v>134</v>
      </c>
      <c r="G28" s="344" t="str">
        <f t="shared" si="1"/>
        <v/>
      </c>
      <c r="H28" s="135" t="str">
        <f>IFERROR(__xludf.DUMMYFUNCTION("IFERROR(googlefinance(A28,""change""),"""")"),"")</f>
        <v/>
      </c>
      <c r="I28" s="136" t="str">
        <f>IFERROR(__xludf.DUMMYFUNCTION("iferror(GOOGLEFINANCE(A28,""changepct"")/100,"""")"),"")</f>
        <v/>
      </c>
      <c r="J28" s="132" t="str">
        <f>IFERROR(__xludf.DUMMYFUNCTION("IF(ISBLANK(A28),"""", googlefinance(A28, ""low52""))"),"")</f>
        <v/>
      </c>
      <c r="K28" s="350" t="str">
        <f>IFERROR(__xludf.DUMMYFUNCTION("IF(ISBLANK(A28),"""",IFERROR(SPARKLINE((C28-J28)/(L28-J28),{""charttype"",""bar"";""max"",1;""min"",0;""color1"",""2c79b5""}),""n/a""))"),"")</f>
        <v/>
      </c>
      <c r="L28" s="132" t="str">
        <f>IFERROR(__xludf.DUMMYFUNCTION("IF(ISBLANK(A28),"""", googlefinance(A28, ""high52""))"),"")</f>
        <v/>
      </c>
      <c r="M28" s="353" t="s">
        <v>133</v>
      </c>
      <c r="N28" s="353" t="s">
        <v>134</v>
      </c>
      <c r="O28" s="138" t="s">
        <v>134</v>
      </c>
      <c r="P28" s="351" t="str">
        <f>IFERROR(__xludf.DUMMYFUNCTION("IF(ISBLANK(A28),"""", googlefinance(A28, ""PE""))"),"")</f>
        <v/>
      </c>
      <c r="Q28" s="345" t="str">
        <f>IFERROR(__xludf.DUMMYFUNCTION("IF(ISBLANK(A28),"""", googlefinance(A28, ""eps""))"),"")</f>
        <v/>
      </c>
      <c r="R28" s="140" t="str">
        <f>IFERROR(__xludf.DUMMYFUNCTION("IfError(IF(isblank(A28),"""",split(V28, ""()"")))"),"")</f>
        <v/>
      </c>
      <c r="S28" s="136"/>
      <c r="T28" s="345" t="str">
        <f t="shared" si="2"/>
        <v/>
      </c>
      <c r="U28" s="132" t="str">
        <f t="shared" si="3"/>
        <v/>
      </c>
      <c r="V28" s="348" t="str">
        <f>IFERROR(__xludf.DUMMYFUNCTION("LET(t, A28,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8" s="146" t="str">
        <f t="shared" si="4"/>
        <v/>
      </c>
    </row>
    <row r="29">
      <c r="A29" s="149"/>
      <c r="B29" s="349" t="str">
        <f>IFERROR(__xludf.DUMMYFUNCTION("IF(ISBLANK(A29),"""", googlefinance(A29, ""name""))"),"")</f>
        <v/>
      </c>
      <c r="C29" s="135" t="str">
        <f>IFERROR(__xludf.DUMMYFUNCTION("IF(ISBLANK(A29),"""", googlefinance(A29, ""price""))"),"")</f>
        <v/>
      </c>
      <c r="D29" s="133" t="str">
        <f>IF(ISBLANK(A29),"",IFERROR(VLOOKUP(A29, 'Intrinsic Values List'!$A$2:$D$70, 4, FALSE), "Not Found" ))</f>
        <v/>
      </c>
      <c r="E29" s="134" t="str">
        <f>IF(ISBLANK(A29),"",IFERROR(VLOOKUP(A29, 'Intrinsic Values List'!$A$2:$G$70, 7, FALSE), "Not Found" ))</f>
        <v/>
      </c>
      <c r="F29" s="343" t="s">
        <v>134</v>
      </c>
      <c r="G29" s="344" t="str">
        <f t="shared" si="1"/>
        <v/>
      </c>
      <c r="H29" s="135" t="str">
        <f>IFERROR(__xludf.DUMMYFUNCTION("IFERROR(googlefinance(A29,""change""),"""")"),"")</f>
        <v/>
      </c>
      <c r="I29" s="136" t="str">
        <f>IFERROR(__xludf.DUMMYFUNCTION("iferror(GOOGLEFINANCE(A29,""changepct"")/100,"""")"),"")</f>
        <v/>
      </c>
      <c r="J29" s="132" t="str">
        <f>IFERROR(__xludf.DUMMYFUNCTION("IF(ISBLANK(A29),"""", googlefinance(A29, ""low52""))"),"")</f>
        <v/>
      </c>
      <c r="K29" s="350" t="str">
        <f>IFERROR(__xludf.DUMMYFUNCTION("IF(ISBLANK(A29),"""",IFERROR(SPARKLINE((C29-J29)/(L29-J29),{""charttype"",""bar"";""max"",1;""min"",0;""color1"",""2c79b5""}),""n/a""))"),"")</f>
        <v/>
      </c>
      <c r="L29" s="132" t="str">
        <f>IFERROR(__xludf.DUMMYFUNCTION("IF(ISBLANK(A29),"""", googlefinance(A29, ""high52""))"),"")</f>
        <v/>
      </c>
      <c r="M29" s="353" t="s">
        <v>133</v>
      </c>
      <c r="N29" s="353" t="s">
        <v>134</v>
      </c>
      <c r="O29" s="138" t="s">
        <v>134</v>
      </c>
      <c r="P29" s="351" t="str">
        <f>IFERROR(__xludf.DUMMYFUNCTION("IF(ISBLANK(A29),"""", googlefinance(A29, ""PE""))"),"")</f>
        <v/>
      </c>
      <c r="Q29" s="345" t="str">
        <f>IFERROR(__xludf.DUMMYFUNCTION("IF(ISBLANK(A29),"""", googlefinance(A29, ""eps""))"),"")</f>
        <v/>
      </c>
      <c r="R29" s="140" t="str">
        <f>IFERROR(__xludf.DUMMYFUNCTION("IfError(IF(isblank(A29),"""",split(V29, ""()"")))"),"")</f>
        <v/>
      </c>
      <c r="S29" s="136"/>
      <c r="T29" s="345" t="str">
        <f t="shared" si="2"/>
        <v/>
      </c>
      <c r="U29" s="132" t="str">
        <f t="shared" si="3"/>
        <v/>
      </c>
      <c r="V29" s="348" t="str">
        <f>IFERROR(__xludf.DUMMYFUNCTION("LET(t, A29,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29" s="146" t="str">
        <f t="shared" si="4"/>
        <v/>
      </c>
    </row>
    <row r="30">
      <c r="A30" s="149"/>
      <c r="B30" s="349" t="str">
        <f>IFERROR(__xludf.DUMMYFUNCTION("IF(ISBLANK(A30),"""", googlefinance(A30, ""name""))"),"")</f>
        <v/>
      </c>
      <c r="C30" s="135" t="str">
        <f>IFERROR(__xludf.DUMMYFUNCTION("IF(ISBLANK(A30),"""", googlefinance(A30, ""price""))"),"")</f>
        <v/>
      </c>
      <c r="D30" s="133" t="str">
        <f>IF(ISBLANK(A30),"",IFERROR(VLOOKUP(A30, 'Intrinsic Values List'!$A$2:$D$70, 4, FALSE), "Not Found" ))</f>
        <v/>
      </c>
      <c r="E30" s="134" t="str">
        <f>IF(ISBLANK(A30),"",IFERROR(VLOOKUP(A30, 'Intrinsic Values List'!$A$2:$G$70, 7, FALSE), "Not Found" ))</f>
        <v/>
      </c>
      <c r="F30" s="343" t="s">
        <v>134</v>
      </c>
      <c r="G30" s="344" t="str">
        <f t="shared" si="1"/>
        <v/>
      </c>
      <c r="H30" s="135" t="str">
        <f>IFERROR(__xludf.DUMMYFUNCTION("IFERROR(googlefinance(A30,""change""),"""")"),"")</f>
        <v/>
      </c>
      <c r="I30" s="136" t="str">
        <f>IFERROR(__xludf.DUMMYFUNCTION("iferror(GOOGLEFINANCE(A30,""changepct"")/100,"""")"),"")</f>
        <v/>
      </c>
      <c r="J30" s="132" t="str">
        <f>IFERROR(__xludf.DUMMYFUNCTION("IF(ISBLANK(A30),"""", googlefinance(A30, ""low52""))"),"")</f>
        <v/>
      </c>
      <c r="K30" s="350" t="str">
        <f>IFERROR(__xludf.DUMMYFUNCTION("IF(ISBLANK(A30),"""",IFERROR(SPARKLINE((C30-J30)/(L30-J30),{""charttype"",""bar"";""max"",1;""min"",0;""color1"",""2c79b5""}),""n/a""))"),"")</f>
        <v/>
      </c>
      <c r="L30" s="132" t="str">
        <f>IFERROR(__xludf.DUMMYFUNCTION("IF(ISBLANK(A30),"""", googlefinance(A30, ""high52""))"),"")</f>
        <v/>
      </c>
      <c r="M30" s="353" t="s">
        <v>133</v>
      </c>
      <c r="N30" s="353" t="s">
        <v>134</v>
      </c>
      <c r="O30" s="138" t="s">
        <v>134</v>
      </c>
      <c r="P30" s="351" t="str">
        <f>IFERROR(__xludf.DUMMYFUNCTION("IF(ISBLANK(A30),"""", googlefinance(A30, ""PE""))"),"")</f>
        <v/>
      </c>
      <c r="Q30" s="345" t="str">
        <f>IFERROR(__xludf.DUMMYFUNCTION("IF(ISBLANK(A30),"""", googlefinance(A30, ""eps""))"),"")</f>
        <v/>
      </c>
      <c r="R30" s="140" t="str">
        <f>IFERROR(__xludf.DUMMYFUNCTION("IfError(IF(isblank(A30),"""",split(V30, ""()"")))"),"")</f>
        <v/>
      </c>
      <c r="S30" s="136"/>
      <c r="T30" s="345" t="str">
        <f t="shared" si="2"/>
        <v/>
      </c>
      <c r="U30" s="132" t="str">
        <f t="shared" si="3"/>
        <v/>
      </c>
      <c r="V30" s="348" t="str">
        <f>IFERROR(__xludf.DUMMYFUNCTION("LET(t, A30,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30" s="146" t="str">
        <f t="shared" si="4"/>
        <v/>
      </c>
    </row>
    <row r="31">
      <c r="A31" s="149"/>
      <c r="B31" s="349" t="str">
        <f>IFERROR(__xludf.DUMMYFUNCTION("IF(ISBLANK(A31),"""", googlefinance(A31, ""name""))"),"")</f>
        <v/>
      </c>
      <c r="C31" s="135" t="str">
        <f>IFERROR(__xludf.DUMMYFUNCTION("IF(ISBLANK(A31),"""", googlefinance(A31, ""price""))"),"")</f>
        <v/>
      </c>
      <c r="D31" s="133" t="str">
        <f>IF(ISBLANK(A31),"",IFERROR(VLOOKUP(A31, 'Intrinsic Values List'!$A$2:$D$70, 4, FALSE), "Not Found" ))</f>
        <v/>
      </c>
      <c r="E31" s="134" t="str">
        <f>IF(ISBLANK(A31),"",IFERROR(VLOOKUP(A31, 'Intrinsic Values List'!$A$2:$G$70, 7, FALSE), "Not Found" ))</f>
        <v/>
      </c>
      <c r="F31" s="343" t="s">
        <v>134</v>
      </c>
      <c r="G31" s="344" t="str">
        <f t="shared" si="1"/>
        <v/>
      </c>
      <c r="H31" s="135" t="str">
        <f>IFERROR(__xludf.DUMMYFUNCTION("IFERROR(googlefinance(A31,""change""),"""")"),"")</f>
        <v/>
      </c>
      <c r="I31" s="136" t="str">
        <f>IFERROR(__xludf.DUMMYFUNCTION("iferror(GOOGLEFINANCE(A31,""changepct"")/100,"""")"),"")</f>
        <v/>
      </c>
      <c r="J31" s="132" t="str">
        <f>IFERROR(__xludf.DUMMYFUNCTION("IF(ISBLANK(A31),"""", googlefinance(A31, ""low52""))"),"")</f>
        <v/>
      </c>
      <c r="K31" s="350" t="str">
        <f>IFERROR(__xludf.DUMMYFUNCTION("IF(ISBLANK(A31),"""",IFERROR(SPARKLINE((C31-J31)/(L31-J31),{""charttype"",""bar"";""max"",1;""min"",0;""color1"",""2c79b5""}),""n/a""))"),"")</f>
        <v/>
      </c>
      <c r="L31" s="132" t="str">
        <f>IFERROR(__xludf.DUMMYFUNCTION("IF(ISBLANK(A31),"""", googlefinance(A31, ""high52""))"),"")</f>
        <v/>
      </c>
      <c r="M31" s="353" t="s">
        <v>133</v>
      </c>
      <c r="N31" s="353" t="s">
        <v>134</v>
      </c>
      <c r="O31" s="138" t="s">
        <v>134</v>
      </c>
      <c r="P31" s="351" t="str">
        <f>IFERROR(__xludf.DUMMYFUNCTION("IF(ISBLANK(A31),"""", googlefinance(A31, ""PE""))"),"")</f>
        <v/>
      </c>
      <c r="Q31" s="345" t="str">
        <f>IFERROR(__xludf.DUMMYFUNCTION("IF(ISBLANK(A31),"""", googlefinance(A31, ""eps""))"),"")</f>
        <v/>
      </c>
      <c r="R31" s="140" t="str">
        <f>IFERROR(__xludf.DUMMYFUNCTION("IfError(IF(isblank(A31),"""",split(V31, ""()"")))"),"")</f>
        <v/>
      </c>
      <c r="S31" s="136"/>
      <c r="T31" s="345" t="str">
        <f t="shared" si="2"/>
        <v/>
      </c>
      <c r="U31" s="132" t="str">
        <f t="shared" si="3"/>
        <v/>
      </c>
      <c r="V31" s="348" t="str">
        <f>IFERROR(__xludf.DUMMYFUNCTION("LET(t, A31,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31" s="146" t="str">
        <f t="shared" si="4"/>
        <v/>
      </c>
    </row>
    <row r="32">
      <c r="A32" s="149"/>
      <c r="B32" s="349" t="str">
        <f>IFERROR(__xludf.DUMMYFUNCTION("IF(ISBLANK(A32),"""", googlefinance(A32, ""name""))"),"")</f>
        <v/>
      </c>
      <c r="C32" s="135" t="str">
        <f>IFERROR(__xludf.DUMMYFUNCTION("IF(ISBLANK(A32),"""", googlefinance(A32, ""price""))"),"")</f>
        <v/>
      </c>
      <c r="D32" s="133" t="str">
        <f>IF(ISBLANK(A32),"",IFERROR(VLOOKUP(A32, 'Intrinsic Values List'!$A$2:$D$70, 4, FALSE), "Not Found" ))</f>
        <v/>
      </c>
      <c r="E32" s="134" t="str">
        <f>IF(ISBLANK(A32),"",IFERROR(VLOOKUP(A32, 'Intrinsic Values List'!$A$2:$G$70, 7, FALSE), "Not Found" ))</f>
        <v/>
      </c>
      <c r="F32" s="343" t="s">
        <v>134</v>
      </c>
      <c r="G32" s="344" t="str">
        <f t="shared" si="1"/>
        <v/>
      </c>
      <c r="H32" s="135" t="str">
        <f>IFERROR(__xludf.DUMMYFUNCTION("IFERROR(googlefinance(A32,""change""),"""")"),"")</f>
        <v/>
      </c>
      <c r="I32" s="136" t="str">
        <f>IFERROR(__xludf.DUMMYFUNCTION("iferror(GOOGLEFINANCE(A32,""changepct"")/100,"""")"),"")</f>
        <v/>
      </c>
      <c r="J32" s="132" t="str">
        <f>IFERROR(__xludf.DUMMYFUNCTION("IF(ISBLANK(A32),"""", googlefinance(A32, ""low52""))"),"")</f>
        <v/>
      </c>
      <c r="K32" s="350" t="str">
        <f>IFERROR(__xludf.DUMMYFUNCTION("IF(ISBLANK(A32),"""",IFERROR(SPARKLINE((C32-J32)/(L32-J32),{""charttype"",""bar"";""max"",1;""min"",0;""color1"",""2c79b5""}),""n/a""))"),"")</f>
        <v/>
      </c>
      <c r="L32" s="132" t="str">
        <f>IFERROR(__xludf.DUMMYFUNCTION("IF(ISBLANK(A32),"""", googlefinance(A32, ""high52""))"),"")</f>
        <v/>
      </c>
      <c r="M32" s="353" t="s">
        <v>133</v>
      </c>
      <c r="N32" s="353" t="s">
        <v>134</v>
      </c>
      <c r="O32" s="138" t="s">
        <v>134</v>
      </c>
      <c r="P32" s="351" t="str">
        <f>IFERROR(__xludf.DUMMYFUNCTION("IF(ISBLANK(A32),"""", googlefinance(A32, ""PE""))"),"")</f>
        <v/>
      </c>
      <c r="Q32" s="345" t="str">
        <f>IFERROR(__xludf.DUMMYFUNCTION("IF(ISBLANK(A32),"""", googlefinance(A32, ""eps""))"),"")</f>
        <v/>
      </c>
      <c r="R32" s="140" t="str">
        <f>IFERROR(__xludf.DUMMYFUNCTION("IfError(IF(isblank(A32),"""",split(V32, ""()"")))"),"")</f>
        <v/>
      </c>
      <c r="S32" s="136"/>
      <c r="T32" s="345" t="str">
        <f t="shared" si="2"/>
        <v/>
      </c>
      <c r="U32" s="132" t="str">
        <f t="shared" si="3"/>
        <v/>
      </c>
      <c r="V32" s="348" t="str">
        <f>IFERROR(__xludf.DUMMYFUNCTION("LET(t, A32,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32" s="146" t="str">
        <f t="shared" si="4"/>
        <v/>
      </c>
    </row>
    <row r="33">
      <c r="A33" s="149"/>
      <c r="B33" s="349" t="str">
        <f>IFERROR(__xludf.DUMMYFUNCTION("IF(ISBLANK(A33),"""", googlefinance(A33, ""name""))"),"")</f>
        <v/>
      </c>
      <c r="C33" s="135" t="str">
        <f>IFERROR(__xludf.DUMMYFUNCTION("IF(ISBLANK(A33),"""", googlefinance(A33, ""price""))"),"")</f>
        <v/>
      </c>
      <c r="D33" s="133" t="str">
        <f>IF(ISBLANK(A33),"",IFERROR(VLOOKUP(A33, 'Intrinsic Values List'!$A$2:$D$70, 4, FALSE), "Not Found" ))</f>
        <v/>
      </c>
      <c r="E33" s="134" t="str">
        <f>IF(ISBLANK(A33),"",IFERROR(VLOOKUP(A33, 'Intrinsic Values List'!$A$2:$G$70, 7, FALSE), "Not Found" ))</f>
        <v/>
      </c>
      <c r="F33" s="343" t="s">
        <v>134</v>
      </c>
      <c r="G33" s="344" t="str">
        <f t="shared" si="1"/>
        <v/>
      </c>
      <c r="H33" s="135" t="str">
        <f>IFERROR(__xludf.DUMMYFUNCTION("IFERROR(googlefinance(A33,""change""),"""")"),"")</f>
        <v/>
      </c>
      <c r="I33" s="136" t="str">
        <f>IFERROR(__xludf.DUMMYFUNCTION("iferror(GOOGLEFINANCE(A33,""changepct"")/100,"""")"),"")</f>
        <v/>
      </c>
      <c r="J33" s="132" t="str">
        <f>IFERROR(__xludf.DUMMYFUNCTION("IF(ISBLANK(A33),"""", googlefinance(A33, ""low52""))"),"")</f>
        <v/>
      </c>
      <c r="K33" s="350" t="str">
        <f>IFERROR(__xludf.DUMMYFUNCTION("IF(ISBLANK(A33),"""",IFERROR(SPARKLINE((C33-J33)/(L33-J33),{""charttype"",""bar"";""max"",1;""min"",0;""color1"",""2c79b5""}),""n/a""))"),"")</f>
        <v/>
      </c>
      <c r="L33" s="132" t="str">
        <f>IFERROR(__xludf.DUMMYFUNCTION("IF(ISBLANK(A33),"""", googlefinance(A33, ""high52""))"),"")</f>
        <v/>
      </c>
      <c r="M33" s="353" t="s">
        <v>133</v>
      </c>
      <c r="N33" s="353" t="s">
        <v>134</v>
      </c>
      <c r="O33" s="138" t="s">
        <v>134</v>
      </c>
      <c r="P33" s="351" t="str">
        <f>IFERROR(__xludf.DUMMYFUNCTION("IF(ISBLANK(A33),"""", googlefinance(A33, ""PE""))"),"")</f>
        <v/>
      </c>
      <c r="Q33" s="345" t="str">
        <f>IFERROR(__xludf.DUMMYFUNCTION("IF(ISBLANK(A33),"""", googlefinance(A33, ""eps""))"),"")</f>
        <v/>
      </c>
      <c r="R33" s="140" t="str">
        <f>IFERROR(__xludf.DUMMYFUNCTION("IfError(IF(isblank(A33),"""",split(V33, ""()"")))"),"")</f>
        <v/>
      </c>
      <c r="S33" s="136"/>
      <c r="T33" s="345" t="str">
        <f t="shared" si="2"/>
        <v/>
      </c>
      <c r="U33" s="132" t="str">
        <f t="shared" si="3"/>
        <v/>
      </c>
      <c r="V33" s="348" t="str">
        <f>IFERROR(__xludf.DUMMYFUNCTION("LET(t, A33,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33" s="146" t="str">
        <f t="shared" si="4"/>
        <v/>
      </c>
    </row>
    <row r="34">
      <c r="A34" s="149"/>
      <c r="B34" s="349" t="str">
        <f>IFERROR(__xludf.DUMMYFUNCTION("IF(ISBLANK(A34),"""", googlefinance(A34, ""name""))"),"")</f>
        <v/>
      </c>
      <c r="C34" s="135" t="str">
        <f>IFERROR(__xludf.DUMMYFUNCTION("IF(ISBLANK(A34),"""", googlefinance(A34, ""price""))"),"")</f>
        <v/>
      </c>
      <c r="D34" s="133" t="str">
        <f>IF(ISBLANK(A34),"",IFERROR(VLOOKUP(A34, 'Intrinsic Values List'!$A$2:$D$70, 4, FALSE), "Not Found" ))</f>
        <v/>
      </c>
      <c r="E34" s="134" t="str">
        <f>IF(ISBLANK(A34),"",IFERROR(VLOOKUP(A34, 'Intrinsic Values List'!$A$2:$G$70, 7, FALSE), "Not Found" ))</f>
        <v/>
      </c>
      <c r="F34" s="343" t="s">
        <v>134</v>
      </c>
      <c r="G34" s="344" t="str">
        <f t="shared" si="1"/>
        <v/>
      </c>
      <c r="H34" s="135" t="str">
        <f>IFERROR(__xludf.DUMMYFUNCTION("IFERROR(googlefinance(A34,""change""),"""")"),"")</f>
        <v/>
      </c>
      <c r="I34" s="136" t="str">
        <f>IFERROR(__xludf.DUMMYFUNCTION("iferror(GOOGLEFINANCE(A34,""changepct"")/100,"""")"),"")</f>
        <v/>
      </c>
      <c r="J34" s="132" t="str">
        <f>IFERROR(__xludf.DUMMYFUNCTION("IF(ISBLANK(A34),"""", googlefinance(A34, ""low52""))"),"")</f>
        <v/>
      </c>
      <c r="K34" s="350" t="str">
        <f>IFERROR(__xludf.DUMMYFUNCTION("IF(ISBLANK(A34),"""",IFERROR(SPARKLINE((C34-J34)/(L34-J34),{""charttype"",""bar"";""max"",1;""min"",0;""color1"",""2c79b5""}),""n/a""))"),"")</f>
        <v/>
      </c>
      <c r="L34" s="132" t="str">
        <f>IFERROR(__xludf.DUMMYFUNCTION("IF(ISBLANK(A34),"""", googlefinance(A34, ""high52""))"),"")</f>
        <v/>
      </c>
      <c r="M34" s="353" t="s">
        <v>133</v>
      </c>
      <c r="N34" s="353" t="s">
        <v>134</v>
      </c>
      <c r="O34" s="138" t="s">
        <v>134</v>
      </c>
      <c r="P34" s="351" t="str">
        <f>IFERROR(__xludf.DUMMYFUNCTION("IF(ISBLANK(A34),"""", googlefinance(A34, ""PE""))"),"")</f>
        <v/>
      </c>
      <c r="Q34" s="345" t="str">
        <f>IFERROR(__xludf.DUMMYFUNCTION("IF(ISBLANK(A34),"""", googlefinance(A34, ""eps""))"),"")</f>
        <v/>
      </c>
      <c r="R34" s="140" t="str">
        <f>IFERROR(__xludf.DUMMYFUNCTION("IfError(IF(isblank(A34),"""",split(V34, ""()"")))"),"")</f>
        <v/>
      </c>
      <c r="S34" s="136"/>
      <c r="T34" s="345" t="str">
        <f t="shared" si="2"/>
        <v/>
      </c>
      <c r="U34" s="132" t="str">
        <f t="shared" si="3"/>
        <v/>
      </c>
      <c r="V34" s="348" t="str">
        <f>IFERROR(__xludf.DUMMYFUNCTION("LET(t, A34,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34" s="146" t="str">
        <f t="shared" si="4"/>
        <v/>
      </c>
    </row>
    <row r="35">
      <c r="A35" s="149"/>
      <c r="B35" s="349" t="str">
        <f>IFERROR(__xludf.DUMMYFUNCTION("IF(ISBLANK(A35),"""", googlefinance(A35, ""name""))"),"")</f>
        <v/>
      </c>
      <c r="C35" s="135" t="str">
        <f>IFERROR(__xludf.DUMMYFUNCTION("IF(ISBLANK(A35),"""", googlefinance(A35, ""price""))"),"")</f>
        <v/>
      </c>
      <c r="D35" s="133" t="str">
        <f>IF(ISBLANK(A35),"",IFERROR(VLOOKUP(A35, 'Intrinsic Values List'!$A$2:$D$70, 4, FALSE), "Not Found" ))</f>
        <v/>
      </c>
      <c r="E35" s="134" t="str">
        <f>IF(ISBLANK(A35),"",IFERROR(VLOOKUP(A35, 'Intrinsic Values List'!$A$2:$G$70, 7, FALSE), "Not Found" ))</f>
        <v/>
      </c>
      <c r="F35" s="343" t="s">
        <v>134</v>
      </c>
      <c r="G35" s="344" t="str">
        <f t="shared" si="1"/>
        <v/>
      </c>
      <c r="H35" s="135" t="str">
        <f>IFERROR(__xludf.DUMMYFUNCTION("IFERROR(googlefinance(A35,""change""),"""")"),"")</f>
        <v/>
      </c>
      <c r="I35" s="136" t="str">
        <f>IFERROR(__xludf.DUMMYFUNCTION("iferror(GOOGLEFINANCE(A35,""changepct"")/100,"""")"),"")</f>
        <v/>
      </c>
      <c r="J35" s="132" t="str">
        <f>IFERROR(__xludf.DUMMYFUNCTION("IF(ISBLANK(A35),"""", googlefinance(A35, ""low52""))"),"")</f>
        <v/>
      </c>
      <c r="K35" s="350" t="str">
        <f>IFERROR(__xludf.DUMMYFUNCTION("IF(ISBLANK(A35),"""",IFERROR(SPARKLINE((C35-J35)/(L35-J35),{""charttype"",""bar"";""max"",1;""min"",0;""color1"",""2c79b5""}),""n/a""))"),"")</f>
        <v/>
      </c>
      <c r="L35" s="132" t="str">
        <f>IFERROR(__xludf.DUMMYFUNCTION("IF(ISBLANK(A35),"""", googlefinance(A35, ""high52""))"),"")</f>
        <v/>
      </c>
      <c r="M35" s="353" t="s">
        <v>133</v>
      </c>
      <c r="N35" s="353" t="s">
        <v>134</v>
      </c>
      <c r="O35" s="138" t="s">
        <v>134</v>
      </c>
      <c r="P35" s="351" t="str">
        <f>IFERROR(__xludf.DUMMYFUNCTION("IF(ISBLANK(A35),"""", googlefinance(A35, ""PE""))"),"")</f>
        <v/>
      </c>
      <c r="Q35" s="345" t="str">
        <f>IFERROR(__xludf.DUMMYFUNCTION("IF(ISBLANK(A35),"""", googlefinance(A35, ""eps""))"),"")</f>
        <v/>
      </c>
      <c r="R35" s="140" t="str">
        <f>IFERROR(__xludf.DUMMYFUNCTION("IfError(IF(isblank(A35),"""",split(V35, ""()"")))"),"")</f>
        <v/>
      </c>
      <c r="S35" s="136"/>
      <c r="T35" s="345" t="str">
        <f t="shared" si="2"/>
        <v/>
      </c>
      <c r="U35" s="132" t="str">
        <f t="shared" si="3"/>
        <v/>
      </c>
      <c r="V35" s="348" t="str">
        <f>IFERROR(__xludf.DUMMYFUNCTION("LET(t, A35,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35" s="146" t="str">
        <f t="shared" si="4"/>
        <v/>
      </c>
    </row>
    <row r="36">
      <c r="A36" s="149"/>
      <c r="B36" s="349" t="str">
        <f>IFERROR(__xludf.DUMMYFUNCTION("IF(ISBLANK(A36),"""", googlefinance(A36, ""name""))"),"")</f>
        <v/>
      </c>
      <c r="C36" s="135" t="str">
        <f>IFERROR(__xludf.DUMMYFUNCTION("IF(ISBLANK(A36),"""", googlefinance(A36, ""price""))"),"")</f>
        <v/>
      </c>
      <c r="D36" s="133" t="str">
        <f>IF(ISBLANK(A36),"",IFERROR(VLOOKUP(A36, 'Intrinsic Values List'!$A$2:$D$70, 4, FALSE), "Not Found" ))</f>
        <v/>
      </c>
      <c r="E36" s="134" t="str">
        <f>IF(ISBLANK(A36),"",IFERROR(VLOOKUP(A36, 'Intrinsic Values List'!$A$2:$G$70, 7, FALSE), "Not Found" ))</f>
        <v/>
      </c>
      <c r="F36" s="343" t="s">
        <v>134</v>
      </c>
      <c r="G36" s="344" t="str">
        <f t="shared" si="1"/>
        <v/>
      </c>
      <c r="H36" s="135" t="str">
        <f>IFERROR(__xludf.DUMMYFUNCTION("IFERROR(googlefinance(A36,""change""),"""")"),"")</f>
        <v/>
      </c>
      <c r="I36" s="136" t="str">
        <f>IFERROR(__xludf.DUMMYFUNCTION("iferror(GOOGLEFINANCE(A36,""changepct"")/100,"""")"),"")</f>
        <v/>
      </c>
      <c r="J36" s="132" t="str">
        <f>IFERROR(__xludf.DUMMYFUNCTION("IF(ISBLANK(A36),"""", googlefinance(A36, ""low52""))"),"")</f>
        <v/>
      </c>
      <c r="K36" s="350" t="str">
        <f>IFERROR(__xludf.DUMMYFUNCTION("IF(ISBLANK(A36),"""",IFERROR(SPARKLINE((C36-J36)/(L36-J36),{""charttype"",""bar"";""max"",1;""min"",0;""color1"",""2c79b5""}),""n/a""))"),"")</f>
        <v/>
      </c>
      <c r="L36" s="132" t="str">
        <f>IFERROR(__xludf.DUMMYFUNCTION("IF(ISBLANK(A36),"""", googlefinance(A36, ""high52""))"),"")</f>
        <v/>
      </c>
      <c r="M36" s="353" t="s">
        <v>133</v>
      </c>
      <c r="N36" s="353" t="s">
        <v>134</v>
      </c>
      <c r="O36" s="138" t="s">
        <v>134</v>
      </c>
      <c r="P36" s="351" t="str">
        <f>IFERROR(__xludf.DUMMYFUNCTION("IF(ISBLANK(A36),"""", googlefinance(A36, ""PE""))"),"")</f>
        <v/>
      </c>
      <c r="Q36" s="345" t="str">
        <f>IFERROR(__xludf.DUMMYFUNCTION("IF(ISBLANK(A36),"""", googlefinance(A36, ""eps""))"),"")</f>
        <v/>
      </c>
      <c r="R36" s="140" t="str">
        <f>IFERROR(__xludf.DUMMYFUNCTION("IfError(IF(isblank(A36),"""",split(V36, ""()"")))"),"")</f>
        <v/>
      </c>
      <c r="S36" s="136"/>
      <c r="T36" s="345" t="str">
        <f t="shared" si="2"/>
        <v/>
      </c>
      <c r="U36" s="132" t="str">
        <f t="shared" si="3"/>
        <v/>
      </c>
      <c r="V36" s="348" t="str">
        <f>IFERROR(__xludf.DUMMYFUNCTION("LET(t, A36,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36" s="146" t="str">
        <f t="shared" si="4"/>
        <v/>
      </c>
    </row>
    <row r="37">
      <c r="A37" s="149"/>
      <c r="B37" s="349" t="str">
        <f>IFERROR(__xludf.DUMMYFUNCTION("IF(ISBLANK(A37),"""", googlefinance(A37, ""name""))"),"")</f>
        <v/>
      </c>
      <c r="C37" s="135" t="str">
        <f>IFERROR(__xludf.DUMMYFUNCTION("IF(ISBLANK(A37),"""", googlefinance(A37, ""price""))"),"")</f>
        <v/>
      </c>
      <c r="D37" s="133" t="str">
        <f>IF(ISBLANK(A37),"",IFERROR(VLOOKUP(A37, 'Intrinsic Values List'!$A$2:$D$70, 4, FALSE), "Not Found" ))</f>
        <v/>
      </c>
      <c r="E37" s="134" t="str">
        <f>IF(ISBLANK(A37),"",IFERROR(VLOOKUP(A37, 'Intrinsic Values List'!$A$2:$G$70, 7, FALSE), "Not Found" ))</f>
        <v/>
      </c>
      <c r="F37" s="343" t="s">
        <v>134</v>
      </c>
      <c r="G37" s="344" t="str">
        <f t="shared" si="1"/>
        <v/>
      </c>
      <c r="H37" s="135" t="str">
        <f>IFERROR(__xludf.DUMMYFUNCTION("IFERROR(googlefinance(A37,""change""),"""")"),"")</f>
        <v/>
      </c>
      <c r="I37" s="136" t="str">
        <f>IFERROR(__xludf.DUMMYFUNCTION("iferror(GOOGLEFINANCE(A37,""changepct"")/100,"""")"),"")</f>
        <v/>
      </c>
      <c r="J37" s="132" t="str">
        <f>IFERROR(__xludf.DUMMYFUNCTION("IF(ISBLANK(A37),"""", googlefinance(A37, ""low52""))"),"")</f>
        <v/>
      </c>
      <c r="K37" s="350" t="str">
        <f>IFERROR(__xludf.DUMMYFUNCTION("IF(ISBLANK(A37),"""",IFERROR(SPARKLINE((C37-J37)/(L37-J37),{""charttype"",""bar"";""max"",1;""min"",0;""color1"",""2c79b5""}),""n/a""))"),"")</f>
        <v/>
      </c>
      <c r="L37" s="132" t="str">
        <f>IFERROR(__xludf.DUMMYFUNCTION("IF(ISBLANK(A37),"""", googlefinance(A37, ""high52""))"),"")</f>
        <v/>
      </c>
      <c r="M37" s="353" t="s">
        <v>133</v>
      </c>
      <c r="N37" s="353" t="s">
        <v>134</v>
      </c>
      <c r="O37" s="138" t="s">
        <v>134</v>
      </c>
      <c r="P37" s="351" t="str">
        <f>IFERROR(__xludf.DUMMYFUNCTION("IF(ISBLANK(A37),"""", googlefinance(A37, ""PE""))"),"")</f>
        <v/>
      </c>
      <c r="Q37" s="345" t="str">
        <f>IFERROR(__xludf.DUMMYFUNCTION("IF(ISBLANK(A37),"""", googlefinance(A37, ""eps""))"),"")</f>
        <v/>
      </c>
      <c r="R37" s="140" t="str">
        <f>IFERROR(__xludf.DUMMYFUNCTION("IfError(IF(isblank(A37),"""",split(V37, ""()"")))"),"")</f>
        <v/>
      </c>
      <c r="S37" s="136"/>
      <c r="T37" s="345" t="str">
        <f t="shared" si="2"/>
        <v/>
      </c>
      <c r="U37" s="132" t="str">
        <f t="shared" si="3"/>
        <v/>
      </c>
      <c r="V37" s="348" t="str">
        <f>IFERROR(__xludf.DUMMYFUNCTION("LET(t, A37,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W37" s="146" t="str">
        <f t="shared" si="4"/>
        <v/>
      </c>
    </row>
    <row r="38">
      <c r="A38" s="370">
        <f>COUNTA(A2:A37)</f>
        <v>14</v>
      </c>
      <c r="B38" s="371" t="s">
        <v>135</v>
      </c>
      <c r="C38" s="372"/>
      <c r="D38" s="372"/>
      <c r="E38" s="372"/>
      <c r="F38" s="372"/>
      <c r="G38" s="372"/>
      <c r="H38" s="372"/>
      <c r="I38" s="373"/>
      <c r="J38" s="373"/>
      <c r="K38" s="373"/>
      <c r="L38" s="373"/>
      <c r="M38" s="374"/>
      <c r="N38" s="374"/>
      <c r="O38" s="374"/>
      <c r="P38" s="374"/>
      <c r="Q38" s="372"/>
      <c r="R38" s="372"/>
      <c r="S38" s="373"/>
      <c r="T38" s="375"/>
      <c r="U38" s="372"/>
      <c r="V38" s="376"/>
      <c r="W38" s="372"/>
    </row>
    <row r="39">
      <c r="A39" s="185"/>
      <c r="B39" s="67"/>
      <c r="C39" s="186"/>
      <c r="D39" s="186"/>
      <c r="E39" s="186"/>
      <c r="F39" s="186"/>
      <c r="G39" s="186"/>
      <c r="H39" s="186"/>
      <c r="I39" s="186"/>
      <c r="J39" s="186"/>
      <c r="K39" s="186"/>
      <c r="L39" s="186"/>
      <c r="M39" s="67"/>
      <c r="N39" s="67"/>
      <c r="O39" s="67"/>
      <c r="P39" s="67"/>
      <c r="Q39" s="186"/>
      <c r="R39" s="186"/>
      <c r="S39" s="187"/>
      <c r="T39" s="187"/>
      <c r="U39" s="186"/>
      <c r="V39" s="186"/>
      <c r="W39" s="186"/>
    </row>
    <row r="40">
      <c r="A40" s="377" t="s">
        <v>323</v>
      </c>
      <c r="B40" s="378" t="s">
        <v>72</v>
      </c>
      <c r="C40" s="379" t="s">
        <v>76</v>
      </c>
      <c r="D40" s="379" t="s">
        <v>79</v>
      </c>
      <c r="E40" s="379" t="s">
        <v>80</v>
      </c>
      <c r="F40" s="379" t="s">
        <v>324</v>
      </c>
      <c r="G40" s="379" t="s">
        <v>82</v>
      </c>
      <c r="H40" s="379" t="s">
        <v>83</v>
      </c>
      <c r="I40" s="379" t="s">
        <v>84</v>
      </c>
      <c r="J40" s="378" t="s">
        <v>86</v>
      </c>
      <c r="K40" s="378" t="s">
        <v>300</v>
      </c>
      <c r="L40" s="378" t="s">
        <v>301</v>
      </c>
      <c r="M40" s="379" t="s">
        <v>89</v>
      </c>
      <c r="N40" s="380" t="s">
        <v>12</v>
      </c>
      <c r="O40" s="377" t="s">
        <v>302</v>
      </c>
      <c r="P40" s="379" t="s">
        <v>303</v>
      </c>
      <c r="Q40" s="379" t="s">
        <v>304</v>
      </c>
    </row>
    <row r="41">
      <c r="A41" s="381" t="str">
        <f>'My Lab'!P2</f>
        <v>AAPL</v>
      </c>
      <c r="B41" s="382" t="str">
        <f>IFERROR(__xludf.DUMMYFUNCTION("IF(ISBLANK(A41),"""", googlefinance(A41, ""name""))"),"Apple Inc")</f>
        <v>Apple Inc</v>
      </c>
      <c r="C41" s="383">
        <f>IFERROR(__xludf.DUMMYFUNCTION("IF(ISBLANK(A41),"""", googlefinance(A41, ""price""))"),260.29)</f>
        <v>260.29</v>
      </c>
      <c r="D41" s="383">
        <f>IFERROR(__xludf.DUMMYFUNCTION("IFERROR(googlefinance(A41,""change""),"""")"),-2.23)</f>
        <v>-2.23</v>
      </c>
      <c r="E41" s="384">
        <f>IFERROR(__xludf.DUMMYFUNCTION("iferror(GOOGLEFINANCE(A41,""changepct"")/100,"""")"),-0.0085)</f>
        <v>-0.0085</v>
      </c>
      <c r="F41" s="385" t="str">
        <f>IF(ISBLANK(A41), "", IF(COUNTIF(Positions!$A$2:$A$31, A41) &gt; 0, "Yes","No")
)</f>
        <v>No</v>
      </c>
      <c r="G41" s="385">
        <f>IFERROR(__xludf.DUMMYFUNCTION("IF(ISBLANK(A41),"""", googlefinance(A41, ""low52""))"),169.21)</f>
        <v>169.21</v>
      </c>
      <c r="H41" s="386" t="str">
        <f>IFERROR(__xludf.DUMMYFUNCTION("IF(ISBLANK(A41),"""",IFERROR(SPARKLINE((C41-G41)/(I41-G41),{""charttype"",""bar"";""max"",1;""min"",0;""color1"",""2c79b5""}),""n/a""))"),"")</f>
        <v/>
      </c>
      <c r="I41" s="385">
        <f>IFERROR(__xludf.DUMMYFUNCTION("IF(ISBLANK(A41),"""", googlefinance(A41, ""high52""))"),288.61)</f>
        <v>288.61</v>
      </c>
      <c r="J41" s="387" t="s">
        <v>134</v>
      </c>
      <c r="K41" s="388">
        <f>IFERROR(__xludf.DUMMYFUNCTION("IF(ISBLANK(A41),"""", googlefinance(A41, ""PE""))"),32.93)</f>
        <v>32.93</v>
      </c>
      <c r="L41" s="385">
        <f>IFERROR(__xludf.DUMMYFUNCTION("IF(ISBLANK(A41),"""", googlefinance(A41, ""eps""))"),7.9)</f>
        <v>7.9</v>
      </c>
      <c r="M41" s="389">
        <f>IFERROR(__xludf.DUMMYFUNCTION("IfError(IF(isblank(A41),"""",split(Q41, ""()"")))"),0.0)</f>
        <v>0</v>
      </c>
      <c r="N41" s="384"/>
      <c r="O41" s="385">
        <f t="shared" ref="O41:O300" si="5">IF(ISBLANK(A41),"", (M41*100))</f>
        <v>0</v>
      </c>
      <c r="P41" s="385">
        <f t="shared" ref="P41:P300" si="6">IF(ISBLANK(A41),"", C41*100)</f>
        <v>26029</v>
      </c>
      <c r="Q41" s="390">
        <f>IFERROR(__xludf.DUMMYFUNCTION("IfError(IF(isblank(A41),"""", substitute(index(IMPORTHTML(""http://finviz.com/quote.ashx?t=""&amp;A41,""table"", 10),8,2),""*"","""")),0)"),0.0)</f>
        <v>0</v>
      </c>
    </row>
    <row r="42">
      <c r="A42" s="381" t="str">
        <f>'My Lab'!P3</f>
        <v>MSFT</v>
      </c>
      <c r="B42" s="382" t="str">
        <f>IFERROR(__xludf.DUMMYFUNCTION("IF(ISBLANK(A42),"""", googlefinance(A42, ""name""))"),"Microsoft Corp")</f>
        <v>Microsoft Corp</v>
      </c>
      <c r="C42" s="383">
        <f>IFERROR(__xludf.DUMMYFUNCTION("IF(ISBLANK(A42),"""", googlefinance(A42, ""price""))"),410.68)</f>
        <v>410.68</v>
      </c>
      <c r="D42" s="383">
        <f>IFERROR(__xludf.DUMMYFUNCTION("IFERROR(googlefinance(A42,""change""),"""")"),5.48)</f>
        <v>5.48</v>
      </c>
      <c r="E42" s="384">
        <f>IFERROR(__xludf.DUMMYFUNCTION("iferror(GOOGLEFINANCE(A42,""changepct"")/100,"""")"),0.013500000000000002)</f>
        <v>0.0135</v>
      </c>
      <c r="F42" s="385" t="str">
        <f>IF(ISBLANK(A42), "", IF(COUNTIF(Positions!$A$2:$A$31, A42) &gt; 0, "Yes","No")
)</f>
        <v>Yes</v>
      </c>
      <c r="G42" s="385">
        <f>IFERROR(__xludf.DUMMYFUNCTION("IF(ISBLANK(A42),"""", googlefinance(A42, ""low52""))"),344.79)</f>
        <v>344.79</v>
      </c>
      <c r="H42" s="386" t="str">
        <f>IFERROR(__xludf.DUMMYFUNCTION("IF(ISBLANK(A42),"""",IFERROR(SPARKLINE((C42-G42)/(I42-G42),{""charttype"",""bar"";""max"",1;""min"",0;""color1"",""2c79b5""}),""n/a""))"),"")</f>
        <v/>
      </c>
      <c r="I42" s="385">
        <f>IFERROR(__xludf.DUMMYFUNCTION("IF(ISBLANK(A42),"""", googlefinance(A42, ""high52""))"),555.45)</f>
        <v>555.45</v>
      </c>
      <c r="J42" s="387" t="s">
        <v>134</v>
      </c>
      <c r="K42" s="388">
        <f>IFERROR(__xludf.DUMMYFUNCTION("IF(ISBLANK(A42),"""", googlefinance(A42, ""PE""))"),25.7)</f>
        <v>25.7</v>
      </c>
      <c r="L42" s="385">
        <f>IFERROR(__xludf.DUMMYFUNCTION("IF(ISBLANK(A42),"""", googlefinance(A42, ""eps""))"),15.98)</f>
        <v>15.98</v>
      </c>
      <c r="M42" s="389">
        <f>IFERROR(__xludf.DUMMYFUNCTION("IfError(IF(isblank(A42),"""",split(Q42, ""()"")))"),0.0)</f>
        <v>0</v>
      </c>
      <c r="N42" s="384"/>
      <c r="O42" s="385">
        <f t="shared" si="5"/>
        <v>0</v>
      </c>
      <c r="P42" s="385">
        <f t="shared" si="6"/>
        <v>41068</v>
      </c>
      <c r="Q42" s="390">
        <f>IFERROR(__xludf.DUMMYFUNCTION("IfError(IF(isblank(A42),"""", substitute(index(IMPORTHTML(""http://finviz.com/quote.ashx?t=""&amp;A42,""table"", 10),8,2),""*"","""")),0)"),0.0)</f>
        <v>0</v>
      </c>
    </row>
    <row r="43">
      <c r="A43" s="391" t="str">
        <f>'My Lab'!P4</f>
        <v>O</v>
      </c>
      <c r="B43" s="382" t="str">
        <f>IFERROR(__xludf.DUMMYFUNCTION("IF(ISBLANK(A43),"""", googlefinance(A43, ""name""))"),"Realty Income Corp")</f>
        <v>Realty Income Corp</v>
      </c>
      <c r="C43" s="383">
        <f>IFERROR(__xludf.DUMMYFUNCTION("IF(ISBLANK(A43),"""", googlefinance(A43, ""price""))"),64.8)</f>
        <v>64.8</v>
      </c>
      <c r="D43" s="383">
        <f>IFERROR(__xludf.DUMMYFUNCTION("IFERROR(googlefinance(A43,""change""),"""")"),-1.2)</f>
        <v>-1.2</v>
      </c>
      <c r="E43" s="384">
        <f>IFERROR(__xludf.DUMMYFUNCTION("iferror(GOOGLEFINANCE(A43,""changepct"")/100,"""")"),-0.0182)</f>
        <v>-0.0182</v>
      </c>
      <c r="F43" s="385" t="str">
        <f>IF(ISBLANK(A43), "", IF(COUNTIF(Positions!$A$2:$A$31, A43) &gt; 0, "Yes","No")
)</f>
        <v>Yes</v>
      </c>
      <c r="G43" s="385">
        <f>IFERROR(__xludf.DUMMYFUNCTION("IF(ISBLANK(A43),"""", googlefinance(A43, ""low52""))"),50.71)</f>
        <v>50.71</v>
      </c>
      <c r="H43" s="386" t="str">
        <f>IFERROR(__xludf.DUMMYFUNCTION("IF(ISBLANK(A43),"""",IFERROR(SPARKLINE((C43-G43)/(I43-G43),{""charttype"",""bar"";""max"",1;""min"",0;""color1"",""2c79b5""}),""n/a""))"),"")</f>
        <v/>
      </c>
      <c r="I43" s="385">
        <f>IFERROR(__xludf.DUMMYFUNCTION("IF(ISBLANK(A43),"""", googlefinance(A43, ""high52""))"),67.94)</f>
        <v>67.94</v>
      </c>
      <c r="J43" s="387" t="s">
        <v>134</v>
      </c>
      <c r="K43" s="388">
        <f>IFERROR(__xludf.DUMMYFUNCTION("IF(ISBLANK(A43),"""", googlefinance(A43, ""PE""))"),55.6)</f>
        <v>55.6</v>
      </c>
      <c r="L43" s="385">
        <f>IFERROR(__xludf.DUMMYFUNCTION("IF(ISBLANK(A43),"""", googlefinance(A43, ""eps""))"),1.17)</f>
        <v>1.17</v>
      </c>
      <c r="M43" s="389">
        <f>IFERROR(__xludf.DUMMYFUNCTION("IfError(IF(isblank(A43),"""",split(Q43, ""()"")))"),0.0)</f>
        <v>0</v>
      </c>
      <c r="N43" s="384"/>
      <c r="O43" s="385">
        <f t="shared" si="5"/>
        <v>0</v>
      </c>
      <c r="P43" s="385">
        <f t="shared" si="6"/>
        <v>6480</v>
      </c>
      <c r="Q43" s="390">
        <f>IFERROR(__xludf.DUMMYFUNCTION("IfError(IF(isblank(A43),"""", substitute(index(IMPORTHTML(""http://finviz.com/quote.ashx?t=""&amp;A43,""table"", 10),8,2),""*"","""")),0)"),0.0)</f>
        <v>0</v>
      </c>
    </row>
    <row r="44">
      <c r="A44" s="391" t="str">
        <f>'My Lab'!P5</f>
        <v>SBUX</v>
      </c>
      <c r="B44" s="382" t="str">
        <f>IFERROR(__xludf.DUMMYFUNCTION("IF(ISBLANK(A44),"""", googlefinance(A44, ""name""))"),"Starbucks Corp")</f>
        <v>Starbucks Corp</v>
      </c>
      <c r="C44" s="383">
        <f>IFERROR(__xludf.DUMMYFUNCTION("IF(ISBLANK(A44),"""", googlefinance(A44, ""price""))"),98.69)</f>
        <v>98.69</v>
      </c>
      <c r="D44" s="383">
        <f>IFERROR(__xludf.DUMMYFUNCTION("IFERROR(googlefinance(A44,""change""),"""")"),1.54)</f>
        <v>1.54</v>
      </c>
      <c r="E44" s="384">
        <f>IFERROR(__xludf.DUMMYFUNCTION("iferror(GOOGLEFINANCE(A44,""changepct"")/100,"""")"),0.0159)</f>
        <v>0.0159</v>
      </c>
      <c r="F44" s="385" t="str">
        <f>IF(ISBLANK(A44), "", IF(COUNTIF(Positions!$A$2:$A$31, A44) &gt; 0, "Yes","No")
)</f>
        <v>Yes</v>
      </c>
      <c r="G44" s="385">
        <f>IFERROR(__xludf.DUMMYFUNCTION("IF(ISBLANK(A44),"""", googlefinance(A44, ""low52""))"),75.5)</f>
        <v>75.5</v>
      </c>
      <c r="H44" s="386" t="str">
        <f>IFERROR(__xludf.DUMMYFUNCTION("IF(ISBLANK(A44),"""",IFERROR(SPARKLINE((C44-G44)/(I44-G44),{""charttype"",""bar"";""max"",1;""min"",0;""color1"",""2c79b5""}),""n/a""))"),"")</f>
        <v/>
      </c>
      <c r="I44" s="385">
        <f>IFERROR(__xludf.DUMMYFUNCTION("IF(ISBLANK(A44),"""", googlefinance(A44, ""high52""))"),110.43)</f>
        <v>110.43</v>
      </c>
      <c r="J44" s="387" t="s">
        <v>134</v>
      </c>
      <c r="K44" s="388">
        <f>IFERROR(__xludf.DUMMYFUNCTION("IF(ISBLANK(A44),"""", googlefinance(A44, ""PE""))"),82.21)</f>
        <v>82.21</v>
      </c>
      <c r="L44" s="385">
        <f>IFERROR(__xludf.DUMMYFUNCTION("IF(ISBLANK(A44),"""", googlefinance(A44, ""eps""))"),1.2)</f>
        <v>1.2</v>
      </c>
      <c r="M44" s="389">
        <f>IFERROR(__xludf.DUMMYFUNCTION("IfError(IF(isblank(A44),"""",split(Q44, ""()"")))"),0.0)</f>
        <v>0</v>
      </c>
      <c r="N44" s="384"/>
      <c r="O44" s="385">
        <f t="shared" si="5"/>
        <v>0</v>
      </c>
      <c r="P44" s="385">
        <f t="shared" si="6"/>
        <v>9869</v>
      </c>
      <c r="Q44" s="390">
        <f>IFERROR(__xludf.DUMMYFUNCTION("IfError(IF(isblank(A44),"""", substitute(index(IMPORTHTML(""http://finviz.com/quote.ashx?t=""&amp;A44,""table"", 10),8,2),""*"","""")),0)"),0.0)</f>
        <v>0</v>
      </c>
    </row>
    <row r="45">
      <c r="A45" s="391" t="str">
        <f>'My Lab'!P6</f>
        <v>SCHD</v>
      </c>
      <c r="B45" s="382" t="str">
        <f>IFERROR(__xludf.DUMMYFUNCTION("IF(ISBLANK(A45),"""", googlefinance(A45, ""name""))"),"Schwab US Dividend Equity ETF")</f>
        <v>Schwab US Dividend Equity ETF</v>
      </c>
      <c r="C45" s="383">
        <f>IFERROR(__xludf.DUMMYFUNCTION("IF(ISBLANK(A45),"""", googlefinance(A45, ""price""))"),31.26)</f>
        <v>31.26</v>
      </c>
      <c r="D45" s="383">
        <f>IFERROR(__xludf.DUMMYFUNCTION("IFERROR(googlefinance(A45,""change""),"""")"),-0.28)</f>
        <v>-0.28</v>
      </c>
      <c r="E45" s="384">
        <f>IFERROR(__xludf.DUMMYFUNCTION("iferror(GOOGLEFINANCE(A45,""changepct"")/100,"""")"),-0.0089)</f>
        <v>-0.0089</v>
      </c>
      <c r="F45" s="385" t="str">
        <f>IF(ISBLANK(A45), "", IF(COUNTIF(Positions!$A$2:$A$31, A45) &gt; 0, "Yes","No")
)</f>
        <v>Yes</v>
      </c>
      <c r="G45" s="385">
        <f>IFERROR(__xludf.DUMMYFUNCTION("IF(ISBLANK(A45),"""", googlefinance(A45, ""low52""))"),23.88)</f>
        <v>23.88</v>
      </c>
      <c r="H45" s="386" t="str">
        <f>IFERROR(__xludf.DUMMYFUNCTION("IF(ISBLANK(A45),"""",IFERROR(SPARKLINE((C45-G45)/(I45-G45),{""charttype"",""bar"";""max"",1;""min"",0;""color1"",""2c79b5""}),""n/a""))"),"")</f>
        <v/>
      </c>
      <c r="I45" s="385">
        <f>IFERROR(__xludf.DUMMYFUNCTION("IF(ISBLANK(A45),"""", googlefinance(A45, ""high52""))"),31.95)</f>
        <v>31.95</v>
      </c>
      <c r="J45" s="387" t="s">
        <v>134</v>
      </c>
      <c r="K45" s="388" t="str">
        <f>IFERROR(__xludf.DUMMYFUNCTION("IF(ISBLANK(A45),"""", googlefinance(A45, ""PE""))"),"#N/A")</f>
        <v>#N/A</v>
      </c>
      <c r="L45" s="385" t="str">
        <f>IFERROR(__xludf.DUMMYFUNCTION("IF(ISBLANK(A45),"""", googlefinance(A45, ""eps""))"),"#N/A")</f>
        <v>#N/A</v>
      </c>
      <c r="M45" s="389">
        <f>IFERROR(__xludf.DUMMYFUNCTION("IfError(IF(isblank(A45),"""",split(Q45, ""()"")))"),0.0)</f>
        <v>0</v>
      </c>
      <c r="N45" s="384"/>
      <c r="O45" s="385">
        <f t="shared" si="5"/>
        <v>0</v>
      </c>
      <c r="P45" s="385">
        <f t="shared" si="6"/>
        <v>3126</v>
      </c>
      <c r="Q45" s="390">
        <f>IFERROR(__xludf.DUMMYFUNCTION("IfError(IF(isblank(A45),"""", substitute(index(IMPORTHTML(""http://finviz.com/quote.ashx?t=""&amp;A45,""table"", 10),8,2),""*"","""")),0)"),0.0)</f>
        <v>0</v>
      </c>
    </row>
    <row r="46">
      <c r="A46" s="391" t="str">
        <f>'My Lab'!P7</f>
        <v>PEP</v>
      </c>
      <c r="B46" s="382" t="str">
        <f>IFERROR(__xludf.DUMMYFUNCTION("IF(ISBLANK(A46),"""", googlefinance(A46, ""name""))"),"PepsiCo Inc")</f>
        <v>PepsiCo Inc</v>
      </c>
      <c r="C46" s="383">
        <f>IFERROR(__xludf.DUMMYFUNCTION("IF(ISBLANK(A46),"""", googlefinance(A46, ""price""))"),160.7)</f>
        <v>160.7</v>
      </c>
      <c r="D46" s="383">
        <f>IFERROR(__xludf.DUMMYFUNCTION("IFERROR(googlefinance(A46,""change""),"""")"),-3.22)</f>
        <v>-3.22</v>
      </c>
      <c r="E46" s="384">
        <f>IFERROR(__xludf.DUMMYFUNCTION("iferror(GOOGLEFINANCE(A46,""changepct"")/100,"""")"),-0.0196)</f>
        <v>-0.0196</v>
      </c>
      <c r="F46" s="385" t="str">
        <f>IF(ISBLANK(A46), "", IF(COUNTIF(Positions!$A$2:$A$31, A46) &gt; 0, "Yes","No")
)</f>
        <v>No</v>
      </c>
      <c r="G46" s="385">
        <f>IFERROR(__xludf.DUMMYFUNCTION("IF(ISBLANK(A46),"""", googlefinance(A46, ""low52""))"),127.6)</f>
        <v>127.6</v>
      </c>
      <c r="H46" s="386" t="str">
        <f>IFERROR(__xludf.DUMMYFUNCTION("IF(ISBLANK(A46),"""",IFERROR(SPARKLINE((C46-G46)/(I46-G46),{""charttype"",""bar"";""max"",1;""min"",0;""color1"",""2c79b5""}),""n/a""))"),"")</f>
        <v/>
      </c>
      <c r="I46" s="385">
        <f>IFERROR(__xludf.DUMMYFUNCTION("IF(ISBLANK(A46),"""", googlefinance(A46, ""high52""))"),171.48)</f>
        <v>171.48</v>
      </c>
      <c r="J46" s="387" t="s">
        <v>134</v>
      </c>
      <c r="K46" s="388">
        <f>IFERROR(__xludf.DUMMYFUNCTION("IF(ISBLANK(A46),"""", googlefinance(A46, ""PE""))"),26.78)</f>
        <v>26.78</v>
      </c>
      <c r="L46" s="385">
        <f>IFERROR(__xludf.DUMMYFUNCTION("IF(ISBLANK(A46),"""", googlefinance(A46, ""eps""))"),6.0)</f>
        <v>6</v>
      </c>
      <c r="M46" s="389">
        <f>IFERROR(__xludf.DUMMYFUNCTION("IfError(IF(isblank(A46),"""",split(Q46, ""()"")))"),0.0)</f>
        <v>0</v>
      </c>
      <c r="N46" s="384"/>
      <c r="O46" s="385">
        <f t="shared" si="5"/>
        <v>0</v>
      </c>
      <c r="P46" s="385">
        <f t="shared" si="6"/>
        <v>16070</v>
      </c>
      <c r="Q46" s="390">
        <f>IFERROR(__xludf.DUMMYFUNCTION("IfError(IF(isblank(A46),"""", substitute(index(IMPORTHTML(""http://finviz.com/quote.ashx?t=""&amp;A46,""table"", 10),8,2),""*"","""")),0)"),0.0)</f>
        <v>0</v>
      </c>
    </row>
    <row r="47">
      <c r="A47" s="391" t="str">
        <f>'My Lab'!P8</f>
        <v>MO</v>
      </c>
      <c r="B47" s="382" t="str">
        <f>IFERROR(__xludf.DUMMYFUNCTION("IF(ISBLANK(A47),"""", googlefinance(A47, ""name""))"),"Altria Group Inc")</f>
        <v>Altria Group Inc</v>
      </c>
      <c r="C47" s="383">
        <f>IFERROR(__xludf.DUMMYFUNCTION("IF(ISBLANK(A47),"""", googlefinance(A47, ""price""))"),66.98)</f>
        <v>66.98</v>
      </c>
      <c r="D47" s="383">
        <f>IFERROR(__xludf.DUMMYFUNCTION("IFERROR(googlefinance(A47,""change""),"""")"),-1.14)</f>
        <v>-1.14</v>
      </c>
      <c r="E47" s="384">
        <f>IFERROR(__xludf.DUMMYFUNCTION("iferror(GOOGLEFINANCE(A47,""changepct"")/100,"""")"),-0.0166)</f>
        <v>-0.0166</v>
      </c>
      <c r="F47" s="385" t="str">
        <f>IF(ISBLANK(A47), "", IF(COUNTIF(Positions!$A$2:$A$31, A47) &gt; 0, "Yes","No")
)</f>
        <v>No</v>
      </c>
      <c r="G47" s="385">
        <f>IFERROR(__xludf.DUMMYFUNCTION("IF(ISBLANK(A47),"""", googlefinance(A47, ""low52""))"),52.82)</f>
        <v>52.82</v>
      </c>
      <c r="H47" s="386" t="str">
        <f>IFERROR(__xludf.DUMMYFUNCTION("IF(ISBLANK(A47),"""",IFERROR(SPARKLINE((C47-G47)/(I47-G47),{""charttype"",""bar"";""max"",1;""min"",0;""color1"",""2c79b5""}),""n/a""))"),"")</f>
        <v/>
      </c>
      <c r="I47" s="385">
        <f>IFERROR(__xludf.DUMMYFUNCTION("IF(ISBLANK(A47),"""", googlefinance(A47, ""high52""))"),70.51)</f>
        <v>70.51</v>
      </c>
      <c r="J47" s="387" t="s">
        <v>134</v>
      </c>
      <c r="K47" s="388">
        <f>IFERROR(__xludf.DUMMYFUNCTION("IF(ISBLANK(A47),"""", googlefinance(A47, ""PE""))"),16.27)</f>
        <v>16.27</v>
      </c>
      <c r="L47" s="385">
        <f>IFERROR(__xludf.DUMMYFUNCTION("IF(ISBLANK(A47),"""", googlefinance(A47, ""eps""))"),4.12)</f>
        <v>4.12</v>
      </c>
      <c r="M47" s="389">
        <f>IFERROR(__xludf.DUMMYFUNCTION("IfError(IF(isblank(A47),"""",split(Q47, ""()"")))"),0.0)</f>
        <v>0</v>
      </c>
      <c r="N47" s="384"/>
      <c r="O47" s="385">
        <f t="shared" si="5"/>
        <v>0</v>
      </c>
      <c r="P47" s="385">
        <f t="shared" si="6"/>
        <v>6698</v>
      </c>
      <c r="Q47" s="390">
        <f>IFERROR(__xludf.DUMMYFUNCTION("IfError(IF(isblank(A47),"""", substitute(index(IMPORTHTML(""http://finviz.com/quote.ashx?t=""&amp;A47,""table"", 10),8,2),""*"","""")),0)"),0.0)</f>
        <v>0</v>
      </c>
    </row>
    <row r="48">
      <c r="A48" s="391" t="str">
        <f>'My Lab'!P9</f>
        <v>KO</v>
      </c>
      <c r="B48" s="382" t="str">
        <f>IFERROR(__xludf.DUMMYFUNCTION("IF(ISBLANK(A48),"""", googlefinance(A48, ""name""))"),"Coca-Cola Co")</f>
        <v>Coca-Cola Co</v>
      </c>
      <c r="C48" s="383">
        <f>IFERROR(__xludf.DUMMYFUNCTION("IF(ISBLANK(A48),"""", googlefinance(A48, ""price""))"),77.03)</f>
        <v>77.03</v>
      </c>
      <c r="D48" s="383">
        <f>IFERROR(__xludf.DUMMYFUNCTION("IFERROR(googlefinance(A48,""change""),"""")"),-1.07)</f>
        <v>-1.07</v>
      </c>
      <c r="E48" s="384">
        <f>IFERROR(__xludf.DUMMYFUNCTION("iferror(GOOGLEFINANCE(A48,""changepct"")/100,"""")"),-0.0137)</f>
        <v>-0.0137</v>
      </c>
      <c r="F48" s="385" t="str">
        <f>IF(ISBLANK(A48), "", IF(COUNTIF(Positions!$A$2:$A$31, A48) &gt; 0, "Yes","No")
)</f>
        <v>Yes</v>
      </c>
      <c r="G48" s="385">
        <f>IFERROR(__xludf.DUMMYFUNCTION("IF(ISBLANK(A48),"""", googlefinance(A48, ""low52""))"),65.35)</f>
        <v>65.35</v>
      </c>
      <c r="H48" s="386" t="str">
        <f>IFERROR(__xludf.DUMMYFUNCTION("IF(ISBLANK(A48),"""",IFERROR(SPARKLINE((C48-G48)/(I48-G48),{""charttype"",""bar"";""max"",1;""min"",0;""color1"",""2c79b5""}),""n/a""))"),"")</f>
        <v/>
      </c>
      <c r="I48" s="385">
        <f>IFERROR(__xludf.DUMMYFUNCTION("IF(ISBLANK(A48),"""", googlefinance(A48, ""high52""))"),82.0)</f>
        <v>82</v>
      </c>
      <c r="J48" s="387" t="s">
        <v>134</v>
      </c>
      <c r="K48" s="388">
        <f>IFERROR(__xludf.DUMMYFUNCTION("IF(ISBLANK(A48),"""", googlefinance(A48, ""PE""))"),25.35)</f>
        <v>25.35</v>
      </c>
      <c r="L48" s="385">
        <f>IFERROR(__xludf.DUMMYFUNCTION("IF(ISBLANK(A48),"""", googlefinance(A48, ""eps""))"),3.04)</f>
        <v>3.04</v>
      </c>
      <c r="M48" s="389">
        <f>IFERROR(__xludf.DUMMYFUNCTION("IfError(IF(isblank(A48),"""",split(Q48, ""()"")))"),0.0)</f>
        <v>0</v>
      </c>
      <c r="N48" s="384"/>
      <c r="O48" s="385">
        <f t="shared" si="5"/>
        <v>0</v>
      </c>
      <c r="P48" s="385">
        <f t="shared" si="6"/>
        <v>7703</v>
      </c>
      <c r="Q48" s="390">
        <f>IFERROR(__xludf.DUMMYFUNCTION("IfError(IF(isblank(A48),"""", substitute(index(IMPORTHTML(""http://finviz.com/quote.ashx?t=""&amp;A48,""table"", 10),8,2),""*"","""")),0)"),0.0)</f>
        <v>0</v>
      </c>
    </row>
    <row r="49">
      <c r="A49" s="391" t="str">
        <f>'My Lab'!P10</f>
        <v>V</v>
      </c>
      <c r="B49" s="382" t="str">
        <f>IFERROR(__xludf.DUMMYFUNCTION("IF(ISBLANK(A49),"""", googlefinance(A49, ""name""))"),"Visa Inc")</f>
        <v>Visa Inc</v>
      </c>
      <c r="C49" s="383">
        <f>IFERROR(__xludf.DUMMYFUNCTION("IF(ISBLANK(A49),"""", googlefinance(A49, ""price""))"),319.8)</f>
        <v>319.8</v>
      </c>
      <c r="D49" s="383">
        <f>IFERROR(__xludf.DUMMYFUNCTION("IFERROR(googlefinance(A49,""change""),"""")"),-0.67)</f>
        <v>-0.67</v>
      </c>
      <c r="E49" s="384">
        <f>IFERROR(__xludf.DUMMYFUNCTION("iferror(GOOGLEFINANCE(A49,""changepct"")/100,"""")"),-0.0021)</f>
        <v>-0.0021</v>
      </c>
      <c r="F49" s="385" t="str">
        <f>IF(ISBLANK(A49), "", IF(COUNTIF(Positions!$A$2:$A$31, A49) &gt; 0, "Yes","No")
)</f>
        <v>No</v>
      </c>
      <c r="G49" s="385">
        <f>IFERROR(__xludf.DUMMYFUNCTION("IF(ISBLANK(A49),"""", googlefinance(A49, ""low52""))"),299.0)</f>
        <v>299</v>
      </c>
      <c r="H49" s="386" t="str">
        <f>IFERROR(__xludf.DUMMYFUNCTION("IF(ISBLANK(A49),"""",IFERROR(SPARKLINE((C49-G49)/(I49-G49),{""charttype"",""bar"";""max"",1;""min"",0;""color1"",""2c79b5""}),""n/a""))"),"")</f>
        <v/>
      </c>
      <c r="I49" s="385">
        <f>IFERROR(__xludf.DUMMYFUNCTION("IF(ISBLANK(A49),"""", googlefinance(A49, ""high52""))"),375.51)</f>
        <v>375.51</v>
      </c>
      <c r="J49" s="387" t="s">
        <v>134</v>
      </c>
      <c r="K49" s="388">
        <f>IFERROR(__xludf.DUMMYFUNCTION("IF(ISBLANK(A49),"""", googlefinance(A49, ""PE""))"),30.01)</f>
        <v>30.01</v>
      </c>
      <c r="L49" s="385">
        <f>IFERROR(__xludf.DUMMYFUNCTION("IF(ISBLANK(A49),"""", googlefinance(A49, ""eps""))"),10.65)</f>
        <v>10.65</v>
      </c>
      <c r="M49" s="389">
        <f>IFERROR(__xludf.DUMMYFUNCTION("IfError(IF(isblank(A49),"""",split(Q49, ""()"")))"),0.0)</f>
        <v>0</v>
      </c>
      <c r="N49" s="384"/>
      <c r="O49" s="385">
        <f t="shared" si="5"/>
        <v>0</v>
      </c>
      <c r="P49" s="385">
        <f t="shared" si="6"/>
        <v>31980</v>
      </c>
      <c r="Q49" s="390">
        <f>IFERROR(__xludf.DUMMYFUNCTION("IfError(IF(isblank(A49),"""", substitute(index(IMPORTHTML(""http://finviz.com/quote.ashx?t=""&amp;A49,""table"", 10),8,2),""*"","""")),0)"),0.0)</f>
        <v>0</v>
      </c>
    </row>
    <row r="50">
      <c r="A50" s="391" t="str">
        <f>'My Lab'!P11</f>
        <v>VOO</v>
      </c>
      <c r="B50" s="382" t="str">
        <f>IFERROR(__xludf.DUMMYFUNCTION("IF(ISBLANK(A50),"""", googlefinance(A50, ""name""))"),"Vanguard S&amp;P 500 ETF")</f>
        <v>Vanguard S&amp;P 500 ETF</v>
      </c>
      <c r="C50" s="383">
        <f>IFERROR(__xludf.DUMMYFUNCTION("IF(ISBLANK(A50),"""", googlefinance(A50, ""price""))"),626.81)</f>
        <v>626.81</v>
      </c>
      <c r="D50" s="383">
        <f>IFERROR(__xludf.DUMMYFUNCTION("IFERROR(googlefinance(A50,""change""),"""")"),-3.37)</f>
        <v>-3.37</v>
      </c>
      <c r="E50" s="384">
        <f>IFERROR(__xludf.DUMMYFUNCTION("iferror(GOOGLEFINANCE(A50,""changepct"")/100,"""")"),-0.0053)</f>
        <v>-0.0053</v>
      </c>
      <c r="F50" s="385" t="str">
        <f>IF(ISBLANK(A50), "", IF(COUNTIF(Positions!$A$2:$A$31, A50) &gt; 0, "Yes","No")
)</f>
        <v>Yes</v>
      </c>
      <c r="G50" s="385">
        <f>IFERROR(__xludf.DUMMYFUNCTION("IF(ISBLANK(A50),"""", googlefinance(A50, ""low52""))"),442.8)</f>
        <v>442.8</v>
      </c>
      <c r="H50" s="386" t="str">
        <f>IFERROR(__xludf.DUMMYFUNCTION("IF(ISBLANK(A50),"""",IFERROR(SPARKLINE((C50-G50)/(I50-G50),{""charttype"",""bar"";""max"",1;""min"",0;""color1"",""2c79b5""}),""n/a""))"),"")</f>
        <v/>
      </c>
      <c r="I50" s="385">
        <f>IFERROR(__xludf.DUMMYFUNCTION("IF(ISBLANK(A50),"""", googlefinance(A50, ""high52""))"),641.8)</f>
        <v>641.8</v>
      </c>
      <c r="J50" s="387" t="s">
        <v>134</v>
      </c>
      <c r="K50" s="388" t="str">
        <f>IFERROR(__xludf.DUMMYFUNCTION("IF(ISBLANK(A50),"""", googlefinance(A50, ""PE""))"),"#N/A")</f>
        <v>#N/A</v>
      </c>
      <c r="L50" s="385" t="str">
        <f>IFERROR(__xludf.DUMMYFUNCTION("IF(ISBLANK(A50),"""", googlefinance(A50, ""eps""))"),"#N/A")</f>
        <v>#N/A</v>
      </c>
      <c r="M50" s="389">
        <f>IFERROR(__xludf.DUMMYFUNCTION("IfError(IF(isblank(A50),"""",split(Q50, ""()"")))"),0.0)</f>
        <v>0</v>
      </c>
      <c r="N50" s="384"/>
      <c r="O50" s="385">
        <f t="shared" si="5"/>
        <v>0</v>
      </c>
      <c r="P50" s="385">
        <f t="shared" si="6"/>
        <v>62681</v>
      </c>
      <c r="Q50" s="390">
        <f>IFERROR(__xludf.DUMMYFUNCTION("IfError(IF(isblank(A50),"""", substitute(index(IMPORTHTML(""http://finviz.com/quote.ashx?t=""&amp;A50,""table"", 10),8,2),""*"","""")),0)"),0.0)</f>
        <v>0</v>
      </c>
    </row>
    <row r="51">
      <c r="A51" s="391" t="str">
        <f>'My Lab'!P12</f>
        <v>TGT</v>
      </c>
      <c r="B51" s="382" t="str">
        <f>IFERROR(__xludf.DUMMYFUNCTION("IF(ISBLANK(A51),"""", googlefinance(A51, ""name""))"),"Target Corp")</f>
        <v>Target Corp</v>
      </c>
      <c r="C51" s="383">
        <f>IFERROR(__xludf.DUMMYFUNCTION("IF(ISBLANK(A51),"""", googlefinance(A51, ""price""))"),120.36)</f>
        <v>120.36</v>
      </c>
      <c r="D51" s="383">
        <f>IFERROR(__xludf.DUMMYFUNCTION("IFERROR(googlefinance(A51,""change""),"""")"),0.28)</f>
        <v>0.28</v>
      </c>
      <c r="E51" s="384">
        <f>IFERROR(__xludf.DUMMYFUNCTION("iferror(GOOGLEFINANCE(A51,""changepct"")/100,"""")"),0.0023)</f>
        <v>0.0023</v>
      </c>
      <c r="F51" s="385" t="str">
        <f>IF(ISBLANK(A51), "", IF(COUNTIF(Positions!$A$2:$A$31, A51) &gt; 0, "Yes","No")
)</f>
        <v>Yes</v>
      </c>
      <c r="G51" s="385">
        <f>IFERROR(__xludf.DUMMYFUNCTION("IF(ISBLANK(A51),"""", googlefinance(A51, ""low52""))"),83.44)</f>
        <v>83.44</v>
      </c>
      <c r="H51" s="386" t="str">
        <f>IFERROR(__xludf.DUMMYFUNCTION("IF(ISBLANK(A51),"""",IFERROR(SPARKLINE((C51-G51)/(I51-G51),{""charttype"",""bar"";""max"",1;""min"",0;""color1"",""2c79b5""}),""n/a""))"),"")</f>
        <v/>
      </c>
      <c r="I51" s="385">
        <f>IFERROR(__xludf.DUMMYFUNCTION("IF(ISBLANK(A51),"""", googlefinance(A51, ""high52""))"),126.0)</f>
        <v>126</v>
      </c>
      <c r="J51" s="387" t="s">
        <v>134</v>
      </c>
      <c r="K51" s="388">
        <f>IFERROR(__xludf.DUMMYFUNCTION("IF(ISBLANK(A51),"""", googlefinance(A51, ""PE""))"),14.8)</f>
        <v>14.8</v>
      </c>
      <c r="L51" s="385">
        <f>IFERROR(__xludf.DUMMYFUNCTION("IF(ISBLANK(A51),"""", googlefinance(A51, ""eps""))"),8.13)</f>
        <v>8.13</v>
      </c>
      <c r="M51" s="389">
        <f>IFERROR(__xludf.DUMMYFUNCTION("IfError(IF(isblank(A51),"""",split(Q51, ""()"")))"),0.0)</f>
        <v>0</v>
      </c>
      <c r="N51" s="384"/>
      <c r="O51" s="385">
        <f t="shared" si="5"/>
        <v>0</v>
      </c>
      <c r="P51" s="385">
        <f t="shared" si="6"/>
        <v>12036</v>
      </c>
      <c r="Q51" s="390">
        <f>IFERROR(__xludf.DUMMYFUNCTION("IfError(IF(isblank(A51),"""", substitute(index(IMPORTHTML(""http://finviz.com/quote.ashx?t=""&amp;A51,""table"", 10),8,2),""*"","""")),0)"),0.0)</f>
        <v>0</v>
      </c>
    </row>
    <row r="52">
      <c r="A52" s="391" t="str">
        <f>'My Lab'!P13</f>
        <v>GOOGL</v>
      </c>
      <c r="B52" s="382" t="str">
        <f>IFERROR(__xludf.DUMMYFUNCTION("IF(ISBLANK(A52),"""", googlefinance(A52, ""name""))"),"Alphabet Inc Class A")</f>
        <v>Alphabet Inc Class A</v>
      </c>
      <c r="C52" s="383">
        <f>IFERROR(__xludf.DUMMYFUNCTION("IF(ISBLANK(A52),"""", googlefinance(A52, ""price""))"),300.88)</f>
        <v>300.88</v>
      </c>
      <c r="D52" s="383">
        <f>IFERROR(__xludf.DUMMYFUNCTION("IFERROR(googlefinance(A52,""change""),"""")"),-2.25)</f>
        <v>-2.25</v>
      </c>
      <c r="E52" s="384">
        <f>IFERROR(__xludf.DUMMYFUNCTION("iferror(GOOGLEFINANCE(A52,""changepct"")/100,"""")"),-0.0074)</f>
        <v>-0.0074</v>
      </c>
      <c r="F52" s="385" t="str">
        <f>IF(ISBLANK(A52), "", IF(COUNTIF(Positions!$A$2:$A$31, A52) &gt; 0, "Yes","No")
)</f>
        <v>Yes</v>
      </c>
      <c r="G52" s="385">
        <f>IFERROR(__xludf.DUMMYFUNCTION("IF(ISBLANK(A52),"""", googlefinance(A52, ""low52""))"),140.53)</f>
        <v>140.53</v>
      </c>
      <c r="H52" s="386" t="str">
        <f>IFERROR(__xludf.DUMMYFUNCTION("IF(ISBLANK(A52),"""",IFERROR(SPARKLINE((C52-G52)/(I52-G52),{""charttype"",""bar"";""max"",1;""min"",0;""color1"",""2c79b5""}),""n/a""))"),"")</f>
        <v/>
      </c>
      <c r="I52" s="385">
        <f>IFERROR(__xludf.DUMMYFUNCTION("IF(ISBLANK(A52),"""", googlefinance(A52, ""high52""))"),349.0)</f>
        <v>349</v>
      </c>
      <c r="J52" s="387" t="s">
        <v>134</v>
      </c>
      <c r="K52" s="388">
        <f>IFERROR(__xludf.DUMMYFUNCTION("IF(ISBLANK(A52),"""", googlefinance(A52, ""PE""))"),27.84)</f>
        <v>27.84</v>
      </c>
      <c r="L52" s="385">
        <f>IFERROR(__xludf.DUMMYFUNCTION("IF(ISBLANK(A52),"""", googlefinance(A52, ""eps""))"),10.81)</f>
        <v>10.81</v>
      </c>
      <c r="M52" s="389">
        <f>IFERROR(__xludf.DUMMYFUNCTION("IfError(IF(isblank(A52),"""",split(Q52, ""()"")))"),0.0)</f>
        <v>0</v>
      </c>
      <c r="N52" s="384"/>
      <c r="O52" s="385">
        <f t="shared" si="5"/>
        <v>0</v>
      </c>
      <c r="P52" s="385">
        <f t="shared" si="6"/>
        <v>30088</v>
      </c>
      <c r="Q52" s="390">
        <f>IFERROR(__xludf.DUMMYFUNCTION("IfError(IF(isblank(A52),"""", substitute(index(IMPORTHTML(""http://finviz.com/quote.ashx?t=""&amp;A52,""table"", 10),8,2),""*"","""")),0)"),0.0)</f>
        <v>0</v>
      </c>
    </row>
    <row r="53">
      <c r="A53" s="391" t="str">
        <f>'My Lab'!P14</f>
        <v>VICI</v>
      </c>
      <c r="B53" s="382" t="str">
        <f>IFERROR(__xludf.DUMMYFUNCTION("IF(ISBLANK(A53),"""", googlefinance(A53, ""name""))"),"VICI Properties Inc")</f>
        <v>VICI Properties Inc</v>
      </c>
      <c r="C53" s="383">
        <f>IFERROR(__xludf.DUMMYFUNCTION("IF(ISBLANK(A53),"""", googlefinance(A53, ""price""))"),29.69)</f>
        <v>29.69</v>
      </c>
      <c r="D53" s="383">
        <f>IFERROR(__xludf.DUMMYFUNCTION("IFERROR(googlefinance(A53,""change""),"""")"),-0.2)</f>
        <v>-0.2</v>
      </c>
      <c r="E53" s="384">
        <f>IFERROR(__xludf.DUMMYFUNCTION("iferror(GOOGLEFINANCE(A53,""changepct"")/100,"""")"),-0.0067)</f>
        <v>-0.0067</v>
      </c>
      <c r="F53" s="385" t="str">
        <f>IF(ISBLANK(A53), "", IF(COUNTIF(Positions!$A$2:$A$31, A53) &gt; 0, "Yes","No")
)</f>
        <v>Yes</v>
      </c>
      <c r="G53" s="385">
        <f>IFERROR(__xludf.DUMMYFUNCTION("IF(ISBLANK(A53),"""", googlefinance(A53, ""low52""))"),27.48)</f>
        <v>27.48</v>
      </c>
      <c r="H53" s="386" t="str">
        <f>IFERROR(__xludf.DUMMYFUNCTION("IF(ISBLANK(A53),"""",IFERROR(SPARKLINE((C53-G53)/(I53-G53),{""charttype"",""bar"";""max"",1;""min"",0;""color1"",""2c79b5""}),""n/a""))"),"")</f>
        <v/>
      </c>
      <c r="I53" s="385">
        <f>IFERROR(__xludf.DUMMYFUNCTION("IF(ISBLANK(A53),"""", googlefinance(A53, ""high52""))"),34.03)</f>
        <v>34.03</v>
      </c>
      <c r="J53" s="387" t="s">
        <v>134</v>
      </c>
      <c r="K53" s="388">
        <f>IFERROR(__xludf.DUMMYFUNCTION("IF(ISBLANK(A53),"""", googlefinance(A53, ""PE""))"),11.37)</f>
        <v>11.37</v>
      </c>
      <c r="L53" s="385">
        <f>IFERROR(__xludf.DUMMYFUNCTION("IF(ISBLANK(A53),"""", googlefinance(A53, ""eps""))"),2.61)</f>
        <v>2.61</v>
      </c>
      <c r="M53" s="389">
        <f>IFERROR(__xludf.DUMMYFUNCTION("IfError(IF(isblank(A53),"""",split(Q53, ""()"")))"),0.0)</f>
        <v>0</v>
      </c>
      <c r="N53" s="384"/>
      <c r="O53" s="385">
        <f t="shared" si="5"/>
        <v>0</v>
      </c>
      <c r="P53" s="385">
        <f t="shared" si="6"/>
        <v>2969</v>
      </c>
      <c r="Q53" s="390">
        <f>IFERROR(__xludf.DUMMYFUNCTION("IfError(IF(isblank(A53),"""", substitute(index(IMPORTHTML(""http://finviz.com/quote.ashx?t=""&amp;A53,""table"", 10),8,2),""*"","""")),0)"),0.0)</f>
        <v>0</v>
      </c>
    </row>
    <row r="54">
      <c r="A54" s="391" t="str">
        <f>'My Lab'!P15</f>
        <v/>
      </c>
      <c r="B54" s="382" t="str">
        <f>IFERROR(__xludf.DUMMYFUNCTION("IF(ISBLANK(A54),"""", googlefinance(A54, ""name""))"),"")</f>
        <v/>
      </c>
      <c r="C54" s="383" t="str">
        <f>IFERROR(__xludf.DUMMYFUNCTION("IF(ISBLANK(A54),"""", googlefinance(A54, ""price""))"),"")</f>
        <v/>
      </c>
      <c r="D54" s="383" t="str">
        <f>IFERROR(__xludf.DUMMYFUNCTION("IFERROR(googlefinance(A54,""change""),"""")"),"")</f>
        <v/>
      </c>
      <c r="E54" s="384" t="str">
        <f>IFERROR(__xludf.DUMMYFUNCTION("iferror(GOOGLEFINANCE(A54,""changepct"")/100,"""")"),"")</f>
        <v/>
      </c>
      <c r="F54" s="385" t="str">
        <f>IF(ISBLANK(A54), "", IF(COUNTIF(Positions!$A$2:$A$31, A54) &gt; 0, "Yes","No")
)</f>
        <v/>
      </c>
      <c r="G54" s="385" t="str">
        <f>IFERROR(__xludf.DUMMYFUNCTION("IF(ISBLANK(A54),"""", googlefinance(A54, ""low52""))"),"")</f>
        <v/>
      </c>
      <c r="H54" s="386" t="str">
        <f>IFERROR(__xludf.DUMMYFUNCTION("IF(ISBLANK(A54),"""",IFERROR(SPARKLINE((C54-G54)/(I54-G54),{""charttype"",""bar"";""max"",1;""min"",0;""color1"",""2c79b5""}),""n/a""))"),"")</f>
        <v/>
      </c>
      <c r="I54" s="385" t="str">
        <f>IFERROR(__xludf.DUMMYFUNCTION("IF(ISBLANK(A54),"""", googlefinance(A54, ""high52""))"),"")</f>
        <v/>
      </c>
      <c r="J54" s="387" t="s">
        <v>134</v>
      </c>
      <c r="K54" s="388" t="str">
        <f>IFERROR(__xludf.DUMMYFUNCTION("IF(ISBLANK(A54),"""", googlefinance(A54, ""PE""))"),"")</f>
        <v/>
      </c>
      <c r="L54" s="385" t="str">
        <f>IFERROR(__xludf.DUMMYFUNCTION("IF(ISBLANK(A54),"""", googlefinance(A54, ""eps""))"),"")</f>
        <v/>
      </c>
      <c r="M54" s="389" t="str">
        <f>IFERROR(__xludf.DUMMYFUNCTION("IfError(IF(isblank(A54),"""",split(Q54, ""()"")))"),"")</f>
        <v/>
      </c>
      <c r="N54" s="384"/>
      <c r="O54" s="385" t="str">
        <f t="shared" si="5"/>
        <v/>
      </c>
      <c r="P54" s="385" t="str">
        <f t="shared" si="6"/>
        <v/>
      </c>
      <c r="Q54" s="389" t="str">
        <f>IFERROR(__xludf.DUMMYFUNCTION("IfError(IF(isblank(A54),"""", substitute(index(IMPORTHTML(""http://finviz.com/quote.ashx?t=""&amp;A54,""table"", 10),7,2),""*"","""")),0)"),"")</f>
        <v/>
      </c>
    </row>
    <row r="55">
      <c r="A55" s="391" t="str">
        <f>'My Lab'!P16</f>
        <v/>
      </c>
      <c r="B55" s="382" t="str">
        <f>IFERROR(__xludf.DUMMYFUNCTION("IF(ISBLANK(A55),"""", googlefinance(A55, ""name""))"),"")</f>
        <v/>
      </c>
      <c r="C55" s="383" t="str">
        <f>IFERROR(__xludf.DUMMYFUNCTION("IF(ISBLANK(A55),"""", googlefinance(A55, ""price""))"),"")</f>
        <v/>
      </c>
      <c r="D55" s="383" t="str">
        <f>IFERROR(__xludf.DUMMYFUNCTION("IFERROR(googlefinance(A55,""change""),"""")"),"")</f>
        <v/>
      </c>
      <c r="E55" s="384" t="str">
        <f>IFERROR(__xludf.DUMMYFUNCTION("iferror(GOOGLEFINANCE(A55,""changepct"")/100,"""")"),"")</f>
        <v/>
      </c>
      <c r="F55" s="385" t="str">
        <f>IF(ISBLANK(A55), "", IF(COUNTIF(Positions!$A$2:$A$31, A55) &gt; 0, "Yes","No")
)</f>
        <v/>
      </c>
      <c r="G55" s="385" t="str">
        <f>IFERROR(__xludf.DUMMYFUNCTION("IF(ISBLANK(A55),"""", googlefinance(A55, ""low52""))"),"")</f>
        <v/>
      </c>
      <c r="H55" s="386" t="str">
        <f>IFERROR(__xludf.DUMMYFUNCTION("IF(ISBLANK(A55),"""",IFERROR(SPARKLINE((C55-G55)/(I55-G55),{""charttype"",""bar"";""max"",1;""min"",0;""color1"",""2c79b5""}),""n/a""))"),"")</f>
        <v/>
      </c>
      <c r="I55" s="385" t="str">
        <f>IFERROR(__xludf.DUMMYFUNCTION("IF(ISBLANK(A55),"""", googlefinance(A55, ""high52""))"),"")</f>
        <v/>
      </c>
      <c r="J55" s="387" t="s">
        <v>134</v>
      </c>
      <c r="K55" s="388" t="str">
        <f>IFERROR(__xludf.DUMMYFUNCTION("IF(ISBLANK(A55),"""", googlefinance(A55, ""PE""))"),"")</f>
        <v/>
      </c>
      <c r="L55" s="385" t="str">
        <f>IFERROR(__xludf.DUMMYFUNCTION("IF(ISBLANK(A55),"""", googlefinance(A55, ""eps""))"),"")</f>
        <v/>
      </c>
      <c r="M55" s="389" t="str">
        <f>IFERROR(__xludf.DUMMYFUNCTION("IfError(IF(isblank(A55),"""",split(Q55, ""()"")))"),"")</f>
        <v/>
      </c>
      <c r="N55" s="384"/>
      <c r="O55" s="385" t="str">
        <f t="shared" si="5"/>
        <v/>
      </c>
      <c r="P55" s="385" t="str">
        <f t="shared" si="6"/>
        <v/>
      </c>
      <c r="Q55" s="389" t="str">
        <f>IFERROR(__xludf.DUMMYFUNCTION("IfError(IF(isblank(A55),"""", substitute(index(IMPORTHTML(""http://finviz.com/quote.ashx?t=""&amp;A55,""table"", 10),7,2),""*"","""")),0)"),"")</f>
        <v/>
      </c>
    </row>
    <row r="56">
      <c r="A56" s="391" t="str">
        <f>'My Lab'!P17</f>
        <v/>
      </c>
      <c r="B56" s="382" t="str">
        <f>IFERROR(__xludf.DUMMYFUNCTION("IF(ISBLANK(A56),"""", googlefinance(A56, ""name""))"),"")</f>
        <v/>
      </c>
      <c r="C56" s="383" t="str">
        <f>IFERROR(__xludf.DUMMYFUNCTION("IF(ISBLANK(A56),"""", googlefinance(A56, ""price""))"),"")</f>
        <v/>
      </c>
      <c r="D56" s="383" t="str">
        <f>IFERROR(__xludf.DUMMYFUNCTION("IFERROR(googlefinance(A56,""change""),"""")"),"")</f>
        <v/>
      </c>
      <c r="E56" s="384" t="str">
        <f>IFERROR(__xludf.DUMMYFUNCTION("iferror(GOOGLEFINANCE(A56,""changepct"")/100,"""")"),"")</f>
        <v/>
      </c>
      <c r="F56" s="385" t="str">
        <f>IF(ISBLANK(A56), "", IF(COUNTIF(Positions!$A$2:$A$31, A56) &gt; 0, "Yes","No")
)</f>
        <v/>
      </c>
      <c r="G56" s="385" t="str">
        <f>IFERROR(__xludf.DUMMYFUNCTION("IF(ISBLANK(A56),"""", googlefinance(A56, ""low52""))"),"")</f>
        <v/>
      </c>
      <c r="H56" s="386" t="str">
        <f>IFERROR(__xludf.DUMMYFUNCTION("IF(ISBLANK(A56),"""",IFERROR(SPARKLINE((C56-G56)/(I56-G56),{""charttype"",""bar"";""max"",1;""min"",0;""color1"",""2c79b5""}),""n/a""))"),"")</f>
        <v/>
      </c>
      <c r="I56" s="385" t="str">
        <f>IFERROR(__xludf.DUMMYFUNCTION("IF(ISBLANK(A56),"""", googlefinance(A56, ""high52""))"),"")</f>
        <v/>
      </c>
      <c r="J56" s="387" t="s">
        <v>134</v>
      </c>
      <c r="K56" s="388" t="str">
        <f>IFERROR(__xludf.DUMMYFUNCTION("IF(ISBLANK(A56),"""", googlefinance(A56, ""PE""))"),"")</f>
        <v/>
      </c>
      <c r="L56" s="385" t="str">
        <f>IFERROR(__xludf.DUMMYFUNCTION("IF(ISBLANK(A56),"""", googlefinance(A56, ""eps""))"),"")</f>
        <v/>
      </c>
      <c r="M56" s="389" t="str">
        <f>IFERROR(__xludf.DUMMYFUNCTION("IfError(IF(isblank(A56),"""",split(Q56, ""()"")))"),"")</f>
        <v/>
      </c>
      <c r="N56" s="384"/>
      <c r="O56" s="385" t="str">
        <f t="shared" si="5"/>
        <v/>
      </c>
      <c r="P56" s="385" t="str">
        <f t="shared" si="6"/>
        <v/>
      </c>
      <c r="Q56" s="389" t="str">
        <f>IFERROR(__xludf.DUMMYFUNCTION("IfError(IF(isblank(A56),"""", substitute(index(IMPORTHTML(""http://finviz.com/quote.ashx?t=""&amp;A56,""table"", 10),7,2),""*"","""")),0)"),"")</f>
        <v/>
      </c>
    </row>
    <row r="57">
      <c r="A57" s="391" t="str">
        <f>'My Lab'!P18</f>
        <v/>
      </c>
      <c r="B57" s="382" t="str">
        <f>IFERROR(__xludf.DUMMYFUNCTION("IF(ISBLANK(A57),"""", googlefinance(A57, ""name""))"),"")</f>
        <v/>
      </c>
      <c r="C57" s="383" t="str">
        <f>IFERROR(__xludf.DUMMYFUNCTION("IF(ISBLANK(A57),"""", googlefinance(A57, ""price""))"),"")</f>
        <v/>
      </c>
      <c r="D57" s="383" t="str">
        <f>IFERROR(__xludf.DUMMYFUNCTION("IFERROR(googlefinance(A57,""change""),"""")"),"")</f>
        <v/>
      </c>
      <c r="E57" s="384" t="str">
        <f>IFERROR(__xludf.DUMMYFUNCTION("iferror(GOOGLEFINANCE(A57,""changepct"")/100,"""")"),"")</f>
        <v/>
      </c>
      <c r="F57" s="385" t="str">
        <f>IF(ISBLANK(A57), "", IF(COUNTIF(Positions!$A$2:$A$31, A57) &gt; 0, "Yes","No")
)</f>
        <v/>
      </c>
      <c r="G57" s="385" t="str">
        <f>IFERROR(__xludf.DUMMYFUNCTION("IF(ISBLANK(A57),"""", googlefinance(A57, ""low52""))"),"")</f>
        <v/>
      </c>
      <c r="H57" s="386" t="str">
        <f>IFERROR(__xludf.DUMMYFUNCTION("IF(ISBLANK(A57),"""",IFERROR(SPARKLINE((C57-G57)/(I57-G57),{""charttype"",""bar"";""max"",1;""min"",0;""color1"",""2c79b5""}),""n/a""))"),"")</f>
        <v/>
      </c>
      <c r="I57" s="385" t="str">
        <f>IFERROR(__xludf.DUMMYFUNCTION("IF(ISBLANK(A57),"""", googlefinance(A57, ""high52""))"),"")</f>
        <v/>
      </c>
      <c r="J57" s="387" t="s">
        <v>134</v>
      </c>
      <c r="K57" s="388" t="str">
        <f>IFERROR(__xludf.DUMMYFUNCTION("IF(ISBLANK(A57),"""", googlefinance(A57, ""PE""))"),"")</f>
        <v/>
      </c>
      <c r="L57" s="385" t="str">
        <f>IFERROR(__xludf.DUMMYFUNCTION("IF(ISBLANK(A57),"""", googlefinance(A57, ""eps""))"),"")</f>
        <v/>
      </c>
      <c r="M57" s="389" t="str">
        <f>IFERROR(__xludf.DUMMYFUNCTION("IfError(IF(isblank(A57),"""",split(Q57, ""()"")))"),"")</f>
        <v/>
      </c>
      <c r="N57" s="384"/>
      <c r="O57" s="385" t="str">
        <f t="shared" si="5"/>
        <v/>
      </c>
      <c r="P57" s="385" t="str">
        <f t="shared" si="6"/>
        <v/>
      </c>
      <c r="Q57" s="389" t="str">
        <f>IFERROR(__xludf.DUMMYFUNCTION("IfError(IF(isblank(A57),"""", substitute(index(IMPORTHTML(""http://finviz.com/quote.ashx?t=""&amp;A57,""table"", 10),7,2),""*"","""")),0)"),"")</f>
        <v/>
      </c>
    </row>
    <row r="58">
      <c r="A58" s="391" t="str">
        <f>'My Lab'!P19</f>
        <v/>
      </c>
      <c r="B58" s="382" t="str">
        <f>IFERROR(__xludf.DUMMYFUNCTION("IF(ISBLANK(A58),"""", googlefinance(A58, ""name""))"),"")</f>
        <v/>
      </c>
      <c r="C58" s="383" t="str">
        <f>IFERROR(__xludf.DUMMYFUNCTION("IF(ISBLANK(A58),"""", googlefinance(A58, ""price""))"),"")</f>
        <v/>
      </c>
      <c r="D58" s="383" t="str">
        <f>IFERROR(__xludf.DUMMYFUNCTION("IFERROR(googlefinance(A58,""change""),"""")"),"")</f>
        <v/>
      </c>
      <c r="E58" s="384" t="str">
        <f>IFERROR(__xludf.DUMMYFUNCTION("iferror(GOOGLEFINANCE(A58,""changepct"")/100,"""")"),"")</f>
        <v/>
      </c>
      <c r="F58" s="385" t="str">
        <f>IF(ISBLANK(A58), "", IF(COUNTIF(Positions!$A$2:$A$31, A58) &gt; 0, "Yes","No")
)</f>
        <v/>
      </c>
      <c r="G58" s="385" t="str">
        <f>IFERROR(__xludf.DUMMYFUNCTION("IF(ISBLANK(A58),"""", googlefinance(A58, ""low52""))"),"")</f>
        <v/>
      </c>
      <c r="H58" s="386" t="str">
        <f>IFERROR(__xludf.DUMMYFUNCTION("IF(ISBLANK(A58),"""",IFERROR(SPARKLINE((C58-G58)/(I58-G58),{""charttype"",""bar"";""max"",1;""min"",0;""color1"",""2c79b5""}),""n/a""))"),"")</f>
        <v/>
      </c>
      <c r="I58" s="385" t="str">
        <f>IFERROR(__xludf.DUMMYFUNCTION("IF(ISBLANK(A58),"""", googlefinance(A58, ""high52""))"),"")</f>
        <v/>
      </c>
      <c r="J58" s="387" t="s">
        <v>134</v>
      </c>
      <c r="K58" s="388" t="str">
        <f>IFERROR(__xludf.DUMMYFUNCTION("IF(ISBLANK(A58),"""", googlefinance(A58, ""PE""))"),"")</f>
        <v/>
      </c>
      <c r="L58" s="385" t="str">
        <f>IFERROR(__xludf.DUMMYFUNCTION("IF(ISBLANK(A58),"""", googlefinance(A58, ""eps""))"),"")</f>
        <v/>
      </c>
      <c r="M58" s="389" t="str">
        <f>IFERROR(__xludf.DUMMYFUNCTION("IfError(IF(isblank(A58),"""",split(Q58, ""()"")))"),"")</f>
        <v/>
      </c>
      <c r="N58" s="384"/>
      <c r="O58" s="385" t="str">
        <f t="shared" si="5"/>
        <v/>
      </c>
      <c r="P58" s="385" t="str">
        <f t="shared" si="6"/>
        <v/>
      </c>
      <c r="Q58" s="389" t="str">
        <f>IFERROR(__xludf.DUMMYFUNCTION("IfError(IF(isblank(A58),"""", substitute(index(IMPORTHTML(""http://finviz.com/quote.ashx?t=""&amp;A58,""table"", 10),7,2),""*"","""")),0)"),"")</f>
        <v/>
      </c>
    </row>
    <row r="59">
      <c r="A59" s="391" t="str">
        <f>'My Lab'!P20</f>
        <v/>
      </c>
      <c r="B59" s="382" t="str">
        <f>IFERROR(__xludf.DUMMYFUNCTION("IF(ISBLANK(A59),"""", googlefinance(A59, ""name""))"),"")</f>
        <v/>
      </c>
      <c r="C59" s="383" t="str">
        <f>IFERROR(__xludf.DUMMYFUNCTION("IF(ISBLANK(A59),"""", googlefinance(A59, ""price""))"),"")</f>
        <v/>
      </c>
      <c r="D59" s="383" t="str">
        <f>IFERROR(__xludf.DUMMYFUNCTION("IFERROR(googlefinance(A59,""change""),"""")"),"")</f>
        <v/>
      </c>
      <c r="E59" s="384" t="str">
        <f>IFERROR(__xludf.DUMMYFUNCTION("iferror(GOOGLEFINANCE(A59,""changepct"")/100,"""")"),"")</f>
        <v/>
      </c>
      <c r="F59" s="385" t="str">
        <f>IF(ISBLANK(A59), "", IF(COUNTIF(Positions!$A$2:$A$31, A59) &gt; 0, "Yes","No")
)</f>
        <v/>
      </c>
      <c r="G59" s="385" t="str">
        <f>IFERROR(__xludf.DUMMYFUNCTION("IF(ISBLANK(A59),"""", googlefinance(A59, ""low52""))"),"")</f>
        <v/>
      </c>
      <c r="H59" s="386" t="str">
        <f>IFERROR(__xludf.DUMMYFUNCTION("IF(ISBLANK(A59),"""",IFERROR(SPARKLINE((C59-G59)/(I59-G59),{""charttype"",""bar"";""max"",1;""min"",0;""color1"",""2c79b5""}),""n/a""))"),"")</f>
        <v/>
      </c>
      <c r="I59" s="385" t="str">
        <f>IFERROR(__xludf.DUMMYFUNCTION("IF(ISBLANK(A59),"""", googlefinance(A59, ""high52""))"),"")</f>
        <v/>
      </c>
      <c r="J59" s="387" t="s">
        <v>134</v>
      </c>
      <c r="K59" s="388" t="str">
        <f>IFERROR(__xludf.DUMMYFUNCTION("IF(ISBLANK(A59),"""", googlefinance(A59, ""PE""))"),"")</f>
        <v/>
      </c>
      <c r="L59" s="385" t="str">
        <f>IFERROR(__xludf.DUMMYFUNCTION("IF(ISBLANK(A59),"""", googlefinance(A59, ""eps""))"),"")</f>
        <v/>
      </c>
      <c r="M59" s="389" t="str">
        <f>IFERROR(__xludf.DUMMYFUNCTION("IfError(IF(isblank(A59),"""",split(Q59, ""()"")))"),"")</f>
        <v/>
      </c>
      <c r="N59" s="384"/>
      <c r="O59" s="385" t="str">
        <f t="shared" si="5"/>
        <v/>
      </c>
      <c r="P59" s="385" t="str">
        <f t="shared" si="6"/>
        <v/>
      </c>
      <c r="Q59" s="389" t="str">
        <f>IFERROR(__xludf.DUMMYFUNCTION("IfError(IF(isblank(A59),"""", substitute(index(IMPORTHTML(""http://finviz.com/quote.ashx?t=""&amp;A59,""table"", 10),7,2),""*"","""")),0)"),"")</f>
        <v/>
      </c>
    </row>
    <row r="60">
      <c r="A60" s="391" t="str">
        <f>'My Lab'!P21</f>
        <v/>
      </c>
      <c r="B60" s="382" t="str">
        <f>IFERROR(__xludf.DUMMYFUNCTION("IF(ISBLANK(A60),"""", googlefinance(A60, ""name""))"),"")</f>
        <v/>
      </c>
      <c r="C60" s="383" t="str">
        <f>IFERROR(__xludf.DUMMYFUNCTION("IF(ISBLANK(A60),"""", googlefinance(A60, ""price""))"),"")</f>
        <v/>
      </c>
      <c r="D60" s="383" t="str">
        <f>IFERROR(__xludf.DUMMYFUNCTION("IFERROR(googlefinance(A60,""change""),"""")"),"")</f>
        <v/>
      </c>
      <c r="E60" s="384" t="str">
        <f>IFERROR(__xludf.DUMMYFUNCTION("iferror(GOOGLEFINANCE(A60,""changepct"")/100,"""")"),"")</f>
        <v/>
      </c>
      <c r="F60" s="385" t="str">
        <f>IF(ISBLANK(A60), "", IF(COUNTIF(Positions!$A$2:$A$31, A60) &gt; 0, "Yes","No")
)</f>
        <v/>
      </c>
      <c r="G60" s="385" t="str">
        <f>IFERROR(__xludf.DUMMYFUNCTION("IF(ISBLANK(A60),"""", googlefinance(A60, ""low52""))"),"")</f>
        <v/>
      </c>
      <c r="H60" s="386" t="str">
        <f>IFERROR(__xludf.DUMMYFUNCTION("IF(ISBLANK(A60),"""",IFERROR(SPARKLINE((C60-G60)/(I60-G60),{""charttype"",""bar"";""max"",1;""min"",0;""color1"",""2c79b5""}),""n/a""))"),"")</f>
        <v/>
      </c>
      <c r="I60" s="385" t="str">
        <f>IFERROR(__xludf.DUMMYFUNCTION("IF(ISBLANK(A60),"""", googlefinance(A60, ""high52""))"),"")</f>
        <v/>
      </c>
      <c r="J60" s="387" t="s">
        <v>134</v>
      </c>
      <c r="K60" s="388" t="str">
        <f>IFERROR(__xludf.DUMMYFUNCTION("IF(ISBLANK(A60),"""", googlefinance(A60, ""PE""))"),"")</f>
        <v/>
      </c>
      <c r="L60" s="385" t="str">
        <f>IFERROR(__xludf.DUMMYFUNCTION("IF(ISBLANK(A60),"""", googlefinance(A60, ""eps""))"),"")</f>
        <v/>
      </c>
      <c r="M60" s="389" t="str">
        <f>IFERROR(__xludf.DUMMYFUNCTION("IfError(IF(isblank(A60),"""",split(Q60, ""()"")))"),"")</f>
        <v/>
      </c>
      <c r="N60" s="384"/>
      <c r="O60" s="385" t="str">
        <f t="shared" si="5"/>
        <v/>
      </c>
      <c r="P60" s="385" t="str">
        <f t="shared" si="6"/>
        <v/>
      </c>
      <c r="Q60" s="389" t="str">
        <f>IFERROR(__xludf.DUMMYFUNCTION("IfError(IF(isblank(A60),"""", substitute(index(IMPORTHTML(""http://finviz.com/quote.ashx?t=""&amp;A60,""table"", 10),7,2),""*"","""")),0)"),"")</f>
        <v/>
      </c>
    </row>
    <row r="61">
      <c r="A61" s="391" t="str">
        <f>'My Lab'!P22</f>
        <v/>
      </c>
      <c r="B61" s="382" t="str">
        <f>IFERROR(__xludf.DUMMYFUNCTION("IF(ISBLANK(A61),"""", googlefinance(A61, ""name""))"),"")</f>
        <v/>
      </c>
      <c r="C61" s="383" t="str">
        <f>IFERROR(__xludf.DUMMYFUNCTION("IF(ISBLANK(A61),"""", googlefinance(A61, ""price""))"),"")</f>
        <v/>
      </c>
      <c r="D61" s="383" t="str">
        <f>IFERROR(__xludf.DUMMYFUNCTION("IFERROR(googlefinance(A61,""change""),"""")"),"")</f>
        <v/>
      </c>
      <c r="E61" s="384" t="str">
        <f>IFERROR(__xludf.DUMMYFUNCTION("iferror(GOOGLEFINANCE(A61,""changepct"")/100,"""")"),"")</f>
        <v/>
      </c>
      <c r="F61" s="385" t="str">
        <f>IF(ISBLANK(A61), "", IF(COUNTIF(Positions!$A$2:$A$31, A61) &gt; 0, "Yes","No")
)</f>
        <v/>
      </c>
      <c r="G61" s="385" t="str">
        <f>IFERROR(__xludf.DUMMYFUNCTION("IF(ISBLANK(A61),"""", googlefinance(A61, ""low52""))"),"")</f>
        <v/>
      </c>
      <c r="H61" s="386" t="str">
        <f>IFERROR(__xludf.DUMMYFUNCTION("IF(ISBLANK(A61),"""",IFERROR(SPARKLINE((C61-G61)/(I61-G61),{""charttype"",""bar"";""max"",1;""min"",0;""color1"",""2c79b5""}),""n/a""))"),"")</f>
        <v/>
      </c>
      <c r="I61" s="385" t="str">
        <f>IFERROR(__xludf.DUMMYFUNCTION("IF(ISBLANK(A61),"""", googlefinance(A61, ""high52""))"),"")</f>
        <v/>
      </c>
      <c r="J61" s="387" t="s">
        <v>134</v>
      </c>
      <c r="K61" s="388" t="str">
        <f>IFERROR(__xludf.DUMMYFUNCTION("IF(ISBLANK(A61),"""", googlefinance(A61, ""PE""))"),"")</f>
        <v/>
      </c>
      <c r="L61" s="385" t="str">
        <f>IFERROR(__xludf.DUMMYFUNCTION("IF(ISBLANK(A61),"""", googlefinance(A61, ""eps""))"),"")</f>
        <v/>
      </c>
      <c r="M61" s="389" t="str">
        <f>IFERROR(__xludf.DUMMYFUNCTION("IfError(IF(isblank(A61),"""",split(Q61, ""()"")))"),"")</f>
        <v/>
      </c>
      <c r="N61" s="384"/>
      <c r="O61" s="385" t="str">
        <f t="shared" si="5"/>
        <v/>
      </c>
      <c r="P61" s="385" t="str">
        <f t="shared" si="6"/>
        <v/>
      </c>
      <c r="Q61" s="389" t="str">
        <f>IFERROR(__xludf.DUMMYFUNCTION("IfError(IF(isblank(A61),"""", substitute(index(IMPORTHTML(""http://finviz.com/quote.ashx?t=""&amp;A61,""table"", 10),7,2),""*"","""")),0)"),"")</f>
        <v/>
      </c>
    </row>
    <row r="62">
      <c r="A62" s="391" t="str">
        <f>'My Lab'!P23</f>
        <v/>
      </c>
      <c r="B62" s="382" t="str">
        <f>IFERROR(__xludf.DUMMYFUNCTION("IF(ISBLANK(A62),"""", googlefinance(A62, ""name""))"),"")</f>
        <v/>
      </c>
      <c r="C62" s="383" t="str">
        <f>IFERROR(__xludf.DUMMYFUNCTION("IF(ISBLANK(A62),"""", googlefinance(A62, ""price""))"),"")</f>
        <v/>
      </c>
      <c r="D62" s="383" t="str">
        <f>IFERROR(__xludf.DUMMYFUNCTION("IFERROR(googlefinance(A62,""change""),"""")"),"")</f>
        <v/>
      </c>
      <c r="E62" s="384" t="str">
        <f>IFERROR(__xludf.DUMMYFUNCTION("iferror(GOOGLEFINANCE(A62,""changepct"")/100,"""")"),"")</f>
        <v/>
      </c>
      <c r="F62" s="385" t="str">
        <f>IF(ISBLANK(A62), "", IF(COUNTIF(Positions!$A$2:$A$31, A62) &gt; 0, "Yes","No")
)</f>
        <v/>
      </c>
      <c r="G62" s="385" t="str">
        <f>IFERROR(__xludf.DUMMYFUNCTION("IF(ISBLANK(A62),"""", googlefinance(A62, ""low52""))"),"")</f>
        <v/>
      </c>
      <c r="H62" s="386" t="str">
        <f>IFERROR(__xludf.DUMMYFUNCTION("IF(ISBLANK(A62),"""",IFERROR(SPARKLINE((C62-G62)/(I62-G62),{""charttype"",""bar"";""max"",1;""min"",0;""color1"",""2c79b5""}),""n/a""))"),"")</f>
        <v/>
      </c>
      <c r="I62" s="385" t="str">
        <f>IFERROR(__xludf.DUMMYFUNCTION("IF(ISBLANK(A62),"""", googlefinance(A62, ""high52""))"),"")</f>
        <v/>
      </c>
      <c r="J62" s="387" t="s">
        <v>134</v>
      </c>
      <c r="K62" s="388" t="str">
        <f>IFERROR(__xludf.DUMMYFUNCTION("IF(ISBLANK(A62),"""", googlefinance(A62, ""PE""))"),"")</f>
        <v/>
      </c>
      <c r="L62" s="385" t="str">
        <f>IFERROR(__xludf.DUMMYFUNCTION("IF(ISBLANK(A62),"""", googlefinance(A62, ""eps""))"),"")</f>
        <v/>
      </c>
      <c r="M62" s="389" t="str">
        <f>IFERROR(__xludf.DUMMYFUNCTION("IfError(IF(isblank(A62),"""",split(Q62, ""()"")))"),"")</f>
        <v/>
      </c>
      <c r="N62" s="384"/>
      <c r="O62" s="385" t="str">
        <f t="shared" si="5"/>
        <v/>
      </c>
      <c r="P62" s="385" t="str">
        <f t="shared" si="6"/>
        <v/>
      </c>
      <c r="Q62" s="389" t="str">
        <f>IFERROR(__xludf.DUMMYFUNCTION("IfError(IF(isblank(A62),"""", substitute(index(IMPORTHTML(""http://finviz.com/quote.ashx?t=""&amp;A62,""table"", 10),7,2),""*"","""")),0)"),"")</f>
        <v/>
      </c>
    </row>
    <row r="63">
      <c r="A63" s="391" t="str">
        <f>'My Lab'!P24</f>
        <v/>
      </c>
      <c r="B63" s="382" t="str">
        <f>IFERROR(__xludf.DUMMYFUNCTION("IF(ISBLANK(A63),"""", googlefinance(A63, ""name""))"),"")</f>
        <v/>
      </c>
      <c r="C63" s="383" t="str">
        <f>IFERROR(__xludf.DUMMYFUNCTION("IF(ISBLANK(A63),"""", googlefinance(A63, ""price""))"),"")</f>
        <v/>
      </c>
      <c r="D63" s="383" t="str">
        <f>IFERROR(__xludf.DUMMYFUNCTION("IFERROR(googlefinance(A63,""change""),"""")"),"")</f>
        <v/>
      </c>
      <c r="E63" s="384" t="str">
        <f>IFERROR(__xludf.DUMMYFUNCTION("iferror(GOOGLEFINANCE(A63,""changepct"")/100,"""")"),"")</f>
        <v/>
      </c>
      <c r="F63" s="385" t="str">
        <f>IF(ISBLANK(A63), "", IF(COUNTIF(Positions!$A$2:$A$31, A63) &gt; 0, "Yes","No")
)</f>
        <v/>
      </c>
      <c r="G63" s="385" t="str">
        <f>IFERROR(__xludf.DUMMYFUNCTION("IF(ISBLANK(A63),"""", googlefinance(A63, ""low52""))"),"")</f>
        <v/>
      </c>
      <c r="H63" s="386" t="str">
        <f>IFERROR(__xludf.DUMMYFUNCTION("IF(ISBLANK(A63),"""",IFERROR(SPARKLINE((C63-G63)/(I63-G63),{""charttype"",""bar"";""max"",1;""min"",0;""color1"",""2c79b5""}),""n/a""))"),"")</f>
        <v/>
      </c>
      <c r="I63" s="385" t="str">
        <f>IFERROR(__xludf.DUMMYFUNCTION("IF(ISBLANK(A63),"""", googlefinance(A63, ""high52""))"),"")</f>
        <v/>
      </c>
      <c r="J63" s="387" t="s">
        <v>134</v>
      </c>
      <c r="K63" s="388" t="str">
        <f>IFERROR(__xludf.DUMMYFUNCTION("IF(ISBLANK(A63),"""", googlefinance(A63, ""PE""))"),"")</f>
        <v/>
      </c>
      <c r="L63" s="385" t="str">
        <f>IFERROR(__xludf.DUMMYFUNCTION("IF(ISBLANK(A63),"""", googlefinance(A63, ""eps""))"),"")</f>
        <v/>
      </c>
      <c r="M63" s="389" t="str">
        <f>IFERROR(__xludf.DUMMYFUNCTION("IfError(IF(isblank(A63),"""",split(Q63, ""()"")))"),"")</f>
        <v/>
      </c>
      <c r="N63" s="384"/>
      <c r="O63" s="385" t="str">
        <f t="shared" si="5"/>
        <v/>
      </c>
      <c r="P63" s="385" t="str">
        <f t="shared" si="6"/>
        <v/>
      </c>
      <c r="Q63" s="389" t="str">
        <f>IFERROR(__xludf.DUMMYFUNCTION("IfError(IF(isblank(A63),"""", substitute(index(IMPORTHTML(""http://finviz.com/quote.ashx?t=""&amp;A63,""table"", 10),7,2),""*"","""")),0)"),"")</f>
        <v/>
      </c>
    </row>
    <row r="64">
      <c r="A64" s="391" t="str">
        <f>'My Lab'!P25</f>
        <v/>
      </c>
      <c r="B64" s="382" t="str">
        <f>IFERROR(__xludf.DUMMYFUNCTION("IF(ISBLANK(A64),"""", googlefinance(A64, ""name""))"),"")</f>
        <v/>
      </c>
      <c r="C64" s="383" t="str">
        <f>IFERROR(__xludf.DUMMYFUNCTION("IF(ISBLANK(A64),"""", googlefinance(A64, ""price""))"),"")</f>
        <v/>
      </c>
      <c r="D64" s="383" t="str">
        <f>IFERROR(__xludf.DUMMYFUNCTION("IFERROR(googlefinance(A64,""change""),"""")"),"")</f>
        <v/>
      </c>
      <c r="E64" s="384" t="str">
        <f>IFERROR(__xludf.DUMMYFUNCTION("iferror(GOOGLEFINANCE(A64,""changepct"")/100,"""")"),"")</f>
        <v/>
      </c>
      <c r="F64" s="385" t="str">
        <f>IF(ISBLANK(A64), "", IF(COUNTIF(Positions!$A$2:$A$31, A64) &gt; 0, "Yes","No")
)</f>
        <v/>
      </c>
      <c r="G64" s="385" t="str">
        <f>IFERROR(__xludf.DUMMYFUNCTION("IF(ISBLANK(A64),"""", googlefinance(A64, ""low52""))"),"")</f>
        <v/>
      </c>
      <c r="H64" s="386" t="str">
        <f>IFERROR(__xludf.DUMMYFUNCTION("IF(ISBLANK(A64),"""",IFERROR(SPARKLINE((C64-G64)/(I64-G64),{""charttype"",""bar"";""max"",1;""min"",0;""color1"",""2c79b5""}),""n/a""))"),"")</f>
        <v/>
      </c>
      <c r="I64" s="385" t="str">
        <f>IFERROR(__xludf.DUMMYFUNCTION("IF(ISBLANK(A64),"""", googlefinance(A64, ""high52""))"),"")</f>
        <v/>
      </c>
      <c r="J64" s="387" t="s">
        <v>134</v>
      </c>
      <c r="K64" s="388" t="str">
        <f>IFERROR(__xludf.DUMMYFUNCTION("IF(ISBLANK(A64),"""", googlefinance(A64, ""PE""))"),"")</f>
        <v/>
      </c>
      <c r="L64" s="385" t="str">
        <f>IFERROR(__xludf.DUMMYFUNCTION("IF(ISBLANK(A64),"""", googlefinance(A64, ""eps""))"),"")</f>
        <v/>
      </c>
      <c r="M64" s="389" t="str">
        <f>IFERROR(__xludf.DUMMYFUNCTION("IfError(IF(isblank(A64),"""",split(Q64, ""()"")))"),"")</f>
        <v/>
      </c>
      <c r="N64" s="384"/>
      <c r="O64" s="385" t="str">
        <f t="shared" si="5"/>
        <v/>
      </c>
      <c r="P64" s="385" t="str">
        <f t="shared" si="6"/>
        <v/>
      </c>
      <c r="Q64" s="389" t="str">
        <f>IFERROR(__xludf.DUMMYFUNCTION("IfError(IF(isblank(A64),"""", substitute(index(IMPORTHTML(""http://finviz.com/quote.ashx?t=""&amp;A64,""table"", 10),7,2),""*"","""")),0)"),"")</f>
        <v/>
      </c>
    </row>
    <row r="65">
      <c r="A65" s="391" t="str">
        <f>'My Lab'!P26</f>
        <v/>
      </c>
      <c r="B65" s="382" t="str">
        <f>IFERROR(__xludf.DUMMYFUNCTION("IF(ISBLANK(A65),"""", googlefinance(A65, ""name""))"),"")</f>
        <v/>
      </c>
      <c r="C65" s="383" t="str">
        <f>IFERROR(__xludf.DUMMYFUNCTION("IF(ISBLANK(A65),"""", googlefinance(A65, ""price""))"),"")</f>
        <v/>
      </c>
      <c r="D65" s="383" t="str">
        <f>IFERROR(__xludf.DUMMYFUNCTION("IFERROR(googlefinance(A65,""change""),"""")"),"")</f>
        <v/>
      </c>
      <c r="E65" s="384" t="str">
        <f>IFERROR(__xludf.DUMMYFUNCTION("iferror(GOOGLEFINANCE(A65,""changepct"")/100,"""")"),"")</f>
        <v/>
      </c>
      <c r="F65" s="385" t="str">
        <f>IF(ISBLANK(A65), "", IF(COUNTIF(Positions!$A$2:$A$31, A65) &gt; 0, "Yes","No")
)</f>
        <v/>
      </c>
      <c r="G65" s="385" t="str">
        <f>IFERROR(__xludf.DUMMYFUNCTION("IF(ISBLANK(A65),"""", googlefinance(A65, ""low52""))"),"")</f>
        <v/>
      </c>
      <c r="H65" s="386" t="str">
        <f>IFERROR(__xludf.DUMMYFUNCTION("IF(ISBLANK(A65),"""",IFERROR(SPARKLINE((C65-G65)/(I65-G65),{""charttype"",""bar"";""max"",1;""min"",0;""color1"",""2c79b5""}),""n/a""))"),"")</f>
        <v/>
      </c>
      <c r="I65" s="385" t="str">
        <f>IFERROR(__xludf.DUMMYFUNCTION("IF(ISBLANK(A65),"""", googlefinance(A65, ""high52""))"),"")</f>
        <v/>
      </c>
      <c r="J65" s="387" t="s">
        <v>134</v>
      </c>
      <c r="K65" s="388" t="str">
        <f>IFERROR(__xludf.DUMMYFUNCTION("IF(ISBLANK(A65),"""", googlefinance(A65, ""PE""))"),"")</f>
        <v/>
      </c>
      <c r="L65" s="385" t="str">
        <f>IFERROR(__xludf.DUMMYFUNCTION("IF(ISBLANK(A65),"""", googlefinance(A65, ""eps""))"),"")</f>
        <v/>
      </c>
      <c r="M65" s="389" t="str">
        <f>IFERROR(__xludf.DUMMYFUNCTION("IfError(IF(isblank(A65),"""",split(Q65, ""()"")))"),"")</f>
        <v/>
      </c>
      <c r="N65" s="384"/>
      <c r="O65" s="385" t="str">
        <f t="shared" si="5"/>
        <v/>
      </c>
      <c r="P65" s="385" t="str">
        <f t="shared" si="6"/>
        <v/>
      </c>
      <c r="Q65" s="389" t="str">
        <f>IFERROR(__xludf.DUMMYFUNCTION("IfError(IF(isblank(A65),"""", substitute(index(IMPORTHTML(""http://finviz.com/quote.ashx?t=""&amp;A65,""table"", 10),7,2),""*"","""")),0)"),"")</f>
        <v/>
      </c>
    </row>
    <row r="66">
      <c r="A66" s="391" t="str">
        <f>'My Lab'!P27</f>
        <v/>
      </c>
      <c r="B66" s="382" t="str">
        <f>IFERROR(__xludf.DUMMYFUNCTION("IF(ISBLANK(A66),"""", googlefinance(A66, ""name""))"),"")</f>
        <v/>
      </c>
      <c r="C66" s="383" t="str">
        <f>IFERROR(__xludf.DUMMYFUNCTION("IF(ISBLANK(A66),"""", googlefinance(A66, ""price""))"),"")</f>
        <v/>
      </c>
      <c r="D66" s="383" t="str">
        <f>IFERROR(__xludf.DUMMYFUNCTION("IFERROR(googlefinance(A66,""change""),"""")"),"")</f>
        <v/>
      </c>
      <c r="E66" s="384" t="str">
        <f>IFERROR(__xludf.DUMMYFUNCTION("iferror(GOOGLEFINANCE(A66,""changepct"")/100,"""")"),"")</f>
        <v/>
      </c>
      <c r="F66" s="385" t="str">
        <f>IF(ISBLANK(A66), "", IF(COUNTIF(Positions!$A$2:$A$31, A66) &gt; 0, "Yes","No")
)</f>
        <v/>
      </c>
      <c r="G66" s="385" t="str">
        <f>IFERROR(__xludf.DUMMYFUNCTION("IF(ISBLANK(A66),"""", googlefinance(A66, ""low52""))"),"")</f>
        <v/>
      </c>
      <c r="H66" s="386" t="str">
        <f>IFERROR(__xludf.DUMMYFUNCTION("IF(ISBLANK(A66),"""",IFERROR(SPARKLINE((C66-G66)/(I66-G66),{""charttype"",""bar"";""max"",1;""min"",0;""color1"",""2c79b5""}),""n/a""))"),"")</f>
        <v/>
      </c>
      <c r="I66" s="385" t="str">
        <f>IFERROR(__xludf.DUMMYFUNCTION("IF(ISBLANK(A66),"""", googlefinance(A66, ""high52""))"),"")</f>
        <v/>
      </c>
      <c r="J66" s="387" t="s">
        <v>134</v>
      </c>
      <c r="K66" s="388" t="str">
        <f>IFERROR(__xludf.DUMMYFUNCTION("IF(ISBLANK(A66),"""", googlefinance(A66, ""PE""))"),"")</f>
        <v/>
      </c>
      <c r="L66" s="385" t="str">
        <f>IFERROR(__xludf.DUMMYFUNCTION("IF(ISBLANK(A66),"""", googlefinance(A66, ""eps""))"),"")</f>
        <v/>
      </c>
      <c r="M66" s="389" t="str">
        <f>IFERROR(__xludf.DUMMYFUNCTION("IfError(IF(isblank(A66),"""",split(Q66, ""()"")))"),"")</f>
        <v/>
      </c>
      <c r="N66" s="384"/>
      <c r="O66" s="385" t="str">
        <f t="shared" si="5"/>
        <v/>
      </c>
      <c r="P66" s="385" t="str">
        <f t="shared" si="6"/>
        <v/>
      </c>
      <c r="Q66" s="389" t="str">
        <f>IFERROR(__xludf.DUMMYFUNCTION("IfError(IF(isblank(A66),"""", substitute(index(IMPORTHTML(""http://finviz.com/quote.ashx?t=""&amp;A66,""table"", 10),7,2),""*"","""")),0)"),"")</f>
        <v/>
      </c>
    </row>
    <row r="67">
      <c r="A67" s="391" t="str">
        <f>'My Lab'!P28</f>
        <v/>
      </c>
      <c r="B67" s="382" t="str">
        <f>IFERROR(__xludf.DUMMYFUNCTION("IF(ISBLANK(A67),"""", googlefinance(A67, ""name""))"),"")</f>
        <v/>
      </c>
      <c r="C67" s="383" t="str">
        <f>IFERROR(__xludf.DUMMYFUNCTION("IF(ISBLANK(A67),"""", googlefinance(A67, ""price""))"),"")</f>
        <v/>
      </c>
      <c r="D67" s="383" t="str">
        <f>IFERROR(__xludf.DUMMYFUNCTION("IFERROR(googlefinance(A67,""change""),"""")"),"")</f>
        <v/>
      </c>
      <c r="E67" s="384" t="str">
        <f>IFERROR(__xludf.DUMMYFUNCTION("iferror(GOOGLEFINANCE(A67,""changepct"")/100,"""")"),"")</f>
        <v/>
      </c>
      <c r="F67" s="385" t="str">
        <f>IF(ISBLANK(A67), "", IF(COUNTIF(Positions!$A$2:$A$31, A67) &gt; 0, "Yes","No")
)</f>
        <v/>
      </c>
      <c r="G67" s="385" t="str">
        <f>IFERROR(__xludf.DUMMYFUNCTION("IF(ISBLANK(A67),"""", googlefinance(A67, ""low52""))"),"")</f>
        <v/>
      </c>
      <c r="H67" s="386" t="str">
        <f>IFERROR(__xludf.DUMMYFUNCTION("IF(ISBLANK(A67),"""",IFERROR(SPARKLINE((C67-G67)/(I67-G67),{""charttype"",""bar"";""max"",1;""min"",0;""color1"",""2c79b5""}),""n/a""))"),"")</f>
        <v/>
      </c>
      <c r="I67" s="385" t="str">
        <f>IFERROR(__xludf.DUMMYFUNCTION("IF(ISBLANK(A67),"""", googlefinance(A67, ""high52""))"),"")</f>
        <v/>
      </c>
      <c r="J67" s="387" t="s">
        <v>134</v>
      </c>
      <c r="K67" s="388" t="str">
        <f>IFERROR(__xludf.DUMMYFUNCTION("IF(ISBLANK(A67),"""", googlefinance(A67, ""PE""))"),"")</f>
        <v/>
      </c>
      <c r="L67" s="385" t="str">
        <f>IFERROR(__xludf.DUMMYFUNCTION("IF(ISBLANK(A67),"""", googlefinance(A67, ""eps""))"),"")</f>
        <v/>
      </c>
      <c r="M67" s="389" t="str">
        <f>IFERROR(__xludf.DUMMYFUNCTION("IfError(IF(isblank(A67),"""",split(Q67, ""()"")))"),"")</f>
        <v/>
      </c>
      <c r="N67" s="384"/>
      <c r="O67" s="385" t="str">
        <f t="shared" si="5"/>
        <v/>
      </c>
      <c r="P67" s="385" t="str">
        <f t="shared" si="6"/>
        <v/>
      </c>
      <c r="Q67" s="389" t="str">
        <f>IFERROR(__xludf.DUMMYFUNCTION("IfError(IF(isblank(A67),"""", substitute(index(IMPORTHTML(""http://finviz.com/quote.ashx?t=""&amp;A67,""table"", 10),7,2),""*"","""")),0)"),"")</f>
        <v/>
      </c>
    </row>
    <row r="68">
      <c r="A68" s="391" t="str">
        <f>'My Lab'!P29</f>
        <v/>
      </c>
      <c r="B68" s="382" t="str">
        <f>IFERROR(__xludf.DUMMYFUNCTION("IF(ISBLANK(A68),"""", googlefinance(A68, ""name""))"),"")</f>
        <v/>
      </c>
      <c r="C68" s="383" t="str">
        <f>IFERROR(__xludf.DUMMYFUNCTION("IF(ISBLANK(A68),"""", googlefinance(A68, ""price""))"),"")</f>
        <v/>
      </c>
      <c r="D68" s="383" t="str">
        <f>IFERROR(__xludf.DUMMYFUNCTION("IFERROR(googlefinance(A68,""change""),"""")"),"")</f>
        <v/>
      </c>
      <c r="E68" s="384" t="str">
        <f>IFERROR(__xludf.DUMMYFUNCTION("iferror(GOOGLEFINANCE(A68,""changepct"")/100,"""")"),"")</f>
        <v/>
      </c>
      <c r="F68" s="385" t="str">
        <f>IF(ISBLANK(A68), "", IF(COUNTIF(Positions!$A$2:$A$31, A68) &gt; 0, "Yes","No")
)</f>
        <v/>
      </c>
      <c r="G68" s="385" t="str">
        <f>IFERROR(__xludf.DUMMYFUNCTION("IF(ISBLANK(A68),"""", googlefinance(A68, ""low52""))"),"")</f>
        <v/>
      </c>
      <c r="H68" s="386" t="str">
        <f>IFERROR(__xludf.DUMMYFUNCTION("IF(ISBLANK(A68),"""",IFERROR(SPARKLINE((C68-G68)/(I68-G68),{""charttype"",""bar"";""max"",1;""min"",0;""color1"",""2c79b5""}),""n/a""))"),"")</f>
        <v/>
      </c>
      <c r="I68" s="385" t="str">
        <f>IFERROR(__xludf.DUMMYFUNCTION("IF(ISBLANK(A68),"""", googlefinance(A68, ""high52""))"),"")</f>
        <v/>
      </c>
      <c r="J68" s="387" t="s">
        <v>134</v>
      </c>
      <c r="K68" s="388" t="str">
        <f>IFERROR(__xludf.DUMMYFUNCTION("IF(ISBLANK(A68),"""", googlefinance(A68, ""PE""))"),"")</f>
        <v/>
      </c>
      <c r="L68" s="385" t="str">
        <f>IFERROR(__xludf.DUMMYFUNCTION("IF(ISBLANK(A68),"""", googlefinance(A68, ""eps""))"),"")</f>
        <v/>
      </c>
      <c r="M68" s="389" t="str">
        <f>IFERROR(__xludf.DUMMYFUNCTION("IfError(IF(isblank(A68),"""",split(Q68, ""()"")))"),"")</f>
        <v/>
      </c>
      <c r="N68" s="384"/>
      <c r="O68" s="385" t="str">
        <f t="shared" si="5"/>
        <v/>
      </c>
      <c r="P68" s="385" t="str">
        <f t="shared" si="6"/>
        <v/>
      </c>
      <c r="Q68" s="389" t="str">
        <f>IFERROR(__xludf.DUMMYFUNCTION("IfError(IF(isblank(A68),"""", substitute(index(IMPORTHTML(""http://finviz.com/quote.ashx?t=""&amp;A68,""table"", 10),7,2),""*"","""")),0)"),"")</f>
        <v/>
      </c>
    </row>
    <row r="69">
      <c r="A69" s="391" t="str">
        <f>'My Lab'!P30</f>
        <v/>
      </c>
      <c r="B69" s="382" t="str">
        <f>IFERROR(__xludf.DUMMYFUNCTION("IF(ISBLANK(A69),"""", googlefinance(A69, ""name""))"),"")</f>
        <v/>
      </c>
      <c r="C69" s="383" t="str">
        <f>IFERROR(__xludf.DUMMYFUNCTION("IF(ISBLANK(A69),"""", googlefinance(A69, ""price""))"),"")</f>
        <v/>
      </c>
      <c r="D69" s="383" t="str">
        <f>IFERROR(__xludf.DUMMYFUNCTION("IFERROR(googlefinance(A69,""change""),"""")"),"")</f>
        <v/>
      </c>
      <c r="E69" s="384" t="str">
        <f>IFERROR(__xludf.DUMMYFUNCTION("iferror(GOOGLEFINANCE(A69,""changepct"")/100,"""")"),"")</f>
        <v/>
      </c>
      <c r="F69" s="385" t="str">
        <f>IF(ISBLANK(A69), "", IF(COUNTIF(Positions!$A$2:$A$31, A69) &gt; 0, "Yes","No")
)</f>
        <v/>
      </c>
      <c r="G69" s="385" t="str">
        <f>IFERROR(__xludf.DUMMYFUNCTION("IF(ISBLANK(A69),"""", googlefinance(A69, ""low52""))"),"")</f>
        <v/>
      </c>
      <c r="H69" s="386" t="str">
        <f>IFERROR(__xludf.DUMMYFUNCTION("IF(ISBLANK(A69),"""",IFERROR(SPARKLINE((C69-G69)/(I69-G69),{""charttype"",""bar"";""max"",1;""min"",0;""color1"",""2c79b5""}),""n/a""))"),"")</f>
        <v/>
      </c>
      <c r="I69" s="385" t="str">
        <f>IFERROR(__xludf.DUMMYFUNCTION("IF(ISBLANK(A69),"""", googlefinance(A69, ""high52""))"),"")</f>
        <v/>
      </c>
      <c r="J69" s="387" t="s">
        <v>134</v>
      </c>
      <c r="K69" s="388" t="str">
        <f>IFERROR(__xludf.DUMMYFUNCTION("IF(ISBLANK(A69),"""", googlefinance(A69, ""PE""))"),"")</f>
        <v/>
      </c>
      <c r="L69" s="385" t="str">
        <f>IFERROR(__xludf.DUMMYFUNCTION("IF(ISBLANK(A69),"""", googlefinance(A69, ""eps""))"),"")</f>
        <v/>
      </c>
      <c r="M69" s="389" t="str">
        <f>IFERROR(__xludf.DUMMYFUNCTION("IfError(IF(isblank(A69),"""",split(Q69, ""()"")))"),"")</f>
        <v/>
      </c>
      <c r="N69" s="384"/>
      <c r="O69" s="385" t="str">
        <f t="shared" si="5"/>
        <v/>
      </c>
      <c r="P69" s="385" t="str">
        <f t="shared" si="6"/>
        <v/>
      </c>
      <c r="Q69" s="389" t="str">
        <f>IFERROR(__xludf.DUMMYFUNCTION("IfError(IF(isblank(A69),"""", substitute(index(IMPORTHTML(""http://finviz.com/quote.ashx?t=""&amp;A69,""table"", 10),7,2),""*"","""")),0)"),"")</f>
        <v/>
      </c>
    </row>
    <row r="70" ht="15.0" customHeight="1">
      <c r="A70" s="391" t="str">
        <f>'My Lab'!P31</f>
        <v/>
      </c>
      <c r="B70" s="382" t="str">
        <f>IFERROR(__xludf.DUMMYFUNCTION("IF(ISBLANK(A70),"""", googlefinance(A70, ""name""))"),"")</f>
        <v/>
      </c>
      <c r="C70" s="383" t="str">
        <f>IFERROR(__xludf.DUMMYFUNCTION("IF(ISBLANK(A70),"""", googlefinance(A70, ""price""))"),"")</f>
        <v/>
      </c>
      <c r="D70" s="383" t="str">
        <f>IFERROR(__xludf.DUMMYFUNCTION("IFERROR(googlefinance(A70,""change""),"""")"),"")</f>
        <v/>
      </c>
      <c r="E70" s="384" t="str">
        <f>IFERROR(__xludf.DUMMYFUNCTION("iferror(GOOGLEFINANCE(A70,""changepct"")/100,"""")"),"")</f>
        <v/>
      </c>
      <c r="F70" s="385" t="str">
        <f>IF(ISBLANK(A70), "", IF(COUNTIF(Positions!$A$2:$A$31, A70) &gt; 0, "Yes","No")
)</f>
        <v/>
      </c>
      <c r="G70" s="385" t="str">
        <f>IFERROR(__xludf.DUMMYFUNCTION("IF(ISBLANK(A70),"""", googlefinance(A70, ""low52""))"),"")</f>
        <v/>
      </c>
      <c r="H70" s="386" t="str">
        <f>IFERROR(__xludf.DUMMYFUNCTION("IF(ISBLANK(A70),"""",IFERROR(SPARKLINE((C70-G70)/(I70-G70),{""charttype"",""bar"";""max"",1;""min"",0;""color1"",""2c79b5""}),""n/a""))"),"")</f>
        <v/>
      </c>
      <c r="I70" s="385" t="str">
        <f>IFERROR(__xludf.DUMMYFUNCTION("IF(ISBLANK(A70),"""", googlefinance(A70, ""high52""))"),"")</f>
        <v/>
      </c>
      <c r="J70" s="387" t="s">
        <v>134</v>
      </c>
      <c r="K70" s="388" t="str">
        <f>IFERROR(__xludf.DUMMYFUNCTION("IF(ISBLANK(A70),"""", googlefinance(A70, ""PE""))"),"")</f>
        <v/>
      </c>
      <c r="L70" s="385" t="str">
        <f>IFERROR(__xludf.DUMMYFUNCTION("IF(ISBLANK(A70),"""", googlefinance(A70, ""eps""))"),"")</f>
        <v/>
      </c>
      <c r="M70" s="389" t="str">
        <f>IFERROR(__xludf.DUMMYFUNCTION("IfError(IF(isblank(A70),"""",split(Q70, ""()"")))"),"")</f>
        <v/>
      </c>
      <c r="N70" s="384"/>
      <c r="O70" s="385" t="str">
        <f t="shared" si="5"/>
        <v/>
      </c>
      <c r="P70" s="385" t="str">
        <f t="shared" si="6"/>
        <v/>
      </c>
      <c r="Q70" s="389" t="str">
        <f>IFERROR(__xludf.DUMMYFUNCTION("IfError(IF(isblank(A70),"""", substitute(index(IMPORTHTML(""http://finviz.com/quote.ashx?t=""&amp;A70,""table"", 10),7,2),""*"","""")),0)"),"")</f>
        <v/>
      </c>
    </row>
    <row r="71" ht="15.0" customHeight="1">
      <c r="A71" s="391" t="str">
        <f>'My Lab'!P32</f>
        <v/>
      </c>
      <c r="B71" s="382" t="str">
        <f>IFERROR(__xludf.DUMMYFUNCTION("IF(ISBLANK(A71),"""", googlefinance(A71, ""name""))"),"")</f>
        <v/>
      </c>
      <c r="C71" s="383" t="str">
        <f>IFERROR(__xludf.DUMMYFUNCTION("IF(ISBLANK(A71),"""", googlefinance(A71, ""price""))"),"")</f>
        <v/>
      </c>
      <c r="D71" s="383" t="str">
        <f>IFERROR(__xludf.DUMMYFUNCTION("IFERROR(googlefinance(A71,""change""),"""")"),"")</f>
        <v/>
      </c>
      <c r="E71" s="384" t="str">
        <f>IFERROR(__xludf.DUMMYFUNCTION("iferror(GOOGLEFINANCE(A71,""changepct"")/100,"""")"),"")</f>
        <v/>
      </c>
      <c r="F71" s="385" t="str">
        <f>IF(ISBLANK(A71), "", IF(COUNTIF(Positions!$A$2:$A$31, A71) &gt; 0, "Yes","No")
)</f>
        <v/>
      </c>
      <c r="G71" s="385" t="str">
        <f>IFERROR(__xludf.DUMMYFUNCTION("IF(ISBLANK(A71),"""", googlefinance(A71, ""low52""))"),"")</f>
        <v/>
      </c>
      <c r="H71" s="386" t="str">
        <f>IFERROR(__xludf.DUMMYFUNCTION("IF(ISBLANK(A71),"""",IFERROR(SPARKLINE((C71-G71)/(I71-G71),{""charttype"",""bar"";""max"",1;""min"",0;""color1"",""2c79b5""}),""n/a""))"),"")</f>
        <v/>
      </c>
      <c r="I71" s="385" t="str">
        <f>IFERROR(__xludf.DUMMYFUNCTION("IF(ISBLANK(A71),"""", googlefinance(A71, ""high52""))"),"")</f>
        <v/>
      </c>
      <c r="J71" s="387" t="s">
        <v>134</v>
      </c>
      <c r="K71" s="388" t="str">
        <f>IFERROR(__xludf.DUMMYFUNCTION("IF(ISBLANK(A71),"""", googlefinance(A71, ""PE""))"),"")</f>
        <v/>
      </c>
      <c r="L71" s="385" t="str">
        <f>IFERROR(__xludf.DUMMYFUNCTION("IF(ISBLANK(A71),"""", googlefinance(A71, ""eps""))"),"")</f>
        <v/>
      </c>
      <c r="M71" s="389" t="str">
        <f>IFERROR(__xludf.DUMMYFUNCTION("IfError(IF(isblank(A71),"""",split(Q71, ""()"")))"),"")</f>
        <v/>
      </c>
      <c r="N71" s="384"/>
      <c r="O71" s="385" t="str">
        <f t="shared" si="5"/>
        <v/>
      </c>
      <c r="P71" s="385" t="str">
        <f t="shared" si="6"/>
        <v/>
      </c>
      <c r="Q71" s="389" t="str">
        <f>IFERROR(__xludf.DUMMYFUNCTION("IfError(IF(isblank(A71),"""", substitute(index(IMPORTHTML(""http://finviz.com/quote.ashx?t=""&amp;A71,""table"", 10),7,2),""*"","""")),0)"),"")</f>
        <v/>
      </c>
    </row>
    <row r="72" ht="15.0" customHeight="1">
      <c r="A72" s="391" t="str">
        <f>'My Lab'!P33</f>
        <v/>
      </c>
      <c r="B72" s="382" t="str">
        <f>IFERROR(__xludf.DUMMYFUNCTION("IF(ISBLANK(A72),"""", googlefinance(A72, ""name""))"),"")</f>
        <v/>
      </c>
      <c r="C72" s="383" t="str">
        <f>IFERROR(__xludf.DUMMYFUNCTION("IF(ISBLANK(A72),"""", googlefinance(A72, ""price""))"),"")</f>
        <v/>
      </c>
      <c r="D72" s="383" t="str">
        <f>IFERROR(__xludf.DUMMYFUNCTION("IFERROR(googlefinance(A72,""change""),"""")"),"")</f>
        <v/>
      </c>
      <c r="E72" s="384" t="str">
        <f>IFERROR(__xludf.DUMMYFUNCTION("iferror(GOOGLEFINANCE(A72,""changepct"")/100,"""")"),"")</f>
        <v/>
      </c>
      <c r="F72" s="385" t="str">
        <f>IF(ISBLANK(A72), "", IF(COUNTIF(Positions!$A$2:$A$31, A72) &gt; 0, "Yes","No")
)</f>
        <v/>
      </c>
      <c r="G72" s="385" t="str">
        <f>IFERROR(__xludf.DUMMYFUNCTION("IF(ISBLANK(A72),"""", googlefinance(A72, ""low52""))"),"")</f>
        <v/>
      </c>
      <c r="H72" s="386" t="str">
        <f>IFERROR(__xludf.DUMMYFUNCTION("IF(ISBLANK(A72),"""",IFERROR(SPARKLINE((C72-G72)/(I72-G72),{""charttype"",""bar"";""max"",1;""min"",0;""color1"",""2c79b5""}),""n/a""))"),"")</f>
        <v/>
      </c>
      <c r="I72" s="385" t="str">
        <f>IFERROR(__xludf.DUMMYFUNCTION("IF(ISBLANK(A72),"""", googlefinance(A72, ""high52""))"),"")</f>
        <v/>
      </c>
      <c r="J72" s="387" t="s">
        <v>134</v>
      </c>
      <c r="K72" s="388" t="str">
        <f>IFERROR(__xludf.DUMMYFUNCTION("IF(ISBLANK(A72),"""", googlefinance(A72, ""PE""))"),"")</f>
        <v/>
      </c>
      <c r="L72" s="385" t="str">
        <f>IFERROR(__xludf.DUMMYFUNCTION("IF(ISBLANK(A72),"""", googlefinance(A72, ""eps""))"),"")</f>
        <v/>
      </c>
      <c r="M72" s="389" t="str">
        <f>IFERROR(__xludf.DUMMYFUNCTION("IfError(IF(isblank(A72),"""",split(Q72, ""()"")))"),"")</f>
        <v/>
      </c>
      <c r="N72" s="384"/>
      <c r="O72" s="385" t="str">
        <f t="shared" si="5"/>
        <v/>
      </c>
      <c r="P72" s="385" t="str">
        <f t="shared" si="6"/>
        <v/>
      </c>
      <c r="Q72" s="389" t="str">
        <f>IFERROR(__xludf.DUMMYFUNCTION("IfError(IF(isblank(A72),"""", substitute(index(IMPORTHTML(""http://finviz.com/quote.ashx?t=""&amp;A72,""table"", 10),7,2),""*"","""")),0)"),"")</f>
        <v/>
      </c>
    </row>
    <row r="73" ht="15.0" customHeight="1">
      <c r="A73" s="391" t="str">
        <f>'My Lab'!P34</f>
        <v/>
      </c>
      <c r="B73" s="382" t="str">
        <f>IFERROR(__xludf.DUMMYFUNCTION("IF(ISBLANK(A73),"""", googlefinance(A73, ""name""))"),"")</f>
        <v/>
      </c>
      <c r="C73" s="383" t="str">
        <f>IFERROR(__xludf.DUMMYFUNCTION("IF(ISBLANK(A73),"""", googlefinance(A73, ""price""))"),"")</f>
        <v/>
      </c>
      <c r="D73" s="383" t="str">
        <f>IFERROR(__xludf.DUMMYFUNCTION("IFERROR(googlefinance(A73,""change""),"""")"),"")</f>
        <v/>
      </c>
      <c r="E73" s="384" t="str">
        <f>IFERROR(__xludf.DUMMYFUNCTION("iferror(GOOGLEFINANCE(A73,""changepct"")/100,"""")"),"")</f>
        <v/>
      </c>
      <c r="F73" s="385" t="str">
        <f>IF(ISBLANK(A73), "", IF(COUNTIF(Positions!$A$2:$A$31, A73) &gt; 0, "Yes","No")
)</f>
        <v/>
      </c>
      <c r="G73" s="385" t="str">
        <f>IFERROR(__xludf.DUMMYFUNCTION("IF(ISBLANK(A73),"""", googlefinance(A73, ""low52""))"),"")</f>
        <v/>
      </c>
      <c r="H73" s="386" t="str">
        <f>IFERROR(__xludf.DUMMYFUNCTION("IF(ISBLANK(A73),"""",IFERROR(SPARKLINE((C73-G73)/(I73-G73),{""charttype"",""bar"";""max"",1;""min"",0;""color1"",""2c79b5""}),""n/a""))"),"")</f>
        <v/>
      </c>
      <c r="I73" s="385" t="str">
        <f>IFERROR(__xludf.DUMMYFUNCTION("IF(ISBLANK(A73),"""", googlefinance(A73, ""high52""))"),"")</f>
        <v/>
      </c>
      <c r="J73" s="387" t="s">
        <v>134</v>
      </c>
      <c r="K73" s="388" t="str">
        <f>IFERROR(__xludf.DUMMYFUNCTION("IF(ISBLANK(A73),"""", googlefinance(A73, ""PE""))"),"")</f>
        <v/>
      </c>
      <c r="L73" s="385" t="str">
        <f>IFERROR(__xludf.DUMMYFUNCTION("IF(ISBLANK(A73),"""", googlefinance(A73, ""eps""))"),"")</f>
        <v/>
      </c>
      <c r="M73" s="389" t="str">
        <f>IFERROR(__xludf.DUMMYFUNCTION("IfError(IF(isblank(A73),"""",split(Q73, ""()"")))"),"")</f>
        <v/>
      </c>
      <c r="N73" s="384"/>
      <c r="O73" s="385" t="str">
        <f t="shared" si="5"/>
        <v/>
      </c>
      <c r="P73" s="385" t="str">
        <f t="shared" si="6"/>
        <v/>
      </c>
      <c r="Q73" s="389" t="str">
        <f>IFERROR(__xludf.DUMMYFUNCTION("IfError(IF(isblank(A73),"""", substitute(index(IMPORTHTML(""http://finviz.com/quote.ashx?t=""&amp;A73,""table"", 10),7,2),""*"","""")),0)"),"")</f>
        <v/>
      </c>
    </row>
    <row r="74" ht="15.0" customHeight="1">
      <c r="A74" s="391" t="str">
        <f>'My Lab'!P35</f>
        <v/>
      </c>
      <c r="B74" s="382" t="str">
        <f>IFERROR(__xludf.DUMMYFUNCTION("IF(ISBLANK(A74),"""", googlefinance(A74, ""name""))"),"")</f>
        <v/>
      </c>
      <c r="C74" s="383" t="str">
        <f>IFERROR(__xludf.DUMMYFUNCTION("IF(ISBLANK(A74),"""", googlefinance(A74, ""price""))"),"")</f>
        <v/>
      </c>
      <c r="D74" s="383" t="str">
        <f>IFERROR(__xludf.DUMMYFUNCTION("IFERROR(googlefinance(A74,""change""),"""")"),"")</f>
        <v/>
      </c>
      <c r="E74" s="384" t="str">
        <f>IFERROR(__xludf.DUMMYFUNCTION("iferror(GOOGLEFINANCE(A74,""changepct"")/100,"""")"),"")</f>
        <v/>
      </c>
      <c r="F74" s="385" t="str">
        <f>IF(ISBLANK(A74), "", IF(COUNTIF(Positions!$A$2:$A$31, A74) &gt; 0, "Yes","No")
)</f>
        <v/>
      </c>
      <c r="G74" s="385" t="str">
        <f>IFERROR(__xludf.DUMMYFUNCTION("IF(ISBLANK(A74),"""", googlefinance(A74, ""low52""))"),"")</f>
        <v/>
      </c>
      <c r="H74" s="386" t="str">
        <f>IFERROR(__xludf.DUMMYFUNCTION("IF(ISBLANK(A74),"""",IFERROR(SPARKLINE((C74-G74)/(I74-G74),{""charttype"",""bar"";""max"",1;""min"",0;""color1"",""2c79b5""}),""n/a""))"),"")</f>
        <v/>
      </c>
      <c r="I74" s="385" t="str">
        <f>IFERROR(__xludf.DUMMYFUNCTION("IF(ISBLANK(A74),"""", googlefinance(A74, ""high52""))"),"")</f>
        <v/>
      </c>
      <c r="J74" s="387" t="s">
        <v>134</v>
      </c>
      <c r="K74" s="388" t="str">
        <f>IFERROR(__xludf.DUMMYFUNCTION("IF(ISBLANK(A74),"""", googlefinance(A74, ""PE""))"),"")</f>
        <v/>
      </c>
      <c r="L74" s="385" t="str">
        <f>IFERROR(__xludf.DUMMYFUNCTION("IF(ISBLANK(A74),"""", googlefinance(A74, ""eps""))"),"")</f>
        <v/>
      </c>
      <c r="M74" s="389" t="str">
        <f>IFERROR(__xludf.DUMMYFUNCTION("IfError(IF(isblank(A74),"""",split(Q74, ""()"")))"),"")</f>
        <v/>
      </c>
      <c r="N74" s="384"/>
      <c r="O74" s="385" t="str">
        <f t="shared" si="5"/>
        <v/>
      </c>
      <c r="P74" s="385" t="str">
        <f t="shared" si="6"/>
        <v/>
      </c>
      <c r="Q74" s="389" t="str">
        <f>IFERROR(__xludf.DUMMYFUNCTION("IfError(IF(isblank(A74),"""", substitute(index(IMPORTHTML(""http://finviz.com/quote.ashx?t=""&amp;A74,""table"", 10),7,2),""*"","""")),0)"),"")</f>
        <v/>
      </c>
    </row>
    <row r="75" ht="15.0" customHeight="1">
      <c r="A75" s="391" t="str">
        <f>'My Lab'!P36</f>
        <v/>
      </c>
      <c r="B75" s="382" t="str">
        <f>IFERROR(__xludf.DUMMYFUNCTION("IF(ISBLANK(A75),"""", googlefinance(A75, ""name""))"),"")</f>
        <v/>
      </c>
      <c r="C75" s="383" t="str">
        <f>IFERROR(__xludf.DUMMYFUNCTION("IF(ISBLANK(A75),"""", googlefinance(A75, ""price""))"),"")</f>
        <v/>
      </c>
      <c r="D75" s="383" t="str">
        <f>IFERROR(__xludf.DUMMYFUNCTION("IFERROR(googlefinance(A75,""change""),"""")"),"")</f>
        <v/>
      </c>
      <c r="E75" s="384" t="str">
        <f>IFERROR(__xludf.DUMMYFUNCTION("iferror(GOOGLEFINANCE(A75,""changepct"")/100,"""")"),"")</f>
        <v/>
      </c>
      <c r="F75" s="385" t="str">
        <f>IF(ISBLANK(A75), "", IF(COUNTIF(Positions!$A$2:$A$31, A75) &gt; 0, "Yes","No")
)</f>
        <v/>
      </c>
      <c r="G75" s="385" t="str">
        <f>IFERROR(__xludf.DUMMYFUNCTION("IF(ISBLANK(A75),"""", googlefinance(A75, ""low52""))"),"")</f>
        <v/>
      </c>
      <c r="H75" s="386" t="str">
        <f>IFERROR(__xludf.DUMMYFUNCTION("IF(ISBLANK(A75),"""",IFERROR(SPARKLINE((C75-G75)/(I75-G75),{""charttype"",""bar"";""max"",1;""min"",0;""color1"",""2c79b5""}),""n/a""))"),"")</f>
        <v/>
      </c>
      <c r="I75" s="385" t="str">
        <f>IFERROR(__xludf.DUMMYFUNCTION("IF(ISBLANK(A75),"""", googlefinance(A75, ""high52""))"),"")</f>
        <v/>
      </c>
      <c r="J75" s="387" t="s">
        <v>134</v>
      </c>
      <c r="K75" s="388" t="str">
        <f>IFERROR(__xludf.DUMMYFUNCTION("IF(ISBLANK(A75),"""", googlefinance(A75, ""PE""))"),"")</f>
        <v/>
      </c>
      <c r="L75" s="385" t="str">
        <f>IFERROR(__xludf.DUMMYFUNCTION("IF(ISBLANK(A75),"""", googlefinance(A75, ""eps""))"),"")</f>
        <v/>
      </c>
      <c r="M75" s="389" t="str">
        <f>IFERROR(__xludf.DUMMYFUNCTION("IfError(IF(isblank(A75),"""",split(Q75, ""()"")))"),"")</f>
        <v/>
      </c>
      <c r="N75" s="384"/>
      <c r="O75" s="385" t="str">
        <f t="shared" si="5"/>
        <v/>
      </c>
      <c r="P75" s="385" t="str">
        <f t="shared" si="6"/>
        <v/>
      </c>
      <c r="Q75" s="389" t="str">
        <f>IFERROR(__xludf.DUMMYFUNCTION("IfError(IF(isblank(A75),"""", substitute(index(IMPORTHTML(""http://finviz.com/quote.ashx?t=""&amp;A75,""table"", 10),7,2),""*"","""")),0)"),"")</f>
        <v/>
      </c>
    </row>
    <row r="76" ht="15.0" customHeight="1">
      <c r="A76" s="391" t="str">
        <f>'My Lab'!P37</f>
        <v/>
      </c>
      <c r="B76" s="382" t="str">
        <f>IFERROR(__xludf.DUMMYFUNCTION("IF(ISBLANK(A76),"""", googlefinance(A76, ""name""))"),"")</f>
        <v/>
      </c>
      <c r="C76" s="383" t="str">
        <f>IFERROR(__xludf.DUMMYFUNCTION("IF(ISBLANK(A76),"""", googlefinance(A76, ""price""))"),"")</f>
        <v/>
      </c>
      <c r="D76" s="383" t="str">
        <f>IFERROR(__xludf.DUMMYFUNCTION("IFERROR(googlefinance(A76,""change""),"""")"),"")</f>
        <v/>
      </c>
      <c r="E76" s="384" t="str">
        <f>IFERROR(__xludf.DUMMYFUNCTION("iferror(GOOGLEFINANCE(A76,""changepct"")/100,"""")"),"")</f>
        <v/>
      </c>
      <c r="F76" s="385" t="str">
        <f>IF(ISBLANK(A76), "", IF(COUNTIF(Positions!$A$2:$A$31, A76) &gt; 0, "Yes","No")
)</f>
        <v/>
      </c>
      <c r="G76" s="385" t="str">
        <f>IFERROR(__xludf.DUMMYFUNCTION("IF(ISBLANK(A76),"""", googlefinance(A76, ""low52""))"),"")</f>
        <v/>
      </c>
      <c r="H76" s="386" t="str">
        <f>IFERROR(__xludf.DUMMYFUNCTION("IF(ISBLANK(A76),"""",IFERROR(SPARKLINE((C76-G76)/(I76-G76),{""charttype"",""bar"";""max"",1;""min"",0;""color1"",""2c79b5""}),""n/a""))"),"")</f>
        <v/>
      </c>
      <c r="I76" s="385" t="str">
        <f>IFERROR(__xludf.DUMMYFUNCTION("IF(ISBLANK(A76),"""", googlefinance(A76, ""high52""))"),"")</f>
        <v/>
      </c>
      <c r="J76" s="387" t="s">
        <v>134</v>
      </c>
      <c r="K76" s="388" t="str">
        <f>IFERROR(__xludf.DUMMYFUNCTION("IF(ISBLANK(A76),"""", googlefinance(A76, ""PE""))"),"")</f>
        <v/>
      </c>
      <c r="L76" s="385" t="str">
        <f>IFERROR(__xludf.DUMMYFUNCTION("IF(ISBLANK(A76),"""", googlefinance(A76, ""eps""))"),"")</f>
        <v/>
      </c>
      <c r="M76" s="389" t="str">
        <f>IFERROR(__xludf.DUMMYFUNCTION("IfError(IF(isblank(A76),"""",split(Q76, ""()"")))"),"")</f>
        <v/>
      </c>
      <c r="N76" s="384"/>
      <c r="O76" s="385" t="str">
        <f t="shared" si="5"/>
        <v/>
      </c>
      <c r="P76" s="385" t="str">
        <f t="shared" si="6"/>
        <v/>
      </c>
      <c r="Q76" s="389" t="str">
        <f>IFERROR(__xludf.DUMMYFUNCTION("IfError(IF(isblank(A76),"""", substitute(index(IMPORTHTML(""http://finviz.com/quote.ashx?t=""&amp;A76,""table"", 10),7,2),""*"","""")),0)"),"")</f>
        <v/>
      </c>
    </row>
    <row r="77" ht="15.0" customHeight="1">
      <c r="A77" s="391" t="str">
        <f>'My Lab'!P38</f>
        <v/>
      </c>
      <c r="B77" s="382" t="str">
        <f>IFERROR(__xludf.DUMMYFUNCTION("IF(ISBLANK(A77),"""", googlefinance(A77, ""name""))"),"")</f>
        <v/>
      </c>
      <c r="C77" s="383" t="str">
        <f>IFERROR(__xludf.DUMMYFUNCTION("IF(ISBLANK(A77),"""", googlefinance(A77, ""price""))"),"")</f>
        <v/>
      </c>
      <c r="D77" s="383" t="str">
        <f>IFERROR(__xludf.DUMMYFUNCTION("IFERROR(googlefinance(A77,""change""),"""")"),"")</f>
        <v/>
      </c>
      <c r="E77" s="384" t="str">
        <f>IFERROR(__xludf.DUMMYFUNCTION("iferror(GOOGLEFINANCE(A77,""changepct"")/100,"""")"),"")</f>
        <v/>
      </c>
      <c r="F77" s="385" t="str">
        <f>IF(ISBLANK(A77), "", IF(COUNTIF(Positions!$A$2:$A$31, A77) &gt; 0, "Yes","No")
)</f>
        <v/>
      </c>
      <c r="G77" s="385" t="str">
        <f>IFERROR(__xludf.DUMMYFUNCTION("IF(ISBLANK(A77),"""", googlefinance(A77, ""low52""))"),"")</f>
        <v/>
      </c>
      <c r="H77" s="386" t="str">
        <f>IFERROR(__xludf.DUMMYFUNCTION("IF(ISBLANK(A77),"""",IFERROR(SPARKLINE((C77-G77)/(I77-G77),{""charttype"",""bar"";""max"",1;""min"",0;""color1"",""2c79b5""}),""n/a""))"),"")</f>
        <v/>
      </c>
      <c r="I77" s="385" t="str">
        <f>IFERROR(__xludf.DUMMYFUNCTION("IF(ISBLANK(A77),"""", googlefinance(A77, ""high52""))"),"")</f>
        <v/>
      </c>
      <c r="J77" s="387" t="s">
        <v>134</v>
      </c>
      <c r="K77" s="388" t="str">
        <f>IFERROR(__xludf.DUMMYFUNCTION("IF(ISBLANK(A77),"""", googlefinance(A77, ""PE""))"),"")</f>
        <v/>
      </c>
      <c r="L77" s="385" t="str">
        <f>IFERROR(__xludf.DUMMYFUNCTION("IF(ISBLANK(A77),"""", googlefinance(A77, ""eps""))"),"")</f>
        <v/>
      </c>
      <c r="M77" s="389" t="str">
        <f>IFERROR(__xludf.DUMMYFUNCTION("IfError(IF(isblank(A77),"""",split(Q77, ""()"")))"),"")</f>
        <v/>
      </c>
      <c r="N77" s="384"/>
      <c r="O77" s="385" t="str">
        <f t="shared" si="5"/>
        <v/>
      </c>
      <c r="P77" s="385" t="str">
        <f t="shared" si="6"/>
        <v/>
      </c>
      <c r="Q77" s="389" t="str">
        <f>IFERROR(__xludf.DUMMYFUNCTION("IfError(IF(isblank(A77),"""", substitute(index(IMPORTHTML(""http://finviz.com/quote.ashx?t=""&amp;A77,""table"", 10),7,2),""*"","""")),0)"),"")</f>
        <v/>
      </c>
    </row>
    <row r="78" ht="15.0" customHeight="1">
      <c r="A78" s="391" t="str">
        <f>'My Lab'!P39</f>
        <v/>
      </c>
      <c r="B78" s="382" t="str">
        <f>IFERROR(__xludf.DUMMYFUNCTION("IF(ISBLANK(A78),"""", googlefinance(A78, ""name""))"),"")</f>
        <v/>
      </c>
      <c r="C78" s="383" t="str">
        <f>IFERROR(__xludf.DUMMYFUNCTION("IF(ISBLANK(A78),"""", googlefinance(A78, ""price""))"),"")</f>
        <v/>
      </c>
      <c r="D78" s="383" t="str">
        <f>IFERROR(__xludf.DUMMYFUNCTION("IFERROR(googlefinance(A78,""change""),"""")"),"")</f>
        <v/>
      </c>
      <c r="E78" s="384" t="str">
        <f>IFERROR(__xludf.DUMMYFUNCTION("iferror(GOOGLEFINANCE(A78,""changepct"")/100,"""")"),"")</f>
        <v/>
      </c>
      <c r="F78" s="385" t="str">
        <f>IF(ISBLANK(A78), "", IF(COUNTIF(Positions!$A$2:$A$31, A78) &gt; 0, "Yes","No")
)</f>
        <v/>
      </c>
      <c r="G78" s="385" t="str">
        <f>IFERROR(__xludf.DUMMYFUNCTION("IF(ISBLANK(A78),"""", googlefinance(A78, ""low52""))"),"")</f>
        <v/>
      </c>
      <c r="H78" s="386" t="str">
        <f>IFERROR(__xludf.DUMMYFUNCTION("IF(ISBLANK(A78),"""",IFERROR(SPARKLINE((C78-G78)/(I78-G78),{""charttype"",""bar"";""max"",1;""min"",0;""color1"",""2c79b5""}),""n/a""))"),"")</f>
        <v/>
      </c>
      <c r="I78" s="385" t="str">
        <f>IFERROR(__xludf.DUMMYFUNCTION("IF(ISBLANK(A78),"""", googlefinance(A78, ""high52""))"),"")</f>
        <v/>
      </c>
      <c r="J78" s="387" t="s">
        <v>134</v>
      </c>
      <c r="K78" s="388" t="str">
        <f>IFERROR(__xludf.DUMMYFUNCTION("IF(ISBLANK(A78),"""", googlefinance(A78, ""PE""))"),"")</f>
        <v/>
      </c>
      <c r="L78" s="385" t="str">
        <f>IFERROR(__xludf.DUMMYFUNCTION("IF(ISBLANK(A78),"""", googlefinance(A78, ""eps""))"),"")</f>
        <v/>
      </c>
      <c r="M78" s="389" t="str">
        <f>IFERROR(__xludf.DUMMYFUNCTION("IfError(IF(isblank(A78),"""",split(Q78, ""()"")))"),"")</f>
        <v/>
      </c>
      <c r="N78" s="384"/>
      <c r="O78" s="385" t="str">
        <f t="shared" si="5"/>
        <v/>
      </c>
      <c r="P78" s="385" t="str">
        <f t="shared" si="6"/>
        <v/>
      </c>
      <c r="Q78" s="389" t="str">
        <f>IFERROR(__xludf.DUMMYFUNCTION("IfError(IF(isblank(A78),"""", substitute(index(IMPORTHTML(""http://finviz.com/quote.ashx?t=""&amp;A78,""table"", 10),7,2),""*"","""")),0)"),"")</f>
        <v/>
      </c>
    </row>
    <row r="79" ht="15.0" customHeight="1">
      <c r="A79" s="391" t="str">
        <f>'My Lab'!P40</f>
        <v/>
      </c>
      <c r="B79" s="382" t="str">
        <f>IFERROR(__xludf.DUMMYFUNCTION("IF(ISBLANK(A79),"""", googlefinance(A79, ""name""))"),"")</f>
        <v/>
      </c>
      <c r="C79" s="383" t="str">
        <f>IFERROR(__xludf.DUMMYFUNCTION("IF(ISBLANK(A79),"""", googlefinance(A79, ""price""))"),"")</f>
        <v/>
      </c>
      <c r="D79" s="383" t="str">
        <f>IFERROR(__xludf.DUMMYFUNCTION("IFERROR(googlefinance(A79,""change""),"""")"),"")</f>
        <v/>
      </c>
      <c r="E79" s="384" t="str">
        <f>IFERROR(__xludf.DUMMYFUNCTION("iferror(GOOGLEFINANCE(A79,""changepct"")/100,"""")"),"")</f>
        <v/>
      </c>
      <c r="F79" s="385" t="str">
        <f>IF(ISBLANK(A79), "", IF(COUNTIF(Positions!$A$2:$A$31, A79) &gt; 0, "Yes","No")
)</f>
        <v/>
      </c>
      <c r="G79" s="385" t="str">
        <f>IFERROR(__xludf.DUMMYFUNCTION("IF(ISBLANK(A79),"""", googlefinance(A79, ""low52""))"),"")</f>
        <v/>
      </c>
      <c r="H79" s="386" t="str">
        <f>IFERROR(__xludf.DUMMYFUNCTION("IF(ISBLANK(A79),"""",IFERROR(SPARKLINE((C79-G79)/(I79-G79),{""charttype"",""bar"";""max"",1;""min"",0;""color1"",""2c79b5""}),""n/a""))"),"")</f>
        <v/>
      </c>
      <c r="I79" s="385" t="str">
        <f>IFERROR(__xludf.DUMMYFUNCTION("IF(ISBLANK(A79),"""", googlefinance(A79, ""high52""))"),"")</f>
        <v/>
      </c>
      <c r="J79" s="387" t="s">
        <v>134</v>
      </c>
      <c r="K79" s="388" t="str">
        <f>IFERROR(__xludf.DUMMYFUNCTION("IF(ISBLANK(A79),"""", googlefinance(A79, ""PE""))"),"")</f>
        <v/>
      </c>
      <c r="L79" s="385" t="str">
        <f>IFERROR(__xludf.DUMMYFUNCTION("IF(ISBLANK(A79),"""", googlefinance(A79, ""eps""))"),"")</f>
        <v/>
      </c>
      <c r="M79" s="389" t="str">
        <f>IFERROR(__xludf.DUMMYFUNCTION("IfError(IF(isblank(A79),"""",split(Q79, ""()"")))"),"")</f>
        <v/>
      </c>
      <c r="N79" s="384"/>
      <c r="O79" s="385" t="str">
        <f t="shared" si="5"/>
        <v/>
      </c>
      <c r="P79" s="385" t="str">
        <f t="shared" si="6"/>
        <v/>
      </c>
      <c r="Q79" s="389" t="str">
        <f>IFERROR(__xludf.DUMMYFUNCTION("IfError(IF(isblank(A79),"""", substitute(index(IMPORTHTML(""http://finviz.com/quote.ashx?t=""&amp;A79,""table"", 10),7,2),""*"","""")),0)"),"")</f>
        <v/>
      </c>
    </row>
    <row r="80" ht="15.0" customHeight="1">
      <c r="A80" s="391" t="str">
        <f>'My Lab'!P41</f>
        <v/>
      </c>
      <c r="B80" s="382" t="str">
        <f>IFERROR(__xludf.DUMMYFUNCTION("IF(ISBLANK(A80),"""", googlefinance(A80, ""name""))"),"")</f>
        <v/>
      </c>
      <c r="C80" s="383" t="str">
        <f>IFERROR(__xludf.DUMMYFUNCTION("IF(ISBLANK(A80),"""", googlefinance(A80, ""price""))"),"")</f>
        <v/>
      </c>
      <c r="D80" s="383" t="str">
        <f>IFERROR(__xludf.DUMMYFUNCTION("IFERROR(googlefinance(A80,""change""),"""")"),"")</f>
        <v/>
      </c>
      <c r="E80" s="384" t="str">
        <f>IFERROR(__xludf.DUMMYFUNCTION("iferror(GOOGLEFINANCE(A80,""changepct"")/100,"""")"),"")</f>
        <v/>
      </c>
      <c r="F80" s="385" t="str">
        <f>IF(ISBLANK(A80), "", IF(COUNTIF(Positions!$A$2:$A$31, A80) &gt; 0, "Yes","No")
)</f>
        <v/>
      </c>
      <c r="G80" s="385" t="str">
        <f>IFERROR(__xludf.DUMMYFUNCTION("IF(ISBLANK(A80),"""", googlefinance(A80, ""low52""))"),"")</f>
        <v/>
      </c>
      <c r="H80" s="386" t="str">
        <f>IFERROR(__xludf.DUMMYFUNCTION("IF(ISBLANK(A80),"""",IFERROR(SPARKLINE((C80-G80)/(I80-G80),{""charttype"",""bar"";""max"",1;""min"",0;""color1"",""2c79b5""}),""n/a""))"),"")</f>
        <v/>
      </c>
      <c r="I80" s="385" t="str">
        <f>IFERROR(__xludf.DUMMYFUNCTION("IF(ISBLANK(A80),"""", googlefinance(A80, ""high52""))"),"")</f>
        <v/>
      </c>
      <c r="J80" s="387" t="s">
        <v>134</v>
      </c>
      <c r="K80" s="388" t="str">
        <f>IFERROR(__xludf.DUMMYFUNCTION("IF(ISBLANK(A80),"""", googlefinance(A80, ""PE""))"),"")</f>
        <v/>
      </c>
      <c r="L80" s="385" t="str">
        <f>IFERROR(__xludf.DUMMYFUNCTION("IF(ISBLANK(A80),"""", googlefinance(A80, ""eps""))"),"")</f>
        <v/>
      </c>
      <c r="M80" s="389" t="str">
        <f>IFERROR(__xludf.DUMMYFUNCTION("IfError(IF(isblank(A80),"""",split(Q80, ""()"")))"),"")</f>
        <v/>
      </c>
      <c r="N80" s="384"/>
      <c r="O80" s="385" t="str">
        <f t="shared" si="5"/>
        <v/>
      </c>
      <c r="P80" s="385" t="str">
        <f t="shared" si="6"/>
        <v/>
      </c>
      <c r="Q80" s="389" t="str">
        <f>IFERROR(__xludf.DUMMYFUNCTION("IfError(IF(isblank(A80),"""", substitute(index(IMPORTHTML(""http://finviz.com/quote.ashx?t=""&amp;A80,""table"", 10),7,2),""*"","""")),0)"),"")</f>
        <v/>
      </c>
    </row>
    <row r="81" ht="15.0" customHeight="1">
      <c r="A81" s="391" t="str">
        <f>'My Lab'!P42</f>
        <v/>
      </c>
      <c r="B81" s="382" t="str">
        <f>IFERROR(__xludf.DUMMYFUNCTION("IF(ISBLANK(A81),"""", googlefinance(A81, ""name""))"),"")</f>
        <v/>
      </c>
      <c r="C81" s="383" t="str">
        <f>IFERROR(__xludf.DUMMYFUNCTION("IF(ISBLANK(A81),"""", googlefinance(A81, ""price""))"),"")</f>
        <v/>
      </c>
      <c r="D81" s="383" t="str">
        <f>IFERROR(__xludf.DUMMYFUNCTION("IFERROR(googlefinance(A81,""change""),"""")"),"")</f>
        <v/>
      </c>
      <c r="E81" s="384" t="str">
        <f>IFERROR(__xludf.DUMMYFUNCTION("iferror(GOOGLEFINANCE(A81,""changepct"")/100,"""")"),"")</f>
        <v/>
      </c>
      <c r="F81" s="385" t="str">
        <f>IF(ISBLANK(A81), "", IF(COUNTIF(Positions!$A$2:$A$31, A81) &gt; 0, "Yes","No")
)</f>
        <v/>
      </c>
      <c r="G81" s="385" t="str">
        <f>IFERROR(__xludf.DUMMYFUNCTION("IF(ISBLANK(A81),"""", googlefinance(A81, ""low52""))"),"")</f>
        <v/>
      </c>
      <c r="H81" s="386" t="str">
        <f>IFERROR(__xludf.DUMMYFUNCTION("IF(ISBLANK(A81),"""",IFERROR(SPARKLINE((C81-G81)/(I81-G81),{""charttype"",""bar"";""max"",1;""min"",0;""color1"",""2c79b5""}),""n/a""))"),"")</f>
        <v/>
      </c>
      <c r="I81" s="385" t="str">
        <f>IFERROR(__xludf.DUMMYFUNCTION("IF(ISBLANK(A81),"""", googlefinance(A81, ""high52""))"),"")</f>
        <v/>
      </c>
      <c r="J81" s="387" t="s">
        <v>134</v>
      </c>
      <c r="K81" s="388" t="str">
        <f>IFERROR(__xludf.DUMMYFUNCTION("IF(ISBLANK(A81),"""", googlefinance(A81, ""PE""))"),"")</f>
        <v/>
      </c>
      <c r="L81" s="385" t="str">
        <f>IFERROR(__xludf.DUMMYFUNCTION("IF(ISBLANK(A81),"""", googlefinance(A81, ""eps""))"),"")</f>
        <v/>
      </c>
      <c r="M81" s="389" t="str">
        <f>IFERROR(__xludf.DUMMYFUNCTION("IfError(IF(isblank(A81),"""",split(Q81, ""()"")))"),"")</f>
        <v/>
      </c>
      <c r="N81" s="384"/>
      <c r="O81" s="385" t="str">
        <f t="shared" si="5"/>
        <v/>
      </c>
      <c r="P81" s="385" t="str">
        <f t="shared" si="6"/>
        <v/>
      </c>
      <c r="Q81" s="389" t="str">
        <f>IFERROR(__xludf.DUMMYFUNCTION("IfError(IF(isblank(A81),"""", substitute(index(IMPORTHTML(""http://finviz.com/quote.ashx?t=""&amp;A81,""table"", 10),7,2),""*"","""")),0)"),"")</f>
        <v/>
      </c>
    </row>
    <row r="82" ht="15.0" customHeight="1">
      <c r="A82" s="391" t="str">
        <f>'My Lab'!P43</f>
        <v/>
      </c>
      <c r="B82" s="382" t="str">
        <f>IFERROR(__xludf.DUMMYFUNCTION("IF(ISBLANK(A82),"""", googlefinance(A82, ""name""))"),"")</f>
        <v/>
      </c>
      <c r="C82" s="383" t="str">
        <f>IFERROR(__xludf.DUMMYFUNCTION("IF(ISBLANK(A82),"""", googlefinance(A82, ""price""))"),"")</f>
        <v/>
      </c>
      <c r="D82" s="383" t="str">
        <f>IFERROR(__xludf.DUMMYFUNCTION("IFERROR(googlefinance(A82,""change""),"""")"),"")</f>
        <v/>
      </c>
      <c r="E82" s="384" t="str">
        <f>IFERROR(__xludf.DUMMYFUNCTION("iferror(GOOGLEFINANCE(A82,""changepct"")/100,"""")"),"")</f>
        <v/>
      </c>
      <c r="F82" s="385" t="str">
        <f>IF(ISBLANK(A82), "", IF(COUNTIF(Positions!$A$2:$A$31, A82) &gt; 0, "Yes","No")
)</f>
        <v/>
      </c>
      <c r="G82" s="385" t="str">
        <f>IFERROR(__xludf.DUMMYFUNCTION("IF(ISBLANK(A82),"""", googlefinance(A82, ""low52""))"),"")</f>
        <v/>
      </c>
      <c r="H82" s="386" t="str">
        <f>IFERROR(__xludf.DUMMYFUNCTION("IF(ISBLANK(A82),"""",IFERROR(SPARKLINE((C82-G82)/(I82-G82),{""charttype"",""bar"";""max"",1;""min"",0;""color1"",""2c79b5""}),""n/a""))"),"")</f>
        <v/>
      </c>
      <c r="I82" s="385" t="str">
        <f>IFERROR(__xludf.DUMMYFUNCTION("IF(ISBLANK(A82),"""", googlefinance(A82, ""high52""))"),"")</f>
        <v/>
      </c>
      <c r="J82" s="387" t="s">
        <v>134</v>
      </c>
      <c r="K82" s="388" t="str">
        <f>IFERROR(__xludf.DUMMYFUNCTION("IF(ISBLANK(A82),"""", googlefinance(A82, ""PE""))"),"")</f>
        <v/>
      </c>
      <c r="L82" s="385" t="str">
        <f>IFERROR(__xludf.DUMMYFUNCTION("IF(ISBLANK(A82),"""", googlefinance(A82, ""eps""))"),"")</f>
        <v/>
      </c>
      <c r="M82" s="389" t="str">
        <f>IFERROR(__xludf.DUMMYFUNCTION("IfError(IF(isblank(A82),"""",split(Q82, ""()"")))"),"")</f>
        <v/>
      </c>
      <c r="N82" s="384"/>
      <c r="O82" s="385" t="str">
        <f t="shared" si="5"/>
        <v/>
      </c>
      <c r="P82" s="385" t="str">
        <f t="shared" si="6"/>
        <v/>
      </c>
      <c r="Q82" s="389" t="str">
        <f>IFERROR(__xludf.DUMMYFUNCTION("IfError(IF(isblank(A82),"""", substitute(index(IMPORTHTML(""http://finviz.com/quote.ashx?t=""&amp;A82,""table"", 10),7,2),""*"","""")),0)"),"")</f>
        <v/>
      </c>
    </row>
    <row r="83" ht="15.0" customHeight="1">
      <c r="A83" s="391" t="str">
        <f>'My Lab'!P44</f>
        <v/>
      </c>
      <c r="B83" s="382" t="str">
        <f>IFERROR(__xludf.DUMMYFUNCTION("IF(ISBLANK(A83),"""", googlefinance(A83, ""name""))"),"")</f>
        <v/>
      </c>
      <c r="C83" s="383" t="str">
        <f>IFERROR(__xludf.DUMMYFUNCTION("IF(ISBLANK(A83),"""", googlefinance(A83, ""price""))"),"")</f>
        <v/>
      </c>
      <c r="D83" s="383" t="str">
        <f>IFERROR(__xludf.DUMMYFUNCTION("IFERROR(googlefinance(A83,""change""),"""")"),"")</f>
        <v/>
      </c>
      <c r="E83" s="384" t="str">
        <f>IFERROR(__xludf.DUMMYFUNCTION("iferror(GOOGLEFINANCE(A83,""changepct"")/100,"""")"),"")</f>
        <v/>
      </c>
      <c r="F83" s="385" t="str">
        <f>IF(ISBLANK(A83), "", IF(COUNTIF(Positions!$A$2:$A$31, A83) &gt; 0, "Yes","No")
)</f>
        <v/>
      </c>
      <c r="G83" s="385" t="str">
        <f>IFERROR(__xludf.DUMMYFUNCTION("IF(ISBLANK(A83),"""", googlefinance(A83, ""low52""))"),"")</f>
        <v/>
      </c>
      <c r="H83" s="386" t="str">
        <f>IFERROR(__xludf.DUMMYFUNCTION("IF(ISBLANK(A83),"""",IFERROR(SPARKLINE((C83-G83)/(I83-G83),{""charttype"",""bar"";""max"",1;""min"",0;""color1"",""2c79b5""}),""n/a""))"),"")</f>
        <v/>
      </c>
      <c r="I83" s="385" t="str">
        <f>IFERROR(__xludf.DUMMYFUNCTION("IF(ISBLANK(A83),"""", googlefinance(A83, ""high52""))"),"")</f>
        <v/>
      </c>
      <c r="J83" s="387" t="s">
        <v>134</v>
      </c>
      <c r="K83" s="388" t="str">
        <f>IFERROR(__xludf.DUMMYFUNCTION("IF(ISBLANK(A83),"""", googlefinance(A83, ""PE""))"),"")</f>
        <v/>
      </c>
      <c r="L83" s="385" t="str">
        <f>IFERROR(__xludf.DUMMYFUNCTION("IF(ISBLANK(A83),"""", googlefinance(A83, ""eps""))"),"")</f>
        <v/>
      </c>
      <c r="M83" s="389" t="str">
        <f>IFERROR(__xludf.DUMMYFUNCTION("IfError(IF(isblank(A83),"""",split(Q83, ""()"")))"),"")</f>
        <v/>
      </c>
      <c r="N83" s="384"/>
      <c r="O83" s="385" t="str">
        <f t="shared" si="5"/>
        <v/>
      </c>
      <c r="P83" s="385" t="str">
        <f t="shared" si="6"/>
        <v/>
      </c>
      <c r="Q83" s="389" t="str">
        <f>IFERROR(__xludf.DUMMYFUNCTION("IfError(IF(isblank(A83),"""", substitute(index(IMPORTHTML(""http://finviz.com/quote.ashx?t=""&amp;A83,""table"", 10),7,2),""*"","""")),0)"),"")</f>
        <v/>
      </c>
    </row>
    <row r="84" ht="15.0" customHeight="1">
      <c r="A84" s="391" t="str">
        <f>'My Lab'!P45</f>
        <v/>
      </c>
      <c r="B84" s="382" t="str">
        <f>IFERROR(__xludf.DUMMYFUNCTION("IF(ISBLANK(A84),"""", googlefinance(A84, ""name""))"),"")</f>
        <v/>
      </c>
      <c r="C84" s="383" t="str">
        <f>IFERROR(__xludf.DUMMYFUNCTION("IF(ISBLANK(A84),"""", googlefinance(A84, ""price""))"),"")</f>
        <v/>
      </c>
      <c r="D84" s="383" t="str">
        <f>IFERROR(__xludf.DUMMYFUNCTION("IFERROR(googlefinance(A84,""change""),"""")"),"")</f>
        <v/>
      </c>
      <c r="E84" s="384" t="str">
        <f>IFERROR(__xludf.DUMMYFUNCTION("iferror(GOOGLEFINANCE(A84,""changepct"")/100,"""")"),"")</f>
        <v/>
      </c>
      <c r="F84" s="385" t="str">
        <f>IF(ISBLANK(A84), "", IF(COUNTIF(Positions!$A$2:$A$31, A84) &gt; 0, "Yes","No")
)</f>
        <v/>
      </c>
      <c r="G84" s="385" t="str">
        <f>IFERROR(__xludf.DUMMYFUNCTION("IF(ISBLANK(A84),"""", googlefinance(A84, ""low52""))"),"")</f>
        <v/>
      </c>
      <c r="H84" s="386" t="str">
        <f>IFERROR(__xludf.DUMMYFUNCTION("IF(ISBLANK(A84),"""",IFERROR(SPARKLINE((C84-G84)/(I84-G84),{""charttype"",""bar"";""max"",1;""min"",0;""color1"",""2c79b5""}),""n/a""))"),"")</f>
        <v/>
      </c>
      <c r="I84" s="385" t="str">
        <f>IFERROR(__xludf.DUMMYFUNCTION("IF(ISBLANK(A84),"""", googlefinance(A84, ""high52""))"),"")</f>
        <v/>
      </c>
      <c r="J84" s="387" t="s">
        <v>134</v>
      </c>
      <c r="K84" s="388" t="str">
        <f>IFERROR(__xludf.DUMMYFUNCTION("IF(ISBLANK(A84),"""", googlefinance(A84, ""PE""))"),"")</f>
        <v/>
      </c>
      <c r="L84" s="385" t="str">
        <f>IFERROR(__xludf.DUMMYFUNCTION("IF(ISBLANK(A84),"""", googlefinance(A84, ""eps""))"),"")</f>
        <v/>
      </c>
      <c r="M84" s="389" t="str">
        <f>IFERROR(__xludf.DUMMYFUNCTION("IfError(IF(isblank(A84),"""",split(Q84, ""()"")))"),"")</f>
        <v/>
      </c>
      <c r="N84" s="384"/>
      <c r="O84" s="385" t="str">
        <f t="shared" si="5"/>
        <v/>
      </c>
      <c r="P84" s="385" t="str">
        <f t="shared" si="6"/>
        <v/>
      </c>
      <c r="Q84" s="389" t="str">
        <f>IFERROR(__xludf.DUMMYFUNCTION("IfError(IF(isblank(A84),"""", substitute(index(IMPORTHTML(""http://finviz.com/quote.ashx?t=""&amp;A84,""table"", 10),7,2),""*"","""")),0)"),"")</f>
        <v/>
      </c>
    </row>
    <row r="85" ht="15.0" customHeight="1">
      <c r="A85" s="391" t="str">
        <f>'My Lab'!P46</f>
        <v/>
      </c>
      <c r="B85" s="382" t="str">
        <f>IFERROR(__xludf.DUMMYFUNCTION("IF(ISBLANK(A85),"""", googlefinance(A85, ""name""))"),"")</f>
        <v/>
      </c>
      <c r="C85" s="383" t="str">
        <f>IFERROR(__xludf.DUMMYFUNCTION("IF(ISBLANK(A85),"""", googlefinance(A85, ""price""))"),"")</f>
        <v/>
      </c>
      <c r="D85" s="383" t="str">
        <f>IFERROR(__xludf.DUMMYFUNCTION("IFERROR(googlefinance(A85,""change""),"""")"),"")</f>
        <v/>
      </c>
      <c r="E85" s="384" t="str">
        <f>IFERROR(__xludf.DUMMYFUNCTION("iferror(GOOGLEFINANCE(A85,""changepct"")/100,"""")"),"")</f>
        <v/>
      </c>
      <c r="F85" s="385" t="str">
        <f>IF(ISBLANK(A85), "", IF(COUNTIF(Positions!$A$2:$A$31, A85) &gt; 0, "Yes","No")
)</f>
        <v/>
      </c>
      <c r="G85" s="385" t="str">
        <f>IFERROR(__xludf.DUMMYFUNCTION("IF(ISBLANK(A85),"""", googlefinance(A85, ""low52""))"),"")</f>
        <v/>
      </c>
      <c r="H85" s="386" t="str">
        <f>IFERROR(__xludf.DUMMYFUNCTION("IF(ISBLANK(A85),"""",IFERROR(SPARKLINE((C85-G85)/(I85-G85),{""charttype"",""bar"";""max"",1;""min"",0;""color1"",""2c79b5""}),""n/a""))"),"")</f>
        <v/>
      </c>
      <c r="I85" s="385" t="str">
        <f>IFERROR(__xludf.DUMMYFUNCTION("IF(ISBLANK(A85),"""", googlefinance(A85, ""high52""))"),"")</f>
        <v/>
      </c>
      <c r="J85" s="387" t="s">
        <v>134</v>
      </c>
      <c r="K85" s="388" t="str">
        <f>IFERROR(__xludf.DUMMYFUNCTION("IF(ISBLANK(A85),"""", googlefinance(A85, ""PE""))"),"")</f>
        <v/>
      </c>
      <c r="L85" s="385" t="str">
        <f>IFERROR(__xludf.DUMMYFUNCTION("IF(ISBLANK(A85),"""", googlefinance(A85, ""eps""))"),"")</f>
        <v/>
      </c>
      <c r="M85" s="389" t="str">
        <f>IFERROR(__xludf.DUMMYFUNCTION("IfError(IF(isblank(A85),"""",split(Q85, ""()"")))"),"")</f>
        <v/>
      </c>
      <c r="N85" s="384"/>
      <c r="O85" s="385" t="str">
        <f t="shared" si="5"/>
        <v/>
      </c>
      <c r="P85" s="385" t="str">
        <f t="shared" si="6"/>
        <v/>
      </c>
      <c r="Q85" s="389" t="str">
        <f>IFERROR(__xludf.DUMMYFUNCTION("IfError(IF(isblank(A85),"""", substitute(index(IMPORTHTML(""http://finviz.com/quote.ashx?t=""&amp;A85,""table"", 10),7,2),""*"","""")),0)"),"")</f>
        <v/>
      </c>
    </row>
    <row r="86" ht="15.0" customHeight="1">
      <c r="A86" s="391" t="str">
        <f>'My Lab'!P47</f>
        <v/>
      </c>
      <c r="B86" s="382" t="str">
        <f>IFERROR(__xludf.DUMMYFUNCTION("IF(ISBLANK(A86),"""", googlefinance(A86, ""name""))"),"")</f>
        <v/>
      </c>
      <c r="C86" s="383" t="str">
        <f>IFERROR(__xludf.DUMMYFUNCTION("IF(ISBLANK(A86),"""", googlefinance(A86, ""price""))"),"")</f>
        <v/>
      </c>
      <c r="D86" s="383" t="str">
        <f>IFERROR(__xludf.DUMMYFUNCTION("IFERROR(googlefinance(A86,""change""),"""")"),"")</f>
        <v/>
      </c>
      <c r="E86" s="384" t="str">
        <f>IFERROR(__xludf.DUMMYFUNCTION("iferror(GOOGLEFINANCE(A86,""changepct"")/100,"""")"),"")</f>
        <v/>
      </c>
      <c r="F86" s="385" t="str">
        <f>IF(ISBLANK(A86), "", IF(COUNTIF(Positions!$A$2:$A$31, A86) &gt; 0, "Yes","No")
)</f>
        <v/>
      </c>
      <c r="G86" s="385" t="str">
        <f>IFERROR(__xludf.DUMMYFUNCTION("IF(ISBLANK(A86),"""", googlefinance(A86, ""low52""))"),"")</f>
        <v/>
      </c>
      <c r="H86" s="386" t="str">
        <f>IFERROR(__xludf.DUMMYFUNCTION("IF(ISBLANK(A86),"""",IFERROR(SPARKLINE((C86-G86)/(I86-G86),{""charttype"",""bar"";""max"",1;""min"",0;""color1"",""2c79b5""}),""n/a""))"),"")</f>
        <v/>
      </c>
      <c r="I86" s="385" t="str">
        <f>IFERROR(__xludf.DUMMYFUNCTION("IF(ISBLANK(A86),"""", googlefinance(A86, ""high52""))"),"")</f>
        <v/>
      </c>
      <c r="J86" s="387" t="s">
        <v>134</v>
      </c>
      <c r="K86" s="388" t="str">
        <f>IFERROR(__xludf.DUMMYFUNCTION("IF(ISBLANK(A86),"""", googlefinance(A86, ""PE""))"),"")</f>
        <v/>
      </c>
      <c r="L86" s="385" t="str">
        <f>IFERROR(__xludf.DUMMYFUNCTION("IF(ISBLANK(A86),"""", googlefinance(A86, ""eps""))"),"")</f>
        <v/>
      </c>
      <c r="M86" s="389" t="str">
        <f>IFERROR(__xludf.DUMMYFUNCTION("IfError(IF(isblank(A86),"""",split(Q86, ""()"")))"),"")</f>
        <v/>
      </c>
      <c r="N86" s="384"/>
      <c r="O86" s="385" t="str">
        <f t="shared" si="5"/>
        <v/>
      </c>
      <c r="P86" s="385" t="str">
        <f t="shared" si="6"/>
        <v/>
      </c>
      <c r="Q86" s="389" t="str">
        <f>IFERROR(__xludf.DUMMYFUNCTION("IfError(IF(isblank(A86),"""", substitute(index(IMPORTHTML(""http://finviz.com/quote.ashx?t=""&amp;A86,""table"", 10),7,2),""*"","""")),0)"),"")</f>
        <v/>
      </c>
    </row>
    <row r="87" ht="15.0" customHeight="1">
      <c r="A87" s="391" t="str">
        <f>'My Lab'!P48</f>
        <v/>
      </c>
      <c r="B87" s="382" t="str">
        <f>IFERROR(__xludf.DUMMYFUNCTION("IF(ISBLANK(A87),"""", googlefinance(A87, ""name""))"),"")</f>
        <v/>
      </c>
      <c r="C87" s="383" t="str">
        <f>IFERROR(__xludf.DUMMYFUNCTION("IF(ISBLANK(A87),"""", googlefinance(A87, ""price""))"),"")</f>
        <v/>
      </c>
      <c r="D87" s="383" t="str">
        <f>IFERROR(__xludf.DUMMYFUNCTION("IFERROR(googlefinance(A87,""change""),"""")"),"")</f>
        <v/>
      </c>
      <c r="E87" s="384" t="str">
        <f>IFERROR(__xludf.DUMMYFUNCTION("iferror(GOOGLEFINANCE(A87,""changepct"")/100,"""")"),"")</f>
        <v/>
      </c>
      <c r="F87" s="385" t="str">
        <f>IF(ISBLANK(A87), "", IF(COUNTIF(Positions!$A$2:$A$31, A87) &gt; 0, "Yes","No")
)</f>
        <v/>
      </c>
      <c r="G87" s="385" t="str">
        <f>IFERROR(__xludf.DUMMYFUNCTION("IF(ISBLANK(A87),"""", googlefinance(A87, ""low52""))"),"")</f>
        <v/>
      </c>
      <c r="H87" s="386" t="str">
        <f>IFERROR(__xludf.DUMMYFUNCTION("IF(ISBLANK(A87),"""",IFERROR(SPARKLINE((C87-G87)/(I87-G87),{""charttype"",""bar"";""max"",1;""min"",0;""color1"",""2c79b5""}),""n/a""))"),"")</f>
        <v/>
      </c>
      <c r="I87" s="385" t="str">
        <f>IFERROR(__xludf.DUMMYFUNCTION("IF(ISBLANK(A87),"""", googlefinance(A87, ""high52""))"),"")</f>
        <v/>
      </c>
      <c r="J87" s="387" t="s">
        <v>134</v>
      </c>
      <c r="K87" s="388" t="str">
        <f>IFERROR(__xludf.DUMMYFUNCTION("IF(ISBLANK(A87),"""", googlefinance(A87, ""PE""))"),"")</f>
        <v/>
      </c>
      <c r="L87" s="385" t="str">
        <f>IFERROR(__xludf.DUMMYFUNCTION("IF(ISBLANK(A87),"""", googlefinance(A87, ""eps""))"),"")</f>
        <v/>
      </c>
      <c r="M87" s="389" t="str">
        <f>IFERROR(__xludf.DUMMYFUNCTION("IfError(IF(isblank(A87),"""",split(Q87, ""()"")))"),"")</f>
        <v/>
      </c>
      <c r="N87" s="384"/>
      <c r="O87" s="385" t="str">
        <f t="shared" si="5"/>
        <v/>
      </c>
      <c r="P87" s="385" t="str">
        <f t="shared" si="6"/>
        <v/>
      </c>
      <c r="Q87" s="389" t="str">
        <f>IFERROR(__xludf.DUMMYFUNCTION("IfError(IF(isblank(A87),"""", substitute(index(IMPORTHTML(""http://finviz.com/quote.ashx?t=""&amp;A87,""table"", 10),7,2),""*"","""")),0)"),"")</f>
        <v/>
      </c>
    </row>
    <row r="88" ht="15.0" customHeight="1">
      <c r="A88" s="391" t="str">
        <f>'My Lab'!P49</f>
        <v/>
      </c>
      <c r="B88" s="382" t="str">
        <f>IFERROR(__xludf.DUMMYFUNCTION("IF(ISBLANK(A88),"""", googlefinance(A88, ""name""))"),"")</f>
        <v/>
      </c>
      <c r="C88" s="383" t="str">
        <f>IFERROR(__xludf.DUMMYFUNCTION("IF(ISBLANK(A88),"""", googlefinance(A88, ""price""))"),"")</f>
        <v/>
      </c>
      <c r="D88" s="383" t="str">
        <f>IFERROR(__xludf.DUMMYFUNCTION("IFERROR(googlefinance(A88,""change""),"""")"),"")</f>
        <v/>
      </c>
      <c r="E88" s="384" t="str">
        <f>IFERROR(__xludf.DUMMYFUNCTION("iferror(GOOGLEFINANCE(A88,""changepct"")/100,"""")"),"")</f>
        <v/>
      </c>
      <c r="F88" s="385" t="str">
        <f>IF(ISBLANK(A88), "", IF(COUNTIF(Positions!$A$2:$A$31, A88) &gt; 0, "Yes","No")
)</f>
        <v/>
      </c>
      <c r="G88" s="385" t="str">
        <f>IFERROR(__xludf.DUMMYFUNCTION("IF(ISBLANK(A88),"""", googlefinance(A88, ""low52""))"),"")</f>
        <v/>
      </c>
      <c r="H88" s="386" t="str">
        <f>IFERROR(__xludf.DUMMYFUNCTION("IF(ISBLANK(A88),"""",IFERROR(SPARKLINE((C88-G88)/(I88-G88),{""charttype"",""bar"";""max"",1;""min"",0;""color1"",""2c79b5""}),""n/a""))"),"")</f>
        <v/>
      </c>
      <c r="I88" s="385" t="str">
        <f>IFERROR(__xludf.DUMMYFUNCTION("IF(ISBLANK(A88),"""", googlefinance(A88, ""high52""))"),"")</f>
        <v/>
      </c>
      <c r="J88" s="387" t="s">
        <v>134</v>
      </c>
      <c r="K88" s="388" t="str">
        <f>IFERROR(__xludf.DUMMYFUNCTION("IF(ISBLANK(A88),"""", googlefinance(A88, ""PE""))"),"")</f>
        <v/>
      </c>
      <c r="L88" s="385" t="str">
        <f>IFERROR(__xludf.DUMMYFUNCTION("IF(ISBLANK(A88),"""", googlefinance(A88, ""eps""))"),"")</f>
        <v/>
      </c>
      <c r="M88" s="389" t="str">
        <f>IFERROR(__xludf.DUMMYFUNCTION("IfError(IF(isblank(A88),"""",split(Q88, ""()"")))"),"")</f>
        <v/>
      </c>
      <c r="N88" s="384"/>
      <c r="O88" s="385" t="str">
        <f t="shared" si="5"/>
        <v/>
      </c>
      <c r="P88" s="385" t="str">
        <f t="shared" si="6"/>
        <v/>
      </c>
      <c r="Q88" s="389" t="str">
        <f>IFERROR(__xludf.DUMMYFUNCTION("IfError(IF(isblank(A88),"""", substitute(index(IMPORTHTML(""http://finviz.com/quote.ashx?t=""&amp;A88,""table"", 10),7,2),""*"","""")),0)"),"")</f>
        <v/>
      </c>
    </row>
    <row r="89" ht="15.0" customHeight="1">
      <c r="A89" s="391" t="str">
        <f>'My Lab'!P50</f>
        <v/>
      </c>
      <c r="B89" s="382" t="str">
        <f>IFERROR(__xludf.DUMMYFUNCTION("IF(ISBLANK(A89),"""", googlefinance(A89, ""name""))"),"")</f>
        <v/>
      </c>
      <c r="C89" s="383" t="str">
        <f>IFERROR(__xludf.DUMMYFUNCTION("IF(ISBLANK(A89),"""", googlefinance(A89, ""price""))"),"")</f>
        <v/>
      </c>
      <c r="D89" s="383" t="str">
        <f>IFERROR(__xludf.DUMMYFUNCTION("IFERROR(googlefinance(A89,""change""),"""")"),"")</f>
        <v/>
      </c>
      <c r="E89" s="384" t="str">
        <f>IFERROR(__xludf.DUMMYFUNCTION("iferror(GOOGLEFINANCE(A89,""changepct"")/100,"""")"),"")</f>
        <v/>
      </c>
      <c r="F89" s="385" t="str">
        <f>IF(ISBLANK(A89), "", IF(COUNTIF(Positions!$A$2:$A$31, A89) &gt; 0, "Yes","No")
)</f>
        <v/>
      </c>
      <c r="G89" s="385" t="str">
        <f>IFERROR(__xludf.DUMMYFUNCTION("IF(ISBLANK(A89),"""", googlefinance(A89, ""low52""))"),"")</f>
        <v/>
      </c>
      <c r="H89" s="386" t="str">
        <f>IFERROR(__xludf.DUMMYFUNCTION("IF(ISBLANK(A89),"""",IFERROR(SPARKLINE((C89-G89)/(I89-G89),{""charttype"",""bar"";""max"",1;""min"",0;""color1"",""2c79b5""}),""n/a""))"),"")</f>
        <v/>
      </c>
      <c r="I89" s="385" t="str">
        <f>IFERROR(__xludf.DUMMYFUNCTION("IF(ISBLANK(A89),"""", googlefinance(A89, ""high52""))"),"")</f>
        <v/>
      </c>
      <c r="J89" s="387" t="s">
        <v>134</v>
      </c>
      <c r="K89" s="388" t="str">
        <f>IFERROR(__xludf.DUMMYFUNCTION("IF(ISBLANK(A89),"""", googlefinance(A89, ""PE""))"),"")</f>
        <v/>
      </c>
      <c r="L89" s="385" t="str">
        <f>IFERROR(__xludf.DUMMYFUNCTION("IF(ISBLANK(A89),"""", googlefinance(A89, ""eps""))"),"")</f>
        <v/>
      </c>
      <c r="M89" s="389" t="str">
        <f>IFERROR(__xludf.DUMMYFUNCTION("IfError(IF(isblank(A89),"""",split(Q89, ""()"")))"),"")</f>
        <v/>
      </c>
      <c r="N89" s="384"/>
      <c r="O89" s="385" t="str">
        <f t="shared" si="5"/>
        <v/>
      </c>
      <c r="P89" s="385" t="str">
        <f t="shared" si="6"/>
        <v/>
      </c>
      <c r="Q89" s="389" t="str">
        <f>IFERROR(__xludf.DUMMYFUNCTION("IfError(IF(isblank(A89),"""", substitute(index(IMPORTHTML(""http://finviz.com/quote.ashx?t=""&amp;A89,""table"", 10),7,2),""*"","""")),0)"),"")</f>
        <v/>
      </c>
    </row>
    <row r="90" ht="15.0" customHeight="1">
      <c r="A90" s="391" t="str">
        <f>'My Lab'!P51</f>
        <v/>
      </c>
      <c r="B90" s="382" t="str">
        <f>IFERROR(__xludf.DUMMYFUNCTION("IF(ISBLANK(A90),"""", googlefinance(A90, ""name""))"),"")</f>
        <v/>
      </c>
      <c r="C90" s="383" t="str">
        <f>IFERROR(__xludf.DUMMYFUNCTION("IF(ISBLANK(A90),"""", googlefinance(A90, ""price""))"),"")</f>
        <v/>
      </c>
      <c r="D90" s="383" t="str">
        <f>IFERROR(__xludf.DUMMYFUNCTION("IFERROR(googlefinance(A90,""change""),"""")"),"")</f>
        <v/>
      </c>
      <c r="E90" s="384" t="str">
        <f>IFERROR(__xludf.DUMMYFUNCTION("iferror(GOOGLEFINANCE(A90,""changepct"")/100,"""")"),"")</f>
        <v/>
      </c>
      <c r="F90" s="385" t="str">
        <f>IF(ISBLANK(A90), "", IF(COUNTIF(Positions!$A$2:$A$31, A90) &gt; 0, "Yes","No")
)</f>
        <v/>
      </c>
      <c r="G90" s="385" t="str">
        <f>IFERROR(__xludf.DUMMYFUNCTION("IF(ISBLANK(A90),"""", googlefinance(A90, ""low52""))"),"")</f>
        <v/>
      </c>
      <c r="H90" s="386" t="str">
        <f>IFERROR(__xludf.DUMMYFUNCTION("IF(ISBLANK(A90),"""",IFERROR(SPARKLINE((C90-G90)/(I90-G90),{""charttype"",""bar"";""max"",1;""min"",0;""color1"",""2c79b5""}),""n/a""))"),"")</f>
        <v/>
      </c>
      <c r="I90" s="385" t="str">
        <f>IFERROR(__xludf.DUMMYFUNCTION("IF(ISBLANK(A90),"""", googlefinance(A90, ""high52""))"),"")</f>
        <v/>
      </c>
      <c r="J90" s="387" t="s">
        <v>134</v>
      </c>
      <c r="K90" s="388" t="str">
        <f>IFERROR(__xludf.DUMMYFUNCTION("IF(ISBLANK(A90),"""", googlefinance(A90, ""PE""))"),"")</f>
        <v/>
      </c>
      <c r="L90" s="385" t="str">
        <f>IFERROR(__xludf.DUMMYFUNCTION("IF(ISBLANK(A90),"""", googlefinance(A90, ""eps""))"),"")</f>
        <v/>
      </c>
      <c r="M90" s="389" t="str">
        <f>IFERROR(__xludf.DUMMYFUNCTION("IfError(IF(isblank(A90),"""",split(Q90, ""()"")))"),"")</f>
        <v/>
      </c>
      <c r="N90" s="384"/>
      <c r="O90" s="385" t="str">
        <f t="shared" si="5"/>
        <v/>
      </c>
      <c r="P90" s="385" t="str">
        <f t="shared" si="6"/>
        <v/>
      </c>
      <c r="Q90" s="389" t="str">
        <f>IFERROR(__xludf.DUMMYFUNCTION("IfError(IF(isblank(A90),"""", substitute(index(IMPORTHTML(""http://finviz.com/quote.ashx?t=""&amp;A90,""table"", 10),7,2),""*"","""")),0)"),"")</f>
        <v/>
      </c>
    </row>
    <row r="91" ht="15.0" customHeight="1">
      <c r="A91" s="391" t="str">
        <f>'My Lab'!P52</f>
        <v/>
      </c>
      <c r="B91" s="382" t="str">
        <f>IFERROR(__xludf.DUMMYFUNCTION("IF(ISBLANK(A91),"""", googlefinance(A91, ""name""))"),"")</f>
        <v/>
      </c>
      <c r="C91" s="383" t="str">
        <f>IFERROR(__xludf.DUMMYFUNCTION("IF(ISBLANK(A91),"""", googlefinance(A91, ""price""))"),"")</f>
        <v/>
      </c>
      <c r="D91" s="383" t="str">
        <f>IFERROR(__xludf.DUMMYFUNCTION("IFERROR(googlefinance(A91,""change""),"""")"),"")</f>
        <v/>
      </c>
      <c r="E91" s="384" t="str">
        <f>IFERROR(__xludf.DUMMYFUNCTION("iferror(GOOGLEFINANCE(A91,""changepct"")/100,"""")"),"")</f>
        <v/>
      </c>
      <c r="F91" s="385" t="str">
        <f>IF(ISBLANK(A91), "", IF(COUNTIF(Positions!$A$2:$A$31, A91) &gt; 0, "Yes","No")
)</f>
        <v/>
      </c>
      <c r="G91" s="385" t="str">
        <f>IFERROR(__xludf.DUMMYFUNCTION("IF(ISBLANK(A91),"""", googlefinance(A91, ""low52""))"),"")</f>
        <v/>
      </c>
      <c r="H91" s="386" t="str">
        <f>IFERROR(__xludf.DUMMYFUNCTION("IF(ISBLANK(A91),"""",IFERROR(SPARKLINE((C91-G91)/(I91-G91),{""charttype"",""bar"";""max"",1;""min"",0;""color1"",""2c79b5""}),""n/a""))"),"")</f>
        <v/>
      </c>
      <c r="I91" s="385" t="str">
        <f>IFERROR(__xludf.DUMMYFUNCTION("IF(ISBLANK(A91),"""", googlefinance(A91, ""high52""))"),"")</f>
        <v/>
      </c>
      <c r="J91" s="387" t="s">
        <v>134</v>
      </c>
      <c r="K91" s="388" t="str">
        <f>IFERROR(__xludf.DUMMYFUNCTION("IF(ISBLANK(A91),"""", googlefinance(A91, ""PE""))"),"")</f>
        <v/>
      </c>
      <c r="L91" s="385" t="str">
        <f>IFERROR(__xludf.DUMMYFUNCTION("IF(ISBLANK(A91),"""", googlefinance(A91, ""eps""))"),"")</f>
        <v/>
      </c>
      <c r="M91" s="389" t="str">
        <f>IFERROR(__xludf.DUMMYFUNCTION("IfError(IF(isblank(A91),"""",split(Q91, ""()"")))"),"")</f>
        <v/>
      </c>
      <c r="N91" s="384"/>
      <c r="O91" s="385" t="str">
        <f t="shared" si="5"/>
        <v/>
      </c>
      <c r="P91" s="385" t="str">
        <f t="shared" si="6"/>
        <v/>
      </c>
      <c r="Q91" s="389" t="str">
        <f>IFERROR(__xludf.DUMMYFUNCTION("IfError(IF(isblank(A91),"""", substitute(index(IMPORTHTML(""http://finviz.com/quote.ashx?t=""&amp;A91,""table"", 10),7,2),""*"","""")),0)"),"")</f>
        <v/>
      </c>
    </row>
    <row r="92" ht="15.0" customHeight="1">
      <c r="A92" s="391" t="str">
        <f>'My Lab'!P53</f>
        <v/>
      </c>
      <c r="B92" s="382" t="str">
        <f>IFERROR(__xludf.DUMMYFUNCTION("IF(ISBLANK(A92),"""", googlefinance(A92, ""name""))"),"")</f>
        <v/>
      </c>
      <c r="C92" s="383" t="str">
        <f>IFERROR(__xludf.DUMMYFUNCTION("IF(ISBLANK(A92),"""", googlefinance(A92, ""price""))"),"")</f>
        <v/>
      </c>
      <c r="D92" s="383" t="str">
        <f>IFERROR(__xludf.DUMMYFUNCTION("IFERROR(googlefinance(A92,""change""),"""")"),"")</f>
        <v/>
      </c>
      <c r="E92" s="384" t="str">
        <f>IFERROR(__xludf.DUMMYFUNCTION("iferror(GOOGLEFINANCE(A92,""changepct"")/100,"""")"),"")</f>
        <v/>
      </c>
      <c r="F92" s="385" t="str">
        <f>IF(ISBLANK(A92), "", IF(COUNTIF(Positions!$A$2:$A$31, A92) &gt; 0, "Yes","No")
)</f>
        <v/>
      </c>
      <c r="G92" s="385" t="str">
        <f>IFERROR(__xludf.DUMMYFUNCTION("IF(ISBLANK(A92),"""", googlefinance(A92, ""low52""))"),"")</f>
        <v/>
      </c>
      <c r="H92" s="386" t="str">
        <f>IFERROR(__xludf.DUMMYFUNCTION("IF(ISBLANK(A92),"""",IFERROR(SPARKLINE((C92-G92)/(I92-G92),{""charttype"",""bar"";""max"",1;""min"",0;""color1"",""2c79b5""}),""n/a""))"),"")</f>
        <v/>
      </c>
      <c r="I92" s="385" t="str">
        <f>IFERROR(__xludf.DUMMYFUNCTION("IF(ISBLANK(A92),"""", googlefinance(A92, ""high52""))"),"")</f>
        <v/>
      </c>
      <c r="J92" s="387" t="s">
        <v>134</v>
      </c>
      <c r="K92" s="388" t="str">
        <f>IFERROR(__xludf.DUMMYFUNCTION("IF(ISBLANK(A92),"""", googlefinance(A92, ""PE""))"),"")</f>
        <v/>
      </c>
      <c r="L92" s="385" t="str">
        <f>IFERROR(__xludf.DUMMYFUNCTION("IF(ISBLANK(A92),"""", googlefinance(A92, ""eps""))"),"")</f>
        <v/>
      </c>
      <c r="M92" s="389" t="str">
        <f>IFERROR(__xludf.DUMMYFUNCTION("IfError(IF(isblank(A92),"""",split(Q92, ""()"")))"),"")</f>
        <v/>
      </c>
      <c r="N92" s="384"/>
      <c r="O92" s="385" t="str">
        <f t="shared" si="5"/>
        <v/>
      </c>
      <c r="P92" s="385" t="str">
        <f t="shared" si="6"/>
        <v/>
      </c>
      <c r="Q92" s="389" t="str">
        <f>IFERROR(__xludf.DUMMYFUNCTION("IfError(IF(isblank(A92),"""", substitute(index(IMPORTHTML(""http://finviz.com/quote.ashx?t=""&amp;A92,""table"", 10),7,2),""*"","""")),0)"),"")</f>
        <v/>
      </c>
    </row>
    <row r="93" ht="15.0" customHeight="1">
      <c r="A93" s="391" t="str">
        <f>'My Lab'!P54</f>
        <v/>
      </c>
      <c r="B93" s="382" t="str">
        <f>IFERROR(__xludf.DUMMYFUNCTION("IF(ISBLANK(A93),"""", googlefinance(A93, ""name""))"),"")</f>
        <v/>
      </c>
      <c r="C93" s="383" t="str">
        <f>IFERROR(__xludf.DUMMYFUNCTION("IF(ISBLANK(A93),"""", googlefinance(A93, ""price""))"),"")</f>
        <v/>
      </c>
      <c r="D93" s="383" t="str">
        <f>IFERROR(__xludf.DUMMYFUNCTION("IFERROR(googlefinance(A93,""change""),"""")"),"")</f>
        <v/>
      </c>
      <c r="E93" s="384" t="str">
        <f>IFERROR(__xludf.DUMMYFUNCTION("iferror(GOOGLEFINANCE(A93,""changepct"")/100,"""")"),"")</f>
        <v/>
      </c>
      <c r="F93" s="385" t="str">
        <f>IF(ISBLANK(A93), "", IF(COUNTIF(Positions!$A$2:$A$31, A93) &gt; 0, "Yes","No")
)</f>
        <v/>
      </c>
      <c r="G93" s="385" t="str">
        <f>IFERROR(__xludf.DUMMYFUNCTION("IF(ISBLANK(A93),"""", googlefinance(A93, ""low52""))"),"")</f>
        <v/>
      </c>
      <c r="H93" s="386" t="str">
        <f>IFERROR(__xludf.DUMMYFUNCTION("IF(ISBLANK(A93),"""",IFERROR(SPARKLINE((C93-G93)/(I93-G93),{""charttype"",""bar"";""max"",1;""min"",0;""color1"",""2c79b5""}),""n/a""))"),"")</f>
        <v/>
      </c>
      <c r="I93" s="385" t="str">
        <f>IFERROR(__xludf.DUMMYFUNCTION("IF(ISBLANK(A93),"""", googlefinance(A93, ""high52""))"),"")</f>
        <v/>
      </c>
      <c r="J93" s="387" t="s">
        <v>134</v>
      </c>
      <c r="K93" s="388" t="str">
        <f>IFERROR(__xludf.DUMMYFUNCTION("IF(ISBLANK(A93),"""", googlefinance(A93, ""PE""))"),"")</f>
        <v/>
      </c>
      <c r="L93" s="385" t="str">
        <f>IFERROR(__xludf.DUMMYFUNCTION("IF(ISBLANK(A93),"""", googlefinance(A93, ""eps""))"),"")</f>
        <v/>
      </c>
      <c r="M93" s="389" t="str">
        <f>IFERROR(__xludf.DUMMYFUNCTION("IfError(IF(isblank(A93),"""",split(Q93, ""()"")))"),"")</f>
        <v/>
      </c>
      <c r="N93" s="384"/>
      <c r="O93" s="385" t="str">
        <f t="shared" si="5"/>
        <v/>
      </c>
      <c r="P93" s="385" t="str">
        <f t="shared" si="6"/>
        <v/>
      </c>
      <c r="Q93" s="389" t="str">
        <f>IFERROR(__xludf.DUMMYFUNCTION("IfError(IF(isblank(A93),"""", substitute(index(IMPORTHTML(""http://finviz.com/quote.ashx?t=""&amp;A93,""table"", 10),7,2),""*"","""")),0)"),"")</f>
        <v/>
      </c>
    </row>
    <row r="94" ht="15.0" customHeight="1">
      <c r="A94" s="391" t="str">
        <f>'My Lab'!P55</f>
        <v/>
      </c>
      <c r="B94" s="382" t="str">
        <f>IFERROR(__xludf.DUMMYFUNCTION("IF(ISBLANK(A94),"""", googlefinance(A94, ""name""))"),"")</f>
        <v/>
      </c>
      <c r="C94" s="383" t="str">
        <f>IFERROR(__xludf.DUMMYFUNCTION("IF(ISBLANK(A94),"""", googlefinance(A94, ""price""))"),"")</f>
        <v/>
      </c>
      <c r="D94" s="383" t="str">
        <f>IFERROR(__xludf.DUMMYFUNCTION("IFERROR(googlefinance(A94,""change""),"""")"),"")</f>
        <v/>
      </c>
      <c r="E94" s="384" t="str">
        <f>IFERROR(__xludf.DUMMYFUNCTION("iferror(GOOGLEFINANCE(A94,""changepct"")/100,"""")"),"")</f>
        <v/>
      </c>
      <c r="F94" s="385" t="str">
        <f>IF(ISBLANK(A94), "", IF(COUNTIF(Positions!$A$2:$A$31, A94) &gt; 0, "Yes","No")
)</f>
        <v/>
      </c>
      <c r="G94" s="385" t="str">
        <f>IFERROR(__xludf.DUMMYFUNCTION("IF(ISBLANK(A94),"""", googlefinance(A94, ""low52""))"),"")</f>
        <v/>
      </c>
      <c r="H94" s="386" t="str">
        <f>IFERROR(__xludf.DUMMYFUNCTION("IF(ISBLANK(A94),"""",IFERROR(SPARKLINE((C94-G94)/(I94-G94),{""charttype"",""bar"";""max"",1;""min"",0;""color1"",""2c79b5""}),""n/a""))"),"")</f>
        <v/>
      </c>
      <c r="I94" s="385" t="str">
        <f>IFERROR(__xludf.DUMMYFUNCTION("IF(ISBLANK(A94),"""", googlefinance(A94, ""high52""))"),"")</f>
        <v/>
      </c>
      <c r="J94" s="387" t="s">
        <v>134</v>
      </c>
      <c r="K94" s="388" t="str">
        <f>IFERROR(__xludf.DUMMYFUNCTION("IF(ISBLANK(A94),"""", googlefinance(A94, ""PE""))"),"")</f>
        <v/>
      </c>
      <c r="L94" s="385" t="str">
        <f>IFERROR(__xludf.DUMMYFUNCTION("IF(ISBLANK(A94),"""", googlefinance(A94, ""eps""))"),"")</f>
        <v/>
      </c>
      <c r="M94" s="389" t="str">
        <f>IFERROR(__xludf.DUMMYFUNCTION("IfError(IF(isblank(A94),"""",split(Q94, ""()"")))"),"")</f>
        <v/>
      </c>
      <c r="N94" s="384"/>
      <c r="O94" s="385" t="str">
        <f t="shared" si="5"/>
        <v/>
      </c>
      <c r="P94" s="385" t="str">
        <f t="shared" si="6"/>
        <v/>
      </c>
      <c r="Q94" s="389" t="str">
        <f>IFERROR(__xludf.DUMMYFUNCTION("IfError(IF(isblank(A94),"""", substitute(index(IMPORTHTML(""http://finviz.com/quote.ashx?t=""&amp;A94,""table"", 10),7,2),""*"","""")),0)"),"")</f>
        <v/>
      </c>
    </row>
    <row r="95" ht="15.0" customHeight="1">
      <c r="A95" s="391" t="str">
        <f>'My Lab'!P56</f>
        <v/>
      </c>
      <c r="B95" s="382" t="str">
        <f>IFERROR(__xludf.DUMMYFUNCTION("IF(ISBLANK(A95),"""", googlefinance(A95, ""name""))"),"")</f>
        <v/>
      </c>
      <c r="C95" s="383" t="str">
        <f>IFERROR(__xludf.DUMMYFUNCTION("IF(ISBLANK(A95),"""", googlefinance(A95, ""price""))"),"")</f>
        <v/>
      </c>
      <c r="D95" s="383" t="str">
        <f>IFERROR(__xludf.DUMMYFUNCTION("IFERROR(googlefinance(A95,""change""),"""")"),"")</f>
        <v/>
      </c>
      <c r="E95" s="384" t="str">
        <f>IFERROR(__xludf.DUMMYFUNCTION("iferror(GOOGLEFINANCE(A95,""changepct"")/100,"""")"),"")</f>
        <v/>
      </c>
      <c r="F95" s="385" t="str">
        <f>IF(ISBLANK(A95), "", IF(COUNTIF(Positions!$A$2:$A$31, A95) &gt; 0, "Yes","No")
)</f>
        <v/>
      </c>
      <c r="G95" s="385" t="str">
        <f>IFERROR(__xludf.DUMMYFUNCTION("IF(ISBLANK(A95),"""", googlefinance(A95, ""low52""))"),"")</f>
        <v/>
      </c>
      <c r="H95" s="386" t="str">
        <f>IFERROR(__xludf.DUMMYFUNCTION("IF(ISBLANK(A95),"""",IFERROR(SPARKLINE((C95-G95)/(I95-G95),{""charttype"",""bar"";""max"",1;""min"",0;""color1"",""2c79b5""}),""n/a""))"),"")</f>
        <v/>
      </c>
      <c r="I95" s="385" t="str">
        <f>IFERROR(__xludf.DUMMYFUNCTION("IF(ISBLANK(A95),"""", googlefinance(A95, ""high52""))"),"")</f>
        <v/>
      </c>
      <c r="J95" s="387" t="s">
        <v>134</v>
      </c>
      <c r="K95" s="388" t="str">
        <f>IFERROR(__xludf.DUMMYFUNCTION("IF(ISBLANK(A95),"""", googlefinance(A95, ""PE""))"),"")</f>
        <v/>
      </c>
      <c r="L95" s="385" t="str">
        <f>IFERROR(__xludf.DUMMYFUNCTION("IF(ISBLANK(A95),"""", googlefinance(A95, ""eps""))"),"")</f>
        <v/>
      </c>
      <c r="M95" s="389" t="str">
        <f>IFERROR(__xludf.DUMMYFUNCTION("IfError(IF(isblank(A95),"""",split(Q95, ""()"")))"),"")</f>
        <v/>
      </c>
      <c r="N95" s="384"/>
      <c r="O95" s="385" t="str">
        <f t="shared" si="5"/>
        <v/>
      </c>
      <c r="P95" s="385" t="str">
        <f t="shared" si="6"/>
        <v/>
      </c>
      <c r="Q95" s="389" t="str">
        <f>IFERROR(__xludf.DUMMYFUNCTION("IfError(IF(isblank(A95),"""", substitute(index(IMPORTHTML(""http://finviz.com/quote.ashx?t=""&amp;A95,""table"", 10),7,2),""*"","""")),0)"),"")</f>
        <v/>
      </c>
    </row>
    <row r="96" ht="15.0" customHeight="1">
      <c r="A96" s="391" t="str">
        <f>'My Lab'!P57</f>
        <v/>
      </c>
      <c r="B96" s="382" t="str">
        <f>IFERROR(__xludf.DUMMYFUNCTION("IF(ISBLANK(A96),"""", googlefinance(A96, ""name""))"),"")</f>
        <v/>
      </c>
      <c r="C96" s="383" t="str">
        <f>IFERROR(__xludf.DUMMYFUNCTION("IF(ISBLANK(A96),"""", googlefinance(A96, ""price""))"),"")</f>
        <v/>
      </c>
      <c r="D96" s="383" t="str">
        <f>IFERROR(__xludf.DUMMYFUNCTION("IFERROR(googlefinance(A96,""change""),"""")"),"")</f>
        <v/>
      </c>
      <c r="E96" s="384" t="str">
        <f>IFERROR(__xludf.DUMMYFUNCTION("iferror(GOOGLEFINANCE(A96,""changepct"")/100,"""")"),"")</f>
        <v/>
      </c>
      <c r="F96" s="385" t="str">
        <f>IF(ISBLANK(A96), "", IF(COUNTIF(Positions!$A$2:$A$31, A96) &gt; 0, "Yes","No")
)</f>
        <v/>
      </c>
      <c r="G96" s="385" t="str">
        <f>IFERROR(__xludf.DUMMYFUNCTION("IF(ISBLANK(A96),"""", googlefinance(A96, ""low52""))"),"")</f>
        <v/>
      </c>
      <c r="H96" s="386" t="str">
        <f>IFERROR(__xludf.DUMMYFUNCTION("IF(ISBLANK(A96),"""",IFERROR(SPARKLINE((C96-G96)/(I96-G96),{""charttype"",""bar"";""max"",1;""min"",0;""color1"",""2c79b5""}),""n/a""))"),"")</f>
        <v/>
      </c>
      <c r="I96" s="385" t="str">
        <f>IFERROR(__xludf.DUMMYFUNCTION("IF(ISBLANK(A96),"""", googlefinance(A96, ""high52""))"),"")</f>
        <v/>
      </c>
      <c r="J96" s="387" t="s">
        <v>134</v>
      </c>
      <c r="K96" s="388" t="str">
        <f>IFERROR(__xludf.DUMMYFUNCTION("IF(ISBLANK(A96),"""", googlefinance(A96, ""PE""))"),"")</f>
        <v/>
      </c>
      <c r="L96" s="385" t="str">
        <f>IFERROR(__xludf.DUMMYFUNCTION("IF(ISBLANK(A96),"""", googlefinance(A96, ""eps""))"),"")</f>
        <v/>
      </c>
      <c r="M96" s="389" t="str">
        <f>IFERROR(__xludf.DUMMYFUNCTION("IfError(IF(isblank(A96),"""",split(Q96, ""()"")))"),"")</f>
        <v/>
      </c>
      <c r="N96" s="384"/>
      <c r="O96" s="385" t="str">
        <f t="shared" si="5"/>
        <v/>
      </c>
      <c r="P96" s="385" t="str">
        <f t="shared" si="6"/>
        <v/>
      </c>
      <c r="Q96" s="389" t="str">
        <f>IFERROR(__xludf.DUMMYFUNCTION("IfError(IF(isblank(A96),"""", substitute(index(IMPORTHTML(""http://finviz.com/quote.ashx?t=""&amp;A96,""table"", 10),7,2),""*"","""")),0)"),"")</f>
        <v/>
      </c>
    </row>
    <row r="97" ht="15.0" customHeight="1">
      <c r="A97" s="391" t="str">
        <f>'My Lab'!P58</f>
        <v/>
      </c>
      <c r="B97" s="382" t="str">
        <f>IFERROR(__xludf.DUMMYFUNCTION("IF(ISBLANK(A97),"""", googlefinance(A97, ""name""))"),"")</f>
        <v/>
      </c>
      <c r="C97" s="383" t="str">
        <f>IFERROR(__xludf.DUMMYFUNCTION("IF(ISBLANK(A97),"""", googlefinance(A97, ""price""))"),"")</f>
        <v/>
      </c>
      <c r="D97" s="383" t="str">
        <f>IFERROR(__xludf.DUMMYFUNCTION("IFERROR(googlefinance(A97,""change""),"""")"),"")</f>
        <v/>
      </c>
      <c r="E97" s="384" t="str">
        <f>IFERROR(__xludf.DUMMYFUNCTION("iferror(GOOGLEFINANCE(A97,""changepct"")/100,"""")"),"")</f>
        <v/>
      </c>
      <c r="F97" s="385" t="str">
        <f>IF(ISBLANK(A97), "", IF(COUNTIF(Positions!$A$2:$A$31, A97) &gt; 0, "Yes","No")
)</f>
        <v/>
      </c>
      <c r="G97" s="385" t="str">
        <f>IFERROR(__xludf.DUMMYFUNCTION("IF(ISBLANK(A97),"""", googlefinance(A97, ""low52""))"),"")</f>
        <v/>
      </c>
      <c r="H97" s="386" t="str">
        <f>IFERROR(__xludf.DUMMYFUNCTION("IF(ISBLANK(A97),"""",IFERROR(SPARKLINE((C97-G97)/(I97-G97),{""charttype"",""bar"";""max"",1;""min"",0;""color1"",""2c79b5""}),""n/a""))"),"")</f>
        <v/>
      </c>
      <c r="I97" s="385" t="str">
        <f>IFERROR(__xludf.DUMMYFUNCTION("IF(ISBLANK(A97),"""", googlefinance(A97, ""high52""))"),"")</f>
        <v/>
      </c>
      <c r="J97" s="387" t="s">
        <v>134</v>
      </c>
      <c r="K97" s="388" t="str">
        <f>IFERROR(__xludf.DUMMYFUNCTION("IF(ISBLANK(A97),"""", googlefinance(A97, ""PE""))"),"")</f>
        <v/>
      </c>
      <c r="L97" s="385" t="str">
        <f>IFERROR(__xludf.DUMMYFUNCTION("IF(ISBLANK(A97),"""", googlefinance(A97, ""eps""))"),"")</f>
        <v/>
      </c>
      <c r="M97" s="389" t="str">
        <f>IFERROR(__xludf.DUMMYFUNCTION("IfError(IF(isblank(A97),"""",split(Q97, ""()"")))"),"")</f>
        <v/>
      </c>
      <c r="N97" s="384"/>
      <c r="O97" s="385" t="str">
        <f t="shared" si="5"/>
        <v/>
      </c>
      <c r="P97" s="385" t="str">
        <f t="shared" si="6"/>
        <v/>
      </c>
      <c r="Q97" s="389" t="str">
        <f>IFERROR(__xludf.DUMMYFUNCTION("IfError(IF(isblank(A97),"""", substitute(index(IMPORTHTML(""http://finviz.com/quote.ashx?t=""&amp;A97,""table"", 10),7,2),""*"","""")),0)"),"")</f>
        <v/>
      </c>
    </row>
    <row r="98" ht="15.0" customHeight="1">
      <c r="A98" s="391" t="str">
        <f>'My Lab'!P59</f>
        <v/>
      </c>
      <c r="B98" s="382" t="str">
        <f>IFERROR(__xludf.DUMMYFUNCTION("IF(ISBLANK(A98),"""", googlefinance(A98, ""name""))"),"")</f>
        <v/>
      </c>
      <c r="C98" s="383" t="str">
        <f>IFERROR(__xludf.DUMMYFUNCTION("IF(ISBLANK(A98),"""", googlefinance(A98, ""price""))"),"")</f>
        <v/>
      </c>
      <c r="D98" s="383" t="str">
        <f>IFERROR(__xludf.DUMMYFUNCTION("IFERROR(googlefinance(A98,""change""),"""")"),"")</f>
        <v/>
      </c>
      <c r="E98" s="384" t="str">
        <f>IFERROR(__xludf.DUMMYFUNCTION("iferror(GOOGLEFINANCE(A98,""changepct"")/100,"""")"),"")</f>
        <v/>
      </c>
      <c r="F98" s="385" t="str">
        <f>IF(ISBLANK(A98), "", IF(COUNTIF(Positions!$A$2:$A$31, A98) &gt; 0, "Yes","No")
)</f>
        <v/>
      </c>
      <c r="G98" s="385" t="str">
        <f>IFERROR(__xludf.DUMMYFUNCTION("IF(ISBLANK(A98),"""", googlefinance(A98, ""low52""))"),"")</f>
        <v/>
      </c>
      <c r="H98" s="386" t="str">
        <f>IFERROR(__xludf.DUMMYFUNCTION("IF(ISBLANK(A98),"""",IFERROR(SPARKLINE((C98-G98)/(I98-G98),{""charttype"",""bar"";""max"",1;""min"",0;""color1"",""2c79b5""}),""n/a""))"),"")</f>
        <v/>
      </c>
      <c r="I98" s="385" t="str">
        <f>IFERROR(__xludf.DUMMYFUNCTION("IF(ISBLANK(A98),"""", googlefinance(A98, ""high52""))"),"")</f>
        <v/>
      </c>
      <c r="J98" s="387" t="s">
        <v>134</v>
      </c>
      <c r="K98" s="388" t="str">
        <f>IFERROR(__xludf.DUMMYFUNCTION("IF(ISBLANK(A98),"""", googlefinance(A98, ""PE""))"),"")</f>
        <v/>
      </c>
      <c r="L98" s="385" t="str">
        <f>IFERROR(__xludf.DUMMYFUNCTION("IF(ISBLANK(A98),"""", googlefinance(A98, ""eps""))"),"")</f>
        <v/>
      </c>
      <c r="M98" s="389" t="str">
        <f>IFERROR(__xludf.DUMMYFUNCTION("IfError(IF(isblank(A98),"""",split(Q98, ""()"")))"),"")</f>
        <v/>
      </c>
      <c r="N98" s="384"/>
      <c r="O98" s="385" t="str">
        <f t="shared" si="5"/>
        <v/>
      </c>
      <c r="P98" s="385" t="str">
        <f t="shared" si="6"/>
        <v/>
      </c>
      <c r="Q98" s="389" t="str">
        <f>IFERROR(__xludf.DUMMYFUNCTION("IfError(IF(isblank(A98),"""", substitute(index(IMPORTHTML(""http://finviz.com/quote.ashx?t=""&amp;A98,""table"", 10),7,2),""*"","""")),0)"),"")</f>
        <v/>
      </c>
    </row>
    <row r="99" ht="15.0" customHeight="1">
      <c r="A99" s="391" t="str">
        <f>'My Lab'!P60</f>
        <v/>
      </c>
      <c r="B99" s="382" t="str">
        <f>IFERROR(__xludf.DUMMYFUNCTION("IF(ISBLANK(A99),"""", googlefinance(A99, ""name""))"),"")</f>
        <v/>
      </c>
      <c r="C99" s="383" t="str">
        <f>IFERROR(__xludf.DUMMYFUNCTION("IF(ISBLANK(A99),"""", googlefinance(A99, ""price""))"),"")</f>
        <v/>
      </c>
      <c r="D99" s="383" t="str">
        <f>IFERROR(__xludf.DUMMYFUNCTION("IFERROR(googlefinance(A99,""change""),"""")"),"")</f>
        <v/>
      </c>
      <c r="E99" s="384" t="str">
        <f>IFERROR(__xludf.DUMMYFUNCTION("iferror(GOOGLEFINANCE(A99,""changepct"")/100,"""")"),"")</f>
        <v/>
      </c>
      <c r="F99" s="385" t="str">
        <f>IF(ISBLANK(A99), "", IF(COUNTIF(Positions!$A$2:$A$31, A99) &gt; 0, "Yes","No")
)</f>
        <v/>
      </c>
      <c r="G99" s="385" t="str">
        <f>IFERROR(__xludf.DUMMYFUNCTION("IF(ISBLANK(A99),"""", googlefinance(A99, ""low52""))"),"")</f>
        <v/>
      </c>
      <c r="H99" s="386" t="str">
        <f>IFERROR(__xludf.DUMMYFUNCTION("IF(ISBLANK(A99),"""",IFERROR(SPARKLINE((C99-G99)/(I99-G99),{""charttype"",""bar"";""max"",1;""min"",0;""color1"",""2c79b5""}),""n/a""))"),"")</f>
        <v/>
      </c>
      <c r="I99" s="385" t="str">
        <f>IFERROR(__xludf.DUMMYFUNCTION("IF(ISBLANK(A99),"""", googlefinance(A99, ""high52""))"),"")</f>
        <v/>
      </c>
      <c r="J99" s="387" t="s">
        <v>134</v>
      </c>
      <c r="K99" s="388" t="str">
        <f>IFERROR(__xludf.DUMMYFUNCTION("IF(ISBLANK(A99),"""", googlefinance(A99, ""PE""))"),"")</f>
        <v/>
      </c>
      <c r="L99" s="385" t="str">
        <f>IFERROR(__xludf.DUMMYFUNCTION("IF(ISBLANK(A99),"""", googlefinance(A99, ""eps""))"),"")</f>
        <v/>
      </c>
      <c r="M99" s="389" t="str">
        <f>IFERROR(__xludf.DUMMYFUNCTION("IfError(IF(isblank(A99),"""",split(Q99, ""()"")))"),"")</f>
        <v/>
      </c>
      <c r="N99" s="384"/>
      <c r="O99" s="385" t="str">
        <f t="shared" si="5"/>
        <v/>
      </c>
      <c r="P99" s="385" t="str">
        <f t="shared" si="6"/>
        <v/>
      </c>
      <c r="Q99" s="389" t="str">
        <f>IFERROR(__xludf.DUMMYFUNCTION("IfError(IF(isblank(A99),"""", substitute(index(IMPORTHTML(""http://finviz.com/quote.ashx?t=""&amp;A99,""table"", 10),7,2),""*"","""")),0)"),"")</f>
        <v/>
      </c>
    </row>
    <row r="100" ht="15.0" customHeight="1">
      <c r="A100" s="391" t="str">
        <f>'My Lab'!P61</f>
        <v/>
      </c>
      <c r="B100" s="382" t="str">
        <f>IFERROR(__xludf.DUMMYFUNCTION("IF(ISBLANK(A100),"""", googlefinance(A100, ""name""))"),"")</f>
        <v/>
      </c>
      <c r="C100" s="383" t="str">
        <f>IFERROR(__xludf.DUMMYFUNCTION("IF(ISBLANK(A100),"""", googlefinance(A100, ""price""))"),"")</f>
        <v/>
      </c>
      <c r="D100" s="383" t="str">
        <f>IFERROR(__xludf.DUMMYFUNCTION("IFERROR(googlefinance(A100,""change""),"""")"),"")</f>
        <v/>
      </c>
      <c r="E100" s="384" t="str">
        <f>IFERROR(__xludf.DUMMYFUNCTION("iferror(GOOGLEFINANCE(A100,""changepct"")/100,"""")"),"")</f>
        <v/>
      </c>
      <c r="F100" s="385" t="str">
        <f>IF(ISBLANK(A100), "", IF(COUNTIF(Positions!$A$2:$A$31, A100) &gt; 0, "Yes","No")
)</f>
        <v/>
      </c>
      <c r="G100" s="385" t="str">
        <f>IFERROR(__xludf.DUMMYFUNCTION("IF(ISBLANK(A100),"""", googlefinance(A100, ""low52""))"),"")</f>
        <v/>
      </c>
      <c r="H100" s="386" t="str">
        <f>IFERROR(__xludf.DUMMYFUNCTION("IF(ISBLANK(A100),"""",IFERROR(SPARKLINE((C100-G100)/(I100-G100),{""charttype"",""bar"";""max"",1;""min"",0;""color1"",""2c79b5""}),""n/a""))"),"")</f>
        <v/>
      </c>
      <c r="I100" s="385" t="str">
        <f>IFERROR(__xludf.DUMMYFUNCTION("IF(ISBLANK(A100),"""", googlefinance(A100, ""high52""))"),"")</f>
        <v/>
      </c>
      <c r="J100" s="387" t="s">
        <v>134</v>
      </c>
      <c r="K100" s="388" t="str">
        <f>IFERROR(__xludf.DUMMYFUNCTION("IF(ISBLANK(A100),"""", googlefinance(A100, ""PE""))"),"")</f>
        <v/>
      </c>
      <c r="L100" s="385" t="str">
        <f>IFERROR(__xludf.DUMMYFUNCTION("IF(ISBLANK(A100),"""", googlefinance(A100, ""eps""))"),"")</f>
        <v/>
      </c>
      <c r="M100" s="389" t="str">
        <f>IFERROR(__xludf.DUMMYFUNCTION("IfError(IF(isblank(A100),"""",split(Q100, ""()"")))"),"")</f>
        <v/>
      </c>
      <c r="N100" s="384"/>
      <c r="O100" s="385" t="str">
        <f t="shared" si="5"/>
        <v/>
      </c>
      <c r="P100" s="385" t="str">
        <f t="shared" si="6"/>
        <v/>
      </c>
      <c r="Q100" s="389" t="str">
        <f>IFERROR(__xludf.DUMMYFUNCTION("IfError(IF(isblank(A100),"""", substitute(index(IMPORTHTML(""http://finviz.com/quote.ashx?t=""&amp;A100,""table"", 10),7,2),""*"","""")),0)"),"")</f>
        <v/>
      </c>
    </row>
    <row r="101" ht="15.0" customHeight="1">
      <c r="A101" s="391" t="str">
        <f>'My Lab'!P62</f>
        <v/>
      </c>
      <c r="B101" s="382" t="str">
        <f>IFERROR(__xludf.DUMMYFUNCTION("IF(ISBLANK(A101),"""", googlefinance(A101, ""name""))"),"")</f>
        <v/>
      </c>
      <c r="C101" s="383" t="str">
        <f>IFERROR(__xludf.DUMMYFUNCTION("IF(ISBLANK(A101),"""", googlefinance(A101, ""price""))"),"")</f>
        <v/>
      </c>
      <c r="D101" s="383" t="str">
        <f>IFERROR(__xludf.DUMMYFUNCTION("IFERROR(googlefinance(A101,""change""),"""")"),"")</f>
        <v/>
      </c>
      <c r="E101" s="384" t="str">
        <f>IFERROR(__xludf.DUMMYFUNCTION("iferror(GOOGLEFINANCE(A101,""changepct"")/100,"""")"),"")</f>
        <v/>
      </c>
      <c r="F101" s="385" t="str">
        <f>IF(ISBLANK(A101), "", IF(COUNTIF(Positions!$A$2:$A$31, A101) &gt; 0, "Yes","No")
)</f>
        <v/>
      </c>
      <c r="G101" s="385" t="str">
        <f>IFERROR(__xludf.DUMMYFUNCTION("IF(ISBLANK(A101),"""", googlefinance(A101, ""low52""))"),"")</f>
        <v/>
      </c>
      <c r="H101" s="386" t="str">
        <f>IFERROR(__xludf.DUMMYFUNCTION("IF(ISBLANK(A101),"""",IFERROR(SPARKLINE((C101-G101)/(I101-G101),{""charttype"",""bar"";""max"",1;""min"",0;""color1"",""2c79b5""}),""n/a""))"),"")</f>
        <v/>
      </c>
      <c r="I101" s="385" t="str">
        <f>IFERROR(__xludf.DUMMYFUNCTION("IF(ISBLANK(A101),"""", googlefinance(A101, ""high52""))"),"")</f>
        <v/>
      </c>
      <c r="J101" s="387" t="s">
        <v>134</v>
      </c>
      <c r="K101" s="388" t="str">
        <f>IFERROR(__xludf.DUMMYFUNCTION("IF(ISBLANK(A101),"""", googlefinance(A101, ""PE""))"),"")</f>
        <v/>
      </c>
      <c r="L101" s="385" t="str">
        <f>IFERROR(__xludf.DUMMYFUNCTION("IF(ISBLANK(A101),"""", googlefinance(A101, ""eps""))"),"")</f>
        <v/>
      </c>
      <c r="M101" s="389" t="str">
        <f>IFERROR(__xludf.DUMMYFUNCTION("IfError(IF(isblank(A101),"""",split(Q101, ""()"")))"),"")</f>
        <v/>
      </c>
      <c r="N101" s="384"/>
      <c r="O101" s="385" t="str">
        <f t="shared" si="5"/>
        <v/>
      </c>
      <c r="P101" s="385" t="str">
        <f t="shared" si="6"/>
        <v/>
      </c>
      <c r="Q101" s="389" t="str">
        <f>IFERROR(__xludf.DUMMYFUNCTION("IfError(IF(isblank(A101),"""", substitute(index(IMPORTHTML(""http://finviz.com/quote.ashx?t=""&amp;A101,""table"", 10),7,2),""*"","""")),0)"),"")</f>
        <v/>
      </c>
    </row>
    <row r="102" ht="15.0" customHeight="1">
      <c r="A102" s="391" t="str">
        <f>'My Lab'!P63</f>
        <v/>
      </c>
      <c r="B102" s="382" t="str">
        <f>IFERROR(__xludf.DUMMYFUNCTION("IF(ISBLANK(A102),"""", googlefinance(A102, ""name""))"),"")</f>
        <v/>
      </c>
      <c r="C102" s="383" t="str">
        <f>IFERROR(__xludf.DUMMYFUNCTION("IF(ISBLANK(A102),"""", googlefinance(A102, ""price""))"),"")</f>
        <v/>
      </c>
      <c r="D102" s="383" t="str">
        <f>IFERROR(__xludf.DUMMYFUNCTION("IFERROR(googlefinance(A102,""change""),"""")"),"")</f>
        <v/>
      </c>
      <c r="E102" s="384" t="str">
        <f>IFERROR(__xludf.DUMMYFUNCTION("iferror(GOOGLEFINANCE(A102,""changepct"")/100,"""")"),"")</f>
        <v/>
      </c>
      <c r="F102" s="385" t="str">
        <f>IF(ISBLANK(A102), "", IF(COUNTIF(Positions!$A$2:$A$31, A102) &gt; 0, "Yes","No")
)</f>
        <v/>
      </c>
      <c r="G102" s="385" t="str">
        <f>IFERROR(__xludf.DUMMYFUNCTION("IF(ISBLANK(A102),"""", googlefinance(A102, ""low52""))"),"")</f>
        <v/>
      </c>
      <c r="H102" s="386" t="str">
        <f>IFERROR(__xludf.DUMMYFUNCTION("IF(ISBLANK(A102),"""",IFERROR(SPARKLINE((C102-G102)/(I102-G102),{""charttype"",""bar"";""max"",1;""min"",0;""color1"",""2c79b5""}),""n/a""))"),"")</f>
        <v/>
      </c>
      <c r="I102" s="385" t="str">
        <f>IFERROR(__xludf.DUMMYFUNCTION("IF(ISBLANK(A102),"""", googlefinance(A102, ""high52""))"),"")</f>
        <v/>
      </c>
      <c r="J102" s="387" t="s">
        <v>134</v>
      </c>
      <c r="K102" s="388" t="str">
        <f>IFERROR(__xludf.DUMMYFUNCTION("IF(ISBLANK(A102),"""", googlefinance(A102, ""PE""))"),"")</f>
        <v/>
      </c>
      <c r="L102" s="385" t="str">
        <f>IFERROR(__xludf.DUMMYFUNCTION("IF(ISBLANK(A102),"""", googlefinance(A102, ""eps""))"),"")</f>
        <v/>
      </c>
      <c r="M102" s="389" t="str">
        <f>IFERROR(__xludf.DUMMYFUNCTION("IfError(IF(isblank(A102),"""",split(Q102, ""()"")))"),"")</f>
        <v/>
      </c>
      <c r="N102" s="384"/>
      <c r="O102" s="385" t="str">
        <f t="shared" si="5"/>
        <v/>
      </c>
      <c r="P102" s="385" t="str">
        <f t="shared" si="6"/>
        <v/>
      </c>
      <c r="Q102" s="389" t="str">
        <f>IFERROR(__xludf.DUMMYFUNCTION("IfError(IF(isblank(A102),"""", substitute(index(IMPORTHTML(""http://finviz.com/quote.ashx?t=""&amp;A102,""table"", 10),7,2),""*"","""")),0)"),"")</f>
        <v/>
      </c>
    </row>
    <row r="103" ht="15.0" customHeight="1">
      <c r="A103" s="391" t="str">
        <f>'My Lab'!P64</f>
        <v/>
      </c>
      <c r="B103" s="382" t="str">
        <f>IFERROR(__xludf.DUMMYFUNCTION("IF(ISBLANK(A103),"""", googlefinance(A103, ""name""))"),"")</f>
        <v/>
      </c>
      <c r="C103" s="383" t="str">
        <f>IFERROR(__xludf.DUMMYFUNCTION("IF(ISBLANK(A103),"""", googlefinance(A103, ""price""))"),"")</f>
        <v/>
      </c>
      <c r="D103" s="383" t="str">
        <f>IFERROR(__xludf.DUMMYFUNCTION("IFERROR(googlefinance(A103,""change""),"""")"),"")</f>
        <v/>
      </c>
      <c r="E103" s="384" t="str">
        <f>IFERROR(__xludf.DUMMYFUNCTION("iferror(GOOGLEFINANCE(A103,""changepct"")/100,"""")"),"")</f>
        <v/>
      </c>
      <c r="F103" s="385" t="str">
        <f>IF(ISBLANK(A103), "", IF(COUNTIF(Positions!$A$2:$A$31, A103) &gt; 0, "Yes","No")
)</f>
        <v/>
      </c>
      <c r="G103" s="385" t="str">
        <f>IFERROR(__xludf.DUMMYFUNCTION("IF(ISBLANK(A103),"""", googlefinance(A103, ""low52""))"),"")</f>
        <v/>
      </c>
      <c r="H103" s="386" t="str">
        <f>IFERROR(__xludf.DUMMYFUNCTION("IF(ISBLANK(A103),"""",IFERROR(SPARKLINE((C103-G103)/(I103-G103),{""charttype"",""bar"";""max"",1;""min"",0;""color1"",""2c79b5""}),""n/a""))"),"")</f>
        <v/>
      </c>
      <c r="I103" s="385" t="str">
        <f>IFERROR(__xludf.DUMMYFUNCTION("IF(ISBLANK(A103),"""", googlefinance(A103, ""high52""))"),"")</f>
        <v/>
      </c>
      <c r="J103" s="387" t="s">
        <v>134</v>
      </c>
      <c r="K103" s="388" t="str">
        <f>IFERROR(__xludf.DUMMYFUNCTION("IF(ISBLANK(A103),"""", googlefinance(A103, ""PE""))"),"")</f>
        <v/>
      </c>
      <c r="L103" s="385" t="str">
        <f>IFERROR(__xludf.DUMMYFUNCTION("IF(ISBLANK(A103),"""", googlefinance(A103, ""eps""))"),"")</f>
        <v/>
      </c>
      <c r="M103" s="389" t="str">
        <f>IFERROR(__xludf.DUMMYFUNCTION("IfError(IF(isblank(A103),"""",split(Q103, ""()"")))"),"")</f>
        <v/>
      </c>
      <c r="N103" s="384"/>
      <c r="O103" s="385" t="str">
        <f t="shared" si="5"/>
        <v/>
      </c>
      <c r="P103" s="385" t="str">
        <f t="shared" si="6"/>
        <v/>
      </c>
      <c r="Q103" s="389" t="str">
        <f>IFERROR(__xludf.DUMMYFUNCTION("IfError(IF(isblank(A103),"""", substitute(index(IMPORTHTML(""http://finviz.com/quote.ashx?t=""&amp;A103,""table"", 10),7,2),""*"","""")),0)"),"")</f>
        <v/>
      </c>
    </row>
    <row r="104" ht="15.0" customHeight="1">
      <c r="A104" s="391" t="str">
        <f>'My Lab'!P65</f>
        <v/>
      </c>
      <c r="B104" s="382" t="str">
        <f>IFERROR(__xludf.DUMMYFUNCTION("IF(ISBLANK(A104),"""", googlefinance(A104, ""name""))"),"")</f>
        <v/>
      </c>
      <c r="C104" s="383" t="str">
        <f>IFERROR(__xludf.DUMMYFUNCTION("IF(ISBLANK(A104),"""", googlefinance(A104, ""price""))"),"")</f>
        <v/>
      </c>
      <c r="D104" s="383" t="str">
        <f>IFERROR(__xludf.DUMMYFUNCTION("IFERROR(googlefinance(A104,""change""),"""")"),"")</f>
        <v/>
      </c>
      <c r="E104" s="384" t="str">
        <f>IFERROR(__xludf.DUMMYFUNCTION("iferror(GOOGLEFINANCE(A104,""changepct"")/100,"""")"),"")</f>
        <v/>
      </c>
      <c r="F104" s="385" t="str">
        <f>IF(ISBLANK(A104), "", IF(COUNTIF(Positions!$A$2:$A$31, A104) &gt; 0, "Yes","No")
)</f>
        <v/>
      </c>
      <c r="G104" s="385" t="str">
        <f>IFERROR(__xludf.DUMMYFUNCTION("IF(ISBLANK(A104),"""", googlefinance(A104, ""low52""))"),"")</f>
        <v/>
      </c>
      <c r="H104" s="386" t="str">
        <f>IFERROR(__xludf.DUMMYFUNCTION("IF(ISBLANK(A104),"""",IFERROR(SPARKLINE((C104-G104)/(I104-G104),{""charttype"",""bar"";""max"",1;""min"",0;""color1"",""2c79b5""}),""n/a""))"),"")</f>
        <v/>
      </c>
      <c r="I104" s="385" t="str">
        <f>IFERROR(__xludf.DUMMYFUNCTION("IF(ISBLANK(A104),"""", googlefinance(A104, ""high52""))"),"")</f>
        <v/>
      </c>
      <c r="J104" s="387" t="s">
        <v>134</v>
      </c>
      <c r="K104" s="388" t="str">
        <f>IFERROR(__xludf.DUMMYFUNCTION("IF(ISBLANK(A104),"""", googlefinance(A104, ""PE""))"),"")</f>
        <v/>
      </c>
      <c r="L104" s="385" t="str">
        <f>IFERROR(__xludf.DUMMYFUNCTION("IF(ISBLANK(A104),"""", googlefinance(A104, ""eps""))"),"")</f>
        <v/>
      </c>
      <c r="M104" s="389" t="str">
        <f>IFERROR(__xludf.DUMMYFUNCTION("IfError(IF(isblank(A104),"""",split(Q104, ""()"")))"),"")</f>
        <v/>
      </c>
      <c r="N104" s="384"/>
      <c r="O104" s="385" t="str">
        <f t="shared" si="5"/>
        <v/>
      </c>
      <c r="P104" s="385" t="str">
        <f t="shared" si="6"/>
        <v/>
      </c>
      <c r="Q104" s="389" t="str">
        <f>IFERROR(__xludf.DUMMYFUNCTION("IfError(IF(isblank(A104),"""", substitute(index(IMPORTHTML(""http://finviz.com/quote.ashx?t=""&amp;A104,""table"", 10),7,2),""*"","""")),0)"),"")</f>
        <v/>
      </c>
    </row>
    <row r="105" ht="15.0" customHeight="1">
      <c r="A105" s="391" t="str">
        <f>'My Lab'!P66</f>
        <v/>
      </c>
      <c r="B105" s="382" t="str">
        <f>IFERROR(__xludf.DUMMYFUNCTION("IF(ISBLANK(A105),"""", googlefinance(A105, ""name""))"),"")</f>
        <v/>
      </c>
      <c r="C105" s="383" t="str">
        <f>IFERROR(__xludf.DUMMYFUNCTION("IF(ISBLANK(A105),"""", googlefinance(A105, ""price""))"),"")</f>
        <v/>
      </c>
      <c r="D105" s="383" t="str">
        <f>IFERROR(__xludf.DUMMYFUNCTION("IFERROR(googlefinance(A105,""change""),"""")"),"")</f>
        <v/>
      </c>
      <c r="E105" s="384" t="str">
        <f>IFERROR(__xludf.DUMMYFUNCTION("iferror(GOOGLEFINANCE(A105,""changepct"")/100,"""")"),"")</f>
        <v/>
      </c>
      <c r="F105" s="385" t="str">
        <f>IF(ISBLANK(A105), "", IF(COUNTIF(Positions!$A$2:$A$31, A105) &gt; 0, "Yes","No")
)</f>
        <v/>
      </c>
      <c r="G105" s="385" t="str">
        <f>IFERROR(__xludf.DUMMYFUNCTION("IF(ISBLANK(A105),"""", googlefinance(A105, ""low52""))"),"")</f>
        <v/>
      </c>
      <c r="H105" s="386" t="str">
        <f>IFERROR(__xludf.DUMMYFUNCTION("IF(ISBLANK(A105),"""",IFERROR(SPARKLINE((C105-G105)/(I105-G105),{""charttype"",""bar"";""max"",1;""min"",0;""color1"",""2c79b5""}),""n/a""))"),"")</f>
        <v/>
      </c>
      <c r="I105" s="385" t="str">
        <f>IFERROR(__xludf.DUMMYFUNCTION("IF(ISBLANK(A105),"""", googlefinance(A105, ""high52""))"),"")</f>
        <v/>
      </c>
      <c r="J105" s="387" t="s">
        <v>134</v>
      </c>
      <c r="K105" s="388" t="str">
        <f>IFERROR(__xludf.DUMMYFUNCTION("IF(ISBLANK(A105),"""", googlefinance(A105, ""PE""))"),"")</f>
        <v/>
      </c>
      <c r="L105" s="385" t="str">
        <f>IFERROR(__xludf.DUMMYFUNCTION("IF(ISBLANK(A105),"""", googlefinance(A105, ""eps""))"),"")</f>
        <v/>
      </c>
      <c r="M105" s="389" t="str">
        <f>IFERROR(__xludf.DUMMYFUNCTION("IfError(IF(isblank(A105),"""",split(Q105, ""()"")))"),"")</f>
        <v/>
      </c>
      <c r="N105" s="384"/>
      <c r="O105" s="385" t="str">
        <f t="shared" si="5"/>
        <v/>
      </c>
      <c r="P105" s="385" t="str">
        <f t="shared" si="6"/>
        <v/>
      </c>
      <c r="Q105" s="389" t="str">
        <f>IFERROR(__xludf.DUMMYFUNCTION("IfError(IF(isblank(A105),"""", substitute(index(IMPORTHTML(""http://finviz.com/quote.ashx?t=""&amp;A105,""table"", 10),7,2),""*"","""")),0)"),"")</f>
        <v/>
      </c>
    </row>
    <row r="106" ht="15.0" customHeight="1">
      <c r="A106" s="391" t="str">
        <f>'My Lab'!P67</f>
        <v/>
      </c>
      <c r="B106" s="382" t="str">
        <f>IFERROR(__xludf.DUMMYFUNCTION("IF(ISBLANK(A106),"""", googlefinance(A106, ""name""))"),"")</f>
        <v/>
      </c>
      <c r="C106" s="383" t="str">
        <f>IFERROR(__xludf.DUMMYFUNCTION("IF(ISBLANK(A106),"""", googlefinance(A106, ""price""))"),"")</f>
        <v/>
      </c>
      <c r="D106" s="383" t="str">
        <f>IFERROR(__xludf.DUMMYFUNCTION("IFERROR(googlefinance(A106,""change""),"""")"),"")</f>
        <v/>
      </c>
      <c r="E106" s="384" t="str">
        <f>IFERROR(__xludf.DUMMYFUNCTION("iferror(GOOGLEFINANCE(A106,""changepct"")/100,"""")"),"")</f>
        <v/>
      </c>
      <c r="F106" s="385" t="str">
        <f>IF(ISBLANK(A106), "", IF(COUNTIF(Positions!$A$2:$A$31, A106) &gt; 0, "Yes","No")
)</f>
        <v/>
      </c>
      <c r="G106" s="385" t="str">
        <f>IFERROR(__xludf.DUMMYFUNCTION("IF(ISBLANK(A106),"""", googlefinance(A106, ""low52""))"),"")</f>
        <v/>
      </c>
      <c r="H106" s="386" t="str">
        <f>IFERROR(__xludf.DUMMYFUNCTION("IF(ISBLANK(A106),"""",IFERROR(SPARKLINE((C106-G106)/(I106-G106),{""charttype"",""bar"";""max"",1;""min"",0;""color1"",""2c79b5""}),""n/a""))"),"")</f>
        <v/>
      </c>
      <c r="I106" s="385" t="str">
        <f>IFERROR(__xludf.DUMMYFUNCTION("IF(ISBLANK(A106),"""", googlefinance(A106, ""high52""))"),"")</f>
        <v/>
      </c>
      <c r="J106" s="387" t="s">
        <v>134</v>
      </c>
      <c r="K106" s="388" t="str">
        <f>IFERROR(__xludf.DUMMYFUNCTION("IF(ISBLANK(A106),"""", googlefinance(A106, ""PE""))"),"")</f>
        <v/>
      </c>
      <c r="L106" s="385" t="str">
        <f>IFERROR(__xludf.DUMMYFUNCTION("IF(ISBLANK(A106),"""", googlefinance(A106, ""eps""))"),"")</f>
        <v/>
      </c>
      <c r="M106" s="389" t="str">
        <f>IFERROR(__xludf.DUMMYFUNCTION("IfError(IF(isblank(A106),"""",split(Q106, ""()"")))"),"")</f>
        <v/>
      </c>
      <c r="N106" s="384"/>
      <c r="O106" s="385" t="str">
        <f t="shared" si="5"/>
        <v/>
      </c>
      <c r="P106" s="385" t="str">
        <f t="shared" si="6"/>
        <v/>
      </c>
      <c r="Q106" s="389" t="str">
        <f>IFERROR(__xludf.DUMMYFUNCTION("IfError(IF(isblank(A106),"""", substitute(index(IMPORTHTML(""http://finviz.com/quote.ashx?t=""&amp;A106,""table"", 10),7,2),""*"","""")),0)"),"")</f>
        <v/>
      </c>
    </row>
    <row r="107" ht="15.0" customHeight="1">
      <c r="A107" s="391" t="str">
        <f>'My Lab'!P68</f>
        <v/>
      </c>
      <c r="B107" s="382" t="str">
        <f>IFERROR(__xludf.DUMMYFUNCTION("IF(ISBLANK(A107),"""", googlefinance(A107, ""name""))"),"")</f>
        <v/>
      </c>
      <c r="C107" s="383" t="str">
        <f>IFERROR(__xludf.DUMMYFUNCTION("IF(ISBLANK(A107),"""", googlefinance(A107, ""price""))"),"")</f>
        <v/>
      </c>
      <c r="D107" s="383" t="str">
        <f>IFERROR(__xludf.DUMMYFUNCTION("IFERROR(googlefinance(A107,""change""),"""")"),"")</f>
        <v/>
      </c>
      <c r="E107" s="384" t="str">
        <f>IFERROR(__xludf.DUMMYFUNCTION("iferror(GOOGLEFINANCE(A107,""changepct"")/100,"""")"),"")</f>
        <v/>
      </c>
      <c r="F107" s="385" t="str">
        <f>IF(ISBLANK(A107), "", IF(COUNTIF(Positions!$A$2:$A$31, A107) &gt; 0, "Yes","No")
)</f>
        <v/>
      </c>
      <c r="G107" s="385" t="str">
        <f>IFERROR(__xludf.DUMMYFUNCTION("IF(ISBLANK(A107),"""", googlefinance(A107, ""low52""))"),"")</f>
        <v/>
      </c>
      <c r="H107" s="386" t="str">
        <f>IFERROR(__xludf.DUMMYFUNCTION("IF(ISBLANK(A107),"""",IFERROR(SPARKLINE((C107-G107)/(I107-G107),{""charttype"",""bar"";""max"",1;""min"",0;""color1"",""2c79b5""}),""n/a""))"),"")</f>
        <v/>
      </c>
      <c r="I107" s="385" t="str">
        <f>IFERROR(__xludf.DUMMYFUNCTION("IF(ISBLANK(A107),"""", googlefinance(A107, ""high52""))"),"")</f>
        <v/>
      </c>
      <c r="J107" s="387" t="s">
        <v>134</v>
      </c>
      <c r="K107" s="388" t="str">
        <f>IFERROR(__xludf.DUMMYFUNCTION("IF(ISBLANK(A107),"""", googlefinance(A107, ""PE""))"),"")</f>
        <v/>
      </c>
      <c r="L107" s="385" t="str">
        <f>IFERROR(__xludf.DUMMYFUNCTION("IF(ISBLANK(A107),"""", googlefinance(A107, ""eps""))"),"")</f>
        <v/>
      </c>
      <c r="M107" s="389" t="str">
        <f>IFERROR(__xludf.DUMMYFUNCTION("IfError(IF(isblank(A107),"""",split(Q107, ""()"")))"),"")</f>
        <v/>
      </c>
      <c r="N107" s="384"/>
      <c r="O107" s="385" t="str">
        <f t="shared" si="5"/>
        <v/>
      </c>
      <c r="P107" s="385" t="str">
        <f t="shared" si="6"/>
        <v/>
      </c>
      <c r="Q107" s="389" t="str">
        <f>IFERROR(__xludf.DUMMYFUNCTION("IfError(IF(isblank(A107),"""", substitute(index(IMPORTHTML(""http://finviz.com/quote.ashx?t=""&amp;A107,""table"", 10),7,2),""*"","""")),0)"),"")</f>
        <v/>
      </c>
    </row>
    <row r="108" ht="15.0" customHeight="1">
      <c r="A108" s="391" t="str">
        <f>'My Lab'!P69</f>
        <v/>
      </c>
      <c r="B108" s="382" t="str">
        <f>IFERROR(__xludf.DUMMYFUNCTION("IF(ISBLANK(A108),"""", googlefinance(A108, ""name""))"),"")</f>
        <v/>
      </c>
      <c r="C108" s="383" t="str">
        <f>IFERROR(__xludf.DUMMYFUNCTION("IF(ISBLANK(A108),"""", googlefinance(A108, ""price""))"),"")</f>
        <v/>
      </c>
      <c r="D108" s="383" t="str">
        <f>IFERROR(__xludf.DUMMYFUNCTION("IFERROR(googlefinance(A108,""change""),"""")"),"")</f>
        <v/>
      </c>
      <c r="E108" s="384" t="str">
        <f>IFERROR(__xludf.DUMMYFUNCTION("iferror(GOOGLEFINANCE(A108,""changepct"")/100,"""")"),"")</f>
        <v/>
      </c>
      <c r="F108" s="385" t="str">
        <f>IF(ISBLANK(A108), "", IF(COUNTIF(Positions!$A$2:$A$31, A108) &gt; 0, "Yes","No")
)</f>
        <v/>
      </c>
      <c r="G108" s="385" t="str">
        <f>IFERROR(__xludf.DUMMYFUNCTION("IF(ISBLANK(A108),"""", googlefinance(A108, ""low52""))"),"")</f>
        <v/>
      </c>
      <c r="H108" s="386" t="str">
        <f>IFERROR(__xludf.DUMMYFUNCTION("IF(ISBLANK(A108),"""",IFERROR(SPARKLINE((C108-G108)/(I108-G108),{""charttype"",""bar"";""max"",1;""min"",0;""color1"",""2c79b5""}),""n/a""))"),"")</f>
        <v/>
      </c>
      <c r="I108" s="385" t="str">
        <f>IFERROR(__xludf.DUMMYFUNCTION("IF(ISBLANK(A108),"""", googlefinance(A108, ""high52""))"),"")</f>
        <v/>
      </c>
      <c r="J108" s="387" t="s">
        <v>134</v>
      </c>
      <c r="K108" s="388" t="str">
        <f>IFERROR(__xludf.DUMMYFUNCTION("IF(ISBLANK(A108),"""", googlefinance(A108, ""PE""))"),"")</f>
        <v/>
      </c>
      <c r="L108" s="385" t="str">
        <f>IFERROR(__xludf.DUMMYFUNCTION("IF(ISBLANK(A108),"""", googlefinance(A108, ""eps""))"),"")</f>
        <v/>
      </c>
      <c r="M108" s="389" t="str">
        <f>IFERROR(__xludf.DUMMYFUNCTION("IfError(IF(isblank(A108),"""",split(Q108, ""()"")))"),"")</f>
        <v/>
      </c>
      <c r="N108" s="384"/>
      <c r="O108" s="385" t="str">
        <f t="shared" si="5"/>
        <v/>
      </c>
      <c r="P108" s="385" t="str">
        <f t="shared" si="6"/>
        <v/>
      </c>
      <c r="Q108" s="389" t="str">
        <f>IFERROR(__xludf.DUMMYFUNCTION("IfError(IF(isblank(A108),"""", substitute(index(IMPORTHTML(""http://finviz.com/quote.ashx?t=""&amp;A108,""table"", 10),7,2),""*"","""")),0)"),"")</f>
        <v/>
      </c>
    </row>
    <row r="109" ht="15.0" customHeight="1">
      <c r="A109" s="391" t="str">
        <f>'My Lab'!P70</f>
        <v/>
      </c>
      <c r="B109" s="382" t="str">
        <f>IFERROR(__xludf.DUMMYFUNCTION("IF(ISBLANK(A109),"""", googlefinance(A109, ""name""))"),"")</f>
        <v/>
      </c>
      <c r="C109" s="383" t="str">
        <f>IFERROR(__xludf.DUMMYFUNCTION("IF(ISBLANK(A109),"""", googlefinance(A109, ""price""))"),"")</f>
        <v/>
      </c>
      <c r="D109" s="383" t="str">
        <f>IFERROR(__xludf.DUMMYFUNCTION("IFERROR(googlefinance(A109,""change""),"""")"),"")</f>
        <v/>
      </c>
      <c r="E109" s="384" t="str">
        <f>IFERROR(__xludf.DUMMYFUNCTION("iferror(GOOGLEFINANCE(A109,""changepct"")/100,"""")"),"")</f>
        <v/>
      </c>
      <c r="F109" s="385" t="str">
        <f>IF(ISBLANK(A109), "", IF(COUNTIF(Positions!$A$2:$A$31, A109) &gt; 0, "Yes","No")
)</f>
        <v/>
      </c>
      <c r="G109" s="385" t="str">
        <f>IFERROR(__xludf.DUMMYFUNCTION("IF(ISBLANK(A109),"""", googlefinance(A109, ""low52""))"),"")</f>
        <v/>
      </c>
      <c r="H109" s="386" t="str">
        <f>IFERROR(__xludf.DUMMYFUNCTION("IF(ISBLANK(A109),"""",IFERROR(SPARKLINE((C109-G109)/(I109-G109),{""charttype"",""bar"";""max"",1;""min"",0;""color1"",""2c79b5""}),""n/a""))"),"")</f>
        <v/>
      </c>
      <c r="I109" s="385" t="str">
        <f>IFERROR(__xludf.DUMMYFUNCTION("IF(ISBLANK(A109),"""", googlefinance(A109, ""high52""))"),"")</f>
        <v/>
      </c>
      <c r="J109" s="387" t="s">
        <v>134</v>
      </c>
      <c r="K109" s="388" t="str">
        <f>IFERROR(__xludf.DUMMYFUNCTION("IF(ISBLANK(A109),"""", googlefinance(A109, ""PE""))"),"")</f>
        <v/>
      </c>
      <c r="L109" s="385" t="str">
        <f>IFERROR(__xludf.DUMMYFUNCTION("IF(ISBLANK(A109),"""", googlefinance(A109, ""eps""))"),"")</f>
        <v/>
      </c>
      <c r="M109" s="389" t="str">
        <f>IFERROR(__xludf.DUMMYFUNCTION("IfError(IF(isblank(A109),"""",split(Q109, ""()"")))"),"")</f>
        <v/>
      </c>
      <c r="N109" s="384"/>
      <c r="O109" s="385" t="str">
        <f t="shared" si="5"/>
        <v/>
      </c>
      <c r="P109" s="385" t="str">
        <f t="shared" si="6"/>
        <v/>
      </c>
      <c r="Q109" s="389" t="str">
        <f>IFERROR(__xludf.DUMMYFUNCTION("IfError(IF(isblank(A109),"""", substitute(index(IMPORTHTML(""http://finviz.com/quote.ashx?t=""&amp;A109,""table"", 10),7,2),""*"","""")),0)"),"")</f>
        <v/>
      </c>
    </row>
    <row r="110" ht="15.0" customHeight="1">
      <c r="A110" s="391" t="str">
        <f>'My Lab'!P71</f>
        <v/>
      </c>
      <c r="B110" s="382" t="str">
        <f>IFERROR(__xludf.DUMMYFUNCTION("IF(ISBLANK(A110),"""", googlefinance(A110, ""name""))"),"")</f>
        <v/>
      </c>
      <c r="C110" s="383" t="str">
        <f>IFERROR(__xludf.DUMMYFUNCTION("IF(ISBLANK(A110),"""", googlefinance(A110, ""price""))"),"")</f>
        <v/>
      </c>
      <c r="D110" s="383" t="str">
        <f>IFERROR(__xludf.DUMMYFUNCTION("IFERROR(googlefinance(A110,""change""),"""")"),"")</f>
        <v/>
      </c>
      <c r="E110" s="384" t="str">
        <f>IFERROR(__xludf.DUMMYFUNCTION("iferror(GOOGLEFINANCE(A110,""changepct"")/100,"""")"),"")</f>
        <v/>
      </c>
      <c r="F110" s="385" t="str">
        <f>IF(ISBLANK(A110), "", IF(COUNTIF(Positions!$A$2:$A$31, A110) &gt; 0, "Yes","No")
)</f>
        <v/>
      </c>
      <c r="G110" s="385" t="str">
        <f>IFERROR(__xludf.DUMMYFUNCTION("IF(ISBLANK(A110),"""", googlefinance(A110, ""low52""))"),"")</f>
        <v/>
      </c>
      <c r="H110" s="386" t="str">
        <f>IFERROR(__xludf.DUMMYFUNCTION("IF(ISBLANK(A110),"""",IFERROR(SPARKLINE((C110-G110)/(I110-G110),{""charttype"",""bar"";""max"",1;""min"",0;""color1"",""2c79b5""}),""n/a""))"),"")</f>
        <v/>
      </c>
      <c r="I110" s="385" t="str">
        <f>IFERROR(__xludf.DUMMYFUNCTION("IF(ISBLANK(A110),"""", googlefinance(A110, ""high52""))"),"")</f>
        <v/>
      </c>
      <c r="J110" s="387" t="s">
        <v>134</v>
      </c>
      <c r="K110" s="388" t="str">
        <f>IFERROR(__xludf.DUMMYFUNCTION("IF(ISBLANK(A110),"""", googlefinance(A110, ""PE""))"),"")</f>
        <v/>
      </c>
      <c r="L110" s="385" t="str">
        <f>IFERROR(__xludf.DUMMYFUNCTION("IF(ISBLANK(A110),"""", googlefinance(A110, ""eps""))"),"")</f>
        <v/>
      </c>
      <c r="M110" s="389" t="str">
        <f>IFERROR(__xludf.DUMMYFUNCTION("IfError(IF(isblank(A110),"""",split(Q110, ""()"")))"),"")</f>
        <v/>
      </c>
      <c r="N110" s="384"/>
      <c r="O110" s="385" t="str">
        <f t="shared" si="5"/>
        <v/>
      </c>
      <c r="P110" s="385" t="str">
        <f t="shared" si="6"/>
        <v/>
      </c>
      <c r="Q110" s="389" t="str">
        <f>IFERROR(__xludf.DUMMYFUNCTION("IfError(IF(isblank(A110),"""", substitute(index(IMPORTHTML(""http://finviz.com/quote.ashx?t=""&amp;A110,""table"", 10),7,2),""*"","""")),0)"),"")</f>
        <v/>
      </c>
    </row>
    <row r="111" ht="15.0" customHeight="1">
      <c r="A111" s="391" t="str">
        <f>'My Lab'!P72</f>
        <v/>
      </c>
      <c r="B111" s="382" t="str">
        <f>IFERROR(__xludf.DUMMYFUNCTION("IF(ISBLANK(A111),"""", googlefinance(A111, ""name""))"),"")</f>
        <v/>
      </c>
      <c r="C111" s="383" t="str">
        <f>IFERROR(__xludf.DUMMYFUNCTION("IF(ISBLANK(A111),"""", googlefinance(A111, ""price""))"),"")</f>
        <v/>
      </c>
      <c r="D111" s="383" t="str">
        <f>IFERROR(__xludf.DUMMYFUNCTION("IFERROR(googlefinance(A111,""change""),"""")"),"")</f>
        <v/>
      </c>
      <c r="E111" s="384" t="str">
        <f>IFERROR(__xludf.DUMMYFUNCTION("iferror(GOOGLEFINANCE(A111,""changepct"")/100,"""")"),"")</f>
        <v/>
      </c>
      <c r="F111" s="385" t="str">
        <f>IF(ISBLANK(A111), "", IF(COUNTIF(Positions!$A$2:$A$31, A111) &gt; 0, "Yes","No")
)</f>
        <v/>
      </c>
      <c r="G111" s="385" t="str">
        <f>IFERROR(__xludf.DUMMYFUNCTION("IF(ISBLANK(A111),"""", googlefinance(A111, ""low52""))"),"")</f>
        <v/>
      </c>
      <c r="H111" s="386" t="str">
        <f>IFERROR(__xludf.DUMMYFUNCTION("IF(ISBLANK(A111),"""",IFERROR(SPARKLINE((C111-G111)/(I111-G111),{""charttype"",""bar"";""max"",1;""min"",0;""color1"",""2c79b5""}),""n/a""))"),"")</f>
        <v/>
      </c>
      <c r="I111" s="385" t="str">
        <f>IFERROR(__xludf.DUMMYFUNCTION("IF(ISBLANK(A111),"""", googlefinance(A111, ""high52""))"),"")</f>
        <v/>
      </c>
      <c r="J111" s="387" t="s">
        <v>134</v>
      </c>
      <c r="K111" s="388" t="str">
        <f>IFERROR(__xludf.DUMMYFUNCTION("IF(ISBLANK(A111),"""", googlefinance(A111, ""PE""))"),"")</f>
        <v/>
      </c>
      <c r="L111" s="385" t="str">
        <f>IFERROR(__xludf.DUMMYFUNCTION("IF(ISBLANK(A111),"""", googlefinance(A111, ""eps""))"),"")</f>
        <v/>
      </c>
      <c r="M111" s="389" t="str">
        <f>IFERROR(__xludf.DUMMYFUNCTION("IfError(IF(isblank(A111),"""",split(Q111, ""()"")))"),"")</f>
        <v/>
      </c>
      <c r="N111" s="384"/>
      <c r="O111" s="385" t="str">
        <f t="shared" si="5"/>
        <v/>
      </c>
      <c r="P111" s="385" t="str">
        <f t="shared" si="6"/>
        <v/>
      </c>
      <c r="Q111" s="389" t="str">
        <f>IFERROR(__xludf.DUMMYFUNCTION("IfError(IF(isblank(A111),"""", substitute(index(IMPORTHTML(""http://finviz.com/quote.ashx?t=""&amp;A111,""table"", 10),7,2),""*"","""")),0)"),"")</f>
        <v/>
      </c>
    </row>
    <row r="112" ht="15.0" customHeight="1">
      <c r="A112" s="391" t="str">
        <f>'My Lab'!P73</f>
        <v/>
      </c>
      <c r="B112" s="382" t="str">
        <f>IFERROR(__xludf.DUMMYFUNCTION("IF(ISBLANK(A112),"""", googlefinance(A112, ""name""))"),"")</f>
        <v/>
      </c>
      <c r="C112" s="383" t="str">
        <f>IFERROR(__xludf.DUMMYFUNCTION("IF(ISBLANK(A112),"""", googlefinance(A112, ""price""))"),"")</f>
        <v/>
      </c>
      <c r="D112" s="383" t="str">
        <f>IFERROR(__xludf.DUMMYFUNCTION("IFERROR(googlefinance(A112,""change""),"""")"),"")</f>
        <v/>
      </c>
      <c r="E112" s="384" t="str">
        <f>IFERROR(__xludf.DUMMYFUNCTION("iferror(GOOGLEFINANCE(A112,""changepct"")/100,"""")"),"")</f>
        <v/>
      </c>
      <c r="F112" s="385" t="str">
        <f>IF(ISBLANK(A112), "", IF(COUNTIF(Positions!$A$2:$A$31, A112) &gt; 0, "Yes","No")
)</f>
        <v/>
      </c>
      <c r="G112" s="385" t="str">
        <f>IFERROR(__xludf.DUMMYFUNCTION("IF(ISBLANK(A112),"""", googlefinance(A112, ""low52""))"),"")</f>
        <v/>
      </c>
      <c r="H112" s="386" t="str">
        <f>IFERROR(__xludf.DUMMYFUNCTION("IF(ISBLANK(A112),"""",IFERROR(SPARKLINE((C112-G112)/(I112-G112),{""charttype"",""bar"";""max"",1;""min"",0;""color1"",""2c79b5""}),""n/a""))"),"")</f>
        <v/>
      </c>
      <c r="I112" s="385" t="str">
        <f>IFERROR(__xludf.DUMMYFUNCTION("IF(ISBLANK(A112),"""", googlefinance(A112, ""high52""))"),"")</f>
        <v/>
      </c>
      <c r="J112" s="387" t="s">
        <v>134</v>
      </c>
      <c r="K112" s="388" t="str">
        <f>IFERROR(__xludf.DUMMYFUNCTION("IF(ISBLANK(A112),"""", googlefinance(A112, ""PE""))"),"")</f>
        <v/>
      </c>
      <c r="L112" s="385" t="str">
        <f>IFERROR(__xludf.DUMMYFUNCTION("IF(ISBLANK(A112),"""", googlefinance(A112, ""eps""))"),"")</f>
        <v/>
      </c>
      <c r="M112" s="389" t="str">
        <f>IFERROR(__xludf.DUMMYFUNCTION("IfError(IF(isblank(A112),"""",split(Q112, ""()"")))"),"")</f>
        <v/>
      </c>
      <c r="N112" s="384"/>
      <c r="O112" s="385" t="str">
        <f t="shared" si="5"/>
        <v/>
      </c>
      <c r="P112" s="385" t="str">
        <f t="shared" si="6"/>
        <v/>
      </c>
      <c r="Q112" s="389" t="str">
        <f>IFERROR(__xludf.DUMMYFUNCTION("IfError(IF(isblank(A112),"""", substitute(index(IMPORTHTML(""http://finviz.com/quote.ashx?t=""&amp;A112,""table"", 10),7,2),""*"","""")),0)"),"")</f>
        <v/>
      </c>
    </row>
    <row r="113" ht="15.0" customHeight="1">
      <c r="A113" s="391" t="str">
        <f>'My Lab'!P74</f>
        <v/>
      </c>
      <c r="B113" s="382" t="str">
        <f>IFERROR(__xludf.DUMMYFUNCTION("IF(ISBLANK(A113),"""", googlefinance(A113, ""name""))"),"")</f>
        <v/>
      </c>
      <c r="C113" s="383" t="str">
        <f>IFERROR(__xludf.DUMMYFUNCTION("IF(ISBLANK(A113),"""", googlefinance(A113, ""price""))"),"")</f>
        <v/>
      </c>
      <c r="D113" s="383" t="str">
        <f>IFERROR(__xludf.DUMMYFUNCTION("IFERROR(googlefinance(A113,""change""),"""")"),"")</f>
        <v/>
      </c>
      <c r="E113" s="384" t="str">
        <f>IFERROR(__xludf.DUMMYFUNCTION("iferror(GOOGLEFINANCE(A113,""changepct"")/100,"""")"),"")</f>
        <v/>
      </c>
      <c r="F113" s="385" t="str">
        <f>IF(ISBLANK(A113), "", IF(COUNTIF(Positions!$A$2:$A$31, A113) &gt; 0, "Yes","No")
)</f>
        <v/>
      </c>
      <c r="G113" s="385" t="str">
        <f>IFERROR(__xludf.DUMMYFUNCTION("IF(ISBLANK(A113),"""", googlefinance(A113, ""low52""))"),"")</f>
        <v/>
      </c>
      <c r="H113" s="386" t="str">
        <f>IFERROR(__xludf.DUMMYFUNCTION("IF(ISBLANK(A113),"""",IFERROR(SPARKLINE((C113-G113)/(I113-G113),{""charttype"",""bar"";""max"",1;""min"",0;""color1"",""2c79b5""}),""n/a""))"),"")</f>
        <v/>
      </c>
      <c r="I113" s="385" t="str">
        <f>IFERROR(__xludf.DUMMYFUNCTION("IF(ISBLANK(A113),"""", googlefinance(A113, ""high52""))"),"")</f>
        <v/>
      </c>
      <c r="J113" s="387" t="s">
        <v>134</v>
      </c>
      <c r="K113" s="388" t="str">
        <f>IFERROR(__xludf.DUMMYFUNCTION("IF(ISBLANK(A113),"""", googlefinance(A113, ""PE""))"),"")</f>
        <v/>
      </c>
      <c r="L113" s="385" t="str">
        <f>IFERROR(__xludf.DUMMYFUNCTION("IF(ISBLANK(A113),"""", googlefinance(A113, ""eps""))"),"")</f>
        <v/>
      </c>
      <c r="M113" s="389" t="str">
        <f>IFERROR(__xludf.DUMMYFUNCTION("IfError(IF(isblank(A113),"""",split(Q113, ""()"")))"),"")</f>
        <v/>
      </c>
      <c r="N113" s="384"/>
      <c r="O113" s="385" t="str">
        <f t="shared" si="5"/>
        <v/>
      </c>
      <c r="P113" s="385" t="str">
        <f t="shared" si="6"/>
        <v/>
      </c>
      <c r="Q113" s="389" t="str">
        <f>IFERROR(__xludf.DUMMYFUNCTION("IfError(IF(isblank(A113),"""", substitute(index(IMPORTHTML(""http://finviz.com/quote.ashx?t=""&amp;A113,""table"", 10),7,2),""*"","""")),0)"),"")</f>
        <v/>
      </c>
    </row>
    <row r="114" ht="15.0" customHeight="1">
      <c r="A114" s="391" t="str">
        <f>'My Lab'!P75</f>
        <v/>
      </c>
      <c r="B114" s="382" t="str">
        <f>IFERROR(__xludf.DUMMYFUNCTION("IF(ISBLANK(A114),"""", googlefinance(A114, ""name""))"),"")</f>
        <v/>
      </c>
      <c r="C114" s="383" t="str">
        <f>IFERROR(__xludf.DUMMYFUNCTION("IF(ISBLANK(A114),"""", googlefinance(A114, ""price""))"),"")</f>
        <v/>
      </c>
      <c r="D114" s="383" t="str">
        <f>IFERROR(__xludf.DUMMYFUNCTION("IFERROR(googlefinance(A114,""change""),"""")"),"")</f>
        <v/>
      </c>
      <c r="E114" s="384" t="str">
        <f>IFERROR(__xludf.DUMMYFUNCTION("iferror(GOOGLEFINANCE(A114,""changepct"")/100,"""")"),"")</f>
        <v/>
      </c>
      <c r="F114" s="385" t="str">
        <f>IF(ISBLANK(A114), "", IF(COUNTIF(Positions!$A$2:$A$31, A114) &gt; 0, "Yes","No")
)</f>
        <v/>
      </c>
      <c r="G114" s="385" t="str">
        <f>IFERROR(__xludf.DUMMYFUNCTION("IF(ISBLANK(A114),"""", googlefinance(A114, ""low52""))"),"")</f>
        <v/>
      </c>
      <c r="H114" s="386" t="str">
        <f>IFERROR(__xludf.DUMMYFUNCTION("IF(ISBLANK(A114),"""",IFERROR(SPARKLINE((C114-G114)/(I114-G114),{""charttype"",""bar"";""max"",1;""min"",0;""color1"",""2c79b5""}),""n/a""))"),"")</f>
        <v/>
      </c>
      <c r="I114" s="385" t="str">
        <f>IFERROR(__xludf.DUMMYFUNCTION("IF(ISBLANK(A114),"""", googlefinance(A114, ""high52""))"),"")</f>
        <v/>
      </c>
      <c r="J114" s="387" t="s">
        <v>134</v>
      </c>
      <c r="K114" s="388" t="str">
        <f>IFERROR(__xludf.DUMMYFUNCTION("IF(ISBLANK(A114),"""", googlefinance(A114, ""PE""))"),"")</f>
        <v/>
      </c>
      <c r="L114" s="385" t="str">
        <f>IFERROR(__xludf.DUMMYFUNCTION("IF(ISBLANK(A114),"""", googlefinance(A114, ""eps""))"),"")</f>
        <v/>
      </c>
      <c r="M114" s="389" t="str">
        <f>IFERROR(__xludf.DUMMYFUNCTION("IfError(IF(isblank(A114),"""",split(Q114, ""()"")))"),"")</f>
        <v/>
      </c>
      <c r="N114" s="384"/>
      <c r="O114" s="385" t="str">
        <f t="shared" si="5"/>
        <v/>
      </c>
      <c r="P114" s="385" t="str">
        <f t="shared" si="6"/>
        <v/>
      </c>
      <c r="Q114" s="389" t="str">
        <f>IFERROR(__xludf.DUMMYFUNCTION("IfError(IF(isblank(A114),"""", substitute(index(IMPORTHTML(""http://finviz.com/quote.ashx?t=""&amp;A114,""table"", 10),7,2),""*"","""")),0)"),"")</f>
        <v/>
      </c>
    </row>
    <row r="115" ht="15.0" customHeight="1">
      <c r="A115" s="391" t="str">
        <f>'My Lab'!P76</f>
        <v/>
      </c>
      <c r="B115" s="382" t="str">
        <f>IFERROR(__xludf.DUMMYFUNCTION("IF(ISBLANK(A115),"""", googlefinance(A115, ""name""))"),"")</f>
        <v/>
      </c>
      <c r="C115" s="383" t="str">
        <f>IFERROR(__xludf.DUMMYFUNCTION("IF(ISBLANK(A115),"""", googlefinance(A115, ""price""))"),"")</f>
        <v/>
      </c>
      <c r="D115" s="383" t="str">
        <f>IFERROR(__xludf.DUMMYFUNCTION("IFERROR(googlefinance(A115,""change""),"""")"),"")</f>
        <v/>
      </c>
      <c r="E115" s="384" t="str">
        <f>IFERROR(__xludf.DUMMYFUNCTION("iferror(GOOGLEFINANCE(A115,""changepct"")/100,"""")"),"")</f>
        <v/>
      </c>
      <c r="F115" s="385" t="str">
        <f>IF(ISBLANK(A115), "", IF(COUNTIF(Positions!$A$2:$A$31, A115) &gt; 0, "Yes","No")
)</f>
        <v/>
      </c>
      <c r="G115" s="385" t="str">
        <f>IFERROR(__xludf.DUMMYFUNCTION("IF(ISBLANK(A115),"""", googlefinance(A115, ""low52""))"),"")</f>
        <v/>
      </c>
      <c r="H115" s="386" t="str">
        <f>IFERROR(__xludf.DUMMYFUNCTION("IF(ISBLANK(A115),"""",IFERROR(SPARKLINE((C115-G115)/(I115-G115),{""charttype"",""bar"";""max"",1;""min"",0;""color1"",""2c79b5""}),""n/a""))"),"")</f>
        <v/>
      </c>
      <c r="I115" s="385" t="str">
        <f>IFERROR(__xludf.DUMMYFUNCTION("IF(ISBLANK(A115),"""", googlefinance(A115, ""high52""))"),"")</f>
        <v/>
      </c>
      <c r="J115" s="387" t="s">
        <v>134</v>
      </c>
      <c r="K115" s="388" t="str">
        <f>IFERROR(__xludf.DUMMYFUNCTION("IF(ISBLANK(A115),"""", googlefinance(A115, ""PE""))"),"")</f>
        <v/>
      </c>
      <c r="L115" s="385" t="str">
        <f>IFERROR(__xludf.DUMMYFUNCTION("IF(ISBLANK(A115),"""", googlefinance(A115, ""eps""))"),"")</f>
        <v/>
      </c>
      <c r="M115" s="389" t="str">
        <f>IFERROR(__xludf.DUMMYFUNCTION("IfError(IF(isblank(A115),"""",split(Q115, ""()"")))"),"")</f>
        <v/>
      </c>
      <c r="N115" s="384"/>
      <c r="O115" s="385" t="str">
        <f t="shared" si="5"/>
        <v/>
      </c>
      <c r="P115" s="385" t="str">
        <f t="shared" si="6"/>
        <v/>
      </c>
      <c r="Q115" s="389" t="str">
        <f>IFERROR(__xludf.DUMMYFUNCTION("IfError(IF(isblank(A115),"""", substitute(index(IMPORTHTML(""http://finviz.com/quote.ashx?t=""&amp;A115,""table"", 10),7,2),""*"","""")),0)"),"")</f>
        <v/>
      </c>
    </row>
    <row r="116" ht="15.0" customHeight="1">
      <c r="A116" s="391" t="str">
        <f>'My Lab'!P77</f>
        <v/>
      </c>
      <c r="B116" s="382" t="str">
        <f>IFERROR(__xludf.DUMMYFUNCTION("IF(ISBLANK(A116),"""", googlefinance(A116, ""name""))"),"")</f>
        <v/>
      </c>
      <c r="C116" s="383" t="str">
        <f>IFERROR(__xludf.DUMMYFUNCTION("IF(ISBLANK(A116),"""", googlefinance(A116, ""price""))"),"")</f>
        <v/>
      </c>
      <c r="D116" s="383" t="str">
        <f>IFERROR(__xludf.DUMMYFUNCTION("IFERROR(googlefinance(A116,""change""),"""")"),"")</f>
        <v/>
      </c>
      <c r="E116" s="384" t="str">
        <f>IFERROR(__xludf.DUMMYFUNCTION("iferror(GOOGLEFINANCE(A116,""changepct"")/100,"""")"),"")</f>
        <v/>
      </c>
      <c r="F116" s="385" t="str">
        <f>IF(ISBLANK(A116), "", IF(COUNTIF(Positions!$A$2:$A$31, A116) &gt; 0, "Yes","No")
)</f>
        <v/>
      </c>
      <c r="G116" s="385" t="str">
        <f>IFERROR(__xludf.DUMMYFUNCTION("IF(ISBLANK(A116),"""", googlefinance(A116, ""low52""))"),"")</f>
        <v/>
      </c>
      <c r="H116" s="386" t="str">
        <f>IFERROR(__xludf.DUMMYFUNCTION("IF(ISBLANK(A116),"""",IFERROR(SPARKLINE((C116-G116)/(I116-G116),{""charttype"",""bar"";""max"",1;""min"",0;""color1"",""2c79b5""}),""n/a""))"),"")</f>
        <v/>
      </c>
      <c r="I116" s="385" t="str">
        <f>IFERROR(__xludf.DUMMYFUNCTION("IF(ISBLANK(A116),"""", googlefinance(A116, ""high52""))"),"")</f>
        <v/>
      </c>
      <c r="J116" s="387" t="s">
        <v>134</v>
      </c>
      <c r="K116" s="388" t="str">
        <f>IFERROR(__xludf.DUMMYFUNCTION("IF(ISBLANK(A116),"""", googlefinance(A116, ""PE""))"),"")</f>
        <v/>
      </c>
      <c r="L116" s="385" t="str">
        <f>IFERROR(__xludf.DUMMYFUNCTION("IF(ISBLANK(A116),"""", googlefinance(A116, ""eps""))"),"")</f>
        <v/>
      </c>
      <c r="M116" s="389" t="str">
        <f>IFERROR(__xludf.DUMMYFUNCTION("IfError(IF(isblank(A116),"""",split(Q116, ""()"")))"),"")</f>
        <v/>
      </c>
      <c r="N116" s="384"/>
      <c r="O116" s="385" t="str">
        <f t="shared" si="5"/>
        <v/>
      </c>
      <c r="P116" s="385" t="str">
        <f t="shared" si="6"/>
        <v/>
      </c>
      <c r="Q116" s="389" t="str">
        <f>IFERROR(__xludf.DUMMYFUNCTION("IfError(IF(isblank(A116),"""", substitute(index(IMPORTHTML(""http://finviz.com/quote.ashx?t=""&amp;A116,""table"", 10),7,2),""*"","""")),0)"),"")</f>
        <v/>
      </c>
    </row>
    <row r="117" ht="15.0" customHeight="1">
      <c r="A117" s="391" t="str">
        <f>'My Lab'!P78</f>
        <v/>
      </c>
      <c r="B117" s="382" t="str">
        <f>IFERROR(__xludf.DUMMYFUNCTION("IF(ISBLANK(A117),"""", googlefinance(A117, ""name""))"),"")</f>
        <v/>
      </c>
      <c r="C117" s="383" t="str">
        <f>IFERROR(__xludf.DUMMYFUNCTION("IF(ISBLANK(A117),"""", googlefinance(A117, ""price""))"),"")</f>
        <v/>
      </c>
      <c r="D117" s="383" t="str">
        <f>IFERROR(__xludf.DUMMYFUNCTION("IFERROR(googlefinance(A117,""change""),"""")"),"")</f>
        <v/>
      </c>
      <c r="E117" s="384" t="str">
        <f>IFERROR(__xludf.DUMMYFUNCTION("iferror(GOOGLEFINANCE(A117,""changepct"")/100,"""")"),"")</f>
        <v/>
      </c>
      <c r="F117" s="385" t="str">
        <f>IF(ISBLANK(A117), "", IF(COUNTIF(Positions!$A$2:$A$31, A117) &gt; 0, "Yes","No")
)</f>
        <v/>
      </c>
      <c r="G117" s="385" t="str">
        <f>IFERROR(__xludf.DUMMYFUNCTION("IF(ISBLANK(A117),"""", googlefinance(A117, ""low52""))"),"")</f>
        <v/>
      </c>
      <c r="H117" s="386" t="str">
        <f>IFERROR(__xludf.DUMMYFUNCTION("IF(ISBLANK(A117),"""",IFERROR(SPARKLINE((C117-G117)/(I117-G117),{""charttype"",""bar"";""max"",1;""min"",0;""color1"",""2c79b5""}),""n/a""))"),"")</f>
        <v/>
      </c>
      <c r="I117" s="385" t="str">
        <f>IFERROR(__xludf.DUMMYFUNCTION("IF(ISBLANK(A117),"""", googlefinance(A117, ""high52""))"),"")</f>
        <v/>
      </c>
      <c r="J117" s="387" t="s">
        <v>134</v>
      </c>
      <c r="K117" s="388" t="str">
        <f>IFERROR(__xludf.DUMMYFUNCTION("IF(ISBLANK(A117),"""", googlefinance(A117, ""PE""))"),"")</f>
        <v/>
      </c>
      <c r="L117" s="385" t="str">
        <f>IFERROR(__xludf.DUMMYFUNCTION("IF(ISBLANK(A117),"""", googlefinance(A117, ""eps""))"),"")</f>
        <v/>
      </c>
      <c r="M117" s="389" t="str">
        <f>IFERROR(__xludf.DUMMYFUNCTION("IfError(IF(isblank(A117),"""",split(Q117, ""()"")))"),"")</f>
        <v/>
      </c>
      <c r="N117" s="384"/>
      <c r="O117" s="385" t="str">
        <f t="shared" si="5"/>
        <v/>
      </c>
      <c r="P117" s="385" t="str">
        <f t="shared" si="6"/>
        <v/>
      </c>
      <c r="Q117" s="389" t="str">
        <f>IFERROR(__xludf.DUMMYFUNCTION("IfError(IF(isblank(A117),"""", substitute(index(IMPORTHTML(""http://finviz.com/quote.ashx?t=""&amp;A117,""table"", 10),7,2),""*"","""")),0)"),"")</f>
        <v/>
      </c>
    </row>
    <row r="118" ht="15.0" customHeight="1">
      <c r="A118" s="391" t="str">
        <f>'My Lab'!P79</f>
        <v/>
      </c>
      <c r="B118" s="382" t="str">
        <f>IFERROR(__xludf.DUMMYFUNCTION("IF(ISBLANK(A118),"""", googlefinance(A118, ""name""))"),"")</f>
        <v/>
      </c>
      <c r="C118" s="383" t="str">
        <f>IFERROR(__xludf.DUMMYFUNCTION("IF(ISBLANK(A118),"""", googlefinance(A118, ""price""))"),"")</f>
        <v/>
      </c>
      <c r="D118" s="383" t="str">
        <f>IFERROR(__xludf.DUMMYFUNCTION("IFERROR(googlefinance(A118,""change""),"""")"),"")</f>
        <v/>
      </c>
      <c r="E118" s="384" t="str">
        <f>IFERROR(__xludf.DUMMYFUNCTION("iferror(GOOGLEFINANCE(A118,""changepct"")/100,"""")"),"")</f>
        <v/>
      </c>
      <c r="F118" s="385" t="str">
        <f>IF(ISBLANK(A118), "", IF(COUNTIF(Positions!$A$2:$A$31, A118) &gt; 0, "Yes","No")
)</f>
        <v/>
      </c>
      <c r="G118" s="385" t="str">
        <f>IFERROR(__xludf.DUMMYFUNCTION("IF(ISBLANK(A118),"""", googlefinance(A118, ""low52""))"),"")</f>
        <v/>
      </c>
      <c r="H118" s="386" t="str">
        <f>IFERROR(__xludf.DUMMYFUNCTION("IF(ISBLANK(A118),"""",IFERROR(SPARKLINE((C118-G118)/(I118-G118),{""charttype"",""bar"";""max"",1;""min"",0;""color1"",""2c79b5""}),""n/a""))"),"")</f>
        <v/>
      </c>
      <c r="I118" s="385" t="str">
        <f>IFERROR(__xludf.DUMMYFUNCTION("IF(ISBLANK(A118),"""", googlefinance(A118, ""high52""))"),"")</f>
        <v/>
      </c>
      <c r="J118" s="387" t="s">
        <v>134</v>
      </c>
      <c r="K118" s="388" t="str">
        <f>IFERROR(__xludf.DUMMYFUNCTION("IF(ISBLANK(A118),"""", googlefinance(A118, ""PE""))"),"")</f>
        <v/>
      </c>
      <c r="L118" s="385" t="str">
        <f>IFERROR(__xludf.DUMMYFUNCTION("IF(ISBLANK(A118),"""", googlefinance(A118, ""eps""))"),"")</f>
        <v/>
      </c>
      <c r="M118" s="389" t="str">
        <f>IFERROR(__xludf.DUMMYFUNCTION("IfError(IF(isblank(A118),"""",split(Q118, ""()"")))"),"")</f>
        <v/>
      </c>
      <c r="N118" s="384"/>
      <c r="O118" s="385" t="str">
        <f t="shared" si="5"/>
        <v/>
      </c>
      <c r="P118" s="385" t="str">
        <f t="shared" si="6"/>
        <v/>
      </c>
      <c r="Q118" s="389" t="str">
        <f>IFERROR(__xludf.DUMMYFUNCTION("IfError(IF(isblank(A118),"""", substitute(index(IMPORTHTML(""http://finviz.com/quote.ashx?t=""&amp;A118,""table"", 10),7,2),""*"","""")),0)"),"")</f>
        <v/>
      </c>
    </row>
    <row r="119" ht="15.0" customHeight="1">
      <c r="A119" s="391" t="str">
        <f>'My Lab'!P80</f>
        <v/>
      </c>
      <c r="B119" s="382" t="str">
        <f>IFERROR(__xludf.DUMMYFUNCTION("IF(ISBLANK(A119),"""", googlefinance(A119, ""name""))"),"")</f>
        <v/>
      </c>
      <c r="C119" s="383" t="str">
        <f>IFERROR(__xludf.DUMMYFUNCTION("IF(ISBLANK(A119),"""", googlefinance(A119, ""price""))"),"")</f>
        <v/>
      </c>
      <c r="D119" s="383" t="str">
        <f>IFERROR(__xludf.DUMMYFUNCTION("IFERROR(googlefinance(A119,""change""),"""")"),"")</f>
        <v/>
      </c>
      <c r="E119" s="384" t="str">
        <f>IFERROR(__xludf.DUMMYFUNCTION("iferror(GOOGLEFINANCE(A119,""changepct"")/100,"""")"),"")</f>
        <v/>
      </c>
      <c r="F119" s="385" t="str">
        <f>IF(ISBLANK(A119), "", IF(COUNTIF(Positions!$A$2:$A$31, A119) &gt; 0, "Yes","No")
)</f>
        <v/>
      </c>
      <c r="G119" s="385" t="str">
        <f>IFERROR(__xludf.DUMMYFUNCTION("IF(ISBLANK(A119),"""", googlefinance(A119, ""low52""))"),"")</f>
        <v/>
      </c>
      <c r="H119" s="386" t="str">
        <f>IFERROR(__xludf.DUMMYFUNCTION("IF(ISBLANK(A119),"""",IFERROR(SPARKLINE((C119-G119)/(I119-G119),{""charttype"",""bar"";""max"",1;""min"",0;""color1"",""2c79b5""}),""n/a""))"),"")</f>
        <v/>
      </c>
      <c r="I119" s="385" t="str">
        <f>IFERROR(__xludf.DUMMYFUNCTION("IF(ISBLANK(A119),"""", googlefinance(A119, ""high52""))"),"")</f>
        <v/>
      </c>
      <c r="J119" s="387" t="s">
        <v>134</v>
      </c>
      <c r="K119" s="388" t="str">
        <f>IFERROR(__xludf.DUMMYFUNCTION("IF(ISBLANK(A119),"""", googlefinance(A119, ""PE""))"),"")</f>
        <v/>
      </c>
      <c r="L119" s="385" t="str">
        <f>IFERROR(__xludf.DUMMYFUNCTION("IF(ISBLANK(A119),"""", googlefinance(A119, ""eps""))"),"")</f>
        <v/>
      </c>
      <c r="M119" s="389" t="str">
        <f>IFERROR(__xludf.DUMMYFUNCTION("IfError(IF(isblank(A119),"""",split(Q119, ""()"")))"),"")</f>
        <v/>
      </c>
      <c r="N119" s="384"/>
      <c r="O119" s="385" t="str">
        <f t="shared" si="5"/>
        <v/>
      </c>
      <c r="P119" s="385" t="str">
        <f t="shared" si="6"/>
        <v/>
      </c>
      <c r="Q119" s="389" t="str">
        <f>IFERROR(__xludf.DUMMYFUNCTION("IfError(IF(isblank(A119),"""", substitute(index(IMPORTHTML(""http://finviz.com/quote.ashx?t=""&amp;A119,""table"", 10),7,2),""*"","""")),0)"),"")</f>
        <v/>
      </c>
    </row>
    <row r="120" ht="15.0" customHeight="1">
      <c r="A120" s="391" t="str">
        <f>'My Lab'!P81</f>
        <v/>
      </c>
      <c r="B120" s="382" t="str">
        <f>IFERROR(__xludf.DUMMYFUNCTION("IF(ISBLANK(A120),"""", googlefinance(A120, ""name""))"),"")</f>
        <v/>
      </c>
      <c r="C120" s="383" t="str">
        <f>IFERROR(__xludf.DUMMYFUNCTION("IF(ISBLANK(A120),"""", googlefinance(A120, ""price""))"),"")</f>
        <v/>
      </c>
      <c r="D120" s="383" t="str">
        <f>IFERROR(__xludf.DUMMYFUNCTION("IFERROR(googlefinance(A120,""change""),"""")"),"")</f>
        <v/>
      </c>
      <c r="E120" s="384" t="str">
        <f>IFERROR(__xludf.DUMMYFUNCTION("iferror(GOOGLEFINANCE(A120,""changepct"")/100,"""")"),"")</f>
        <v/>
      </c>
      <c r="F120" s="385" t="str">
        <f>IF(ISBLANK(A120), "", IF(COUNTIF(Positions!$A$2:$A$31, A120) &gt; 0, "Yes","No")
)</f>
        <v/>
      </c>
      <c r="G120" s="385" t="str">
        <f>IFERROR(__xludf.DUMMYFUNCTION("IF(ISBLANK(A120),"""", googlefinance(A120, ""low52""))"),"")</f>
        <v/>
      </c>
      <c r="H120" s="386" t="str">
        <f>IFERROR(__xludf.DUMMYFUNCTION("IF(ISBLANK(A120),"""",IFERROR(SPARKLINE((C120-G120)/(I120-G120),{""charttype"",""bar"";""max"",1;""min"",0;""color1"",""2c79b5""}),""n/a""))"),"")</f>
        <v/>
      </c>
      <c r="I120" s="385" t="str">
        <f>IFERROR(__xludf.DUMMYFUNCTION("IF(ISBLANK(A120),"""", googlefinance(A120, ""high52""))"),"")</f>
        <v/>
      </c>
      <c r="J120" s="387" t="s">
        <v>134</v>
      </c>
      <c r="K120" s="388" t="str">
        <f>IFERROR(__xludf.DUMMYFUNCTION("IF(ISBLANK(A120),"""", googlefinance(A120, ""PE""))"),"")</f>
        <v/>
      </c>
      <c r="L120" s="385" t="str">
        <f>IFERROR(__xludf.DUMMYFUNCTION("IF(ISBLANK(A120),"""", googlefinance(A120, ""eps""))"),"")</f>
        <v/>
      </c>
      <c r="M120" s="389" t="str">
        <f>IFERROR(__xludf.DUMMYFUNCTION("IfError(IF(isblank(A120),"""",split(Q120, ""()"")))"),"")</f>
        <v/>
      </c>
      <c r="N120" s="384"/>
      <c r="O120" s="385" t="str">
        <f t="shared" si="5"/>
        <v/>
      </c>
      <c r="P120" s="385" t="str">
        <f t="shared" si="6"/>
        <v/>
      </c>
      <c r="Q120" s="389" t="str">
        <f>IFERROR(__xludf.DUMMYFUNCTION("IfError(IF(isblank(A120),"""", substitute(index(IMPORTHTML(""http://finviz.com/quote.ashx?t=""&amp;A120,""table"", 10),7,2),""*"","""")),0)"),"")</f>
        <v/>
      </c>
    </row>
    <row r="121" ht="15.0" customHeight="1">
      <c r="A121" s="391" t="str">
        <f>'My Lab'!P82</f>
        <v/>
      </c>
      <c r="B121" s="382" t="str">
        <f>IFERROR(__xludf.DUMMYFUNCTION("IF(ISBLANK(A121),"""", googlefinance(A121, ""name""))"),"")</f>
        <v/>
      </c>
      <c r="C121" s="383" t="str">
        <f>IFERROR(__xludf.DUMMYFUNCTION("IF(ISBLANK(A121),"""", googlefinance(A121, ""price""))"),"")</f>
        <v/>
      </c>
      <c r="D121" s="383" t="str">
        <f>IFERROR(__xludf.DUMMYFUNCTION("IFERROR(googlefinance(A121,""change""),"""")"),"")</f>
        <v/>
      </c>
      <c r="E121" s="384" t="str">
        <f>IFERROR(__xludf.DUMMYFUNCTION("iferror(GOOGLEFINANCE(A121,""changepct"")/100,"""")"),"")</f>
        <v/>
      </c>
      <c r="F121" s="385" t="str">
        <f>IF(ISBLANK(A121), "", IF(COUNTIF(Positions!$A$2:$A$31, A121) &gt; 0, "Yes","No")
)</f>
        <v/>
      </c>
      <c r="G121" s="385" t="str">
        <f>IFERROR(__xludf.DUMMYFUNCTION("IF(ISBLANK(A121),"""", googlefinance(A121, ""low52""))"),"")</f>
        <v/>
      </c>
      <c r="H121" s="386" t="str">
        <f>IFERROR(__xludf.DUMMYFUNCTION("IF(ISBLANK(A121),"""",IFERROR(SPARKLINE((C121-G121)/(I121-G121),{""charttype"",""bar"";""max"",1;""min"",0;""color1"",""2c79b5""}),""n/a""))"),"")</f>
        <v/>
      </c>
      <c r="I121" s="385" t="str">
        <f>IFERROR(__xludf.DUMMYFUNCTION("IF(ISBLANK(A121),"""", googlefinance(A121, ""high52""))"),"")</f>
        <v/>
      </c>
      <c r="J121" s="387" t="s">
        <v>134</v>
      </c>
      <c r="K121" s="388" t="str">
        <f>IFERROR(__xludf.DUMMYFUNCTION("IF(ISBLANK(A121),"""", googlefinance(A121, ""PE""))"),"")</f>
        <v/>
      </c>
      <c r="L121" s="385" t="str">
        <f>IFERROR(__xludf.DUMMYFUNCTION("IF(ISBLANK(A121),"""", googlefinance(A121, ""eps""))"),"")</f>
        <v/>
      </c>
      <c r="M121" s="389" t="str">
        <f>IFERROR(__xludf.DUMMYFUNCTION("IfError(IF(isblank(A121),"""",split(Q121, ""()"")))"),"")</f>
        <v/>
      </c>
      <c r="N121" s="384"/>
      <c r="O121" s="385" t="str">
        <f t="shared" si="5"/>
        <v/>
      </c>
      <c r="P121" s="385" t="str">
        <f t="shared" si="6"/>
        <v/>
      </c>
      <c r="Q121" s="389" t="str">
        <f>IFERROR(__xludf.DUMMYFUNCTION("IfError(IF(isblank(A121),"""", substitute(index(IMPORTHTML(""http://finviz.com/quote.ashx?t=""&amp;A121,""table"", 10),7,2),""*"","""")),0)"),"")</f>
        <v/>
      </c>
    </row>
    <row r="122" ht="15.0" customHeight="1">
      <c r="A122" s="391" t="str">
        <f>'My Lab'!P83</f>
        <v/>
      </c>
      <c r="B122" s="382" t="str">
        <f>IFERROR(__xludf.DUMMYFUNCTION("IF(ISBLANK(A122),"""", googlefinance(A122, ""name""))"),"")</f>
        <v/>
      </c>
      <c r="C122" s="383" t="str">
        <f>IFERROR(__xludf.DUMMYFUNCTION("IF(ISBLANK(A122),"""", googlefinance(A122, ""price""))"),"")</f>
        <v/>
      </c>
      <c r="D122" s="383" t="str">
        <f>IFERROR(__xludf.DUMMYFUNCTION("IFERROR(googlefinance(A122,""change""),"""")"),"")</f>
        <v/>
      </c>
      <c r="E122" s="384" t="str">
        <f>IFERROR(__xludf.DUMMYFUNCTION("iferror(GOOGLEFINANCE(A122,""changepct"")/100,"""")"),"")</f>
        <v/>
      </c>
      <c r="F122" s="385" t="str">
        <f>IF(ISBLANK(A122), "", IF(COUNTIF(Positions!$A$2:$A$31, A122) &gt; 0, "Yes","No")
)</f>
        <v/>
      </c>
      <c r="G122" s="385" t="str">
        <f>IFERROR(__xludf.DUMMYFUNCTION("IF(ISBLANK(A122),"""", googlefinance(A122, ""low52""))"),"")</f>
        <v/>
      </c>
      <c r="H122" s="386" t="str">
        <f>IFERROR(__xludf.DUMMYFUNCTION("IF(ISBLANK(A122),"""",IFERROR(SPARKLINE((C122-G122)/(I122-G122),{""charttype"",""bar"";""max"",1;""min"",0;""color1"",""2c79b5""}),""n/a""))"),"")</f>
        <v/>
      </c>
      <c r="I122" s="385" t="str">
        <f>IFERROR(__xludf.DUMMYFUNCTION("IF(ISBLANK(A122),"""", googlefinance(A122, ""high52""))"),"")</f>
        <v/>
      </c>
      <c r="J122" s="387" t="s">
        <v>134</v>
      </c>
      <c r="K122" s="388" t="str">
        <f>IFERROR(__xludf.DUMMYFUNCTION("IF(ISBLANK(A122),"""", googlefinance(A122, ""PE""))"),"")</f>
        <v/>
      </c>
      <c r="L122" s="385" t="str">
        <f>IFERROR(__xludf.DUMMYFUNCTION("IF(ISBLANK(A122),"""", googlefinance(A122, ""eps""))"),"")</f>
        <v/>
      </c>
      <c r="M122" s="389" t="str">
        <f>IFERROR(__xludf.DUMMYFUNCTION("IfError(IF(isblank(A122),"""",split(Q122, ""()"")))"),"")</f>
        <v/>
      </c>
      <c r="N122" s="384"/>
      <c r="O122" s="385" t="str">
        <f t="shared" si="5"/>
        <v/>
      </c>
      <c r="P122" s="385" t="str">
        <f t="shared" si="6"/>
        <v/>
      </c>
      <c r="Q122" s="389" t="str">
        <f>IFERROR(__xludf.DUMMYFUNCTION("IfError(IF(isblank(A122),"""", substitute(index(IMPORTHTML(""http://finviz.com/quote.ashx?t=""&amp;A122,""table"", 10),7,2),""*"","""")),0)"),"")</f>
        <v/>
      </c>
    </row>
    <row r="123" ht="15.0" customHeight="1">
      <c r="A123" s="391" t="str">
        <f>'My Lab'!P84</f>
        <v/>
      </c>
      <c r="B123" s="382" t="str">
        <f>IFERROR(__xludf.DUMMYFUNCTION("IF(ISBLANK(A123),"""", googlefinance(A123, ""name""))"),"")</f>
        <v/>
      </c>
      <c r="C123" s="383" t="str">
        <f>IFERROR(__xludf.DUMMYFUNCTION("IF(ISBLANK(A123),"""", googlefinance(A123, ""price""))"),"")</f>
        <v/>
      </c>
      <c r="D123" s="383" t="str">
        <f>IFERROR(__xludf.DUMMYFUNCTION("IFERROR(googlefinance(A123,""change""),"""")"),"")</f>
        <v/>
      </c>
      <c r="E123" s="384" t="str">
        <f>IFERROR(__xludf.DUMMYFUNCTION("iferror(GOOGLEFINANCE(A123,""changepct"")/100,"""")"),"")</f>
        <v/>
      </c>
      <c r="F123" s="385" t="str">
        <f>IF(ISBLANK(A123), "", IF(COUNTIF(Positions!$A$2:$A$31, A123) &gt; 0, "Yes","No")
)</f>
        <v/>
      </c>
      <c r="G123" s="385" t="str">
        <f>IFERROR(__xludf.DUMMYFUNCTION("IF(ISBLANK(A123),"""", googlefinance(A123, ""low52""))"),"")</f>
        <v/>
      </c>
      <c r="H123" s="386" t="str">
        <f>IFERROR(__xludf.DUMMYFUNCTION("IF(ISBLANK(A123),"""",IFERROR(SPARKLINE((C123-G123)/(I123-G123),{""charttype"",""bar"";""max"",1;""min"",0;""color1"",""2c79b5""}),""n/a""))"),"")</f>
        <v/>
      </c>
      <c r="I123" s="385" t="str">
        <f>IFERROR(__xludf.DUMMYFUNCTION("IF(ISBLANK(A123),"""", googlefinance(A123, ""high52""))"),"")</f>
        <v/>
      </c>
      <c r="J123" s="387" t="s">
        <v>134</v>
      </c>
      <c r="K123" s="388" t="str">
        <f>IFERROR(__xludf.DUMMYFUNCTION("IF(ISBLANK(A123),"""", googlefinance(A123, ""PE""))"),"")</f>
        <v/>
      </c>
      <c r="L123" s="385" t="str">
        <f>IFERROR(__xludf.DUMMYFUNCTION("IF(ISBLANK(A123),"""", googlefinance(A123, ""eps""))"),"")</f>
        <v/>
      </c>
      <c r="M123" s="389" t="str">
        <f>IFERROR(__xludf.DUMMYFUNCTION("IfError(IF(isblank(A123),"""",split(Q123, ""()"")))"),"")</f>
        <v/>
      </c>
      <c r="N123" s="384"/>
      <c r="O123" s="385" t="str">
        <f t="shared" si="5"/>
        <v/>
      </c>
      <c r="P123" s="385" t="str">
        <f t="shared" si="6"/>
        <v/>
      </c>
      <c r="Q123" s="389" t="str">
        <f>IFERROR(__xludf.DUMMYFUNCTION("IfError(IF(isblank(A123),"""", substitute(index(IMPORTHTML(""http://finviz.com/quote.ashx?t=""&amp;A123,""table"", 10),7,2),""*"","""")),0)"),"")</f>
        <v/>
      </c>
    </row>
    <row r="124" ht="15.0" customHeight="1">
      <c r="A124" s="391" t="str">
        <f>'My Lab'!P85</f>
        <v/>
      </c>
      <c r="B124" s="382" t="str">
        <f>IFERROR(__xludf.DUMMYFUNCTION("IF(ISBLANK(A124),"""", googlefinance(A124, ""name""))"),"")</f>
        <v/>
      </c>
      <c r="C124" s="383" t="str">
        <f>IFERROR(__xludf.DUMMYFUNCTION("IF(ISBLANK(A124),"""", googlefinance(A124, ""price""))"),"")</f>
        <v/>
      </c>
      <c r="D124" s="383" t="str">
        <f>IFERROR(__xludf.DUMMYFUNCTION("IFERROR(googlefinance(A124,""change""),"""")"),"")</f>
        <v/>
      </c>
      <c r="E124" s="384" t="str">
        <f>IFERROR(__xludf.DUMMYFUNCTION("iferror(GOOGLEFINANCE(A124,""changepct"")/100,"""")"),"")</f>
        <v/>
      </c>
      <c r="F124" s="385" t="str">
        <f>IF(ISBLANK(A124), "", IF(COUNTIF(Positions!$A$2:$A$31, A124) &gt; 0, "Yes","No")
)</f>
        <v/>
      </c>
      <c r="G124" s="385" t="str">
        <f>IFERROR(__xludf.DUMMYFUNCTION("IF(ISBLANK(A124),"""", googlefinance(A124, ""low52""))"),"")</f>
        <v/>
      </c>
      <c r="H124" s="386" t="str">
        <f>IFERROR(__xludf.DUMMYFUNCTION("IF(ISBLANK(A124),"""",IFERROR(SPARKLINE((C124-G124)/(I124-G124),{""charttype"",""bar"";""max"",1;""min"",0;""color1"",""2c79b5""}),""n/a""))"),"")</f>
        <v/>
      </c>
      <c r="I124" s="385" t="str">
        <f>IFERROR(__xludf.DUMMYFUNCTION("IF(ISBLANK(A124),"""", googlefinance(A124, ""high52""))"),"")</f>
        <v/>
      </c>
      <c r="J124" s="387" t="s">
        <v>134</v>
      </c>
      <c r="K124" s="388" t="str">
        <f>IFERROR(__xludf.DUMMYFUNCTION("IF(ISBLANK(A124),"""", googlefinance(A124, ""PE""))"),"")</f>
        <v/>
      </c>
      <c r="L124" s="385" t="str">
        <f>IFERROR(__xludf.DUMMYFUNCTION("IF(ISBLANK(A124),"""", googlefinance(A124, ""eps""))"),"")</f>
        <v/>
      </c>
      <c r="M124" s="389" t="str">
        <f>IFERROR(__xludf.DUMMYFUNCTION("IfError(IF(isblank(A124),"""",split(Q124, ""()"")))"),"")</f>
        <v/>
      </c>
      <c r="N124" s="384"/>
      <c r="O124" s="385" t="str">
        <f t="shared" si="5"/>
        <v/>
      </c>
      <c r="P124" s="385" t="str">
        <f t="shared" si="6"/>
        <v/>
      </c>
      <c r="Q124" s="389" t="str">
        <f>IFERROR(__xludf.DUMMYFUNCTION("IfError(IF(isblank(A124),"""", substitute(index(IMPORTHTML(""http://finviz.com/quote.ashx?t=""&amp;A124,""table"", 10),7,2),""*"","""")),0)"),"")</f>
        <v/>
      </c>
    </row>
    <row r="125" ht="15.0" customHeight="1">
      <c r="A125" s="391" t="str">
        <f>'My Lab'!P86</f>
        <v/>
      </c>
      <c r="B125" s="382" t="str">
        <f>IFERROR(__xludf.DUMMYFUNCTION("IF(ISBLANK(A125),"""", googlefinance(A125, ""name""))"),"")</f>
        <v/>
      </c>
      <c r="C125" s="383" t="str">
        <f>IFERROR(__xludf.DUMMYFUNCTION("IF(ISBLANK(A125),"""", googlefinance(A125, ""price""))"),"")</f>
        <v/>
      </c>
      <c r="D125" s="383" t="str">
        <f>IFERROR(__xludf.DUMMYFUNCTION("IFERROR(googlefinance(A125,""change""),"""")"),"")</f>
        <v/>
      </c>
      <c r="E125" s="384" t="str">
        <f>IFERROR(__xludf.DUMMYFUNCTION("iferror(GOOGLEFINANCE(A125,""changepct"")/100,"""")"),"")</f>
        <v/>
      </c>
      <c r="F125" s="385" t="str">
        <f>IF(ISBLANK(A125), "", IF(COUNTIF(Positions!$A$2:$A$31, A125) &gt; 0, "Yes","No")
)</f>
        <v/>
      </c>
      <c r="G125" s="385" t="str">
        <f>IFERROR(__xludf.DUMMYFUNCTION("IF(ISBLANK(A125),"""", googlefinance(A125, ""low52""))"),"")</f>
        <v/>
      </c>
      <c r="H125" s="386" t="str">
        <f>IFERROR(__xludf.DUMMYFUNCTION("IF(ISBLANK(A125),"""",IFERROR(SPARKLINE((C125-G125)/(I125-G125),{""charttype"",""bar"";""max"",1;""min"",0;""color1"",""2c79b5""}),""n/a""))"),"")</f>
        <v/>
      </c>
      <c r="I125" s="385" t="str">
        <f>IFERROR(__xludf.DUMMYFUNCTION("IF(ISBLANK(A125),"""", googlefinance(A125, ""high52""))"),"")</f>
        <v/>
      </c>
      <c r="J125" s="387" t="s">
        <v>134</v>
      </c>
      <c r="K125" s="388" t="str">
        <f>IFERROR(__xludf.DUMMYFUNCTION("IF(ISBLANK(A125),"""", googlefinance(A125, ""PE""))"),"")</f>
        <v/>
      </c>
      <c r="L125" s="385" t="str">
        <f>IFERROR(__xludf.DUMMYFUNCTION("IF(ISBLANK(A125),"""", googlefinance(A125, ""eps""))"),"")</f>
        <v/>
      </c>
      <c r="M125" s="389" t="str">
        <f>IFERROR(__xludf.DUMMYFUNCTION("IfError(IF(isblank(A125),"""",split(Q125, ""()"")))"),"")</f>
        <v/>
      </c>
      <c r="N125" s="384"/>
      <c r="O125" s="385" t="str">
        <f t="shared" si="5"/>
        <v/>
      </c>
      <c r="P125" s="385" t="str">
        <f t="shared" si="6"/>
        <v/>
      </c>
      <c r="Q125" s="389" t="str">
        <f>IFERROR(__xludf.DUMMYFUNCTION("IfError(IF(isblank(A125),"""", substitute(index(IMPORTHTML(""http://finviz.com/quote.ashx?t=""&amp;A125,""table"", 10),7,2),""*"","""")),0)"),"")</f>
        <v/>
      </c>
    </row>
    <row r="126" ht="15.0" customHeight="1">
      <c r="A126" s="391" t="str">
        <f>'My Lab'!P87</f>
        <v/>
      </c>
      <c r="B126" s="382" t="str">
        <f>IFERROR(__xludf.DUMMYFUNCTION("IF(ISBLANK(A126),"""", googlefinance(A126, ""name""))"),"")</f>
        <v/>
      </c>
      <c r="C126" s="383" t="str">
        <f>IFERROR(__xludf.DUMMYFUNCTION("IF(ISBLANK(A126),"""", googlefinance(A126, ""price""))"),"")</f>
        <v/>
      </c>
      <c r="D126" s="383" t="str">
        <f>IFERROR(__xludf.DUMMYFUNCTION("IFERROR(googlefinance(A126,""change""),"""")"),"")</f>
        <v/>
      </c>
      <c r="E126" s="384" t="str">
        <f>IFERROR(__xludf.DUMMYFUNCTION("iferror(GOOGLEFINANCE(A126,""changepct"")/100,"""")"),"")</f>
        <v/>
      </c>
      <c r="F126" s="385" t="str">
        <f>IF(ISBLANK(A126), "", IF(COUNTIF(Positions!$A$2:$A$31, A126) &gt; 0, "Yes","No")
)</f>
        <v/>
      </c>
      <c r="G126" s="385" t="str">
        <f>IFERROR(__xludf.DUMMYFUNCTION("IF(ISBLANK(A126),"""", googlefinance(A126, ""low52""))"),"")</f>
        <v/>
      </c>
      <c r="H126" s="386" t="str">
        <f>IFERROR(__xludf.DUMMYFUNCTION("IF(ISBLANK(A126),"""",IFERROR(SPARKLINE((C126-G126)/(I126-G126),{""charttype"",""bar"";""max"",1;""min"",0;""color1"",""2c79b5""}),""n/a""))"),"")</f>
        <v/>
      </c>
      <c r="I126" s="385" t="str">
        <f>IFERROR(__xludf.DUMMYFUNCTION("IF(ISBLANK(A126),"""", googlefinance(A126, ""high52""))"),"")</f>
        <v/>
      </c>
      <c r="J126" s="387" t="s">
        <v>134</v>
      </c>
      <c r="K126" s="388" t="str">
        <f>IFERROR(__xludf.DUMMYFUNCTION("IF(ISBLANK(A126),"""", googlefinance(A126, ""PE""))"),"")</f>
        <v/>
      </c>
      <c r="L126" s="385" t="str">
        <f>IFERROR(__xludf.DUMMYFUNCTION("IF(ISBLANK(A126),"""", googlefinance(A126, ""eps""))"),"")</f>
        <v/>
      </c>
      <c r="M126" s="389" t="str">
        <f>IFERROR(__xludf.DUMMYFUNCTION("IfError(IF(isblank(A126),"""",split(Q126, ""()"")))"),"")</f>
        <v/>
      </c>
      <c r="N126" s="384"/>
      <c r="O126" s="385" t="str">
        <f t="shared" si="5"/>
        <v/>
      </c>
      <c r="P126" s="385" t="str">
        <f t="shared" si="6"/>
        <v/>
      </c>
      <c r="Q126" s="389" t="str">
        <f>IFERROR(__xludf.DUMMYFUNCTION("IfError(IF(isblank(A126),"""", substitute(index(IMPORTHTML(""http://finviz.com/quote.ashx?t=""&amp;A126,""table"", 10),7,2),""*"","""")),0)"),"")</f>
        <v/>
      </c>
    </row>
    <row r="127" ht="15.0" customHeight="1">
      <c r="A127" s="391" t="str">
        <f>'My Lab'!P88</f>
        <v/>
      </c>
      <c r="B127" s="382" t="str">
        <f>IFERROR(__xludf.DUMMYFUNCTION("IF(ISBLANK(A127),"""", googlefinance(A127, ""name""))"),"")</f>
        <v/>
      </c>
      <c r="C127" s="383" t="str">
        <f>IFERROR(__xludf.DUMMYFUNCTION("IF(ISBLANK(A127),"""", googlefinance(A127, ""price""))"),"")</f>
        <v/>
      </c>
      <c r="D127" s="383" t="str">
        <f>IFERROR(__xludf.DUMMYFUNCTION("IFERROR(googlefinance(A127,""change""),"""")"),"")</f>
        <v/>
      </c>
      <c r="E127" s="384" t="str">
        <f>IFERROR(__xludf.DUMMYFUNCTION("iferror(GOOGLEFINANCE(A127,""changepct"")/100,"""")"),"")</f>
        <v/>
      </c>
      <c r="F127" s="385" t="str">
        <f>IF(ISBLANK(A127), "", IF(COUNTIF(Positions!$A$2:$A$31, A127) &gt; 0, "Yes","No")
)</f>
        <v/>
      </c>
      <c r="G127" s="385" t="str">
        <f>IFERROR(__xludf.DUMMYFUNCTION("IF(ISBLANK(A127),"""", googlefinance(A127, ""low52""))"),"")</f>
        <v/>
      </c>
      <c r="H127" s="386" t="str">
        <f>IFERROR(__xludf.DUMMYFUNCTION("IF(ISBLANK(A127),"""",IFERROR(SPARKLINE((C127-G127)/(I127-G127),{""charttype"",""bar"";""max"",1;""min"",0;""color1"",""2c79b5""}),""n/a""))"),"")</f>
        <v/>
      </c>
      <c r="I127" s="385" t="str">
        <f>IFERROR(__xludf.DUMMYFUNCTION("IF(ISBLANK(A127),"""", googlefinance(A127, ""high52""))"),"")</f>
        <v/>
      </c>
      <c r="J127" s="387" t="s">
        <v>134</v>
      </c>
      <c r="K127" s="388" t="str">
        <f>IFERROR(__xludf.DUMMYFUNCTION("IF(ISBLANK(A127),"""", googlefinance(A127, ""PE""))"),"")</f>
        <v/>
      </c>
      <c r="L127" s="385" t="str">
        <f>IFERROR(__xludf.DUMMYFUNCTION("IF(ISBLANK(A127),"""", googlefinance(A127, ""eps""))"),"")</f>
        <v/>
      </c>
      <c r="M127" s="389" t="str">
        <f>IFERROR(__xludf.DUMMYFUNCTION("IfError(IF(isblank(A127),"""",split(Q127, ""()"")))"),"")</f>
        <v/>
      </c>
      <c r="N127" s="384"/>
      <c r="O127" s="385" t="str">
        <f t="shared" si="5"/>
        <v/>
      </c>
      <c r="P127" s="385" t="str">
        <f t="shared" si="6"/>
        <v/>
      </c>
      <c r="Q127" s="389" t="str">
        <f>IFERROR(__xludf.DUMMYFUNCTION("IfError(IF(isblank(A127),"""", substitute(index(IMPORTHTML(""http://finviz.com/quote.ashx?t=""&amp;A127,""table"", 10),7,2),""*"","""")),0)"),"")</f>
        <v/>
      </c>
    </row>
    <row r="128" ht="15.0" customHeight="1">
      <c r="A128" s="391" t="str">
        <f>'My Lab'!P89</f>
        <v/>
      </c>
      <c r="B128" s="382" t="str">
        <f>IFERROR(__xludf.DUMMYFUNCTION("IF(ISBLANK(A128),"""", googlefinance(A128, ""name""))"),"")</f>
        <v/>
      </c>
      <c r="C128" s="383" t="str">
        <f>IFERROR(__xludf.DUMMYFUNCTION("IF(ISBLANK(A128),"""", googlefinance(A128, ""price""))"),"")</f>
        <v/>
      </c>
      <c r="D128" s="383" t="str">
        <f>IFERROR(__xludf.DUMMYFUNCTION("IFERROR(googlefinance(A128,""change""),"""")"),"")</f>
        <v/>
      </c>
      <c r="E128" s="384" t="str">
        <f>IFERROR(__xludf.DUMMYFUNCTION("iferror(GOOGLEFINANCE(A128,""changepct"")/100,"""")"),"")</f>
        <v/>
      </c>
      <c r="F128" s="385" t="str">
        <f>IF(ISBLANK(A128), "", IF(COUNTIF(Positions!$A$2:$A$31, A128) &gt; 0, "Yes","No")
)</f>
        <v/>
      </c>
      <c r="G128" s="385" t="str">
        <f>IFERROR(__xludf.DUMMYFUNCTION("IF(ISBLANK(A128),"""", googlefinance(A128, ""low52""))"),"")</f>
        <v/>
      </c>
      <c r="H128" s="386" t="str">
        <f>IFERROR(__xludf.DUMMYFUNCTION("IF(ISBLANK(A128),"""",IFERROR(SPARKLINE((C128-G128)/(I128-G128),{""charttype"",""bar"";""max"",1;""min"",0;""color1"",""2c79b5""}),""n/a""))"),"")</f>
        <v/>
      </c>
      <c r="I128" s="385" t="str">
        <f>IFERROR(__xludf.DUMMYFUNCTION("IF(ISBLANK(A128),"""", googlefinance(A128, ""high52""))"),"")</f>
        <v/>
      </c>
      <c r="J128" s="387" t="s">
        <v>134</v>
      </c>
      <c r="K128" s="388" t="str">
        <f>IFERROR(__xludf.DUMMYFUNCTION("IF(ISBLANK(A128),"""", googlefinance(A128, ""PE""))"),"")</f>
        <v/>
      </c>
      <c r="L128" s="385" t="str">
        <f>IFERROR(__xludf.DUMMYFUNCTION("IF(ISBLANK(A128),"""", googlefinance(A128, ""eps""))"),"")</f>
        <v/>
      </c>
      <c r="M128" s="389" t="str">
        <f>IFERROR(__xludf.DUMMYFUNCTION("IfError(IF(isblank(A128),"""",split(Q128, ""()"")))"),"")</f>
        <v/>
      </c>
      <c r="N128" s="384"/>
      <c r="O128" s="385" t="str">
        <f t="shared" si="5"/>
        <v/>
      </c>
      <c r="P128" s="385" t="str">
        <f t="shared" si="6"/>
        <v/>
      </c>
      <c r="Q128" s="389" t="str">
        <f>IFERROR(__xludf.DUMMYFUNCTION("IfError(IF(isblank(A128),"""", substitute(index(IMPORTHTML(""http://finviz.com/quote.ashx?t=""&amp;A128,""table"", 10),7,2),""*"","""")),0)"),"")</f>
        <v/>
      </c>
    </row>
    <row r="129" ht="15.0" customHeight="1">
      <c r="A129" s="391" t="str">
        <f>'My Lab'!P90</f>
        <v/>
      </c>
      <c r="B129" s="382" t="str">
        <f>IFERROR(__xludf.DUMMYFUNCTION("IF(ISBLANK(A129),"""", googlefinance(A129, ""name""))"),"")</f>
        <v/>
      </c>
      <c r="C129" s="383" t="str">
        <f>IFERROR(__xludf.DUMMYFUNCTION("IF(ISBLANK(A129),"""", googlefinance(A129, ""price""))"),"")</f>
        <v/>
      </c>
      <c r="D129" s="383" t="str">
        <f>IFERROR(__xludf.DUMMYFUNCTION("IFERROR(googlefinance(A129,""change""),"""")"),"")</f>
        <v/>
      </c>
      <c r="E129" s="384" t="str">
        <f>IFERROR(__xludf.DUMMYFUNCTION("iferror(GOOGLEFINANCE(A129,""changepct"")/100,"""")"),"")</f>
        <v/>
      </c>
      <c r="F129" s="385" t="str">
        <f>IF(ISBLANK(A129), "", IF(COUNTIF(Positions!$A$2:$A$31, A129) &gt; 0, "Yes","No")
)</f>
        <v/>
      </c>
      <c r="G129" s="385" t="str">
        <f>IFERROR(__xludf.DUMMYFUNCTION("IF(ISBLANK(A129),"""", googlefinance(A129, ""low52""))"),"")</f>
        <v/>
      </c>
      <c r="H129" s="386" t="str">
        <f>IFERROR(__xludf.DUMMYFUNCTION("IF(ISBLANK(A129),"""",IFERROR(SPARKLINE((C129-G129)/(I129-G129),{""charttype"",""bar"";""max"",1;""min"",0;""color1"",""2c79b5""}),""n/a""))"),"")</f>
        <v/>
      </c>
      <c r="I129" s="385" t="str">
        <f>IFERROR(__xludf.DUMMYFUNCTION("IF(ISBLANK(A129),"""", googlefinance(A129, ""high52""))"),"")</f>
        <v/>
      </c>
      <c r="J129" s="387" t="s">
        <v>134</v>
      </c>
      <c r="K129" s="388" t="str">
        <f>IFERROR(__xludf.DUMMYFUNCTION("IF(ISBLANK(A129),"""", googlefinance(A129, ""PE""))"),"")</f>
        <v/>
      </c>
      <c r="L129" s="385" t="str">
        <f>IFERROR(__xludf.DUMMYFUNCTION("IF(ISBLANK(A129),"""", googlefinance(A129, ""eps""))"),"")</f>
        <v/>
      </c>
      <c r="M129" s="389" t="str">
        <f>IFERROR(__xludf.DUMMYFUNCTION("IfError(IF(isblank(A129),"""",split(Q129, ""()"")))"),"")</f>
        <v/>
      </c>
      <c r="N129" s="384"/>
      <c r="O129" s="385" t="str">
        <f t="shared" si="5"/>
        <v/>
      </c>
      <c r="P129" s="385" t="str">
        <f t="shared" si="6"/>
        <v/>
      </c>
      <c r="Q129" s="389" t="str">
        <f>IFERROR(__xludf.DUMMYFUNCTION("IfError(IF(isblank(A129),"""", substitute(index(IMPORTHTML(""http://finviz.com/quote.ashx?t=""&amp;A129,""table"", 10),7,2),""*"","""")),0)"),"")</f>
        <v/>
      </c>
    </row>
    <row r="130" ht="15.0" customHeight="1">
      <c r="A130" s="391" t="str">
        <f>'My Lab'!P91</f>
        <v/>
      </c>
      <c r="B130" s="382" t="str">
        <f>IFERROR(__xludf.DUMMYFUNCTION("IF(ISBLANK(A130),"""", googlefinance(A130, ""name""))"),"")</f>
        <v/>
      </c>
      <c r="C130" s="383" t="str">
        <f>IFERROR(__xludf.DUMMYFUNCTION("IF(ISBLANK(A130),"""", googlefinance(A130, ""price""))"),"")</f>
        <v/>
      </c>
      <c r="D130" s="383" t="str">
        <f>IFERROR(__xludf.DUMMYFUNCTION("IFERROR(googlefinance(A130,""change""),"""")"),"")</f>
        <v/>
      </c>
      <c r="E130" s="384" t="str">
        <f>IFERROR(__xludf.DUMMYFUNCTION("iferror(GOOGLEFINANCE(A130,""changepct"")/100,"""")"),"")</f>
        <v/>
      </c>
      <c r="F130" s="385" t="str">
        <f>IF(ISBLANK(A130), "", IF(COUNTIF(Positions!$A$2:$A$31, A130) &gt; 0, "Yes","No")
)</f>
        <v/>
      </c>
      <c r="G130" s="385" t="str">
        <f>IFERROR(__xludf.DUMMYFUNCTION("IF(ISBLANK(A130),"""", googlefinance(A130, ""low52""))"),"")</f>
        <v/>
      </c>
      <c r="H130" s="386" t="str">
        <f>IFERROR(__xludf.DUMMYFUNCTION("IF(ISBLANK(A130),"""",IFERROR(SPARKLINE((C130-G130)/(I130-G130),{""charttype"",""bar"";""max"",1;""min"",0;""color1"",""2c79b5""}),""n/a""))"),"")</f>
        <v/>
      </c>
      <c r="I130" s="385" t="str">
        <f>IFERROR(__xludf.DUMMYFUNCTION("IF(ISBLANK(A130),"""", googlefinance(A130, ""high52""))"),"")</f>
        <v/>
      </c>
      <c r="J130" s="387" t="s">
        <v>134</v>
      </c>
      <c r="K130" s="388" t="str">
        <f>IFERROR(__xludf.DUMMYFUNCTION("IF(ISBLANK(A130),"""", googlefinance(A130, ""PE""))"),"")</f>
        <v/>
      </c>
      <c r="L130" s="385" t="str">
        <f>IFERROR(__xludf.DUMMYFUNCTION("IF(ISBLANK(A130),"""", googlefinance(A130, ""eps""))"),"")</f>
        <v/>
      </c>
      <c r="M130" s="389" t="str">
        <f>IFERROR(__xludf.DUMMYFUNCTION("IfError(IF(isblank(A130),"""",split(Q130, ""()"")))"),"")</f>
        <v/>
      </c>
      <c r="N130" s="384"/>
      <c r="O130" s="385" t="str">
        <f t="shared" si="5"/>
        <v/>
      </c>
      <c r="P130" s="385" t="str">
        <f t="shared" si="6"/>
        <v/>
      </c>
      <c r="Q130" s="389" t="str">
        <f>IFERROR(__xludf.DUMMYFUNCTION("IfError(IF(isblank(A130),"""", substitute(index(IMPORTHTML(""http://finviz.com/quote.ashx?t=""&amp;A130,""table"", 10),7,2),""*"","""")),0)"),"")</f>
        <v/>
      </c>
    </row>
    <row r="131" ht="15.0" customHeight="1">
      <c r="A131" s="391" t="str">
        <f>'My Lab'!P92</f>
        <v/>
      </c>
      <c r="B131" s="382" t="str">
        <f>IFERROR(__xludf.DUMMYFUNCTION("IF(ISBLANK(A131),"""", googlefinance(A131, ""name""))"),"")</f>
        <v/>
      </c>
      <c r="C131" s="383" t="str">
        <f>IFERROR(__xludf.DUMMYFUNCTION("IF(ISBLANK(A131),"""", googlefinance(A131, ""price""))"),"")</f>
        <v/>
      </c>
      <c r="D131" s="383" t="str">
        <f>IFERROR(__xludf.DUMMYFUNCTION("IFERROR(googlefinance(A131,""change""),"""")"),"")</f>
        <v/>
      </c>
      <c r="E131" s="384" t="str">
        <f>IFERROR(__xludf.DUMMYFUNCTION("iferror(GOOGLEFINANCE(A131,""changepct"")/100,"""")"),"")</f>
        <v/>
      </c>
      <c r="F131" s="385" t="str">
        <f>IF(ISBLANK(A131), "", IF(COUNTIF(Positions!$A$2:$A$31, A131) &gt; 0, "Yes","No")
)</f>
        <v/>
      </c>
      <c r="G131" s="385" t="str">
        <f>IFERROR(__xludf.DUMMYFUNCTION("IF(ISBLANK(A131),"""", googlefinance(A131, ""low52""))"),"")</f>
        <v/>
      </c>
      <c r="H131" s="386" t="str">
        <f>IFERROR(__xludf.DUMMYFUNCTION("IF(ISBLANK(A131),"""",IFERROR(SPARKLINE((C131-G131)/(I131-G131),{""charttype"",""bar"";""max"",1;""min"",0;""color1"",""2c79b5""}),""n/a""))"),"")</f>
        <v/>
      </c>
      <c r="I131" s="385" t="str">
        <f>IFERROR(__xludf.DUMMYFUNCTION("IF(ISBLANK(A131),"""", googlefinance(A131, ""high52""))"),"")</f>
        <v/>
      </c>
      <c r="J131" s="387" t="s">
        <v>134</v>
      </c>
      <c r="K131" s="388" t="str">
        <f>IFERROR(__xludf.DUMMYFUNCTION("IF(ISBLANK(A131),"""", googlefinance(A131, ""PE""))"),"")</f>
        <v/>
      </c>
      <c r="L131" s="385" t="str">
        <f>IFERROR(__xludf.DUMMYFUNCTION("IF(ISBLANK(A131),"""", googlefinance(A131, ""eps""))"),"")</f>
        <v/>
      </c>
      <c r="M131" s="389" t="str">
        <f>IFERROR(__xludf.DUMMYFUNCTION("IfError(IF(isblank(A131),"""",split(Q131, ""()"")))"),"")</f>
        <v/>
      </c>
      <c r="N131" s="384"/>
      <c r="O131" s="385" t="str">
        <f t="shared" si="5"/>
        <v/>
      </c>
      <c r="P131" s="385" t="str">
        <f t="shared" si="6"/>
        <v/>
      </c>
      <c r="Q131" s="389" t="str">
        <f>IFERROR(__xludf.DUMMYFUNCTION("IfError(IF(isblank(A131),"""", substitute(index(IMPORTHTML(""http://finviz.com/quote.ashx?t=""&amp;A131,""table"", 10),7,2),""*"","""")),0)"),"")</f>
        <v/>
      </c>
    </row>
    <row r="132" ht="15.0" customHeight="1">
      <c r="A132" s="391" t="str">
        <f>'My Lab'!P93</f>
        <v/>
      </c>
      <c r="B132" s="382" t="str">
        <f>IFERROR(__xludf.DUMMYFUNCTION("IF(ISBLANK(A132),"""", googlefinance(A132, ""name""))"),"")</f>
        <v/>
      </c>
      <c r="C132" s="383" t="str">
        <f>IFERROR(__xludf.DUMMYFUNCTION("IF(ISBLANK(A132),"""", googlefinance(A132, ""price""))"),"")</f>
        <v/>
      </c>
      <c r="D132" s="383" t="str">
        <f>IFERROR(__xludf.DUMMYFUNCTION("IFERROR(googlefinance(A132,""change""),"""")"),"")</f>
        <v/>
      </c>
      <c r="E132" s="384" t="str">
        <f>IFERROR(__xludf.DUMMYFUNCTION("iferror(GOOGLEFINANCE(A132,""changepct"")/100,"""")"),"")</f>
        <v/>
      </c>
      <c r="F132" s="385" t="str">
        <f>IF(ISBLANK(A132), "", IF(COUNTIF(Positions!$A$2:$A$31, A132) &gt; 0, "Yes","No")
)</f>
        <v/>
      </c>
      <c r="G132" s="385" t="str">
        <f>IFERROR(__xludf.DUMMYFUNCTION("IF(ISBLANK(A132),"""", googlefinance(A132, ""low52""))"),"")</f>
        <v/>
      </c>
      <c r="H132" s="386" t="str">
        <f>IFERROR(__xludf.DUMMYFUNCTION("IF(ISBLANK(A132),"""",IFERROR(SPARKLINE((C132-G132)/(I132-G132),{""charttype"",""bar"";""max"",1;""min"",0;""color1"",""2c79b5""}),""n/a""))"),"")</f>
        <v/>
      </c>
      <c r="I132" s="385" t="str">
        <f>IFERROR(__xludf.DUMMYFUNCTION("IF(ISBLANK(A132),"""", googlefinance(A132, ""high52""))"),"")</f>
        <v/>
      </c>
      <c r="J132" s="387" t="s">
        <v>134</v>
      </c>
      <c r="K132" s="388" t="str">
        <f>IFERROR(__xludf.DUMMYFUNCTION("IF(ISBLANK(A132),"""", googlefinance(A132, ""PE""))"),"")</f>
        <v/>
      </c>
      <c r="L132" s="385" t="str">
        <f>IFERROR(__xludf.DUMMYFUNCTION("IF(ISBLANK(A132),"""", googlefinance(A132, ""eps""))"),"")</f>
        <v/>
      </c>
      <c r="M132" s="389" t="str">
        <f>IFERROR(__xludf.DUMMYFUNCTION("IfError(IF(isblank(A132),"""",split(Q132, ""()"")))"),"")</f>
        <v/>
      </c>
      <c r="N132" s="384"/>
      <c r="O132" s="385" t="str">
        <f t="shared" si="5"/>
        <v/>
      </c>
      <c r="P132" s="385" t="str">
        <f t="shared" si="6"/>
        <v/>
      </c>
      <c r="Q132" s="389" t="str">
        <f>IFERROR(__xludf.DUMMYFUNCTION("IfError(IF(isblank(A132),"""", substitute(index(IMPORTHTML(""http://finviz.com/quote.ashx?t=""&amp;A132,""table"", 10),7,2),""*"","""")),0)"),"")</f>
        <v/>
      </c>
    </row>
    <row r="133" ht="15.0" customHeight="1">
      <c r="A133" s="391" t="str">
        <f>'My Lab'!P94</f>
        <v/>
      </c>
      <c r="B133" s="382" t="str">
        <f>IFERROR(__xludf.DUMMYFUNCTION("IF(ISBLANK(A133),"""", googlefinance(A133, ""name""))"),"")</f>
        <v/>
      </c>
      <c r="C133" s="383" t="str">
        <f>IFERROR(__xludf.DUMMYFUNCTION("IF(ISBLANK(A133),"""", googlefinance(A133, ""price""))"),"")</f>
        <v/>
      </c>
      <c r="D133" s="383" t="str">
        <f>IFERROR(__xludf.DUMMYFUNCTION("IFERROR(googlefinance(A133,""change""),"""")"),"")</f>
        <v/>
      </c>
      <c r="E133" s="384" t="str">
        <f>IFERROR(__xludf.DUMMYFUNCTION("iferror(GOOGLEFINANCE(A133,""changepct"")/100,"""")"),"")</f>
        <v/>
      </c>
      <c r="F133" s="385" t="str">
        <f>IF(ISBLANK(A133), "", IF(COUNTIF(Positions!$A$2:$A$31, A133) &gt; 0, "Yes","No")
)</f>
        <v/>
      </c>
      <c r="G133" s="385" t="str">
        <f>IFERROR(__xludf.DUMMYFUNCTION("IF(ISBLANK(A133),"""", googlefinance(A133, ""low52""))"),"")</f>
        <v/>
      </c>
      <c r="H133" s="386" t="str">
        <f>IFERROR(__xludf.DUMMYFUNCTION("IF(ISBLANK(A133),"""",IFERROR(SPARKLINE((C133-G133)/(I133-G133),{""charttype"",""bar"";""max"",1;""min"",0;""color1"",""2c79b5""}),""n/a""))"),"")</f>
        <v/>
      </c>
      <c r="I133" s="385" t="str">
        <f>IFERROR(__xludf.DUMMYFUNCTION("IF(ISBLANK(A133),"""", googlefinance(A133, ""high52""))"),"")</f>
        <v/>
      </c>
      <c r="J133" s="387" t="s">
        <v>134</v>
      </c>
      <c r="K133" s="388" t="str">
        <f>IFERROR(__xludf.DUMMYFUNCTION("IF(ISBLANK(A133),"""", googlefinance(A133, ""PE""))"),"")</f>
        <v/>
      </c>
      <c r="L133" s="385" t="str">
        <f>IFERROR(__xludf.DUMMYFUNCTION("IF(ISBLANK(A133),"""", googlefinance(A133, ""eps""))"),"")</f>
        <v/>
      </c>
      <c r="M133" s="389" t="str">
        <f>IFERROR(__xludf.DUMMYFUNCTION("IfError(IF(isblank(A133),"""",split(Q133, ""()"")))"),"")</f>
        <v/>
      </c>
      <c r="N133" s="384"/>
      <c r="O133" s="385" t="str">
        <f t="shared" si="5"/>
        <v/>
      </c>
      <c r="P133" s="385" t="str">
        <f t="shared" si="6"/>
        <v/>
      </c>
      <c r="Q133" s="389" t="str">
        <f>IFERROR(__xludf.DUMMYFUNCTION("IfError(IF(isblank(A133),"""", substitute(index(IMPORTHTML(""http://finviz.com/quote.ashx?t=""&amp;A133,""table"", 10),7,2),""*"","""")),0)"),"")</f>
        <v/>
      </c>
    </row>
    <row r="134" ht="15.0" customHeight="1">
      <c r="A134" s="391" t="str">
        <f>'My Lab'!P95</f>
        <v/>
      </c>
      <c r="B134" s="382" t="str">
        <f>IFERROR(__xludf.DUMMYFUNCTION("IF(ISBLANK(A134),"""", googlefinance(A134, ""name""))"),"")</f>
        <v/>
      </c>
      <c r="C134" s="383" t="str">
        <f>IFERROR(__xludf.DUMMYFUNCTION("IF(ISBLANK(A134),"""", googlefinance(A134, ""price""))"),"")</f>
        <v/>
      </c>
      <c r="D134" s="383" t="str">
        <f>IFERROR(__xludf.DUMMYFUNCTION("IFERROR(googlefinance(A134,""change""),"""")"),"")</f>
        <v/>
      </c>
      <c r="E134" s="384" t="str">
        <f>IFERROR(__xludf.DUMMYFUNCTION("iferror(GOOGLEFINANCE(A134,""changepct"")/100,"""")"),"")</f>
        <v/>
      </c>
      <c r="F134" s="385" t="str">
        <f>IF(ISBLANK(A134), "", IF(COUNTIF(Positions!$A$2:$A$31, A134) &gt; 0, "Yes","No")
)</f>
        <v/>
      </c>
      <c r="G134" s="385" t="str">
        <f>IFERROR(__xludf.DUMMYFUNCTION("IF(ISBLANK(A134),"""", googlefinance(A134, ""low52""))"),"")</f>
        <v/>
      </c>
      <c r="H134" s="386" t="str">
        <f>IFERROR(__xludf.DUMMYFUNCTION("IF(ISBLANK(A134),"""",IFERROR(SPARKLINE((C134-G134)/(I134-G134),{""charttype"",""bar"";""max"",1;""min"",0;""color1"",""2c79b5""}),""n/a""))"),"")</f>
        <v/>
      </c>
      <c r="I134" s="385" t="str">
        <f>IFERROR(__xludf.DUMMYFUNCTION("IF(ISBLANK(A134),"""", googlefinance(A134, ""high52""))"),"")</f>
        <v/>
      </c>
      <c r="J134" s="387" t="s">
        <v>134</v>
      </c>
      <c r="K134" s="388" t="str">
        <f>IFERROR(__xludf.DUMMYFUNCTION("IF(ISBLANK(A134),"""", googlefinance(A134, ""PE""))"),"")</f>
        <v/>
      </c>
      <c r="L134" s="385" t="str">
        <f>IFERROR(__xludf.DUMMYFUNCTION("IF(ISBLANK(A134),"""", googlefinance(A134, ""eps""))"),"")</f>
        <v/>
      </c>
      <c r="M134" s="389" t="str">
        <f>IFERROR(__xludf.DUMMYFUNCTION("IfError(IF(isblank(A134),"""",split(Q134, ""()"")))"),"")</f>
        <v/>
      </c>
      <c r="N134" s="384"/>
      <c r="O134" s="385" t="str">
        <f t="shared" si="5"/>
        <v/>
      </c>
      <c r="P134" s="385" t="str">
        <f t="shared" si="6"/>
        <v/>
      </c>
      <c r="Q134" s="389" t="str">
        <f>IFERROR(__xludf.DUMMYFUNCTION("IfError(IF(isblank(A134),"""", substitute(index(IMPORTHTML(""http://finviz.com/quote.ashx?t=""&amp;A134,""table"", 10),7,2),""*"","""")),0)"),"")</f>
        <v/>
      </c>
    </row>
    <row r="135" ht="15.0" customHeight="1">
      <c r="A135" s="391" t="str">
        <f>'My Lab'!P96</f>
        <v/>
      </c>
      <c r="B135" s="382" t="str">
        <f>IFERROR(__xludf.DUMMYFUNCTION("IF(ISBLANK(A135),"""", googlefinance(A135, ""name""))"),"")</f>
        <v/>
      </c>
      <c r="C135" s="383" t="str">
        <f>IFERROR(__xludf.DUMMYFUNCTION("IF(ISBLANK(A135),"""", googlefinance(A135, ""price""))"),"")</f>
        <v/>
      </c>
      <c r="D135" s="383" t="str">
        <f>IFERROR(__xludf.DUMMYFUNCTION("IFERROR(googlefinance(A135,""change""),"""")"),"")</f>
        <v/>
      </c>
      <c r="E135" s="384" t="str">
        <f>IFERROR(__xludf.DUMMYFUNCTION("iferror(GOOGLEFINANCE(A135,""changepct"")/100,"""")"),"")</f>
        <v/>
      </c>
      <c r="F135" s="385" t="str">
        <f>IF(ISBLANK(A135), "", IF(COUNTIF(Positions!$A$2:$A$31, A135) &gt; 0, "Yes","No")
)</f>
        <v/>
      </c>
      <c r="G135" s="385" t="str">
        <f>IFERROR(__xludf.DUMMYFUNCTION("IF(ISBLANK(A135),"""", googlefinance(A135, ""low52""))"),"")</f>
        <v/>
      </c>
      <c r="H135" s="386" t="str">
        <f>IFERROR(__xludf.DUMMYFUNCTION("IF(ISBLANK(A135),"""",IFERROR(SPARKLINE((C135-G135)/(I135-G135),{""charttype"",""bar"";""max"",1;""min"",0;""color1"",""2c79b5""}),""n/a""))"),"")</f>
        <v/>
      </c>
      <c r="I135" s="385" t="str">
        <f>IFERROR(__xludf.DUMMYFUNCTION("IF(ISBLANK(A135),"""", googlefinance(A135, ""high52""))"),"")</f>
        <v/>
      </c>
      <c r="J135" s="387" t="s">
        <v>134</v>
      </c>
      <c r="K135" s="388" t="str">
        <f>IFERROR(__xludf.DUMMYFUNCTION("IF(ISBLANK(A135),"""", googlefinance(A135, ""PE""))"),"")</f>
        <v/>
      </c>
      <c r="L135" s="385" t="str">
        <f>IFERROR(__xludf.DUMMYFUNCTION("IF(ISBLANK(A135),"""", googlefinance(A135, ""eps""))"),"")</f>
        <v/>
      </c>
      <c r="M135" s="389" t="str">
        <f>IFERROR(__xludf.DUMMYFUNCTION("IfError(IF(isblank(A135),"""",split(Q135, ""()"")))"),"")</f>
        <v/>
      </c>
      <c r="N135" s="384"/>
      <c r="O135" s="385" t="str">
        <f t="shared" si="5"/>
        <v/>
      </c>
      <c r="P135" s="385" t="str">
        <f t="shared" si="6"/>
        <v/>
      </c>
      <c r="Q135" s="389" t="str">
        <f>IFERROR(__xludf.DUMMYFUNCTION("IfError(IF(isblank(A135),"""", substitute(index(IMPORTHTML(""http://finviz.com/quote.ashx?t=""&amp;A135,""table"", 10),7,2),""*"","""")),0)"),"")</f>
        <v/>
      </c>
    </row>
    <row r="136" ht="15.0" customHeight="1">
      <c r="A136" s="391" t="str">
        <f>'My Lab'!P97</f>
        <v/>
      </c>
      <c r="B136" s="382" t="str">
        <f>IFERROR(__xludf.DUMMYFUNCTION("IF(ISBLANK(A136),"""", googlefinance(A136, ""name""))"),"")</f>
        <v/>
      </c>
      <c r="C136" s="383" t="str">
        <f>IFERROR(__xludf.DUMMYFUNCTION("IF(ISBLANK(A136),"""", googlefinance(A136, ""price""))"),"")</f>
        <v/>
      </c>
      <c r="D136" s="383" t="str">
        <f>IFERROR(__xludf.DUMMYFUNCTION("IFERROR(googlefinance(A136,""change""),"""")"),"")</f>
        <v/>
      </c>
      <c r="E136" s="384" t="str">
        <f>IFERROR(__xludf.DUMMYFUNCTION("iferror(GOOGLEFINANCE(A136,""changepct"")/100,"""")"),"")</f>
        <v/>
      </c>
      <c r="F136" s="385" t="str">
        <f>IF(ISBLANK(A136), "", IF(COUNTIF(Positions!$A$2:$A$31, A136) &gt; 0, "Yes","No")
)</f>
        <v/>
      </c>
      <c r="G136" s="385" t="str">
        <f>IFERROR(__xludf.DUMMYFUNCTION("IF(ISBLANK(A136),"""", googlefinance(A136, ""low52""))"),"")</f>
        <v/>
      </c>
      <c r="H136" s="386" t="str">
        <f>IFERROR(__xludf.DUMMYFUNCTION("IF(ISBLANK(A136),"""",IFERROR(SPARKLINE((C136-G136)/(I136-G136),{""charttype"",""bar"";""max"",1;""min"",0;""color1"",""2c79b5""}),""n/a""))"),"")</f>
        <v/>
      </c>
      <c r="I136" s="385" t="str">
        <f>IFERROR(__xludf.DUMMYFUNCTION("IF(ISBLANK(A136),"""", googlefinance(A136, ""high52""))"),"")</f>
        <v/>
      </c>
      <c r="J136" s="387" t="s">
        <v>134</v>
      </c>
      <c r="K136" s="388" t="str">
        <f>IFERROR(__xludf.DUMMYFUNCTION("IF(ISBLANK(A136),"""", googlefinance(A136, ""PE""))"),"")</f>
        <v/>
      </c>
      <c r="L136" s="385" t="str">
        <f>IFERROR(__xludf.DUMMYFUNCTION("IF(ISBLANK(A136),"""", googlefinance(A136, ""eps""))"),"")</f>
        <v/>
      </c>
      <c r="M136" s="389" t="str">
        <f>IFERROR(__xludf.DUMMYFUNCTION("IfError(IF(isblank(A136),"""",split(Q136, ""()"")))"),"")</f>
        <v/>
      </c>
      <c r="N136" s="384"/>
      <c r="O136" s="385" t="str">
        <f t="shared" si="5"/>
        <v/>
      </c>
      <c r="P136" s="385" t="str">
        <f t="shared" si="6"/>
        <v/>
      </c>
      <c r="Q136" s="389" t="str">
        <f>IFERROR(__xludf.DUMMYFUNCTION("IfError(IF(isblank(A136),"""", substitute(index(IMPORTHTML(""http://finviz.com/quote.ashx?t=""&amp;A136,""table"", 10),7,2),""*"","""")),0)"),"")</f>
        <v/>
      </c>
    </row>
    <row r="137" ht="15.0" customHeight="1">
      <c r="A137" s="391" t="str">
        <f>'My Lab'!P98</f>
        <v/>
      </c>
      <c r="B137" s="382" t="str">
        <f>IFERROR(__xludf.DUMMYFUNCTION("IF(ISBLANK(A137),"""", googlefinance(A137, ""name""))"),"")</f>
        <v/>
      </c>
      <c r="C137" s="383" t="str">
        <f>IFERROR(__xludf.DUMMYFUNCTION("IF(ISBLANK(A137),"""", googlefinance(A137, ""price""))"),"")</f>
        <v/>
      </c>
      <c r="D137" s="383" t="str">
        <f>IFERROR(__xludf.DUMMYFUNCTION("IFERROR(googlefinance(A137,""change""),"""")"),"")</f>
        <v/>
      </c>
      <c r="E137" s="384" t="str">
        <f>IFERROR(__xludf.DUMMYFUNCTION("iferror(GOOGLEFINANCE(A137,""changepct"")/100,"""")"),"")</f>
        <v/>
      </c>
      <c r="F137" s="385" t="str">
        <f>IF(ISBLANK(A137), "", IF(COUNTIF(Positions!$A$2:$A$31, A137) &gt; 0, "Yes","No")
)</f>
        <v/>
      </c>
      <c r="G137" s="385" t="str">
        <f>IFERROR(__xludf.DUMMYFUNCTION("IF(ISBLANK(A137),"""", googlefinance(A137, ""low52""))"),"")</f>
        <v/>
      </c>
      <c r="H137" s="386" t="str">
        <f>IFERROR(__xludf.DUMMYFUNCTION("IF(ISBLANK(A137),"""",IFERROR(SPARKLINE((C137-G137)/(I137-G137),{""charttype"",""bar"";""max"",1;""min"",0;""color1"",""2c79b5""}),""n/a""))"),"")</f>
        <v/>
      </c>
      <c r="I137" s="385" t="str">
        <f>IFERROR(__xludf.DUMMYFUNCTION("IF(ISBLANK(A137),"""", googlefinance(A137, ""high52""))"),"")</f>
        <v/>
      </c>
      <c r="J137" s="387" t="s">
        <v>134</v>
      </c>
      <c r="K137" s="388" t="str">
        <f>IFERROR(__xludf.DUMMYFUNCTION("IF(ISBLANK(A137),"""", googlefinance(A137, ""PE""))"),"")</f>
        <v/>
      </c>
      <c r="L137" s="385" t="str">
        <f>IFERROR(__xludf.DUMMYFUNCTION("IF(ISBLANK(A137),"""", googlefinance(A137, ""eps""))"),"")</f>
        <v/>
      </c>
      <c r="M137" s="389" t="str">
        <f>IFERROR(__xludf.DUMMYFUNCTION("IfError(IF(isblank(A137),"""",split(Q137, ""()"")))"),"")</f>
        <v/>
      </c>
      <c r="N137" s="384"/>
      <c r="O137" s="385" t="str">
        <f t="shared" si="5"/>
        <v/>
      </c>
      <c r="P137" s="385" t="str">
        <f t="shared" si="6"/>
        <v/>
      </c>
      <c r="Q137" s="389" t="str">
        <f>IFERROR(__xludf.DUMMYFUNCTION("IfError(IF(isblank(A137),"""", substitute(index(IMPORTHTML(""http://finviz.com/quote.ashx?t=""&amp;A137,""table"", 10),7,2),""*"","""")),0)"),"")</f>
        <v/>
      </c>
    </row>
    <row r="138" ht="15.0" customHeight="1">
      <c r="A138" s="391" t="str">
        <f>'My Lab'!P99</f>
        <v/>
      </c>
      <c r="B138" s="382" t="str">
        <f>IFERROR(__xludf.DUMMYFUNCTION("IF(ISBLANK(A138),"""", googlefinance(A138, ""name""))"),"")</f>
        <v/>
      </c>
      <c r="C138" s="383" t="str">
        <f>IFERROR(__xludf.DUMMYFUNCTION("IF(ISBLANK(A138),"""", googlefinance(A138, ""price""))"),"")</f>
        <v/>
      </c>
      <c r="D138" s="383" t="str">
        <f>IFERROR(__xludf.DUMMYFUNCTION("IFERROR(googlefinance(A138,""change""),"""")"),"")</f>
        <v/>
      </c>
      <c r="E138" s="384" t="str">
        <f>IFERROR(__xludf.DUMMYFUNCTION("iferror(GOOGLEFINANCE(A138,""changepct"")/100,"""")"),"")</f>
        <v/>
      </c>
      <c r="F138" s="385" t="str">
        <f>IF(ISBLANK(A138), "", IF(COUNTIF(Positions!$A$2:$A$31, A138) &gt; 0, "Yes","No")
)</f>
        <v/>
      </c>
      <c r="G138" s="385" t="str">
        <f>IFERROR(__xludf.DUMMYFUNCTION("IF(ISBLANK(A138),"""", googlefinance(A138, ""low52""))"),"")</f>
        <v/>
      </c>
      <c r="H138" s="386" t="str">
        <f>IFERROR(__xludf.DUMMYFUNCTION("IF(ISBLANK(A138),"""",IFERROR(SPARKLINE((C138-G138)/(I138-G138),{""charttype"",""bar"";""max"",1;""min"",0;""color1"",""2c79b5""}),""n/a""))"),"")</f>
        <v/>
      </c>
      <c r="I138" s="385" t="str">
        <f>IFERROR(__xludf.DUMMYFUNCTION("IF(ISBLANK(A138),"""", googlefinance(A138, ""high52""))"),"")</f>
        <v/>
      </c>
      <c r="J138" s="387" t="s">
        <v>134</v>
      </c>
      <c r="K138" s="388" t="str">
        <f>IFERROR(__xludf.DUMMYFUNCTION("IF(ISBLANK(A138),"""", googlefinance(A138, ""PE""))"),"")</f>
        <v/>
      </c>
      <c r="L138" s="385" t="str">
        <f>IFERROR(__xludf.DUMMYFUNCTION("IF(ISBLANK(A138),"""", googlefinance(A138, ""eps""))"),"")</f>
        <v/>
      </c>
      <c r="M138" s="389" t="str">
        <f>IFERROR(__xludf.DUMMYFUNCTION("IfError(IF(isblank(A138),"""",split(Q138, ""()"")))"),"")</f>
        <v/>
      </c>
      <c r="N138" s="384"/>
      <c r="O138" s="385" t="str">
        <f t="shared" si="5"/>
        <v/>
      </c>
      <c r="P138" s="385" t="str">
        <f t="shared" si="6"/>
        <v/>
      </c>
      <c r="Q138" s="389" t="str">
        <f>IFERROR(__xludf.DUMMYFUNCTION("IfError(IF(isblank(A138),"""", substitute(index(IMPORTHTML(""http://finviz.com/quote.ashx?t=""&amp;A138,""table"", 10),7,2),""*"","""")),0)"),"")</f>
        <v/>
      </c>
    </row>
    <row r="139" ht="15.0" customHeight="1">
      <c r="A139" s="391" t="str">
        <f>'My Lab'!P100</f>
        <v/>
      </c>
      <c r="B139" s="382" t="str">
        <f>IFERROR(__xludf.DUMMYFUNCTION("IF(ISBLANK(A139),"""", googlefinance(A139, ""name""))"),"")</f>
        <v/>
      </c>
      <c r="C139" s="383" t="str">
        <f>IFERROR(__xludf.DUMMYFUNCTION("IF(ISBLANK(A139),"""", googlefinance(A139, ""price""))"),"")</f>
        <v/>
      </c>
      <c r="D139" s="383" t="str">
        <f>IFERROR(__xludf.DUMMYFUNCTION("IFERROR(googlefinance(A139,""change""),"""")"),"")</f>
        <v/>
      </c>
      <c r="E139" s="384" t="str">
        <f>IFERROR(__xludf.DUMMYFUNCTION("iferror(GOOGLEFINANCE(A139,""changepct"")/100,"""")"),"")</f>
        <v/>
      </c>
      <c r="F139" s="385" t="str">
        <f>IF(ISBLANK(A139), "", IF(COUNTIF(Positions!$A$2:$A$31, A139) &gt; 0, "Yes","No")
)</f>
        <v/>
      </c>
      <c r="G139" s="385" t="str">
        <f>IFERROR(__xludf.DUMMYFUNCTION("IF(ISBLANK(A139),"""", googlefinance(A139, ""low52""))"),"")</f>
        <v/>
      </c>
      <c r="H139" s="386" t="str">
        <f>IFERROR(__xludf.DUMMYFUNCTION("IF(ISBLANK(A139),"""",IFERROR(SPARKLINE((C139-G139)/(I139-G139),{""charttype"",""bar"";""max"",1;""min"",0;""color1"",""2c79b5""}),""n/a""))"),"")</f>
        <v/>
      </c>
      <c r="I139" s="385" t="str">
        <f>IFERROR(__xludf.DUMMYFUNCTION("IF(ISBLANK(A139),"""", googlefinance(A139, ""high52""))"),"")</f>
        <v/>
      </c>
      <c r="J139" s="387" t="s">
        <v>134</v>
      </c>
      <c r="K139" s="388" t="str">
        <f>IFERROR(__xludf.DUMMYFUNCTION("IF(ISBLANK(A139),"""", googlefinance(A139, ""PE""))"),"")</f>
        <v/>
      </c>
      <c r="L139" s="385" t="str">
        <f>IFERROR(__xludf.DUMMYFUNCTION("IF(ISBLANK(A139),"""", googlefinance(A139, ""eps""))"),"")</f>
        <v/>
      </c>
      <c r="M139" s="389" t="str">
        <f>IFERROR(__xludf.DUMMYFUNCTION("IfError(IF(isblank(A139),"""",split(Q139, ""()"")))"),"")</f>
        <v/>
      </c>
      <c r="N139" s="384"/>
      <c r="O139" s="385" t="str">
        <f t="shared" si="5"/>
        <v/>
      </c>
      <c r="P139" s="385" t="str">
        <f t="shared" si="6"/>
        <v/>
      </c>
      <c r="Q139" s="389" t="str">
        <f>IFERROR(__xludf.DUMMYFUNCTION("IfError(IF(isblank(A139),"""", substitute(index(IMPORTHTML(""http://finviz.com/quote.ashx?t=""&amp;A139,""table"", 10),7,2),""*"","""")),0)"),"")</f>
        <v/>
      </c>
    </row>
    <row r="140" ht="15.0" customHeight="1">
      <c r="A140" s="391" t="str">
        <f>'My Lab'!P101</f>
        <v/>
      </c>
      <c r="B140" s="382" t="str">
        <f>IFERROR(__xludf.DUMMYFUNCTION("IF(ISBLANK(A140),"""", googlefinance(A140, ""name""))"),"")</f>
        <v/>
      </c>
      <c r="C140" s="383" t="str">
        <f>IFERROR(__xludf.DUMMYFUNCTION("IF(ISBLANK(A140),"""", googlefinance(A140, ""price""))"),"")</f>
        <v/>
      </c>
      <c r="D140" s="383" t="str">
        <f>IFERROR(__xludf.DUMMYFUNCTION("IFERROR(googlefinance(A140,""change""),"""")"),"")</f>
        <v/>
      </c>
      <c r="E140" s="384" t="str">
        <f>IFERROR(__xludf.DUMMYFUNCTION("iferror(GOOGLEFINANCE(A140,""changepct"")/100,"""")"),"")</f>
        <v/>
      </c>
      <c r="F140" s="385" t="str">
        <f>IF(ISBLANK(A140), "", IF(COUNTIF(Positions!$A$2:$A$31, A140) &gt; 0, "Yes","No")
)</f>
        <v/>
      </c>
      <c r="G140" s="385" t="str">
        <f>IFERROR(__xludf.DUMMYFUNCTION("IF(ISBLANK(A140),"""", googlefinance(A140, ""low52""))"),"")</f>
        <v/>
      </c>
      <c r="H140" s="386" t="str">
        <f>IFERROR(__xludf.DUMMYFUNCTION("IF(ISBLANK(A140),"""",IFERROR(SPARKLINE((C140-G140)/(I140-G140),{""charttype"",""bar"";""max"",1;""min"",0;""color1"",""2c79b5""}),""n/a""))"),"")</f>
        <v/>
      </c>
      <c r="I140" s="385" t="str">
        <f>IFERROR(__xludf.DUMMYFUNCTION("IF(ISBLANK(A140),"""", googlefinance(A140, ""high52""))"),"")</f>
        <v/>
      </c>
      <c r="J140" s="387" t="s">
        <v>134</v>
      </c>
      <c r="K140" s="388" t="str">
        <f>IFERROR(__xludf.DUMMYFUNCTION("IF(ISBLANK(A140),"""", googlefinance(A140, ""PE""))"),"")</f>
        <v/>
      </c>
      <c r="L140" s="385" t="str">
        <f>IFERROR(__xludf.DUMMYFUNCTION("IF(ISBLANK(A140),"""", googlefinance(A140, ""eps""))"),"")</f>
        <v/>
      </c>
      <c r="M140" s="389" t="str">
        <f>IFERROR(__xludf.DUMMYFUNCTION("IfError(IF(isblank(A140),"""",split(Q140, ""()"")))"),"")</f>
        <v/>
      </c>
      <c r="N140" s="384"/>
      <c r="O140" s="385" t="str">
        <f t="shared" si="5"/>
        <v/>
      </c>
      <c r="P140" s="385" t="str">
        <f t="shared" si="6"/>
        <v/>
      </c>
      <c r="Q140" s="389" t="str">
        <f>IFERROR(__xludf.DUMMYFUNCTION("IfError(IF(isblank(A140),"""", substitute(index(IMPORTHTML(""http://finviz.com/quote.ashx?t=""&amp;A140,""table"", 10),7,2),""*"","""")),0)"),"")</f>
        <v/>
      </c>
    </row>
    <row r="141" ht="15.0" customHeight="1">
      <c r="A141" s="391" t="str">
        <f>'My Lab'!P102</f>
        <v/>
      </c>
      <c r="B141" s="382" t="str">
        <f>IFERROR(__xludf.DUMMYFUNCTION("IF(ISBLANK(A141),"""", googlefinance(A141, ""name""))"),"")</f>
        <v/>
      </c>
      <c r="C141" s="383" t="str">
        <f>IFERROR(__xludf.DUMMYFUNCTION("IF(ISBLANK(A141),"""", googlefinance(A141, ""price""))"),"")</f>
        <v/>
      </c>
      <c r="D141" s="383" t="str">
        <f>IFERROR(__xludf.DUMMYFUNCTION("IFERROR(googlefinance(A141,""change""),"""")"),"")</f>
        <v/>
      </c>
      <c r="E141" s="384" t="str">
        <f>IFERROR(__xludf.DUMMYFUNCTION("iferror(GOOGLEFINANCE(A141,""changepct"")/100,"""")"),"")</f>
        <v/>
      </c>
      <c r="F141" s="385" t="str">
        <f>IF(ISBLANK(A141), "", IF(COUNTIF(Positions!$A$2:$A$31, A141) &gt; 0, "Yes","No")
)</f>
        <v/>
      </c>
      <c r="G141" s="385" t="str">
        <f>IFERROR(__xludf.DUMMYFUNCTION("IF(ISBLANK(A141),"""", googlefinance(A141, ""low52""))"),"")</f>
        <v/>
      </c>
      <c r="H141" s="386" t="str">
        <f>IFERROR(__xludf.DUMMYFUNCTION("IF(ISBLANK(A141),"""",IFERROR(SPARKLINE((C141-G141)/(I141-G141),{""charttype"",""bar"";""max"",1;""min"",0;""color1"",""2c79b5""}),""n/a""))"),"")</f>
        <v/>
      </c>
      <c r="I141" s="385" t="str">
        <f>IFERROR(__xludf.DUMMYFUNCTION("IF(ISBLANK(A141),"""", googlefinance(A141, ""high52""))"),"")</f>
        <v/>
      </c>
      <c r="J141" s="387" t="s">
        <v>134</v>
      </c>
      <c r="K141" s="388" t="str">
        <f>IFERROR(__xludf.DUMMYFUNCTION("IF(ISBLANK(A141),"""", googlefinance(A141, ""PE""))"),"")</f>
        <v/>
      </c>
      <c r="L141" s="385" t="str">
        <f>IFERROR(__xludf.DUMMYFUNCTION("IF(ISBLANK(A141),"""", googlefinance(A141, ""eps""))"),"")</f>
        <v/>
      </c>
      <c r="M141" s="389" t="str">
        <f>IFERROR(__xludf.DUMMYFUNCTION("IfError(IF(isblank(A141),"""",split(Q141, ""()"")))"),"")</f>
        <v/>
      </c>
      <c r="N141" s="384"/>
      <c r="O141" s="385" t="str">
        <f t="shared" si="5"/>
        <v/>
      </c>
      <c r="P141" s="385" t="str">
        <f t="shared" si="6"/>
        <v/>
      </c>
      <c r="Q141" s="389" t="str">
        <f>IFERROR(__xludf.DUMMYFUNCTION("IfError(IF(isblank(A141),"""", substitute(index(IMPORTHTML(""http://finviz.com/quote.ashx?t=""&amp;A141,""table"", 10),7,2),""*"","""")),0)"),"")</f>
        <v/>
      </c>
    </row>
    <row r="142" ht="15.0" customHeight="1">
      <c r="A142" s="391" t="str">
        <f>'My Lab'!P103</f>
        <v/>
      </c>
      <c r="B142" s="382" t="str">
        <f>IFERROR(__xludf.DUMMYFUNCTION("IF(ISBLANK(A142),"""", googlefinance(A142, ""name""))"),"")</f>
        <v/>
      </c>
      <c r="C142" s="383" t="str">
        <f>IFERROR(__xludf.DUMMYFUNCTION("IF(ISBLANK(A142),"""", googlefinance(A142, ""price""))"),"")</f>
        <v/>
      </c>
      <c r="D142" s="383" t="str">
        <f>IFERROR(__xludf.DUMMYFUNCTION("IFERROR(googlefinance(A142,""change""),"""")"),"")</f>
        <v/>
      </c>
      <c r="E142" s="384" t="str">
        <f>IFERROR(__xludf.DUMMYFUNCTION("iferror(GOOGLEFINANCE(A142,""changepct"")/100,"""")"),"")</f>
        <v/>
      </c>
      <c r="F142" s="385" t="str">
        <f>IF(ISBLANK(A142), "", IF(COUNTIF(Positions!$A$2:$A$31, A142) &gt; 0, "Yes","No")
)</f>
        <v/>
      </c>
      <c r="G142" s="385" t="str">
        <f>IFERROR(__xludf.DUMMYFUNCTION("IF(ISBLANK(A142),"""", googlefinance(A142, ""low52""))"),"")</f>
        <v/>
      </c>
      <c r="H142" s="386" t="str">
        <f>IFERROR(__xludf.DUMMYFUNCTION("IF(ISBLANK(A142),"""",IFERROR(SPARKLINE((C142-G142)/(I142-G142),{""charttype"",""bar"";""max"",1;""min"",0;""color1"",""2c79b5""}),""n/a""))"),"")</f>
        <v/>
      </c>
      <c r="I142" s="385" t="str">
        <f>IFERROR(__xludf.DUMMYFUNCTION("IF(ISBLANK(A142),"""", googlefinance(A142, ""high52""))"),"")</f>
        <v/>
      </c>
      <c r="J142" s="387" t="s">
        <v>134</v>
      </c>
      <c r="K142" s="388" t="str">
        <f>IFERROR(__xludf.DUMMYFUNCTION("IF(ISBLANK(A142),"""", googlefinance(A142, ""PE""))"),"")</f>
        <v/>
      </c>
      <c r="L142" s="385" t="str">
        <f>IFERROR(__xludf.DUMMYFUNCTION("IF(ISBLANK(A142),"""", googlefinance(A142, ""eps""))"),"")</f>
        <v/>
      </c>
      <c r="M142" s="389" t="str">
        <f>IFERROR(__xludf.DUMMYFUNCTION("IfError(IF(isblank(A142),"""",split(Q142, ""()"")))"),"")</f>
        <v/>
      </c>
      <c r="N142" s="384"/>
      <c r="O142" s="385" t="str">
        <f t="shared" si="5"/>
        <v/>
      </c>
      <c r="P142" s="385" t="str">
        <f t="shared" si="6"/>
        <v/>
      </c>
      <c r="Q142" s="389" t="str">
        <f>IFERROR(__xludf.DUMMYFUNCTION("IfError(IF(isblank(A142),"""", substitute(index(IMPORTHTML(""http://finviz.com/quote.ashx?t=""&amp;A142,""table"", 10),7,2),""*"","""")),0)"),"")</f>
        <v/>
      </c>
    </row>
    <row r="143" ht="15.0" customHeight="1">
      <c r="A143" s="391" t="str">
        <f>'My Lab'!P104</f>
        <v/>
      </c>
      <c r="B143" s="382" t="str">
        <f>IFERROR(__xludf.DUMMYFUNCTION("IF(ISBLANK(A143),"""", googlefinance(A143, ""name""))"),"")</f>
        <v/>
      </c>
      <c r="C143" s="383" t="str">
        <f>IFERROR(__xludf.DUMMYFUNCTION("IF(ISBLANK(A143),"""", googlefinance(A143, ""price""))"),"")</f>
        <v/>
      </c>
      <c r="D143" s="383" t="str">
        <f>IFERROR(__xludf.DUMMYFUNCTION("IFERROR(googlefinance(A143,""change""),"""")"),"")</f>
        <v/>
      </c>
      <c r="E143" s="384" t="str">
        <f>IFERROR(__xludf.DUMMYFUNCTION("iferror(GOOGLEFINANCE(A143,""changepct"")/100,"""")"),"")</f>
        <v/>
      </c>
      <c r="F143" s="385" t="str">
        <f>IF(ISBLANK(A143), "", IF(COUNTIF(Positions!$A$2:$A$31, A143) &gt; 0, "Yes","No")
)</f>
        <v/>
      </c>
      <c r="G143" s="385" t="str">
        <f>IFERROR(__xludf.DUMMYFUNCTION("IF(ISBLANK(A143),"""", googlefinance(A143, ""low52""))"),"")</f>
        <v/>
      </c>
      <c r="H143" s="386" t="str">
        <f>IFERROR(__xludf.DUMMYFUNCTION("IF(ISBLANK(A143),"""",IFERROR(SPARKLINE((C143-G143)/(I143-G143),{""charttype"",""bar"";""max"",1;""min"",0;""color1"",""2c79b5""}),""n/a""))"),"")</f>
        <v/>
      </c>
      <c r="I143" s="385" t="str">
        <f>IFERROR(__xludf.DUMMYFUNCTION("IF(ISBLANK(A143),"""", googlefinance(A143, ""high52""))"),"")</f>
        <v/>
      </c>
      <c r="J143" s="387" t="s">
        <v>134</v>
      </c>
      <c r="K143" s="388" t="str">
        <f>IFERROR(__xludf.DUMMYFUNCTION("IF(ISBLANK(A143),"""", googlefinance(A143, ""PE""))"),"")</f>
        <v/>
      </c>
      <c r="L143" s="385" t="str">
        <f>IFERROR(__xludf.DUMMYFUNCTION("IF(ISBLANK(A143),"""", googlefinance(A143, ""eps""))"),"")</f>
        <v/>
      </c>
      <c r="M143" s="389" t="str">
        <f>IFERROR(__xludf.DUMMYFUNCTION("IfError(IF(isblank(A143),"""",split(Q143, ""()"")))"),"")</f>
        <v/>
      </c>
      <c r="N143" s="384"/>
      <c r="O143" s="385" t="str">
        <f t="shared" si="5"/>
        <v/>
      </c>
      <c r="P143" s="385" t="str">
        <f t="shared" si="6"/>
        <v/>
      </c>
      <c r="Q143" s="389" t="str">
        <f>IFERROR(__xludf.DUMMYFUNCTION("IfError(IF(isblank(A143),"""", substitute(index(IMPORTHTML(""http://finviz.com/quote.ashx?t=""&amp;A143,""table"", 10),7,2),""*"","""")),0)"),"")</f>
        <v/>
      </c>
    </row>
    <row r="144" ht="15.0" customHeight="1">
      <c r="A144" s="391" t="str">
        <f>'My Lab'!P105</f>
        <v/>
      </c>
      <c r="B144" s="382" t="str">
        <f>IFERROR(__xludf.DUMMYFUNCTION("IF(ISBLANK(A144),"""", googlefinance(A144, ""name""))"),"")</f>
        <v/>
      </c>
      <c r="C144" s="383" t="str">
        <f>IFERROR(__xludf.DUMMYFUNCTION("IF(ISBLANK(A144),"""", googlefinance(A144, ""price""))"),"")</f>
        <v/>
      </c>
      <c r="D144" s="383" t="str">
        <f>IFERROR(__xludf.DUMMYFUNCTION("IFERROR(googlefinance(A144,""change""),"""")"),"")</f>
        <v/>
      </c>
      <c r="E144" s="384" t="str">
        <f>IFERROR(__xludf.DUMMYFUNCTION("iferror(GOOGLEFINANCE(A144,""changepct"")/100,"""")"),"")</f>
        <v/>
      </c>
      <c r="F144" s="385" t="str">
        <f>IF(ISBLANK(A144), "", IF(COUNTIF(Positions!$A$2:$A$31, A144) &gt; 0, "Yes","No")
)</f>
        <v/>
      </c>
      <c r="G144" s="385" t="str">
        <f>IFERROR(__xludf.DUMMYFUNCTION("IF(ISBLANK(A144),"""", googlefinance(A144, ""low52""))"),"")</f>
        <v/>
      </c>
      <c r="H144" s="386" t="str">
        <f>IFERROR(__xludf.DUMMYFUNCTION("IF(ISBLANK(A144),"""",IFERROR(SPARKLINE((C144-G144)/(I144-G144),{""charttype"",""bar"";""max"",1;""min"",0;""color1"",""2c79b5""}),""n/a""))"),"")</f>
        <v/>
      </c>
      <c r="I144" s="385" t="str">
        <f>IFERROR(__xludf.DUMMYFUNCTION("IF(ISBLANK(A144),"""", googlefinance(A144, ""high52""))"),"")</f>
        <v/>
      </c>
      <c r="J144" s="387" t="s">
        <v>134</v>
      </c>
      <c r="K144" s="388" t="str">
        <f>IFERROR(__xludf.DUMMYFUNCTION("IF(ISBLANK(A144),"""", googlefinance(A144, ""PE""))"),"")</f>
        <v/>
      </c>
      <c r="L144" s="385" t="str">
        <f>IFERROR(__xludf.DUMMYFUNCTION("IF(ISBLANK(A144),"""", googlefinance(A144, ""eps""))"),"")</f>
        <v/>
      </c>
      <c r="M144" s="389" t="str">
        <f>IFERROR(__xludf.DUMMYFUNCTION("IfError(IF(isblank(A144),"""",split(Q144, ""()"")))"),"")</f>
        <v/>
      </c>
      <c r="N144" s="384"/>
      <c r="O144" s="385" t="str">
        <f t="shared" si="5"/>
        <v/>
      </c>
      <c r="P144" s="385" t="str">
        <f t="shared" si="6"/>
        <v/>
      </c>
      <c r="Q144" s="389" t="str">
        <f>IFERROR(__xludf.DUMMYFUNCTION("IfError(IF(isblank(A144),"""", substitute(index(IMPORTHTML(""http://finviz.com/quote.ashx?t=""&amp;A144,""table"", 10),7,2),""*"","""")),0)"),"")</f>
        <v/>
      </c>
    </row>
    <row r="145" ht="15.0" customHeight="1">
      <c r="A145" s="391" t="str">
        <f>'My Lab'!P106</f>
        <v/>
      </c>
      <c r="B145" s="382" t="str">
        <f>IFERROR(__xludf.DUMMYFUNCTION("IF(ISBLANK(A145),"""", googlefinance(A145, ""name""))"),"")</f>
        <v/>
      </c>
      <c r="C145" s="383" t="str">
        <f>IFERROR(__xludf.DUMMYFUNCTION("IF(ISBLANK(A145),"""", googlefinance(A145, ""price""))"),"")</f>
        <v/>
      </c>
      <c r="D145" s="383" t="str">
        <f>IFERROR(__xludf.DUMMYFUNCTION("IFERROR(googlefinance(A145,""change""),"""")"),"")</f>
        <v/>
      </c>
      <c r="E145" s="384" t="str">
        <f>IFERROR(__xludf.DUMMYFUNCTION("iferror(GOOGLEFINANCE(A145,""changepct"")/100,"""")"),"")</f>
        <v/>
      </c>
      <c r="F145" s="385" t="str">
        <f>IF(ISBLANK(A145), "", IF(COUNTIF(Positions!$A$2:$A$31, A145) &gt; 0, "Yes","No")
)</f>
        <v/>
      </c>
      <c r="G145" s="385" t="str">
        <f>IFERROR(__xludf.DUMMYFUNCTION("IF(ISBLANK(A145),"""", googlefinance(A145, ""low52""))"),"")</f>
        <v/>
      </c>
      <c r="H145" s="386" t="str">
        <f>IFERROR(__xludf.DUMMYFUNCTION("IF(ISBLANK(A145),"""",IFERROR(SPARKLINE((C145-G145)/(I145-G145),{""charttype"",""bar"";""max"",1;""min"",0;""color1"",""2c79b5""}),""n/a""))"),"")</f>
        <v/>
      </c>
      <c r="I145" s="385" t="str">
        <f>IFERROR(__xludf.DUMMYFUNCTION("IF(ISBLANK(A145),"""", googlefinance(A145, ""high52""))"),"")</f>
        <v/>
      </c>
      <c r="J145" s="387" t="s">
        <v>134</v>
      </c>
      <c r="K145" s="388" t="str">
        <f>IFERROR(__xludf.DUMMYFUNCTION("IF(ISBLANK(A145),"""", googlefinance(A145, ""PE""))"),"")</f>
        <v/>
      </c>
      <c r="L145" s="385" t="str">
        <f>IFERROR(__xludf.DUMMYFUNCTION("IF(ISBLANK(A145),"""", googlefinance(A145, ""eps""))"),"")</f>
        <v/>
      </c>
      <c r="M145" s="389" t="str">
        <f>IFERROR(__xludf.DUMMYFUNCTION("IfError(IF(isblank(A145),"""",split(Q145, ""()"")))"),"")</f>
        <v/>
      </c>
      <c r="N145" s="384"/>
      <c r="O145" s="385" t="str">
        <f t="shared" si="5"/>
        <v/>
      </c>
      <c r="P145" s="385" t="str">
        <f t="shared" si="6"/>
        <v/>
      </c>
      <c r="Q145" s="389" t="str">
        <f>IFERROR(__xludf.DUMMYFUNCTION("IfError(IF(isblank(A145),"""", substitute(index(IMPORTHTML(""http://finviz.com/quote.ashx?t=""&amp;A145,""table"", 10),7,2),""*"","""")),0)"),"")</f>
        <v/>
      </c>
    </row>
    <row r="146" ht="15.0" customHeight="1">
      <c r="A146" s="391" t="str">
        <f>'My Lab'!P107</f>
        <v/>
      </c>
      <c r="B146" s="382" t="str">
        <f>IFERROR(__xludf.DUMMYFUNCTION("IF(ISBLANK(A146),"""", googlefinance(A146, ""name""))"),"")</f>
        <v/>
      </c>
      <c r="C146" s="383" t="str">
        <f>IFERROR(__xludf.DUMMYFUNCTION("IF(ISBLANK(A146),"""", googlefinance(A146, ""price""))"),"")</f>
        <v/>
      </c>
      <c r="D146" s="383" t="str">
        <f>IFERROR(__xludf.DUMMYFUNCTION("IFERROR(googlefinance(A146,""change""),"""")"),"")</f>
        <v/>
      </c>
      <c r="E146" s="384" t="str">
        <f>IFERROR(__xludf.DUMMYFUNCTION("iferror(GOOGLEFINANCE(A146,""changepct"")/100,"""")"),"")</f>
        <v/>
      </c>
      <c r="F146" s="385" t="str">
        <f>IF(ISBLANK(A146), "", IF(COUNTIF(Positions!$A$2:$A$31, A146) &gt; 0, "Yes","No")
)</f>
        <v/>
      </c>
      <c r="G146" s="385" t="str">
        <f>IFERROR(__xludf.DUMMYFUNCTION("IF(ISBLANK(A146),"""", googlefinance(A146, ""low52""))"),"")</f>
        <v/>
      </c>
      <c r="H146" s="386" t="str">
        <f>IFERROR(__xludf.DUMMYFUNCTION("IF(ISBLANK(A146),"""",IFERROR(SPARKLINE((C146-G146)/(I146-G146),{""charttype"",""bar"";""max"",1;""min"",0;""color1"",""2c79b5""}),""n/a""))"),"")</f>
        <v/>
      </c>
      <c r="I146" s="385" t="str">
        <f>IFERROR(__xludf.DUMMYFUNCTION("IF(ISBLANK(A146),"""", googlefinance(A146, ""high52""))"),"")</f>
        <v/>
      </c>
      <c r="J146" s="387" t="s">
        <v>134</v>
      </c>
      <c r="K146" s="388" t="str">
        <f>IFERROR(__xludf.DUMMYFUNCTION("IF(ISBLANK(A146),"""", googlefinance(A146, ""PE""))"),"")</f>
        <v/>
      </c>
      <c r="L146" s="385" t="str">
        <f>IFERROR(__xludf.DUMMYFUNCTION("IF(ISBLANK(A146),"""", googlefinance(A146, ""eps""))"),"")</f>
        <v/>
      </c>
      <c r="M146" s="389" t="str">
        <f>IFERROR(__xludf.DUMMYFUNCTION("IfError(IF(isblank(A146),"""",split(Q146, ""()"")))"),"")</f>
        <v/>
      </c>
      <c r="N146" s="384"/>
      <c r="O146" s="385" t="str">
        <f t="shared" si="5"/>
        <v/>
      </c>
      <c r="P146" s="385" t="str">
        <f t="shared" si="6"/>
        <v/>
      </c>
      <c r="Q146" s="389" t="str">
        <f>IFERROR(__xludf.DUMMYFUNCTION("IfError(IF(isblank(A146),"""", substitute(index(IMPORTHTML(""http://finviz.com/quote.ashx?t=""&amp;A146,""table"", 10),7,2),""*"","""")),0)"),"")</f>
        <v/>
      </c>
    </row>
    <row r="147" ht="15.0" customHeight="1">
      <c r="A147" s="391" t="str">
        <f>'My Lab'!P108</f>
        <v/>
      </c>
      <c r="B147" s="382" t="str">
        <f>IFERROR(__xludf.DUMMYFUNCTION("IF(ISBLANK(A147),"""", googlefinance(A147, ""name""))"),"")</f>
        <v/>
      </c>
      <c r="C147" s="383" t="str">
        <f>IFERROR(__xludf.DUMMYFUNCTION("IF(ISBLANK(A147),"""", googlefinance(A147, ""price""))"),"")</f>
        <v/>
      </c>
      <c r="D147" s="383" t="str">
        <f>IFERROR(__xludf.DUMMYFUNCTION("IFERROR(googlefinance(A147,""change""),"""")"),"")</f>
        <v/>
      </c>
      <c r="E147" s="384" t="str">
        <f>IFERROR(__xludf.DUMMYFUNCTION("iferror(GOOGLEFINANCE(A147,""changepct"")/100,"""")"),"")</f>
        <v/>
      </c>
      <c r="F147" s="385" t="str">
        <f>IF(ISBLANK(A147), "", IF(COUNTIF(Positions!$A$2:$A$31, A147) &gt; 0, "Yes","No")
)</f>
        <v/>
      </c>
      <c r="G147" s="385" t="str">
        <f>IFERROR(__xludf.DUMMYFUNCTION("IF(ISBLANK(A147),"""", googlefinance(A147, ""low52""))"),"")</f>
        <v/>
      </c>
      <c r="H147" s="386" t="str">
        <f>IFERROR(__xludf.DUMMYFUNCTION("IF(ISBLANK(A147),"""",IFERROR(SPARKLINE((C147-G147)/(I147-G147),{""charttype"",""bar"";""max"",1;""min"",0;""color1"",""2c79b5""}),""n/a""))"),"")</f>
        <v/>
      </c>
      <c r="I147" s="385" t="str">
        <f>IFERROR(__xludf.DUMMYFUNCTION("IF(ISBLANK(A147),"""", googlefinance(A147, ""high52""))"),"")</f>
        <v/>
      </c>
      <c r="J147" s="387" t="s">
        <v>134</v>
      </c>
      <c r="K147" s="388" t="str">
        <f>IFERROR(__xludf.DUMMYFUNCTION("IF(ISBLANK(A147),"""", googlefinance(A147, ""PE""))"),"")</f>
        <v/>
      </c>
      <c r="L147" s="385" t="str">
        <f>IFERROR(__xludf.DUMMYFUNCTION("IF(ISBLANK(A147),"""", googlefinance(A147, ""eps""))"),"")</f>
        <v/>
      </c>
      <c r="M147" s="389" t="str">
        <f>IFERROR(__xludf.DUMMYFUNCTION("IfError(IF(isblank(A147),"""",split(Q147, ""()"")))"),"")</f>
        <v/>
      </c>
      <c r="N147" s="384"/>
      <c r="O147" s="385" t="str">
        <f t="shared" si="5"/>
        <v/>
      </c>
      <c r="P147" s="385" t="str">
        <f t="shared" si="6"/>
        <v/>
      </c>
      <c r="Q147" s="389" t="str">
        <f>IFERROR(__xludf.DUMMYFUNCTION("IfError(IF(isblank(A147),"""", substitute(index(IMPORTHTML(""http://finviz.com/quote.ashx?t=""&amp;A147,""table"", 10),7,2),""*"","""")),0)"),"")</f>
        <v/>
      </c>
    </row>
    <row r="148" ht="15.0" customHeight="1">
      <c r="A148" s="391" t="str">
        <f>'My Lab'!P109</f>
        <v/>
      </c>
      <c r="B148" s="382" t="str">
        <f>IFERROR(__xludf.DUMMYFUNCTION("IF(ISBLANK(A148),"""", googlefinance(A148, ""name""))"),"")</f>
        <v/>
      </c>
      <c r="C148" s="383" t="str">
        <f>IFERROR(__xludf.DUMMYFUNCTION("IF(ISBLANK(A148),"""", googlefinance(A148, ""price""))"),"")</f>
        <v/>
      </c>
      <c r="D148" s="383" t="str">
        <f>IFERROR(__xludf.DUMMYFUNCTION("IFERROR(googlefinance(A148,""change""),"""")"),"")</f>
        <v/>
      </c>
      <c r="E148" s="384" t="str">
        <f>IFERROR(__xludf.DUMMYFUNCTION("iferror(GOOGLEFINANCE(A148,""changepct"")/100,"""")"),"")</f>
        <v/>
      </c>
      <c r="F148" s="385" t="str">
        <f>IF(ISBLANK(A148), "", IF(COUNTIF(Positions!$A$2:$A$31, A148) &gt; 0, "Yes","No")
)</f>
        <v/>
      </c>
      <c r="G148" s="385" t="str">
        <f>IFERROR(__xludf.DUMMYFUNCTION("IF(ISBLANK(A148),"""", googlefinance(A148, ""low52""))"),"")</f>
        <v/>
      </c>
      <c r="H148" s="386" t="str">
        <f>IFERROR(__xludf.DUMMYFUNCTION("IF(ISBLANK(A148),"""",IFERROR(SPARKLINE((C148-G148)/(I148-G148),{""charttype"",""bar"";""max"",1;""min"",0;""color1"",""2c79b5""}),""n/a""))"),"")</f>
        <v/>
      </c>
      <c r="I148" s="385" t="str">
        <f>IFERROR(__xludf.DUMMYFUNCTION("IF(ISBLANK(A148),"""", googlefinance(A148, ""high52""))"),"")</f>
        <v/>
      </c>
      <c r="J148" s="387" t="s">
        <v>134</v>
      </c>
      <c r="K148" s="388" t="str">
        <f>IFERROR(__xludf.DUMMYFUNCTION("IF(ISBLANK(A148),"""", googlefinance(A148, ""PE""))"),"")</f>
        <v/>
      </c>
      <c r="L148" s="385" t="str">
        <f>IFERROR(__xludf.DUMMYFUNCTION("IF(ISBLANK(A148),"""", googlefinance(A148, ""eps""))"),"")</f>
        <v/>
      </c>
      <c r="M148" s="389" t="str">
        <f>IFERROR(__xludf.DUMMYFUNCTION("IfError(IF(isblank(A148),"""",split(Q148, ""()"")))"),"")</f>
        <v/>
      </c>
      <c r="N148" s="384"/>
      <c r="O148" s="385" t="str">
        <f t="shared" si="5"/>
        <v/>
      </c>
      <c r="P148" s="385" t="str">
        <f t="shared" si="6"/>
        <v/>
      </c>
      <c r="Q148" s="389" t="str">
        <f>IFERROR(__xludf.DUMMYFUNCTION("IfError(IF(isblank(A148),"""", substitute(index(IMPORTHTML(""http://finviz.com/quote.ashx?t=""&amp;A148,""table"", 10),7,2),""*"","""")),0)"),"")</f>
        <v/>
      </c>
    </row>
    <row r="149" ht="15.0" customHeight="1">
      <c r="A149" s="391" t="str">
        <f>'My Lab'!P110</f>
        <v/>
      </c>
      <c r="B149" s="382" t="str">
        <f>IFERROR(__xludf.DUMMYFUNCTION("IF(ISBLANK(A149),"""", googlefinance(A149, ""name""))"),"")</f>
        <v/>
      </c>
      <c r="C149" s="383" t="str">
        <f>IFERROR(__xludf.DUMMYFUNCTION("IF(ISBLANK(A149),"""", googlefinance(A149, ""price""))"),"")</f>
        <v/>
      </c>
      <c r="D149" s="383" t="str">
        <f>IFERROR(__xludf.DUMMYFUNCTION("IFERROR(googlefinance(A149,""change""),"""")"),"")</f>
        <v/>
      </c>
      <c r="E149" s="384" t="str">
        <f>IFERROR(__xludf.DUMMYFUNCTION("iferror(GOOGLEFINANCE(A149,""changepct"")/100,"""")"),"")</f>
        <v/>
      </c>
      <c r="F149" s="385" t="str">
        <f>IF(ISBLANK(A149), "", IF(COUNTIF(Positions!$A$2:$A$31, A149) &gt; 0, "Yes","No")
)</f>
        <v/>
      </c>
      <c r="G149" s="385" t="str">
        <f>IFERROR(__xludf.DUMMYFUNCTION("IF(ISBLANK(A149),"""", googlefinance(A149, ""low52""))"),"")</f>
        <v/>
      </c>
      <c r="H149" s="386" t="str">
        <f>IFERROR(__xludf.DUMMYFUNCTION("IF(ISBLANK(A149),"""",IFERROR(SPARKLINE((C149-G149)/(I149-G149),{""charttype"",""bar"";""max"",1;""min"",0;""color1"",""2c79b5""}),""n/a""))"),"")</f>
        <v/>
      </c>
      <c r="I149" s="385" t="str">
        <f>IFERROR(__xludf.DUMMYFUNCTION("IF(ISBLANK(A149),"""", googlefinance(A149, ""high52""))"),"")</f>
        <v/>
      </c>
      <c r="J149" s="387" t="s">
        <v>134</v>
      </c>
      <c r="K149" s="388" t="str">
        <f>IFERROR(__xludf.DUMMYFUNCTION("IF(ISBLANK(A149),"""", googlefinance(A149, ""PE""))"),"")</f>
        <v/>
      </c>
      <c r="L149" s="385" t="str">
        <f>IFERROR(__xludf.DUMMYFUNCTION("IF(ISBLANK(A149),"""", googlefinance(A149, ""eps""))"),"")</f>
        <v/>
      </c>
      <c r="M149" s="389" t="str">
        <f>IFERROR(__xludf.DUMMYFUNCTION("IfError(IF(isblank(A149),"""",split(Q149, ""()"")))"),"")</f>
        <v/>
      </c>
      <c r="N149" s="384"/>
      <c r="O149" s="385" t="str">
        <f t="shared" si="5"/>
        <v/>
      </c>
      <c r="P149" s="385" t="str">
        <f t="shared" si="6"/>
        <v/>
      </c>
      <c r="Q149" s="389" t="str">
        <f>IFERROR(__xludf.DUMMYFUNCTION("IfError(IF(isblank(A149),"""", substitute(index(IMPORTHTML(""http://finviz.com/quote.ashx?t=""&amp;A149,""table"", 10),7,2),""*"","""")),0)"),"")</f>
        <v/>
      </c>
    </row>
    <row r="150" ht="15.0" customHeight="1">
      <c r="A150" s="391" t="str">
        <f>'My Lab'!P111</f>
        <v/>
      </c>
      <c r="B150" s="382" t="str">
        <f>IFERROR(__xludf.DUMMYFUNCTION("IF(ISBLANK(A150),"""", googlefinance(A150, ""name""))"),"")</f>
        <v/>
      </c>
      <c r="C150" s="383" t="str">
        <f>IFERROR(__xludf.DUMMYFUNCTION("IF(ISBLANK(A150),"""", googlefinance(A150, ""price""))"),"")</f>
        <v/>
      </c>
      <c r="D150" s="383" t="str">
        <f>IFERROR(__xludf.DUMMYFUNCTION("IFERROR(googlefinance(A150,""change""),"""")"),"")</f>
        <v/>
      </c>
      <c r="E150" s="384" t="str">
        <f>IFERROR(__xludf.DUMMYFUNCTION("iferror(GOOGLEFINANCE(A150,""changepct"")/100,"""")"),"")</f>
        <v/>
      </c>
      <c r="F150" s="385" t="str">
        <f>IF(ISBLANK(A150), "", IF(COUNTIF(Positions!$A$2:$A$31, A150) &gt; 0, "Yes","No")
)</f>
        <v/>
      </c>
      <c r="G150" s="385" t="str">
        <f>IFERROR(__xludf.DUMMYFUNCTION("IF(ISBLANK(A150),"""", googlefinance(A150, ""low52""))"),"")</f>
        <v/>
      </c>
      <c r="H150" s="386" t="str">
        <f>IFERROR(__xludf.DUMMYFUNCTION("IF(ISBLANK(A150),"""",IFERROR(SPARKLINE((C150-G150)/(I150-G150),{""charttype"",""bar"";""max"",1;""min"",0;""color1"",""2c79b5""}),""n/a""))"),"")</f>
        <v/>
      </c>
      <c r="I150" s="385" t="str">
        <f>IFERROR(__xludf.DUMMYFUNCTION("IF(ISBLANK(A150),"""", googlefinance(A150, ""high52""))"),"")</f>
        <v/>
      </c>
      <c r="J150" s="387" t="s">
        <v>134</v>
      </c>
      <c r="K150" s="388" t="str">
        <f>IFERROR(__xludf.DUMMYFUNCTION("IF(ISBLANK(A150),"""", googlefinance(A150, ""PE""))"),"")</f>
        <v/>
      </c>
      <c r="L150" s="385" t="str">
        <f>IFERROR(__xludf.DUMMYFUNCTION("IF(ISBLANK(A150),"""", googlefinance(A150, ""eps""))"),"")</f>
        <v/>
      </c>
      <c r="M150" s="389" t="str">
        <f>IFERROR(__xludf.DUMMYFUNCTION("IfError(IF(isblank(A150),"""",split(Q150, ""()"")))"),"")</f>
        <v/>
      </c>
      <c r="N150" s="384"/>
      <c r="O150" s="385" t="str">
        <f t="shared" si="5"/>
        <v/>
      </c>
      <c r="P150" s="385" t="str">
        <f t="shared" si="6"/>
        <v/>
      </c>
      <c r="Q150" s="389" t="str">
        <f>IFERROR(__xludf.DUMMYFUNCTION("IfError(IF(isblank(A150),"""", substitute(index(IMPORTHTML(""http://finviz.com/quote.ashx?t=""&amp;A150,""table"", 10),7,2),""*"","""")),0)"),"")</f>
        <v/>
      </c>
    </row>
    <row r="151" ht="15.0" customHeight="1">
      <c r="A151" s="391" t="str">
        <f>'My Lab'!P112</f>
        <v/>
      </c>
      <c r="B151" s="382" t="str">
        <f>IFERROR(__xludf.DUMMYFUNCTION("IF(ISBLANK(A151),"""", googlefinance(A151, ""name""))"),"")</f>
        <v/>
      </c>
      <c r="C151" s="383" t="str">
        <f>IFERROR(__xludf.DUMMYFUNCTION("IF(ISBLANK(A151),"""", googlefinance(A151, ""price""))"),"")</f>
        <v/>
      </c>
      <c r="D151" s="383" t="str">
        <f>IFERROR(__xludf.DUMMYFUNCTION("IFERROR(googlefinance(A151,""change""),"""")"),"")</f>
        <v/>
      </c>
      <c r="E151" s="384" t="str">
        <f>IFERROR(__xludf.DUMMYFUNCTION("iferror(GOOGLEFINANCE(A151,""changepct"")/100,"""")"),"")</f>
        <v/>
      </c>
      <c r="F151" s="385" t="str">
        <f>IF(ISBLANK(A151), "", IF(COUNTIF(Positions!$A$2:$A$31, A151) &gt; 0, "Yes","No")
)</f>
        <v/>
      </c>
      <c r="G151" s="385" t="str">
        <f>IFERROR(__xludf.DUMMYFUNCTION("IF(ISBLANK(A151),"""", googlefinance(A151, ""low52""))"),"")</f>
        <v/>
      </c>
      <c r="H151" s="386" t="str">
        <f>IFERROR(__xludf.DUMMYFUNCTION("IF(ISBLANK(A151),"""",IFERROR(SPARKLINE((C151-G151)/(I151-G151),{""charttype"",""bar"";""max"",1;""min"",0;""color1"",""2c79b5""}),""n/a""))"),"")</f>
        <v/>
      </c>
      <c r="I151" s="385" t="str">
        <f>IFERROR(__xludf.DUMMYFUNCTION("IF(ISBLANK(A151),"""", googlefinance(A151, ""high52""))"),"")</f>
        <v/>
      </c>
      <c r="J151" s="387" t="s">
        <v>134</v>
      </c>
      <c r="K151" s="388" t="str">
        <f>IFERROR(__xludf.DUMMYFUNCTION("IF(ISBLANK(A151),"""", googlefinance(A151, ""PE""))"),"")</f>
        <v/>
      </c>
      <c r="L151" s="385" t="str">
        <f>IFERROR(__xludf.DUMMYFUNCTION("IF(ISBLANK(A151),"""", googlefinance(A151, ""eps""))"),"")</f>
        <v/>
      </c>
      <c r="M151" s="389" t="str">
        <f>IFERROR(__xludf.DUMMYFUNCTION("IfError(IF(isblank(A151),"""",split(Q151, ""()"")))"),"")</f>
        <v/>
      </c>
      <c r="N151" s="384"/>
      <c r="O151" s="385" t="str">
        <f t="shared" si="5"/>
        <v/>
      </c>
      <c r="P151" s="385" t="str">
        <f t="shared" si="6"/>
        <v/>
      </c>
      <c r="Q151" s="389" t="str">
        <f>IFERROR(__xludf.DUMMYFUNCTION("IfError(IF(isblank(A151),"""", substitute(index(IMPORTHTML(""http://finviz.com/quote.ashx?t=""&amp;A151,""table"", 10),7,2),""*"","""")),0)"),"")</f>
        <v/>
      </c>
    </row>
    <row r="152" ht="15.0" customHeight="1">
      <c r="A152" s="391" t="str">
        <f>'My Lab'!P113</f>
        <v/>
      </c>
      <c r="B152" s="382" t="str">
        <f>IFERROR(__xludf.DUMMYFUNCTION("IF(ISBLANK(A152),"""", googlefinance(A152, ""name""))"),"")</f>
        <v/>
      </c>
      <c r="C152" s="383" t="str">
        <f>IFERROR(__xludf.DUMMYFUNCTION("IF(ISBLANK(A152),"""", googlefinance(A152, ""price""))"),"")</f>
        <v/>
      </c>
      <c r="D152" s="383" t="str">
        <f>IFERROR(__xludf.DUMMYFUNCTION("IFERROR(googlefinance(A152,""change""),"""")"),"")</f>
        <v/>
      </c>
      <c r="E152" s="384" t="str">
        <f>IFERROR(__xludf.DUMMYFUNCTION("iferror(GOOGLEFINANCE(A152,""changepct"")/100,"""")"),"")</f>
        <v/>
      </c>
      <c r="F152" s="385" t="str">
        <f>IF(ISBLANK(A152), "", IF(COUNTIF(Positions!$A$2:$A$31, A152) &gt; 0, "Yes","No")
)</f>
        <v/>
      </c>
      <c r="G152" s="385" t="str">
        <f>IFERROR(__xludf.DUMMYFUNCTION("IF(ISBLANK(A152),"""", googlefinance(A152, ""low52""))"),"")</f>
        <v/>
      </c>
      <c r="H152" s="386" t="str">
        <f>IFERROR(__xludf.DUMMYFUNCTION("IF(ISBLANK(A152),"""",IFERROR(SPARKLINE((C152-G152)/(I152-G152),{""charttype"",""bar"";""max"",1;""min"",0;""color1"",""2c79b5""}),""n/a""))"),"")</f>
        <v/>
      </c>
      <c r="I152" s="385" t="str">
        <f>IFERROR(__xludf.DUMMYFUNCTION("IF(ISBLANK(A152),"""", googlefinance(A152, ""high52""))"),"")</f>
        <v/>
      </c>
      <c r="J152" s="387" t="s">
        <v>134</v>
      </c>
      <c r="K152" s="388" t="str">
        <f>IFERROR(__xludf.DUMMYFUNCTION("IF(ISBLANK(A152),"""", googlefinance(A152, ""PE""))"),"")</f>
        <v/>
      </c>
      <c r="L152" s="385" t="str">
        <f>IFERROR(__xludf.DUMMYFUNCTION("IF(ISBLANK(A152),"""", googlefinance(A152, ""eps""))"),"")</f>
        <v/>
      </c>
      <c r="M152" s="389" t="str">
        <f>IFERROR(__xludf.DUMMYFUNCTION("IfError(IF(isblank(A152),"""",split(Q152, ""()"")))"),"")</f>
        <v/>
      </c>
      <c r="N152" s="384"/>
      <c r="O152" s="385" t="str">
        <f t="shared" si="5"/>
        <v/>
      </c>
      <c r="P152" s="385" t="str">
        <f t="shared" si="6"/>
        <v/>
      </c>
      <c r="Q152" s="389" t="str">
        <f>IFERROR(__xludf.DUMMYFUNCTION("IfError(IF(isblank(A152),"""", substitute(index(IMPORTHTML(""http://finviz.com/quote.ashx?t=""&amp;A152,""table"", 10),7,2),""*"","""")),0)"),"")</f>
        <v/>
      </c>
    </row>
    <row r="153" ht="15.0" customHeight="1">
      <c r="A153" s="391" t="str">
        <f>'My Lab'!P114</f>
        <v/>
      </c>
      <c r="B153" s="382" t="str">
        <f>IFERROR(__xludf.DUMMYFUNCTION("IF(ISBLANK(A153),"""", googlefinance(A153, ""name""))"),"")</f>
        <v/>
      </c>
      <c r="C153" s="383" t="str">
        <f>IFERROR(__xludf.DUMMYFUNCTION("IF(ISBLANK(A153),"""", googlefinance(A153, ""price""))"),"")</f>
        <v/>
      </c>
      <c r="D153" s="383" t="str">
        <f>IFERROR(__xludf.DUMMYFUNCTION("IFERROR(googlefinance(A153,""change""),"""")"),"")</f>
        <v/>
      </c>
      <c r="E153" s="384" t="str">
        <f>IFERROR(__xludf.DUMMYFUNCTION("iferror(GOOGLEFINANCE(A153,""changepct"")/100,"""")"),"")</f>
        <v/>
      </c>
      <c r="F153" s="385" t="str">
        <f>IF(ISBLANK(A153), "", IF(COUNTIF(Positions!$A$2:$A$31, A153) &gt; 0, "Yes","No")
)</f>
        <v/>
      </c>
      <c r="G153" s="385" t="str">
        <f>IFERROR(__xludf.DUMMYFUNCTION("IF(ISBLANK(A153),"""", googlefinance(A153, ""low52""))"),"")</f>
        <v/>
      </c>
      <c r="H153" s="386" t="str">
        <f>IFERROR(__xludf.DUMMYFUNCTION("IF(ISBLANK(A153),"""",IFERROR(SPARKLINE((C153-G153)/(I153-G153),{""charttype"",""bar"";""max"",1;""min"",0;""color1"",""2c79b5""}),""n/a""))"),"")</f>
        <v/>
      </c>
      <c r="I153" s="385" t="str">
        <f>IFERROR(__xludf.DUMMYFUNCTION("IF(ISBLANK(A153),"""", googlefinance(A153, ""high52""))"),"")</f>
        <v/>
      </c>
      <c r="J153" s="387" t="s">
        <v>134</v>
      </c>
      <c r="K153" s="388" t="str">
        <f>IFERROR(__xludf.DUMMYFUNCTION("IF(ISBLANK(A153),"""", googlefinance(A153, ""PE""))"),"")</f>
        <v/>
      </c>
      <c r="L153" s="385" t="str">
        <f>IFERROR(__xludf.DUMMYFUNCTION("IF(ISBLANK(A153),"""", googlefinance(A153, ""eps""))"),"")</f>
        <v/>
      </c>
      <c r="M153" s="389" t="str">
        <f>IFERROR(__xludf.DUMMYFUNCTION("IfError(IF(isblank(A153),"""",split(Q153, ""()"")))"),"")</f>
        <v/>
      </c>
      <c r="N153" s="384"/>
      <c r="O153" s="385" t="str">
        <f t="shared" si="5"/>
        <v/>
      </c>
      <c r="P153" s="385" t="str">
        <f t="shared" si="6"/>
        <v/>
      </c>
      <c r="Q153" s="389" t="str">
        <f>IFERROR(__xludf.DUMMYFUNCTION("IfError(IF(isblank(A153),"""", substitute(index(IMPORTHTML(""http://finviz.com/quote.ashx?t=""&amp;A153,""table"", 10),7,2),""*"","""")),0)"),"")</f>
        <v/>
      </c>
    </row>
    <row r="154" ht="15.0" customHeight="1">
      <c r="A154" s="391" t="str">
        <f>'My Lab'!P115</f>
        <v/>
      </c>
      <c r="B154" s="382" t="str">
        <f>IFERROR(__xludf.DUMMYFUNCTION("IF(ISBLANK(A154),"""", googlefinance(A154, ""name""))"),"")</f>
        <v/>
      </c>
      <c r="C154" s="383" t="str">
        <f>IFERROR(__xludf.DUMMYFUNCTION("IF(ISBLANK(A154),"""", googlefinance(A154, ""price""))"),"")</f>
        <v/>
      </c>
      <c r="D154" s="383" t="str">
        <f>IFERROR(__xludf.DUMMYFUNCTION("IFERROR(googlefinance(A154,""change""),"""")"),"")</f>
        <v/>
      </c>
      <c r="E154" s="384" t="str">
        <f>IFERROR(__xludf.DUMMYFUNCTION("iferror(GOOGLEFINANCE(A154,""changepct"")/100,"""")"),"")</f>
        <v/>
      </c>
      <c r="F154" s="385" t="str">
        <f>IF(ISBLANK(A154), "", IF(COUNTIF(Positions!$A$2:$A$31, A154) &gt; 0, "Yes","No")
)</f>
        <v/>
      </c>
      <c r="G154" s="385" t="str">
        <f>IFERROR(__xludf.DUMMYFUNCTION("IF(ISBLANK(A154),"""", googlefinance(A154, ""low52""))"),"")</f>
        <v/>
      </c>
      <c r="H154" s="386" t="str">
        <f>IFERROR(__xludf.DUMMYFUNCTION("IF(ISBLANK(A154),"""",IFERROR(SPARKLINE((C154-G154)/(I154-G154),{""charttype"",""bar"";""max"",1;""min"",0;""color1"",""2c79b5""}),""n/a""))"),"")</f>
        <v/>
      </c>
      <c r="I154" s="385" t="str">
        <f>IFERROR(__xludf.DUMMYFUNCTION("IF(ISBLANK(A154),"""", googlefinance(A154, ""high52""))"),"")</f>
        <v/>
      </c>
      <c r="J154" s="387" t="s">
        <v>134</v>
      </c>
      <c r="K154" s="388" t="str">
        <f>IFERROR(__xludf.DUMMYFUNCTION("IF(ISBLANK(A154),"""", googlefinance(A154, ""PE""))"),"")</f>
        <v/>
      </c>
      <c r="L154" s="385" t="str">
        <f>IFERROR(__xludf.DUMMYFUNCTION("IF(ISBLANK(A154),"""", googlefinance(A154, ""eps""))"),"")</f>
        <v/>
      </c>
      <c r="M154" s="389" t="str">
        <f>IFERROR(__xludf.DUMMYFUNCTION("IfError(IF(isblank(A154),"""",split(Q154, ""()"")))"),"")</f>
        <v/>
      </c>
      <c r="N154" s="384"/>
      <c r="O154" s="385" t="str">
        <f t="shared" si="5"/>
        <v/>
      </c>
      <c r="P154" s="385" t="str">
        <f t="shared" si="6"/>
        <v/>
      </c>
      <c r="Q154" s="389" t="str">
        <f>IFERROR(__xludf.DUMMYFUNCTION("IfError(IF(isblank(A154),"""", substitute(index(IMPORTHTML(""http://finviz.com/quote.ashx?t=""&amp;A154,""table"", 10),7,2),""*"","""")),0)"),"")</f>
        <v/>
      </c>
    </row>
    <row r="155" ht="15.0" customHeight="1">
      <c r="A155" s="391" t="str">
        <f>'My Lab'!P116</f>
        <v/>
      </c>
      <c r="B155" s="382" t="str">
        <f>IFERROR(__xludf.DUMMYFUNCTION("IF(ISBLANK(A155),"""", googlefinance(A155, ""name""))"),"")</f>
        <v/>
      </c>
      <c r="C155" s="383" t="str">
        <f>IFERROR(__xludf.DUMMYFUNCTION("IF(ISBLANK(A155),"""", googlefinance(A155, ""price""))"),"")</f>
        <v/>
      </c>
      <c r="D155" s="383" t="str">
        <f>IFERROR(__xludf.DUMMYFUNCTION("IFERROR(googlefinance(A155,""change""),"""")"),"")</f>
        <v/>
      </c>
      <c r="E155" s="384" t="str">
        <f>IFERROR(__xludf.DUMMYFUNCTION("iferror(GOOGLEFINANCE(A155,""changepct"")/100,"""")"),"")</f>
        <v/>
      </c>
      <c r="F155" s="385" t="str">
        <f>IF(ISBLANK(A155), "", IF(COUNTIF(Positions!$A$2:$A$31, A155) &gt; 0, "Yes","No")
)</f>
        <v/>
      </c>
      <c r="G155" s="385" t="str">
        <f>IFERROR(__xludf.DUMMYFUNCTION("IF(ISBLANK(A155),"""", googlefinance(A155, ""low52""))"),"")</f>
        <v/>
      </c>
      <c r="H155" s="386" t="str">
        <f>IFERROR(__xludf.DUMMYFUNCTION("IF(ISBLANK(A155),"""",IFERROR(SPARKLINE((C155-G155)/(I155-G155),{""charttype"",""bar"";""max"",1;""min"",0;""color1"",""2c79b5""}),""n/a""))"),"")</f>
        <v/>
      </c>
      <c r="I155" s="385" t="str">
        <f>IFERROR(__xludf.DUMMYFUNCTION("IF(ISBLANK(A155),"""", googlefinance(A155, ""high52""))"),"")</f>
        <v/>
      </c>
      <c r="J155" s="387" t="s">
        <v>134</v>
      </c>
      <c r="K155" s="388" t="str">
        <f>IFERROR(__xludf.DUMMYFUNCTION("IF(ISBLANK(A155),"""", googlefinance(A155, ""PE""))"),"")</f>
        <v/>
      </c>
      <c r="L155" s="385" t="str">
        <f>IFERROR(__xludf.DUMMYFUNCTION("IF(ISBLANK(A155),"""", googlefinance(A155, ""eps""))"),"")</f>
        <v/>
      </c>
      <c r="M155" s="389" t="str">
        <f>IFERROR(__xludf.DUMMYFUNCTION("IfError(IF(isblank(A155),"""",split(Q155, ""()"")))"),"")</f>
        <v/>
      </c>
      <c r="N155" s="384"/>
      <c r="O155" s="385" t="str">
        <f t="shared" si="5"/>
        <v/>
      </c>
      <c r="P155" s="385" t="str">
        <f t="shared" si="6"/>
        <v/>
      </c>
      <c r="Q155" s="389" t="str">
        <f>IFERROR(__xludf.DUMMYFUNCTION("IfError(IF(isblank(A155),"""", substitute(index(IMPORTHTML(""http://finviz.com/quote.ashx?t=""&amp;A155,""table"", 10),7,2),""*"","""")),0)"),"")</f>
        <v/>
      </c>
    </row>
    <row r="156" ht="15.0" customHeight="1">
      <c r="A156" s="391" t="str">
        <f>'My Lab'!P117</f>
        <v/>
      </c>
      <c r="B156" s="382" t="str">
        <f>IFERROR(__xludf.DUMMYFUNCTION("IF(ISBLANK(A156),"""", googlefinance(A156, ""name""))"),"")</f>
        <v/>
      </c>
      <c r="C156" s="383" t="str">
        <f>IFERROR(__xludf.DUMMYFUNCTION("IF(ISBLANK(A156),"""", googlefinance(A156, ""price""))"),"")</f>
        <v/>
      </c>
      <c r="D156" s="383" t="str">
        <f>IFERROR(__xludf.DUMMYFUNCTION("IFERROR(googlefinance(A156,""change""),"""")"),"")</f>
        <v/>
      </c>
      <c r="E156" s="384" t="str">
        <f>IFERROR(__xludf.DUMMYFUNCTION("iferror(GOOGLEFINANCE(A156,""changepct"")/100,"""")"),"")</f>
        <v/>
      </c>
      <c r="F156" s="385" t="str">
        <f>IF(ISBLANK(A156), "", IF(COUNTIF(Positions!$A$2:$A$31, A156) &gt; 0, "Yes","No")
)</f>
        <v/>
      </c>
      <c r="G156" s="385" t="str">
        <f>IFERROR(__xludf.DUMMYFUNCTION("IF(ISBLANK(A156),"""", googlefinance(A156, ""low52""))"),"")</f>
        <v/>
      </c>
      <c r="H156" s="386" t="str">
        <f>IFERROR(__xludf.DUMMYFUNCTION("IF(ISBLANK(A156),"""",IFERROR(SPARKLINE((C156-G156)/(I156-G156),{""charttype"",""bar"";""max"",1;""min"",0;""color1"",""2c79b5""}),""n/a""))"),"")</f>
        <v/>
      </c>
      <c r="I156" s="385" t="str">
        <f>IFERROR(__xludf.DUMMYFUNCTION("IF(ISBLANK(A156),"""", googlefinance(A156, ""high52""))"),"")</f>
        <v/>
      </c>
      <c r="J156" s="387" t="s">
        <v>134</v>
      </c>
      <c r="K156" s="388" t="str">
        <f>IFERROR(__xludf.DUMMYFUNCTION("IF(ISBLANK(A156),"""", googlefinance(A156, ""PE""))"),"")</f>
        <v/>
      </c>
      <c r="L156" s="385" t="str">
        <f>IFERROR(__xludf.DUMMYFUNCTION("IF(ISBLANK(A156),"""", googlefinance(A156, ""eps""))"),"")</f>
        <v/>
      </c>
      <c r="M156" s="389" t="str">
        <f>IFERROR(__xludf.DUMMYFUNCTION("IfError(IF(isblank(A156),"""",split(Q156, ""()"")))"),"")</f>
        <v/>
      </c>
      <c r="N156" s="384"/>
      <c r="O156" s="385" t="str">
        <f t="shared" si="5"/>
        <v/>
      </c>
      <c r="P156" s="385" t="str">
        <f t="shared" si="6"/>
        <v/>
      </c>
      <c r="Q156" s="389" t="str">
        <f>IFERROR(__xludf.DUMMYFUNCTION("IfError(IF(isblank(A156),"""", substitute(index(IMPORTHTML(""http://finviz.com/quote.ashx?t=""&amp;A156,""table"", 10),7,2),""*"","""")),0)"),"")</f>
        <v/>
      </c>
    </row>
    <row r="157" ht="15.0" customHeight="1">
      <c r="A157" s="391" t="str">
        <f>'My Lab'!P118</f>
        <v/>
      </c>
      <c r="B157" s="382" t="str">
        <f>IFERROR(__xludf.DUMMYFUNCTION("IF(ISBLANK(A157),"""", googlefinance(A157, ""name""))"),"")</f>
        <v/>
      </c>
      <c r="C157" s="383" t="str">
        <f>IFERROR(__xludf.DUMMYFUNCTION("IF(ISBLANK(A157),"""", googlefinance(A157, ""price""))"),"")</f>
        <v/>
      </c>
      <c r="D157" s="383" t="str">
        <f>IFERROR(__xludf.DUMMYFUNCTION("IFERROR(googlefinance(A157,""change""),"""")"),"")</f>
        <v/>
      </c>
      <c r="E157" s="384" t="str">
        <f>IFERROR(__xludf.DUMMYFUNCTION("iferror(GOOGLEFINANCE(A157,""changepct"")/100,"""")"),"")</f>
        <v/>
      </c>
      <c r="F157" s="385" t="str">
        <f>IF(ISBLANK(A157), "", IF(COUNTIF(Positions!$A$2:$A$31, A157) &gt; 0, "Yes","No")
)</f>
        <v/>
      </c>
      <c r="G157" s="385" t="str">
        <f>IFERROR(__xludf.DUMMYFUNCTION("IF(ISBLANK(A157),"""", googlefinance(A157, ""low52""))"),"")</f>
        <v/>
      </c>
      <c r="H157" s="386" t="str">
        <f>IFERROR(__xludf.DUMMYFUNCTION("IF(ISBLANK(A157),"""",IFERROR(SPARKLINE((C157-G157)/(I157-G157),{""charttype"",""bar"";""max"",1;""min"",0;""color1"",""2c79b5""}),""n/a""))"),"")</f>
        <v/>
      </c>
      <c r="I157" s="385" t="str">
        <f>IFERROR(__xludf.DUMMYFUNCTION("IF(ISBLANK(A157),"""", googlefinance(A157, ""high52""))"),"")</f>
        <v/>
      </c>
      <c r="J157" s="387" t="s">
        <v>134</v>
      </c>
      <c r="K157" s="388" t="str">
        <f>IFERROR(__xludf.DUMMYFUNCTION("IF(ISBLANK(A157),"""", googlefinance(A157, ""PE""))"),"")</f>
        <v/>
      </c>
      <c r="L157" s="385" t="str">
        <f>IFERROR(__xludf.DUMMYFUNCTION("IF(ISBLANK(A157),"""", googlefinance(A157, ""eps""))"),"")</f>
        <v/>
      </c>
      <c r="M157" s="389" t="str">
        <f>IFERROR(__xludf.DUMMYFUNCTION("IfError(IF(isblank(A157),"""",split(Q157, ""()"")))"),"")</f>
        <v/>
      </c>
      <c r="N157" s="384"/>
      <c r="O157" s="385" t="str">
        <f t="shared" si="5"/>
        <v/>
      </c>
      <c r="P157" s="385" t="str">
        <f t="shared" si="6"/>
        <v/>
      </c>
      <c r="Q157" s="389" t="str">
        <f>IFERROR(__xludf.DUMMYFUNCTION("IfError(IF(isblank(A157),"""", substitute(index(IMPORTHTML(""http://finviz.com/quote.ashx?t=""&amp;A157,""table"", 10),7,2),""*"","""")),0)"),"")</f>
        <v/>
      </c>
    </row>
    <row r="158" ht="15.0" customHeight="1">
      <c r="A158" s="391" t="str">
        <f>'My Lab'!P119</f>
        <v/>
      </c>
      <c r="B158" s="382" t="str">
        <f>IFERROR(__xludf.DUMMYFUNCTION("IF(ISBLANK(A158),"""", googlefinance(A158, ""name""))"),"")</f>
        <v/>
      </c>
      <c r="C158" s="383" t="str">
        <f>IFERROR(__xludf.DUMMYFUNCTION("IF(ISBLANK(A158),"""", googlefinance(A158, ""price""))"),"")</f>
        <v/>
      </c>
      <c r="D158" s="383" t="str">
        <f>IFERROR(__xludf.DUMMYFUNCTION("IFERROR(googlefinance(A158,""change""),"""")"),"")</f>
        <v/>
      </c>
      <c r="E158" s="384" t="str">
        <f>IFERROR(__xludf.DUMMYFUNCTION("iferror(GOOGLEFINANCE(A158,""changepct"")/100,"""")"),"")</f>
        <v/>
      </c>
      <c r="F158" s="385" t="str">
        <f>IF(ISBLANK(A158), "", IF(COUNTIF(Positions!$A$2:$A$31, A158) &gt; 0, "Yes","No")
)</f>
        <v/>
      </c>
      <c r="G158" s="385" t="str">
        <f>IFERROR(__xludf.DUMMYFUNCTION("IF(ISBLANK(A158),"""", googlefinance(A158, ""low52""))"),"")</f>
        <v/>
      </c>
      <c r="H158" s="386" t="str">
        <f>IFERROR(__xludf.DUMMYFUNCTION("IF(ISBLANK(A158),"""",IFERROR(SPARKLINE((C158-G158)/(I158-G158),{""charttype"",""bar"";""max"",1;""min"",0;""color1"",""2c79b5""}),""n/a""))"),"")</f>
        <v/>
      </c>
      <c r="I158" s="385" t="str">
        <f>IFERROR(__xludf.DUMMYFUNCTION("IF(ISBLANK(A158),"""", googlefinance(A158, ""high52""))"),"")</f>
        <v/>
      </c>
      <c r="J158" s="387" t="s">
        <v>134</v>
      </c>
      <c r="K158" s="388" t="str">
        <f>IFERROR(__xludf.DUMMYFUNCTION("IF(ISBLANK(A158),"""", googlefinance(A158, ""PE""))"),"")</f>
        <v/>
      </c>
      <c r="L158" s="385" t="str">
        <f>IFERROR(__xludf.DUMMYFUNCTION("IF(ISBLANK(A158),"""", googlefinance(A158, ""eps""))"),"")</f>
        <v/>
      </c>
      <c r="M158" s="389" t="str">
        <f>IFERROR(__xludf.DUMMYFUNCTION("IfError(IF(isblank(A158),"""",split(Q158, ""()"")))"),"")</f>
        <v/>
      </c>
      <c r="N158" s="384"/>
      <c r="O158" s="385" t="str">
        <f t="shared" si="5"/>
        <v/>
      </c>
      <c r="P158" s="385" t="str">
        <f t="shared" si="6"/>
        <v/>
      </c>
      <c r="Q158" s="389" t="str">
        <f>IFERROR(__xludf.DUMMYFUNCTION("IfError(IF(isblank(A158),"""", substitute(index(IMPORTHTML(""http://finviz.com/quote.ashx?t=""&amp;A158,""table"", 10),7,2),""*"","""")),0)"),"")</f>
        <v/>
      </c>
    </row>
    <row r="159" ht="15.0" customHeight="1">
      <c r="A159" s="391" t="str">
        <f>'My Lab'!P120</f>
        <v/>
      </c>
      <c r="B159" s="382" t="str">
        <f>IFERROR(__xludf.DUMMYFUNCTION("IF(ISBLANK(A159),"""", googlefinance(A159, ""name""))"),"")</f>
        <v/>
      </c>
      <c r="C159" s="383" t="str">
        <f>IFERROR(__xludf.DUMMYFUNCTION("IF(ISBLANK(A159),"""", googlefinance(A159, ""price""))"),"")</f>
        <v/>
      </c>
      <c r="D159" s="383" t="str">
        <f>IFERROR(__xludf.DUMMYFUNCTION("IFERROR(googlefinance(A159,""change""),"""")"),"")</f>
        <v/>
      </c>
      <c r="E159" s="384" t="str">
        <f>IFERROR(__xludf.DUMMYFUNCTION("iferror(GOOGLEFINANCE(A159,""changepct"")/100,"""")"),"")</f>
        <v/>
      </c>
      <c r="F159" s="385" t="str">
        <f>IF(ISBLANK(A159), "", IF(COUNTIF(Positions!$A$2:$A$31, A159) &gt; 0, "Yes","No")
)</f>
        <v/>
      </c>
      <c r="G159" s="385" t="str">
        <f>IFERROR(__xludf.DUMMYFUNCTION("IF(ISBLANK(A159),"""", googlefinance(A159, ""low52""))"),"")</f>
        <v/>
      </c>
      <c r="H159" s="386" t="str">
        <f>IFERROR(__xludf.DUMMYFUNCTION("IF(ISBLANK(A159),"""",IFERROR(SPARKLINE((C159-G159)/(I159-G159),{""charttype"",""bar"";""max"",1;""min"",0;""color1"",""2c79b5""}),""n/a""))"),"")</f>
        <v/>
      </c>
      <c r="I159" s="385" t="str">
        <f>IFERROR(__xludf.DUMMYFUNCTION("IF(ISBLANK(A159),"""", googlefinance(A159, ""high52""))"),"")</f>
        <v/>
      </c>
      <c r="J159" s="387" t="s">
        <v>134</v>
      </c>
      <c r="K159" s="388" t="str">
        <f>IFERROR(__xludf.DUMMYFUNCTION("IF(ISBLANK(A159),"""", googlefinance(A159, ""PE""))"),"")</f>
        <v/>
      </c>
      <c r="L159" s="385" t="str">
        <f>IFERROR(__xludf.DUMMYFUNCTION("IF(ISBLANK(A159),"""", googlefinance(A159, ""eps""))"),"")</f>
        <v/>
      </c>
      <c r="M159" s="389" t="str">
        <f>IFERROR(__xludf.DUMMYFUNCTION("IfError(IF(isblank(A159),"""",split(Q159, ""()"")))"),"")</f>
        <v/>
      </c>
      <c r="N159" s="384"/>
      <c r="O159" s="385" t="str">
        <f t="shared" si="5"/>
        <v/>
      </c>
      <c r="P159" s="385" t="str">
        <f t="shared" si="6"/>
        <v/>
      </c>
      <c r="Q159" s="389" t="str">
        <f>IFERROR(__xludf.DUMMYFUNCTION("IfError(IF(isblank(A159),"""", substitute(index(IMPORTHTML(""http://finviz.com/quote.ashx?t=""&amp;A159,""table"", 10),7,2),""*"","""")),0)"),"")</f>
        <v/>
      </c>
    </row>
    <row r="160" ht="15.0" customHeight="1">
      <c r="A160" s="391" t="str">
        <f>'My Lab'!P121</f>
        <v/>
      </c>
      <c r="B160" s="382" t="str">
        <f>IFERROR(__xludf.DUMMYFUNCTION("IF(ISBLANK(A160),"""", googlefinance(A160, ""name""))"),"")</f>
        <v/>
      </c>
      <c r="C160" s="383" t="str">
        <f>IFERROR(__xludf.DUMMYFUNCTION("IF(ISBLANK(A160),"""", googlefinance(A160, ""price""))"),"")</f>
        <v/>
      </c>
      <c r="D160" s="383" t="str">
        <f>IFERROR(__xludf.DUMMYFUNCTION("IFERROR(googlefinance(A160,""change""),"""")"),"")</f>
        <v/>
      </c>
      <c r="E160" s="384" t="str">
        <f>IFERROR(__xludf.DUMMYFUNCTION("iferror(GOOGLEFINANCE(A160,""changepct"")/100,"""")"),"")</f>
        <v/>
      </c>
      <c r="F160" s="385" t="str">
        <f>IF(ISBLANK(A160), "", IF(COUNTIF(Positions!$A$2:$A$31, A160) &gt; 0, "Yes","No")
)</f>
        <v/>
      </c>
      <c r="G160" s="385" t="str">
        <f>IFERROR(__xludf.DUMMYFUNCTION("IF(ISBLANK(A160),"""", googlefinance(A160, ""low52""))"),"")</f>
        <v/>
      </c>
      <c r="H160" s="386" t="str">
        <f>IFERROR(__xludf.DUMMYFUNCTION("IF(ISBLANK(A160),"""",IFERROR(SPARKLINE((C160-G160)/(I160-G160),{""charttype"",""bar"";""max"",1;""min"",0;""color1"",""2c79b5""}),""n/a""))"),"")</f>
        <v/>
      </c>
      <c r="I160" s="385" t="str">
        <f>IFERROR(__xludf.DUMMYFUNCTION("IF(ISBLANK(A160),"""", googlefinance(A160, ""high52""))"),"")</f>
        <v/>
      </c>
      <c r="J160" s="387" t="s">
        <v>134</v>
      </c>
      <c r="K160" s="388" t="str">
        <f>IFERROR(__xludf.DUMMYFUNCTION("IF(ISBLANK(A160),"""", googlefinance(A160, ""PE""))"),"")</f>
        <v/>
      </c>
      <c r="L160" s="385" t="str">
        <f>IFERROR(__xludf.DUMMYFUNCTION("IF(ISBLANK(A160),"""", googlefinance(A160, ""eps""))"),"")</f>
        <v/>
      </c>
      <c r="M160" s="389" t="str">
        <f>IFERROR(__xludf.DUMMYFUNCTION("IfError(IF(isblank(A160),"""",split(Q160, ""()"")))"),"")</f>
        <v/>
      </c>
      <c r="N160" s="384"/>
      <c r="O160" s="385" t="str">
        <f t="shared" si="5"/>
        <v/>
      </c>
      <c r="P160" s="385" t="str">
        <f t="shared" si="6"/>
        <v/>
      </c>
      <c r="Q160" s="389" t="str">
        <f>IFERROR(__xludf.DUMMYFUNCTION("IfError(IF(isblank(A160),"""", substitute(index(IMPORTHTML(""http://finviz.com/quote.ashx?t=""&amp;A160,""table"", 10),7,2),""*"","""")),0)"),"")</f>
        <v/>
      </c>
    </row>
    <row r="161" ht="15.0" customHeight="1">
      <c r="A161" s="391" t="str">
        <f>'My Lab'!P122</f>
        <v/>
      </c>
      <c r="B161" s="382" t="str">
        <f>IFERROR(__xludf.DUMMYFUNCTION("IF(ISBLANK(A161),"""", googlefinance(A161, ""name""))"),"")</f>
        <v/>
      </c>
      <c r="C161" s="383" t="str">
        <f>IFERROR(__xludf.DUMMYFUNCTION("IF(ISBLANK(A161),"""", googlefinance(A161, ""price""))"),"")</f>
        <v/>
      </c>
      <c r="D161" s="383" t="str">
        <f>IFERROR(__xludf.DUMMYFUNCTION("IFERROR(googlefinance(A161,""change""),"""")"),"")</f>
        <v/>
      </c>
      <c r="E161" s="384" t="str">
        <f>IFERROR(__xludf.DUMMYFUNCTION("iferror(GOOGLEFINANCE(A161,""changepct"")/100,"""")"),"")</f>
        <v/>
      </c>
      <c r="F161" s="385" t="str">
        <f>IF(ISBLANK(A161), "", IF(COUNTIF(Positions!$A$2:$A$31, A161) &gt; 0, "Yes","No")
)</f>
        <v/>
      </c>
      <c r="G161" s="385" t="str">
        <f>IFERROR(__xludf.DUMMYFUNCTION("IF(ISBLANK(A161),"""", googlefinance(A161, ""low52""))"),"")</f>
        <v/>
      </c>
      <c r="H161" s="386" t="str">
        <f>IFERROR(__xludf.DUMMYFUNCTION("IF(ISBLANK(A161),"""",IFERROR(SPARKLINE((C161-G161)/(I161-G161),{""charttype"",""bar"";""max"",1;""min"",0;""color1"",""2c79b5""}),""n/a""))"),"")</f>
        <v/>
      </c>
      <c r="I161" s="385" t="str">
        <f>IFERROR(__xludf.DUMMYFUNCTION("IF(ISBLANK(A161),"""", googlefinance(A161, ""high52""))"),"")</f>
        <v/>
      </c>
      <c r="J161" s="387" t="s">
        <v>134</v>
      </c>
      <c r="K161" s="388" t="str">
        <f>IFERROR(__xludf.DUMMYFUNCTION("IF(ISBLANK(A161),"""", googlefinance(A161, ""PE""))"),"")</f>
        <v/>
      </c>
      <c r="L161" s="385" t="str">
        <f>IFERROR(__xludf.DUMMYFUNCTION("IF(ISBLANK(A161),"""", googlefinance(A161, ""eps""))"),"")</f>
        <v/>
      </c>
      <c r="M161" s="389" t="str">
        <f>IFERROR(__xludf.DUMMYFUNCTION("IfError(IF(isblank(A161),"""",split(Q161, ""()"")))"),"")</f>
        <v/>
      </c>
      <c r="N161" s="384"/>
      <c r="O161" s="385" t="str">
        <f t="shared" si="5"/>
        <v/>
      </c>
      <c r="P161" s="385" t="str">
        <f t="shared" si="6"/>
        <v/>
      </c>
      <c r="Q161" s="389" t="str">
        <f>IFERROR(__xludf.DUMMYFUNCTION("IfError(IF(isblank(A161),"""", substitute(index(IMPORTHTML(""http://finviz.com/quote.ashx?t=""&amp;A161,""table"", 10),7,2),""*"","""")),0)"),"")</f>
        <v/>
      </c>
    </row>
    <row r="162" ht="15.0" customHeight="1">
      <c r="A162" s="391" t="str">
        <f>'My Lab'!P123</f>
        <v/>
      </c>
      <c r="B162" s="382" t="str">
        <f>IFERROR(__xludf.DUMMYFUNCTION("IF(ISBLANK(A162),"""", googlefinance(A162, ""name""))"),"")</f>
        <v/>
      </c>
      <c r="C162" s="383" t="str">
        <f>IFERROR(__xludf.DUMMYFUNCTION("IF(ISBLANK(A162),"""", googlefinance(A162, ""price""))"),"")</f>
        <v/>
      </c>
      <c r="D162" s="383" t="str">
        <f>IFERROR(__xludf.DUMMYFUNCTION("IFERROR(googlefinance(A162,""change""),"""")"),"")</f>
        <v/>
      </c>
      <c r="E162" s="384" t="str">
        <f>IFERROR(__xludf.DUMMYFUNCTION("iferror(GOOGLEFINANCE(A162,""changepct"")/100,"""")"),"")</f>
        <v/>
      </c>
      <c r="F162" s="385" t="str">
        <f>IF(ISBLANK(A162), "", IF(COUNTIF(Positions!$A$2:$A$31, A162) &gt; 0, "Yes","No")
)</f>
        <v/>
      </c>
      <c r="G162" s="385" t="str">
        <f>IFERROR(__xludf.DUMMYFUNCTION("IF(ISBLANK(A162),"""", googlefinance(A162, ""low52""))"),"")</f>
        <v/>
      </c>
      <c r="H162" s="386" t="str">
        <f>IFERROR(__xludf.DUMMYFUNCTION("IF(ISBLANK(A162),"""",IFERROR(SPARKLINE((C162-G162)/(I162-G162),{""charttype"",""bar"";""max"",1;""min"",0;""color1"",""2c79b5""}),""n/a""))"),"")</f>
        <v/>
      </c>
      <c r="I162" s="385" t="str">
        <f>IFERROR(__xludf.DUMMYFUNCTION("IF(ISBLANK(A162),"""", googlefinance(A162, ""high52""))"),"")</f>
        <v/>
      </c>
      <c r="J162" s="387" t="s">
        <v>134</v>
      </c>
      <c r="K162" s="388" t="str">
        <f>IFERROR(__xludf.DUMMYFUNCTION("IF(ISBLANK(A162),"""", googlefinance(A162, ""PE""))"),"")</f>
        <v/>
      </c>
      <c r="L162" s="385" t="str">
        <f>IFERROR(__xludf.DUMMYFUNCTION("IF(ISBLANK(A162),"""", googlefinance(A162, ""eps""))"),"")</f>
        <v/>
      </c>
      <c r="M162" s="389" t="str">
        <f>IFERROR(__xludf.DUMMYFUNCTION("IfError(IF(isblank(A162),"""",split(Q162, ""()"")))"),"")</f>
        <v/>
      </c>
      <c r="N162" s="384"/>
      <c r="O162" s="385" t="str">
        <f t="shared" si="5"/>
        <v/>
      </c>
      <c r="P162" s="385" t="str">
        <f t="shared" si="6"/>
        <v/>
      </c>
      <c r="Q162" s="389" t="str">
        <f>IFERROR(__xludf.DUMMYFUNCTION("IfError(IF(isblank(A162),"""", substitute(index(IMPORTHTML(""http://finviz.com/quote.ashx?t=""&amp;A162,""table"", 10),7,2),""*"","""")),0)"),"")</f>
        <v/>
      </c>
    </row>
    <row r="163" ht="15.0" customHeight="1">
      <c r="A163" s="391" t="str">
        <f>'My Lab'!P124</f>
        <v/>
      </c>
      <c r="B163" s="382" t="str">
        <f>IFERROR(__xludf.DUMMYFUNCTION("IF(ISBLANK(A163),"""", googlefinance(A163, ""name""))"),"")</f>
        <v/>
      </c>
      <c r="C163" s="383" t="str">
        <f>IFERROR(__xludf.DUMMYFUNCTION("IF(ISBLANK(A163),"""", googlefinance(A163, ""price""))"),"")</f>
        <v/>
      </c>
      <c r="D163" s="383" t="str">
        <f>IFERROR(__xludf.DUMMYFUNCTION("IFERROR(googlefinance(A163,""change""),"""")"),"")</f>
        <v/>
      </c>
      <c r="E163" s="384" t="str">
        <f>IFERROR(__xludf.DUMMYFUNCTION("iferror(GOOGLEFINANCE(A163,""changepct"")/100,"""")"),"")</f>
        <v/>
      </c>
      <c r="F163" s="385" t="str">
        <f>IF(ISBLANK(A163), "", IF(COUNTIF(Positions!$A$2:$A$31, A163) &gt; 0, "Yes","No")
)</f>
        <v/>
      </c>
      <c r="G163" s="385" t="str">
        <f>IFERROR(__xludf.DUMMYFUNCTION("IF(ISBLANK(A163),"""", googlefinance(A163, ""low52""))"),"")</f>
        <v/>
      </c>
      <c r="H163" s="386" t="str">
        <f>IFERROR(__xludf.DUMMYFUNCTION("IF(ISBLANK(A163),"""",IFERROR(SPARKLINE((C163-G163)/(I163-G163),{""charttype"",""bar"";""max"",1;""min"",0;""color1"",""2c79b5""}),""n/a""))"),"")</f>
        <v/>
      </c>
      <c r="I163" s="385" t="str">
        <f>IFERROR(__xludf.DUMMYFUNCTION("IF(ISBLANK(A163),"""", googlefinance(A163, ""high52""))"),"")</f>
        <v/>
      </c>
      <c r="J163" s="387" t="s">
        <v>134</v>
      </c>
      <c r="K163" s="388" t="str">
        <f>IFERROR(__xludf.DUMMYFUNCTION("IF(ISBLANK(A163),"""", googlefinance(A163, ""PE""))"),"")</f>
        <v/>
      </c>
      <c r="L163" s="385" t="str">
        <f>IFERROR(__xludf.DUMMYFUNCTION("IF(ISBLANK(A163),"""", googlefinance(A163, ""eps""))"),"")</f>
        <v/>
      </c>
      <c r="M163" s="389" t="str">
        <f>IFERROR(__xludf.DUMMYFUNCTION("IfError(IF(isblank(A163),"""",split(Q163, ""()"")))"),"")</f>
        <v/>
      </c>
      <c r="N163" s="384"/>
      <c r="O163" s="385" t="str">
        <f t="shared" si="5"/>
        <v/>
      </c>
      <c r="P163" s="385" t="str">
        <f t="shared" si="6"/>
        <v/>
      </c>
      <c r="Q163" s="389" t="str">
        <f>IFERROR(__xludf.DUMMYFUNCTION("IfError(IF(isblank(A163),"""", substitute(index(IMPORTHTML(""http://finviz.com/quote.ashx?t=""&amp;A163,""table"", 10),7,2),""*"","""")),0)"),"")</f>
        <v/>
      </c>
    </row>
    <row r="164" ht="15.0" customHeight="1">
      <c r="A164" s="391" t="str">
        <f>'My Lab'!P125</f>
        <v/>
      </c>
      <c r="B164" s="382" t="str">
        <f>IFERROR(__xludf.DUMMYFUNCTION("IF(ISBLANK(A164),"""", googlefinance(A164, ""name""))"),"")</f>
        <v/>
      </c>
      <c r="C164" s="383" t="str">
        <f>IFERROR(__xludf.DUMMYFUNCTION("IF(ISBLANK(A164),"""", googlefinance(A164, ""price""))"),"")</f>
        <v/>
      </c>
      <c r="D164" s="383" t="str">
        <f>IFERROR(__xludf.DUMMYFUNCTION("IFERROR(googlefinance(A164,""change""),"""")"),"")</f>
        <v/>
      </c>
      <c r="E164" s="384" t="str">
        <f>IFERROR(__xludf.DUMMYFUNCTION("iferror(GOOGLEFINANCE(A164,""changepct"")/100,"""")"),"")</f>
        <v/>
      </c>
      <c r="F164" s="385" t="str">
        <f>IF(ISBLANK(A164), "", IF(COUNTIF(Positions!$A$2:$A$31, A164) &gt; 0, "Yes","No")
)</f>
        <v/>
      </c>
      <c r="G164" s="385" t="str">
        <f>IFERROR(__xludf.DUMMYFUNCTION("IF(ISBLANK(A164),"""", googlefinance(A164, ""low52""))"),"")</f>
        <v/>
      </c>
      <c r="H164" s="386" t="str">
        <f>IFERROR(__xludf.DUMMYFUNCTION("IF(ISBLANK(A164),"""",IFERROR(SPARKLINE((C164-G164)/(I164-G164),{""charttype"",""bar"";""max"",1;""min"",0;""color1"",""2c79b5""}),""n/a""))"),"")</f>
        <v/>
      </c>
      <c r="I164" s="385" t="str">
        <f>IFERROR(__xludf.DUMMYFUNCTION("IF(ISBLANK(A164),"""", googlefinance(A164, ""high52""))"),"")</f>
        <v/>
      </c>
      <c r="J164" s="387" t="s">
        <v>134</v>
      </c>
      <c r="K164" s="388" t="str">
        <f>IFERROR(__xludf.DUMMYFUNCTION("IF(ISBLANK(A164),"""", googlefinance(A164, ""PE""))"),"")</f>
        <v/>
      </c>
      <c r="L164" s="385" t="str">
        <f>IFERROR(__xludf.DUMMYFUNCTION("IF(ISBLANK(A164),"""", googlefinance(A164, ""eps""))"),"")</f>
        <v/>
      </c>
      <c r="M164" s="389" t="str">
        <f>IFERROR(__xludf.DUMMYFUNCTION("IfError(IF(isblank(A164),"""",split(Q164, ""()"")))"),"")</f>
        <v/>
      </c>
      <c r="N164" s="384"/>
      <c r="O164" s="385" t="str">
        <f t="shared" si="5"/>
        <v/>
      </c>
      <c r="P164" s="385" t="str">
        <f t="shared" si="6"/>
        <v/>
      </c>
      <c r="Q164" s="389" t="str">
        <f>IFERROR(__xludf.DUMMYFUNCTION("IfError(IF(isblank(A164),"""", substitute(index(IMPORTHTML(""http://finviz.com/quote.ashx?t=""&amp;A164,""table"", 10),7,2),""*"","""")),0)"),"")</f>
        <v/>
      </c>
    </row>
    <row r="165" ht="15.0" customHeight="1">
      <c r="A165" s="391" t="str">
        <f>'My Lab'!P126</f>
        <v/>
      </c>
      <c r="B165" s="382" t="str">
        <f>IFERROR(__xludf.DUMMYFUNCTION("IF(ISBLANK(A165),"""", googlefinance(A165, ""name""))"),"")</f>
        <v/>
      </c>
      <c r="C165" s="383" t="str">
        <f>IFERROR(__xludf.DUMMYFUNCTION("IF(ISBLANK(A165),"""", googlefinance(A165, ""price""))"),"")</f>
        <v/>
      </c>
      <c r="D165" s="383" t="str">
        <f>IFERROR(__xludf.DUMMYFUNCTION("IFERROR(googlefinance(A165,""change""),"""")"),"")</f>
        <v/>
      </c>
      <c r="E165" s="384" t="str">
        <f>IFERROR(__xludf.DUMMYFUNCTION("iferror(GOOGLEFINANCE(A165,""changepct"")/100,"""")"),"")</f>
        <v/>
      </c>
      <c r="F165" s="385" t="str">
        <f>IF(ISBLANK(A165), "", IF(COUNTIF(Positions!$A$2:$A$31, A165) &gt; 0, "Yes","No")
)</f>
        <v/>
      </c>
      <c r="G165" s="385" t="str">
        <f>IFERROR(__xludf.DUMMYFUNCTION("IF(ISBLANK(A165),"""", googlefinance(A165, ""low52""))"),"")</f>
        <v/>
      </c>
      <c r="H165" s="386" t="str">
        <f>IFERROR(__xludf.DUMMYFUNCTION("IF(ISBLANK(A165),"""",IFERROR(SPARKLINE((C165-G165)/(I165-G165),{""charttype"",""bar"";""max"",1;""min"",0;""color1"",""2c79b5""}),""n/a""))"),"")</f>
        <v/>
      </c>
      <c r="I165" s="385" t="str">
        <f>IFERROR(__xludf.DUMMYFUNCTION("IF(ISBLANK(A165),"""", googlefinance(A165, ""high52""))"),"")</f>
        <v/>
      </c>
      <c r="J165" s="387" t="s">
        <v>134</v>
      </c>
      <c r="K165" s="388" t="str">
        <f>IFERROR(__xludf.DUMMYFUNCTION("IF(ISBLANK(A165),"""", googlefinance(A165, ""PE""))"),"")</f>
        <v/>
      </c>
      <c r="L165" s="385" t="str">
        <f>IFERROR(__xludf.DUMMYFUNCTION("IF(ISBLANK(A165),"""", googlefinance(A165, ""eps""))"),"")</f>
        <v/>
      </c>
      <c r="M165" s="389" t="str">
        <f>IFERROR(__xludf.DUMMYFUNCTION("IfError(IF(isblank(A165),"""",split(Q165, ""()"")))"),"")</f>
        <v/>
      </c>
      <c r="N165" s="384"/>
      <c r="O165" s="385" t="str">
        <f t="shared" si="5"/>
        <v/>
      </c>
      <c r="P165" s="385" t="str">
        <f t="shared" si="6"/>
        <v/>
      </c>
      <c r="Q165" s="389" t="str">
        <f>IFERROR(__xludf.DUMMYFUNCTION("IfError(IF(isblank(A165),"""", substitute(index(IMPORTHTML(""http://finviz.com/quote.ashx?t=""&amp;A165,""table"", 10),7,2),""*"","""")),0)"),"")</f>
        <v/>
      </c>
    </row>
    <row r="166" ht="15.0" customHeight="1">
      <c r="A166" s="391" t="str">
        <f>'My Lab'!P127</f>
        <v/>
      </c>
      <c r="B166" s="382" t="str">
        <f>IFERROR(__xludf.DUMMYFUNCTION("IF(ISBLANK(A166),"""", googlefinance(A166, ""name""))"),"")</f>
        <v/>
      </c>
      <c r="C166" s="383" t="str">
        <f>IFERROR(__xludf.DUMMYFUNCTION("IF(ISBLANK(A166),"""", googlefinance(A166, ""price""))"),"")</f>
        <v/>
      </c>
      <c r="D166" s="383" t="str">
        <f>IFERROR(__xludf.DUMMYFUNCTION("IFERROR(googlefinance(A166,""change""),"""")"),"")</f>
        <v/>
      </c>
      <c r="E166" s="384" t="str">
        <f>IFERROR(__xludf.DUMMYFUNCTION("iferror(GOOGLEFINANCE(A166,""changepct"")/100,"""")"),"")</f>
        <v/>
      </c>
      <c r="F166" s="385" t="str">
        <f>IF(ISBLANK(A166), "", IF(COUNTIF(Positions!$A$2:$A$31, A166) &gt; 0, "Yes","No")
)</f>
        <v/>
      </c>
      <c r="G166" s="385" t="str">
        <f>IFERROR(__xludf.DUMMYFUNCTION("IF(ISBLANK(A166),"""", googlefinance(A166, ""low52""))"),"")</f>
        <v/>
      </c>
      <c r="H166" s="386" t="str">
        <f>IFERROR(__xludf.DUMMYFUNCTION("IF(ISBLANK(A166),"""",IFERROR(SPARKLINE((C166-G166)/(I166-G166),{""charttype"",""bar"";""max"",1;""min"",0;""color1"",""2c79b5""}),""n/a""))"),"")</f>
        <v/>
      </c>
      <c r="I166" s="385" t="str">
        <f>IFERROR(__xludf.DUMMYFUNCTION("IF(ISBLANK(A166),"""", googlefinance(A166, ""high52""))"),"")</f>
        <v/>
      </c>
      <c r="J166" s="387" t="s">
        <v>134</v>
      </c>
      <c r="K166" s="388" t="str">
        <f>IFERROR(__xludf.DUMMYFUNCTION("IF(ISBLANK(A166),"""", googlefinance(A166, ""PE""))"),"")</f>
        <v/>
      </c>
      <c r="L166" s="385" t="str">
        <f>IFERROR(__xludf.DUMMYFUNCTION("IF(ISBLANK(A166),"""", googlefinance(A166, ""eps""))"),"")</f>
        <v/>
      </c>
      <c r="M166" s="389" t="str">
        <f>IFERROR(__xludf.DUMMYFUNCTION("IfError(IF(isblank(A166),"""",split(Q166, ""()"")))"),"")</f>
        <v/>
      </c>
      <c r="N166" s="384"/>
      <c r="O166" s="385" t="str">
        <f t="shared" si="5"/>
        <v/>
      </c>
      <c r="P166" s="385" t="str">
        <f t="shared" si="6"/>
        <v/>
      </c>
      <c r="Q166" s="389" t="str">
        <f>IFERROR(__xludf.DUMMYFUNCTION("IfError(IF(isblank(A166),"""", substitute(index(IMPORTHTML(""http://finviz.com/quote.ashx?t=""&amp;A166,""table"", 10),7,2),""*"","""")),0)"),"")</f>
        <v/>
      </c>
    </row>
    <row r="167" ht="15.0" customHeight="1">
      <c r="A167" s="391" t="str">
        <f>'My Lab'!P128</f>
        <v/>
      </c>
      <c r="B167" s="382" t="str">
        <f>IFERROR(__xludf.DUMMYFUNCTION("IF(ISBLANK(A167),"""", googlefinance(A167, ""name""))"),"")</f>
        <v/>
      </c>
      <c r="C167" s="383" t="str">
        <f>IFERROR(__xludf.DUMMYFUNCTION("IF(ISBLANK(A167),"""", googlefinance(A167, ""price""))"),"")</f>
        <v/>
      </c>
      <c r="D167" s="383" t="str">
        <f>IFERROR(__xludf.DUMMYFUNCTION("IFERROR(googlefinance(A167,""change""),"""")"),"")</f>
        <v/>
      </c>
      <c r="E167" s="384" t="str">
        <f>IFERROR(__xludf.DUMMYFUNCTION("iferror(GOOGLEFINANCE(A167,""changepct"")/100,"""")"),"")</f>
        <v/>
      </c>
      <c r="F167" s="385" t="str">
        <f>IF(ISBLANK(A167), "", IF(COUNTIF(Positions!$A$2:$A$31, A167) &gt; 0, "Yes","No")
)</f>
        <v/>
      </c>
      <c r="G167" s="385" t="str">
        <f>IFERROR(__xludf.DUMMYFUNCTION("IF(ISBLANK(A167),"""", googlefinance(A167, ""low52""))"),"")</f>
        <v/>
      </c>
      <c r="H167" s="386" t="str">
        <f>IFERROR(__xludf.DUMMYFUNCTION("IF(ISBLANK(A167),"""",IFERROR(SPARKLINE((C167-G167)/(I167-G167),{""charttype"",""bar"";""max"",1;""min"",0;""color1"",""2c79b5""}),""n/a""))"),"")</f>
        <v/>
      </c>
      <c r="I167" s="385" t="str">
        <f>IFERROR(__xludf.DUMMYFUNCTION("IF(ISBLANK(A167),"""", googlefinance(A167, ""high52""))"),"")</f>
        <v/>
      </c>
      <c r="J167" s="387" t="s">
        <v>134</v>
      </c>
      <c r="K167" s="388" t="str">
        <f>IFERROR(__xludf.DUMMYFUNCTION("IF(ISBLANK(A167),"""", googlefinance(A167, ""PE""))"),"")</f>
        <v/>
      </c>
      <c r="L167" s="385" t="str">
        <f>IFERROR(__xludf.DUMMYFUNCTION("IF(ISBLANK(A167),"""", googlefinance(A167, ""eps""))"),"")</f>
        <v/>
      </c>
      <c r="M167" s="389" t="str">
        <f>IFERROR(__xludf.DUMMYFUNCTION("IfError(IF(isblank(A167),"""",split(Q167, ""()"")))"),"")</f>
        <v/>
      </c>
      <c r="N167" s="384"/>
      <c r="O167" s="385" t="str">
        <f t="shared" si="5"/>
        <v/>
      </c>
      <c r="P167" s="385" t="str">
        <f t="shared" si="6"/>
        <v/>
      </c>
      <c r="Q167" s="389" t="str">
        <f>IFERROR(__xludf.DUMMYFUNCTION("IfError(IF(isblank(A167),"""", substitute(index(IMPORTHTML(""http://finviz.com/quote.ashx?t=""&amp;A167,""table"", 10),7,2),""*"","""")),0)"),"")</f>
        <v/>
      </c>
    </row>
    <row r="168" ht="15.0" customHeight="1">
      <c r="A168" s="391" t="str">
        <f>'My Lab'!P129</f>
        <v/>
      </c>
      <c r="B168" s="382" t="str">
        <f>IFERROR(__xludf.DUMMYFUNCTION("IF(ISBLANK(A168),"""", googlefinance(A168, ""name""))"),"")</f>
        <v/>
      </c>
      <c r="C168" s="383" t="str">
        <f>IFERROR(__xludf.DUMMYFUNCTION("IF(ISBLANK(A168),"""", googlefinance(A168, ""price""))"),"")</f>
        <v/>
      </c>
      <c r="D168" s="383" t="str">
        <f>IFERROR(__xludf.DUMMYFUNCTION("IFERROR(googlefinance(A168,""change""),"""")"),"")</f>
        <v/>
      </c>
      <c r="E168" s="384" t="str">
        <f>IFERROR(__xludf.DUMMYFUNCTION("iferror(GOOGLEFINANCE(A168,""changepct"")/100,"""")"),"")</f>
        <v/>
      </c>
      <c r="F168" s="385" t="str">
        <f>IF(ISBLANK(A168), "", IF(COUNTIF(Positions!$A$2:$A$31, A168) &gt; 0, "Yes","No")
)</f>
        <v/>
      </c>
      <c r="G168" s="385" t="str">
        <f>IFERROR(__xludf.DUMMYFUNCTION("IF(ISBLANK(A168),"""", googlefinance(A168, ""low52""))"),"")</f>
        <v/>
      </c>
      <c r="H168" s="386" t="str">
        <f>IFERROR(__xludf.DUMMYFUNCTION("IF(ISBLANK(A168),"""",IFERROR(SPARKLINE((C168-G168)/(I168-G168),{""charttype"",""bar"";""max"",1;""min"",0;""color1"",""2c79b5""}),""n/a""))"),"")</f>
        <v/>
      </c>
      <c r="I168" s="385" t="str">
        <f>IFERROR(__xludf.DUMMYFUNCTION("IF(ISBLANK(A168),"""", googlefinance(A168, ""high52""))"),"")</f>
        <v/>
      </c>
      <c r="J168" s="387" t="s">
        <v>134</v>
      </c>
      <c r="K168" s="388" t="str">
        <f>IFERROR(__xludf.DUMMYFUNCTION("IF(ISBLANK(A168),"""", googlefinance(A168, ""PE""))"),"")</f>
        <v/>
      </c>
      <c r="L168" s="385" t="str">
        <f>IFERROR(__xludf.DUMMYFUNCTION("IF(ISBLANK(A168),"""", googlefinance(A168, ""eps""))"),"")</f>
        <v/>
      </c>
      <c r="M168" s="389" t="str">
        <f>IFERROR(__xludf.DUMMYFUNCTION("IfError(IF(isblank(A168),"""",split(Q168, ""()"")))"),"")</f>
        <v/>
      </c>
      <c r="N168" s="384"/>
      <c r="O168" s="385" t="str">
        <f t="shared" si="5"/>
        <v/>
      </c>
      <c r="P168" s="385" t="str">
        <f t="shared" si="6"/>
        <v/>
      </c>
      <c r="Q168" s="389" t="str">
        <f>IFERROR(__xludf.DUMMYFUNCTION("IfError(IF(isblank(A168),"""", substitute(index(IMPORTHTML(""http://finviz.com/quote.ashx?t=""&amp;A168,""table"", 10),7,2),""*"","""")),0)"),"")</f>
        <v/>
      </c>
    </row>
    <row r="169" ht="15.0" customHeight="1">
      <c r="A169" s="391" t="str">
        <f>'My Lab'!P130</f>
        <v/>
      </c>
      <c r="B169" s="382" t="str">
        <f>IFERROR(__xludf.DUMMYFUNCTION("IF(ISBLANK(A169),"""", googlefinance(A169, ""name""))"),"")</f>
        <v/>
      </c>
      <c r="C169" s="383" t="str">
        <f>IFERROR(__xludf.DUMMYFUNCTION("IF(ISBLANK(A169),"""", googlefinance(A169, ""price""))"),"")</f>
        <v/>
      </c>
      <c r="D169" s="383" t="str">
        <f>IFERROR(__xludf.DUMMYFUNCTION("IFERROR(googlefinance(A169,""change""),"""")"),"")</f>
        <v/>
      </c>
      <c r="E169" s="384" t="str">
        <f>IFERROR(__xludf.DUMMYFUNCTION("iferror(GOOGLEFINANCE(A169,""changepct"")/100,"""")"),"")</f>
        <v/>
      </c>
      <c r="F169" s="385" t="str">
        <f>IF(ISBLANK(A169), "", IF(COUNTIF(Positions!$A$2:$A$31, A169) &gt; 0, "Yes","No")
)</f>
        <v/>
      </c>
      <c r="G169" s="385" t="str">
        <f>IFERROR(__xludf.DUMMYFUNCTION("IF(ISBLANK(A169),"""", googlefinance(A169, ""low52""))"),"")</f>
        <v/>
      </c>
      <c r="H169" s="386" t="str">
        <f>IFERROR(__xludf.DUMMYFUNCTION("IF(ISBLANK(A169),"""",IFERROR(SPARKLINE((C169-G169)/(I169-G169),{""charttype"",""bar"";""max"",1;""min"",0;""color1"",""2c79b5""}),""n/a""))"),"")</f>
        <v/>
      </c>
      <c r="I169" s="385" t="str">
        <f>IFERROR(__xludf.DUMMYFUNCTION("IF(ISBLANK(A169),"""", googlefinance(A169, ""high52""))"),"")</f>
        <v/>
      </c>
      <c r="J169" s="387" t="s">
        <v>134</v>
      </c>
      <c r="K169" s="388" t="str">
        <f>IFERROR(__xludf.DUMMYFUNCTION("IF(ISBLANK(A169),"""", googlefinance(A169, ""PE""))"),"")</f>
        <v/>
      </c>
      <c r="L169" s="385" t="str">
        <f>IFERROR(__xludf.DUMMYFUNCTION("IF(ISBLANK(A169),"""", googlefinance(A169, ""eps""))"),"")</f>
        <v/>
      </c>
      <c r="M169" s="389" t="str">
        <f>IFERROR(__xludf.DUMMYFUNCTION("IfError(IF(isblank(A169),"""",split(Q169, ""()"")))"),"")</f>
        <v/>
      </c>
      <c r="N169" s="384"/>
      <c r="O169" s="385" t="str">
        <f t="shared" si="5"/>
        <v/>
      </c>
      <c r="P169" s="385" t="str">
        <f t="shared" si="6"/>
        <v/>
      </c>
      <c r="Q169" s="389" t="str">
        <f>IFERROR(__xludf.DUMMYFUNCTION("IfError(IF(isblank(A169),"""", substitute(index(IMPORTHTML(""http://finviz.com/quote.ashx?t=""&amp;A169,""table"", 10),7,2),""*"","""")),0)"),"")</f>
        <v/>
      </c>
    </row>
    <row r="170" ht="15.0" customHeight="1">
      <c r="A170" s="391" t="str">
        <f>'My Lab'!P131</f>
        <v/>
      </c>
      <c r="B170" s="382" t="str">
        <f>IFERROR(__xludf.DUMMYFUNCTION("IF(ISBLANK(A170),"""", googlefinance(A170, ""name""))"),"")</f>
        <v/>
      </c>
      <c r="C170" s="383" t="str">
        <f>IFERROR(__xludf.DUMMYFUNCTION("IF(ISBLANK(A170),"""", googlefinance(A170, ""price""))"),"")</f>
        <v/>
      </c>
      <c r="D170" s="383" t="str">
        <f>IFERROR(__xludf.DUMMYFUNCTION("IFERROR(googlefinance(A170,""change""),"""")"),"")</f>
        <v/>
      </c>
      <c r="E170" s="384" t="str">
        <f>IFERROR(__xludf.DUMMYFUNCTION("iferror(GOOGLEFINANCE(A170,""changepct"")/100,"""")"),"")</f>
        <v/>
      </c>
      <c r="F170" s="385" t="str">
        <f>IF(ISBLANK(A170), "", IF(COUNTIF(Positions!$A$2:$A$31, A170) &gt; 0, "Yes","No")
)</f>
        <v/>
      </c>
      <c r="G170" s="385" t="str">
        <f>IFERROR(__xludf.DUMMYFUNCTION("IF(ISBLANK(A170),"""", googlefinance(A170, ""low52""))"),"")</f>
        <v/>
      </c>
      <c r="H170" s="386" t="str">
        <f>IFERROR(__xludf.DUMMYFUNCTION("IF(ISBLANK(A170),"""",IFERROR(SPARKLINE((C170-G170)/(I170-G170),{""charttype"",""bar"";""max"",1;""min"",0;""color1"",""2c79b5""}),""n/a""))"),"")</f>
        <v/>
      </c>
      <c r="I170" s="385" t="str">
        <f>IFERROR(__xludf.DUMMYFUNCTION("IF(ISBLANK(A170),"""", googlefinance(A170, ""high52""))"),"")</f>
        <v/>
      </c>
      <c r="J170" s="387" t="s">
        <v>134</v>
      </c>
      <c r="K170" s="388" t="str">
        <f>IFERROR(__xludf.DUMMYFUNCTION("IF(ISBLANK(A170),"""", googlefinance(A170, ""PE""))"),"")</f>
        <v/>
      </c>
      <c r="L170" s="385" t="str">
        <f>IFERROR(__xludf.DUMMYFUNCTION("IF(ISBLANK(A170),"""", googlefinance(A170, ""eps""))"),"")</f>
        <v/>
      </c>
      <c r="M170" s="389" t="str">
        <f>IFERROR(__xludf.DUMMYFUNCTION("IfError(IF(isblank(A170),"""",split(Q170, ""()"")))"),"")</f>
        <v/>
      </c>
      <c r="N170" s="384"/>
      <c r="O170" s="385" t="str">
        <f t="shared" si="5"/>
        <v/>
      </c>
      <c r="P170" s="385" t="str">
        <f t="shared" si="6"/>
        <v/>
      </c>
      <c r="Q170" s="389" t="str">
        <f>IFERROR(__xludf.DUMMYFUNCTION("IfError(IF(isblank(A170),"""", substitute(index(IMPORTHTML(""http://finviz.com/quote.ashx?t=""&amp;A170,""table"", 10),7,2),""*"","""")),0)"),"")</f>
        <v/>
      </c>
    </row>
    <row r="171" ht="15.0" customHeight="1">
      <c r="A171" s="391" t="str">
        <f>'My Lab'!P132</f>
        <v/>
      </c>
      <c r="B171" s="382" t="str">
        <f>IFERROR(__xludf.DUMMYFUNCTION("IF(ISBLANK(A171),"""", googlefinance(A171, ""name""))"),"")</f>
        <v/>
      </c>
      <c r="C171" s="383" t="str">
        <f>IFERROR(__xludf.DUMMYFUNCTION("IF(ISBLANK(A171),"""", googlefinance(A171, ""price""))"),"")</f>
        <v/>
      </c>
      <c r="D171" s="383" t="str">
        <f>IFERROR(__xludf.DUMMYFUNCTION("IFERROR(googlefinance(A171,""change""),"""")"),"")</f>
        <v/>
      </c>
      <c r="E171" s="384" t="str">
        <f>IFERROR(__xludf.DUMMYFUNCTION("iferror(GOOGLEFINANCE(A171,""changepct"")/100,"""")"),"")</f>
        <v/>
      </c>
      <c r="F171" s="385" t="str">
        <f>IF(ISBLANK(A171), "", IF(COUNTIF(Positions!$A$2:$A$31, A171) &gt; 0, "Yes","No")
)</f>
        <v/>
      </c>
      <c r="G171" s="385" t="str">
        <f>IFERROR(__xludf.DUMMYFUNCTION("IF(ISBLANK(A171),"""", googlefinance(A171, ""low52""))"),"")</f>
        <v/>
      </c>
      <c r="H171" s="386" t="str">
        <f>IFERROR(__xludf.DUMMYFUNCTION("IF(ISBLANK(A171),"""",IFERROR(SPARKLINE((C171-G171)/(I171-G171),{""charttype"",""bar"";""max"",1;""min"",0;""color1"",""2c79b5""}),""n/a""))"),"")</f>
        <v/>
      </c>
      <c r="I171" s="385" t="str">
        <f>IFERROR(__xludf.DUMMYFUNCTION("IF(ISBLANK(A171),"""", googlefinance(A171, ""high52""))"),"")</f>
        <v/>
      </c>
      <c r="J171" s="387" t="s">
        <v>134</v>
      </c>
      <c r="K171" s="388" t="str">
        <f>IFERROR(__xludf.DUMMYFUNCTION("IF(ISBLANK(A171),"""", googlefinance(A171, ""PE""))"),"")</f>
        <v/>
      </c>
      <c r="L171" s="385" t="str">
        <f>IFERROR(__xludf.DUMMYFUNCTION("IF(ISBLANK(A171),"""", googlefinance(A171, ""eps""))"),"")</f>
        <v/>
      </c>
      <c r="M171" s="389" t="str">
        <f>IFERROR(__xludf.DUMMYFUNCTION("IfError(IF(isblank(A171),"""",split(Q171, ""()"")))"),"")</f>
        <v/>
      </c>
      <c r="N171" s="384"/>
      <c r="O171" s="385" t="str">
        <f t="shared" si="5"/>
        <v/>
      </c>
      <c r="P171" s="385" t="str">
        <f t="shared" si="6"/>
        <v/>
      </c>
      <c r="Q171" s="389" t="str">
        <f>IFERROR(__xludf.DUMMYFUNCTION("IfError(IF(isblank(A171),"""", substitute(index(IMPORTHTML(""http://finviz.com/quote.ashx?t=""&amp;A171,""table"", 10),7,2),""*"","""")),0)"),"")</f>
        <v/>
      </c>
    </row>
    <row r="172" ht="15.0" customHeight="1">
      <c r="A172" s="391" t="str">
        <f>'My Lab'!P133</f>
        <v/>
      </c>
      <c r="B172" s="382" t="str">
        <f>IFERROR(__xludf.DUMMYFUNCTION("IF(ISBLANK(A172),"""", googlefinance(A172, ""name""))"),"")</f>
        <v/>
      </c>
      <c r="C172" s="383" t="str">
        <f>IFERROR(__xludf.DUMMYFUNCTION("IF(ISBLANK(A172),"""", googlefinance(A172, ""price""))"),"")</f>
        <v/>
      </c>
      <c r="D172" s="383" t="str">
        <f>IFERROR(__xludf.DUMMYFUNCTION("IFERROR(googlefinance(A172,""change""),"""")"),"")</f>
        <v/>
      </c>
      <c r="E172" s="384" t="str">
        <f>IFERROR(__xludf.DUMMYFUNCTION("iferror(GOOGLEFINANCE(A172,""changepct"")/100,"""")"),"")</f>
        <v/>
      </c>
      <c r="F172" s="385" t="str">
        <f>IF(ISBLANK(A172), "", IF(COUNTIF(Positions!$A$2:$A$31, A172) &gt; 0, "Yes","No")
)</f>
        <v/>
      </c>
      <c r="G172" s="385" t="str">
        <f>IFERROR(__xludf.DUMMYFUNCTION("IF(ISBLANK(A172),"""", googlefinance(A172, ""low52""))"),"")</f>
        <v/>
      </c>
      <c r="H172" s="386" t="str">
        <f>IFERROR(__xludf.DUMMYFUNCTION("IF(ISBLANK(A172),"""",IFERROR(SPARKLINE((C172-G172)/(I172-G172),{""charttype"",""bar"";""max"",1;""min"",0;""color1"",""2c79b5""}),""n/a""))"),"")</f>
        <v/>
      </c>
      <c r="I172" s="385" t="str">
        <f>IFERROR(__xludf.DUMMYFUNCTION("IF(ISBLANK(A172),"""", googlefinance(A172, ""high52""))"),"")</f>
        <v/>
      </c>
      <c r="J172" s="387" t="s">
        <v>134</v>
      </c>
      <c r="K172" s="388" t="str">
        <f>IFERROR(__xludf.DUMMYFUNCTION("IF(ISBLANK(A172),"""", googlefinance(A172, ""PE""))"),"")</f>
        <v/>
      </c>
      <c r="L172" s="385" t="str">
        <f>IFERROR(__xludf.DUMMYFUNCTION("IF(ISBLANK(A172),"""", googlefinance(A172, ""eps""))"),"")</f>
        <v/>
      </c>
      <c r="M172" s="389" t="str">
        <f>IFERROR(__xludf.DUMMYFUNCTION("IfError(IF(isblank(A172),"""",split(Q172, ""()"")))"),"")</f>
        <v/>
      </c>
      <c r="N172" s="384"/>
      <c r="O172" s="385" t="str">
        <f t="shared" si="5"/>
        <v/>
      </c>
      <c r="P172" s="385" t="str">
        <f t="shared" si="6"/>
        <v/>
      </c>
      <c r="Q172" s="389" t="str">
        <f>IFERROR(__xludf.DUMMYFUNCTION("IfError(IF(isblank(A172),"""", substitute(index(IMPORTHTML(""http://finviz.com/quote.ashx?t=""&amp;A172,""table"", 10),7,2),""*"","""")),0)"),"")</f>
        <v/>
      </c>
    </row>
    <row r="173" ht="15.0" customHeight="1">
      <c r="A173" s="391" t="str">
        <f>'My Lab'!P134</f>
        <v/>
      </c>
      <c r="B173" s="382" t="str">
        <f>IFERROR(__xludf.DUMMYFUNCTION("IF(ISBLANK(A173),"""", googlefinance(A173, ""name""))"),"")</f>
        <v/>
      </c>
      <c r="C173" s="383" t="str">
        <f>IFERROR(__xludf.DUMMYFUNCTION("IF(ISBLANK(A173),"""", googlefinance(A173, ""price""))"),"")</f>
        <v/>
      </c>
      <c r="D173" s="383" t="str">
        <f>IFERROR(__xludf.DUMMYFUNCTION("IFERROR(googlefinance(A173,""change""),"""")"),"")</f>
        <v/>
      </c>
      <c r="E173" s="384" t="str">
        <f>IFERROR(__xludf.DUMMYFUNCTION("iferror(GOOGLEFINANCE(A173,""changepct"")/100,"""")"),"")</f>
        <v/>
      </c>
      <c r="F173" s="385" t="str">
        <f>IF(ISBLANK(A173), "", IF(COUNTIF(Positions!$A$2:$A$31, A173) &gt; 0, "Yes","No")
)</f>
        <v/>
      </c>
      <c r="G173" s="385" t="str">
        <f>IFERROR(__xludf.DUMMYFUNCTION("IF(ISBLANK(A173),"""", googlefinance(A173, ""low52""))"),"")</f>
        <v/>
      </c>
      <c r="H173" s="386" t="str">
        <f>IFERROR(__xludf.DUMMYFUNCTION("IF(ISBLANK(A173),"""",IFERROR(SPARKLINE((C173-G173)/(I173-G173),{""charttype"",""bar"";""max"",1;""min"",0;""color1"",""2c79b5""}),""n/a""))"),"")</f>
        <v/>
      </c>
      <c r="I173" s="385" t="str">
        <f>IFERROR(__xludf.DUMMYFUNCTION("IF(ISBLANK(A173),"""", googlefinance(A173, ""high52""))"),"")</f>
        <v/>
      </c>
      <c r="J173" s="387" t="s">
        <v>134</v>
      </c>
      <c r="K173" s="388" t="str">
        <f>IFERROR(__xludf.DUMMYFUNCTION("IF(ISBLANK(A173),"""", googlefinance(A173, ""PE""))"),"")</f>
        <v/>
      </c>
      <c r="L173" s="385" t="str">
        <f>IFERROR(__xludf.DUMMYFUNCTION("IF(ISBLANK(A173),"""", googlefinance(A173, ""eps""))"),"")</f>
        <v/>
      </c>
      <c r="M173" s="389" t="str">
        <f>IFERROR(__xludf.DUMMYFUNCTION("IfError(IF(isblank(A173),"""",split(Q173, ""()"")))"),"")</f>
        <v/>
      </c>
      <c r="N173" s="384"/>
      <c r="O173" s="385" t="str">
        <f t="shared" si="5"/>
        <v/>
      </c>
      <c r="P173" s="385" t="str">
        <f t="shared" si="6"/>
        <v/>
      </c>
      <c r="Q173" s="389" t="str">
        <f>IFERROR(__xludf.DUMMYFUNCTION("IfError(IF(isblank(A173),"""", substitute(index(IMPORTHTML(""http://finviz.com/quote.ashx?t=""&amp;A173,""table"", 10),7,2),""*"","""")),0)"),"")</f>
        <v/>
      </c>
    </row>
    <row r="174" ht="15.0" customHeight="1">
      <c r="A174" s="391" t="str">
        <f>'My Lab'!P135</f>
        <v/>
      </c>
      <c r="B174" s="382" t="str">
        <f>IFERROR(__xludf.DUMMYFUNCTION("IF(ISBLANK(A174),"""", googlefinance(A174, ""name""))"),"")</f>
        <v/>
      </c>
      <c r="C174" s="383" t="str">
        <f>IFERROR(__xludf.DUMMYFUNCTION("IF(ISBLANK(A174),"""", googlefinance(A174, ""price""))"),"")</f>
        <v/>
      </c>
      <c r="D174" s="383" t="str">
        <f>IFERROR(__xludf.DUMMYFUNCTION("IFERROR(googlefinance(A174,""change""),"""")"),"")</f>
        <v/>
      </c>
      <c r="E174" s="384" t="str">
        <f>IFERROR(__xludf.DUMMYFUNCTION("iferror(GOOGLEFINANCE(A174,""changepct"")/100,"""")"),"")</f>
        <v/>
      </c>
      <c r="F174" s="385" t="str">
        <f>IF(ISBLANK(A174), "", IF(COUNTIF(Positions!$A$2:$A$31, A174) &gt; 0, "Yes","No")
)</f>
        <v/>
      </c>
      <c r="G174" s="385" t="str">
        <f>IFERROR(__xludf.DUMMYFUNCTION("IF(ISBLANK(A174),"""", googlefinance(A174, ""low52""))"),"")</f>
        <v/>
      </c>
      <c r="H174" s="386" t="str">
        <f>IFERROR(__xludf.DUMMYFUNCTION("IF(ISBLANK(A174),"""",IFERROR(SPARKLINE((C174-G174)/(I174-G174),{""charttype"",""bar"";""max"",1;""min"",0;""color1"",""2c79b5""}),""n/a""))"),"")</f>
        <v/>
      </c>
      <c r="I174" s="385" t="str">
        <f>IFERROR(__xludf.DUMMYFUNCTION("IF(ISBLANK(A174),"""", googlefinance(A174, ""high52""))"),"")</f>
        <v/>
      </c>
      <c r="J174" s="387" t="s">
        <v>134</v>
      </c>
      <c r="K174" s="388" t="str">
        <f>IFERROR(__xludf.DUMMYFUNCTION("IF(ISBLANK(A174),"""", googlefinance(A174, ""PE""))"),"")</f>
        <v/>
      </c>
      <c r="L174" s="385" t="str">
        <f>IFERROR(__xludf.DUMMYFUNCTION("IF(ISBLANK(A174),"""", googlefinance(A174, ""eps""))"),"")</f>
        <v/>
      </c>
      <c r="M174" s="389" t="str">
        <f>IFERROR(__xludf.DUMMYFUNCTION("IfError(IF(isblank(A174),"""",split(Q174, ""()"")))"),"")</f>
        <v/>
      </c>
      <c r="N174" s="384"/>
      <c r="O174" s="385" t="str">
        <f t="shared" si="5"/>
        <v/>
      </c>
      <c r="P174" s="385" t="str">
        <f t="shared" si="6"/>
        <v/>
      </c>
      <c r="Q174" s="389" t="str">
        <f>IFERROR(__xludf.DUMMYFUNCTION("IfError(IF(isblank(A174),"""", substitute(index(IMPORTHTML(""http://finviz.com/quote.ashx?t=""&amp;A174,""table"", 10),7,2),""*"","""")),0)"),"")</f>
        <v/>
      </c>
    </row>
    <row r="175" ht="15.0" customHeight="1">
      <c r="A175" s="391" t="str">
        <f>'My Lab'!P136</f>
        <v/>
      </c>
      <c r="B175" s="382" t="str">
        <f>IFERROR(__xludf.DUMMYFUNCTION("IF(ISBLANK(A175),"""", googlefinance(A175, ""name""))"),"")</f>
        <v/>
      </c>
      <c r="C175" s="383" t="str">
        <f>IFERROR(__xludf.DUMMYFUNCTION("IF(ISBLANK(A175),"""", googlefinance(A175, ""price""))"),"")</f>
        <v/>
      </c>
      <c r="D175" s="383" t="str">
        <f>IFERROR(__xludf.DUMMYFUNCTION("IFERROR(googlefinance(A175,""change""),"""")"),"")</f>
        <v/>
      </c>
      <c r="E175" s="384" t="str">
        <f>IFERROR(__xludf.DUMMYFUNCTION("iferror(GOOGLEFINANCE(A175,""changepct"")/100,"""")"),"")</f>
        <v/>
      </c>
      <c r="F175" s="385" t="str">
        <f>IF(ISBLANK(A175), "", IF(COUNTIF(Positions!$A$2:$A$31, A175) &gt; 0, "Yes","No")
)</f>
        <v/>
      </c>
      <c r="G175" s="385" t="str">
        <f>IFERROR(__xludf.DUMMYFUNCTION("IF(ISBLANK(A175),"""", googlefinance(A175, ""low52""))"),"")</f>
        <v/>
      </c>
      <c r="H175" s="386" t="str">
        <f>IFERROR(__xludf.DUMMYFUNCTION("IF(ISBLANK(A175),"""",IFERROR(SPARKLINE((C175-G175)/(I175-G175),{""charttype"",""bar"";""max"",1;""min"",0;""color1"",""2c79b5""}),""n/a""))"),"")</f>
        <v/>
      </c>
      <c r="I175" s="385" t="str">
        <f>IFERROR(__xludf.DUMMYFUNCTION("IF(ISBLANK(A175),"""", googlefinance(A175, ""high52""))"),"")</f>
        <v/>
      </c>
      <c r="J175" s="387" t="s">
        <v>134</v>
      </c>
      <c r="K175" s="388" t="str">
        <f>IFERROR(__xludf.DUMMYFUNCTION("IF(ISBLANK(A175),"""", googlefinance(A175, ""PE""))"),"")</f>
        <v/>
      </c>
      <c r="L175" s="385" t="str">
        <f>IFERROR(__xludf.DUMMYFUNCTION("IF(ISBLANK(A175),"""", googlefinance(A175, ""eps""))"),"")</f>
        <v/>
      </c>
      <c r="M175" s="389" t="str">
        <f>IFERROR(__xludf.DUMMYFUNCTION("IfError(IF(isblank(A175),"""",split(Q175, ""()"")))"),"")</f>
        <v/>
      </c>
      <c r="N175" s="384"/>
      <c r="O175" s="385" t="str">
        <f t="shared" si="5"/>
        <v/>
      </c>
      <c r="P175" s="385" t="str">
        <f t="shared" si="6"/>
        <v/>
      </c>
      <c r="Q175" s="389" t="str">
        <f>IFERROR(__xludf.DUMMYFUNCTION("IfError(IF(isblank(A175),"""", substitute(index(IMPORTHTML(""http://finviz.com/quote.ashx?t=""&amp;A175,""table"", 10),7,2),""*"","""")),0)"),"")</f>
        <v/>
      </c>
    </row>
    <row r="176" ht="15.0" customHeight="1">
      <c r="A176" s="391" t="str">
        <f>'My Lab'!P137</f>
        <v/>
      </c>
      <c r="B176" s="382" t="str">
        <f>IFERROR(__xludf.DUMMYFUNCTION("IF(ISBLANK(A176),"""", googlefinance(A176, ""name""))"),"")</f>
        <v/>
      </c>
      <c r="C176" s="383" t="str">
        <f>IFERROR(__xludf.DUMMYFUNCTION("IF(ISBLANK(A176),"""", googlefinance(A176, ""price""))"),"")</f>
        <v/>
      </c>
      <c r="D176" s="383" t="str">
        <f>IFERROR(__xludf.DUMMYFUNCTION("IFERROR(googlefinance(A176,""change""),"""")"),"")</f>
        <v/>
      </c>
      <c r="E176" s="384" t="str">
        <f>IFERROR(__xludf.DUMMYFUNCTION("iferror(GOOGLEFINANCE(A176,""changepct"")/100,"""")"),"")</f>
        <v/>
      </c>
      <c r="F176" s="385" t="str">
        <f>IF(ISBLANK(A176), "", IF(COUNTIF(Positions!$A$2:$A$31, A176) &gt; 0, "Yes","No")
)</f>
        <v/>
      </c>
      <c r="G176" s="385" t="str">
        <f>IFERROR(__xludf.DUMMYFUNCTION("IF(ISBLANK(A176),"""", googlefinance(A176, ""low52""))"),"")</f>
        <v/>
      </c>
      <c r="H176" s="386" t="str">
        <f>IFERROR(__xludf.DUMMYFUNCTION("IF(ISBLANK(A176),"""",IFERROR(SPARKLINE((C176-G176)/(I176-G176),{""charttype"",""bar"";""max"",1;""min"",0;""color1"",""2c79b5""}),""n/a""))"),"")</f>
        <v/>
      </c>
      <c r="I176" s="385" t="str">
        <f>IFERROR(__xludf.DUMMYFUNCTION("IF(ISBLANK(A176),"""", googlefinance(A176, ""high52""))"),"")</f>
        <v/>
      </c>
      <c r="J176" s="387" t="s">
        <v>134</v>
      </c>
      <c r="K176" s="388" t="str">
        <f>IFERROR(__xludf.DUMMYFUNCTION("IF(ISBLANK(A176),"""", googlefinance(A176, ""PE""))"),"")</f>
        <v/>
      </c>
      <c r="L176" s="385" t="str">
        <f>IFERROR(__xludf.DUMMYFUNCTION("IF(ISBLANK(A176),"""", googlefinance(A176, ""eps""))"),"")</f>
        <v/>
      </c>
      <c r="M176" s="389" t="str">
        <f>IFERROR(__xludf.DUMMYFUNCTION("IfError(IF(isblank(A176),"""",split(Q176, ""()"")))"),"")</f>
        <v/>
      </c>
      <c r="N176" s="384"/>
      <c r="O176" s="385" t="str">
        <f t="shared" si="5"/>
        <v/>
      </c>
      <c r="P176" s="385" t="str">
        <f t="shared" si="6"/>
        <v/>
      </c>
      <c r="Q176" s="389" t="str">
        <f>IFERROR(__xludf.DUMMYFUNCTION("IfError(IF(isblank(A176),"""", substitute(index(IMPORTHTML(""http://finviz.com/quote.ashx?t=""&amp;A176,""table"", 10),7,2),""*"","""")),0)"),"")</f>
        <v/>
      </c>
    </row>
    <row r="177" ht="15.0" customHeight="1">
      <c r="A177" s="391" t="str">
        <f>'My Lab'!P138</f>
        <v/>
      </c>
      <c r="B177" s="382" t="str">
        <f>IFERROR(__xludf.DUMMYFUNCTION("IF(ISBLANK(A177),"""", googlefinance(A177, ""name""))"),"")</f>
        <v/>
      </c>
      <c r="C177" s="383" t="str">
        <f>IFERROR(__xludf.DUMMYFUNCTION("IF(ISBLANK(A177),"""", googlefinance(A177, ""price""))"),"")</f>
        <v/>
      </c>
      <c r="D177" s="383" t="str">
        <f>IFERROR(__xludf.DUMMYFUNCTION("IFERROR(googlefinance(A177,""change""),"""")"),"")</f>
        <v/>
      </c>
      <c r="E177" s="384" t="str">
        <f>IFERROR(__xludf.DUMMYFUNCTION("iferror(GOOGLEFINANCE(A177,""changepct"")/100,"""")"),"")</f>
        <v/>
      </c>
      <c r="F177" s="385" t="str">
        <f>IF(ISBLANK(A177), "", IF(COUNTIF(Positions!$A$2:$A$31, A177) &gt; 0, "Yes","No")
)</f>
        <v/>
      </c>
      <c r="G177" s="385" t="str">
        <f>IFERROR(__xludf.DUMMYFUNCTION("IF(ISBLANK(A177),"""", googlefinance(A177, ""low52""))"),"")</f>
        <v/>
      </c>
      <c r="H177" s="386" t="str">
        <f>IFERROR(__xludf.DUMMYFUNCTION("IF(ISBLANK(A177),"""",IFERROR(SPARKLINE((C177-G177)/(I177-G177),{""charttype"",""bar"";""max"",1;""min"",0;""color1"",""2c79b5""}),""n/a""))"),"")</f>
        <v/>
      </c>
      <c r="I177" s="385" t="str">
        <f>IFERROR(__xludf.DUMMYFUNCTION("IF(ISBLANK(A177),"""", googlefinance(A177, ""high52""))"),"")</f>
        <v/>
      </c>
      <c r="J177" s="387" t="s">
        <v>134</v>
      </c>
      <c r="K177" s="388" t="str">
        <f>IFERROR(__xludf.DUMMYFUNCTION("IF(ISBLANK(A177),"""", googlefinance(A177, ""PE""))"),"")</f>
        <v/>
      </c>
      <c r="L177" s="385" t="str">
        <f>IFERROR(__xludf.DUMMYFUNCTION("IF(ISBLANK(A177),"""", googlefinance(A177, ""eps""))"),"")</f>
        <v/>
      </c>
      <c r="M177" s="389" t="str">
        <f>IFERROR(__xludf.DUMMYFUNCTION("IfError(IF(isblank(A177),"""",split(Q177, ""()"")))"),"")</f>
        <v/>
      </c>
      <c r="N177" s="384"/>
      <c r="O177" s="385" t="str">
        <f t="shared" si="5"/>
        <v/>
      </c>
      <c r="P177" s="385" t="str">
        <f t="shared" si="6"/>
        <v/>
      </c>
      <c r="Q177" s="389" t="str">
        <f>IFERROR(__xludf.DUMMYFUNCTION("IfError(IF(isblank(A177),"""", substitute(index(IMPORTHTML(""http://finviz.com/quote.ashx?t=""&amp;A177,""table"", 10),7,2),""*"","""")),0)"),"")</f>
        <v/>
      </c>
    </row>
    <row r="178" ht="15.0" customHeight="1">
      <c r="A178" s="391" t="str">
        <f>'My Lab'!P139</f>
        <v/>
      </c>
      <c r="B178" s="382" t="str">
        <f>IFERROR(__xludf.DUMMYFUNCTION("IF(ISBLANK(A178),"""", googlefinance(A178, ""name""))"),"")</f>
        <v/>
      </c>
      <c r="C178" s="383" t="str">
        <f>IFERROR(__xludf.DUMMYFUNCTION("IF(ISBLANK(A178),"""", googlefinance(A178, ""price""))"),"")</f>
        <v/>
      </c>
      <c r="D178" s="383" t="str">
        <f>IFERROR(__xludf.DUMMYFUNCTION("IFERROR(googlefinance(A178,""change""),"""")"),"")</f>
        <v/>
      </c>
      <c r="E178" s="384" t="str">
        <f>IFERROR(__xludf.DUMMYFUNCTION("iferror(GOOGLEFINANCE(A178,""changepct"")/100,"""")"),"")</f>
        <v/>
      </c>
      <c r="F178" s="385" t="str">
        <f>IF(ISBLANK(A178), "", IF(COUNTIF(Positions!$A$2:$A$31, A178) &gt; 0, "Yes","No")
)</f>
        <v/>
      </c>
      <c r="G178" s="385" t="str">
        <f>IFERROR(__xludf.DUMMYFUNCTION("IF(ISBLANK(A178),"""", googlefinance(A178, ""low52""))"),"")</f>
        <v/>
      </c>
      <c r="H178" s="386" t="str">
        <f>IFERROR(__xludf.DUMMYFUNCTION("IF(ISBLANK(A178),"""",IFERROR(SPARKLINE((C178-G178)/(I178-G178),{""charttype"",""bar"";""max"",1;""min"",0;""color1"",""2c79b5""}),""n/a""))"),"")</f>
        <v/>
      </c>
      <c r="I178" s="385" t="str">
        <f>IFERROR(__xludf.DUMMYFUNCTION("IF(ISBLANK(A178),"""", googlefinance(A178, ""high52""))"),"")</f>
        <v/>
      </c>
      <c r="J178" s="387" t="s">
        <v>134</v>
      </c>
      <c r="K178" s="388" t="str">
        <f>IFERROR(__xludf.DUMMYFUNCTION("IF(ISBLANK(A178),"""", googlefinance(A178, ""PE""))"),"")</f>
        <v/>
      </c>
      <c r="L178" s="385" t="str">
        <f>IFERROR(__xludf.DUMMYFUNCTION("IF(ISBLANK(A178),"""", googlefinance(A178, ""eps""))"),"")</f>
        <v/>
      </c>
      <c r="M178" s="389" t="str">
        <f>IFERROR(__xludf.DUMMYFUNCTION("IfError(IF(isblank(A178),"""",split(Q178, ""()"")))"),"")</f>
        <v/>
      </c>
      <c r="N178" s="384"/>
      <c r="O178" s="385" t="str">
        <f t="shared" si="5"/>
        <v/>
      </c>
      <c r="P178" s="385" t="str">
        <f t="shared" si="6"/>
        <v/>
      </c>
      <c r="Q178" s="389" t="str">
        <f>IFERROR(__xludf.DUMMYFUNCTION("IfError(IF(isblank(A178),"""", substitute(index(IMPORTHTML(""http://finviz.com/quote.ashx?t=""&amp;A178,""table"", 10),7,2),""*"","""")),0)"),"")</f>
        <v/>
      </c>
    </row>
    <row r="179" ht="15.0" customHeight="1">
      <c r="A179" s="391" t="str">
        <f>'My Lab'!P140</f>
        <v/>
      </c>
      <c r="B179" s="382" t="str">
        <f>IFERROR(__xludf.DUMMYFUNCTION("IF(ISBLANK(A179),"""", googlefinance(A179, ""name""))"),"")</f>
        <v/>
      </c>
      <c r="C179" s="383" t="str">
        <f>IFERROR(__xludf.DUMMYFUNCTION("IF(ISBLANK(A179),"""", googlefinance(A179, ""price""))"),"")</f>
        <v/>
      </c>
      <c r="D179" s="383" t="str">
        <f>IFERROR(__xludf.DUMMYFUNCTION("IFERROR(googlefinance(A179,""change""),"""")"),"")</f>
        <v/>
      </c>
      <c r="E179" s="384" t="str">
        <f>IFERROR(__xludf.DUMMYFUNCTION("iferror(GOOGLEFINANCE(A179,""changepct"")/100,"""")"),"")</f>
        <v/>
      </c>
      <c r="F179" s="385" t="str">
        <f>IF(ISBLANK(A179), "", IF(COUNTIF(Positions!$A$2:$A$31, A179) &gt; 0, "Yes","No")
)</f>
        <v/>
      </c>
      <c r="G179" s="385" t="str">
        <f>IFERROR(__xludf.DUMMYFUNCTION("IF(ISBLANK(A179),"""", googlefinance(A179, ""low52""))"),"")</f>
        <v/>
      </c>
      <c r="H179" s="386" t="str">
        <f>IFERROR(__xludf.DUMMYFUNCTION("IF(ISBLANK(A179),"""",IFERROR(SPARKLINE((C179-G179)/(I179-G179),{""charttype"",""bar"";""max"",1;""min"",0;""color1"",""2c79b5""}),""n/a""))"),"")</f>
        <v/>
      </c>
      <c r="I179" s="385" t="str">
        <f>IFERROR(__xludf.DUMMYFUNCTION("IF(ISBLANK(A179),"""", googlefinance(A179, ""high52""))"),"")</f>
        <v/>
      </c>
      <c r="J179" s="387" t="s">
        <v>134</v>
      </c>
      <c r="K179" s="388" t="str">
        <f>IFERROR(__xludf.DUMMYFUNCTION("IF(ISBLANK(A179),"""", googlefinance(A179, ""PE""))"),"")</f>
        <v/>
      </c>
      <c r="L179" s="385" t="str">
        <f>IFERROR(__xludf.DUMMYFUNCTION("IF(ISBLANK(A179),"""", googlefinance(A179, ""eps""))"),"")</f>
        <v/>
      </c>
      <c r="M179" s="389" t="str">
        <f>IFERROR(__xludf.DUMMYFUNCTION("IfError(IF(isblank(A179),"""",split(Q179, ""()"")))"),"")</f>
        <v/>
      </c>
      <c r="N179" s="384"/>
      <c r="O179" s="385" t="str">
        <f t="shared" si="5"/>
        <v/>
      </c>
      <c r="P179" s="385" t="str">
        <f t="shared" si="6"/>
        <v/>
      </c>
      <c r="Q179" s="389" t="str">
        <f>IFERROR(__xludf.DUMMYFUNCTION("IfError(IF(isblank(A179),"""", substitute(index(IMPORTHTML(""http://finviz.com/quote.ashx?t=""&amp;A179,""table"", 10),7,2),""*"","""")),0)"),"")</f>
        <v/>
      </c>
    </row>
    <row r="180" ht="15.0" customHeight="1">
      <c r="A180" s="391" t="str">
        <f>'My Lab'!P141</f>
        <v/>
      </c>
      <c r="B180" s="382" t="str">
        <f>IFERROR(__xludf.DUMMYFUNCTION("IF(ISBLANK(A180),"""", googlefinance(A180, ""name""))"),"")</f>
        <v/>
      </c>
      <c r="C180" s="383" t="str">
        <f>IFERROR(__xludf.DUMMYFUNCTION("IF(ISBLANK(A180),"""", googlefinance(A180, ""price""))"),"")</f>
        <v/>
      </c>
      <c r="D180" s="383" t="str">
        <f>IFERROR(__xludf.DUMMYFUNCTION("IFERROR(googlefinance(A180,""change""),"""")"),"")</f>
        <v/>
      </c>
      <c r="E180" s="384" t="str">
        <f>IFERROR(__xludf.DUMMYFUNCTION("iferror(GOOGLEFINANCE(A180,""changepct"")/100,"""")"),"")</f>
        <v/>
      </c>
      <c r="F180" s="385" t="str">
        <f>IF(ISBLANK(A180), "", IF(COUNTIF(Positions!$A$2:$A$31, A180) &gt; 0, "Yes","No")
)</f>
        <v/>
      </c>
      <c r="G180" s="385" t="str">
        <f>IFERROR(__xludf.DUMMYFUNCTION("IF(ISBLANK(A180),"""", googlefinance(A180, ""low52""))"),"")</f>
        <v/>
      </c>
      <c r="H180" s="386" t="str">
        <f>IFERROR(__xludf.DUMMYFUNCTION("IF(ISBLANK(A180),"""",IFERROR(SPARKLINE((C180-G180)/(I180-G180),{""charttype"",""bar"";""max"",1;""min"",0;""color1"",""2c79b5""}),""n/a""))"),"")</f>
        <v/>
      </c>
      <c r="I180" s="385" t="str">
        <f>IFERROR(__xludf.DUMMYFUNCTION("IF(ISBLANK(A180),"""", googlefinance(A180, ""high52""))"),"")</f>
        <v/>
      </c>
      <c r="J180" s="387" t="s">
        <v>134</v>
      </c>
      <c r="K180" s="388" t="str">
        <f>IFERROR(__xludf.DUMMYFUNCTION("IF(ISBLANK(A180),"""", googlefinance(A180, ""PE""))"),"")</f>
        <v/>
      </c>
      <c r="L180" s="385" t="str">
        <f>IFERROR(__xludf.DUMMYFUNCTION("IF(ISBLANK(A180),"""", googlefinance(A180, ""eps""))"),"")</f>
        <v/>
      </c>
      <c r="M180" s="389" t="str">
        <f>IFERROR(__xludf.DUMMYFUNCTION("IfError(IF(isblank(A180),"""",split(Q180, ""()"")))"),"")</f>
        <v/>
      </c>
      <c r="N180" s="384"/>
      <c r="O180" s="385" t="str">
        <f t="shared" si="5"/>
        <v/>
      </c>
      <c r="P180" s="385" t="str">
        <f t="shared" si="6"/>
        <v/>
      </c>
      <c r="Q180" s="389" t="str">
        <f>IFERROR(__xludf.DUMMYFUNCTION("IfError(IF(isblank(A180),"""", substitute(index(IMPORTHTML(""http://finviz.com/quote.ashx?t=""&amp;A180,""table"", 10),7,2),""*"","""")),0)"),"")</f>
        <v/>
      </c>
    </row>
    <row r="181" ht="15.0" customHeight="1">
      <c r="A181" s="391" t="str">
        <f>'My Lab'!P142</f>
        <v/>
      </c>
      <c r="B181" s="382" t="str">
        <f>IFERROR(__xludf.DUMMYFUNCTION("IF(ISBLANK(A181),"""", googlefinance(A181, ""name""))"),"")</f>
        <v/>
      </c>
      <c r="C181" s="383" t="str">
        <f>IFERROR(__xludf.DUMMYFUNCTION("IF(ISBLANK(A181),"""", googlefinance(A181, ""price""))"),"")</f>
        <v/>
      </c>
      <c r="D181" s="383" t="str">
        <f>IFERROR(__xludf.DUMMYFUNCTION("IFERROR(googlefinance(A181,""change""),"""")"),"")</f>
        <v/>
      </c>
      <c r="E181" s="384" t="str">
        <f>IFERROR(__xludf.DUMMYFUNCTION("iferror(GOOGLEFINANCE(A181,""changepct"")/100,"""")"),"")</f>
        <v/>
      </c>
      <c r="F181" s="385" t="str">
        <f>IF(ISBLANK(A181), "", IF(COUNTIF(Positions!$A$2:$A$31, A181) &gt; 0, "Yes","No")
)</f>
        <v/>
      </c>
      <c r="G181" s="385" t="str">
        <f>IFERROR(__xludf.DUMMYFUNCTION("IF(ISBLANK(A181),"""", googlefinance(A181, ""low52""))"),"")</f>
        <v/>
      </c>
      <c r="H181" s="386" t="str">
        <f>IFERROR(__xludf.DUMMYFUNCTION("IF(ISBLANK(A181),"""",IFERROR(SPARKLINE((C181-G181)/(I181-G181),{""charttype"",""bar"";""max"",1;""min"",0;""color1"",""2c79b5""}),""n/a""))"),"")</f>
        <v/>
      </c>
      <c r="I181" s="385" t="str">
        <f>IFERROR(__xludf.DUMMYFUNCTION("IF(ISBLANK(A181),"""", googlefinance(A181, ""high52""))"),"")</f>
        <v/>
      </c>
      <c r="J181" s="387" t="s">
        <v>134</v>
      </c>
      <c r="K181" s="388" t="str">
        <f>IFERROR(__xludf.DUMMYFUNCTION("IF(ISBLANK(A181),"""", googlefinance(A181, ""PE""))"),"")</f>
        <v/>
      </c>
      <c r="L181" s="385" t="str">
        <f>IFERROR(__xludf.DUMMYFUNCTION("IF(ISBLANK(A181),"""", googlefinance(A181, ""eps""))"),"")</f>
        <v/>
      </c>
      <c r="M181" s="389" t="str">
        <f>IFERROR(__xludf.DUMMYFUNCTION("IfError(IF(isblank(A181),"""",split(Q181, ""()"")))"),"")</f>
        <v/>
      </c>
      <c r="N181" s="384"/>
      <c r="O181" s="385" t="str">
        <f t="shared" si="5"/>
        <v/>
      </c>
      <c r="P181" s="385" t="str">
        <f t="shared" si="6"/>
        <v/>
      </c>
      <c r="Q181" s="389" t="str">
        <f>IFERROR(__xludf.DUMMYFUNCTION("IfError(IF(isblank(A181),"""", substitute(index(IMPORTHTML(""http://finviz.com/quote.ashx?t=""&amp;A181,""table"", 10),7,2),""*"","""")),0)"),"")</f>
        <v/>
      </c>
    </row>
    <row r="182" ht="15.0" customHeight="1">
      <c r="A182" s="391" t="str">
        <f>'My Lab'!P143</f>
        <v/>
      </c>
      <c r="B182" s="382" t="str">
        <f>IFERROR(__xludf.DUMMYFUNCTION("IF(ISBLANK(A182),"""", googlefinance(A182, ""name""))"),"")</f>
        <v/>
      </c>
      <c r="C182" s="383" t="str">
        <f>IFERROR(__xludf.DUMMYFUNCTION("IF(ISBLANK(A182),"""", googlefinance(A182, ""price""))"),"")</f>
        <v/>
      </c>
      <c r="D182" s="383" t="str">
        <f>IFERROR(__xludf.DUMMYFUNCTION("IFERROR(googlefinance(A182,""change""),"""")"),"")</f>
        <v/>
      </c>
      <c r="E182" s="384" t="str">
        <f>IFERROR(__xludf.DUMMYFUNCTION("iferror(GOOGLEFINANCE(A182,""changepct"")/100,"""")"),"")</f>
        <v/>
      </c>
      <c r="F182" s="385" t="str">
        <f>IF(ISBLANK(A182), "", IF(COUNTIF(Positions!$A$2:$A$31, A182) &gt; 0, "Yes","No")
)</f>
        <v/>
      </c>
      <c r="G182" s="385" t="str">
        <f>IFERROR(__xludf.DUMMYFUNCTION("IF(ISBLANK(A182),"""", googlefinance(A182, ""low52""))"),"")</f>
        <v/>
      </c>
      <c r="H182" s="386" t="str">
        <f>IFERROR(__xludf.DUMMYFUNCTION("IF(ISBLANK(A182),"""",IFERROR(SPARKLINE((C182-G182)/(I182-G182),{""charttype"",""bar"";""max"",1;""min"",0;""color1"",""2c79b5""}),""n/a""))"),"")</f>
        <v/>
      </c>
      <c r="I182" s="385" t="str">
        <f>IFERROR(__xludf.DUMMYFUNCTION("IF(ISBLANK(A182),"""", googlefinance(A182, ""high52""))"),"")</f>
        <v/>
      </c>
      <c r="J182" s="387" t="s">
        <v>134</v>
      </c>
      <c r="K182" s="388" t="str">
        <f>IFERROR(__xludf.DUMMYFUNCTION("IF(ISBLANK(A182),"""", googlefinance(A182, ""PE""))"),"")</f>
        <v/>
      </c>
      <c r="L182" s="385" t="str">
        <f>IFERROR(__xludf.DUMMYFUNCTION("IF(ISBLANK(A182),"""", googlefinance(A182, ""eps""))"),"")</f>
        <v/>
      </c>
      <c r="M182" s="389" t="str">
        <f>IFERROR(__xludf.DUMMYFUNCTION("IfError(IF(isblank(A182),"""",split(Q182, ""()"")))"),"")</f>
        <v/>
      </c>
      <c r="N182" s="384"/>
      <c r="O182" s="385" t="str">
        <f t="shared" si="5"/>
        <v/>
      </c>
      <c r="P182" s="385" t="str">
        <f t="shared" si="6"/>
        <v/>
      </c>
      <c r="Q182" s="389" t="str">
        <f>IFERROR(__xludf.DUMMYFUNCTION("IfError(IF(isblank(A182),"""", substitute(index(IMPORTHTML(""http://finviz.com/quote.ashx?t=""&amp;A182,""table"", 10),7,2),""*"","""")),0)"),"")</f>
        <v/>
      </c>
    </row>
    <row r="183" ht="15.0" customHeight="1">
      <c r="A183" s="391" t="str">
        <f>'My Lab'!P144</f>
        <v/>
      </c>
      <c r="B183" s="382" t="str">
        <f>IFERROR(__xludf.DUMMYFUNCTION("IF(ISBLANK(A183),"""", googlefinance(A183, ""name""))"),"")</f>
        <v/>
      </c>
      <c r="C183" s="383" t="str">
        <f>IFERROR(__xludf.DUMMYFUNCTION("IF(ISBLANK(A183),"""", googlefinance(A183, ""price""))"),"")</f>
        <v/>
      </c>
      <c r="D183" s="383" t="str">
        <f>IFERROR(__xludf.DUMMYFUNCTION("IFERROR(googlefinance(A183,""change""),"""")"),"")</f>
        <v/>
      </c>
      <c r="E183" s="384" t="str">
        <f>IFERROR(__xludf.DUMMYFUNCTION("iferror(GOOGLEFINANCE(A183,""changepct"")/100,"""")"),"")</f>
        <v/>
      </c>
      <c r="F183" s="385" t="str">
        <f>IF(ISBLANK(A183), "", IF(COUNTIF(Positions!$A$2:$A$31, A183) &gt; 0, "Yes","No")
)</f>
        <v/>
      </c>
      <c r="G183" s="385" t="str">
        <f>IFERROR(__xludf.DUMMYFUNCTION("IF(ISBLANK(A183),"""", googlefinance(A183, ""low52""))"),"")</f>
        <v/>
      </c>
      <c r="H183" s="386" t="str">
        <f>IFERROR(__xludf.DUMMYFUNCTION("IF(ISBLANK(A183),"""",IFERROR(SPARKLINE((C183-G183)/(I183-G183),{""charttype"",""bar"";""max"",1;""min"",0;""color1"",""2c79b5""}),""n/a""))"),"")</f>
        <v/>
      </c>
      <c r="I183" s="385" t="str">
        <f>IFERROR(__xludf.DUMMYFUNCTION("IF(ISBLANK(A183),"""", googlefinance(A183, ""high52""))"),"")</f>
        <v/>
      </c>
      <c r="J183" s="387" t="s">
        <v>134</v>
      </c>
      <c r="K183" s="388" t="str">
        <f>IFERROR(__xludf.DUMMYFUNCTION("IF(ISBLANK(A183),"""", googlefinance(A183, ""PE""))"),"")</f>
        <v/>
      </c>
      <c r="L183" s="385" t="str">
        <f>IFERROR(__xludf.DUMMYFUNCTION("IF(ISBLANK(A183),"""", googlefinance(A183, ""eps""))"),"")</f>
        <v/>
      </c>
      <c r="M183" s="389" t="str">
        <f>IFERROR(__xludf.DUMMYFUNCTION("IfError(IF(isblank(A183),"""",split(Q183, ""()"")))"),"")</f>
        <v/>
      </c>
      <c r="N183" s="384"/>
      <c r="O183" s="385" t="str">
        <f t="shared" si="5"/>
        <v/>
      </c>
      <c r="P183" s="385" t="str">
        <f t="shared" si="6"/>
        <v/>
      </c>
      <c r="Q183" s="389" t="str">
        <f>IFERROR(__xludf.DUMMYFUNCTION("IfError(IF(isblank(A183),"""", substitute(index(IMPORTHTML(""http://finviz.com/quote.ashx?t=""&amp;A183,""table"", 10),7,2),""*"","""")),0)"),"")</f>
        <v/>
      </c>
    </row>
    <row r="184" ht="15.0" customHeight="1">
      <c r="A184" s="391" t="str">
        <f>'My Lab'!P145</f>
        <v/>
      </c>
      <c r="B184" s="382" t="str">
        <f>IFERROR(__xludf.DUMMYFUNCTION("IF(ISBLANK(A184),"""", googlefinance(A184, ""name""))"),"")</f>
        <v/>
      </c>
      <c r="C184" s="383" t="str">
        <f>IFERROR(__xludf.DUMMYFUNCTION("IF(ISBLANK(A184),"""", googlefinance(A184, ""price""))"),"")</f>
        <v/>
      </c>
      <c r="D184" s="383" t="str">
        <f>IFERROR(__xludf.DUMMYFUNCTION("IFERROR(googlefinance(A184,""change""),"""")"),"")</f>
        <v/>
      </c>
      <c r="E184" s="384" t="str">
        <f>IFERROR(__xludf.DUMMYFUNCTION("iferror(GOOGLEFINANCE(A184,""changepct"")/100,"""")"),"")</f>
        <v/>
      </c>
      <c r="F184" s="385" t="str">
        <f>IF(ISBLANK(A184), "", IF(COUNTIF(Positions!$A$2:$A$31, A184) &gt; 0, "Yes","No")
)</f>
        <v/>
      </c>
      <c r="G184" s="385" t="str">
        <f>IFERROR(__xludf.DUMMYFUNCTION("IF(ISBLANK(A184),"""", googlefinance(A184, ""low52""))"),"")</f>
        <v/>
      </c>
      <c r="H184" s="386" t="str">
        <f>IFERROR(__xludf.DUMMYFUNCTION("IF(ISBLANK(A184),"""",IFERROR(SPARKLINE((C184-G184)/(I184-G184),{""charttype"",""bar"";""max"",1;""min"",0;""color1"",""2c79b5""}),""n/a""))"),"")</f>
        <v/>
      </c>
      <c r="I184" s="385" t="str">
        <f>IFERROR(__xludf.DUMMYFUNCTION("IF(ISBLANK(A184),"""", googlefinance(A184, ""high52""))"),"")</f>
        <v/>
      </c>
      <c r="J184" s="387" t="s">
        <v>134</v>
      </c>
      <c r="K184" s="388" t="str">
        <f>IFERROR(__xludf.DUMMYFUNCTION("IF(ISBLANK(A184),"""", googlefinance(A184, ""PE""))"),"")</f>
        <v/>
      </c>
      <c r="L184" s="385" t="str">
        <f>IFERROR(__xludf.DUMMYFUNCTION("IF(ISBLANK(A184),"""", googlefinance(A184, ""eps""))"),"")</f>
        <v/>
      </c>
      <c r="M184" s="389" t="str">
        <f>IFERROR(__xludf.DUMMYFUNCTION("IfError(IF(isblank(A184),"""",split(Q184, ""()"")))"),"")</f>
        <v/>
      </c>
      <c r="N184" s="384"/>
      <c r="O184" s="385" t="str">
        <f t="shared" si="5"/>
        <v/>
      </c>
      <c r="P184" s="385" t="str">
        <f t="shared" si="6"/>
        <v/>
      </c>
      <c r="Q184" s="389" t="str">
        <f>IFERROR(__xludf.DUMMYFUNCTION("IfError(IF(isblank(A184),"""", substitute(index(IMPORTHTML(""http://finviz.com/quote.ashx?t=""&amp;A184,""table"", 10),7,2),""*"","""")),0)"),"")</f>
        <v/>
      </c>
    </row>
    <row r="185" ht="15.0" customHeight="1">
      <c r="A185" s="391" t="str">
        <f>'My Lab'!P146</f>
        <v/>
      </c>
      <c r="B185" s="382" t="str">
        <f>IFERROR(__xludf.DUMMYFUNCTION("IF(ISBLANK(A185),"""", googlefinance(A185, ""name""))"),"")</f>
        <v/>
      </c>
      <c r="C185" s="383" t="str">
        <f>IFERROR(__xludf.DUMMYFUNCTION("IF(ISBLANK(A185),"""", googlefinance(A185, ""price""))"),"")</f>
        <v/>
      </c>
      <c r="D185" s="383" t="str">
        <f>IFERROR(__xludf.DUMMYFUNCTION("IFERROR(googlefinance(A185,""change""),"""")"),"")</f>
        <v/>
      </c>
      <c r="E185" s="384" t="str">
        <f>IFERROR(__xludf.DUMMYFUNCTION("iferror(GOOGLEFINANCE(A185,""changepct"")/100,"""")"),"")</f>
        <v/>
      </c>
      <c r="F185" s="385" t="str">
        <f>IF(ISBLANK(A185), "", IF(COUNTIF(Positions!$A$2:$A$31, A185) &gt; 0, "Yes","No")
)</f>
        <v/>
      </c>
      <c r="G185" s="385" t="str">
        <f>IFERROR(__xludf.DUMMYFUNCTION("IF(ISBLANK(A185),"""", googlefinance(A185, ""low52""))"),"")</f>
        <v/>
      </c>
      <c r="H185" s="386" t="str">
        <f>IFERROR(__xludf.DUMMYFUNCTION("IF(ISBLANK(A185),"""",IFERROR(SPARKLINE((C185-G185)/(I185-G185),{""charttype"",""bar"";""max"",1;""min"",0;""color1"",""2c79b5""}),""n/a""))"),"")</f>
        <v/>
      </c>
      <c r="I185" s="385" t="str">
        <f>IFERROR(__xludf.DUMMYFUNCTION("IF(ISBLANK(A185),"""", googlefinance(A185, ""high52""))"),"")</f>
        <v/>
      </c>
      <c r="J185" s="387" t="s">
        <v>134</v>
      </c>
      <c r="K185" s="388" t="str">
        <f>IFERROR(__xludf.DUMMYFUNCTION("IF(ISBLANK(A185),"""", googlefinance(A185, ""PE""))"),"")</f>
        <v/>
      </c>
      <c r="L185" s="385" t="str">
        <f>IFERROR(__xludf.DUMMYFUNCTION("IF(ISBLANK(A185),"""", googlefinance(A185, ""eps""))"),"")</f>
        <v/>
      </c>
      <c r="M185" s="389" t="str">
        <f>IFERROR(__xludf.DUMMYFUNCTION("IfError(IF(isblank(A185),"""",split(Q185, ""()"")))"),"")</f>
        <v/>
      </c>
      <c r="N185" s="384"/>
      <c r="O185" s="385" t="str">
        <f t="shared" si="5"/>
        <v/>
      </c>
      <c r="P185" s="385" t="str">
        <f t="shared" si="6"/>
        <v/>
      </c>
      <c r="Q185" s="389" t="str">
        <f>IFERROR(__xludf.DUMMYFUNCTION("IfError(IF(isblank(A185),"""", substitute(index(IMPORTHTML(""http://finviz.com/quote.ashx?t=""&amp;A185,""table"", 10),7,2),""*"","""")),0)"),"")</f>
        <v/>
      </c>
    </row>
    <row r="186" ht="15.0" customHeight="1">
      <c r="A186" s="391" t="str">
        <f>'My Lab'!P147</f>
        <v/>
      </c>
      <c r="B186" s="382" t="str">
        <f>IFERROR(__xludf.DUMMYFUNCTION("IF(ISBLANK(A186),"""", googlefinance(A186, ""name""))"),"")</f>
        <v/>
      </c>
      <c r="C186" s="383" t="str">
        <f>IFERROR(__xludf.DUMMYFUNCTION("IF(ISBLANK(A186),"""", googlefinance(A186, ""price""))"),"")</f>
        <v/>
      </c>
      <c r="D186" s="383" t="str">
        <f>IFERROR(__xludf.DUMMYFUNCTION("IFERROR(googlefinance(A186,""change""),"""")"),"")</f>
        <v/>
      </c>
      <c r="E186" s="384" t="str">
        <f>IFERROR(__xludf.DUMMYFUNCTION("iferror(GOOGLEFINANCE(A186,""changepct"")/100,"""")"),"")</f>
        <v/>
      </c>
      <c r="F186" s="385" t="str">
        <f>IF(ISBLANK(A186), "", IF(COUNTIF(Positions!$A$2:$A$31, A186) &gt; 0, "Yes","No")
)</f>
        <v/>
      </c>
      <c r="G186" s="385" t="str">
        <f>IFERROR(__xludf.DUMMYFUNCTION("IF(ISBLANK(A186),"""", googlefinance(A186, ""low52""))"),"")</f>
        <v/>
      </c>
      <c r="H186" s="386" t="str">
        <f>IFERROR(__xludf.DUMMYFUNCTION("IF(ISBLANK(A186),"""",IFERROR(SPARKLINE((C186-G186)/(I186-G186),{""charttype"",""bar"";""max"",1;""min"",0;""color1"",""2c79b5""}),""n/a""))"),"")</f>
        <v/>
      </c>
      <c r="I186" s="385" t="str">
        <f>IFERROR(__xludf.DUMMYFUNCTION("IF(ISBLANK(A186),"""", googlefinance(A186, ""high52""))"),"")</f>
        <v/>
      </c>
      <c r="J186" s="387" t="s">
        <v>134</v>
      </c>
      <c r="K186" s="388" t="str">
        <f>IFERROR(__xludf.DUMMYFUNCTION("IF(ISBLANK(A186),"""", googlefinance(A186, ""PE""))"),"")</f>
        <v/>
      </c>
      <c r="L186" s="385" t="str">
        <f>IFERROR(__xludf.DUMMYFUNCTION("IF(ISBLANK(A186),"""", googlefinance(A186, ""eps""))"),"")</f>
        <v/>
      </c>
      <c r="M186" s="389" t="str">
        <f>IFERROR(__xludf.DUMMYFUNCTION("IfError(IF(isblank(A186),"""",split(Q186, ""()"")))"),"")</f>
        <v/>
      </c>
      <c r="N186" s="384"/>
      <c r="O186" s="385" t="str">
        <f t="shared" si="5"/>
        <v/>
      </c>
      <c r="P186" s="385" t="str">
        <f t="shared" si="6"/>
        <v/>
      </c>
      <c r="Q186" s="389" t="str">
        <f>IFERROR(__xludf.DUMMYFUNCTION("IfError(IF(isblank(A186),"""", substitute(index(IMPORTHTML(""http://finviz.com/quote.ashx?t=""&amp;A186,""table"", 10),7,2),""*"","""")),0)"),"")</f>
        <v/>
      </c>
    </row>
    <row r="187" ht="15.0" customHeight="1">
      <c r="A187" s="391" t="str">
        <f>'My Lab'!P148</f>
        <v/>
      </c>
      <c r="B187" s="382" t="str">
        <f>IFERROR(__xludf.DUMMYFUNCTION("IF(ISBLANK(A187),"""", googlefinance(A187, ""name""))"),"")</f>
        <v/>
      </c>
      <c r="C187" s="383" t="str">
        <f>IFERROR(__xludf.DUMMYFUNCTION("IF(ISBLANK(A187),"""", googlefinance(A187, ""price""))"),"")</f>
        <v/>
      </c>
      <c r="D187" s="383" t="str">
        <f>IFERROR(__xludf.DUMMYFUNCTION("IFERROR(googlefinance(A187,""change""),"""")"),"")</f>
        <v/>
      </c>
      <c r="E187" s="384" t="str">
        <f>IFERROR(__xludf.DUMMYFUNCTION("iferror(GOOGLEFINANCE(A187,""changepct"")/100,"""")"),"")</f>
        <v/>
      </c>
      <c r="F187" s="385" t="str">
        <f>IF(ISBLANK(A187), "", IF(COUNTIF(Positions!$A$2:$A$31, A187) &gt; 0, "Yes","No")
)</f>
        <v/>
      </c>
      <c r="G187" s="385" t="str">
        <f>IFERROR(__xludf.DUMMYFUNCTION("IF(ISBLANK(A187),"""", googlefinance(A187, ""low52""))"),"")</f>
        <v/>
      </c>
      <c r="H187" s="386" t="str">
        <f>IFERROR(__xludf.DUMMYFUNCTION("IF(ISBLANK(A187),"""",IFERROR(SPARKLINE((C187-G187)/(I187-G187),{""charttype"",""bar"";""max"",1;""min"",0;""color1"",""2c79b5""}),""n/a""))"),"")</f>
        <v/>
      </c>
      <c r="I187" s="385" t="str">
        <f>IFERROR(__xludf.DUMMYFUNCTION("IF(ISBLANK(A187),"""", googlefinance(A187, ""high52""))"),"")</f>
        <v/>
      </c>
      <c r="J187" s="387" t="s">
        <v>134</v>
      </c>
      <c r="K187" s="388" t="str">
        <f>IFERROR(__xludf.DUMMYFUNCTION("IF(ISBLANK(A187),"""", googlefinance(A187, ""PE""))"),"")</f>
        <v/>
      </c>
      <c r="L187" s="385" t="str">
        <f>IFERROR(__xludf.DUMMYFUNCTION("IF(ISBLANK(A187),"""", googlefinance(A187, ""eps""))"),"")</f>
        <v/>
      </c>
      <c r="M187" s="389" t="str">
        <f>IFERROR(__xludf.DUMMYFUNCTION("IfError(IF(isblank(A187),"""",split(Q187, ""()"")))"),"")</f>
        <v/>
      </c>
      <c r="N187" s="384"/>
      <c r="O187" s="385" t="str">
        <f t="shared" si="5"/>
        <v/>
      </c>
      <c r="P187" s="385" t="str">
        <f t="shared" si="6"/>
        <v/>
      </c>
      <c r="Q187" s="389" t="str">
        <f>IFERROR(__xludf.DUMMYFUNCTION("IfError(IF(isblank(A187),"""", substitute(index(IMPORTHTML(""http://finviz.com/quote.ashx?t=""&amp;A187,""table"", 10),7,2),""*"","""")),0)"),"")</f>
        <v/>
      </c>
    </row>
    <row r="188" ht="15.0" customHeight="1">
      <c r="A188" s="391" t="str">
        <f>'My Lab'!P149</f>
        <v/>
      </c>
      <c r="B188" s="382" t="str">
        <f>IFERROR(__xludf.DUMMYFUNCTION("IF(ISBLANK(A188),"""", googlefinance(A188, ""name""))"),"")</f>
        <v/>
      </c>
      <c r="C188" s="383" t="str">
        <f>IFERROR(__xludf.DUMMYFUNCTION("IF(ISBLANK(A188),"""", googlefinance(A188, ""price""))"),"")</f>
        <v/>
      </c>
      <c r="D188" s="383" t="str">
        <f>IFERROR(__xludf.DUMMYFUNCTION("IFERROR(googlefinance(A188,""change""),"""")"),"")</f>
        <v/>
      </c>
      <c r="E188" s="384" t="str">
        <f>IFERROR(__xludf.DUMMYFUNCTION("iferror(GOOGLEFINANCE(A188,""changepct"")/100,"""")"),"")</f>
        <v/>
      </c>
      <c r="F188" s="385" t="str">
        <f>IF(ISBLANK(A188), "", IF(COUNTIF(Positions!$A$2:$A$31, A188) &gt; 0, "Yes","No")
)</f>
        <v/>
      </c>
      <c r="G188" s="385" t="str">
        <f>IFERROR(__xludf.DUMMYFUNCTION("IF(ISBLANK(A188),"""", googlefinance(A188, ""low52""))"),"")</f>
        <v/>
      </c>
      <c r="H188" s="386" t="str">
        <f>IFERROR(__xludf.DUMMYFUNCTION("IF(ISBLANK(A188),"""",IFERROR(SPARKLINE((C188-G188)/(I188-G188),{""charttype"",""bar"";""max"",1;""min"",0;""color1"",""2c79b5""}),""n/a""))"),"")</f>
        <v/>
      </c>
      <c r="I188" s="385" t="str">
        <f>IFERROR(__xludf.DUMMYFUNCTION("IF(ISBLANK(A188),"""", googlefinance(A188, ""high52""))"),"")</f>
        <v/>
      </c>
      <c r="J188" s="387" t="s">
        <v>134</v>
      </c>
      <c r="K188" s="388" t="str">
        <f>IFERROR(__xludf.DUMMYFUNCTION("IF(ISBLANK(A188),"""", googlefinance(A188, ""PE""))"),"")</f>
        <v/>
      </c>
      <c r="L188" s="385" t="str">
        <f>IFERROR(__xludf.DUMMYFUNCTION("IF(ISBLANK(A188),"""", googlefinance(A188, ""eps""))"),"")</f>
        <v/>
      </c>
      <c r="M188" s="389" t="str">
        <f>IFERROR(__xludf.DUMMYFUNCTION("IfError(IF(isblank(A188),"""",split(Q188, ""()"")))"),"")</f>
        <v/>
      </c>
      <c r="N188" s="384"/>
      <c r="O188" s="385" t="str">
        <f t="shared" si="5"/>
        <v/>
      </c>
      <c r="P188" s="385" t="str">
        <f t="shared" si="6"/>
        <v/>
      </c>
      <c r="Q188" s="389" t="str">
        <f>IFERROR(__xludf.DUMMYFUNCTION("IfError(IF(isblank(A188),"""", substitute(index(IMPORTHTML(""http://finviz.com/quote.ashx?t=""&amp;A188,""table"", 10),7,2),""*"","""")),0)"),"")</f>
        <v/>
      </c>
    </row>
    <row r="189" ht="15.0" customHeight="1">
      <c r="A189" s="391" t="str">
        <f>'My Lab'!P150</f>
        <v/>
      </c>
      <c r="B189" s="382" t="str">
        <f>IFERROR(__xludf.DUMMYFUNCTION("IF(ISBLANK(A189),"""", googlefinance(A189, ""name""))"),"")</f>
        <v/>
      </c>
      <c r="C189" s="383" t="str">
        <f>IFERROR(__xludf.DUMMYFUNCTION("IF(ISBLANK(A189),"""", googlefinance(A189, ""price""))"),"")</f>
        <v/>
      </c>
      <c r="D189" s="383" t="str">
        <f>IFERROR(__xludf.DUMMYFUNCTION("IFERROR(googlefinance(A189,""change""),"""")"),"")</f>
        <v/>
      </c>
      <c r="E189" s="384" t="str">
        <f>IFERROR(__xludf.DUMMYFUNCTION("iferror(GOOGLEFINANCE(A189,""changepct"")/100,"""")"),"")</f>
        <v/>
      </c>
      <c r="F189" s="385" t="str">
        <f>IF(ISBLANK(A189), "", IF(COUNTIF(Positions!$A$2:$A$31, A189) &gt; 0, "Yes","No")
)</f>
        <v/>
      </c>
      <c r="G189" s="385" t="str">
        <f>IFERROR(__xludf.DUMMYFUNCTION("IF(ISBLANK(A189),"""", googlefinance(A189, ""low52""))"),"")</f>
        <v/>
      </c>
      <c r="H189" s="386" t="str">
        <f>IFERROR(__xludf.DUMMYFUNCTION("IF(ISBLANK(A189),"""",IFERROR(SPARKLINE((C189-G189)/(I189-G189),{""charttype"",""bar"";""max"",1;""min"",0;""color1"",""2c79b5""}),""n/a""))"),"")</f>
        <v/>
      </c>
      <c r="I189" s="385" t="str">
        <f>IFERROR(__xludf.DUMMYFUNCTION("IF(ISBLANK(A189),"""", googlefinance(A189, ""high52""))"),"")</f>
        <v/>
      </c>
      <c r="J189" s="387" t="s">
        <v>134</v>
      </c>
      <c r="K189" s="388" t="str">
        <f>IFERROR(__xludf.DUMMYFUNCTION("IF(ISBLANK(A189),"""", googlefinance(A189, ""PE""))"),"")</f>
        <v/>
      </c>
      <c r="L189" s="385" t="str">
        <f>IFERROR(__xludf.DUMMYFUNCTION("IF(ISBLANK(A189),"""", googlefinance(A189, ""eps""))"),"")</f>
        <v/>
      </c>
      <c r="M189" s="389" t="str">
        <f>IFERROR(__xludf.DUMMYFUNCTION("IfError(IF(isblank(A189),"""",split(Q189, ""()"")))"),"")</f>
        <v/>
      </c>
      <c r="N189" s="384"/>
      <c r="O189" s="385" t="str">
        <f t="shared" si="5"/>
        <v/>
      </c>
      <c r="P189" s="385" t="str">
        <f t="shared" si="6"/>
        <v/>
      </c>
      <c r="Q189" s="389" t="str">
        <f>IFERROR(__xludf.DUMMYFUNCTION("IfError(IF(isblank(A189),"""", substitute(index(IMPORTHTML(""http://finviz.com/quote.ashx?t=""&amp;A189,""table"", 10),7,2),""*"","""")),0)"),"")</f>
        <v/>
      </c>
    </row>
    <row r="190" ht="15.0" customHeight="1">
      <c r="A190" s="391" t="str">
        <f>'My Lab'!P151</f>
        <v/>
      </c>
      <c r="B190" s="382" t="str">
        <f>IFERROR(__xludf.DUMMYFUNCTION("IF(ISBLANK(A190),"""", googlefinance(A190, ""name""))"),"")</f>
        <v/>
      </c>
      <c r="C190" s="383" t="str">
        <f>IFERROR(__xludf.DUMMYFUNCTION("IF(ISBLANK(A190),"""", googlefinance(A190, ""price""))"),"")</f>
        <v/>
      </c>
      <c r="D190" s="383" t="str">
        <f>IFERROR(__xludf.DUMMYFUNCTION("IFERROR(googlefinance(A190,""change""),"""")"),"")</f>
        <v/>
      </c>
      <c r="E190" s="384" t="str">
        <f>IFERROR(__xludf.DUMMYFUNCTION("iferror(GOOGLEFINANCE(A190,""changepct"")/100,"""")"),"")</f>
        <v/>
      </c>
      <c r="F190" s="385" t="str">
        <f>IF(ISBLANK(A190), "", IF(COUNTIF(Positions!$A$2:$A$31, A190) &gt; 0, "Yes","No")
)</f>
        <v/>
      </c>
      <c r="G190" s="385" t="str">
        <f>IFERROR(__xludf.DUMMYFUNCTION("IF(ISBLANK(A190),"""", googlefinance(A190, ""low52""))"),"")</f>
        <v/>
      </c>
      <c r="H190" s="386" t="str">
        <f>IFERROR(__xludf.DUMMYFUNCTION("IF(ISBLANK(A190),"""",IFERROR(SPARKLINE((C190-G190)/(I190-G190),{""charttype"",""bar"";""max"",1;""min"",0;""color1"",""2c79b5""}),""n/a""))"),"")</f>
        <v/>
      </c>
      <c r="I190" s="385" t="str">
        <f>IFERROR(__xludf.DUMMYFUNCTION("IF(ISBLANK(A190),"""", googlefinance(A190, ""high52""))"),"")</f>
        <v/>
      </c>
      <c r="J190" s="387" t="s">
        <v>134</v>
      </c>
      <c r="K190" s="388" t="str">
        <f>IFERROR(__xludf.DUMMYFUNCTION("IF(ISBLANK(A190),"""", googlefinance(A190, ""PE""))"),"")</f>
        <v/>
      </c>
      <c r="L190" s="385" t="str">
        <f>IFERROR(__xludf.DUMMYFUNCTION("IF(ISBLANK(A190),"""", googlefinance(A190, ""eps""))"),"")</f>
        <v/>
      </c>
      <c r="M190" s="389" t="str">
        <f>IFERROR(__xludf.DUMMYFUNCTION("IfError(IF(isblank(A190),"""",split(Q190, ""()"")))"),"")</f>
        <v/>
      </c>
      <c r="N190" s="384"/>
      <c r="O190" s="385" t="str">
        <f t="shared" si="5"/>
        <v/>
      </c>
      <c r="P190" s="385" t="str">
        <f t="shared" si="6"/>
        <v/>
      </c>
      <c r="Q190" s="389" t="str">
        <f>IFERROR(__xludf.DUMMYFUNCTION("IfError(IF(isblank(A190),"""", substitute(index(IMPORTHTML(""http://finviz.com/quote.ashx?t=""&amp;A190,""table"", 10),7,2),""*"","""")),0)"),"")</f>
        <v/>
      </c>
    </row>
    <row r="191" ht="15.0" customHeight="1">
      <c r="A191" s="391" t="str">
        <f>'My Lab'!P152</f>
        <v/>
      </c>
      <c r="B191" s="382" t="str">
        <f>IFERROR(__xludf.DUMMYFUNCTION("IF(ISBLANK(A191),"""", googlefinance(A191, ""name""))"),"")</f>
        <v/>
      </c>
      <c r="C191" s="383" t="str">
        <f>IFERROR(__xludf.DUMMYFUNCTION("IF(ISBLANK(A191),"""", googlefinance(A191, ""price""))"),"")</f>
        <v/>
      </c>
      <c r="D191" s="383" t="str">
        <f>IFERROR(__xludf.DUMMYFUNCTION("IFERROR(googlefinance(A191,""change""),"""")"),"")</f>
        <v/>
      </c>
      <c r="E191" s="384" t="str">
        <f>IFERROR(__xludf.DUMMYFUNCTION("iferror(GOOGLEFINANCE(A191,""changepct"")/100,"""")"),"")</f>
        <v/>
      </c>
      <c r="F191" s="385" t="str">
        <f>IF(ISBLANK(A191), "", IF(COUNTIF(Positions!$A$2:$A$31, A191) &gt; 0, "Yes","No")
)</f>
        <v/>
      </c>
      <c r="G191" s="385" t="str">
        <f>IFERROR(__xludf.DUMMYFUNCTION("IF(ISBLANK(A191),"""", googlefinance(A191, ""low52""))"),"")</f>
        <v/>
      </c>
      <c r="H191" s="386" t="str">
        <f>IFERROR(__xludf.DUMMYFUNCTION("IF(ISBLANK(A191),"""",IFERROR(SPARKLINE((C191-G191)/(I191-G191),{""charttype"",""bar"";""max"",1;""min"",0;""color1"",""2c79b5""}),""n/a""))"),"")</f>
        <v/>
      </c>
      <c r="I191" s="385" t="str">
        <f>IFERROR(__xludf.DUMMYFUNCTION("IF(ISBLANK(A191),"""", googlefinance(A191, ""high52""))"),"")</f>
        <v/>
      </c>
      <c r="J191" s="387" t="s">
        <v>134</v>
      </c>
      <c r="K191" s="388" t="str">
        <f>IFERROR(__xludf.DUMMYFUNCTION("IF(ISBLANK(A191),"""", googlefinance(A191, ""PE""))"),"")</f>
        <v/>
      </c>
      <c r="L191" s="385" t="str">
        <f>IFERROR(__xludf.DUMMYFUNCTION("IF(ISBLANK(A191),"""", googlefinance(A191, ""eps""))"),"")</f>
        <v/>
      </c>
      <c r="M191" s="389" t="str">
        <f>IFERROR(__xludf.DUMMYFUNCTION("IfError(IF(isblank(A191),"""",split(Q191, ""()"")))"),"")</f>
        <v/>
      </c>
      <c r="N191" s="384"/>
      <c r="O191" s="385" t="str">
        <f t="shared" si="5"/>
        <v/>
      </c>
      <c r="P191" s="385" t="str">
        <f t="shared" si="6"/>
        <v/>
      </c>
      <c r="Q191" s="389" t="str">
        <f>IFERROR(__xludf.DUMMYFUNCTION("IfError(IF(isblank(A191),"""", substitute(index(IMPORTHTML(""http://finviz.com/quote.ashx?t=""&amp;A191,""table"", 10),7,2),""*"","""")),0)"),"")</f>
        <v/>
      </c>
    </row>
    <row r="192" ht="15.0" customHeight="1">
      <c r="A192" s="391" t="str">
        <f>'My Lab'!P153</f>
        <v/>
      </c>
      <c r="B192" s="382" t="str">
        <f>IFERROR(__xludf.DUMMYFUNCTION("IF(ISBLANK(A192),"""", googlefinance(A192, ""name""))"),"")</f>
        <v/>
      </c>
      <c r="C192" s="383" t="str">
        <f>IFERROR(__xludf.DUMMYFUNCTION("IF(ISBLANK(A192),"""", googlefinance(A192, ""price""))"),"")</f>
        <v/>
      </c>
      <c r="D192" s="383" t="str">
        <f>IFERROR(__xludf.DUMMYFUNCTION("IFERROR(googlefinance(A192,""change""),"""")"),"")</f>
        <v/>
      </c>
      <c r="E192" s="384" t="str">
        <f>IFERROR(__xludf.DUMMYFUNCTION("iferror(GOOGLEFINANCE(A192,""changepct"")/100,"""")"),"")</f>
        <v/>
      </c>
      <c r="F192" s="385" t="str">
        <f>IF(ISBLANK(A192), "", IF(COUNTIF(Positions!$A$2:$A$31, A192) &gt; 0, "Yes","No")
)</f>
        <v/>
      </c>
      <c r="G192" s="385" t="str">
        <f>IFERROR(__xludf.DUMMYFUNCTION("IF(ISBLANK(A192),"""", googlefinance(A192, ""low52""))"),"")</f>
        <v/>
      </c>
      <c r="H192" s="386" t="str">
        <f>IFERROR(__xludf.DUMMYFUNCTION("IF(ISBLANK(A192),"""",IFERROR(SPARKLINE((C192-G192)/(I192-G192),{""charttype"",""bar"";""max"",1;""min"",0;""color1"",""2c79b5""}),""n/a""))"),"")</f>
        <v/>
      </c>
      <c r="I192" s="385" t="str">
        <f>IFERROR(__xludf.DUMMYFUNCTION("IF(ISBLANK(A192),"""", googlefinance(A192, ""high52""))"),"")</f>
        <v/>
      </c>
      <c r="J192" s="387" t="s">
        <v>134</v>
      </c>
      <c r="K192" s="388" t="str">
        <f>IFERROR(__xludf.DUMMYFUNCTION("IF(ISBLANK(A192),"""", googlefinance(A192, ""PE""))"),"")</f>
        <v/>
      </c>
      <c r="L192" s="385" t="str">
        <f>IFERROR(__xludf.DUMMYFUNCTION("IF(ISBLANK(A192),"""", googlefinance(A192, ""eps""))"),"")</f>
        <v/>
      </c>
      <c r="M192" s="389" t="str">
        <f>IFERROR(__xludf.DUMMYFUNCTION("IfError(IF(isblank(A192),"""",split(Q192, ""()"")))"),"")</f>
        <v/>
      </c>
      <c r="N192" s="384"/>
      <c r="O192" s="385" t="str">
        <f t="shared" si="5"/>
        <v/>
      </c>
      <c r="P192" s="385" t="str">
        <f t="shared" si="6"/>
        <v/>
      </c>
      <c r="Q192" s="389" t="str">
        <f>IFERROR(__xludf.DUMMYFUNCTION("IfError(IF(isblank(A192),"""", substitute(index(IMPORTHTML(""http://finviz.com/quote.ashx?t=""&amp;A192,""table"", 10),7,2),""*"","""")),0)"),"")</f>
        <v/>
      </c>
    </row>
    <row r="193" ht="15.0" customHeight="1">
      <c r="A193" s="391" t="str">
        <f>'My Lab'!P154</f>
        <v/>
      </c>
      <c r="B193" s="382" t="str">
        <f>IFERROR(__xludf.DUMMYFUNCTION("IF(ISBLANK(A193),"""", googlefinance(A193, ""name""))"),"")</f>
        <v/>
      </c>
      <c r="C193" s="383" t="str">
        <f>IFERROR(__xludf.DUMMYFUNCTION("IF(ISBLANK(A193),"""", googlefinance(A193, ""price""))"),"")</f>
        <v/>
      </c>
      <c r="D193" s="383" t="str">
        <f>IFERROR(__xludf.DUMMYFUNCTION("IFERROR(googlefinance(A193,""change""),"""")"),"")</f>
        <v/>
      </c>
      <c r="E193" s="384" t="str">
        <f>IFERROR(__xludf.DUMMYFUNCTION("iferror(GOOGLEFINANCE(A193,""changepct"")/100,"""")"),"")</f>
        <v/>
      </c>
      <c r="F193" s="385" t="str">
        <f>IF(ISBLANK(A193), "", IF(COUNTIF(Positions!$A$2:$A$31, A193) &gt; 0, "Yes","No")
)</f>
        <v/>
      </c>
      <c r="G193" s="385" t="str">
        <f>IFERROR(__xludf.DUMMYFUNCTION("IF(ISBLANK(A193),"""", googlefinance(A193, ""low52""))"),"")</f>
        <v/>
      </c>
      <c r="H193" s="386" t="str">
        <f>IFERROR(__xludf.DUMMYFUNCTION("IF(ISBLANK(A193),"""",IFERROR(SPARKLINE((C193-G193)/(I193-G193),{""charttype"",""bar"";""max"",1;""min"",0;""color1"",""2c79b5""}),""n/a""))"),"")</f>
        <v/>
      </c>
      <c r="I193" s="385" t="str">
        <f>IFERROR(__xludf.DUMMYFUNCTION("IF(ISBLANK(A193),"""", googlefinance(A193, ""high52""))"),"")</f>
        <v/>
      </c>
      <c r="J193" s="387" t="s">
        <v>134</v>
      </c>
      <c r="K193" s="388" t="str">
        <f>IFERROR(__xludf.DUMMYFUNCTION("IF(ISBLANK(A193),"""", googlefinance(A193, ""PE""))"),"")</f>
        <v/>
      </c>
      <c r="L193" s="385" t="str">
        <f>IFERROR(__xludf.DUMMYFUNCTION("IF(ISBLANK(A193),"""", googlefinance(A193, ""eps""))"),"")</f>
        <v/>
      </c>
      <c r="M193" s="389" t="str">
        <f>IFERROR(__xludf.DUMMYFUNCTION("IfError(IF(isblank(A193),"""",split(Q193, ""()"")))"),"")</f>
        <v/>
      </c>
      <c r="N193" s="384"/>
      <c r="O193" s="385" t="str">
        <f t="shared" si="5"/>
        <v/>
      </c>
      <c r="P193" s="385" t="str">
        <f t="shared" si="6"/>
        <v/>
      </c>
      <c r="Q193" s="389" t="str">
        <f>IFERROR(__xludf.DUMMYFUNCTION("IfError(IF(isblank(A193),"""", substitute(index(IMPORTHTML(""http://finviz.com/quote.ashx?t=""&amp;A193,""table"", 10),7,2),""*"","""")),0)"),"")</f>
        <v/>
      </c>
    </row>
    <row r="194" ht="15.0" customHeight="1">
      <c r="A194" s="391" t="str">
        <f>'My Lab'!P155</f>
        <v/>
      </c>
      <c r="B194" s="382" t="str">
        <f>IFERROR(__xludf.DUMMYFUNCTION("IF(ISBLANK(A194),"""", googlefinance(A194, ""name""))"),"")</f>
        <v/>
      </c>
      <c r="C194" s="383" t="str">
        <f>IFERROR(__xludf.DUMMYFUNCTION("IF(ISBLANK(A194),"""", googlefinance(A194, ""price""))"),"")</f>
        <v/>
      </c>
      <c r="D194" s="383" t="str">
        <f>IFERROR(__xludf.DUMMYFUNCTION("IFERROR(googlefinance(A194,""change""),"""")"),"")</f>
        <v/>
      </c>
      <c r="E194" s="384" t="str">
        <f>IFERROR(__xludf.DUMMYFUNCTION("iferror(GOOGLEFINANCE(A194,""changepct"")/100,"""")"),"")</f>
        <v/>
      </c>
      <c r="F194" s="385" t="str">
        <f>IF(ISBLANK(A194), "", IF(COUNTIF(Positions!$A$2:$A$31, A194) &gt; 0, "Yes","No")
)</f>
        <v/>
      </c>
      <c r="G194" s="385" t="str">
        <f>IFERROR(__xludf.DUMMYFUNCTION("IF(ISBLANK(A194),"""", googlefinance(A194, ""low52""))"),"")</f>
        <v/>
      </c>
      <c r="H194" s="386" t="str">
        <f>IFERROR(__xludf.DUMMYFUNCTION("IF(ISBLANK(A194),"""",IFERROR(SPARKLINE((C194-G194)/(I194-G194),{""charttype"",""bar"";""max"",1;""min"",0;""color1"",""2c79b5""}),""n/a""))"),"")</f>
        <v/>
      </c>
      <c r="I194" s="385" t="str">
        <f>IFERROR(__xludf.DUMMYFUNCTION("IF(ISBLANK(A194),"""", googlefinance(A194, ""high52""))"),"")</f>
        <v/>
      </c>
      <c r="J194" s="387" t="s">
        <v>134</v>
      </c>
      <c r="K194" s="388" t="str">
        <f>IFERROR(__xludf.DUMMYFUNCTION("IF(ISBLANK(A194),"""", googlefinance(A194, ""PE""))"),"")</f>
        <v/>
      </c>
      <c r="L194" s="385" t="str">
        <f>IFERROR(__xludf.DUMMYFUNCTION("IF(ISBLANK(A194),"""", googlefinance(A194, ""eps""))"),"")</f>
        <v/>
      </c>
      <c r="M194" s="389" t="str">
        <f>IFERROR(__xludf.DUMMYFUNCTION("IfError(IF(isblank(A194),"""",split(Q194, ""()"")))"),"")</f>
        <v/>
      </c>
      <c r="N194" s="384"/>
      <c r="O194" s="385" t="str">
        <f t="shared" si="5"/>
        <v/>
      </c>
      <c r="P194" s="385" t="str">
        <f t="shared" si="6"/>
        <v/>
      </c>
      <c r="Q194" s="389" t="str">
        <f>IFERROR(__xludf.DUMMYFUNCTION("IfError(IF(isblank(A194),"""", substitute(index(IMPORTHTML(""http://finviz.com/quote.ashx?t=""&amp;A194,""table"", 10),7,2),""*"","""")),0)"),"")</f>
        <v/>
      </c>
    </row>
    <row r="195" ht="15.0" customHeight="1">
      <c r="A195" s="391" t="str">
        <f>'My Lab'!P156</f>
        <v/>
      </c>
      <c r="B195" s="382" t="str">
        <f>IFERROR(__xludf.DUMMYFUNCTION("IF(ISBLANK(A195),"""", googlefinance(A195, ""name""))"),"")</f>
        <v/>
      </c>
      <c r="C195" s="383" t="str">
        <f>IFERROR(__xludf.DUMMYFUNCTION("IF(ISBLANK(A195),"""", googlefinance(A195, ""price""))"),"")</f>
        <v/>
      </c>
      <c r="D195" s="383" t="str">
        <f>IFERROR(__xludf.DUMMYFUNCTION("IFERROR(googlefinance(A195,""change""),"""")"),"")</f>
        <v/>
      </c>
      <c r="E195" s="384" t="str">
        <f>IFERROR(__xludf.DUMMYFUNCTION("iferror(GOOGLEFINANCE(A195,""changepct"")/100,"""")"),"")</f>
        <v/>
      </c>
      <c r="F195" s="385" t="str">
        <f>IF(ISBLANK(A195), "", IF(COUNTIF(Positions!$A$2:$A$31, A195) &gt; 0, "Yes","No")
)</f>
        <v/>
      </c>
      <c r="G195" s="385" t="str">
        <f>IFERROR(__xludf.DUMMYFUNCTION("IF(ISBLANK(A195),"""", googlefinance(A195, ""low52""))"),"")</f>
        <v/>
      </c>
      <c r="H195" s="386" t="str">
        <f>IFERROR(__xludf.DUMMYFUNCTION("IF(ISBLANK(A195),"""",IFERROR(SPARKLINE((C195-G195)/(I195-G195),{""charttype"",""bar"";""max"",1;""min"",0;""color1"",""2c79b5""}),""n/a""))"),"")</f>
        <v/>
      </c>
      <c r="I195" s="385" t="str">
        <f>IFERROR(__xludf.DUMMYFUNCTION("IF(ISBLANK(A195),"""", googlefinance(A195, ""high52""))"),"")</f>
        <v/>
      </c>
      <c r="J195" s="387" t="s">
        <v>134</v>
      </c>
      <c r="K195" s="388" t="str">
        <f>IFERROR(__xludf.DUMMYFUNCTION("IF(ISBLANK(A195),"""", googlefinance(A195, ""PE""))"),"")</f>
        <v/>
      </c>
      <c r="L195" s="385" t="str">
        <f>IFERROR(__xludf.DUMMYFUNCTION("IF(ISBLANK(A195),"""", googlefinance(A195, ""eps""))"),"")</f>
        <v/>
      </c>
      <c r="M195" s="389" t="str">
        <f>IFERROR(__xludf.DUMMYFUNCTION("IfError(IF(isblank(A195),"""",split(Q195, ""()"")))"),"")</f>
        <v/>
      </c>
      <c r="N195" s="384"/>
      <c r="O195" s="385" t="str">
        <f t="shared" si="5"/>
        <v/>
      </c>
      <c r="P195" s="385" t="str">
        <f t="shared" si="6"/>
        <v/>
      </c>
      <c r="Q195" s="389" t="str">
        <f>IFERROR(__xludf.DUMMYFUNCTION("IfError(IF(isblank(A195),"""", substitute(index(IMPORTHTML(""http://finviz.com/quote.ashx?t=""&amp;A195,""table"", 10),7,2),""*"","""")),0)"),"")</f>
        <v/>
      </c>
    </row>
    <row r="196" ht="15.0" customHeight="1">
      <c r="A196" s="391" t="str">
        <f>'My Lab'!P157</f>
        <v/>
      </c>
      <c r="B196" s="382" t="str">
        <f>IFERROR(__xludf.DUMMYFUNCTION("IF(ISBLANK(A196),"""", googlefinance(A196, ""name""))"),"")</f>
        <v/>
      </c>
      <c r="C196" s="383" t="str">
        <f>IFERROR(__xludf.DUMMYFUNCTION("IF(ISBLANK(A196),"""", googlefinance(A196, ""price""))"),"")</f>
        <v/>
      </c>
      <c r="D196" s="383" t="str">
        <f>IFERROR(__xludf.DUMMYFUNCTION("IFERROR(googlefinance(A196,""change""),"""")"),"")</f>
        <v/>
      </c>
      <c r="E196" s="384" t="str">
        <f>IFERROR(__xludf.DUMMYFUNCTION("iferror(GOOGLEFINANCE(A196,""changepct"")/100,"""")"),"")</f>
        <v/>
      </c>
      <c r="F196" s="385" t="str">
        <f>IF(ISBLANK(A196), "", IF(COUNTIF(Positions!$A$2:$A$31, A196) &gt; 0, "Yes","No")
)</f>
        <v/>
      </c>
      <c r="G196" s="385" t="str">
        <f>IFERROR(__xludf.DUMMYFUNCTION("IF(ISBLANK(A196),"""", googlefinance(A196, ""low52""))"),"")</f>
        <v/>
      </c>
      <c r="H196" s="386" t="str">
        <f>IFERROR(__xludf.DUMMYFUNCTION("IF(ISBLANK(A196),"""",IFERROR(SPARKLINE((C196-G196)/(I196-G196),{""charttype"",""bar"";""max"",1;""min"",0;""color1"",""2c79b5""}),""n/a""))"),"")</f>
        <v/>
      </c>
      <c r="I196" s="385" t="str">
        <f>IFERROR(__xludf.DUMMYFUNCTION("IF(ISBLANK(A196),"""", googlefinance(A196, ""high52""))"),"")</f>
        <v/>
      </c>
      <c r="J196" s="387" t="s">
        <v>134</v>
      </c>
      <c r="K196" s="388" t="str">
        <f>IFERROR(__xludf.DUMMYFUNCTION("IF(ISBLANK(A196),"""", googlefinance(A196, ""PE""))"),"")</f>
        <v/>
      </c>
      <c r="L196" s="385" t="str">
        <f>IFERROR(__xludf.DUMMYFUNCTION("IF(ISBLANK(A196),"""", googlefinance(A196, ""eps""))"),"")</f>
        <v/>
      </c>
      <c r="M196" s="389" t="str">
        <f>IFERROR(__xludf.DUMMYFUNCTION("IfError(IF(isblank(A196),"""",split(Q196, ""()"")))"),"")</f>
        <v/>
      </c>
      <c r="N196" s="384"/>
      <c r="O196" s="385" t="str">
        <f t="shared" si="5"/>
        <v/>
      </c>
      <c r="P196" s="385" t="str">
        <f t="shared" si="6"/>
        <v/>
      </c>
      <c r="Q196" s="389" t="str">
        <f>IFERROR(__xludf.DUMMYFUNCTION("IfError(IF(isblank(A196),"""", substitute(index(IMPORTHTML(""http://finviz.com/quote.ashx?t=""&amp;A196,""table"", 10),7,2),""*"","""")),0)"),"")</f>
        <v/>
      </c>
    </row>
    <row r="197" ht="15.0" customHeight="1">
      <c r="A197" s="391" t="str">
        <f>'My Lab'!P158</f>
        <v/>
      </c>
      <c r="B197" s="382" t="str">
        <f>IFERROR(__xludf.DUMMYFUNCTION("IF(ISBLANK(A197),"""", googlefinance(A197, ""name""))"),"")</f>
        <v/>
      </c>
      <c r="C197" s="383" t="str">
        <f>IFERROR(__xludf.DUMMYFUNCTION("IF(ISBLANK(A197),"""", googlefinance(A197, ""price""))"),"")</f>
        <v/>
      </c>
      <c r="D197" s="383" t="str">
        <f>IFERROR(__xludf.DUMMYFUNCTION("IFERROR(googlefinance(A197,""change""),"""")"),"")</f>
        <v/>
      </c>
      <c r="E197" s="384" t="str">
        <f>IFERROR(__xludf.DUMMYFUNCTION("iferror(GOOGLEFINANCE(A197,""changepct"")/100,"""")"),"")</f>
        <v/>
      </c>
      <c r="F197" s="385" t="str">
        <f>IF(ISBLANK(A197), "", IF(COUNTIF(Positions!$A$2:$A$31, A197) &gt; 0, "Yes","No")
)</f>
        <v/>
      </c>
      <c r="G197" s="385" t="str">
        <f>IFERROR(__xludf.DUMMYFUNCTION("IF(ISBLANK(A197),"""", googlefinance(A197, ""low52""))"),"")</f>
        <v/>
      </c>
      <c r="H197" s="386" t="str">
        <f>IFERROR(__xludf.DUMMYFUNCTION("IF(ISBLANK(A197),"""",IFERROR(SPARKLINE((C197-G197)/(I197-G197),{""charttype"",""bar"";""max"",1;""min"",0;""color1"",""2c79b5""}),""n/a""))"),"")</f>
        <v/>
      </c>
      <c r="I197" s="385" t="str">
        <f>IFERROR(__xludf.DUMMYFUNCTION("IF(ISBLANK(A197),"""", googlefinance(A197, ""high52""))"),"")</f>
        <v/>
      </c>
      <c r="J197" s="387" t="s">
        <v>134</v>
      </c>
      <c r="K197" s="388" t="str">
        <f>IFERROR(__xludf.DUMMYFUNCTION("IF(ISBLANK(A197),"""", googlefinance(A197, ""PE""))"),"")</f>
        <v/>
      </c>
      <c r="L197" s="385" t="str">
        <f>IFERROR(__xludf.DUMMYFUNCTION("IF(ISBLANK(A197),"""", googlefinance(A197, ""eps""))"),"")</f>
        <v/>
      </c>
      <c r="M197" s="389" t="str">
        <f>IFERROR(__xludf.DUMMYFUNCTION("IfError(IF(isblank(A197),"""",split(Q197, ""()"")))"),"")</f>
        <v/>
      </c>
      <c r="N197" s="384"/>
      <c r="O197" s="385" t="str">
        <f t="shared" si="5"/>
        <v/>
      </c>
      <c r="P197" s="385" t="str">
        <f t="shared" si="6"/>
        <v/>
      </c>
      <c r="Q197" s="389" t="str">
        <f>IFERROR(__xludf.DUMMYFUNCTION("IfError(IF(isblank(A197),"""", substitute(index(IMPORTHTML(""http://finviz.com/quote.ashx?t=""&amp;A197,""table"", 10),7,2),""*"","""")),0)"),"")</f>
        <v/>
      </c>
    </row>
    <row r="198" ht="15.0" customHeight="1">
      <c r="A198" s="391" t="str">
        <f>'My Lab'!P159</f>
        <v/>
      </c>
      <c r="B198" s="382" t="str">
        <f>IFERROR(__xludf.DUMMYFUNCTION("IF(ISBLANK(A198),"""", googlefinance(A198, ""name""))"),"")</f>
        <v/>
      </c>
      <c r="C198" s="383" t="str">
        <f>IFERROR(__xludf.DUMMYFUNCTION("IF(ISBLANK(A198),"""", googlefinance(A198, ""price""))"),"")</f>
        <v/>
      </c>
      <c r="D198" s="383" t="str">
        <f>IFERROR(__xludf.DUMMYFUNCTION("IFERROR(googlefinance(A198,""change""),"""")"),"")</f>
        <v/>
      </c>
      <c r="E198" s="384" t="str">
        <f>IFERROR(__xludf.DUMMYFUNCTION("iferror(GOOGLEFINANCE(A198,""changepct"")/100,"""")"),"")</f>
        <v/>
      </c>
      <c r="F198" s="385" t="str">
        <f>IF(ISBLANK(A198), "", IF(COUNTIF(Positions!$A$2:$A$31, A198) &gt; 0, "Yes","No")
)</f>
        <v/>
      </c>
      <c r="G198" s="385" t="str">
        <f>IFERROR(__xludf.DUMMYFUNCTION("IF(ISBLANK(A198),"""", googlefinance(A198, ""low52""))"),"")</f>
        <v/>
      </c>
      <c r="H198" s="386" t="str">
        <f>IFERROR(__xludf.DUMMYFUNCTION("IF(ISBLANK(A198),"""",IFERROR(SPARKLINE((C198-G198)/(I198-G198),{""charttype"",""bar"";""max"",1;""min"",0;""color1"",""2c79b5""}),""n/a""))"),"")</f>
        <v/>
      </c>
      <c r="I198" s="385" t="str">
        <f>IFERROR(__xludf.DUMMYFUNCTION("IF(ISBLANK(A198),"""", googlefinance(A198, ""high52""))"),"")</f>
        <v/>
      </c>
      <c r="J198" s="387" t="s">
        <v>134</v>
      </c>
      <c r="K198" s="388" t="str">
        <f>IFERROR(__xludf.DUMMYFUNCTION("IF(ISBLANK(A198),"""", googlefinance(A198, ""PE""))"),"")</f>
        <v/>
      </c>
      <c r="L198" s="385" t="str">
        <f>IFERROR(__xludf.DUMMYFUNCTION("IF(ISBLANK(A198),"""", googlefinance(A198, ""eps""))"),"")</f>
        <v/>
      </c>
      <c r="M198" s="389" t="str">
        <f>IFERROR(__xludf.DUMMYFUNCTION("IfError(IF(isblank(A198),"""",split(Q198, ""()"")))"),"")</f>
        <v/>
      </c>
      <c r="N198" s="384"/>
      <c r="O198" s="385" t="str">
        <f t="shared" si="5"/>
        <v/>
      </c>
      <c r="P198" s="385" t="str">
        <f t="shared" si="6"/>
        <v/>
      </c>
      <c r="Q198" s="389" t="str">
        <f>IFERROR(__xludf.DUMMYFUNCTION("IfError(IF(isblank(A198),"""", substitute(index(IMPORTHTML(""http://finviz.com/quote.ashx?t=""&amp;A198,""table"", 10),7,2),""*"","""")),0)"),"")</f>
        <v/>
      </c>
    </row>
    <row r="199" ht="15.0" customHeight="1">
      <c r="A199" s="391" t="str">
        <f>'My Lab'!P160</f>
        <v/>
      </c>
      <c r="B199" s="382" t="str">
        <f>IFERROR(__xludf.DUMMYFUNCTION("IF(ISBLANK(A199),"""", googlefinance(A199, ""name""))"),"")</f>
        <v/>
      </c>
      <c r="C199" s="383" t="str">
        <f>IFERROR(__xludf.DUMMYFUNCTION("IF(ISBLANK(A199),"""", googlefinance(A199, ""price""))"),"")</f>
        <v/>
      </c>
      <c r="D199" s="383" t="str">
        <f>IFERROR(__xludf.DUMMYFUNCTION("IFERROR(googlefinance(A199,""change""),"""")"),"")</f>
        <v/>
      </c>
      <c r="E199" s="384" t="str">
        <f>IFERROR(__xludf.DUMMYFUNCTION("iferror(GOOGLEFINANCE(A199,""changepct"")/100,"""")"),"")</f>
        <v/>
      </c>
      <c r="F199" s="385" t="str">
        <f>IF(ISBLANK(A199), "", IF(COUNTIF(Positions!$A$2:$A$31, A199) &gt; 0, "Yes","No")
)</f>
        <v/>
      </c>
      <c r="G199" s="385" t="str">
        <f>IFERROR(__xludf.DUMMYFUNCTION("IF(ISBLANK(A199),"""", googlefinance(A199, ""low52""))"),"")</f>
        <v/>
      </c>
      <c r="H199" s="386" t="str">
        <f>IFERROR(__xludf.DUMMYFUNCTION("IF(ISBLANK(A199),"""",IFERROR(SPARKLINE((C199-G199)/(I199-G199),{""charttype"",""bar"";""max"",1;""min"",0;""color1"",""2c79b5""}),""n/a""))"),"")</f>
        <v/>
      </c>
      <c r="I199" s="385" t="str">
        <f>IFERROR(__xludf.DUMMYFUNCTION("IF(ISBLANK(A199),"""", googlefinance(A199, ""high52""))"),"")</f>
        <v/>
      </c>
      <c r="J199" s="387" t="s">
        <v>134</v>
      </c>
      <c r="K199" s="388" t="str">
        <f>IFERROR(__xludf.DUMMYFUNCTION("IF(ISBLANK(A199),"""", googlefinance(A199, ""PE""))"),"")</f>
        <v/>
      </c>
      <c r="L199" s="385" t="str">
        <f>IFERROR(__xludf.DUMMYFUNCTION("IF(ISBLANK(A199),"""", googlefinance(A199, ""eps""))"),"")</f>
        <v/>
      </c>
      <c r="M199" s="389" t="str">
        <f>IFERROR(__xludf.DUMMYFUNCTION("IfError(IF(isblank(A199),"""",split(Q199, ""()"")))"),"")</f>
        <v/>
      </c>
      <c r="N199" s="384"/>
      <c r="O199" s="385" t="str">
        <f t="shared" si="5"/>
        <v/>
      </c>
      <c r="P199" s="385" t="str">
        <f t="shared" si="6"/>
        <v/>
      </c>
      <c r="Q199" s="389" t="str">
        <f>IFERROR(__xludf.DUMMYFUNCTION("IfError(IF(isblank(A199),"""", substitute(index(IMPORTHTML(""http://finviz.com/quote.ashx?t=""&amp;A199,""table"", 10),7,2),""*"","""")),0)"),"")</f>
        <v/>
      </c>
    </row>
    <row r="200" ht="15.0" customHeight="1">
      <c r="A200" s="391" t="str">
        <f>'My Lab'!P161</f>
        <v/>
      </c>
      <c r="B200" s="382" t="str">
        <f>IFERROR(__xludf.DUMMYFUNCTION("IF(ISBLANK(A200),"""", googlefinance(A200, ""name""))"),"")</f>
        <v/>
      </c>
      <c r="C200" s="383" t="str">
        <f>IFERROR(__xludf.DUMMYFUNCTION("IF(ISBLANK(A200),"""", googlefinance(A200, ""price""))"),"")</f>
        <v/>
      </c>
      <c r="D200" s="383" t="str">
        <f>IFERROR(__xludf.DUMMYFUNCTION("IFERROR(googlefinance(A200,""change""),"""")"),"")</f>
        <v/>
      </c>
      <c r="E200" s="384" t="str">
        <f>IFERROR(__xludf.DUMMYFUNCTION("iferror(GOOGLEFINANCE(A200,""changepct"")/100,"""")"),"")</f>
        <v/>
      </c>
      <c r="F200" s="385" t="str">
        <f>IF(ISBLANK(A200), "", IF(COUNTIF(Positions!$A$2:$A$31, A200) &gt; 0, "Yes","No")
)</f>
        <v/>
      </c>
      <c r="G200" s="385" t="str">
        <f>IFERROR(__xludf.DUMMYFUNCTION("IF(ISBLANK(A200),"""", googlefinance(A200, ""low52""))"),"")</f>
        <v/>
      </c>
      <c r="H200" s="386" t="str">
        <f>IFERROR(__xludf.DUMMYFUNCTION("IF(ISBLANK(A200),"""",IFERROR(SPARKLINE((C200-G200)/(I200-G200),{""charttype"",""bar"";""max"",1;""min"",0;""color1"",""2c79b5""}),""n/a""))"),"")</f>
        <v/>
      </c>
      <c r="I200" s="385" t="str">
        <f>IFERROR(__xludf.DUMMYFUNCTION("IF(ISBLANK(A200),"""", googlefinance(A200, ""high52""))"),"")</f>
        <v/>
      </c>
      <c r="J200" s="387" t="s">
        <v>134</v>
      </c>
      <c r="K200" s="388" t="str">
        <f>IFERROR(__xludf.DUMMYFUNCTION("IF(ISBLANK(A200),"""", googlefinance(A200, ""PE""))"),"")</f>
        <v/>
      </c>
      <c r="L200" s="385" t="str">
        <f>IFERROR(__xludf.DUMMYFUNCTION("IF(ISBLANK(A200),"""", googlefinance(A200, ""eps""))"),"")</f>
        <v/>
      </c>
      <c r="M200" s="389" t="str">
        <f>IFERROR(__xludf.DUMMYFUNCTION("IfError(IF(isblank(A200),"""",split(Q200, ""()"")))"),"")</f>
        <v/>
      </c>
      <c r="N200" s="384"/>
      <c r="O200" s="385" t="str">
        <f t="shared" si="5"/>
        <v/>
      </c>
      <c r="P200" s="385" t="str">
        <f t="shared" si="6"/>
        <v/>
      </c>
      <c r="Q200" s="389" t="str">
        <f>IFERROR(__xludf.DUMMYFUNCTION("IfError(IF(isblank(A200),"""", substitute(index(IMPORTHTML(""http://finviz.com/quote.ashx?t=""&amp;A200,""table"", 10),7,2),""*"","""")),0)"),"")</f>
        <v/>
      </c>
    </row>
    <row r="201" ht="15.0" customHeight="1">
      <c r="A201" s="391" t="str">
        <f>'My Lab'!P162</f>
        <v/>
      </c>
      <c r="B201" s="382" t="str">
        <f>IFERROR(__xludf.DUMMYFUNCTION("IF(ISBLANK(A201),"""", googlefinance(A201, ""name""))"),"")</f>
        <v/>
      </c>
      <c r="C201" s="383" t="str">
        <f>IFERROR(__xludf.DUMMYFUNCTION("IF(ISBLANK(A201),"""", googlefinance(A201, ""price""))"),"")</f>
        <v/>
      </c>
      <c r="D201" s="383" t="str">
        <f>IFERROR(__xludf.DUMMYFUNCTION("IFERROR(googlefinance(A201,""change""),"""")"),"")</f>
        <v/>
      </c>
      <c r="E201" s="384" t="str">
        <f>IFERROR(__xludf.DUMMYFUNCTION("iferror(GOOGLEFINANCE(A201,""changepct"")/100,"""")"),"")</f>
        <v/>
      </c>
      <c r="F201" s="385" t="str">
        <f>IF(ISBLANK(A201), "", IF(COUNTIF(Positions!$A$2:$A$31, A201) &gt; 0, "Yes","No")
)</f>
        <v/>
      </c>
      <c r="G201" s="385" t="str">
        <f>IFERROR(__xludf.DUMMYFUNCTION("IF(ISBLANK(A201),"""", googlefinance(A201, ""low52""))"),"")</f>
        <v/>
      </c>
      <c r="H201" s="386" t="str">
        <f>IFERROR(__xludf.DUMMYFUNCTION("IF(ISBLANK(A201),"""",IFERROR(SPARKLINE((C201-G201)/(I201-G201),{""charttype"",""bar"";""max"",1;""min"",0;""color1"",""2c79b5""}),""n/a""))"),"")</f>
        <v/>
      </c>
      <c r="I201" s="385" t="str">
        <f>IFERROR(__xludf.DUMMYFUNCTION("IF(ISBLANK(A201),"""", googlefinance(A201, ""high52""))"),"")</f>
        <v/>
      </c>
      <c r="J201" s="387" t="s">
        <v>134</v>
      </c>
      <c r="K201" s="388" t="str">
        <f>IFERROR(__xludf.DUMMYFUNCTION("IF(ISBLANK(A201),"""", googlefinance(A201, ""PE""))"),"")</f>
        <v/>
      </c>
      <c r="L201" s="385" t="str">
        <f>IFERROR(__xludf.DUMMYFUNCTION("IF(ISBLANK(A201),"""", googlefinance(A201, ""eps""))"),"")</f>
        <v/>
      </c>
      <c r="M201" s="389" t="str">
        <f>IFERROR(__xludf.DUMMYFUNCTION("IfError(IF(isblank(A201),"""",split(Q201, ""()"")))"),"")</f>
        <v/>
      </c>
      <c r="N201" s="384"/>
      <c r="O201" s="385" t="str">
        <f t="shared" si="5"/>
        <v/>
      </c>
      <c r="P201" s="385" t="str">
        <f t="shared" si="6"/>
        <v/>
      </c>
      <c r="Q201" s="389" t="str">
        <f>IFERROR(__xludf.DUMMYFUNCTION("IfError(IF(isblank(A201),"""", substitute(index(IMPORTHTML(""http://finviz.com/quote.ashx?t=""&amp;A201,""table"", 10),7,2),""*"","""")),0)"),"")</f>
        <v/>
      </c>
    </row>
    <row r="202" ht="15.0" customHeight="1">
      <c r="A202" s="391" t="str">
        <f>'My Lab'!P163</f>
        <v/>
      </c>
      <c r="B202" s="382" t="str">
        <f>IFERROR(__xludf.DUMMYFUNCTION("IF(ISBLANK(A202),"""", googlefinance(A202, ""name""))"),"")</f>
        <v/>
      </c>
      <c r="C202" s="383" t="str">
        <f>IFERROR(__xludf.DUMMYFUNCTION("IF(ISBLANK(A202),"""", googlefinance(A202, ""price""))"),"")</f>
        <v/>
      </c>
      <c r="D202" s="383" t="str">
        <f>IFERROR(__xludf.DUMMYFUNCTION("IFERROR(googlefinance(A202,""change""),"""")"),"")</f>
        <v/>
      </c>
      <c r="E202" s="384" t="str">
        <f>IFERROR(__xludf.DUMMYFUNCTION("iferror(GOOGLEFINANCE(A202,""changepct"")/100,"""")"),"")</f>
        <v/>
      </c>
      <c r="F202" s="385" t="str">
        <f>IF(ISBLANK(A202), "", IF(COUNTIF(Positions!$A$2:$A$31, A202) &gt; 0, "Yes","No")
)</f>
        <v/>
      </c>
      <c r="G202" s="385" t="str">
        <f>IFERROR(__xludf.DUMMYFUNCTION("IF(ISBLANK(A202),"""", googlefinance(A202, ""low52""))"),"")</f>
        <v/>
      </c>
      <c r="H202" s="386" t="str">
        <f>IFERROR(__xludf.DUMMYFUNCTION("IF(ISBLANK(A202),"""",IFERROR(SPARKLINE((C202-G202)/(I202-G202),{""charttype"",""bar"";""max"",1;""min"",0;""color1"",""2c79b5""}),""n/a""))"),"")</f>
        <v/>
      </c>
      <c r="I202" s="385" t="str">
        <f>IFERROR(__xludf.DUMMYFUNCTION("IF(ISBLANK(A202),"""", googlefinance(A202, ""high52""))"),"")</f>
        <v/>
      </c>
      <c r="J202" s="387" t="s">
        <v>134</v>
      </c>
      <c r="K202" s="388" t="str">
        <f>IFERROR(__xludf.DUMMYFUNCTION("IF(ISBLANK(A202),"""", googlefinance(A202, ""PE""))"),"")</f>
        <v/>
      </c>
      <c r="L202" s="385" t="str">
        <f>IFERROR(__xludf.DUMMYFUNCTION("IF(ISBLANK(A202),"""", googlefinance(A202, ""eps""))"),"")</f>
        <v/>
      </c>
      <c r="M202" s="389" t="str">
        <f>IFERROR(__xludf.DUMMYFUNCTION("IfError(IF(isblank(A202),"""",split(Q202, ""()"")))"),"")</f>
        <v/>
      </c>
      <c r="N202" s="384"/>
      <c r="O202" s="385" t="str">
        <f t="shared" si="5"/>
        <v/>
      </c>
      <c r="P202" s="385" t="str">
        <f t="shared" si="6"/>
        <v/>
      </c>
      <c r="Q202" s="389" t="str">
        <f>IFERROR(__xludf.DUMMYFUNCTION("IfError(IF(isblank(A202),"""", substitute(index(IMPORTHTML(""http://finviz.com/quote.ashx?t=""&amp;A202,""table"", 10),7,2),""*"","""")),0)"),"")</f>
        <v/>
      </c>
    </row>
    <row r="203" ht="15.0" customHeight="1">
      <c r="A203" s="391" t="str">
        <f>'My Lab'!P164</f>
        <v/>
      </c>
      <c r="B203" s="382" t="str">
        <f>IFERROR(__xludf.DUMMYFUNCTION("IF(ISBLANK(A203),"""", googlefinance(A203, ""name""))"),"")</f>
        <v/>
      </c>
      <c r="C203" s="383" t="str">
        <f>IFERROR(__xludf.DUMMYFUNCTION("IF(ISBLANK(A203),"""", googlefinance(A203, ""price""))"),"")</f>
        <v/>
      </c>
      <c r="D203" s="383" t="str">
        <f>IFERROR(__xludf.DUMMYFUNCTION("IFERROR(googlefinance(A203,""change""),"""")"),"")</f>
        <v/>
      </c>
      <c r="E203" s="384" t="str">
        <f>IFERROR(__xludf.DUMMYFUNCTION("iferror(GOOGLEFINANCE(A203,""changepct"")/100,"""")"),"")</f>
        <v/>
      </c>
      <c r="F203" s="385" t="str">
        <f>IF(ISBLANK(A203), "", IF(COUNTIF(Positions!$A$2:$A$31, A203) &gt; 0, "Yes","No")
)</f>
        <v/>
      </c>
      <c r="G203" s="385" t="str">
        <f>IFERROR(__xludf.DUMMYFUNCTION("IF(ISBLANK(A203),"""", googlefinance(A203, ""low52""))"),"")</f>
        <v/>
      </c>
      <c r="H203" s="386" t="str">
        <f>IFERROR(__xludf.DUMMYFUNCTION("IF(ISBLANK(A203),"""",IFERROR(SPARKLINE((C203-G203)/(I203-G203),{""charttype"",""bar"";""max"",1;""min"",0;""color1"",""2c79b5""}),""n/a""))"),"")</f>
        <v/>
      </c>
      <c r="I203" s="385" t="str">
        <f>IFERROR(__xludf.DUMMYFUNCTION("IF(ISBLANK(A203),"""", googlefinance(A203, ""high52""))"),"")</f>
        <v/>
      </c>
      <c r="J203" s="387" t="s">
        <v>134</v>
      </c>
      <c r="K203" s="388" t="str">
        <f>IFERROR(__xludf.DUMMYFUNCTION("IF(ISBLANK(A203),"""", googlefinance(A203, ""PE""))"),"")</f>
        <v/>
      </c>
      <c r="L203" s="385" t="str">
        <f>IFERROR(__xludf.DUMMYFUNCTION("IF(ISBLANK(A203),"""", googlefinance(A203, ""eps""))"),"")</f>
        <v/>
      </c>
      <c r="M203" s="389" t="str">
        <f>IFERROR(__xludf.DUMMYFUNCTION("IfError(IF(isblank(A203),"""",split(Q203, ""()"")))"),"")</f>
        <v/>
      </c>
      <c r="N203" s="384"/>
      <c r="O203" s="385" t="str">
        <f t="shared" si="5"/>
        <v/>
      </c>
      <c r="P203" s="385" t="str">
        <f t="shared" si="6"/>
        <v/>
      </c>
      <c r="Q203" s="389" t="str">
        <f>IFERROR(__xludf.DUMMYFUNCTION("IfError(IF(isblank(A203),"""", substitute(index(IMPORTHTML(""http://finviz.com/quote.ashx?t=""&amp;A203,""table"", 10),7,2),""*"","""")),0)"),"")</f>
        <v/>
      </c>
    </row>
    <row r="204" ht="15.0" customHeight="1">
      <c r="A204" s="391" t="str">
        <f>'My Lab'!P165</f>
        <v/>
      </c>
      <c r="B204" s="382" t="str">
        <f>IFERROR(__xludf.DUMMYFUNCTION("IF(ISBLANK(A204),"""", googlefinance(A204, ""name""))"),"")</f>
        <v/>
      </c>
      <c r="C204" s="383" t="str">
        <f>IFERROR(__xludf.DUMMYFUNCTION("IF(ISBLANK(A204),"""", googlefinance(A204, ""price""))"),"")</f>
        <v/>
      </c>
      <c r="D204" s="383" t="str">
        <f>IFERROR(__xludf.DUMMYFUNCTION("IFERROR(googlefinance(A204,""change""),"""")"),"")</f>
        <v/>
      </c>
      <c r="E204" s="384" t="str">
        <f>IFERROR(__xludf.DUMMYFUNCTION("iferror(GOOGLEFINANCE(A204,""changepct"")/100,"""")"),"")</f>
        <v/>
      </c>
      <c r="F204" s="385" t="str">
        <f>IF(ISBLANK(A204), "", IF(COUNTIF(Positions!$A$2:$A$31, A204) &gt; 0, "Yes","No")
)</f>
        <v/>
      </c>
      <c r="G204" s="385" t="str">
        <f>IFERROR(__xludf.DUMMYFUNCTION("IF(ISBLANK(A204),"""", googlefinance(A204, ""low52""))"),"")</f>
        <v/>
      </c>
      <c r="H204" s="386" t="str">
        <f>IFERROR(__xludf.DUMMYFUNCTION("IF(ISBLANK(A204),"""",IFERROR(SPARKLINE((C204-G204)/(I204-G204),{""charttype"",""bar"";""max"",1;""min"",0;""color1"",""2c79b5""}),""n/a""))"),"")</f>
        <v/>
      </c>
      <c r="I204" s="385" t="str">
        <f>IFERROR(__xludf.DUMMYFUNCTION("IF(ISBLANK(A204),"""", googlefinance(A204, ""high52""))"),"")</f>
        <v/>
      </c>
      <c r="J204" s="387" t="s">
        <v>134</v>
      </c>
      <c r="K204" s="388" t="str">
        <f>IFERROR(__xludf.DUMMYFUNCTION("IF(ISBLANK(A204),"""", googlefinance(A204, ""PE""))"),"")</f>
        <v/>
      </c>
      <c r="L204" s="385" t="str">
        <f>IFERROR(__xludf.DUMMYFUNCTION("IF(ISBLANK(A204),"""", googlefinance(A204, ""eps""))"),"")</f>
        <v/>
      </c>
      <c r="M204" s="389" t="str">
        <f>IFERROR(__xludf.DUMMYFUNCTION("IfError(IF(isblank(A204),"""",split(Q204, ""()"")))"),"")</f>
        <v/>
      </c>
      <c r="N204" s="384"/>
      <c r="O204" s="385" t="str">
        <f t="shared" si="5"/>
        <v/>
      </c>
      <c r="P204" s="385" t="str">
        <f t="shared" si="6"/>
        <v/>
      </c>
      <c r="Q204" s="389" t="str">
        <f>IFERROR(__xludf.DUMMYFUNCTION("IfError(IF(isblank(A204),"""", substitute(index(IMPORTHTML(""http://finviz.com/quote.ashx?t=""&amp;A204,""table"", 10),7,2),""*"","""")),0)"),"")</f>
        <v/>
      </c>
    </row>
    <row r="205" ht="15.0" customHeight="1">
      <c r="A205" s="391" t="str">
        <f>'My Lab'!P166</f>
        <v/>
      </c>
      <c r="B205" s="382" t="str">
        <f>IFERROR(__xludf.DUMMYFUNCTION("IF(ISBLANK(A205),"""", googlefinance(A205, ""name""))"),"")</f>
        <v/>
      </c>
      <c r="C205" s="383" t="str">
        <f>IFERROR(__xludf.DUMMYFUNCTION("IF(ISBLANK(A205),"""", googlefinance(A205, ""price""))"),"")</f>
        <v/>
      </c>
      <c r="D205" s="383" t="str">
        <f>IFERROR(__xludf.DUMMYFUNCTION("IFERROR(googlefinance(A205,""change""),"""")"),"")</f>
        <v/>
      </c>
      <c r="E205" s="384" t="str">
        <f>IFERROR(__xludf.DUMMYFUNCTION("iferror(GOOGLEFINANCE(A205,""changepct"")/100,"""")"),"")</f>
        <v/>
      </c>
      <c r="F205" s="385" t="str">
        <f>IF(ISBLANK(A205), "", IF(COUNTIF(Positions!$A$2:$A$31, A205) &gt; 0, "Yes","No")
)</f>
        <v/>
      </c>
      <c r="G205" s="385" t="str">
        <f>IFERROR(__xludf.DUMMYFUNCTION("IF(ISBLANK(A205),"""", googlefinance(A205, ""low52""))"),"")</f>
        <v/>
      </c>
      <c r="H205" s="386" t="str">
        <f>IFERROR(__xludf.DUMMYFUNCTION("IF(ISBLANK(A205),"""",IFERROR(SPARKLINE((C205-G205)/(I205-G205),{""charttype"",""bar"";""max"",1;""min"",0;""color1"",""2c79b5""}),""n/a""))"),"")</f>
        <v/>
      </c>
      <c r="I205" s="385" t="str">
        <f>IFERROR(__xludf.DUMMYFUNCTION("IF(ISBLANK(A205),"""", googlefinance(A205, ""high52""))"),"")</f>
        <v/>
      </c>
      <c r="J205" s="387" t="s">
        <v>134</v>
      </c>
      <c r="K205" s="388" t="str">
        <f>IFERROR(__xludf.DUMMYFUNCTION("IF(ISBLANK(A205),"""", googlefinance(A205, ""PE""))"),"")</f>
        <v/>
      </c>
      <c r="L205" s="385" t="str">
        <f>IFERROR(__xludf.DUMMYFUNCTION("IF(ISBLANK(A205),"""", googlefinance(A205, ""eps""))"),"")</f>
        <v/>
      </c>
      <c r="M205" s="389" t="str">
        <f>IFERROR(__xludf.DUMMYFUNCTION("IfError(IF(isblank(A205),"""",split(Q205, ""()"")))"),"")</f>
        <v/>
      </c>
      <c r="N205" s="384"/>
      <c r="O205" s="385" t="str">
        <f t="shared" si="5"/>
        <v/>
      </c>
      <c r="P205" s="385" t="str">
        <f t="shared" si="6"/>
        <v/>
      </c>
      <c r="Q205" s="389" t="str">
        <f>IFERROR(__xludf.DUMMYFUNCTION("IfError(IF(isblank(A205),"""", substitute(index(IMPORTHTML(""http://finviz.com/quote.ashx?t=""&amp;A205,""table"", 10),7,2),""*"","""")),0)"),"")</f>
        <v/>
      </c>
    </row>
    <row r="206" ht="15.0" customHeight="1">
      <c r="A206" s="391" t="str">
        <f>'My Lab'!P167</f>
        <v/>
      </c>
      <c r="B206" s="382" t="str">
        <f>IFERROR(__xludf.DUMMYFUNCTION("IF(ISBLANK(A206),"""", googlefinance(A206, ""name""))"),"")</f>
        <v/>
      </c>
      <c r="C206" s="383" t="str">
        <f>IFERROR(__xludf.DUMMYFUNCTION("IF(ISBLANK(A206),"""", googlefinance(A206, ""price""))"),"")</f>
        <v/>
      </c>
      <c r="D206" s="383" t="str">
        <f>IFERROR(__xludf.DUMMYFUNCTION("IFERROR(googlefinance(A206,""change""),"""")"),"")</f>
        <v/>
      </c>
      <c r="E206" s="384" t="str">
        <f>IFERROR(__xludf.DUMMYFUNCTION("iferror(GOOGLEFINANCE(A206,""changepct"")/100,"""")"),"")</f>
        <v/>
      </c>
      <c r="F206" s="385" t="str">
        <f>IF(ISBLANK(A206), "", IF(COUNTIF(Positions!$A$2:$A$31, A206) &gt; 0, "Yes","No")
)</f>
        <v/>
      </c>
      <c r="G206" s="385" t="str">
        <f>IFERROR(__xludf.DUMMYFUNCTION("IF(ISBLANK(A206),"""", googlefinance(A206, ""low52""))"),"")</f>
        <v/>
      </c>
      <c r="H206" s="386" t="str">
        <f>IFERROR(__xludf.DUMMYFUNCTION("IF(ISBLANK(A206),"""",IFERROR(SPARKLINE((C206-G206)/(I206-G206),{""charttype"",""bar"";""max"",1;""min"",0;""color1"",""2c79b5""}),""n/a""))"),"")</f>
        <v/>
      </c>
      <c r="I206" s="385" t="str">
        <f>IFERROR(__xludf.DUMMYFUNCTION("IF(ISBLANK(A206),"""", googlefinance(A206, ""high52""))"),"")</f>
        <v/>
      </c>
      <c r="J206" s="387" t="s">
        <v>134</v>
      </c>
      <c r="K206" s="388" t="str">
        <f>IFERROR(__xludf.DUMMYFUNCTION("IF(ISBLANK(A206),"""", googlefinance(A206, ""PE""))"),"")</f>
        <v/>
      </c>
      <c r="L206" s="385" t="str">
        <f>IFERROR(__xludf.DUMMYFUNCTION("IF(ISBLANK(A206),"""", googlefinance(A206, ""eps""))"),"")</f>
        <v/>
      </c>
      <c r="M206" s="389" t="str">
        <f>IFERROR(__xludf.DUMMYFUNCTION("IfError(IF(isblank(A206),"""",split(Q206, ""()"")))"),"")</f>
        <v/>
      </c>
      <c r="N206" s="384"/>
      <c r="O206" s="385" t="str">
        <f t="shared" si="5"/>
        <v/>
      </c>
      <c r="P206" s="385" t="str">
        <f t="shared" si="6"/>
        <v/>
      </c>
      <c r="Q206" s="389" t="str">
        <f>IFERROR(__xludf.DUMMYFUNCTION("IfError(IF(isblank(A206),"""", substitute(index(IMPORTHTML(""http://finviz.com/quote.ashx?t=""&amp;A206,""table"", 10),7,2),""*"","""")),0)"),"")</f>
        <v/>
      </c>
    </row>
    <row r="207" ht="15.0" customHeight="1">
      <c r="A207" s="391" t="str">
        <f>'My Lab'!P168</f>
        <v/>
      </c>
      <c r="B207" s="382" t="str">
        <f>IFERROR(__xludf.DUMMYFUNCTION("IF(ISBLANK(A207),"""", googlefinance(A207, ""name""))"),"")</f>
        <v/>
      </c>
      <c r="C207" s="383" t="str">
        <f>IFERROR(__xludf.DUMMYFUNCTION("IF(ISBLANK(A207),"""", googlefinance(A207, ""price""))"),"")</f>
        <v/>
      </c>
      <c r="D207" s="383" t="str">
        <f>IFERROR(__xludf.DUMMYFUNCTION("IFERROR(googlefinance(A207,""change""),"""")"),"")</f>
        <v/>
      </c>
      <c r="E207" s="384" t="str">
        <f>IFERROR(__xludf.DUMMYFUNCTION("iferror(GOOGLEFINANCE(A207,""changepct"")/100,"""")"),"")</f>
        <v/>
      </c>
      <c r="F207" s="385" t="str">
        <f>IF(ISBLANK(A207), "", IF(COUNTIF(Positions!$A$2:$A$31, A207) &gt; 0, "Yes","No")
)</f>
        <v/>
      </c>
      <c r="G207" s="385" t="str">
        <f>IFERROR(__xludf.DUMMYFUNCTION("IF(ISBLANK(A207),"""", googlefinance(A207, ""low52""))"),"")</f>
        <v/>
      </c>
      <c r="H207" s="386" t="str">
        <f>IFERROR(__xludf.DUMMYFUNCTION("IF(ISBLANK(A207),"""",IFERROR(SPARKLINE((C207-G207)/(I207-G207),{""charttype"",""bar"";""max"",1;""min"",0;""color1"",""2c79b5""}),""n/a""))"),"")</f>
        <v/>
      </c>
      <c r="I207" s="385" t="str">
        <f>IFERROR(__xludf.DUMMYFUNCTION("IF(ISBLANK(A207),"""", googlefinance(A207, ""high52""))"),"")</f>
        <v/>
      </c>
      <c r="J207" s="387" t="s">
        <v>134</v>
      </c>
      <c r="K207" s="388" t="str">
        <f>IFERROR(__xludf.DUMMYFUNCTION("IF(ISBLANK(A207),"""", googlefinance(A207, ""PE""))"),"")</f>
        <v/>
      </c>
      <c r="L207" s="385" t="str">
        <f>IFERROR(__xludf.DUMMYFUNCTION("IF(ISBLANK(A207),"""", googlefinance(A207, ""eps""))"),"")</f>
        <v/>
      </c>
      <c r="M207" s="389" t="str">
        <f>IFERROR(__xludf.DUMMYFUNCTION("IfError(IF(isblank(A207),"""",split(Q207, ""()"")))"),"")</f>
        <v/>
      </c>
      <c r="N207" s="384"/>
      <c r="O207" s="385" t="str">
        <f t="shared" si="5"/>
        <v/>
      </c>
      <c r="P207" s="385" t="str">
        <f t="shared" si="6"/>
        <v/>
      </c>
      <c r="Q207" s="389" t="str">
        <f>IFERROR(__xludf.DUMMYFUNCTION("IfError(IF(isblank(A207),"""", substitute(index(IMPORTHTML(""http://finviz.com/quote.ashx?t=""&amp;A207,""table"", 10),7,2),""*"","""")),0)"),"")</f>
        <v/>
      </c>
    </row>
    <row r="208" ht="15.0" customHeight="1">
      <c r="A208" s="391" t="str">
        <f>'My Lab'!P169</f>
        <v/>
      </c>
      <c r="B208" s="382" t="str">
        <f>IFERROR(__xludf.DUMMYFUNCTION("IF(ISBLANK(A208),"""", googlefinance(A208, ""name""))"),"")</f>
        <v/>
      </c>
      <c r="C208" s="383" t="str">
        <f>IFERROR(__xludf.DUMMYFUNCTION("IF(ISBLANK(A208),"""", googlefinance(A208, ""price""))"),"")</f>
        <v/>
      </c>
      <c r="D208" s="383" t="str">
        <f>IFERROR(__xludf.DUMMYFUNCTION("IFERROR(googlefinance(A208,""change""),"""")"),"")</f>
        <v/>
      </c>
      <c r="E208" s="384" t="str">
        <f>IFERROR(__xludf.DUMMYFUNCTION("iferror(GOOGLEFINANCE(A208,""changepct"")/100,"""")"),"")</f>
        <v/>
      </c>
      <c r="F208" s="385" t="str">
        <f>IF(ISBLANK(A208), "", IF(COUNTIF(Positions!$A$2:$A$31, A208) &gt; 0, "Yes","No")
)</f>
        <v/>
      </c>
      <c r="G208" s="385" t="str">
        <f>IFERROR(__xludf.DUMMYFUNCTION("IF(ISBLANK(A208),"""", googlefinance(A208, ""low52""))"),"")</f>
        <v/>
      </c>
      <c r="H208" s="386" t="str">
        <f>IFERROR(__xludf.DUMMYFUNCTION("IF(ISBLANK(A208),"""",IFERROR(SPARKLINE((C208-G208)/(I208-G208),{""charttype"",""bar"";""max"",1;""min"",0;""color1"",""2c79b5""}),""n/a""))"),"")</f>
        <v/>
      </c>
      <c r="I208" s="385" t="str">
        <f>IFERROR(__xludf.DUMMYFUNCTION("IF(ISBLANK(A208),"""", googlefinance(A208, ""high52""))"),"")</f>
        <v/>
      </c>
      <c r="J208" s="387" t="s">
        <v>134</v>
      </c>
      <c r="K208" s="388" t="str">
        <f>IFERROR(__xludf.DUMMYFUNCTION("IF(ISBLANK(A208),"""", googlefinance(A208, ""PE""))"),"")</f>
        <v/>
      </c>
      <c r="L208" s="385" t="str">
        <f>IFERROR(__xludf.DUMMYFUNCTION("IF(ISBLANK(A208),"""", googlefinance(A208, ""eps""))"),"")</f>
        <v/>
      </c>
      <c r="M208" s="389" t="str">
        <f>IFERROR(__xludf.DUMMYFUNCTION("IfError(IF(isblank(A208),"""",split(Q208, ""()"")))"),"")</f>
        <v/>
      </c>
      <c r="N208" s="384"/>
      <c r="O208" s="385" t="str">
        <f t="shared" si="5"/>
        <v/>
      </c>
      <c r="P208" s="385" t="str">
        <f t="shared" si="6"/>
        <v/>
      </c>
      <c r="Q208" s="389" t="str">
        <f>IFERROR(__xludf.DUMMYFUNCTION("IfError(IF(isblank(A208),"""", substitute(index(IMPORTHTML(""http://finviz.com/quote.ashx?t=""&amp;A208,""table"", 10),7,2),""*"","""")),0)"),"")</f>
        <v/>
      </c>
    </row>
    <row r="209" ht="15.0" customHeight="1">
      <c r="A209" s="391" t="str">
        <f>'My Lab'!P170</f>
        <v/>
      </c>
      <c r="B209" s="382" t="str">
        <f>IFERROR(__xludf.DUMMYFUNCTION("IF(ISBLANK(A209),"""", googlefinance(A209, ""name""))"),"")</f>
        <v/>
      </c>
      <c r="C209" s="383" t="str">
        <f>IFERROR(__xludf.DUMMYFUNCTION("IF(ISBLANK(A209),"""", googlefinance(A209, ""price""))"),"")</f>
        <v/>
      </c>
      <c r="D209" s="383" t="str">
        <f>IFERROR(__xludf.DUMMYFUNCTION("IFERROR(googlefinance(A209,""change""),"""")"),"")</f>
        <v/>
      </c>
      <c r="E209" s="384" t="str">
        <f>IFERROR(__xludf.DUMMYFUNCTION("iferror(GOOGLEFINANCE(A209,""changepct"")/100,"""")"),"")</f>
        <v/>
      </c>
      <c r="F209" s="385" t="str">
        <f>IF(ISBLANK(A209), "", IF(COUNTIF(Positions!$A$2:$A$31, A209) &gt; 0, "Yes","No")
)</f>
        <v/>
      </c>
      <c r="G209" s="385" t="str">
        <f>IFERROR(__xludf.DUMMYFUNCTION("IF(ISBLANK(A209),"""", googlefinance(A209, ""low52""))"),"")</f>
        <v/>
      </c>
      <c r="H209" s="386" t="str">
        <f>IFERROR(__xludf.DUMMYFUNCTION("IF(ISBLANK(A209),"""",IFERROR(SPARKLINE((C209-G209)/(I209-G209),{""charttype"",""bar"";""max"",1;""min"",0;""color1"",""2c79b5""}),""n/a""))"),"")</f>
        <v/>
      </c>
      <c r="I209" s="385" t="str">
        <f>IFERROR(__xludf.DUMMYFUNCTION("IF(ISBLANK(A209),"""", googlefinance(A209, ""high52""))"),"")</f>
        <v/>
      </c>
      <c r="J209" s="387" t="s">
        <v>134</v>
      </c>
      <c r="K209" s="388" t="str">
        <f>IFERROR(__xludf.DUMMYFUNCTION("IF(ISBLANK(A209),"""", googlefinance(A209, ""PE""))"),"")</f>
        <v/>
      </c>
      <c r="L209" s="385" t="str">
        <f>IFERROR(__xludf.DUMMYFUNCTION("IF(ISBLANK(A209),"""", googlefinance(A209, ""eps""))"),"")</f>
        <v/>
      </c>
      <c r="M209" s="389" t="str">
        <f>IFERROR(__xludf.DUMMYFUNCTION("IfError(IF(isblank(A209),"""",split(Q209, ""()"")))"),"")</f>
        <v/>
      </c>
      <c r="N209" s="384"/>
      <c r="O209" s="385" t="str">
        <f t="shared" si="5"/>
        <v/>
      </c>
      <c r="P209" s="385" t="str">
        <f t="shared" si="6"/>
        <v/>
      </c>
      <c r="Q209" s="389" t="str">
        <f>IFERROR(__xludf.DUMMYFUNCTION("IfError(IF(isblank(A209),"""", substitute(index(IMPORTHTML(""http://finviz.com/quote.ashx?t=""&amp;A209,""table"", 10),7,2),""*"","""")),0)"),"")</f>
        <v/>
      </c>
    </row>
    <row r="210" ht="15.0" customHeight="1">
      <c r="A210" s="391" t="str">
        <f>'My Lab'!P171</f>
        <v/>
      </c>
      <c r="B210" s="382" t="str">
        <f>IFERROR(__xludf.DUMMYFUNCTION("IF(ISBLANK(A210),"""", googlefinance(A210, ""name""))"),"")</f>
        <v/>
      </c>
      <c r="C210" s="383" t="str">
        <f>IFERROR(__xludf.DUMMYFUNCTION("IF(ISBLANK(A210),"""", googlefinance(A210, ""price""))"),"")</f>
        <v/>
      </c>
      <c r="D210" s="383" t="str">
        <f>IFERROR(__xludf.DUMMYFUNCTION("IFERROR(googlefinance(A210,""change""),"""")"),"")</f>
        <v/>
      </c>
      <c r="E210" s="384" t="str">
        <f>IFERROR(__xludf.DUMMYFUNCTION("iferror(GOOGLEFINANCE(A210,""changepct"")/100,"""")"),"")</f>
        <v/>
      </c>
      <c r="F210" s="385" t="str">
        <f>IF(ISBLANK(A210), "", IF(COUNTIF(Positions!$A$2:$A$31, A210) &gt; 0, "Yes","No")
)</f>
        <v/>
      </c>
      <c r="G210" s="385" t="str">
        <f>IFERROR(__xludf.DUMMYFUNCTION("IF(ISBLANK(A210),"""", googlefinance(A210, ""low52""))"),"")</f>
        <v/>
      </c>
      <c r="H210" s="386" t="str">
        <f>IFERROR(__xludf.DUMMYFUNCTION("IF(ISBLANK(A210),"""",IFERROR(SPARKLINE((C210-G210)/(I210-G210),{""charttype"",""bar"";""max"",1;""min"",0;""color1"",""2c79b5""}),""n/a""))"),"")</f>
        <v/>
      </c>
      <c r="I210" s="385" t="str">
        <f>IFERROR(__xludf.DUMMYFUNCTION("IF(ISBLANK(A210),"""", googlefinance(A210, ""high52""))"),"")</f>
        <v/>
      </c>
      <c r="J210" s="387" t="s">
        <v>134</v>
      </c>
      <c r="K210" s="388" t="str">
        <f>IFERROR(__xludf.DUMMYFUNCTION("IF(ISBLANK(A210),"""", googlefinance(A210, ""PE""))"),"")</f>
        <v/>
      </c>
      <c r="L210" s="385" t="str">
        <f>IFERROR(__xludf.DUMMYFUNCTION("IF(ISBLANK(A210),"""", googlefinance(A210, ""eps""))"),"")</f>
        <v/>
      </c>
      <c r="M210" s="389" t="str">
        <f>IFERROR(__xludf.DUMMYFUNCTION("IfError(IF(isblank(A210),"""",split(Q210, ""()"")))"),"")</f>
        <v/>
      </c>
      <c r="N210" s="384"/>
      <c r="O210" s="385" t="str">
        <f t="shared" si="5"/>
        <v/>
      </c>
      <c r="P210" s="385" t="str">
        <f t="shared" si="6"/>
        <v/>
      </c>
      <c r="Q210" s="389" t="str">
        <f>IFERROR(__xludf.DUMMYFUNCTION("IfError(IF(isblank(A210),"""", substitute(index(IMPORTHTML(""http://finviz.com/quote.ashx?t=""&amp;A210,""table"", 10),7,2),""*"","""")),0)"),"")</f>
        <v/>
      </c>
    </row>
    <row r="211" ht="15.0" customHeight="1">
      <c r="A211" s="391" t="str">
        <f>'My Lab'!P172</f>
        <v/>
      </c>
      <c r="B211" s="382" t="str">
        <f>IFERROR(__xludf.DUMMYFUNCTION("IF(ISBLANK(A211),"""", googlefinance(A211, ""name""))"),"")</f>
        <v/>
      </c>
      <c r="C211" s="383" t="str">
        <f>IFERROR(__xludf.DUMMYFUNCTION("IF(ISBLANK(A211),"""", googlefinance(A211, ""price""))"),"")</f>
        <v/>
      </c>
      <c r="D211" s="383" t="str">
        <f>IFERROR(__xludf.DUMMYFUNCTION("IFERROR(googlefinance(A211,""change""),"""")"),"")</f>
        <v/>
      </c>
      <c r="E211" s="384" t="str">
        <f>IFERROR(__xludf.DUMMYFUNCTION("iferror(GOOGLEFINANCE(A211,""changepct"")/100,"""")"),"")</f>
        <v/>
      </c>
      <c r="F211" s="385" t="str">
        <f>IF(ISBLANK(A211), "", IF(COUNTIF(Positions!$A$2:$A$31, A211) &gt; 0, "Yes","No")
)</f>
        <v/>
      </c>
      <c r="G211" s="385" t="str">
        <f>IFERROR(__xludf.DUMMYFUNCTION("IF(ISBLANK(A211),"""", googlefinance(A211, ""low52""))"),"")</f>
        <v/>
      </c>
      <c r="H211" s="386" t="str">
        <f>IFERROR(__xludf.DUMMYFUNCTION("IF(ISBLANK(A211),"""",IFERROR(SPARKLINE((C211-G211)/(I211-G211),{""charttype"",""bar"";""max"",1;""min"",0;""color1"",""2c79b5""}),""n/a""))"),"")</f>
        <v/>
      </c>
      <c r="I211" s="385" t="str">
        <f>IFERROR(__xludf.DUMMYFUNCTION("IF(ISBLANK(A211),"""", googlefinance(A211, ""high52""))"),"")</f>
        <v/>
      </c>
      <c r="J211" s="387" t="s">
        <v>134</v>
      </c>
      <c r="K211" s="388" t="str">
        <f>IFERROR(__xludf.DUMMYFUNCTION("IF(ISBLANK(A211),"""", googlefinance(A211, ""PE""))"),"")</f>
        <v/>
      </c>
      <c r="L211" s="385" t="str">
        <f>IFERROR(__xludf.DUMMYFUNCTION("IF(ISBLANK(A211),"""", googlefinance(A211, ""eps""))"),"")</f>
        <v/>
      </c>
      <c r="M211" s="389" t="str">
        <f>IFERROR(__xludf.DUMMYFUNCTION("IfError(IF(isblank(A211),"""",split(Q211, ""()"")))"),"")</f>
        <v/>
      </c>
      <c r="N211" s="384"/>
      <c r="O211" s="385" t="str">
        <f t="shared" si="5"/>
        <v/>
      </c>
      <c r="P211" s="385" t="str">
        <f t="shared" si="6"/>
        <v/>
      </c>
      <c r="Q211" s="389" t="str">
        <f>IFERROR(__xludf.DUMMYFUNCTION("IfError(IF(isblank(A211),"""", substitute(index(IMPORTHTML(""http://finviz.com/quote.ashx?t=""&amp;A211,""table"", 10),7,2),""*"","""")),0)"),"")</f>
        <v/>
      </c>
    </row>
    <row r="212" ht="15.0" customHeight="1">
      <c r="A212" s="391" t="str">
        <f>'My Lab'!P173</f>
        <v/>
      </c>
      <c r="B212" s="382" t="str">
        <f>IFERROR(__xludf.DUMMYFUNCTION("IF(ISBLANK(A212),"""", googlefinance(A212, ""name""))"),"")</f>
        <v/>
      </c>
      <c r="C212" s="383" t="str">
        <f>IFERROR(__xludf.DUMMYFUNCTION("IF(ISBLANK(A212),"""", googlefinance(A212, ""price""))"),"")</f>
        <v/>
      </c>
      <c r="D212" s="383" t="str">
        <f>IFERROR(__xludf.DUMMYFUNCTION("IFERROR(googlefinance(A212,""change""),"""")"),"")</f>
        <v/>
      </c>
      <c r="E212" s="384" t="str">
        <f>IFERROR(__xludf.DUMMYFUNCTION("iferror(GOOGLEFINANCE(A212,""changepct"")/100,"""")"),"")</f>
        <v/>
      </c>
      <c r="F212" s="385" t="str">
        <f>IF(ISBLANK(A212), "", IF(COUNTIF(Positions!$A$2:$A$31, A212) &gt; 0, "Yes","No")
)</f>
        <v/>
      </c>
      <c r="G212" s="385" t="str">
        <f>IFERROR(__xludf.DUMMYFUNCTION("IF(ISBLANK(A212),"""", googlefinance(A212, ""low52""))"),"")</f>
        <v/>
      </c>
      <c r="H212" s="386" t="str">
        <f>IFERROR(__xludf.DUMMYFUNCTION("IF(ISBLANK(A212),"""",IFERROR(SPARKLINE((C212-G212)/(I212-G212),{""charttype"",""bar"";""max"",1;""min"",0;""color1"",""2c79b5""}),""n/a""))"),"")</f>
        <v/>
      </c>
      <c r="I212" s="385" t="str">
        <f>IFERROR(__xludf.DUMMYFUNCTION("IF(ISBLANK(A212),"""", googlefinance(A212, ""high52""))"),"")</f>
        <v/>
      </c>
      <c r="J212" s="387" t="s">
        <v>134</v>
      </c>
      <c r="K212" s="388" t="str">
        <f>IFERROR(__xludf.DUMMYFUNCTION("IF(ISBLANK(A212),"""", googlefinance(A212, ""PE""))"),"")</f>
        <v/>
      </c>
      <c r="L212" s="385" t="str">
        <f>IFERROR(__xludf.DUMMYFUNCTION("IF(ISBLANK(A212),"""", googlefinance(A212, ""eps""))"),"")</f>
        <v/>
      </c>
      <c r="M212" s="389" t="str">
        <f>IFERROR(__xludf.DUMMYFUNCTION("IfError(IF(isblank(A212),"""",split(Q212, ""()"")))"),"")</f>
        <v/>
      </c>
      <c r="N212" s="384"/>
      <c r="O212" s="385" t="str">
        <f t="shared" si="5"/>
        <v/>
      </c>
      <c r="P212" s="385" t="str">
        <f t="shared" si="6"/>
        <v/>
      </c>
      <c r="Q212" s="389" t="str">
        <f>IFERROR(__xludf.DUMMYFUNCTION("IfError(IF(isblank(A212),"""", substitute(index(IMPORTHTML(""http://finviz.com/quote.ashx?t=""&amp;A212,""table"", 10),7,2),""*"","""")),0)"),"")</f>
        <v/>
      </c>
    </row>
    <row r="213" ht="15.0" customHeight="1">
      <c r="A213" s="391" t="str">
        <f>'My Lab'!P174</f>
        <v/>
      </c>
      <c r="B213" s="382" t="str">
        <f>IFERROR(__xludf.DUMMYFUNCTION("IF(ISBLANK(A213),"""", googlefinance(A213, ""name""))"),"")</f>
        <v/>
      </c>
      <c r="C213" s="383" t="str">
        <f>IFERROR(__xludf.DUMMYFUNCTION("IF(ISBLANK(A213),"""", googlefinance(A213, ""price""))"),"")</f>
        <v/>
      </c>
      <c r="D213" s="383" t="str">
        <f>IFERROR(__xludf.DUMMYFUNCTION("IFERROR(googlefinance(A213,""change""),"""")"),"")</f>
        <v/>
      </c>
      <c r="E213" s="384" t="str">
        <f>IFERROR(__xludf.DUMMYFUNCTION("iferror(GOOGLEFINANCE(A213,""changepct"")/100,"""")"),"")</f>
        <v/>
      </c>
      <c r="F213" s="385" t="str">
        <f>IF(ISBLANK(A213), "", IF(COUNTIF(Positions!$A$2:$A$31, A213) &gt; 0, "Yes","No")
)</f>
        <v/>
      </c>
      <c r="G213" s="385" t="str">
        <f>IFERROR(__xludf.DUMMYFUNCTION("IF(ISBLANK(A213),"""", googlefinance(A213, ""low52""))"),"")</f>
        <v/>
      </c>
      <c r="H213" s="386" t="str">
        <f>IFERROR(__xludf.DUMMYFUNCTION("IF(ISBLANK(A213),"""",IFERROR(SPARKLINE((C213-G213)/(I213-G213),{""charttype"",""bar"";""max"",1;""min"",0;""color1"",""2c79b5""}),""n/a""))"),"")</f>
        <v/>
      </c>
      <c r="I213" s="385" t="str">
        <f>IFERROR(__xludf.DUMMYFUNCTION("IF(ISBLANK(A213),"""", googlefinance(A213, ""high52""))"),"")</f>
        <v/>
      </c>
      <c r="J213" s="387" t="s">
        <v>134</v>
      </c>
      <c r="K213" s="388" t="str">
        <f>IFERROR(__xludf.DUMMYFUNCTION("IF(ISBLANK(A213),"""", googlefinance(A213, ""PE""))"),"")</f>
        <v/>
      </c>
      <c r="L213" s="385" t="str">
        <f>IFERROR(__xludf.DUMMYFUNCTION("IF(ISBLANK(A213),"""", googlefinance(A213, ""eps""))"),"")</f>
        <v/>
      </c>
      <c r="M213" s="389" t="str">
        <f>IFERROR(__xludf.DUMMYFUNCTION("IfError(IF(isblank(A213),"""",split(Q213, ""()"")))"),"")</f>
        <v/>
      </c>
      <c r="N213" s="384"/>
      <c r="O213" s="385" t="str">
        <f t="shared" si="5"/>
        <v/>
      </c>
      <c r="P213" s="385" t="str">
        <f t="shared" si="6"/>
        <v/>
      </c>
      <c r="Q213" s="389" t="str">
        <f>IFERROR(__xludf.DUMMYFUNCTION("IfError(IF(isblank(A213),"""", substitute(index(IMPORTHTML(""http://finviz.com/quote.ashx?t=""&amp;A213,""table"", 10),7,2),""*"","""")),0)"),"")</f>
        <v/>
      </c>
    </row>
    <row r="214" ht="15.0" customHeight="1">
      <c r="A214" s="391" t="str">
        <f>'My Lab'!P175</f>
        <v/>
      </c>
      <c r="B214" s="382" t="str">
        <f>IFERROR(__xludf.DUMMYFUNCTION("IF(ISBLANK(A214),"""", googlefinance(A214, ""name""))"),"")</f>
        <v/>
      </c>
      <c r="C214" s="383" t="str">
        <f>IFERROR(__xludf.DUMMYFUNCTION("IF(ISBLANK(A214),"""", googlefinance(A214, ""price""))"),"")</f>
        <v/>
      </c>
      <c r="D214" s="383" t="str">
        <f>IFERROR(__xludf.DUMMYFUNCTION("IFERROR(googlefinance(A214,""change""),"""")"),"")</f>
        <v/>
      </c>
      <c r="E214" s="384" t="str">
        <f>IFERROR(__xludf.DUMMYFUNCTION("iferror(GOOGLEFINANCE(A214,""changepct"")/100,"""")"),"")</f>
        <v/>
      </c>
      <c r="F214" s="385" t="str">
        <f>IF(ISBLANK(A214), "", IF(COUNTIF(Positions!$A$2:$A$31, A214) &gt; 0, "Yes","No")
)</f>
        <v/>
      </c>
      <c r="G214" s="385" t="str">
        <f>IFERROR(__xludf.DUMMYFUNCTION("IF(ISBLANK(A214),"""", googlefinance(A214, ""low52""))"),"")</f>
        <v/>
      </c>
      <c r="H214" s="386" t="str">
        <f>IFERROR(__xludf.DUMMYFUNCTION("IF(ISBLANK(A214),"""",IFERROR(SPARKLINE((C214-G214)/(I214-G214),{""charttype"",""bar"";""max"",1;""min"",0;""color1"",""2c79b5""}),""n/a""))"),"")</f>
        <v/>
      </c>
      <c r="I214" s="385" t="str">
        <f>IFERROR(__xludf.DUMMYFUNCTION("IF(ISBLANK(A214),"""", googlefinance(A214, ""high52""))"),"")</f>
        <v/>
      </c>
      <c r="J214" s="387" t="s">
        <v>134</v>
      </c>
      <c r="K214" s="388" t="str">
        <f>IFERROR(__xludf.DUMMYFUNCTION("IF(ISBLANK(A214),"""", googlefinance(A214, ""PE""))"),"")</f>
        <v/>
      </c>
      <c r="L214" s="385" t="str">
        <f>IFERROR(__xludf.DUMMYFUNCTION("IF(ISBLANK(A214),"""", googlefinance(A214, ""eps""))"),"")</f>
        <v/>
      </c>
      <c r="M214" s="389" t="str">
        <f>IFERROR(__xludf.DUMMYFUNCTION("IfError(IF(isblank(A214),"""",split(Q214, ""()"")))"),"")</f>
        <v/>
      </c>
      <c r="N214" s="384"/>
      <c r="O214" s="385" t="str">
        <f t="shared" si="5"/>
        <v/>
      </c>
      <c r="P214" s="385" t="str">
        <f t="shared" si="6"/>
        <v/>
      </c>
      <c r="Q214" s="389" t="str">
        <f>IFERROR(__xludf.DUMMYFUNCTION("IfError(IF(isblank(A214),"""", substitute(index(IMPORTHTML(""http://finviz.com/quote.ashx?t=""&amp;A214,""table"", 10),7,2),""*"","""")),0)"),"")</f>
        <v/>
      </c>
    </row>
    <row r="215" ht="15.0" customHeight="1">
      <c r="A215" s="391" t="str">
        <f>'My Lab'!P176</f>
        <v/>
      </c>
      <c r="B215" s="382" t="str">
        <f>IFERROR(__xludf.DUMMYFUNCTION("IF(ISBLANK(A215),"""", googlefinance(A215, ""name""))"),"")</f>
        <v/>
      </c>
      <c r="C215" s="383" t="str">
        <f>IFERROR(__xludf.DUMMYFUNCTION("IF(ISBLANK(A215),"""", googlefinance(A215, ""price""))"),"")</f>
        <v/>
      </c>
      <c r="D215" s="383" t="str">
        <f>IFERROR(__xludf.DUMMYFUNCTION("IFERROR(googlefinance(A215,""change""),"""")"),"")</f>
        <v/>
      </c>
      <c r="E215" s="384" t="str">
        <f>IFERROR(__xludf.DUMMYFUNCTION("iferror(GOOGLEFINANCE(A215,""changepct"")/100,"""")"),"")</f>
        <v/>
      </c>
      <c r="F215" s="385" t="str">
        <f>IF(ISBLANK(A215), "", IF(COUNTIF(Positions!$A$2:$A$31, A215) &gt; 0, "Yes","No")
)</f>
        <v/>
      </c>
      <c r="G215" s="385" t="str">
        <f>IFERROR(__xludf.DUMMYFUNCTION("IF(ISBLANK(A215),"""", googlefinance(A215, ""low52""))"),"")</f>
        <v/>
      </c>
      <c r="H215" s="386" t="str">
        <f>IFERROR(__xludf.DUMMYFUNCTION("IF(ISBLANK(A215),"""",IFERROR(SPARKLINE((C215-G215)/(I215-G215),{""charttype"",""bar"";""max"",1;""min"",0;""color1"",""2c79b5""}),""n/a""))"),"")</f>
        <v/>
      </c>
      <c r="I215" s="385" t="str">
        <f>IFERROR(__xludf.DUMMYFUNCTION("IF(ISBLANK(A215),"""", googlefinance(A215, ""high52""))"),"")</f>
        <v/>
      </c>
      <c r="J215" s="387" t="s">
        <v>134</v>
      </c>
      <c r="K215" s="388" t="str">
        <f>IFERROR(__xludf.DUMMYFUNCTION("IF(ISBLANK(A215),"""", googlefinance(A215, ""PE""))"),"")</f>
        <v/>
      </c>
      <c r="L215" s="385" t="str">
        <f>IFERROR(__xludf.DUMMYFUNCTION("IF(ISBLANK(A215),"""", googlefinance(A215, ""eps""))"),"")</f>
        <v/>
      </c>
      <c r="M215" s="389" t="str">
        <f>IFERROR(__xludf.DUMMYFUNCTION("IfError(IF(isblank(A215),"""",split(Q215, ""()"")))"),"")</f>
        <v/>
      </c>
      <c r="N215" s="384"/>
      <c r="O215" s="385" t="str">
        <f t="shared" si="5"/>
        <v/>
      </c>
      <c r="P215" s="385" t="str">
        <f t="shared" si="6"/>
        <v/>
      </c>
      <c r="Q215" s="389" t="str">
        <f>IFERROR(__xludf.DUMMYFUNCTION("IfError(IF(isblank(A215),"""", substitute(index(IMPORTHTML(""http://finviz.com/quote.ashx?t=""&amp;A215,""table"", 10),7,2),""*"","""")),0)"),"")</f>
        <v/>
      </c>
    </row>
    <row r="216" ht="15.0" customHeight="1">
      <c r="A216" s="391" t="str">
        <f>'My Lab'!P177</f>
        <v/>
      </c>
      <c r="B216" s="382" t="str">
        <f>IFERROR(__xludf.DUMMYFUNCTION("IF(ISBLANK(A216),"""", googlefinance(A216, ""name""))"),"")</f>
        <v/>
      </c>
      <c r="C216" s="383" t="str">
        <f>IFERROR(__xludf.DUMMYFUNCTION("IF(ISBLANK(A216),"""", googlefinance(A216, ""price""))"),"")</f>
        <v/>
      </c>
      <c r="D216" s="383" t="str">
        <f>IFERROR(__xludf.DUMMYFUNCTION("IFERROR(googlefinance(A216,""change""),"""")"),"")</f>
        <v/>
      </c>
      <c r="E216" s="384" t="str">
        <f>IFERROR(__xludf.DUMMYFUNCTION("iferror(GOOGLEFINANCE(A216,""changepct"")/100,"""")"),"")</f>
        <v/>
      </c>
      <c r="F216" s="385" t="str">
        <f>IF(ISBLANK(A216), "", IF(COUNTIF(Positions!$A$2:$A$31, A216) &gt; 0, "Yes","No")
)</f>
        <v/>
      </c>
      <c r="G216" s="385" t="str">
        <f>IFERROR(__xludf.DUMMYFUNCTION("IF(ISBLANK(A216),"""", googlefinance(A216, ""low52""))"),"")</f>
        <v/>
      </c>
      <c r="H216" s="386" t="str">
        <f>IFERROR(__xludf.DUMMYFUNCTION("IF(ISBLANK(A216),"""",IFERROR(SPARKLINE((C216-G216)/(I216-G216),{""charttype"",""bar"";""max"",1;""min"",0;""color1"",""2c79b5""}),""n/a""))"),"")</f>
        <v/>
      </c>
      <c r="I216" s="385" t="str">
        <f>IFERROR(__xludf.DUMMYFUNCTION("IF(ISBLANK(A216),"""", googlefinance(A216, ""high52""))"),"")</f>
        <v/>
      </c>
      <c r="J216" s="387" t="s">
        <v>134</v>
      </c>
      <c r="K216" s="388" t="str">
        <f>IFERROR(__xludf.DUMMYFUNCTION("IF(ISBLANK(A216),"""", googlefinance(A216, ""PE""))"),"")</f>
        <v/>
      </c>
      <c r="L216" s="385" t="str">
        <f>IFERROR(__xludf.DUMMYFUNCTION("IF(ISBLANK(A216),"""", googlefinance(A216, ""eps""))"),"")</f>
        <v/>
      </c>
      <c r="M216" s="389" t="str">
        <f>IFERROR(__xludf.DUMMYFUNCTION("IfError(IF(isblank(A216),"""",split(Q216, ""()"")))"),"")</f>
        <v/>
      </c>
      <c r="N216" s="384"/>
      <c r="O216" s="385" t="str">
        <f t="shared" si="5"/>
        <v/>
      </c>
      <c r="P216" s="385" t="str">
        <f t="shared" si="6"/>
        <v/>
      </c>
      <c r="Q216" s="389" t="str">
        <f>IFERROR(__xludf.DUMMYFUNCTION("IfError(IF(isblank(A216),"""", substitute(index(IMPORTHTML(""http://finviz.com/quote.ashx?t=""&amp;A216,""table"", 10),7,2),""*"","""")),0)"),"")</f>
        <v/>
      </c>
    </row>
    <row r="217" ht="15.0" customHeight="1">
      <c r="A217" s="391" t="str">
        <f>'My Lab'!P178</f>
        <v/>
      </c>
      <c r="B217" s="382" t="str">
        <f>IFERROR(__xludf.DUMMYFUNCTION("IF(ISBLANK(A217),"""", googlefinance(A217, ""name""))"),"")</f>
        <v/>
      </c>
      <c r="C217" s="383" t="str">
        <f>IFERROR(__xludf.DUMMYFUNCTION("IF(ISBLANK(A217),"""", googlefinance(A217, ""price""))"),"")</f>
        <v/>
      </c>
      <c r="D217" s="383" t="str">
        <f>IFERROR(__xludf.DUMMYFUNCTION("IFERROR(googlefinance(A217,""change""),"""")"),"")</f>
        <v/>
      </c>
      <c r="E217" s="384" t="str">
        <f>IFERROR(__xludf.DUMMYFUNCTION("iferror(GOOGLEFINANCE(A217,""changepct"")/100,"""")"),"")</f>
        <v/>
      </c>
      <c r="F217" s="385" t="str">
        <f>IF(ISBLANK(A217), "", IF(COUNTIF(Positions!$A$2:$A$31, A217) &gt; 0, "Yes","No")
)</f>
        <v/>
      </c>
      <c r="G217" s="385" t="str">
        <f>IFERROR(__xludf.DUMMYFUNCTION("IF(ISBLANK(A217),"""", googlefinance(A217, ""low52""))"),"")</f>
        <v/>
      </c>
      <c r="H217" s="386" t="str">
        <f>IFERROR(__xludf.DUMMYFUNCTION("IF(ISBLANK(A217),"""",IFERROR(SPARKLINE((C217-G217)/(I217-G217),{""charttype"",""bar"";""max"",1;""min"",0;""color1"",""2c79b5""}),""n/a""))"),"")</f>
        <v/>
      </c>
      <c r="I217" s="385" t="str">
        <f>IFERROR(__xludf.DUMMYFUNCTION("IF(ISBLANK(A217),"""", googlefinance(A217, ""high52""))"),"")</f>
        <v/>
      </c>
      <c r="J217" s="387" t="s">
        <v>134</v>
      </c>
      <c r="K217" s="388" t="str">
        <f>IFERROR(__xludf.DUMMYFUNCTION("IF(ISBLANK(A217),"""", googlefinance(A217, ""PE""))"),"")</f>
        <v/>
      </c>
      <c r="L217" s="385" t="str">
        <f>IFERROR(__xludf.DUMMYFUNCTION("IF(ISBLANK(A217),"""", googlefinance(A217, ""eps""))"),"")</f>
        <v/>
      </c>
      <c r="M217" s="389" t="str">
        <f>IFERROR(__xludf.DUMMYFUNCTION("IfError(IF(isblank(A217),"""",split(Q217, ""()"")))"),"")</f>
        <v/>
      </c>
      <c r="N217" s="384"/>
      <c r="O217" s="385" t="str">
        <f t="shared" si="5"/>
        <v/>
      </c>
      <c r="P217" s="385" t="str">
        <f t="shared" si="6"/>
        <v/>
      </c>
      <c r="Q217" s="389" t="str">
        <f>IFERROR(__xludf.DUMMYFUNCTION("IfError(IF(isblank(A217),"""", substitute(index(IMPORTHTML(""http://finviz.com/quote.ashx?t=""&amp;A217,""table"", 10),7,2),""*"","""")),0)"),"")</f>
        <v/>
      </c>
    </row>
    <row r="218" ht="15.0" customHeight="1">
      <c r="A218" s="391" t="str">
        <f>'My Lab'!P179</f>
        <v/>
      </c>
      <c r="B218" s="382" t="str">
        <f>IFERROR(__xludf.DUMMYFUNCTION("IF(ISBLANK(A218),"""", googlefinance(A218, ""name""))"),"")</f>
        <v/>
      </c>
      <c r="C218" s="383" t="str">
        <f>IFERROR(__xludf.DUMMYFUNCTION("IF(ISBLANK(A218),"""", googlefinance(A218, ""price""))"),"")</f>
        <v/>
      </c>
      <c r="D218" s="383" t="str">
        <f>IFERROR(__xludf.DUMMYFUNCTION("IFERROR(googlefinance(A218,""change""),"""")"),"")</f>
        <v/>
      </c>
      <c r="E218" s="384" t="str">
        <f>IFERROR(__xludf.DUMMYFUNCTION("iferror(GOOGLEFINANCE(A218,""changepct"")/100,"""")"),"")</f>
        <v/>
      </c>
      <c r="F218" s="385" t="str">
        <f>IF(ISBLANK(A218), "", IF(COUNTIF(Positions!$A$2:$A$31, A218) &gt; 0, "Yes","No")
)</f>
        <v/>
      </c>
      <c r="G218" s="385" t="str">
        <f>IFERROR(__xludf.DUMMYFUNCTION("IF(ISBLANK(A218),"""", googlefinance(A218, ""low52""))"),"")</f>
        <v/>
      </c>
      <c r="H218" s="386" t="str">
        <f>IFERROR(__xludf.DUMMYFUNCTION("IF(ISBLANK(A218),"""",IFERROR(SPARKLINE((C218-G218)/(I218-G218),{""charttype"",""bar"";""max"",1;""min"",0;""color1"",""2c79b5""}),""n/a""))"),"")</f>
        <v/>
      </c>
      <c r="I218" s="385" t="str">
        <f>IFERROR(__xludf.DUMMYFUNCTION("IF(ISBLANK(A218),"""", googlefinance(A218, ""high52""))"),"")</f>
        <v/>
      </c>
      <c r="J218" s="387" t="s">
        <v>134</v>
      </c>
      <c r="K218" s="388" t="str">
        <f>IFERROR(__xludf.DUMMYFUNCTION("IF(ISBLANK(A218),"""", googlefinance(A218, ""PE""))"),"")</f>
        <v/>
      </c>
      <c r="L218" s="385" t="str">
        <f>IFERROR(__xludf.DUMMYFUNCTION("IF(ISBLANK(A218),"""", googlefinance(A218, ""eps""))"),"")</f>
        <v/>
      </c>
      <c r="M218" s="389" t="str">
        <f>IFERROR(__xludf.DUMMYFUNCTION("IfError(IF(isblank(A218),"""",split(Q218, ""()"")))"),"")</f>
        <v/>
      </c>
      <c r="N218" s="384"/>
      <c r="O218" s="385" t="str">
        <f t="shared" si="5"/>
        <v/>
      </c>
      <c r="P218" s="385" t="str">
        <f t="shared" si="6"/>
        <v/>
      </c>
      <c r="Q218" s="389" t="str">
        <f>IFERROR(__xludf.DUMMYFUNCTION("IfError(IF(isblank(A218),"""", substitute(index(IMPORTHTML(""http://finviz.com/quote.ashx?t=""&amp;A218,""table"", 10),7,2),""*"","""")),0)"),"")</f>
        <v/>
      </c>
    </row>
    <row r="219" ht="15.0" customHeight="1">
      <c r="A219" s="391" t="str">
        <f>'My Lab'!P180</f>
        <v/>
      </c>
      <c r="B219" s="382" t="str">
        <f>IFERROR(__xludf.DUMMYFUNCTION("IF(ISBLANK(A219),"""", googlefinance(A219, ""name""))"),"")</f>
        <v/>
      </c>
      <c r="C219" s="383" t="str">
        <f>IFERROR(__xludf.DUMMYFUNCTION("IF(ISBLANK(A219),"""", googlefinance(A219, ""price""))"),"")</f>
        <v/>
      </c>
      <c r="D219" s="383" t="str">
        <f>IFERROR(__xludf.DUMMYFUNCTION("IFERROR(googlefinance(A219,""change""),"""")"),"")</f>
        <v/>
      </c>
      <c r="E219" s="384" t="str">
        <f>IFERROR(__xludf.DUMMYFUNCTION("iferror(GOOGLEFINANCE(A219,""changepct"")/100,"""")"),"")</f>
        <v/>
      </c>
      <c r="F219" s="385" t="str">
        <f>IF(ISBLANK(A219), "", IF(COUNTIF(Positions!$A$2:$A$31, A219) &gt; 0, "Yes","No")
)</f>
        <v/>
      </c>
      <c r="G219" s="385" t="str">
        <f>IFERROR(__xludf.DUMMYFUNCTION("IF(ISBLANK(A219),"""", googlefinance(A219, ""low52""))"),"")</f>
        <v/>
      </c>
      <c r="H219" s="386" t="str">
        <f>IFERROR(__xludf.DUMMYFUNCTION("IF(ISBLANK(A219),"""",IFERROR(SPARKLINE((C219-G219)/(I219-G219),{""charttype"",""bar"";""max"",1;""min"",0;""color1"",""2c79b5""}),""n/a""))"),"")</f>
        <v/>
      </c>
      <c r="I219" s="385" t="str">
        <f>IFERROR(__xludf.DUMMYFUNCTION("IF(ISBLANK(A219),"""", googlefinance(A219, ""high52""))"),"")</f>
        <v/>
      </c>
      <c r="J219" s="387" t="s">
        <v>134</v>
      </c>
      <c r="K219" s="388" t="str">
        <f>IFERROR(__xludf.DUMMYFUNCTION("IF(ISBLANK(A219),"""", googlefinance(A219, ""PE""))"),"")</f>
        <v/>
      </c>
      <c r="L219" s="385" t="str">
        <f>IFERROR(__xludf.DUMMYFUNCTION("IF(ISBLANK(A219),"""", googlefinance(A219, ""eps""))"),"")</f>
        <v/>
      </c>
      <c r="M219" s="389" t="str">
        <f>IFERROR(__xludf.DUMMYFUNCTION("IfError(IF(isblank(A219),"""",split(Q219, ""()"")))"),"")</f>
        <v/>
      </c>
      <c r="N219" s="384"/>
      <c r="O219" s="385" t="str">
        <f t="shared" si="5"/>
        <v/>
      </c>
      <c r="P219" s="385" t="str">
        <f t="shared" si="6"/>
        <v/>
      </c>
      <c r="Q219" s="389" t="str">
        <f>IFERROR(__xludf.DUMMYFUNCTION("IfError(IF(isblank(A219),"""", substitute(index(IMPORTHTML(""http://finviz.com/quote.ashx?t=""&amp;A219,""table"", 10),7,2),""*"","""")),0)"),"")</f>
        <v/>
      </c>
    </row>
    <row r="220" ht="15.0" customHeight="1">
      <c r="A220" s="391" t="str">
        <f>'My Lab'!P181</f>
        <v/>
      </c>
      <c r="B220" s="382" t="str">
        <f>IFERROR(__xludf.DUMMYFUNCTION("IF(ISBLANK(A220),"""", googlefinance(A220, ""name""))"),"")</f>
        <v/>
      </c>
      <c r="C220" s="383" t="str">
        <f>IFERROR(__xludf.DUMMYFUNCTION("IF(ISBLANK(A220),"""", googlefinance(A220, ""price""))"),"")</f>
        <v/>
      </c>
      <c r="D220" s="383" t="str">
        <f>IFERROR(__xludf.DUMMYFUNCTION("IFERROR(googlefinance(A220,""change""),"""")"),"")</f>
        <v/>
      </c>
      <c r="E220" s="384" t="str">
        <f>IFERROR(__xludf.DUMMYFUNCTION("iferror(GOOGLEFINANCE(A220,""changepct"")/100,"""")"),"")</f>
        <v/>
      </c>
      <c r="F220" s="385" t="str">
        <f>IF(ISBLANK(A220), "", IF(COUNTIF(Positions!$A$2:$A$31, A220) &gt; 0, "Yes","No")
)</f>
        <v/>
      </c>
      <c r="G220" s="385" t="str">
        <f>IFERROR(__xludf.DUMMYFUNCTION("IF(ISBLANK(A220),"""", googlefinance(A220, ""low52""))"),"")</f>
        <v/>
      </c>
      <c r="H220" s="386" t="str">
        <f>IFERROR(__xludf.DUMMYFUNCTION("IF(ISBLANK(A220),"""",IFERROR(SPARKLINE((C220-G220)/(I220-G220),{""charttype"",""bar"";""max"",1;""min"",0;""color1"",""2c79b5""}),""n/a""))"),"")</f>
        <v/>
      </c>
      <c r="I220" s="385" t="str">
        <f>IFERROR(__xludf.DUMMYFUNCTION("IF(ISBLANK(A220),"""", googlefinance(A220, ""high52""))"),"")</f>
        <v/>
      </c>
      <c r="J220" s="387" t="s">
        <v>134</v>
      </c>
      <c r="K220" s="388" t="str">
        <f>IFERROR(__xludf.DUMMYFUNCTION("IF(ISBLANK(A220),"""", googlefinance(A220, ""PE""))"),"")</f>
        <v/>
      </c>
      <c r="L220" s="385" t="str">
        <f>IFERROR(__xludf.DUMMYFUNCTION("IF(ISBLANK(A220),"""", googlefinance(A220, ""eps""))"),"")</f>
        <v/>
      </c>
      <c r="M220" s="389" t="str">
        <f>IFERROR(__xludf.DUMMYFUNCTION("IfError(IF(isblank(A220),"""",split(Q220, ""()"")))"),"")</f>
        <v/>
      </c>
      <c r="N220" s="384"/>
      <c r="O220" s="385" t="str">
        <f t="shared" si="5"/>
        <v/>
      </c>
      <c r="P220" s="385" t="str">
        <f t="shared" si="6"/>
        <v/>
      </c>
      <c r="Q220" s="389" t="str">
        <f>IFERROR(__xludf.DUMMYFUNCTION("IfError(IF(isblank(A220),"""", substitute(index(IMPORTHTML(""http://finviz.com/quote.ashx?t=""&amp;A220,""table"", 10),7,2),""*"","""")),0)"),"")</f>
        <v/>
      </c>
    </row>
    <row r="221" ht="15.0" customHeight="1">
      <c r="A221" s="391" t="str">
        <f>'My Lab'!P182</f>
        <v/>
      </c>
      <c r="B221" s="382" t="str">
        <f>IFERROR(__xludf.DUMMYFUNCTION("IF(ISBLANK(A221),"""", googlefinance(A221, ""name""))"),"")</f>
        <v/>
      </c>
      <c r="C221" s="383" t="str">
        <f>IFERROR(__xludf.DUMMYFUNCTION("IF(ISBLANK(A221),"""", googlefinance(A221, ""price""))"),"")</f>
        <v/>
      </c>
      <c r="D221" s="383" t="str">
        <f>IFERROR(__xludf.DUMMYFUNCTION("IFERROR(googlefinance(A221,""change""),"""")"),"")</f>
        <v/>
      </c>
      <c r="E221" s="384" t="str">
        <f>IFERROR(__xludf.DUMMYFUNCTION("iferror(GOOGLEFINANCE(A221,""changepct"")/100,"""")"),"")</f>
        <v/>
      </c>
      <c r="F221" s="385" t="str">
        <f>IF(ISBLANK(A221), "", IF(COUNTIF(Positions!$A$2:$A$31, A221) &gt; 0, "Yes","No")
)</f>
        <v/>
      </c>
      <c r="G221" s="385" t="str">
        <f>IFERROR(__xludf.DUMMYFUNCTION("IF(ISBLANK(A221),"""", googlefinance(A221, ""low52""))"),"")</f>
        <v/>
      </c>
      <c r="H221" s="386" t="str">
        <f>IFERROR(__xludf.DUMMYFUNCTION("IF(ISBLANK(A221),"""",IFERROR(SPARKLINE((C221-G221)/(I221-G221),{""charttype"",""bar"";""max"",1;""min"",0;""color1"",""2c79b5""}),""n/a""))"),"")</f>
        <v/>
      </c>
      <c r="I221" s="385" t="str">
        <f>IFERROR(__xludf.DUMMYFUNCTION("IF(ISBLANK(A221),"""", googlefinance(A221, ""high52""))"),"")</f>
        <v/>
      </c>
      <c r="J221" s="387" t="s">
        <v>134</v>
      </c>
      <c r="K221" s="388" t="str">
        <f>IFERROR(__xludf.DUMMYFUNCTION("IF(ISBLANK(A221),"""", googlefinance(A221, ""PE""))"),"")</f>
        <v/>
      </c>
      <c r="L221" s="385" t="str">
        <f>IFERROR(__xludf.DUMMYFUNCTION("IF(ISBLANK(A221),"""", googlefinance(A221, ""eps""))"),"")</f>
        <v/>
      </c>
      <c r="M221" s="389" t="str">
        <f>IFERROR(__xludf.DUMMYFUNCTION("IfError(IF(isblank(A221),"""",split(Q221, ""()"")))"),"")</f>
        <v/>
      </c>
      <c r="N221" s="384"/>
      <c r="O221" s="385" t="str">
        <f t="shared" si="5"/>
        <v/>
      </c>
      <c r="P221" s="385" t="str">
        <f t="shared" si="6"/>
        <v/>
      </c>
      <c r="Q221" s="389" t="str">
        <f>IFERROR(__xludf.DUMMYFUNCTION("IfError(IF(isblank(A221),"""", substitute(index(IMPORTHTML(""http://finviz.com/quote.ashx?t=""&amp;A221,""table"", 10),7,2),""*"","""")),0)"),"")</f>
        <v/>
      </c>
    </row>
    <row r="222" ht="15.0" customHeight="1">
      <c r="A222" s="391" t="str">
        <f>'My Lab'!P183</f>
        <v/>
      </c>
      <c r="B222" s="382" t="str">
        <f>IFERROR(__xludf.DUMMYFUNCTION("IF(ISBLANK(A222),"""", googlefinance(A222, ""name""))"),"")</f>
        <v/>
      </c>
      <c r="C222" s="383" t="str">
        <f>IFERROR(__xludf.DUMMYFUNCTION("IF(ISBLANK(A222),"""", googlefinance(A222, ""price""))"),"")</f>
        <v/>
      </c>
      <c r="D222" s="383" t="str">
        <f>IFERROR(__xludf.DUMMYFUNCTION("IFERROR(googlefinance(A222,""change""),"""")"),"")</f>
        <v/>
      </c>
      <c r="E222" s="384" t="str">
        <f>IFERROR(__xludf.DUMMYFUNCTION("iferror(GOOGLEFINANCE(A222,""changepct"")/100,"""")"),"")</f>
        <v/>
      </c>
      <c r="F222" s="385" t="str">
        <f>IF(ISBLANK(A222), "", IF(COUNTIF(Positions!$A$2:$A$31, A222) &gt; 0, "Yes","No")
)</f>
        <v/>
      </c>
      <c r="G222" s="385" t="str">
        <f>IFERROR(__xludf.DUMMYFUNCTION("IF(ISBLANK(A222),"""", googlefinance(A222, ""low52""))"),"")</f>
        <v/>
      </c>
      <c r="H222" s="386" t="str">
        <f>IFERROR(__xludf.DUMMYFUNCTION("IF(ISBLANK(A222),"""",IFERROR(SPARKLINE((C222-G222)/(I222-G222),{""charttype"",""bar"";""max"",1;""min"",0;""color1"",""2c79b5""}),""n/a""))"),"")</f>
        <v/>
      </c>
      <c r="I222" s="385" t="str">
        <f>IFERROR(__xludf.DUMMYFUNCTION("IF(ISBLANK(A222),"""", googlefinance(A222, ""high52""))"),"")</f>
        <v/>
      </c>
      <c r="J222" s="387" t="s">
        <v>134</v>
      </c>
      <c r="K222" s="388" t="str">
        <f>IFERROR(__xludf.DUMMYFUNCTION("IF(ISBLANK(A222),"""", googlefinance(A222, ""PE""))"),"")</f>
        <v/>
      </c>
      <c r="L222" s="385" t="str">
        <f>IFERROR(__xludf.DUMMYFUNCTION("IF(ISBLANK(A222),"""", googlefinance(A222, ""eps""))"),"")</f>
        <v/>
      </c>
      <c r="M222" s="389" t="str">
        <f>IFERROR(__xludf.DUMMYFUNCTION("IfError(IF(isblank(A222),"""",split(Q222, ""()"")))"),"")</f>
        <v/>
      </c>
      <c r="N222" s="384"/>
      <c r="O222" s="385" t="str">
        <f t="shared" si="5"/>
        <v/>
      </c>
      <c r="P222" s="385" t="str">
        <f t="shared" si="6"/>
        <v/>
      </c>
      <c r="Q222" s="389" t="str">
        <f>IFERROR(__xludf.DUMMYFUNCTION("IfError(IF(isblank(A222),"""", substitute(index(IMPORTHTML(""http://finviz.com/quote.ashx?t=""&amp;A222,""table"", 10),7,2),""*"","""")),0)"),"")</f>
        <v/>
      </c>
    </row>
    <row r="223" ht="15.0" customHeight="1">
      <c r="A223" s="391" t="str">
        <f>'My Lab'!P184</f>
        <v/>
      </c>
      <c r="B223" s="382" t="str">
        <f>IFERROR(__xludf.DUMMYFUNCTION("IF(ISBLANK(A223),"""", googlefinance(A223, ""name""))"),"")</f>
        <v/>
      </c>
      <c r="C223" s="383" t="str">
        <f>IFERROR(__xludf.DUMMYFUNCTION("IF(ISBLANK(A223),"""", googlefinance(A223, ""price""))"),"")</f>
        <v/>
      </c>
      <c r="D223" s="383" t="str">
        <f>IFERROR(__xludf.DUMMYFUNCTION("IFERROR(googlefinance(A223,""change""),"""")"),"")</f>
        <v/>
      </c>
      <c r="E223" s="384" t="str">
        <f>IFERROR(__xludf.DUMMYFUNCTION("iferror(GOOGLEFINANCE(A223,""changepct"")/100,"""")"),"")</f>
        <v/>
      </c>
      <c r="F223" s="385" t="str">
        <f>IF(ISBLANK(A223), "", IF(COUNTIF(Positions!$A$2:$A$31, A223) &gt; 0, "Yes","No")
)</f>
        <v/>
      </c>
      <c r="G223" s="385" t="str">
        <f>IFERROR(__xludf.DUMMYFUNCTION("IF(ISBLANK(A223),"""", googlefinance(A223, ""low52""))"),"")</f>
        <v/>
      </c>
      <c r="H223" s="386" t="str">
        <f>IFERROR(__xludf.DUMMYFUNCTION("IF(ISBLANK(A223),"""",IFERROR(SPARKLINE((C223-G223)/(I223-G223),{""charttype"",""bar"";""max"",1;""min"",0;""color1"",""2c79b5""}),""n/a""))"),"")</f>
        <v/>
      </c>
      <c r="I223" s="385" t="str">
        <f>IFERROR(__xludf.DUMMYFUNCTION("IF(ISBLANK(A223),"""", googlefinance(A223, ""high52""))"),"")</f>
        <v/>
      </c>
      <c r="J223" s="387" t="s">
        <v>134</v>
      </c>
      <c r="K223" s="388" t="str">
        <f>IFERROR(__xludf.DUMMYFUNCTION("IF(ISBLANK(A223),"""", googlefinance(A223, ""PE""))"),"")</f>
        <v/>
      </c>
      <c r="L223" s="385" t="str">
        <f>IFERROR(__xludf.DUMMYFUNCTION("IF(ISBLANK(A223),"""", googlefinance(A223, ""eps""))"),"")</f>
        <v/>
      </c>
      <c r="M223" s="389" t="str">
        <f>IFERROR(__xludf.DUMMYFUNCTION("IfError(IF(isblank(A223),"""",split(Q223, ""()"")))"),"")</f>
        <v/>
      </c>
      <c r="N223" s="384"/>
      <c r="O223" s="385" t="str">
        <f t="shared" si="5"/>
        <v/>
      </c>
      <c r="P223" s="385" t="str">
        <f t="shared" si="6"/>
        <v/>
      </c>
      <c r="Q223" s="389" t="str">
        <f>IFERROR(__xludf.DUMMYFUNCTION("IfError(IF(isblank(A223),"""", substitute(index(IMPORTHTML(""http://finviz.com/quote.ashx?t=""&amp;A223,""table"", 10),7,2),""*"","""")),0)"),"")</f>
        <v/>
      </c>
    </row>
    <row r="224" ht="15.0" customHeight="1">
      <c r="A224" s="391" t="str">
        <f>'My Lab'!P185</f>
        <v/>
      </c>
      <c r="B224" s="382" t="str">
        <f>IFERROR(__xludf.DUMMYFUNCTION("IF(ISBLANK(A224),"""", googlefinance(A224, ""name""))"),"")</f>
        <v/>
      </c>
      <c r="C224" s="383" t="str">
        <f>IFERROR(__xludf.DUMMYFUNCTION("IF(ISBLANK(A224),"""", googlefinance(A224, ""price""))"),"")</f>
        <v/>
      </c>
      <c r="D224" s="383" t="str">
        <f>IFERROR(__xludf.DUMMYFUNCTION("IFERROR(googlefinance(A224,""change""),"""")"),"")</f>
        <v/>
      </c>
      <c r="E224" s="384" t="str">
        <f>IFERROR(__xludf.DUMMYFUNCTION("iferror(GOOGLEFINANCE(A224,""changepct"")/100,"""")"),"")</f>
        <v/>
      </c>
      <c r="F224" s="385" t="str">
        <f>IF(ISBLANK(A224), "", IF(COUNTIF(Positions!$A$2:$A$31, A224) &gt; 0, "Yes","No")
)</f>
        <v/>
      </c>
      <c r="G224" s="385" t="str">
        <f>IFERROR(__xludf.DUMMYFUNCTION("IF(ISBLANK(A224),"""", googlefinance(A224, ""low52""))"),"")</f>
        <v/>
      </c>
      <c r="H224" s="386" t="str">
        <f>IFERROR(__xludf.DUMMYFUNCTION("IF(ISBLANK(A224),"""",IFERROR(SPARKLINE((C224-G224)/(I224-G224),{""charttype"",""bar"";""max"",1;""min"",0;""color1"",""2c79b5""}),""n/a""))"),"")</f>
        <v/>
      </c>
      <c r="I224" s="385" t="str">
        <f>IFERROR(__xludf.DUMMYFUNCTION("IF(ISBLANK(A224),"""", googlefinance(A224, ""high52""))"),"")</f>
        <v/>
      </c>
      <c r="J224" s="387" t="s">
        <v>134</v>
      </c>
      <c r="K224" s="388" t="str">
        <f>IFERROR(__xludf.DUMMYFUNCTION("IF(ISBLANK(A224),"""", googlefinance(A224, ""PE""))"),"")</f>
        <v/>
      </c>
      <c r="L224" s="385" t="str">
        <f>IFERROR(__xludf.DUMMYFUNCTION("IF(ISBLANK(A224),"""", googlefinance(A224, ""eps""))"),"")</f>
        <v/>
      </c>
      <c r="M224" s="389" t="str">
        <f>IFERROR(__xludf.DUMMYFUNCTION("IfError(IF(isblank(A224),"""",split(Q224, ""()"")))"),"")</f>
        <v/>
      </c>
      <c r="N224" s="384"/>
      <c r="O224" s="385" t="str">
        <f t="shared" si="5"/>
        <v/>
      </c>
      <c r="P224" s="385" t="str">
        <f t="shared" si="6"/>
        <v/>
      </c>
      <c r="Q224" s="389" t="str">
        <f>IFERROR(__xludf.DUMMYFUNCTION("IfError(IF(isblank(A224),"""", substitute(index(IMPORTHTML(""http://finviz.com/quote.ashx?t=""&amp;A224,""table"", 10),7,2),""*"","""")),0)"),"")</f>
        <v/>
      </c>
    </row>
    <row r="225" ht="15.0" customHeight="1">
      <c r="A225" s="391" t="str">
        <f>'My Lab'!P186</f>
        <v/>
      </c>
      <c r="B225" s="382" t="str">
        <f>IFERROR(__xludf.DUMMYFUNCTION("IF(ISBLANK(A225),"""", googlefinance(A225, ""name""))"),"")</f>
        <v/>
      </c>
      <c r="C225" s="383" t="str">
        <f>IFERROR(__xludf.DUMMYFUNCTION("IF(ISBLANK(A225),"""", googlefinance(A225, ""price""))"),"")</f>
        <v/>
      </c>
      <c r="D225" s="383" t="str">
        <f>IFERROR(__xludf.DUMMYFUNCTION("IFERROR(googlefinance(A225,""change""),"""")"),"")</f>
        <v/>
      </c>
      <c r="E225" s="384" t="str">
        <f>IFERROR(__xludf.DUMMYFUNCTION("iferror(GOOGLEFINANCE(A225,""changepct"")/100,"""")"),"")</f>
        <v/>
      </c>
      <c r="F225" s="385" t="str">
        <f>IF(ISBLANK(A225), "", IF(COUNTIF(Positions!$A$2:$A$31, A225) &gt; 0, "Yes","No")
)</f>
        <v/>
      </c>
      <c r="G225" s="385" t="str">
        <f>IFERROR(__xludf.DUMMYFUNCTION("IF(ISBLANK(A225),"""", googlefinance(A225, ""low52""))"),"")</f>
        <v/>
      </c>
      <c r="H225" s="386" t="str">
        <f>IFERROR(__xludf.DUMMYFUNCTION("IF(ISBLANK(A225),"""",IFERROR(SPARKLINE((C225-G225)/(I225-G225),{""charttype"",""bar"";""max"",1;""min"",0;""color1"",""2c79b5""}),""n/a""))"),"")</f>
        <v/>
      </c>
      <c r="I225" s="385" t="str">
        <f>IFERROR(__xludf.DUMMYFUNCTION("IF(ISBLANK(A225),"""", googlefinance(A225, ""high52""))"),"")</f>
        <v/>
      </c>
      <c r="J225" s="387" t="s">
        <v>134</v>
      </c>
      <c r="K225" s="388" t="str">
        <f>IFERROR(__xludf.DUMMYFUNCTION("IF(ISBLANK(A225),"""", googlefinance(A225, ""PE""))"),"")</f>
        <v/>
      </c>
      <c r="L225" s="385" t="str">
        <f>IFERROR(__xludf.DUMMYFUNCTION("IF(ISBLANK(A225),"""", googlefinance(A225, ""eps""))"),"")</f>
        <v/>
      </c>
      <c r="M225" s="389" t="str">
        <f>IFERROR(__xludf.DUMMYFUNCTION("IfError(IF(isblank(A225),"""",split(Q225, ""()"")))"),"")</f>
        <v/>
      </c>
      <c r="N225" s="384"/>
      <c r="O225" s="385" t="str">
        <f t="shared" si="5"/>
        <v/>
      </c>
      <c r="P225" s="385" t="str">
        <f t="shared" si="6"/>
        <v/>
      </c>
      <c r="Q225" s="389" t="str">
        <f>IFERROR(__xludf.DUMMYFUNCTION("IfError(IF(isblank(A225),"""", substitute(index(IMPORTHTML(""http://finviz.com/quote.ashx?t=""&amp;A225,""table"", 10),7,2),""*"","""")),0)"),"")</f>
        <v/>
      </c>
    </row>
    <row r="226" ht="15.0" customHeight="1">
      <c r="A226" s="391" t="str">
        <f>'My Lab'!P187</f>
        <v/>
      </c>
      <c r="B226" s="382" t="str">
        <f>IFERROR(__xludf.DUMMYFUNCTION("IF(ISBLANK(A226),"""", googlefinance(A226, ""name""))"),"")</f>
        <v/>
      </c>
      <c r="C226" s="383" t="str">
        <f>IFERROR(__xludf.DUMMYFUNCTION("IF(ISBLANK(A226),"""", googlefinance(A226, ""price""))"),"")</f>
        <v/>
      </c>
      <c r="D226" s="383" t="str">
        <f>IFERROR(__xludf.DUMMYFUNCTION("IFERROR(googlefinance(A226,""change""),"""")"),"")</f>
        <v/>
      </c>
      <c r="E226" s="384" t="str">
        <f>IFERROR(__xludf.DUMMYFUNCTION("iferror(GOOGLEFINANCE(A226,""changepct"")/100,"""")"),"")</f>
        <v/>
      </c>
      <c r="F226" s="385" t="str">
        <f>IF(ISBLANK(A226), "", IF(COUNTIF(Positions!$A$2:$A$31, A226) &gt; 0, "Yes","No")
)</f>
        <v/>
      </c>
      <c r="G226" s="385" t="str">
        <f>IFERROR(__xludf.DUMMYFUNCTION("IF(ISBLANK(A226),"""", googlefinance(A226, ""low52""))"),"")</f>
        <v/>
      </c>
      <c r="H226" s="386" t="str">
        <f>IFERROR(__xludf.DUMMYFUNCTION("IF(ISBLANK(A226),"""",IFERROR(SPARKLINE((C226-G226)/(I226-G226),{""charttype"",""bar"";""max"",1;""min"",0;""color1"",""2c79b5""}),""n/a""))"),"")</f>
        <v/>
      </c>
      <c r="I226" s="385" t="str">
        <f>IFERROR(__xludf.DUMMYFUNCTION("IF(ISBLANK(A226),"""", googlefinance(A226, ""high52""))"),"")</f>
        <v/>
      </c>
      <c r="J226" s="387" t="s">
        <v>134</v>
      </c>
      <c r="K226" s="388" t="str">
        <f>IFERROR(__xludf.DUMMYFUNCTION("IF(ISBLANK(A226),"""", googlefinance(A226, ""PE""))"),"")</f>
        <v/>
      </c>
      <c r="L226" s="385" t="str">
        <f>IFERROR(__xludf.DUMMYFUNCTION("IF(ISBLANK(A226),"""", googlefinance(A226, ""eps""))"),"")</f>
        <v/>
      </c>
      <c r="M226" s="389" t="str">
        <f>IFERROR(__xludf.DUMMYFUNCTION("IfError(IF(isblank(A226),"""",split(Q226, ""()"")))"),"")</f>
        <v/>
      </c>
      <c r="N226" s="384"/>
      <c r="O226" s="385" t="str">
        <f t="shared" si="5"/>
        <v/>
      </c>
      <c r="P226" s="385" t="str">
        <f t="shared" si="6"/>
        <v/>
      </c>
      <c r="Q226" s="389" t="str">
        <f>IFERROR(__xludf.DUMMYFUNCTION("IfError(IF(isblank(A226),"""", substitute(index(IMPORTHTML(""http://finviz.com/quote.ashx?t=""&amp;A226,""table"", 10),7,2),""*"","""")),0)"),"")</f>
        <v/>
      </c>
    </row>
    <row r="227" ht="15.0" customHeight="1">
      <c r="A227" s="391" t="str">
        <f>'My Lab'!P188</f>
        <v/>
      </c>
      <c r="B227" s="382" t="str">
        <f>IFERROR(__xludf.DUMMYFUNCTION("IF(ISBLANK(A227),"""", googlefinance(A227, ""name""))"),"")</f>
        <v/>
      </c>
      <c r="C227" s="383" t="str">
        <f>IFERROR(__xludf.DUMMYFUNCTION("IF(ISBLANK(A227),"""", googlefinance(A227, ""price""))"),"")</f>
        <v/>
      </c>
      <c r="D227" s="383" t="str">
        <f>IFERROR(__xludf.DUMMYFUNCTION("IFERROR(googlefinance(A227,""change""),"""")"),"")</f>
        <v/>
      </c>
      <c r="E227" s="384" t="str">
        <f>IFERROR(__xludf.DUMMYFUNCTION("iferror(GOOGLEFINANCE(A227,""changepct"")/100,"""")"),"")</f>
        <v/>
      </c>
      <c r="F227" s="385" t="str">
        <f>IF(ISBLANK(A227), "", IF(COUNTIF(Positions!$A$2:$A$31, A227) &gt; 0, "Yes","No")
)</f>
        <v/>
      </c>
      <c r="G227" s="385" t="str">
        <f>IFERROR(__xludf.DUMMYFUNCTION("IF(ISBLANK(A227),"""", googlefinance(A227, ""low52""))"),"")</f>
        <v/>
      </c>
      <c r="H227" s="386" t="str">
        <f>IFERROR(__xludf.DUMMYFUNCTION("IF(ISBLANK(A227),"""",IFERROR(SPARKLINE((C227-G227)/(I227-G227),{""charttype"",""bar"";""max"",1;""min"",0;""color1"",""2c79b5""}),""n/a""))"),"")</f>
        <v/>
      </c>
      <c r="I227" s="385" t="str">
        <f>IFERROR(__xludf.DUMMYFUNCTION("IF(ISBLANK(A227),"""", googlefinance(A227, ""high52""))"),"")</f>
        <v/>
      </c>
      <c r="J227" s="387" t="s">
        <v>134</v>
      </c>
      <c r="K227" s="388" t="str">
        <f>IFERROR(__xludf.DUMMYFUNCTION("IF(ISBLANK(A227),"""", googlefinance(A227, ""PE""))"),"")</f>
        <v/>
      </c>
      <c r="L227" s="385" t="str">
        <f>IFERROR(__xludf.DUMMYFUNCTION("IF(ISBLANK(A227),"""", googlefinance(A227, ""eps""))"),"")</f>
        <v/>
      </c>
      <c r="M227" s="389" t="str">
        <f>IFERROR(__xludf.DUMMYFUNCTION("IfError(IF(isblank(A227),"""",split(Q227, ""()"")))"),"")</f>
        <v/>
      </c>
      <c r="N227" s="384"/>
      <c r="O227" s="385" t="str">
        <f t="shared" si="5"/>
        <v/>
      </c>
      <c r="P227" s="385" t="str">
        <f t="shared" si="6"/>
        <v/>
      </c>
      <c r="Q227" s="389" t="str">
        <f>IFERROR(__xludf.DUMMYFUNCTION("IfError(IF(isblank(A227),"""", substitute(index(IMPORTHTML(""http://finviz.com/quote.ashx?t=""&amp;A227,""table"", 10),7,2),""*"","""")),0)"),"")</f>
        <v/>
      </c>
    </row>
    <row r="228" ht="15.0" customHeight="1">
      <c r="A228" s="391" t="str">
        <f>'My Lab'!P189</f>
        <v/>
      </c>
      <c r="B228" s="382" t="str">
        <f>IFERROR(__xludf.DUMMYFUNCTION("IF(ISBLANK(A228),"""", googlefinance(A228, ""name""))"),"")</f>
        <v/>
      </c>
      <c r="C228" s="383" t="str">
        <f>IFERROR(__xludf.DUMMYFUNCTION("IF(ISBLANK(A228),"""", googlefinance(A228, ""price""))"),"")</f>
        <v/>
      </c>
      <c r="D228" s="383" t="str">
        <f>IFERROR(__xludf.DUMMYFUNCTION("IFERROR(googlefinance(A228,""change""),"""")"),"")</f>
        <v/>
      </c>
      <c r="E228" s="384" t="str">
        <f>IFERROR(__xludf.DUMMYFUNCTION("iferror(GOOGLEFINANCE(A228,""changepct"")/100,"""")"),"")</f>
        <v/>
      </c>
      <c r="F228" s="385" t="str">
        <f>IF(ISBLANK(A228), "", IF(COUNTIF(Positions!$A$2:$A$31, A228) &gt; 0, "Yes","No")
)</f>
        <v/>
      </c>
      <c r="G228" s="385" t="str">
        <f>IFERROR(__xludf.DUMMYFUNCTION("IF(ISBLANK(A228),"""", googlefinance(A228, ""low52""))"),"")</f>
        <v/>
      </c>
      <c r="H228" s="386" t="str">
        <f>IFERROR(__xludf.DUMMYFUNCTION("IF(ISBLANK(A228),"""",IFERROR(SPARKLINE((C228-G228)/(I228-G228),{""charttype"",""bar"";""max"",1;""min"",0;""color1"",""2c79b5""}),""n/a""))"),"")</f>
        <v/>
      </c>
      <c r="I228" s="385" t="str">
        <f>IFERROR(__xludf.DUMMYFUNCTION("IF(ISBLANK(A228),"""", googlefinance(A228, ""high52""))"),"")</f>
        <v/>
      </c>
      <c r="J228" s="387" t="s">
        <v>134</v>
      </c>
      <c r="K228" s="388" t="str">
        <f>IFERROR(__xludf.DUMMYFUNCTION("IF(ISBLANK(A228),"""", googlefinance(A228, ""PE""))"),"")</f>
        <v/>
      </c>
      <c r="L228" s="385" t="str">
        <f>IFERROR(__xludf.DUMMYFUNCTION("IF(ISBLANK(A228),"""", googlefinance(A228, ""eps""))"),"")</f>
        <v/>
      </c>
      <c r="M228" s="389" t="str">
        <f>IFERROR(__xludf.DUMMYFUNCTION("IfError(IF(isblank(A228),"""",split(Q228, ""()"")))"),"")</f>
        <v/>
      </c>
      <c r="N228" s="384"/>
      <c r="O228" s="385" t="str">
        <f t="shared" si="5"/>
        <v/>
      </c>
      <c r="P228" s="385" t="str">
        <f t="shared" si="6"/>
        <v/>
      </c>
      <c r="Q228" s="389" t="str">
        <f>IFERROR(__xludf.DUMMYFUNCTION("IfError(IF(isblank(A228),"""", substitute(index(IMPORTHTML(""http://finviz.com/quote.ashx?t=""&amp;A228,""table"", 10),7,2),""*"","""")),0)"),"")</f>
        <v/>
      </c>
    </row>
    <row r="229" ht="15.0" customHeight="1">
      <c r="A229" s="391" t="str">
        <f>'My Lab'!P190</f>
        <v/>
      </c>
      <c r="B229" s="382" t="str">
        <f>IFERROR(__xludf.DUMMYFUNCTION("IF(ISBLANK(A229),"""", googlefinance(A229, ""name""))"),"")</f>
        <v/>
      </c>
      <c r="C229" s="383" t="str">
        <f>IFERROR(__xludf.DUMMYFUNCTION("IF(ISBLANK(A229),"""", googlefinance(A229, ""price""))"),"")</f>
        <v/>
      </c>
      <c r="D229" s="383" t="str">
        <f>IFERROR(__xludf.DUMMYFUNCTION("IFERROR(googlefinance(A229,""change""),"""")"),"")</f>
        <v/>
      </c>
      <c r="E229" s="384" t="str">
        <f>IFERROR(__xludf.DUMMYFUNCTION("iferror(GOOGLEFINANCE(A229,""changepct"")/100,"""")"),"")</f>
        <v/>
      </c>
      <c r="F229" s="385" t="str">
        <f>IF(ISBLANK(A229), "", IF(COUNTIF(Positions!$A$2:$A$31, A229) &gt; 0, "Yes","No")
)</f>
        <v/>
      </c>
      <c r="G229" s="385" t="str">
        <f>IFERROR(__xludf.DUMMYFUNCTION("IF(ISBLANK(A229),"""", googlefinance(A229, ""low52""))"),"")</f>
        <v/>
      </c>
      <c r="H229" s="386" t="str">
        <f>IFERROR(__xludf.DUMMYFUNCTION("IF(ISBLANK(A229),"""",IFERROR(SPARKLINE((C229-G229)/(I229-G229),{""charttype"",""bar"";""max"",1;""min"",0;""color1"",""2c79b5""}),""n/a""))"),"")</f>
        <v/>
      </c>
      <c r="I229" s="385" t="str">
        <f>IFERROR(__xludf.DUMMYFUNCTION("IF(ISBLANK(A229),"""", googlefinance(A229, ""high52""))"),"")</f>
        <v/>
      </c>
      <c r="J229" s="387" t="s">
        <v>134</v>
      </c>
      <c r="K229" s="388" t="str">
        <f>IFERROR(__xludf.DUMMYFUNCTION("IF(ISBLANK(A229),"""", googlefinance(A229, ""PE""))"),"")</f>
        <v/>
      </c>
      <c r="L229" s="385" t="str">
        <f>IFERROR(__xludf.DUMMYFUNCTION("IF(ISBLANK(A229),"""", googlefinance(A229, ""eps""))"),"")</f>
        <v/>
      </c>
      <c r="M229" s="389" t="str">
        <f>IFERROR(__xludf.DUMMYFUNCTION("IfError(IF(isblank(A229),"""",split(Q229, ""()"")))"),"")</f>
        <v/>
      </c>
      <c r="N229" s="384"/>
      <c r="O229" s="385" t="str">
        <f t="shared" si="5"/>
        <v/>
      </c>
      <c r="P229" s="385" t="str">
        <f t="shared" si="6"/>
        <v/>
      </c>
      <c r="Q229" s="389" t="str">
        <f>IFERROR(__xludf.DUMMYFUNCTION("IfError(IF(isblank(A229),"""", substitute(index(IMPORTHTML(""http://finviz.com/quote.ashx?t=""&amp;A229,""table"", 10),7,2),""*"","""")),0)"),"")</f>
        <v/>
      </c>
    </row>
    <row r="230" ht="15.0" customHeight="1">
      <c r="A230" s="391" t="str">
        <f>'My Lab'!P191</f>
        <v/>
      </c>
      <c r="B230" s="382" t="str">
        <f>IFERROR(__xludf.DUMMYFUNCTION("IF(ISBLANK(A230),"""", googlefinance(A230, ""name""))"),"")</f>
        <v/>
      </c>
      <c r="C230" s="383" t="str">
        <f>IFERROR(__xludf.DUMMYFUNCTION("IF(ISBLANK(A230),"""", googlefinance(A230, ""price""))"),"")</f>
        <v/>
      </c>
      <c r="D230" s="383" t="str">
        <f>IFERROR(__xludf.DUMMYFUNCTION("IFERROR(googlefinance(A230,""change""),"""")"),"")</f>
        <v/>
      </c>
      <c r="E230" s="384" t="str">
        <f>IFERROR(__xludf.DUMMYFUNCTION("iferror(GOOGLEFINANCE(A230,""changepct"")/100,"""")"),"")</f>
        <v/>
      </c>
      <c r="F230" s="385" t="str">
        <f>IF(ISBLANK(A230), "", IF(COUNTIF(Positions!$A$2:$A$31, A230) &gt; 0, "Yes","No")
)</f>
        <v/>
      </c>
      <c r="G230" s="385" t="str">
        <f>IFERROR(__xludf.DUMMYFUNCTION("IF(ISBLANK(A230),"""", googlefinance(A230, ""low52""))"),"")</f>
        <v/>
      </c>
      <c r="H230" s="386" t="str">
        <f>IFERROR(__xludf.DUMMYFUNCTION("IF(ISBLANK(A230),"""",IFERROR(SPARKLINE((C230-G230)/(I230-G230),{""charttype"",""bar"";""max"",1;""min"",0;""color1"",""2c79b5""}),""n/a""))"),"")</f>
        <v/>
      </c>
      <c r="I230" s="385" t="str">
        <f>IFERROR(__xludf.DUMMYFUNCTION("IF(ISBLANK(A230),"""", googlefinance(A230, ""high52""))"),"")</f>
        <v/>
      </c>
      <c r="J230" s="387" t="s">
        <v>134</v>
      </c>
      <c r="K230" s="388" t="str">
        <f>IFERROR(__xludf.DUMMYFUNCTION("IF(ISBLANK(A230),"""", googlefinance(A230, ""PE""))"),"")</f>
        <v/>
      </c>
      <c r="L230" s="385" t="str">
        <f>IFERROR(__xludf.DUMMYFUNCTION("IF(ISBLANK(A230),"""", googlefinance(A230, ""eps""))"),"")</f>
        <v/>
      </c>
      <c r="M230" s="389" t="str">
        <f>IFERROR(__xludf.DUMMYFUNCTION("IfError(IF(isblank(A230),"""",split(Q230, ""()"")))"),"")</f>
        <v/>
      </c>
      <c r="N230" s="384"/>
      <c r="O230" s="385" t="str">
        <f t="shared" si="5"/>
        <v/>
      </c>
      <c r="P230" s="385" t="str">
        <f t="shared" si="6"/>
        <v/>
      </c>
      <c r="Q230" s="389" t="str">
        <f>IFERROR(__xludf.DUMMYFUNCTION("IfError(IF(isblank(A230),"""", substitute(index(IMPORTHTML(""http://finviz.com/quote.ashx?t=""&amp;A230,""table"", 10),7,2),""*"","""")),0)"),"")</f>
        <v/>
      </c>
    </row>
    <row r="231" ht="15.0" customHeight="1">
      <c r="A231" s="391" t="str">
        <f>'My Lab'!P192</f>
        <v/>
      </c>
      <c r="B231" s="382" t="str">
        <f>IFERROR(__xludf.DUMMYFUNCTION("IF(ISBLANK(A231),"""", googlefinance(A231, ""name""))"),"")</f>
        <v/>
      </c>
      <c r="C231" s="383" t="str">
        <f>IFERROR(__xludf.DUMMYFUNCTION("IF(ISBLANK(A231),"""", googlefinance(A231, ""price""))"),"")</f>
        <v/>
      </c>
      <c r="D231" s="383" t="str">
        <f>IFERROR(__xludf.DUMMYFUNCTION("IFERROR(googlefinance(A231,""change""),"""")"),"")</f>
        <v/>
      </c>
      <c r="E231" s="384" t="str">
        <f>IFERROR(__xludf.DUMMYFUNCTION("iferror(GOOGLEFINANCE(A231,""changepct"")/100,"""")"),"")</f>
        <v/>
      </c>
      <c r="F231" s="385" t="str">
        <f>IF(ISBLANK(A231), "", IF(COUNTIF(Positions!$A$2:$A$31, A231) &gt; 0, "Yes","No")
)</f>
        <v/>
      </c>
      <c r="G231" s="385" t="str">
        <f>IFERROR(__xludf.DUMMYFUNCTION("IF(ISBLANK(A231),"""", googlefinance(A231, ""low52""))"),"")</f>
        <v/>
      </c>
      <c r="H231" s="386" t="str">
        <f>IFERROR(__xludf.DUMMYFUNCTION("IF(ISBLANK(A231),"""",IFERROR(SPARKLINE((C231-G231)/(I231-G231),{""charttype"",""bar"";""max"",1;""min"",0;""color1"",""2c79b5""}),""n/a""))"),"")</f>
        <v/>
      </c>
      <c r="I231" s="385" t="str">
        <f>IFERROR(__xludf.DUMMYFUNCTION("IF(ISBLANK(A231),"""", googlefinance(A231, ""high52""))"),"")</f>
        <v/>
      </c>
      <c r="J231" s="387" t="s">
        <v>134</v>
      </c>
      <c r="K231" s="388" t="str">
        <f>IFERROR(__xludf.DUMMYFUNCTION("IF(ISBLANK(A231),"""", googlefinance(A231, ""PE""))"),"")</f>
        <v/>
      </c>
      <c r="L231" s="385" t="str">
        <f>IFERROR(__xludf.DUMMYFUNCTION("IF(ISBLANK(A231),"""", googlefinance(A231, ""eps""))"),"")</f>
        <v/>
      </c>
      <c r="M231" s="389" t="str">
        <f>IFERROR(__xludf.DUMMYFUNCTION("IfError(IF(isblank(A231),"""",split(Q231, ""()"")))"),"")</f>
        <v/>
      </c>
      <c r="N231" s="384"/>
      <c r="O231" s="385" t="str">
        <f t="shared" si="5"/>
        <v/>
      </c>
      <c r="P231" s="385" t="str">
        <f t="shared" si="6"/>
        <v/>
      </c>
      <c r="Q231" s="389" t="str">
        <f>IFERROR(__xludf.DUMMYFUNCTION("IfError(IF(isblank(A231),"""", substitute(index(IMPORTHTML(""http://finviz.com/quote.ashx?t=""&amp;A231,""table"", 10),7,2),""*"","""")),0)"),"")</f>
        <v/>
      </c>
    </row>
    <row r="232" ht="15.0" customHeight="1">
      <c r="A232" s="391" t="str">
        <f>'My Lab'!P193</f>
        <v/>
      </c>
      <c r="B232" s="382" t="str">
        <f>IFERROR(__xludf.DUMMYFUNCTION("IF(ISBLANK(A232),"""", googlefinance(A232, ""name""))"),"")</f>
        <v/>
      </c>
      <c r="C232" s="383" t="str">
        <f>IFERROR(__xludf.DUMMYFUNCTION("IF(ISBLANK(A232),"""", googlefinance(A232, ""price""))"),"")</f>
        <v/>
      </c>
      <c r="D232" s="383" t="str">
        <f>IFERROR(__xludf.DUMMYFUNCTION("IFERROR(googlefinance(A232,""change""),"""")"),"")</f>
        <v/>
      </c>
      <c r="E232" s="384" t="str">
        <f>IFERROR(__xludf.DUMMYFUNCTION("iferror(GOOGLEFINANCE(A232,""changepct"")/100,"""")"),"")</f>
        <v/>
      </c>
      <c r="F232" s="385" t="str">
        <f>IF(ISBLANK(A232), "", IF(COUNTIF(Positions!$A$2:$A$31, A232) &gt; 0, "Yes","No")
)</f>
        <v/>
      </c>
      <c r="G232" s="385" t="str">
        <f>IFERROR(__xludf.DUMMYFUNCTION("IF(ISBLANK(A232),"""", googlefinance(A232, ""low52""))"),"")</f>
        <v/>
      </c>
      <c r="H232" s="386" t="str">
        <f>IFERROR(__xludf.DUMMYFUNCTION("IF(ISBLANK(A232),"""",IFERROR(SPARKLINE((C232-G232)/(I232-G232),{""charttype"",""bar"";""max"",1;""min"",0;""color1"",""2c79b5""}),""n/a""))"),"")</f>
        <v/>
      </c>
      <c r="I232" s="385" t="str">
        <f>IFERROR(__xludf.DUMMYFUNCTION("IF(ISBLANK(A232),"""", googlefinance(A232, ""high52""))"),"")</f>
        <v/>
      </c>
      <c r="J232" s="387" t="s">
        <v>134</v>
      </c>
      <c r="K232" s="388" t="str">
        <f>IFERROR(__xludf.DUMMYFUNCTION("IF(ISBLANK(A232),"""", googlefinance(A232, ""PE""))"),"")</f>
        <v/>
      </c>
      <c r="L232" s="385" t="str">
        <f>IFERROR(__xludf.DUMMYFUNCTION("IF(ISBLANK(A232),"""", googlefinance(A232, ""eps""))"),"")</f>
        <v/>
      </c>
      <c r="M232" s="389" t="str">
        <f>IFERROR(__xludf.DUMMYFUNCTION("IfError(IF(isblank(A232),"""",split(Q232, ""()"")))"),"")</f>
        <v/>
      </c>
      <c r="N232" s="384"/>
      <c r="O232" s="385" t="str">
        <f t="shared" si="5"/>
        <v/>
      </c>
      <c r="P232" s="385" t="str">
        <f t="shared" si="6"/>
        <v/>
      </c>
      <c r="Q232" s="389" t="str">
        <f>IFERROR(__xludf.DUMMYFUNCTION("IfError(IF(isblank(A232),"""", substitute(index(IMPORTHTML(""http://finviz.com/quote.ashx?t=""&amp;A232,""table"", 10),7,2),""*"","""")),0)"),"")</f>
        <v/>
      </c>
    </row>
    <row r="233" ht="15.0" customHeight="1">
      <c r="A233" s="391" t="str">
        <f>'My Lab'!P194</f>
        <v/>
      </c>
      <c r="B233" s="382" t="str">
        <f>IFERROR(__xludf.DUMMYFUNCTION("IF(ISBLANK(A233),"""", googlefinance(A233, ""name""))"),"")</f>
        <v/>
      </c>
      <c r="C233" s="383" t="str">
        <f>IFERROR(__xludf.DUMMYFUNCTION("IF(ISBLANK(A233),"""", googlefinance(A233, ""price""))"),"")</f>
        <v/>
      </c>
      <c r="D233" s="383" t="str">
        <f>IFERROR(__xludf.DUMMYFUNCTION("IFERROR(googlefinance(A233,""change""),"""")"),"")</f>
        <v/>
      </c>
      <c r="E233" s="384" t="str">
        <f>IFERROR(__xludf.DUMMYFUNCTION("iferror(GOOGLEFINANCE(A233,""changepct"")/100,"""")"),"")</f>
        <v/>
      </c>
      <c r="F233" s="385" t="str">
        <f>IF(ISBLANK(A233), "", IF(COUNTIF(Positions!$A$2:$A$31, A233) &gt; 0, "Yes","No")
)</f>
        <v/>
      </c>
      <c r="G233" s="385" t="str">
        <f>IFERROR(__xludf.DUMMYFUNCTION("IF(ISBLANK(A233),"""", googlefinance(A233, ""low52""))"),"")</f>
        <v/>
      </c>
      <c r="H233" s="386" t="str">
        <f>IFERROR(__xludf.DUMMYFUNCTION("IF(ISBLANK(A233),"""",IFERROR(SPARKLINE((C233-G233)/(I233-G233),{""charttype"",""bar"";""max"",1;""min"",0;""color1"",""2c79b5""}),""n/a""))"),"")</f>
        <v/>
      </c>
      <c r="I233" s="385" t="str">
        <f>IFERROR(__xludf.DUMMYFUNCTION("IF(ISBLANK(A233),"""", googlefinance(A233, ""high52""))"),"")</f>
        <v/>
      </c>
      <c r="J233" s="387" t="s">
        <v>134</v>
      </c>
      <c r="K233" s="388" t="str">
        <f>IFERROR(__xludf.DUMMYFUNCTION("IF(ISBLANK(A233),"""", googlefinance(A233, ""PE""))"),"")</f>
        <v/>
      </c>
      <c r="L233" s="385" t="str">
        <f>IFERROR(__xludf.DUMMYFUNCTION("IF(ISBLANK(A233),"""", googlefinance(A233, ""eps""))"),"")</f>
        <v/>
      </c>
      <c r="M233" s="389" t="str">
        <f>IFERROR(__xludf.DUMMYFUNCTION("IfError(IF(isblank(A233),"""",split(Q233, ""()"")))"),"")</f>
        <v/>
      </c>
      <c r="N233" s="384"/>
      <c r="O233" s="385" t="str">
        <f t="shared" si="5"/>
        <v/>
      </c>
      <c r="P233" s="385" t="str">
        <f t="shared" si="6"/>
        <v/>
      </c>
      <c r="Q233" s="389" t="str">
        <f>IFERROR(__xludf.DUMMYFUNCTION("IfError(IF(isblank(A233),"""", substitute(index(IMPORTHTML(""http://finviz.com/quote.ashx?t=""&amp;A233,""table"", 10),7,2),""*"","""")),0)"),"")</f>
        <v/>
      </c>
    </row>
    <row r="234" ht="15.0" customHeight="1">
      <c r="A234" s="391" t="str">
        <f>'My Lab'!P195</f>
        <v/>
      </c>
      <c r="B234" s="382" t="str">
        <f>IFERROR(__xludf.DUMMYFUNCTION("IF(ISBLANK(A234),"""", googlefinance(A234, ""name""))"),"")</f>
        <v/>
      </c>
      <c r="C234" s="383" t="str">
        <f>IFERROR(__xludf.DUMMYFUNCTION("IF(ISBLANK(A234),"""", googlefinance(A234, ""price""))"),"")</f>
        <v/>
      </c>
      <c r="D234" s="383" t="str">
        <f>IFERROR(__xludf.DUMMYFUNCTION("IFERROR(googlefinance(A234,""change""),"""")"),"")</f>
        <v/>
      </c>
      <c r="E234" s="384" t="str">
        <f>IFERROR(__xludf.DUMMYFUNCTION("iferror(GOOGLEFINANCE(A234,""changepct"")/100,"""")"),"")</f>
        <v/>
      </c>
      <c r="F234" s="385" t="str">
        <f>IF(ISBLANK(A234), "", IF(COUNTIF(Positions!$A$2:$A$31, A234) &gt; 0, "Yes","No")
)</f>
        <v/>
      </c>
      <c r="G234" s="385" t="str">
        <f>IFERROR(__xludf.DUMMYFUNCTION("IF(ISBLANK(A234),"""", googlefinance(A234, ""low52""))"),"")</f>
        <v/>
      </c>
      <c r="H234" s="386" t="str">
        <f>IFERROR(__xludf.DUMMYFUNCTION("IF(ISBLANK(A234),"""",IFERROR(SPARKLINE((C234-G234)/(I234-G234),{""charttype"",""bar"";""max"",1;""min"",0;""color1"",""2c79b5""}),""n/a""))"),"")</f>
        <v/>
      </c>
      <c r="I234" s="385" t="str">
        <f>IFERROR(__xludf.DUMMYFUNCTION("IF(ISBLANK(A234),"""", googlefinance(A234, ""high52""))"),"")</f>
        <v/>
      </c>
      <c r="J234" s="387" t="s">
        <v>134</v>
      </c>
      <c r="K234" s="388" t="str">
        <f>IFERROR(__xludf.DUMMYFUNCTION("IF(ISBLANK(A234),"""", googlefinance(A234, ""PE""))"),"")</f>
        <v/>
      </c>
      <c r="L234" s="385" t="str">
        <f>IFERROR(__xludf.DUMMYFUNCTION("IF(ISBLANK(A234),"""", googlefinance(A234, ""eps""))"),"")</f>
        <v/>
      </c>
      <c r="M234" s="389" t="str">
        <f>IFERROR(__xludf.DUMMYFUNCTION("IfError(IF(isblank(A234),"""",split(Q234, ""()"")))"),"")</f>
        <v/>
      </c>
      <c r="N234" s="384"/>
      <c r="O234" s="385" t="str">
        <f t="shared" si="5"/>
        <v/>
      </c>
      <c r="P234" s="385" t="str">
        <f t="shared" si="6"/>
        <v/>
      </c>
      <c r="Q234" s="389" t="str">
        <f>IFERROR(__xludf.DUMMYFUNCTION("IfError(IF(isblank(A234),"""", substitute(index(IMPORTHTML(""http://finviz.com/quote.ashx?t=""&amp;A234,""table"", 10),7,2),""*"","""")),0)"),"")</f>
        <v/>
      </c>
    </row>
    <row r="235" ht="15.0" customHeight="1">
      <c r="A235" s="391" t="str">
        <f>'My Lab'!P196</f>
        <v/>
      </c>
      <c r="B235" s="382" t="str">
        <f>IFERROR(__xludf.DUMMYFUNCTION("IF(ISBLANK(A235),"""", googlefinance(A235, ""name""))"),"")</f>
        <v/>
      </c>
      <c r="C235" s="383" t="str">
        <f>IFERROR(__xludf.DUMMYFUNCTION("IF(ISBLANK(A235),"""", googlefinance(A235, ""price""))"),"")</f>
        <v/>
      </c>
      <c r="D235" s="383" t="str">
        <f>IFERROR(__xludf.DUMMYFUNCTION("IFERROR(googlefinance(A235,""change""),"""")"),"")</f>
        <v/>
      </c>
      <c r="E235" s="384" t="str">
        <f>IFERROR(__xludf.DUMMYFUNCTION("iferror(GOOGLEFINANCE(A235,""changepct"")/100,"""")"),"")</f>
        <v/>
      </c>
      <c r="F235" s="385" t="str">
        <f>IF(ISBLANK(A235), "", IF(COUNTIF(Positions!$A$2:$A$31, A235) &gt; 0, "Yes","No")
)</f>
        <v/>
      </c>
      <c r="G235" s="385" t="str">
        <f>IFERROR(__xludf.DUMMYFUNCTION("IF(ISBLANK(A235),"""", googlefinance(A235, ""low52""))"),"")</f>
        <v/>
      </c>
      <c r="H235" s="386" t="str">
        <f>IFERROR(__xludf.DUMMYFUNCTION("IF(ISBLANK(A235),"""",IFERROR(SPARKLINE((C235-G235)/(I235-G235),{""charttype"",""bar"";""max"",1;""min"",0;""color1"",""2c79b5""}),""n/a""))"),"")</f>
        <v/>
      </c>
      <c r="I235" s="385" t="str">
        <f>IFERROR(__xludf.DUMMYFUNCTION("IF(ISBLANK(A235),"""", googlefinance(A235, ""high52""))"),"")</f>
        <v/>
      </c>
      <c r="J235" s="387" t="s">
        <v>134</v>
      </c>
      <c r="K235" s="388" t="str">
        <f>IFERROR(__xludf.DUMMYFUNCTION("IF(ISBLANK(A235),"""", googlefinance(A235, ""PE""))"),"")</f>
        <v/>
      </c>
      <c r="L235" s="385" t="str">
        <f>IFERROR(__xludf.DUMMYFUNCTION("IF(ISBLANK(A235),"""", googlefinance(A235, ""eps""))"),"")</f>
        <v/>
      </c>
      <c r="M235" s="389" t="str">
        <f>IFERROR(__xludf.DUMMYFUNCTION("IfError(IF(isblank(A235),"""",split(Q235, ""()"")))"),"")</f>
        <v/>
      </c>
      <c r="N235" s="384"/>
      <c r="O235" s="385" t="str">
        <f t="shared" si="5"/>
        <v/>
      </c>
      <c r="P235" s="385" t="str">
        <f t="shared" si="6"/>
        <v/>
      </c>
      <c r="Q235" s="389" t="str">
        <f>IFERROR(__xludf.DUMMYFUNCTION("IfError(IF(isblank(A235),"""", substitute(index(IMPORTHTML(""http://finviz.com/quote.ashx?t=""&amp;A235,""table"", 10),7,2),""*"","""")),0)"),"")</f>
        <v/>
      </c>
    </row>
    <row r="236" ht="15.0" customHeight="1">
      <c r="A236" s="391" t="str">
        <f>'My Lab'!P197</f>
        <v/>
      </c>
      <c r="B236" s="382" t="str">
        <f>IFERROR(__xludf.DUMMYFUNCTION("IF(ISBLANK(A236),"""", googlefinance(A236, ""name""))"),"")</f>
        <v/>
      </c>
      <c r="C236" s="383" t="str">
        <f>IFERROR(__xludf.DUMMYFUNCTION("IF(ISBLANK(A236),"""", googlefinance(A236, ""price""))"),"")</f>
        <v/>
      </c>
      <c r="D236" s="383" t="str">
        <f>IFERROR(__xludf.DUMMYFUNCTION("IFERROR(googlefinance(A236,""change""),"""")"),"")</f>
        <v/>
      </c>
      <c r="E236" s="384" t="str">
        <f>IFERROR(__xludf.DUMMYFUNCTION("iferror(GOOGLEFINANCE(A236,""changepct"")/100,"""")"),"")</f>
        <v/>
      </c>
      <c r="F236" s="385" t="str">
        <f>IF(ISBLANK(A236), "", IF(COUNTIF(Positions!$A$2:$A$31, A236) &gt; 0, "Yes","No")
)</f>
        <v/>
      </c>
      <c r="G236" s="385" t="str">
        <f>IFERROR(__xludf.DUMMYFUNCTION("IF(ISBLANK(A236),"""", googlefinance(A236, ""low52""))"),"")</f>
        <v/>
      </c>
      <c r="H236" s="386" t="str">
        <f>IFERROR(__xludf.DUMMYFUNCTION("IF(ISBLANK(A236),"""",IFERROR(SPARKLINE((C236-G236)/(I236-G236),{""charttype"",""bar"";""max"",1;""min"",0;""color1"",""2c79b5""}),""n/a""))"),"")</f>
        <v/>
      </c>
      <c r="I236" s="385" t="str">
        <f>IFERROR(__xludf.DUMMYFUNCTION("IF(ISBLANK(A236),"""", googlefinance(A236, ""high52""))"),"")</f>
        <v/>
      </c>
      <c r="J236" s="387" t="s">
        <v>134</v>
      </c>
      <c r="K236" s="388" t="str">
        <f>IFERROR(__xludf.DUMMYFUNCTION("IF(ISBLANK(A236),"""", googlefinance(A236, ""PE""))"),"")</f>
        <v/>
      </c>
      <c r="L236" s="385" t="str">
        <f>IFERROR(__xludf.DUMMYFUNCTION("IF(ISBLANK(A236),"""", googlefinance(A236, ""eps""))"),"")</f>
        <v/>
      </c>
      <c r="M236" s="389" t="str">
        <f>IFERROR(__xludf.DUMMYFUNCTION("IfError(IF(isblank(A236),"""",split(Q236, ""()"")))"),"")</f>
        <v/>
      </c>
      <c r="N236" s="384"/>
      <c r="O236" s="385" t="str">
        <f t="shared" si="5"/>
        <v/>
      </c>
      <c r="P236" s="385" t="str">
        <f t="shared" si="6"/>
        <v/>
      </c>
      <c r="Q236" s="389" t="str">
        <f>IFERROR(__xludf.DUMMYFUNCTION("IfError(IF(isblank(A236),"""", substitute(index(IMPORTHTML(""http://finviz.com/quote.ashx?t=""&amp;A236,""table"", 10),7,2),""*"","""")),0)"),"")</f>
        <v/>
      </c>
    </row>
    <row r="237" ht="15.0" customHeight="1">
      <c r="A237" s="391" t="str">
        <f>'My Lab'!P198</f>
        <v/>
      </c>
      <c r="B237" s="382" t="str">
        <f>IFERROR(__xludf.DUMMYFUNCTION("IF(ISBLANK(A237),"""", googlefinance(A237, ""name""))"),"")</f>
        <v/>
      </c>
      <c r="C237" s="383" t="str">
        <f>IFERROR(__xludf.DUMMYFUNCTION("IF(ISBLANK(A237),"""", googlefinance(A237, ""price""))"),"")</f>
        <v/>
      </c>
      <c r="D237" s="383" t="str">
        <f>IFERROR(__xludf.DUMMYFUNCTION("IFERROR(googlefinance(A237,""change""),"""")"),"")</f>
        <v/>
      </c>
      <c r="E237" s="384" t="str">
        <f>IFERROR(__xludf.DUMMYFUNCTION("iferror(GOOGLEFINANCE(A237,""changepct"")/100,"""")"),"")</f>
        <v/>
      </c>
      <c r="F237" s="385" t="str">
        <f>IF(ISBLANK(A237), "", IF(COUNTIF(Positions!$A$2:$A$31, A237) &gt; 0, "Yes","No")
)</f>
        <v/>
      </c>
      <c r="G237" s="385" t="str">
        <f>IFERROR(__xludf.DUMMYFUNCTION("IF(ISBLANK(A237),"""", googlefinance(A237, ""low52""))"),"")</f>
        <v/>
      </c>
      <c r="H237" s="386" t="str">
        <f>IFERROR(__xludf.DUMMYFUNCTION("IF(ISBLANK(A237),"""",IFERROR(SPARKLINE((C237-G237)/(I237-G237),{""charttype"",""bar"";""max"",1;""min"",0;""color1"",""2c79b5""}),""n/a""))"),"")</f>
        <v/>
      </c>
      <c r="I237" s="385" t="str">
        <f>IFERROR(__xludf.DUMMYFUNCTION("IF(ISBLANK(A237),"""", googlefinance(A237, ""high52""))"),"")</f>
        <v/>
      </c>
      <c r="J237" s="387" t="s">
        <v>134</v>
      </c>
      <c r="K237" s="388" t="str">
        <f>IFERROR(__xludf.DUMMYFUNCTION("IF(ISBLANK(A237),"""", googlefinance(A237, ""PE""))"),"")</f>
        <v/>
      </c>
      <c r="L237" s="385" t="str">
        <f>IFERROR(__xludf.DUMMYFUNCTION("IF(ISBLANK(A237),"""", googlefinance(A237, ""eps""))"),"")</f>
        <v/>
      </c>
      <c r="M237" s="389" t="str">
        <f>IFERROR(__xludf.DUMMYFUNCTION("IfError(IF(isblank(A237),"""",split(Q237, ""()"")))"),"")</f>
        <v/>
      </c>
      <c r="N237" s="384"/>
      <c r="O237" s="385" t="str">
        <f t="shared" si="5"/>
        <v/>
      </c>
      <c r="P237" s="385" t="str">
        <f t="shared" si="6"/>
        <v/>
      </c>
      <c r="Q237" s="389" t="str">
        <f>IFERROR(__xludf.DUMMYFUNCTION("IfError(IF(isblank(A237),"""", substitute(index(IMPORTHTML(""http://finviz.com/quote.ashx?t=""&amp;A237,""table"", 10),7,2),""*"","""")),0)"),"")</f>
        <v/>
      </c>
    </row>
    <row r="238" ht="15.0" customHeight="1">
      <c r="A238" s="391" t="str">
        <f>'My Lab'!P199</f>
        <v/>
      </c>
      <c r="B238" s="382" t="str">
        <f>IFERROR(__xludf.DUMMYFUNCTION("IF(ISBLANK(A238),"""", googlefinance(A238, ""name""))"),"")</f>
        <v/>
      </c>
      <c r="C238" s="383" t="str">
        <f>IFERROR(__xludf.DUMMYFUNCTION("IF(ISBLANK(A238),"""", googlefinance(A238, ""price""))"),"")</f>
        <v/>
      </c>
      <c r="D238" s="383" t="str">
        <f>IFERROR(__xludf.DUMMYFUNCTION("IFERROR(googlefinance(A238,""change""),"""")"),"")</f>
        <v/>
      </c>
      <c r="E238" s="384" t="str">
        <f>IFERROR(__xludf.DUMMYFUNCTION("iferror(GOOGLEFINANCE(A238,""changepct"")/100,"""")"),"")</f>
        <v/>
      </c>
      <c r="F238" s="385" t="str">
        <f>IF(ISBLANK(A238), "", IF(COUNTIF(Positions!$A$2:$A$31, A238) &gt; 0, "Yes","No")
)</f>
        <v/>
      </c>
      <c r="G238" s="385" t="str">
        <f>IFERROR(__xludf.DUMMYFUNCTION("IF(ISBLANK(A238),"""", googlefinance(A238, ""low52""))"),"")</f>
        <v/>
      </c>
      <c r="H238" s="386" t="str">
        <f>IFERROR(__xludf.DUMMYFUNCTION("IF(ISBLANK(A238),"""",IFERROR(SPARKLINE((C238-G238)/(I238-G238),{""charttype"",""bar"";""max"",1;""min"",0;""color1"",""2c79b5""}),""n/a""))"),"")</f>
        <v/>
      </c>
      <c r="I238" s="385" t="str">
        <f>IFERROR(__xludf.DUMMYFUNCTION("IF(ISBLANK(A238),"""", googlefinance(A238, ""high52""))"),"")</f>
        <v/>
      </c>
      <c r="J238" s="387" t="s">
        <v>134</v>
      </c>
      <c r="K238" s="388" t="str">
        <f>IFERROR(__xludf.DUMMYFUNCTION("IF(ISBLANK(A238),"""", googlefinance(A238, ""PE""))"),"")</f>
        <v/>
      </c>
      <c r="L238" s="385" t="str">
        <f>IFERROR(__xludf.DUMMYFUNCTION("IF(ISBLANK(A238),"""", googlefinance(A238, ""eps""))"),"")</f>
        <v/>
      </c>
      <c r="M238" s="389" t="str">
        <f>IFERROR(__xludf.DUMMYFUNCTION("IfError(IF(isblank(A238),"""",split(Q238, ""()"")))"),"")</f>
        <v/>
      </c>
      <c r="N238" s="384"/>
      <c r="O238" s="385" t="str">
        <f t="shared" si="5"/>
        <v/>
      </c>
      <c r="P238" s="385" t="str">
        <f t="shared" si="6"/>
        <v/>
      </c>
      <c r="Q238" s="389" t="str">
        <f>IFERROR(__xludf.DUMMYFUNCTION("IfError(IF(isblank(A238),"""", substitute(index(IMPORTHTML(""http://finviz.com/quote.ashx?t=""&amp;A238,""table"", 10),7,2),""*"","""")),0)"),"")</f>
        <v/>
      </c>
    </row>
    <row r="239" ht="15.0" customHeight="1">
      <c r="A239" s="391" t="str">
        <f>'My Lab'!P200</f>
        <v/>
      </c>
      <c r="B239" s="382" t="str">
        <f>IFERROR(__xludf.DUMMYFUNCTION("IF(ISBLANK(A239),"""", googlefinance(A239, ""name""))"),"")</f>
        <v/>
      </c>
      <c r="C239" s="383" t="str">
        <f>IFERROR(__xludf.DUMMYFUNCTION("IF(ISBLANK(A239),"""", googlefinance(A239, ""price""))"),"")</f>
        <v/>
      </c>
      <c r="D239" s="383" t="str">
        <f>IFERROR(__xludf.DUMMYFUNCTION("IFERROR(googlefinance(A239,""change""),"""")"),"")</f>
        <v/>
      </c>
      <c r="E239" s="384" t="str">
        <f>IFERROR(__xludf.DUMMYFUNCTION("iferror(GOOGLEFINANCE(A239,""changepct"")/100,"""")"),"")</f>
        <v/>
      </c>
      <c r="F239" s="385" t="str">
        <f>IF(ISBLANK(A239), "", IF(COUNTIF(Positions!$A$2:$A$31, A239) &gt; 0, "Yes","No")
)</f>
        <v/>
      </c>
      <c r="G239" s="385" t="str">
        <f>IFERROR(__xludf.DUMMYFUNCTION("IF(ISBLANK(A239),"""", googlefinance(A239, ""low52""))"),"")</f>
        <v/>
      </c>
      <c r="H239" s="386" t="str">
        <f>IFERROR(__xludf.DUMMYFUNCTION("IF(ISBLANK(A239),"""",IFERROR(SPARKLINE((C239-G239)/(I239-G239),{""charttype"",""bar"";""max"",1;""min"",0;""color1"",""2c79b5""}),""n/a""))"),"")</f>
        <v/>
      </c>
      <c r="I239" s="385" t="str">
        <f>IFERROR(__xludf.DUMMYFUNCTION("IF(ISBLANK(A239),"""", googlefinance(A239, ""high52""))"),"")</f>
        <v/>
      </c>
      <c r="J239" s="387" t="s">
        <v>134</v>
      </c>
      <c r="K239" s="388" t="str">
        <f>IFERROR(__xludf.DUMMYFUNCTION("IF(ISBLANK(A239),"""", googlefinance(A239, ""PE""))"),"")</f>
        <v/>
      </c>
      <c r="L239" s="385" t="str">
        <f>IFERROR(__xludf.DUMMYFUNCTION("IF(ISBLANK(A239),"""", googlefinance(A239, ""eps""))"),"")</f>
        <v/>
      </c>
      <c r="M239" s="389" t="str">
        <f>IFERROR(__xludf.DUMMYFUNCTION("IfError(IF(isblank(A239),"""",split(Q239, ""()"")))"),"")</f>
        <v/>
      </c>
      <c r="N239" s="384"/>
      <c r="O239" s="385" t="str">
        <f t="shared" si="5"/>
        <v/>
      </c>
      <c r="P239" s="385" t="str">
        <f t="shared" si="6"/>
        <v/>
      </c>
      <c r="Q239" s="389" t="str">
        <f>IFERROR(__xludf.DUMMYFUNCTION("IfError(IF(isblank(A239),"""", substitute(index(IMPORTHTML(""http://finviz.com/quote.ashx?t=""&amp;A239,""table"", 10),7,2),""*"","""")),0)"),"")</f>
        <v/>
      </c>
    </row>
    <row r="240" ht="15.0" customHeight="1">
      <c r="A240" s="391" t="str">
        <f>'My Lab'!P201</f>
        <v/>
      </c>
      <c r="B240" s="382" t="str">
        <f>IFERROR(__xludf.DUMMYFUNCTION("IF(ISBLANK(A240),"""", googlefinance(A240, ""name""))"),"")</f>
        <v/>
      </c>
      <c r="C240" s="383" t="str">
        <f>IFERROR(__xludf.DUMMYFUNCTION("IF(ISBLANK(A240),"""", googlefinance(A240, ""price""))"),"")</f>
        <v/>
      </c>
      <c r="D240" s="383" t="str">
        <f>IFERROR(__xludf.DUMMYFUNCTION("IFERROR(googlefinance(A240,""change""),"""")"),"")</f>
        <v/>
      </c>
      <c r="E240" s="384" t="str">
        <f>IFERROR(__xludf.DUMMYFUNCTION("iferror(GOOGLEFINANCE(A240,""changepct"")/100,"""")"),"")</f>
        <v/>
      </c>
      <c r="F240" s="385" t="str">
        <f>IF(ISBLANK(A240), "", IF(COUNTIF(Positions!$A$2:$A$31, A240) &gt; 0, "Yes","No")
)</f>
        <v/>
      </c>
      <c r="G240" s="385" t="str">
        <f>IFERROR(__xludf.DUMMYFUNCTION("IF(ISBLANK(A240),"""", googlefinance(A240, ""low52""))"),"")</f>
        <v/>
      </c>
      <c r="H240" s="386" t="str">
        <f>IFERROR(__xludf.DUMMYFUNCTION("IF(ISBLANK(A240),"""",IFERROR(SPARKLINE((C240-G240)/(I240-G240),{""charttype"",""bar"";""max"",1;""min"",0;""color1"",""2c79b5""}),""n/a""))"),"")</f>
        <v/>
      </c>
      <c r="I240" s="385" t="str">
        <f>IFERROR(__xludf.DUMMYFUNCTION("IF(ISBLANK(A240),"""", googlefinance(A240, ""high52""))"),"")</f>
        <v/>
      </c>
      <c r="J240" s="387" t="s">
        <v>134</v>
      </c>
      <c r="K240" s="388" t="str">
        <f>IFERROR(__xludf.DUMMYFUNCTION("IF(ISBLANK(A240),"""", googlefinance(A240, ""PE""))"),"")</f>
        <v/>
      </c>
      <c r="L240" s="385" t="str">
        <f>IFERROR(__xludf.DUMMYFUNCTION("IF(ISBLANK(A240),"""", googlefinance(A240, ""eps""))"),"")</f>
        <v/>
      </c>
      <c r="M240" s="389" t="str">
        <f>IFERROR(__xludf.DUMMYFUNCTION("IfError(IF(isblank(A240),"""",split(Q240, ""()"")))"),"")</f>
        <v/>
      </c>
      <c r="N240" s="384"/>
      <c r="O240" s="385" t="str">
        <f t="shared" si="5"/>
        <v/>
      </c>
      <c r="P240" s="385" t="str">
        <f t="shared" si="6"/>
        <v/>
      </c>
      <c r="Q240" s="389" t="str">
        <f>IFERROR(__xludf.DUMMYFUNCTION("IfError(IF(isblank(A240),"""", substitute(index(IMPORTHTML(""http://finviz.com/quote.ashx?t=""&amp;A240,""table"", 10),7,2),""*"","""")),0)"),"")</f>
        <v/>
      </c>
    </row>
    <row r="241" ht="15.0" customHeight="1">
      <c r="A241" s="391" t="str">
        <f>'My Lab'!P202</f>
        <v/>
      </c>
      <c r="B241" s="382" t="str">
        <f>IFERROR(__xludf.DUMMYFUNCTION("IF(ISBLANK(A241),"""", googlefinance(A241, ""name""))"),"")</f>
        <v/>
      </c>
      <c r="C241" s="383" t="str">
        <f>IFERROR(__xludf.DUMMYFUNCTION("IF(ISBLANK(A241),"""", googlefinance(A241, ""price""))"),"")</f>
        <v/>
      </c>
      <c r="D241" s="383" t="str">
        <f>IFERROR(__xludf.DUMMYFUNCTION("IFERROR(googlefinance(A241,""change""),"""")"),"")</f>
        <v/>
      </c>
      <c r="E241" s="384" t="str">
        <f>IFERROR(__xludf.DUMMYFUNCTION("iferror(GOOGLEFINANCE(A241,""changepct"")/100,"""")"),"")</f>
        <v/>
      </c>
      <c r="F241" s="385" t="str">
        <f>IF(ISBLANK(A241), "", IF(COUNTIF(Positions!$A$2:$A$31, A241) &gt; 0, "Yes","No")
)</f>
        <v/>
      </c>
      <c r="G241" s="385" t="str">
        <f>IFERROR(__xludf.DUMMYFUNCTION("IF(ISBLANK(A241),"""", googlefinance(A241, ""low52""))"),"")</f>
        <v/>
      </c>
      <c r="H241" s="386" t="str">
        <f>IFERROR(__xludf.DUMMYFUNCTION("IF(ISBLANK(A241),"""",IFERROR(SPARKLINE((C241-G241)/(I241-G241),{""charttype"",""bar"";""max"",1;""min"",0;""color1"",""2c79b5""}),""n/a""))"),"")</f>
        <v/>
      </c>
      <c r="I241" s="385" t="str">
        <f>IFERROR(__xludf.DUMMYFUNCTION("IF(ISBLANK(A241),"""", googlefinance(A241, ""high52""))"),"")</f>
        <v/>
      </c>
      <c r="J241" s="387" t="s">
        <v>134</v>
      </c>
      <c r="K241" s="388" t="str">
        <f>IFERROR(__xludf.DUMMYFUNCTION("IF(ISBLANK(A241),"""", googlefinance(A241, ""PE""))"),"")</f>
        <v/>
      </c>
      <c r="L241" s="385" t="str">
        <f>IFERROR(__xludf.DUMMYFUNCTION("IF(ISBLANK(A241),"""", googlefinance(A241, ""eps""))"),"")</f>
        <v/>
      </c>
      <c r="M241" s="389" t="str">
        <f>IFERROR(__xludf.DUMMYFUNCTION("IfError(IF(isblank(A241),"""",split(Q241, ""()"")))"),"")</f>
        <v/>
      </c>
      <c r="N241" s="384"/>
      <c r="O241" s="385" t="str">
        <f t="shared" si="5"/>
        <v/>
      </c>
      <c r="P241" s="385" t="str">
        <f t="shared" si="6"/>
        <v/>
      </c>
      <c r="Q241" s="389" t="str">
        <f>IFERROR(__xludf.DUMMYFUNCTION("IfError(IF(isblank(A241),"""", substitute(index(IMPORTHTML(""http://finviz.com/quote.ashx?t=""&amp;A241,""table"", 10),7,2),""*"","""")),0)"),"")</f>
        <v/>
      </c>
    </row>
    <row r="242" ht="15.0" customHeight="1">
      <c r="A242" s="391" t="str">
        <f>'My Lab'!P203</f>
        <v/>
      </c>
      <c r="B242" s="382" t="str">
        <f>IFERROR(__xludf.DUMMYFUNCTION("IF(ISBLANK(A242),"""", googlefinance(A242, ""name""))"),"")</f>
        <v/>
      </c>
      <c r="C242" s="383" t="str">
        <f>IFERROR(__xludf.DUMMYFUNCTION("IF(ISBLANK(A242),"""", googlefinance(A242, ""price""))"),"")</f>
        <v/>
      </c>
      <c r="D242" s="383" t="str">
        <f>IFERROR(__xludf.DUMMYFUNCTION("IFERROR(googlefinance(A242,""change""),"""")"),"")</f>
        <v/>
      </c>
      <c r="E242" s="384" t="str">
        <f>IFERROR(__xludf.DUMMYFUNCTION("iferror(GOOGLEFINANCE(A242,""changepct"")/100,"""")"),"")</f>
        <v/>
      </c>
      <c r="F242" s="385" t="str">
        <f>IF(ISBLANK(A242), "", IF(COUNTIF(Positions!$A$2:$A$31, A242) &gt; 0, "Yes","No")
)</f>
        <v/>
      </c>
      <c r="G242" s="385" t="str">
        <f>IFERROR(__xludf.DUMMYFUNCTION("IF(ISBLANK(A242),"""", googlefinance(A242, ""low52""))"),"")</f>
        <v/>
      </c>
      <c r="H242" s="386" t="str">
        <f>IFERROR(__xludf.DUMMYFUNCTION("IF(ISBLANK(A242),"""",IFERROR(SPARKLINE((C242-G242)/(I242-G242),{""charttype"",""bar"";""max"",1;""min"",0;""color1"",""2c79b5""}),""n/a""))"),"")</f>
        <v/>
      </c>
      <c r="I242" s="385" t="str">
        <f>IFERROR(__xludf.DUMMYFUNCTION("IF(ISBLANK(A242),"""", googlefinance(A242, ""high52""))"),"")</f>
        <v/>
      </c>
      <c r="J242" s="387" t="s">
        <v>134</v>
      </c>
      <c r="K242" s="388" t="str">
        <f>IFERROR(__xludf.DUMMYFUNCTION("IF(ISBLANK(A242),"""", googlefinance(A242, ""PE""))"),"")</f>
        <v/>
      </c>
      <c r="L242" s="385" t="str">
        <f>IFERROR(__xludf.DUMMYFUNCTION("IF(ISBLANK(A242),"""", googlefinance(A242, ""eps""))"),"")</f>
        <v/>
      </c>
      <c r="M242" s="389" t="str">
        <f>IFERROR(__xludf.DUMMYFUNCTION("IfError(IF(isblank(A242),"""",split(Q242, ""()"")))"),"")</f>
        <v/>
      </c>
      <c r="N242" s="384"/>
      <c r="O242" s="385" t="str">
        <f t="shared" si="5"/>
        <v/>
      </c>
      <c r="P242" s="385" t="str">
        <f t="shared" si="6"/>
        <v/>
      </c>
      <c r="Q242" s="389" t="str">
        <f>IFERROR(__xludf.DUMMYFUNCTION("IfError(IF(isblank(A242),"""", substitute(index(IMPORTHTML(""http://finviz.com/quote.ashx?t=""&amp;A242,""table"", 10),7,2),""*"","""")),0)"),"")</f>
        <v/>
      </c>
    </row>
    <row r="243" ht="15.0" customHeight="1">
      <c r="A243" s="391" t="str">
        <f>'My Lab'!P204</f>
        <v/>
      </c>
      <c r="B243" s="382" t="str">
        <f>IFERROR(__xludf.DUMMYFUNCTION("IF(ISBLANK(A243),"""", googlefinance(A243, ""name""))"),"")</f>
        <v/>
      </c>
      <c r="C243" s="383" t="str">
        <f>IFERROR(__xludf.DUMMYFUNCTION("IF(ISBLANK(A243),"""", googlefinance(A243, ""price""))"),"")</f>
        <v/>
      </c>
      <c r="D243" s="383" t="str">
        <f>IFERROR(__xludf.DUMMYFUNCTION("IFERROR(googlefinance(A243,""change""),"""")"),"")</f>
        <v/>
      </c>
      <c r="E243" s="384" t="str">
        <f>IFERROR(__xludf.DUMMYFUNCTION("iferror(GOOGLEFINANCE(A243,""changepct"")/100,"""")"),"")</f>
        <v/>
      </c>
      <c r="F243" s="385" t="str">
        <f>IF(ISBLANK(A243), "", IF(COUNTIF(Positions!$A$2:$A$31, A243) &gt; 0, "Yes","No")
)</f>
        <v/>
      </c>
      <c r="G243" s="385" t="str">
        <f>IFERROR(__xludf.DUMMYFUNCTION("IF(ISBLANK(A243),"""", googlefinance(A243, ""low52""))"),"")</f>
        <v/>
      </c>
      <c r="H243" s="386" t="str">
        <f>IFERROR(__xludf.DUMMYFUNCTION("IF(ISBLANK(A243),"""",IFERROR(SPARKLINE((C243-G243)/(I243-G243),{""charttype"",""bar"";""max"",1;""min"",0;""color1"",""2c79b5""}),""n/a""))"),"")</f>
        <v/>
      </c>
      <c r="I243" s="385" t="str">
        <f>IFERROR(__xludf.DUMMYFUNCTION("IF(ISBLANK(A243),"""", googlefinance(A243, ""high52""))"),"")</f>
        <v/>
      </c>
      <c r="J243" s="387" t="s">
        <v>134</v>
      </c>
      <c r="K243" s="388" t="str">
        <f>IFERROR(__xludf.DUMMYFUNCTION("IF(ISBLANK(A243),"""", googlefinance(A243, ""PE""))"),"")</f>
        <v/>
      </c>
      <c r="L243" s="385" t="str">
        <f>IFERROR(__xludf.DUMMYFUNCTION("IF(ISBLANK(A243),"""", googlefinance(A243, ""eps""))"),"")</f>
        <v/>
      </c>
      <c r="M243" s="389" t="str">
        <f>IFERROR(__xludf.DUMMYFUNCTION("IfError(IF(isblank(A243),"""",split(Q243, ""()"")))"),"")</f>
        <v/>
      </c>
      <c r="N243" s="384"/>
      <c r="O243" s="385" t="str">
        <f t="shared" si="5"/>
        <v/>
      </c>
      <c r="P243" s="385" t="str">
        <f t="shared" si="6"/>
        <v/>
      </c>
      <c r="Q243" s="389" t="str">
        <f>IFERROR(__xludf.DUMMYFUNCTION("IfError(IF(isblank(A243),"""", substitute(index(IMPORTHTML(""http://finviz.com/quote.ashx?t=""&amp;A243,""table"", 10),7,2),""*"","""")),0)"),"")</f>
        <v/>
      </c>
    </row>
    <row r="244" ht="15.0" customHeight="1">
      <c r="A244" s="391" t="str">
        <f>'My Lab'!P205</f>
        <v/>
      </c>
      <c r="B244" s="382" t="str">
        <f>IFERROR(__xludf.DUMMYFUNCTION("IF(ISBLANK(A244),"""", googlefinance(A244, ""name""))"),"")</f>
        <v/>
      </c>
      <c r="C244" s="383" t="str">
        <f>IFERROR(__xludf.DUMMYFUNCTION("IF(ISBLANK(A244),"""", googlefinance(A244, ""price""))"),"")</f>
        <v/>
      </c>
      <c r="D244" s="383" t="str">
        <f>IFERROR(__xludf.DUMMYFUNCTION("IFERROR(googlefinance(A244,""change""),"""")"),"")</f>
        <v/>
      </c>
      <c r="E244" s="384" t="str">
        <f>IFERROR(__xludf.DUMMYFUNCTION("iferror(GOOGLEFINANCE(A244,""changepct"")/100,"""")"),"")</f>
        <v/>
      </c>
      <c r="F244" s="385" t="str">
        <f>IF(ISBLANK(A244), "", IF(COUNTIF(Positions!$A$2:$A$31, A244) &gt; 0, "Yes","No")
)</f>
        <v/>
      </c>
      <c r="G244" s="385" t="str">
        <f>IFERROR(__xludf.DUMMYFUNCTION("IF(ISBLANK(A244),"""", googlefinance(A244, ""low52""))"),"")</f>
        <v/>
      </c>
      <c r="H244" s="386" t="str">
        <f>IFERROR(__xludf.DUMMYFUNCTION("IF(ISBLANK(A244),"""",IFERROR(SPARKLINE((C244-G244)/(I244-G244),{""charttype"",""bar"";""max"",1;""min"",0;""color1"",""2c79b5""}),""n/a""))"),"")</f>
        <v/>
      </c>
      <c r="I244" s="385" t="str">
        <f>IFERROR(__xludf.DUMMYFUNCTION("IF(ISBLANK(A244),"""", googlefinance(A244, ""high52""))"),"")</f>
        <v/>
      </c>
      <c r="J244" s="387" t="s">
        <v>134</v>
      </c>
      <c r="K244" s="388" t="str">
        <f>IFERROR(__xludf.DUMMYFUNCTION("IF(ISBLANK(A244),"""", googlefinance(A244, ""PE""))"),"")</f>
        <v/>
      </c>
      <c r="L244" s="385" t="str">
        <f>IFERROR(__xludf.DUMMYFUNCTION("IF(ISBLANK(A244),"""", googlefinance(A244, ""eps""))"),"")</f>
        <v/>
      </c>
      <c r="M244" s="389" t="str">
        <f>IFERROR(__xludf.DUMMYFUNCTION("IfError(IF(isblank(A244),"""",split(Q244, ""()"")))"),"")</f>
        <v/>
      </c>
      <c r="N244" s="384"/>
      <c r="O244" s="385" t="str">
        <f t="shared" si="5"/>
        <v/>
      </c>
      <c r="P244" s="385" t="str">
        <f t="shared" si="6"/>
        <v/>
      </c>
      <c r="Q244" s="389" t="str">
        <f>IFERROR(__xludf.DUMMYFUNCTION("IfError(IF(isblank(A244),"""", substitute(index(IMPORTHTML(""http://finviz.com/quote.ashx?t=""&amp;A244,""table"", 10),7,2),""*"","""")),0)"),"")</f>
        <v/>
      </c>
    </row>
    <row r="245" ht="15.0" customHeight="1">
      <c r="A245" s="391" t="str">
        <f>'My Lab'!P206</f>
        <v/>
      </c>
      <c r="B245" s="382" t="str">
        <f>IFERROR(__xludf.DUMMYFUNCTION("IF(ISBLANK(A245),"""", googlefinance(A245, ""name""))"),"")</f>
        <v/>
      </c>
      <c r="C245" s="383" t="str">
        <f>IFERROR(__xludf.DUMMYFUNCTION("IF(ISBLANK(A245),"""", googlefinance(A245, ""price""))"),"")</f>
        <v/>
      </c>
      <c r="D245" s="383" t="str">
        <f>IFERROR(__xludf.DUMMYFUNCTION("IFERROR(googlefinance(A245,""change""),"""")"),"")</f>
        <v/>
      </c>
      <c r="E245" s="384" t="str">
        <f>IFERROR(__xludf.DUMMYFUNCTION("iferror(GOOGLEFINANCE(A245,""changepct"")/100,"""")"),"")</f>
        <v/>
      </c>
      <c r="F245" s="385" t="str">
        <f>IF(ISBLANK(A245), "", IF(COUNTIF(Positions!$A$2:$A$31, A245) &gt; 0, "Yes","No")
)</f>
        <v/>
      </c>
      <c r="G245" s="385" t="str">
        <f>IFERROR(__xludf.DUMMYFUNCTION("IF(ISBLANK(A245),"""", googlefinance(A245, ""low52""))"),"")</f>
        <v/>
      </c>
      <c r="H245" s="386" t="str">
        <f>IFERROR(__xludf.DUMMYFUNCTION("IF(ISBLANK(A245),"""",IFERROR(SPARKLINE((C245-G245)/(I245-G245),{""charttype"",""bar"";""max"",1;""min"",0;""color1"",""2c79b5""}),""n/a""))"),"")</f>
        <v/>
      </c>
      <c r="I245" s="385" t="str">
        <f>IFERROR(__xludf.DUMMYFUNCTION("IF(ISBLANK(A245),"""", googlefinance(A245, ""high52""))"),"")</f>
        <v/>
      </c>
      <c r="J245" s="387" t="s">
        <v>134</v>
      </c>
      <c r="K245" s="388" t="str">
        <f>IFERROR(__xludf.DUMMYFUNCTION("IF(ISBLANK(A245),"""", googlefinance(A245, ""PE""))"),"")</f>
        <v/>
      </c>
      <c r="L245" s="385" t="str">
        <f>IFERROR(__xludf.DUMMYFUNCTION("IF(ISBLANK(A245),"""", googlefinance(A245, ""eps""))"),"")</f>
        <v/>
      </c>
      <c r="M245" s="389" t="str">
        <f>IFERROR(__xludf.DUMMYFUNCTION("IfError(IF(isblank(A245),"""",split(Q245, ""()"")))"),"")</f>
        <v/>
      </c>
      <c r="N245" s="384"/>
      <c r="O245" s="385" t="str">
        <f t="shared" si="5"/>
        <v/>
      </c>
      <c r="P245" s="385" t="str">
        <f t="shared" si="6"/>
        <v/>
      </c>
      <c r="Q245" s="389" t="str">
        <f>IFERROR(__xludf.DUMMYFUNCTION("IfError(IF(isblank(A245),"""", substitute(index(IMPORTHTML(""http://finviz.com/quote.ashx?t=""&amp;A245,""table"", 10),7,2),""*"","""")),0)"),"")</f>
        <v/>
      </c>
    </row>
    <row r="246" ht="15.0" customHeight="1">
      <c r="A246" s="391" t="str">
        <f>'My Lab'!P207</f>
        <v/>
      </c>
      <c r="B246" s="382" t="str">
        <f>IFERROR(__xludf.DUMMYFUNCTION("IF(ISBLANK(A246),"""", googlefinance(A246, ""name""))"),"")</f>
        <v/>
      </c>
      <c r="C246" s="383" t="str">
        <f>IFERROR(__xludf.DUMMYFUNCTION("IF(ISBLANK(A246),"""", googlefinance(A246, ""price""))"),"")</f>
        <v/>
      </c>
      <c r="D246" s="383" t="str">
        <f>IFERROR(__xludf.DUMMYFUNCTION("IFERROR(googlefinance(A246,""change""),"""")"),"")</f>
        <v/>
      </c>
      <c r="E246" s="384" t="str">
        <f>IFERROR(__xludf.DUMMYFUNCTION("iferror(GOOGLEFINANCE(A246,""changepct"")/100,"""")"),"")</f>
        <v/>
      </c>
      <c r="F246" s="385" t="str">
        <f>IF(ISBLANK(A246), "", IF(COUNTIF(Positions!$A$2:$A$31, A246) &gt; 0, "Yes","No")
)</f>
        <v/>
      </c>
      <c r="G246" s="385" t="str">
        <f>IFERROR(__xludf.DUMMYFUNCTION("IF(ISBLANK(A246),"""", googlefinance(A246, ""low52""))"),"")</f>
        <v/>
      </c>
      <c r="H246" s="386" t="str">
        <f>IFERROR(__xludf.DUMMYFUNCTION("IF(ISBLANK(A246),"""",IFERROR(SPARKLINE((C246-G246)/(I246-G246),{""charttype"",""bar"";""max"",1;""min"",0;""color1"",""2c79b5""}),""n/a""))"),"")</f>
        <v/>
      </c>
      <c r="I246" s="385" t="str">
        <f>IFERROR(__xludf.DUMMYFUNCTION("IF(ISBLANK(A246),"""", googlefinance(A246, ""high52""))"),"")</f>
        <v/>
      </c>
      <c r="J246" s="387" t="s">
        <v>134</v>
      </c>
      <c r="K246" s="388" t="str">
        <f>IFERROR(__xludf.DUMMYFUNCTION("IF(ISBLANK(A246),"""", googlefinance(A246, ""PE""))"),"")</f>
        <v/>
      </c>
      <c r="L246" s="385" t="str">
        <f>IFERROR(__xludf.DUMMYFUNCTION("IF(ISBLANK(A246),"""", googlefinance(A246, ""eps""))"),"")</f>
        <v/>
      </c>
      <c r="M246" s="389" t="str">
        <f>IFERROR(__xludf.DUMMYFUNCTION("IfError(IF(isblank(A246),"""",split(Q246, ""()"")))"),"")</f>
        <v/>
      </c>
      <c r="N246" s="384"/>
      <c r="O246" s="385" t="str">
        <f t="shared" si="5"/>
        <v/>
      </c>
      <c r="P246" s="385" t="str">
        <f t="shared" si="6"/>
        <v/>
      </c>
      <c r="Q246" s="389" t="str">
        <f>IFERROR(__xludf.DUMMYFUNCTION("IfError(IF(isblank(A246),"""", substitute(index(IMPORTHTML(""http://finviz.com/quote.ashx?t=""&amp;A246,""table"", 10),7,2),""*"","""")),0)"),"")</f>
        <v/>
      </c>
    </row>
    <row r="247" ht="15.0" customHeight="1">
      <c r="A247" s="391" t="str">
        <f>'My Lab'!P208</f>
        <v/>
      </c>
      <c r="B247" s="382" t="str">
        <f>IFERROR(__xludf.DUMMYFUNCTION("IF(ISBLANK(A247),"""", googlefinance(A247, ""name""))"),"")</f>
        <v/>
      </c>
      <c r="C247" s="383" t="str">
        <f>IFERROR(__xludf.DUMMYFUNCTION("IF(ISBLANK(A247),"""", googlefinance(A247, ""price""))"),"")</f>
        <v/>
      </c>
      <c r="D247" s="383" t="str">
        <f>IFERROR(__xludf.DUMMYFUNCTION("IFERROR(googlefinance(A247,""change""),"""")"),"")</f>
        <v/>
      </c>
      <c r="E247" s="384" t="str">
        <f>IFERROR(__xludf.DUMMYFUNCTION("iferror(GOOGLEFINANCE(A247,""changepct"")/100,"""")"),"")</f>
        <v/>
      </c>
      <c r="F247" s="385" t="str">
        <f>IF(ISBLANK(A247), "", IF(COUNTIF(Positions!$A$2:$A$31, A247) &gt; 0, "Yes","No")
)</f>
        <v/>
      </c>
      <c r="G247" s="385" t="str">
        <f>IFERROR(__xludf.DUMMYFUNCTION("IF(ISBLANK(A247),"""", googlefinance(A247, ""low52""))"),"")</f>
        <v/>
      </c>
      <c r="H247" s="386" t="str">
        <f>IFERROR(__xludf.DUMMYFUNCTION("IF(ISBLANK(A247),"""",IFERROR(SPARKLINE((C247-G247)/(I247-G247),{""charttype"",""bar"";""max"",1;""min"",0;""color1"",""2c79b5""}),""n/a""))"),"")</f>
        <v/>
      </c>
      <c r="I247" s="385" t="str">
        <f>IFERROR(__xludf.DUMMYFUNCTION("IF(ISBLANK(A247),"""", googlefinance(A247, ""high52""))"),"")</f>
        <v/>
      </c>
      <c r="J247" s="387" t="s">
        <v>134</v>
      </c>
      <c r="K247" s="388" t="str">
        <f>IFERROR(__xludf.DUMMYFUNCTION("IF(ISBLANK(A247),"""", googlefinance(A247, ""PE""))"),"")</f>
        <v/>
      </c>
      <c r="L247" s="385" t="str">
        <f>IFERROR(__xludf.DUMMYFUNCTION("IF(ISBLANK(A247),"""", googlefinance(A247, ""eps""))"),"")</f>
        <v/>
      </c>
      <c r="M247" s="389" t="str">
        <f>IFERROR(__xludf.DUMMYFUNCTION("IfError(IF(isblank(A247),"""",split(Q247, ""()"")))"),"")</f>
        <v/>
      </c>
      <c r="N247" s="384"/>
      <c r="O247" s="385" t="str">
        <f t="shared" si="5"/>
        <v/>
      </c>
      <c r="P247" s="385" t="str">
        <f t="shared" si="6"/>
        <v/>
      </c>
      <c r="Q247" s="389" t="str">
        <f>IFERROR(__xludf.DUMMYFUNCTION("IfError(IF(isblank(A247),"""", substitute(index(IMPORTHTML(""http://finviz.com/quote.ashx?t=""&amp;A247,""table"", 10),7,2),""*"","""")),0)"),"")</f>
        <v/>
      </c>
    </row>
    <row r="248" ht="15.0" customHeight="1">
      <c r="A248" s="391" t="str">
        <f>'My Lab'!P209</f>
        <v/>
      </c>
      <c r="B248" s="382" t="str">
        <f>IFERROR(__xludf.DUMMYFUNCTION("IF(ISBLANK(A248),"""", googlefinance(A248, ""name""))"),"")</f>
        <v/>
      </c>
      <c r="C248" s="383" t="str">
        <f>IFERROR(__xludf.DUMMYFUNCTION("IF(ISBLANK(A248),"""", googlefinance(A248, ""price""))"),"")</f>
        <v/>
      </c>
      <c r="D248" s="383" t="str">
        <f>IFERROR(__xludf.DUMMYFUNCTION("IFERROR(googlefinance(A248,""change""),"""")"),"")</f>
        <v/>
      </c>
      <c r="E248" s="384" t="str">
        <f>IFERROR(__xludf.DUMMYFUNCTION("iferror(GOOGLEFINANCE(A248,""changepct"")/100,"""")"),"")</f>
        <v/>
      </c>
      <c r="F248" s="385" t="str">
        <f>IF(ISBLANK(A248), "", IF(COUNTIF(Positions!$A$2:$A$31, A248) &gt; 0, "Yes","No")
)</f>
        <v/>
      </c>
      <c r="G248" s="385" t="str">
        <f>IFERROR(__xludf.DUMMYFUNCTION("IF(ISBLANK(A248),"""", googlefinance(A248, ""low52""))"),"")</f>
        <v/>
      </c>
      <c r="H248" s="386" t="str">
        <f>IFERROR(__xludf.DUMMYFUNCTION("IF(ISBLANK(A248),"""",IFERROR(SPARKLINE((C248-G248)/(I248-G248),{""charttype"",""bar"";""max"",1;""min"",0;""color1"",""2c79b5""}),""n/a""))"),"")</f>
        <v/>
      </c>
      <c r="I248" s="385" t="str">
        <f>IFERROR(__xludf.DUMMYFUNCTION("IF(ISBLANK(A248),"""", googlefinance(A248, ""high52""))"),"")</f>
        <v/>
      </c>
      <c r="J248" s="387" t="s">
        <v>134</v>
      </c>
      <c r="K248" s="388" t="str">
        <f>IFERROR(__xludf.DUMMYFUNCTION("IF(ISBLANK(A248),"""", googlefinance(A248, ""PE""))"),"")</f>
        <v/>
      </c>
      <c r="L248" s="385" t="str">
        <f>IFERROR(__xludf.DUMMYFUNCTION("IF(ISBLANK(A248),"""", googlefinance(A248, ""eps""))"),"")</f>
        <v/>
      </c>
      <c r="M248" s="389" t="str">
        <f>IFERROR(__xludf.DUMMYFUNCTION("IfError(IF(isblank(A248),"""",split(Q248, ""()"")))"),"")</f>
        <v/>
      </c>
      <c r="N248" s="384"/>
      <c r="O248" s="385" t="str">
        <f t="shared" si="5"/>
        <v/>
      </c>
      <c r="P248" s="385" t="str">
        <f t="shared" si="6"/>
        <v/>
      </c>
      <c r="Q248" s="389" t="str">
        <f>IFERROR(__xludf.DUMMYFUNCTION("IfError(IF(isblank(A248),"""", substitute(index(IMPORTHTML(""http://finviz.com/quote.ashx?t=""&amp;A248,""table"", 10),7,2),""*"","""")),0)"),"")</f>
        <v/>
      </c>
    </row>
    <row r="249" ht="15.0" customHeight="1">
      <c r="A249" s="391" t="str">
        <f>'My Lab'!P210</f>
        <v/>
      </c>
      <c r="B249" s="382" t="str">
        <f>IFERROR(__xludf.DUMMYFUNCTION("IF(ISBLANK(A249),"""", googlefinance(A249, ""name""))"),"")</f>
        <v/>
      </c>
      <c r="C249" s="383" t="str">
        <f>IFERROR(__xludf.DUMMYFUNCTION("IF(ISBLANK(A249),"""", googlefinance(A249, ""price""))"),"")</f>
        <v/>
      </c>
      <c r="D249" s="383" t="str">
        <f>IFERROR(__xludf.DUMMYFUNCTION("IFERROR(googlefinance(A249,""change""),"""")"),"")</f>
        <v/>
      </c>
      <c r="E249" s="384" t="str">
        <f>IFERROR(__xludf.DUMMYFUNCTION("iferror(GOOGLEFINANCE(A249,""changepct"")/100,"""")"),"")</f>
        <v/>
      </c>
      <c r="F249" s="385" t="str">
        <f>IF(ISBLANK(A249), "", IF(COUNTIF(Positions!$A$2:$A$31, A249) &gt; 0, "Yes","No")
)</f>
        <v/>
      </c>
      <c r="G249" s="385" t="str">
        <f>IFERROR(__xludf.DUMMYFUNCTION("IF(ISBLANK(A249),"""", googlefinance(A249, ""low52""))"),"")</f>
        <v/>
      </c>
      <c r="H249" s="386" t="str">
        <f>IFERROR(__xludf.DUMMYFUNCTION("IF(ISBLANK(A249),"""",IFERROR(SPARKLINE((C249-G249)/(I249-G249),{""charttype"",""bar"";""max"",1;""min"",0;""color1"",""2c79b5""}),""n/a""))"),"")</f>
        <v/>
      </c>
      <c r="I249" s="385" t="str">
        <f>IFERROR(__xludf.DUMMYFUNCTION("IF(ISBLANK(A249),"""", googlefinance(A249, ""high52""))"),"")</f>
        <v/>
      </c>
      <c r="J249" s="387" t="s">
        <v>134</v>
      </c>
      <c r="K249" s="388" t="str">
        <f>IFERROR(__xludf.DUMMYFUNCTION("IF(ISBLANK(A249),"""", googlefinance(A249, ""PE""))"),"")</f>
        <v/>
      </c>
      <c r="L249" s="385" t="str">
        <f>IFERROR(__xludf.DUMMYFUNCTION("IF(ISBLANK(A249),"""", googlefinance(A249, ""eps""))"),"")</f>
        <v/>
      </c>
      <c r="M249" s="389" t="str">
        <f>IFERROR(__xludf.DUMMYFUNCTION("IfError(IF(isblank(A249),"""",split(Q249, ""()"")))"),"")</f>
        <v/>
      </c>
      <c r="N249" s="384"/>
      <c r="O249" s="385" t="str">
        <f t="shared" si="5"/>
        <v/>
      </c>
      <c r="P249" s="385" t="str">
        <f t="shared" si="6"/>
        <v/>
      </c>
      <c r="Q249" s="389" t="str">
        <f>IFERROR(__xludf.DUMMYFUNCTION("IfError(IF(isblank(A249),"""", substitute(index(IMPORTHTML(""http://finviz.com/quote.ashx?t=""&amp;A249,""table"", 10),7,2),""*"","""")),0)"),"")</f>
        <v/>
      </c>
    </row>
    <row r="250" ht="15.0" customHeight="1">
      <c r="A250" s="391" t="str">
        <f>'My Lab'!P211</f>
        <v/>
      </c>
      <c r="B250" s="382" t="str">
        <f>IFERROR(__xludf.DUMMYFUNCTION("IF(ISBLANK(A250),"""", googlefinance(A250, ""name""))"),"")</f>
        <v/>
      </c>
      <c r="C250" s="383" t="str">
        <f>IFERROR(__xludf.DUMMYFUNCTION("IF(ISBLANK(A250),"""", googlefinance(A250, ""price""))"),"")</f>
        <v/>
      </c>
      <c r="D250" s="383" t="str">
        <f>IFERROR(__xludf.DUMMYFUNCTION("IFERROR(googlefinance(A250,""change""),"""")"),"")</f>
        <v/>
      </c>
      <c r="E250" s="384" t="str">
        <f>IFERROR(__xludf.DUMMYFUNCTION("iferror(GOOGLEFINANCE(A250,""changepct"")/100,"""")"),"")</f>
        <v/>
      </c>
      <c r="F250" s="385" t="str">
        <f>IF(ISBLANK(A250), "", IF(COUNTIF(Positions!$A$2:$A$31, A250) &gt; 0, "Yes","No")
)</f>
        <v/>
      </c>
      <c r="G250" s="385" t="str">
        <f>IFERROR(__xludf.DUMMYFUNCTION("IF(ISBLANK(A250),"""", googlefinance(A250, ""low52""))"),"")</f>
        <v/>
      </c>
      <c r="H250" s="386" t="str">
        <f>IFERROR(__xludf.DUMMYFUNCTION("IF(ISBLANK(A250),"""",IFERROR(SPARKLINE((C250-G250)/(I250-G250),{""charttype"",""bar"";""max"",1;""min"",0;""color1"",""2c79b5""}),""n/a""))"),"")</f>
        <v/>
      </c>
      <c r="I250" s="385" t="str">
        <f>IFERROR(__xludf.DUMMYFUNCTION("IF(ISBLANK(A250),"""", googlefinance(A250, ""high52""))"),"")</f>
        <v/>
      </c>
      <c r="J250" s="387" t="s">
        <v>134</v>
      </c>
      <c r="K250" s="388" t="str">
        <f>IFERROR(__xludf.DUMMYFUNCTION("IF(ISBLANK(A250),"""", googlefinance(A250, ""PE""))"),"")</f>
        <v/>
      </c>
      <c r="L250" s="385" t="str">
        <f>IFERROR(__xludf.DUMMYFUNCTION("IF(ISBLANK(A250),"""", googlefinance(A250, ""eps""))"),"")</f>
        <v/>
      </c>
      <c r="M250" s="389" t="str">
        <f>IFERROR(__xludf.DUMMYFUNCTION("IfError(IF(isblank(A250),"""",split(Q250, ""()"")))"),"")</f>
        <v/>
      </c>
      <c r="N250" s="384"/>
      <c r="O250" s="385" t="str">
        <f t="shared" si="5"/>
        <v/>
      </c>
      <c r="P250" s="385" t="str">
        <f t="shared" si="6"/>
        <v/>
      </c>
      <c r="Q250" s="389" t="str">
        <f>IFERROR(__xludf.DUMMYFUNCTION("IfError(IF(isblank(A250),"""", substitute(index(IMPORTHTML(""http://finviz.com/quote.ashx?t=""&amp;A250,""table"", 10),7,2),""*"","""")),0)"),"")</f>
        <v/>
      </c>
    </row>
    <row r="251" ht="15.0" customHeight="1">
      <c r="A251" s="391" t="str">
        <f>'My Lab'!P212</f>
        <v/>
      </c>
      <c r="B251" s="382" t="str">
        <f>IFERROR(__xludf.DUMMYFUNCTION("IF(ISBLANK(A251),"""", googlefinance(A251, ""name""))"),"")</f>
        <v/>
      </c>
      <c r="C251" s="383" t="str">
        <f>IFERROR(__xludf.DUMMYFUNCTION("IF(ISBLANK(A251),"""", googlefinance(A251, ""price""))"),"")</f>
        <v/>
      </c>
      <c r="D251" s="383" t="str">
        <f>IFERROR(__xludf.DUMMYFUNCTION("IFERROR(googlefinance(A251,""change""),"""")"),"")</f>
        <v/>
      </c>
      <c r="E251" s="384" t="str">
        <f>IFERROR(__xludf.DUMMYFUNCTION("iferror(GOOGLEFINANCE(A251,""changepct"")/100,"""")"),"")</f>
        <v/>
      </c>
      <c r="F251" s="385" t="str">
        <f>IF(ISBLANK(A251), "", IF(COUNTIF(Positions!$A$2:$A$31, A251) &gt; 0, "Yes","No")
)</f>
        <v/>
      </c>
      <c r="G251" s="385" t="str">
        <f>IFERROR(__xludf.DUMMYFUNCTION("IF(ISBLANK(A251),"""", googlefinance(A251, ""low52""))"),"")</f>
        <v/>
      </c>
      <c r="H251" s="386" t="str">
        <f>IFERROR(__xludf.DUMMYFUNCTION("IF(ISBLANK(A251),"""",IFERROR(SPARKLINE((C251-G251)/(I251-G251),{""charttype"",""bar"";""max"",1;""min"",0;""color1"",""2c79b5""}),""n/a""))"),"")</f>
        <v/>
      </c>
      <c r="I251" s="385" t="str">
        <f>IFERROR(__xludf.DUMMYFUNCTION("IF(ISBLANK(A251),"""", googlefinance(A251, ""high52""))"),"")</f>
        <v/>
      </c>
      <c r="J251" s="387" t="s">
        <v>134</v>
      </c>
      <c r="K251" s="388" t="str">
        <f>IFERROR(__xludf.DUMMYFUNCTION("IF(ISBLANK(A251),"""", googlefinance(A251, ""PE""))"),"")</f>
        <v/>
      </c>
      <c r="L251" s="385" t="str">
        <f>IFERROR(__xludf.DUMMYFUNCTION("IF(ISBLANK(A251),"""", googlefinance(A251, ""eps""))"),"")</f>
        <v/>
      </c>
      <c r="M251" s="389" t="str">
        <f>IFERROR(__xludf.DUMMYFUNCTION("IfError(IF(isblank(A251),"""",split(Q251, ""()"")))"),"")</f>
        <v/>
      </c>
      <c r="N251" s="384"/>
      <c r="O251" s="385" t="str">
        <f t="shared" si="5"/>
        <v/>
      </c>
      <c r="P251" s="385" t="str">
        <f t="shared" si="6"/>
        <v/>
      </c>
      <c r="Q251" s="389" t="str">
        <f>IFERROR(__xludf.DUMMYFUNCTION("IfError(IF(isblank(A251),"""", substitute(index(IMPORTHTML(""http://finviz.com/quote.ashx?t=""&amp;A251,""table"", 10),7,2),""*"","""")),0)"),"")</f>
        <v/>
      </c>
    </row>
    <row r="252" ht="15.0" customHeight="1">
      <c r="A252" s="391" t="str">
        <f>'My Lab'!P213</f>
        <v/>
      </c>
      <c r="B252" s="382" t="str">
        <f>IFERROR(__xludf.DUMMYFUNCTION("IF(ISBLANK(A252),"""", googlefinance(A252, ""name""))"),"")</f>
        <v/>
      </c>
      <c r="C252" s="383" t="str">
        <f>IFERROR(__xludf.DUMMYFUNCTION("IF(ISBLANK(A252),"""", googlefinance(A252, ""price""))"),"")</f>
        <v/>
      </c>
      <c r="D252" s="383" t="str">
        <f>IFERROR(__xludf.DUMMYFUNCTION("IFERROR(googlefinance(A252,""change""),"""")"),"")</f>
        <v/>
      </c>
      <c r="E252" s="384" t="str">
        <f>IFERROR(__xludf.DUMMYFUNCTION("iferror(GOOGLEFINANCE(A252,""changepct"")/100,"""")"),"")</f>
        <v/>
      </c>
      <c r="F252" s="385" t="str">
        <f>IF(ISBLANK(A252), "", IF(COUNTIF(Positions!$A$2:$A$31, A252) &gt; 0, "Yes","No")
)</f>
        <v/>
      </c>
      <c r="G252" s="385" t="str">
        <f>IFERROR(__xludf.DUMMYFUNCTION("IF(ISBLANK(A252),"""", googlefinance(A252, ""low52""))"),"")</f>
        <v/>
      </c>
      <c r="H252" s="386" t="str">
        <f>IFERROR(__xludf.DUMMYFUNCTION("IF(ISBLANK(A252),"""",IFERROR(SPARKLINE((C252-G252)/(I252-G252),{""charttype"",""bar"";""max"",1;""min"",0;""color1"",""2c79b5""}),""n/a""))"),"")</f>
        <v/>
      </c>
      <c r="I252" s="385" t="str">
        <f>IFERROR(__xludf.DUMMYFUNCTION("IF(ISBLANK(A252),"""", googlefinance(A252, ""high52""))"),"")</f>
        <v/>
      </c>
      <c r="J252" s="387" t="s">
        <v>134</v>
      </c>
      <c r="K252" s="388" t="str">
        <f>IFERROR(__xludf.DUMMYFUNCTION("IF(ISBLANK(A252),"""", googlefinance(A252, ""PE""))"),"")</f>
        <v/>
      </c>
      <c r="L252" s="385" t="str">
        <f>IFERROR(__xludf.DUMMYFUNCTION("IF(ISBLANK(A252),"""", googlefinance(A252, ""eps""))"),"")</f>
        <v/>
      </c>
      <c r="M252" s="389" t="str">
        <f>IFERROR(__xludf.DUMMYFUNCTION("IfError(IF(isblank(A252),"""",split(Q252, ""()"")))"),"")</f>
        <v/>
      </c>
      <c r="N252" s="384"/>
      <c r="O252" s="385" t="str">
        <f t="shared" si="5"/>
        <v/>
      </c>
      <c r="P252" s="385" t="str">
        <f t="shared" si="6"/>
        <v/>
      </c>
      <c r="Q252" s="389" t="str">
        <f>IFERROR(__xludf.DUMMYFUNCTION("IfError(IF(isblank(A252),"""", substitute(index(IMPORTHTML(""http://finviz.com/quote.ashx?t=""&amp;A252,""table"", 10),7,2),""*"","""")),0)"),"")</f>
        <v/>
      </c>
    </row>
    <row r="253" ht="15.0" customHeight="1">
      <c r="A253" s="391" t="str">
        <f>'My Lab'!P214</f>
        <v/>
      </c>
      <c r="B253" s="382" t="str">
        <f>IFERROR(__xludf.DUMMYFUNCTION("IF(ISBLANK(A253),"""", googlefinance(A253, ""name""))"),"")</f>
        <v/>
      </c>
      <c r="C253" s="383" t="str">
        <f>IFERROR(__xludf.DUMMYFUNCTION("IF(ISBLANK(A253),"""", googlefinance(A253, ""price""))"),"")</f>
        <v/>
      </c>
      <c r="D253" s="383" t="str">
        <f>IFERROR(__xludf.DUMMYFUNCTION("IFERROR(googlefinance(A253,""change""),"""")"),"")</f>
        <v/>
      </c>
      <c r="E253" s="384" t="str">
        <f>IFERROR(__xludf.DUMMYFUNCTION("iferror(GOOGLEFINANCE(A253,""changepct"")/100,"""")"),"")</f>
        <v/>
      </c>
      <c r="F253" s="385" t="str">
        <f>IF(ISBLANK(A253), "", IF(COUNTIF(Positions!$A$2:$A$31, A253) &gt; 0, "Yes","No")
)</f>
        <v/>
      </c>
      <c r="G253" s="385" t="str">
        <f>IFERROR(__xludf.DUMMYFUNCTION("IF(ISBLANK(A253),"""", googlefinance(A253, ""low52""))"),"")</f>
        <v/>
      </c>
      <c r="H253" s="386" t="str">
        <f>IFERROR(__xludf.DUMMYFUNCTION("IF(ISBLANK(A253),"""",IFERROR(SPARKLINE((C253-G253)/(I253-G253),{""charttype"",""bar"";""max"",1;""min"",0;""color1"",""2c79b5""}),""n/a""))"),"")</f>
        <v/>
      </c>
      <c r="I253" s="385" t="str">
        <f>IFERROR(__xludf.DUMMYFUNCTION("IF(ISBLANK(A253),"""", googlefinance(A253, ""high52""))"),"")</f>
        <v/>
      </c>
      <c r="J253" s="387" t="s">
        <v>134</v>
      </c>
      <c r="K253" s="388" t="str">
        <f>IFERROR(__xludf.DUMMYFUNCTION("IF(ISBLANK(A253),"""", googlefinance(A253, ""PE""))"),"")</f>
        <v/>
      </c>
      <c r="L253" s="385" t="str">
        <f>IFERROR(__xludf.DUMMYFUNCTION("IF(ISBLANK(A253),"""", googlefinance(A253, ""eps""))"),"")</f>
        <v/>
      </c>
      <c r="M253" s="389" t="str">
        <f>IFERROR(__xludf.DUMMYFUNCTION("IfError(IF(isblank(A253),"""",split(Q253, ""()"")))"),"")</f>
        <v/>
      </c>
      <c r="N253" s="384"/>
      <c r="O253" s="385" t="str">
        <f t="shared" si="5"/>
        <v/>
      </c>
      <c r="P253" s="385" t="str">
        <f t="shared" si="6"/>
        <v/>
      </c>
      <c r="Q253" s="389" t="str">
        <f>IFERROR(__xludf.DUMMYFUNCTION("IfError(IF(isblank(A253),"""", substitute(index(IMPORTHTML(""http://finviz.com/quote.ashx?t=""&amp;A253,""table"", 10),7,2),""*"","""")),0)"),"")</f>
        <v/>
      </c>
    </row>
    <row r="254" ht="15.0" customHeight="1">
      <c r="A254" s="391" t="str">
        <f>'My Lab'!P215</f>
        <v/>
      </c>
      <c r="B254" s="382" t="str">
        <f>IFERROR(__xludf.DUMMYFUNCTION("IF(ISBLANK(A254),"""", googlefinance(A254, ""name""))"),"")</f>
        <v/>
      </c>
      <c r="C254" s="383" t="str">
        <f>IFERROR(__xludf.DUMMYFUNCTION("IF(ISBLANK(A254),"""", googlefinance(A254, ""price""))"),"")</f>
        <v/>
      </c>
      <c r="D254" s="383" t="str">
        <f>IFERROR(__xludf.DUMMYFUNCTION("IFERROR(googlefinance(A254,""change""),"""")"),"")</f>
        <v/>
      </c>
      <c r="E254" s="384" t="str">
        <f>IFERROR(__xludf.DUMMYFUNCTION("iferror(GOOGLEFINANCE(A254,""changepct"")/100,"""")"),"")</f>
        <v/>
      </c>
      <c r="F254" s="385" t="str">
        <f>IF(ISBLANK(A254), "", IF(COUNTIF(Positions!$A$2:$A$31, A254) &gt; 0, "Yes","No")
)</f>
        <v/>
      </c>
      <c r="G254" s="385" t="str">
        <f>IFERROR(__xludf.DUMMYFUNCTION("IF(ISBLANK(A254),"""", googlefinance(A254, ""low52""))"),"")</f>
        <v/>
      </c>
      <c r="H254" s="386" t="str">
        <f>IFERROR(__xludf.DUMMYFUNCTION("IF(ISBLANK(A254),"""",IFERROR(SPARKLINE((C254-G254)/(I254-G254),{""charttype"",""bar"";""max"",1;""min"",0;""color1"",""2c79b5""}),""n/a""))"),"")</f>
        <v/>
      </c>
      <c r="I254" s="385" t="str">
        <f>IFERROR(__xludf.DUMMYFUNCTION("IF(ISBLANK(A254),"""", googlefinance(A254, ""high52""))"),"")</f>
        <v/>
      </c>
      <c r="J254" s="387" t="s">
        <v>134</v>
      </c>
      <c r="K254" s="388" t="str">
        <f>IFERROR(__xludf.DUMMYFUNCTION("IF(ISBLANK(A254),"""", googlefinance(A254, ""PE""))"),"")</f>
        <v/>
      </c>
      <c r="L254" s="385" t="str">
        <f>IFERROR(__xludf.DUMMYFUNCTION("IF(ISBLANK(A254),"""", googlefinance(A254, ""eps""))"),"")</f>
        <v/>
      </c>
      <c r="M254" s="389" t="str">
        <f>IFERROR(__xludf.DUMMYFUNCTION("IfError(IF(isblank(A254),"""",split(Q254, ""()"")))"),"")</f>
        <v/>
      </c>
      <c r="N254" s="384"/>
      <c r="O254" s="385" t="str">
        <f t="shared" si="5"/>
        <v/>
      </c>
      <c r="P254" s="385" t="str">
        <f t="shared" si="6"/>
        <v/>
      </c>
      <c r="Q254" s="389" t="str">
        <f>IFERROR(__xludf.DUMMYFUNCTION("IfError(IF(isblank(A254),"""", substitute(index(IMPORTHTML(""http://finviz.com/quote.ashx?t=""&amp;A254,""table"", 10),7,2),""*"","""")),0)"),"")</f>
        <v/>
      </c>
    </row>
    <row r="255" ht="15.0" customHeight="1">
      <c r="A255" s="391" t="str">
        <f>'My Lab'!P216</f>
        <v/>
      </c>
      <c r="B255" s="382" t="str">
        <f>IFERROR(__xludf.DUMMYFUNCTION("IF(ISBLANK(A255),"""", googlefinance(A255, ""name""))"),"")</f>
        <v/>
      </c>
      <c r="C255" s="383" t="str">
        <f>IFERROR(__xludf.DUMMYFUNCTION("IF(ISBLANK(A255),"""", googlefinance(A255, ""price""))"),"")</f>
        <v/>
      </c>
      <c r="D255" s="383" t="str">
        <f>IFERROR(__xludf.DUMMYFUNCTION("IFERROR(googlefinance(A255,""change""),"""")"),"")</f>
        <v/>
      </c>
      <c r="E255" s="384" t="str">
        <f>IFERROR(__xludf.DUMMYFUNCTION("iferror(GOOGLEFINANCE(A255,""changepct"")/100,"""")"),"")</f>
        <v/>
      </c>
      <c r="F255" s="385" t="str">
        <f>IF(ISBLANK(A255), "", IF(COUNTIF(Positions!$A$2:$A$31, A255) &gt; 0, "Yes","No")
)</f>
        <v/>
      </c>
      <c r="G255" s="385" t="str">
        <f>IFERROR(__xludf.DUMMYFUNCTION("IF(ISBLANK(A255),"""", googlefinance(A255, ""low52""))"),"")</f>
        <v/>
      </c>
      <c r="H255" s="386" t="str">
        <f>IFERROR(__xludf.DUMMYFUNCTION("IF(ISBLANK(A255),"""",IFERROR(SPARKLINE((C255-G255)/(I255-G255),{""charttype"",""bar"";""max"",1;""min"",0;""color1"",""2c79b5""}),""n/a""))"),"")</f>
        <v/>
      </c>
      <c r="I255" s="385" t="str">
        <f>IFERROR(__xludf.DUMMYFUNCTION("IF(ISBLANK(A255),"""", googlefinance(A255, ""high52""))"),"")</f>
        <v/>
      </c>
      <c r="J255" s="387" t="s">
        <v>134</v>
      </c>
      <c r="K255" s="388" t="str">
        <f>IFERROR(__xludf.DUMMYFUNCTION("IF(ISBLANK(A255),"""", googlefinance(A255, ""PE""))"),"")</f>
        <v/>
      </c>
      <c r="L255" s="385" t="str">
        <f>IFERROR(__xludf.DUMMYFUNCTION("IF(ISBLANK(A255),"""", googlefinance(A255, ""eps""))"),"")</f>
        <v/>
      </c>
      <c r="M255" s="389" t="str">
        <f>IFERROR(__xludf.DUMMYFUNCTION("IfError(IF(isblank(A255),"""",split(Q255, ""()"")))"),"")</f>
        <v/>
      </c>
      <c r="N255" s="384"/>
      <c r="O255" s="385" t="str">
        <f t="shared" si="5"/>
        <v/>
      </c>
      <c r="P255" s="385" t="str">
        <f t="shared" si="6"/>
        <v/>
      </c>
      <c r="Q255" s="389" t="str">
        <f>IFERROR(__xludf.DUMMYFUNCTION("IfError(IF(isblank(A255),"""", substitute(index(IMPORTHTML(""http://finviz.com/quote.ashx?t=""&amp;A255,""table"", 10),7,2),""*"","""")),0)"),"")</f>
        <v/>
      </c>
    </row>
    <row r="256" ht="15.0" customHeight="1">
      <c r="A256" s="391" t="str">
        <f>'My Lab'!P217</f>
        <v/>
      </c>
      <c r="B256" s="382" t="str">
        <f>IFERROR(__xludf.DUMMYFUNCTION("IF(ISBLANK(A256),"""", googlefinance(A256, ""name""))"),"")</f>
        <v/>
      </c>
      <c r="C256" s="383" t="str">
        <f>IFERROR(__xludf.DUMMYFUNCTION("IF(ISBLANK(A256),"""", googlefinance(A256, ""price""))"),"")</f>
        <v/>
      </c>
      <c r="D256" s="383" t="str">
        <f>IFERROR(__xludf.DUMMYFUNCTION("IFERROR(googlefinance(A256,""change""),"""")"),"")</f>
        <v/>
      </c>
      <c r="E256" s="384" t="str">
        <f>IFERROR(__xludf.DUMMYFUNCTION("iferror(GOOGLEFINANCE(A256,""changepct"")/100,"""")"),"")</f>
        <v/>
      </c>
      <c r="F256" s="385" t="str">
        <f>IF(ISBLANK(A256), "", IF(COUNTIF(Positions!$A$2:$A$31, A256) &gt; 0, "Yes","No")
)</f>
        <v/>
      </c>
      <c r="G256" s="385" t="str">
        <f>IFERROR(__xludf.DUMMYFUNCTION("IF(ISBLANK(A256),"""", googlefinance(A256, ""low52""))"),"")</f>
        <v/>
      </c>
      <c r="H256" s="386" t="str">
        <f>IFERROR(__xludf.DUMMYFUNCTION("IF(ISBLANK(A256),"""",IFERROR(SPARKLINE((C256-G256)/(I256-G256),{""charttype"",""bar"";""max"",1;""min"",0;""color1"",""2c79b5""}),""n/a""))"),"")</f>
        <v/>
      </c>
      <c r="I256" s="385" t="str">
        <f>IFERROR(__xludf.DUMMYFUNCTION("IF(ISBLANK(A256),"""", googlefinance(A256, ""high52""))"),"")</f>
        <v/>
      </c>
      <c r="J256" s="387" t="s">
        <v>134</v>
      </c>
      <c r="K256" s="388" t="str">
        <f>IFERROR(__xludf.DUMMYFUNCTION("IF(ISBLANK(A256),"""", googlefinance(A256, ""PE""))"),"")</f>
        <v/>
      </c>
      <c r="L256" s="385" t="str">
        <f>IFERROR(__xludf.DUMMYFUNCTION("IF(ISBLANK(A256),"""", googlefinance(A256, ""eps""))"),"")</f>
        <v/>
      </c>
      <c r="M256" s="389" t="str">
        <f>IFERROR(__xludf.DUMMYFUNCTION("IfError(IF(isblank(A256),"""",split(Q256, ""()"")))"),"")</f>
        <v/>
      </c>
      <c r="N256" s="384"/>
      <c r="O256" s="385" t="str">
        <f t="shared" si="5"/>
        <v/>
      </c>
      <c r="P256" s="385" t="str">
        <f t="shared" si="6"/>
        <v/>
      </c>
      <c r="Q256" s="389" t="str">
        <f>IFERROR(__xludf.DUMMYFUNCTION("IfError(IF(isblank(A256),"""", substitute(index(IMPORTHTML(""http://finviz.com/quote.ashx?t=""&amp;A256,""table"", 10),7,2),""*"","""")),0)"),"")</f>
        <v/>
      </c>
    </row>
    <row r="257" ht="15.0" customHeight="1">
      <c r="A257" s="391" t="str">
        <f>'My Lab'!P218</f>
        <v/>
      </c>
      <c r="B257" s="382" t="str">
        <f>IFERROR(__xludf.DUMMYFUNCTION("IF(ISBLANK(A257),"""", googlefinance(A257, ""name""))"),"")</f>
        <v/>
      </c>
      <c r="C257" s="383" t="str">
        <f>IFERROR(__xludf.DUMMYFUNCTION("IF(ISBLANK(A257),"""", googlefinance(A257, ""price""))"),"")</f>
        <v/>
      </c>
      <c r="D257" s="383" t="str">
        <f>IFERROR(__xludf.DUMMYFUNCTION("IFERROR(googlefinance(A257,""change""),"""")"),"")</f>
        <v/>
      </c>
      <c r="E257" s="384" t="str">
        <f>IFERROR(__xludf.DUMMYFUNCTION("iferror(GOOGLEFINANCE(A257,""changepct"")/100,"""")"),"")</f>
        <v/>
      </c>
      <c r="F257" s="385" t="str">
        <f>IF(ISBLANK(A257), "", IF(COUNTIF(Positions!$A$2:$A$31, A257) &gt; 0, "Yes","No")
)</f>
        <v/>
      </c>
      <c r="G257" s="385" t="str">
        <f>IFERROR(__xludf.DUMMYFUNCTION("IF(ISBLANK(A257),"""", googlefinance(A257, ""low52""))"),"")</f>
        <v/>
      </c>
      <c r="H257" s="386" t="str">
        <f>IFERROR(__xludf.DUMMYFUNCTION("IF(ISBLANK(A257),"""",IFERROR(SPARKLINE((C257-G257)/(I257-G257),{""charttype"",""bar"";""max"",1;""min"",0;""color1"",""2c79b5""}),""n/a""))"),"")</f>
        <v/>
      </c>
      <c r="I257" s="385" t="str">
        <f>IFERROR(__xludf.DUMMYFUNCTION("IF(ISBLANK(A257),"""", googlefinance(A257, ""high52""))"),"")</f>
        <v/>
      </c>
      <c r="J257" s="387" t="s">
        <v>134</v>
      </c>
      <c r="K257" s="388" t="str">
        <f>IFERROR(__xludf.DUMMYFUNCTION("IF(ISBLANK(A257),"""", googlefinance(A257, ""PE""))"),"")</f>
        <v/>
      </c>
      <c r="L257" s="385" t="str">
        <f>IFERROR(__xludf.DUMMYFUNCTION("IF(ISBLANK(A257),"""", googlefinance(A257, ""eps""))"),"")</f>
        <v/>
      </c>
      <c r="M257" s="389" t="str">
        <f>IFERROR(__xludf.DUMMYFUNCTION("IfError(IF(isblank(A257),"""",split(Q257, ""()"")))"),"")</f>
        <v/>
      </c>
      <c r="N257" s="384"/>
      <c r="O257" s="385" t="str">
        <f t="shared" si="5"/>
        <v/>
      </c>
      <c r="P257" s="385" t="str">
        <f t="shared" si="6"/>
        <v/>
      </c>
      <c r="Q257" s="389" t="str">
        <f>IFERROR(__xludf.DUMMYFUNCTION("IfError(IF(isblank(A257),"""", substitute(index(IMPORTHTML(""http://finviz.com/quote.ashx?t=""&amp;A257,""table"", 10),7,2),""*"","""")),0)"),"")</f>
        <v/>
      </c>
    </row>
    <row r="258" ht="15.0" customHeight="1">
      <c r="A258" s="391" t="str">
        <f>'My Lab'!P219</f>
        <v/>
      </c>
      <c r="B258" s="382" t="str">
        <f>IFERROR(__xludf.DUMMYFUNCTION("IF(ISBLANK(A258),"""", googlefinance(A258, ""name""))"),"")</f>
        <v/>
      </c>
      <c r="C258" s="383" t="str">
        <f>IFERROR(__xludf.DUMMYFUNCTION("IF(ISBLANK(A258),"""", googlefinance(A258, ""price""))"),"")</f>
        <v/>
      </c>
      <c r="D258" s="383" t="str">
        <f>IFERROR(__xludf.DUMMYFUNCTION("IFERROR(googlefinance(A258,""change""),"""")"),"")</f>
        <v/>
      </c>
      <c r="E258" s="384" t="str">
        <f>IFERROR(__xludf.DUMMYFUNCTION("iferror(GOOGLEFINANCE(A258,""changepct"")/100,"""")"),"")</f>
        <v/>
      </c>
      <c r="F258" s="385" t="str">
        <f>IF(ISBLANK(A258), "", IF(COUNTIF(Positions!$A$2:$A$31, A258) &gt; 0, "Yes","No")
)</f>
        <v/>
      </c>
      <c r="G258" s="385" t="str">
        <f>IFERROR(__xludf.DUMMYFUNCTION("IF(ISBLANK(A258),"""", googlefinance(A258, ""low52""))"),"")</f>
        <v/>
      </c>
      <c r="H258" s="386" t="str">
        <f>IFERROR(__xludf.DUMMYFUNCTION("IF(ISBLANK(A258),"""",IFERROR(SPARKLINE((C258-G258)/(I258-G258),{""charttype"",""bar"";""max"",1;""min"",0;""color1"",""2c79b5""}),""n/a""))"),"")</f>
        <v/>
      </c>
      <c r="I258" s="385" t="str">
        <f>IFERROR(__xludf.DUMMYFUNCTION("IF(ISBLANK(A258),"""", googlefinance(A258, ""high52""))"),"")</f>
        <v/>
      </c>
      <c r="J258" s="387" t="s">
        <v>134</v>
      </c>
      <c r="K258" s="388" t="str">
        <f>IFERROR(__xludf.DUMMYFUNCTION("IF(ISBLANK(A258),"""", googlefinance(A258, ""PE""))"),"")</f>
        <v/>
      </c>
      <c r="L258" s="385" t="str">
        <f>IFERROR(__xludf.DUMMYFUNCTION("IF(ISBLANK(A258),"""", googlefinance(A258, ""eps""))"),"")</f>
        <v/>
      </c>
      <c r="M258" s="389" t="str">
        <f>IFERROR(__xludf.DUMMYFUNCTION("IfError(IF(isblank(A258),"""",split(Q258, ""()"")))"),"")</f>
        <v/>
      </c>
      <c r="N258" s="384"/>
      <c r="O258" s="385" t="str">
        <f t="shared" si="5"/>
        <v/>
      </c>
      <c r="P258" s="385" t="str">
        <f t="shared" si="6"/>
        <v/>
      </c>
      <c r="Q258" s="389" t="str">
        <f>IFERROR(__xludf.DUMMYFUNCTION("IfError(IF(isblank(A258),"""", substitute(index(IMPORTHTML(""http://finviz.com/quote.ashx?t=""&amp;A258,""table"", 10),7,2),""*"","""")),0)"),"")</f>
        <v/>
      </c>
    </row>
    <row r="259" ht="15.0" customHeight="1">
      <c r="A259" s="391" t="str">
        <f>'My Lab'!P220</f>
        <v/>
      </c>
      <c r="B259" s="382" t="str">
        <f>IFERROR(__xludf.DUMMYFUNCTION("IF(ISBLANK(A259),"""", googlefinance(A259, ""name""))"),"")</f>
        <v/>
      </c>
      <c r="C259" s="383" t="str">
        <f>IFERROR(__xludf.DUMMYFUNCTION("IF(ISBLANK(A259),"""", googlefinance(A259, ""price""))"),"")</f>
        <v/>
      </c>
      <c r="D259" s="383" t="str">
        <f>IFERROR(__xludf.DUMMYFUNCTION("IFERROR(googlefinance(A259,""change""),"""")"),"")</f>
        <v/>
      </c>
      <c r="E259" s="384" t="str">
        <f>IFERROR(__xludf.DUMMYFUNCTION("iferror(GOOGLEFINANCE(A259,""changepct"")/100,"""")"),"")</f>
        <v/>
      </c>
      <c r="F259" s="385" t="str">
        <f>IF(ISBLANK(A259), "", IF(COUNTIF(Positions!$A$2:$A$31, A259) &gt; 0, "Yes","No")
)</f>
        <v/>
      </c>
      <c r="G259" s="385" t="str">
        <f>IFERROR(__xludf.DUMMYFUNCTION("IF(ISBLANK(A259),"""", googlefinance(A259, ""low52""))"),"")</f>
        <v/>
      </c>
      <c r="H259" s="386" t="str">
        <f>IFERROR(__xludf.DUMMYFUNCTION("IF(ISBLANK(A259),"""",IFERROR(SPARKLINE((C259-G259)/(I259-G259),{""charttype"",""bar"";""max"",1;""min"",0;""color1"",""2c79b5""}),""n/a""))"),"")</f>
        <v/>
      </c>
      <c r="I259" s="385" t="str">
        <f>IFERROR(__xludf.DUMMYFUNCTION("IF(ISBLANK(A259),"""", googlefinance(A259, ""high52""))"),"")</f>
        <v/>
      </c>
      <c r="J259" s="387" t="s">
        <v>134</v>
      </c>
      <c r="K259" s="388" t="str">
        <f>IFERROR(__xludf.DUMMYFUNCTION("IF(ISBLANK(A259),"""", googlefinance(A259, ""PE""))"),"")</f>
        <v/>
      </c>
      <c r="L259" s="385" t="str">
        <f>IFERROR(__xludf.DUMMYFUNCTION("IF(ISBLANK(A259),"""", googlefinance(A259, ""eps""))"),"")</f>
        <v/>
      </c>
      <c r="M259" s="389" t="str">
        <f>IFERROR(__xludf.DUMMYFUNCTION("IfError(IF(isblank(A259),"""",split(Q259, ""()"")))"),"")</f>
        <v/>
      </c>
      <c r="N259" s="384"/>
      <c r="O259" s="385" t="str">
        <f t="shared" si="5"/>
        <v/>
      </c>
      <c r="P259" s="385" t="str">
        <f t="shared" si="6"/>
        <v/>
      </c>
      <c r="Q259" s="389" t="str">
        <f>IFERROR(__xludf.DUMMYFUNCTION("IfError(IF(isblank(A259),"""", substitute(index(IMPORTHTML(""http://finviz.com/quote.ashx?t=""&amp;A259,""table"", 10),7,2),""*"","""")),0)"),"")</f>
        <v/>
      </c>
    </row>
    <row r="260" ht="15.0" customHeight="1">
      <c r="A260" s="391" t="str">
        <f>'My Lab'!P221</f>
        <v/>
      </c>
      <c r="B260" s="382" t="str">
        <f>IFERROR(__xludf.DUMMYFUNCTION("IF(ISBLANK(A260),"""", googlefinance(A260, ""name""))"),"")</f>
        <v/>
      </c>
      <c r="C260" s="383" t="str">
        <f>IFERROR(__xludf.DUMMYFUNCTION("IF(ISBLANK(A260),"""", googlefinance(A260, ""price""))"),"")</f>
        <v/>
      </c>
      <c r="D260" s="383" t="str">
        <f>IFERROR(__xludf.DUMMYFUNCTION("IFERROR(googlefinance(A260,""change""),"""")"),"")</f>
        <v/>
      </c>
      <c r="E260" s="384" t="str">
        <f>IFERROR(__xludf.DUMMYFUNCTION("iferror(GOOGLEFINANCE(A260,""changepct"")/100,"""")"),"")</f>
        <v/>
      </c>
      <c r="F260" s="385" t="str">
        <f>IF(ISBLANK(A260), "", IF(COUNTIF(Positions!$A$2:$A$31, A260) &gt; 0, "Yes","No")
)</f>
        <v/>
      </c>
      <c r="G260" s="385" t="str">
        <f>IFERROR(__xludf.DUMMYFUNCTION("IF(ISBLANK(A260),"""", googlefinance(A260, ""low52""))"),"")</f>
        <v/>
      </c>
      <c r="H260" s="386" t="str">
        <f>IFERROR(__xludf.DUMMYFUNCTION("IF(ISBLANK(A260),"""",IFERROR(SPARKLINE((C260-G260)/(I260-G260),{""charttype"",""bar"";""max"",1;""min"",0;""color1"",""2c79b5""}),""n/a""))"),"")</f>
        <v/>
      </c>
      <c r="I260" s="385" t="str">
        <f>IFERROR(__xludf.DUMMYFUNCTION("IF(ISBLANK(A260),"""", googlefinance(A260, ""high52""))"),"")</f>
        <v/>
      </c>
      <c r="J260" s="387" t="s">
        <v>134</v>
      </c>
      <c r="K260" s="388" t="str">
        <f>IFERROR(__xludf.DUMMYFUNCTION("IF(ISBLANK(A260),"""", googlefinance(A260, ""PE""))"),"")</f>
        <v/>
      </c>
      <c r="L260" s="385" t="str">
        <f>IFERROR(__xludf.DUMMYFUNCTION("IF(ISBLANK(A260),"""", googlefinance(A260, ""eps""))"),"")</f>
        <v/>
      </c>
      <c r="M260" s="389" t="str">
        <f>IFERROR(__xludf.DUMMYFUNCTION("IfError(IF(isblank(A260),"""",split(Q260, ""()"")))"),"")</f>
        <v/>
      </c>
      <c r="N260" s="384"/>
      <c r="O260" s="385" t="str">
        <f t="shared" si="5"/>
        <v/>
      </c>
      <c r="P260" s="385" t="str">
        <f t="shared" si="6"/>
        <v/>
      </c>
      <c r="Q260" s="389" t="str">
        <f>IFERROR(__xludf.DUMMYFUNCTION("IfError(IF(isblank(A260),"""", substitute(index(IMPORTHTML(""http://finviz.com/quote.ashx?t=""&amp;A260,""table"", 10),7,2),""*"","""")),0)"),"")</f>
        <v/>
      </c>
    </row>
    <row r="261" ht="15.0" customHeight="1">
      <c r="A261" s="391" t="str">
        <f>'My Lab'!P222</f>
        <v/>
      </c>
      <c r="B261" s="382" t="str">
        <f>IFERROR(__xludf.DUMMYFUNCTION("IF(ISBLANK(A261),"""", googlefinance(A261, ""name""))"),"")</f>
        <v/>
      </c>
      <c r="C261" s="383" t="str">
        <f>IFERROR(__xludf.DUMMYFUNCTION("IF(ISBLANK(A261),"""", googlefinance(A261, ""price""))"),"")</f>
        <v/>
      </c>
      <c r="D261" s="383" t="str">
        <f>IFERROR(__xludf.DUMMYFUNCTION("IFERROR(googlefinance(A261,""change""),"""")"),"")</f>
        <v/>
      </c>
      <c r="E261" s="384" t="str">
        <f>IFERROR(__xludf.DUMMYFUNCTION("iferror(GOOGLEFINANCE(A261,""changepct"")/100,"""")"),"")</f>
        <v/>
      </c>
      <c r="F261" s="385" t="str">
        <f>IF(ISBLANK(A261), "", IF(COUNTIF(Positions!$A$2:$A$31, A261) &gt; 0, "Yes","No")
)</f>
        <v/>
      </c>
      <c r="G261" s="385" t="str">
        <f>IFERROR(__xludf.DUMMYFUNCTION("IF(ISBLANK(A261),"""", googlefinance(A261, ""low52""))"),"")</f>
        <v/>
      </c>
      <c r="H261" s="386" t="str">
        <f>IFERROR(__xludf.DUMMYFUNCTION("IF(ISBLANK(A261),"""",IFERROR(SPARKLINE((C261-G261)/(I261-G261),{""charttype"",""bar"";""max"",1;""min"",0;""color1"",""2c79b5""}),""n/a""))"),"")</f>
        <v/>
      </c>
      <c r="I261" s="385" t="str">
        <f>IFERROR(__xludf.DUMMYFUNCTION("IF(ISBLANK(A261),"""", googlefinance(A261, ""high52""))"),"")</f>
        <v/>
      </c>
      <c r="J261" s="387" t="s">
        <v>134</v>
      </c>
      <c r="K261" s="388" t="str">
        <f>IFERROR(__xludf.DUMMYFUNCTION("IF(ISBLANK(A261),"""", googlefinance(A261, ""PE""))"),"")</f>
        <v/>
      </c>
      <c r="L261" s="385" t="str">
        <f>IFERROR(__xludf.DUMMYFUNCTION("IF(ISBLANK(A261),"""", googlefinance(A261, ""eps""))"),"")</f>
        <v/>
      </c>
      <c r="M261" s="389" t="str">
        <f>IFERROR(__xludf.DUMMYFUNCTION("IfError(IF(isblank(A261),"""",split(Q261, ""()"")))"),"")</f>
        <v/>
      </c>
      <c r="N261" s="384"/>
      <c r="O261" s="385" t="str">
        <f t="shared" si="5"/>
        <v/>
      </c>
      <c r="P261" s="385" t="str">
        <f t="shared" si="6"/>
        <v/>
      </c>
      <c r="Q261" s="389" t="str">
        <f>IFERROR(__xludf.DUMMYFUNCTION("IfError(IF(isblank(A261),"""", substitute(index(IMPORTHTML(""http://finviz.com/quote.ashx?t=""&amp;A261,""table"", 10),7,2),""*"","""")),0)"),"")</f>
        <v/>
      </c>
    </row>
    <row r="262" ht="15.0" customHeight="1">
      <c r="A262" s="391" t="str">
        <f>'My Lab'!P223</f>
        <v/>
      </c>
      <c r="B262" s="382" t="str">
        <f>IFERROR(__xludf.DUMMYFUNCTION("IF(ISBLANK(A262),"""", googlefinance(A262, ""name""))"),"")</f>
        <v/>
      </c>
      <c r="C262" s="383" t="str">
        <f>IFERROR(__xludf.DUMMYFUNCTION("IF(ISBLANK(A262),"""", googlefinance(A262, ""price""))"),"")</f>
        <v/>
      </c>
      <c r="D262" s="383" t="str">
        <f>IFERROR(__xludf.DUMMYFUNCTION("IFERROR(googlefinance(A262,""change""),"""")"),"")</f>
        <v/>
      </c>
      <c r="E262" s="384" t="str">
        <f>IFERROR(__xludf.DUMMYFUNCTION("iferror(GOOGLEFINANCE(A262,""changepct"")/100,"""")"),"")</f>
        <v/>
      </c>
      <c r="F262" s="385" t="str">
        <f>IF(ISBLANK(A262), "", IF(COUNTIF(Positions!$A$2:$A$31, A262) &gt; 0, "Yes","No")
)</f>
        <v/>
      </c>
      <c r="G262" s="385" t="str">
        <f>IFERROR(__xludf.DUMMYFUNCTION("IF(ISBLANK(A262),"""", googlefinance(A262, ""low52""))"),"")</f>
        <v/>
      </c>
      <c r="H262" s="386" t="str">
        <f>IFERROR(__xludf.DUMMYFUNCTION("IF(ISBLANK(A262),"""",IFERROR(SPARKLINE((C262-G262)/(I262-G262),{""charttype"",""bar"";""max"",1;""min"",0;""color1"",""2c79b5""}),""n/a""))"),"")</f>
        <v/>
      </c>
      <c r="I262" s="385" t="str">
        <f>IFERROR(__xludf.DUMMYFUNCTION("IF(ISBLANK(A262),"""", googlefinance(A262, ""high52""))"),"")</f>
        <v/>
      </c>
      <c r="J262" s="387" t="s">
        <v>134</v>
      </c>
      <c r="K262" s="388" t="str">
        <f>IFERROR(__xludf.DUMMYFUNCTION("IF(ISBLANK(A262),"""", googlefinance(A262, ""PE""))"),"")</f>
        <v/>
      </c>
      <c r="L262" s="385" t="str">
        <f>IFERROR(__xludf.DUMMYFUNCTION("IF(ISBLANK(A262),"""", googlefinance(A262, ""eps""))"),"")</f>
        <v/>
      </c>
      <c r="M262" s="389" t="str">
        <f>IFERROR(__xludf.DUMMYFUNCTION("IfError(IF(isblank(A262),"""",split(Q262, ""()"")))"),"")</f>
        <v/>
      </c>
      <c r="N262" s="384"/>
      <c r="O262" s="385" t="str">
        <f t="shared" si="5"/>
        <v/>
      </c>
      <c r="P262" s="385" t="str">
        <f t="shared" si="6"/>
        <v/>
      </c>
      <c r="Q262" s="389" t="str">
        <f>IFERROR(__xludf.DUMMYFUNCTION("IfError(IF(isblank(A262),"""", substitute(index(IMPORTHTML(""http://finviz.com/quote.ashx?t=""&amp;A262,""table"", 10),7,2),""*"","""")),0)"),"")</f>
        <v/>
      </c>
    </row>
    <row r="263" ht="15.0" customHeight="1">
      <c r="A263" s="391" t="str">
        <f>'My Lab'!P224</f>
        <v/>
      </c>
      <c r="B263" s="382" t="str">
        <f>IFERROR(__xludf.DUMMYFUNCTION("IF(ISBLANK(A263),"""", googlefinance(A263, ""name""))"),"")</f>
        <v/>
      </c>
      <c r="C263" s="383" t="str">
        <f>IFERROR(__xludf.DUMMYFUNCTION("IF(ISBLANK(A263),"""", googlefinance(A263, ""price""))"),"")</f>
        <v/>
      </c>
      <c r="D263" s="383" t="str">
        <f>IFERROR(__xludf.DUMMYFUNCTION("IFERROR(googlefinance(A263,""change""),"""")"),"")</f>
        <v/>
      </c>
      <c r="E263" s="384" t="str">
        <f>IFERROR(__xludf.DUMMYFUNCTION("iferror(GOOGLEFINANCE(A263,""changepct"")/100,"""")"),"")</f>
        <v/>
      </c>
      <c r="F263" s="385" t="str">
        <f>IF(ISBLANK(A263), "", IF(COUNTIF(Positions!$A$2:$A$31, A263) &gt; 0, "Yes","No")
)</f>
        <v/>
      </c>
      <c r="G263" s="385" t="str">
        <f>IFERROR(__xludf.DUMMYFUNCTION("IF(ISBLANK(A263),"""", googlefinance(A263, ""low52""))"),"")</f>
        <v/>
      </c>
      <c r="H263" s="386" t="str">
        <f>IFERROR(__xludf.DUMMYFUNCTION("IF(ISBLANK(A263),"""",IFERROR(SPARKLINE((C263-G263)/(I263-G263),{""charttype"",""bar"";""max"",1;""min"",0;""color1"",""2c79b5""}),""n/a""))"),"")</f>
        <v/>
      </c>
      <c r="I263" s="385" t="str">
        <f>IFERROR(__xludf.DUMMYFUNCTION("IF(ISBLANK(A263),"""", googlefinance(A263, ""high52""))"),"")</f>
        <v/>
      </c>
      <c r="J263" s="387" t="s">
        <v>134</v>
      </c>
      <c r="K263" s="388" t="str">
        <f>IFERROR(__xludf.DUMMYFUNCTION("IF(ISBLANK(A263),"""", googlefinance(A263, ""PE""))"),"")</f>
        <v/>
      </c>
      <c r="L263" s="385" t="str">
        <f>IFERROR(__xludf.DUMMYFUNCTION("IF(ISBLANK(A263),"""", googlefinance(A263, ""eps""))"),"")</f>
        <v/>
      </c>
      <c r="M263" s="389" t="str">
        <f>IFERROR(__xludf.DUMMYFUNCTION("IfError(IF(isblank(A263),"""",split(Q263, ""()"")))"),"")</f>
        <v/>
      </c>
      <c r="N263" s="384"/>
      <c r="O263" s="385" t="str">
        <f t="shared" si="5"/>
        <v/>
      </c>
      <c r="P263" s="385" t="str">
        <f t="shared" si="6"/>
        <v/>
      </c>
      <c r="Q263" s="389" t="str">
        <f>IFERROR(__xludf.DUMMYFUNCTION("IfError(IF(isblank(A263),"""", substitute(index(IMPORTHTML(""http://finviz.com/quote.ashx?t=""&amp;A263,""table"", 10),7,2),""*"","""")),0)"),"")</f>
        <v/>
      </c>
    </row>
    <row r="264" ht="15.0" customHeight="1">
      <c r="A264" s="391" t="str">
        <f>'My Lab'!P225</f>
        <v/>
      </c>
      <c r="B264" s="382" t="str">
        <f>IFERROR(__xludf.DUMMYFUNCTION("IF(ISBLANK(A264),"""", googlefinance(A264, ""name""))"),"")</f>
        <v/>
      </c>
      <c r="C264" s="383" t="str">
        <f>IFERROR(__xludf.DUMMYFUNCTION("IF(ISBLANK(A264),"""", googlefinance(A264, ""price""))"),"")</f>
        <v/>
      </c>
      <c r="D264" s="383" t="str">
        <f>IFERROR(__xludf.DUMMYFUNCTION("IFERROR(googlefinance(A264,""change""),"""")"),"")</f>
        <v/>
      </c>
      <c r="E264" s="384" t="str">
        <f>IFERROR(__xludf.DUMMYFUNCTION("iferror(GOOGLEFINANCE(A264,""changepct"")/100,"""")"),"")</f>
        <v/>
      </c>
      <c r="F264" s="385" t="str">
        <f>IF(ISBLANK(A264), "", IF(COUNTIF(Positions!$A$2:$A$31, A264) &gt; 0, "Yes","No")
)</f>
        <v/>
      </c>
      <c r="G264" s="385" t="str">
        <f>IFERROR(__xludf.DUMMYFUNCTION("IF(ISBLANK(A264),"""", googlefinance(A264, ""low52""))"),"")</f>
        <v/>
      </c>
      <c r="H264" s="386" t="str">
        <f>IFERROR(__xludf.DUMMYFUNCTION("IF(ISBLANK(A264),"""",IFERROR(SPARKLINE((C264-G264)/(I264-G264),{""charttype"",""bar"";""max"",1;""min"",0;""color1"",""2c79b5""}),""n/a""))"),"")</f>
        <v/>
      </c>
      <c r="I264" s="385" t="str">
        <f>IFERROR(__xludf.DUMMYFUNCTION("IF(ISBLANK(A264),"""", googlefinance(A264, ""high52""))"),"")</f>
        <v/>
      </c>
      <c r="J264" s="387" t="s">
        <v>134</v>
      </c>
      <c r="K264" s="388" t="str">
        <f>IFERROR(__xludf.DUMMYFUNCTION("IF(ISBLANK(A264),"""", googlefinance(A264, ""PE""))"),"")</f>
        <v/>
      </c>
      <c r="L264" s="385" t="str">
        <f>IFERROR(__xludf.DUMMYFUNCTION("IF(ISBLANK(A264),"""", googlefinance(A264, ""eps""))"),"")</f>
        <v/>
      </c>
      <c r="M264" s="389" t="str">
        <f>IFERROR(__xludf.DUMMYFUNCTION("IfError(IF(isblank(A264),"""",split(Q264, ""()"")))"),"")</f>
        <v/>
      </c>
      <c r="N264" s="384"/>
      <c r="O264" s="385" t="str">
        <f t="shared" si="5"/>
        <v/>
      </c>
      <c r="P264" s="385" t="str">
        <f t="shared" si="6"/>
        <v/>
      </c>
      <c r="Q264" s="389" t="str">
        <f>IFERROR(__xludf.DUMMYFUNCTION("IfError(IF(isblank(A264),"""", substitute(index(IMPORTHTML(""http://finviz.com/quote.ashx?t=""&amp;A264,""table"", 10),7,2),""*"","""")),0)"),"")</f>
        <v/>
      </c>
    </row>
    <row r="265" ht="15.0" customHeight="1">
      <c r="A265" s="391" t="str">
        <f>'My Lab'!P226</f>
        <v/>
      </c>
      <c r="B265" s="382" t="str">
        <f>IFERROR(__xludf.DUMMYFUNCTION("IF(ISBLANK(A265),"""", googlefinance(A265, ""name""))"),"")</f>
        <v/>
      </c>
      <c r="C265" s="383" t="str">
        <f>IFERROR(__xludf.DUMMYFUNCTION("IF(ISBLANK(A265),"""", googlefinance(A265, ""price""))"),"")</f>
        <v/>
      </c>
      <c r="D265" s="383" t="str">
        <f>IFERROR(__xludf.DUMMYFUNCTION("IFERROR(googlefinance(A265,""change""),"""")"),"")</f>
        <v/>
      </c>
      <c r="E265" s="384" t="str">
        <f>IFERROR(__xludf.DUMMYFUNCTION("iferror(GOOGLEFINANCE(A265,""changepct"")/100,"""")"),"")</f>
        <v/>
      </c>
      <c r="F265" s="385" t="str">
        <f>IF(ISBLANK(A265), "", IF(COUNTIF(Positions!$A$2:$A$31, A265) &gt; 0, "Yes","No")
)</f>
        <v/>
      </c>
      <c r="G265" s="385" t="str">
        <f>IFERROR(__xludf.DUMMYFUNCTION("IF(ISBLANK(A265),"""", googlefinance(A265, ""low52""))"),"")</f>
        <v/>
      </c>
      <c r="H265" s="386" t="str">
        <f>IFERROR(__xludf.DUMMYFUNCTION("IF(ISBLANK(A265),"""",IFERROR(SPARKLINE((C265-G265)/(I265-G265),{""charttype"",""bar"";""max"",1;""min"",0;""color1"",""2c79b5""}),""n/a""))"),"")</f>
        <v/>
      </c>
      <c r="I265" s="385" t="str">
        <f>IFERROR(__xludf.DUMMYFUNCTION("IF(ISBLANK(A265),"""", googlefinance(A265, ""high52""))"),"")</f>
        <v/>
      </c>
      <c r="J265" s="387" t="s">
        <v>134</v>
      </c>
      <c r="K265" s="388" t="str">
        <f>IFERROR(__xludf.DUMMYFUNCTION("IF(ISBLANK(A265),"""", googlefinance(A265, ""PE""))"),"")</f>
        <v/>
      </c>
      <c r="L265" s="385" t="str">
        <f>IFERROR(__xludf.DUMMYFUNCTION("IF(ISBLANK(A265),"""", googlefinance(A265, ""eps""))"),"")</f>
        <v/>
      </c>
      <c r="M265" s="389" t="str">
        <f>IFERROR(__xludf.DUMMYFUNCTION("IfError(IF(isblank(A265),"""",split(Q265, ""()"")))"),"")</f>
        <v/>
      </c>
      <c r="N265" s="384"/>
      <c r="O265" s="385" t="str">
        <f t="shared" si="5"/>
        <v/>
      </c>
      <c r="P265" s="385" t="str">
        <f t="shared" si="6"/>
        <v/>
      </c>
      <c r="Q265" s="389" t="str">
        <f>IFERROR(__xludf.DUMMYFUNCTION("IfError(IF(isblank(A265),"""", substitute(index(IMPORTHTML(""http://finviz.com/quote.ashx?t=""&amp;A265,""table"", 10),7,2),""*"","""")),0)"),"")</f>
        <v/>
      </c>
    </row>
    <row r="266" ht="15.0" customHeight="1">
      <c r="A266" s="391" t="str">
        <f>'My Lab'!P227</f>
        <v/>
      </c>
      <c r="B266" s="382" t="str">
        <f>IFERROR(__xludf.DUMMYFUNCTION("IF(ISBLANK(A266),"""", googlefinance(A266, ""name""))"),"")</f>
        <v/>
      </c>
      <c r="C266" s="383" t="str">
        <f>IFERROR(__xludf.DUMMYFUNCTION("IF(ISBLANK(A266),"""", googlefinance(A266, ""price""))"),"")</f>
        <v/>
      </c>
      <c r="D266" s="383" t="str">
        <f>IFERROR(__xludf.DUMMYFUNCTION("IFERROR(googlefinance(A266,""change""),"""")"),"")</f>
        <v/>
      </c>
      <c r="E266" s="384" t="str">
        <f>IFERROR(__xludf.DUMMYFUNCTION("iferror(GOOGLEFINANCE(A266,""changepct"")/100,"""")"),"")</f>
        <v/>
      </c>
      <c r="F266" s="385" t="str">
        <f>IF(ISBLANK(A266), "", IF(COUNTIF(Positions!$A$2:$A$31, A266) &gt; 0, "Yes","No")
)</f>
        <v/>
      </c>
      <c r="G266" s="385" t="str">
        <f>IFERROR(__xludf.DUMMYFUNCTION("IF(ISBLANK(A266),"""", googlefinance(A266, ""low52""))"),"")</f>
        <v/>
      </c>
      <c r="H266" s="386" t="str">
        <f>IFERROR(__xludf.DUMMYFUNCTION("IF(ISBLANK(A266),"""",IFERROR(SPARKLINE((C266-G266)/(I266-G266),{""charttype"",""bar"";""max"",1;""min"",0;""color1"",""2c79b5""}),""n/a""))"),"")</f>
        <v/>
      </c>
      <c r="I266" s="385" t="str">
        <f>IFERROR(__xludf.DUMMYFUNCTION("IF(ISBLANK(A266),"""", googlefinance(A266, ""high52""))"),"")</f>
        <v/>
      </c>
      <c r="J266" s="387" t="s">
        <v>134</v>
      </c>
      <c r="K266" s="388" t="str">
        <f>IFERROR(__xludf.DUMMYFUNCTION("IF(ISBLANK(A266),"""", googlefinance(A266, ""PE""))"),"")</f>
        <v/>
      </c>
      <c r="L266" s="385" t="str">
        <f>IFERROR(__xludf.DUMMYFUNCTION("IF(ISBLANK(A266),"""", googlefinance(A266, ""eps""))"),"")</f>
        <v/>
      </c>
      <c r="M266" s="389" t="str">
        <f>IFERROR(__xludf.DUMMYFUNCTION("IfError(IF(isblank(A266),"""",split(Q266, ""()"")))"),"")</f>
        <v/>
      </c>
      <c r="N266" s="384"/>
      <c r="O266" s="385" t="str">
        <f t="shared" si="5"/>
        <v/>
      </c>
      <c r="P266" s="385" t="str">
        <f t="shared" si="6"/>
        <v/>
      </c>
      <c r="Q266" s="389" t="str">
        <f>IFERROR(__xludf.DUMMYFUNCTION("IfError(IF(isblank(A266),"""", substitute(index(IMPORTHTML(""http://finviz.com/quote.ashx?t=""&amp;A266,""table"", 10),7,2),""*"","""")),0)"),"")</f>
        <v/>
      </c>
    </row>
    <row r="267" ht="15.0" customHeight="1">
      <c r="A267" s="391" t="str">
        <f>'My Lab'!P228</f>
        <v/>
      </c>
      <c r="B267" s="382" t="str">
        <f>IFERROR(__xludf.DUMMYFUNCTION("IF(ISBLANK(A267),"""", googlefinance(A267, ""name""))"),"")</f>
        <v/>
      </c>
      <c r="C267" s="383" t="str">
        <f>IFERROR(__xludf.DUMMYFUNCTION("IF(ISBLANK(A267),"""", googlefinance(A267, ""price""))"),"")</f>
        <v/>
      </c>
      <c r="D267" s="383" t="str">
        <f>IFERROR(__xludf.DUMMYFUNCTION("IFERROR(googlefinance(A267,""change""),"""")"),"")</f>
        <v/>
      </c>
      <c r="E267" s="384" t="str">
        <f>IFERROR(__xludf.DUMMYFUNCTION("iferror(GOOGLEFINANCE(A267,""changepct"")/100,"""")"),"")</f>
        <v/>
      </c>
      <c r="F267" s="385" t="str">
        <f>IF(ISBLANK(A267), "", IF(COUNTIF(Positions!$A$2:$A$31, A267) &gt; 0, "Yes","No")
)</f>
        <v/>
      </c>
      <c r="G267" s="385" t="str">
        <f>IFERROR(__xludf.DUMMYFUNCTION("IF(ISBLANK(A267),"""", googlefinance(A267, ""low52""))"),"")</f>
        <v/>
      </c>
      <c r="H267" s="386" t="str">
        <f>IFERROR(__xludf.DUMMYFUNCTION("IF(ISBLANK(A267),"""",IFERROR(SPARKLINE((C267-G267)/(I267-G267),{""charttype"",""bar"";""max"",1;""min"",0;""color1"",""2c79b5""}),""n/a""))"),"")</f>
        <v/>
      </c>
      <c r="I267" s="385" t="str">
        <f>IFERROR(__xludf.DUMMYFUNCTION("IF(ISBLANK(A267),"""", googlefinance(A267, ""high52""))"),"")</f>
        <v/>
      </c>
      <c r="J267" s="387" t="s">
        <v>134</v>
      </c>
      <c r="K267" s="388" t="str">
        <f>IFERROR(__xludf.DUMMYFUNCTION("IF(ISBLANK(A267),"""", googlefinance(A267, ""PE""))"),"")</f>
        <v/>
      </c>
      <c r="L267" s="385" t="str">
        <f>IFERROR(__xludf.DUMMYFUNCTION("IF(ISBLANK(A267),"""", googlefinance(A267, ""eps""))"),"")</f>
        <v/>
      </c>
      <c r="M267" s="389" t="str">
        <f>IFERROR(__xludf.DUMMYFUNCTION("IfError(IF(isblank(A267),"""",split(Q267, ""()"")))"),"")</f>
        <v/>
      </c>
      <c r="N267" s="384"/>
      <c r="O267" s="385" t="str">
        <f t="shared" si="5"/>
        <v/>
      </c>
      <c r="P267" s="385" t="str">
        <f t="shared" si="6"/>
        <v/>
      </c>
      <c r="Q267" s="389" t="str">
        <f>IFERROR(__xludf.DUMMYFUNCTION("IfError(IF(isblank(A267),"""", substitute(index(IMPORTHTML(""http://finviz.com/quote.ashx?t=""&amp;A267,""table"", 10),7,2),""*"","""")),0)"),"")</f>
        <v/>
      </c>
    </row>
    <row r="268" ht="15.0" customHeight="1">
      <c r="A268" s="391" t="str">
        <f>'My Lab'!P229</f>
        <v/>
      </c>
      <c r="B268" s="382" t="str">
        <f>IFERROR(__xludf.DUMMYFUNCTION("IF(ISBLANK(A268),"""", googlefinance(A268, ""name""))"),"")</f>
        <v/>
      </c>
      <c r="C268" s="383" t="str">
        <f>IFERROR(__xludf.DUMMYFUNCTION("IF(ISBLANK(A268),"""", googlefinance(A268, ""price""))"),"")</f>
        <v/>
      </c>
      <c r="D268" s="383" t="str">
        <f>IFERROR(__xludf.DUMMYFUNCTION("IFERROR(googlefinance(A268,""change""),"""")"),"")</f>
        <v/>
      </c>
      <c r="E268" s="384" t="str">
        <f>IFERROR(__xludf.DUMMYFUNCTION("iferror(GOOGLEFINANCE(A268,""changepct"")/100,"""")"),"")</f>
        <v/>
      </c>
      <c r="F268" s="385" t="str">
        <f>IF(ISBLANK(A268), "", IF(COUNTIF(Positions!$A$2:$A$31, A268) &gt; 0, "Yes","No")
)</f>
        <v/>
      </c>
      <c r="G268" s="385" t="str">
        <f>IFERROR(__xludf.DUMMYFUNCTION("IF(ISBLANK(A268),"""", googlefinance(A268, ""low52""))"),"")</f>
        <v/>
      </c>
      <c r="H268" s="386" t="str">
        <f>IFERROR(__xludf.DUMMYFUNCTION("IF(ISBLANK(A268),"""",IFERROR(SPARKLINE((C268-G268)/(I268-G268),{""charttype"",""bar"";""max"",1;""min"",0;""color1"",""2c79b5""}),""n/a""))"),"")</f>
        <v/>
      </c>
      <c r="I268" s="385" t="str">
        <f>IFERROR(__xludf.DUMMYFUNCTION("IF(ISBLANK(A268),"""", googlefinance(A268, ""high52""))"),"")</f>
        <v/>
      </c>
      <c r="J268" s="387" t="s">
        <v>134</v>
      </c>
      <c r="K268" s="388" t="str">
        <f>IFERROR(__xludf.DUMMYFUNCTION("IF(ISBLANK(A268),"""", googlefinance(A268, ""PE""))"),"")</f>
        <v/>
      </c>
      <c r="L268" s="385" t="str">
        <f>IFERROR(__xludf.DUMMYFUNCTION("IF(ISBLANK(A268),"""", googlefinance(A268, ""eps""))"),"")</f>
        <v/>
      </c>
      <c r="M268" s="389" t="str">
        <f>IFERROR(__xludf.DUMMYFUNCTION("IfError(IF(isblank(A268),"""",split(Q268, ""()"")))"),"")</f>
        <v/>
      </c>
      <c r="N268" s="384"/>
      <c r="O268" s="385" t="str">
        <f t="shared" si="5"/>
        <v/>
      </c>
      <c r="P268" s="385" t="str">
        <f t="shared" si="6"/>
        <v/>
      </c>
      <c r="Q268" s="389" t="str">
        <f>IFERROR(__xludf.DUMMYFUNCTION("IfError(IF(isblank(A268),"""", substitute(index(IMPORTHTML(""http://finviz.com/quote.ashx?t=""&amp;A268,""table"", 10),7,2),""*"","""")),0)"),"")</f>
        <v/>
      </c>
    </row>
    <row r="269" ht="15.0" customHeight="1">
      <c r="A269" s="391" t="str">
        <f>'My Lab'!P230</f>
        <v/>
      </c>
      <c r="B269" s="382" t="str">
        <f>IFERROR(__xludf.DUMMYFUNCTION("IF(ISBLANK(A269),"""", googlefinance(A269, ""name""))"),"")</f>
        <v/>
      </c>
      <c r="C269" s="383" t="str">
        <f>IFERROR(__xludf.DUMMYFUNCTION("IF(ISBLANK(A269),"""", googlefinance(A269, ""price""))"),"")</f>
        <v/>
      </c>
      <c r="D269" s="383" t="str">
        <f>IFERROR(__xludf.DUMMYFUNCTION("IFERROR(googlefinance(A269,""change""),"""")"),"")</f>
        <v/>
      </c>
      <c r="E269" s="384" t="str">
        <f>IFERROR(__xludf.DUMMYFUNCTION("iferror(GOOGLEFINANCE(A269,""changepct"")/100,"""")"),"")</f>
        <v/>
      </c>
      <c r="F269" s="385" t="str">
        <f>IF(ISBLANK(A269), "", IF(COUNTIF(Positions!$A$2:$A$31, A269) &gt; 0, "Yes","No")
)</f>
        <v/>
      </c>
      <c r="G269" s="385" t="str">
        <f>IFERROR(__xludf.DUMMYFUNCTION("IF(ISBLANK(A269),"""", googlefinance(A269, ""low52""))"),"")</f>
        <v/>
      </c>
      <c r="H269" s="386" t="str">
        <f>IFERROR(__xludf.DUMMYFUNCTION("IF(ISBLANK(A269),"""",IFERROR(SPARKLINE((C269-G269)/(I269-G269),{""charttype"",""bar"";""max"",1;""min"",0;""color1"",""2c79b5""}),""n/a""))"),"")</f>
        <v/>
      </c>
      <c r="I269" s="385" t="str">
        <f>IFERROR(__xludf.DUMMYFUNCTION("IF(ISBLANK(A269),"""", googlefinance(A269, ""high52""))"),"")</f>
        <v/>
      </c>
      <c r="J269" s="387" t="s">
        <v>134</v>
      </c>
      <c r="K269" s="388" t="str">
        <f>IFERROR(__xludf.DUMMYFUNCTION("IF(ISBLANK(A269),"""", googlefinance(A269, ""PE""))"),"")</f>
        <v/>
      </c>
      <c r="L269" s="385" t="str">
        <f>IFERROR(__xludf.DUMMYFUNCTION("IF(ISBLANK(A269),"""", googlefinance(A269, ""eps""))"),"")</f>
        <v/>
      </c>
      <c r="M269" s="389" t="str">
        <f>IFERROR(__xludf.DUMMYFUNCTION("IfError(IF(isblank(A269),"""",split(Q269, ""()"")))"),"")</f>
        <v/>
      </c>
      <c r="N269" s="384"/>
      <c r="O269" s="385" t="str">
        <f t="shared" si="5"/>
        <v/>
      </c>
      <c r="P269" s="385" t="str">
        <f t="shared" si="6"/>
        <v/>
      </c>
      <c r="Q269" s="389" t="str">
        <f>IFERROR(__xludf.DUMMYFUNCTION("IfError(IF(isblank(A269),"""", substitute(index(IMPORTHTML(""http://finviz.com/quote.ashx?t=""&amp;A269,""table"", 10),7,2),""*"","""")),0)"),"")</f>
        <v/>
      </c>
    </row>
    <row r="270" ht="15.0" customHeight="1">
      <c r="A270" s="391" t="str">
        <f>'My Lab'!P231</f>
        <v/>
      </c>
      <c r="B270" s="382" t="str">
        <f>IFERROR(__xludf.DUMMYFUNCTION("IF(ISBLANK(A270),"""", googlefinance(A270, ""name""))"),"")</f>
        <v/>
      </c>
      <c r="C270" s="383" t="str">
        <f>IFERROR(__xludf.DUMMYFUNCTION("IF(ISBLANK(A270),"""", googlefinance(A270, ""price""))"),"")</f>
        <v/>
      </c>
      <c r="D270" s="383" t="str">
        <f>IFERROR(__xludf.DUMMYFUNCTION("IFERROR(googlefinance(A270,""change""),"""")"),"")</f>
        <v/>
      </c>
      <c r="E270" s="384" t="str">
        <f>IFERROR(__xludf.DUMMYFUNCTION("iferror(GOOGLEFINANCE(A270,""changepct"")/100,"""")"),"")</f>
        <v/>
      </c>
      <c r="F270" s="385" t="str">
        <f>IF(ISBLANK(A270), "", IF(COUNTIF(Positions!$A$2:$A$31, A270) &gt; 0, "Yes","No")
)</f>
        <v/>
      </c>
      <c r="G270" s="385" t="str">
        <f>IFERROR(__xludf.DUMMYFUNCTION("IF(ISBLANK(A270),"""", googlefinance(A270, ""low52""))"),"")</f>
        <v/>
      </c>
      <c r="H270" s="386" t="str">
        <f>IFERROR(__xludf.DUMMYFUNCTION("IF(ISBLANK(A270),"""",IFERROR(SPARKLINE((C270-G270)/(I270-G270),{""charttype"",""bar"";""max"",1;""min"",0;""color1"",""2c79b5""}),""n/a""))"),"")</f>
        <v/>
      </c>
      <c r="I270" s="385" t="str">
        <f>IFERROR(__xludf.DUMMYFUNCTION("IF(ISBLANK(A270),"""", googlefinance(A270, ""high52""))"),"")</f>
        <v/>
      </c>
      <c r="J270" s="387" t="s">
        <v>134</v>
      </c>
      <c r="K270" s="388" t="str">
        <f>IFERROR(__xludf.DUMMYFUNCTION("IF(ISBLANK(A270),"""", googlefinance(A270, ""PE""))"),"")</f>
        <v/>
      </c>
      <c r="L270" s="385" t="str">
        <f>IFERROR(__xludf.DUMMYFUNCTION("IF(ISBLANK(A270),"""", googlefinance(A270, ""eps""))"),"")</f>
        <v/>
      </c>
      <c r="M270" s="389" t="str">
        <f>IFERROR(__xludf.DUMMYFUNCTION("IfError(IF(isblank(A270),"""",split(Q270, ""()"")))"),"")</f>
        <v/>
      </c>
      <c r="N270" s="384"/>
      <c r="O270" s="385" t="str">
        <f t="shared" si="5"/>
        <v/>
      </c>
      <c r="P270" s="385" t="str">
        <f t="shared" si="6"/>
        <v/>
      </c>
      <c r="Q270" s="389" t="str">
        <f>IFERROR(__xludf.DUMMYFUNCTION("IfError(IF(isblank(A270),"""", substitute(index(IMPORTHTML(""http://finviz.com/quote.ashx?t=""&amp;A270,""table"", 10),7,2),""*"","""")),0)"),"")</f>
        <v/>
      </c>
    </row>
    <row r="271" ht="15.0" customHeight="1">
      <c r="A271" s="391" t="str">
        <f>'My Lab'!P232</f>
        <v/>
      </c>
      <c r="B271" s="382" t="str">
        <f>IFERROR(__xludf.DUMMYFUNCTION("IF(ISBLANK(A271),"""", googlefinance(A271, ""name""))"),"")</f>
        <v/>
      </c>
      <c r="C271" s="383" t="str">
        <f>IFERROR(__xludf.DUMMYFUNCTION("IF(ISBLANK(A271),"""", googlefinance(A271, ""price""))"),"")</f>
        <v/>
      </c>
      <c r="D271" s="383" t="str">
        <f>IFERROR(__xludf.DUMMYFUNCTION("IFERROR(googlefinance(A271,""change""),"""")"),"")</f>
        <v/>
      </c>
      <c r="E271" s="384" t="str">
        <f>IFERROR(__xludf.DUMMYFUNCTION("iferror(GOOGLEFINANCE(A271,""changepct"")/100,"""")"),"")</f>
        <v/>
      </c>
      <c r="F271" s="385" t="str">
        <f>IF(ISBLANK(A271), "", IF(COUNTIF(Positions!$A$2:$A$31, A271) &gt; 0, "Yes","No")
)</f>
        <v/>
      </c>
      <c r="G271" s="385" t="str">
        <f>IFERROR(__xludf.DUMMYFUNCTION("IF(ISBLANK(A271),"""", googlefinance(A271, ""low52""))"),"")</f>
        <v/>
      </c>
      <c r="H271" s="386" t="str">
        <f>IFERROR(__xludf.DUMMYFUNCTION("IF(ISBLANK(A271),"""",IFERROR(SPARKLINE((C271-G271)/(I271-G271),{""charttype"",""bar"";""max"",1;""min"",0;""color1"",""2c79b5""}),""n/a""))"),"")</f>
        <v/>
      </c>
      <c r="I271" s="385" t="str">
        <f>IFERROR(__xludf.DUMMYFUNCTION("IF(ISBLANK(A271),"""", googlefinance(A271, ""high52""))"),"")</f>
        <v/>
      </c>
      <c r="J271" s="387" t="s">
        <v>134</v>
      </c>
      <c r="K271" s="388" t="str">
        <f>IFERROR(__xludf.DUMMYFUNCTION("IF(ISBLANK(A271),"""", googlefinance(A271, ""PE""))"),"")</f>
        <v/>
      </c>
      <c r="L271" s="385" t="str">
        <f>IFERROR(__xludf.DUMMYFUNCTION("IF(ISBLANK(A271),"""", googlefinance(A271, ""eps""))"),"")</f>
        <v/>
      </c>
      <c r="M271" s="389" t="str">
        <f>IFERROR(__xludf.DUMMYFUNCTION("IfError(IF(isblank(A271),"""",split(Q271, ""()"")))"),"")</f>
        <v/>
      </c>
      <c r="N271" s="384"/>
      <c r="O271" s="385" t="str">
        <f t="shared" si="5"/>
        <v/>
      </c>
      <c r="P271" s="385" t="str">
        <f t="shared" si="6"/>
        <v/>
      </c>
      <c r="Q271" s="389" t="str">
        <f>IFERROR(__xludf.DUMMYFUNCTION("IfError(IF(isblank(A271),"""", substitute(index(IMPORTHTML(""http://finviz.com/quote.ashx?t=""&amp;A271,""table"", 10),7,2),""*"","""")),0)"),"")</f>
        <v/>
      </c>
    </row>
    <row r="272" ht="15.0" customHeight="1">
      <c r="A272" s="391" t="str">
        <f>'My Lab'!P233</f>
        <v/>
      </c>
      <c r="B272" s="382" t="str">
        <f>IFERROR(__xludf.DUMMYFUNCTION("IF(ISBLANK(A272),"""", googlefinance(A272, ""name""))"),"")</f>
        <v/>
      </c>
      <c r="C272" s="383" t="str">
        <f>IFERROR(__xludf.DUMMYFUNCTION("IF(ISBLANK(A272),"""", googlefinance(A272, ""price""))"),"")</f>
        <v/>
      </c>
      <c r="D272" s="383" t="str">
        <f>IFERROR(__xludf.DUMMYFUNCTION("IFERROR(googlefinance(A272,""change""),"""")"),"")</f>
        <v/>
      </c>
      <c r="E272" s="384" t="str">
        <f>IFERROR(__xludf.DUMMYFUNCTION("iferror(GOOGLEFINANCE(A272,""changepct"")/100,"""")"),"")</f>
        <v/>
      </c>
      <c r="F272" s="385" t="str">
        <f>IF(ISBLANK(A272), "", IF(COUNTIF(Positions!$A$2:$A$31, A272) &gt; 0, "Yes","No")
)</f>
        <v/>
      </c>
      <c r="G272" s="385" t="str">
        <f>IFERROR(__xludf.DUMMYFUNCTION("IF(ISBLANK(A272),"""", googlefinance(A272, ""low52""))"),"")</f>
        <v/>
      </c>
      <c r="H272" s="386" t="str">
        <f>IFERROR(__xludf.DUMMYFUNCTION("IF(ISBLANK(A272),"""",IFERROR(SPARKLINE((C272-G272)/(I272-G272),{""charttype"",""bar"";""max"",1;""min"",0;""color1"",""2c79b5""}),""n/a""))"),"")</f>
        <v/>
      </c>
      <c r="I272" s="385" t="str">
        <f>IFERROR(__xludf.DUMMYFUNCTION("IF(ISBLANK(A272),"""", googlefinance(A272, ""high52""))"),"")</f>
        <v/>
      </c>
      <c r="J272" s="387" t="s">
        <v>134</v>
      </c>
      <c r="K272" s="388" t="str">
        <f>IFERROR(__xludf.DUMMYFUNCTION("IF(ISBLANK(A272),"""", googlefinance(A272, ""PE""))"),"")</f>
        <v/>
      </c>
      <c r="L272" s="385" t="str">
        <f>IFERROR(__xludf.DUMMYFUNCTION("IF(ISBLANK(A272),"""", googlefinance(A272, ""eps""))"),"")</f>
        <v/>
      </c>
      <c r="M272" s="389" t="str">
        <f>IFERROR(__xludf.DUMMYFUNCTION("IfError(IF(isblank(A272),"""",split(Q272, ""()"")))"),"")</f>
        <v/>
      </c>
      <c r="N272" s="384"/>
      <c r="O272" s="385" t="str">
        <f t="shared" si="5"/>
        <v/>
      </c>
      <c r="P272" s="385" t="str">
        <f t="shared" si="6"/>
        <v/>
      </c>
      <c r="Q272" s="389" t="str">
        <f>IFERROR(__xludf.DUMMYFUNCTION("IfError(IF(isblank(A272),"""", substitute(index(IMPORTHTML(""http://finviz.com/quote.ashx?t=""&amp;A272,""table"", 10),7,2),""*"","""")),0)"),"")</f>
        <v/>
      </c>
    </row>
    <row r="273" ht="15.0" customHeight="1">
      <c r="A273" s="391" t="str">
        <f>'My Lab'!P234</f>
        <v/>
      </c>
      <c r="B273" s="382" t="str">
        <f>IFERROR(__xludf.DUMMYFUNCTION("IF(ISBLANK(A273),"""", googlefinance(A273, ""name""))"),"")</f>
        <v/>
      </c>
      <c r="C273" s="383" t="str">
        <f>IFERROR(__xludf.DUMMYFUNCTION("IF(ISBLANK(A273),"""", googlefinance(A273, ""price""))"),"")</f>
        <v/>
      </c>
      <c r="D273" s="383" t="str">
        <f>IFERROR(__xludf.DUMMYFUNCTION("IFERROR(googlefinance(A273,""change""),"""")"),"")</f>
        <v/>
      </c>
      <c r="E273" s="384" t="str">
        <f>IFERROR(__xludf.DUMMYFUNCTION("iferror(GOOGLEFINANCE(A273,""changepct"")/100,"""")"),"")</f>
        <v/>
      </c>
      <c r="F273" s="385" t="str">
        <f>IF(ISBLANK(A273), "", IF(COUNTIF(Positions!$A$2:$A$31, A273) &gt; 0, "Yes","No")
)</f>
        <v/>
      </c>
      <c r="G273" s="385" t="str">
        <f>IFERROR(__xludf.DUMMYFUNCTION("IF(ISBLANK(A273),"""", googlefinance(A273, ""low52""))"),"")</f>
        <v/>
      </c>
      <c r="H273" s="386" t="str">
        <f>IFERROR(__xludf.DUMMYFUNCTION("IF(ISBLANK(A273),"""",IFERROR(SPARKLINE((C273-G273)/(I273-G273),{""charttype"",""bar"";""max"",1;""min"",0;""color1"",""2c79b5""}),""n/a""))"),"")</f>
        <v/>
      </c>
      <c r="I273" s="385" t="str">
        <f>IFERROR(__xludf.DUMMYFUNCTION("IF(ISBLANK(A273),"""", googlefinance(A273, ""high52""))"),"")</f>
        <v/>
      </c>
      <c r="J273" s="387" t="s">
        <v>134</v>
      </c>
      <c r="K273" s="388" t="str">
        <f>IFERROR(__xludf.DUMMYFUNCTION("IF(ISBLANK(A273),"""", googlefinance(A273, ""PE""))"),"")</f>
        <v/>
      </c>
      <c r="L273" s="385" t="str">
        <f>IFERROR(__xludf.DUMMYFUNCTION("IF(ISBLANK(A273),"""", googlefinance(A273, ""eps""))"),"")</f>
        <v/>
      </c>
      <c r="M273" s="389" t="str">
        <f>IFERROR(__xludf.DUMMYFUNCTION("IfError(IF(isblank(A273),"""",split(Q273, ""()"")))"),"")</f>
        <v/>
      </c>
      <c r="N273" s="384"/>
      <c r="O273" s="385" t="str">
        <f t="shared" si="5"/>
        <v/>
      </c>
      <c r="P273" s="385" t="str">
        <f t="shared" si="6"/>
        <v/>
      </c>
      <c r="Q273" s="389" t="str">
        <f>IFERROR(__xludf.DUMMYFUNCTION("IfError(IF(isblank(A273),"""", substitute(index(IMPORTHTML(""http://finviz.com/quote.ashx?t=""&amp;A273,""table"", 10),7,2),""*"","""")),0)"),"")</f>
        <v/>
      </c>
    </row>
    <row r="274" ht="15.0" customHeight="1">
      <c r="A274" s="391" t="str">
        <f>'My Lab'!P235</f>
        <v/>
      </c>
      <c r="B274" s="382" t="str">
        <f>IFERROR(__xludf.DUMMYFUNCTION("IF(ISBLANK(A274),"""", googlefinance(A274, ""name""))"),"")</f>
        <v/>
      </c>
      <c r="C274" s="383" t="str">
        <f>IFERROR(__xludf.DUMMYFUNCTION("IF(ISBLANK(A274),"""", googlefinance(A274, ""price""))"),"")</f>
        <v/>
      </c>
      <c r="D274" s="383" t="str">
        <f>IFERROR(__xludf.DUMMYFUNCTION("IFERROR(googlefinance(A274,""change""),"""")"),"")</f>
        <v/>
      </c>
      <c r="E274" s="384" t="str">
        <f>IFERROR(__xludf.DUMMYFUNCTION("iferror(GOOGLEFINANCE(A274,""changepct"")/100,"""")"),"")</f>
        <v/>
      </c>
      <c r="F274" s="385" t="str">
        <f>IF(ISBLANK(A274), "", IF(COUNTIF(Positions!$A$2:$A$31, A274) &gt; 0, "Yes","No")
)</f>
        <v/>
      </c>
      <c r="G274" s="385" t="str">
        <f>IFERROR(__xludf.DUMMYFUNCTION("IF(ISBLANK(A274),"""", googlefinance(A274, ""low52""))"),"")</f>
        <v/>
      </c>
      <c r="H274" s="386" t="str">
        <f>IFERROR(__xludf.DUMMYFUNCTION("IF(ISBLANK(A274),"""",IFERROR(SPARKLINE((C274-G274)/(I274-G274),{""charttype"",""bar"";""max"",1;""min"",0;""color1"",""2c79b5""}),""n/a""))"),"")</f>
        <v/>
      </c>
      <c r="I274" s="385" t="str">
        <f>IFERROR(__xludf.DUMMYFUNCTION("IF(ISBLANK(A274),"""", googlefinance(A274, ""high52""))"),"")</f>
        <v/>
      </c>
      <c r="J274" s="387" t="s">
        <v>134</v>
      </c>
      <c r="K274" s="388" t="str">
        <f>IFERROR(__xludf.DUMMYFUNCTION("IF(ISBLANK(A274),"""", googlefinance(A274, ""PE""))"),"")</f>
        <v/>
      </c>
      <c r="L274" s="385" t="str">
        <f>IFERROR(__xludf.DUMMYFUNCTION("IF(ISBLANK(A274),"""", googlefinance(A274, ""eps""))"),"")</f>
        <v/>
      </c>
      <c r="M274" s="389" t="str">
        <f>IFERROR(__xludf.DUMMYFUNCTION("IfError(IF(isblank(A274),"""",split(Q274, ""()"")))"),"")</f>
        <v/>
      </c>
      <c r="N274" s="384"/>
      <c r="O274" s="385" t="str">
        <f t="shared" si="5"/>
        <v/>
      </c>
      <c r="P274" s="385" t="str">
        <f t="shared" si="6"/>
        <v/>
      </c>
      <c r="Q274" s="389" t="str">
        <f>IFERROR(__xludf.DUMMYFUNCTION("IfError(IF(isblank(A274),"""", substitute(index(IMPORTHTML(""http://finviz.com/quote.ashx?t=""&amp;A274,""table"", 10),7,2),""*"","""")),0)"),"")</f>
        <v/>
      </c>
    </row>
    <row r="275" ht="15.0" customHeight="1">
      <c r="A275" s="391" t="str">
        <f>'My Lab'!P236</f>
        <v/>
      </c>
      <c r="B275" s="382" t="str">
        <f>IFERROR(__xludf.DUMMYFUNCTION("IF(ISBLANK(A275),"""", googlefinance(A275, ""name""))"),"")</f>
        <v/>
      </c>
      <c r="C275" s="383" t="str">
        <f>IFERROR(__xludf.DUMMYFUNCTION("IF(ISBLANK(A275),"""", googlefinance(A275, ""price""))"),"")</f>
        <v/>
      </c>
      <c r="D275" s="383" t="str">
        <f>IFERROR(__xludf.DUMMYFUNCTION("IFERROR(googlefinance(A275,""change""),"""")"),"")</f>
        <v/>
      </c>
      <c r="E275" s="384" t="str">
        <f>IFERROR(__xludf.DUMMYFUNCTION("iferror(GOOGLEFINANCE(A275,""changepct"")/100,"""")"),"")</f>
        <v/>
      </c>
      <c r="F275" s="385" t="str">
        <f>IF(ISBLANK(A275), "", IF(COUNTIF(Positions!$A$2:$A$31, A275) &gt; 0, "Yes","No")
)</f>
        <v/>
      </c>
      <c r="G275" s="385" t="str">
        <f>IFERROR(__xludf.DUMMYFUNCTION("IF(ISBLANK(A275),"""", googlefinance(A275, ""low52""))"),"")</f>
        <v/>
      </c>
      <c r="H275" s="386" t="str">
        <f>IFERROR(__xludf.DUMMYFUNCTION("IF(ISBLANK(A275),"""",IFERROR(SPARKLINE((C275-G275)/(I275-G275),{""charttype"",""bar"";""max"",1;""min"",0;""color1"",""2c79b5""}),""n/a""))"),"")</f>
        <v/>
      </c>
      <c r="I275" s="385" t="str">
        <f>IFERROR(__xludf.DUMMYFUNCTION("IF(ISBLANK(A275),"""", googlefinance(A275, ""high52""))"),"")</f>
        <v/>
      </c>
      <c r="J275" s="387" t="s">
        <v>134</v>
      </c>
      <c r="K275" s="388" t="str">
        <f>IFERROR(__xludf.DUMMYFUNCTION("IF(ISBLANK(A275),"""", googlefinance(A275, ""PE""))"),"")</f>
        <v/>
      </c>
      <c r="L275" s="385" t="str">
        <f>IFERROR(__xludf.DUMMYFUNCTION("IF(ISBLANK(A275),"""", googlefinance(A275, ""eps""))"),"")</f>
        <v/>
      </c>
      <c r="M275" s="389" t="str">
        <f>IFERROR(__xludf.DUMMYFUNCTION("IfError(IF(isblank(A275),"""",split(Q275, ""()"")))"),"")</f>
        <v/>
      </c>
      <c r="N275" s="384"/>
      <c r="O275" s="385" t="str">
        <f t="shared" si="5"/>
        <v/>
      </c>
      <c r="P275" s="385" t="str">
        <f t="shared" si="6"/>
        <v/>
      </c>
      <c r="Q275" s="389" t="str">
        <f>IFERROR(__xludf.DUMMYFUNCTION("IfError(IF(isblank(A275),"""", substitute(index(IMPORTHTML(""http://finviz.com/quote.ashx?t=""&amp;A275,""table"", 10),7,2),""*"","""")),0)"),"")</f>
        <v/>
      </c>
    </row>
    <row r="276" ht="15.0" customHeight="1">
      <c r="A276" s="391" t="str">
        <f>'My Lab'!P237</f>
        <v/>
      </c>
      <c r="B276" s="382" t="str">
        <f>IFERROR(__xludf.DUMMYFUNCTION("IF(ISBLANK(A276),"""", googlefinance(A276, ""name""))"),"")</f>
        <v/>
      </c>
      <c r="C276" s="383" t="str">
        <f>IFERROR(__xludf.DUMMYFUNCTION("IF(ISBLANK(A276),"""", googlefinance(A276, ""price""))"),"")</f>
        <v/>
      </c>
      <c r="D276" s="383" t="str">
        <f>IFERROR(__xludf.DUMMYFUNCTION("IFERROR(googlefinance(A276,""change""),"""")"),"")</f>
        <v/>
      </c>
      <c r="E276" s="384" t="str">
        <f>IFERROR(__xludf.DUMMYFUNCTION("iferror(GOOGLEFINANCE(A276,""changepct"")/100,"""")"),"")</f>
        <v/>
      </c>
      <c r="F276" s="385" t="str">
        <f>IF(ISBLANK(A276), "", IF(COUNTIF(Positions!$A$2:$A$31, A276) &gt; 0, "Yes","No")
)</f>
        <v/>
      </c>
      <c r="G276" s="385" t="str">
        <f>IFERROR(__xludf.DUMMYFUNCTION("IF(ISBLANK(A276),"""", googlefinance(A276, ""low52""))"),"")</f>
        <v/>
      </c>
      <c r="H276" s="386" t="str">
        <f>IFERROR(__xludf.DUMMYFUNCTION("IF(ISBLANK(A276),"""",IFERROR(SPARKLINE((C276-G276)/(I276-G276),{""charttype"",""bar"";""max"",1;""min"",0;""color1"",""2c79b5""}),""n/a""))"),"")</f>
        <v/>
      </c>
      <c r="I276" s="385" t="str">
        <f>IFERROR(__xludf.DUMMYFUNCTION("IF(ISBLANK(A276),"""", googlefinance(A276, ""high52""))"),"")</f>
        <v/>
      </c>
      <c r="J276" s="387" t="s">
        <v>134</v>
      </c>
      <c r="K276" s="388" t="str">
        <f>IFERROR(__xludf.DUMMYFUNCTION("IF(ISBLANK(A276),"""", googlefinance(A276, ""PE""))"),"")</f>
        <v/>
      </c>
      <c r="L276" s="385" t="str">
        <f>IFERROR(__xludf.DUMMYFUNCTION("IF(ISBLANK(A276),"""", googlefinance(A276, ""eps""))"),"")</f>
        <v/>
      </c>
      <c r="M276" s="389" t="str">
        <f>IFERROR(__xludf.DUMMYFUNCTION("IfError(IF(isblank(A276),"""",split(Q276, ""()"")))"),"")</f>
        <v/>
      </c>
      <c r="N276" s="384"/>
      <c r="O276" s="385" t="str">
        <f t="shared" si="5"/>
        <v/>
      </c>
      <c r="P276" s="385" t="str">
        <f t="shared" si="6"/>
        <v/>
      </c>
      <c r="Q276" s="389" t="str">
        <f>IFERROR(__xludf.DUMMYFUNCTION("IfError(IF(isblank(A276),"""", substitute(index(IMPORTHTML(""http://finviz.com/quote.ashx?t=""&amp;A276,""table"", 10),7,2),""*"","""")),0)"),"")</f>
        <v/>
      </c>
    </row>
    <row r="277" ht="15.0" customHeight="1">
      <c r="A277" s="391" t="str">
        <f>'My Lab'!P238</f>
        <v/>
      </c>
      <c r="B277" s="382" t="str">
        <f>IFERROR(__xludf.DUMMYFUNCTION("IF(ISBLANK(A277),"""", googlefinance(A277, ""name""))"),"")</f>
        <v/>
      </c>
      <c r="C277" s="383" t="str">
        <f>IFERROR(__xludf.DUMMYFUNCTION("IF(ISBLANK(A277),"""", googlefinance(A277, ""price""))"),"")</f>
        <v/>
      </c>
      <c r="D277" s="383" t="str">
        <f>IFERROR(__xludf.DUMMYFUNCTION("IFERROR(googlefinance(A277,""change""),"""")"),"")</f>
        <v/>
      </c>
      <c r="E277" s="384" t="str">
        <f>IFERROR(__xludf.DUMMYFUNCTION("iferror(GOOGLEFINANCE(A277,""changepct"")/100,"""")"),"")</f>
        <v/>
      </c>
      <c r="F277" s="385" t="str">
        <f>IF(ISBLANK(A277), "", IF(COUNTIF(Positions!$A$2:$A$31, A277) &gt; 0, "Yes","No")
)</f>
        <v/>
      </c>
      <c r="G277" s="385" t="str">
        <f>IFERROR(__xludf.DUMMYFUNCTION("IF(ISBLANK(A277),"""", googlefinance(A277, ""low52""))"),"")</f>
        <v/>
      </c>
      <c r="H277" s="386" t="str">
        <f>IFERROR(__xludf.DUMMYFUNCTION("IF(ISBLANK(A277),"""",IFERROR(SPARKLINE((C277-G277)/(I277-G277),{""charttype"",""bar"";""max"",1;""min"",0;""color1"",""2c79b5""}),""n/a""))"),"")</f>
        <v/>
      </c>
      <c r="I277" s="385" t="str">
        <f>IFERROR(__xludf.DUMMYFUNCTION("IF(ISBLANK(A277),"""", googlefinance(A277, ""high52""))"),"")</f>
        <v/>
      </c>
      <c r="J277" s="387" t="s">
        <v>134</v>
      </c>
      <c r="K277" s="388" t="str">
        <f>IFERROR(__xludf.DUMMYFUNCTION("IF(ISBLANK(A277),"""", googlefinance(A277, ""PE""))"),"")</f>
        <v/>
      </c>
      <c r="L277" s="385" t="str">
        <f>IFERROR(__xludf.DUMMYFUNCTION("IF(ISBLANK(A277),"""", googlefinance(A277, ""eps""))"),"")</f>
        <v/>
      </c>
      <c r="M277" s="389" t="str">
        <f>IFERROR(__xludf.DUMMYFUNCTION("IfError(IF(isblank(A277),"""",split(Q277, ""()"")))"),"")</f>
        <v/>
      </c>
      <c r="N277" s="384"/>
      <c r="O277" s="385" t="str">
        <f t="shared" si="5"/>
        <v/>
      </c>
      <c r="P277" s="385" t="str">
        <f t="shared" si="6"/>
        <v/>
      </c>
      <c r="Q277" s="389" t="str">
        <f>IFERROR(__xludf.DUMMYFUNCTION("IfError(IF(isblank(A277),"""", substitute(index(IMPORTHTML(""http://finviz.com/quote.ashx?t=""&amp;A277,""table"", 10),7,2),""*"","""")),0)"),"")</f>
        <v/>
      </c>
    </row>
    <row r="278" ht="15.0" customHeight="1">
      <c r="A278" s="391" t="str">
        <f>'My Lab'!P239</f>
        <v/>
      </c>
      <c r="B278" s="382" t="str">
        <f>IFERROR(__xludf.DUMMYFUNCTION("IF(ISBLANK(A278),"""", googlefinance(A278, ""name""))"),"")</f>
        <v/>
      </c>
      <c r="C278" s="383" t="str">
        <f>IFERROR(__xludf.DUMMYFUNCTION("IF(ISBLANK(A278),"""", googlefinance(A278, ""price""))"),"")</f>
        <v/>
      </c>
      <c r="D278" s="383" t="str">
        <f>IFERROR(__xludf.DUMMYFUNCTION("IFERROR(googlefinance(A278,""change""),"""")"),"")</f>
        <v/>
      </c>
      <c r="E278" s="384" t="str">
        <f>IFERROR(__xludf.DUMMYFUNCTION("iferror(GOOGLEFINANCE(A278,""changepct"")/100,"""")"),"")</f>
        <v/>
      </c>
      <c r="F278" s="385" t="str">
        <f>IF(ISBLANK(A278), "", IF(COUNTIF(Positions!$A$2:$A$31, A278) &gt; 0, "Yes","No")
)</f>
        <v/>
      </c>
      <c r="G278" s="385" t="str">
        <f>IFERROR(__xludf.DUMMYFUNCTION("IF(ISBLANK(A278),"""", googlefinance(A278, ""low52""))"),"")</f>
        <v/>
      </c>
      <c r="H278" s="386" t="str">
        <f>IFERROR(__xludf.DUMMYFUNCTION("IF(ISBLANK(A278),"""",IFERROR(SPARKLINE((C278-G278)/(I278-G278),{""charttype"",""bar"";""max"",1;""min"",0;""color1"",""2c79b5""}),""n/a""))"),"")</f>
        <v/>
      </c>
      <c r="I278" s="385" t="str">
        <f>IFERROR(__xludf.DUMMYFUNCTION("IF(ISBLANK(A278),"""", googlefinance(A278, ""high52""))"),"")</f>
        <v/>
      </c>
      <c r="J278" s="387" t="s">
        <v>134</v>
      </c>
      <c r="K278" s="388" t="str">
        <f>IFERROR(__xludf.DUMMYFUNCTION("IF(ISBLANK(A278),"""", googlefinance(A278, ""PE""))"),"")</f>
        <v/>
      </c>
      <c r="L278" s="385" t="str">
        <f>IFERROR(__xludf.DUMMYFUNCTION("IF(ISBLANK(A278),"""", googlefinance(A278, ""eps""))"),"")</f>
        <v/>
      </c>
      <c r="M278" s="389" t="str">
        <f>IFERROR(__xludf.DUMMYFUNCTION("IfError(IF(isblank(A278),"""",split(Q278, ""()"")))"),"")</f>
        <v/>
      </c>
      <c r="N278" s="384"/>
      <c r="O278" s="385" t="str">
        <f t="shared" si="5"/>
        <v/>
      </c>
      <c r="P278" s="385" t="str">
        <f t="shared" si="6"/>
        <v/>
      </c>
      <c r="Q278" s="389" t="str">
        <f>IFERROR(__xludf.DUMMYFUNCTION("IfError(IF(isblank(A278),"""", substitute(index(IMPORTHTML(""http://finviz.com/quote.ashx?t=""&amp;A278,""table"", 10),7,2),""*"","""")),0)"),"")</f>
        <v/>
      </c>
    </row>
    <row r="279" ht="15.0" customHeight="1">
      <c r="A279" s="391" t="str">
        <f>'My Lab'!P240</f>
        <v/>
      </c>
      <c r="B279" s="382" t="str">
        <f>IFERROR(__xludf.DUMMYFUNCTION("IF(ISBLANK(A279),"""", googlefinance(A279, ""name""))"),"")</f>
        <v/>
      </c>
      <c r="C279" s="383" t="str">
        <f>IFERROR(__xludf.DUMMYFUNCTION("IF(ISBLANK(A279),"""", googlefinance(A279, ""price""))"),"")</f>
        <v/>
      </c>
      <c r="D279" s="383" t="str">
        <f>IFERROR(__xludf.DUMMYFUNCTION("IFERROR(googlefinance(A279,""change""),"""")"),"")</f>
        <v/>
      </c>
      <c r="E279" s="384" t="str">
        <f>IFERROR(__xludf.DUMMYFUNCTION("iferror(GOOGLEFINANCE(A279,""changepct"")/100,"""")"),"")</f>
        <v/>
      </c>
      <c r="F279" s="385" t="str">
        <f>IF(ISBLANK(A279), "", IF(COUNTIF(Positions!$A$2:$A$31, A279) &gt; 0, "Yes","No")
)</f>
        <v/>
      </c>
      <c r="G279" s="385" t="str">
        <f>IFERROR(__xludf.DUMMYFUNCTION("IF(ISBLANK(A279),"""", googlefinance(A279, ""low52""))"),"")</f>
        <v/>
      </c>
      <c r="H279" s="386" t="str">
        <f>IFERROR(__xludf.DUMMYFUNCTION("IF(ISBLANK(A279),"""",IFERROR(SPARKLINE((C279-G279)/(I279-G279),{""charttype"",""bar"";""max"",1;""min"",0;""color1"",""2c79b5""}),""n/a""))"),"")</f>
        <v/>
      </c>
      <c r="I279" s="385" t="str">
        <f>IFERROR(__xludf.DUMMYFUNCTION("IF(ISBLANK(A279),"""", googlefinance(A279, ""high52""))"),"")</f>
        <v/>
      </c>
      <c r="J279" s="387" t="s">
        <v>134</v>
      </c>
      <c r="K279" s="388" t="str">
        <f>IFERROR(__xludf.DUMMYFUNCTION("IF(ISBLANK(A279),"""", googlefinance(A279, ""PE""))"),"")</f>
        <v/>
      </c>
      <c r="L279" s="385" t="str">
        <f>IFERROR(__xludf.DUMMYFUNCTION("IF(ISBLANK(A279),"""", googlefinance(A279, ""eps""))"),"")</f>
        <v/>
      </c>
      <c r="M279" s="389" t="str">
        <f>IFERROR(__xludf.DUMMYFUNCTION("IfError(IF(isblank(A279),"""",split(Q279, ""()"")))"),"")</f>
        <v/>
      </c>
      <c r="N279" s="384"/>
      <c r="O279" s="385" t="str">
        <f t="shared" si="5"/>
        <v/>
      </c>
      <c r="P279" s="385" t="str">
        <f t="shared" si="6"/>
        <v/>
      </c>
      <c r="Q279" s="389" t="str">
        <f>IFERROR(__xludf.DUMMYFUNCTION("IfError(IF(isblank(A279),"""", substitute(index(IMPORTHTML(""http://finviz.com/quote.ashx?t=""&amp;A279,""table"", 10),7,2),""*"","""")),0)"),"")</f>
        <v/>
      </c>
    </row>
    <row r="280" ht="15.0" customHeight="1">
      <c r="A280" s="391" t="str">
        <f>'My Lab'!P241</f>
        <v/>
      </c>
      <c r="B280" s="382" t="str">
        <f>IFERROR(__xludf.DUMMYFUNCTION("IF(ISBLANK(A280),"""", googlefinance(A280, ""name""))"),"")</f>
        <v/>
      </c>
      <c r="C280" s="383" t="str">
        <f>IFERROR(__xludf.DUMMYFUNCTION("IF(ISBLANK(A280),"""", googlefinance(A280, ""price""))"),"")</f>
        <v/>
      </c>
      <c r="D280" s="383" t="str">
        <f>IFERROR(__xludf.DUMMYFUNCTION("IFERROR(googlefinance(A280,""change""),"""")"),"")</f>
        <v/>
      </c>
      <c r="E280" s="384" t="str">
        <f>IFERROR(__xludf.DUMMYFUNCTION("iferror(GOOGLEFINANCE(A280,""changepct"")/100,"""")"),"")</f>
        <v/>
      </c>
      <c r="F280" s="385" t="str">
        <f>IF(ISBLANK(A280), "", IF(COUNTIF(Positions!$A$2:$A$31, A280) &gt; 0, "Yes","No")
)</f>
        <v/>
      </c>
      <c r="G280" s="385" t="str">
        <f>IFERROR(__xludf.DUMMYFUNCTION("IF(ISBLANK(A280),"""", googlefinance(A280, ""low52""))"),"")</f>
        <v/>
      </c>
      <c r="H280" s="386" t="str">
        <f>IFERROR(__xludf.DUMMYFUNCTION("IF(ISBLANK(A280),"""",IFERROR(SPARKLINE((C280-G280)/(I280-G280),{""charttype"",""bar"";""max"",1;""min"",0;""color1"",""2c79b5""}),""n/a""))"),"")</f>
        <v/>
      </c>
      <c r="I280" s="385" t="str">
        <f>IFERROR(__xludf.DUMMYFUNCTION("IF(ISBLANK(A280),"""", googlefinance(A280, ""high52""))"),"")</f>
        <v/>
      </c>
      <c r="J280" s="387" t="s">
        <v>134</v>
      </c>
      <c r="K280" s="388" t="str">
        <f>IFERROR(__xludf.DUMMYFUNCTION("IF(ISBLANK(A280),"""", googlefinance(A280, ""PE""))"),"")</f>
        <v/>
      </c>
      <c r="L280" s="385" t="str">
        <f>IFERROR(__xludf.DUMMYFUNCTION("IF(ISBLANK(A280),"""", googlefinance(A280, ""eps""))"),"")</f>
        <v/>
      </c>
      <c r="M280" s="389" t="str">
        <f>IFERROR(__xludf.DUMMYFUNCTION("IfError(IF(isblank(A280),"""",split(Q280, ""()"")))"),"")</f>
        <v/>
      </c>
      <c r="N280" s="384"/>
      <c r="O280" s="385" t="str">
        <f t="shared" si="5"/>
        <v/>
      </c>
      <c r="P280" s="385" t="str">
        <f t="shared" si="6"/>
        <v/>
      </c>
      <c r="Q280" s="389" t="str">
        <f>IFERROR(__xludf.DUMMYFUNCTION("IfError(IF(isblank(A280),"""", substitute(index(IMPORTHTML(""http://finviz.com/quote.ashx?t=""&amp;A280,""table"", 10),7,2),""*"","""")),0)"),"")</f>
        <v/>
      </c>
    </row>
    <row r="281" ht="15.0" customHeight="1">
      <c r="A281" s="391" t="str">
        <f>'My Lab'!P242</f>
        <v/>
      </c>
      <c r="B281" s="382" t="str">
        <f>IFERROR(__xludf.DUMMYFUNCTION("IF(ISBLANK(A281),"""", googlefinance(A281, ""name""))"),"")</f>
        <v/>
      </c>
      <c r="C281" s="383" t="str">
        <f>IFERROR(__xludf.DUMMYFUNCTION("IF(ISBLANK(A281),"""", googlefinance(A281, ""price""))"),"")</f>
        <v/>
      </c>
      <c r="D281" s="383" t="str">
        <f>IFERROR(__xludf.DUMMYFUNCTION("IFERROR(googlefinance(A281,""change""),"""")"),"")</f>
        <v/>
      </c>
      <c r="E281" s="384" t="str">
        <f>IFERROR(__xludf.DUMMYFUNCTION("iferror(GOOGLEFINANCE(A281,""changepct"")/100,"""")"),"")</f>
        <v/>
      </c>
      <c r="F281" s="385" t="str">
        <f>IF(ISBLANK(A281), "", IF(COUNTIF(Positions!$A$2:$A$31, A281) &gt; 0, "Yes","No")
)</f>
        <v/>
      </c>
      <c r="G281" s="385" t="str">
        <f>IFERROR(__xludf.DUMMYFUNCTION("IF(ISBLANK(A281),"""", googlefinance(A281, ""low52""))"),"")</f>
        <v/>
      </c>
      <c r="H281" s="386" t="str">
        <f>IFERROR(__xludf.DUMMYFUNCTION("IF(ISBLANK(A281),"""",IFERROR(SPARKLINE((C281-G281)/(I281-G281),{""charttype"",""bar"";""max"",1;""min"",0;""color1"",""2c79b5""}),""n/a""))"),"")</f>
        <v/>
      </c>
      <c r="I281" s="385" t="str">
        <f>IFERROR(__xludf.DUMMYFUNCTION("IF(ISBLANK(A281),"""", googlefinance(A281, ""high52""))"),"")</f>
        <v/>
      </c>
      <c r="J281" s="387" t="s">
        <v>134</v>
      </c>
      <c r="K281" s="388" t="str">
        <f>IFERROR(__xludf.DUMMYFUNCTION("IF(ISBLANK(A281),"""", googlefinance(A281, ""PE""))"),"")</f>
        <v/>
      </c>
      <c r="L281" s="385" t="str">
        <f>IFERROR(__xludf.DUMMYFUNCTION("IF(ISBLANK(A281),"""", googlefinance(A281, ""eps""))"),"")</f>
        <v/>
      </c>
      <c r="M281" s="389" t="str">
        <f>IFERROR(__xludf.DUMMYFUNCTION("IfError(IF(isblank(A281),"""",split(Q281, ""()"")))"),"")</f>
        <v/>
      </c>
      <c r="N281" s="384"/>
      <c r="O281" s="385" t="str">
        <f t="shared" si="5"/>
        <v/>
      </c>
      <c r="P281" s="385" t="str">
        <f t="shared" si="6"/>
        <v/>
      </c>
      <c r="Q281" s="389" t="str">
        <f>IFERROR(__xludf.DUMMYFUNCTION("IfError(IF(isblank(A281),"""", substitute(index(IMPORTHTML(""http://finviz.com/quote.ashx?t=""&amp;A281,""table"", 10),7,2),""*"","""")),0)"),"")</f>
        <v/>
      </c>
    </row>
    <row r="282" ht="15.0" customHeight="1">
      <c r="A282" s="391" t="str">
        <f>'My Lab'!P243</f>
        <v/>
      </c>
      <c r="B282" s="382" t="str">
        <f>IFERROR(__xludf.DUMMYFUNCTION("IF(ISBLANK(A282),"""", googlefinance(A282, ""name""))"),"")</f>
        <v/>
      </c>
      <c r="C282" s="383" t="str">
        <f>IFERROR(__xludf.DUMMYFUNCTION("IF(ISBLANK(A282),"""", googlefinance(A282, ""price""))"),"")</f>
        <v/>
      </c>
      <c r="D282" s="383" t="str">
        <f>IFERROR(__xludf.DUMMYFUNCTION("IFERROR(googlefinance(A282,""change""),"""")"),"")</f>
        <v/>
      </c>
      <c r="E282" s="384" t="str">
        <f>IFERROR(__xludf.DUMMYFUNCTION("iferror(GOOGLEFINANCE(A282,""changepct"")/100,"""")"),"")</f>
        <v/>
      </c>
      <c r="F282" s="385" t="str">
        <f>IF(ISBLANK(A282), "", IF(COUNTIF(Positions!$A$2:$A$31, A282) &gt; 0, "Yes","No")
)</f>
        <v/>
      </c>
      <c r="G282" s="385" t="str">
        <f>IFERROR(__xludf.DUMMYFUNCTION("IF(ISBLANK(A282),"""", googlefinance(A282, ""low52""))"),"")</f>
        <v/>
      </c>
      <c r="H282" s="386" t="str">
        <f>IFERROR(__xludf.DUMMYFUNCTION("IF(ISBLANK(A282),"""",IFERROR(SPARKLINE((C282-G282)/(I282-G282),{""charttype"",""bar"";""max"",1;""min"",0;""color1"",""2c79b5""}),""n/a""))"),"")</f>
        <v/>
      </c>
      <c r="I282" s="385" t="str">
        <f>IFERROR(__xludf.DUMMYFUNCTION("IF(ISBLANK(A282),"""", googlefinance(A282, ""high52""))"),"")</f>
        <v/>
      </c>
      <c r="J282" s="387" t="s">
        <v>134</v>
      </c>
      <c r="K282" s="388" t="str">
        <f>IFERROR(__xludf.DUMMYFUNCTION("IF(ISBLANK(A282),"""", googlefinance(A282, ""PE""))"),"")</f>
        <v/>
      </c>
      <c r="L282" s="385" t="str">
        <f>IFERROR(__xludf.DUMMYFUNCTION("IF(ISBLANK(A282),"""", googlefinance(A282, ""eps""))"),"")</f>
        <v/>
      </c>
      <c r="M282" s="389" t="str">
        <f>IFERROR(__xludf.DUMMYFUNCTION("IfError(IF(isblank(A282),"""",split(Q282, ""()"")))"),"")</f>
        <v/>
      </c>
      <c r="N282" s="384"/>
      <c r="O282" s="385" t="str">
        <f t="shared" si="5"/>
        <v/>
      </c>
      <c r="P282" s="385" t="str">
        <f t="shared" si="6"/>
        <v/>
      </c>
      <c r="Q282" s="389" t="str">
        <f>IFERROR(__xludf.DUMMYFUNCTION("IfError(IF(isblank(A282),"""", substitute(index(IMPORTHTML(""http://finviz.com/quote.ashx?t=""&amp;A282,""table"", 10),7,2),""*"","""")),0)"),"")</f>
        <v/>
      </c>
    </row>
    <row r="283" ht="15.0" customHeight="1">
      <c r="A283" s="391" t="str">
        <f>'My Lab'!P244</f>
        <v/>
      </c>
      <c r="B283" s="382" t="str">
        <f>IFERROR(__xludf.DUMMYFUNCTION("IF(ISBLANK(A283),"""", googlefinance(A283, ""name""))"),"")</f>
        <v/>
      </c>
      <c r="C283" s="383" t="str">
        <f>IFERROR(__xludf.DUMMYFUNCTION("IF(ISBLANK(A283),"""", googlefinance(A283, ""price""))"),"")</f>
        <v/>
      </c>
      <c r="D283" s="383" t="str">
        <f>IFERROR(__xludf.DUMMYFUNCTION("IFERROR(googlefinance(A283,""change""),"""")"),"")</f>
        <v/>
      </c>
      <c r="E283" s="384" t="str">
        <f>IFERROR(__xludf.DUMMYFUNCTION("iferror(GOOGLEFINANCE(A283,""changepct"")/100,"""")"),"")</f>
        <v/>
      </c>
      <c r="F283" s="385" t="str">
        <f>IF(ISBLANK(A283), "", IF(COUNTIF(Positions!$A$2:$A$31, A283) &gt; 0, "Yes","No")
)</f>
        <v/>
      </c>
      <c r="G283" s="385" t="str">
        <f>IFERROR(__xludf.DUMMYFUNCTION("IF(ISBLANK(A283),"""", googlefinance(A283, ""low52""))"),"")</f>
        <v/>
      </c>
      <c r="H283" s="386" t="str">
        <f>IFERROR(__xludf.DUMMYFUNCTION("IF(ISBLANK(A283),"""",IFERROR(SPARKLINE((C283-G283)/(I283-G283),{""charttype"",""bar"";""max"",1;""min"",0;""color1"",""2c79b5""}),""n/a""))"),"")</f>
        <v/>
      </c>
      <c r="I283" s="385" t="str">
        <f>IFERROR(__xludf.DUMMYFUNCTION("IF(ISBLANK(A283),"""", googlefinance(A283, ""high52""))"),"")</f>
        <v/>
      </c>
      <c r="J283" s="387" t="s">
        <v>134</v>
      </c>
      <c r="K283" s="388" t="str">
        <f>IFERROR(__xludf.DUMMYFUNCTION("IF(ISBLANK(A283),"""", googlefinance(A283, ""PE""))"),"")</f>
        <v/>
      </c>
      <c r="L283" s="385" t="str">
        <f>IFERROR(__xludf.DUMMYFUNCTION("IF(ISBLANK(A283),"""", googlefinance(A283, ""eps""))"),"")</f>
        <v/>
      </c>
      <c r="M283" s="389" t="str">
        <f>IFERROR(__xludf.DUMMYFUNCTION("IfError(IF(isblank(A283),"""",split(Q283, ""()"")))"),"")</f>
        <v/>
      </c>
      <c r="N283" s="384"/>
      <c r="O283" s="385" t="str">
        <f t="shared" si="5"/>
        <v/>
      </c>
      <c r="P283" s="385" t="str">
        <f t="shared" si="6"/>
        <v/>
      </c>
      <c r="Q283" s="389" t="str">
        <f>IFERROR(__xludf.DUMMYFUNCTION("IfError(IF(isblank(A283),"""", substitute(index(IMPORTHTML(""http://finviz.com/quote.ashx?t=""&amp;A283,""table"", 10),7,2),""*"","""")),0)"),"")</f>
        <v/>
      </c>
    </row>
    <row r="284" ht="15.0" customHeight="1">
      <c r="A284" s="391" t="str">
        <f>'My Lab'!P245</f>
        <v/>
      </c>
      <c r="B284" s="382" t="str">
        <f>IFERROR(__xludf.DUMMYFUNCTION("IF(ISBLANK(A284),"""", googlefinance(A284, ""name""))"),"")</f>
        <v/>
      </c>
      <c r="C284" s="383" t="str">
        <f>IFERROR(__xludf.DUMMYFUNCTION("IF(ISBLANK(A284),"""", googlefinance(A284, ""price""))"),"")</f>
        <v/>
      </c>
      <c r="D284" s="383" t="str">
        <f>IFERROR(__xludf.DUMMYFUNCTION("IFERROR(googlefinance(A284,""change""),"""")"),"")</f>
        <v/>
      </c>
      <c r="E284" s="384" t="str">
        <f>IFERROR(__xludf.DUMMYFUNCTION("iferror(GOOGLEFINANCE(A284,""changepct"")/100,"""")"),"")</f>
        <v/>
      </c>
      <c r="F284" s="385" t="str">
        <f>IF(ISBLANK(A284), "", IF(COUNTIF(Positions!$A$2:$A$31, A284) &gt; 0, "Yes","No")
)</f>
        <v/>
      </c>
      <c r="G284" s="385" t="str">
        <f>IFERROR(__xludf.DUMMYFUNCTION("IF(ISBLANK(A284),"""", googlefinance(A284, ""low52""))"),"")</f>
        <v/>
      </c>
      <c r="H284" s="386" t="str">
        <f>IFERROR(__xludf.DUMMYFUNCTION("IF(ISBLANK(A284),"""",IFERROR(SPARKLINE((C284-G284)/(I284-G284),{""charttype"",""bar"";""max"",1;""min"",0;""color1"",""2c79b5""}),""n/a""))"),"")</f>
        <v/>
      </c>
      <c r="I284" s="385" t="str">
        <f>IFERROR(__xludf.DUMMYFUNCTION("IF(ISBLANK(A284),"""", googlefinance(A284, ""high52""))"),"")</f>
        <v/>
      </c>
      <c r="J284" s="387" t="s">
        <v>134</v>
      </c>
      <c r="K284" s="388" t="str">
        <f>IFERROR(__xludf.DUMMYFUNCTION("IF(ISBLANK(A284),"""", googlefinance(A284, ""PE""))"),"")</f>
        <v/>
      </c>
      <c r="L284" s="385" t="str">
        <f>IFERROR(__xludf.DUMMYFUNCTION("IF(ISBLANK(A284),"""", googlefinance(A284, ""eps""))"),"")</f>
        <v/>
      </c>
      <c r="M284" s="389" t="str">
        <f>IFERROR(__xludf.DUMMYFUNCTION("IfError(IF(isblank(A284),"""",split(Q284, ""()"")))"),"")</f>
        <v/>
      </c>
      <c r="N284" s="384"/>
      <c r="O284" s="385" t="str">
        <f t="shared" si="5"/>
        <v/>
      </c>
      <c r="P284" s="385" t="str">
        <f t="shared" si="6"/>
        <v/>
      </c>
      <c r="Q284" s="389" t="str">
        <f>IFERROR(__xludf.DUMMYFUNCTION("IfError(IF(isblank(A284),"""", substitute(index(IMPORTHTML(""http://finviz.com/quote.ashx?t=""&amp;A284,""table"", 10),7,2),""*"","""")),0)"),"")</f>
        <v/>
      </c>
    </row>
    <row r="285" ht="15.0" customHeight="1">
      <c r="A285" s="391" t="str">
        <f>'My Lab'!P246</f>
        <v/>
      </c>
      <c r="B285" s="382" t="str">
        <f>IFERROR(__xludf.DUMMYFUNCTION("IF(ISBLANK(A285),"""", googlefinance(A285, ""name""))"),"")</f>
        <v/>
      </c>
      <c r="C285" s="383" t="str">
        <f>IFERROR(__xludf.DUMMYFUNCTION("IF(ISBLANK(A285),"""", googlefinance(A285, ""price""))"),"")</f>
        <v/>
      </c>
      <c r="D285" s="383" t="str">
        <f>IFERROR(__xludf.DUMMYFUNCTION("IFERROR(googlefinance(A285,""change""),"""")"),"")</f>
        <v/>
      </c>
      <c r="E285" s="384" t="str">
        <f>IFERROR(__xludf.DUMMYFUNCTION("iferror(GOOGLEFINANCE(A285,""changepct"")/100,"""")"),"")</f>
        <v/>
      </c>
      <c r="F285" s="385" t="str">
        <f>IF(ISBLANK(A285), "", IF(COUNTIF(Positions!$A$2:$A$31, A285) &gt; 0, "Yes","No")
)</f>
        <v/>
      </c>
      <c r="G285" s="385" t="str">
        <f>IFERROR(__xludf.DUMMYFUNCTION("IF(ISBLANK(A285),"""", googlefinance(A285, ""low52""))"),"")</f>
        <v/>
      </c>
      <c r="H285" s="386" t="str">
        <f>IFERROR(__xludf.DUMMYFUNCTION("IF(ISBLANK(A285),"""",IFERROR(SPARKLINE((C285-G285)/(I285-G285),{""charttype"",""bar"";""max"",1;""min"",0;""color1"",""2c79b5""}),""n/a""))"),"")</f>
        <v/>
      </c>
      <c r="I285" s="385" t="str">
        <f>IFERROR(__xludf.DUMMYFUNCTION("IF(ISBLANK(A285),"""", googlefinance(A285, ""high52""))"),"")</f>
        <v/>
      </c>
      <c r="J285" s="387" t="s">
        <v>134</v>
      </c>
      <c r="K285" s="388" t="str">
        <f>IFERROR(__xludf.DUMMYFUNCTION("IF(ISBLANK(A285),"""", googlefinance(A285, ""PE""))"),"")</f>
        <v/>
      </c>
      <c r="L285" s="385" t="str">
        <f>IFERROR(__xludf.DUMMYFUNCTION("IF(ISBLANK(A285),"""", googlefinance(A285, ""eps""))"),"")</f>
        <v/>
      </c>
      <c r="M285" s="389" t="str">
        <f>IFERROR(__xludf.DUMMYFUNCTION("IfError(IF(isblank(A285),"""",split(Q285, ""()"")))"),"")</f>
        <v/>
      </c>
      <c r="N285" s="384"/>
      <c r="O285" s="385" t="str">
        <f t="shared" si="5"/>
        <v/>
      </c>
      <c r="P285" s="385" t="str">
        <f t="shared" si="6"/>
        <v/>
      </c>
      <c r="Q285" s="389" t="str">
        <f>IFERROR(__xludf.DUMMYFUNCTION("IfError(IF(isblank(A285),"""", substitute(index(IMPORTHTML(""http://finviz.com/quote.ashx?t=""&amp;A285,""table"", 10),7,2),""*"","""")),0)"),"")</f>
        <v/>
      </c>
    </row>
    <row r="286" ht="15.0" customHeight="1">
      <c r="A286" s="391" t="str">
        <f>'My Lab'!P247</f>
        <v/>
      </c>
      <c r="B286" s="382" t="str">
        <f>IFERROR(__xludf.DUMMYFUNCTION("IF(ISBLANK(A286),"""", googlefinance(A286, ""name""))"),"")</f>
        <v/>
      </c>
      <c r="C286" s="383" t="str">
        <f>IFERROR(__xludf.DUMMYFUNCTION("IF(ISBLANK(A286),"""", googlefinance(A286, ""price""))"),"")</f>
        <v/>
      </c>
      <c r="D286" s="383" t="str">
        <f>IFERROR(__xludf.DUMMYFUNCTION("IFERROR(googlefinance(A286,""change""),"""")"),"")</f>
        <v/>
      </c>
      <c r="E286" s="384" t="str">
        <f>IFERROR(__xludf.DUMMYFUNCTION("iferror(GOOGLEFINANCE(A286,""changepct"")/100,"""")"),"")</f>
        <v/>
      </c>
      <c r="F286" s="385" t="str">
        <f>IF(ISBLANK(A286), "", IF(COUNTIF(Positions!$A$2:$A$31, A286) &gt; 0, "Yes","No")
)</f>
        <v/>
      </c>
      <c r="G286" s="385" t="str">
        <f>IFERROR(__xludf.DUMMYFUNCTION("IF(ISBLANK(A286),"""", googlefinance(A286, ""low52""))"),"")</f>
        <v/>
      </c>
      <c r="H286" s="386" t="str">
        <f>IFERROR(__xludf.DUMMYFUNCTION("IF(ISBLANK(A286),"""",IFERROR(SPARKLINE((C286-G286)/(I286-G286),{""charttype"",""bar"";""max"",1;""min"",0;""color1"",""2c79b5""}),""n/a""))"),"")</f>
        <v/>
      </c>
      <c r="I286" s="385" t="str">
        <f>IFERROR(__xludf.DUMMYFUNCTION("IF(ISBLANK(A286),"""", googlefinance(A286, ""high52""))"),"")</f>
        <v/>
      </c>
      <c r="J286" s="387" t="s">
        <v>134</v>
      </c>
      <c r="K286" s="388" t="str">
        <f>IFERROR(__xludf.DUMMYFUNCTION("IF(ISBLANK(A286),"""", googlefinance(A286, ""PE""))"),"")</f>
        <v/>
      </c>
      <c r="L286" s="385" t="str">
        <f>IFERROR(__xludf.DUMMYFUNCTION("IF(ISBLANK(A286),"""", googlefinance(A286, ""eps""))"),"")</f>
        <v/>
      </c>
      <c r="M286" s="389" t="str">
        <f>IFERROR(__xludf.DUMMYFUNCTION("IfError(IF(isblank(A286),"""",split(Q286, ""()"")))"),"")</f>
        <v/>
      </c>
      <c r="N286" s="384"/>
      <c r="O286" s="385" t="str">
        <f t="shared" si="5"/>
        <v/>
      </c>
      <c r="P286" s="385" t="str">
        <f t="shared" si="6"/>
        <v/>
      </c>
      <c r="Q286" s="389" t="str">
        <f>IFERROR(__xludf.DUMMYFUNCTION("IfError(IF(isblank(A286),"""", substitute(index(IMPORTHTML(""http://finviz.com/quote.ashx?t=""&amp;A286,""table"", 10),7,2),""*"","""")),0)"),"")</f>
        <v/>
      </c>
    </row>
    <row r="287" ht="15.0" customHeight="1">
      <c r="A287" s="391" t="str">
        <f>'My Lab'!P248</f>
        <v/>
      </c>
      <c r="B287" s="382" t="str">
        <f>IFERROR(__xludf.DUMMYFUNCTION("IF(ISBLANK(A287),"""", googlefinance(A287, ""name""))"),"")</f>
        <v/>
      </c>
      <c r="C287" s="383" t="str">
        <f>IFERROR(__xludf.DUMMYFUNCTION("IF(ISBLANK(A287),"""", googlefinance(A287, ""price""))"),"")</f>
        <v/>
      </c>
      <c r="D287" s="383" t="str">
        <f>IFERROR(__xludf.DUMMYFUNCTION("IFERROR(googlefinance(A287,""change""),"""")"),"")</f>
        <v/>
      </c>
      <c r="E287" s="384" t="str">
        <f>IFERROR(__xludf.DUMMYFUNCTION("iferror(GOOGLEFINANCE(A287,""changepct"")/100,"""")"),"")</f>
        <v/>
      </c>
      <c r="F287" s="385" t="str">
        <f>IF(ISBLANK(A287), "", IF(COUNTIF(Positions!$A$2:$A$31, A287) &gt; 0, "Yes","No")
)</f>
        <v/>
      </c>
      <c r="G287" s="385" t="str">
        <f>IFERROR(__xludf.DUMMYFUNCTION("IF(ISBLANK(A287),"""", googlefinance(A287, ""low52""))"),"")</f>
        <v/>
      </c>
      <c r="H287" s="386" t="str">
        <f>IFERROR(__xludf.DUMMYFUNCTION("IF(ISBLANK(A287),"""",IFERROR(SPARKLINE((C287-G287)/(I287-G287),{""charttype"",""bar"";""max"",1;""min"",0;""color1"",""2c79b5""}),""n/a""))"),"")</f>
        <v/>
      </c>
      <c r="I287" s="385" t="str">
        <f>IFERROR(__xludf.DUMMYFUNCTION("IF(ISBLANK(A287),"""", googlefinance(A287, ""high52""))"),"")</f>
        <v/>
      </c>
      <c r="J287" s="387" t="s">
        <v>134</v>
      </c>
      <c r="K287" s="388" t="str">
        <f>IFERROR(__xludf.DUMMYFUNCTION("IF(ISBLANK(A287),"""", googlefinance(A287, ""PE""))"),"")</f>
        <v/>
      </c>
      <c r="L287" s="385" t="str">
        <f>IFERROR(__xludf.DUMMYFUNCTION("IF(ISBLANK(A287),"""", googlefinance(A287, ""eps""))"),"")</f>
        <v/>
      </c>
      <c r="M287" s="389" t="str">
        <f>IFERROR(__xludf.DUMMYFUNCTION("IfError(IF(isblank(A287),"""",split(Q287, ""()"")))"),"")</f>
        <v/>
      </c>
      <c r="N287" s="384"/>
      <c r="O287" s="385" t="str">
        <f t="shared" si="5"/>
        <v/>
      </c>
      <c r="P287" s="385" t="str">
        <f t="shared" si="6"/>
        <v/>
      </c>
      <c r="Q287" s="389" t="str">
        <f>IFERROR(__xludf.DUMMYFUNCTION("IfError(IF(isblank(A287),"""", substitute(index(IMPORTHTML(""http://finviz.com/quote.ashx?t=""&amp;A287,""table"", 10),7,2),""*"","""")),0)"),"")</f>
        <v/>
      </c>
    </row>
    <row r="288" ht="15.0" customHeight="1">
      <c r="A288" s="391" t="str">
        <f>'My Lab'!P249</f>
        <v/>
      </c>
      <c r="B288" s="382" t="str">
        <f>IFERROR(__xludf.DUMMYFUNCTION("IF(ISBLANK(A288),"""", googlefinance(A288, ""name""))"),"")</f>
        <v/>
      </c>
      <c r="C288" s="383" t="str">
        <f>IFERROR(__xludf.DUMMYFUNCTION("IF(ISBLANK(A288),"""", googlefinance(A288, ""price""))"),"")</f>
        <v/>
      </c>
      <c r="D288" s="383" t="str">
        <f>IFERROR(__xludf.DUMMYFUNCTION("IFERROR(googlefinance(A288,""change""),"""")"),"")</f>
        <v/>
      </c>
      <c r="E288" s="384" t="str">
        <f>IFERROR(__xludf.DUMMYFUNCTION("iferror(GOOGLEFINANCE(A288,""changepct"")/100,"""")"),"")</f>
        <v/>
      </c>
      <c r="F288" s="385" t="str">
        <f>IF(ISBLANK(A288), "", IF(COUNTIF(Positions!$A$2:$A$31, A288) &gt; 0, "Yes","No")
)</f>
        <v/>
      </c>
      <c r="G288" s="385" t="str">
        <f>IFERROR(__xludf.DUMMYFUNCTION("IF(ISBLANK(A288),"""", googlefinance(A288, ""low52""))"),"")</f>
        <v/>
      </c>
      <c r="H288" s="386" t="str">
        <f>IFERROR(__xludf.DUMMYFUNCTION("IF(ISBLANK(A288),"""",IFERROR(SPARKLINE((C288-G288)/(I288-G288),{""charttype"",""bar"";""max"",1;""min"",0;""color1"",""2c79b5""}),""n/a""))"),"")</f>
        <v/>
      </c>
      <c r="I288" s="385" t="str">
        <f>IFERROR(__xludf.DUMMYFUNCTION("IF(ISBLANK(A288),"""", googlefinance(A288, ""high52""))"),"")</f>
        <v/>
      </c>
      <c r="J288" s="387" t="s">
        <v>134</v>
      </c>
      <c r="K288" s="388" t="str">
        <f>IFERROR(__xludf.DUMMYFUNCTION("IF(ISBLANK(A288),"""", googlefinance(A288, ""PE""))"),"")</f>
        <v/>
      </c>
      <c r="L288" s="385" t="str">
        <f>IFERROR(__xludf.DUMMYFUNCTION("IF(ISBLANK(A288),"""", googlefinance(A288, ""eps""))"),"")</f>
        <v/>
      </c>
      <c r="M288" s="389" t="str">
        <f>IFERROR(__xludf.DUMMYFUNCTION("IfError(IF(isblank(A288),"""",split(Q288, ""()"")))"),"")</f>
        <v/>
      </c>
      <c r="N288" s="384"/>
      <c r="O288" s="385" t="str">
        <f t="shared" si="5"/>
        <v/>
      </c>
      <c r="P288" s="385" t="str">
        <f t="shared" si="6"/>
        <v/>
      </c>
      <c r="Q288" s="389" t="str">
        <f>IFERROR(__xludf.DUMMYFUNCTION("IfError(IF(isblank(A288),"""", substitute(index(IMPORTHTML(""http://finviz.com/quote.ashx?t=""&amp;A288,""table"", 10),7,2),""*"","""")),0)"),"")</f>
        <v/>
      </c>
    </row>
    <row r="289" ht="15.0" customHeight="1">
      <c r="A289" s="391" t="str">
        <f>'My Lab'!P250</f>
        <v/>
      </c>
      <c r="B289" s="382" t="str">
        <f>IFERROR(__xludf.DUMMYFUNCTION("IF(ISBLANK(A289),"""", googlefinance(A289, ""name""))"),"")</f>
        <v/>
      </c>
      <c r="C289" s="383" t="str">
        <f>IFERROR(__xludf.DUMMYFUNCTION("IF(ISBLANK(A289),"""", googlefinance(A289, ""price""))"),"")</f>
        <v/>
      </c>
      <c r="D289" s="383" t="str">
        <f>IFERROR(__xludf.DUMMYFUNCTION("IFERROR(googlefinance(A289,""change""),"""")"),"")</f>
        <v/>
      </c>
      <c r="E289" s="384" t="str">
        <f>IFERROR(__xludf.DUMMYFUNCTION("iferror(GOOGLEFINANCE(A289,""changepct"")/100,"""")"),"")</f>
        <v/>
      </c>
      <c r="F289" s="385" t="str">
        <f>IF(ISBLANK(A289), "", IF(COUNTIF(Positions!$A$2:$A$31, A289) &gt; 0, "Yes","No")
)</f>
        <v/>
      </c>
      <c r="G289" s="385" t="str">
        <f>IFERROR(__xludf.DUMMYFUNCTION("IF(ISBLANK(A289),"""", googlefinance(A289, ""low52""))"),"")</f>
        <v/>
      </c>
      <c r="H289" s="386" t="str">
        <f>IFERROR(__xludf.DUMMYFUNCTION("IF(ISBLANK(A289),"""",IFERROR(SPARKLINE((C289-G289)/(I289-G289),{""charttype"",""bar"";""max"",1;""min"",0;""color1"",""2c79b5""}),""n/a""))"),"")</f>
        <v/>
      </c>
      <c r="I289" s="385" t="str">
        <f>IFERROR(__xludf.DUMMYFUNCTION("IF(ISBLANK(A289),"""", googlefinance(A289, ""high52""))"),"")</f>
        <v/>
      </c>
      <c r="J289" s="387" t="s">
        <v>134</v>
      </c>
      <c r="K289" s="388" t="str">
        <f>IFERROR(__xludf.DUMMYFUNCTION("IF(ISBLANK(A289),"""", googlefinance(A289, ""PE""))"),"")</f>
        <v/>
      </c>
      <c r="L289" s="385" t="str">
        <f>IFERROR(__xludf.DUMMYFUNCTION("IF(ISBLANK(A289),"""", googlefinance(A289, ""eps""))"),"")</f>
        <v/>
      </c>
      <c r="M289" s="389" t="str">
        <f>IFERROR(__xludf.DUMMYFUNCTION("IfError(IF(isblank(A289),"""",split(Q289, ""()"")))"),"")</f>
        <v/>
      </c>
      <c r="N289" s="384"/>
      <c r="O289" s="385" t="str">
        <f t="shared" si="5"/>
        <v/>
      </c>
      <c r="P289" s="385" t="str">
        <f t="shared" si="6"/>
        <v/>
      </c>
      <c r="Q289" s="389" t="str">
        <f>IFERROR(__xludf.DUMMYFUNCTION("IfError(IF(isblank(A289),"""", substitute(index(IMPORTHTML(""http://finviz.com/quote.ashx?t=""&amp;A289,""table"", 10),7,2),""*"","""")),0)"),"")</f>
        <v/>
      </c>
    </row>
    <row r="290" ht="15.0" customHeight="1">
      <c r="A290" s="391" t="str">
        <f>'My Lab'!P251</f>
        <v/>
      </c>
      <c r="B290" s="382" t="str">
        <f>IFERROR(__xludf.DUMMYFUNCTION("IF(ISBLANK(A290),"""", googlefinance(A290, ""name""))"),"")</f>
        <v/>
      </c>
      <c r="C290" s="383" t="str">
        <f>IFERROR(__xludf.DUMMYFUNCTION("IF(ISBLANK(A290),"""", googlefinance(A290, ""price""))"),"")</f>
        <v/>
      </c>
      <c r="D290" s="383" t="str">
        <f>IFERROR(__xludf.DUMMYFUNCTION("IFERROR(googlefinance(A290,""change""),"""")"),"")</f>
        <v/>
      </c>
      <c r="E290" s="384" t="str">
        <f>IFERROR(__xludf.DUMMYFUNCTION("iferror(GOOGLEFINANCE(A290,""changepct"")/100,"""")"),"")</f>
        <v/>
      </c>
      <c r="F290" s="385" t="str">
        <f>IF(ISBLANK(A290), "", IF(COUNTIF(Positions!$A$2:$A$31, A290) &gt; 0, "Yes","No")
)</f>
        <v/>
      </c>
      <c r="G290" s="385" t="str">
        <f>IFERROR(__xludf.DUMMYFUNCTION("IF(ISBLANK(A290),"""", googlefinance(A290, ""low52""))"),"")</f>
        <v/>
      </c>
      <c r="H290" s="386" t="str">
        <f>IFERROR(__xludf.DUMMYFUNCTION("IF(ISBLANK(A290),"""",IFERROR(SPARKLINE((C290-G290)/(I290-G290),{""charttype"",""bar"";""max"",1;""min"",0;""color1"",""2c79b5""}),""n/a""))"),"")</f>
        <v/>
      </c>
      <c r="I290" s="385" t="str">
        <f>IFERROR(__xludf.DUMMYFUNCTION("IF(ISBLANK(A290),"""", googlefinance(A290, ""high52""))"),"")</f>
        <v/>
      </c>
      <c r="J290" s="387" t="s">
        <v>134</v>
      </c>
      <c r="K290" s="388" t="str">
        <f>IFERROR(__xludf.DUMMYFUNCTION("IF(ISBLANK(A290),"""", googlefinance(A290, ""PE""))"),"")</f>
        <v/>
      </c>
      <c r="L290" s="385" t="str">
        <f>IFERROR(__xludf.DUMMYFUNCTION("IF(ISBLANK(A290),"""", googlefinance(A290, ""eps""))"),"")</f>
        <v/>
      </c>
      <c r="M290" s="389" t="str">
        <f>IFERROR(__xludf.DUMMYFUNCTION("IfError(IF(isblank(A290),"""",split(Q290, ""()"")))"),"")</f>
        <v/>
      </c>
      <c r="N290" s="384"/>
      <c r="O290" s="385" t="str">
        <f t="shared" si="5"/>
        <v/>
      </c>
      <c r="P290" s="385" t="str">
        <f t="shared" si="6"/>
        <v/>
      </c>
      <c r="Q290" s="389" t="str">
        <f>IFERROR(__xludf.DUMMYFUNCTION("IfError(IF(isblank(A290),"""", substitute(index(IMPORTHTML(""http://finviz.com/quote.ashx?t=""&amp;A290,""table"", 10),7,2),""*"","""")),0)"),"")</f>
        <v/>
      </c>
    </row>
    <row r="291" ht="15.0" customHeight="1">
      <c r="A291" s="391" t="str">
        <f>'My Lab'!P252</f>
        <v/>
      </c>
      <c r="B291" s="382" t="str">
        <f>IFERROR(__xludf.DUMMYFUNCTION("IF(ISBLANK(A291),"""", googlefinance(A291, ""name""))"),"")</f>
        <v/>
      </c>
      <c r="C291" s="383" t="str">
        <f>IFERROR(__xludf.DUMMYFUNCTION("IF(ISBLANK(A291),"""", googlefinance(A291, ""price""))"),"")</f>
        <v/>
      </c>
      <c r="D291" s="383" t="str">
        <f>IFERROR(__xludf.DUMMYFUNCTION("IFERROR(googlefinance(A291,""change""),"""")"),"")</f>
        <v/>
      </c>
      <c r="E291" s="384" t="str">
        <f>IFERROR(__xludf.DUMMYFUNCTION("iferror(GOOGLEFINANCE(A291,""changepct"")/100,"""")"),"")</f>
        <v/>
      </c>
      <c r="F291" s="385" t="str">
        <f>IF(ISBLANK(A291), "", IF(COUNTIF(Positions!$A$2:$A$31, A291) &gt; 0, "Yes","No")
)</f>
        <v/>
      </c>
      <c r="G291" s="385" t="str">
        <f>IFERROR(__xludf.DUMMYFUNCTION("IF(ISBLANK(A291),"""", googlefinance(A291, ""low52""))"),"")</f>
        <v/>
      </c>
      <c r="H291" s="386" t="str">
        <f>IFERROR(__xludf.DUMMYFUNCTION("IF(ISBLANK(A291),"""",IFERROR(SPARKLINE((C291-G291)/(I291-G291),{""charttype"",""bar"";""max"",1;""min"",0;""color1"",""2c79b5""}),""n/a""))"),"")</f>
        <v/>
      </c>
      <c r="I291" s="385" t="str">
        <f>IFERROR(__xludf.DUMMYFUNCTION("IF(ISBLANK(A291),"""", googlefinance(A291, ""high52""))"),"")</f>
        <v/>
      </c>
      <c r="J291" s="387" t="s">
        <v>134</v>
      </c>
      <c r="K291" s="388" t="str">
        <f>IFERROR(__xludf.DUMMYFUNCTION("IF(ISBLANK(A291),"""", googlefinance(A291, ""PE""))"),"")</f>
        <v/>
      </c>
      <c r="L291" s="385" t="str">
        <f>IFERROR(__xludf.DUMMYFUNCTION("IF(ISBLANK(A291),"""", googlefinance(A291, ""eps""))"),"")</f>
        <v/>
      </c>
      <c r="M291" s="389" t="str">
        <f>IFERROR(__xludf.DUMMYFUNCTION("IfError(IF(isblank(A291),"""",split(Q291, ""()"")))"),"")</f>
        <v/>
      </c>
      <c r="N291" s="384"/>
      <c r="O291" s="385" t="str">
        <f t="shared" si="5"/>
        <v/>
      </c>
      <c r="P291" s="385" t="str">
        <f t="shared" si="6"/>
        <v/>
      </c>
      <c r="Q291" s="389" t="str">
        <f>IFERROR(__xludf.DUMMYFUNCTION("IfError(IF(isblank(A291),"""", substitute(index(IMPORTHTML(""http://finviz.com/quote.ashx?t=""&amp;A291,""table"", 10),7,2),""*"","""")),0)"),"")</f>
        <v/>
      </c>
    </row>
    <row r="292" ht="15.0" customHeight="1">
      <c r="A292" s="391" t="str">
        <f>'My Lab'!P253</f>
        <v/>
      </c>
      <c r="B292" s="382" t="str">
        <f>IFERROR(__xludf.DUMMYFUNCTION("IF(ISBLANK(A292),"""", googlefinance(A292, ""name""))"),"")</f>
        <v/>
      </c>
      <c r="C292" s="383" t="str">
        <f>IFERROR(__xludf.DUMMYFUNCTION("IF(ISBLANK(A292),"""", googlefinance(A292, ""price""))"),"")</f>
        <v/>
      </c>
      <c r="D292" s="383" t="str">
        <f>IFERROR(__xludf.DUMMYFUNCTION("IFERROR(googlefinance(A292,""change""),"""")"),"")</f>
        <v/>
      </c>
      <c r="E292" s="384" t="str">
        <f>IFERROR(__xludf.DUMMYFUNCTION("iferror(GOOGLEFINANCE(A292,""changepct"")/100,"""")"),"")</f>
        <v/>
      </c>
      <c r="F292" s="385" t="str">
        <f>IF(ISBLANK(A292), "", IF(COUNTIF(Positions!$A$2:$A$31, A292) &gt; 0, "Yes","No")
)</f>
        <v/>
      </c>
      <c r="G292" s="385" t="str">
        <f>IFERROR(__xludf.DUMMYFUNCTION("IF(ISBLANK(A292),"""", googlefinance(A292, ""low52""))"),"")</f>
        <v/>
      </c>
      <c r="H292" s="386" t="str">
        <f>IFERROR(__xludf.DUMMYFUNCTION("IF(ISBLANK(A292),"""",IFERROR(SPARKLINE((C292-G292)/(I292-G292),{""charttype"",""bar"";""max"",1;""min"",0;""color1"",""2c79b5""}),""n/a""))"),"")</f>
        <v/>
      </c>
      <c r="I292" s="385" t="str">
        <f>IFERROR(__xludf.DUMMYFUNCTION("IF(ISBLANK(A292),"""", googlefinance(A292, ""high52""))"),"")</f>
        <v/>
      </c>
      <c r="J292" s="387" t="s">
        <v>134</v>
      </c>
      <c r="K292" s="388" t="str">
        <f>IFERROR(__xludf.DUMMYFUNCTION("IF(ISBLANK(A292),"""", googlefinance(A292, ""PE""))"),"")</f>
        <v/>
      </c>
      <c r="L292" s="385" t="str">
        <f>IFERROR(__xludf.DUMMYFUNCTION("IF(ISBLANK(A292),"""", googlefinance(A292, ""eps""))"),"")</f>
        <v/>
      </c>
      <c r="M292" s="389" t="str">
        <f>IFERROR(__xludf.DUMMYFUNCTION("IfError(IF(isblank(A292),"""",split(Q292, ""()"")))"),"")</f>
        <v/>
      </c>
      <c r="N292" s="384"/>
      <c r="O292" s="385" t="str">
        <f t="shared" si="5"/>
        <v/>
      </c>
      <c r="P292" s="385" t="str">
        <f t="shared" si="6"/>
        <v/>
      </c>
      <c r="Q292" s="389" t="str">
        <f>IFERROR(__xludf.DUMMYFUNCTION("IfError(IF(isblank(A292),"""", substitute(index(IMPORTHTML(""http://finviz.com/quote.ashx?t=""&amp;A292,""table"", 10),7,2),""*"","""")),0)"),"")</f>
        <v/>
      </c>
    </row>
    <row r="293" ht="15.0" customHeight="1">
      <c r="A293" s="391" t="str">
        <f>'My Lab'!P254</f>
        <v/>
      </c>
      <c r="B293" s="382" t="str">
        <f>IFERROR(__xludf.DUMMYFUNCTION("IF(ISBLANK(A293),"""", googlefinance(A293, ""name""))"),"")</f>
        <v/>
      </c>
      <c r="C293" s="383" t="str">
        <f>IFERROR(__xludf.DUMMYFUNCTION("IF(ISBLANK(A293),"""", googlefinance(A293, ""price""))"),"")</f>
        <v/>
      </c>
      <c r="D293" s="383" t="str">
        <f>IFERROR(__xludf.DUMMYFUNCTION("IFERROR(googlefinance(A293,""change""),"""")"),"")</f>
        <v/>
      </c>
      <c r="E293" s="384" t="str">
        <f>IFERROR(__xludf.DUMMYFUNCTION("iferror(GOOGLEFINANCE(A293,""changepct"")/100,"""")"),"")</f>
        <v/>
      </c>
      <c r="F293" s="385" t="str">
        <f>IF(ISBLANK(A293), "", IF(COUNTIF(Positions!$A$2:$A$31, A293) &gt; 0, "Yes","No")
)</f>
        <v/>
      </c>
      <c r="G293" s="385" t="str">
        <f>IFERROR(__xludf.DUMMYFUNCTION("IF(ISBLANK(A293),"""", googlefinance(A293, ""low52""))"),"")</f>
        <v/>
      </c>
      <c r="H293" s="386" t="str">
        <f>IFERROR(__xludf.DUMMYFUNCTION("IF(ISBLANK(A293),"""",IFERROR(SPARKLINE((C293-G293)/(I293-G293),{""charttype"",""bar"";""max"",1;""min"",0;""color1"",""2c79b5""}),""n/a""))"),"")</f>
        <v/>
      </c>
      <c r="I293" s="385" t="str">
        <f>IFERROR(__xludf.DUMMYFUNCTION("IF(ISBLANK(A293),"""", googlefinance(A293, ""high52""))"),"")</f>
        <v/>
      </c>
      <c r="J293" s="387" t="s">
        <v>134</v>
      </c>
      <c r="K293" s="388" t="str">
        <f>IFERROR(__xludf.DUMMYFUNCTION("IF(ISBLANK(A293),"""", googlefinance(A293, ""PE""))"),"")</f>
        <v/>
      </c>
      <c r="L293" s="385" t="str">
        <f>IFERROR(__xludf.DUMMYFUNCTION("IF(ISBLANK(A293),"""", googlefinance(A293, ""eps""))"),"")</f>
        <v/>
      </c>
      <c r="M293" s="389" t="str">
        <f>IFERROR(__xludf.DUMMYFUNCTION("IfError(IF(isblank(A293),"""",split(Q293, ""()"")))"),"")</f>
        <v/>
      </c>
      <c r="N293" s="384"/>
      <c r="O293" s="385" t="str">
        <f t="shared" si="5"/>
        <v/>
      </c>
      <c r="P293" s="385" t="str">
        <f t="shared" si="6"/>
        <v/>
      </c>
      <c r="Q293" s="389" t="str">
        <f>IFERROR(__xludf.DUMMYFUNCTION("IfError(IF(isblank(A293),"""", substitute(index(IMPORTHTML(""http://finviz.com/quote.ashx?t=""&amp;A293,""table"", 10),7,2),""*"","""")),0)"),"")</f>
        <v/>
      </c>
    </row>
    <row r="294" ht="15.0" customHeight="1">
      <c r="A294" s="391" t="str">
        <f>'My Lab'!P255</f>
        <v/>
      </c>
      <c r="B294" s="382" t="str">
        <f>IFERROR(__xludf.DUMMYFUNCTION("IF(ISBLANK(A294),"""", googlefinance(A294, ""name""))"),"")</f>
        <v/>
      </c>
      <c r="C294" s="383" t="str">
        <f>IFERROR(__xludf.DUMMYFUNCTION("IF(ISBLANK(A294),"""", googlefinance(A294, ""price""))"),"")</f>
        <v/>
      </c>
      <c r="D294" s="383" t="str">
        <f>IFERROR(__xludf.DUMMYFUNCTION("IFERROR(googlefinance(A294,""change""),"""")"),"")</f>
        <v/>
      </c>
      <c r="E294" s="384" t="str">
        <f>IFERROR(__xludf.DUMMYFUNCTION("iferror(GOOGLEFINANCE(A294,""changepct"")/100,"""")"),"")</f>
        <v/>
      </c>
      <c r="F294" s="385" t="str">
        <f>IF(ISBLANK(A294), "", IF(COUNTIF(Positions!$A$2:$A$31, A294) &gt; 0, "Yes","No")
)</f>
        <v/>
      </c>
      <c r="G294" s="385" t="str">
        <f>IFERROR(__xludf.DUMMYFUNCTION("IF(ISBLANK(A294),"""", googlefinance(A294, ""low52""))"),"")</f>
        <v/>
      </c>
      <c r="H294" s="386" t="str">
        <f>IFERROR(__xludf.DUMMYFUNCTION("IF(ISBLANK(A294),"""",IFERROR(SPARKLINE((C294-G294)/(I294-G294),{""charttype"",""bar"";""max"",1;""min"",0;""color1"",""2c79b5""}),""n/a""))"),"")</f>
        <v/>
      </c>
      <c r="I294" s="385" t="str">
        <f>IFERROR(__xludf.DUMMYFUNCTION("IF(ISBLANK(A294),"""", googlefinance(A294, ""high52""))"),"")</f>
        <v/>
      </c>
      <c r="J294" s="387" t="s">
        <v>134</v>
      </c>
      <c r="K294" s="388" t="str">
        <f>IFERROR(__xludf.DUMMYFUNCTION("IF(ISBLANK(A294),"""", googlefinance(A294, ""PE""))"),"")</f>
        <v/>
      </c>
      <c r="L294" s="385" t="str">
        <f>IFERROR(__xludf.DUMMYFUNCTION("IF(ISBLANK(A294),"""", googlefinance(A294, ""eps""))"),"")</f>
        <v/>
      </c>
      <c r="M294" s="389" t="str">
        <f>IFERROR(__xludf.DUMMYFUNCTION("IfError(IF(isblank(A294),"""",split(Q294, ""()"")))"),"")</f>
        <v/>
      </c>
      <c r="N294" s="384"/>
      <c r="O294" s="385" t="str">
        <f t="shared" si="5"/>
        <v/>
      </c>
      <c r="P294" s="385" t="str">
        <f t="shared" si="6"/>
        <v/>
      </c>
      <c r="Q294" s="389" t="str">
        <f>IFERROR(__xludf.DUMMYFUNCTION("IfError(IF(isblank(A294),"""", substitute(index(IMPORTHTML(""http://finviz.com/quote.ashx?t=""&amp;A294,""table"", 10),7,2),""*"","""")),0)"),"")</f>
        <v/>
      </c>
    </row>
    <row r="295" ht="15.0" customHeight="1">
      <c r="A295" s="391" t="str">
        <f>'My Lab'!P256</f>
        <v/>
      </c>
      <c r="B295" s="382" t="str">
        <f>IFERROR(__xludf.DUMMYFUNCTION("IF(ISBLANK(A295),"""", googlefinance(A295, ""name""))"),"")</f>
        <v/>
      </c>
      <c r="C295" s="383" t="str">
        <f>IFERROR(__xludf.DUMMYFUNCTION("IF(ISBLANK(A295),"""", googlefinance(A295, ""price""))"),"")</f>
        <v/>
      </c>
      <c r="D295" s="383" t="str">
        <f>IFERROR(__xludf.DUMMYFUNCTION("IFERROR(googlefinance(A295,""change""),"""")"),"")</f>
        <v/>
      </c>
      <c r="E295" s="384" t="str">
        <f>IFERROR(__xludf.DUMMYFUNCTION("iferror(GOOGLEFINANCE(A295,""changepct"")/100,"""")"),"")</f>
        <v/>
      </c>
      <c r="F295" s="385" t="str">
        <f>IF(ISBLANK(A295), "", IF(COUNTIF(Positions!$A$2:$A$31, A295) &gt; 0, "Yes","No")
)</f>
        <v/>
      </c>
      <c r="G295" s="385" t="str">
        <f>IFERROR(__xludf.DUMMYFUNCTION("IF(ISBLANK(A295),"""", googlefinance(A295, ""low52""))"),"")</f>
        <v/>
      </c>
      <c r="H295" s="386" t="str">
        <f>IFERROR(__xludf.DUMMYFUNCTION("IF(ISBLANK(A295),"""",IFERROR(SPARKLINE((C295-G295)/(I295-G295),{""charttype"",""bar"";""max"",1;""min"",0;""color1"",""2c79b5""}),""n/a""))"),"")</f>
        <v/>
      </c>
      <c r="I295" s="385" t="str">
        <f>IFERROR(__xludf.DUMMYFUNCTION("IF(ISBLANK(A295),"""", googlefinance(A295, ""high52""))"),"")</f>
        <v/>
      </c>
      <c r="J295" s="387" t="s">
        <v>134</v>
      </c>
      <c r="K295" s="388" t="str">
        <f>IFERROR(__xludf.DUMMYFUNCTION("IF(ISBLANK(A295),"""", googlefinance(A295, ""PE""))"),"")</f>
        <v/>
      </c>
      <c r="L295" s="385" t="str">
        <f>IFERROR(__xludf.DUMMYFUNCTION("IF(ISBLANK(A295),"""", googlefinance(A295, ""eps""))"),"")</f>
        <v/>
      </c>
      <c r="M295" s="389" t="str">
        <f>IFERROR(__xludf.DUMMYFUNCTION("IfError(IF(isblank(A295),"""",split(Q295, ""()"")))"),"")</f>
        <v/>
      </c>
      <c r="N295" s="384"/>
      <c r="O295" s="385" t="str">
        <f t="shared" si="5"/>
        <v/>
      </c>
      <c r="P295" s="385" t="str">
        <f t="shared" si="6"/>
        <v/>
      </c>
      <c r="Q295" s="389" t="str">
        <f>IFERROR(__xludf.DUMMYFUNCTION("IfError(IF(isblank(A295),"""", substitute(index(IMPORTHTML(""http://finviz.com/quote.ashx?t=""&amp;A295,""table"", 10),7,2),""*"","""")),0)"),"")</f>
        <v/>
      </c>
    </row>
    <row r="296" ht="15.0" customHeight="1">
      <c r="A296" s="391" t="str">
        <f>'My Lab'!P257</f>
        <v/>
      </c>
      <c r="B296" s="382" t="str">
        <f>IFERROR(__xludf.DUMMYFUNCTION("IF(ISBLANK(A296),"""", googlefinance(A296, ""name""))"),"")</f>
        <v/>
      </c>
      <c r="C296" s="383" t="str">
        <f>IFERROR(__xludf.DUMMYFUNCTION("IF(ISBLANK(A296),"""", googlefinance(A296, ""price""))"),"")</f>
        <v/>
      </c>
      <c r="D296" s="383" t="str">
        <f>IFERROR(__xludf.DUMMYFUNCTION("IFERROR(googlefinance(A296,""change""),"""")"),"")</f>
        <v/>
      </c>
      <c r="E296" s="384" t="str">
        <f>IFERROR(__xludf.DUMMYFUNCTION("iferror(GOOGLEFINANCE(A296,""changepct"")/100,"""")"),"")</f>
        <v/>
      </c>
      <c r="F296" s="385" t="str">
        <f>IF(ISBLANK(A296), "", IF(COUNTIF(Positions!$A$2:$A$31, A296) &gt; 0, "Yes","No")
)</f>
        <v/>
      </c>
      <c r="G296" s="385" t="str">
        <f>IFERROR(__xludf.DUMMYFUNCTION("IF(ISBLANK(A296),"""", googlefinance(A296, ""low52""))"),"")</f>
        <v/>
      </c>
      <c r="H296" s="386" t="str">
        <f>IFERROR(__xludf.DUMMYFUNCTION("IF(ISBLANK(A296),"""",IFERROR(SPARKLINE((C296-G296)/(I296-G296),{""charttype"",""bar"";""max"",1;""min"",0;""color1"",""2c79b5""}),""n/a""))"),"")</f>
        <v/>
      </c>
      <c r="I296" s="385" t="str">
        <f>IFERROR(__xludf.DUMMYFUNCTION("IF(ISBLANK(A296),"""", googlefinance(A296, ""high52""))"),"")</f>
        <v/>
      </c>
      <c r="J296" s="387" t="s">
        <v>134</v>
      </c>
      <c r="K296" s="388" t="str">
        <f>IFERROR(__xludf.DUMMYFUNCTION("IF(ISBLANK(A296),"""", googlefinance(A296, ""PE""))"),"")</f>
        <v/>
      </c>
      <c r="L296" s="385" t="str">
        <f>IFERROR(__xludf.DUMMYFUNCTION("IF(ISBLANK(A296),"""", googlefinance(A296, ""eps""))"),"")</f>
        <v/>
      </c>
      <c r="M296" s="389" t="str">
        <f>IFERROR(__xludf.DUMMYFUNCTION("IfError(IF(isblank(A296),"""",split(Q296, ""()"")))"),"")</f>
        <v/>
      </c>
      <c r="N296" s="384"/>
      <c r="O296" s="385" t="str">
        <f t="shared" si="5"/>
        <v/>
      </c>
      <c r="P296" s="385" t="str">
        <f t="shared" si="6"/>
        <v/>
      </c>
      <c r="Q296" s="389" t="str">
        <f>IFERROR(__xludf.DUMMYFUNCTION("IfError(IF(isblank(A296),"""", substitute(index(IMPORTHTML(""http://finviz.com/quote.ashx?t=""&amp;A296,""table"", 10),7,2),""*"","""")),0)"),"")</f>
        <v/>
      </c>
    </row>
    <row r="297" ht="15.0" customHeight="1">
      <c r="A297" s="391" t="str">
        <f>'My Lab'!P258</f>
        <v/>
      </c>
      <c r="B297" s="382" t="str">
        <f>IFERROR(__xludf.DUMMYFUNCTION("IF(ISBLANK(A297),"""", googlefinance(A297, ""name""))"),"")</f>
        <v/>
      </c>
      <c r="C297" s="383" t="str">
        <f>IFERROR(__xludf.DUMMYFUNCTION("IF(ISBLANK(A297),"""", googlefinance(A297, ""price""))"),"")</f>
        <v/>
      </c>
      <c r="D297" s="383" t="str">
        <f>IFERROR(__xludf.DUMMYFUNCTION("IFERROR(googlefinance(A297,""change""),"""")"),"")</f>
        <v/>
      </c>
      <c r="E297" s="384" t="str">
        <f>IFERROR(__xludf.DUMMYFUNCTION("iferror(GOOGLEFINANCE(A297,""changepct"")/100,"""")"),"")</f>
        <v/>
      </c>
      <c r="F297" s="385" t="str">
        <f>IF(ISBLANK(A297), "", IF(COUNTIF(Positions!$A$2:$A$31, A297) &gt; 0, "Yes","No")
)</f>
        <v/>
      </c>
      <c r="G297" s="385" t="str">
        <f>IFERROR(__xludf.DUMMYFUNCTION("IF(ISBLANK(A297),"""", googlefinance(A297, ""low52""))"),"")</f>
        <v/>
      </c>
      <c r="H297" s="386" t="str">
        <f>IFERROR(__xludf.DUMMYFUNCTION("IF(ISBLANK(A297),"""",IFERROR(SPARKLINE((C297-G297)/(I297-G297),{""charttype"",""bar"";""max"",1;""min"",0;""color1"",""2c79b5""}),""n/a""))"),"")</f>
        <v/>
      </c>
      <c r="I297" s="385" t="str">
        <f>IFERROR(__xludf.DUMMYFUNCTION("IF(ISBLANK(A297),"""", googlefinance(A297, ""high52""))"),"")</f>
        <v/>
      </c>
      <c r="J297" s="387" t="s">
        <v>134</v>
      </c>
      <c r="K297" s="388" t="str">
        <f>IFERROR(__xludf.DUMMYFUNCTION("IF(ISBLANK(A297),"""", googlefinance(A297, ""PE""))"),"")</f>
        <v/>
      </c>
      <c r="L297" s="385" t="str">
        <f>IFERROR(__xludf.DUMMYFUNCTION("IF(ISBLANK(A297),"""", googlefinance(A297, ""eps""))"),"")</f>
        <v/>
      </c>
      <c r="M297" s="389" t="str">
        <f>IFERROR(__xludf.DUMMYFUNCTION("IfError(IF(isblank(A297),"""",split(Q297, ""()"")))"),"")</f>
        <v/>
      </c>
      <c r="N297" s="384"/>
      <c r="O297" s="385" t="str">
        <f t="shared" si="5"/>
        <v/>
      </c>
      <c r="P297" s="385" t="str">
        <f t="shared" si="6"/>
        <v/>
      </c>
      <c r="Q297" s="389" t="str">
        <f>IFERROR(__xludf.DUMMYFUNCTION("IfError(IF(isblank(A297),"""", substitute(index(IMPORTHTML(""http://finviz.com/quote.ashx?t=""&amp;A297,""table"", 10),7,2),""*"","""")),0)"),"")</f>
        <v/>
      </c>
    </row>
    <row r="298" ht="15.0" customHeight="1">
      <c r="A298" s="391" t="str">
        <f>'My Lab'!P259</f>
        <v/>
      </c>
      <c r="B298" s="382" t="str">
        <f>IFERROR(__xludf.DUMMYFUNCTION("IF(ISBLANK(A298),"""", googlefinance(A298, ""name""))"),"")</f>
        <v/>
      </c>
      <c r="C298" s="383" t="str">
        <f>IFERROR(__xludf.DUMMYFUNCTION("IF(ISBLANK(A298),"""", googlefinance(A298, ""price""))"),"")</f>
        <v/>
      </c>
      <c r="D298" s="383" t="str">
        <f>IFERROR(__xludf.DUMMYFUNCTION("IFERROR(googlefinance(A298,""change""),"""")"),"")</f>
        <v/>
      </c>
      <c r="E298" s="384" t="str">
        <f>IFERROR(__xludf.DUMMYFUNCTION("iferror(GOOGLEFINANCE(A298,""changepct"")/100,"""")"),"")</f>
        <v/>
      </c>
      <c r="F298" s="385" t="str">
        <f>IF(ISBLANK(A298), "", IF(COUNTIF(Positions!$A$2:$A$31, A298) &gt; 0, "Yes","No")
)</f>
        <v/>
      </c>
      <c r="G298" s="385" t="str">
        <f>IFERROR(__xludf.DUMMYFUNCTION("IF(ISBLANK(A298),"""", googlefinance(A298, ""low52""))"),"")</f>
        <v/>
      </c>
      <c r="H298" s="386" t="str">
        <f>IFERROR(__xludf.DUMMYFUNCTION("IF(ISBLANK(A298),"""",IFERROR(SPARKLINE((C298-G298)/(I298-G298),{""charttype"",""bar"";""max"",1;""min"",0;""color1"",""2c79b5""}),""n/a""))"),"")</f>
        <v/>
      </c>
      <c r="I298" s="385" t="str">
        <f>IFERROR(__xludf.DUMMYFUNCTION("IF(ISBLANK(A298),"""", googlefinance(A298, ""high52""))"),"")</f>
        <v/>
      </c>
      <c r="J298" s="387" t="s">
        <v>134</v>
      </c>
      <c r="K298" s="388" t="str">
        <f>IFERROR(__xludf.DUMMYFUNCTION("IF(ISBLANK(A298),"""", googlefinance(A298, ""PE""))"),"")</f>
        <v/>
      </c>
      <c r="L298" s="385" t="str">
        <f>IFERROR(__xludf.DUMMYFUNCTION("IF(ISBLANK(A298),"""", googlefinance(A298, ""eps""))"),"")</f>
        <v/>
      </c>
      <c r="M298" s="389" t="str">
        <f>IFERROR(__xludf.DUMMYFUNCTION("IfError(IF(isblank(A298),"""",split(Q298, ""()"")))"),"")</f>
        <v/>
      </c>
      <c r="N298" s="384"/>
      <c r="O298" s="385" t="str">
        <f t="shared" si="5"/>
        <v/>
      </c>
      <c r="P298" s="385" t="str">
        <f t="shared" si="6"/>
        <v/>
      </c>
      <c r="Q298" s="389" t="str">
        <f>IFERROR(__xludf.DUMMYFUNCTION("IfError(IF(isblank(A298),"""", substitute(index(IMPORTHTML(""http://finviz.com/quote.ashx?t=""&amp;A298,""table"", 10),7,2),""*"","""")),0)"),"")</f>
        <v/>
      </c>
    </row>
    <row r="299" ht="15.0" customHeight="1">
      <c r="A299" s="391" t="str">
        <f>'My Lab'!P260</f>
        <v/>
      </c>
      <c r="B299" s="382" t="str">
        <f>IFERROR(__xludf.DUMMYFUNCTION("IF(ISBLANK(A299),"""", googlefinance(A299, ""name""))"),"")</f>
        <v/>
      </c>
      <c r="C299" s="383" t="str">
        <f>IFERROR(__xludf.DUMMYFUNCTION("IF(ISBLANK(A299),"""", googlefinance(A299, ""price""))"),"")</f>
        <v/>
      </c>
      <c r="D299" s="383" t="str">
        <f>IFERROR(__xludf.DUMMYFUNCTION("IFERROR(googlefinance(A299,""change""),"""")"),"")</f>
        <v/>
      </c>
      <c r="E299" s="384" t="str">
        <f>IFERROR(__xludf.DUMMYFUNCTION("iferror(GOOGLEFINANCE(A299,""changepct"")/100,"""")"),"")</f>
        <v/>
      </c>
      <c r="F299" s="385" t="str">
        <f>IF(ISBLANK(A299), "", IF(COUNTIF(Positions!$A$2:$A$31, A299) &gt; 0, "Yes","No")
)</f>
        <v/>
      </c>
      <c r="G299" s="385" t="str">
        <f>IFERROR(__xludf.DUMMYFUNCTION("IF(ISBLANK(A299),"""", googlefinance(A299, ""low52""))"),"")</f>
        <v/>
      </c>
      <c r="H299" s="386" t="str">
        <f>IFERROR(__xludf.DUMMYFUNCTION("IF(ISBLANK(A299),"""",IFERROR(SPARKLINE((C299-G299)/(I299-G299),{""charttype"",""bar"";""max"",1;""min"",0;""color1"",""2c79b5""}),""n/a""))"),"")</f>
        <v/>
      </c>
      <c r="I299" s="385" t="str">
        <f>IFERROR(__xludf.DUMMYFUNCTION("IF(ISBLANK(A299),"""", googlefinance(A299, ""high52""))"),"")</f>
        <v/>
      </c>
      <c r="J299" s="387" t="s">
        <v>134</v>
      </c>
      <c r="K299" s="388" t="str">
        <f>IFERROR(__xludf.DUMMYFUNCTION("IF(ISBLANK(A299),"""", googlefinance(A299, ""PE""))"),"")</f>
        <v/>
      </c>
      <c r="L299" s="385" t="str">
        <f>IFERROR(__xludf.DUMMYFUNCTION("IF(ISBLANK(A299),"""", googlefinance(A299, ""eps""))"),"")</f>
        <v/>
      </c>
      <c r="M299" s="389" t="str">
        <f>IFERROR(__xludf.DUMMYFUNCTION("IfError(IF(isblank(A299),"""",split(Q299, ""()"")))"),"")</f>
        <v/>
      </c>
      <c r="N299" s="384"/>
      <c r="O299" s="385" t="str">
        <f t="shared" si="5"/>
        <v/>
      </c>
      <c r="P299" s="385" t="str">
        <f t="shared" si="6"/>
        <v/>
      </c>
      <c r="Q299" s="389" t="str">
        <f>IFERROR(__xludf.DUMMYFUNCTION("IfError(IF(isblank(A299),"""", substitute(index(IMPORTHTML(""http://finviz.com/quote.ashx?t=""&amp;A299,""table"", 10),7,2),""*"","""")),0)"),"")</f>
        <v/>
      </c>
    </row>
    <row r="300" ht="15.0" customHeight="1">
      <c r="A300" s="391" t="str">
        <f>'My Lab'!P261</f>
        <v/>
      </c>
      <c r="B300" s="382" t="str">
        <f>IFERROR(__xludf.DUMMYFUNCTION("IF(ISBLANK(A300),"""", googlefinance(A300, ""name""))"),"")</f>
        <v/>
      </c>
      <c r="C300" s="383" t="str">
        <f>IFERROR(__xludf.DUMMYFUNCTION("IF(ISBLANK(A300),"""", googlefinance(A300, ""price""))"),"")</f>
        <v/>
      </c>
      <c r="D300" s="383" t="str">
        <f>IFERROR(__xludf.DUMMYFUNCTION("IFERROR(googlefinance(A300,""change""),"""")"),"")</f>
        <v/>
      </c>
      <c r="E300" s="384" t="str">
        <f>IFERROR(__xludf.DUMMYFUNCTION("iferror(GOOGLEFINANCE(A300,""changepct"")/100,"""")"),"")</f>
        <v/>
      </c>
      <c r="F300" s="385" t="str">
        <f>IF(ISBLANK(A300), "", IF(COUNTIF(Positions!$A$2:$A$31, A300) &gt; 0, "Yes","No")
)</f>
        <v/>
      </c>
      <c r="G300" s="385" t="str">
        <f>IFERROR(__xludf.DUMMYFUNCTION("IF(ISBLANK(A300),"""", googlefinance(A300, ""low52""))"),"")</f>
        <v/>
      </c>
      <c r="H300" s="386" t="str">
        <f>IFERROR(__xludf.DUMMYFUNCTION("IF(ISBLANK(A300),"""",IFERROR(SPARKLINE((C300-G300)/(I300-G300),{""charttype"",""bar"";""max"",1;""min"",0;""color1"",""2c79b5""}),""n/a""))"),"")</f>
        <v/>
      </c>
      <c r="I300" s="385" t="str">
        <f>IFERROR(__xludf.DUMMYFUNCTION("IF(ISBLANK(A300),"""", googlefinance(A300, ""high52""))"),"")</f>
        <v/>
      </c>
      <c r="J300" s="387" t="s">
        <v>134</v>
      </c>
      <c r="K300" s="388" t="str">
        <f>IFERROR(__xludf.DUMMYFUNCTION("IF(ISBLANK(A300),"""", googlefinance(A300, ""PE""))"),"")</f>
        <v/>
      </c>
      <c r="L300" s="385" t="str">
        <f>IFERROR(__xludf.DUMMYFUNCTION("IF(ISBLANK(A300),"""", googlefinance(A300, ""eps""))"),"")</f>
        <v/>
      </c>
      <c r="M300" s="389" t="str">
        <f>IFERROR(__xludf.DUMMYFUNCTION("IfError(IF(isblank(A300),"""",split(Q300, ""()"")))"),"")</f>
        <v/>
      </c>
      <c r="N300" s="384"/>
      <c r="O300" s="385" t="str">
        <f t="shared" si="5"/>
        <v/>
      </c>
      <c r="P300" s="385" t="str">
        <f t="shared" si="6"/>
        <v/>
      </c>
      <c r="Q300" s="389" t="str">
        <f>IFERROR(__xludf.DUMMYFUNCTION("IfError(IF(isblank(A300),"""", substitute(index(IMPORTHTML(""http://finviz.com/quote.ashx?t=""&amp;A300,""table"", 10),7,2),""*"","""")),0)"),"")</f>
        <v/>
      </c>
    </row>
    <row r="301">
      <c r="A301" s="392">
        <f>COUNTA(A41:A300)</f>
        <v>13</v>
      </c>
      <c r="B301" s="393" t="s">
        <v>135</v>
      </c>
      <c r="C301" s="394"/>
      <c r="D301" s="394"/>
      <c r="E301" s="394"/>
      <c r="F301" s="395"/>
      <c r="G301" s="395"/>
      <c r="H301" s="395"/>
      <c r="I301" s="395"/>
      <c r="J301" s="395"/>
      <c r="K301" s="395"/>
      <c r="L301" s="396"/>
      <c r="M301" s="394"/>
      <c r="N301" s="394"/>
      <c r="O301" s="395"/>
      <c r="P301" s="397"/>
      <c r="Q301" s="394"/>
    </row>
    <row r="302">
      <c r="A302" s="185"/>
      <c r="B302" s="67"/>
      <c r="C302" s="186"/>
      <c r="D302" s="186"/>
      <c r="E302" s="186"/>
      <c r="F302" s="186"/>
      <c r="G302" s="186"/>
      <c r="H302" s="186"/>
      <c r="I302" s="186"/>
      <c r="J302" s="186"/>
      <c r="K302" s="186"/>
      <c r="L302" s="186"/>
      <c r="M302" s="67"/>
      <c r="N302" s="67"/>
      <c r="O302" s="67"/>
      <c r="P302" s="67"/>
      <c r="Q302" s="186"/>
      <c r="R302" s="186"/>
      <c r="S302" s="187"/>
      <c r="T302" s="187"/>
      <c r="U302" s="186"/>
      <c r="V302" s="186"/>
      <c r="W302" s="186"/>
    </row>
    <row r="303">
      <c r="A303" s="185"/>
      <c r="B303" s="67"/>
      <c r="C303" s="186"/>
      <c r="D303" s="186"/>
      <c r="E303" s="398"/>
      <c r="F303" s="186"/>
      <c r="G303" s="186"/>
      <c r="H303" s="186"/>
      <c r="I303" s="186"/>
      <c r="J303" s="186"/>
      <c r="K303" s="186"/>
      <c r="L303" s="186"/>
      <c r="M303" s="67"/>
      <c r="N303" s="67"/>
      <c r="O303" s="67"/>
      <c r="P303" s="67"/>
      <c r="Q303" s="186"/>
      <c r="R303" s="186"/>
      <c r="S303" s="187"/>
      <c r="T303" s="187"/>
      <c r="U303" s="186"/>
      <c r="V303" s="186"/>
      <c r="W303" s="186"/>
    </row>
    <row r="304">
      <c r="A304" s="185"/>
      <c r="B304" s="67"/>
      <c r="C304" s="186"/>
      <c r="D304" s="186"/>
      <c r="E304" s="398"/>
      <c r="F304" s="186"/>
      <c r="G304" s="186"/>
      <c r="H304" s="186"/>
      <c r="I304" s="186"/>
      <c r="J304" s="186"/>
      <c r="K304" s="186"/>
      <c r="L304" s="186"/>
      <c r="M304" s="67"/>
      <c r="N304" s="67"/>
      <c r="O304" s="67"/>
      <c r="P304" s="67"/>
      <c r="Q304" s="186"/>
      <c r="R304" s="186"/>
      <c r="S304" s="187"/>
      <c r="T304" s="187"/>
      <c r="U304" s="186"/>
      <c r="V304" s="186"/>
      <c r="W304" s="186"/>
    </row>
    <row r="305">
      <c r="A305" s="185"/>
      <c r="B305" s="67"/>
      <c r="C305" s="186"/>
      <c r="D305" s="186"/>
      <c r="E305" s="186"/>
      <c r="F305" s="186"/>
      <c r="G305" s="186"/>
      <c r="H305" s="186"/>
      <c r="I305" s="186"/>
      <c r="J305" s="186"/>
      <c r="K305" s="186"/>
      <c r="L305" s="186"/>
      <c r="M305" s="67"/>
      <c r="N305" s="67"/>
      <c r="O305" s="67"/>
      <c r="P305" s="67"/>
      <c r="Q305" s="186"/>
      <c r="R305" s="186"/>
      <c r="S305" s="187"/>
      <c r="T305" s="187"/>
      <c r="U305" s="186"/>
      <c r="V305" s="186"/>
      <c r="W305" s="186"/>
    </row>
    <row r="306">
      <c r="A306" s="185"/>
      <c r="B306" s="67"/>
      <c r="C306" s="186"/>
      <c r="D306" s="186"/>
      <c r="E306" s="398"/>
      <c r="F306" s="186"/>
      <c r="G306" s="186"/>
      <c r="H306" s="186"/>
      <c r="I306" s="186"/>
      <c r="J306" s="186"/>
      <c r="K306" s="186"/>
      <c r="L306" s="186"/>
      <c r="M306" s="67"/>
      <c r="N306" s="67"/>
      <c r="O306" s="67"/>
      <c r="P306" s="67"/>
      <c r="Q306" s="186"/>
      <c r="R306" s="186"/>
      <c r="S306" s="187"/>
      <c r="T306" s="187"/>
      <c r="U306" s="186"/>
      <c r="V306" s="186"/>
      <c r="W306" s="186"/>
    </row>
    <row r="307">
      <c r="A307" s="185"/>
      <c r="B307" s="67"/>
      <c r="C307" s="186"/>
      <c r="D307" s="186"/>
      <c r="E307" s="186"/>
      <c r="F307" s="186"/>
      <c r="G307" s="186"/>
      <c r="H307" s="186"/>
      <c r="I307" s="186"/>
      <c r="J307" s="186"/>
      <c r="K307" s="186"/>
      <c r="L307" s="186"/>
      <c r="M307" s="67"/>
      <c r="N307" s="67"/>
      <c r="O307" s="67"/>
      <c r="P307" s="67"/>
      <c r="Q307" s="186"/>
      <c r="R307" s="186"/>
      <c r="S307" s="187"/>
      <c r="T307" s="187"/>
      <c r="U307" s="186"/>
      <c r="V307" s="186"/>
      <c r="W307" s="186"/>
    </row>
    <row r="308">
      <c r="A308" s="185"/>
      <c r="B308" s="67"/>
      <c r="C308" s="186"/>
      <c r="D308" s="186"/>
      <c r="E308" s="186"/>
      <c r="F308" s="186"/>
      <c r="G308" s="186"/>
      <c r="H308" s="186"/>
      <c r="I308" s="186"/>
      <c r="J308" s="186"/>
      <c r="K308" s="186"/>
      <c r="L308" s="186"/>
      <c r="M308" s="67"/>
      <c r="N308" s="67"/>
      <c r="O308" s="67"/>
      <c r="P308" s="67"/>
      <c r="Q308" s="186"/>
      <c r="R308" s="186"/>
      <c r="S308" s="187"/>
      <c r="T308" s="187"/>
      <c r="U308" s="186"/>
      <c r="V308" s="186"/>
      <c r="W308" s="186"/>
    </row>
    <row r="309">
      <c r="A309" s="185"/>
      <c r="B309" s="67"/>
      <c r="C309" s="186"/>
      <c r="D309" s="186"/>
      <c r="E309" s="186"/>
      <c r="F309" s="186"/>
      <c r="G309" s="186"/>
      <c r="H309" s="186"/>
      <c r="I309" s="186"/>
      <c r="J309" s="186"/>
      <c r="K309" s="186"/>
      <c r="L309" s="186"/>
      <c r="M309" s="67"/>
      <c r="N309" s="67"/>
      <c r="O309" s="67"/>
      <c r="P309" s="67"/>
      <c r="Q309" s="186"/>
      <c r="R309" s="186"/>
      <c r="S309" s="187"/>
      <c r="T309" s="187"/>
      <c r="U309" s="186"/>
      <c r="V309" s="186"/>
      <c r="W309" s="186"/>
    </row>
    <row r="310">
      <c r="A310" s="185"/>
      <c r="B310" s="67"/>
      <c r="C310" s="186"/>
      <c r="D310" s="186"/>
      <c r="E310" s="186"/>
      <c r="F310" s="186"/>
      <c r="G310" s="186"/>
      <c r="H310" s="186"/>
      <c r="I310" s="186"/>
      <c r="J310" s="186"/>
      <c r="K310" s="186"/>
      <c r="L310" s="186"/>
      <c r="M310" s="67"/>
      <c r="N310" s="67"/>
      <c r="O310" s="67"/>
      <c r="P310" s="67"/>
      <c r="Q310" s="186"/>
      <c r="R310" s="186"/>
      <c r="S310" s="187"/>
      <c r="T310" s="187"/>
      <c r="U310" s="186"/>
      <c r="V310" s="186"/>
      <c r="W310" s="186"/>
    </row>
    <row r="311">
      <c r="A311" s="185"/>
      <c r="B311" s="67"/>
      <c r="C311" s="186"/>
      <c r="D311" s="186"/>
      <c r="E311" s="186"/>
      <c r="F311" s="186"/>
      <c r="G311" s="186"/>
      <c r="H311" s="186"/>
      <c r="I311" s="186"/>
      <c r="J311" s="186"/>
      <c r="K311" s="186"/>
      <c r="L311" s="186"/>
      <c r="M311" s="67"/>
      <c r="N311" s="67"/>
      <c r="O311" s="67"/>
      <c r="P311" s="67"/>
      <c r="Q311" s="186"/>
      <c r="R311" s="186"/>
      <c r="S311" s="187"/>
      <c r="T311" s="187"/>
      <c r="U311" s="186"/>
      <c r="V311" s="186"/>
      <c r="W311" s="186"/>
    </row>
    <row r="312">
      <c r="A312" s="185"/>
      <c r="B312" s="67"/>
      <c r="C312" s="186"/>
      <c r="D312" s="186"/>
      <c r="E312" s="186"/>
      <c r="F312" s="186"/>
      <c r="G312" s="186"/>
      <c r="H312" s="186"/>
      <c r="I312" s="186"/>
      <c r="J312" s="186"/>
      <c r="K312" s="186"/>
      <c r="L312" s="186"/>
      <c r="M312" s="67"/>
      <c r="N312" s="67"/>
      <c r="O312" s="67"/>
      <c r="P312" s="67"/>
      <c r="Q312" s="186"/>
      <c r="R312" s="186"/>
      <c r="S312" s="187"/>
      <c r="T312" s="187"/>
      <c r="U312" s="186"/>
      <c r="V312" s="186"/>
      <c r="W312" s="186"/>
    </row>
    <row r="313">
      <c r="A313" s="185"/>
      <c r="B313" s="67"/>
      <c r="C313" s="186"/>
      <c r="D313" s="186"/>
      <c r="E313" s="186"/>
      <c r="F313" s="186"/>
      <c r="G313" s="186"/>
      <c r="H313" s="186"/>
      <c r="I313" s="186"/>
      <c r="J313" s="186"/>
      <c r="K313" s="186"/>
      <c r="L313" s="186"/>
      <c r="M313" s="67"/>
      <c r="N313" s="67"/>
      <c r="O313" s="67"/>
      <c r="P313" s="67"/>
      <c r="Q313" s="186"/>
      <c r="R313" s="186"/>
      <c r="S313" s="187"/>
      <c r="T313" s="187"/>
      <c r="U313" s="186"/>
      <c r="V313" s="186"/>
      <c r="W313" s="186"/>
    </row>
    <row r="314">
      <c r="A314" s="185"/>
      <c r="B314" s="67"/>
      <c r="C314" s="186"/>
      <c r="D314" s="186"/>
      <c r="E314" s="186"/>
      <c r="F314" s="186"/>
      <c r="G314" s="186"/>
      <c r="H314" s="186"/>
      <c r="I314" s="186"/>
      <c r="J314" s="186"/>
      <c r="K314" s="186"/>
      <c r="L314" s="186"/>
      <c r="M314" s="67"/>
      <c r="N314" s="67"/>
      <c r="O314" s="67"/>
      <c r="P314" s="67"/>
      <c r="Q314" s="186"/>
      <c r="R314" s="186"/>
      <c r="S314" s="187"/>
      <c r="T314" s="187"/>
      <c r="U314" s="186"/>
      <c r="V314" s="186"/>
      <c r="W314" s="186"/>
    </row>
    <row r="315">
      <c r="A315" s="185"/>
      <c r="B315" s="67"/>
      <c r="C315" s="186"/>
      <c r="D315" s="186"/>
      <c r="E315" s="186"/>
      <c r="F315" s="186"/>
      <c r="G315" s="186"/>
      <c r="H315" s="186"/>
      <c r="I315" s="186"/>
      <c r="J315" s="186"/>
      <c r="K315" s="186"/>
      <c r="L315" s="186"/>
      <c r="M315" s="67"/>
      <c r="N315" s="67"/>
      <c r="O315" s="67"/>
      <c r="P315" s="67"/>
      <c r="Q315" s="186"/>
      <c r="R315" s="186"/>
      <c r="S315" s="187"/>
      <c r="T315" s="187"/>
      <c r="U315" s="186"/>
      <c r="V315" s="186"/>
      <c r="W315" s="186"/>
    </row>
    <row r="316">
      <c r="A316" s="185"/>
      <c r="B316" s="67"/>
      <c r="C316" s="186"/>
      <c r="D316" s="186"/>
      <c r="E316" s="186"/>
      <c r="F316" s="186"/>
      <c r="G316" s="186"/>
      <c r="H316" s="186"/>
      <c r="I316" s="186"/>
      <c r="J316" s="186"/>
      <c r="K316" s="186"/>
      <c r="L316" s="186"/>
      <c r="M316" s="67"/>
      <c r="N316" s="67"/>
      <c r="O316" s="67"/>
      <c r="P316" s="67"/>
      <c r="Q316" s="186"/>
      <c r="R316" s="186"/>
      <c r="S316" s="187"/>
      <c r="T316" s="187"/>
      <c r="U316" s="186"/>
      <c r="V316" s="186"/>
      <c r="W316" s="186"/>
    </row>
    <row r="317">
      <c r="A317" s="185"/>
      <c r="B317" s="67"/>
      <c r="C317" s="186"/>
      <c r="D317" s="186"/>
      <c r="E317" s="186"/>
      <c r="F317" s="186"/>
      <c r="G317" s="186"/>
      <c r="H317" s="186"/>
      <c r="I317" s="186"/>
      <c r="J317" s="186"/>
      <c r="K317" s="186"/>
      <c r="L317" s="186"/>
      <c r="M317" s="67"/>
      <c r="N317" s="67"/>
      <c r="O317" s="67"/>
      <c r="P317" s="67"/>
      <c r="Q317" s="186"/>
      <c r="R317" s="186"/>
      <c r="S317" s="187"/>
      <c r="T317" s="187"/>
      <c r="U317" s="186"/>
      <c r="V317" s="186"/>
      <c r="W317" s="186"/>
    </row>
    <row r="318">
      <c r="A318" s="185"/>
      <c r="B318" s="67"/>
      <c r="C318" s="186"/>
      <c r="D318" s="186"/>
      <c r="E318" s="186"/>
      <c r="F318" s="186"/>
      <c r="G318" s="186"/>
      <c r="H318" s="186"/>
      <c r="I318" s="186"/>
      <c r="J318" s="186"/>
      <c r="K318" s="186"/>
      <c r="L318" s="186"/>
      <c r="M318" s="67"/>
      <c r="N318" s="67"/>
      <c r="O318" s="67"/>
      <c r="P318" s="67"/>
      <c r="Q318" s="186"/>
      <c r="R318" s="186"/>
      <c r="S318" s="187"/>
      <c r="T318" s="187"/>
      <c r="U318" s="186"/>
      <c r="V318" s="186"/>
      <c r="W318" s="186"/>
    </row>
    <row r="319">
      <c r="A319" s="185"/>
      <c r="B319" s="67"/>
      <c r="C319" s="186"/>
      <c r="D319" s="186"/>
      <c r="E319" s="186"/>
      <c r="F319" s="186"/>
      <c r="G319" s="186"/>
      <c r="H319" s="186"/>
      <c r="I319" s="186"/>
      <c r="J319" s="186"/>
      <c r="K319" s="186"/>
      <c r="L319" s="186"/>
      <c r="M319" s="67"/>
      <c r="N319" s="67"/>
      <c r="O319" s="67"/>
      <c r="P319" s="67"/>
      <c r="Q319" s="186"/>
      <c r="R319" s="186"/>
      <c r="S319" s="187"/>
      <c r="T319" s="187"/>
      <c r="U319" s="186"/>
      <c r="V319" s="186"/>
      <c r="W319" s="186"/>
    </row>
    <row r="320">
      <c r="A320" s="185"/>
      <c r="B320" s="67"/>
      <c r="C320" s="186"/>
      <c r="D320" s="186"/>
      <c r="E320" s="186"/>
      <c r="F320" s="186"/>
      <c r="G320" s="186"/>
      <c r="H320" s="186"/>
      <c r="I320" s="186"/>
      <c r="J320" s="186"/>
      <c r="K320" s="186"/>
      <c r="L320" s="186"/>
      <c r="M320" s="67"/>
      <c r="N320" s="67"/>
      <c r="O320" s="67"/>
      <c r="P320" s="67"/>
      <c r="Q320" s="186"/>
      <c r="R320" s="186"/>
      <c r="S320" s="187"/>
      <c r="T320" s="187"/>
      <c r="U320" s="186"/>
      <c r="V320" s="186"/>
      <c r="W320" s="186"/>
    </row>
    <row r="321">
      <c r="A321" s="185"/>
      <c r="B321" s="67"/>
      <c r="C321" s="186"/>
      <c r="D321" s="186"/>
      <c r="E321" s="186"/>
      <c r="F321" s="186"/>
      <c r="G321" s="186"/>
      <c r="H321" s="186"/>
      <c r="I321" s="186"/>
      <c r="J321" s="186"/>
      <c r="K321" s="186"/>
      <c r="L321" s="186"/>
      <c r="M321" s="67"/>
      <c r="N321" s="67"/>
      <c r="O321" s="67"/>
      <c r="P321" s="67"/>
      <c r="Q321" s="186"/>
      <c r="R321" s="186"/>
      <c r="S321" s="187"/>
      <c r="T321" s="187"/>
      <c r="U321" s="186"/>
      <c r="V321" s="186"/>
      <c r="W321" s="186"/>
    </row>
    <row r="322">
      <c r="A322" s="185"/>
      <c r="B322" s="67"/>
      <c r="C322" s="186"/>
      <c r="D322" s="186"/>
      <c r="E322" s="186"/>
      <c r="F322" s="186"/>
      <c r="G322" s="186"/>
      <c r="H322" s="186"/>
      <c r="I322" s="186"/>
      <c r="J322" s="186"/>
      <c r="K322" s="186"/>
      <c r="L322" s="186"/>
      <c r="M322" s="67"/>
      <c r="N322" s="67"/>
      <c r="O322" s="67"/>
      <c r="P322" s="67"/>
      <c r="Q322" s="186"/>
      <c r="R322" s="186"/>
      <c r="S322" s="187"/>
      <c r="T322" s="187"/>
      <c r="U322" s="186"/>
      <c r="V322" s="186"/>
      <c r="W322" s="186"/>
    </row>
    <row r="323">
      <c r="A323" s="185"/>
      <c r="B323" s="67"/>
      <c r="C323" s="186"/>
      <c r="D323" s="186"/>
      <c r="E323" s="186"/>
      <c r="F323" s="186"/>
      <c r="G323" s="186"/>
      <c r="H323" s="186"/>
      <c r="I323" s="186"/>
      <c r="J323" s="186"/>
      <c r="K323" s="186"/>
      <c r="L323" s="186"/>
      <c r="M323" s="67"/>
      <c r="N323" s="67"/>
      <c r="O323" s="67"/>
      <c r="P323" s="67"/>
      <c r="Q323" s="186"/>
      <c r="R323" s="186"/>
      <c r="S323" s="187"/>
      <c r="T323" s="187"/>
      <c r="U323" s="186"/>
      <c r="V323" s="186"/>
      <c r="W323" s="186"/>
    </row>
    <row r="324">
      <c r="A324" s="185"/>
      <c r="B324" s="67"/>
      <c r="C324" s="186"/>
      <c r="D324" s="186"/>
      <c r="E324" s="186"/>
      <c r="F324" s="186"/>
      <c r="G324" s="186"/>
      <c r="H324" s="186"/>
      <c r="I324" s="186"/>
      <c r="J324" s="186"/>
      <c r="K324" s="186"/>
      <c r="L324" s="186"/>
      <c r="M324" s="67"/>
      <c r="N324" s="67"/>
      <c r="O324" s="67"/>
      <c r="P324" s="67"/>
      <c r="Q324" s="186"/>
      <c r="R324" s="186"/>
      <c r="S324" s="187"/>
      <c r="T324" s="187"/>
      <c r="U324" s="186"/>
      <c r="V324" s="186"/>
      <c r="W324" s="186"/>
    </row>
    <row r="325">
      <c r="A325" s="185"/>
      <c r="B325" s="67"/>
      <c r="C325" s="186"/>
      <c r="D325" s="186"/>
      <c r="E325" s="186"/>
      <c r="F325" s="186"/>
      <c r="G325" s="186"/>
      <c r="H325" s="186"/>
      <c r="I325" s="186"/>
      <c r="J325" s="186"/>
      <c r="K325" s="186"/>
      <c r="L325" s="186"/>
      <c r="M325" s="67"/>
      <c r="N325" s="67"/>
      <c r="O325" s="67"/>
      <c r="P325" s="67"/>
      <c r="Q325" s="186"/>
      <c r="R325" s="186"/>
      <c r="S325" s="187"/>
      <c r="T325" s="187"/>
      <c r="U325" s="186"/>
      <c r="V325" s="186"/>
      <c r="W325" s="186"/>
    </row>
    <row r="326">
      <c r="A326" s="185"/>
      <c r="B326" s="67"/>
      <c r="C326" s="186"/>
      <c r="D326" s="186"/>
      <c r="E326" s="186"/>
      <c r="F326" s="186"/>
      <c r="G326" s="186"/>
      <c r="H326" s="186"/>
      <c r="I326" s="186"/>
      <c r="J326" s="186"/>
      <c r="K326" s="186"/>
      <c r="L326" s="186"/>
      <c r="M326" s="67"/>
      <c r="N326" s="67"/>
      <c r="O326" s="67"/>
      <c r="P326" s="67"/>
      <c r="Q326" s="186"/>
      <c r="R326" s="186"/>
      <c r="S326" s="187"/>
      <c r="T326" s="187"/>
      <c r="U326" s="186"/>
      <c r="V326" s="186"/>
      <c r="W326" s="186"/>
    </row>
    <row r="327">
      <c r="A327" s="185"/>
      <c r="B327" s="67"/>
      <c r="C327" s="186"/>
      <c r="D327" s="186"/>
      <c r="E327" s="186"/>
      <c r="F327" s="186"/>
      <c r="G327" s="186"/>
      <c r="H327" s="186"/>
      <c r="I327" s="186"/>
      <c r="J327" s="186"/>
      <c r="K327" s="186"/>
      <c r="L327" s="186"/>
      <c r="M327" s="67"/>
      <c r="N327" s="67"/>
      <c r="O327" s="67"/>
      <c r="P327" s="67"/>
      <c r="Q327" s="186"/>
      <c r="R327" s="186"/>
      <c r="S327" s="187"/>
      <c r="T327" s="187"/>
      <c r="U327" s="186"/>
      <c r="V327" s="186"/>
      <c r="W327" s="186"/>
    </row>
    <row r="328">
      <c r="A328" s="185"/>
      <c r="B328" s="67"/>
      <c r="C328" s="186"/>
      <c r="D328" s="186"/>
      <c r="E328" s="186"/>
      <c r="F328" s="186"/>
      <c r="G328" s="186"/>
      <c r="H328" s="186"/>
      <c r="I328" s="186"/>
      <c r="J328" s="186"/>
      <c r="K328" s="186"/>
      <c r="L328" s="186"/>
      <c r="M328" s="67"/>
      <c r="N328" s="67"/>
      <c r="O328" s="67"/>
      <c r="P328" s="67"/>
      <c r="Q328" s="186"/>
      <c r="R328" s="186"/>
      <c r="S328" s="187"/>
      <c r="T328" s="187"/>
      <c r="U328" s="186"/>
      <c r="V328" s="186"/>
      <c r="W328" s="186"/>
    </row>
    <row r="329">
      <c r="A329" s="185"/>
      <c r="B329" s="67"/>
      <c r="C329" s="186"/>
      <c r="D329" s="186"/>
      <c r="E329" s="186"/>
      <c r="F329" s="186"/>
      <c r="G329" s="186"/>
      <c r="H329" s="186"/>
      <c r="I329" s="186"/>
      <c r="J329" s="186"/>
      <c r="K329" s="186"/>
      <c r="L329" s="186"/>
      <c r="M329" s="67"/>
      <c r="N329" s="67"/>
      <c r="O329" s="67"/>
      <c r="P329" s="67"/>
      <c r="Q329" s="186"/>
      <c r="R329" s="186"/>
      <c r="S329" s="187"/>
      <c r="T329" s="187"/>
      <c r="U329" s="186"/>
      <c r="V329" s="186"/>
      <c r="W329" s="186"/>
    </row>
    <row r="330">
      <c r="A330" s="185"/>
      <c r="B330" s="67"/>
      <c r="C330" s="186"/>
      <c r="D330" s="186"/>
      <c r="E330" s="186"/>
      <c r="F330" s="186"/>
      <c r="G330" s="186"/>
      <c r="H330" s="186"/>
      <c r="I330" s="186"/>
      <c r="J330" s="186"/>
      <c r="K330" s="186"/>
      <c r="L330" s="186"/>
      <c r="M330" s="67"/>
      <c r="N330" s="67"/>
      <c r="O330" s="67"/>
      <c r="P330" s="67"/>
      <c r="Q330" s="186"/>
      <c r="R330" s="186"/>
      <c r="S330" s="187"/>
      <c r="T330" s="187"/>
      <c r="U330" s="186"/>
      <c r="V330" s="186"/>
      <c r="W330" s="186"/>
    </row>
    <row r="331">
      <c r="A331" s="185"/>
      <c r="B331" s="67"/>
      <c r="C331" s="186"/>
      <c r="D331" s="186"/>
      <c r="E331" s="186"/>
      <c r="F331" s="186"/>
      <c r="G331" s="186"/>
      <c r="H331" s="186"/>
      <c r="I331" s="186"/>
      <c r="J331" s="186"/>
      <c r="K331" s="186"/>
      <c r="L331" s="186"/>
      <c r="M331" s="67"/>
      <c r="N331" s="67"/>
      <c r="O331" s="67"/>
      <c r="P331" s="67"/>
      <c r="Q331" s="186"/>
      <c r="R331" s="186"/>
      <c r="S331" s="187"/>
      <c r="T331" s="187"/>
      <c r="U331" s="186"/>
      <c r="V331" s="186"/>
      <c r="W331" s="186"/>
    </row>
    <row r="332">
      <c r="A332" s="185"/>
      <c r="B332" s="67"/>
      <c r="C332" s="186"/>
      <c r="D332" s="186"/>
      <c r="E332" s="186"/>
      <c r="F332" s="186"/>
      <c r="G332" s="186"/>
      <c r="H332" s="186"/>
      <c r="I332" s="186"/>
      <c r="J332" s="186"/>
      <c r="K332" s="186"/>
      <c r="L332" s="186"/>
      <c r="M332" s="67"/>
      <c r="N332" s="67"/>
      <c r="O332" s="67"/>
      <c r="P332" s="67"/>
      <c r="Q332" s="186"/>
      <c r="R332" s="186"/>
      <c r="S332" s="187"/>
      <c r="T332" s="187"/>
      <c r="U332" s="186"/>
      <c r="V332" s="186"/>
      <c r="W332" s="186"/>
    </row>
    <row r="333">
      <c r="A333" s="185"/>
      <c r="B333" s="67"/>
      <c r="C333" s="186"/>
      <c r="D333" s="186"/>
      <c r="E333" s="186"/>
      <c r="F333" s="186"/>
      <c r="G333" s="186"/>
      <c r="H333" s="186"/>
      <c r="I333" s="186"/>
      <c r="J333" s="186"/>
      <c r="K333" s="186"/>
      <c r="L333" s="186"/>
      <c r="M333" s="67"/>
      <c r="N333" s="67"/>
      <c r="O333" s="67"/>
      <c r="P333" s="67"/>
      <c r="Q333" s="186"/>
      <c r="R333" s="186"/>
      <c r="S333" s="187"/>
      <c r="T333" s="187"/>
      <c r="U333" s="186"/>
      <c r="V333" s="186"/>
      <c r="W333" s="186"/>
    </row>
    <row r="334">
      <c r="A334" s="185"/>
      <c r="B334" s="67"/>
      <c r="C334" s="186"/>
      <c r="D334" s="186"/>
      <c r="E334" s="186"/>
      <c r="F334" s="186"/>
      <c r="G334" s="186"/>
      <c r="H334" s="186"/>
      <c r="I334" s="186"/>
      <c r="J334" s="186"/>
      <c r="K334" s="186"/>
      <c r="L334" s="186"/>
      <c r="M334" s="67"/>
      <c r="N334" s="67"/>
      <c r="O334" s="67"/>
      <c r="P334" s="67"/>
      <c r="Q334" s="186"/>
      <c r="R334" s="186"/>
      <c r="S334" s="187"/>
      <c r="T334" s="187"/>
      <c r="U334" s="186"/>
      <c r="V334" s="186"/>
      <c r="W334" s="186"/>
    </row>
    <row r="335">
      <c r="A335" s="185"/>
      <c r="B335" s="67"/>
      <c r="C335" s="186"/>
      <c r="D335" s="186"/>
      <c r="E335" s="186"/>
      <c r="F335" s="186"/>
      <c r="G335" s="186"/>
      <c r="H335" s="186"/>
      <c r="I335" s="186"/>
      <c r="J335" s="186"/>
      <c r="K335" s="186"/>
      <c r="L335" s="186"/>
      <c r="M335" s="67"/>
      <c r="N335" s="67"/>
      <c r="O335" s="67"/>
      <c r="P335" s="67"/>
      <c r="Q335" s="186"/>
      <c r="R335" s="186"/>
      <c r="S335" s="187"/>
      <c r="T335" s="187"/>
      <c r="U335" s="186"/>
      <c r="V335" s="186"/>
      <c r="W335" s="186"/>
    </row>
    <row r="336">
      <c r="A336" s="185"/>
      <c r="B336" s="67"/>
      <c r="C336" s="186"/>
      <c r="D336" s="186"/>
      <c r="E336" s="186"/>
      <c r="F336" s="186"/>
      <c r="G336" s="186"/>
      <c r="H336" s="186"/>
      <c r="I336" s="186"/>
      <c r="J336" s="186"/>
      <c r="K336" s="186"/>
      <c r="L336" s="186"/>
      <c r="M336" s="67"/>
      <c r="N336" s="67"/>
      <c r="O336" s="67"/>
      <c r="P336" s="67"/>
      <c r="Q336" s="186"/>
      <c r="R336" s="186"/>
      <c r="S336" s="187"/>
      <c r="T336" s="187"/>
      <c r="U336" s="186"/>
      <c r="V336" s="186"/>
      <c r="W336" s="186"/>
    </row>
    <row r="337">
      <c r="A337" s="185"/>
      <c r="B337" s="67"/>
      <c r="C337" s="186"/>
      <c r="D337" s="186"/>
      <c r="E337" s="186"/>
      <c r="F337" s="186"/>
      <c r="G337" s="186"/>
      <c r="H337" s="186"/>
      <c r="I337" s="186"/>
      <c r="J337" s="186"/>
      <c r="K337" s="186"/>
      <c r="L337" s="186"/>
      <c r="M337" s="67"/>
      <c r="N337" s="67"/>
      <c r="O337" s="67"/>
      <c r="P337" s="67"/>
      <c r="Q337" s="186"/>
      <c r="R337" s="186"/>
      <c r="S337" s="187"/>
      <c r="T337" s="187"/>
      <c r="U337" s="186"/>
      <c r="V337" s="186"/>
      <c r="W337" s="186"/>
    </row>
    <row r="338">
      <c r="A338" s="185"/>
      <c r="B338" s="67"/>
      <c r="C338" s="186"/>
      <c r="D338" s="186"/>
      <c r="E338" s="186"/>
      <c r="F338" s="186"/>
      <c r="G338" s="186"/>
      <c r="H338" s="186"/>
      <c r="I338" s="186"/>
      <c r="J338" s="186"/>
      <c r="K338" s="186"/>
      <c r="L338" s="186"/>
      <c r="M338" s="67"/>
      <c r="N338" s="67"/>
      <c r="O338" s="67"/>
      <c r="P338" s="67"/>
      <c r="Q338" s="186"/>
      <c r="R338" s="186"/>
      <c r="S338" s="187"/>
      <c r="T338" s="187"/>
      <c r="U338" s="186"/>
      <c r="V338" s="186"/>
      <c r="W338" s="186"/>
    </row>
    <row r="339">
      <c r="A339" s="185"/>
      <c r="B339" s="67"/>
      <c r="C339" s="186"/>
      <c r="D339" s="186"/>
      <c r="E339" s="186"/>
      <c r="F339" s="186"/>
      <c r="G339" s="186"/>
      <c r="H339" s="186"/>
      <c r="I339" s="186"/>
      <c r="J339" s="186"/>
      <c r="K339" s="186"/>
      <c r="L339" s="186"/>
      <c r="M339" s="67"/>
      <c r="N339" s="67"/>
      <c r="O339" s="67"/>
      <c r="P339" s="67"/>
      <c r="Q339" s="186"/>
      <c r="R339" s="186"/>
      <c r="S339" s="187"/>
      <c r="T339" s="187"/>
      <c r="U339" s="186"/>
      <c r="V339" s="186"/>
      <c r="W339" s="186"/>
    </row>
    <row r="340">
      <c r="A340" s="185"/>
      <c r="B340" s="67"/>
      <c r="C340" s="186"/>
      <c r="D340" s="186"/>
      <c r="E340" s="186"/>
      <c r="F340" s="186"/>
      <c r="G340" s="186"/>
      <c r="H340" s="186"/>
      <c r="I340" s="186"/>
      <c r="J340" s="186"/>
      <c r="K340" s="186"/>
      <c r="L340" s="186"/>
      <c r="M340" s="67"/>
      <c r="N340" s="67"/>
      <c r="O340" s="67"/>
      <c r="P340" s="67"/>
      <c r="Q340" s="186"/>
      <c r="R340" s="186"/>
      <c r="S340" s="187"/>
      <c r="T340" s="187"/>
      <c r="U340" s="186"/>
      <c r="V340" s="186"/>
      <c r="W340" s="186"/>
    </row>
    <row r="341">
      <c r="A341" s="185"/>
      <c r="B341" s="67"/>
      <c r="C341" s="186"/>
      <c r="D341" s="186"/>
      <c r="E341" s="186"/>
      <c r="F341" s="186"/>
      <c r="G341" s="186"/>
      <c r="H341" s="186"/>
      <c r="I341" s="186"/>
      <c r="J341" s="186"/>
      <c r="K341" s="186"/>
      <c r="L341" s="186"/>
      <c r="M341" s="67"/>
      <c r="N341" s="67"/>
      <c r="O341" s="67"/>
      <c r="P341" s="67"/>
      <c r="Q341" s="186"/>
      <c r="R341" s="186"/>
      <c r="S341" s="187"/>
      <c r="T341" s="187"/>
      <c r="U341" s="186"/>
      <c r="V341" s="186"/>
      <c r="W341" s="186"/>
    </row>
    <row r="342">
      <c r="A342" s="185"/>
      <c r="B342" s="67"/>
      <c r="C342" s="186"/>
      <c r="D342" s="186"/>
      <c r="E342" s="186"/>
      <c r="F342" s="186"/>
      <c r="G342" s="186"/>
      <c r="H342" s="186"/>
      <c r="I342" s="186"/>
      <c r="J342" s="186"/>
      <c r="K342" s="186"/>
      <c r="L342" s="186"/>
      <c r="M342" s="67"/>
      <c r="N342" s="67"/>
      <c r="O342" s="67"/>
      <c r="P342" s="67"/>
      <c r="Q342" s="186"/>
      <c r="R342" s="186"/>
      <c r="S342" s="187"/>
      <c r="T342" s="187"/>
      <c r="U342" s="186"/>
      <c r="V342" s="186"/>
      <c r="W342" s="186"/>
    </row>
    <row r="343">
      <c r="A343" s="185"/>
      <c r="B343" s="67"/>
      <c r="C343" s="186"/>
      <c r="D343" s="186"/>
      <c r="E343" s="186"/>
      <c r="F343" s="186"/>
      <c r="G343" s="186"/>
      <c r="H343" s="186"/>
      <c r="I343" s="186"/>
      <c r="J343" s="186"/>
      <c r="K343" s="186"/>
      <c r="L343" s="186"/>
      <c r="M343" s="67"/>
      <c r="N343" s="67"/>
      <c r="O343" s="67"/>
      <c r="P343" s="67"/>
      <c r="Q343" s="186"/>
      <c r="R343" s="186"/>
      <c r="S343" s="187"/>
      <c r="T343" s="187"/>
      <c r="U343" s="186"/>
      <c r="V343" s="186"/>
      <c r="W343" s="186"/>
    </row>
    <row r="344">
      <c r="A344" s="185"/>
      <c r="B344" s="67"/>
      <c r="C344" s="186"/>
      <c r="D344" s="186"/>
      <c r="E344" s="186"/>
      <c r="F344" s="186"/>
      <c r="G344" s="186"/>
      <c r="H344" s="186"/>
      <c r="I344" s="186"/>
      <c r="J344" s="186"/>
      <c r="K344" s="186"/>
      <c r="L344" s="186"/>
      <c r="M344" s="67"/>
      <c r="N344" s="67"/>
      <c r="O344" s="67"/>
      <c r="P344" s="67"/>
      <c r="Q344" s="186"/>
      <c r="R344" s="186"/>
      <c r="S344" s="187"/>
      <c r="T344" s="187"/>
      <c r="U344" s="186"/>
      <c r="V344" s="186"/>
      <c r="W344" s="186"/>
    </row>
    <row r="345">
      <c r="A345" s="185"/>
      <c r="B345" s="67"/>
      <c r="C345" s="186"/>
      <c r="D345" s="186"/>
      <c r="E345" s="186"/>
      <c r="F345" s="186"/>
      <c r="G345" s="186"/>
      <c r="H345" s="186"/>
      <c r="I345" s="186"/>
      <c r="J345" s="186"/>
      <c r="K345" s="186"/>
      <c r="L345" s="186"/>
      <c r="M345" s="67"/>
      <c r="N345" s="67"/>
      <c r="O345" s="67"/>
      <c r="P345" s="67"/>
      <c r="Q345" s="186"/>
      <c r="R345" s="186"/>
      <c r="S345" s="187"/>
      <c r="T345" s="187"/>
      <c r="U345" s="186"/>
      <c r="V345" s="186"/>
      <c r="W345" s="186"/>
    </row>
    <row r="346">
      <c r="A346" s="185"/>
      <c r="B346" s="67"/>
      <c r="C346" s="186"/>
      <c r="D346" s="186"/>
      <c r="E346" s="186"/>
      <c r="F346" s="186"/>
      <c r="G346" s="186"/>
      <c r="H346" s="186"/>
      <c r="I346" s="186"/>
      <c r="J346" s="186"/>
      <c r="K346" s="186"/>
      <c r="L346" s="186"/>
      <c r="M346" s="67"/>
      <c r="N346" s="67"/>
      <c r="O346" s="67"/>
      <c r="P346" s="67"/>
      <c r="Q346" s="186"/>
      <c r="R346" s="186"/>
      <c r="S346" s="187"/>
      <c r="T346" s="187"/>
      <c r="U346" s="186"/>
      <c r="V346" s="186"/>
      <c r="W346" s="186"/>
    </row>
    <row r="347">
      <c r="A347" s="185"/>
      <c r="B347" s="67"/>
      <c r="C347" s="186"/>
      <c r="D347" s="186"/>
      <c r="E347" s="186"/>
      <c r="F347" s="186"/>
      <c r="G347" s="186"/>
      <c r="H347" s="186"/>
      <c r="I347" s="186"/>
      <c r="J347" s="186"/>
      <c r="K347" s="186"/>
      <c r="L347" s="186"/>
      <c r="M347" s="67"/>
      <c r="N347" s="67"/>
      <c r="O347" s="67"/>
      <c r="P347" s="67"/>
      <c r="Q347" s="186"/>
      <c r="R347" s="186"/>
      <c r="S347" s="187"/>
      <c r="T347" s="187"/>
      <c r="U347" s="186"/>
      <c r="V347" s="186"/>
      <c r="W347" s="186"/>
    </row>
    <row r="348">
      <c r="A348" s="185"/>
      <c r="B348" s="67"/>
      <c r="C348" s="186"/>
      <c r="D348" s="186"/>
      <c r="E348" s="186"/>
      <c r="F348" s="186"/>
      <c r="G348" s="186"/>
      <c r="H348" s="186"/>
      <c r="I348" s="186"/>
      <c r="J348" s="186"/>
      <c r="K348" s="186"/>
      <c r="L348" s="186"/>
      <c r="M348" s="67"/>
      <c r="N348" s="67"/>
      <c r="O348" s="67"/>
      <c r="P348" s="67"/>
      <c r="Q348" s="186"/>
      <c r="R348" s="186"/>
      <c r="S348" s="187"/>
      <c r="T348" s="187"/>
      <c r="U348" s="186"/>
      <c r="V348" s="186"/>
      <c r="W348" s="186"/>
    </row>
    <row r="349">
      <c r="A349" s="185"/>
      <c r="B349" s="67"/>
      <c r="C349" s="186"/>
      <c r="D349" s="186"/>
      <c r="E349" s="186"/>
      <c r="F349" s="186"/>
      <c r="G349" s="186"/>
      <c r="H349" s="186"/>
      <c r="I349" s="186"/>
      <c r="J349" s="186"/>
      <c r="K349" s="186"/>
      <c r="L349" s="186"/>
      <c r="M349" s="67"/>
      <c r="N349" s="67"/>
      <c r="O349" s="67"/>
      <c r="P349" s="67"/>
      <c r="Q349" s="186"/>
      <c r="R349" s="186"/>
      <c r="S349" s="187"/>
      <c r="T349" s="187"/>
      <c r="U349" s="186"/>
      <c r="V349" s="186"/>
      <c r="W349" s="186"/>
    </row>
    <row r="350">
      <c r="A350" s="185"/>
      <c r="B350" s="67"/>
      <c r="C350" s="186"/>
      <c r="D350" s="186"/>
      <c r="E350" s="186"/>
      <c r="F350" s="186"/>
      <c r="G350" s="186"/>
      <c r="H350" s="186"/>
      <c r="I350" s="186"/>
      <c r="J350" s="186"/>
      <c r="K350" s="186"/>
      <c r="L350" s="186"/>
      <c r="M350" s="67"/>
      <c r="N350" s="67"/>
      <c r="O350" s="67"/>
      <c r="P350" s="67"/>
      <c r="Q350" s="186"/>
      <c r="R350" s="186"/>
      <c r="S350" s="187"/>
      <c r="T350" s="187"/>
      <c r="U350" s="186"/>
      <c r="V350" s="186"/>
      <c r="W350" s="186"/>
    </row>
    <row r="351">
      <c r="A351" s="185"/>
      <c r="B351" s="67"/>
      <c r="C351" s="186"/>
      <c r="D351" s="186"/>
      <c r="E351" s="186"/>
      <c r="F351" s="186"/>
      <c r="G351" s="186"/>
      <c r="H351" s="186"/>
      <c r="I351" s="186"/>
      <c r="J351" s="186"/>
      <c r="K351" s="186"/>
      <c r="L351" s="186"/>
      <c r="M351" s="67"/>
      <c r="N351" s="67"/>
      <c r="O351" s="67"/>
      <c r="P351" s="67"/>
      <c r="Q351" s="186"/>
      <c r="R351" s="186"/>
      <c r="S351" s="187"/>
      <c r="T351" s="187"/>
      <c r="U351" s="186"/>
      <c r="V351" s="186"/>
      <c r="W351" s="186"/>
    </row>
    <row r="352">
      <c r="A352" s="185"/>
      <c r="B352" s="67"/>
      <c r="C352" s="186"/>
      <c r="D352" s="186"/>
      <c r="E352" s="186"/>
      <c r="F352" s="186"/>
      <c r="G352" s="186"/>
      <c r="H352" s="186"/>
      <c r="I352" s="186"/>
      <c r="J352" s="186"/>
      <c r="K352" s="186"/>
      <c r="L352" s="186"/>
      <c r="M352" s="67"/>
      <c r="N352" s="67"/>
      <c r="O352" s="67"/>
      <c r="P352" s="67"/>
      <c r="Q352" s="186"/>
      <c r="R352" s="186"/>
      <c r="S352" s="187"/>
      <c r="T352" s="187"/>
      <c r="U352" s="186"/>
      <c r="V352" s="186"/>
      <c r="W352" s="186"/>
    </row>
    <row r="353">
      <c r="A353" s="185"/>
      <c r="B353" s="67"/>
      <c r="C353" s="186"/>
      <c r="D353" s="186"/>
      <c r="E353" s="186"/>
      <c r="F353" s="186"/>
      <c r="G353" s="186"/>
      <c r="H353" s="186"/>
      <c r="I353" s="186"/>
      <c r="J353" s="186"/>
      <c r="K353" s="186"/>
      <c r="L353" s="186"/>
      <c r="M353" s="67"/>
      <c r="N353" s="67"/>
      <c r="O353" s="67"/>
      <c r="P353" s="67"/>
      <c r="Q353" s="186"/>
      <c r="R353" s="186"/>
      <c r="S353" s="187"/>
      <c r="T353" s="187"/>
      <c r="U353" s="186"/>
      <c r="V353" s="186"/>
      <c r="W353" s="186"/>
    </row>
    <row r="354">
      <c r="A354" s="185"/>
      <c r="B354" s="67"/>
      <c r="C354" s="186"/>
      <c r="D354" s="186"/>
      <c r="E354" s="186"/>
      <c r="F354" s="186"/>
      <c r="G354" s="186"/>
      <c r="H354" s="186"/>
      <c r="I354" s="186"/>
      <c r="J354" s="186"/>
      <c r="K354" s="186"/>
      <c r="L354" s="186"/>
      <c r="M354" s="67"/>
      <c r="N354" s="67"/>
      <c r="O354" s="67"/>
      <c r="P354" s="67"/>
      <c r="Q354" s="186"/>
      <c r="R354" s="186"/>
      <c r="S354" s="187"/>
      <c r="T354" s="187"/>
      <c r="U354" s="186"/>
      <c r="V354" s="186"/>
      <c r="W354" s="186"/>
    </row>
    <row r="355">
      <c r="A355" s="185"/>
      <c r="B355" s="67"/>
      <c r="C355" s="186"/>
      <c r="D355" s="186"/>
      <c r="E355" s="186"/>
      <c r="F355" s="186"/>
      <c r="G355" s="186"/>
      <c r="H355" s="186"/>
      <c r="I355" s="186"/>
      <c r="J355" s="186"/>
      <c r="K355" s="186"/>
      <c r="L355" s="186"/>
      <c r="M355" s="67"/>
      <c r="N355" s="67"/>
      <c r="O355" s="67"/>
      <c r="P355" s="67"/>
      <c r="Q355" s="186"/>
      <c r="R355" s="186"/>
      <c r="S355" s="187"/>
      <c r="T355" s="187"/>
      <c r="U355" s="186"/>
      <c r="V355" s="186"/>
      <c r="W355" s="186"/>
    </row>
    <row r="356">
      <c r="A356" s="185"/>
      <c r="B356" s="67"/>
      <c r="C356" s="186"/>
      <c r="D356" s="186"/>
      <c r="E356" s="186"/>
      <c r="F356" s="186"/>
      <c r="G356" s="186"/>
      <c r="H356" s="186"/>
      <c r="I356" s="186"/>
      <c r="J356" s="186"/>
      <c r="K356" s="186"/>
      <c r="L356" s="186"/>
      <c r="M356" s="67"/>
      <c r="N356" s="67"/>
      <c r="O356" s="67"/>
      <c r="P356" s="67"/>
      <c r="Q356" s="186"/>
      <c r="R356" s="186"/>
      <c r="S356" s="187"/>
      <c r="T356" s="187"/>
      <c r="U356" s="186"/>
      <c r="V356" s="186"/>
      <c r="W356" s="186"/>
    </row>
    <row r="357">
      <c r="A357" s="185"/>
      <c r="B357" s="67"/>
      <c r="C357" s="186"/>
      <c r="D357" s="186"/>
      <c r="E357" s="186"/>
      <c r="F357" s="186"/>
      <c r="G357" s="186"/>
      <c r="H357" s="186"/>
      <c r="I357" s="186"/>
      <c r="J357" s="186"/>
      <c r="K357" s="186"/>
      <c r="L357" s="186"/>
      <c r="M357" s="67"/>
      <c r="N357" s="67"/>
      <c r="O357" s="67"/>
      <c r="P357" s="67"/>
      <c r="Q357" s="186"/>
      <c r="R357" s="186"/>
      <c r="S357" s="187"/>
      <c r="T357" s="187"/>
      <c r="U357" s="186"/>
      <c r="V357" s="186"/>
      <c r="W357" s="186"/>
    </row>
    <row r="358">
      <c r="A358" s="185"/>
      <c r="B358" s="67"/>
      <c r="C358" s="186"/>
      <c r="D358" s="186"/>
      <c r="E358" s="186"/>
      <c r="F358" s="186"/>
      <c r="G358" s="186"/>
      <c r="H358" s="186"/>
      <c r="I358" s="186"/>
      <c r="J358" s="186"/>
      <c r="K358" s="186"/>
      <c r="L358" s="186"/>
      <c r="M358" s="67"/>
      <c r="N358" s="67"/>
      <c r="O358" s="67"/>
      <c r="P358" s="67"/>
      <c r="Q358" s="186"/>
      <c r="R358" s="186"/>
      <c r="S358" s="187"/>
      <c r="T358" s="187"/>
      <c r="U358" s="186"/>
      <c r="V358" s="186"/>
      <c r="W358" s="186"/>
    </row>
    <row r="359">
      <c r="A359" s="185"/>
      <c r="B359" s="67"/>
      <c r="C359" s="186"/>
      <c r="D359" s="186"/>
      <c r="E359" s="186"/>
      <c r="F359" s="186"/>
      <c r="G359" s="186"/>
      <c r="H359" s="186"/>
      <c r="I359" s="186"/>
      <c r="J359" s="186"/>
      <c r="K359" s="186"/>
      <c r="L359" s="186"/>
      <c r="M359" s="67"/>
      <c r="N359" s="67"/>
      <c r="O359" s="67"/>
      <c r="P359" s="67"/>
      <c r="Q359" s="186"/>
      <c r="R359" s="186"/>
      <c r="S359" s="187"/>
      <c r="T359" s="187"/>
      <c r="U359" s="186"/>
      <c r="V359" s="186"/>
      <c r="W359" s="186"/>
    </row>
    <row r="360">
      <c r="A360" s="185"/>
      <c r="B360" s="67"/>
      <c r="C360" s="186"/>
      <c r="D360" s="186"/>
      <c r="E360" s="186"/>
      <c r="F360" s="186"/>
      <c r="G360" s="186"/>
      <c r="H360" s="186"/>
      <c r="I360" s="186"/>
      <c r="J360" s="186"/>
      <c r="K360" s="186"/>
      <c r="L360" s="186"/>
      <c r="M360" s="67"/>
      <c r="N360" s="67"/>
      <c r="O360" s="67"/>
      <c r="P360" s="67"/>
      <c r="Q360" s="186"/>
      <c r="R360" s="186"/>
      <c r="S360" s="187"/>
      <c r="T360" s="187"/>
      <c r="U360" s="186"/>
      <c r="V360" s="186"/>
      <c r="W360" s="186"/>
    </row>
    <row r="361">
      <c r="A361" s="185"/>
      <c r="B361" s="67"/>
      <c r="C361" s="186"/>
      <c r="D361" s="186"/>
      <c r="E361" s="186"/>
      <c r="F361" s="186"/>
      <c r="G361" s="186"/>
      <c r="H361" s="186"/>
      <c r="I361" s="186"/>
      <c r="J361" s="186"/>
      <c r="K361" s="186"/>
      <c r="L361" s="186"/>
      <c r="M361" s="67"/>
      <c r="N361" s="67"/>
      <c r="O361" s="67"/>
      <c r="P361" s="67"/>
      <c r="Q361" s="186"/>
      <c r="R361" s="186"/>
      <c r="S361" s="187"/>
      <c r="T361" s="187"/>
      <c r="U361" s="186"/>
      <c r="V361" s="186"/>
      <c r="W361" s="186"/>
    </row>
    <row r="362">
      <c r="A362" s="185"/>
      <c r="B362" s="67"/>
      <c r="C362" s="186"/>
      <c r="D362" s="186"/>
      <c r="E362" s="186"/>
      <c r="F362" s="186"/>
      <c r="G362" s="186"/>
      <c r="H362" s="186"/>
      <c r="I362" s="186"/>
      <c r="J362" s="186"/>
      <c r="K362" s="186"/>
      <c r="L362" s="186"/>
      <c r="M362" s="67"/>
      <c r="N362" s="67"/>
      <c r="O362" s="67"/>
      <c r="P362" s="67"/>
      <c r="Q362" s="186"/>
      <c r="R362" s="186"/>
      <c r="S362" s="187"/>
      <c r="T362" s="187"/>
      <c r="U362" s="186"/>
      <c r="V362" s="186"/>
      <c r="W362" s="186"/>
    </row>
    <row r="363">
      <c r="A363" s="185"/>
      <c r="B363" s="67"/>
      <c r="C363" s="186"/>
      <c r="D363" s="186"/>
      <c r="E363" s="186"/>
      <c r="F363" s="186"/>
      <c r="G363" s="186"/>
      <c r="H363" s="186"/>
      <c r="I363" s="186"/>
      <c r="J363" s="186"/>
      <c r="K363" s="186"/>
      <c r="L363" s="186"/>
      <c r="M363" s="67"/>
      <c r="N363" s="67"/>
      <c r="O363" s="67"/>
      <c r="P363" s="67"/>
      <c r="Q363" s="186"/>
      <c r="R363" s="186"/>
      <c r="S363" s="187"/>
      <c r="T363" s="187"/>
      <c r="U363" s="186"/>
      <c r="V363" s="186"/>
      <c r="W363" s="186"/>
    </row>
    <row r="364">
      <c r="A364" s="185"/>
      <c r="B364" s="67"/>
      <c r="C364" s="186"/>
      <c r="D364" s="186"/>
      <c r="E364" s="186"/>
      <c r="F364" s="186"/>
      <c r="G364" s="186"/>
      <c r="H364" s="186"/>
      <c r="I364" s="186"/>
      <c r="J364" s="186"/>
      <c r="K364" s="186"/>
      <c r="L364" s="186"/>
      <c r="M364" s="67"/>
      <c r="N364" s="67"/>
      <c r="O364" s="67"/>
      <c r="P364" s="67"/>
      <c r="Q364" s="186"/>
      <c r="R364" s="186"/>
      <c r="S364" s="187"/>
      <c r="T364" s="187"/>
      <c r="U364" s="186"/>
      <c r="V364" s="186"/>
      <c r="W364" s="186"/>
    </row>
    <row r="365">
      <c r="A365" s="185"/>
      <c r="B365" s="67"/>
      <c r="C365" s="186"/>
      <c r="D365" s="186"/>
      <c r="E365" s="186"/>
      <c r="F365" s="186"/>
      <c r="G365" s="186"/>
      <c r="H365" s="186"/>
      <c r="I365" s="186"/>
      <c r="J365" s="186"/>
      <c r="K365" s="186"/>
      <c r="L365" s="186"/>
      <c r="M365" s="67"/>
      <c r="N365" s="67"/>
      <c r="O365" s="67"/>
      <c r="P365" s="67"/>
      <c r="Q365" s="186"/>
      <c r="R365" s="186"/>
      <c r="S365" s="187"/>
      <c r="T365" s="187"/>
      <c r="U365" s="186"/>
      <c r="V365" s="186"/>
      <c r="W365" s="186"/>
    </row>
    <row r="366">
      <c r="A366" s="185"/>
      <c r="B366" s="67"/>
      <c r="C366" s="186"/>
      <c r="D366" s="186"/>
      <c r="E366" s="186"/>
      <c r="F366" s="186"/>
      <c r="G366" s="186"/>
      <c r="H366" s="186"/>
      <c r="I366" s="186"/>
      <c r="J366" s="186"/>
      <c r="K366" s="186"/>
      <c r="L366" s="186"/>
      <c r="M366" s="67"/>
      <c r="N366" s="67"/>
      <c r="O366" s="67"/>
      <c r="P366" s="67"/>
      <c r="Q366" s="186"/>
      <c r="R366" s="186"/>
      <c r="S366" s="187"/>
      <c r="T366" s="187"/>
      <c r="U366" s="186"/>
      <c r="V366" s="186"/>
      <c r="W366" s="186"/>
    </row>
    <row r="367">
      <c r="A367" s="185"/>
      <c r="B367" s="67"/>
      <c r="C367" s="186"/>
      <c r="D367" s="186"/>
      <c r="E367" s="186"/>
      <c r="F367" s="186"/>
      <c r="G367" s="186"/>
      <c r="H367" s="186"/>
      <c r="I367" s="186"/>
      <c r="J367" s="186"/>
      <c r="K367" s="186"/>
      <c r="L367" s="186"/>
      <c r="M367" s="67"/>
      <c r="N367" s="67"/>
      <c r="O367" s="67"/>
      <c r="P367" s="67"/>
      <c r="Q367" s="186"/>
      <c r="R367" s="186"/>
      <c r="S367" s="187"/>
      <c r="T367" s="187"/>
      <c r="U367" s="186"/>
      <c r="V367" s="186"/>
      <c r="W367" s="186"/>
    </row>
    <row r="368">
      <c r="A368" s="185"/>
      <c r="B368" s="67"/>
      <c r="C368" s="186"/>
      <c r="D368" s="186"/>
      <c r="E368" s="186"/>
      <c r="F368" s="186"/>
      <c r="G368" s="186"/>
      <c r="H368" s="186"/>
      <c r="I368" s="186"/>
      <c r="J368" s="186"/>
      <c r="K368" s="186"/>
      <c r="L368" s="186"/>
      <c r="M368" s="67"/>
      <c r="N368" s="67"/>
      <c r="O368" s="67"/>
      <c r="P368" s="67"/>
      <c r="Q368" s="186"/>
      <c r="R368" s="186"/>
      <c r="S368" s="187"/>
      <c r="T368" s="187"/>
      <c r="U368" s="186"/>
      <c r="V368" s="186"/>
      <c r="W368" s="186"/>
    </row>
    <row r="369">
      <c r="A369" s="185"/>
      <c r="B369" s="67"/>
      <c r="C369" s="186"/>
      <c r="D369" s="186"/>
      <c r="E369" s="186"/>
      <c r="F369" s="186"/>
      <c r="G369" s="186"/>
      <c r="H369" s="186"/>
      <c r="I369" s="186"/>
      <c r="J369" s="186"/>
      <c r="K369" s="186"/>
      <c r="L369" s="186"/>
      <c r="M369" s="67"/>
      <c r="N369" s="67"/>
      <c r="O369" s="67"/>
      <c r="P369" s="67"/>
      <c r="Q369" s="186"/>
      <c r="R369" s="186"/>
      <c r="S369" s="187"/>
      <c r="T369" s="187"/>
      <c r="U369" s="186"/>
      <c r="V369" s="186"/>
      <c r="W369" s="186"/>
    </row>
    <row r="370">
      <c r="A370" s="185"/>
      <c r="B370" s="67"/>
      <c r="C370" s="186"/>
      <c r="D370" s="186"/>
      <c r="E370" s="186"/>
      <c r="F370" s="186"/>
      <c r="G370" s="186"/>
      <c r="H370" s="186"/>
      <c r="I370" s="186"/>
      <c r="J370" s="186"/>
      <c r="K370" s="186"/>
      <c r="L370" s="186"/>
      <c r="M370" s="67"/>
      <c r="N370" s="67"/>
      <c r="O370" s="67"/>
      <c r="P370" s="67"/>
      <c r="Q370" s="186"/>
      <c r="R370" s="186"/>
      <c r="S370" s="187"/>
      <c r="T370" s="187"/>
      <c r="U370" s="186"/>
      <c r="V370" s="186"/>
      <c r="W370" s="186"/>
    </row>
    <row r="371">
      <c r="A371" s="185"/>
      <c r="B371" s="67"/>
      <c r="C371" s="186"/>
      <c r="D371" s="186"/>
      <c r="E371" s="186"/>
      <c r="F371" s="186"/>
      <c r="G371" s="186"/>
      <c r="H371" s="186"/>
      <c r="I371" s="186"/>
      <c r="J371" s="186"/>
      <c r="K371" s="186"/>
      <c r="L371" s="186"/>
      <c r="M371" s="67"/>
      <c r="N371" s="67"/>
      <c r="O371" s="67"/>
      <c r="P371" s="67"/>
      <c r="Q371" s="186"/>
      <c r="R371" s="186"/>
      <c r="S371" s="187"/>
      <c r="T371" s="187"/>
      <c r="U371" s="186"/>
      <c r="V371" s="186"/>
      <c r="W371" s="186"/>
    </row>
    <row r="372">
      <c r="A372" s="185"/>
      <c r="B372" s="67"/>
      <c r="C372" s="186"/>
      <c r="D372" s="186"/>
      <c r="E372" s="186"/>
      <c r="F372" s="186"/>
      <c r="G372" s="186"/>
      <c r="H372" s="186"/>
      <c r="I372" s="186"/>
      <c r="J372" s="186"/>
      <c r="K372" s="186"/>
      <c r="L372" s="186"/>
      <c r="M372" s="67"/>
      <c r="N372" s="67"/>
      <c r="O372" s="67"/>
      <c r="P372" s="67"/>
      <c r="Q372" s="186"/>
      <c r="R372" s="186"/>
      <c r="S372" s="187"/>
      <c r="T372" s="187"/>
      <c r="U372" s="186"/>
      <c r="V372" s="186"/>
      <c r="W372" s="186"/>
    </row>
    <row r="373">
      <c r="A373" s="185"/>
      <c r="B373" s="67"/>
      <c r="C373" s="186"/>
      <c r="D373" s="186"/>
      <c r="E373" s="186"/>
      <c r="F373" s="186"/>
      <c r="G373" s="186"/>
      <c r="H373" s="186"/>
      <c r="I373" s="186"/>
      <c r="J373" s="186"/>
      <c r="K373" s="186"/>
      <c r="L373" s="186"/>
      <c r="M373" s="67"/>
      <c r="N373" s="67"/>
      <c r="O373" s="67"/>
      <c r="P373" s="67"/>
      <c r="Q373" s="186"/>
      <c r="R373" s="186"/>
      <c r="S373" s="187"/>
      <c r="T373" s="187"/>
      <c r="U373" s="186"/>
      <c r="V373" s="186"/>
      <c r="W373" s="186"/>
    </row>
    <row r="374">
      <c r="A374" s="185"/>
      <c r="B374" s="67"/>
      <c r="C374" s="186"/>
      <c r="D374" s="186"/>
      <c r="E374" s="186"/>
      <c r="F374" s="186"/>
      <c r="G374" s="186"/>
      <c r="H374" s="186"/>
      <c r="I374" s="186"/>
      <c r="J374" s="186"/>
      <c r="K374" s="186"/>
      <c r="L374" s="186"/>
      <c r="M374" s="67"/>
      <c r="N374" s="67"/>
      <c r="O374" s="67"/>
      <c r="P374" s="67"/>
      <c r="Q374" s="186"/>
      <c r="R374" s="186"/>
      <c r="S374" s="187"/>
      <c r="T374" s="187"/>
      <c r="U374" s="186"/>
      <c r="V374" s="186"/>
      <c r="W374" s="186"/>
    </row>
    <row r="375">
      <c r="A375" s="185"/>
      <c r="B375" s="67"/>
      <c r="C375" s="186"/>
      <c r="D375" s="186"/>
      <c r="E375" s="186"/>
      <c r="F375" s="186"/>
      <c r="G375" s="186"/>
      <c r="H375" s="186"/>
      <c r="I375" s="186"/>
      <c r="J375" s="186"/>
      <c r="K375" s="186"/>
      <c r="L375" s="186"/>
      <c r="M375" s="67"/>
      <c r="N375" s="67"/>
      <c r="O375" s="67"/>
      <c r="P375" s="67"/>
      <c r="Q375" s="186"/>
      <c r="R375" s="186"/>
      <c r="S375" s="187"/>
      <c r="T375" s="187"/>
      <c r="U375" s="186"/>
      <c r="V375" s="186"/>
      <c r="W375" s="186"/>
    </row>
    <row r="376">
      <c r="A376" s="185"/>
      <c r="B376" s="67"/>
      <c r="C376" s="186"/>
      <c r="D376" s="186"/>
      <c r="E376" s="186"/>
      <c r="F376" s="186"/>
      <c r="G376" s="186"/>
      <c r="H376" s="186"/>
      <c r="I376" s="186"/>
      <c r="J376" s="186"/>
      <c r="K376" s="186"/>
      <c r="L376" s="186"/>
      <c r="M376" s="67"/>
      <c r="N376" s="67"/>
      <c r="O376" s="67"/>
      <c r="P376" s="67"/>
      <c r="Q376" s="186"/>
      <c r="R376" s="186"/>
      <c r="S376" s="187"/>
      <c r="T376" s="187"/>
      <c r="U376" s="186"/>
      <c r="V376" s="186"/>
      <c r="W376" s="186"/>
    </row>
    <row r="377">
      <c r="A377" s="185"/>
      <c r="B377" s="67"/>
      <c r="C377" s="186"/>
      <c r="D377" s="186"/>
      <c r="E377" s="186"/>
      <c r="F377" s="186"/>
      <c r="G377" s="186"/>
      <c r="H377" s="186"/>
      <c r="I377" s="186"/>
      <c r="J377" s="186"/>
      <c r="K377" s="186"/>
      <c r="L377" s="186"/>
      <c r="M377" s="67"/>
      <c r="N377" s="67"/>
      <c r="O377" s="67"/>
      <c r="P377" s="67"/>
      <c r="Q377" s="186"/>
      <c r="R377" s="186"/>
      <c r="S377" s="187"/>
      <c r="T377" s="187"/>
      <c r="U377" s="186"/>
      <c r="V377" s="186"/>
      <c r="W377" s="186"/>
    </row>
    <row r="378">
      <c r="A378" s="185"/>
      <c r="B378" s="67"/>
      <c r="C378" s="186"/>
      <c r="D378" s="186"/>
      <c r="E378" s="186"/>
      <c r="F378" s="186"/>
      <c r="G378" s="186"/>
      <c r="H378" s="186"/>
      <c r="I378" s="186"/>
      <c r="J378" s="186"/>
      <c r="K378" s="186"/>
      <c r="L378" s="186"/>
      <c r="M378" s="67"/>
      <c r="N378" s="67"/>
      <c r="O378" s="67"/>
      <c r="P378" s="67"/>
      <c r="Q378" s="186"/>
      <c r="R378" s="186"/>
      <c r="S378" s="187"/>
      <c r="T378" s="187"/>
      <c r="U378" s="186"/>
      <c r="V378" s="186"/>
      <c r="W378" s="186"/>
    </row>
    <row r="379">
      <c r="A379" s="185"/>
      <c r="B379" s="67"/>
      <c r="C379" s="186"/>
      <c r="D379" s="186"/>
      <c r="E379" s="186"/>
      <c r="F379" s="186"/>
      <c r="G379" s="186"/>
      <c r="H379" s="186"/>
      <c r="I379" s="186"/>
      <c r="J379" s="186"/>
      <c r="K379" s="186"/>
      <c r="L379" s="186"/>
      <c r="M379" s="67"/>
      <c r="N379" s="67"/>
      <c r="O379" s="67"/>
      <c r="P379" s="67"/>
      <c r="Q379" s="186"/>
      <c r="R379" s="186"/>
      <c r="S379" s="187"/>
      <c r="T379" s="187"/>
      <c r="U379" s="186"/>
      <c r="V379" s="186"/>
      <c r="W379" s="186"/>
    </row>
    <row r="380">
      <c r="A380" s="185"/>
      <c r="B380" s="67"/>
      <c r="C380" s="186"/>
      <c r="D380" s="186"/>
      <c r="E380" s="186"/>
      <c r="F380" s="186"/>
      <c r="G380" s="186"/>
      <c r="H380" s="186"/>
      <c r="I380" s="186"/>
      <c r="J380" s="186"/>
      <c r="K380" s="186"/>
      <c r="L380" s="186"/>
      <c r="M380" s="67"/>
      <c r="N380" s="67"/>
      <c r="O380" s="67"/>
      <c r="P380" s="67"/>
      <c r="Q380" s="186"/>
      <c r="R380" s="186"/>
      <c r="S380" s="187"/>
      <c r="T380" s="187"/>
      <c r="U380" s="186"/>
      <c r="V380" s="186"/>
      <c r="W380" s="186"/>
    </row>
    <row r="381">
      <c r="A381" s="185"/>
      <c r="B381" s="67"/>
      <c r="C381" s="186"/>
      <c r="D381" s="186"/>
      <c r="E381" s="186"/>
      <c r="F381" s="186"/>
      <c r="G381" s="186"/>
      <c r="H381" s="186"/>
      <c r="I381" s="186"/>
      <c r="J381" s="186"/>
      <c r="K381" s="186"/>
      <c r="L381" s="186"/>
      <c r="M381" s="67"/>
      <c r="N381" s="67"/>
      <c r="O381" s="67"/>
      <c r="P381" s="67"/>
      <c r="Q381" s="186"/>
      <c r="R381" s="186"/>
      <c r="S381" s="187"/>
      <c r="T381" s="187"/>
      <c r="U381" s="186"/>
      <c r="V381" s="186"/>
      <c r="W381" s="186"/>
    </row>
    <row r="382">
      <c r="A382" s="185"/>
      <c r="B382" s="67"/>
      <c r="C382" s="186"/>
      <c r="D382" s="186"/>
      <c r="E382" s="186"/>
      <c r="F382" s="186"/>
      <c r="G382" s="186"/>
      <c r="H382" s="186"/>
      <c r="I382" s="186"/>
      <c r="J382" s="186"/>
      <c r="K382" s="186"/>
      <c r="L382" s="186"/>
      <c r="M382" s="67"/>
      <c r="N382" s="67"/>
      <c r="O382" s="67"/>
      <c r="P382" s="67"/>
      <c r="Q382" s="186"/>
      <c r="R382" s="186"/>
      <c r="S382" s="187"/>
      <c r="T382" s="187"/>
      <c r="U382" s="186"/>
      <c r="V382" s="186"/>
      <c r="W382" s="186"/>
    </row>
    <row r="383">
      <c r="A383" s="185"/>
      <c r="B383" s="67"/>
      <c r="C383" s="186"/>
      <c r="D383" s="186"/>
      <c r="E383" s="186"/>
      <c r="F383" s="186"/>
      <c r="G383" s="186"/>
      <c r="H383" s="186"/>
      <c r="I383" s="186"/>
      <c r="J383" s="186"/>
      <c r="K383" s="186"/>
      <c r="L383" s="186"/>
      <c r="M383" s="67"/>
      <c r="N383" s="67"/>
      <c r="O383" s="67"/>
      <c r="P383" s="67"/>
      <c r="Q383" s="186"/>
      <c r="R383" s="186"/>
      <c r="S383" s="187"/>
      <c r="T383" s="187"/>
      <c r="U383" s="186"/>
      <c r="V383" s="186"/>
      <c r="W383" s="186"/>
    </row>
    <row r="384">
      <c r="A384" s="185"/>
      <c r="B384" s="67"/>
      <c r="C384" s="186"/>
      <c r="D384" s="186"/>
      <c r="E384" s="186"/>
      <c r="F384" s="186"/>
      <c r="G384" s="186"/>
      <c r="H384" s="186"/>
      <c r="I384" s="186"/>
      <c r="J384" s="186"/>
      <c r="K384" s="186"/>
      <c r="L384" s="186"/>
      <c r="M384" s="67"/>
      <c r="N384" s="67"/>
      <c r="O384" s="67"/>
      <c r="P384" s="67"/>
      <c r="Q384" s="186"/>
      <c r="R384" s="186"/>
      <c r="S384" s="187"/>
      <c r="T384" s="187"/>
      <c r="U384" s="186"/>
      <c r="V384" s="186"/>
      <c r="W384" s="186"/>
    </row>
    <row r="385">
      <c r="A385" s="185"/>
      <c r="B385" s="67"/>
      <c r="C385" s="186"/>
      <c r="D385" s="186"/>
      <c r="E385" s="186"/>
      <c r="F385" s="186"/>
      <c r="G385" s="186"/>
      <c r="H385" s="186"/>
      <c r="I385" s="186"/>
      <c r="J385" s="186"/>
      <c r="K385" s="186"/>
      <c r="L385" s="186"/>
      <c r="M385" s="67"/>
      <c r="N385" s="67"/>
      <c r="O385" s="67"/>
      <c r="P385" s="67"/>
      <c r="Q385" s="186"/>
      <c r="R385" s="186"/>
      <c r="S385" s="187"/>
      <c r="T385" s="187"/>
      <c r="U385" s="186"/>
      <c r="V385" s="186"/>
      <c r="W385" s="186"/>
    </row>
    <row r="386">
      <c r="A386" s="185"/>
      <c r="B386" s="67"/>
      <c r="C386" s="186"/>
      <c r="D386" s="186"/>
      <c r="E386" s="186"/>
      <c r="F386" s="186"/>
      <c r="G386" s="186"/>
      <c r="H386" s="186"/>
      <c r="I386" s="186"/>
      <c r="J386" s="186"/>
      <c r="K386" s="186"/>
      <c r="L386" s="186"/>
      <c r="M386" s="67"/>
      <c r="N386" s="67"/>
      <c r="O386" s="67"/>
      <c r="P386" s="67"/>
      <c r="Q386" s="186"/>
      <c r="R386" s="186"/>
      <c r="S386" s="187"/>
      <c r="T386" s="187"/>
      <c r="U386" s="186"/>
      <c r="V386" s="186"/>
      <c r="W386" s="186"/>
    </row>
    <row r="387">
      <c r="A387" s="185"/>
      <c r="B387" s="67"/>
      <c r="C387" s="186"/>
      <c r="D387" s="186"/>
      <c r="E387" s="186"/>
      <c r="F387" s="186"/>
      <c r="G387" s="186"/>
      <c r="H387" s="186"/>
      <c r="I387" s="186"/>
      <c r="J387" s="186"/>
      <c r="K387" s="186"/>
      <c r="L387" s="186"/>
      <c r="M387" s="67"/>
      <c r="N387" s="67"/>
      <c r="O387" s="67"/>
      <c r="P387" s="67"/>
      <c r="Q387" s="186"/>
      <c r="R387" s="186"/>
      <c r="S387" s="187"/>
      <c r="T387" s="187"/>
      <c r="U387" s="186"/>
      <c r="V387" s="186"/>
      <c r="W387" s="186"/>
    </row>
    <row r="388">
      <c r="A388" s="185"/>
      <c r="B388" s="67"/>
      <c r="C388" s="186"/>
      <c r="D388" s="186"/>
      <c r="E388" s="186"/>
      <c r="F388" s="186"/>
      <c r="G388" s="186"/>
      <c r="H388" s="186"/>
      <c r="I388" s="186"/>
      <c r="J388" s="186"/>
      <c r="K388" s="186"/>
      <c r="L388" s="186"/>
      <c r="M388" s="67"/>
      <c r="N388" s="67"/>
      <c r="O388" s="67"/>
      <c r="P388" s="67"/>
      <c r="Q388" s="186"/>
      <c r="R388" s="186"/>
      <c r="S388" s="187"/>
      <c r="T388" s="187"/>
      <c r="U388" s="186"/>
      <c r="V388" s="186"/>
      <c r="W388" s="186"/>
    </row>
    <row r="389">
      <c r="A389" s="185"/>
      <c r="B389" s="67"/>
      <c r="C389" s="186"/>
      <c r="D389" s="186"/>
      <c r="E389" s="186"/>
      <c r="F389" s="186"/>
      <c r="G389" s="186"/>
      <c r="H389" s="186"/>
      <c r="I389" s="186"/>
      <c r="J389" s="186"/>
      <c r="K389" s="186"/>
      <c r="L389" s="186"/>
      <c r="M389" s="67"/>
      <c r="N389" s="67"/>
      <c r="O389" s="67"/>
      <c r="P389" s="67"/>
      <c r="Q389" s="186"/>
      <c r="R389" s="186"/>
      <c r="S389" s="187"/>
      <c r="T389" s="187"/>
      <c r="U389" s="186"/>
      <c r="V389" s="186"/>
      <c r="W389" s="186"/>
    </row>
    <row r="390">
      <c r="A390" s="185"/>
      <c r="B390" s="67"/>
      <c r="C390" s="186"/>
      <c r="D390" s="186"/>
      <c r="E390" s="186"/>
      <c r="F390" s="186"/>
      <c r="G390" s="186"/>
      <c r="H390" s="186"/>
      <c r="I390" s="186"/>
      <c r="J390" s="186"/>
      <c r="K390" s="186"/>
      <c r="L390" s="186"/>
      <c r="M390" s="67"/>
      <c r="N390" s="67"/>
      <c r="O390" s="67"/>
      <c r="P390" s="67"/>
      <c r="Q390" s="186"/>
      <c r="R390" s="186"/>
      <c r="S390" s="187"/>
      <c r="T390" s="187"/>
      <c r="U390" s="186"/>
      <c r="V390" s="186"/>
      <c r="W390" s="186"/>
    </row>
    <row r="391">
      <c r="A391" s="185"/>
      <c r="B391" s="67"/>
      <c r="C391" s="186"/>
      <c r="D391" s="186"/>
      <c r="E391" s="186"/>
      <c r="F391" s="186"/>
      <c r="G391" s="186"/>
      <c r="H391" s="186"/>
      <c r="I391" s="186"/>
      <c r="J391" s="186"/>
      <c r="K391" s="186"/>
      <c r="L391" s="186"/>
      <c r="M391" s="67"/>
      <c r="N391" s="67"/>
      <c r="O391" s="67"/>
      <c r="P391" s="67"/>
      <c r="Q391" s="186"/>
      <c r="R391" s="186"/>
      <c r="S391" s="187"/>
      <c r="T391" s="187"/>
      <c r="U391" s="186"/>
      <c r="V391" s="186"/>
      <c r="W391" s="186"/>
    </row>
    <row r="392">
      <c r="A392" s="185"/>
      <c r="B392" s="67"/>
      <c r="C392" s="186"/>
      <c r="D392" s="186"/>
      <c r="E392" s="186"/>
      <c r="F392" s="186"/>
      <c r="G392" s="186"/>
      <c r="H392" s="186"/>
      <c r="I392" s="186"/>
      <c r="J392" s="186"/>
      <c r="K392" s="186"/>
      <c r="L392" s="186"/>
      <c r="M392" s="67"/>
      <c r="N392" s="67"/>
      <c r="O392" s="67"/>
      <c r="P392" s="67"/>
      <c r="Q392" s="186"/>
      <c r="R392" s="186"/>
      <c r="S392" s="187"/>
      <c r="T392" s="187"/>
      <c r="U392" s="186"/>
      <c r="V392" s="186"/>
      <c r="W392" s="186"/>
    </row>
    <row r="393">
      <c r="A393" s="185"/>
      <c r="B393" s="67"/>
      <c r="C393" s="186"/>
      <c r="D393" s="186"/>
      <c r="E393" s="186"/>
      <c r="F393" s="186"/>
      <c r="G393" s="186"/>
      <c r="H393" s="186"/>
      <c r="I393" s="186"/>
      <c r="J393" s="186"/>
      <c r="K393" s="186"/>
      <c r="L393" s="186"/>
      <c r="M393" s="67"/>
      <c r="N393" s="67"/>
      <c r="O393" s="67"/>
      <c r="P393" s="67"/>
      <c r="Q393" s="186"/>
      <c r="R393" s="186"/>
      <c r="S393" s="187"/>
      <c r="T393" s="187"/>
      <c r="U393" s="186"/>
      <c r="V393" s="186"/>
      <c r="W393" s="186"/>
    </row>
    <row r="394">
      <c r="A394" s="185"/>
      <c r="B394" s="67"/>
      <c r="C394" s="186"/>
      <c r="D394" s="186"/>
      <c r="E394" s="186"/>
      <c r="F394" s="186"/>
      <c r="G394" s="186"/>
      <c r="H394" s="186"/>
      <c r="I394" s="186"/>
      <c r="J394" s="186"/>
      <c r="K394" s="186"/>
      <c r="L394" s="186"/>
      <c r="M394" s="67"/>
      <c r="N394" s="67"/>
      <c r="O394" s="67"/>
      <c r="P394" s="67"/>
      <c r="Q394" s="186"/>
      <c r="R394" s="186"/>
      <c r="S394" s="187"/>
      <c r="T394" s="187"/>
      <c r="U394" s="186"/>
      <c r="V394" s="186"/>
      <c r="W394" s="186"/>
    </row>
    <row r="395">
      <c r="A395" s="185"/>
      <c r="B395" s="67"/>
      <c r="C395" s="186"/>
      <c r="D395" s="186"/>
      <c r="E395" s="186"/>
      <c r="F395" s="186"/>
      <c r="G395" s="186"/>
      <c r="H395" s="186"/>
      <c r="I395" s="186"/>
      <c r="J395" s="186"/>
      <c r="K395" s="186"/>
      <c r="L395" s="186"/>
      <c r="M395" s="67"/>
      <c r="N395" s="67"/>
      <c r="O395" s="67"/>
      <c r="P395" s="67"/>
      <c r="Q395" s="186"/>
      <c r="R395" s="186"/>
      <c r="S395" s="187"/>
      <c r="T395" s="187"/>
      <c r="U395" s="186"/>
      <c r="V395" s="186"/>
      <c r="W395" s="186"/>
    </row>
    <row r="396">
      <c r="A396" s="185"/>
      <c r="B396" s="67"/>
      <c r="C396" s="186"/>
      <c r="D396" s="186"/>
      <c r="E396" s="186"/>
      <c r="F396" s="186"/>
      <c r="G396" s="186"/>
      <c r="H396" s="186"/>
      <c r="I396" s="186"/>
      <c r="J396" s="186"/>
      <c r="K396" s="186"/>
      <c r="L396" s="186"/>
      <c r="M396" s="67"/>
      <c r="N396" s="67"/>
      <c r="O396" s="67"/>
      <c r="P396" s="67"/>
      <c r="Q396" s="186"/>
      <c r="R396" s="186"/>
      <c r="S396" s="187"/>
      <c r="T396" s="187"/>
      <c r="U396" s="186"/>
      <c r="V396" s="186"/>
      <c r="W396" s="186"/>
    </row>
    <row r="397">
      <c r="A397" s="185"/>
      <c r="B397" s="67"/>
      <c r="C397" s="186"/>
      <c r="D397" s="186"/>
      <c r="E397" s="186"/>
      <c r="F397" s="186"/>
      <c r="G397" s="186"/>
      <c r="H397" s="186"/>
      <c r="I397" s="186"/>
      <c r="J397" s="186"/>
      <c r="K397" s="186"/>
      <c r="L397" s="186"/>
      <c r="M397" s="67"/>
      <c r="N397" s="67"/>
      <c r="O397" s="67"/>
      <c r="P397" s="67"/>
      <c r="Q397" s="186"/>
      <c r="R397" s="186"/>
      <c r="S397" s="187"/>
      <c r="T397" s="187"/>
      <c r="U397" s="186"/>
      <c r="V397" s="186"/>
      <c r="W397" s="186"/>
    </row>
    <row r="398">
      <c r="A398" s="185"/>
      <c r="B398" s="67"/>
      <c r="C398" s="186"/>
      <c r="D398" s="186"/>
      <c r="E398" s="186"/>
      <c r="F398" s="186"/>
      <c r="G398" s="186"/>
      <c r="H398" s="186"/>
      <c r="I398" s="186"/>
      <c r="J398" s="186"/>
      <c r="K398" s="186"/>
      <c r="L398" s="186"/>
      <c r="M398" s="67"/>
      <c r="N398" s="67"/>
      <c r="O398" s="67"/>
      <c r="P398" s="67"/>
      <c r="Q398" s="186"/>
      <c r="R398" s="186"/>
      <c r="S398" s="187"/>
      <c r="T398" s="187"/>
      <c r="U398" s="186"/>
      <c r="V398" s="186"/>
      <c r="W398" s="186"/>
    </row>
    <row r="399">
      <c r="A399" s="185"/>
      <c r="B399" s="67"/>
      <c r="C399" s="186"/>
      <c r="D399" s="186"/>
      <c r="E399" s="186"/>
      <c r="F399" s="186"/>
      <c r="G399" s="186"/>
      <c r="H399" s="186"/>
      <c r="I399" s="186"/>
      <c r="J399" s="186"/>
      <c r="K399" s="186"/>
      <c r="L399" s="186"/>
      <c r="M399" s="67"/>
      <c r="N399" s="67"/>
      <c r="O399" s="67"/>
      <c r="P399" s="67"/>
      <c r="Q399" s="186"/>
      <c r="R399" s="186"/>
      <c r="S399" s="187"/>
      <c r="T399" s="187"/>
      <c r="U399" s="186"/>
      <c r="V399" s="186"/>
      <c r="W399" s="186"/>
    </row>
    <row r="400">
      <c r="A400" s="185"/>
      <c r="B400" s="67"/>
      <c r="C400" s="186"/>
      <c r="D400" s="186"/>
      <c r="E400" s="186"/>
      <c r="F400" s="186"/>
      <c r="G400" s="186"/>
      <c r="H400" s="186"/>
      <c r="I400" s="186"/>
      <c r="J400" s="186"/>
      <c r="K400" s="186"/>
      <c r="L400" s="186"/>
      <c r="M400" s="67"/>
      <c r="N400" s="67"/>
      <c r="O400" s="67"/>
      <c r="P400" s="67"/>
      <c r="Q400" s="186"/>
      <c r="R400" s="186"/>
      <c r="S400" s="187"/>
      <c r="T400" s="187"/>
      <c r="U400" s="186"/>
      <c r="V400" s="186"/>
      <c r="W400" s="186"/>
    </row>
    <row r="401">
      <c r="A401" s="185"/>
      <c r="B401" s="67"/>
      <c r="C401" s="186"/>
      <c r="D401" s="186"/>
      <c r="E401" s="186"/>
      <c r="F401" s="186"/>
      <c r="G401" s="186"/>
      <c r="H401" s="186"/>
      <c r="I401" s="186"/>
      <c r="J401" s="186"/>
      <c r="K401" s="186"/>
      <c r="L401" s="186"/>
      <c r="M401" s="67"/>
      <c r="N401" s="67"/>
      <c r="O401" s="67"/>
      <c r="P401" s="67"/>
      <c r="Q401" s="186"/>
      <c r="R401" s="186"/>
      <c r="S401" s="187"/>
      <c r="T401" s="187"/>
      <c r="U401" s="186"/>
      <c r="V401" s="186"/>
      <c r="W401" s="186"/>
    </row>
    <row r="402">
      <c r="A402" s="185"/>
      <c r="B402" s="67"/>
      <c r="C402" s="186"/>
      <c r="D402" s="186"/>
      <c r="E402" s="186"/>
      <c r="F402" s="186"/>
      <c r="G402" s="186"/>
      <c r="H402" s="186"/>
      <c r="I402" s="186"/>
      <c r="J402" s="186"/>
      <c r="K402" s="186"/>
      <c r="L402" s="186"/>
      <c r="M402" s="67"/>
      <c r="N402" s="67"/>
      <c r="O402" s="67"/>
      <c r="P402" s="67"/>
      <c r="Q402" s="186"/>
      <c r="R402" s="186"/>
      <c r="S402" s="187"/>
      <c r="T402" s="187"/>
      <c r="U402" s="186"/>
      <c r="V402" s="186"/>
      <c r="W402" s="186"/>
    </row>
    <row r="403">
      <c r="A403" s="185"/>
      <c r="B403" s="67"/>
      <c r="C403" s="186"/>
      <c r="D403" s="186"/>
      <c r="E403" s="186"/>
      <c r="F403" s="186"/>
      <c r="G403" s="186"/>
      <c r="H403" s="186"/>
      <c r="I403" s="186"/>
      <c r="J403" s="186"/>
      <c r="K403" s="186"/>
      <c r="L403" s="186"/>
      <c r="M403" s="67"/>
      <c r="N403" s="67"/>
      <c r="O403" s="67"/>
      <c r="P403" s="67"/>
      <c r="Q403" s="186"/>
      <c r="R403" s="186"/>
      <c r="S403" s="187"/>
      <c r="T403" s="187"/>
      <c r="U403" s="186"/>
      <c r="V403" s="186"/>
      <c r="W403" s="186"/>
    </row>
    <row r="404">
      <c r="A404" s="185"/>
      <c r="B404" s="67"/>
      <c r="C404" s="186"/>
      <c r="D404" s="186"/>
      <c r="E404" s="186"/>
      <c r="F404" s="186"/>
      <c r="G404" s="186"/>
      <c r="H404" s="186"/>
      <c r="I404" s="186"/>
      <c r="J404" s="186"/>
      <c r="K404" s="186"/>
      <c r="L404" s="186"/>
      <c r="M404" s="67"/>
      <c r="N404" s="67"/>
      <c r="O404" s="67"/>
      <c r="P404" s="67"/>
      <c r="Q404" s="186"/>
      <c r="R404" s="186"/>
      <c r="S404" s="187"/>
      <c r="T404" s="187"/>
      <c r="U404" s="186"/>
      <c r="V404" s="186"/>
      <c r="W404" s="186"/>
    </row>
    <row r="405">
      <c r="A405" s="185"/>
      <c r="B405" s="67"/>
      <c r="C405" s="186"/>
      <c r="D405" s="186"/>
      <c r="E405" s="186"/>
      <c r="F405" s="186"/>
      <c r="G405" s="186"/>
      <c r="H405" s="186"/>
      <c r="I405" s="186"/>
      <c r="J405" s="186"/>
      <c r="K405" s="186"/>
      <c r="L405" s="186"/>
      <c r="M405" s="67"/>
      <c r="N405" s="67"/>
      <c r="O405" s="67"/>
      <c r="P405" s="67"/>
      <c r="Q405" s="186"/>
      <c r="R405" s="186"/>
      <c r="S405" s="187"/>
      <c r="T405" s="187"/>
      <c r="U405" s="186"/>
      <c r="V405" s="186"/>
      <c r="W405" s="186"/>
    </row>
    <row r="406">
      <c r="A406" s="185"/>
      <c r="B406" s="67"/>
      <c r="C406" s="186"/>
      <c r="D406" s="186"/>
      <c r="E406" s="186"/>
      <c r="F406" s="186"/>
      <c r="G406" s="186"/>
      <c r="H406" s="186"/>
      <c r="I406" s="186"/>
      <c r="J406" s="186"/>
      <c r="K406" s="186"/>
      <c r="L406" s="186"/>
      <c r="M406" s="67"/>
      <c r="N406" s="67"/>
      <c r="O406" s="67"/>
      <c r="P406" s="67"/>
      <c r="Q406" s="186"/>
      <c r="R406" s="186"/>
      <c r="S406" s="187"/>
      <c r="T406" s="187"/>
      <c r="U406" s="186"/>
      <c r="V406" s="186"/>
      <c r="W406" s="186"/>
    </row>
    <row r="407">
      <c r="A407" s="185"/>
      <c r="B407" s="67"/>
      <c r="C407" s="186"/>
      <c r="D407" s="186"/>
      <c r="E407" s="186"/>
      <c r="F407" s="186"/>
      <c r="G407" s="186"/>
      <c r="H407" s="186"/>
      <c r="I407" s="186"/>
      <c r="J407" s="186"/>
      <c r="K407" s="186"/>
      <c r="L407" s="186"/>
      <c r="M407" s="67"/>
      <c r="N407" s="67"/>
      <c r="O407" s="67"/>
      <c r="P407" s="67"/>
      <c r="Q407" s="186"/>
      <c r="R407" s="186"/>
      <c r="S407" s="187"/>
      <c r="T407" s="187"/>
      <c r="U407" s="186"/>
      <c r="V407" s="186"/>
      <c r="W407" s="186"/>
    </row>
    <row r="408">
      <c r="A408" s="185"/>
      <c r="B408" s="67"/>
      <c r="C408" s="186"/>
      <c r="D408" s="186"/>
      <c r="E408" s="186"/>
      <c r="F408" s="186"/>
      <c r="G408" s="186"/>
      <c r="H408" s="186"/>
      <c r="I408" s="186"/>
      <c r="J408" s="186"/>
      <c r="K408" s="186"/>
      <c r="L408" s="186"/>
      <c r="M408" s="67"/>
      <c r="N408" s="67"/>
      <c r="O408" s="67"/>
      <c r="P408" s="67"/>
      <c r="Q408" s="186"/>
      <c r="R408" s="186"/>
      <c r="S408" s="187"/>
      <c r="T408" s="187"/>
      <c r="U408" s="186"/>
      <c r="V408" s="186"/>
      <c r="W408" s="186"/>
    </row>
    <row r="409">
      <c r="A409" s="185"/>
      <c r="B409" s="67"/>
      <c r="C409" s="186"/>
      <c r="D409" s="186"/>
      <c r="E409" s="186"/>
      <c r="F409" s="186"/>
      <c r="G409" s="186"/>
      <c r="H409" s="186"/>
      <c r="I409" s="186"/>
      <c r="J409" s="186"/>
      <c r="K409" s="186"/>
      <c r="L409" s="186"/>
      <c r="M409" s="67"/>
      <c r="N409" s="67"/>
      <c r="O409" s="67"/>
      <c r="P409" s="67"/>
      <c r="Q409" s="186"/>
      <c r="R409" s="186"/>
      <c r="S409" s="187"/>
      <c r="T409" s="187"/>
      <c r="U409" s="186"/>
      <c r="V409" s="186"/>
      <c r="W409" s="186"/>
    </row>
    <row r="410">
      <c r="A410" s="185"/>
      <c r="B410" s="67"/>
      <c r="C410" s="186"/>
      <c r="D410" s="186"/>
      <c r="E410" s="186"/>
      <c r="F410" s="186"/>
      <c r="G410" s="186"/>
      <c r="H410" s="186"/>
      <c r="I410" s="186"/>
      <c r="J410" s="186"/>
      <c r="K410" s="186"/>
      <c r="L410" s="186"/>
      <c r="M410" s="67"/>
      <c r="N410" s="67"/>
      <c r="O410" s="67"/>
      <c r="P410" s="67"/>
      <c r="Q410" s="186"/>
      <c r="R410" s="186"/>
      <c r="S410" s="187"/>
      <c r="T410" s="187"/>
      <c r="U410" s="186"/>
      <c r="V410" s="186"/>
      <c r="W410" s="186"/>
    </row>
    <row r="411">
      <c r="A411" s="185"/>
      <c r="B411" s="67"/>
      <c r="C411" s="186"/>
      <c r="D411" s="186"/>
      <c r="E411" s="186"/>
      <c r="F411" s="186"/>
      <c r="G411" s="186"/>
      <c r="H411" s="186"/>
      <c r="I411" s="186"/>
      <c r="J411" s="186"/>
      <c r="K411" s="186"/>
      <c r="L411" s="186"/>
      <c r="M411" s="67"/>
      <c r="N411" s="67"/>
      <c r="O411" s="67"/>
      <c r="P411" s="67"/>
      <c r="Q411" s="186"/>
      <c r="R411" s="186"/>
      <c r="S411" s="187"/>
      <c r="T411" s="187"/>
      <c r="U411" s="186"/>
      <c r="V411" s="186"/>
      <c r="W411" s="186"/>
    </row>
    <row r="412">
      <c r="A412" s="185"/>
      <c r="B412" s="67"/>
      <c r="C412" s="186"/>
      <c r="D412" s="186"/>
      <c r="E412" s="186"/>
      <c r="F412" s="186"/>
      <c r="G412" s="186"/>
      <c r="H412" s="186"/>
      <c r="I412" s="186"/>
      <c r="J412" s="186"/>
      <c r="K412" s="186"/>
      <c r="L412" s="186"/>
      <c r="M412" s="67"/>
      <c r="N412" s="67"/>
      <c r="O412" s="67"/>
      <c r="P412" s="67"/>
      <c r="Q412" s="186"/>
      <c r="R412" s="186"/>
      <c r="S412" s="187"/>
      <c r="T412" s="187"/>
      <c r="U412" s="186"/>
      <c r="V412" s="186"/>
      <c r="W412" s="186"/>
    </row>
    <row r="413">
      <c r="A413" s="185"/>
      <c r="B413" s="67"/>
      <c r="C413" s="186"/>
      <c r="D413" s="186"/>
      <c r="E413" s="186"/>
      <c r="F413" s="186"/>
      <c r="G413" s="186"/>
      <c r="H413" s="186"/>
      <c r="I413" s="186"/>
      <c r="J413" s="186"/>
      <c r="K413" s="186"/>
      <c r="L413" s="186"/>
      <c r="M413" s="67"/>
      <c r="N413" s="67"/>
      <c r="O413" s="67"/>
      <c r="P413" s="67"/>
      <c r="Q413" s="186"/>
      <c r="R413" s="186"/>
      <c r="S413" s="187"/>
      <c r="T413" s="187"/>
      <c r="U413" s="186"/>
      <c r="V413" s="186"/>
      <c r="W413" s="186"/>
    </row>
    <row r="414">
      <c r="A414" s="185"/>
      <c r="B414" s="67"/>
      <c r="C414" s="186"/>
      <c r="D414" s="186"/>
      <c r="E414" s="186"/>
      <c r="F414" s="186"/>
      <c r="G414" s="186"/>
      <c r="H414" s="186"/>
      <c r="I414" s="186"/>
      <c r="J414" s="186"/>
      <c r="K414" s="186"/>
      <c r="L414" s="186"/>
      <c r="M414" s="67"/>
      <c r="N414" s="67"/>
      <c r="O414" s="67"/>
      <c r="P414" s="67"/>
      <c r="Q414" s="186"/>
      <c r="R414" s="186"/>
      <c r="S414" s="187"/>
      <c r="T414" s="187"/>
      <c r="U414" s="186"/>
      <c r="V414" s="186"/>
      <c r="W414" s="186"/>
    </row>
    <row r="415">
      <c r="A415" s="185"/>
      <c r="B415" s="67"/>
      <c r="C415" s="186"/>
      <c r="D415" s="186"/>
      <c r="E415" s="186"/>
      <c r="F415" s="186"/>
      <c r="G415" s="186"/>
      <c r="H415" s="186"/>
      <c r="I415" s="186"/>
      <c r="J415" s="186"/>
      <c r="K415" s="186"/>
      <c r="L415" s="186"/>
      <c r="M415" s="67"/>
      <c r="N415" s="67"/>
      <c r="O415" s="67"/>
      <c r="P415" s="67"/>
      <c r="Q415" s="186"/>
      <c r="R415" s="186"/>
      <c r="S415" s="187"/>
      <c r="T415" s="187"/>
      <c r="U415" s="186"/>
      <c r="V415" s="186"/>
      <c r="W415" s="186"/>
    </row>
    <row r="416">
      <c r="A416" s="185"/>
      <c r="B416" s="67"/>
      <c r="C416" s="186"/>
      <c r="D416" s="186"/>
      <c r="E416" s="186"/>
      <c r="F416" s="186"/>
      <c r="G416" s="186"/>
      <c r="H416" s="186"/>
      <c r="I416" s="186"/>
      <c r="J416" s="186"/>
      <c r="K416" s="186"/>
      <c r="L416" s="186"/>
      <c r="M416" s="67"/>
      <c r="N416" s="67"/>
      <c r="O416" s="67"/>
      <c r="P416" s="67"/>
      <c r="Q416" s="186"/>
      <c r="R416" s="186"/>
      <c r="S416" s="187"/>
      <c r="T416" s="187"/>
      <c r="U416" s="186"/>
      <c r="V416" s="186"/>
      <c r="W416" s="186"/>
    </row>
    <row r="417">
      <c r="A417" s="185"/>
      <c r="B417" s="67"/>
      <c r="C417" s="186"/>
      <c r="D417" s="186"/>
      <c r="E417" s="186"/>
      <c r="F417" s="186"/>
      <c r="G417" s="186"/>
      <c r="H417" s="186"/>
      <c r="I417" s="186"/>
      <c r="J417" s="186"/>
      <c r="K417" s="186"/>
      <c r="L417" s="186"/>
      <c r="M417" s="67"/>
      <c r="N417" s="67"/>
      <c r="O417" s="67"/>
      <c r="P417" s="67"/>
      <c r="Q417" s="186"/>
      <c r="R417" s="186"/>
      <c r="S417" s="187"/>
      <c r="T417" s="187"/>
      <c r="U417" s="186"/>
      <c r="V417" s="186"/>
      <c r="W417" s="186"/>
    </row>
    <row r="418">
      <c r="A418" s="185"/>
      <c r="B418" s="67"/>
      <c r="C418" s="186"/>
      <c r="D418" s="186"/>
      <c r="E418" s="186"/>
      <c r="F418" s="186"/>
      <c r="G418" s="186"/>
      <c r="H418" s="186"/>
      <c r="I418" s="186"/>
      <c r="J418" s="186"/>
      <c r="K418" s="186"/>
      <c r="L418" s="186"/>
      <c r="M418" s="67"/>
      <c r="N418" s="67"/>
      <c r="O418" s="67"/>
      <c r="P418" s="67"/>
      <c r="Q418" s="186"/>
      <c r="R418" s="186"/>
      <c r="S418" s="187"/>
      <c r="T418" s="187"/>
      <c r="U418" s="186"/>
      <c r="V418" s="186"/>
      <c r="W418" s="186"/>
    </row>
    <row r="419">
      <c r="A419" s="185"/>
      <c r="B419" s="67"/>
      <c r="C419" s="186"/>
      <c r="D419" s="186"/>
      <c r="E419" s="186"/>
      <c r="F419" s="186"/>
      <c r="G419" s="186"/>
      <c r="H419" s="186"/>
      <c r="I419" s="186"/>
      <c r="J419" s="186"/>
      <c r="K419" s="186"/>
      <c r="L419" s="186"/>
      <c r="M419" s="67"/>
      <c r="N419" s="67"/>
      <c r="O419" s="67"/>
      <c r="P419" s="67"/>
      <c r="Q419" s="186"/>
      <c r="R419" s="186"/>
      <c r="S419" s="187"/>
      <c r="T419" s="187"/>
      <c r="U419" s="186"/>
      <c r="V419" s="186"/>
      <c r="W419" s="186"/>
    </row>
    <row r="420">
      <c r="A420" s="185"/>
      <c r="B420" s="67"/>
      <c r="C420" s="186"/>
      <c r="D420" s="186"/>
      <c r="E420" s="186"/>
      <c r="F420" s="186"/>
      <c r="G420" s="186"/>
      <c r="H420" s="186"/>
      <c r="I420" s="186"/>
      <c r="J420" s="186"/>
      <c r="K420" s="186"/>
      <c r="L420" s="186"/>
      <c r="M420" s="67"/>
      <c r="N420" s="67"/>
      <c r="O420" s="67"/>
      <c r="P420" s="67"/>
      <c r="Q420" s="186"/>
      <c r="R420" s="186"/>
      <c r="S420" s="187"/>
      <c r="T420" s="187"/>
      <c r="U420" s="186"/>
      <c r="V420" s="186"/>
      <c r="W420" s="186"/>
    </row>
    <row r="421">
      <c r="A421" s="185"/>
      <c r="B421" s="67"/>
      <c r="C421" s="186"/>
      <c r="D421" s="186"/>
      <c r="E421" s="186"/>
      <c r="F421" s="186"/>
      <c r="G421" s="186"/>
      <c r="H421" s="186"/>
      <c r="I421" s="186"/>
      <c r="J421" s="186"/>
      <c r="K421" s="186"/>
      <c r="L421" s="186"/>
      <c r="M421" s="67"/>
      <c r="N421" s="67"/>
      <c r="O421" s="67"/>
      <c r="P421" s="67"/>
      <c r="Q421" s="186"/>
      <c r="R421" s="186"/>
      <c r="S421" s="187"/>
      <c r="T421" s="187"/>
      <c r="U421" s="186"/>
      <c r="V421" s="186"/>
      <c r="W421" s="186"/>
    </row>
    <row r="422">
      <c r="A422" s="185"/>
      <c r="B422" s="67"/>
      <c r="C422" s="186"/>
      <c r="D422" s="186"/>
      <c r="E422" s="186"/>
      <c r="F422" s="186"/>
      <c r="G422" s="186"/>
      <c r="H422" s="186"/>
      <c r="I422" s="186"/>
      <c r="J422" s="186"/>
      <c r="K422" s="186"/>
      <c r="L422" s="186"/>
      <c r="M422" s="67"/>
      <c r="N422" s="67"/>
      <c r="O422" s="67"/>
      <c r="P422" s="67"/>
      <c r="Q422" s="186"/>
      <c r="R422" s="186"/>
      <c r="S422" s="187"/>
      <c r="T422" s="187"/>
      <c r="U422" s="186"/>
      <c r="V422" s="186"/>
      <c r="W422" s="186"/>
    </row>
    <row r="423">
      <c r="A423" s="185"/>
      <c r="B423" s="67"/>
      <c r="C423" s="186"/>
      <c r="D423" s="186"/>
      <c r="E423" s="186"/>
      <c r="F423" s="186"/>
      <c r="G423" s="186"/>
      <c r="H423" s="186"/>
      <c r="I423" s="186"/>
      <c r="J423" s="186"/>
      <c r="K423" s="186"/>
      <c r="L423" s="186"/>
      <c r="M423" s="67"/>
      <c r="N423" s="67"/>
      <c r="O423" s="67"/>
      <c r="P423" s="67"/>
      <c r="Q423" s="186"/>
      <c r="R423" s="186"/>
      <c r="S423" s="187"/>
      <c r="T423" s="187"/>
      <c r="U423" s="186"/>
      <c r="V423" s="186"/>
      <c r="W423" s="186"/>
    </row>
    <row r="424">
      <c r="A424" s="185"/>
      <c r="B424" s="67"/>
      <c r="C424" s="186"/>
      <c r="D424" s="186"/>
      <c r="E424" s="186"/>
      <c r="F424" s="186"/>
      <c r="G424" s="186"/>
      <c r="H424" s="186"/>
      <c r="I424" s="186"/>
      <c r="J424" s="186"/>
      <c r="K424" s="186"/>
      <c r="L424" s="186"/>
      <c r="M424" s="67"/>
      <c r="N424" s="67"/>
      <c r="O424" s="67"/>
      <c r="P424" s="67"/>
      <c r="Q424" s="186"/>
      <c r="R424" s="186"/>
      <c r="S424" s="187"/>
      <c r="T424" s="187"/>
      <c r="U424" s="186"/>
      <c r="V424" s="186"/>
      <c r="W424" s="186"/>
    </row>
    <row r="425">
      <c r="A425" s="185"/>
      <c r="B425" s="67"/>
      <c r="C425" s="186"/>
      <c r="D425" s="186"/>
      <c r="E425" s="186"/>
      <c r="F425" s="186"/>
      <c r="G425" s="186"/>
      <c r="H425" s="186"/>
      <c r="I425" s="186"/>
      <c r="J425" s="186"/>
      <c r="K425" s="186"/>
      <c r="L425" s="186"/>
      <c r="M425" s="67"/>
      <c r="N425" s="67"/>
      <c r="O425" s="67"/>
      <c r="P425" s="67"/>
      <c r="Q425" s="186"/>
      <c r="R425" s="186"/>
      <c r="S425" s="187"/>
      <c r="T425" s="187"/>
      <c r="U425" s="186"/>
      <c r="V425" s="186"/>
      <c r="W425" s="186"/>
    </row>
    <row r="426">
      <c r="A426" s="185"/>
      <c r="B426" s="67"/>
      <c r="C426" s="186"/>
      <c r="D426" s="186"/>
      <c r="E426" s="186"/>
      <c r="F426" s="186"/>
      <c r="G426" s="186"/>
      <c r="H426" s="186"/>
      <c r="I426" s="186"/>
      <c r="J426" s="186"/>
      <c r="K426" s="186"/>
      <c r="L426" s="186"/>
      <c r="M426" s="67"/>
      <c r="N426" s="67"/>
      <c r="O426" s="67"/>
      <c r="P426" s="67"/>
      <c r="Q426" s="186"/>
      <c r="R426" s="186"/>
      <c r="S426" s="187"/>
      <c r="T426" s="187"/>
      <c r="U426" s="186"/>
      <c r="V426" s="186"/>
      <c r="W426" s="186"/>
    </row>
    <row r="427">
      <c r="A427" s="185"/>
      <c r="B427" s="67"/>
      <c r="C427" s="186"/>
      <c r="D427" s="186"/>
      <c r="E427" s="186"/>
      <c r="F427" s="186"/>
      <c r="G427" s="186"/>
      <c r="H427" s="186"/>
      <c r="I427" s="186"/>
      <c r="J427" s="186"/>
      <c r="K427" s="186"/>
      <c r="L427" s="186"/>
      <c r="M427" s="67"/>
      <c r="N427" s="67"/>
      <c r="O427" s="67"/>
      <c r="P427" s="67"/>
      <c r="Q427" s="186"/>
      <c r="R427" s="186"/>
      <c r="S427" s="187"/>
      <c r="T427" s="187"/>
      <c r="U427" s="186"/>
      <c r="V427" s="186"/>
      <c r="W427" s="186"/>
    </row>
    <row r="428">
      <c r="A428" s="185"/>
      <c r="B428" s="67"/>
      <c r="C428" s="186"/>
      <c r="D428" s="186"/>
      <c r="E428" s="186"/>
      <c r="F428" s="186"/>
      <c r="G428" s="186"/>
      <c r="H428" s="186"/>
      <c r="I428" s="186"/>
      <c r="J428" s="186"/>
      <c r="K428" s="186"/>
      <c r="L428" s="186"/>
      <c r="M428" s="67"/>
      <c r="N428" s="67"/>
      <c r="O428" s="67"/>
      <c r="P428" s="67"/>
      <c r="Q428" s="186"/>
      <c r="R428" s="186"/>
      <c r="S428" s="187"/>
      <c r="T428" s="187"/>
      <c r="U428" s="186"/>
      <c r="V428" s="186"/>
      <c r="W428" s="186"/>
    </row>
    <row r="429">
      <c r="A429" s="185"/>
      <c r="B429" s="67"/>
      <c r="C429" s="186"/>
      <c r="D429" s="186"/>
      <c r="E429" s="186"/>
      <c r="F429" s="186"/>
      <c r="G429" s="186"/>
      <c r="H429" s="186"/>
      <c r="I429" s="186"/>
      <c r="J429" s="186"/>
      <c r="K429" s="186"/>
      <c r="L429" s="186"/>
      <c r="M429" s="67"/>
      <c r="N429" s="67"/>
      <c r="O429" s="67"/>
      <c r="P429" s="67"/>
      <c r="Q429" s="186"/>
      <c r="R429" s="186"/>
      <c r="S429" s="187"/>
      <c r="T429" s="187"/>
      <c r="U429" s="186"/>
      <c r="V429" s="186"/>
      <c r="W429" s="186"/>
    </row>
    <row r="430">
      <c r="A430" s="185"/>
      <c r="B430" s="67"/>
      <c r="C430" s="186"/>
      <c r="D430" s="186"/>
      <c r="E430" s="186"/>
      <c r="F430" s="186"/>
      <c r="G430" s="186"/>
      <c r="H430" s="186"/>
      <c r="I430" s="186"/>
      <c r="J430" s="186"/>
      <c r="K430" s="186"/>
      <c r="L430" s="186"/>
      <c r="M430" s="67"/>
      <c r="N430" s="67"/>
      <c r="O430" s="67"/>
      <c r="P430" s="67"/>
      <c r="Q430" s="186"/>
      <c r="R430" s="186"/>
      <c r="S430" s="187"/>
      <c r="T430" s="187"/>
      <c r="U430" s="186"/>
      <c r="V430" s="186"/>
      <c r="W430" s="186"/>
    </row>
    <row r="431">
      <c r="A431" s="185"/>
      <c r="B431" s="67"/>
      <c r="C431" s="186"/>
      <c r="D431" s="186"/>
      <c r="E431" s="186"/>
      <c r="F431" s="186"/>
      <c r="G431" s="186"/>
      <c r="H431" s="186"/>
      <c r="I431" s="186"/>
      <c r="J431" s="186"/>
      <c r="K431" s="186"/>
      <c r="L431" s="186"/>
      <c r="M431" s="67"/>
      <c r="N431" s="67"/>
      <c r="O431" s="67"/>
      <c r="P431" s="67"/>
      <c r="Q431" s="186"/>
      <c r="R431" s="186"/>
      <c r="S431" s="187"/>
      <c r="T431" s="187"/>
      <c r="U431" s="186"/>
      <c r="V431" s="186"/>
      <c r="W431" s="186"/>
    </row>
    <row r="432">
      <c r="A432" s="185"/>
      <c r="B432" s="67"/>
      <c r="C432" s="186"/>
      <c r="D432" s="186"/>
      <c r="E432" s="186"/>
      <c r="F432" s="186"/>
      <c r="G432" s="186"/>
      <c r="H432" s="186"/>
      <c r="I432" s="186"/>
      <c r="J432" s="186"/>
      <c r="K432" s="186"/>
      <c r="L432" s="186"/>
      <c r="M432" s="67"/>
      <c r="N432" s="67"/>
      <c r="O432" s="67"/>
      <c r="P432" s="67"/>
      <c r="Q432" s="186"/>
      <c r="R432" s="186"/>
      <c r="S432" s="187"/>
      <c r="T432" s="187"/>
      <c r="U432" s="186"/>
      <c r="V432" s="186"/>
      <c r="W432" s="186"/>
    </row>
    <row r="433">
      <c r="A433" s="185"/>
      <c r="B433" s="67"/>
      <c r="C433" s="186"/>
      <c r="D433" s="186"/>
      <c r="E433" s="186"/>
      <c r="F433" s="186"/>
      <c r="G433" s="186"/>
      <c r="H433" s="186"/>
      <c r="I433" s="186"/>
      <c r="J433" s="186"/>
      <c r="K433" s="186"/>
      <c r="L433" s="186"/>
      <c r="M433" s="67"/>
      <c r="N433" s="67"/>
      <c r="O433" s="67"/>
      <c r="P433" s="67"/>
      <c r="Q433" s="186"/>
      <c r="R433" s="186"/>
      <c r="S433" s="187"/>
      <c r="T433" s="187"/>
      <c r="U433" s="186"/>
      <c r="V433" s="186"/>
      <c r="W433" s="186"/>
    </row>
    <row r="434">
      <c r="A434" s="185"/>
      <c r="B434" s="67"/>
      <c r="C434" s="186"/>
      <c r="D434" s="186"/>
      <c r="E434" s="186"/>
      <c r="F434" s="186"/>
      <c r="G434" s="186"/>
      <c r="H434" s="186"/>
      <c r="I434" s="186"/>
      <c r="J434" s="186"/>
      <c r="K434" s="186"/>
      <c r="L434" s="186"/>
      <c r="M434" s="67"/>
      <c r="N434" s="67"/>
      <c r="O434" s="67"/>
      <c r="P434" s="67"/>
      <c r="Q434" s="186"/>
      <c r="R434" s="186"/>
      <c r="S434" s="187"/>
      <c r="T434" s="187"/>
      <c r="U434" s="186"/>
      <c r="V434" s="186"/>
      <c r="W434" s="186"/>
    </row>
    <row r="435">
      <c r="A435" s="185"/>
      <c r="B435" s="67"/>
      <c r="C435" s="186"/>
      <c r="D435" s="186"/>
      <c r="E435" s="186"/>
      <c r="F435" s="186"/>
      <c r="G435" s="186"/>
      <c r="H435" s="186"/>
      <c r="I435" s="186"/>
      <c r="J435" s="186"/>
      <c r="K435" s="186"/>
      <c r="L435" s="186"/>
      <c r="M435" s="67"/>
      <c r="N435" s="67"/>
      <c r="O435" s="67"/>
      <c r="P435" s="67"/>
      <c r="Q435" s="186"/>
      <c r="R435" s="186"/>
      <c r="S435" s="187"/>
      <c r="T435" s="187"/>
      <c r="U435" s="186"/>
      <c r="V435" s="186"/>
      <c r="W435" s="186"/>
    </row>
    <row r="436">
      <c r="A436" s="185"/>
      <c r="B436" s="67"/>
      <c r="C436" s="186"/>
      <c r="D436" s="186"/>
      <c r="E436" s="186"/>
      <c r="F436" s="186"/>
      <c r="G436" s="186"/>
      <c r="H436" s="186"/>
      <c r="I436" s="186"/>
      <c r="J436" s="186"/>
      <c r="K436" s="186"/>
      <c r="L436" s="186"/>
      <c r="M436" s="67"/>
      <c r="N436" s="67"/>
      <c r="O436" s="67"/>
      <c r="P436" s="67"/>
      <c r="Q436" s="186"/>
      <c r="R436" s="186"/>
      <c r="S436" s="187"/>
      <c r="T436" s="187"/>
      <c r="U436" s="186"/>
      <c r="V436" s="186"/>
      <c r="W436" s="186"/>
    </row>
    <row r="437">
      <c r="A437" s="185"/>
      <c r="B437" s="67"/>
      <c r="C437" s="186"/>
      <c r="D437" s="186"/>
      <c r="E437" s="186"/>
      <c r="F437" s="186"/>
      <c r="G437" s="186"/>
      <c r="H437" s="186"/>
      <c r="I437" s="186"/>
      <c r="J437" s="186"/>
      <c r="K437" s="186"/>
      <c r="L437" s="186"/>
      <c r="M437" s="67"/>
      <c r="N437" s="67"/>
      <c r="O437" s="67"/>
      <c r="P437" s="67"/>
      <c r="Q437" s="186"/>
      <c r="R437" s="186"/>
      <c r="S437" s="187"/>
      <c r="T437" s="187"/>
      <c r="U437" s="186"/>
      <c r="V437" s="186"/>
      <c r="W437" s="186"/>
    </row>
    <row r="438">
      <c r="A438" s="185"/>
      <c r="B438" s="67"/>
      <c r="C438" s="186"/>
      <c r="D438" s="186"/>
      <c r="E438" s="186"/>
      <c r="F438" s="186"/>
      <c r="G438" s="186"/>
      <c r="H438" s="186"/>
      <c r="I438" s="186"/>
      <c r="J438" s="186"/>
      <c r="K438" s="186"/>
      <c r="L438" s="186"/>
      <c r="M438" s="67"/>
      <c r="N438" s="67"/>
      <c r="O438" s="67"/>
      <c r="P438" s="67"/>
      <c r="Q438" s="186"/>
      <c r="R438" s="186"/>
      <c r="S438" s="187"/>
      <c r="T438" s="187"/>
      <c r="U438" s="186"/>
      <c r="V438" s="186"/>
      <c r="W438" s="186"/>
    </row>
    <row r="439">
      <c r="A439" s="185"/>
      <c r="B439" s="67"/>
      <c r="C439" s="186"/>
      <c r="D439" s="186"/>
      <c r="E439" s="186"/>
      <c r="F439" s="186"/>
      <c r="G439" s="186"/>
      <c r="H439" s="186"/>
      <c r="I439" s="186"/>
      <c r="J439" s="186"/>
      <c r="K439" s="186"/>
      <c r="L439" s="186"/>
      <c r="M439" s="67"/>
      <c r="N439" s="67"/>
      <c r="O439" s="67"/>
      <c r="P439" s="67"/>
      <c r="Q439" s="186"/>
      <c r="R439" s="186"/>
      <c r="S439" s="187"/>
      <c r="T439" s="187"/>
      <c r="U439" s="186"/>
      <c r="V439" s="186"/>
      <c r="W439" s="186"/>
    </row>
    <row r="440">
      <c r="A440" s="185"/>
      <c r="B440" s="67"/>
      <c r="C440" s="186"/>
      <c r="D440" s="186"/>
      <c r="E440" s="186"/>
      <c r="F440" s="186"/>
      <c r="G440" s="186"/>
      <c r="H440" s="186"/>
      <c r="I440" s="186"/>
      <c r="J440" s="186"/>
      <c r="K440" s="186"/>
      <c r="L440" s="186"/>
      <c r="M440" s="67"/>
      <c r="N440" s="67"/>
      <c r="O440" s="67"/>
      <c r="P440" s="67"/>
      <c r="Q440" s="186"/>
      <c r="R440" s="186"/>
      <c r="S440" s="187"/>
      <c r="T440" s="187"/>
      <c r="U440" s="186"/>
      <c r="V440" s="186"/>
      <c r="W440" s="186"/>
    </row>
    <row r="441">
      <c r="A441" s="185"/>
      <c r="B441" s="67"/>
      <c r="C441" s="186"/>
      <c r="D441" s="186"/>
      <c r="E441" s="186"/>
      <c r="F441" s="186"/>
      <c r="G441" s="186"/>
      <c r="H441" s="186"/>
      <c r="I441" s="186"/>
      <c r="J441" s="186"/>
      <c r="K441" s="186"/>
      <c r="L441" s="186"/>
      <c r="M441" s="67"/>
      <c r="N441" s="67"/>
      <c r="O441" s="67"/>
      <c r="P441" s="67"/>
      <c r="Q441" s="186"/>
      <c r="R441" s="186"/>
      <c r="S441" s="187"/>
      <c r="T441" s="187"/>
      <c r="U441" s="186"/>
      <c r="V441" s="186"/>
      <c r="W441" s="186"/>
    </row>
    <row r="442">
      <c r="A442" s="185"/>
      <c r="B442" s="67"/>
      <c r="C442" s="186"/>
      <c r="D442" s="186"/>
      <c r="E442" s="186"/>
      <c r="F442" s="186"/>
      <c r="G442" s="186"/>
      <c r="H442" s="186"/>
      <c r="I442" s="186"/>
      <c r="J442" s="186"/>
      <c r="K442" s="186"/>
      <c r="L442" s="186"/>
      <c r="M442" s="67"/>
      <c r="N442" s="67"/>
      <c r="O442" s="67"/>
      <c r="P442" s="67"/>
      <c r="Q442" s="186"/>
      <c r="R442" s="186"/>
      <c r="S442" s="187"/>
      <c r="T442" s="187"/>
      <c r="U442" s="186"/>
      <c r="V442" s="186"/>
      <c r="W442" s="186"/>
    </row>
    <row r="443">
      <c r="A443" s="185"/>
      <c r="B443" s="67"/>
      <c r="C443" s="186"/>
      <c r="D443" s="186"/>
      <c r="E443" s="186"/>
      <c r="F443" s="186"/>
      <c r="G443" s="186"/>
      <c r="H443" s="186"/>
      <c r="I443" s="186"/>
      <c r="J443" s="186"/>
      <c r="K443" s="186"/>
      <c r="L443" s="186"/>
      <c r="M443" s="67"/>
      <c r="N443" s="67"/>
      <c r="O443" s="67"/>
      <c r="P443" s="67"/>
      <c r="Q443" s="186"/>
      <c r="R443" s="186"/>
      <c r="S443" s="187"/>
      <c r="T443" s="187"/>
      <c r="U443" s="186"/>
      <c r="V443" s="186"/>
      <c r="W443" s="186"/>
    </row>
    <row r="444">
      <c r="A444" s="185"/>
      <c r="B444" s="67"/>
      <c r="C444" s="186"/>
      <c r="D444" s="186"/>
      <c r="E444" s="186"/>
      <c r="F444" s="186"/>
      <c r="G444" s="186"/>
      <c r="H444" s="186"/>
      <c r="I444" s="186"/>
      <c r="J444" s="186"/>
      <c r="K444" s="186"/>
      <c r="L444" s="186"/>
      <c r="M444" s="67"/>
      <c r="N444" s="67"/>
      <c r="O444" s="67"/>
      <c r="P444" s="67"/>
      <c r="Q444" s="186"/>
      <c r="R444" s="186"/>
      <c r="S444" s="187"/>
      <c r="T444" s="187"/>
      <c r="U444" s="186"/>
      <c r="V444" s="186"/>
      <c r="W444" s="186"/>
    </row>
    <row r="445">
      <c r="A445" s="185"/>
      <c r="B445" s="67"/>
      <c r="C445" s="186"/>
      <c r="D445" s="186"/>
      <c r="E445" s="186"/>
      <c r="F445" s="186"/>
      <c r="G445" s="186"/>
      <c r="H445" s="186"/>
      <c r="I445" s="186"/>
      <c r="J445" s="186"/>
      <c r="K445" s="186"/>
      <c r="L445" s="186"/>
      <c r="M445" s="67"/>
      <c r="N445" s="67"/>
      <c r="O445" s="67"/>
      <c r="P445" s="67"/>
      <c r="Q445" s="186"/>
      <c r="R445" s="186"/>
      <c r="S445" s="187"/>
      <c r="T445" s="187"/>
      <c r="U445" s="186"/>
      <c r="V445" s="186"/>
      <c r="W445" s="186"/>
    </row>
    <row r="446">
      <c r="A446" s="185"/>
      <c r="B446" s="67"/>
      <c r="C446" s="186"/>
      <c r="D446" s="186"/>
      <c r="E446" s="186"/>
      <c r="F446" s="186"/>
      <c r="G446" s="186"/>
      <c r="H446" s="186"/>
      <c r="I446" s="186"/>
      <c r="J446" s="186"/>
      <c r="K446" s="186"/>
      <c r="L446" s="186"/>
      <c r="M446" s="67"/>
      <c r="N446" s="67"/>
      <c r="O446" s="67"/>
      <c r="P446" s="67"/>
      <c r="Q446" s="186"/>
      <c r="R446" s="186"/>
      <c r="S446" s="187"/>
      <c r="T446" s="187"/>
      <c r="U446" s="186"/>
      <c r="V446" s="186"/>
      <c r="W446" s="186"/>
    </row>
    <row r="447">
      <c r="A447" s="185"/>
      <c r="B447" s="67"/>
      <c r="C447" s="186"/>
      <c r="D447" s="186"/>
      <c r="E447" s="186"/>
      <c r="F447" s="186"/>
      <c r="G447" s="186"/>
      <c r="H447" s="186"/>
      <c r="I447" s="186"/>
      <c r="J447" s="186"/>
      <c r="K447" s="186"/>
      <c r="L447" s="186"/>
      <c r="M447" s="67"/>
      <c r="N447" s="67"/>
      <c r="O447" s="67"/>
      <c r="P447" s="67"/>
      <c r="Q447" s="186"/>
      <c r="R447" s="186"/>
      <c r="S447" s="187"/>
      <c r="T447" s="187"/>
      <c r="U447" s="186"/>
      <c r="V447" s="186"/>
      <c r="W447" s="186"/>
    </row>
    <row r="448">
      <c r="A448" s="185"/>
      <c r="B448" s="67"/>
      <c r="C448" s="186"/>
      <c r="D448" s="186"/>
      <c r="E448" s="186"/>
      <c r="F448" s="186"/>
      <c r="G448" s="186"/>
      <c r="H448" s="186"/>
      <c r="I448" s="186"/>
      <c r="J448" s="186"/>
      <c r="K448" s="186"/>
      <c r="L448" s="186"/>
      <c r="M448" s="67"/>
      <c r="N448" s="67"/>
      <c r="O448" s="67"/>
      <c r="P448" s="67"/>
      <c r="Q448" s="186"/>
      <c r="R448" s="186"/>
      <c r="S448" s="187"/>
      <c r="T448" s="187"/>
      <c r="U448" s="186"/>
      <c r="V448" s="186"/>
      <c r="W448" s="186"/>
    </row>
    <row r="449">
      <c r="A449" s="185"/>
      <c r="B449" s="67"/>
      <c r="C449" s="186"/>
      <c r="D449" s="186"/>
      <c r="E449" s="186"/>
      <c r="F449" s="186"/>
      <c r="G449" s="186"/>
      <c r="H449" s="186"/>
      <c r="I449" s="186"/>
      <c r="J449" s="186"/>
      <c r="K449" s="186"/>
      <c r="L449" s="186"/>
      <c r="M449" s="67"/>
      <c r="N449" s="67"/>
      <c r="O449" s="67"/>
      <c r="P449" s="67"/>
      <c r="Q449" s="186"/>
      <c r="R449" s="186"/>
      <c r="S449" s="187"/>
      <c r="T449" s="187"/>
      <c r="U449" s="186"/>
      <c r="V449" s="186"/>
      <c r="W449" s="186"/>
    </row>
    <row r="450">
      <c r="A450" s="185"/>
      <c r="B450" s="67"/>
      <c r="C450" s="186"/>
      <c r="D450" s="186"/>
      <c r="E450" s="186"/>
      <c r="F450" s="186"/>
      <c r="G450" s="186"/>
      <c r="H450" s="186"/>
      <c r="I450" s="186"/>
      <c r="J450" s="186"/>
      <c r="K450" s="186"/>
      <c r="L450" s="186"/>
      <c r="M450" s="67"/>
      <c r="N450" s="67"/>
      <c r="O450" s="67"/>
      <c r="P450" s="67"/>
      <c r="Q450" s="186"/>
      <c r="R450" s="186"/>
      <c r="S450" s="187"/>
      <c r="T450" s="187"/>
      <c r="U450" s="186"/>
      <c r="V450" s="186"/>
      <c r="W450" s="186"/>
    </row>
    <row r="451">
      <c r="A451" s="185"/>
      <c r="B451" s="67"/>
      <c r="C451" s="186"/>
      <c r="D451" s="186"/>
      <c r="E451" s="186"/>
      <c r="F451" s="186"/>
      <c r="G451" s="186"/>
      <c r="H451" s="186"/>
      <c r="I451" s="186"/>
      <c r="J451" s="186"/>
      <c r="K451" s="186"/>
      <c r="L451" s="186"/>
      <c r="M451" s="67"/>
      <c r="N451" s="67"/>
      <c r="O451" s="67"/>
      <c r="P451" s="67"/>
      <c r="Q451" s="186"/>
      <c r="R451" s="186"/>
      <c r="S451" s="187"/>
      <c r="T451" s="187"/>
      <c r="U451" s="186"/>
      <c r="V451" s="186"/>
      <c r="W451" s="186"/>
    </row>
    <row r="452">
      <c r="A452" s="185"/>
      <c r="B452" s="67"/>
      <c r="C452" s="186"/>
      <c r="D452" s="186"/>
      <c r="E452" s="186"/>
      <c r="F452" s="186"/>
      <c r="G452" s="186"/>
      <c r="H452" s="186"/>
      <c r="I452" s="186"/>
      <c r="J452" s="186"/>
      <c r="K452" s="186"/>
      <c r="L452" s="186"/>
      <c r="M452" s="67"/>
      <c r="N452" s="67"/>
      <c r="O452" s="67"/>
      <c r="P452" s="67"/>
      <c r="Q452" s="186"/>
      <c r="R452" s="186"/>
      <c r="S452" s="187"/>
      <c r="T452" s="187"/>
      <c r="U452" s="186"/>
      <c r="V452" s="186"/>
      <c r="W452" s="186"/>
    </row>
    <row r="453">
      <c r="A453" s="185"/>
      <c r="B453" s="67"/>
      <c r="C453" s="186"/>
      <c r="D453" s="186"/>
      <c r="E453" s="186"/>
      <c r="F453" s="186"/>
      <c r="G453" s="186"/>
      <c r="H453" s="186"/>
      <c r="I453" s="186"/>
      <c r="J453" s="186"/>
      <c r="K453" s="186"/>
      <c r="L453" s="186"/>
      <c r="M453" s="67"/>
      <c r="N453" s="67"/>
      <c r="O453" s="67"/>
      <c r="P453" s="67"/>
      <c r="Q453" s="186"/>
      <c r="R453" s="186"/>
      <c r="S453" s="187"/>
      <c r="T453" s="187"/>
      <c r="U453" s="186"/>
      <c r="V453" s="186"/>
      <c r="W453" s="186"/>
    </row>
    <row r="454">
      <c r="A454" s="185"/>
      <c r="B454" s="67"/>
      <c r="C454" s="186"/>
      <c r="D454" s="186"/>
      <c r="E454" s="186"/>
      <c r="F454" s="186"/>
      <c r="G454" s="186"/>
      <c r="H454" s="186"/>
      <c r="I454" s="186"/>
      <c r="J454" s="186"/>
      <c r="K454" s="186"/>
      <c r="L454" s="186"/>
      <c r="M454" s="67"/>
      <c r="N454" s="67"/>
      <c r="O454" s="67"/>
      <c r="P454" s="67"/>
      <c r="Q454" s="186"/>
      <c r="R454" s="186"/>
      <c r="S454" s="187"/>
      <c r="T454" s="187"/>
      <c r="U454" s="186"/>
      <c r="V454" s="186"/>
      <c r="W454" s="186"/>
    </row>
    <row r="455">
      <c r="A455" s="185"/>
      <c r="B455" s="67"/>
      <c r="C455" s="186"/>
      <c r="D455" s="186"/>
      <c r="E455" s="186"/>
      <c r="F455" s="186"/>
      <c r="G455" s="186"/>
      <c r="H455" s="186"/>
      <c r="I455" s="186"/>
      <c r="J455" s="186"/>
      <c r="K455" s="186"/>
      <c r="L455" s="186"/>
      <c r="M455" s="67"/>
      <c r="N455" s="67"/>
      <c r="O455" s="67"/>
      <c r="P455" s="67"/>
      <c r="Q455" s="186"/>
      <c r="R455" s="186"/>
      <c r="S455" s="187"/>
      <c r="T455" s="187"/>
      <c r="U455" s="186"/>
      <c r="V455" s="186"/>
      <c r="W455" s="186"/>
    </row>
    <row r="456">
      <c r="A456" s="185"/>
      <c r="B456" s="67"/>
      <c r="C456" s="186"/>
      <c r="D456" s="186"/>
      <c r="E456" s="186"/>
      <c r="F456" s="186"/>
      <c r="G456" s="186"/>
      <c r="H456" s="186"/>
      <c r="I456" s="186"/>
      <c r="J456" s="186"/>
      <c r="K456" s="186"/>
      <c r="L456" s="186"/>
      <c r="M456" s="67"/>
      <c r="N456" s="67"/>
      <c r="O456" s="67"/>
      <c r="P456" s="67"/>
      <c r="Q456" s="186"/>
      <c r="R456" s="186"/>
      <c r="S456" s="187"/>
      <c r="T456" s="187"/>
      <c r="U456" s="186"/>
      <c r="V456" s="186"/>
      <c r="W456" s="186"/>
    </row>
    <row r="457">
      <c r="A457" s="185"/>
      <c r="B457" s="67"/>
      <c r="C457" s="186"/>
      <c r="D457" s="186"/>
      <c r="E457" s="186"/>
      <c r="F457" s="186"/>
      <c r="G457" s="186"/>
      <c r="H457" s="186"/>
      <c r="I457" s="186"/>
      <c r="J457" s="186"/>
      <c r="K457" s="186"/>
      <c r="L457" s="186"/>
      <c r="M457" s="67"/>
      <c r="N457" s="67"/>
      <c r="O457" s="67"/>
      <c r="P457" s="67"/>
      <c r="Q457" s="186"/>
      <c r="R457" s="186"/>
      <c r="S457" s="187"/>
      <c r="T457" s="187"/>
      <c r="U457" s="186"/>
      <c r="V457" s="186"/>
      <c r="W457" s="186"/>
    </row>
    <row r="458">
      <c r="A458" s="185"/>
      <c r="B458" s="67"/>
      <c r="C458" s="186"/>
      <c r="D458" s="186"/>
      <c r="E458" s="186"/>
      <c r="F458" s="186"/>
      <c r="G458" s="186"/>
      <c r="H458" s="186"/>
      <c r="I458" s="186"/>
      <c r="J458" s="186"/>
      <c r="K458" s="186"/>
      <c r="L458" s="186"/>
      <c r="M458" s="67"/>
      <c r="N458" s="67"/>
      <c r="O458" s="67"/>
      <c r="P458" s="67"/>
      <c r="Q458" s="186"/>
      <c r="R458" s="186"/>
      <c r="S458" s="187"/>
      <c r="T458" s="187"/>
      <c r="U458" s="186"/>
      <c r="V458" s="186"/>
      <c r="W458" s="186"/>
    </row>
    <row r="459">
      <c r="A459" s="185"/>
      <c r="B459" s="67"/>
      <c r="C459" s="186"/>
      <c r="D459" s="186"/>
      <c r="E459" s="186"/>
      <c r="F459" s="186"/>
      <c r="G459" s="186"/>
      <c r="H459" s="186"/>
      <c r="I459" s="186"/>
      <c r="J459" s="186"/>
      <c r="K459" s="186"/>
      <c r="L459" s="186"/>
      <c r="M459" s="67"/>
      <c r="N459" s="67"/>
      <c r="O459" s="67"/>
      <c r="P459" s="67"/>
      <c r="Q459" s="186"/>
      <c r="R459" s="186"/>
      <c r="S459" s="187"/>
      <c r="T459" s="187"/>
      <c r="U459" s="186"/>
      <c r="V459" s="186"/>
      <c r="W459" s="186"/>
    </row>
    <row r="460">
      <c r="A460" s="185"/>
      <c r="B460" s="67"/>
      <c r="C460" s="186"/>
      <c r="D460" s="186"/>
      <c r="E460" s="186"/>
      <c r="F460" s="186"/>
      <c r="G460" s="186"/>
      <c r="H460" s="186"/>
      <c r="I460" s="186"/>
      <c r="J460" s="186"/>
      <c r="K460" s="186"/>
      <c r="L460" s="186"/>
      <c r="M460" s="67"/>
      <c r="N460" s="67"/>
      <c r="O460" s="67"/>
      <c r="P460" s="67"/>
      <c r="Q460" s="186"/>
      <c r="R460" s="186"/>
      <c r="S460" s="187"/>
      <c r="T460" s="187"/>
      <c r="U460" s="186"/>
      <c r="V460" s="186"/>
      <c r="W460" s="186"/>
    </row>
    <row r="461">
      <c r="A461" s="185"/>
      <c r="B461" s="67"/>
      <c r="C461" s="186"/>
      <c r="D461" s="186"/>
      <c r="E461" s="186"/>
      <c r="F461" s="186"/>
      <c r="G461" s="186"/>
      <c r="H461" s="186"/>
      <c r="I461" s="186"/>
      <c r="J461" s="186"/>
      <c r="K461" s="186"/>
      <c r="L461" s="186"/>
      <c r="M461" s="67"/>
      <c r="N461" s="67"/>
      <c r="O461" s="67"/>
      <c r="P461" s="67"/>
      <c r="Q461" s="186"/>
      <c r="R461" s="186"/>
      <c r="S461" s="187"/>
      <c r="T461" s="187"/>
      <c r="U461" s="186"/>
      <c r="V461" s="186"/>
      <c r="W461" s="186"/>
    </row>
    <row r="462">
      <c r="A462" s="185"/>
      <c r="B462" s="67"/>
      <c r="C462" s="186"/>
      <c r="D462" s="186"/>
      <c r="E462" s="186"/>
      <c r="F462" s="186"/>
      <c r="G462" s="186"/>
      <c r="H462" s="186"/>
      <c r="I462" s="186"/>
      <c r="J462" s="186"/>
      <c r="K462" s="186"/>
      <c r="L462" s="186"/>
      <c r="M462" s="67"/>
      <c r="N462" s="67"/>
      <c r="O462" s="67"/>
      <c r="P462" s="67"/>
      <c r="Q462" s="186"/>
      <c r="R462" s="186"/>
      <c r="S462" s="187"/>
      <c r="T462" s="187"/>
      <c r="U462" s="186"/>
      <c r="V462" s="186"/>
      <c r="W462" s="186"/>
    </row>
    <row r="463">
      <c r="A463" s="185"/>
      <c r="B463" s="67"/>
      <c r="C463" s="186"/>
      <c r="D463" s="186"/>
      <c r="E463" s="186"/>
      <c r="F463" s="186"/>
      <c r="G463" s="186"/>
      <c r="H463" s="186"/>
      <c r="I463" s="186"/>
      <c r="J463" s="186"/>
      <c r="K463" s="186"/>
      <c r="L463" s="186"/>
      <c r="M463" s="67"/>
      <c r="N463" s="67"/>
      <c r="O463" s="67"/>
      <c r="P463" s="67"/>
      <c r="Q463" s="186"/>
      <c r="R463" s="186"/>
      <c r="S463" s="187"/>
      <c r="T463" s="187"/>
      <c r="U463" s="186"/>
      <c r="V463" s="186"/>
      <c r="W463" s="186"/>
    </row>
    <row r="464">
      <c r="A464" s="185"/>
      <c r="B464" s="67"/>
      <c r="C464" s="186"/>
      <c r="D464" s="186"/>
      <c r="E464" s="186"/>
      <c r="F464" s="186"/>
      <c r="G464" s="186"/>
      <c r="H464" s="186"/>
      <c r="I464" s="186"/>
      <c r="J464" s="186"/>
      <c r="K464" s="186"/>
      <c r="L464" s="186"/>
      <c r="M464" s="67"/>
      <c r="N464" s="67"/>
      <c r="O464" s="67"/>
      <c r="P464" s="67"/>
      <c r="Q464" s="186"/>
      <c r="R464" s="186"/>
      <c r="S464" s="187"/>
      <c r="T464" s="187"/>
      <c r="U464" s="186"/>
      <c r="V464" s="186"/>
      <c r="W464" s="186"/>
    </row>
    <row r="465">
      <c r="A465" s="185"/>
      <c r="B465" s="67"/>
      <c r="C465" s="186"/>
      <c r="D465" s="186"/>
      <c r="E465" s="186"/>
      <c r="F465" s="186"/>
      <c r="G465" s="186"/>
      <c r="H465" s="186"/>
      <c r="I465" s="186"/>
      <c r="J465" s="186"/>
      <c r="K465" s="186"/>
      <c r="L465" s="186"/>
      <c r="M465" s="67"/>
      <c r="N465" s="67"/>
      <c r="O465" s="67"/>
      <c r="P465" s="67"/>
      <c r="Q465" s="186"/>
      <c r="R465" s="186"/>
      <c r="S465" s="187"/>
      <c r="T465" s="187"/>
      <c r="U465" s="186"/>
      <c r="V465" s="186"/>
      <c r="W465" s="186"/>
    </row>
    <row r="466">
      <c r="A466" s="185"/>
      <c r="B466" s="67"/>
      <c r="C466" s="186"/>
      <c r="D466" s="186"/>
      <c r="E466" s="186"/>
      <c r="F466" s="186"/>
      <c r="G466" s="186"/>
      <c r="H466" s="186"/>
      <c r="I466" s="186"/>
      <c r="J466" s="186"/>
      <c r="K466" s="186"/>
      <c r="L466" s="186"/>
      <c r="M466" s="67"/>
      <c r="N466" s="67"/>
      <c r="O466" s="67"/>
      <c r="P466" s="67"/>
      <c r="Q466" s="186"/>
      <c r="R466" s="186"/>
      <c r="S466" s="187"/>
      <c r="T466" s="187"/>
      <c r="U466" s="186"/>
      <c r="V466" s="186"/>
      <c r="W466" s="186"/>
    </row>
    <row r="467">
      <c r="A467" s="185"/>
      <c r="B467" s="67"/>
      <c r="C467" s="186"/>
      <c r="D467" s="186"/>
      <c r="E467" s="186"/>
      <c r="F467" s="186"/>
      <c r="G467" s="186"/>
      <c r="H467" s="186"/>
      <c r="I467" s="186"/>
      <c r="J467" s="186"/>
      <c r="K467" s="186"/>
      <c r="L467" s="186"/>
      <c r="M467" s="67"/>
      <c r="N467" s="67"/>
      <c r="O467" s="67"/>
      <c r="P467" s="67"/>
      <c r="Q467" s="186"/>
      <c r="R467" s="186"/>
      <c r="S467" s="187"/>
      <c r="T467" s="187"/>
      <c r="U467" s="186"/>
      <c r="V467" s="186"/>
      <c r="W467" s="186"/>
    </row>
    <row r="468">
      <c r="A468" s="185"/>
      <c r="B468" s="67"/>
      <c r="C468" s="186"/>
      <c r="D468" s="186"/>
      <c r="E468" s="186"/>
      <c r="F468" s="186"/>
      <c r="G468" s="186"/>
      <c r="H468" s="186"/>
      <c r="I468" s="186"/>
      <c r="J468" s="186"/>
      <c r="K468" s="186"/>
      <c r="L468" s="186"/>
      <c r="M468" s="67"/>
      <c r="N468" s="67"/>
      <c r="O468" s="67"/>
      <c r="P468" s="67"/>
      <c r="Q468" s="186"/>
      <c r="R468" s="186"/>
      <c r="S468" s="187"/>
      <c r="T468" s="187"/>
      <c r="U468" s="186"/>
      <c r="V468" s="186"/>
      <c r="W468" s="186"/>
    </row>
    <row r="469">
      <c r="A469" s="185"/>
      <c r="B469" s="67"/>
      <c r="C469" s="186"/>
      <c r="D469" s="186"/>
      <c r="E469" s="186"/>
      <c r="F469" s="186"/>
      <c r="G469" s="186"/>
      <c r="H469" s="186"/>
      <c r="I469" s="186"/>
      <c r="J469" s="186"/>
      <c r="K469" s="186"/>
      <c r="L469" s="186"/>
      <c r="M469" s="67"/>
      <c r="N469" s="67"/>
      <c r="O469" s="67"/>
      <c r="P469" s="67"/>
      <c r="Q469" s="186"/>
      <c r="R469" s="186"/>
      <c r="S469" s="187"/>
      <c r="T469" s="187"/>
      <c r="U469" s="186"/>
      <c r="V469" s="186"/>
      <c r="W469" s="186"/>
    </row>
    <row r="470">
      <c r="A470" s="185"/>
      <c r="B470" s="67"/>
      <c r="C470" s="186"/>
      <c r="D470" s="186"/>
      <c r="E470" s="186"/>
      <c r="F470" s="186"/>
      <c r="G470" s="186"/>
      <c r="H470" s="186"/>
      <c r="I470" s="186"/>
      <c r="J470" s="186"/>
      <c r="K470" s="186"/>
      <c r="L470" s="186"/>
      <c r="M470" s="67"/>
      <c r="N470" s="67"/>
      <c r="O470" s="67"/>
      <c r="P470" s="67"/>
      <c r="Q470" s="186"/>
      <c r="R470" s="186"/>
      <c r="S470" s="187"/>
      <c r="T470" s="187"/>
      <c r="U470" s="186"/>
      <c r="V470" s="186"/>
      <c r="W470" s="186"/>
    </row>
    <row r="471">
      <c r="A471" s="185"/>
      <c r="B471" s="67"/>
      <c r="C471" s="186"/>
      <c r="D471" s="186"/>
      <c r="E471" s="186"/>
      <c r="F471" s="186"/>
      <c r="G471" s="186"/>
      <c r="H471" s="186"/>
      <c r="I471" s="186"/>
      <c r="J471" s="186"/>
      <c r="K471" s="186"/>
      <c r="L471" s="186"/>
      <c r="M471" s="67"/>
      <c r="N471" s="67"/>
      <c r="O471" s="67"/>
      <c r="P471" s="67"/>
      <c r="Q471" s="186"/>
      <c r="R471" s="186"/>
      <c r="S471" s="187"/>
      <c r="T471" s="187"/>
      <c r="U471" s="186"/>
      <c r="V471" s="186"/>
      <c r="W471" s="186"/>
    </row>
    <row r="472">
      <c r="A472" s="185"/>
      <c r="B472" s="67"/>
      <c r="C472" s="186"/>
      <c r="D472" s="186"/>
      <c r="E472" s="186"/>
      <c r="F472" s="186"/>
      <c r="G472" s="186"/>
      <c r="H472" s="186"/>
      <c r="I472" s="186"/>
      <c r="J472" s="186"/>
      <c r="K472" s="186"/>
      <c r="L472" s="186"/>
      <c r="M472" s="67"/>
      <c r="N472" s="67"/>
      <c r="O472" s="67"/>
      <c r="P472" s="67"/>
      <c r="Q472" s="186"/>
      <c r="R472" s="186"/>
      <c r="S472" s="187"/>
      <c r="T472" s="187"/>
      <c r="U472" s="186"/>
      <c r="V472" s="186"/>
      <c r="W472" s="186"/>
    </row>
    <row r="473">
      <c r="A473" s="185"/>
      <c r="B473" s="67"/>
      <c r="C473" s="186"/>
      <c r="D473" s="186"/>
      <c r="E473" s="186"/>
      <c r="F473" s="186"/>
      <c r="G473" s="186"/>
      <c r="H473" s="186"/>
      <c r="I473" s="186"/>
      <c r="J473" s="186"/>
      <c r="K473" s="186"/>
      <c r="L473" s="186"/>
      <c r="M473" s="67"/>
      <c r="N473" s="67"/>
      <c r="O473" s="67"/>
      <c r="P473" s="67"/>
      <c r="Q473" s="186"/>
      <c r="R473" s="186"/>
      <c r="S473" s="187"/>
      <c r="T473" s="187"/>
      <c r="U473" s="186"/>
      <c r="V473" s="186"/>
      <c r="W473" s="186"/>
    </row>
    <row r="474">
      <c r="A474" s="185"/>
      <c r="B474" s="67"/>
      <c r="C474" s="186"/>
      <c r="D474" s="186"/>
      <c r="E474" s="186"/>
      <c r="F474" s="186"/>
      <c r="G474" s="186"/>
      <c r="H474" s="186"/>
      <c r="I474" s="186"/>
      <c r="J474" s="186"/>
      <c r="K474" s="186"/>
      <c r="L474" s="186"/>
      <c r="M474" s="67"/>
      <c r="N474" s="67"/>
      <c r="O474" s="67"/>
      <c r="P474" s="67"/>
      <c r="Q474" s="186"/>
      <c r="R474" s="186"/>
      <c r="S474" s="187"/>
      <c r="T474" s="187"/>
      <c r="U474" s="186"/>
      <c r="V474" s="186"/>
      <c r="W474" s="186"/>
    </row>
    <row r="475">
      <c r="A475" s="185"/>
      <c r="B475" s="67"/>
      <c r="C475" s="186"/>
      <c r="D475" s="186"/>
      <c r="E475" s="186"/>
      <c r="F475" s="186"/>
      <c r="G475" s="186"/>
      <c r="H475" s="186"/>
      <c r="I475" s="186"/>
      <c r="J475" s="186"/>
      <c r="K475" s="186"/>
      <c r="L475" s="186"/>
      <c r="M475" s="67"/>
      <c r="N475" s="67"/>
      <c r="O475" s="67"/>
      <c r="P475" s="67"/>
      <c r="Q475" s="186"/>
      <c r="R475" s="186"/>
      <c r="S475" s="187"/>
      <c r="T475" s="187"/>
      <c r="U475" s="186"/>
      <c r="V475" s="186"/>
      <c r="W475" s="186"/>
    </row>
    <row r="476">
      <c r="A476" s="185"/>
      <c r="B476" s="67"/>
      <c r="C476" s="186"/>
      <c r="D476" s="186"/>
      <c r="E476" s="186"/>
      <c r="F476" s="186"/>
      <c r="G476" s="186"/>
      <c r="H476" s="186"/>
      <c r="I476" s="186"/>
      <c r="J476" s="186"/>
      <c r="K476" s="186"/>
      <c r="L476" s="186"/>
      <c r="M476" s="67"/>
      <c r="N476" s="67"/>
      <c r="O476" s="67"/>
      <c r="P476" s="67"/>
      <c r="Q476" s="186"/>
      <c r="R476" s="186"/>
      <c r="S476" s="187"/>
      <c r="T476" s="187"/>
      <c r="U476" s="186"/>
      <c r="V476" s="186"/>
      <c r="W476" s="186"/>
    </row>
    <row r="477">
      <c r="A477" s="185"/>
      <c r="B477" s="67"/>
      <c r="C477" s="186"/>
      <c r="D477" s="186"/>
      <c r="E477" s="186"/>
      <c r="F477" s="186"/>
      <c r="G477" s="186"/>
      <c r="H477" s="186"/>
      <c r="I477" s="186"/>
      <c r="J477" s="186"/>
      <c r="K477" s="186"/>
      <c r="L477" s="186"/>
      <c r="M477" s="67"/>
      <c r="N477" s="67"/>
      <c r="O477" s="67"/>
      <c r="P477" s="67"/>
      <c r="Q477" s="186"/>
      <c r="R477" s="186"/>
      <c r="S477" s="187"/>
      <c r="T477" s="187"/>
      <c r="U477" s="186"/>
      <c r="V477" s="186"/>
      <c r="W477" s="186"/>
    </row>
    <row r="478">
      <c r="A478" s="185"/>
      <c r="B478" s="67"/>
      <c r="C478" s="186"/>
      <c r="D478" s="186"/>
      <c r="E478" s="186"/>
      <c r="F478" s="186"/>
      <c r="G478" s="186"/>
      <c r="H478" s="186"/>
      <c r="I478" s="186"/>
      <c r="J478" s="186"/>
      <c r="K478" s="186"/>
      <c r="L478" s="186"/>
      <c r="M478" s="67"/>
      <c r="N478" s="67"/>
      <c r="O478" s="67"/>
      <c r="P478" s="67"/>
      <c r="Q478" s="186"/>
      <c r="R478" s="186"/>
      <c r="S478" s="187"/>
      <c r="T478" s="187"/>
      <c r="U478" s="186"/>
      <c r="V478" s="186"/>
      <c r="W478" s="186"/>
    </row>
    <row r="479">
      <c r="A479" s="185"/>
      <c r="B479" s="67"/>
      <c r="C479" s="186"/>
      <c r="D479" s="186"/>
      <c r="E479" s="186"/>
      <c r="F479" s="186"/>
      <c r="G479" s="186"/>
      <c r="H479" s="186"/>
      <c r="I479" s="186"/>
      <c r="J479" s="186"/>
      <c r="K479" s="186"/>
      <c r="L479" s="186"/>
      <c r="M479" s="67"/>
      <c r="N479" s="67"/>
      <c r="O479" s="67"/>
      <c r="P479" s="67"/>
      <c r="Q479" s="186"/>
      <c r="R479" s="186"/>
      <c r="S479" s="187"/>
      <c r="T479" s="187"/>
      <c r="U479" s="186"/>
      <c r="V479" s="186"/>
      <c r="W479" s="186"/>
    </row>
    <row r="480">
      <c r="A480" s="185"/>
      <c r="B480" s="67"/>
      <c r="C480" s="186"/>
      <c r="D480" s="186"/>
      <c r="E480" s="186"/>
      <c r="F480" s="186"/>
      <c r="G480" s="186"/>
      <c r="H480" s="186"/>
      <c r="I480" s="186"/>
      <c r="J480" s="186"/>
      <c r="K480" s="186"/>
      <c r="L480" s="186"/>
      <c r="M480" s="67"/>
      <c r="N480" s="67"/>
      <c r="O480" s="67"/>
      <c r="P480" s="67"/>
      <c r="Q480" s="186"/>
      <c r="R480" s="186"/>
      <c r="S480" s="187"/>
      <c r="T480" s="187"/>
      <c r="U480" s="186"/>
      <c r="V480" s="186"/>
      <c r="W480" s="186"/>
    </row>
    <row r="481">
      <c r="A481" s="185"/>
      <c r="B481" s="67"/>
      <c r="C481" s="186"/>
      <c r="D481" s="186"/>
      <c r="E481" s="186"/>
      <c r="F481" s="186"/>
      <c r="G481" s="186"/>
      <c r="H481" s="186"/>
      <c r="I481" s="186"/>
      <c r="J481" s="186"/>
      <c r="K481" s="186"/>
      <c r="L481" s="186"/>
      <c r="M481" s="67"/>
      <c r="N481" s="67"/>
      <c r="O481" s="67"/>
      <c r="P481" s="67"/>
      <c r="Q481" s="186"/>
      <c r="R481" s="186"/>
      <c r="S481" s="187"/>
      <c r="T481" s="187"/>
      <c r="U481" s="186"/>
      <c r="V481" s="186"/>
      <c r="W481" s="186"/>
    </row>
    <row r="482">
      <c r="A482" s="185"/>
      <c r="B482" s="67"/>
      <c r="C482" s="186"/>
      <c r="D482" s="186"/>
      <c r="E482" s="186"/>
      <c r="F482" s="186"/>
      <c r="G482" s="186"/>
      <c r="H482" s="186"/>
      <c r="I482" s="186"/>
      <c r="J482" s="186"/>
      <c r="K482" s="186"/>
      <c r="L482" s="186"/>
      <c r="M482" s="67"/>
      <c r="N482" s="67"/>
      <c r="O482" s="67"/>
      <c r="P482" s="67"/>
      <c r="Q482" s="186"/>
      <c r="R482" s="186"/>
      <c r="S482" s="187"/>
      <c r="T482" s="187"/>
      <c r="U482" s="186"/>
      <c r="V482" s="186"/>
      <c r="W482" s="186"/>
    </row>
    <row r="483">
      <c r="A483" s="185"/>
      <c r="B483" s="67"/>
      <c r="C483" s="186"/>
      <c r="D483" s="186"/>
      <c r="E483" s="186"/>
      <c r="F483" s="186"/>
      <c r="G483" s="186"/>
      <c r="H483" s="186"/>
      <c r="I483" s="186"/>
      <c r="J483" s="186"/>
      <c r="K483" s="186"/>
      <c r="L483" s="186"/>
      <c r="M483" s="67"/>
      <c r="N483" s="67"/>
      <c r="O483" s="67"/>
      <c r="P483" s="67"/>
      <c r="Q483" s="186"/>
      <c r="R483" s="186"/>
      <c r="S483" s="187"/>
      <c r="T483" s="187"/>
      <c r="U483" s="186"/>
      <c r="V483" s="186"/>
      <c r="W483" s="186"/>
    </row>
    <row r="484">
      <c r="A484" s="185"/>
      <c r="B484" s="67"/>
      <c r="C484" s="186"/>
      <c r="D484" s="186"/>
      <c r="E484" s="186"/>
      <c r="F484" s="186"/>
      <c r="G484" s="186"/>
      <c r="H484" s="186"/>
      <c r="I484" s="186"/>
      <c r="J484" s="186"/>
      <c r="K484" s="186"/>
      <c r="L484" s="186"/>
      <c r="M484" s="67"/>
      <c r="N484" s="67"/>
      <c r="O484" s="67"/>
      <c r="P484" s="67"/>
      <c r="Q484" s="186"/>
      <c r="R484" s="186"/>
      <c r="S484" s="187"/>
      <c r="T484" s="187"/>
      <c r="U484" s="186"/>
      <c r="V484" s="186"/>
      <c r="W484" s="186"/>
    </row>
    <row r="485">
      <c r="A485" s="185"/>
      <c r="B485" s="67"/>
      <c r="C485" s="186"/>
      <c r="D485" s="186"/>
      <c r="E485" s="186"/>
      <c r="F485" s="186"/>
      <c r="G485" s="186"/>
      <c r="H485" s="186"/>
      <c r="I485" s="186"/>
      <c r="J485" s="186"/>
      <c r="K485" s="186"/>
      <c r="L485" s="186"/>
      <c r="M485" s="67"/>
      <c r="N485" s="67"/>
      <c r="O485" s="67"/>
      <c r="P485" s="67"/>
      <c r="Q485" s="186"/>
      <c r="R485" s="186"/>
      <c r="S485" s="187"/>
      <c r="T485" s="187"/>
      <c r="U485" s="186"/>
      <c r="V485" s="186"/>
      <c r="W485" s="186"/>
    </row>
    <row r="486">
      <c r="A486" s="185"/>
      <c r="B486" s="67"/>
      <c r="C486" s="186"/>
      <c r="D486" s="186"/>
      <c r="E486" s="186"/>
      <c r="F486" s="186"/>
      <c r="G486" s="186"/>
      <c r="H486" s="186"/>
      <c r="I486" s="186"/>
      <c r="J486" s="186"/>
      <c r="K486" s="186"/>
      <c r="L486" s="186"/>
      <c r="M486" s="67"/>
      <c r="N486" s="67"/>
      <c r="O486" s="67"/>
      <c r="P486" s="67"/>
      <c r="Q486" s="186"/>
      <c r="R486" s="186"/>
      <c r="S486" s="187"/>
      <c r="T486" s="187"/>
      <c r="U486" s="186"/>
      <c r="V486" s="186"/>
      <c r="W486" s="186"/>
    </row>
    <row r="487">
      <c r="A487" s="185"/>
      <c r="B487" s="67"/>
      <c r="C487" s="186"/>
      <c r="D487" s="186"/>
      <c r="E487" s="186"/>
      <c r="F487" s="186"/>
      <c r="G487" s="186"/>
      <c r="H487" s="186"/>
      <c r="I487" s="186"/>
      <c r="J487" s="186"/>
      <c r="K487" s="186"/>
      <c r="L487" s="186"/>
      <c r="M487" s="67"/>
      <c r="N487" s="67"/>
      <c r="O487" s="67"/>
      <c r="P487" s="67"/>
      <c r="Q487" s="186"/>
      <c r="R487" s="186"/>
      <c r="S487" s="187"/>
      <c r="T487" s="187"/>
      <c r="U487" s="186"/>
      <c r="V487" s="186"/>
      <c r="W487" s="186"/>
    </row>
    <row r="488">
      <c r="A488" s="185"/>
      <c r="B488" s="67"/>
      <c r="C488" s="186"/>
      <c r="D488" s="186"/>
      <c r="E488" s="186"/>
      <c r="F488" s="186"/>
      <c r="G488" s="186"/>
      <c r="H488" s="186"/>
      <c r="I488" s="186"/>
      <c r="J488" s="186"/>
      <c r="K488" s="186"/>
      <c r="L488" s="186"/>
      <c r="M488" s="67"/>
      <c r="N488" s="67"/>
      <c r="O488" s="67"/>
      <c r="P488" s="67"/>
      <c r="Q488" s="186"/>
      <c r="R488" s="186"/>
      <c r="S488" s="187"/>
      <c r="T488" s="187"/>
      <c r="U488" s="186"/>
      <c r="V488" s="186"/>
      <c r="W488" s="186"/>
    </row>
    <row r="489">
      <c r="A489" s="185"/>
      <c r="B489" s="67"/>
      <c r="C489" s="186"/>
      <c r="D489" s="186"/>
      <c r="E489" s="186"/>
      <c r="F489" s="186"/>
      <c r="G489" s="186"/>
      <c r="H489" s="186"/>
      <c r="I489" s="186"/>
      <c r="J489" s="186"/>
      <c r="K489" s="186"/>
      <c r="L489" s="186"/>
      <c r="M489" s="67"/>
      <c r="N489" s="67"/>
      <c r="O489" s="67"/>
      <c r="P489" s="67"/>
      <c r="Q489" s="186"/>
      <c r="R489" s="186"/>
      <c r="S489" s="187"/>
      <c r="T489" s="187"/>
      <c r="U489" s="186"/>
      <c r="V489" s="186"/>
      <c r="W489" s="186"/>
    </row>
    <row r="490">
      <c r="A490" s="185"/>
      <c r="B490" s="67"/>
      <c r="C490" s="186"/>
      <c r="D490" s="186"/>
      <c r="E490" s="186"/>
      <c r="F490" s="186"/>
      <c r="G490" s="186"/>
      <c r="H490" s="186"/>
      <c r="I490" s="186"/>
      <c r="J490" s="186"/>
      <c r="K490" s="186"/>
      <c r="L490" s="186"/>
      <c r="M490" s="67"/>
      <c r="N490" s="67"/>
      <c r="O490" s="67"/>
      <c r="P490" s="67"/>
      <c r="Q490" s="186"/>
      <c r="R490" s="186"/>
      <c r="S490" s="187"/>
      <c r="T490" s="187"/>
      <c r="U490" s="186"/>
      <c r="V490" s="186"/>
      <c r="W490" s="186"/>
    </row>
    <row r="491">
      <c r="A491" s="185"/>
      <c r="B491" s="67"/>
      <c r="C491" s="186"/>
      <c r="D491" s="186"/>
      <c r="E491" s="186"/>
      <c r="F491" s="186"/>
      <c r="G491" s="186"/>
      <c r="H491" s="186"/>
      <c r="I491" s="186"/>
      <c r="J491" s="186"/>
      <c r="K491" s="186"/>
      <c r="L491" s="186"/>
      <c r="M491" s="67"/>
      <c r="N491" s="67"/>
      <c r="O491" s="67"/>
      <c r="P491" s="67"/>
      <c r="Q491" s="186"/>
      <c r="R491" s="186"/>
      <c r="S491" s="187"/>
      <c r="T491" s="187"/>
      <c r="U491" s="186"/>
      <c r="V491" s="186"/>
      <c r="W491" s="186"/>
    </row>
    <row r="492">
      <c r="A492" s="185"/>
      <c r="B492" s="67"/>
      <c r="C492" s="186"/>
      <c r="D492" s="186"/>
      <c r="E492" s="186"/>
      <c r="F492" s="186"/>
      <c r="G492" s="186"/>
      <c r="H492" s="186"/>
      <c r="I492" s="186"/>
      <c r="J492" s="186"/>
      <c r="K492" s="186"/>
      <c r="L492" s="186"/>
      <c r="M492" s="67"/>
      <c r="N492" s="67"/>
      <c r="O492" s="67"/>
      <c r="P492" s="67"/>
      <c r="Q492" s="186"/>
      <c r="R492" s="186"/>
      <c r="S492" s="187"/>
      <c r="T492" s="187"/>
      <c r="U492" s="186"/>
      <c r="V492" s="186"/>
      <c r="W492" s="186"/>
    </row>
    <row r="493">
      <c r="A493" s="185"/>
      <c r="B493" s="67"/>
      <c r="C493" s="186"/>
      <c r="D493" s="186"/>
      <c r="E493" s="186"/>
      <c r="F493" s="186"/>
      <c r="G493" s="186"/>
      <c r="H493" s="186"/>
      <c r="I493" s="186"/>
      <c r="J493" s="186"/>
      <c r="K493" s="186"/>
      <c r="L493" s="186"/>
      <c r="M493" s="67"/>
      <c r="N493" s="67"/>
      <c r="O493" s="67"/>
      <c r="P493" s="67"/>
      <c r="Q493" s="186"/>
      <c r="R493" s="186"/>
      <c r="S493" s="187"/>
      <c r="T493" s="187"/>
      <c r="U493" s="186"/>
      <c r="V493" s="186"/>
      <c r="W493" s="186"/>
    </row>
    <row r="494">
      <c r="A494" s="185"/>
      <c r="B494" s="67"/>
      <c r="C494" s="186"/>
      <c r="D494" s="186"/>
      <c r="E494" s="186"/>
      <c r="F494" s="186"/>
      <c r="G494" s="186"/>
      <c r="H494" s="186"/>
      <c r="I494" s="186"/>
      <c r="J494" s="186"/>
      <c r="K494" s="186"/>
      <c r="L494" s="186"/>
      <c r="M494" s="67"/>
      <c r="N494" s="67"/>
      <c r="O494" s="67"/>
      <c r="P494" s="67"/>
      <c r="Q494" s="186"/>
      <c r="R494" s="186"/>
      <c r="S494" s="187"/>
      <c r="T494" s="187"/>
      <c r="U494" s="186"/>
      <c r="V494" s="186"/>
      <c r="W494" s="186"/>
    </row>
    <row r="495">
      <c r="A495" s="185"/>
      <c r="B495" s="67"/>
      <c r="C495" s="186"/>
      <c r="D495" s="186"/>
      <c r="E495" s="186"/>
      <c r="F495" s="186"/>
      <c r="G495" s="186"/>
      <c r="H495" s="186"/>
      <c r="I495" s="186"/>
      <c r="J495" s="186"/>
      <c r="K495" s="186"/>
      <c r="L495" s="186"/>
      <c r="M495" s="67"/>
      <c r="N495" s="67"/>
      <c r="O495" s="67"/>
      <c r="P495" s="67"/>
      <c r="Q495" s="186"/>
      <c r="R495" s="186"/>
      <c r="S495" s="187"/>
      <c r="T495" s="187"/>
      <c r="U495" s="186"/>
      <c r="V495" s="186"/>
      <c r="W495" s="186"/>
    </row>
    <row r="496">
      <c r="A496" s="185"/>
      <c r="B496" s="67"/>
      <c r="C496" s="186"/>
      <c r="D496" s="186"/>
      <c r="E496" s="186"/>
      <c r="F496" s="186"/>
      <c r="G496" s="186"/>
      <c r="H496" s="186"/>
      <c r="I496" s="186"/>
      <c r="J496" s="186"/>
      <c r="K496" s="186"/>
      <c r="L496" s="186"/>
      <c r="M496" s="67"/>
      <c r="N496" s="67"/>
      <c r="O496" s="67"/>
      <c r="P496" s="67"/>
      <c r="Q496" s="186"/>
      <c r="R496" s="186"/>
      <c r="S496" s="187"/>
      <c r="T496" s="187"/>
      <c r="U496" s="186"/>
      <c r="V496" s="186"/>
      <c r="W496" s="186"/>
    </row>
    <row r="497">
      <c r="A497" s="185"/>
      <c r="B497" s="67"/>
      <c r="C497" s="186"/>
      <c r="D497" s="186"/>
      <c r="E497" s="186"/>
      <c r="F497" s="186"/>
      <c r="G497" s="186"/>
      <c r="H497" s="186"/>
      <c r="I497" s="186"/>
      <c r="J497" s="186"/>
      <c r="K497" s="186"/>
      <c r="L497" s="186"/>
      <c r="M497" s="67"/>
      <c r="N497" s="67"/>
      <c r="O497" s="67"/>
      <c r="P497" s="67"/>
      <c r="Q497" s="186"/>
      <c r="R497" s="186"/>
      <c r="S497" s="187"/>
      <c r="T497" s="187"/>
      <c r="U497" s="186"/>
      <c r="V497" s="186"/>
      <c r="W497" s="186"/>
    </row>
    <row r="498">
      <c r="A498" s="185"/>
      <c r="B498" s="67"/>
      <c r="C498" s="186"/>
      <c r="D498" s="186"/>
      <c r="E498" s="186"/>
      <c r="F498" s="186"/>
      <c r="G498" s="186"/>
      <c r="H498" s="186"/>
      <c r="I498" s="186"/>
      <c r="J498" s="186"/>
      <c r="K498" s="186"/>
      <c r="L498" s="186"/>
      <c r="M498" s="67"/>
      <c r="N498" s="67"/>
      <c r="O498" s="67"/>
      <c r="P498" s="67"/>
      <c r="Q498" s="186"/>
      <c r="R498" s="186"/>
      <c r="S498" s="187"/>
      <c r="T498" s="187"/>
      <c r="U498" s="186"/>
      <c r="V498" s="186"/>
      <c r="W498" s="186"/>
    </row>
    <row r="499">
      <c r="A499" s="185"/>
      <c r="B499" s="67"/>
      <c r="C499" s="186"/>
      <c r="D499" s="186"/>
      <c r="E499" s="186"/>
      <c r="F499" s="186"/>
      <c r="G499" s="186"/>
      <c r="H499" s="186"/>
      <c r="I499" s="186"/>
      <c r="J499" s="186"/>
      <c r="K499" s="186"/>
      <c r="L499" s="186"/>
      <c r="M499" s="67"/>
      <c r="N499" s="67"/>
      <c r="O499" s="67"/>
      <c r="P499" s="67"/>
      <c r="Q499" s="186"/>
      <c r="R499" s="186"/>
      <c r="S499" s="187"/>
      <c r="T499" s="187"/>
      <c r="U499" s="186"/>
      <c r="V499" s="186"/>
      <c r="W499" s="186"/>
    </row>
    <row r="500">
      <c r="A500" s="185"/>
      <c r="B500" s="67"/>
      <c r="C500" s="186"/>
      <c r="D500" s="186"/>
      <c r="E500" s="186"/>
      <c r="F500" s="186"/>
      <c r="G500" s="186"/>
      <c r="H500" s="186"/>
      <c r="I500" s="186"/>
      <c r="J500" s="186"/>
      <c r="K500" s="186"/>
      <c r="L500" s="186"/>
      <c r="M500" s="67"/>
      <c r="N500" s="67"/>
      <c r="O500" s="67"/>
      <c r="P500" s="67"/>
      <c r="Q500" s="186"/>
      <c r="R500" s="186"/>
      <c r="S500" s="187"/>
      <c r="T500" s="187"/>
      <c r="U500" s="186"/>
      <c r="V500" s="186"/>
      <c r="W500" s="186"/>
    </row>
    <row r="501">
      <c r="A501" s="185"/>
      <c r="B501" s="67"/>
      <c r="C501" s="186"/>
      <c r="D501" s="186"/>
      <c r="E501" s="186"/>
      <c r="F501" s="186"/>
      <c r="G501" s="186"/>
      <c r="H501" s="186"/>
      <c r="I501" s="186"/>
      <c r="J501" s="186"/>
      <c r="K501" s="186"/>
      <c r="L501" s="186"/>
      <c r="M501" s="67"/>
      <c r="N501" s="67"/>
      <c r="O501" s="67"/>
      <c r="P501" s="67"/>
      <c r="Q501" s="186"/>
      <c r="R501" s="186"/>
      <c r="S501" s="187"/>
      <c r="T501" s="187"/>
      <c r="U501" s="186"/>
      <c r="V501" s="186"/>
      <c r="W501" s="186"/>
    </row>
    <row r="502">
      <c r="A502" s="185"/>
      <c r="B502" s="67"/>
      <c r="C502" s="186"/>
      <c r="D502" s="186"/>
      <c r="E502" s="186"/>
      <c r="F502" s="186"/>
      <c r="G502" s="186"/>
      <c r="H502" s="186"/>
      <c r="I502" s="186"/>
      <c r="J502" s="186"/>
      <c r="K502" s="186"/>
      <c r="L502" s="186"/>
      <c r="M502" s="67"/>
      <c r="N502" s="67"/>
      <c r="O502" s="67"/>
      <c r="P502" s="67"/>
      <c r="Q502" s="186"/>
      <c r="R502" s="186"/>
      <c r="S502" s="187"/>
      <c r="T502" s="187"/>
      <c r="U502" s="186"/>
      <c r="V502" s="186"/>
      <c r="W502" s="186"/>
    </row>
    <row r="503">
      <c r="A503" s="185"/>
      <c r="B503" s="67"/>
      <c r="C503" s="186"/>
      <c r="D503" s="186"/>
      <c r="E503" s="186"/>
      <c r="F503" s="186"/>
      <c r="G503" s="186"/>
      <c r="H503" s="186"/>
      <c r="I503" s="186"/>
      <c r="J503" s="186"/>
      <c r="K503" s="186"/>
      <c r="L503" s="186"/>
      <c r="M503" s="67"/>
      <c r="N503" s="67"/>
      <c r="O503" s="67"/>
      <c r="P503" s="67"/>
      <c r="Q503" s="186"/>
      <c r="R503" s="186"/>
      <c r="S503" s="187"/>
      <c r="T503" s="187"/>
      <c r="U503" s="186"/>
      <c r="V503" s="186"/>
      <c r="W503" s="186"/>
    </row>
    <row r="504">
      <c r="A504" s="185"/>
      <c r="B504" s="67"/>
      <c r="C504" s="186"/>
      <c r="D504" s="186"/>
      <c r="E504" s="186"/>
      <c r="F504" s="186"/>
      <c r="G504" s="186"/>
      <c r="H504" s="186"/>
      <c r="I504" s="186"/>
      <c r="J504" s="186"/>
      <c r="K504" s="186"/>
      <c r="L504" s="186"/>
      <c r="M504" s="67"/>
      <c r="N504" s="67"/>
      <c r="O504" s="67"/>
      <c r="P504" s="67"/>
      <c r="Q504" s="186"/>
      <c r="R504" s="186"/>
      <c r="S504" s="187"/>
      <c r="T504" s="187"/>
      <c r="U504" s="186"/>
      <c r="V504" s="186"/>
      <c r="W504" s="186"/>
    </row>
    <row r="505">
      <c r="A505" s="185"/>
      <c r="B505" s="67"/>
      <c r="C505" s="186"/>
      <c r="D505" s="186"/>
      <c r="E505" s="186"/>
      <c r="F505" s="186"/>
      <c r="G505" s="186"/>
      <c r="H505" s="186"/>
      <c r="I505" s="186"/>
      <c r="J505" s="186"/>
      <c r="K505" s="186"/>
      <c r="L505" s="186"/>
      <c r="M505" s="67"/>
      <c r="N505" s="67"/>
      <c r="O505" s="67"/>
      <c r="P505" s="67"/>
      <c r="Q505" s="186"/>
      <c r="R505" s="186"/>
      <c r="S505" s="187"/>
      <c r="T505" s="187"/>
      <c r="U505" s="186"/>
      <c r="V505" s="186"/>
      <c r="W505" s="186"/>
    </row>
    <row r="506">
      <c r="A506" s="185"/>
      <c r="B506" s="67"/>
      <c r="C506" s="186"/>
      <c r="D506" s="186"/>
      <c r="E506" s="186"/>
      <c r="F506" s="186"/>
      <c r="G506" s="186"/>
      <c r="H506" s="186"/>
      <c r="I506" s="186"/>
      <c r="J506" s="186"/>
      <c r="K506" s="186"/>
      <c r="L506" s="186"/>
      <c r="M506" s="67"/>
      <c r="N506" s="67"/>
      <c r="O506" s="67"/>
      <c r="P506" s="67"/>
      <c r="Q506" s="186"/>
      <c r="R506" s="186"/>
      <c r="S506" s="187"/>
      <c r="T506" s="187"/>
      <c r="U506" s="186"/>
      <c r="V506" s="186"/>
      <c r="W506" s="186"/>
    </row>
    <row r="507">
      <c r="A507" s="185"/>
      <c r="B507" s="67"/>
      <c r="C507" s="186"/>
      <c r="D507" s="186"/>
      <c r="E507" s="186"/>
      <c r="F507" s="186"/>
      <c r="G507" s="186"/>
      <c r="H507" s="186"/>
      <c r="I507" s="186"/>
      <c r="J507" s="186"/>
      <c r="K507" s="186"/>
      <c r="L507" s="186"/>
      <c r="M507" s="67"/>
      <c r="N507" s="67"/>
      <c r="O507" s="67"/>
      <c r="P507" s="67"/>
      <c r="Q507" s="186"/>
      <c r="R507" s="186"/>
      <c r="S507" s="187"/>
      <c r="T507" s="187"/>
      <c r="U507" s="186"/>
      <c r="V507" s="186"/>
      <c r="W507" s="186"/>
    </row>
    <row r="508">
      <c r="A508" s="185"/>
      <c r="B508" s="67"/>
      <c r="C508" s="186"/>
      <c r="D508" s="186"/>
      <c r="E508" s="186"/>
      <c r="F508" s="186"/>
      <c r="G508" s="186"/>
      <c r="H508" s="186"/>
      <c r="I508" s="186"/>
      <c r="J508" s="186"/>
      <c r="K508" s="186"/>
      <c r="L508" s="186"/>
      <c r="M508" s="67"/>
      <c r="N508" s="67"/>
      <c r="O508" s="67"/>
      <c r="P508" s="67"/>
      <c r="Q508" s="186"/>
      <c r="R508" s="186"/>
      <c r="S508" s="187"/>
      <c r="T508" s="187"/>
      <c r="U508" s="186"/>
      <c r="V508" s="186"/>
      <c r="W508" s="186"/>
    </row>
    <row r="509">
      <c r="A509" s="185"/>
      <c r="B509" s="67"/>
      <c r="C509" s="186"/>
      <c r="D509" s="186"/>
      <c r="E509" s="186"/>
      <c r="F509" s="186"/>
      <c r="G509" s="186"/>
      <c r="H509" s="186"/>
      <c r="I509" s="186"/>
      <c r="J509" s="186"/>
      <c r="K509" s="186"/>
      <c r="L509" s="186"/>
      <c r="M509" s="67"/>
      <c r="N509" s="67"/>
      <c r="O509" s="67"/>
      <c r="P509" s="67"/>
      <c r="Q509" s="186"/>
      <c r="R509" s="186"/>
      <c r="S509" s="187"/>
      <c r="T509" s="187"/>
      <c r="U509" s="186"/>
      <c r="V509" s="186"/>
      <c r="W509" s="186"/>
    </row>
    <row r="510">
      <c r="A510" s="185"/>
      <c r="B510" s="67"/>
      <c r="C510" s="186"/>
      <c r="D510" s="186"/>
      <c r="E510" s="186"/>
      <c r="F510" s="186"/>
      <c r="G510" s="186"/>
      <c r="H510" s="186"/>
      <c r="I510" s="186"/>
      <c r="J510" s="186"/>
      <c r="K510" s="186"/>
      <c r="L510" s="186"/>
      <c r="M510" s="67"/>
      <c r="N510" s="67"/>
      <c r="O510" s="67"/>
      <c r="P510" s="67"/>
      <c r="Q510" s="186"/>
      <c r="R510" s="186"/>
      <c r="S510" s="187"/>
      <c r="T510" s="187"/>
      <c r="U510" s="186"/>
      <c r="V510" s="186"/>
      <c r="W510" s="186"/>
    </row>
    <row r="511">
      <c r="A511" s="185"/>
      <c r="B511" s="67"/>
      <c r="C511" s="186"/>
      <c r="D511" s="186"/>
      <c r="E511" s="186"/>
      <c r="F511" s="186"/>
      <c r="G511" s="186"/>
      <c r="H511" s="186"/>
      <c r="I511" s="186"/>
      <c r="J511" s="186"/>
      <c r="K511" s="186"/>
      <c r="L511" s="186"/>
      <c r="M511" s="67"/>
      <c r="N511" s="67"/>
      <c r="O511" s="67"/>
      <c r="P511" s="67"/>
      <c r="Q511" s="186"/>
      <c r="R511" s="186"/>
      <c r="S511" s="187"/>
      <c r="T511" s="187"/>
      <c r="U511" s="186"/>
      <c r="V511" s="186"/>
      <c r="W511" s="186"/>
    </row>
    <row r="512">
      <c r="A512" s="185"/>
      <c r="B512" s="67"/>
      <c r="C512" s="186"/>
      <c r="D512" s="186"/>
      <c r="E512" s="186"/>
      <c r="F512" s="186"/>
      <c r="G512" s="186"/>
      <c r="H512" s="186"/>
      <c r="I512" s="186"/>
      <c r="J512" s="186"/>
      <c r="K512" s="186"/>
      <c r="L512" s="186"/>
      <c r="M512" s="67"/>
      <c r="N512" s="67"/>
      <c r="O512" s="67"/>
      <c r="P512" s="67"/>
      <c r="Q512" s="186"/>
      <c r="R512" s="186"/>
      <c r="S512" s="187"/>
      <c r="T512" s="187"/>
      <c r="U512" s="186"/>
      <c r="V512" s="186"/>
      <c r="W512" s="186"/>
    </row>
    <row r="513">
      <c r="A513" s="185"/>
      <c r="B513" s="67"/>
      <c r="C513" s="186"/>
      <c r="D513" s="186"/>
      <c r="E513" s="186"/>
      <c r="F513" s="186"/>
      <c r="G513" s="186"/>
      <c r="H513" s="186"/>
      <c r="I513" s="186"/>
      <c r="J513" s="186"/>
      <c r="K513" s="186"/>
      <c r="L513" s="186"/>
      <c r="M513" s="67"/>
      <c r="N513" s="67"/>
      <c r="O513" s="67"/>
      <c r="P513" s="67"/>
      <c r="Q513" s="186"/>
      <c r="R513" s="186"/>
      <c r="S513" s="187"/>
      <c r="T513" s="187"/>
      <c r="U513" s="186"/>
      <c r="V513" s="186"/>
      <c r="W513" s="186"/>
    </row>
    <row r="514">
      <c r="A514" s="185"/>
      <c r="B514" s="67"/>
      <c r="C514" s="186"/>
      <c r="D514" s="186"/>
      <c r="E514" s="186"/>
      <c r="F514" s="186"/>
      <c r="G514" s="186"/>
      <c r="H514" s="186"/>
      <c r="I514" s="186"/>
      <c r="J514" s="186"/>
      <c r="K514" s="186"/>
      <c r="L514" s="186"/>
      <c r="M514" s="67"/>
      <c r="N514" s="67"/>
      <c r="O514" s="67"/>
      <c r="P514" s="67"/>
      <c r="Q514" s="186"/>
      <c r="R514" s="186"/>
      <c r="S514" s="187"/>
      <c r="T514" s="187"/>
      <c r="U514" s="186"/>
      <c r="V514" s="186"/>
      <c r="W514" s="186"/>
    </row>
    <row r="515">
      <c r="A515" s="185"/>
      <c r="B515" s="67"/>
      <c r="C515" s="186"/>
      <c r="D515" s="186"/>
      <c r="E515" s="186"/>
      <c r="F515" s="186"/>
      <c r="G515" s="186"/>
      <c r="H515" s="186"/>
      <c r="I515" s="186"/>
      <c r="J515" s="186"/>
      <c r="K515" s="186"/>
      <c r="L515" s="186"/>
      <c r="M515" s="67"/>
      <c r="N515" s="67"/>
      <c r="O515" s="67"/>
      <c r="P515" s="67"/>
      <c r="Q515" s="186"/>
      <c r="R515" s="186"/>
      <c r="S515" s="187"/>
      <c r="T515" s="187"/>
      <c r="U515" s="186"/>
      <c r="V515" s="186"/>
      <c r="W515" s="186"/>
    </row>
    <row r="516">
      <c r="A516" s="185"/>
      <c r="B516" s="67"/>
      <c r="C516" s="186"/>
      <c r="D516" s="186"/>
      <c r="E516" s="186"/>
      <c r="F516" s="186"/>
      <c r="G516" s="186"/>
      <c r="H516" s="186"/>
      <c r="I516" s="186"/>
      <c r="J516" s="186"/>
      <c r="K516" s="186"/>
      <c r="L516" s="186"/>
      <c r="M516" s="67"/>
      <c r="N516" s="67"/>
      <c r="O516" s="67"/>
      <c r="P516" s="67"/>
      <c r="Q516" s="186"/>
      <c r="R516" s="186"/>
      <c r="S516" s="187"/>
      <c r="T516" s="187"/>
      <c r="U516" s="186"/>
      <c r="V516" s="186"/>
      <c r="W516" s="186"/>
    </row>
    <row r="517">
      <c r="A517" s="185"/>
      <c r="B517" s="67"/>
      <c r="C517" s="186"/>
      <c r="D517" s="186"/>
      <c r="E517" s="186"/>
      <c r="F517" s="186"/>
      <c r="G517" s="186"/>
      <c r="H517" s="186"/>
      <c r="I517" s="186"/>
      <c r="J517" s="186"/>
      <c r="K517" s="186"/>
      <c r="L517" s="186"/>
      <c r="M517" s="67"/>
      <c r="N517" s="67"/>
      <c r="O517" s="67"/>
      <c r="P517" s="67"/>
      <c r="Q517" s="186"/>
      <c r="R517" s="186"/>
      <c r="S517" s="187"/>
      <c r="T517" s="187"/>
      <c r="U517" s="186"/>
      <c r="V517" s="186"/>
      <c r="W517" s="186"/>
    </row>
    <row r="518">
      <c r="A518" s="185"/>
      <c r="B518" s="67"/>
      <c r="C518" s="186"/>
      <c r="D518" s="186"/>
      <c r="E518" s="186"/>
      <c r="F518" s="186"/>
      <c r="G518" s="186"/>
      <c r="H518" s="186"/>
      <c r="I518" s="186"/>
      <c r="J518" s="186"/>
      <c r="K518" s="186"/>
      <c r="L518" s="186"/>
      <c r="M518" s="67"/>
      <c r="N518" s="67"/>
      <c r="O518" s="67"/>
      <c r="P518" s="67"/>
      <c r="Q518" s="186"/>
      <c r="R518" s="186"/>
      <c r="S518" s="187"/>
      <c r="T518" s="187"/>
      <c r="U518" s="186"/>
      <c r="V518" s="186"/>
      <c r="W518" s="186"/>
    </row>
    <row r="519">
      <c r="A519" s="185"/>
      <c r="B519" s="67"/>
      <c r="C519" s="186"/>
      <c r="D519" s="186"/>
      <c r="E519" s="186"/>
      <c r="F519" s="186"/>
      <c r="G519" s="186"/>
      <c r="H519" s="186"/>
      <c r="I519" s="186"/>
      <c r="J519" s="186"/>
      <c r="K519" s="186"/>
      <c r="L519" s="186"/>
      <c r="M519" s="67"/>
      <c r="N519" s="67"/>
      <c r="O519" s="67"/>
      <c r="P519" s="67"/>
      <c r="Q519" s="186"/>
      <c r="R519" s="186"/>
      <c r="S519" s="187"/>
      <c r="T519" s="187"/>
      <c r="U519" s="186"/>
      <c r="V519" s="186"/>
      <c r="W519" s="186"/>
    </row>
    <row r="520">
      <c r="A520" s="185"/>
      <c r="B520" s="67"/>
      <c r="C520" s="186"/>
      <c r="D520" s="186"/>
      <c r="E520" s="186"/>
      <c r="F520" s="186"/>
      <c r="G520" s="186"/>
      <c r="H520" s="186"/>
      <c r="I520" s="186"/>
      <c r="J520" s="186"/>
      <c r="K520" s="186"/>
      <c r="L520" s="186"/>
      <c r="M520" s="67"/>
      <c r="N520" s="67"/>
      <c r="O520" s="67"/>
      <c r="P520" s="67"/>
      <c r="Q520" s="186"/>
      <c r="R520" s="186"/>
      <c r="S520" s="187"/>
      <c r="T520" s="187"/>
      <c r="U520" s="186"/>
      <c r="V520" s="186"/>
      <c r="W520" s="186"/>
    </row>
    <row r="521">
      <c r="A521" s="185"/>
      <c r="B521" s="67"/>
      <c r="C521" s="186"/>
      <c r="D521" s="186"/>
      <c r="E521" s="186"/>
      <c r="F521" s="186"/>
      <c r="G521" s="186"/>
      <c r="H521" s="186"/>
      <c r="I521" s="186"/>
      <c r="J521" s="186"/>
      <c r="K521" s="186"/>
      <c r="L521" s="186"/>
      <c r="M521" s="67"/>
      <c r="N521" s="67"/>
      <c r="O521" s="67"/>
      <c r="P521" s="67"/>
      <c r="Q521" s="186"/>
      <c r="R521" s="186"/>
      <c r="S521" s="187"/>
      <c r="T521" s="187"/>
      <c r="U521" s="186"/>
      <c r="V521" s="186"/>
      <c r="W521" s="186"/>
    </row>
    <row r="522">
      <c r="A522" s="185"/>
      <c r="B522" s="67"/>
      <c r="C522" s="186"/>
      <c r="D522" s="186"/>
      <c r="E522" s="186"/>
      <c r="F522" s="186"/>
      <c r="G522" s="186"/>
      <c r="H522" s="186"/>
      <c r="I522" s="186"/>
      <c r="J522" s="186"/>
      <c r="K522" s="186"/>
      <c r="L522" s="186"/>
      <c r="M522" s="67"/>
      <c r="N522" s="67"/>
      <c r="O522" s="67"/>
      <c r="P522" s="67"/>
      <c r="Q522" s="186"/>
      <c r="R522" s="186"/>
      <c r="S522" s="187"/>
      <c r="T522" s="187"/>
      <c r="U522" s="186"/>
      <c r="V522" s="186"/>
      <c r="W522" s="186"/>
    </row>
    <row r="523">
      <c r="A523" s="185"/>
      <c r="B523" s="67"/>
      <c r="C523" s="186"/>
      <c r="D523" s="186"/>
      <c r="E523" s="186"/>
      <c r="F523" s="186"/>
      <c r="G523" s="186"/>
      <c r="H523" s="186"/>
      <c r="I523" s="186"/>
      <c r="J523" s="186"/>
      <c r="K523" s="186"/>
      <c r="L523" s="186"/>
      <c r="M523" s="67"/>
      <c r="N523" s="67"/>
      <c r="O523" s="67"/>
      <c r="P523" s="67"/>
      <c r="Q523" s="186"/>
      <c r="R523" s="186"/>
      <c r="S523" s="187"/>
      <c r="T523" s="187"/>
      <c r="U523" s="186"/>
      <c r="V523" s="186"/>
      <c r="W523" s="186"/>
    </row>
    <row r="524">
      <c r="A524" s="185"/>
      <c r="B524" s="67"/>
      <c r="C524" s="186"/>
      <c r="D524" s="186"/>
      <c r="E524" s="186"/>
      <c r="F524" s="186"/>
      <c r="G524" s="186"/>
      <c r="H524" s="186"/>
      <c r="I524" s="186"/>
      <c r="J524" s="186"/>
      <c r="K524" s="186"/>
      <c r="L524" s="186"/>
      <c r="M524" s="67"/>
      <c r="N524" s="67"/>
      <c r="O524" s="67"/>
      <c r="P524" s="67"/>
      <c r="Q524" s="186"/>
      <c r="R524" s="186"/>
      <c r="S524" s="187"/>
      <c r="T524" s="187"/>
      <c r="U524" s="186"/>
      <c r="V524" s="186"/>
      <c r="W524" s="186"/>
    </row>
    <row r="525">
      <c r="A525" s="185"/>
      <c r="B525" s="67"/>
      <c r="C525" s="186"/>
      <c r="D525" s="186"/>
      <c r="E525" s="186"/>
      <c r="F525" s="186"/>
      <c r="G525" s="186"/>
      <c r="H525" s="186"/>
      <c r="I525" s="186"/>
      <c r="J525" s="186"/>
      <c r="K525" s="186"/>
      <c r="L525" s="186"/>
      <c r="M525" s="67"/>
      <c r="N525" s="67"/>
      <c r="O525" s="67"/>
      <c r="P525" s="67"/>
      <c r="Q525" s="186"/>
      <c r="R525" s="186"/>
      <c r="S525" s="187"/>
      <c r="T525" s="187"/>
      <c r="U525" s="186"/>
      <c r="V525" s="186"/>
      <c r="W525" s="186"/>
    </row>
    <row r="526">
      <c r="A526" s="185"/>
      <c r="B526" s="67"/>
      <c r="C526" s="186"/>
      <c r="D526" s="186"/>
      <c r="E526" s="186"/>
      <c r="F526" s="186"/>
      <c r="G526" s="186"/>
      <c r="H526" s="186"/>
      <c r="I526" s="186"/>
      <c r="J526" s="186"/>
      <c r="K526" s="186"/>
      <c r="L526" s="186"/>
      <c r="M526" s="67"/>
      <c r="N526" s="67"/>
      <c r="O526" s="67"/>
      <c r="P526" s="67"/>
      <c r="Q526" s="186"/>
      <c r="R526" s="186"/>
      <c r="S526" s="187"/>
      <c r="T526" s="187"/>
      <c r="U526" s="186"/>
      <c r="V526" s="186"/>
      <c r="W526" s="186"/>
    </row>
    <row r="527">
      <c r="A527" s="185"/>
      <c r="B527" s="67"/>
      <c r="C527" s="186"/>
      <c r="D527" s="186"/>
      <c r="E527" s="186"/>
      <c r="F527" s="186"/>
      <c r="G527" s="186"/>
      <c r="H527" s="186"/>
      <c r="I527" s="186"/>
      <c r="J527" s="186"/>
      <c r="K527" s="186"/>
      <c r="L527" s="186"/>
      <c r="M527" s="67"/>
      <c r="N527" s="67"/>
      <c r="O527" s="67"/>
      <c r="P527" s="67"/>
      <c r="Q527" s="186"/>
      <c r="R527" s="186"/>
      <c r="S527" s="187"/>
      <c r="T527" s="187"/>
      <c r="U527" s="186"/>
      <c r="V527" s="186"/>
      <c r="W527" s="186"/>
    </row>
    <row r="528">
      <c r="A528" s="185"/>
      <c r="B528" s="67"/>
      <c r="C528" s="186"/>
      <c r="D528" s="186"/>
      <c r="E528" s="186"/>
      <c r="F528" s="186"/>
      <c r="G528" s="186"/>
      <c r="H528" s="186"/>
      <c r="I528" s="186"/>
      <c r="J528" s="186"/>
      <c r="K528" s="186"/>
      <c r="L528" s="186"/>
      <c r="M528" s="67"/>
      <c r="N528" s="67"/>
      <c r="O528" s="67"/>
      <c r="P528" s="67"/>
      <c r="Q528" s="186"/>
      <c r="R528" s="186"/>
      <c r="S528" s="187"/>
      <c r="T528" s="187"/>
      <c r="U528" s="186"/>
      <c r="V528" s="186"/>
      <c r="W528" s="186"/>
    </row>
    <row r="529">
      <c r="A529" s="185"/>
      <c r="B529" s="67"/>
      <c r="C529" s="186"/>
      <c r="D529" s="186"/>
      <c r="E529" s="186"/>
      <c r="F529" s="186"/>
      <c r="G529" s="186"/>
      <c r="H529" s="186"/>
      <c r="I529" s="186"/>
      <c r="J529" s="186"/>
      <c r="K529" s="186"/>
      <c r="L529" s="186"/>
      <c r="M529" s="67"/>
      <c r="N529" s="67"/>
      <c r="O529" s="67"/>
      <c r="P529" s="67"/>
      <c r="Q529" s="186"/>
      <c r="R529" s="186"/>
      <c r="S529" s="187"/>
      <c r="T529" s="187"/>
      <c r="U529" s="186"/>
      <c r="V529" s="186"/>
      <c r="W529" s="186"/>
    </row>
    <row r="530">
      <c r="A530" s="185"/>
      <c r="B530" s="67"/>
      <c r="C530" s="186"/>
      <c r="D530" s="186"/>
      <c r="E530" s="186"/>
      <c r="F530" s="186"/>
      <c r="G530" s="186"/>
      <c r="H530" s="186"/>
      <c r="I530" s="186"/>
      <c r="J530" s="186"/>
      <c r="K530" s="186"/>
      <c r="L530" s="186"/>
      <c r="M530" s="67"/>
      <c r="N530" s="67"/>
      <c r="O530" s="67"/>
      <c r="P530" s="67"/>
      <c r="Q530" s="186"/>
      <c r="R530" s="186"/>
      <c r="S530" s="187"/>
      <c r="T530" s="187"/>
      <c r="U530" s="186"/>
      <c r="V530" s="186"/>
      <c r="W530" s="186"/>
    </row>
    <row r="531">
      <c r="A531" s="185"/>
      <c r="B531" s="67"/>
      <c r="C531" s="186"/>
      <c r="D531" s="186"/>
      <c r="E531" s="186"/>
      <c r="F531" s="186"/>
      <c r="G531" s="186"/>
      <c r="H531" s="186"/>
      <c r="I531" s="186"/>
      <c r="J531" s="186"/>
      <c r="K531" s="186"/>
      <c r="L531" s="186"/>
      <c r="M531" s="67"/>
      <c r="N531" s="67"/>
      <c r="O531" s="67"/>
      <c r="P531" s="67"/>
      <c r="Q531" s="186"/>
      <c r="R531" s="186"/>
      <c r="S531" s="187"/>
      <c r="T531" s="187"/>
      <c r="U531" s="186"/>
      <c r="V531" s="186"/>
      <c r="W531" s="186"/>
    </row>
    <row r="532">
      <c r="A532" s="185"/>
      <c r="B532" s="67"/>
      <c r="C532" s="186"/>
      <c r="D532" s="186"/>
      <c r="E532" s="186"/>
      <c r="F532" s="186"/>
      <c r="G532" s="186"/>
      <c r="H532" s="186"/>
      <c r="I532" s="186"/>
      <c r="J532" s="186"/>
      <c r="K532" s="186"/>
      <c r="L532" s="186"/>
      <c r="M532" s="67"/>
      <c r="N532" s="67"/>
      <c r="O532" s="67"/>
      <c r="P532" s="67"/>
      <c r="Q532" s="186"/>
      <c r="R532" s="186"/>
      <c r="S532" s="187"/>
      <c r="T532" s="187"/>
      <c r="U532" s="186"/>
      <c r="V532" s="186"/>
      <c r="W532" s="186"/>
    </row>
    <row r="533">
      <c r="A533" s="185"/>
      <c r="B533" s="67"/>
      <c r="C533" s="186"/>
      <c r="D533" s="186"/>
      <c r="E533" s="186"/>
      <c r="F533" s="186"/>
      <c r="G533" s="186"/>
      <c r="H533" s="186"/>
      <c r="I533" s="186"/>
      <c r="J533" s="186"/>
      <c r="K533" s="186"/>
      <c r="L533" s="186"/>
      <c r="M533" s="67"/>
      <c r="N533" s="67"/>
      <c r="O533" s="67"/>
      <c r="P533" s="67"/>
      <c r="Q533" s="186"/>
      <c r="R533" s="186"/>
      <c r="S533" s="187"/>
      <c r="T533" s="187"/>
      <c r="U533" s="186"/>
      <c r="V533" s="186"/>
      <c r="W533" s="186"/>
    </row>
    <row r="534">
      <c r="A534" s="185"/>
      <c r="B534" s="67"/>
      <c r="C534" s="186"/>
      <c r="D534" s="186"/>
      <c r="E534" s="186"/>
      <c r="F534" s="186"/>
      <c r="G534" s="186"/>
      <c r="H534" s="186"/>
      <c r="I534" s="186"/>
      <c r="J534" s="186"/>
      <c r="K534" s="186"/>
      <c r="L534" s="186"/>
      <c r="M534" s="67"/>
      <c r="N534" s="67"/>
      <c r="O534" s="67"/>
      <c r="P534" s="67"/>
      <c r="Q534" s="186"/>
      <c r="R534" s="186"/>
      <c r="S534" s="187"/>
      <c r="T534" s="187"/>
      <c r="U534" s="186"/>
      <c r="V534" s="186"/>
      <c r="W534" s="186"/>
    </row>
    <row r="535">
      <c r="A535" s="185"/>
      <c r="B535" s="67"/>
      <c r="C535" s="186"/>
      <c r="D535" s="186"/>
      <c r="E535" s="186"/>
      <c r="F535" s="186"/>
      <c r="G535" s="186"/>
      <c r="H535" s="186"/>
      <c r="I535" s="186"/>
      <c r="J535" s="186"/>
      <c r="K535" s="186"/>
      <c r="L535" s="186"/>
      <c r="M535" s="67"/>
      <c r="N535" s="67"/>
      <c r="O535" s="67"/>
      <c r="P535" s="67"/>
      <c r="Q535" s="186"/>
      <c r="R535" s="186"/>
      <c r="S535" s="187"/>
      <c r="T535" s="187"/>
      <c r="U535" s="186"/>
      <c r="V535" s="186"/>
      <c r="W535" s="186"/>
    </row>
    <row r="536">
      <c r="A536" s="185"/>
      <c r="B536" s="67"/>
      <c r="C536" s="186"/>
      <c r="D536" s="186"/>
      <c r="E536" s="186"/>
      <c r="F536" s="186"/>
      <c r="G536" s="186"/>
      <c r="H536" s="186"/>
      <c r="I536" s="186"/>
      <c r="J536" s="186"/>
      <c r="K536" s="186"/>
      <c r="L536" s="186"/>
      <c r="M536" s="67"/>
      <c r="N536" s="67"/>
      <c r="O536" s="67"/>
      <c r="P536" s="67"/>
      <c r="Q536" s="186"/>
      <c r="R536" s="186"/>
      <c r="S536" s="187"/>
      <c r="T536" s="187"/>
      <c r="U536" s="186"/>
      <c r="V536" s="186"/>
      <c r="W536" s="186"/>
    </row>
    <row r="537">
      <c r="A537" s="185"/>
      <c r="B537" s="67"/>
      <c r="C537" s="186"/>
      <c r="D537" s="186"/>
      <c r="E537" s="186"/>
      <c r="F537" s="186"/>
      <c r="G537" s="186"/>
      <c r="H537" s="186"/>
      <c r="I537" s="186"/>
      <c r="J537" s="186"/>
      <c r="K537" s="186"/>
      <c r="L537" s="186"/>
      <c r="M537" s="67"/>
      <c r="N537" s="67"/>
      <c r="O537" s="67"/>
      <c r="P537" s="67"/>
      <c r="Q537" s="186"/>
      <c r="R537" s="186"/>
      <c r="S537" s="187"/>
      <c r="T537" s="187"/>
      <c r="U537" s="186"/>
      <c r="V537" s="186"/>
      <c r="W537" s="186"/>
    </row>
    <row r="538">
      <c r="A538" s="185"/>
      <c r="B538" s="67"/>
      <c r="C538" s="186"/>
      <c r="D538" s="186"/>
      <c r="E538" s="186"/>
      <c r="F538" s="186"/>
      <c r="G538" s="186"/>
      <c r="H538" s="186"/>
      <c r="I538" s="186"/>
      <c r="J538" s="186"/>
      <c r="K538" s="186"/>
      <c r="L538" s="186"/>
      <c r="M538" s="67"/>
      <c r="N538" s="67"/>
      <c r="O538" s="67"/>
      <c r="P538" s="67"/>
      <c r="Q538" s="186"/>
      <c r="R538" s="186"/>
      <c r="S538" s="187"/>
      <c r="T538" s="187"/>
      <c r="U538" s="186"/>
      <c r="V538" s="186"/>
      <c r="W538" s="186"/>
    </row>
    <row r="539">
      <c r="A539" s="185"/>
      <c r="B539" s="67"/>
      <c r="C539" s="186"/>
      <c r="D539" s="186"/>
      <c r="E539" s="186"/>
      <c r="F539" s="186"/>
      <c r="G539" s="186"/>
      <c r="H539" s="186"/>
      <c r="I539" s="186"/>
      <c r="J539" s="186"/>
      <c r="K539" s="186"/>
      <c r="L539" s="186"/>
      <c r="M539" s="67"/>
      <c r="N539" s="67"/>
      <c r="O539" s="67"/>
      <c r="P539" s="67"/>
      <c r="Q539" s="186"/>
      <c r="R539" s="186"/>
      <c r="S539" s="187"/>
      <c r="T539" s="187"/>
      <c r="U539" s="186"/>
      <c r="V539" s="186"/>
      <c r="W539" s="186"/>
    </row>
    <row r="540">
      <c r="A540" s="185"/>
      <c r="B540" s="67"/>
      <c r="C540" s="186"/>
      <c r="D540" s="186"/>
      <c r="E540" s="186"/>
      <c r="F540" s="186"/>
      <c r="G540" s="186"/>
      <c r="H540" s="186"/>
      <c r="I540" s="186"/>
      <c r="J540" s="186"/>
      <c r="K540" s="186"/>
      <c r="L540" s="186"/>
      <c r="M540" s="67"/>
      <c r="N540" s="67"/>
      <c r="O540" s="67"/>
      <c r="P540" s="67"/>
      <c r="Q540" s="186"/>
      <c r="R540" s="186"/>
      <c r="S540" s="187"/>
      <c r="T540" s="187"/>
      <c r="U540" s="186"/>
      <c r="V540" s="186"/>
      <c r="W540" s="186"/>
    </row>
    <row r="541">
      <c r="A541" s="185"/>
      <c r="B541" s="67"/>
      <c r="C541" s="186"/>
      <c r="D541" s="186"/>
      <c r="E541" s="186"/>
      <c r="F541" s="186"/>
      <c r="G541" s="186"/>
      <c r="H541" s="186"/>
      <c r="I541" s="186"/>
      <c r="J541" s="186"/>
      <c r="K541" s="186"/>
      <c r="L541" s="186"/>
      <c r="M541" s="67"/>
      <c r="N541" s="67"/>
      <c r="O541" s="67"/>
      <c r="P541" s="67"/>
      <c r="Q541" s="186"/>
      <c r="R541" s="186"/>
      <c r="S541" s="187"/>
      <c r="T541" s="187"/>
      <c r="U541" s="186"/>
      <c r="V541" s="186"/>
      <c r="W541" s="186"/>
    </row>
    <row r="542">
      <c r="A542" s="185"/>
      <c r="B542" s="67"/>
      <c r="C542" s="186"/>
      <c r="D542" s="186"/>
      <c r="E542" s="186"/>
      <c r="F542" s="186"/>
      <c r="G542" s="186"/>
      <c r="H542" s="186"/>
      <c r="I542" s="186"/>
      <c r="J542" s="186"/>
      <c r="K542" s="186"/>
      <c r="L542" s="186"/>
      <c r="M542" s="67"/>
      <c r="N542" s="67"/>
      <c r="O542" s="67"/>
      <c r="P542" s="67"/>
      <c r="Q542" s="186"/>
      <c r="R542" s="186"/>
      <c r="S542" s="187"/>
      <c r="T542" s="187"/>
      <c r="U542" s="186"/>
      <c r="V542" s="186"/>
      <c r="W542" s="186"/>
    </row>
    <row r="543">
      <c r="A543" s="185"/>
      <c r="B543" s="67"/>
      <c r="C543" s="186"/>
      <c r="D543" s="186"/>
      <c r="E543" s="186"/>
      <c r="F543" s="186"/>
      <c r="G543" s="186"/>
      <c r="H543" s="186"/>
      <c r="I543" s="186"/>
      <c r="J543" s="186"/>
      <c r="K543" s="186"/>
      <c r="L543" s="186"/>
      <c r="M543" s="67"/>
      <c r="N543" s="67"/>
      <c r="O543" s="67"/>
      <c r="P543" s="67"/>
      <c r="Q543" s="186"/>
      <c r="R543" s="186"/>
      <c r="S543" s="187"/>
      <c r="T543" s="187"/>
      <c r="U543" s="186"/>
      <c r="V543" s="186"/>
      <c r="W543" s="186"/>
    </row>
    <row r="544">
      <c r="A544" s="185"/>
      <c r="B544" s="67"/>
      <c r="C544" s="186"/>
      <c r="D544" s="186"/>
      <c r="E544" s="186"/>
      <c r="F544" s="186"/>
      <c r="G544" s="186"/>
      <c r="H544" s="186"/>
      <c r="I544" s="186"/>
      <c r="J544" s="186"/>
      <c r="K544" s="186"/>
      <c r="L544" s="186"/>
      <c r="M544" s="67"/>
      <c r="N544" s="67"/>
      <c r="O544" s="67"/>
      <c r="P544" s="67"/>
      <c r="Q544" s="186"/>
      <c r="R544" s="186"/>
      <c r="S544" s="187"/>
      <c r="T544" s="187"/>
      <c r="U544" s="186"/>
      <c r="V544" s="186"/>
      <c r="W544" s="186"/>
    </row>
    <row r="545">
      <c r="A545" s="185"/>
      <c r="B545" s="67"/>
      <c r="C545" s="186"/>
      <c r="D545" s="186"/>
      <c r="E545" s="186"/>
      <c r="F545" s="186"/>
      <c r="G545" s="186"/>
      <c r="H545" s="186"/>
      <c r="I545" s="186"/>
      <c r="J545" s="186"/>
      <c r="K545" s="186"/>
      <c r="L545" s="186"/>
      <c r="M545" s="67"/>
      <c r="N545" s="67"/>
      <c r="O545" s="67"/>
      <c r="P545" s="67"/>
      <c r="Q545" s="186"/>
      <c r="R545" s="186"/>
      <c r="S545" s="187"/>
      <c r="T545" s="187"/>
      <c r="U545" s="186"/>
      <c r="V545" s="186"/>
      <c r="W545" s="186"/>
    </row>
    <row r="546">
      <c r="A546" s="185"/>
      <c r="B546" s="67"/>
      <c r="C546" s="186"/>
      <c r="D546" s="186"/>
      <c r="E546" s="186"/>
      <c r="F546" s="186"/>
      <c r="G546" s="186"/>
      <c r="H546" s="186"/>
      <c r="I546" s="186"/>
      <c r="J546" s="186"/>
      <c r="K546" s="186"/>
      <c r="L546" s="186"/>
      <c r="M546" s="67"/>
      <c r="N546" s="67"/>
      <c r="O546" s="67"/>
      <c r="P546" s="67"/>
      <c r="Q546" s="186"/>
      <c r="R546" s="186"/>
      <c r="S546" s="187"/>
      <c r="T546" s="187"/>
      <c r="U546" s="186"/>
      <c r="V546" s="186"/>
      <c r="W546" s="186"/>
    </row>
    <row r="547">
      <c r="A547" s="185"/>
      <c r="B547" s="67"/>
      <c r="C547" s="186"/>
      <c r="D547" s="186"/>
      <c r="E547" s="186"/>
      <c r="F547" s="186"/>
      <c r="G547" s="186"/>
      <c r="H547" s="186"/>
      <c r="I547" s="186"/>
      <c r="J547" s="186"/>
      <c r="K547" s="186"/>
      <c r="L547" s="186"/>
      <c r="M547" s="67"/>
      <c r="N547" s="67"/>
      <c r="O547" s="67"/>
      <c r="P547" s="67"/>
      <c r="Q547" s="186"/>
      <c r="R547" s="186"/>
      <c r="S547" s="187"/>
      <c r="T547" s="187"/>
      <c r="U547" s="186"/>
      <c r="V547" s="186"/>
      <c r="W547" s="186"/>
    </row>
    <row r="548">
      <c r="A548" s="185"/>
      <c r="B548" s="67"/>
      <c r="C548" s="186"/>
      <c r="D548" s="186"/>
      <c r="E548" s="186"/>
      <c r="F548" s="186"/>
      <c r="G548" s="186"/>
      <c r="H548" s="186"/>
      <c r="I548" s="186"/>
      <c r="J548" s="186"/>
      <c r="K548" s="186"/>
      <c r="L548" s="186"/>
      <c r="M548" s="67"/>
      <c r="N548" s="67"/>
      <c r="O548" s="67"/>
      <c r="P548" s="67"/>
      <c r="Q548" s="186"/>
      <c r="R548" s="186"/>
      <c r="S548" s="187"/>
      <c r="T548" s="187"/>
      <c r="U548" s="186"/>
      <c r="V548" s="186"/>
      <c r="W548" s="186"/>
    </row>
    <row r="549">
      <c r="A549" s="185"/>
      <c r="B549" s="67"/>
      <c r="C549" s="186"/>
      <c r="D549" s="186"/>
      <c r="E549" s="186"/>
      <c r="F549" s="186"/>
      <c r="G549" s="186"/>
      <c r="H549" s="186"/>
      <c r="I549" s="186"/>
      <c r="J549" s="186"/>
      <c r="K549" s="186"/>
      <c r="L549" s="186"/>
      <c r="M549" s="67"/>
      <c r="N549" s="67"/>
      <c r="O549" s="67"/>
      <c r="P549" s="67"/>
      <c r="Q549" s="186"/>
      <c r="R549" s="186"/>
      <c r="S549" s="187"/>
      <c r="T549" s="187"/>
      <c r="U549" s="186"/>
      <c r="V549" s="186"/>
      <c r="W549" s="186"/>
    </row>
    <row r="550">
      <c r="A550" s="185"/>
      <c r="B550" s="67"/>
      <c r="C550" s="186"/>
      <c r="D550" s="186"/>
      <c r="E550" s="186"/>
      <c r="F550" s="186"/>
      <c r="G550" s="186"/>
      <c r="H550" s="186"/>
      <c r="I550" s="186"/>
      <c r="J550" s="186"/>
      <c r="K550" s="186"/>
      <c r="L550" s="186"/>
      <c r="M550" s="67"/>
      <c r="N550" s="67"/>
      <c r="O550" s="67"/>
      <c r="P550" s="67"/>
      <c r="Q550" s="186"/>
      <c r="R550" s="186"/>
      <c r="S550" s="187"/>
      <c r="T550" s="187"/>
      <c r="U550" s="186"/>
      <c r="V550" s="186"/>
      <c r="W550" s="186"/>
    </row>
    <row r="551">
      <c r="A551" s="185"/>
      <c r="B551" s="67"/>
      <c r="C551" s="186"/>
      <c r="D551" s="186"/>
      <c r="E551" s="186"/>
      <c r="F551" s="186"/>
      <c r="G551" s="186"/>
      <c r="H551" s="186"/>
      <c r="I551" s="186"/>
      <c r="J551" s="186"/>
      <c r="K551" s="186"/>
      <c r="L551" s="186"/>
      <c r="M551" s="67"/>
      <c r="N551" s="67"/>
      <c r="O551" s="67"/>
      <c r="P551" s="67"/>
      <c r="Q551" s="186"/>
      <c r="R551" s="186"/>
      <c r="S551" s="187"/>
      <c r="T551" s="187"/>
      <c r="U551" s="186"/>
      <c r="V551" s="186"/>
      <c r="W551" s="186"/>
    </row>
    <row r="552">
      <c r="A552" s="185"/>
      <c r="B552" s="67"/>
      <c r="C552" s="186"/>
      <c r="D552" s="186"/>
      <c r="E552" s="186"/>
      <c r="F552" s="186"/>
      <c r="G552" s="186"/>
      <c r="H552" s="186"/>
      <c r="I552" s="186"/>
      <c r="J552" s="186"/>
      <c r="K552" s="186"/>
      <c r="L552" s="186"/>
      <c r="M552" s="67"/>
      <c r="N552" s="67"/>
      <c r="O552" s="67"/>
      <c r="P552" s="67"/>
      <c r="Q552" s="186"/>
      <c r="R552" s="186"/>
      <c r="S552" s="187"/>
      <c r="T552" s="187"/>
      <c r="U552" s="186"/>
      <c r="V552" s="186"/>
      <c r="W552" s="186"/>
    </row>
    <row r="553">
      <c r="A553" s="185"/>
      <c r="B553" s="67"/>
      <c r="C553" s="186"/>
      <c r="D553" s="186"/>
      <c r="E553" s="186"/>
      <c r="F553" s="186"/>
      <c r="G553" s="186"/>
      <c r="H553" s="186"/>
      <c r="I553" s="186"/>
      <c r="J553" s="186"/>
      <c r="K553" s="186"/>
      <c r="L553" s="186"/>
      <c r="M553" s="67"/>
      <c r="N553" s="67"/>
      <c r="O553" s="67"/>
      <c r="P553" s="67"/>
      <c r="Q553" s="186"/>
      <c r="R553" s="186"/>
      <c r="S553" s="187"/>
      <c r="T553" s="187"/>
      <c r="U553" s="186"/>
      <c r="V553" s="186"/>
      <c r="W553" s="186"/>
    </row>
    <row r="554">
      <c r="A554" s="185"/>
      <c r="B554" s="67"/>
      <c r="C554" s="186"/>
      <c r="D554" s="186"/>
      <c r="E554" s="186"/>
      <c r="F554" s="186"/>
      <c r="G554" s="186"/>
      <c r="H554" s="186"/>
      <c r="I554" s="186"/>
      <c r="J554" s="186"/>
      <c r="K554" s="186"/>
      <c r="L554" s="186"/>
      <c r="M554" s="67"/>
      <c r="N554" s="67"/>
      <c r="O554" s="67"/>
      <c r="P554" s="67"/>
      <c r="Q554" s="186"/>
      <c r="R554" s="186"/>
      <c r="S554" s="187"/>
      <c r="T554" s="187"/>
      <c r="U554" s="186"/>
      <c r="V554" s="186"/>
      <c r="W554" s="186"/>
    </row>
    <row r="555">
      <c r="A555" s="185"/>
      <c r="B555" s="67"/>
      <c r="C555" s="186"/>
      <c r="D555" s="186"/>
      <c r="E555" s="186"/>
      <c r="F555" s="186"/>
      <c r="G555" s="186"/>
      <c r="H555" s="186"/>
      <c r="I555" s="186"/>
      <c r="J555" s="186"/>
      <c r="K555" s="186"/>
      <c r="L555" s="186"/>
      <c r="M555" s="67"/>
      <c r="N555" s="67"/>
      <c r="O555" s="67"/>
      <c r="P555" s="67"/>
      <c r="Q555" s="186"/>
      <c r="R555" s="186"/>
      <c r="S555" s="187"/>
      <c r="T555" s="187"/>
      <c r="U555" s="186"/>
      <c r="V555" s="186"/>
      <c r="W555" s="186"/>
    </row>
    <row r="556">
      <c r="A556" s="185"/>
      <c r="B556" s="67"/>
      <c r="C556" s="186"/>
      <c r="D556" s="186"/>
      <c r="E556" s="186"/>
      <c r="F556" s="186"/>
      <c r="G556" s="186"/>
      <c r="H556" s="186"/>
      <c r="I556" s="186"/>
      <c r="J556" s="186"/>
      <c r="K556" s="186"/>
      <c r="L556" s="186"/>
      <c r="M556" s="67"/>
      <c r="N556" s="67"/>
      <c r="O556" s="67"/>
      <c r="P556" s="67"/>
      <c r="Q556" s="186"/>
      <c r="R556" s="186"/>
      <c r="S556" s="187"/>
      <c r="T556" s="187"/>
      <c r="U556" s="186"/>
      <c r="V556" s="186"/>
      <c r="W556" s="186"/>
    </row>
    <row r="557">
      <c r="A557" s="185"/>
      <c r="B557" s="67"/>
      <c r="C557" s="186"/>
      <c r="D557" s="186"/>
      <c r="E557" s="186"/>
      <c r="F557" s="186"/>
      <c r="G557" s="186"/>
      <c r="H557" s="186"/>
      <c r="I557" s="186"/>
      <c r="J557" s="186"/>
      <c r="K557" s="186"/>
      <c r="L557" s="186"/>
      <c r="M557" s="67"/>
      <c r="N557" s="67"/>
      <c r="O557" s="67"/>
      <c r="P557" s="67"/>
      <c r="Q557" s="186"/>
      <c r="R557" s="186"/>
      <c r="S557" s="187"/>
      <c r="T557" s="187"/>
      <c r="U557" s="186"/>
      <c r="V557" s="186"/>
      <c r="W557" s="186"/>
    </row>
    <row r="558">
      <c r="A558" s="185"/>
      <c r="B558" s="67"/>
      <c r="C558" s="186"/>
      <c r="D558" s="186"/>
      <c r="E558" s="186"/>
      <c r="F558" s="186"/>
      <c r="G558" s="186"/>
      <c r="H558" s="186"/>
      <c r="I558" s="186"/>
      <c r="J558" s="186"/>
      <c r="K558" s="186"/>
      <c r="L558" s="186"/>
      <c r="M558" s="67"/>
      <c r="N558" s="67"/>
      <c r="O558" s="67"/>
      <c r="P558" s="67"/>
      <c r="Q558" s="186"/>
      <c r="R558" s="186"/>
      <c r="S558" s="187"/>
      <c r="T558" s="187"/>
      <c r="U558" s="186"/>
      <c r="V558" s="186"/>
      <c r="W558" s="186"/>
    </row>
    <row r="559">
      <c r="A559" s="185"/>
      <c r="B559" s="67"/>
      <c r="C559" s="186"/>
      <c r="D559" s="186"/>
      <c r="E559" s="186"/>
      <c r="F559" s="186"/>
      <c r="G559" s="186"/>
      <c r="H559" s="186"/>
      <c r="I559" s="186"/>
      <c r="J559" s="186"/>
      <c r="K559" s="186"/>
      <c r="L559" s="186"/>
      <c r="M559" s="67"/>
      <c r="N559" s="67"/>
      <c r="O559" s="67"/>
      <c r="P559" s="67"/>
      <c r="Q559" s="186"/>
      <c r="R559" s="186"/>
      <c r="S559" s="187"/>
      <c r="T559" s="187"/>
      <c r="U559" s="186"/>
      <c r="V559" s="186"/>
      <c r="W559" s="186"/>
    </row>
    <row r="560">
      <c r="A560" s="185"/>
      <c r="B560" s="67"/>
      <c r="C560" s="186"/>
      <c r="D560" s="186"/>
      <c r="E560" s="186"/>
      <c r="F560" s="186"/>
      <c r="G560" s="186"/>
      <c r="H560" s="186"/>
      <c r="I560" s="186"/>
      <c r="J560" s="186"/>
      <c r="K560" s="186"/>
      <c r="L560" s="186"/>
      <c r="M560" s="67"/>
      <c r="N560" s="67"/>
      <c r="O560" s="67"/>
      <c r="P560" s="67"/>
      <c r="Q560" s="186"/>
      <c r="R560" s="186"/>
      <c r="S560" s="187"/>
      <c r="T560" s="187"/>
      <c r="U560" s="186"/>
      <c r="V560" s="186"/>
      <c r="W560" s="186"/>
    </row>
    <row r="561">
      <c r="A561" s="185"/>
      <c r="B561" s="67"/>
      <c r="C561" s="186"/>
      <c r="D561" s="186"/>
      <c r="E561" s="186"/>
      <c r="F561" s="186"/>
      <c r="G561" s="186"/>
      <c r="H561" s="186"/>
      <c r="I561" s="186"/>
      <c r="J561" s="186"/>
      <c r="K561" s="186"/>
      <c r="L561" s="186"/>
      <c r="M561" s="67"/>
      <c r="N561" s="67"/>
      <c r="O561" s="67"/>
      <c r="P561" s="67"/>
      <c r="Q561" s="186"/>
      <c r="R561" s="186"/>
      <c r="S561" s="187"/>
      <c r="T561" s="187"/>
      <c r="U561" s="186"/>
      <c r="V561" s="186"/>
      <c r="W561" s="186"/>
    </row>
    <row r="562">
      <c r="A562" s="185"/>
      <c r="B562" s="67"/>
      <c r="C562" s="186"/>
      <c r="D562" s="186"/>
      <c r="E562" s="186"/>
      <c r="F562" s="186"/>
      <c r="G562" s="186"/>
      <c r="H562" s="186"/>
      <c r="I562" s="186"/>
      <c r="J562" s="186"/>
      <c r="K562" s="186"/>
      <c r="L562" s="186"/>
      <c r="M562" s="67"/>
      <c r="N562" s="67"/>
      <c r="O562" s="67"/>
      <c r="P562" s="67"/>
      <c r="Q562" s="186"/>
      <c r="R562" s="186"/>
      <c r="S562" s="187"/>
      <c r="T562" s="187"/>
      <c r="U562" s="186"/>
      <c r="V562" s="186"/>
      <c r="W562" s="186"/>
    </row>
    <row r="563">
      <c r="A563" s="185"/>
      <c r="B563" s="67"/>
      <c r="C563" s="186"/>
      <c r="D563" s="186"/>
      <c r="E563" s="186"/>
      <c r="F563" s="186"/>
      <c r="G563" s="186"/>
      <c r="H563" s="186"/>
      <c r="I563" s="186"/>
      <c r="J563" s="186"/>
      <c r="K563" s="186"/>
      <c r="L563" s="186"/>
      <c r="M563" s="67"/>
      <c r="N563" s="67"/>
      <c r="O563" s="67"/>
      <c r="P563" s="67"/>
      <c r="Q563" s="186"/>
      <c r="R563" s="186"/>
      <c r="S563" s="187"/>
      <c r="T563" s="187"/>
      <c r="U563" s="186"/>
      <c r="V563" s="186"/>
      <c r="W563" s="186"/>
    </row>
    <row r="564">
      <c r="A564" s="185"/>
      <c r="B564" s="67"/>
      <c r="C564" s="186"/>
      <c r="D564" s="186"/>
      <c r="E564" s="186"/>
      <c r="F564" s="186"/>
      <c r="G564" s="186"/>
      <c r="H564" s="186"/>
      <c r="I564" s="186"/>
      <c r="J564" s="186"/>
      <c r="K564" s="186"/>
      <c r="L564" s="186"/>
      <c r="M564" s="67"/>
      <c r="N564" s="67"/>
      <c r="O564" s="67"/>
      <c r="P564" s="67"/>
      <c r="Q564" s="186"/>
      <c r="R564" s="186"/>
      <c r="S564" s="187"/>
      <c r="T564" s="187"/>
      <c r="U564" s="186"/>
      <c r="V564" s="186"/>
      <c r="W564" s="186"/>
    </row>
    <row r="565">
      <c r="A565" s="185"/>
      <c r="B565" s="67"/>
      <c r="C565" s="186"/>
      <c r="D565" s="186"/>
      <c r="E565" s="186"/>
      <c r="F565" s="186"/>
      <c r="G565" s="186"/>
      <c r="H565" s="186"/>
      <c r="I565" s="186"/>
      <c r="J565" s="186"/>
      <c r="K565" s="186"/>
      <c r="L565" s="186"/>
      <c r="M565" s="67"/>
      <c r="N565" s="67"/>
      <c r="O565" s="67"/>
      <c r="P565" s="67"/>
      <c r="Q565" s="186"/>
      <c r="R565" s="186"/>
      <c r="S565" s="187"/>
      <c r="T565" s="187"/>
      <c r="U565" s="186"/>
      <c r="V565" s="186"/>
      <c r="W565" s="186"/>
    </row>
    <row r="566">
      <c r="A566" s="185"/>
      <c r="B566" s="67"/>
      <c r="C566" s="186"/>
      <c r="D566" s="186"/>
      <c r="E566" s="186"/>
      <c r="F566" s="186"/>
      <c r="G566" s="186"/>
      <c r="H566" s="186"/>
      <c r="I566" s="186"/>
      <c r="J566" s="186"/>
      <c r="K566" s="186"/>
      <c r="L566" s="186"/>
      <c r="M566" s="67"/>
      <c r="N566" s="67"/>
      <c r="O566" s="67"/>
      <c r="P566" s="67"/>
      <c r="Q566" s="186"/>
      <c r="R566" s="186"/>
      <c r="S566" s="187"/>
      <c r="T566" s="187"/>
      <c r="U566" s="186"/>
      <c r="V566" s="186"/>
      <c r="W566" s="186"/>
    </row>
    <row r="567">
      <c r="A567" s="185"/>
      <c r="B567" s="67"/>
      <c r="C567" s="186"/>
      <c r="D567" s="186"/>
      <c r="E567" s="186"/>
      <c r="F567" s="186"/>
      <c r="G567" s="186"/>
      <c r="H567" s="186"/>
      <c r="I567" s="186"/>
      <c r="J567" s="186"/>
      <c r="K567" s="186"/>
      <c r="L567" s="186"/>
      <c r="M567" s="67"/>
      <c r="N567" s="67"/>
      <c r="O567" s="67"/>
      <c r="P567" s="67"/>
      <c r="Q567" s="186"/>
      <c r="R567" s="186"/>
      <c r="S567" s="187"/>
      <c r="T567" s="187"/>
      <c r="U567" s="186"/>
      <c r="V567" s="186"/>
      <c r="W567" s="186"/>
    </row>
    <row r="568">
      <c r="A568" s="185"/>
      <c r="B568" s="67"/>
      <c r="C568" s="186"/>
      <c r="D568" s="186"/>
      <c r="E568" s="186"/>
      <c r="F568" s="186"/>
      <c r="G568" s="186"/>
      <c r="H568" s="186"/>
      <c r="I568" s="186"/>
      <c r="J568" s="186"/>
      <c r="K568" s="186"/>
      <c r="L568" s="186"/>
      <c r="M568" s="67"/>
      <c r="N568" s="67"/>
      <c r="O568" s="67"/>
      <c r="P568" s="67"/>
      <c r="Q568" s="186"/>
      <c r="R568" s="186"/>
      <c r="S568" s="187"/>
      <c r="T568" s="187"/>
      <c r="U568" s="186"/>
      <c r="V568" s="186"/>
      <c r="W568" s="186"/>
    </row>
    <row r="569">
      <c r="A569" s="185"/>
      <c r="B569" s="67"/>
      <c r="C569" s="186"/>
      <c r="D569" s="186"/>
      <c r="E569" s="186"/>
      <c r="F569" s="186"/>
      <c r="G569" s="186"/>
      <c r="H569" s="186"/>
      <c r="I569" s="186"/>
      <c r="J569" s="186"/>
      <c r="K569" s="186"/>
      <c r="L569" s="186"/>
      <c r="M569" s="67"/>
      <c r="N569" s="67"/>
      <c r="O569" s="67"/>
      <c r="P569" s="67"/>
      <c r="Q569" s="186"/>
      <c r="R569" s="186"/>
      <c r="S569" s="187"/>
      <c r="T569" s="187"/>
      <c r="U569" s="186"/>
      <c r="V569" s="186"/>
      <c r="W569" s="186"/>
    </row>
    <row r="570">
      <c r="A570" s="185"/>
      <c r="B570" s="67"/>
      <c r="C570" s="186"/>
      <c r="D570" s="186"/>
      <c r="E570" s="186"/>
      <c r="F570" s="186"/>
      <c r="G570" s="186"/>
      <c r="H570" s="186"/>
      <c r="I570" s="186"/>
      <c r="J570" s="186"/>
      <c r="K570" s="186"/>
      <c r="L570" s="186"/>
      <c r="M570" s="67"/>
      <c r="N570" s="67"/>
      <c r="O570" s="67"/>
      <c r="P570" s="67"/>
      <c r="Q570" s="186"/>
      <c r="R570" s="186"/>
      <c r="S570" s="187"/>
      <c r="T570" s="187"/>
      <c r="U570" s="186"/>
      <c r="V570" s="186"/>
      <c r="W570" s="186"/>
    </row>
    <row r="571">
      <c r="A571" s="185"/>
      <c r="B571" s="67"/>
      <c r="C571" s="186"/>
      <c r="D571" s="186"/>
      <c r="E571" s="186"/>
      <c r="F571" s="186"/>
      <c r="G571" s="186"/>
      <c r="H571" s="186"/>
      <c r="I571" s="186"/>
      <c r="J571" s="186"/>
      <c r="K571" s="186"/>
      <c r="L571" s="186"/>
      <c r="M571" s="67"/>
      <c r="N571" s="67"/>
      <c r="O571" s="67"/>
      <c r="P571" s="67"/>
      <c r="Q571" s="186"/>
      <c r="R571" s="186"/>
      <c r="S571" s="187"/>
      <c r="T571" s="187"/>
      <c r="U571" s="186"/>
      <c r="V571" s="186"/>
      <c r="W571" s="186"/>
    </row>
    <row r="572">
      <c r="A572" s="185"/>
      <c r="B572" s="67"/>
      <c r="C572" s="186"/>
      <c r="D572" s="186"/>
      <c r="E572" s="186"/>
      <c r="F572" s="186"/>
      <c r="G572" s="186"/>
      <c r="H572" s="186"/>
      <c r="I572" s="186"/>
      <c r="J572" s="186"/>
      <c r="K572" s="186"/>
      <c r="L572" s="186"/>
      <c r="M572" s="67"/>
      <c r="N572" s="67"/>
      <c r="O572" s="67"/>
      <c r="P572" s="67"/>
      <c r="Q572" s="186"/>
      <c r="R572" s="186"/>
      <c r="S572" s="187"/>
      <c r="T572" s="187"/>
      <c r="U572" s="186"/>
      <c r="V572" s="186"/>
      <c r="W572" s="186"/>
    </row>
    <row r="573">
      <c r="A573" s="185"/>
      <c r="B573" s="67"/>
      <c r="C573" s="186"/>
      <c r="D573" s="186"/>
      <c r="E573" s="186"/>
      <c r="F573" s="186"/>
      <c r="G573" s="186"/>
      <c r="H573" s="186"/>
      <c r="I573" s="186"/>
      <c r="J573" s="186"/>
      <c r="K573" s="186"/>
      <c r="L573" s="186"/>
      <c r="M573" s="67"/>
      <c r="N573" s="67"/>
      <c r="O573" s="67"/>
      <c r="P573" s="67"/>
      <c r="Q573" s="186"/>
      <c r="R573" s="186"/>
      <c r="S573" s="187"/>
      <c r="T573" s="187"/>
      <c r="U573" s="186"/>
      <c r="V573" s="186"/>
      <c r="W573" s="186"/>
    </row>
    <row r="574">
      <c r="A574" s="185"/>
      <c r="B574" s="67"/>
      <c r="C574" s="186"/>
      <c r="D574" s="186"/>
      <c r="E574" s="186"/>
      <c r="F574" s="186"/>
      <c r="G574" s="186"/>
      <c r="H574" s="186"/>
      <c r="I574" s="186"/>
      <c r="J574" s="186"/>
      <c r="K574" s="186"/>
      <c r="L574" s="186"/>
      <c r="M574" s="67"/>
      <c r="N574" s="67"/>
      <c r="O574" s="67"/>
      <c r="P574" s="67"/>
      <c r="Q574" s="186"/>
      <c r="R574" s="186"/>
      <c r="S574" s="187"/>
      <c r="T574" s="187"/>
      <c r="U574" s="186"/>
      <c r="V574" s="186"/>
      <c r="W574" s="186"/>
    </row>
    <row r="575">
      <c r="A575" s="185"/>
      <c r="B575" s="67"/>
      <c r="C575" s="186"/>
      <c r="D575" s="186"/>
      <c r="E575" s="186"/>
      <c r="F575" s="186"/>
      <c r="G575" s="186"/>
      <c r="H575" s="186"/>
      <c r="I575" s="186"/>
      <c r="J575" s="186"/>
      <c r="K575" s="186"/>
      <c r="L575" s="186"/>
      <c r="M575" s="67"/>
      <c r="N575" s="67"/>
      <c r="O575" s="67"/>
      <c r="P575" s="67"/>
      <c r="Q575" s="186"/>
      <c r="R575" s="186"/>
      <c r="S575" s="187"/>
      <c r="T575" s="187"/>
      <c r="U575" s="186"/>
      <c r="V575" s="186"/>
      <c r="W575" s="186"/>
    </row>
    <row r="576">
      <c r="A576" s="185"/>
      <c r="B576" s="67"/>
      <c r="C576" s="186"/>
      <c r="D576" s="186"/>
      <c r="E576" s="186"/>
      <c r="F576" s="186"/>
      <c r="G576" s="186"/>
      <c r="H576" s="186"/>
      <c r="I576" s="186"/>
      <c r="J576" s="186"/>
      <c r="K576" s="186"/>
      <c r="L576" s="186"/>
      <c r="M576" s="67"/>
      <c r="N576" s="67"/>
      <c r="O576" s="67"/>
      <c r="P576" s="67"/>
      <c r="Q576" s="186"/>
      <c r="R576" s="186"/>
      <c r="S576" s="187"/>
      <c r="T576" s="187"/>
      <c r="U576" s="186"/>
      <c r="V576" s="186"/>
      <c r="W576" s="186"/>
    </row>
    <row r="577">
      <c r="A577" s="185"/>
      <c r="B577" s="67"/>
      <c r="C577" s="186"/>
      <c r="D577" s="186"/>
      <c r="E577" s="186"/>
      <c r="F577" s="186"/>
      <c r="G577" s="186"/>
      <c r="H577" s="186"/>
      <c r="I577" s="186"/>
      <c r="J577" s="186"/>
      <c r="K577" s="186"/>
      <c r="L577" s="186"/>
      <c r="M577" s="67"/>
      <c r="N577" s="67"/>
      <c r="O577" s="67"/>
      <c r="P577" s="67"/>
      <c r="Q577" s="186"/>
      <c r="R577" s="186"/>
      <c r="S577" s="187"/>
      <c r="T577" s="187"/>
      <c r="U577" s="186"/>
      <c r="V577" s="186"/>
      <c r="W577" s="186"/>
    </row>
    <row r="578">
      <c r="A578" s="185"/>
      <c r="B578" s="67"/>
      <c r="C578" s="186"/>
      <c r="D578" s="186"/>
      <c r="E578" s="186"/>
      <c r="F578" s="186"/>
      <c r="G578" s="186"/>
      <c r="H578" s="186"/>
      <c r="I578" s="186"/>
      <c r="J578" s="186"/>
      <c r="K578" s="186"/>
      <c r="L578" s="186"/>
      <c r="M578" s="67"/>
      <c r="N578" s="67"/>
      <c r="O578" s="67"/>
      <c r="P578" s="67"/>
      <c r="Q578" s="186"/>
      <c r="R578" s="186"/>
      <c r="S578" s="187"/>
      <c r="T578" s="187"/>
      <c r="U578" s="186"/>
      <c r="V578" s="186"/>
      <c r="W578" s="186"/>
    </row>
    <row r="579">
      <c r="A579" s="185"/>
      <c r="B579" s="67"/>
      <c r="C579" s="186"/>
      <c r="D579" s="186"/>
      <c r="E579" s="186"/>
      <c r="F579" s="186"/>
      <c r="G579" s="186"/>
      <c r="H579" s="186"/>
      <c r="I579" s="186"/>
      <c r="J579" s="186"/>
      <c r="K579" s="186"/>
      <c r="L579" s="186"/>
      <c r="M579" s="67"/>
      <c r="N579" s="67"/>
      <c r="O579" s="67"/>
      <c r="P579" s="67"/>
      <c r="Q579" s="186"/>
      <c r="R579" s="186"/>
      <c r="S579" s="187"/>
      <c r="T579" s="187"/>
      <c r="U579" s="186"/>
      <c r="V579" s="186"/>
      <c r="W579" s="186"/>
    </row>
    <row r="580">
      <c r="A580" s="185"/>
      <c r="B580" s="67"/>
      <c r="C580" s="186"/>
      <c r="D580" s="186"/>
      <c r="E580" s="186"/>
      <c r="F580" s="186"/>
      <c r="G580" s="186"/>
      <c r="H580" s="186"/>
      <c r="I580" s="186"/>
      <c r="J580" s="186"/>
      <c r="K580" s="186"/>
      <c r="L580" s="186"/>
      <c r="M580" s="67"/>
      <c r="N580" s="67"/>
      <c r="O580" s="67"/>
      <c r="P580" s="67"/>
      <c r="Q580" s="186"/>
      <c r="R580" s="186"/>
      <c r="S580" s="187"/>
      <c r="T580" s="187"/>
      <c r="U580" s="186"/>
      <c r="V580" s="186"/>
      <c r="W580" s="186"/>
    </row>
    <row r="581">
      <c r="A581" s="185"/>
      <c r="B581" s="67"/>
      <c r="C581" s="186"/>
      <c r="D581" s="186"/>
      <c r="E581" s="186"/>
      <c r="F581" s="186"/>
      <c r="G581" s="186"/>
      <c r="H581" s="186"/>
      <c r="I581" s="186"/>
      <c r="J581" s="186"/>
      <c r="K581" s="186"/>
      <c r="L581" s="186"/>
      <c r="M581" s="67"/>
      <c r="N581" s="67"/>
      <c r="O581" s="67"/>
      <c r="P581" s="67"/>
      <c r="Q581" s="186"/>
      <c r="R581" s="186"/>
      <c r="S581" s="187"/>
      <c r="T581" s="187"/>
      <c r="U581" s="186"/>
      <c r="V581" s="186"/>
      <c r="W581" s="186"/>
    </row>
    <row r="582">
      <c r="A582" s="185"/>
      <c r="B582" s="67"/>
      <c r="C582" s="186"/>
      <c r="D582" s="186"/>
      <c r="E582" s="186"/>
      <c r="F582" s="186"/>
      <c r="G582" s="186"/>
      <c r="H582" s="186"/>
      <c r="I582" s="186"/>
      <c r="J582" s="186"/>
      <c r="K582" s="186"/>
      <c r="L582" s="186"/>
      <c r="M582" s="67"/>
      <c r="N582" s="67"/>
      <c r="O582" s="67"/>
      <c r="P582" s="67"/>
      <c r="Q582" s="186"/>
      <c r="R582" s="186"/>
      <c r="S582" s="187"/>
      <c r="T582" s="187"/>
      <c r="U582" s="186"/>
      <c r="V582" s="186"/>
      <c r="W582" s="186"/>
    </row>
    <row r="583">
      <c r="A583" s="185"/>
      <c r="B583" s="67"/>
      <c r="C583" s="186"/>
      <c r="D583" s="186"/>
      <c r="E583" s="186"/>
      <c r="F583" s="186"/>
      <c r="G583" s="186"/>
      <c r="H583" s="186"/>
      <c r="I583" s="186"/>
      <c r="J583" s="186"/>
      <c r="K583" s="186"/>
      <c r="L583" s="186"/>
      <c r="M583" s="67"/>
      <c r="N583" s="67"/>
      <c r="O583" s="67"/>
      <c r="P583" s="67"/>
      <c r="Q583" s="186"/>
      <c r="R583" s="186"/>
      <c r="S583" s="187"/>
      <c r="T583" s="187"/>
      <c r="U583" s="186"/>
      <c r="V583" s="186"/>
      <c r="W583" s="186"/>
    </row>
    <row r="584">
      <c r="A584" s="185"/>
      <c r="B584" s="67"/>
      <c r="C584" s="186"/>
      <c r="D584" s="186"/>
      <c r="E584" s="186"/>
      <c r="F584" s="186"/>
      <c r="G584" s="186"/>
      <c r="H584" s="186"/>
      <c r="I584" s="186"/>
      <c r="J584" s="186"/>
      <c r="K584" s="186"/>
      <c r="L584" s="186"/>
      <c r="M584" s="67"/>
      <c r="N584" s="67"/>
      <c r="O584" s="67"/>
      <c r="P584" s="67"/>
      <c r="Q584" s="186"/>
      <c r="R584" s="186"/>
      <c r="S584" s="187"/>
      <c r="T584" s="187"/>
      <c r="U584" s="186"/>
      <c r="V584" s="186"/>
      <c r="W584" s="186"/>
    </row>
    <row r="585">
      <c r="A585" s="185"/>
      <c r="B585" s="67"/>
      <c r="C585" s="186"/>
      <c r="D585" s="186"/>
      <c r="E585" s="186"/>
      <c r="F585" s="186"/>
      <c r="G585" s="186"/>
      <c r="H585" s="186"/>
      <c r="I585" s="186"/>
      <c r="J585" s="186"/>
      <c r="K585" s="186"/>
      <c r="L585" s="186"/>
      <c r="M585" s="67"/>
      <c r="N585" s="67"/>
      <c r="O585" s="67"/>
      <c r="P585" s="67"/>
      <c r="Q585" s="186"/>
      <c r="R585" s="186"/>
      <c r="S585" s="187"/>
      <c r="T585" s="187"/>
      <c r="U585" s="186"/>
      <c r="V585" s="186"/>
      <c r="W585" s="186"/>
    </row>
    <row r="586">
      <c r="A586" s="185"/>
      <c r="B586" s="67"/>
      <c r="C586" s="186"/>
      <c r="D586" s="186"/>
      <c r="E586" s="186"/>
      <c r="F586" s="186"/>
      <c r="G586" s="186"/>
      <c r="H586" s="186"/>
      <c r="I586" s="186"/>
      <c r="J586" s="186"/>
      <c r="K586" s="186"/>
      <c r="L586" s="186"/>
      <c r="M586" s="67"/>
      <c r="N586" s="67"/>
      <c r="O586" s="67"/>
      <c r="P586" s="67"/>
      <c r="Q586" s="186"/>
      <c r="R586" s="186"/>
      <c r="S586" s="187"/>
      <c r="T586" s="187"/>
      <c r="U586" s="186"/>
      <c r="V586" s="186"/>
      <c r="W586" s="186"/>
    </row>
    <row r="587">
      <c r="A587" s="185"/>
      <c r="B587" s="67"/>
      <c r="C587" s="186"/>
      <c r="D587" s="186"/>
      <c r="E587" s="186"/>
      <c r="F587" s="186"/>
      <c r="G587" s="186"/>
      <c r="H587" s="186"/>
      <c r="I587" s="186"/>
      <c r="J587" s="186"/>
      <c r="K587" s="186"/>
      <c r="L587" s="186"/>
      <c r="M587" s="67"/>
      <c r="N587" s="67"/>
      <c r="O587" s="67"/>
      <c r="P587" s="67"/>
      <c r="Q587" s="186"/>
      <c r="R587" s="186"/>
      <c r="S587" s="187"/>
      <c r="T587" s="187"/>
      <c r="U587" s="186"/>
      <c r="V587" s="186"/>
      <c r="W587" s="186"/>
    </row>
    <row r="588">
      <c r="A588" s="185"/>
      <c r="B588" s="67"/>
      <c r="C588" s="186"/>
      <c r="D588" s="186"/>
      <c r="E588" s="186"/>
      <c r="F588" s="186"/>
      <c r="G588" s="186"/>
      <c r="H588" s="186"/>
      <c r="I588" s="186"/>
      <c r="J588" s="186"/>
      <c r="K588" s="186"/>
      <c r="L588" s="186"/>
      <c r="M588" s="67"/>
      <c r="N588" s="67"/>
      <c r="O588" s="67"/>
      <c r="P588" s="67"/>
      <c r="Q588" s="186"/>
      <c r="R588" s="186"/>
      <c r="S588" s="187"/>
      <c r="T588" s="187"/>
      <c r="U588" s="186"/>
      <c r="V588" s="186"/>
      <c r="W588" s="186"/>
    </row>
    <row r="589">
      <c r="A589" s="185"/>
      <c r="B589" s="67"/>
      <c r="C589" s="186"/>
      <c r="D589" s="186"/>
      <c r="E589" s="186"/>
      <c r="F589" s="186"/>
      <c r="G589" s="186"/>
      <c r="H589" s="186"/>
      <c r="I589" s="186"/>
      <c r="J589" s="186"/>
      <c r="K589" s="186"/>
      <c r="L589" s="186"/>
      <c r="M589" s="67"/>
      <c r="N589" s="67"/>
      <c r="O589" s="67"/>
      <c r="P589" s="67"/>
      <c r="Q589" s="186"/>
      <c r="R589" s="186"/>
      <c r="S589" s="187"/>
      <c r="T589" s="187"/>
      <c r="U589" s="186"/>
      <c r="V589" s="186"/>
      <c r="W589" s="186"/>
    </row>
    <row r="590">
      <c r="A590" s="185"/>
      <c r="B590" s="67"/>
      <c r="C590" s="186"/>
      <c r="D590" s="186"/>
      <c r="E590" s="186"/>
      <c r="F590" s="186"/>
      <c r="G590" s="186"/>
      <c r="H590" s="186"/>
      <c r="I590" s="186"/>
      <c r="J590" s="186"/>
      <c r="K590" s="186"/>
      <c r="L590" s="186"/>
      <c r="M590" s="67"/>
      <c r="N590" s="67"/>
      <c r="O590" s="67"/>
      <c r="P590" s="67"/>
      <c r="Q590" s="186"/>
      <c r="R590" s="186"/>
      <c r="S590" s="187"/>
      <c r="T590" s="187"/>
      <c r="U590" s="186"/>
      <c r="V590" s="186"/>
      <c r="W590" s="186"/>
    </row>
    <row r="591">
      <c r="A591" s="185"/>
      <c r="B591" s="67"/>
      <c r="C591" s="186"/>
      <c r="D591" s="186"/>
      <c r="E591" s="186"/>
      <c r="F591" s="186"/>
      <c r="G591" s="186"/>
      <c r="H591" s="186"/>
      <c r="I591" s="186"/>
      <c r="J591" s="186"/>
      <c r="K591" s="186"/>
      <c r="L591" s="186"/>
      <c r="M591" s="67"/>
      <c r="N591" s="67"/>
      <c r="O591" s="67"/>
      <c r="P591" s="67"/>
      <c r="Q591" s="186"/>
      <c r="R591" s="186"/>
      <c r="S591" s="187"/>
      <c r="T591" s="187"/>
      <c r="U591" s="186"/>
      <c r="V591" s="186"/>
      <c r="W591" s="186"/>
    </row>
    <row r="592">
      <c r="A592" s="185"/>
      <c r="B592" s="67"/>
      <c r="C592" s="186"/>
      <c r="D592" s="186"/>
      <c r="E592" s="186"/>
      <c r="F592" s="186"/>
      <c r="G592" s="186"/>
      <c r="H592" s="186"/>
      <c r="I592" s="186"/>
      <c r="J592" s="186"/>
      <c r="K592" s="186"/>
      <c r="L592" s="186"/>
      <c r="M592" s="67"/>
      <c r="N592" s="67"/>
      <c r="O592" s="67"/>
      <c r="P592" s="67"/>
      <c r="Q592" s="186"/>
      <c r="R592" s="186"/>
      <c r="S592" s="187"/>
      <c r="T592" s="187"/>
      <c r="U592" s="186"/>
      <c r="V592" s="186"/>
      <c r="W592" s="186"/>
    </row>
    <row r="593">
      <c r="A593" s="185"/>
      <c r="B593" s="67"/>
      <c r="C593" s="186"/>
      <c r="D593" s="186"/>
      <c r="E593" s="186"/>
      <c r="F593" s="186"/>
      <c r="G593" s="186"/>
      <c r="H593" s="186"/>
      <c r="I593" s="186"/>
      <c r="J593" s="186"/>
      <c r="K593" s="186"/>
      <c r="L593" s="186"/>
      <c r="M593" s="67"/>
      <c r="N593" s="67"/>
      <c r="O593" s="67"/>
      <c r="P593" s="67"/>
      <c r="Q593" s="186"/>
      <c r="R593" s="186"/>
      <c r="S593" s="187"/>
      <c r="T593" s="187"/>
      <c r="U593" s="186"/>
      <c r="V593" s="186"/>
      <c r="W593" s="186"/>
    </row>
    <row r="594">
      <c r="A594" s="185"/>
      <c r="B594" s="67"/>
      <c r="C594" s="186"/>
      <c r="D594" s="186"/>
      <c r="E594" s="186"/>
      <c r="F594" s="186"/>
      <c r="G594" s="186"/>
      <c r="H594" s="186"/>
      <c r="I594" s="186"/>
      <c r="J594" s="186"/>
      <c r="K594" s="186"/>
      <c r="L594" s="186"/>
      <c r="M594" s="67"/>
      <c r="N594" s="67"/>
      <c r="O594" s="67"/>
      <c r="P594" s="67"/>
      <c r="Q594" s="186"/>
      <c r="R594" s="186"/>
      <c r="S594" s="187"/>
      <c r="T594" s="187"/>
      <c r="U594" s="186"/>
      <c r="V594" s="186"/>
      <c r="W594" s="186"/>
    </row>
    <row r="595">
      <c r="A595" s="185"/>
      <c r="B595" s="67"/>
      <c r="C595" s="186"/>
      <c r="D595" s="186"/>
      <c r="E595" s="186"/>
      <c r="F595" s="186"/>
      <c r="G595" s="186"/>
      <c r="H595" s="186"/>
      <c r="I595" s="186"/>
      <c r="J595" s="186"/>
      <c r="K595" s="186"/>
      <c r="L595" s="186"/>
      <c r="M595" s="67"/>
      <c r="N595" s="67"/>
      <c r="O595" s="67"/>
      <c r="P595" s="67"/>
      <c r="Q595" s="186"/>
      <c r="R595" s="186"/>
      <c r="S595" s="187"/>
      <c r="T595" s="187"/>
      <c r="U595" s="186"/>
      <c r="V595" s="186"/>
      <c r="W595" s="186"/>
    </row>
    <row r="596">
      <c r="A596" s="185"/>
      <c r="B596" s="67"/>
      <c r="C596" s="186"/>
      <c r="D596" s="186"/>
      <c r="E596" s="186"/>
      <c r="F596" s="186"/>
      <c r="G596" s="186"/>
      <c r="H596" s="186"/>
      <c r="I596" s="186"/>
      <c r="J596" s="186"/>
      <c r="K596" s="186"/>
      <c r="L596" s="186"/>
      <c r="M596" s="67"/>
      <c r="N596" s="67"/>
      <c r="O596" s="67"/>
      <c r="P596" s="67"/>
      <c r="Q596" s="186"/>
      <c r="R596" s="186"/>
      <c r="S596" s="187"/>
      <c r="T596" s="187"/>
      <c r="U596" s="186"/>
      <c r="V596" s="186"/>
      <c r="W596" s="186"/>
    </row>
    <row r="597">
      <c r="A597" s="185"/>
      <c r="B597" s="67"/>
      <c r="C597" s="186"/>
      <c r="D597" s="186"/>
      <c r="E597" s="186"/>
      <c r="F597" s="186"/>
      <c r="G597" s="186"/>
      <c r="H597" s="186"/>
      <c r="I597" s="186"/>
      <c r="J597" s="186"/>
      <c r="K597" s="186"/>
      <c r="L597" s="186"/>
      <c r="M597" s="67"/>
      <c r="N597" s="67"/>
      <c r="O597" s="67"/>
      <c r="P597" s="67"/>
      <c r="Q597" s="186"/>
      <c r="R597" s="186"/>
      <c r="S597" s="187"/>
      <c r="T597" s="187"/>
      <c r="U597" s="186"/>
      <c r="V597" s="186"/>
      <c r="W597" s="186"/>
    </row>
    <row r="598">
      <c r="A598" s="185"/>
      <c r="B598" s="67"/>
      <c r="C598" s="186"/>
      <c r="D598" s="186"/>
      <c r="E598" s="186"/>
      <c r="F598" s="186"/>
      <c r="G598" s="186"/>
      <c r="H598" s="186"/>
      <c r="I598" s="186"/>
      <c r="J598" s="186"/>
      <c r="K598" s="186"/>
      <c r="L598" s="186"/>
      <c r="M598" s="67"/>
      <c r="N598" s="67"/>
      <c r="O598" s="67"/>
      <c r="P598" s="67"/>
      <c r="Q598" s="186"/>
      <c r="R598" s="186"/>
      <c r="S598" s="187"/>
      <c r="T598" s="187"/>
      <c r="U598" s="186"/>
      <c r="V598" s="186"/>
      <c r="W598" s="186"/>
    </row>
    <row r="599">
      <c r="A599" s="185"/>
      <c r="B599" s="67"/>
      <c r="C599" s="186"/>
      <c r="D599" s="186"/>
      <c r="E599" s="186"/>
      <c r="F599" s="186"/>
      <c r="G599" s="186"/>
      <c r="H599" s="186"/>
      <c r="I599" s="186"/>
      <c r="J599" s="186"/>
      <c r="K599" s="186"/>
      <c r="L599" s="186"/>
      <c r="M599" s="67"/>
      <c r="N599" s="67"/>
      <c r="O599" s="67"/>
      <c r="P599" s="67"/>
      <c r="Q599" s="186"/>
      <c r="R599" s="186"/>
      <c r="S599" s="187"/>
      <c r="T599" s="187"/>
      <c r="U599" s="186"/>
      <c r="V599" s="186"/>
      <c r="W599" s="186"/>
    </row>
    <row r="600">
      <c r="A600" s="185"/>
      <c r="B600" s="67"/>
      <c r="C600" s="186"/>
      <c r="D600" s="186"/>
      <c r="E600" s="186"/>
      <c r="F600" s="186"/>
      <c r="G600" s="186"/>
      <c r="H600" s="186"/>
      <c r="I600" s="186"/>
      <c r="J600" s="186"/>
      <c r="K600" s="186"/>
      <c r="L600" s="186"/>
      <c r="M600" s="67"/>
      <c r="N600" s="67"/>
      <c r="O600" s="67"/>
      <c r="P600" s="67"/>
      <c r="Q600" s="186"/>
      <c r="R600" s="186"/>
      <c r="S600" s="187"/>
      <c r="T600" s="187"/>
      <c r="U600" s="186"/>
      <c r="V600" s="186"/>
      <c r="W600" s="186"/>
    </row>
    <row r="601">
      <c r="A601" s="185"/>
      <c r="B601" s="67"/>
      <c r="C601" s="186"/>
      <c r="D601" s="186"/>
      <c r="E601" s="186"/>
      <c r="F601" s="186"/>
      <c r="G601" s="186"/>
      <c r="H601" s="186"/>
      <c r="I601" s="186"/>
      <c r="J601" s="186"/>
      <c r="K601" s="186"/>
      <c r="L601" s="186"/>
      <c r="M601" s="67"/>
      <c r="N601" s="67"/>
      <c r="O601" s="67"/>
      <c r="P601" s="67"/>
      <c r="Q601" s="186"/>
      <c r="R601" s="186"/>
      <c r="S601" s="187"/>
      <c r="T601" s="187"/>
      <c r="U601" s="186"/>
      <c r="V601" s="186"/>
      <c r="W601" s="186"/>
    </row>
    <row r="602">
      <c r="A602" s="185"/>
      <c r="B602" s="67"/>
      <c r="C602" s="186"/>
      <c r="D602" s="186"/>
      <c r="E602" s="186"/>
      <c r="F602" s="186"/>
      <c r="G602" s="186"/>
      <c r="H602" s="186"/>
      <c r="I602" s="186"/>
      <c r="J602" s="186"/>
      <c r="K602" s="186"/>
      <c r="L602" s="186"/>
      <c r="M602" s="67"/>
      <c r="N602" s="67"/>
      <c r="O602" s="67"/>
      <c r="P602" s="67"/>
      <c r="Q602" s="186"/>
      <c r="R602" s="186"/>
      <c r="S602" s="187"/>
      <c r="T602" s="187"/>
      <c r="U602" s="186"/>
      <c r="V602" s="186"/>
      <c r="W602" s="186"/>
    </row>
    <row r="603">
      <c r="A603" s="185"/>
      <c r="B603" s="67"/>
      <c r="C603" s="186"/>
      <c r="D603" s="186"/>
      <c r="E603" s="186"/>
      <c r="F603" s="186"/>
      <c r="G603" s="186"/>
      <c r="H603" s="186"/>
      <c r="I603" s="186"/>
      <c r="J603" s="186"/>
      <c r="K603" s="186"/>
      <c r="L603" s="186"/>
      <c r="M603" s="67"/>
      <c r="N603" s="67"/>
      <c r="O603" s="67"/>
      <c r="P603" s="67"/>
      <c r="Q603" s="186"/>
      <c r="R603" s="186"/>
      <c r="S603" s="187"/>
      <c r="T603" s="187"/>
      <c r="U603" s="186"/>
      <c r="V603" s="186"/>
      <c r="W603" s="186"/>
    </row>
    <row r="604">
      <c r="A604" s="185"/>
      <c r="B604" s="67"/>
      <c r="C604" s="186"/>
      <c r="D604" s="186"/>
      <c r="E604" s="186"/>
      <c r="F604" s="186"/>
      <c r="G604" s="186"/>
      <c r="H604" s="186"/>
      <c r="I604" s="186"/>
      <c r="J604" s="186"/>
      <c r="K604" s="186"/>
      <c r="L604" s="186"/>
      <c r="M604" s="67"/>
      <c r="N604" s="67"/>
      <c r="O604" s="67"/>
      <c r="P604" s="67"/>
      <c r="Q604" s="186"/>
      <c r="R604" s="186"/>
      <c r="S604" s="187"/>
      <c r="T604" s="187"/>
      <c r="U604" s="186"/>
      <c r="V604" s="186"/>
      <c r="W604" s="186"/>
    </row>
    <row r="605">
      <c r="A605" s="185"/>
      <c r="B605" s="67"/>
      <c r="C605" s="186"/>
      <c r="D605" s="186"/>
      <c r="E605" s="186"/>
      <c r="F605" s="186"/>
      <c r="G605" s="186"/>
      <c r="H605" s="186"/>
      <c r="I605" s="186"/>
      <c r="J605" s="186"/>
      <c r="K605" s="186"/>
      <c r="L605" s="186"/>
      <c r="M605" s="67"/>
      <c r="N605" s="67"/>
      <c r="O605" s="67"/>
      <c r="P605" s="67"/>
      <c r="Q605" s="186"/>
      <c r="R605" s="186"/>
      <c r="S605" s="187"/>
      <c r="T605" s="187"/>
      <c r="U605" s="186"/>
      <c r="V605" s="186"/>
      <c r="W605" s="186"/>
    </row>
    <row r="606">
      <c r="A606" s="185"/>
      <c r="B606" s="67"/>
      <c r="C606" s="186"/>
      <c r="D606" s="186"/>
      <c r="E606" s="186"/>
      <c r="F606" s="186"/>
      <c r="G606" s="186"/>
      <c r="H606" s="186"/>
      <c r="I606" s="186"/>
      <c r="J606" s="186"/>
      <c r="K606" s="186"/>
      <c r="L606" s="186"/>
      <c r="M606" s="67"/>
      <c r="N606" s="67"/>
      <c r="O606" s="67"/>
      <c r="P606" s="67"/>
      <c r="Q606" s="186"/>
      <c r="R606" s="186"/>
      <c r="S606" s="187"/>
      <c r="T606" s="187"/>
      <c r="U606" s="186"/>
      <c r="V606" s="186"/>
      <c r="W606" s="186"/>
    </row>
    <row r="607">
      <c r="A607" s="185"/>
      <c r="B607" s="67"/>
      <c r="C607" s="186"/>
      <c r="D607" s="186"/>
      <c r="E607" s="186"/>
      <c r="F607" s="186"/>
      <c r="G607" s="186"/>
      <c r="H607" s="186"/>
      <c r="I607" s="186"/>
      <c r="J607" s="186"/>
      <c r="K607" s="186"/>
      <c r="L607" s="186"/>
      <c r="M607" s="67"/>
      <c r="N607" s="67"/>
      <c r="O607" s="67"/>
      <c r="P607" s="67"/>
      <c r="Q607" s="186"/>
      <c r="R607" s="186"/>
      <c r="S607" s="187"/>
      <c r="T607" s="187"/>
      <c r="U607" s="186"/>
      <c r="V607" s="186"/>
      <c r="W607" s="186"/>
    </row>
    <row r="608">
      <c r="A608" s="185"/>
      <c r="B608" s="67"/>
      <c r="C608" s="186"/>
      <c r="D608" s="186"/>
      <c r="E608" s="186"/>
      <c r="F608" s="186"/>
      <c r="G608" s="186"/>
      <c r="H608" s="186"/>
      <c r="I608" s="186"/>
      <c r="J608" s="186"/>
      <c r="K608" s="186"/>
      <c r="L608" s="186"/>
      <c r="M608" s="67"/>
      <c r="N608" s="67"/>
      <c r="O608" s="67"/>
      <c r="P608" s="67"/>
      <c r="Q608" s="186"/>
      <c r="R608" s="186"/>
      <c r="S608" s="187"/>
      <c r="T608" s="187"/>
      <c r="U608" s="186"/>
      <c r="V608" s="186"/>
      <c r="W608" s="186"/>
    </row>
    <row r="609">
      <c r="A609" s="185"/>
      <c r="B609" s="67"/>
      <c r="C609" s="186"/>
      <c r="D609" s="186"/>
      <c r="E609" s="186"/>
      <c r="F609" s="186"/>
      <c r="G609" s="186"/>
      <c r="H609" s="186"/>
      <c r="I609" s="186"/>
      <c r="J609" s="186"/>
      <c r="K609" s="186"/>
      <c r="L609" s="186"/>
      <c r="M609" s="67"/>
      <c r="N609" s="67"/>
      <c r="O609" s="67"/>
      <c r="P609" s="67"/>
      <c r="Q609" s="186"/>
      <c r="R609" s="186"/>
      <c r="S609" s="187"/>
      <c r="T609" s="187"/>
      <c r="U609" s="186"/>
      <c r="V609" s="186"/>
      <c r="W609" s="186"/>
    </row>
    <row r="610">
      <c r="A610" s="185"/>
      <c r="B610" s="67"/>
      <c r="C610" s="186"/>
      <c r="D610" s="186"/>
      <c r="E610" s="186"/>
      <c r="F610" s="186"/>
      <c r="G610" s="186"/>
      <c r="H610" s="186"/>
      <c r="I610" s="186"/>
      <c r="J610" s="186"/>
      <c r="K610" s="186"/>
      <c r="L610" s="186"/>
      <c r="M610" s="67"/>
      <c r="N610" s="67"/>
      <c r="O610" s="67"/>
      <c r="P610" s="67"/>
      <c r="Q610" s="186"/>
      <c r="R610" s="186"/>
      <c r="S610" s="187"/>
      <c r="T610" s="187"/>
      <c r="U610" s="186"/>
      <c r="V610" s="186"/>
      <c r="W610" s="186"/>
    </row>
    <row r="611">
      <c r="A611" s="185"/>
      <c r="B611" s="67"/>
      <c r="C611" s="186"/>
      <c r="D611" s="186"/>
      <c r="E611" s="186"/>
      <c r="F611" s="186"/>
      <c r="G611" s="186"/>
      <c r="H611" s="186"/>
      <c r="I611" s="186"/>
      <c r="J611" s="186"/>
      <c r="K611" s="186"/>
      <c r="L611" s="186"/>
      <c r="M611" s="67"/>
      <c r="N611" s="67"/>
      <c r="O611" s="67"/>
      <c r="P611" s="67"/>
      <c r="Q611" s="186"/>
      <c r="R611" s="186"/>
      <c r="S611" s="187"/>
      <c r="T611" s="187"/>
      <c r="U611" s="186"/>
      <c r="V611" s="186"/>
      <c r="W611" s="186"/>
    </row>
    <row r="612">
      <c r="A612" s="185"/>
      <c r="B612" s="67"/>
      <c r="C612" s="186"/>
      <c r="D612" s="186"/>
      <c r="E612" s="186"/>
      <c r="F612" s="186"/>
      <c r="G612" s="186"/>
      <c r="H612" s="186"/>
      <c r="I612" s="186"/>
      <c r="J612" s="186"/>
      <c r="K612" s="186"/>
      <c r="L612" s="186"/>
      <c r="M612" s="67"/>
      <c r="N612" s="67"/>
      <c r="O612" s="67"/>
      <c r="P612" s="67"/>
      <c r="Q612" s="186"/>
      <c r="R612" s="186"/>
      <c r="S612" s="187"/>
      <c r="T612" s="187"/>
      <c r="U612" s="186"/>
      <c r="V612" s="186"/>
      <c r="W612" s="186"/>
    </row>
    <row r="613">
      <c r="A613" s="185"/>
      <c r="B613" s="67"/>
      <c r="C613" s="186"/>
      <c r="D613" s="186"/>
      <c r="E613" s="186"/>
      <c r="F613" s="186"/>
      <c r="G613" s="186"/>
      <c r="H613" s="186"/>
      <c r="I613" s="186"/>
      <c r="J613" s="186"/>
      <c r="K613" s="186"/>
      <c r="L613" s="186"/>
      <c r="M613" s="67"/>
      <c r="N613" s="67"/>
      <c r="O613" s="67"/>
      <c r="P613" s="67"/>
      <c r="Q613" s="186"/>
      <c r="R613" s="186"/>
      <c r="S613" s="187"/>
      <c r="T613" s="187"/>
      <c r="U613" s="186"/>
      <c r="V613" s="186"/>
      <c r="W613" s="186"/>
    </row>
    <row r="614">
      <c r="A614" s="185"/>
      <c r="B614" s="67"/>
      <c r="C614" s="186"/>
      <c r="D614" s="186"/>
      <c r="E614" s="186"/>
      <c r="F614" s="186"/>
      <c r="G614" s="186"/>
      <c r="H614" s="186"/>
      <c r="I614" s="186"/>
      <c r="J614" s="186"/>
      <c r="K614" s="186"/>
      <c r="L614" s="186"/>
      <c r="M614" s="67"/>
      <c r="N614" s="67"/>
      <c r="O614" s="67"/>
      <c r="P614" s="67"/>
      <c r="Q614" s="186"/>
      <c r="R614" s="186"/>
      <c r="S614" s="187"/>
      <c r="T614" s="187"/>
      <c r="U614" s="186"/>
      <c r="V614" s="186"/>
      <c r="W614" s="186"/>
    </row>
    <row r="615">
      <c r="A615" s="185"/>
      <c r="B615" s="67"/>
      <c r="C615" s="186"/>
      <c r="D615" s="186"/>
      <c r="E615" s="186"/>
      <c r="F615" s="186"/>
      <c r="G615" s="186"/>
      <c r="H615" s="186"/>
      <c r="I615" s="186"/>
      <c r="J615" s="186"/>
      <c r="K615" s="186"/>
      <c r="L615" s="186"/>
      <c r="M615" s="67"/>
      <c r="N615" s="67"/>
      <c r="O615" s="67"/>
      <c r="P615" s="67"/>
      <c r="Q615" s="186"/>
      <c r="R615" s="186"/>
      <c r="S615" s="187"/>
      <c r="T615" s="187"/>
      <c r="U615" s="186"/>
      <c r="V615" s="186"/>
      <c r="W615" s="186"/>
    </row>
    <row r="616">
      <c r="A616" s="185"/>
      <c r="B616" s="67"/>
      <c r="C616" s="186"/>
      <c r="D616" s="186"/>
      <c r="E616" s="186"/>
      <c r="F616" s="186"/>
      <c r="G616" s="186"/>
      <c r="H616" s="186"/>
      <c r="I616" s="186"/>
      <c r="J616" s="186"/>
      <c r="K616" s="186"/>
      <c r="L616" s="186"/>
      <c r="M616" s="67"/>
      <c r="N616" s="67"/>
      <c r="O616" s="67"/>
      <c r="P616" s="67"/>
      <c r="Q616" s="186"/>
      <c r="R616" s="186"/>
      <c r="S616" s="187"/>
      <c r="T616" s="187"/>
      <c r="U616" s="186"/>
      <c r="V616" s="186"/>
      <c r="W616" s="186"/>
    </row>
    <row r="617">
      <c r="A617" s="185"/>
      <c r="B617" s="67"/>
      <c r="C617" s="186"/>
      <c r="D617" s="186"/>
      <c r="E617" s="186"/>
      <c r="F617" s="186"/>
      <c r="G617" s="186"/>
      <c r="H617" s="186"/>
      <c r="I617" s="186"/>
      <c r="J617" s="186"/>
      <c r="K617" s="186"/>
      <c r="L617" s="186"/>
      <c r="M617" s="67"/>
      <c r="N617" s="67"/>
      <c r="O617" s="67"/>
      <c r="P617" s="67"/>
      <c r="Q617" s="186"/>
      <c r="R617" s="186"/>
      <c r="S617" s="187"/>
      <c r="T617" s="187"/>
      <c r="U617" s="186"/>
      <c r="V617" s="186"/>
      <c r="W617" s="186"/>
    </row>
    <row r="618">
      <c r="A618" s="185"/>
      <c r="B618" s="67"/>
      <c r="C618" s="186"/>
      <c r="D618" s="186"/>
      <c r="E618" s="186"/>
      <c r="F618" s="186"/>
      <c r="G618" s="186"/>
      <c r="H618" s="186"/>
      <c r="I618" s="186"/>
      <c r="J618" s="186"/>
      <c r="K618" s="186"/>
      <c r="L618" s="186"/>
      <c r="M618" s="67"/>
      <c r="N618" s="67"/>
      <c r="O618" s="67"/>
      <c r="P618" s="67"/>
      <c r="Q618" s="186"/>
      <c r="R618" s="186"/>
      <c r="S618" s="187"/>
      <c r="T618" s="187"/>
      <c r="U618" s="186"/>
      <c r="V618" s="186"/>
      <c r="W618" s="186"/>
    </row>
    <row r="619">
      <c r="A619" s="185"/>
      <c r="B619" s="67"/>
      <c r="C619" s="186"/>
      <c r="D619" s="186"/>
      <c r="E619" s="186"/>
      <c r="F619" s="186"/>
      <c r="G619" s="186"/>
      <c r="H619" s="186"/>
      <c r="I619" s="186"/>
      <c r="J619" s="186"/>
      <c r="K619" s="186"/>
      <c r="L619" s="186"/>
      <c r="M619" s="67"/>
      <c r="N619" s="67"/>
      <c r="O619" s="67"/>
      <c r="P619" s="67"/>
      <c r="Q619" s="186"/>
      <c r="R619" s="186"/>
      <c r="S619" s="187"/>
      <c r="T619" s="187"/>
      <c r="U619" s="186"/>
      <c r="V619" s="186"/>
      <c r="W619" s="186"/>
    </row>
    <row r="620">
      <c r="A620" s="185"/>
      <c r="B620" s="67"/>
      <c r="C620" s="186"/>
      <c r="D620" s="186"/>
      <c r="E620" s="186"/>
      <c r="F620" s="186"/>
      <c r="G620" s="186"/>
      <c r="H620" s="186"/>
      <c r="I620" s="186"/>
      <c r="J620" s="186"/>
      <c r="K620" s="186"/>
      <c r="L620" s="186"/>
      <c r="M620" s="67"/>
      <c r="N620" s="67"/>
      <c r="O620" s="67"/>
      <c r="P620" s="67"/>
      <c r="Q620" s="186"/>
      <c r="R620" s="186"/>
      <c r="S620" s="187"/>
      <c r="T620" s="187"/>
      <c r="U620" s="186"/>
      <c r="V620" s="186"/>
      <c r="W620" s="186"/>
    </row>
    <row r="621">
      <c r="A621" s="185"/>
      <c r="B621" s="67"/>
      <c r="C621" s="186"/>
      <c r="D621" s="186"/>
      <c r="E621" s="186"/>
      <c r="F621" s="186"/>
      <c r="G621" s="186"/>
      <c r="H621" s="186"/>
      <c r="I621" s="186"/>
      <c r="J621" s="186"/>
      <c r="K621" s="186"/>
      <c r="L621" s="186"/>
      <c r="M621" s="67"/>
      <c r="N621" s="67"/>
      <c r="O621" s="67"/>
      <c r="P621" s="67"/>
      <c r="Q621" s="186"/>
      <c r="R621" s="186"/>
      <c r="S621" s="187"/>
      <c r="T621" s="187"/>
      <c r="U621" s="186"/>
      <c r="V621" s="186"/>
      <c r="W621" s="186"/>
    </row>
    <row r="622">
      <c r="A622" s="185"/>
      <c r="B622" s="67"/>
      <c r="C622" s="186"/>
      <c r="D622" s="186"/>
      <c r="E622" s="186"/>
      <c r="F622" s="186"/>
      <c r="G622" s="186"/>
      <c r="H622" s="186"/>
      <c r="I622" s="186"/>
      <c r="J622" s="186"/>
      <c r="K622" s="186"/>
      <c r="L622" s="186"/>
      <c r="M622" s="67"/>
      <c r="N622" s="67"/>
      <c r="O622" s="67"/>
      <c r="P622" s="67"/>
      <c r="Q622" s="186"/>
      <c r="R622" s="186"/>
      <c r="S622" s="187"/>
      <c r="T622" s="187"/>
      <c r="U622" s="186"/>
      <c r="V622" s="186"/>
      <c r="W622" s="186"/>
    </row>
    <row r="623">
      <c r="A623" s="185"/>
      <c r="B623" s="67"/>
      <c r="C623" s="186"/>
      <c r="D623" s="186"/>
      <c r="E623" s="186"/>
      <c r="F623" s="186"/>
      <c r="G623" s="186"/>
      <c r="H623" s="186"/>
      <c r="I623" s="186"/>
      <c r="J623" s="186"/>
      <c r="K623" s="186"/>
      <c r="L623" s="186"/>
      <c r="M623" s="67"/>
      <c r="N623" s="67"/>
      <c r="O623" s="67"/>
      <c r="P623" s="67"/>
      <c r="Q623" s="186"/>
      <c r="R623" s="186"/>
      <c r="S623" s="187"/>
      <c r="T623" s="187"/>
      <c r="U623" s="186"/>
      <c r="V623" s="186"/>
      <c r="W623" s="186"/>
    </row>
    <row r="624">
      <c r="A624" s="185"/>
      <c r="B624" s="67"/>
      <c r="C624" s="186"/>
      <c r="D624" s="186"/>
      <c r="E624" s="186"/>
      <c r="F624" s="186"/>
      <c r="G624" s="186"/>
      <c r="H624" s="186"/>
      <c r="I624" s="186"/>
      <c r="J624" s="186"/>
      <c r="K624" s="186"/>
      <c r="L624" s="186"/>
      <c r="M624" s="67"/>
      <c r="N624" s="67"/>
      <c r="O624" s="67"/>
      <c r="P624" s="67"/>
      <c r="Q624" s="186"/>
      <c r="R624" s="186"/>
      <c r="S624" s="187"/>
      <c r="T624" s="187"/>
      <c r="U624" s="186"/>
      <c r="V624" s="186"/>
      <c r="W624" s="186"/>
    </row>
    <row r="625">
      <c r="A625" s="185"/>
      <c r="B625" s="67"/>
      <c r="C625" s="186"/>
      <c r="D625" s="186"/>
      <c r="E625" s="186"/>
      <c r="F625" s="186"/>
      <c r="G625" s="186"/>
      <c r="H625" s="186"/>
      <c r="I625" s="186"/>
      <c r="J625" s="186"/>
      <c r="K625" s="186"/>
      <c r="L625" s="186"/>
      <c r="M625" s="67"/>
      <c r="N625" s="67"/>
      <c r="O625" s="67"/>
      <c r="P625" s="67"/>
      <c r="Q625" s="186"/>
      <c r="R625" s="186"/>
      <c r="S625" s="187"/>
      <c r="T625" s="187"/>
      <c r="U625" s="186"/>
      <c r="V625" s="186"/>
      <c r="W625" s="186"/>
    </row>
    <row r="626">
      <c r="A626" s="185"/>
      <c r="B626" s="67"/>
      <c r="C626" s="186"/>
      <c r="D626" s="186"/>
      <c r="E626" s="186"/>
      <c r="F626" s="186"/>
      <c r="G626" s="186"/>
      <c r="H626" s="186"/>
      <c r="I626" s="186"/>
      <c r="J626" s="186"/>
      <c r="K626" s="186"/>
      <c r="L626" s="186"/>
      <c r="M626" s="67"/>
      <c r="N626" s="67"/>
      <c r="O626" s="67"/>
      <c r="P626" s="67"/>
      <c r="Q626" s="186"/>
      <c r="R626" s="186"/>
      <c r="S626" s="187"/>
      <c r="T626" s="187"/>
      <c r="U626" s="186"/>
      <c r="V626" s="186"/>
      <c r="W626" s="186"/>
    </row>
    <row r="627">
      <c r="A627" s="185"/>
      <c r="B627" s="67"/>
      <c r="C627" s="186"/>
      <c r="D627" s="186"/>
      <c r="E627" s="186"/>
      <c r="F627" s="186"/>
      <c r="G627" s="186"/>
      <c r="H627" s="186"/>
      <c r="I627" s="186"/>
      <c r="J627" s="186"/>
      <c r="K627" s="186"/>
      <c r="L627" s="186"/>
      <c r="M627" s="67"/>
      <c r="N627" s="67"/>
      <c r="O627" s="67"/>
      <c r="P627" s="67"/>
      <c r="Q627" s="186"/>
      <c r="R627" s="186"/>
      <c r="S627" s="187"/>
      <c r="T627" s="187"/>
      <c r="U627" s="186"/>
      <c r="V627" s="186"/>
      <c r="W627" s="186"/>
    </row>
    <row r="628">
      <c r="A628" s="185"/>
      <c r="B628" s="67"/>
      <c r="C628" s="186"/>
      <c r="D628" s="186"/>
      <c r="E628" s="186"/>
      <c r="F628" s="186"/>
      <c r="G628" s="186"/>
      <c r="H628" s="186"/>
      <c r="I628" s="186"/>
      <c r="J628" s="186"/>
      <c r="K628" s="186"/>
      <c r="L628" s="186"/>
      <c r="M628" s="67"/>
      <c r="N628" s="67"/>
      <c r="O628" s="67"/>
      <c r="P628" s="67"/>
      <c r="Q628" s="186"/>
      <c r="R628" s="186"/>
      <c r="S628" s="187"/>
      <c r="T628" s="187"/>
      <c r="U628" s="186"/>
      <c r="V628" s="186"/>
      <c r="W628" s="186"/>
    </row>
    <row r="629">
      <c r="A629" s="185"/>
      <c r="B629" s="67"/>
      <c r="C629" s="186"/>
      <c r="D629" s="186"/>
      <c r="E629" s="186"/>
      <c r="F629" s="186"/>
      <c r="G629" s="186"/>
      <c r="H629" s="186"/>
      <c r="I629" s="186"/>
      <c r="J629" s="186"/>
      <c r="K629" s="186"/>
      <c r="L629" s="186"/>
      <c r="M629" s="67"/>
      <c r="N629" s="67"/>
      <c r="O629" s="67"/>
      <c r="P629" s="67"/>
      <c r="Q629" s="186"/>
      <c r="R629" s="186"/>
      <c r="S629" s="187"/>
      <c r="T629" s="187"/>
      <c r="U629" s="186"/>
      <c r="V629" s="186"/>
      <c r="W629" s="186"/>
    </row>
    <row r="630">
      <c r="A630" s="185"/>
      <c r="B630" s="67"/>
      <c r="C630" s="186"/>
      <c r="D630" s="186"/>
      <c r="E630" s="186"/>
      <c r="F630" s="186"/>
      <c r="G630" s="186"/>
      <c r="H630" s="186"/>
      <c r="I630" s="186"/>
      <c r="J630" s="186"/>
      <c r="K630" s="186"/>
      <c r="L630" s="186"/>
      <c r="M630" s="67"/>
      <c r="N630" s="67"/>
      <c r="O630" s="67"/>
      <c r="P630" s="67"/>
      <c r="Q630" s="186"/>
      <c r="R630" s="186"/>
      <c r="S630" s="187"/>
      <c r="T630" s="187"/>
      <c r="U630" s="186"/>
      <c r="V630" s="186"/>
      <c r="W630" s="186"/>
    </row>
    <row r="631">
      <c r="A631" s="185"/>
      <c r="B631" s="67"/>
      <c r="C631" s="186"/>
      <c r="D631" s="186"/>
      <c r="E631" s="186"/>
      <c r="F631" s="186"/>
      <c r="G631" s="186"/>
      <c r="H631" s="186"/>
      <c r="I631" s="186"/>
      <c r="J631" s="186"/>
      <c r="K631" s="186"/>
      <c r="L631" s="186"/>
      <c r="M631" s="67"/>
      <c r="N631" s="67"/>
      <c r="O631" s="67"/>
      <c r="P631" s="67"/>
      <c r="Q631" s="186"/>
      <c r="R631" s="186"/>
      <c r="S631" s="187"/>
      <c r="T631" s="187"/>
      <c r="U631" s="186"/>
      <c r="V631" s="186"/>
      <c r="W631" s="186"/>
    </row>
    <row r="632">
      <c r="A632" s="185"/>
      <c r="B632" s="67"/>
      <c r="C632" s="186"/>
      <c r="D632" s="186"/>
      <c r="E632" s="186"/>
      <c r="F632" s="186"/>
      <c r="G632" s="186"/>
      <c r="H632" s="186"/>
      <c r="I632" s="186"/>
      <c r="J632" s="186"/>
      <c r="K632" s="186"/>
      <c r="L632" s="186"/>
      <c r="M632" s="67"/>
      <c r="N632" s="67"/>
      <c r="O632" s="67"/>
      <c r="P632" s="67"/>
      <c r="Q632" s="186"/>
      <c r="R632" s="186"/>
      <c r="S632" s="187"/>
      <c r="T632" s="187"/>
      <c r="U632" s="186"/>
      <c r="V632" s="186"/>
      <c r="W632" s="186"/>
    </row>
    <row r="633">
      <c r="A633" s="185"/>
      <c r="B633" s="67"/>
      <c r="C633" s="186"/>
      <c r="D633" s="186"/>
      <c r="E633" s="186"/>
      <c r="F633" s="186"/>
      <c r="G633" s="186"/>
      <c r="H633" s="186"/>
      <c r="I633" s="186"/>
      <c r="J633" s="186"/>
      <c r="K633" s="186"/>
      <c r="L633" s="186"/>
      <c r="M633" s="67"/>
      <c r="N633" s="67"/>
      <c r="O633" s="67"/>
      <c r="P633" s="67"/>
      <c r="Q633" s="186"/>
      <c r="R633" s="186"/>
      <c r="S633" s="187"/>
      <c r="T633" s="187"/>
      <c r="U633" s="186"/>
      <c r="V633" s="186"/>
      <c r="W633" s="186"/>
    </row>
    <row r="634">
      <c r="A634" s="185"/>
      <c r="B634" s="67"/>
      <c r="C634" s="186"/>
      <c r="D634" s="186"/>
      <c r="E634" s="186"/>
      <c r="F634" s="186"/>
      <c r="G634" s="186"/>
      <c r="H634" s="186"/>
      <c r="I634" s="186"/>
      <c r="J634" s="186"/>
      <c r="K634" s="186"/>
      <c r="L634" s="186"/>
      <c r="M634" s="67"/>
      <c r="N634" s="67"/>
      <c r="O634" s="67"/>
      <c r="P634" s="67"/>
      <c r="Q634" s="186"/>
      <c r="R634" s="186"/>
      <c r="S634" s="187"/>
      <c r="T634" s="187"/>
      <c r="U634" s="186"/>
      <c r="V634" s="186"/>
      <c r="W634" s="186"/>
    </row>
    <row r="635">
      <c r="A635" s="185"/>
      <c r="B635" s="67"/>
      <c r="C635" s="186"/>
      <c r="D635" s="186"/>
      <c r="E635" s="186"/>
      <c r="F635" s="186"/>
      <c r="G635" s="186"/>
      <c r="H635" s="186"/>
      <c r="I635" s="186"/>
      <c r="J635" s="186"/>
      <c r="K635" s="186"/>
      <c r="L635" s="186"/>
      <c r="M635" s="67"/>
      <c r="N635" s="67"/>
      <c r="O635" s="67"/>
      <c r="P635" s="67"/>
      <c r="Q635" s="186"/>
      <c r="R635" s="186"/>
      <c r="S635" s="187"/>
      <c r="T635" s="187"/>
      <c r="U635" s="186"/>
      <c r="V635" s="186"/>
      <c r="W635" s="186"/>
    </row>
    <row r="636">
      <c r="A636" s="185"/>
      <c r="B636" s="67"/>
      <c r="C636" s="186"/>
      <c r="D636" s="186"/>
      <c r="E636" s="186"/>
      <c r="F636" s="186"/>
      <c r="G636" s="186"/>
      <c r="H636" s="186"/>
      <c r="I636" s="186"/>
      <c r="J636" s="186"/>
      <c r="K636" s="186"/>
      <c r="L636" s="186"/>
      <c r="M636" s="67"/>
      <c r="N636" s="67"/>
      <c r="O636" s="67"/>
      <c r="P636" s="67"/>
      <c r="Q636" s="186"/>
      <c r="R636" s="186"/>
      <c r="S636" s="187"/>
      <c r="T636" s="187"/>
      <c r="U636" s="186"/>
      <c r="V636" s="186"/>
      <c r="W636" s="186"/>
    </row>
    <row r="637">
      <c r="A637" s="185"/>
      <c r="B637" s="67"/>
      <c r="C637" s="186"/>
      <c r="D637" s="186"/>
      <c r="E637" s="186"/>
      <c r="F637" s="186"/>
      <c r="G637" s="186"/>
      <c r="H637" s="186"/>
      <c r="I637" s="186"/>
      <c r="J637" s="186"/>
      <c r="K637" s="186"/>
      <c r="L637" s="186"/>
      <c r="M637" s="67"/>
      <c r="N637" s="67"/>
      <c r="O637" s="67"/>
      <c r="P637" s="67"/>
      <c r="Q637" s="186"/>
      <c r="R637" s="186"/>
      <c r="S637" s="187"/>
      <c r="T637" s="187"/>
      <c r="U637" s="186"/>
      <c r="V637" s="186"/>
      <c r="W637" s="186"/>
    </row>
    <row r="638">
      <c r="A638" s="185"/>
      <c r="B638" s="67"/>
      <c r="C638" s="186"/>
      <c r="D638" s="186"/>
      <c r="E638" s="186"/>
      <c r="F638" s="186"/>
      <c r="G638" s="186"/>
      <c r="H638" s="186"/>
      <c r="I638" s="186"/>
      <c r="J638" s="186"/>
      <c r="K638" s="186"/>
      <c r="L638" s="186"/>
      <c r="M638" s="67"/>
      <c r="N638" s="67"/>
      <c r="O638" s="67"/>
      <c r="P638" s="67"/>
      <c r="Q638" s="186"/>
      <c r="R638" s="186"/>
      <c r="S638" s="187"/>
      <c r="T638" s="187"/>
      <c r="U638" s="186"/>
      <c r="V638" s="186"/>
      <c r="W638" s="186"/>
    </row>
    <row r="639">
      <c r="A639" s="185"/>
      <c r="B639" s="67"/>
      <c r="C639" s="186"/>
      <c r="D639" s="186"/>
      <c r="E639" s="186"/>
      <c r="F639" s="186"/>
      <c r="G639" s="186"/>
      <c r="H639" s="186"/>
      <c r="I639" s="186"/>
      <c r="J639" s="186"/>
      <c r="K639" s="186"/>
      <c r="L639" s="186"/>
      <c r="M639" s="67"/>
      <c r="N639" s="67"/>
      <c r="O639" s="67"/>
      <c r="P639" s="67"/>
      <c r="Q639" s="186"/>
      <c r="R639" s="186"/>
      <c r="S639" s="187"/>
      <c r="T639" s="187"/>
      <c r="U639" s="186"/>
      <c r="V639" s="186"/>
      <c r="W639" s="186"/>
    </row>
    <row r="640">
      <c r="A640" s="185"/>
      <c r="B640" s="67"/>
      <c r="C640" s="186"/>
      <c r="D640" s="186"/>
      <c r="E640" s="186"/>
      <c r="F640" s="186"/>
      <c r="G640" s="186"/>
      <c r="H640" s="186"/>
      <c r="I640" s="186"/>
      <c r="J640" s="186"/>
      <c r="K640" s="186"/>
      <c r="L640" s="186"/>
      <c r="M640" s="67"/>
      <c r="N640" s="67"/>
      <c r="O640" s="67"/>
      <c r="P640" s="67"/>
      <c r="Q640" s="186"/>
      <c r="R640" s="186"/>
      <c r="S640" s="187"/>
      <c r="T640" s="187"/>
      <c r="U640" s="186"/>
      <c r="V640" s="186"/>
      <c r="W640" s="186"/>
    </row>
    <row r="641">
      <c r="A641" s="185"/>
      <c r="B641" s="67"/>
      <c r="C641" s="186"/>
      <c r="D641" s="186"/>
      <c r="E641" s="186"/>
      <c r="F641" s="186"/>
      <c r="G641" s="186"/>
      <c r="H641" s="186"/>
      <c r="I641" s="186"/>
      <c r="J641" s="186"/>
      <c r="K641" s="186"/>
      <c r="L641" s="186"/>
      <c r="M641" s="67"/>
      <c r="N641" s="67"/>
      <c r="O641" s="67"/>
      <c r="P641" s="67"/>
      <c r="Q641" s="186"/>
      <c r="R641" s="186"/>
      <c r="S641" s="187"/>
      <c r="T641" s="187"/>
      <c r="U641" s="186"/>
      <c r="V641" s="186"/>
      <c r="W641" s="186"/>
    </row>
    <row r="642">
      <c r="A642" s="185"/>
      <c r="B642" s="67"/>
      <c r="C642" s="186"/>
      <c r="D642" s="186"/>
      <c r="E642" s="186"/>
      <c r="F642" s="186"/>
      <c r="G642" s="186"/>
      <c r="H642" s="186"/>
      <c r="I642" s="186"/>
      <c r="J642" s="186"/>
      <c r="K642" s="186"/>
      <c r="L642" s="186"/>
      <c r="M642" s="67"/>
      <c r="N642" s="67"/>
      <c r="O642" s="67"/>
      <c r="P642" s="67"/>
      <c r="Q642" s="186"/>
      <c r="R642" s="186"/>
      <c r="S642" s="187"/>
      <c r="T642" s="187"/>
      <c r="U642" s="186"/>
      <c r="V642" s="186"/>
      <c r="W642" s="186"/>
    </row>
    <row r="643">
      <c r="A643" s="185"/>
      <c r="B643" s="67"/>
      <c r="C643" s="186"/>
      <c r="D643" s="186"/>
      <c r="E643" s="186"/>
      <c r="F643" s="186"/>
      <c r="G643" s="186"/>
      <c r="H643" s="186"/>
      <c r="I643" s="186"/>
      <c r="J643" s="186"/>
      <c r="K643" s="186"/>
      <c r="L643" s="186"/>
      <c r="M643" s="67"/>
      <c r="N643" s="67"/>
      <c r="O643" s="67"/>
      <c r="P643" s="67"/>
      <c r="Q643" s="186"/>
      <c r="R643" s="186"/>
      <c r="S643" s="187"/>
      <c r="T643" s="187"/>
      <c r="U643" s="186"/>
      <c r="V643" s="186"/>
      <c r="W643" s="186"/>
    </row>
    <row r="644">
      <c r="A644" s="185"/>
      <c r="B644" s="67"/>
      <c r="C644" s="186"/>
      <c r="D644" s="186"/>
      <c r="E644" s="186"/>
      <c r="F644" s="186"/>
      <c r="G644" s="186"/>
      <c r="H644" s="186"/>
      <c r="I644" s="186"/>
      <c r="J644" s="186"/>
      <c r="K644" s="186"/>
      <c r="L644" s="186"/>
      <c r="M644" s="67"/>
      <c r="N644" s="67"/>
      <c r="O644" s="67"/>
      <c r="P644" s="67"/>
      <c r="Q644" s="186"/>
      <c r="R644" s="186"/>
      <c r="S644" s="187"/>
      <c r="T644" s="187"/>
      <c r="U644" s="186"/>
      <c r="V644" s="186"/>
      <c r="W644" s="186"/>
    </row>
    <row r="645">
      <c r="A645" s="185"/>
      <c r="B645" s="67"/>
      <c r="C645" s="186"/>
      <c r="D645" s="186"/>
      <c r="E645" s="186"/>
      <c r="F645" s="186"/>
      <c r="G645" s="186"/>
      <c r="H645" s="186"/>
      <c r="I645" s="186"/>
      <c r="J645" s="186"/>
      <c r="K645" s="186"/>
      <c r="L645" s="186"/>
      <c r="M645" s="67"/>
      <c r="N645" s="67"/>
      <c r="O645" s="67"/>
      <c r="P645" s="67"/>
      <c r="Q645" s="186"/>
      <c r="R645" s="186"/>
      <c r="S645" s="187"/>
      <c r="T645" s="187"/>
      <c r="U645" s="186"/>
      <c r="V645" s="186"/>
      <c r="W645" s="186"/>
    </row>
    <row r="646">
      <c r="A646" s="185"/>
      <c r="B646" s="67"/>
      <c r="C646" s="186"/>
      <c r="D646" s="186"/>
      <c r="E646" s="186"/>
      <c r="F646" s="186"/>
      <c r="G646" s="186"/>
      <c r="H646" s="186"/>
      <c r="I646" s="186"/>
      <c r="J646" s="186"/>
      <c r="K646" s="186"/>
      <c r="L646" s="186"/>
      <c r="M646" s="67"/>
      <c r="N646" s="67"/>
      <c r="O646" s="67"/>
      <c r="P646" s="67"/>
      <c r="Q646" s="186"/>
      <c r="R646" s="186"/>
      <c r="S646" s="187"/>
      <c r="T646" s="187"/>
      <c r="U646" s="186"/>
      <c r="V646" s="186"/>
      <c r="W646" s="186"/>
    </row>
    <row r="647">
      <c r="A647" s="185"/>
      <c r="B647" s="67"/>
      <c r="C647" s="186"/>
      <c r="D647" s="186"/>
      <c r="E647" s="186"/>
      <c r="F647" s="186"/>
      <c r="G647" s="186"/>
      <c r="H647" s="186"/>
      <c r="I647" s="186"/>
      <c r="J647" s="186"/>
      <c r="K647" s="186"/>
      <c r="L647" s="186"/>
      <c r="M647" s="67"/>
      <c r="N647" s="67"/>
      <c r="O647" s="67"/>
      <c r="P647" s="67"/>
      <c r="Q647" s="186"/>
      <c r="R647" s="186"/>
      <c r="S647" s="187"/>
      <c r="T647" s="187"/>
      <c r="U647" s="186"/>
      <c r="V647" s="186"/>
      <c r="W647" s="186"/>
    </row>
    <row r="648">
      <c r="A648" s="185"/>
      <c r="B648" s="67"/>
      <c r="C648" s="186"/>
      <c r="D648" s="186"/>
      <c r="E648" s="186"/>
      <c r="F648" s="186"/>
      <c r="G648" s="186"/>
      <c r="H648" s="186"/>
      <c r="I648" s="186"/>
      <c r="J648" s="186"/>
      <c r="K648" s="186"/>
      <c r="L648" s="186"/>
      <c r="M648" s="67"/>
      <c r="N648" s="67"/>
      <c r="O648" s="67"/>
      <c r="P648" s="67"/>
      <c r="Q648" s="186"/>
      <c r="R648" s="186"/>
      <c r="S648" s="187"/>
      <c r="T648" s="187"/>
      <c r="U648" s="186"/>
      <c r="V648" s="186"/>
      <c r="W648" s="186"/>
    </row>
    <row r="649">
      <c r="A649" s="185"/>
      <c r="B649" s="67"/>
      <c r="C649" s="186"/>
      <c r="D649" s="186"/>
      <c r="E649" s="186"/>
      <c r="F649" s="186"/>
      <c r="G649" s="186"/>
      <c r="H649" s="186"/>
      <c r="I649" s="186"/>
      <c r="J649" s="186"/>
      <c r="K649" s="186"/>
      <c r="L649" s="186"/>
      <c r="M649" s="67"/>
      <c r="N649" s="67"/>
      <c r="O649" s="67"/>
      <c r="P649" s="67"/>
      <c r="Q649" s="186"/>
      <c r="R649" s="186"/>
      <c r="S649" s="187"/>
      <c r="T649" s="187"/>
      <c r="U649" s="186"/>
      <c r="V649" s="186"/>
      <c r="W649" s="186"/>
    </row>
    <row r="650">
      <c r="A650" s="185"/>
      <c r="B650" s="67"/>
      <c r="C650" s="186"/>
      <c r="D650" s="186"/>
      <c r="E650" s="186"/>
      <c r="F650" s="186"/>
      <c r="G650" s="186"/>
      <c r="H650" s="186"/>
      <c r="I650" s="186"/>
      <c r="J650" s="186"/>
      <c r="K650" s="186"/>
      <c r="L650" s="186"/>
      <c r="M650" s="67"/>
      <c r="N650" s="67"/>
      <c r="O650" s="67"/>
      <c r="P650" s="67"/>
      <c r="Q650" s="186"/>
      <c r="R650" s="186"/>
      <c r="S650" s="187"/>
      <c r="T650" s="187"/>
      <c r="U650" s="186"/>
      <c r="V650" s="186"/>
      <c r="W650" s="186"/>
    </row>
    <row r="651">
      <c r="A651" s="185"/>
      <c r="B651" s="67"/>
      <c r="C651" s="186"/>
      <c r="D651" s="186"/>
      <c r="E651" s="186"/>
      <c r="F651" s="186"/>
      <c r="G651" s="186"/>
      <c r="H651" s="186"/>
      <c r="I651" s="186"/>
      <c r="J651" s="186"/>
      <c r="K651" s="186"/>
      <c r="L651" s="186"/>
      <c r="M651" s="67"/>
      <c r="N651" s="67"/>
      <c r="O651" s="67"/>
      <c r="P651" s="67"/>
      <c r="Q651" s="186"/>
      <c r="R651" s="186"/>
      <c r="S651" s="187"/>
      <c r="T651" s="187"/>
      <c r="U651" s="186"/>
      <c r="V651" s="186"/>
      <c r="W651" s="186"/>
    </row>
    <row r="652">
      <c r="A652" s="185"/>
      <c r="B652" s="67"/>
      <c r="C652" s="186"/>
      <c r="D652" s="186"/>
      <c r="E652" s="186"/>
      <c r="F652" s="186"/>
      <c r="G652" s="186"/>
      <c r="H652" s="186"/>
      <c r="I652" s="186"/>
      <c r="J652" s="186"/>
      <c r="K652" s="186"/>
      <c r="L652" s="186"/>
      <c r="M652" s="67"/>
      <c r="N652" s="67"/>
      <c r="O652" s="67"/>
      <c r="P652" s="67"/>
      <c r="Q652" s="186"/>
      <c r="R652" s="186"/>
      <c r="S652" s="187"/>
      <c r="T652" s="187"/>
      <c r="U652" s="186"/>
      <c r="V652" s="186"/>
      <c r="W652" s="186"/>
    </row>
    <row r="653">
      <c r="A653" s="185"/>
      <c r="B653" s="67"/>
      <c r="C653" s="186"/>
      <c r="D653" s="186"/>
      <c r="E653" s="186"/>
      <c r="F653" s="186"/>
      <c r="G653" s="186"/>
      <c r="H653" s="186"/>
      <c r="I653" s="186"/>
      <c r="J653" s="186"/>
      <c r="K653" s="186"/>
      <c r="L653" s="186"/>
      <c r="M653" s="67"/>
      <c r="N653" s="67"/>
      <c r="O653" s="67"/>
      <c r="P653" s="67"/>
      <c r="Q653" s="186"/>
      <c r="R653" s="186"/>
      <c r="S653" s="187"/>
      <c r="T653" s="187"/>
      <c r="U653" s="186"/>
      <c r="V653" s="186"/>
      <c r="W653" s="186"/>
    </row>
    <row r="654">
      <c r="A654" s="185"/>
      <c r="B654" s="67"/>
      <c r="C654" s="186"/>
      <c r="D654" s="186"/>
      <c r="E654" s="186"/>
      <c r="F654" s="186"/>
      <c r="G654" s="186"/>
      <c r="H654" s="186"/>
      <c r="I654" s="186"/>
      <c r="J654" s="186"/>
      <c r="K654" s="186"/>
      <c r="L654" s="186"/>
      <c r="M654" s="67"/>
      <c r="N654" s="67"/>
      <c r="O654" s="67"/>
      <c r="P654" s="67"/>
      <c r="Q654" s="186"/>
      <c r="R654" s="186"/>
      <c r="S654" s="187"/>
      <c r="T654" s="187"/>
      <c r="U654" s="186"/>
      <c r="V654" s="186"/>
      <c r="W654" s="186"/>
    </row>
    <row r="655">
      <c r="A655" s="185"/>
      <c r="B655" s="67"/>
      <c r="C655" s="186"/>
      <c r="D655" s="186"/>
      <c r="E655" s="186"/>
      <c r="F655" s="186"/>
      <c r="G655" s="186"/>
      <c r="H655" s="186"/>
      <c r="I655" s="186"/>
      <c r="J655" s="186"/>
      <c r="K655" s="186"/>
      <c r="L655" s="186"/>
      <c r="M655" s="67"/>
      <c r="N655" s="67"/>
      <c r="O655" s="67"/>
      <c r="P655" s="67"/>
      <c r="Q655" s="186"/>
      <c r="R655" s="186"/>
      <c r="S655" s="187"/>
      <c r="T655" s="187"/>
      <c r="U655" s="186"/>
      <c r="V655" s="186"/>
      <c r="W655" s="186"/>
    </row>
    <row r="656">
      <c r="A656" s="185"/>
      <c r="B656" s="67"/>
      <c r="C656" s="186"/>
      <c r="D656" s="186"/>
      <c r="E656" s="186"/>
      <c r="F656" s="186"/>
      <c r="G656" s="186"/>
      <c r="H656" s="186"/>
      <c r="I656" s="186"/>
      <c r="J656" s="186"/>
      <c r="K656" s="186"/>
      <c r="L656" s="186"/>
      <c r="M656" s="67"/>
      <c r="N656" s="67"/>
      <c r="O656" s="67"/>
      <c r="P656" s="67"/>
      <c r="Q656" s="186"/>
      <c r="R656" s="186"/>
      <c r="S656" s="187"/>
      <c r="T656" s="187"/>
      <c r="U656" s="186"/>
      <c r="V656" s="186"/>
      <c r="W656" s="186"/>
    </row>
    <row r="657">
      <c r="A657" s="185"/>
      <c r="B657" s="67"/>
      <c r="C657" s="186"/>
      <c r="D657" s="186"/>
      <c r="E657" s="186"/>
      <c r="F657" s="186"/>
      <c r="G657" s="186"/>
      <c r="H657" s="186"/>
      <c r="I657" s="186"/>
      <c r="J657" s="186"/>
      <c r="K657" s="186"/>
      <c r="L657" s="186"/>
      <c r="M657" s="67"/>
      <c r="N657" s="67"/>
      <c r="O657" s="67"/>
      <c r="P657" s="67"/>
      <c r="Q657" s="186"/>
      <c r="R657" s="186"/>
      <c r="S657" s="187"/>
      <c r="T657" s="187"/>
      <c r="U657" s="186"/>
      <c r="V657" s="186"/>
      <c r="W657" s="186"/>
    </row>
    <row r="658">
      <c r="A658" s="185"/>
      <c r="B658" s="67"/>
      <c r="C658" s="186"/>
      <c r="D658" s="186"/>
      <c r="E658" s="186"/>
      <c r="F658" s="186"/>
      <c r="G658" s="186"/>
      <c r="H658" s="186"/>
      <c r="I658" s="186"/>
      <c r="J658" s="186"/>
      <c r="K658" s="186"/>
      <c r="L658" s="186"/>
      <c r="M658" s="67"/>
      <c r="N658" s="67"/>
      <c r="O658" s="67"/>
      <c r="P658" s="67"/>
      <c r="Q658" s="186"/>
      <c r="R658" s="186"/>
      <c r="S658" s="187"/>
      <c r="T658" s="187"/>
      <c r="U658" s="186"/>
      <c r="V658" s="186"/>
      <c r="W658" s="186"/>
    </row>
    <row r="659">
      <c r="A659" s="185"/>
      <c r="B659" s="67"/>
      <c r="C659" s="186"/>
      <c r="D659" s="186"/>
      <c r="E659" s="186"/>
      <c r="F659" s="186"/>
      <c r="G659" s="186"/>
      <c r="H659" s="186"/>
      <c r="I659" s="186"/>
      <c r="J659" s="186"/>
      <c r="K659" s="186"/>
      <c r="L659" s="186"/>
      <c r="M659" s="67"/>
      <c r="N659" s="67"/>
      <c r="O659" s="67"/>
      <c r="P659" s="67"/>
      <c r="Q659" s="186"/>
      <c r="R659" s="186"/>
      <c r="S659" s="187"/>
      <c r="T659" s="187"/>
      <c r="U659" s="186"/>
      <c r="V659" s="186"/>
      <c r="W659" s="186"/>
    </row>
    <row r="660">
      <c r="A660" s="185"/>
      <c r="B660" s="67"/>
      <c r="C660" s="186"/>
      <c r="D660" s="186"/>
      <c r="E660" s="186"/>
      <c r="F660" s="186"/>
      <c r="G660" s="186"/>
      <c r="H660" s="186"/>
      <c r="I660" s="186"/>
      <c r="J660" s="186"/>
      <c r="K660" s="186"/>
      <c r="L660" s="186"/>
      <c r="M660" s="67"/>
      <c r="N660" s="67"/>
      <c r="O660" s="67"/>
      <c r="P660" s="67"/>
      <c r="Q660" s="186"/>
      <c r="R660" s="186"/>
      <c r="S660" s="187"/>
      <c r="T660" s="187"/>
      <c r="U660" s="186"/>
      <c r="V660" s="186"/>
      <c r="W660" s="186"/>
    </row>
    <row r="661">
      <c r="A661" s="185"/>
      <c r="B661" s="67"/>
      <c r="C661" s="186"/>
      <c r="D661" s="186"/>
      <c r="E661" s="186"/>
      <c r="F661" s="186"/>
      <c r="G661" s="186"/>
      <c r="H661" s="186"/>
      <c r="I661" s="186"/>
      <c r="J661" s="186"/>
      <c r="K661" s="186"/>
      <c r="L661" s="186"/>
      <c r="M661" s="67"/>
      <c r="N661" s="67"/>
      <c r="O661" s="67"/>
      <c r="P661" s="67"/>
      <c r="Q661" s="186"/>
      <c r="R661" s="186"/>
      <c r="S661" s="187"/>
      <c r="T661" s="187"/>
      <c r="U661" s="186"/>
      <c r="V661" s="186"/>
      <c r="W661" s="186"/>
    </row>
    <row r="662">
      <c r="A662" s="185"/>
      <c r="B662" s="67"/>
      <c r="C662" s="186"/>
      <c r="D662" s="186"/>
      <c r="E662" s="186"/>
      <c r="F662" s="186"/>
      <c r="G662" s="186"/>
      <c r="H662" s="186"/>
      <c r="I662" s="186"/>
      <c r="J662" s="186"/>
      <c r="K662" s="186"/>
      <c r="L662" s="186"/>
      <c r="M662" s="67"/>
      <c r="N662" s="67"/>
      <c r="O662" s="67"/>
      <c r="P662" s="67"/>
      <c r="Q662" s="186"/>
      <c r="R662" s="186"/>
      <c r="S662" s="187"/>
      <c r="T662" s="187"/>
      <c r="U662" s="186"/>
      <c r="V662" s="186"/>
      <c r="W662" s="186"/>
    </row>
    <row r="663">
      <c r="A663" s="185"/>
      <c r="B663" s="67"/>
      <c r="C663" s="186"/>
      <c r="D663" s="186"/>
      <c r="E663" s="186"/>
      <c r="F663" s="186"/>
      <c r="G663" s="186"/>
      <c r="H663" s="186"/>
      <c r="I663" s="186"/>
      <c r="J663" s="186"/>
      <c r="K663" s="186"/>
      <c r="L663" s="186"/>
      <c r="M663" s="67"/>
      <c r="N663" s="67"/>
      <c r="O663" s="67"/>
      <c r="P663" s="67"/>
      <c r="Q663" s="186"/>
      <c r="R663" s="186"/>
      <c r="S663" s="187"/>
      <c r="T663" s="187"/>
      <c r="U663" s="186"/>
      <c r="V663" s="186"/>
      <c r="W663" s="186"/>
    </row>
    <row r="664">
      <c r="A664" s="185"/>
      <c r="B664" s="67"/>
      <c r="C664" s="186"/>
      <c r="D664" s="186"/>
      <c r="E664" s="186"/>
      <c r="F664" s="186"/>
      <c r="G664" s="186"/>
      <c r="H664" s="186"/>
      <c r="I664" s="186"/>
      <c r="J664" s="186"/>
      <c r="K664" s="186"/>
      <c r="L664" s="186"/>
      <c r="M664" s="67"/>
      <c r="N664" s="67"/>
      <c r="O664" s="67"/>
      <c r="P664" s="67"/>
      <c r="Q664" s="186"/>
      <c r="R664" s="186"/>
      <c r="S664" s="187"/>
      <c r="T664" s="187"/>
      <c r="U664" s="186"/>
      <c r="V664" s="186"/>
      <c r="W664" s="186"/>
    </row>
    <row r="665">
      <c r="A665" s="185"/>
      <c r="B665" s="67"/>
      <c r="C665" s="186"/>
      <c r="D665" s="186"/>
      <c r="E665" s="186"/>
      <c r="F665" s="186"/>
      <c r="G665" s="186"/>
      <c r="H665" s="186"/>
      <c r="I665" s="186"/>
      <c r="J665" s="186"/>
      <c r="K665" s="186"/>
      <c r="L665" s="186"/>
      <c r="M665" s="67"/>
      <c r="N665" s="67"/>
      <c r="O665" s="67"/>
      <c r="P665" s="67"/>
      <c r="Q665" s="186"/>
      <c r="R665" s="186"/>
      <c r="S665" s="187"/>
      <c r="T665" s="187"/>
      <c r="U665" s="186"/>
      <c r="V665" s="186"/>
      <c r="W665" s="186"/>
    </row>
    <row r="666">
      <c r="A666" s="185"/>
      <c r="B666" s="67"/>
      <c r="C666" s="186"/>
      <c r="D666" s="186"/>
      <c r="E666" s="186"/>
      <c r="F666" s="186"/>
      <c r="G666" s="186"/>
      <c r="H666" s="186"/>
      <c r="I666" s="186"/>
      <c r="J666" s="186"/>
      <c r="K666" s="186"/>
      <c r="L666" s="186"/>
      <c r="M666" s="67"/>
      <c r="N666" s="67"/>
      <c r="O666" s="67"/>
      <c r="P666" s="67"/>
      <c r="Q666" s="186"/>
      <c r="R666" s="186"/>
      <c r="S666" s="187"/>
      <c r="T666" s="187"/>
      <c r="U666" s="186"/>
      <c r="V666" s="186"/>
      <c r="W666" s="186"/>
    </row>
    <row r="667">
      <c r="A667" s="185"/>
      <c r="B667" s="67"/>
      <c r="C667" s="186"/>
      <c r="D667" s="186"/>
      <c r="E667" s="186"/>
      <c r="F667" s="186"/>
      <c r="G667" s="186"/>
      <c r="H667" s="186"/>
      <c r="I667" s="186"/>
      <c r="J667" s="186"/>
      <c r="K667" s="186"/>
      <c r="L667" s="186"/>
      <c r="M667" s="67"/>
      <c r="N667" s="67"/>
      <c r="O667" s="67"/>
      <c r="P667" s="67"/>
      <c r="Q667" s="186"/>
      <c r="R667" s="186"/>
      <c r="S667" s="187"/>
      <c r="T667" s="187"/>
      <c r="U667" s="186"/>
      <c r="V667" s="186"/>
      <c r="W667" s="186"/>
    </row>
    <row r="668">
      <c r="A668" s="185"/>
      <c r="B668" s="67"/>
      <c r="C668" s="186"/>
      <c r="D668" s="186"/>
      <c r="E668" s="186"/>
      <c r="F668" s="186"/>
      <c r="G668" s="186"/>
      <c r="H668" s="186"/>
      <c r="I668" s="186"/>
      <c r="J668" s="186"/>
      <c r="K668" s="186"/>
      <c r="L668" s="186"/>
      <c r="M668" s="67"/>
      <c r="N668" s="67"/>
      <c r="O668" s="67"/>
      <c r="P668" s="67"/>
      <c r="Q668" s="186"/>
      <c r="R668" s="186"/>
      <c r="S668" s="187"/>
      <c r="T668" s="187"/>
      <c r="U668" s="186"/>
      <c r="V668" s="186"/>
      <c r="W668" s="186"/>
    </row>
    <row r="669">
      <c r="A669" s="185"/>
      <c r="B669" s="67"/>
      <c r="C669" s="186"/>
      <c r="D669" s="186"/>
      <c r="E669" s="186"/>
      <c r="F669" s="186"/>
      <c r="G669" s="186"/>
      <c r="H669" s="186"/>
      <c r="I669" s="186"/>
      <c r="J669" s="186"/>
      <c r="K669" s="186"/>
      <c r="L669" s="186"/>
      <c r="M669" s="67"/>
      <c r="N669" s="67"/>
      <c r="O669" s="67"/>
      <c r="P669" s="67"/>
      <c r="Q669" s="186"/>
      <c r="R669" s="186"/>
      <c r="S669" s="187"/>
      <c r="T669" s="187"/>
      <c r="U669" s="186"/>
      <c r="V669" s="186"/>
      <c r="W669" s="186"/>
    </row>
    <row r="670">
      <c r="A670" s="185"/>
      <c r="B670" s="67"/>
      <c r="C670" s="186"/>
      <c r="D670" s="186"/>
      <c r="E670" s="186"/>
      <c r="F670" s="186"/>
      <c r="G670" s="186"/>
      <c r="H670" s="186"/>
      <c r="I670" s="186"/>
      <c r="J670" s="186"/>
      <c r="K670" s="186"/>
      <c r="L670" s="186"/>
      <c r="M670" s="67"/>
      <c r="N670" s="67"/>
      <c r="O670" s="67"/>
      <c r="P670" s="67"/>
      <c r="Q670" s="186"/>
      <c r="R670" s="186"/>
      <c r="S670" s="187"/>
      <c r="T670" s="187"/>
      <c r="U670" s="186"/>
      <c r="V670" s="186"/>
      <c r="W670" s="186"/>
    </row>
    <row r="671">
      <c r="A671" s="185"/>
      <c r="B671" s="67"/>
      <c r="C671" s="186"/>
      <c r="D671" s="186"/>
      <c r="E671" s="186"/>
      <c r="F671" s="186"/>
      <c r="G671" s="186"/>
      <c r="H671" s="186"/>
      <c r="I671" s="186"/>
      <c r="J671" s="186"/>
      <c r="K671" s="186"/>
      <c r="L671" s="186"/>
      <c r="M671" s="67"/>
      <c r="N671" s="67"/>
      <c r="O671" s="67"/>
      <c r="P671" s="67"/>
      <c r="Q671" s="186"/>
      <c r="R671" s="186"/>
      <c r="S671" s="187"/>
      <c r="T671" s="187"/>
      <c r="U671" s="186"/>
      <c r="V671" s="186"/>
      <c r="W671" s="186"/>
    </row>
    <row r="672">
      <c r="A672" s="185"/>
      <c r="B672" s="67"/>
      <c r="C672" s="186"/>
      <c r="D672" s="186"/>
      <c r="E672" s="186"/>
      <c r="F672" s="186"/>
      <c r="G672" s="186"/>
      <c r="H672" s="186"/>
      <c r="I672" s="186"/>
      <c r="J672" s="186"/>
      <c r="K672" s="186"/>
      <c r="L672" s="186"/>
      <c r="M672" s="67"/>
      <c r="N672" s="67"/>
      <c r="O672" s="67"/>
      <c r="P672" s="67"/>
      <c r="Q672" s="186"/>
      <c r="R672" s="186"/>
      <c r="S672" s="187"/>
      <c r="T672" s="187"/>
      <c r="U672" s="186"/>
      <c r="V672" s="186"/>
      <c r="W672" s="186"/>
    </row>
    <row r="673">
      <c r="A673" s="185"/>
      <c r="B673" s="67"/>
      <c r="C673" s="186"/>
      <c r="D673" s="186"/>
      <c r="E673" s="186"/>
      <c r="F673" s="186"/>
      <c r="G673" s="186"/>
      <c r="H673" s="186"/>
      <c r="I673" s="186"/>
      <c r="J673" s="186"/>
      <c r="K673" s="186"/>
      <c r="L673" s="186"/>
      <c r="M673" s="67"/>
      <c r="N673" s="67"/>
      <c r="O673" s="67"/>
      <c r="P673" s="67"/>
      <c r="Q673" s="186"/>
      <c r="R673" s="186"/>
      <c r="S673" s="187"/>
      <c r="T673" s="187"/>
      <c r="U673" s="186"/>
      <c r="V673" s="186"/>
      <c r="W673" s="186"/>
    </row>
    <row r="674">
      <c r="A674" s="185"/>
      <c r="B674" s="67"/>
      <c r="C674" s="186"/>
      <c r="D674" s="186"/>
      <c r="E674" s="186"/>
      <c r="F674" s="186"/>
      <c r="G674" s="186"/>
      <c r="H674" s="186"/>
      <c r="I674" s="186"/>
      <c r="J674" s="186"/>
      <c r="K674" s="186"/>
      <c r="L674" s="186"/>
      <c r="M674" s="67"/>
      <c r="N674" s="67"/>
      <c r="O674" s="67"/>
      <c r="P674" s="67"/>
      <c r="Q674" s="186"/>
      <c r="R674" s="186"/>
      <c r="S674" s="187"/>
      <c r="T674" s="187"/>
      <c r="U674" s="186"/>
      <c r="V674" s="186"/>
      <c r="W674" s="186"/>
    </row>
    <row r="675">
      <c r="A675" s="185"/>
      <c r="B675" s="67"/>
      <c r="C675" s="186"/>
      <c r="D675" s="186"/>
      <c r="E675" s="186"/>
      <c r="F675" s="186"/>
      <c r="G675" s="186"/>
      <c r="H675" s="186"/>
      <c r="I675" s="186"/>
      <c r="J675" s="186"/>
      <c r="K675" s="186"/>
      <c r="L675" s="186"/>
      <c r="M675" s="67"/>
      <c r="N675" s="67"/>
      <c r="O675" s="67"/>
      <c r="P675" s="67"/>
      <c r="Q675" s="186"/>
      <c r="R675" s="186"/>
      <c r="S675" s="187"/>
      <c r="T675" s="187"/>
      <c r="U675" s="186"/>
      <c r="V675" s="186"/>
      <c r="W675" s="186"/>
    </row>
    <row r="676">
      <c r="A676" s="185"/>
      <c r="B676" s="67"/>
      <c r="C676" s="186"/>
      <c r="D676" s="186"/>
      <c r="E676" s="186"/>
      <c r="F676" s="186"/>
      <c r="G676" s="186"/>
      <c r="H676" s="186"/>
      <c r="I676" s="186"/>
      <c r="J676" s="186"/>
      <c r="K676" s="186"/>
      <c r="L676" s="186"/>
      <c r="M676" s="67"/>
      <c r="N676" s="67"/>
      <c r="O676" s="67"/>
      <c r="P676" s="67"/>
      <c r="Q676" s="186"/>
      <c r="R676" s="186"/>
      <c r="S676" s="187"/>
      <c r="T676" s="187"/>
      <c r="U676" s="186"/>
      <c r="V676" s="186"/>
      <c r="W676" s="186"/>
    </row>
    <row r="677">
      <c r="A677" s="185"/>
      <c r="B677" s="67"/>
      <c r="C677" s="186"/>
      <c r="D677" s="186"/>
      <c r="E677" s="186"/>
      <c r="F677" s="186"/>
      <c r="G677" s="186"/>
      <c r="H677" s="186"/>
      <c r="I677" s="186"/>
      <c r="J677" s="186"/>
      <c r="K677" s="186"/>
      <c r="L677" s="186"/>
      <c r="M677" s="67"/>
      <c r="N677" s="67"/>
      <c r="O677" s="67"/>
      <c r="P677" s="67"/>
      <c r="Q677" s="186"/>
      <c r="R677" s="186"/>
      <c r="S677" s="187"/>
      <c r="T677" s="187"/>
      <c r="U677" s="186"/>
      <c r="V677" s="186"/>
      <c r="W677" s="186"/>
    </row>
    <row r="678">
      <c r="A678" s="185"/>
      <c r="B678" s="67"/>
      <c r="C678" s="186"/>
      <c r="D678" s="186"/>
      <c r="E678" s="186"/>
      <c r="F678" s="186"/>
      <c r="G678" s="186"/>
      <c r="H678" s="186"/>
      <c r="I678" s="186"/>
      <c r="J678" s="186"/>
      <c r="K678" s="186"/>
      <c r="L678" s="186"/>
      <c r="M678" s="67"/>
      <c r="N678" s="67"/>
      <c r="O678" s="67"/>
      <c r="P678" s="67"/>
      <c r="Q678" s="186"/>
      <c r="R678" s="186"/>
      <c r="S678" s="187"/>
      <c r="T678" s="187"/>
      <c r="U678" s="186"/>
      <c r="V678" s="186"/>
      <c r="W678" s="186"/>
    </row>
    <row r="679">
      <c r="A679" s="185"/>
      <c r="B679" s="67"/>
      <c r="C679" s="186"/>
      <c r="D679" s="186"/>
      <c r="E679" s="186"/>
      <c r="F679" s="186"/>
      <c r="G679" s="186"/>
      <c r="H679" s="186"/>
      <c r="I679" s="186"/>
      <c r="J679" s="186"/>
      <c r="K679" s="186"/>
      <c r="L679" s="186"/>
      <c r="M679" s="67"/>
      <c r="N679" s="67"/>
      <c r="O679" s="67"/>
      <c r="P679" s="67"/>
      <c r="Q679" s="186"/>
      <c r="R679" s="186"/>
      <c r="S679" s="187"/>
      <c r="T679" s="187"/>
      <c r="U679" s="186"/>
      <c r="V679" s="186"/>
      <c r="W679" s="186"/>
    </row>
    <row r="680">
      <c r="A680" s="185"/>
      <c r="B680" s="67"/>
      <c r="C680" s="186"/>
      <c r="D680" s="186"/>
      <c r="E680" s="186"/>
      <c r="F680" s="186"/>
      <c r="G680" s="186"/>
      <c r="H680" s="186"/>
      <c r="I680" s="186"/>
      <c r="J680" s="186"/>
      <c r="K680" s="186"/>
      <c r="L680" s="186"/>
      <c r="M680" s="67"/>
      <c r="N680" s="67"/>
      <c r="O680" s="67"/>
      <c r="P680" s="67"/>
      <c r="Q680" s="186"/>
      <c r="R680" s="186"/>
      <c r="S680" s="187"/>
      <c r="T680" s="187"/>
      <c r="U680" s="186"/>
      <c r="V680" s="186"/>
      <c r="W680" s="186"/>
    </row>
    <row r="681">
      <c r="A681" s="185"/>
      <c r="B681" s="67"/>
      <c r="C681" s="186"/>
      <c r="D681" s="186"/>
      <c r="E681" s="186"/>
      <c r="F681" s="186"/>
      <c r="G681" s="186"/>
      <c r="H681" s="186"/>
      <c r="I681" s="186"/>
      <c r="J681" s="186"/>
      <c r="K681" s="186"/>
      <c r="L681" s="186"/>
      <c r="M681" s="67"/>
      <c r="N681" s="67"/>
      <c r="O681" s="67"/>
      <c r="P681" s="67"/>
      <c r="Q681" s="186"/>
      <c r="R681" s="186"/>
      <c r="S681" s="187"/>
      <c r="T681" s="187"/>
      <c r="U681" s="186"/>
      <c r="V681" s="186"/>
      <c r="W681" s="186"/>
    </row>
    <row r="682">
      <c r="A682" s="185"/>
      <c r="B682" s="67"/>
      <c r="C682" s="186"/>
      <c r="D682" s="186"/>
      <c r="E682" s="186"/>
      <c r="F682" s="186"/>
      <c r="G682" s="186"/>
      <c r="H682" s="186"/>
      <c r="I682" s="186"/>
      <c r="J682" s="186"/>
      <c r="K682" s="186"/>
      <c r="L682" s="186"/>
      <c r="M682" s="67"/>
      <c r="N682" s="67"/>
      <c r="O682" s="67"/>
      <c r="P682" s="67"/>
      <c r="Q682" s="186"/>
      <c r="R682" s="186"/>
      <c r="S682" s="187"/>
      <c r="T682" s="187"/>
      <c r="U682" s="186"/>
      <c r="V682" s="186"/>
      <c r="W682" s="186"/>
    </row>
    <row r="683">
      <c r="A683" s="185"/>
      <c r="B683" s="67"/>
      <c r="C683" s="186"/>
      <c r="D683" s="186"/>
      <c r="E683" s="186"/>
      <c r="F683" s="186"/>
      <c r="G683" s="186"/>
      <c r="H683" s="186"/>
      <c r="I683" s="186"/>
      <c r="J683" s="186"/>
      <c r="K683" s="186"/>
      <c r="L683" s="186"/>
      <c r="M683" s="67"/>
      <c r="N683" s="67"/>
      <c r="O683" s="67"/>
      <c r="P683" s="67"/>
      <c r="Q683" s="186"/>
      <c r="R683" s="186"/>
      <c r="S683" s="187"/>
      <c r="T683" s="187"/>
      <c r="U683" s="186"/>
      <c r="V683" s="186"/>
      <c r="W683" s="186"/>
    </row>
    <row r="684">
      <c r="A684" s="185"/>
      <c r="B684" s="67"/>
      <c r="C684" s="186"/>
      <c r="D684" s="186"/>
      <c r="E684" s="186"/>
      <c r="F684" s="186"/>
      <c r="G684" s="186"/>
      <c r="H684" s="186"/>
      <c r="I684" s="186"/>
      <c r="J684" s="186"/>
      <c r="K684" s="186"/>
      <c r="L684" s="186"/>
      <c r="M684" s="67"/>
      <c r="N684" s="67"/>
      <c r="O684" s="67"/>
      <c r="P684" s="67"/>
      <c r="Q684" s="186"/>
      <c r="R684" s="186"/>
      <c r="S684" s="187"/>
      <c r="T684" s="187"/>
      <c r="U684" s="186"/>
      <c r="V684" s="186"/>
      <c r="W684" s="186"/>
    </row>
    <row r="685">
      <c r="A685" s="185"/>
      <c r="B685" s="67"/>
      <c r="C685" s="186"/>
      <c r="D685" s="186"/>
      <c r="E685" s="186"/>
      <c r="F685" s="186"/>
      <c r="G685" s="186"/>
      <c r="H685" s="186"/>
      <c r="I685" s="186"/>
      <c r="J685" s="186"/>
      <c r="K685" s="186"/>
      <c r="L685" s="186"/>
      <c r="M685" s="67"/>
      <c r="N685" s="67"/>
      <c r="O685" s="67"/>
      <c r="P685" s="67"/>
      <c r="Q685" s="186"/>
      <c r="R685" s="186"/>
      <c r="S685" s="187"/>
      <c r="T685" s="187"/>
      <c r="U685" s="186"/>
      <c r="V685" s="186"/>
      <c r="W685" s="186"/>
    </row>
    <row r="686">
      <c r="A686" s="185"/>
      <c r="B686" s="67"/>
      <c r="C686" s="186"/>
      <c r="D686" s="186"/>
      <c r="E686" s="186"/>
      <c r="F686" s="186"/>
      <c r="G686" s="186"/>
      <c r="H686" s="186"/>
      <c r="I686" s="186"/>
      <c r="J686" s="186"/>
      <c r="K686" s="186"/>
      <c r="L686" s="186"/>
      <c r="M686" s="67"/>
      <c r="N686" s="67"/>
      <c r="O686" s="67"/>
      <c r="P686" s="67"/>
      <c r="Q686" s="186"/>
      <c r="R686" s="186"/>
      <c r="S686" s="187"/>
      <c r="T686" s="187"/>
      <c r="U686" s="186"/>
      <c r="V686" s="186"/>
      <c r="W686" s="186"/>
    </row>
    <row r="687">
      <c r="A687" s="185"/>
      <c r="B687" s="67"/>
      <c r="C687" s="186"/>
      <c r="D687" s="186"/>
      <c r="E687" s="186"/>
      <c r="F687" s="186"/>
      <c r="G687" s="186"/>
      <c r="H687" s="186"/>
      <c r="I687" s="186"/>
      <c r="J687" s="186"/>
      <c r="K687" s="186"/>
      <c r="L687" s="186"/>
      <c r="M687" s="67"/>
      <c r="N687" s="67"/>
      <c r="O687" s="67"/>
      <c r="P687" s="67"/>
      <c r="Q687" s="186"/>
      <c r="R687" s="186"/>
      <c r="S687" s="187"/>
      <c r="T687" s="187"/>
      <c r="U687" s="186"/>
      <c r="V687" s="186"/>
      <c r="W687" s="186"/>
    </row>
    <row r="688">
      <c r="A688" s="185"/>
      <c r="B688" s="67"/>
      <c r="C688" s="186"/>
      <c r="D688" s="186"/>
      <c r="E688" s="186"/>
      <c r="F688" s="186"/>
      <c r="G688" s="186"/>
      <c r="H688" s="186"/>
      <c r="I688" s="186"/>
      <c r="J688" s="186"/>
      <c r="K688" s="186"/>
      <c r="L688" s="186"/>
      <c r="M688" s="67"/>
      <c r="N688" s="67"/>
      <c r="O688" s="67"/>
      <c r="P688" s="67"/>
      <c r="Q688" s="186"/>
      <c r="R688" s="186"/>
      <c r="S688" s="187"/>
      <c r="T688" s="187"/>
      <c r="U688" s="186"/>
      <c r="V688" s="186"/>
      <c r="W688" s="186"/>
    </row>
    <row r="689">
      <c r="A689" s="185"/>
      <c r="B689" s="67"/>
      <c r="C689" s="186"/>
      <c r="D689" s="186"/>
      <c r="E689" s="186"/>
      <c r="F689" s="186"/>
      <c r="G689" s="186"/>
      <c r="H689" s="186"/>
      <c r="I689" s="186"/>
      <c r="J689" s="186"/>
      <c r="K689" s="186"/>
      <c r="L689" s="186"/>
      <c r="M689" s="67"/>
      <c r="N689" s="67"/>
      <c r="O689" s="67"/>
      <c r="P689" s="67"/>
      <c r="Q689" s="186"/>
      <c r="R689" s="186"/>
      <c r="S689" s="187"/>
      <c r="T689" s="187"/>
      <c r="U689" s="186"/>
      <c r="V689" s="186"/>
      <c r="W689" s="186"/>
    </row>
    <row r="690">
      <c r="A690" s="185"/>
      <c r="B690" s="67"/>
      <c r="C690" s="186"/>
      <c r="D690" s="186"/>
      <c r="E690" s="186"/>
      <c r="F690" s="186"/>
      <c r="G690" s="186"/>
      <c r="H690" s="186"/>
      <c r="I690" s="186"/>
      <c r="J690" s="186"/>
      <c r="K690" s="186"/>
      <c r="L690" s="186"/>
      <c r="M690" s="67"/>
      <c r="N690" s="67"/>
      <c r="O690" s="67"/>
      <c r="P690" s="67"/>
      <c r="Q690" s="186"/>
      <c r="R690" s="186"/>
      <c r="S690" s="187"/>
      <c r="T690" s="187"/>
      <c r="U690" s="186"/>
      <c r="V690" s="186"/>
      <c r="W690" s="186"/>
    </row>
    <row r="691">
      <c r="A691" s="185"/>
      <c r="B691" s="67"/>
      <c r="C691" s="186"/>
      <c r="D691" s="186"/>
      <c r="E691" s="186"/>
      <c r="F691" s="186"/>
      <c r="G691" s="186"/>
      <c r="H691" s="186"/>
      <c r="I691" s="186"/>
      <c r="J691" s="186"/>
      <c r="K691" s="186"/>
      <c r="L691" s="186"/>
      <c r="M691" s="67"/>
      <c r="N691" s="67"/>
      <c r="O691" s="67"/>
      <c r="P691" s="67"/>
      <c r="Q691" s="186"/>
      <c r="R691" s="186"/>
      <c r="S691" s="187"/>
      <c r="T691" s="187"/>
      <c r="U691" s="186"/>
      <c r="V691" s="186"/>
      <c r="W691" s="186"/>
    </row>
    <row r="692">
      <c r="A692" s="185"/>
      <c r="B692" s="67"/>
      <c r="C692" s="186"/>
      <c r="D692" s="186"/>
      <c r="E692" s="186"/>
      <c r="F692" s="186"/>
      <c r="G692" s="186"/>
      <c r="H692" s="186"/>
      <c r="I692" s="186"/>
      <c r="J692" s="186"/>
      <c r="K692" s="186"/>
      <c r="L692" s="186"/>
      <c r="M692" s="67"/>
      <c r="N692" s="67"/>
      <c r="O692" s="67"/>
      <c r="P692" s="67"/>
      <c r="Q692" s="186"/>
      <c r="R692" s="186"/>
      <c r="S692" s="187"/>
      <c r="T692" s="187"/>
      <c r="U692" s="186"/>
      <c r="V692" s="186"/>
      <c r="W692" s="186"/>
    </row>
    <row r="693">
      <c r="A693" s="185"/>
      <c r="B693" s="67"/>
      <c r="C693" s="186"/>
      <c r="D693" s="186"/>
      <c r="E693" s="186"/>
      <c r="F693" s="186"/>
      <c r="G693" s="186"/>
      <c r="H693" s="186"/>
      <c r="I693" s="186"/>
      <c r="J693" s="186"/>
      <c r="K693" s="186"/>
      <c r="L693" s="186"/>
      <c r="M693" s="67"/>
      <c r="N693" s="67"/>
      <c r="O693" s="67"/>
      <c r="P693" s="67"/>
      <c r="Q693" s="186"/>
      <c r="R693" s="186"/>
      <c r="S693" s="187"/>
      <c r="T693" s="187"/>
      <c r="U693" s="186"/>
      <c r="V693" s="186"/>
      <c r="W693" s="186"/>
    </row>
    <row r="694">
      <c r="A694" s="185"/>
      <c r="B694" s="67"/>
      <c r="C694" s="186"/>
      <c r="D694" s="186"/>
      <c r="E694" s="186"/>
      <c r="F694" s="186"/>
      <c r="G694" s="186"/>
      <c r="H694" s="186"/>
      <c r="I694" s="186"/>
      <c r="J694" s="186"/>
      <c r="K694" s="186"/>
      <c r="L694" s="186"/>
      <c r="M694" s="67"/>
      <c r="N694" s="67"/>
      <c r="O694" s="67"/>
      <c r="P694" s="67"/>
      <c r="Q694" s="186"/>
      <c r="R694" s="186"/>
      <c r="S694" s="187"/>
      <c r="T694" s="187"/>
      <c r="U694" s="186"/>
      <c r="V694" s="186"/>
      <c r="W694" s="186"/>
    </row>
    <row r="695">
      <c r="A695" s="185"/>
      <c r="B695" s="67"/>
      <c r="C695" s="186"/>
      <c r="D695" s="186"/>
      <c r="E695" s="186"/>
      <c r="F695" s="186"/>
      <c r="G695" s="186"/>
      <c r="H695" s="186"/>
      <c r="I695" s="186"/>
      <c r="J695" s="186"/>
      <c r="K695" s="186"/>
      <c r="L695" s="186"/>
      <c r="M695" s="67"/>
      <c r="N695" s="67"/>
      <c r="O695" s="67"/>
      <c r="P695" s="67"/>
      <c r="Q695" s="186"/>
      <c r="R695" s="186"/>
      <c r="S695" s="187"/>
      <c r="T695" s="187"/>
      <c r="U695" s="186"/>
      <c r="V695" s="186"/>
      <c r="W695" s="186"/>
    </row>
    <row r="696">
      <c r="A696" s="185"/>
      <c r="B696" s="67"/>
      <c r="C696" s="186"/>
      <c r="D696" s="186"/>
      <c r="E696" s="186"/>
      <c r="F696" s="186"/>
      <c r="G696" s="186"/>
      <c r="H696" s="186"/>
      <c r="I696" s="186"/>
      <c r="J696" s="186"/>
      <c r="K696" s="186"/>
      <c r="L696" s="186"/>
      <c r="M696" s="67"/>
      <c r="N696" s="67"/>
      <c r="O696" s="67"/>
      <c r="P696" s="67"/>
      <c r="Q696" s="186"/>
      <c r="R696" s="186"/>
      <c r="S696" s="187"/>
      <c r="T696" s="187"/>
      <c r="U696" s="186"/>
      <c r="V696" s="186"/>
      <c r="W696" s="186"/>
    </row>
    <row r="697">
      <c r="A697" s="185"/>
      <c r="B697" s="67"/>
      <c r="C697" s="186"/>
      <c r="D697" s="186"/>
      <c r="E697" s="186"/>
      <c r="F697" s="186"/>
      <c r="G697" s="186"/>
      <c r="H697" s="186"/>
      <c r="I697" s="186"/>
      <c r="J697" s="186"/>
      <c r="K697" s="186"/>
      <c r="L697" s="186"/>
      <c r="M697" s="67"/>
      <c r="N697" s="67"/>
      <c r="O697" s="67"/>
      <c r="P697" s="67"/>
      <c r="Q697" s="186"/>
      <c r="R697" s="186"/>
      <c r="S697" s="187"/>
      <c r="T697" s="187"/>
      <c r="U697" s="186"/>
      <c r="V697" s="186"/>
      <c r="W697" s="186"/>
    </row>
    <row r="698">
      <c r="A698" s="185"/>
      <c r="B698" s="67"/>
      <c r="C698" s="186"/>
      <c r="D698" s="186"/>
      <c r="E698" s="186"/>
      <c r="F698" s="186"/>
      <c r="G698" s="186"/>
      <c r="H698" s="186"/>
      <c r="I698" s="186"/>
      <c r="J698" s="186"/>
      <c r="K698" s="186"/>
      <c r="L698" s="186"/>
      <c r="M698" s="67"/>
      <c r="N698" s="67"/>
      <c r="O698" s="67"/>
      <c r="P698" s="67"/>
      <c r="Q698" s="186"/>
      <c r="R698" s="186"/>
      <c r="S698" s="187"/>
      <c r="T698" s="187"/>
      <c r="U698" s="186"/>
      <c r="V698" s="186"/>
      <c r="W698" s="186"/>
    </row>
    <row r="699">
      <c r="A699" s="185"/>
      <c r="B699" s="67"/>
      <c r="C699" s="186"/>
      <c r="D699" s="186"/>
      <c r="E699" s="186"/>
      <c r="F699" s="186"/>
      <c r="G699" s="186"/>
      <c r="H699" s="186"/>
      <c r="I699" s="186"/>
      <c r="J699" s="186"/>
      <c r="K699" s="186"/>
      <c r="L699" s="186"/>
      <c r="M699" s="67"/>
      <c r="N699" s="67"/>
      <c r="O699" s="67"/>
      <c r="P699" s="67"/>
      <c r="Q699" s="186"/>
      <c r="R699" s="186"/>
      <c r="S699" s="187"/>
      <c r="T699" s="187"/>
      <c r="U699" s="186"/>
      <c r="V699" s="186"/>
      <c r="W699" s="186"/>
    </row>
    <row r="700">
      <c r="A700" s="185"/>
      <c r="B700" s="67"/>
      <c r="C700" s="186"/>
      <c r="D700" s="186"/>
      <c r="E700" s="186"/>
      <c r="F700" s="186"/>
      <c r="G700" s="186"/>
      <c r="H700" s="186"/>
      <c r="I700" s="186"/>
      <c r="J700" s="186"/>
      <c r="K700" s="186"/>
      <c r="L700" s="186"/>
      <c r="M700" s="67"/>
      <c r="N700" s="67"/>
      <c r="O700" s="67"/>
      <c r="P700" s="67"/>
      <c r="Q700" s="186"/>
      <c r="R700" s="186"/>
      <c r="S700" s="187"/>
      <c r="T700" s="187"/>
      <c r="U700" s="186"/>
      <c r="V700" s="186"/>
      <c r="W700" s="186"/>
    </row>
    <row r="701">
      <c r="A701" s="185"/>
      <c r="B701" s="67"/>
      <c r="C701" s="186"/>
      <c r="D701" s="186"/>
      <c r="E701" s="186"/>
      <c r="F701" s="186"/>
      <c r="G701" s="186"/>
      <c r="H701" s="186"/>
      <c r="I701" s="186"/>
      <c r="J701" s="186"/>
      <c r="K701" s="186"/>
      <c r="L701" s="186"/>
      <c r="M701" s="67"/>
      <c r="N701" s="67"/>
      <c r="O701" s="67"/>
      <c r="P701" s="67"/>
      <c r="Q701" s="186"/>
      <c r="R701" s="186"/>
      <c r="S701" s="187"/>
      <c r="T701" s="187"/>
      <c r="U701" s="186"/>
      <c r="V701" s="186"/>
      <c r="W701" s="186"/>
    </row>
    <row r="702">
      <c r="A702" s="185"/>
      <c r="B702" s="67"/>
      <c r="C702" s="186"/>
      <c r="D702" s="186"/>
      <c r="E702" s="186"/>
      <c r="F702" s="186"/>
      <c r="G702" s="186"/>
      <c r="H702" s="186"/>
      <c r="I702" s="186"/>
      <c r="J702" s="186"/>
      <c r="K702" s="186"/>
      <c r="L702" s="186"/>
      <c r="M702" s="67"/>
      <c r="N702" s="67"/>
      <c r="O702" s="67"/>
      <c r="P702" s="67"/>
      <c r="Q702" s="186"/>
      <c r="R702" s="186"/>
      <c r="S702" s="187"/>
      <c r="T702" s="187"/>
      <c r="U702" s="186"/>
      <c r="V702" s="186"/>
      <c r="W702" s="186"/>
    </row>
    <row r="703">
      <c r="A703" s="185"/>
      <c r="B703" s="67"/>
      <c r="C703" s="186"/>
      <c r="D703" s="186"/>
      <c r="E703" s="186"/>
      <c r="F703" s="186"/>
      <c r="G703" s="186"/>
      <c r="H703" s="186"/>
      <c r="I703" s="186"/>
      <c r="J703" s="186"/>
      <c r="K703" s="186"/>
      <c r="L703" s="186"/>
      <c r="M703" s="67"/>
      <c r="N703" s="67"/>
      <c r="O703" s="67"/>
      <c r="P703" s="67"/>
      <c r="Q703" s="186"/>
      <c r="R703" s="186"/>
      <c r="S703" s="187"/>
      <c r="T703" s="187"/>
      <c r="U703" s="186"/>
      <c r="V703" s="186"/>
      <c r="W703" s="186"/>
    </row>
    <row r="704">
      <c r="A704" s="185"/>
      <c r="B704" s="67"/>
      <c r="C704" s="186"/>
      <c r="D704" s="186"/>
      <c r="E704" s="186"/>
      <c r="F704" s="186"/>
      <c r="G704" s="186"/>
      <c r="H704" s="186"/>
      <c r="I704" s="186"/>
      <c r="J704" s="186"/>
      <c r="K704" s="186"/>
      <c r="L704" s="186"/>
      <c r="M704" s="67"/>
      <c r="N704" s="67"/>
      <c r="O704" s="67"/>
      <c r="P704" s="67"/>
      <c r="Q704" s="186"/>
      <c r="R704" s="186"/>
      <c r="S704" s="187"/>
      <c r="T704" s="187"/>
      <c r="U704" s="186"/>
      <c r="V704" s="186"/>
      <c r="W704" s="186"/>
    </row>
    <row r="705">
      <c r="A705" s="185"/>
      <c r="B705" s="67"/>
      <c r="C705" s="186"/>
      <c r="D705" s="186"/>
      <c r="E705" s="186"/>
      <c r="F705" s="186"/>
      <c r="G705" s="186"/>
      <c r="H705" s="186"/>
      <c r="I705" s="186"/>
      <c r="J705" s="186"/>
      <c r="K705" s="186"/>
      <c r="L705" s="186"/>
      <c r="M705" s="67"/>
      <c r="N705" s="67"/>
      <c r="O705" s="67"/>
      <c r="P705" s="67"/>
      <c r="Q705" s="186"/>
      <c r="R705" s="186"/>
      <c r="S705" s="187"/>
      <c r="T705" s="187"/>
      <c r="U705" s="186"/>
      <c r="V705" s="186"/>
      <c r="W705" s="186"/>
    </row>
    <row r="706">
      <c r="A706" s="185"/>
      <c r="B706" s="67"/>
      <c r="C706" s="186"/>
      <c r="D706" s="186"/>
      <c r="E706" s="186"/>
      <c r="F706" s="186"/>
      <c r="G706" s="186"/>
      <c r="H706" s="186"/>
      <c r="I706" s="186"/>
      <c r="J706" s="186"/>
      <c r="K706" s="186"/>
      <c r="L706" s="186"/>
      <c r="M706" s="67"/>
      <c r="N706" s="67"/>
      <c r="O706" s="67"/>
      <c r="P706" s="67"/>
      <c r="Q706" s="186"/>
      <c r="R706" s="186"/>
      <c r="S706" s="187"/>
      <c r="T706" s="187"/>
      <c r="U706" s="186"/>
      <c r="V706" s="186"/>
      <c r="W706" s="186"/>
    </row>
    <row r="707">
      <c r="A707" s="185"/>
      <c r="B707" s="67"/>
      <c r="C707" s="186"/>
      <c r="D707" s="186"/>
      <c r="E707" s="186"/>
      <c r="F707" s="186"/>
      <c r="G707" s="186"/>
      <c r="H707" s="186"/>
      <c r="I707" s="186"/>
      <c r="J707" s="186"/>
      <c r="K707" s="186"/>
      <c r="L707" s="186"/>
      <c r="M707" s="67"/>
      <c r="N707" s="67"/>
      <c r="O707" s="67"/>
      <c r="P707" s="67"/>
      <c r="Q707" s="186"/>
      <c r="R707" s="186"/>
      <c r="S707" s="187"/>
      <c r="T707" s="187"/>
      <c r="U707" s="186"/>
      <c r="V707" s="186"/>
      <c r="W707" s="186"/>
    </row>
    <row r="708">
      <c r="A708" s="185"/>
      <c r="B708" s="67"/>
      <c r="C708" s="186"/>
      <c r="D708" s="186"/>
      <c r="E708" s="186"/>
      <c r="F708" s="186"/>
      <c r="G708" s="186"/>
      <c r="H708" s="186"/>
      <c r="I708" s="186"/>
      <c r="J708" s="186"/>
      <c r="K708" s="186"/>
      <c r="L708" s="186"/>
      <c r="M708" s="67"/>
      <c r="N708" s="67"/>
      <c r="O708" s="67"/>
      <c r="P708" s="67"/>
      <c r="Q708" s="186"/>
      <c r="R708" s="186"/>
      <c r="S708" s="187"/>
      <c r="T708" s="187"/>
      <c r="U708" s="186"/>
      <c r="V708" s="186"/>
      <c r="W708" s="186"/>
    </row>
    <row r="709">
      <c r="A709" s="185"/>
      <c r="B709" s="67"/>
      <c r="C709" s="186"/>
      <c r="D709" s="186"/>
      <c r="E709" s="186"/>
      <c r="F709" s="186"/>
      <c r="G709" s="186"/>
      <c r="H709" s="186"/>
      <c r="I709" s="186"/>
      <c r="J709" s="186"/>
      <c r="K709" s="186"/>
      <c r="L709" s="186"/>
      <c r="M709" s="67"/>
      <c r="N709" s="67"/>
      <c r="O709" s="67"/>
      <c r="P709" s="67"/>
      <c r="Q709" s="186"/>
      <c r="R709" s="186"/>
      <c r="S709" s="187"/>
      <c r="T709" s="187"/>
      <c r="U709" s="186"/>
      <c r="V709" s="186"/>
      <c r="W709" s="186"/>
    </row>
    <row r="710">
      <c r="A710" s="185"/>
      <c r="B710" s="67"/>
      <c r="C710" s="186"/>
      <c r="D710" s="186"/>
      <c r="E710" s="186"/>
      <c r="F710" s="186"/>
      <c r="G710" s="186"/>
      <c r="H710" s="186"/>
      <c r="I710" s="186"/>
      <c r="J710" s="186"/>
      <c r="K710" s="186"/>
      <c r="L710" s="186"/>
      <c r="M710" s="67"/>
      <c r="N710" s="67"/>
      <c r="O710" s="67"/>
      <c r="P710" s="67"/>
      <c r="Q710" s="186"/>
      <c r="R710" s="186"/>
      <c r="S710" s="187"/>
      <c r="T710" s="187"/>
      <c r="U710" s="186"/>
      <c r="V710" s="186"/>
      <c r="W710" s="186"/>
    </row>
    <row r="711">
      <c r="A711" s="185"/>
      <c r="B711" s="67"/>
      <c r="C711" s="186"/>
      <c r="D711" s="186"/>
      <c r="E711" s="186"/>
      <c r="F711" s="186"/>
      <c r="G711" s="186"/>
      <c r="H711" s="186"/>
      <c r="I711" s="186"/>
      <c r="J711" s="186"/>
      <c r="K711" s="186"/>
      <c r="L711" s="186"/>
      <c r="M711" s="67"/>
      <c r="N711" s="67"/>
      <c r="O711" s="67"/>
      <c r="P711" s="67"/>
      <c r="Q711" s="186"/>
      <c r="R711" s="186"/>
      <c r="S711" s="187"/>
      <c r="T711" s="187"/>
      <c r="U711" s="186"/>
      <c r="V711" s="186"/>
      <c r="W711" s="186"/>
    </row>
    <row r="712">
      <c r="A712" s="185"/>
      <c r="B712" s="67"/>
      <c r="C712" s="186"/>
      <c r="D712" s="186"/>
      <c r="E712" s="186"/>
      <c r="F712" s="186"/>
      <c r="G712" s="186"/>
      <c r="H712" s="186"/>
      <c r="I712" s="186"/>
      <c r="J712" s="186"/>
      <c r="K712" s="186"/>
      <c r="L712" s="186"/>
      <c r="M712" s="67"/>
      <c r="N712" s="67"/>
      <c r="O712" s="67"/>
      <c r="P712" s="67"/>
      <c r="Q712" s="186"/>
      <c r="R712" s="186"/>
      <c r="S712" s="187"/>
      <c r="T712" s="187"/>
      <c r="U712" s="186"/>
      <c r="V712" s="186"/>
      <c r="W712" s="186"/>
    </row>
    <row r="713">
      <c r="A713" s="185"/>
      <c r="B713" s="67"/>
      <c r="C713" s="186"/>
      <c r="D713" s="186"/>
      <c r="E713" s="186"/>
      <c r="F713" s="186"/>
      <c r="G713" s="186"/>
      <c r="H713" s="186"/>
      <c r="I713" s="186"/>
      <c r="J713" s="186"/>
      <c r="K713" s="186"/>
      <c r="L713" s="186"/>
      <c r="M713" s="67"/>
      <c r="N713" s="67"/>
      <c r="O713" s="67"/>
      <c r="P713" s="67"/>
      <c r="Q713" s="186"/>
      <c r="R713" s="186"/>
      <c r="S713" s="187"/>
      <c r="T713" s="187"/>
      <c r="U713" s="186"/>
      <c r="V713" s="186"/>
      <c r="W713" s="186"/>
    </row>
    <row r="714">
      <c r="A714" s="185"/>
      <c r="B714" s="67"/>
      <c r="C714" s="186"/>
      <c r="D714" s="186"/>
      <c r="E714" s="186"/>
      <c r="F714" s="186"/>
      <c r="G714" s="186"/>
      <c r="H714" s="186"/>
      <c r="I714" s="186"/>
      <c r="J714" s="186"/>
      <c r="K714" s="186"/>
      <c r="L714" s="186"/>
      <c r="M714" s="67"/>
      <c r="N714" s="67"/>
      <c r="O714" s="67"/>
      <c r="P714" s="67"/>
      <c r="Q714" s="186"/>
      <c r="R714" s="186"/>
      <c r="S714" s="187"/>
      <c r="T714" s="187"/>
      <c r="U714" s="186"/>
      <c r="V714" s="186"/>
      <c r="W714" s="186"/>
    </row>
    <row r="715">
      <c r="A715" s="185"/>
      <c r="B715" s="67"/>
      <c r="C715" s="186"/>
      <c r="D715" s="186"/>
      <c r="E715" s="186"/>
      <c r="F715" s="186"/>
      <c r="G715" s="186"/>
      <c r="H715" s="186"/>
      <c r="I715" s="186"/>
      <c r="J715" s="186"/>
      <c r="K715" s="186"/>
      <c r="L715" s="186"/>
      <c r="M715" s="67"/>
      <c r="N715" s="67"/>
      <c r="O715" s="67"/>
      <c r="P715" s="67"/>
      <c r="Q715" s="186"/>
      <c r="R715" s="186"/>
      <c r="S715" s="187"/>
      <c r="T715" s="187"/>
      <c r="U715" s="186"/>
      <c r="V715" s="186"/>
      <c r="W715" s="186"/>
    </row>
    <row r="716">
      <c r="A716" s="185"/>
      <c r="B716" s="67"/>
      <c r="C716" s="186"/>
      <c r="D716" s="186"/>
      <c r="E716" s="186"/>
      <c r="F716" s="186"/>
      <c r="G716" s="186"/>
      <c r="H716" s="186"/>
      <c r="I716" s="186"/>
      <c r="J716" s="186"/>
      <c r="K716" s="186"/>
      <c r="L716" s="186"/>
      <c r="M716" s="67"/>
      <c r="N716" s="67"/>
      <c r="O716" s="67"/>
      <c r="P716" s="67"/>
      <c r="Q716" s="186"/>
      <c r="R716" s="186"/>
      <c r="S716" s="187"/>
      <c r="T716" s="187"/>
      <c r="U716" s="186"/>
      <c r="V716" s="186"/>
      <c r="W716" s="186"/>
    </row>
    <row r="717">
      <c r="A717" s="185"/>
      <c r="B717" s="67"/>
      <c r="C717" s="186"/>
      <c r="D717" s="186"/>
      <c r="E717" s="186"/>
      <c r="F717" s="186"/>
      <c r="G717" s="186"/>
      <c r="H717" s="186"/>
      <c r="I717" s="186"/>
      <c r="J717" s="186"/>
      <c r="K717" s="186"/>
      <c r="L717" s="186"/>
      <c r="M717" s="67"/>
      <c r="N717" s="67"/>
      <c r="O717" s="67"/>
      <c r="P717" s="67"/>
      <c r="Q717" s="186"/>
      <c r="R717" s="186"/>
      <c r="S717" s="187"/>
      <c r="T717" s="187"/>
      <c r="U717" s="186"/>
      <c r="V717" s="186"/>
      <c r="W717" s="186"/>
    </row>
    <row r="718">
      <c r="A718" s="185"/>
      <c r="B718" s="67"/>
      <c r="C718" s="186"/>
      <c r="D718" s="186"/>
      <c r="E718" s="186"/>
      <c r="F718" s="186"/>
      <c r="G718" s="186"/>
      <c r="H718" s="186"/>
      <c r="I718" s="186"/>
      <c r="J718" s="186"/>
      <c r="K718" s="186"/>
      <c r="L718" s="186"/>
      <c r="M718" s="67"/>
      <c r="N718" s="67"/>
      <c r="O718" s="67"/>
      <c r="P718" s="67"/>
      <c r="Q718" s="186"/>
      <c r="R718" s="186"/>
      <c r="S718" s="187"/>
      <c r="T718" s="187"/>
      <c r="U718" s="186"/>
      <c r="V718" s="186"/>
      <c r="W718" s="186"/>
    </row>
    <row r="719">
      <c r="A719" s="185"/>
      <c r="B719" s="67"/>
      <c r="C719" s="186"/>
      <c r="D719" s="186"/>
      <c r="E719" s="186"/>
      <c r="F719" s="186"/>
      <c r="G719" s="186"/>
      <c r="H719" s="186"/>
      <c r="I719" s="186"/>
      <c r="J719" s="186"/>
      <c r="K719" s="186"/>
      <c r="L719" s="186"/>
      <c r="M719" s="67"/>
      <c r="N719" s="67"/>
      <c r="O719" s="67"/>
      <c r="P719" s="67"/>
      <c r="Q719" s="186"/>
      <c r="R719" s="186"/>
      <c r="S719" s="187"/>
      <c r="T719" s="187"/>
      <c r="U719" s="186"/>
      <c r="V719" s="186"/>
      <c r="W719" s="186"/>
    </row>
    <row r="720">
      <c r="A720" s="185"/>
      <c r="B720" s="67"/>
      <c r="C720" s="186"/>
      <c r="D720" s="186"/>
      <c r="E720" s="186"/>
      <c r="F720" s="186"/>
      <c r="G720" s="186"/>
      <c r="H720" s="186"/>
      <c r="I720" s="186"/>
      <c r="J720" s="186"/>
      <c r="K720" s="186"/>
      <c r="L720" s="186"/>
      <c r="M720" s="67"/>
      <c r="N720" s="67"/>
      <c r="O720" s="67"/>
      <c r="P720" s="67"/>
      <c r="Q720" s="186"/>
      <c r="R720" s="186"/>
      <c r="S720" s="187"/>
      <c r="T720" s="187"/>
      <c r="U720" s="186"/>
      <c r="V720" s="186"/>
      <c r="W720" s="186"/>
    </row>
    <row r="721">
      <c r="A721" s="185"/>
      <c r="B721" s="67"/>
      <c r="C721" s="186"/>
      <c r="D721" s="186"/>
      <c r="E721" s="186"/>
      <c r="F721" s="186"/>
      <c r="G721" s="186"/>
      <c r="H721" s="186"/>
      <c r="I721" s="186"/>
      <c r="J721" s="186"/>
      <c r="K721" s="186"/>
      <c r="L721" s="186"/>
      <c r="M721" s="67"/>
      <c r="N721" s="67"/>
      <c r="O721" s="67"/>
      <c r="P721" s="67"/>
      <c r="Q721" s="186"/>
      <c r="R721" s="186"/>
      <c r="S721" s="187"/>
      <c r="T721" s="187"/>
      <c r="U721" s="186"/>
      <c r="V721" s="186"/>
      <c r="W721" s="186"/>
    </row>
    <row r="722">
      <c r="A722" s="185"/>
      <c r="B722" s="67"/>
      <c r="C722" s="186"/>
      <c r="D722" s="186"/>
      <c r="E722" s="186"/>
      <c r="F722" s="186"/>
      <c r="G722" s="186"/>
      <c r="H722" s="186"/>
      <c r="I722" s="186"/>
      <c r="J722" s="186"/>
      <c r="K722" s="186"/>
      <c r="L722" s="186"/>
      <c r="M722" s="67"/>
      <c r="N722" s="67"/>
      <c r="O722" s="67"/>
      <c r="P722" s="67"/>
      <c r="Q722" s="186"/>
      <c r="R722" s="186"/>
      <c r="S722" s="187"/>
      <c r="T722" s="187"/>
      <c r="U722" s="186"/>
      <c r="V722" s="186"/>
      <c r="W722" s="186"/>
    </row>
    <row r="723">
      <c r="A723" s="185"/>
      <c r="B723" s="67"/>
      <c r="C723" s="186"/>
      <c r="D723" s="186"/>
      <c r="E723" s="186"/>
      <c r="F723" s="186"/>
      <c r="G723" s="186"/>
      <c r="H723" s="186"/>
      <c r="I723" s="186"/>
      <c r="J723" s="186"/>
      <c r="K723" s="186"/>
      <c r="L723" s="186"/>
      <c r="M723" s="67"/>
      <c r="N723" s="67"/>
      <c r="O723" s="67"/>
      <c r="P723" s="67"/>
      <c r="Q723" s="186"/>
      <c r="R723" s="186"/>
      <c r="S723" s="187"/>
      <c r="T723" s="187"/>
      <c r="U723" s="186"/>
      <c r="V723" s="186"/>
      <c r="W723" s="186"/>
    </row>
    <row r="724">
      <c r="A724" s="185"/>
      <c r="B724" s="67"/>
      <c r="C724" s="186"/>
      <c r="D724" s="186"/>
      <c r="E724" s="186"/>
      <c r="F724" s="186"/>
      <c r="G724" s="186"/>
      <c r="H724" s="186"/>
      <c r="I724" s="186"/>
      <c r="J724" s="186"/>
      <c r="K724" s="186"/>
      <c r="L724" s="186"/>
      <c r="M724" s="67"/>
      <c r="N724" s="67"/>
      <c r="O724" s="67"/>
      <c r="P724" s="67"/>
      <c r="Q724" s="186"/>
      <c r="R724" s="186"/>
      <c r="S724" s="187"/>
      <c r="T724" s="187"/>
      <c r="U724" s="186"/>
      <c r="V724" s="186"/>
      <c r="W724" s="186"/>
    </row>
    <row r="725">
      <c r="A725" s="185"/>
      <c r="B725" s="67"/>
      <c r="C725" s="186"/>
      <c r="D725" s="186"/>
      <c r="E725" s="186"/>
      <c r="F725" s="186"/>
      <c r="G725" s="186"/>
      <c r="H725" s="186"/>
      <c r="I725" s="186"/>
      <c r="J725" s="186"/>
      <c r="K725" s="186"/>
      <c r="L725" s="186"/>
      <c r="M725" s="67"/>
      <c r="N725" s="67"/>
      <c r="O725" s="67"/>
      <c r="P725" s="67"/>
      <c r="Q725" s="186"/>
      <c r="R725" s="186"/>
      <c r="S725" s="187"/>
      <c r="T725" s="187"/>
      <c r="U725" s="186"/>
      <c r="V725" s="186"/>
      <c r="W725" s="186"/>
    </row>
    <row r="726">
      <c r="A726" s="185"/>
      <c r="B726" s="67"/>
      <c r="C726" s="186"/>
      <c r="D726" s="186"/>
      <c r="E726" s="186"/>
      <c r="F726" s="186"/>
      <c r="G726" s="186"/>
      <c r="H726" s="186"/>
      <c r="I726" s="186"/>
      <c r="J726" s="186"/>
      <c r="K726" s="186"/>
      <c r="L726" s="186"/>
      <c r="M726" s="67"/>
      <c r="N726" s="67"/>
      <c r="O726" s="67"/>
      <c r="P726" s="67"/>
      <c r="Q726" s="186"/>
      <c r="R726" s="186"/>
      <c r="S726" s="187"/>
      <c r="T726" s="187"/>
      <c r="U726" s="186"/>
      <c r="V726" s="186"/>
      <c r="W726" s="186"/>
    </row>
    <row r="727">
      <c r="A727" s="185"/>
      <c r="B727" s="67"/>
      <c r="C727" s="186"/>
      <c r="D727" s="186"/>
      <c r="E727" s="186"/>
      <c r="F727" s="186"/>
      <c r="G727" s="186"/>
      <c r="H727" s="186"/>
      <c r="I727" s="186"/>
      <c r="J727" s="186"/>
      <c r="K727" s="186"/>
      <c r="L727" s="186"/>
      <c r="M727" s="67"/>
      <c r="N727" s="67"/>
      <c r="O727" s="67"/>
      <c r="P727" s="67"/>
      <c r="Q727" s="186"/>
      <c r="R727" s="186"/>
      <c r="S727" s="187"/>
      <c r="T727" s="187"/>
      <c r="U727" s="186"/>
      <c r="V727" s="186"/>
      <c r="W727" s="186"/>
    </row>
    <row r="728">
      <c r="A728" s="185"/>
      <c r="B728" s="67"/>
      <c r="C728" s="186"/>
      <c r="D728" s="186"/>
      <c r="E728" s="186"/>
      <c r="F728" s="186"/>
      <c r="G728" s="186"/>
      <c r="H728" s="186"/>
      <c r="I728" s="186"/>
      <c r="J728" s="186"/>
      <c r="K728" s="186"/>
      <c r="L728" s="186"/>
      <c r="M728" s="67"/>
      <c r="N728" s="67"/>
      <c r="O728" s="67"/>
      <c r="P728" s="67"/>
      <c r="Q728" s="186"/>
      <c r="R728" s="186"/>
      <c r="S728" s="187"/>
      <c r="T728" s="187"/>
      <c r="U728" s="186"/>
      <c r="V728" s="186"/>
      <c r="W728" s="186"/>
    </row>
    <row r="729">
      <c r="A729" s="185"/>
      <c r="B729" s="67"/>
      <c r="C729" s="186"/>
      <c r="D729" s="186"/>
      <c r="E729" s="186"/>
      <c r="F729" s="186"/>
      <c r="G729" s="186"/>
      <c r="H729" s="186"/>
      <c r="I729" s="186"/>
      <c r="J729" s="186"/>
      <c r="K729" s="186"/>
      <c r="L729" s="186"/>
      <c r="M729" s="67"/>
      <c r="N729" s="67"/>
      <c r="O729" s="67"/>
      <c r="P729" s="67"/>
      <c r="Q729" s="186"/>
      <c r="R729" s="186"/>
      <c r="S729" s="187"/>
      <c r="T729" s="187"/>
      <c r="U729" s="186"/>
      <c r="V729" s="186"/>
      <c r="W729" s="186"/>
    </row>
    <row r="730">
      <c r="A730" s="185"/>
      <c r="B730" s="67"/>
      <c r="C730" s="186"/>
      <c r="D730" s="186"/>
      <c r="E730" s="186"/>
      <c r="F730" s="186"/>
      <c r="G730" s="186"/>
      <c r="H730" s="186"/>
      <c r="I730" s="186"/>
      <c r="J730" s="186"/>
      <c r="K730" s="186"/>
      <c r="L730" s="186"/>
      <c r="M730" s="67"/>
      <c r="N730" s="67"/>
      <c r="O730" s="67"/>
      <c r="P730" s="67"/>
      <c r="Q730" s="186"/>
      <c r="R730" s="186"/>
      <c r="S730" s="187"/>
      <c r="T730" s="187"/>
      <c r="U730" s="186"/>
      <c r="V730" s="186"/>
      <c r="W730" s="186"/>
    </row>
    <row r="731">
      <c r="A731" s="185"/>
      <c r="B731" s="67"/>
      <c r="C731" s="186"/>
      <c r="D731" s="186"/>
      <c r="E731" s="186"/>
      <c r="F731" s="186"/>
      <c r="G731" s="186"/>
      <c r="H731" s="186"/>
      <c r="I731" s="186"/>
      <c r="J731" s="186"/>
      <c r="K731" s="186"/>
      <c r="L731" s="186"/>
      <c r="M731" s="67"/>
      <c r="N731" s="67"/>
      <c r="O731" s="67"/>
      <c r="P731" s="67"/>
      <c r="Q731" s="186"/>
      <c r="R731" s="186"/>
      <c r="S731" s="187"/>
      <c r="T731" s="187"/>
      <c r="U731" s="186"/>
      <c r="V731" s="186"/>
      <c r="W731" s="186"/>
    </row>
    <row r="732">
      <c r="A732" s="185"/>
      <c r="B732" s="67"/>
      <c r="C732" s="186"/>
      <c r="D732" s="186"/>
      <c r="E732" s="186"/>
      <c r="F732" s="186"/>
      <c r="G732" s="186"/>
      <c r="H732" s="186"/>
      <c r="I732" s="186"/>
      <c r="J732" s="186"/>
      <c r="K732" s="186"/>
      <c r="L732" s="186"/>
      <c r="M732" s="67"/>
      <c r="N732" s="67"/>
      <c r="O732" s="67"/>
      <c r="P732" s="67"/>
      <c r="Q732" s="186"/>
      <c r="R732" s="186"/>
      <c r="S732" s="187"/>
      <c r="T732" s="187"/>
      <c r="U732" s="186"/>
      <c r="V732" s="186"/>
      <c r="W732" s="186"/>
    </row>
    <row r="733">
      <c r="A733" s="185"/>
      <c r="B733" s="67"/>
      <c r="C733" s="186"/>
      <c r="D733" s="186"/>
      <c r="E733" s="186"/>
      <c r="F733" s="186"/>
      <c r="G733" s="186"/>
      <c r="H733" s="186"/>
      <c r="I733" s="186"/>
      <c r="J733" s="186"/>
      <c r="K733" s="186"/>
      <c r="L733" s="186"/>
      <c r="M733" s="67"/>
      <c r="N733" s="67"/>
      <c r="O733" s="67"/>
      <c r="P733" s="67"/>
      <c r="Q733" s="186"/>
      <c r="R733" s="186"/>
      <c r="S733" s="187"/>
      <c r="T733" s="187"/>
      <c r="U733" s="186"/>
      <c r="V733" s="186"/>
      <c r="W733" s="186"/>
    </row>
    <row r="734">
      <c r="A734" s="185"/>
      <c r="B734" s="67"/>
      <c r="C734" s="186"/>
      <c r="D734" s="186"/>
      <c r="E734" s="186"/>
      <c r="F734" s="186"/>
      <c r="G734" s="186"/>
      <c r="H734" s="186"/>
      <c r="I734" s="186"/>
      <c r="J734" s="186"/>
      <c r="K734" s="186"/>
      <c r="L734" s="186"/>
      <c r="M734" s="67"/>
      <c r="N734" s="67"/>
      <c r="O734" s="67"/>
      <c r="P734" s="67"/>
      <c r="Q734" s="186"/>
      <c r="R734" s="186"/>
      <c r="S734" s="187"/>
      <c r="T734" s="187"/>
      <c r="U734" s="186"/>
      <c r="V734" s="186"/>
      <c r="W734" s="186"/>
    </row>
    <row r="735">
      <c r="A735" s="185"/>
      <c r="B735" s="67"/>
      <c r="C735" s="186"/>
      <c r="D735" s="186"/>
      <c r="E735" s="186"/>
      <c r="F735" s="186"/>
      <c r="G735" s="186"/>
      <c r="H735" s="186"/>
      <c r="I735" s="186"/>
      <c r="J735" s="186"/>
      <c r="K735" s="186"/>
      <c r="L735" s="186"/>
      <c r="M735" s="67"/>
      <c r="N735" s="67"/>
      <c r="O735" s="67"/>
      <c r="P735" s="67"/>
      <c r="Q735" s="186"/>
      <c r="R735" s="186"/>
      <c r="S735" s="187"/>
      <c r="T735" s="187"/>
      <c r="U735" s="186"/>
      <c r="V735" s="186"/>
      <c r="W735" s="186"/>
    </row>
    <row r="736">
      <c r="A736" s="185"/>
      <c r="B736" s="67"/>
      <c r="C736" s="186"/>
      <c r="D736" s="186"/>
      <c r="E736" s="186"/>
      <c r="F736" s="186"/>
      <c r="G736" s="186"/>
      <c r="H736" s="186"/>
      <c r="I736" s="186"/>
      <c r="J736" s="186"/>
      <c r="K736" s="186"/>
      <c r="L736" s="186"/>
      <c r="M736" s="67"/>
      <c r="N736" s="67"/>
      <c r="O736" s="67"/>
      <c r="P736" s="67"/>
      <c r="Q736" s="186"/>
      <c r="R736" s="186"/>
      <c r="S736" s="187"/>
      <c r="T736" s="187"/>
      <c r="U736" s="186"/>
      <c r="V736" s="186"/>
      <c r="W736" s="186"/>
    </row>
    <row r="737">
      <c r="A737" s="185"/>
      <c r="B737" s="67"/>
      <c r="C737" s="186"/>
      <c r="D737" s="186"/>
      <c r="E737" s="186"/>
      <c r="F737" s="186"/>
      <c r="G737" s="186"/>
      <c r="H737" s="186"/>
      <c r="I737" s="186"/>
      <c r="J737" s="186"/>
      <c r="K737" s="186"/>
      <c r="L737" s="186"/>
      <c r="M737" s="67"/>
      <c r="N737" s="67"/>
      <c r="O737" s="67"/>
      <c r="P737" s="67"/>
      <c r="Q737" s="186"/>
      <c r="R737" s="186"/>
      <c r="S737" s="187"/>
      <c r="T737" s="187"/>
      <c r="U737" s="186"/>
      <c r="V737" s="186"/>
      <c r="W737" s="186"/>
    </row>
    <row r="738">
      <c r="A738" s="185"/>
      <c r="B738" s="67"/>
      <c r="C738" s="186"/>
      <c r="D738" s="186"/>
      <c r="E738" s="186"/>
      <c r="F738" s="186"/>
      <c r="G738" s="186"/>
      <c r="H738" s="186"/>
      <c r="I738" s="186"/>
      <c r="J738" s="186"/>
      <c r="K738" s="186"/>
      <c r="L738" s="186"/>
      <c r="M738" s="67"/>
      <c r="N738" s="67"/>
      <c r="O738" s="67"/>
      <c r="P738" s="67"/>
      <c r="Q738" s="186"/>
      <c r="R738" s="186"/>
      <c r="S738" s="187"/>
      <c r="T738" s="187"/>
      <c r="U738" s="186"/>
      <c r="V738" s="186"/>
      <c r="W738" s="186"/>
    </row>
    <row r="739">
      <c r="A739" s="185"/>
      <c r="B739" s="67"/>
      <c r="C739" s="186"/>
      <c r="D739" s="186"/>
      <c r="E739" s="186"/>
      <c r="F739" s="186"/>
      <c r="G739" s="186"/>
      <c r="H739" s="186"/>
      <c r="I739" s="186"/>
      <c r="J739" s="186"/>
      <c r="K739" s="186"/>
      <c r="L739" s="186"/>
      <c r="M739" s="67"/>
      <c r="N739" s="67"/>
      <c r="O739" s="67"/>
      <c r="P739" s="67"/>
      <c r="Q739" s="186"/>
      <c r="R739" s="186"/>
      <c r="S739" s="187"/>
      <c r="T739" s="187"/>
      <c r="U739" s="186"/>
      <c r="V739" s="186"/>
      <c r="W739" s="186"/>
    </row>
    <row r="740">
      <c r="A740" s="185"/>
      <c r="B740" s="67"/>
      <c r="C740" s="186"/>
      <c r="D740" s="186"/>
      <c r="E740" s="186"/>
      <c r="F740" s="186"/>
      <c r="G740" s="186"/>
      <c r="H740" s="186"/>
      <c r="I740" s="186"/>
      <c r="J740" s="186"/>
      <c r="K740" s="186"/>
      <c r="L740" s="186"/>
      <c r="M740" s="67"/>
      <c r="N740" s="67"/>
      <c r="O740" s="67"/>
      <c r="P740" s="67"/>
      <c r="Q740" s="186"/>
      <c r="R740" s="186"/>
      <c r="S740" s="187"/>
      <c r="T740" s="187"/>
      <c r="U740" s="186"/>
      <c r="V740" s="186"/>
      <c r="W740" s="186"/>
    </row>
    <row r="741">
      <c r="A741" s="185"/>
      <c r="B741" s="67"/>
      <c r="C741" s="186"/>
      <c r="D741" s="186"/>
      <c r="E741" s="186"/>
      <c r="F741" s="186"/>
      <c r="G741" s="186"/>
      <c r="H741" s="186"/>
      <c r="I741" s="186"/>
      <c r="J741" s="186"/>
      <c r="K741" s="186"/>
      <c r="L741" s="186"/>
      <c r="M741" s="67"/>
      <c r="N741" s="67"/>
      <c r="O741" s="67"/>
      <c r="P741" s="67"/>
      <c r="Q741" s="186"/>
      <c r="R741" s="186"/>
      <c r="S741" s="187"/>
      <c r="T741" s="187"/>
      <c r="U741" s="186"/>
      <c r="V741" s="186"/>
      <c r="W741" s="186"/>
    </row>
    <row r="742">
      <c r="A742" s="185"/>
      <c r="B742" s="67"/>
      <c r="C742" s="186"/>
      <c r="D742" s="186"/>
      <c r="E742" s="186"/>
      <c r="F742" s="186"/>
      <c r="G742" s="186"/>
      <c r="H742" s="186"/>
      <c r="I742" s="186"/>
      <c r="J742" s="186"/>
      <c r="K742" s="186"/>
      <c r="L742" s="186"/>
      <c r="M742" s="67"/>
      <c r="N742" s="67"/>
      <c r="O742" s="67"/>
      <c r="P742" s="67"/>
      <c r="Q742" s="186"/>
      <c r="R742" s="186"/>
      <c r="S742" s="187"/>
      <c r="T742" s="187"/>
      <c r="U742" s="186"/>
      <c r="V742" s="186"/>
      <c r="W742" s="186"/>
    </row>
    <row r="743">
      <c r="A743" s="185"/>
      <c r="B743" s="67"/>
      <c r="C743" s="186"/>
      <c r="D743" s="186"/>
      <c r="E743" s="186"/>
      <c r="F743" s="186"/>
      <c r="G743" s="186"/>
      <c r="H743" s="186"/>
      <c r="I743" s="186"/>
      <c r="J743" s="186"/>
      <c r="K743" s="186"/>
      <c r="L743" s="186"/>
      <c r="M743" s="67"/>
      <c r="N743" s="67"/>
      <c r="O743" s="67"/>
      <c r="P743" s="67"/>
      <c r="Q743" s="186"/>
      <c r="R743" s="186"/>
      <c r="S743" s="187"/>
      <c r="T743" s="187"/>
      <c r="U743" s="186"/>
      <c r="V743" s="186"/>
      <c r="W743" s="186"/>
    </row>
    <row r="744">
      <c r="A744" s="185"/>
      <c r="B744" s="67"/>
      <c r="C744" s="186"/>
      <c r="D744" s="186"/>
      <c r="E744" s="186"/>
      <c r="F744" s="186"/>
      <c r="G744" s="186"/>
      <c r="H744" s="186"/>
      <c r="I744" s="186"/>
      <c r="J744" s="186"/>
      <c r="K744" s="186"/>
      <c r="L744" s="186"/>
      <c r="M744" s="67"/>
      <c r="N744" s="67"/>
      <c r="O744" s="67"/>
      <c r="P744" s="67"/>
      <c r="Q744" s="186"/>
      <c r="R744" s="186"/>
      <c r="S744" s="187"/>
      <c r="T744" s="187"/>
      <c r="U744" s="186"/>
      <c r="V744" s="186"/>
      <c r="W744" s="186"/>
    </row>
    <row r="745">
      <c r="A745" s="185"/>
      <c r="B745" s="67"/>
      <c r="C745" s="186"/>
      <c r="D745" s="186"/>
      <c r="E745" s="186"/>
      <c r="F745" s="186"/>
      <c r="G745" s="186"/>
      <c r="H745" s="186"/>
      <c r="I745" s="186"/>
      <c r="J745" s="186"/>
      <c r="K745" s="186"/>
      <c r="L745" s="186"/>
      <c r="M745" s="67"/>
      <c r="N745" s="67"/>
      <c r="O745" s="67"/>
      <c r="P745" s="67"/>
      <c r="Q745" s="186"/>
      <c r="R745" s="186"/>
      <c r="S745" s="187"/>
      <c r="T745" s="187"/>
      <c r="U745" s="186"/>
      <c r="V745" s="186"/>
      <c r="W745" s="186"/>
    </row>
    <row r="746">
      <c r="A746" s="185"/>
      <c r="B746" s="67"/>
      <c r="C746" s="186"/>
      <c r="D746" s="186"/>
      <c r="E746" s="186"/>
      <c r="F746" s="186"/>
      <c r="G746" s="186"/>
      <c r="H746" s="186"/>
      <c r="I746" s="186"/>
      <c r="J746" s="186"/>
      <c r="K746" s="186"/>
      <c r="L746" s="186"/>
      <c r="M746" s="67"/>
      <c r="N746" s="67"/>
      <c r="O746" s="67"/>
      <c r="P746" s="67"/>
      <c r="Q746" s="186"/>
      <c r="R746" s="186"/>
      <c r="S746" s="187"/>
      <c r="T746" s="187"/>
      <c r="U746" s="186"/>
      <c r="V746" s="186"/>
      <c r="W746" s="186"/>
    </row>
    <row r="747">
      <c r="A747" s="185"/>
      <c r="B747" s="67"/>
      <c r="C747" s="186"/>
      <c r="D747" s="186"/>
      <c r="E747" s="186"/>
      <c r="F747" s="186"/>
      <c r="G747" s="186"/>
      <c r="H747" s="186"/>
      <c r="I747" s="186"/>
      <c r="J747" s="186"/>
      <c r="K747" s="186"/>
      <c r="L747" s="186"/>
      <c r="M747" s="67"/>
      <c r="N747" s="67"/>
      <c r="O747" s="67"/>
      <c r="P747" s="67"/>
      <c r="Q747" s="186"/>
      <c r="R747" s="186"/>
      <c r="S747" s="187"/>
      <c r="T747" s="187"/>
      <c r="U747" s="186"/>
      <c r="V747" s="186"/>
      <c r="W747" s="186"/>
    </row>
    <row r="748">
      <c r="A748" s="185"/>
      <c r="B748" s="67"/>
      <c r="C748" s="186"/>
      <c r="D748" s="186"/>
      <c r="E748" s="186"/>
      <c r="F748" s="186"/>
      <c r="G748" s="186"/>
      <c r="H748" s="186"/>
      <c r="I748" s="186"/>
      <c r="J748" s="186"/>
      <c r="K748" s="186"/>
      <c r="L748" s="186"/>
      <c r="M748" s="67"/>
      <c r="N748" s="67"/>
      <c r="O748" s="67"/>
      <c r="P748" s="67"/>
      <c r="Q748" s="186"/>
      <c r="R748" s="186"/>
      <c r="S748" s="187"/>
      <c r="T748" s="187"/>
      <c r="U748" s="186"/>
      <c r="V748" s="186"/>
      <c r="W748" s="186"/>
    </row>
    <row r="749">
      <c r="A749" s="185"/>
      <c r="B749" s="67"/>
      <c r="C749" s="186"/>
      <c r="D749" s="186"/>
      <c r="E749" s="186"/>
      <c r="F749" s="186"/>
      <c r="G749" s="186"/>
      <c r="H749" s="186"/>
      <c r="I749" s="186"/>
      <c r="J749" s="186"/>
      <c r="K749" s="186"/>
      <c r="L749" s="186"/>
      <c r="M749" s="67"/>
      <c r="N749" s="67"/>
      <c r="O749" s="67"/>
      <c r="P749" s="67"/>
      <c r="Q749" s="186"/>
      <c r="R749" s="186"/>
      <c r="S749" s="187"/>
      <c r="T749" s="187"/>
      <c r="U749" s="186"/>
      <c r="V749" s="186"/>
      <c r="W749" s="186"/>
    </row>
    <row r="750">
      <c r="A750" s="185"/>
      <c r="B750" s="67"/>
      <c r="C750" s="186"/>
      <c r="D750" s="186"/>
      <c r="E750" s="186"/>
      <c r="F750" s="186"/>
      <c r="G750" s="186"/>
      <c r="H750" s="186"/>
      <c r="I750" s="186"/>
      <c r="J750" s="186"/>
      <c r="K750" s="186"/>
      <c r="L750" s="186"/>
      <c r="M750" s="67"/>
      <c r="N750" s="67"/>
      <c r="O750" s="67"/>
      <c r="P750" s="67"/>
      <c r="Q750" s="186"/>
      <c r="R750" s="186"/>
      <c r="S750" s="187"/>
      <c r="T750" s="187"/>
      <c r="U750" s="186"/>
      <c r="V750" s="186"/>
      <c r="W750" s="186"/>
    </row>
    <row r="751">
      <c r="A751" s="185"/>
      <c r="B751" s="67"/>
      <c r="C751" s="186"/>
      <c r="D751" s="186"/>
      <c r="E751" s="186"/>
      <c r="F751" s="186"/>
      <c r="G751" s="186"/>
      <c r="H751" s="186"/>
      <c r="I751" s="186"/>
      <c r="J751" s="186"/>
      <c r="K751" s="186"/>
      <c r="L751" s="186"/>
      <c r="M751" s="67"/>
      <c r="N751" s="67"/>
      <c r="O751" s="67"/>
      <c r="P751" s="67"/>
      <c r="Q751" s="186"/>
      <c r="R751" s="186"/>
      <c r="S751" s="187"/>
      <c r="T751" s="187"/>
      <c r="U751" s="186"/>
      <c r="V751" s="186"/>
      <c r="W751" s="186"/>
    </row>
    <row r="752">
      <c r="A752" s="185"/>
      <c r="B752" s="67"/>
      <c r="C752" s="186"/>
      <c r="D752" s="186"/>
      <c r="E752" s="186"/>
      <c r="F752" s="186"/>
      <c r="G752" s="186"/>
      <c r="H752" s="186"/>
      <c r="I752" s="186"/>
      <c r="J752" s="186"/>
      <c r="K752" s="186"/>
      <c r="L752" s="186"/>
      <c r="M752" s="67"/>
      <c r="N752" s="67"/>
      <c r="O752" s="67"/>
      <c r="P752" s="67"/>
      <c r="Q752" s="186"/>
      <c r="R752" s="186"/>
      <c r="S752" s="187"/>
      <c r="T752" s="187"/>
      <c r="U752" s="186"/>
      <c r="V752" s="186"/>
      <c r="W752" s="186"/>
    </row>
    <row r="753">
      <c r="A753" s="185"/>
      <c r="B753" s="67"/>
      <c r="C753" s="186"/>
      <c r="D753" s="186"/>
      <c r="E753" s="186"/>
      <c r="F753" s="186"/>
      <c r="G753" s="186"/>
      <c r="H753" s="186"/>
      <c r="I753" s="186"/>
      <c r="J753" s="186"/>
      <c r="K753" s="186"/>
      <c r="L753" s="186"/>
      <c r="M753" s="67"/>
      <c r="N753" s="67"/>
      <c r="O753" s="67"/>
      <c r="P753" s="67"/>
      <c r="Q753" s="186"/>
      <c r="R753" s="186"/>
      <c r="S753" s="187"/>
      <c r="T753" s="187"/>
      <c r="U753" s="186"/>
      <c r="V753" s="186"/>
      <c r="W753" s="186"/>
    </row>
    <row r="754">
      <c r="A754" s="185"/>
      <c r="B754" s="67"/>
      <c r="C754" s="186"/>
      <c r="D754" s="186"/>
      <c r="E754" s="186"/>
      <c r="F754" s="186"/>
      <c r="G754" s="186"/>
      <c r="H754" s="186"/>
      <c r="I754" s="186"/>
      <c r="J754" s="186"/>
      <c r="K754" s="186"/>
      <c r="L754" s="186"/>
      <c r="M754" s="67"/>
      <c r="N754" s="67"/>
      <c r="O754" s="67"/>
      <c r="P754" s="67"/>
      <c r="Q754" s="186"/>
      <c r="R754" s="186"/>
      <c r="S754" s="187"/>
      <c r="T754" s="187"/>
      <c r="U754" s="186"/>
      <c r="V754" s="186"/>
      <c r="W754" s="186"/>
    </row>
    <row r="755">
      <c r="A755" s="185"/>
      <c r="B755" s="67"/>
      <c r="C755" s="186"/>
      <c r="D755" s="186"/>
      <c r="E755" s="186"/>
      <c r="F755" s="186"/>
      <c r="G755" s="186"/>
      <c r="H755" s="186"/>
      <c r="I755" s="186"/>
      <c r="J755" s="186"/>
      <c r="K755" s="186"/>
      <c r="L755" s="186"/>
      <c r="M755" s="67"/>
      <c r="N755" s="67"/>
      <c r="O755" s="67"/>
      <c r="P755" s="67"/>
      <c r="Q755" s="186"/>
      <c r="R755" s="186"/>
      <c r="S755" s="187"/>
      <c r="T755" s="187"/>
      <c r="U755" s="186"/>
      <c r="V755" s="186"/>
      <c r="W755" s="186"/>
    </row>
    <row r="756">
      <c r="A756" s="185"/>
      <c r="B756" s="67"/>
      <c r="C756" s="186"/>
      <c r="D756" s="186"/>
      <c r="E756" s="186"/>
      <c r="F756" s="186"/>
      <c r="G756" s="186"/>
      <c r="H756" s="186"/>
      <c r="I756" s="186"/>
      <c r="J756" s="186"/>
      <c r="K756" s="186"/>
      <c r="L756" s="186"/>
      <c r="M756" s="67"/>
      <c r="N756" s="67"/>
      <c r="O756" s="67"/>
      <c r="P756" s="67"/>
      <c r="Q756" s="186"/>
      <c r="R756" s="186"/>
      <c r="S756" s="187"/>
      <c r="T756" s="187"/>
      <c r="U756" s="186"/>
      <c r="V756" s="186"/>
      <c r="W756" s="186"/>
    </row>
    <row r="757">
      <c r="A757" s="185"/>
      <c r="B757" s="67"/>
      <c r="C757" s="186"/>
      <c r="D757" s="186"/>
      <c r="E757" s="186"/>
      <c r="F757" s="186"/>
      <c r="G757" s="186"/>
      <c r="H757" s="186"/>
      <c r="I757" s="186"/>
      <c r="J757" s="186"/>
      <c r="K757" s="186"/>
      <c r="L757" s="186"/>
      <c r="M757" s="67"/>
      <c r="N757" s="67"/>
      <c r="O757" s="67"/>
      <c r="P757" s="67"/>
      <c r="Q757" s="186"/>
      <c r="R757" s="186"/>
      <c r="S757" s="187"/>
      <c r="T757" s="187"/>
      <c r="U757" s="186"/>
      <c r="V757" s="186"/>
      <c r="W757" s="186"/>
    </row>
    <row r="758">
      <c r="A758" s="185"/>
      <c r="B758" s="67"/>
      <c r="C758" s="186"/>
      <c r="D758" s="186"/>
      <c r="E758" s="186"/>
      <c r="F758" s="186"/>
      <c r="G758" s="186"/>
      <c r="H758" s="186"/>
      <c r="I758" s="186"/>
      <c r="J758" s="186"/>
      <c r="K758" s="186"/>
      <c r="L758" s="186"/>
      <c r="M758" s="67"/>
      <c r="N758" s="67"/>
      <c r="O758" s="67"/>
      <c r="P758" s="67"/>
      <c r="Q758" s="186"/>
      <c r="R758" s="186"/>
      <c r="S758" s="187"/>
      <c r="T758" s="187"/>
      <c r="U758" s="186"/>
      <c r="V758" s="186"/>
      <c r="W758" s="186"/>
    </row>
    <row r="759">
      <c r="A759" s="185"/>
      <c r="B759" s="67"/>
      <c r="C759" s="186"/>
      <c r="D759" s="186"/>
      <c r="E759" s="186"/>
      <c r="F759" s="186"/>
      <c r="G759" s="186"/>
      <c r="H759" s="186"/>
      <c r="I759" s="186"/>
      <c r="J759" s="186"/>
      <c r="K759" s="186"/>
      <c r="L759" s="186"/>
      <c r="M759" s="67"/>
      <c r="N759" s="67"/>
      <c r="O759" s="67"/>
      <c r="P759" s="67"/>
      <c r="Q759" s="186"/>
      <c r="R759" s="186"/>
      <c r="S759" s="187"/>
      <c r="T759" s="187"/>
      <c r="U759" s="186"/>
      <c r="V759" s="186"/>
      <c r="W759" s="186"/>
    </row>
    <row r="760">
      <c r="A760" s="185"/>
      <c r="B760" s="67"/>
      <c r="C760" s="186"/>
      <c r="D760" s="186"/>
      <c r="E760" s="186"/>
      <c r="F760" s="186"/>
      <c r="G760" s="186"/>
      <c r="H760" s="186"/>
      <c r="I760" s="186"/>
      <c r="J760" s="186"/>
      <c r="K760" s="186"/>
      <c r="L760" s="186"/>
      <c r="M760" s="67"/>
      <c r="N760" s="67"/>
      <c r="O760" s="67"/>
      <c r="P760" s="67"/>
      <c r="Q760" s="186"/>
      <c r="R760" s="186"/>
      <c r="S760" s="187"/>
      <c r="T760" s="187"/>
      <c r="U760" s="186"/>
      <c r="V760" s="186"/>
      <c r="W760" s="186"/>
    </row>
    <row r="761">
      <c r="A761" s="185"/>
      <c r="B761" s="67"/>
      <c r="C761" s="186"/>
      <c r="D761" s="186"/>
      <c r="E761" s="186"/>
      <c r="F761" s="186"/>
      <c r="G761" s="186"/>
      <c r="H761" s="186"/>
      <c r="I761" s="186"/>
      <c r="J761" s="186"/>
      <c r="K761" s="186"/>
      <c r="L761" s="186"/>
      <c r="M761" s="67"/>
      <c r="N761" s="67"/>
      <c r="O761" s="67"/>
      <c r="P761" s="67"/>
      <c r="Q761" s="186"/>
      <c r="R761" s="186"/>
      <c r="S761" s="187"/>
      <c r="T761" s="187"/>
      <c r="U761" s="186"/>
      <c r="V761" s="186"/>
      <c r="W761" s="186"/>
    </row>
    <row r="762">
      <c r="A762" s="185"/>
      <c r="B762" s="67"/>
      <c r="C762" s="186"/>
      <c r="D762" s="186"/>
      <c r="E762" s="186"/>
      <c r="F762" s="186"/>
      <c r="G762" s="186"/>
      <c r="H762" s="186"/>
      <c r="I762" s="186"/>
      <c r="J762" s="186"/>
      <c r="K762" s="186"/>
      <c r="L762" s="186"/>
      <c r="M762" s="67"/>
      <c r="N762" s="67"/>
      <c r="O762" s="67"/>
      <c r="P762" s="67"/>
      <c r="Q762" s="186"/>
      <c r="R762" s="186"/>
      <c r="S762" s="187"/>
      <c r="T762" s="187"/>
      <c r="U762" s="186"/>
      <c r="V762" s="186"/>
      <c r="W762" s="186"/>
    </row>
    <row r="763">
      <c r="A763" s="185"/>
      <c r="B763" s="67"/>
      <c r="C763" s="186"/>
      <c r="D763" s="186"/>
      <c r="E763" s="186"/>
      <c r="F763" s="186"/>
      <c r="G763" s="186"/>
      <c r="H763" s="186"/>
      <c r="I763" s="186"/>
      <c r="J763" s="186"/>
      <c r="K763" s="186"/>
      <c r="L763" s="186"/>
      <c r="M763" s="67"/>
      <c r="N763" s="67"/>
      <c r="O763" s="67"/>
      <c r="P763" s="67"/>
      <c r="Q763" s="186"/>
      <c r="R763" s="186"/>
      <c r="S763" s="187"/>
      <c r="T763" s="187"/>
      <c r="U763" s="186"/>
      <c r="V763" s="186"/>
      <c r="W763" s="186"/>
    </row>
    <row r="764">
      <c r="A764" s="185"/>
      <c r="B764" s="67"/>
      <c r="C764" s="186"/>
      <c r="D764" s="186"/>
      <c r="E764" s="186"/>
      <c r="F764" s="186"/>
      <c r="G764" s="186"/>
      <c r="H764" s="186"/>
      <c r="I764" s="186"/>
      <c r="J764" s="186"/>
      <c r="K764" s="186"/>
      <c r="L764" s="186"/>
      <c r="M764" s="67"/>
      <c r="N764" s="67"/>
      <c r="O764" s="67"/>
      <c r="P764" s="67"/>
      <c r="Q764" s="186"/>
      <c r="R764" s="186"/>
      <c r="S764" s="187"/>
      <c r="T764" s="187"/>
      <c r="U764" s="186"/>
      <c r="V764" s="186"/>
      <c r="W764" s="186"/>
    </row>
    <row r="765">
      <c r="A765" s="185"/>
      <c r="B765" s="67"/>
      <c r="C765" s="186"/>
      <c r="D765" s="186"/>
      <c r="E765" s="186"/>
      <c r="F765" s="186"/>
      <c r="G765" s="186"/>
      <c r="H765" s="186"/>
      <c r="I765" s="186"/>
      <c r="J765" s="186"/>
      <c r="K765" s="186"/>
      <c r="L765" s="186"/>
      <c r="M765" s="67"/>
      <c r="N765" s="67"/>
      <c r="O765" s="67"/>
      <c r="P765" s="67"/>
      <c r="Q765" s="186"/>
      <c r="R765" s="186"/>
      <c r="S765" s="187"/>
      <c r="T765" s="187"/>
      <c r="U765" s="186"/>
      <c r="V765" s="186"/>
      <c r="W765" s="186"/>
    </row>
    <row r="766">
      <c r="A766" s="185"/>
      <c r="B766" s="67"/>
      <c r="C766" s="186"/>
      <c r="D766" s="186"/>
      <c r="E766" s="186"/>
      <c r="F766" s="186"/>
      <c r="G766" s="186"/>
      <c r="H766" s="186"/>
      <c r="I766" s="186"/>
      <c r="J766" s="186"/>
      <c r="K766" s="186"/>
      <c r="L766" s="186"/>
      <c r="M766" s="67"/>
      <c r="N766" s="67"/>
      <c r="O766" s="67"/>
      <c r="P766" s="67"/>
      <c r="Q766" s="186"/>
      <c r="R766" s="186"/>
      <c r="S766" s="187"/>
      <c r="T766" s="187"/>
      <c r="U766" s="186"/>
      <c r="V766" s="186"/>
      <c r="W766" s="186"/>
    </row>
    <row r="767">
      <c r="A767" s="185"/>
      <c r="B767" s="67"/>
      <c r="C767" s="186"/>
      <c r="D767" s="186"/>
      <c r="E767" s="186"/>
      <c r="F767" s="186"/>
      <c r="G767" s="186"/>
      <c r="H767" s="186"/>
      <c r="I767" s="186"/>
      <c r="J767" s="186"/>
      <c r="K767" s="186"/>
      <c r="L767" s="186"/>
      <c r="M767" s="67"/>
      <c r="N767" s="67"/>
      <c r="O767" s="67"/>
      <c r="P767" s="67"/>
      <c r="Q767" s="186"/>
      <c r="R767" s="186"/>
      <c r="S767" s="187"/>
      <c r="T767" s="187"/>
      <c r="U767" s="186"/>
      <c r="V767" s="186"/>
      <c r="W767" s="186"/>
    </row>
    <row r="768">
      <c r="A768" s="185"/>
      <c r="B768" s="67"/>
      <c r="C768" s="186"/>
      <c r="D768" s="186"/>
      <c r="E768" s="186"/>
      <c r="F768" s="186"/>
      <c r="G768" s="186"/>
      <c r="H768" s="186"/>
      <c r="I768" s="186"/>
      <c r="J768" s="186"/>
      <c r="K768" s="186"/>
      <c r="L768" s="186"/>
      <c r="M768" s="67"/>
      <c r="N768" s="67"/>
      <c r="O768" s="67"/>
      <c r="P768" s="67"/>
      <c r="Q768" s="186"/>
      <c r="R768" s="186"/>
      <c r="S768" s="187"/>
      <c r="T768" s="187"/>
      <c r="U768" s="186"/>
      <c r="V768" s="186"/>
      <c r="W768" s="186"/>
    </row>
    <row r="769">
      <c r="A769" s="185"/>
      <c r="B769" s="67"/>
      <c r="C769" s="186"/>
      <c r="D769" s="186"/>
      <c r="E769" s="186"/>
      <c r="F769" s="186"/>
      <c r="G769" s="186"/>
      <c r="H769" s="186"/>
      <c r="I769" s="186"/>
      <c r="J769" s="186"/>
      <c r="K769" s="186"/>
      <c r="L769" s="186"/>
      <c r="M769" s="67"/>
      <c r="N769" s="67"/>
      <c r="O769" s="67"/>
      <c r="P769" s="67"/>
      <c r="Q769" s="186"/>
      <c r="R769" s="186"/>
      <c r="S769" s="187"/>
      <c r="T769" s="187"/>
      <c r="U769" s="186"/>
      <c r="V769" s="186"/>
      <c r="W769" s="186"/>
    </row>
    <row r="770">
      <c r="A770" s="185"/>
      <c r="B770" s="67"/>
      <c r="C770" s="186"/>
      <c r="D770" s="186"/>
      <c r="E770" s="186"/>
      <c r="F770" s="186"/>
      <c r="G770" s="186"/>
      <c r="H770" s="186"/>
      <c r="I770" s="186"/>
      <c r="J770" s="186"/>
      <c r="K770" s="186"/>
      <c r="L770" s="186"/>
      <c r="M770" s="67"/>
      <c r="N770" s="67"/>
      <c r="O770" s="67"/>
      <c r="P770" s="67"/>
      <c r="Q770" s="186"/>
      <c r="R770" s="186"/>
      <c r="S770" s="187"/>
      <c r="T770" s="187"/>
      <c r="U770" s="186"/>
      <c r="V770" s="186"/>
      <c r="W770" s="186"/>
    </row>
    <row r="771">
      <c r="A771" s="185"/>
      <c r="B771" s="67"/>
      <c r="C771" s="186"/>
      <c r="D771" s="186"/>
      <c r="E771" s="186"/>
      <c r="F771" s="186"/>
      <c r="G771" s="186"/>
      <c r="H771" s="186"/>
      <c r="I771" s="186"/>
      <c r="J771" s="186"/>
      <c r="K771" s="186"/>
      <c r="L771" s="186"/>
      <c r="M771" s="67"/>
      <c r="N771" s="67"/>
      <c r="O771" s="67"/>
      <c r="P771" s="67"/>
      <c r="Q771" s="186"/>
      <c r="R771" s="186"/>
      <c r="S771" s="187"/>
      <c r="T771" s="187"/>
      <c r="U771" s="186"/>
      <c r="V771" s="186"/>
      <c r="W771" s="186"/>
    </row>
    <row r="772">
      <c r="A772" s="185"/>
      <c r="B772" s="67"/>
      <c r="C772" s="186"/>
      <c r="D772" s="186"/>
      <c r="E772" s="186"/>
      <c r="F772" s="186"/>
      <c r="G772" s="186"/>
      <c r="H772" s="186"/>
      <c r="I772" s="186"/>
      <c r="J772" s="186"/>
      <c r="K772" s="186"/>
      <c r="L772" s="186"/>
      <c r="M772" s="67"/>
      <c r="N772" s="67"/>
      <c r="O772" s="67"/>
      <c r="P772" s="67"/>
      <c r="Q772" s="186"/>
      <c r="R772" s="186"/>
      <c r="S772" s="187"/>
      <c r="T772" s="187"/>
      <c r="U772" s="186"/>
      <c r="V772" s="186"/>
      <c r="W772" s="186"/>
    </row>
    <row r="773">
      <c r="A773" s="185"/>
      <c r="B773" s="67"/>
      <c r="C773" s="186"/>
      <c r="D773" s="186"/>
      <c r="E773" s="186"/>
      <c r="F773" s="186"/>
      <c r="G773" s="186"/>
      <c r="H773" s="186"/>
      <c r="I773" s="186"/>
      <c r="J773" s="186"/>
      <c r="K773" s="186"/>
      <c r="L773" s="186"/>
      <c r="M773" s="67"/>
      <c r="N773" s="67"/>
      <c r="O773" s="67"/>
      <c r="P773" s="67"/>
      <c r="Q773" s="186"/>
      <c r="R773" s="186"/>
      <c r="S773" s="187"/>
      <c r="T773" s="187"/>
      <c r="U773" s="186"/>
      <c r="V773" s="186"/>
      <c r="W773" s="186"/>
    </row>
    <row r="774">
      <c r="A774" s="185"/>
      <c r="B774" s="67"/>
      <c r="C774" s="186"/>
      <c r="D774" s="186"/>
      <c r="E774" s="186"/>
      <c r="F774" s="186"/>
      <c r="G774" s="186"/>
      <c r="H774" s="186"/>
      <c r="I774" s="186"/>
      <c r="J774" s="186"/>
      <c r="K774" s="186"/>
      <c r="L774" s="186"/>
      <c r="M774" s="67"/>
      <c r="N774" s="67"/>
      <c r="O774" s="67"/>
      <c r="P774" s="67"/>
      <c r="Q774" s="186"/>
      <c r="R774" s="186"/>
      <c r="S774" s="187"/>
      <c r="T774" s="187"/>
      <c r="U774" s="186"/>
      <c r="V774" s="186"/>
      <c r="W774" s="186"/>
    </row>
    <row r="775">
      <c r="A775" s="185"/>
      <c r="B775" s="67"/>
      <c r="C775" s="186"/>
      <c r="D775" s="186"/>
      <c r="E775" s="186"/>
      <c r="F775" s="186"/>
      <c r="G775" s="186"/>
      <c r="H775" s="186"/>
      <c r="I775" s="186"/>
      <c r="J775" s="186"/>
      <c r="K775" s="186"/>
      <c r="L775" s="186"/>
      <c r="M775" s="67"/>
      <c r="N775" s="67"/>
      <c r="O775" s="67"/>
      <c r="P775" s="67"/>
      <c r="Q775" s="186"/>
      <c r="R775" s="186"/>
      <c r="S775" s="187"/>
      <c r="T775" s="187"/>
      <c r="U775" s="186"/>
      <c r="V775" s="186"/>
      <c r="W775" s="186"/>
    </row>
    <row r="776">
      <c r="A776" s="185"/>
      <c r="B776" s="67"/>
      <c r="C776" s="186"/>
      <c r="D776" s="186"/>
      <c r="E776" s="186"/>
      <c r="F776" s="186"/>
      <c r="G776" s="186"/>
      <c r="H776" s="186"/>
      <c r="I776" s="186"/>
      <c r="J776" s="186"/>
      <c r="K776" s="186"/>
      <c r="L776" s="186"/>
      <c r="M776" s="67"/>
      <c r="N776" s="67"/>
      <c r="O776" s="67"/>
      <c r="P776" s="67"/>
      <c r="Q776" s="186"/>
      <c r="R776" s="186"/>
      <c r="S776" s="187"/>
      <c r="T776" s="187"/>
      <c r="U776" s="186"/>
      <c r="V776" s="186"/>
      <c r="W776" s="186"/>
    </row>
    <row r="777">
      <c r="A777" s="185"/>
      <c r="B777" s="67"/>
      <c r="C777" s="186"/>
      <c r="D777" s="186"/>
      <c r="E777" s="186"/>
      <c r="F777" s="186"/>
      <c r="G777" s="186"/>
      <c r="H777" s="186"/>
      <c r="I777" s="186"/>
      <c r="J777" s="186"/>
      <c r="K777" s="186"/>
      <c r="L777" s="186"/>
      <c r="M777" s="67"/>
      <c r="N777" s="67"/>
      <c r="O777" s="67"/>
      <c r="P777" s="67"/>
      <c r="Q777" s="186"/>
      <c r="R777" s="186"/>
      <c r="S777" s="187"/>
      <c r="T777" s="187"/>
      <c r="U777" s="186"/>
      <c r="V777" s="186"/>
      <c r="W777" s="186"/>
    </row>
    <row r="778">
      <c r="A778" s="185"/>
      <c r="B778" s="67"/>
      <c r="C778" s="186"/>
      <c r="D778" s="186"/>
      <c r="E778" s="186"/>
      <c r="F778" s="186"/>
      <c r="G778" s="186"/>
      <c r="H778" s="186"/>
      <c r="I778" s="186"/>
      <c r="J778" s="186"/>
      <c r="K778" s="186"/>
      <c r="L778" s="186"/>
      <c r="M778" s="67"/>
      <c r="N778" s="67"/>
      <c r="O778" s="67"/>
      <c r="P778" s="67"/>
      <c r="Q778" s="186"/>
      <c r="R778" s="186"/>
      <c r="S778" s="187"/>
      <c r="T778" s="187"/>
      <c r="U778" s="186"/>
      <c r="V778" s="186"/>
      <c r="W778" s="186"/>
    </row>
    <row r="779">
      <c r="A779" s="185"/>
      <c r="B779" s="67"/>
      <c r="C779" s="186"/>
      <c r="D779" s="186"/>
      <c r="E779" s="186"/>
      <c r="F779" s="186"/>
      <c r="G779" s="186"/>
      <c r="H779" s="186"/>
      <c r="I779" s="186"/>
      <c r="J779" s="186"/>
      <c r="K779" s="186"/>
      <c r="L779" s="186"/>
      <c r="M779" s="67"/>
      <c r="N779" s="67"/>
      <c r="O779" s="67"/>
      <c r="P779" s="67"/>
      <c r="Q779" s="186"/>
      <c r="R779" s="186"/>
      <c r="S779" s="187"/>
      <c r="T779" s="187"/>
      <c r="U779" s="186"/>
      <c r="V779" s="186"/>
      <c r="W779" s="186"/>
    </row>
    <row r="780">
      <c r="A780" s="185"/>
      <c r="B780" s="67"/>
      <c r="C780" s="186"/>
      <c r="D780" s="186"/>
      <c r="E780" s="186"/>
      <c r="F780" s="186"/>
      <c r="G780" s="186"/>
      <c r="H780" s="186"/>
      <c r="I780" s="186"/>
      <c r="J780" s="186"/>
      <c r="K780" s="186"/>
      <c r="L780" s="186"/>
      <c r="M780" s="67"/>
      <c r="N780" s="67"/>
      <c r="O780" s="67"/>
      <c r="P780" s="67"/>
      <c r="Q780" s="186"/>
      <c r="R780" s="186"/>
      <c r="S780" s="187"/>
      <c r="T780" s="187"/>
      <c r="U780" s="186"/>
      <c r="V780" s="186"/>
      <c r="W780" s="186"/>
    </row>
    <row r="781">
      <c r="A781" s="185"/>
      <c r="B781" s="67"/>
      <c r="C781" s="186"/>
      <c r="D781" s="186"/>
      <c r="E781" s="186"/>
      <c r="F781" s="186"/>
      <c r="G781" s="186"/>
      <c r="H781" s="186"/>
      <c r="I781" s="186"/>
      <c r="J781" s="186"/>
      <c r="K781" s="186"/>
      <c r="L781" s="186"/>
      <c r="M781" s="67"/>
      <c r="N781" s="67"/>
      <c r="O781" s="67"/>
      <c r="P781" s="67"/>
      <c r="Q781" s="186"/>
      <c r="R781" s="186"/>
      <c r="S781" s="187"/>
      <c r="T781" s="187"/>
      <c r="U781" s="186"/>
      <c r="V781" s="186"/>
      <c r="W781" s="186"/>
    </row>
    <row r="782">
      <c r="A782" s="185"/>
      <c r="B782" s="67"/>
      <c r="C782" s="186"/>
      <c r="D782" s="186"/>
      <c r="E782" s="186"/>
      <c r="F782" s="186"/>
      <c r="G782" s="186"/>
      <c r="H782" s="186"/>
      <c r="I782" s="186"/>
      <c r="J782" s="186"/>
      <c r="K782" s="186"/>
      <c r="L782" s="186"/>
      <c r="M782" s="67"/>
      <c r="N782" s="67"/>
      <c r="O782" s="67"/>
      <c r="P782" s="67"/>
      <c r="Q782" s="186"/>
      <c r="R782" s="186"/>
      <c r="S782" s="187"/>
      <c r="T782" s="187"/>
      <c r="U782" s="186"/>
      <c r="V782" s="186"/>
      <c r="W782" s="186"/>
    </row>
    <row r="783">
      <c r="A783" s="185"/>
      <c r="B783" s="67"/>
      <c r="C783" s="186"/>
      <c r="D783" s="186"/>
      <c r="E783" s="186"/>
      <c r="F783" s="186"/>
      <c r="G783" s="186"/>
      <c r="H783" s="186"/>
      <c r="I783" s="186"/>
      <c r="J783" s="186"/>
      <c r="K783" s="186"/>
      <c r="L783" s="186"/>
      <c r="M783" s="67"/>
      <c r="N783" s="67"/>
      <c r="O783" s="67"/>
      <c r="P783" s="67"/>
      <c r="Q783" s="186"/>
      <c r="R783" s="186"/>
      <c r="S783" s="187"/>
      <c r="T783" s="187"/>
      <c r="U783" s="186"/>
      <c r="V783" s="186"/>
      <c r="W783" s="186"/>
    </row>
    <row r="784">
      <c r="A784" s="185"/>
      <c r="B784" s="67"/>
      <c r="C784" s="186"/>
      <c r="D784" s="186"/>
      <c r="E784" s="186"/>
      <c r="F784" s="186"/>
      <c r="G784" s="186"/>
      <c r="H784" s="186"/>
      <c r="I784" s="186"/>
      <c r="J784" s="186"/>
      <c r="K784" s="186"/>
      <c r="L784" s="186"/>
      <c r="M784" s="67"/>
      <c r="N784" s="67"/>
      <c r="O784" s="67"/>
      <c r="P784" s="67"/>
      <c r="Q784" s="186"/>
      <c r="R784" s="186"/>
      <c r="S784" s="187"/>
      <c r="T784" s="187"/>
      <c r="U784" s="186"/>
      <c r="V784" s="186"/>
      <c r="W784" s="186"/>
    </row>
    <row r="785">
      <c r="A785" s="185"/>
      <c r="B785" s="67"/>
      <c r="C785" s="186"/>
      <c r="D785" s="186"/>
      <c r="E785" s="186"/>
      <c r="F785" s="186"/>
      <c r="G785" s="186"/>
      <c r="H785" s="186"/>
      <c r="I785" s="186"/>
      <c r="J785" s="186"/>
      <c r="K785" s="186"/>
      <c r="L785" s="186"/>
      <c r="M785" s="67"/>
      <c r="N785" s="67"/>
      <c r="O785" s="67"/>
      <c r="P785" s="67"/>
      <c r="Q785" s="186"/>
      <c r="R785" s="186"/>
      <c r="S785" s="187"/>
      <c r="T785" s="187"/>
      <c r="U785" s="186"/>
      <c r="V785" s="186"/>
      <c r="W785" s="186"/>
    </row>
    <row r="786">
      <c r="A786" s="185"/>
      <c r="B786" s="67"/>
      <c r="C786" s="186"/>
      <c r="D786" s="186"/>
      <c r="E786" s="186"/>
      <c r="F786" s="186"/>
      <c r="G786" s="186"/>
      <c r="H786" s="186"/>
      <c r="I786" s="186"/>
      <c r="J786" s="186"/>
      <c r="K786" s="186"/>
      <c r="L786" s="186"/>
      <c r="M786" s="67"/>
      <c r="N786" s="67"/>
      <c r="O786" s="67"/>
      <c r="P786" s="67"/>
      <c r="Q786" s="186"/>
      <c r="R786" s="186"/>
      <c r="S786" s="187"/>
      <c r="T786" s="187"/>
      <c r="U786" s="186"/>
      <c r="V786" s="186"/>
      <c r="W786" s="186"/>
    </row>
    <row r="787">
      <c r="A787" s="185"/>
      <c r="B787" s="67"/>
      <c r="C787" s="186"/>
      <c r="D787" s="186"/>
      <c r="E787" s="186"/>
      <c r="F787" s="186"/>
      <c r="G787" s="186"/>
      <c r="H787" s="186"/>
      <c r="I787" s="186"/>
      <c r="J787" s="186"/>
      <c r="K787" s="186"/>
      <c r="L787" s="186"/>
      <c r="M787" s="67"/>
      <c r="N787" s="67"/>
      <c r="O787" s="67"/>
      <c r="P787" s="67"/>
      <c r="Q787" s="186"/>
      <c r="R787" s="186"/>
      <c r="S787" s="187"/>
      <c r="T787" s="187"/>
      <c r="U787" s="186"/>
      <c r="V787" s="186"/>
      <c r="W787" s="186"/>
    </row>
    <row r="788">
      <c r="A788" s="185"/>
      <c r="B788" s="67"/>
      <c r="C788" s="186"/>
      <c r="D788" s="186"/>
      <c r="E788" s="186"/>
      <c r="F788" s="186"/>
      <c r="G788" s="186"/>
      <c r="H788" s="186"/>
      <c r="I788" s="186"/>
      <c r="J788" s="186"/>
      <c r="K788" s="186"/>
      <c r="L788" s="186"/>
      <c r="M788" s="67"/>
      <c r="N788" s="67"/>
      <c r="O788" s="67"/>
      <c r="P788" s="67"/>
      <c r="Q788" s="186"/>
      <c r="R788" s="186"/>
      <c r="S788" s="187"/>
      <c r="T788" s="187"/>
      <c r="U788" s="186"/>
      <c r="V788" s="186"/>
      <c r="W788" s="186"/>
    </row>
    <row r="789">
      <c r="A789" s="185"/>
      <c r="B789" s="67"/>
      <c r="C789" s="186"/>
      <c r="D789" s="186"/>
      <c r="E789" s="186"/>
      <c r="F789" s="186"/>
      <c r="G789" s="186"/>
      <c r="H789" s="186"/>
      <c r="I789" s="186"/>
      <c r="J789" s="186"/>
      <c r="K789" s="186"/>
      <c r="L789" s="186"/>
      <c r="M789" s="67"/>
      <c r="N789" s="67"/>
      <c r="O789" s="67"/>
      <c r="P789" s="67"/>
      <c r="Q789" s="186"/>
      <c r="R789" s="186"/>
      <c r="S789" s="187"/>
      <c r="T789" s="187"/>
      <c r="U789" s="186"/>
      <c r="V789" s="186"/>
      <c r="W789" s="186"/>
    </row>
    <row r="790">
      <c r="A790" s="185"/>
      <c r="B790" s="67"/>
      <c r="C790" s="186"/>
      <c r="D790" s="186"/>
      <c r="E790" s="186"/>
      <c r="F790" s="186"/>
      <c r="G790" s="186"/>
      <c r="H790" s="186"/>
      <c r="I790" s="186"/>
      <c r="J790" s="186"/>
      <c r="K790" s="186"/>
      <c r="L790" s="186"/>
      <c r="M790" s="67"/>
      <c r="N790" s="67"/>
      <c r="O790" s="67"/>
      <c r="P790" s="67"/>
      <c r="Q790" s="186"/>
      <c r="R790" s="186"/>
      <c r="S790" s="187"/>
      <c r="T790" s="187"/>
      <c r="U790" s="186"/>
      <c r="V790" s="186"/>
      <c r="W790" s="186"/>
    </row>
    <row r="791">
      <c r="A791" s="185"/>
      <c r="B791" s="67"/>
      <c r="C791" s="186"/>
      <c r="D791" s="186"/>
      <c r="E791" s="186"/>
      <c r="F791" s="186"/>
      <c r="G791" s="186"/>
      <c r="H791" s="186"/>
      <c r="I791" s="186"/>
      <c r="J791" s="186"/>
      <c r="K791" s="186"/>
      <c r="L791" s="186"/>
      <c r="M791" s="67"/>
      <c r="N791" s="67"/>
      <c r="O791" s="67"/>
      <c r="P791" s="67"/>
      <c r="Q791" s="186"/>
      <c r="R791" s="186"/>
      <c r="S791" s="187"/>
      <c r="T791" s="187"/>
      <c r="U791" s="186"/>
      <c r="V791" s="186"/>
      <c r="W791" s="186"/>
    </row>
    <row r="792">
      <c r="A792" s="185"/>
      <c r="B792" s="67"/>
      <c r="C792" s="186"/>
      <c r="D792" s="186"/>
      <c r="E792" s="186"/>
      <c r="F792" s="186"/>
      <c r="G792" s="186"/>
      <c r="H792" s="186"/>
      <c r="I792" s="186"/>
      <c r="J792" s="186"/>
      <c r="K792" s="186"/>
      <c r="L792" s="186"/>
      <c r="M792" s="67"/>
      <c r="N792" s="67"/>
      <c r="O792" s="67"/>
      <c r="P792" s="67"/>
      <c r="Q792" s="186"/>
      <c r="R792" s="186"/>
      <c r="S792" s="187"/>
      <c r="T792" s="187"/>
      <c r="U792" s="186"/>
      <c r="V792" s="186"/>
      <c r="W792" s="186"/>
    </row>
    <row r="793">
      <c r="A793" s="185"/>
      <c r="B793" s="67"/>
      <c r="C793" s="186"/>
      <c r="D793" s="186"/>
      <c r="E793" s="186"/>
      <c r="F793" s="186"/>
      <c r="G793" s="186"/>
      <c r="H793" s="186"/>
      <c r="I793" s="186"/>
      <c r="J793" s="186"/>
      <c r="K793" s="186"/>
      <c r="L793" s="186"/>
      <c r="M793" s="67"/>
      <c r="N793" s="67"/>
      <c r="O793" s="67"/>
      <c r="P793" s="67"/>
      <c r="Q793" s="186"/>
      <c r="R793" s="186"/>
      <c r="S793" s="187"/>
      <c r="T793" s="187"/>
      <c r="U793" s="186"/>
      <c r="V793" s="186"/>
      <c r="W793" s="186"/>
    </row>
    <row r="794">
      <c r="A794" s="185"/>
      <c r="B794" s="67"/>
      <c r="C794" s="186"/>
      <c r="D794" s="186"/>
      <c r="E794" s="186"/>
      <c r="F794" s="186"/>
      <c r="G794" s="186"/>
      <c r="H794" s="186"/>
      <c r="I794" s="186"/>
      <c r="J794" s="186"/>
      <c r="K794" s="186"/>
      <c r="L794" s="186"/>
      <c r="M794" s="67"/>
      <c r="N794" s="67"/>
      <c r="O794" s="67"/>
      <c r="P794" s="67"/>
      <c r="Q794" s="186"/>
      <c r="R794" s="186"/>
      <c r="S794" s="187"/>
      <c r="T794" s="187"/>
      <c r="U794" s="186"/>
      <c r="V794" s="186"/>
      <c r="W794" s="186"/>
    </row>
    <row r="795">
      <c r="A795" s="185"/>
      <c r="B795" s="67"/>
      <c r="C795" s="186"/>
      <c r="D795" s="186"/>
      <c r="E795" s="186"/>
      <c r="F795" s="186"/>
      <c r="G795" s="186"/>
      <c r="H795" s="186"/>
      <c r="I795" s="186"/>
      <c r="J795" s="186"/>
      <c r="K795" s="186"/>
      <c r="L795" s="186"/>
      <c r="M795" s="67"/>
      <c r="N795" s="67"/>
      <c r="O795" s="67"/>
      <c r="P795" s="67"/>
      <c r="Q795" s="186"/>
      <c r="R795" s="186"/>
      <c r="S795" s="187"/>
      <c r="T795" s="187"/>
      <c r="U795" s="186"/>
      <c r="V795" s="186"/>
      <c r="W795" s="186"/>
    </row>
    <row r="796">
      <c r="A796" s="185"/>
      <c r="B796" s="67"/>
      <c r="C796" s="186"/>
      <c r="D796" s="186"/>
      <c r="E796" s="186"/>
      <c r="F796" s="186"/>
      <c r="G796" s="186"/>
      <c r="H796" s="186"/>
      <c r="I796" s="186"/>
      <c r="J796" s="186"/>
      <c r="K796" s="186"/>
      <c r="L796" s="186"/>
      <c r="M796" s="67"/>
      <c r="N796" s="67"/>
      <c r="O796" s="67"/>
      <c r="P796" s="67"/>
      <c r="Q796" s="186"/>
      <c r="R796" s="186"/>
      <c r="S796" s="187"/>
      <c r="T796" s="187"/>
      <c r="U796" s="186"/>
      <c r="V796" s="186"/>
      <c r="W796" s="186"/>
    </row>
    <row r="797">
      <c r="A797" s="185"/>
      <c r="B797" s="67"/>
      <c r="C797" s="186"/>
      <c r="D797" s="186"/>
      <c r="E797" s="186"/>
      <c r="F797" s="186"/>
      <c r="G797" s="186"/>
      <c r="H797" s="186"/>
      <c r="I797" s="186"/>
      <c r="J797" s="186"/>
      <c r="K797" s="186"/>
      <c r="L797" s="186"/>
      <c r="M797" s="67"/>
      <c r="N797" s="67"/>
      <c r="O797" s="67"/>
      <c r="P797" s="67"/>
      <c r="Q797" s="186"/>
      <c r="R797" s="186"/>
      <c r="S797" s="187"/>
      <c r="T797" s="187"/>
      <c r="U797" s="186"/>
      <c r="V797" s="186"/>
      <c r="W797" s="186"/>
    </row>
    <row r="798">
      <c r="A798" s="185"/>
      <c r="B798" s="67"/>
      <c r="C798" s="186"/>
      <c r="D798" s="186"/>
      <c r="E798" s="186"/>
      <c r="F798" s="186"/>
      <c r="G798" s="186"/>
      <c r="H798" s="186"/>
      <c r="I798" s="186"/>
      <c r="J798" s="186"/>
      <c r="K798" s="186"/>
      <c r="L798" s="186"/>
      <c r="M798" s="67"/>
      <c r="N798" s="67"/>
      <c r="O798" s="67"/>
      <c r="P798" s="67"/>
      <c r="Q798" s="186"/>
      <c r="R798" s="186"/>
      <c r="S798" s="187"/>
      <c r="T798" s="187"/>
      <c r="U798" s="186"/>
      <c r="V798" s="186"/>
      <c r="W798" s="186"/>
    </row>
    <row r="799">
      <c r="A799" s="185"/>
      <c r="B799" s="67"/>
      <c r="C799" s="186"/>
      <c r="D799" s="186"/>
      <c r="E799" s="186"/>
      <c r="F799" s="186"/>
      <c r="G799" s="186"/>
      <c r="H799" s="186"/>
      <c r="I799" s="186"/>
      <c r="J799" s="186"/>
      <c r="K799" s="186"/>
      <c r="L799" s="186"/>
      <c r="M799" s="67"/>
      <c r="N799" s="67"/>
      <c r="O799" s="67"/>
      <c r="P799" s="67"/>
      <c r="Q799" s="186"/>
      <c r="R799" s="186"/>
      <c r="S799" s="187"/>
      <c r="T799" s="187"/>
      <c r="U799" s="186"/>
      <c r="V799" s="186"/>
      <c r="W799" s="186"/>
    </row>
    <row r="800">
      <c r="A800" s="185"/>
      <c r="B800" s="67"/>
      <c r="C800" s="186"/>
      <c r="D800" s="186"/>
      <c r="E800" s="186"/>
      <c r="F800" s="186"/>
      <c r="G800" s="186"/>
      <c r="H800" s="186"/>
      <c r="I800" s="186"/>
      <c r="J800" s="186"/>
      <c r="K800" s="186"/>
      <c r="L800" s="186"/>
      <c r="M800" s="67"/>
      <c r="N800" s="67"/>
      <c r="O800" s="67"/>
      <c r="P800" s="67"/>
      <c r="Q800" s="186"/>
      <c r="R800" s="186"/>
      <c r="S800" s="187"/>
      <c r="T800" s="187"/>
      <c r="U800" s="186"/>
      <c r="V800" s="186"/>
      <c r="W800" s="186"/>
    </row>
    <row r="801">
      <c r="A801" s="185"/>
      <c r="B801" s="67"/>
      <c r="C801" s="186"/>
      <c r="D801" s="186"/>
      <c r="E801" s="186"/>
      <c r="F801" s="186"/>
      <c r="G801" s="186"/>
      <c r="H801" s="186"/>
      <c r="I801" s="186"/>
      <c r="J801" s="186"/>
      <c r="K801" s="186"/>
      <c r="L801" s="186"/>
      <c r="M801" s="67"/>
      <c r="N801" s="67"/>
      <c r="O801" s="67"/>
      <c r="P801" s="67"/>
      <c r="Q801" s="186"/>
      <c r="R801" s="186"/>
      <c r="S801" s="187"/>
      <c r="T801" s="187"/>
      <c r="U801" s="186"/>
      <c r="V801" s="186"/>
      <c r="W801" s="186"/>
    </row>
    <row r="802">
      <c r="A802" s="185"/>
      <c r="B802" s="67"/>
      <c r="C802" s="186"/>
      <c r="D802" s="186"/>
      <c r="E802" s="186"/>
      <c r="F802" s="186"/>
      <c r="G802" s="186"/>
      <c r="H802" s="186"/>
      <c r="I802" s="186"/>
      <c r="J802" s="186"/>
      <c r="K802" s="186"/>
      <c r="L802" s="186"/>
      <c r="M802" s="67"/>
      <c r="N802" s="67"/>
      <c r="O802" s="67"/>
      <c r="P802" s="67"/>
      <c r="Q802" s="186"/>
      <c r="R802" s="186"/>
      <c r="S802" s="187"/>
      <c r="T802" s="187"/>
      <c r="U802" s="186"/>
      <c r="V802" s="186"/>
      <c r="W802" s="186"/>
    </row>
    <row r="803">
      <c r="A803" s="185"/>
      <c r="B803" s="67"/>
      <c r="C803" s="186"/>
      <c r="D803" s="186"/>
      <c r="E803" s="186"/>
      <c r="F803" s="186"/>
      <c r="G803" s="186"/>
      <c r="H803" s="186"/>
      <c r="I803" s="186"/>
      <c r="J803" s="186"/>
      <c r="K803" s="186"/>
      <c r="L803" s="186"/>
      <c r="M803" s="67"/>
      <c r="N803" s="67"/>
      <c r="O803" s="67"/>
      <c r="P803" s="67"/>
      <c r="Q803" s="186"/>
      <c r="R803" s="186"/>
      <c r="S803" s="187"/>
      <c r="T803" s="187"/>
      <c r="U803" s="186"/>
      <c r="V803" s="186"/>
      <c r="W803" s="186"/>
    </row>
    <row r="804">
      <c r="A804" s="185"/>
      <c r="B804" s="67"/>
      <c r="C804" s="186"/>
      <c r="D804" s="186"/>
      <c r="E804" s="186"/>
      <c r="F804" s="186"/>
      <c r="G804" s="186"/>
      <c r="H804" s="186"/>
      <c r="I804" s="186"/>
      <c r="J804" s="186"/>
      <c r="K804" s="186"/>
      <c r="L804" s="186"/>
      <c r="M804" s="67"/>
      <c r="N804" s="67"/>
      <c r="O804" s="67"/>
      <c r="P804" s="67"/>
      <c r="Q804" s="186"/>
      <c r="R804" s="186"/>
      <c r="S804" s="187"/>
      <c r="T804" s="187"/>
      <c r="U804" s="186"/>
      <c r="V804" s="186"/>
      <c r="W804" s="186"/>
    </row>
    <row r="805">
      <c r="A805" s="185"/>
      <c r="B805" s="67"/>
      <c r="C805" s="186"/>
      <c r="D805" s="186"/>
      <c r="E805" s="186"/>
      <c r="F805" s="186"/>
      <c r="G805" s="186"/>
      <c r="H805" s="186"/>
      <c r="I805" s="186"/>
      <c r="J805" s="186"/>
      <c r="K805" s="186"/>
      <c r="L805" s="186"/>
      <c r="M805" s="67"/>
      <c r="N805" s="67"/>
      <c r="O805" s="67"/>
      <c r="P805" s="67"/>
      <c r="Q805" s="186"/>
      <c r="R805" s="186"/>
      <c r="S805" s="187"/>
      <c r="T805" s="187"/>
      <c r="U805" s="186"/>
      <c r="V805" s="186"/>
      <c r="W805" s="186"/>
    </row>
    <row r="806">
      <c r="A806" s="185"/>
      <c r="B806" s="67"/>
      <c r="C806" s="186"/>
      <c r="D806" s="186"/>
      <c r="E806" s="186"/>
      <c r="F806" s="186"/>
      <c r="G806" s="186"/>
      <c r="H806" s="186"/>
      <c r="I806" s="186"/>
      <c r="J806" s="186"/>
      <c r="K806" s="186"/>
      <c r="L806" s="186"/>
      <c r="M806" s="67"/>
      <c r="N806" s="67"/>
      <c r="O806" s="67"/>
      <c r="P806" s="67"/>
      <c r="Q806" s="186"/>
      <c r="R806" s="186"/>
      <c r="S806" s="187"/>
      <c r="T806" s="187"/>
      <c r="U806" s="186"/>
      <c r="V806" s="186"/>
      <c r="W806" s="186"/>
    </row>
    <row r="807">
      <c r="A807" s="185"/>
      <c r="B807" s="67"/>
      <c r="C807" s="186"/>
      <c r="D807" s="186"/>
      <c r="E807" s="186"/>
      <c r="F807" s="186"/>
      <c r="G807" s="186"/>
      <c r="H807" s="186"/>
      <c r="I807" s="186"/>
      <c r="J807" s="186"/>
      <c r="K807" s="186"/>
      <c r="L807" s="186"/>
      <c r="M807" s="67"/>
      <c r="N807" s="67"/>
      <c r="O807" s="67"/>
      <c r="P807" s="67"/>
      <c r="Q807" s="186"/>
      <c r="R807" s="186"/>
      <c r="S807" s="187"/>
      <c r="T807" s="187"/>
      <c r="U807" s="186"/>
      <c r="V807" s="186"/>
      <c r="W807" s="186"/>
    </row>
    <row r="808">
      <c r="A808" s="185"/>
      <c r="B808" s="67"/>
      <c r="C808" s="186"/>
      <c r="D808" s="186"/>
      <c r="E808" s="186"/>
      <c r="F808" s="186"/>
      <c r="G808" s="186"/>
      <c r="H808" s="186"/>
      <c r="I808" s="186"/>
      <c r="J808" s="186"/>
      <c r="K808" s="186"/>
      <c r="L808" s="186"/>
      <c r="M808" s="67"/>
      <c r="N808" s="67"/>
      <c r="O808" s="67"/>
      <c r="P808" s="67"/>
      <c r="Q808" s="186"/>
      <c r="R808" s="186"/>
      <c r="S808" s="187"/>
      <c r="T808" s="187"/>
      <c r="U808" s="186"/>
      <c r="V808" s="186"/>
      <c r="W808" s="186"/>
    </row>
    <row r="809">
      <c r="A809" s="185"/>
      <c r="B809" s="67"/>
      <c r="C809" s="186"/>
      <c r="D809" s="186"/>
      <c r="E809" s="186"/>
      <c r="F809" s="186"/>
      <c r="G809" s="186"/>
      <c r="H809" s="186"/>
      <c r="I809" s="186"/>
      <c r="J809" s="186"/>
      <c r="K809" s="186"/>
      <c r="L809" s="186"/>
      <c r="M809" s="67"/>
      <c r="N809" s="67"/>
      <c r="O809" s="67"/>
      <c r="P809" s="67"/>
      <c r="Q809" s="186"/>
      <c r="R809" s="186"/>
      <c r="S809" s="187"/>
      <c r="T809" s="187"/>
      <c r="U809" s="186"/>
      <c r="V809" s="186"/>
      <c r="W809" s="186"/>
    </row>
    <row r="810">
      <c r="A810" s="185"/>
      <c r="B810" s="67"/>
      <c r="C810" s="186"/>
      <c r="D810" s="186"/>
      <c r="E810" s="186"/>
      <c r="F810" s="186"/>
      <c r="G810" s="186"/>
      <c r="H810" s="186"/>
      <c r="I810" s="186"/>
      <c r="J810" s="186"/>
      <c r="K810" s="186"/>
      <c r="L810" s="186"/>
      <c r="M810" s="67"/>
      <c r="N810" s="67"/>
      <c r="O810" s="67"/>
      <c r="P810" s="67"/>
      <c r="Q810" s="186"/>
      <c r="R810" s="186"/>
      <c r="S810" s="187"/>
      <c r="T810" s="187"/>
      <c r="U810" s="186"/>
      <c r="V810" s="186"/>
      <c r="W810" s="186"/>
    </row>
    <row r="811">
      <c r="A811" s="185"/>
      <c r="B811" s="67"/>
      <c r="C811" s="186"/>
      <c r="D811" s="186"/>
      <c r="E811" s="186"/>
      <c r="F811" s="186"/>
      <c r="G811" s="186"/>
      <c r="H811" s="186"/>
      <c r="I811" s="186"/>
      <c r="J811" s="186"/>
      <c r="K811" s="186"/>
      <c r="L811" s="186"/>
      <c r="M811" s="67"/>
      <c r="N811" s="67"/>
      <c r="O811" s="67"/>
      <c r="P811" s="67"/>
      <c r="Q811" s="186"/>
      <c r="R811" s="186"/>
      <c r="S811" s="187"/>
      <c r="T811" s="187"/>
      <c r="U811" s="186"/>
      <c r="V811" s="186"/>
      <c r="W811" s="186"/>
    </row>
    <row r="812">
      <c r="A812" s="185"/>
      <c r="B812" s="67"/>
      <c r="C812" s="186"/>
      <c r="D812" s="186"/>
      <c r="E812" s="186"/>
      <c r="F812" s="186"/>
      <c r="G812" s="186"/>
      <c r="H812" s="186"/>
      <c r="I812" s="186"/>
      <c r="J812" s="186"/>
      <c r="K812" s="186"/>
      <c r="L812" s="186"/>
      <c r="M812" s="67"/>
      <c r="N812" s="67"/>
      <c r="O812" s="67"/>
      <c r="P812" s="67"/>
      <c r="Q812" s="186"/>
      <c r="R812" s="186"/>
      <c r="S812" s="187"/>
      <c r="T812" s="187"/>
      <c r="U812" s="186"/>
      <c r="V812" s="186"/>
      <c r="W812" s="186"/>
    </row>
    <row r="813">
      <c r="A813" s="185"/>
      <c r="B813" s="67"/>
      <c r="C813" s="186"/>
      <c r="D813" s="186"/>
      <c r="E813" s="186"/>
      <c r="F813" s="186"/>
      <c r="G813" s="186"/>
      <c r="H813" s="186"/>
      <c r="I813" s="186"/>
      <c r="J813" s="186"/>
      <c r="K813" s="186"/>
      <c r="L813" s="186"/>
      <c r="M813" s="67"/>
      <c r="N813" s="67"/>
      <c r="O813" s="67"/>
      <c r="P813" s="67"/>
      <c r="Q813" s="186"/>
      <c r="R813" s="186"/>
      <c r="S813" s="187"/>
      <c r="T813" s="187"/>
      <c r="U813" s="186"/>
      <c r="V813" s="186"/>
      <c r="W813" s="186"/>
    </row>
    <row r="814">
      <c r="A814" s="185"/>
      <c r="B814" s="67"/>
      <c r="C814" s="186"/>
      <c r="D814" s="186"/>
      <c r="E814" s="186"/>
      <c r="F814" s="186"/>
      <c r="G814" s="186"/>
      <c r="H814" s="186"/>
      <c r="I814" s="186"/>
      <c r="J814" s="186"/>
      <c r="K814" s="186"/>
      <c r="L814" s="186"/>
      <c r="M814" s="67"/>
      <c r="N814" s="67"/>
      <c r="O814" s="67"/>
      <c r="P814" s="67"/>
      <c r="Q814" s="186"/>
      <c r="R814" s="186"/>
      <c r="S814" s="187"/>
      <c r="T814" s="187"/>
      <c r="U814" s="186"/>
      <c r="V814" s="186"/>
      <c r="W814" s="186"/>
    </row>
    <row r="815">
      <c r="A815" s="185"/>
      <c r="B815" s="67"/>
      <c r="C815" s="186"/>
      <c r="D815" s="186"/>
      <c r="E815" s="186"/>
      <c r="F815" s="186"/>
      <c r="G815" s="186"/>
      <c r="H815" s="186"/>
      <c r="I815" s="186"/>
      <c r="J815" s="186"/>
      <c r="K815" s="186"/>
      <c r="L815" s="186"/>
      <c r="M815" s="67"/>
      <c r="N815" s="67"/>
      <c r="O815" s="67"/>
      <c r="P815" s="67"/>
      <c r="Q815" s="186"/>
      <c r="R815" s="186"/>
      <c r="S815" s="187"/>
      <c r="T815" s="187"/>
      <c r="U815" s="186"/>
      <c r="V815" s="186"/>
      <c r="W815" s="186"/>
    </row>
    <row r="816">
      <c r="A816" s="185"/>
      <c r="B816" s="67"/>
      <c r="C816" s="186"/>
      <c r="D816" s="186"/>
      <c r="E816" s="186"/>
      <c r="F816" s="186"/>
      <c r="G816" s="186"/>
      <c r="H816" s="186"/>
      <c r="I816" s="186"/>
      <c r="J816" s="186"/>
      <c r="K816" s="186"/>
      <c r="L816" s="186"/>
      <c r="M816" s="67"/>
      <c r="N816" s="67"/>
      <c r="O816" s="67"/>
      <c r="P816" s="67"/>
      <c r="Q816" s="186"/>
      <c r="R816" s="186"/>
      <c r="S816" s="187"/>
      <c r="T816" s="187"/>
      <c r="U816" s="186"/>
      <c r="V816" s="186"/>
      <c r="W816" s="186"/>
    </row>
    <row r="817">
      <c r="A817" s="185"/>
      <c r="B817" s="67"/>
      <c r="C817" s="186"/>
      <c r="D817" s="186"/>
      <c r="E817" s="186"/>
      <c r="F817" s="186"/>
      <c r="G817" s="186"/>
      <c r="H817" s="186"/>
      <c r="I817" s="186"/>
      <c r="J817" s="186"/>
      <c r="K817" s="186"/>
      <c r="L817" s="186"/>
      <c r="M817" s="67"/>
      <c r="N817" s="67"/>
      <c r="O817" s="67"/>
      <c r="P817" s="67"/>
      <c r="Q817" s="186"/>
      <c r="R817" s="186"/>
      <c r="S817" s="187"/>
      <c r="T817" s="187"/>
      <c r="U817" s="186"/>
      <c r="V817" s="186"/>
      <c r="W817" s="186"/>
    </row>
    <row r="818">
      <c r="A818" s="185"/>
      <c r="B818" s="67"/>
      <c r="C818" s="186"/>
      <c r="D818" s="186"/>
      <c r="E818" s="186"/>
      <c r="F818" s="186"/>
      <c r="G818" s="186"/>
      <c r="H818" s="186"/>
      <c r="I818" s="186"/>
      <c r="J818" s="186"/>
      <c r="K818" s="186"/>
      <c r="L818" s="186"/>
      <c r="M818" s="67"/>
      <c r="N818" s="67"/>
      <c r="O818" s="67"/>
      <c r="P818" s="67"/>
      <c r="Q818" s="186"/>
      <c r="R818" s="186"/>
      <c r="S818" s="187"/>
      <c r="T818" s="187"/>
      <c r="U818" s="186"/>
      <c r="V818" s="186"/>
      <c r="W818" s="186"/>
    </row>
    <row r="819">
      <c r="A819" s="185"/>
      <c r="B819" s="67"/>
      <c r="C819" s="186"/>
      <c r="D819" s="186"/>
      <c r="E819" s="186"/>
      <c r="F819" s="186"/>
      <c r="G819" s="186"/>
      <c r="H819" s="186"/>
      <c r="I819" s="186"/>
      <c r="J819" s="186"/>
      <c r="K819" s="186"/>
      <c r="L819" s="186"/>
      <c r="M819" s="67"/>
      <c r="N819" s="67"/>
      <c r="O819" s="67"/>
      <c r="P819" s="67"/>
      <c r="Q819" s="186"/>
      <c r="R819" s="186"/>
      <c r="S819" s="187"/>
      <c r="T819" s="187"/>
      <c r="U819" s="186"/>
      <c r="V819" s="186"/>
      <c r="W819" s="186"/>
    </row>
    <row r="820">
      <c r="A820" s="185"/>
      <c r="B820" s="67"/>
      <c r="C820" s="186"/>
      <c r="D820" s="186"/>
      <c r="E820" s="186"/>
      <c r="F820" s="186"/>
      <c r="G820" s="186"/>
      <c r="H820" s="186"/>
      <c r="I820" s="186"/>
      <c r="J820" s="186"/>
      <c r="K820" s="186"/>
      <c r="L820" s="186"/>
      <c r="M820" s="67"/>
      <c r="N820" s="67"/>
      <c r="O820" s="67"/>
      <c r="P820" s="67"/>
      <c r="Q820" s="186"/>
      <c r="R820" s="186"/>
      <c r="S820" s="187"/>
      <c r="T820" s="187"/>
      <c r="U820" s="186"/>
      <c r="V820" s="186"/>
      <c r="W820" s="186"/>
    </row>
    <row r="821">
      <c r="A821" s="185"/>
      <c r="B821" s="67"/>
      <c r="C821" s="186"/>
      <c r="D821" s="186"/>
      <c r="E821" s="186"/>
      <c r="F821" s="186"/>
      <c r="G821" s="186"/>
      <c r="H821" s="186"/>
      <c r="I821" s="186"/>
      <c r="J821" s="186"/>
      <c r="K821" s="186"/>
      <c r="L821" s="186"/>
      <c r="M821" s="67"/>
      <c r="N821" s="67"/>
      <c r="O821" s="67"/>
      <c r="P821" s="67"/>
      <c r="Q821" s="186"/>
      <c r="R821" s="186"/>
      <c r="S821" s="187"/>
      <c r="T821" s="187"/>
      <c r="U821" s="186"/>
      <c r="V821" s="186"/>
      <c r="W821" s="186"/>
    </row>
    <row r="822">
      <c r="A822" s="185"/>
      <c r="B822" s="67"/>
      <c r="C822" s="186"/>
      <c r="D822" s="186"/>
      <c r="E822" s="186"/>
      <c r="F822" s="186"/>
      <c r="G822" s="186"/>
      <c r="H822" s="186"/>
      <c r="I822" s="186"/>
      <c r="J822" s="186"/>
      <c r="K822" s="186"/>
      <c r="L822" s="186"/>
      <c r="M822" s="67"/>
      <c r="N822" s="67"/>
      <c r="O822" s="67"/>
      <c r="P822" s="67"/>
      <c r="Q822" s="186"/>
      <c r="R822" s="186"/>
      <c r="S822" s="187"/>
      <c r="T822" s="187"/>
      <c r="U822" s="186"/>
      <c r="V822" s="186"/>
      <c r="W822" s="186"/>
    </row>
    <row r="823">
      <c r="A823" s="185"/>
      <c r="B823" s="67"/>
      <c r="C823" s="186"/>
      <c r="D823" s="186"/>
      <c r="E823" s="186"/>
      <c r="F823" s="186"/>
      <c r="G823" s="186"/>
      <c r="H823" s="186"/>
      <c r="I823" s="186"/>
      <c r="J823" s="186"/>
      <c r="K823" s="186"/>
      <c r="L823" s="186"/>
      <c r="M823" s="67"/>
      <c r="N823" s="67"/>
      <c r="O823" s="67"/>
      <c r="P823" s="67"/>
      <c r="Q823" s="186"/>
      <c r="R823" s="186"/>
      <c r="S823" s="187"/>
      <c r="T823" s="187"/>
      <c r="U823" s="186"/>
      <c r="V823" s="186"/>
      <c r="W823" s="186"/>
    </row>
    <row r="824">
      <c r="A824" s="185"/>
      <c r="B824" s="67"/>
      <c r="C824" s="186"/>
      <c r="D824" s="186"/>
      <c r="E824" s="186"/>
      <c r="F824" s="186"/>
      <c r="G824" s="186"/>
      <c r="H824" s="186"/>
      <c r="I824" s="186"/>
      <c r="J824" s="186"/>
      <c r="K824" s="186"/>
      <c r="L824" s="186"/>
      <c r="M824" s="67"/>
      <c r="N824" s="67"/>
      <c r="O824" s="67"/>
      <c r="P824" s="67"/>
      <c r="Q824" s="186"/>
      <c r="R824" s="186"/>
      <c r="S824" s="187"/>
      <c r="T824" s="187"/>
      <c r="U824" s="186"/>
      <c r="V824" s="186"/>
      <c r="W824" s="186"/>
    </row>
    <row r="825">
      <c r="A825" s="185"/>
      <c r="B825" s="67"/>
      <c r="C825" s="186"/>
      <c r="D825" s="186"/>
      <c r="E825" s="186"/>
      <c r="F825" s="186"/>
      <c r="G825" s="186"/>
      <c r="H825" s="186"/>
      <c r="I825" s="186"/>
      <c r="J825" s="186"/>
      <c r="K825" s="186"/>
      <c r="L825" s="186"/>
      <c r="M825" s="67"/>
      <c r="N825" s="67"/>
      <c r="O825" s="67"/>
      <c r="P825" s="67"/>
      <c r="Q825" s="186"/>
      <c r="R825" s="186"/>
      <c r="S825" s="187"/>
      <c r="T825" s="187"/>
      <c r="U825" s="186"/>
      <c r="V825" s="186"/>
      <c r="W825" s="186"/>
    </row>
    <row r="826">
      <c r="A826" s="185"/>
      <c r="B826" s="67"/>
      <c r="C826" s="186"/>
      <c r="D826" s="186"/>
      <c r="E826" s="186"/>
      <c r="F826" s="186"/>
      <c r="G826" s="186"/>
      <c r="H826" s="186"/>
      <c r="I826" s="186"/>
      <c r="J826" s="186"/>
      <c r="K826" s="186"/>
      <c r="L826" s="186"/>
      <c r="M826" s="67"/>
      <c r="N826" s="67"/>
      <c r="O826" s="67"/>
      <c r="P826" s="67"/>
      <c r="Q826" s="186"/>
      <c r="R826" s="186"/>
      <c r="S826" s="187"/>
      <c r="T826" s="187"/>
      <c r="U826" s="186"/>
      <c r="V826" s="186"/>
      <c r="W826" s="186"/>
    </row>
    <row r="827">
      <c r="A827" s="185"/>
      <c r="B827" s="67"/>
      <c r="C827" s="186"/>
      <c r="D827" s="186"/>
      <c r="E827" s="186"/>
      <c r="F827" s="186"/>
      <c r="G827" s="186"/>
      <c r="H827" s="186"/>
      <c r="I827" s="186"/>
      <c r="J827" s="186"/>
      <c r="K827" s="186"/>
      <c r="L827" s="186"/>
      <c r="M827" s="67"/>
      <c r="N827" s="67"/>
      <c r="O827" s="67"/>
      <c r="P827" s="67"/>
      <c r="Q827" s="186"/>
      <c r="R827" s="186"/>
      <c r="S827" s="187"/>
      <c r="T827" s="187"/>
      <c r="U827" s="186"/>
      <c r="V827" s="186"/>
      <c r="W827" s="186"/>
    </row>
    <row r="828">
      <c r="A828" s="185"/>
      <c r="B828" s="67"/>
      <c r="C828" s="186"/>
      <c r="D828" s="186"/>
      <c r="E828" s="186"/>
      <c r="F828" s="186"/>
      <c r="G828" s="186"/>
      <c r="H828" s="186"/>
      <c r="I828" s="186"/>
      <c r="J828" s="186"/>
      <c r="K828" s="186"/>
      <c r="L828" s="186"/>
      <c r="M828" s="67"/>
      <c r="N828" s="67"/>
      <c r="O828" s="67"/>
      <c r="P828" s="67"/>
      <c r="Q828" s="186"/>
      <c r="R828" s="186"/>
      <c r="S828" s="187"/>
      <c r="T828" s="187"/>
      <c r="U828" s="186"/>
      <c r="V828" s="186"/>
      <c r="W828" s="186"/>
    </row>
    <row r="829">
      <c r="A829" s="185"/>
      <c r="B829" s="67"/>
      <c r="C829" s="186"/>
      <c r="D829" s="186"/>
      <c r="E829" s="186"/>
      <c r="F829" s="186"/>
      <c r="G829" s="186"/>
      <c r="H829" s="186"/>
      <c r="I829" s="186"/>
      <c r="J829" s="186"/>
      <c r="K829" s="186"/>
      <c r="L829" s="186"/>
      <c r="M829" s="67"/>
      <c r="N829" s="67"/>
      <c r="O829" s="67"/>
      <c r="P829" s="67"/>
      <c r="Q829" s="186"/>
      <c r="R829" s="186"/>
      <c r="S829" s="187"/>
      <c r="T829" s="187"/>
      <c r="U829" s="186"/>
      <c r="V829" s="186"/>
      <c r="W829" s="186"/>
    </row>
    <row r="830">
      <c r="A830" s="185"/>
      <c r="B830" s="67"/>
      <c r="C830" s="186"/>
      <c r="D830" s="186"/>
      <c r="E830" s="186"/>
      <c r="F830" s="186"/>
      <c r="G830" s="186"/>
      <c r="H830" s="186"/>
      <c r="I830" s="186"/>
      <c r="J830" s="186"/>
      <c r="K830" s="186"/>
      <c r="L830" s="186"/>
      <c r="M830" s="67"/>
      <c r="N830" s="67"/>
      <c r="O830" s="67"/>
      <c r="P830" s="67"/>
      <c r="Q830" s="186"/>
      <c r="R830" s="186"/>
      <c r="S830" s="187"/>
      <c r="T830" s="187"/>
      <c r="U830" s="186"/>
      <c r="V830" s="186"/>
      <c r="W830" s="186"/>
    </row>
    <row r="831">
      <c r="A831" s="185"/>
      <c r="B831" s="67"/>
      <c r="C831" s="186"/>
      <c r="D831" s="186"/>
      <c r="E831" s="186"/>
      <c r="F831" s="186"/>
      <c r="G831" s="186"/>
      <c r="H831" s="186"/>
      <c r="I831" s="186"/>
      <c r="J831" s="186"/>
      <c r="K831" s="186"/>
      <c r="L831" s="186"/>
      <c r="M831" s="67"/>
      <c r="N831" s="67"/>
      <c r="O831" s="67"/>
      <c r="P831" s="67"/>
      <c r="Q831" s="186"/>
      <c r="R831" s="186"/>
      <c r="S831" s="187"/>
      <c r="T831" s="187"/>
      <c r="U831" s="186"/>
      <c r="V831" s="186"/>
      <c r="W831" s="186"/>
    </row>
    <row r="832">
      <c r="A832" s="185"/>
      <c r="B832" s="67"/>
      <c r="C832" s="186"/>
      <c r="D832" s="186"/>
      <c r="E832" s="186"/>
      <c r="F832" s="186"/>
      <c r="G832" s="186"/>
      <c r="H832" s="186"/>
      <c r="I832" s="186"/>
      <c r="J832" s="186"/>
      <c r="K832" s="186"/>
      <c r="L832" s="186"/>
      <c r="M832" s="67"/>
      <c r="N832" s="67"/>
      <c r="O832" s="67"/>
      <c r="P832" s="67"/>
      <c r="Q832" s="186"/>
      <c r="R832" s="186"/>
      <c r="S832" s="187"/>
      <c r="T832" s="187"/>
      <c r="U832" s="186"/>
      <c r="V832" s="186"/>
      <c r="W832" s="186"/>
    </row>
    <row r="833">
      <c r="A833" s="185"/>
      <c r="B833" s="67"/>
      <c r="C833" s="186"/>
      <c r="D833" s="186"/>
      <c r="E833" s="186"/>
      <c r="F833" s="186"/>
      <c r="G833" s="186"/>
      <c r="H833" s="186"/>
      <c r="I833" s="186"/>
      <c r="J833" s="186"/>
      <c r="K833" s="186"/>
      <c r="L833" s="186"/>
      <c r="M833" s="67"/>
      <c r="N833" s="67"/>
      <c r="O833" s="67"/>
      <c r="P833" s="67"/>
      <c r="Q833" s="186"/>
      <c r="R833" s="186"/>
      <c r="S833" s="187"/>
      <c r="T833" s="187"/>
      <c r="U833" s="186"/>
      <c r="V833" s="186"/>
      <c r="W833" s="186"/>
    </row>
    <row r="834">
      <c r="A834" s="185"/>
      <c r="B834" s="67"/>
      <c r="C834" s="186"/>
      <c r="D834" s="186"/>
      <c r="E834" s="186"/>
      <c r="F834" s="186"/>
      <c r="G834" s="186"/>
      <c r="H834" s="186"/>
      <c r="I834" s="186"/>
      <c r="J834" s="186"/>
      <c r="K834" s="186"/>
      <c r="L834" s="186"/>
      <c r="M834" s="67"/>
      <c r="N834" s="67"/>
      <c r="O834" s="67"/>
      <c r="P834" s="67"/>
      <c r="Q834" s="186"/>
      <c r="R834" s="186"/>
      <c r="S834" s="187"/>
      <c r="T834" s="187"/>
      <c r="U834" s="186"/>
      <c r="V834" s="186"/>
      <c r="W834" s="186"/>
    </row>
    <row r="835">
      <c r="A835" s="185"/>
      <c r="B835" s="67"/>
      <c r="C835" s="186"/>
      <c r="D835" s="186"/>
      <c r="E835" s="186"/>
      <c r="F835" s="186"/>
      <c r="G835" s="186"/>
      <c r="H835" s="186"/>
      <c r="I835" s="186"/>
      <c r="J835" s="186"/>
      <c r="K835" s="186"/>
      <c r="L835" s="186"/>
      <c r="M835" s="67"/>
      <c r="N835" s="67"/>
      <c r="O835" s="67"/>
      <c r="P835" s="67"/>
      <c r="Q835" s="186"/>
      <c r="R835" s="186"/>
      <c r="S835" s="187"/>
      <c r="T835" s="187"/>
      <c r="U835" s="186"/>
      <c r="V835" s="186"/>
      <c r="W835" s="186"/>
    </row>
    <row r="836">
      <c r="A836" s="185"/>
      <c r="B836" s="67"/>
      <c r="C836" s="186"/>
      <c r="D836" s="186"/>
      <c r="E836" s="186"/>
      <c r="F836" s="186"/>
      <c r="G836" s="186"/>
      <c r="H836" s="186"/>
      <c r="I836" s="186"/>
      <c r="J836" s="186"/>
      <c r="K836" s="186"/>
      <c r="L836" s="186"/>
      <c r="M836" s="67"/>
      <c r="N836" s="67"/>
      <c r="O836" s="67"/>
      <c r="P836" s="67"/>
      <c r="Q836" s="186"/>
      <c r="R836" s="186"/>
      <c r="S836" s="187"/>
      <c r="T836" s="187"/>
      <c r="U836" s="186"/>
      <c r="V836" s="186"/>
      <c r="W836" s="186"/>
    </row>
    <row r="837">
      <c r="A837" s="185"/>
      <c r="B837" s="67"/>
      <c r="C837" s="186"/>
      <c r="D837" s="186"/>
      <c r="E837" s="186"/>
      <c r="F837" s="186"/>
      <c r="G837" s="186"/>
      <c r="H837" s="186"/>
      <c r="I837" s="186"/>
      <c r="J837" s="186"/>
      <c r="K837" s="186"/>
      <c r="L837" s="186"/>
      <c r="M837" s="67"/>
      <c r="N837" s="67"/>
      <c r="O837" s="67"/>
      <c r="P837" s="67"/>
      <c r="Q837" s="186"/>
      <c r="R837" s="186"/>
      <c r="S837" s="187"/>
      <c r="T837" s="187"/>
      <c r="U837" s="186"/>
      <c r="V837" s="186"/>
      <c r="W837" s="186"/>
    </row>
    <row r="838">
      <c r="A838" s="185"/>
      <c r="B838" s="67"/>
      <c r="C838" s="186"/>
      <c r="D838" s="186"/>
      <c r="E838" s="186"/>
      <c r="F838" s="186"/>
      <c r="G838" s="186"/>
      <c r="H838" s="186"/>
      <c r="I838" s="186"/>
      <c r="J838" s="186"/>
      <c r="K838" s="186"/>
      <c r="L838" s="186"/>
      <c r="M838" s="67"/>
      <c r="N838" s="67"/>
      <c r="O838" s="67"/>
      <c r="P838" s="67"/>
      <c r="Q838" s="186"/>
      <c r="R838" s="186"/>
      <c r="S838" s="187"/>
      <c r="T838" s="187"/>
      <c r="U838" s="186"/>
      <c r="V838" s="186"/>
      <c r="W838" s="186"/>
    </row>
    <row r="839">
      <c r="A839" s="185"/>
      <c r="B839" s="67"/>
      <c r="C839" s="186"/>
      <c r="D839" s="186"/>
      <c r="E839" s="186"/>
      <c r="F839" s="186"/>
      <c r="G839" s="186"/>
      <c r="H839" s="186"/>
      <c r="I839" s="186"/>
      <c r="J839" s="186"/>
      <c r="K839" s="186"/>
      <c r="L839" s="186"/>
      <c r="M839" s="67"/>
      <c r="N839" s="67"/>
      <c r="O839" s="67"/>
      <c r="P839" s="67"/>
      <c r="Q839" s="186"/>
      <c r="R839" s="186"/>
      <c r="S839" s="187"/>
      <c r="T839" s="187"/>
      <c r="U839" s="186"/>
      <c r="V839" s="186"/>
      <c r="W839" s="186"/>
    </row>
    <row r="840">
      <c r="A840" s="185"/>
      <c r="B840" s="67"/>
      <c r="C840" s="186"/>
      <c r="D840" s="186"/>
      <c r="E840" s="186"/>
      <c r="F840" s="186"/>
      <c r="G840" s="186"/>
      <c r="H840" s="186"/>
      <c r="I840" s="186"/>
      <c r="J840" s="186"/>
      <c r="K840" s="186"/>
      <c r="L840" s="186"/>
      <c r="M840" s="67"/>
      <c r="N840" s="67"/>
      <c r="O840" s="67"/>
      <c r="P840" s="67"/>
      <c r="Q840" s="186"/>
      <c r="R840" s="186"/>
      <c r="S840" s="187"/>
      <c r="T840" s="187"/>
      <c r="U840" s="186"/>
      <c r="V840" s="186"/>
      <c r="W840" s="186"/>
    </row>
    <row r="841">
      <c r="A841" s="185"/>
      <c r="B841" s="67"/>
      <c r="C841" s="186"/>
      <c r="D841" s="186"/>
      <c r="E841" s="186"/>
      <c r="F841" s="186"/>
      <c r="G841" s="186"/>
      <c r="H841" s="186"/>
      <c r="I841" s="186"/>
      <c r="J841" s="186"/>
      <c r="K841" s="186"/>
      <c r="L841" s="186"/>
      <c r="M841" s="67"/>
      <c r="N841" s="67"/>
      <c r="O841" s="67"/>
      <c r="P841" s="67"/>
      <c r="Q841" s="186"/>
      <c r="R841" s="186"/>
      <c r="S841" s="187"/>
      <c r="T841" s="187"/>
      <c r="U841" s="186"/>
      <c r="V841" s="186"/>
      <c r="W841" s="186"/>
    </row>
    <row r="842">
      <c r="A842" s="185"/>
      <c r="B842" s="67"/>
      <c r="C842" s="186"/>
      <c r="D842" s="186"/>
      <c r="E842" s="186"/>
      <c r="F842" s="186"/>
      <c r="G842" s="186"/>
      <c r="H842" s="186"/>
      <c r="I842" s="186"/>
      <c r="J842" s="186"/>
      <c r="K842" s="186"/>
      <c r="L842" s="186"/>
      <c r="M842" s="67"/>
      <c r="N842" s="67"/>
      <c r="O842" s="67"/>
      <c r="P842" s="67"/>
      <c r="Q842" s="186"/>
      <c r="R842" s="186"/>
      <c r="S842" s="187"/>
      <c r="T842" s="187"/>
      <c r="U842" s="186"/>
      <c r="V842" s="186"/>
      <c r="W842" s="186"/>
    </row>
    <row r="843">
      <c r="A843" s="185"/>
      <c r="B843" s="67"/>
      <c r="C843" s="186"/>
      <c r="D843" s="186"/>
      <c r="E843" s="186"/>
      <c r="F843" s="186"/>
      <c r="G843" s="186"/>
      <c r="H843" s="186"/>
      <c r="I843" s="186"/>
      <c r="J843" s="186"/>
      <c r="K843" s="186"/>
      <c r="L843" s="186"/>
      <c r="M843" s="67"/>
      <c r="N843" s="67"/>
      <c r="O843" s="67"/>
      <c r="P843" s="67"/>
      <c r="Q843" s="186"/>
      <c r="R843" s="186"/>
      <c r="S843" s="187"/>
      <c r="T843" s="187"/>
      <c r="U843" s="186"/>
      <c r="V843" s="186"/>
      <c r="W843" s="186"/>
    </row>
    <row r="844">
      <c r="A844" s="185"/>
      <c r="B844" s="67"/>
      <c r="C844" s="186"/>
      <c r="D844" s="186"/>
      <c r="E844" s="186"/>
      <c r="F844" s="186"/>
      <c r="G844" s="186"/>
      <c r="H844" s="186"/>
      <c r="I844" s="186"/>
      <c r="J844" s="186"/>
      <c r="K844" s="186"/>
      <c r="L844" s="186"/>
      <c r="M844" s="67"/>
      <c r="N844" s="67"/>
      <c r="O844" s="67"/>
      <c r="P844" s="67"/>
      <c r="Q844" s="186"/>
      <c r="R844" s="186"/>
      <c r="S844" s="187"/>
      <c r="T844" s="187"/>
      <c r="U844" s="186"/>
      <c r="V844" s="186"/>
      <c r="W844" s="186"/>
    </row>
    <row r="845">
      <c r="A845" s="185"/>
      <c r="B845" s="67"/>
      <c r="C845" s="186"/>
      <c r="D845" s="186"/>
      <c r="E845" s="186"/>
      <c r="F845" s="186"/>
      <c r="G845" s="186"/>
      <c r="H845" s="186"/>
      <c r="I845" s="186"/>
      <c r="J845" s="186"/>
      <c r="K845" s="186"/>
      <c r="L845" s="186"/>
      <c r="M845" s="67"/>
      <c r="N845" s="67"/>
      <c r="O845" s="67"/>
      <c r="P845" s="67"/>
      <c r="Q845" s="186"/>
      <c r="R845" s="186"/>
      <c r="S845" s="187"/>
      <c r="T845" s="187"/>
      <c r="U845" s="186"/>
      <c r="V845" s="186"/>
      <c r="W845" s="186"/>
    </row>
    <row r="846">
      <c r="A846" s="185"/>
      <c r="B846" s="67"/>
      <c r="C846" s="186"/>
      <c r="D846" s="186"/>
      <c r="E846" s="186"/>
      <c r="F846" s="186"/>
      <c r="G846" s="186"/>
      <c r="H846" s="186"/>
      <c r="I846" s="186"/>
      <c r="J846" s="186"/>
      <c r="K846" s="186"/>
      <c r="L846" s="186"/>
      <c r="M846" s="67"/>
      <c r="N846" s="67"/>
      <c r="O846" s="67"/>
      <c r="P846" s="67"/>
      <c r="Q846" s="186"/>
      <c r="R846" s="186"/>
      <c r="S846" s="187"/>
      <c r="T846" s="187"/>
      <c r="U846" s="186"/>
      <c r="V846" s="186"/>
      <c r="W846" s="186"/>
    </row>
    <row r="847">
      <c r="A847" s="185"/>
      <c r="B847" s="67"/>
      <c r="C847" s="186"/>
      <c r="D847" s="186"/>
      <c r="E847" s="186"/>
      <c r="F847" s="186"/>
      <c r="G847" s="186"/>
      <c r="H847" s="186"/>
      <c r="I847" s="186"/>
      <c r="J847" s="186"/>
      <c r="K847" s="186"/>
      <c r="L847" s="186"/>
      <c r="M847" s="67"/>
      <c r="N847" s="67"/>
      <c r="O847" s="67"/>
      <c r="P847" s="67"/>
      <c r="Q847" s="186"/>
      <c r="R847" s="186"/>
      <c r="S847" s="187"/>
      <c r="T847" s="187"/>
      <c r="U847" s="186"/>
      <c r="V847" s="186"/>
      <c r="W847" s="186"/>
    </row>
    <row r="848">
      <c r="A848" s="185"/>
      <c r="B848" s="67"/>
      <c r="C848" s="186"/>
      <c r="D848" s="186"/>
      <c r="E848" s="186"/>
      <c r="F848" s="186"/>
      <c r="G848" s="186"/>
      <c r="H848" s="186"/>
      <c r="I848" s="186"/>
      <c r="J848" s="186"/>
      <c r="K848" s="186"/>
      <c r="L848" s="186"/>
      <c r="M848" s="67"/>
      <c r="N848" s="67"/>
      <c r="O848" s="67"/>
      <c r="P848" s="67"/>
      <c r="Q848" s="186"/>
      <c r="R848" s="186"/>
      <c r="S848" s="187"/>
      <c r="T848" s="187"/>
      <c r="U848" s="186"/>
      <c r="V848" s="186"/>
      <c r="W848" s="186"/>
    </row>
    <row r="849">
      <c r="A849" s="185"/>
      <c r="B849" s="67"/>
      <c r="C849" s="186"/>
      <c r="D849" s="186"/>
      <c r="E849" s="186"/>
      <c r="F849" s="186"/>
      <c r="G849" s="186"/>
      <c r="H849" s="186"/>
      <c r="I849" s="186"/>
      <c r="J849" s="186"/>
      <c r="K849" s="186"/>
      <c r="L849" s="186"/>
      <c r="M849" s="67"/>
      <c r="N849" s="67"/>
      <c r="O849" s="67"/>
      <c r="P849" s="67"/>
      <c r="Q849" s="186"/>
      <c r="R849" s="186"/>
      <c r="S849" s="187"/>
      <c r="T849" s="187"/>
      <c r="U849" s="186"/>
      <c r="V849" s="186"/>
      <c r="W849" s="186"/>
    </row>
    <row r="850">
      <c r="A850" s="185"/>
      <c r="B850" s="67"/>
      <c r="C850" s="186"/>
      <c r="D850" s="186"/>
      <c r="E850" s="186"/>
      <c r="F850" s="186"/>
      <c r="G850" s="186"/>
      <c r="H850" s="186"/>
      <c r="I850" s="186"/>
      <c r="J850" s="186"/>
      <c r="K850" s="186"/>
      <c r="L850" s="186"/>
      <c r="M850" s="67"/>
      <c r="N850" s="67"/>
      <c r="O850" s="67"/>
      <c r="P850" s="67"/>
      <c r="Q850" s="186"/>
      <c r="R850" s="186"/>
      <c r="S850" s="187"/>
      <c r="T850" s="187"/>
      <c r="U850" s="186"/>
      <c r="V850" s="186"/>
      <c r="W850" s="186"/>
    </row>
    <row r="851">
      <c r="A851" s="185"/>
      <c r="B851" s="67"/>
      <c r="C851" s="186"/>
      <c r="D851" s="186"/>
      <c r="E851" s="186"/>
      <c r="F851" s="186"/>
      <c r="G851" s="186"/>
      <c r="H851" s="186"/>
      <c r="I851" s="186"/>
      <c r="J851" s="186"/>
      <c r="K851" s="186"/>
      <c r="L851" s="186"/>
      <c r="M851" s="67"/>
      <c r="N851" s="67"/>
      <c r="O851" s="67"/>
      <c r="P851" s="67"/>
      <c r="Q851" s="186"/>
      <c r="R851" s="186"/>
      <c r="S851" s="187"/>
      <c r="T851" s="187"/>
      <c r="U851" s="186"/>
      <c r="V851" s="186"/>
      <c r="W851" s="186"/>
    </row>
    <row r="852">
      <c r="A852" s="185"/>
      <c r="B852" s="67"/>
      <c r="C852" s="186"/>
      <c r="D852" s="186"/>
      <c r="E852" s="186"/>
      <c r="F852" s="186"/>
      <c r="G852" s="186"/>
      <c r="H852" s="186"/>
      <c r="I852" s="186"/>
      <c r="J852" s="186"/>
      <c r="K852" s="186"/>
      <c r="L852" s="186"/>
      <c r="M852" s="67"/>
      <c r="N852" s="67"/>
      <c r="O852" s="67"/>
      <c r="P852" s="67"/>
      <c r="Q852" s="186"/>
      <c r="R852" s="186"/>
      <c r="S852" s="187"/>
      <c r="T852" s="187"/>
      <c r="U852" s="186"/>
      <c r="V852" s="186"/>
      <c r="W852" s="186"/>
    </row>
    <row r="853">
      <c r="A853" s="185"/>
      <c r="B853" s="67"/>
      <c r="C853" s="186"/>
      <c r="D853" s="186"/>
      <c r="E853" s="186"/>
      <c r="F853" s="186"/>
      <c r="G853" s="186"/>
      <c r="H853" s="186"/>
      <c r="I853" s="186"/>
      <c r="J853" s="186"/>
      <c r="K853" s="186"/>
      <c r="L853" s="186"/>
      <c r="M853" s="67"/>
      <c r="N853" s="67"/>
      <c r="O853" s="67"/>
      <c r="P853" s="67"/>
      <c r="Q853" s="186"/>
      <c r="R853" s="186"/>
      <c r="S853" s="187"/>
      <c r="T853" s="187"/>
      <c r="U853" s="186"/>
      <c r="V853" s="186"/>
      <c r="W853" s="186"/>
    </row>
    <row r="854">
      <c r="A854" s="185"/>
      <c r="B854" s="67"/>
      <c r="C854" s="186"/>
      <c r="D854" s="186"/>
      <c r="E854" s="186"/>
      <c r="F854" s="186"/>
      <c r="G854" s="186"/>
      <c r="H854" s="186"/>
      <c r="I854" s="186"/>
      <c r="J854" s="186"/>
      <c r="K854" s="186"/>
      <c r="L854" s="186"/>
      <c r="M854" s="67"/>
      <c r="N854" s="67"/>
      <c r="O854" s="67"/>
      <c r="P854" s="67"/>
      <c r="Q854" s="186"/>
      <c r="R854" s="186"/>
      <c r="S854" s="187"/>
      <c r="T854" s="187"/>
      <c r="U854" s="186"/>
      <c r="V854" s="186"/>
      <c r="W854" s="186"/>
    </row>
    <row r="855">
      <c r="A855" s="185"/>
      <c r="B855" s="67"/>
      <c r="C855" s="186"/>
      <c r="D855" s="186"/>
      <c r="E855" s="186"/>
      <c r="F855" s="186"/>
      <c r="G855" s="186"/>
      <c r="H855" s="186"/>
      <c r="I855" s="186"/>
      <c r="J855" s="186"/>
      <c r="K855" s="186"/>
      <c r="L855" s="186"/>
      <c r="M855" s="67"/>
      <c r="N855" s="67"/>
      <c r="O855" s="67"/>
      <c r="P855" s="67"/>
      <c r="Q855" s="186"/>
      <c r="R855" s="186"/>
      <c r="S855" s="187"/>
      <c r="T855" s="187"/>
      <c r="U855" s="186"/>
      <c r="V855" s="186"/>
      <c r="W855" s="186"/>
    </row>
    <row r="856">
      <c r="A856" s="185"/>
      <c r="B856" s="67"/>
      <c r="C856" s="186"/>
      <c r="D856" s="186"/>
      <c r="E856" s="186"/>
      <c r="F856" s="186"/>
      <c r="G856" s="186"/>
      <c r="H856" s="186"/>
      <c r="I856" s="186"/>
      <c r="J856" s="186"/>
      <c r="K856" s="186"/>
      <c r="L856" s="186"/>
      <c r="M856" s="67"/>
      <c r="N856" s="67"/>
      <c r="O856" s="67"/>
      <c r="P856" s="67"/>
      <c r="Q856" s="186"/>
      <c r="R856" s="186"/>
      <c r="S856" s="187"/>
      <c r="T856" s="187"/>
      <c r="U856" s="186"/>
      <c r="V856" s="186"/>
      <c r="W856" s="186"/>
    </row>
    <row r="857">
      <c r="A857" s="185"/>
      <c r="B857" s="67"/>
      <c r="C857" s="186"/>
      <c r="D857" s="186"/>
      <c r="E857" s="186"/>
      <c r="F857" s="186"/>
      <c r="G857" s="186"/>
      <c r="H857" s="186"/>
      <c r="I857" s="186"/>
      <c r="J857" s="186"/>
      <c r="K857" s="186"/>
      <c r="L857" s="186"/>
      <c r="M857" s="67"/>
      <c r="N857" s="67"/>
      <c r="O857" s="67"/>
      <c r="P857" s="67"/>
      <c r="Q857" s="186"/>
      <c r="R857" s="186"/>
      <c r="S857" s="187"/>
      <c r="T857" s="187"/>
      <c r="U857" s="186"/>
      <c r="V857" s="186"/>
      <c r="W857" s="186"/>
    </row>
    <row r="858">
      <c r="A858" s="185"/>
      <c r="B858" s="67"/>
      <c r="C858" s="186"/>
      <c r="D858" s="186"/>
      <c r="E858" s="186"/>
      <c r="F858" s="186"/>
      <c r="G858" s="186"/>
      <c r="H858" s="186"/>
      <c r="I858" s="186"/>
      <c r="J858" s="186"/>
      <c r="K858" s="186"/>
      <c r="L858" s="186"/>
      <c r="M858" s="67"/>
      <c r="N858" s="67"/>
      <c r="O858" s="67"/>
      <c r="P858" s="67"/>
      <c r="Q858" s="186"/>
      <c r="R858" s="186"/>
      <c r="S858" s="187"/>
      <c r="T858" s="187"/>
      <c r="U858" s="186"/>
      <c r="V858" s="186"/>
      <c r="W858" s="186"/>
    </row>
    <row r="859">
      <c r="A859" s="185"/>
      <c r="B859" s="67"/>
      <c r="C859" s="186"/>
      <c r="D859" s="186"/>
      <c r="E859" s="186"/>
      <c r="F859" s="186"/>
      <c r="G859" s="186"/>
      <c r="H859" s="186"/>
      <c r="I859" s="186"/>
      <c r="J859" s="186"/>
      <c r="K859" s="186"/>
      <c r="L859" s="186"/>
      <c r="M859" s="67"/>
      <c r="N859" s="67"/>
      <c r="O859" s="67"/>
      <c r="P859" s="67"/>
      <c r="Q859" s="186"/>
      <c r="R859" s="186"/>
      <c r="S859" s="187"/>
      <c r="T859" s="187"/>
      <c r="U859" s="186"/>
      <c r="V859" s="186"/>
      <c r="W859" s="186"/>
    </row>
    <row r="860">
      <c r="A860" s="185"/>
      <c r="B860" s="67"/>
      <c r="C860" s="186"/>
      <c r="D860" s="186"/>
      <c r="E860" s="186"/>
      <c r="F860" s="186"/>
      <c r="G860" s="186"/>
      <c r="H860" s="186"/>
      <c r="I860" s="186"/>
      <c r="J860" s="186"/>
      <c r="K860" s="186"/>
      <c r="L860" s="186"/>
      <c r="M860" s="67"/>
      <c r="N860" s="67"/>
      <c r="O860" s="67"/>
      <c r="P860" s="67"/>
      <c r="Q860" s="186"/>
      <c r="R860" s="186"/>
      <c r="S860" s="187"/>
      <c r="T860" s="187"/>
      <c r="U860" s="186"/>
      <c r="V860" s="186"/>
      <c r="W860" s="186"/>
    </row>
    <row r="861">
      <c r="A861" s="185"/>
      <c r="B861" s="67"/>
      <c r="C861" s="186"/>
      <c r="D861" s="186"/>
      <c r="E861" s="186"/>
      <c r="F861" s="186"/>
      <c r="G861" s="186"/>
      <c r="H861" s="186"/>
      <c r="I861" s="186"/>
      <c r="J861" s="186"/>
      <c r="K861" s="186"/>
      <c r="L861" s="186"/>
      <c r="M861" s="67"/>
      <c r="N861" s="67"/>
      <c r="O861" s="67"/>
      <c r="P861" s="67"/>
      <c r="Q861" s="186"/>
      <c r="R861" s="186"/>
      <c r="S861" s="187"/>
      <c r="T861" s="187"/>
      <c r="U861" s="186"/>
      <c r="V861" s="186"/>
      <c r="W861" s="186"/>
    </row>
    <row r="862">
      <c r="A862" s="185"/>
      <c r="B862" s="67"/>
      <c r="C862" s="186"/>
      <c r="D862" s="186"/>
      <c r="E862" s="186"/>
      <c r="F862" s="186"/>
      <c r="G862" s="186"/>
      <c r="H862" s="186"/>
      <c r="I862" s="186"/>
      <c r="J862" s="186"/>
      <c r="K862" s="186"/>
      <c r="L862" s="186"/>
      <c r="M862" s="67"/>
      <c r="N862" s="67"/>
      <c r="O862" s="67"/>
      <c r="P862" s="67"/>
      <c r="Q862" s="186"/>
      <c r="R862" s="186"/>
      <c r="S862" s="187"/>
      <c r="T862" s="187"/>
      <c r="U862" s="186"/>
      <c r="V862" s="186"/>
      <c r="W862" s="186"/>
    </row>
    <row r="863">
      <c r="A863" s="185"/>
      <c r="B863" s="67"/>
      <c r="C863" s="186"/>
      <c r="D863" s="186"/>
      <c r="E863" s="186"/>
      <c r="F863" s="186"/>
      <c r="G863" s="186"/>
      <c r="H863" s="186"/>
      <c r="I863" s="186"/>
      <c r="J863" s="186"/>
      <c r="K863" s="186"/>
      <c r="L863" s="186"/>
      <c r="M863" s="67"/>
      <c r="N863" s="67"/>
      <c r="O863" s="67"/>
      <c r="P863" s="67"/>
      <c r="Q863" s="186"/>
      <c r="R863" s="186"/>
      <c r="S863" s="187"/>
      <c r="T863" s="187"/>
      <c r="U863" s="186"/>
      <c r="V863" s="186"/>
      <c r="W863" s="186"/>
    </row>
    <row r="864">
      <c r="A864" s="185"/>
      <c r="B864" s="67"/>
      <c r="C864" s="186"/>
      <c r="D864" s="186"/>
      <c r="E864" s="186"/>
      <c r="F864" s="186"/>
      <c r="G864" s="186"/>
      <c r="H864" s="186"/>
      <c r="I864" s="186"/>
      <c r="J864" s="186"/>
      <c r="K864" s="186"/>
      <c r="L864" s="186"/>
      <c r="M864" s="67"/>
      <c r="N864" s="67"/>
      <c r="O864" s="67"/>
      <c r="P864" s="67"/>
      <c r="Q864" s="186"/>
      <c r="R864" s="186"/>
      <c r="S864" s="187"/>
      <c r="T864" s="187"/>
      <c r="U864" s="186"/>
      <c r="V864" s="186"/>
      <c r="W864" s="186"/>
    </row>
    <row r="865">
      <c r="A865" s="185"/>
      <c r="B865" s="67"/>
      <c r="C865" s="186"/>
      <c r="D865" s="186"/>
      <c r="E865" s="186"/>
      <c r="F865" s="186"/>
      <c r="G865" s="186"/>
      <c r="H865" s="186"/>
      <c r="I865" s="186"/>
      <c r="J865" s="186"/>
      <c r="K865" s="186"/>
      <c r="L865" s="186"/>
      <c r="M865" s="67"/>
      <c r="N865" s="67"/>
      <c r="O865" s="67"/>
      <c r="P865" s="67"/>
      <c r="Q865" s="186"/>
      <c r="R865" s="186"/>
      <c r="S865" s="187"/>
      <c r="T865" s="187"/>
      <c r="U865" s="186"/>
      <c r="V865" s="186"/>
      <c r="W865" s="186"/>
    </row>
    <row r="866">
      <c r="A866" s="185"/>
      <c r="B866" s="67"/>
      <c r="C866" s="186"/>
      <c r="D866" s="186"/>
      <c r="E866" s="186"/>
      <c r="F866" s="186"/>
      <c r="G866" s="186"/>
      <c r="H866" s="186"/>
      <c r="I866" s="186"/>
      <c r="J866" s="186"/>
      <c r="K866" s="186"/>
      <c r="L866" s="186"/>
      <c r="M866" s="67"/>
      <c r="N866" s="67"/>
      <c r="O866" s="67"/>
      <c r="P866" s="67"/>
      <c r="Q866" s="186"/>
      <c r="R866" s="186"/>
      <c r="S866" s="187"/>
      <c r="T866" s="187"/>
      <c r="U866" s="186"/>
      <c r="V866" s="186"/>
      <c r="W866" s="186"/>
    </row>
    <row r="867">
      <c r="A867" s="185"/>
      <c r="B867" s="67"/>
      <c r="C867" s="186"/>
      <c r="D867" s="186"/>
      <c r="E867" s="186"/>
      <c r="F867" s="186"/>
      <c r="G867" s="186"/>
      <c r="H867" s="186"/>
      <c r="I867" s="186"/>
      <c r="J867" s="186"/>
      <c r="K867" s="186"/>
      <c r="L867" s="186"/>
      <c r="M867" s="67"/>
      <c r="N867" s="67"/>
      <c r="O867" s="67"/>
      <c r="P867" s="67"/>
      <c r="Q867" s="186"/>
      <c r="R867" s="186"/>
      <c r="S867" s="187"/>
      <c r="T867" s="187"/>
      <c r="U867" s="186"/>
      <c r="V867" s="186"/>
      <c r="W867" s="186"/>
    </row>
    <row r="868">
      <c r="A868" s="185"/>
      <c r="B868" s="67"/>
      <c r="C868" s="186"/>
      <c r="D868" s="186"/>
      <c r="E868" s="186"/>
      <c r="F868" s="186"/>
      <c r="G868" s="186"/>
      <c r="H868" s="186"/>
      <c r="I868" s="186"/>
      <c r="J868" s="186"/>
      <c r="K868" s="186"/>
      <c r="L868" s="186"/>
      <c r="M868" s="67"/>
      <c r="N868" s="67"/>
      <c r="O868" s="67"/>
      <c r="P868" s="67"/>
      <c r="Q868" s="186"/>
      <c r="R868" s="186"/>
      <c r="S868" s="187"/>
      <c r="T868" s="187"/>
      <c r="U868" s="186"/>
      <c r="V868" s="186"/>
      <c r="W868" s="186"/>
    </row>
    <row r="869">
      <c r="A869" s="185"/>
      <c r="B869" s="67"/>
      <c r="C869" s="186"/>
      <c r="D869" s="186"/>
      <c r="E869" s="186"/>
      <c r="F869" s="186"/>
      <c r="G869" s="186"/>
      <c r="H869" s="186"/>
      <c r="I869" s="186"/>
      <c r="J869" s="186"/>
      <c r="K869" s="186"/>
      <c r="L869" s="186"/>
      <c r="M869" s="67"/>
      <c r="N869" s="67"/>
      <c r="O869" s="67"/>
      <c r="P869" s="67"/>
      <c r="Q869" s="186"/>
      <c r="R869" s="186"/>
      <c r="S869" s="187"/>
      <c r="T869" s="187"/>
      <c r="U869" s="186"/>
      <c r="V869" s="186"/>
      <c r="W869" s="186"/>
    </row>
    <row r="870">
      <c r="A870" s="185"/>
      <c r="B870" s="67"/>
      <c r="C870" s="186"/>
      <c r="D870" s="186"/>
      <c r="E870" s="186"/>
      <c r="F870" s="186"/>
      <c r="G870" s="186"/>
      <c r="H870" s="186"/>
      <c r="I870" s="186"/>
      <c r="J870" s="186"/>
      <c r="K870" s="186"/>
      <c r="L870" s="186"/>
      <c r="M870" s="67"/>
      <c r="N870" s="67"/>
      <c r="O870" s="67"/>
      <c r="P870" s="67"/>
      <c r="Q870" s="186"/>
      <c r="R870" s="186"/>
      <c r="S870" s="187"/>
      <c r="T870" s="187"/>
      <c r="U870" s="186"/>
      <c r="V870" s="186"/>
      <c r="W870" s="186"/>
    </row>
    <row r="871">
      <c r="A871" s="185"/>
      <c r="B871" s="67"/>
      <c r="C871" s="186"/>
      <c r="D871" s="186"/>
      <c r="E871" s="186"/>
      <c r="F871" s="186"/>
      <c r="G871" s="186"/>
      <c r="H871" s="186"/>
      <c r="I871" s="186"/>
      <c r="J871" s="186"/>
      <c r="K871" s="186"/>
      <c r="L871" s="186"/>
      <c r="M871" s="67"/>
      <c r="N871" s="67"/>
      <c r="O871" s="67"/>
      <c r="P871" s="67"/>
      <c r="Q871" s="186"/>
      <c r="R871" s="186"/>
      <c r="S871" s="187"/>
      <c r="T871" s="187"/>
      <c r="U871" s="186"/>
      <c r="V871" s="186"/>
      <c r="W871" s="186"/>
    </row>
    <row r="872">
      <c r="A872" s="185"/>
      <c r="B872" s="67"/>
      <c r="C872" s="186"/>
      <c r="D872" s="186"/>
      <c r="E872" s="186"/>
      <c r="F872" s="186"/>
      <c r="G872" s="186"/>
      <c r="H872" s="186"/>
      <c r="I872" s="186"/>
      <c r="J872" s="186"/>
      <c r="K872" s="186"/>
      <c r="L872" s="186"/>
      <c r="M872" s="67"/>
      <c r="N872" s="67"/>
      <c r="O872" s="67"/>
      <c r="P872" s="67"/>
      <c r="Q872" s="186"/>
      <c r="R872" s="186"/>
      <c r="S872" s="187"/>
      <c r="T872" s="187"/>
      <c r="U872" s="186"/>
      <c r="V872" s="186"/>
      <c r="W872" s="186"/>
    </row>
    <row r="873">
      <c r="A873" s="185"/>
      <c r="B873" s="67"/>
      <c r="C873" s="186"/>
      <c r="D873" s="186"/>
      <c r="E873" s="186"/>
      <c r="F873" s="186"/>
      <c r="G873" s="186"/>
      <c r="H873" s="186"/>
      <c r="I873" s="186"/>
      <c r="J873" s="186"/>
      <c r="K873" s="186"/>
      <c r="L873" s="186"/>
      <c r="M873" s="67"/>
      <c r="N873" s="67"/>
      <c r="O873" s="67"/>
      <c r="P873" s="67"/>
      <c r="Q873" s="186"/>
      <c r="R873" s="186"/>
      <c r="S873" s="187"/>
      <c r="T873" s="187"/>
      <c r="U873" s="186"/>
      <c r="V873" s="186"/>
      <c r="W873" s="186"/>
    </row>
    <row r="874">
      <c r="A874" s="185"/>
      <c r="B874" s="67"/>
      <c r="C874" s="186"/>
      <c r="D874" s="186"/>
      <c r="E874" s="186"/>
      <c r="F874" s="186"/>
      <c r="G874" s="186"/>
      <c r="H874" s="186"/>
      <c r="I874" s="186"/>
      <c r="J874" s="186"/>
      <c r="K874" s="186"/>
      <c r="L874" s="186"/>
      <c r="M874" s="67"/>
      <c r="N874" s="67"/>
      <c r="O874" s="67"/>
      <c r="P874" s="67"/>
      <c r="Q874" s="186"/>
      <c r="R874" s="186"/>
      <c r="S874" s="187"/>
      <c r="T874" s="187"/>
      <c r="U874" s="186"/>
      <c r="V874" s="186"/>
      <c r="W874" s="186"/>
    </row>
    <row r="875">
      <c r="A875" s="185"/>
      <c r="B875" s="67"/>
      <c r="C875" s="186"/>
      <c r="D875" s="186"/>
      <c r="E875" s="186"/>
      <c r="F875" s="186"/>
      <c r="G875" s="186"/>
      <c r="H875" s="186"/>
      <c r="I875" s="186"/>
      <c r="J875" s="186"/>
      <c r="K875" s="186"/>
      <c r="L875" s="186"/>
      <c r="M875" s="67"/>
      <c r="N875" s="67"/>
      <c r="O875" s="67"/>
      <c r="P875" s="67"/>
      <c r="Q875" s="186"/>
      <c r="R875" s="186"/>
      <c r="S875" s="187"/>
      <c r="T875" s="187"/>
      <c r="U875" s="186"/>
      <c r="V875" s="186"/>
      <c r="W875" s="186"/>
    </row>
    <row r="876">
      <c r="A876" s="185"/>
      <c r="B876" s="67"/>
      <c r="C876" s="186"/>
      <c r="D876" s="186"/>
      <c r="E876" s="186"/>
      <c r="F876" s="186"/>
      <c r="G876" s="186"/>
      <c r="H876" s="186"/>
      <c r="I876" s="186"/>
      <c r="J876" s="186"/>
      <c r="K876" s="186"/>
      <c r="L876" s="186"/>
      <c r="M876" s="67"/>
      <c r="N876" s="67"/>
      <c r="O876" s="67"/>
      <c r="P876" s="67"/>
      <c r="Q876" s="186"/>
      <c r="R876" s="186"/>
      <c r="S876" s="187"/>
      <c r="T876" s="187"/>
      <c r="U876" s="186"/>
      <c r="V876" s="186"/>
      <c r="W876" s="186"/>
    </row>
    <row r="877">
      <c r="A877" s="185"/>
      <c r="B877" s="67"/>
      <c r="C877" s="186"/>
      <c r="D877" s="186"/>
      <c r="E877" s="186"/>
      <c r="F877" s="186"/>
      <c r="G877" s="186"/>
      <c r="H877" s="186"/>
      <c r="I877" s="186"/>
      <c r="J877" s="186"/>
      <c r="K877" s="186"/>
      <c r="L877" s="186"/>
      <c r="M877" s="67"/>
      <c r="N877" s="67"/>
      <c r="O877" s="67"/>
      <c r="P877" s="67"/>
      <c r="Q877" s="186"/>
      <c r="R877" s="186"/>
      <c r="S877" s="187"/>
      <c r="T877" s="187"/>
      <c r="U877" s="186"/>
      <c r="V877" s="186"/>
      <c r="W877" s="186"/>
    </row>
    <row r="878">
      <c r="A878" s="185"/>
      <c r="B878" s="67"/>
      <c r="C878" s="186"/>
      <c r="D878" s="186"/>
      <c r="E878" s="186"/>
      <c r="F878" s="186"/>
      <c r="G878" s="186"/>
      <c r="H878" s="186"/>
      <c r="I878" s="186"/>
      <c r="J878" s="186"/>
      <c r="K878" s="186"/>
      <c r="L878" s="186"/>
      <c r="M878" s="67"/>
      <c r="N878" s="67"/>
      <c r="O878" s="67"/>
      <c r="P878" s="67"/>
      <c r="Q878" s="186"/>
      <c r="R878" s="186"/>
      <c r="S878" s="187"/>
      <c r="T878" s="187"/>
      <c r="U878" s="186"/>
      <c r="V878" s="186"/>
      <c r="W878" s="186"/>
    </row>
    <row r="879">
      <c r="A879" s="185"/>
      <c r="B879" s="67"/>
      <c r="C879" s="186"/>
      <c r="D879" s="186"/>
      <c r="E879" s="186"/>
      <c r="F879" s="186"/>
      <c r="G879" s="186"/>
      <c r="H879" s="186"/>
      <c r="I879" s="186"/>
      <c r="J879" s="186"/>
      <c r="K879" s="186"/>
      <c r="L879" s="186"/>
      <c r="M879" s="67"/>
      <c r="N879" s="67"/>
      <c r="O879" s="67"/>
      <c r="P879" s="67"/>
      <c r="Q879" s="186"/>
      <c r="R879" s="186"/>
      <c r="S879" s="187"/>
      <c r="T879" s="187"/>
      <c r="U879" s="186"/>
      <c r="V879" s="186"/>
      <c r="W879" s="186"/>
    </row>
    <row r="880">
      <c r="A880" s="185"/>
      <c r="B880" s="67"/>
      <c r="C880" s="186"/>
      <c r="D880" s="186"/>
      <c r="E880" s="186"/>
      <c r="F880" s="186"/>
      <c r="G880" s="186"/>
      <c r="H880" s="186"/>
      <c r="I880" s="186"/>
      <c r="J880" s="186"/>
      <c r="K880" s="186"/>
      <c r="L880" s="186"/>
      <c r="M880" s="67"/>
      <c r="N880" s="67"/>
      <c r="O880" s="67"/>
      <c r="P880" s="67"/>
      <c r="Q880" s="186"/>
      <c r="R880" s="186"/>
      <c r="S880" s="187"/>
      <c r="T880" s="187"/>
      <c r="U880" s="186"/>
      <c r="V880" s="186"/>
      <c r="W880" s="186"/>
    </row>
    <row r="881">
      <c r="A881" s="185"/>
      <c r="B881" s="67"/>
      <c r="C881" s="186"/>
      <c r="D881" s="186"/>
      <c r="E881" s="186"/>
      <c r="F881" s="186"/>
      <c r="G881" s="186"/>
      <c r="H881" s="186"/>
      <c r="I881" s="186"/>
      <c r="J881" s="186"/>
      <c r="K881" s="186"/>
      <c r="L881" s="186"/>
      <c r="M881" s="67"/>
      <c r="N881" s="67"/>
      <c r="O881" s="67"/>
      <c r="P881" s="67"/>
      <c r="Q881" s="186"/>
      <c r="R881" s="186"/>
      <c r="S881" s="187"/>
      <c r="T881" s="187"/>
      <c r="U881" s="186"/>
      <c r="V881" s="186"/>
      <c r="W881" s="186"/>
    </row>
    <row r="882">
      <c r="A882" s="185"/>
      <c r="B882" s="67"/>
      <c r="C882" s="186"/>
      <c r="D882" s="186"/>
      <c r="E882" s="186"/>
      <c r="F882" s="186"/>
      <c r="G882" s="186"/>
      <c r="H882" s="186"/>
      <c r="I882" s="186"/>
      <c r="J882" s="186"/>
      <c r="K882" s="186"/>
      <c r="L882" s="186"/>
      <c r="M882" s="67"/>
      <c r="N882" s="67"/>
      <c r="O882" s="67"/>
      <c r="P882" s="67"/>
      <c r="Q882" s="186"/>
      <c r="R882" s="186"/>
      <c r="S882" s="187"/>
      <c r="T882" s="187"/>
      <c r="U882" s="186"/>
      <c r="V882" s="186"/>
      <c r="W882" s="186"/>
    </row>
    <row r="883">
      <c r="A883" s="185"/>
      <c r="B883" s="67"/>
      <c r="C883" s="186"/>
      <c r="D883" s="186"/>
      <c r="E883" s="186"/>
      <c r="F883" s="186"/>
      <c r="G883" s="186"/>
      <c r="H883" s="186"/>
      <c r="I883" s="186"/>
      <c r="J883" s="186"/>
      <c r="K883" s="186"/>
      <c r="L883" s="186"/>
      <c r="M883" s="67"/>
      <c r="N883" s="67"/>
      <c r="O883" s="67"/>
      <c r="P883" s="67"/>
      <c r="Q883" s="186"/>
      <c r="R883" s="186"/>
      <c r="S883" s="187"/>
      <c r="T883" s="187"/>
      <c r="U883" s="186"/>
      <c r="V883" s="186"/>
      <c r="W883" s="186"/>
    </row>
    <row r="884">
      <c r="A884" s="185"/>
      <c r="B884" s="67"/>
      <c r="C884" s="186"/>
      <c r="D884" s="186"/>
      <c r="E884" s="186"/>
      <c r="F884" s="186"/>
      <c r="G884" s="186"/>
      <c r="H884" s="186"/>
      <c r="I884" s="186"/>
      <c r="J884" s="186"/>
      <c r="K884" s="186"/>
      <c r="L884" s="186"/>
      <c r="M884" s="67"/>
      <c r="N884" s="67"/>
      <c r="O884" s="67"/>
      <c r="P884" s="67"/>
      <c r="Q884" s="186"/>
      <c r="R884" s="186"/>
      <c r="S884" s="187"/>
      <c r="T884" s="187"/>
      <c r="U884" s="186"/>
      <c r="V884" s="186"/>
      <c r="W884" s="186"/>
    </row>
    <row r="885">
      <c r="A885" s="185"/>
      <c r="B885" s="67"/>
      <c r="C885" s="186"/>
      <c r="D885" s="186"/>
      <c r="E885" s="186"/>
      <c r="F885" s="186"/>
      <c r="G885" s="186"/>
      <c r="H885" s="186"/>
      <c r="I885" s="186"/>
      <c r="J885" s="186"/>
      <c r="K885" s="186"/>
      <c r="L885" s="186"/>
      <c r="M885" s="67"/>
      <c r="N885" s="67"/>
      <c r="O885" s="67"/>
      <c r="P885" s="67"/>
      <c r="Q885" s="186"/>
      <c r="R885" s="186"/>
      <c r="S885" s="187"/>
      <c r="T885" s="187"/>
      <c r="U885" s="186"/>
      <c r="V885" s="186"/>
      <c r="W885" s="186"/>
    </row>
    <row r="886">
      <c r="A886" s="185"/>
      <c r="B886" s="67"/>
      <c r="C886" s="186"/>
      <c r="D886" s="186"/>
      <c r="E886" s="186"/>
      <c r="F886" s="186"/>
      <c r="G886" s="186"/>
      <c r="H886" s="186"/>
      <c r="I886" s="186"/>
      <c r="J886" s="186"/>
      <c r="K886" s="186"/>
      <c r="L886" s="186"/>
      <c r="M886" s="67"/>
      <c r="N886" s="67"/>
      <c r="O886" s="67"/>
      <c r="P886" s="67"/>
      <c r="Q886" s="186"/>
      <c r="R886" s="186"/>
      <c r="S886" s="187"/>
      <c r="T886" s="187"/>
      <c r="U886" s="186"/>
      <c r="V886" s="186"/>
      <c r="W886" s="186"/>
    </row>
    <row r="887">
      <c r="A887" s="185"/>
      <c r="B887" s="67"/>
      <c r="C887" s="186"/>
      <c r="D887" s="186"/>
      <c r="E887" s="186"/>
      <c r="F887" s="186"/>
      <c r="G887" s="186"/>
      <c r="H887" s="186"/>
      <c r="I887" s="186"/>
      <c r="J887" s="186"/>
      <c r="K887" s="186"/>
      <c r="L887" s="186"/>
      <c r="M887" s="67"/>
      <c r="N887" s="67"/>
      <c r="O887" s="67"/>
      <c r="P887" s="67"/>
      <c r="Q887" s="186"/>
      <c r="R887" s="186"/>
      <c r="S887" s="187"/>
      <c r="T887" s="187"/>
      <c r="U887" s="186"/>
      <c r="V887" s="186"/>
      <c r="W887" s="186"/>
    </row>
    <row r="888">
      <c r="A888" s="185"/>
      <c r="B888" s="67"/>
      <c r="C888" s="186"/>
      <c r="D888" s="186"/>
      <c r="E888" s="186"/>
      <c r="F888" s="186"/>
      <c r="G888" s="186"/>
      <c r="H888" s="186"/>
      <c r="I888" s="186"/>
      <c r="J888" s="186"/>
      <c r="K888" s="186"/>
      <c r="L888" s="186"/>
      <c r="M888" s="67"/>
      <c r="N888" s="67"/>
      <c r="O888" s="67"/>
      <c r="P888" s="67"/>
      <c r="Q888" s="186"/>
      <c r="R888" s="186"/>
      <c r="S888" s="187"/>
      <c r="T888" s="187"/>
      <c r="U888" s="186"/>
      <c r="V888" s="186"/>
      <c r="W888" s="186"/>
    </row>
    <row r="889">
      <c r="A889" s="185"/>
      <c r="B889" s="67"/>
      <c r="C889" s="186"/>
      <c r="D889" s="186"/>
      <c r="E889" s="186"/>
      <c r="F889" s="186"/>
      <c r="G889" s="186"/>
      <c r="H889" s="186"/>
      <c r="I889" s="186"/>
      <c r="J889" s="186"/>
      <c r="K889" s="186"/>
      <c r="L889" s="186"/>
      <c r="M889" s="67"/>
      <c r="N889" s="67"/>
      <c r="O889" s="67"/>
      <c r="P889" s="67"/>
      <c r="Q889" s="186"/>
      <c r="R889" s="186"/>
      <c r="S889" s="187"/>
      <c r="T889" s="187"/>
      <c r="U889" s="186"/>
      <c r="V889" s="186"/>
      <c r="W889" s="186"/>
    </row>
    <row r="890">
      <c r="A890" s="185"/>
      <c r="B890" s="67"/>
      <c r="C890" s="186"/>
      <c r="D890" s="186"/>
      <c r="E890" s="186"/>
      <c r="F890" s="186"/>
      <c r="G890" s="186"/>
      <c r="H890" s="186"/>
      <c r="I890" s="186"/>
      <c r="J890" s="186"/>
      <c r="K890" s="186"/>
      <c r="L890" s="186"/>
      <c r="M890" s="67"/>
      <c r="N890" s="67"/>
      <c r="O890" s="67"/>
      <c r="P890" s="67"/>
      <c r="Q890" s="186"/>
      <c r="R890" s="186"/>
      <c r="S890" s="187"/>
      <c r="T890" s="187"/>
      <c r="U890" s="186"/>
      <c r="V890" s="186"/>
      <c r="W890" s="186"/>
    </row>
    <row r="891">
      <c r="A891" s="185"/>
      <c r="B891" s="67"/>
      <c r="C891" s="186"/>
      <c r="D891" s="186"/>
      <c r="E891" s="186"/>
      <c r="F891" s="186"/>
      <c r="G891" s="186"/>
      <c r="H891" s="186"/>
      <c r="I891" s="186"/>
      <c r="J891" s="186"/>
      <c r="K891" s="186"/>
      <c r="L891" s="186"/>
      <c r="M891" s="67"/>
      <c r="N891" s="67"/>
      <c r="O891" s="67"/>
      <c r="P891" s="67"/>
      <c r="Q891" s="186"/>
      <c r="R891" s="186"/>
      <c r="S891" s="187"/>
      <c r="T891" s="187"/>
      <c r="U891" s="186"/>
      <c r="V891" s="186"/>
      <c r="W891" s="186"/>
    </row>
    <row r="892">
      <c r="A892" s="185"/>
      <c r="B892" s="67"/>
      <c r="C892" s="186"/>
      <c r="D892" s="186"/>
      <c r="E892" s="186"/>
      <c r="F892" s="186"/>
      <c r="G892" s="186"/>
      <c r="H892" s="186"/>
      <c r="I892" s="186"/>
      <c r="J892" s="186"/>
      <c r="K892" s="186"/>
      <c r="L892" s="186"/>
      <c r="M892" s="67"/>
      <c r="N892" s="67"/>
      <c r="O892" s="67"/>
      <c r="P892" s="67"/>
      <c r="Q892" s="186"/>
      <c r="R892" s="186"/>
      <c r="S892" s="187"/>
      <c r="T892" s="187"/>
      <c r="U892" s="186"/>
      <c r="V892" s="186"/>
      <c r="W892" s="186"/>
    </row>
    <row r="893">
      <c r="A893" s="185"/>
      <c r="B893" s="67"/>
      <c r="C893" s="186"/>
      <c r="D893" s="186"/>
      <c r="E893" s="186"/>
      <c r="F893" s="186"/>
      <c r="G893" s="186"/>
      <c r="H893" s="186"/>
      <c r="I893" s="186"/>
      <c r="J893" s="186"/>
      <c r="K893" s="186"/>
      <c r="L893" s="186"/>
      <c r="M893" s="67"/>
      <c r="N893" s="67"/>
      <c r="O893" s="67"/>
      <c r="P893" s="67"/>
      <c r="Q893" s="186"/>
      <c r="R893" s="186"/>
      <c r="S893" s="187"/>
      <c r="T893" s="187"/>
      <c r="U893" s="186"/>
      <c r="V893" s="186"/>
      <c r="W893" s="186"/>
    </row>
    <row r="894">
      <c r="A894" s="185"/>
      <c r="B894" s="67"/>
      <c r="C894" s="186"/>
      <c r="D894" s="186"/>
      <c r="E894" s="186"/>
      <c r="F894" s="186"/>
      <c r="G894" s="186"/>
      <c r="H894" s="186"/>
      <c r="I894" s="186"/>
      <c r="J894" s="186"/>
      <c r="K894" s="186"/>
      <c r="L894" s="186"/>
      <c r="M894" s="67"/>
      <c r="N894" s="67"/>
      <c r="O894" s="67"/>
      <c r="P894" s="67"/>
      <c r="Q894" s="186"/>
      <c r="R894" s="186"/>
      <c r="S894" s="187"/>
      <c r="T894" s="187"/>
      <c r="U894" s="186"/>
      <c r="V894" s="186"/>
      <c r="W894" s="186"/>
    </row>
    <row r="895">
      <c r="A895" s="185"/>
      <c r="B895" s="67"/>
      <c r="C895" s="186"/>
      <c r="D895" s="186"/>
      <c r="E895" s="186"/>
      <c r="F895" s="186"/>
      <c r="G895" s="186"/>
      <c r="H895" s="186"/>
      <c r="I895" s="186"/>
      <c r="J895" s="186"/>
      <c r="K895" s="186"/>
      <c r="L895" s="186"/>
      <c r="M895" s="67"/>
      <c r="N895" s="67"/>
      <c r="O895" s="67"/>
      <c r="P895" s="67"/>
      <c r="Q895" s="186"/>
      <c r="R895" s="186"/>
      <c r="S895" s="187"/>
      <c r="T895" s="187"/>
      <c r="U895" s="186"/>
      <c r="V895" s="186"/>
      <c r="W895" s="186"/>
    </row>
    <row r="896">
      <c r="A896" s="185"/>
      <c r="B896" s="67"/>
      <c r="C896" s="186"/>
      <c r="D896" s="186"/>
      <c r="E896" s="186"/>
      <c r="F896" s="186"/>
      <c r="G896" s="186"/>
      <c r="H896" s="186"/>
      <c r="I896" s="186"/>
      <c r="J896" s="186"/>
      <c r="K896" s="186"/>
      <c r="L896" s="186"/>
      <c r="M896" s="67"/>
      <c r="N896" s="67"/>
      <c r="O896" s="67"/>
      <c r="P896" s="67"/>
      <c r="Q896" s="186"/>
      <c r="R896" s="186"/>
      <c r="S896" s="187"/>
      <c r="T896" s="187"/>
      <c r="U896" s="186"/>
      <c r="V896" s="186"/>
      <c r="W896" s="186"/>
    </row>
    <row r="897">
      <c r="A897" s="185"/>
      <c r="B897" s="67"/>
      <c r="C897" s="186"/>
      <c r="D897" s="186"/>
      <c r="E897" s="186"/>
      <c r="F897" s="186"/>
      <c r="G897" s="186"/>
      <c r="H897" s="186"/>
      <c r="I897" s="186"/>
      <c r="J897" s="186"/>
      <c r="K897" s="186"/>
      <c r="L897" s="186"/>
      <c r="M897" s="67"/>
      <c r="N897" s="67"/>
      <c r="O897" s="67"/>
      <c r="P897" s="67"/>
      <c r="Q897" s="186"/>
      <c r="R897" s="186"/>
      <c r="S897" s="187"/>
      <c r="T897" s="187"/>
      <c r="U897" s="186"/>
      <c r="V897" s="186"/>
      <c r="W897" s="186"/>
    </row>
    <row r="898">
      <c r="A898" s="185"/>
      <c r="B898" s="67"/>
      <c r="C898" s="186"/>
      <c r="D898" s="186"/>
      <c r="E898" s="186"/>
      <c r="F898" s="186"/>
      <c r="G898" s="186"/>
      <c r="H898" s="186"/>
      <c r="I898" s="186"/>
      <c r="J898" s="186"/>
      <c r="K898" s="186"/>
      <c r="L898" s="186"/>
      <c r="M898" s="67"/>
      <c r="N898" s="67"/>
      <c r="O898" s="67"/>
      <c r="P898" s="67"/>
      <c r="Q898" s="186"/>
      <c r="R898" s="186"/>
      <c r="S898" s="187"/>
      <c r="T898" s="187"/>
      <c r="U898" s="186"/>
      <c r="V898" s="186"/>
      <c r="W898" s="186"/>
    </row>
    <row r="899">
      <c r="A899" s="185"/>
      <c r="B899" s="67"/>
      <c r="C899" s="186"/>
      <c r="D899" s="186"/>
      <c r="E899" s="186"/>
      <c r="F899" s="186"/>
      <c r="G899" s="186"/>
      <c r="H899" s="186"/>
      <c r="I899" s="186"/>
      <c r="J899" s="186"/>
      <c r="K899" s="186"/>
      <c r="L899" s="186"/>
      <c r="M899" s="67"/>
      <c r="N899" s="67"/>
      <c r="O899" s="67"/>
      <c r="P899" s="67"/>
      <c r="Q899" s="186"/>
      <c r="R899" s="186"/>
      <c r="S899" s="187"/>
      <c r="T899" s="187"/>
      <c r="U899" s="186"/>
      <c r="V899" s="186"/>
      <c r="W899" s="186"/>
    </row>
    <row r="900">
      <c r="A900" s="185"/>
      <c r="B900" s="67"/>
      <c r="C900" s="186"/>
      <c r="D900" s="186"/>
      <c r="E900" s="186"/>
      <c r="F900" s="186"/>
      <c r="G900" s="186"/>
      <c r="H900" s="186"/>
      <c r="I900" s="186"/>
      <c r="J900" s="186"/>
      <c r="K900" s="186"/>
      <c r="L900" s="186"/>
      <c r="M900" s="67"/>
      <c r="N900" s="67"/>
      <c r="O900" s="67"/>
      <c r="P900" s="67"/>
      <c r="Q900" s="186"/>
      <c r="R900" s="186"/>
      <c r="S900" s="187"/>
      <c r="T900" s="187"/>
      <c r="U900" s="186"/>
      <c r="V900" s="186"/>
      <c r="W900" s="186"/>
    </row>
    <row r="901">
      <c r="A901" s="185"/>
      <c r="B901" s="67"/>
      <c r="C901" s="186"/>
      <c r="D901" s="186"/>
      <c r="E901" s="186"/>
      <c r="F901" s="186"/>
      <c r="G901" s="186"/>
      <c r="H901" s="186"/>
      <c r="I901" s="186"/>
      <c r="J901" s="186"/>
      <c r="K901" s="186"/>
      <c r="L901" s="186"/>
      <c r="M901" s="67"/>
      <c r="N901" s="67"/>
      <c r="O901" s="67"/>
      <c r="P901" s="67"/>
      <c r="Q901" s="186"/>
      <c r="R901" s="186"/>
      <c r="S901" s="187"/>
      <c r="T901" s="187"/>
      <c r="U901" s="186"/>
      <c r="V901" s="186"/>
      <c r="W901" s="186"/>
    </row>
    <row r="902">
      <c r="A902" s="185"/>
      <c r="B902" s="67"/>
      <c r="C902" s="186"/>
      <c r="D902" s="186"/>
      <c r="E902" s="186"/>
      <c r="F902" s="186"/>
      <c r="G902" s="186"/>
      <c r="H902" s="186"/>
      <c r="I902" s="186"/>
      <c r="J902" s="186"/>
      <c r="K902" s="186"/>
      <c r="L902" s="186"/>
      <c r="M902" s="67"/>
      <c r="N902" s="67"/>
      <c r="O902" s="67"/>
      <c r="P902" s="67"/>
      <c r="Q902" s="186"/>
      <c r="R902" s="186"/>
      <c r="S902" s="187"/>
      <c r="T902" s="187"/>
      <c r="U902" s="186"/>
      <c r="V902" s="186"/>
      <c r="W902" s="186"/>
    </row>
    <row r="903">
      <c r="A903" s="185"/>
      <c r="B903" s="67"/>
      <c r="C903" s="186"/>
      <c r="D903" s="186"/>
      <c r="E903" s="186"/>
      <c r="F903" s="186"/>
      <c r="G903" s="186"/>
      <c r="H903" s="186"/>
      <c r="I903" s="186"/>
      <c r="J903" s="186"/>
      <c r="K903" s="186"/>
      <c r="L903" s="186"/>
      <c r="M903" s="67"/>
      <c r="N903" s="67"/>
      <c r="O903" s="67"/>
      <c r="P903" s="67"/>
      <c r="Q903" s="186"/>
      <c r="R903" s="186"/>
      <c r="S903" s="187"/>
      <c r="T903" s="187"/>
      <c r="U903" s="186"/>
      <c r="V903" s="186"/>
      <c r="W903" s="186"/>
    </row>
    <row r="904">
      <c r="A904" s="185"/>
      <c r="B904" s="67"/>
      <c r="C904" s="186"/>
      <c r="D904" s="186"/>
      <c r="E904" s="186"/>
      <c r="F904" s="186"/>
      <c r="G904" s="186"/>
      <c r="H904" s="186"/>
      <c r="I904" s="186"/>
      <c r="J904" s="186"/>
      <c r="K904" s="186"/>
      <c r="L904" s="186"/>
      <c r="M904" s="67"/>
      <c r="N904" s="67"/>
      <c r="O904" s="67"/>
      <c r="P904" s="67"/>
      <c r="Q904" s="186"/>
      <c r="R904" s="186"/>
      <c r="S904" s="187"/>
      <c r="T904" s="187"/>
      <c r="U904" s="186"/>
      <c r="V904" s="186"/>
      <c r="W904" s="186"/>
    </row>
    <row r="905">
      <c r="A905" s="185"/>
      <c r="B905" s="67"/>
      <c r="C905" s="186"/>
      <c r="D905" s="186"/>
      <c r="E905" s="186"/>
      <c r="F905" s="186"/>
      <c r="G905" s="186"/>
      <c r="H905" s="186"/>
      <c r="I905" s="186"/>
      <c r="J905" s="186"/>
      <c r="K905" s="186"/>
      <c r="L905" s="186"/>
      <c r="M905" s="67"/>
      <c r="N905" s="67"/>
      <c r="O905" s="67"/>
      <c r="P905" s="67"/>
      <c r="Q905" s="186"/>
      <c r="R905" s="186"/>
      <c r="S905" s="187"/>
      <c r="T905" s="187"/>
      <c r="U905" s="186"/>
      <c r="V905" s="186"/>
      <c r="W905" s="186"/>
    </row>
    <row r="906">
      <c r="A906" s="185"/>
      <c r="B906" s="67"/>
      <c r="C906" s="186"/>
      <c r="D906" s="186"/>
      <c r="E906" s="186"/>
      <c r="F906" s="186"/>
      <c r="G906" s="186"/>
      <c r="H906" s="186"/>
      <c r="I906" s="186"/>
      <c r="J906" s="186"/>
      <c r="K906" s="186"/>
      <c r="L906" s="186"/>
      <c r="M906" s="67"/>
      <c r="N906" s="67"/>
      <c r="O906" s="67"/>
      <c r="P906" s="67"/>
      <c r="Q906" s="186"/>
      <c r="R906" s="186"/>
      <c r="S906" s="187"/>
      <c r="T906" s="187"/>
      <c r="U906" s="186"/>
      <c r="V906" s="186"/>
      <c r="W906" s="186"/>
    </row>
    <row r="907">
      <c r="A907" s="185"/>
      <c r="B907" s="67"/>
      <c r="C907" s="186"/>
      <c r="D907" s="186"/>
      <c r="E907" s="186"/>
      <c r="F907" s="186"/>
      <c r="G907" s="186"/>
      <c r="H907" s="186"/>
      <c r="I907" s="186"/>
      <c r="J907" s="186"/>
      <c r="K907" s="186"/>
      <c r="L907" s="186"/>
      <c r="M907" s="67"/>
      <c r="N907" s="67"/>
      <c r="O907" s="67"/>
      <c r="P907" s="67"/>
      <c r="Q907" s="186"/>
      <c r="R907" s="186"/>
      <c r="S907" s="187"/>
      <c r="T907" s="187"/>
      <c r="U907" s="186"/>
      <c r="V907" s="186"/>
      <c r="W907" s="186"/>
    </row>
    <row r="908">
      <c r="A908" s="185"/>
      <c r="B908" s="67"/>
      <c r="C908" s="186"/>
      <c r="D908" s="186"/>
      <c r="E908" s="186"/>
      <c r="F908" s="186"/>
      <c r="G908" s="186"/>
      <c r="H908" s="186"/>
      <c r="I908" s="186"/>
      <c r="J908" s="186"/>
      <c r="K908" s="186"/>
      <c r="L908" s="186"/>
      <c r="M908" s="67"/>
      <c r="N908" s="67"/>
      <c r="O908" s="67"/>
      <c r="P908" s="67"/>
      <c r="Q908" s="186"/>
      <c r="R908" s="186"/>
      <c r="S908" s="187"/>
      <c r="T908" s="187"/>
      <c r="U908" s="186"/>
      <c r="V908" s="186"/>
      <c r="W908" s="186"/>
    </row>
    <row r="909">
      <c r="A909" s="185"/>
      <c r="B909" s="67"/>
      <c r="C909" s="186"/>
      <c r="D909" s="186"/>
      <c r="E909" s="186"/>
      <c r="F909" s="186"/>
      <c r="G909" s="186"/>
      <c r="H909" s="186"/>
      <c r="I909" s="186"/>
      <c r="J909" s="186"/>
      <c r="K909" s="186"/>
      <c r="L909" s="186"/>
      <c r="M909" s="67"/>
      <c r="N909" s="67"/>
      <c r="O909" s="67"/>
      <c r="P909" s="67"/>
      <c r="Q909" s="186"/>
      <c r="R909" s="186"/>
      <c r="S909" s="187"/>
      <c r="T909" s="187"/>
      <c r="U909" s="186"/>
      <c r="V909" s="186"/>
      <c r="W909" s="186"/>
    </row>
    <row r="910">
      <c r="A910" s="185"/>
      <c r="B910" s="67"/>
      <c r="C910" s="186"/>
      <c r="D910" s="186"/>
      <c r="E910" s="186"/>
      <c r="F910" s="186"/>
      <c r="G910" s="186"/>
      <c r="H910" s="186"/>
      <c r="I910" s="186"/>
      <c r="J910" s="186"/>
      <c r="K910" s="186"/>
      <c r="L910" s="186"/>
      <c r="M910" s="67"/>
      <c r="N910" s="67"/>
      <c r="O910" s="67"/>
      <c r="P910" s="67"/>
      <c r="Q910" s="186"/>
      <c r="R910" s="186"/>
      <c r="S910" s="187"/>
      <c r="T910" s="187"/>
      <c r="U910" s="186"/>
      <c r="V910" s="186"/>
      <c r="W910" s="186"/>
    </row>
    <row r="911">
      <c r="A911" s="185"/>
      <c r="B911" s="67"/>
      <c r="C911" s="186"/>
      <c r="D911" s="186"/>
      <c r="E911" s="186"/>
      <c r="F911" s="186"/>
      <c r="G911" s="186"/>
      <c r="H911" s="186"/>
      <c r="I911" s="186"/>
      <c r="J911" s="186"/>
      <c r="K911" s="186"/>
      <c r="L911" s="186"/>
      <c r="M911" s="67"/>
      <c r="N911" s="67"/>
      <c r="O911" s="67"/>
      <c r="P911" s="67"/>
      <c r="Q911" s="186"/>
      <c r="R911" s="186"/>
      <c r="S911" s="187"/>
      <c r="T911" s="187"/>
      <c r="U911" s="186"/>
      <c r="V911" s="186"/>
      <c r="W911" s="186"/>
    </row>
    <row r="912">
      <c r="A912" s="185"/>
      <c r="B912" s="67"/>
      <c r="C912" s="186"/>
      <c r="D912" s="186"/>
      <c r="E912" s="186"/>
      <c r="F912" s="186"/>
      <c r="G912" s="186"/>
      <c r="H912" s="186"/>
      <c r="I912" s="186"/>
      <c r="J912" s="186"/>
      <c r="K912" s="186"/>
      <c r="L912" s="186"/>
      <c r="M912" s="67"/>
      <c r="N912" s="67"/>
      <c r="O912" s="67"/>
      <c r="P912" s="67"/>
      <c r="Q912" s="186"/>
      <c r="R912" s="186"/>
      <c r="S912" s="187"/>
      <c r="T912" s="187"/>
      <c r="U912" s="186"/>
      <c r="V912" s="186"/>
      <c r="W912" s="186"/>
    </row>
    <row r="913">
      <c r="A913" s="185"/>
      <c r="B913" s="67"/>
      <c r="C913" s="186"/>
      <c r="D913" s="186"/>
      <c r="E913" s="186"/>
      <c r="F913" s="186"/>
      <c r="G913" s="186"/>
      <c r="H913" s="186"/>
      <c r="I913" s="186"/>
      <c r="J913" s="186"/>
      <c r="K913" s="186"/>
      <c r="L913" s="186"/>
      <c r="M913" s="67"/>
      <c r="N913" s="67"/>
      <c r="O913" s="67"/>
      <c r="P913" s="67"/>
      <c r="Q913" s="186"/>
      <c r="R913" s="186"/>
      <c r="S913" s="187"/>
      <c r="T913" s="187"/>
      <c r="U913" s="186"/>
      <c r="V913" s="186"/>
      <c r="W913" s="186"/>
    </row>
    <row r="914">
      <c r="A914" s="185"/>
      <c r="B914" s="67"/>
      <c r="C914" s="186"/>
      <c r="D914" s="186"/>
      <c r="E914" s="186"/>
      <c r="F914" s="186"/>
      <c r="G914" s="186"/>
      <c r="H914" s="186"/>
      <c r="I914" s="186"/>
      <c r="J914" s="186"/>
      <c r="K914" s="186"/>
      <c r="L914" s="186"/>
      <c r="M914" s="67"/>
      <c r="N914" s="67"/>
      <c r="O914" s="67"/>
      <c r="P914" s="67"/>
      <c r="Q914" s="186"/>
      <c r="R914" s="186"/>
      <c r="S914" s="187"/>
      <c r="T914" s="187"/>
      <c r="U914" s="186"/>
      <c r="V914" s="186"/>
      <c r="W914" s="186"/>
    </row>
    <row r="915">
      <c r="A915" s="185"/>
      <c r="B915" s="67"/>
      <c r="C915" s="186"/>
      <c r="D915" s="186"/>
      <c r="E915" s="186"/>
      <c r="F915" s="186"/>
      <c r="G915" s="186"/>
      <c r="H915" s="186"/>
      <c r="I915" s="186"/>
      <c r="J915" s="186"/>
      <c r="K915" s="186"/>
      <c r="L915" s="186"/>
      <c r="M915" s="67"/>
      <c r="N915" s="67"/>
      <c r="O915" s="67"/>
      <c r="P915" s="67"/>
      <c r="Q915" s="186"/>
      <c r="R915" s="186"/>
      <c r="S915" s="187"/>
      <c r="T915" s="187"/>
      <c r="U915" s="186"/>
      <c r="V915" s="186"/>
      <c r="W915" s="186"/>
    </row>
    <row r="916">
      <c r="A916" s="185"/>
      <c r="B916" s="67"/>
      <c r="C916" s="186"/>
      <c r="D916" s="186"/>
      <c r="E916" s="186"/>
      <c r="F916" s="186"/>
      <c r="G916" s="186"/>
      <c r="H916" s="186"/>
      <c r="I916" s="186"/>
      <c r="J916" s="186"/>
      <c r="K916" s="186"/>
      <c r="L916" s="186"/>
      <c r="M916" s="67"/>
      <c r="N916" s="67"/>
      <c r="O916" s="67"/>
      <c r="P916" s="67"/>
      <c r="Q916" s="186"/>
      <c r="R916" s="186"/>
      <c r="S916" s="187"/>
      <c r="T916" s="187"/>
      <c r="U916" s="186"/>
      <c r="V916" s="186"/>
      <c r="W916" s="186"/>
    </row>
    <row r="917">
      <c r="A917" s="185"/>
      <c r="B917" s="67"/>
      <c r="C917" s="186"/>
      <c r="D917" s="186"/>
      <c r="E917" s="186"/>
      <c r="F917" s="186"/>
      <c r="G917" s="186"/>
      <c r="H917" s="186"/>
      <c r="I917" s="186"/>
      <c r="J917" s="186"/>
      <c r="K917" s="186"/>
      <c r="L917" s="186"/>
      <c r="M917" s="67"/>
      <c r="N917" s="67"/>
      <c r="O917" s="67"/>
      <c r="P917" s="67"/>
      <c r="Q917" s="186"/>
      <c r="R917" s="186"/>
      <c r="S917" s="187"/>
      <c r="T917" s="187"/>
      <c r="U917" s="186"/>
      <c r="V917" s="186"/>
      <c r="W917" s="186"/>
    </row>
    <row r="918">
      <c r="A918" s="185"/>
      <c r="B918" s="67"/>
      <c r="C918" s="186"/>
      <c r="D918" s="186"/>
      <c r="E918" s="186"/>
      <c r="F918" s="186"/>
      <c r="G918" s="186"/>
      <c r="H918" s="186"/>
      <c r="I918" s="186"/>
      <c r="J918" s="186"/>
      <c r="K918" s="186"/>
      <c r="L918" s="186"/>
      <c r="M918" s="67"/>
      <c r="N918" s="67"/>
      <c r="O918" s="67"/>
      <c r="P918" s="67"/>
      <c r="Q918" s="186"/>
      <c r="R918" s="186"/>
      <c r="S918" s="187"/>
      <c r="T918" s="187"/>
      <c r="U918" s="186"/>
      <c r="V918" s="186"/>
      <c r="W918" s="186"/>
    </row>
    <row r="919">
      <c r="A919" s="185"/>
      <c r="B919" s="67"/>
      <c r="C919" s="186"/>
      <c r="D919" s="186"/>
      <c r="E919" s="186"/>
      <c r="F919" s="186"/>
      <c r="G919" s="186"/>
      <c r="H919" s="186"/>
      <c r="I919" s="186"/>
      <c r="J919" s="186"/>
      <c r="K919" s="186"/>
      <c r="L919" s="186"/>
      <c r="M919" s="67"/>
      <c r="N919" s="67"/>
      <c r="O919" s="67"/>
      <c r="P919" s="67"/>
      <c r="Q919" s="186"/>
      <c r="R919" s="186"/>
      <c r="S919" s="187"/>
      <c r="T919" s="187"/>
      <c r="U919" s="186"/>
      <c r="V919" s="186"/>
      <c r="W919" s="186"/>
    </row>
    <row r="920">
      <c r="A920" s="185"/>
      <c r="B920" s="67"/>
      <c r="C920" s="186"/>
      <c r="D920" s="186"/>
      <c r="E920" s="186"/>
      <c r="F920" s="186"/>
      <c r="G920" s="186"/>
      <c r="H920" s="186"/>
      <c r="I920" s="186"/>
      <c r="J920" s="186"/>
      <c r="K920" s="186"/>
      <c r="L920" s="186"/>
      <c r="M920" s="67"/>
      <c r="N920" s="67"/>
      <c r="O920" s="67"/>
      <c r="P920" s="67"/>
      <c r="Q920" s="186"/>
      <c r="R920" s="186"/>
      <c r="S920" s="187"/>
      <c r="T920" s="187"/>
      <c r="U920" s="186"/>
      <c r="V920" s="186"/>
      <c r="W920" s="186"/>
    </row>
    <row r="921">
      <c r="A921" s="185"/>
      <c r="B921" s="67"/>
      <c r="C921" s="186"/>
      <c r="D921" s="186"/>
      <c r="E921" s="186"/>
      <c r="F921" s="186"/>
      <c r="G921" s="186"/>
      <c r="H921" s="186"/>
      <c r="I921" s="186"/>
      <c r="J921" s="186"/>
      <c r="K921" s="186"/>
      <c r="L921" s="186"/>
      <c r="M921" s="67"/>
      <c r="N921" s="67"/>
      <c r="O921" s="67"/>
      <c r="P921" s="67"/>
      <c r="Q921" s="186"/>
      <c r="R921" s="186"/>
      <c r="S921" s="187"/>
      <c r="T921" s="187"/>
      <c r="U921" s="186"/>
      <c r="V921" s="186"/>
      <c r="W921" s="186"/>
    </row>
    <row r="922">
      <c r="A922" s="185"/>
      <c r="B922" s="67"/>
      <c r="C922" s="186"/>
      <c r="D922" s="186"/>
      <c r="E922" s="186"/>
      <c r="F922" s="186"/>
      <c r="G922" s="186"/>
      <c r="H922" s="186"/>
      <c r="I922" s="186"/>
      <c r="J922" s="186"/>
      <c r="K922" s="186"/>
      <c r="L922" s="186"/>
      <c r="M922" s="67"/>
      <c r="N922" s="67"/>
      <c r="O922" s="67"/>
      <c r="P922" s="67"/>
      <c r="Q922" s="186"/>
      <c r="R922" s="186"/>
      <c r="S922" s="187"/>
      <c r="T922" s="187"/>
      <c r="U922" s="186"/>
      <c r="V922" s="186"/>
      <c r="W922" s="186"/>
    </row>
    <row r="923">
      <c r="A923" s="185"/>
      <c r="B923" s="67"/>
      <c r="C923" s="186"/>
      <c r="D923" s="186"/>
      <c r="E923" s="186"/>
      <c r="F923" s="186"/>
      <c r="G923" s="186"/>
      <c r="H923" s="186"/>
      <c r="I923" s="186"/>
      <c r="J923" s="186"/>
      <c r="K923" s="186"/>
      <c r="L923" s="186"/>
      <c r="M923" s="67"/>
      <c r="N923" s="67"/>
      <c r="O923" s="67"/>
      <c r="P923" s="67"/>
      <c r="Q923" s="186"/>
      <c r="R923" s="186"/>
      <c r="S923" s="187"/>
      <c r="T923" s="187"/>
      <c r="U923" s="186"/>
      <c r="V923" s="186"/>
      <c r="W923" s="186"/>
    </row>
    <row r="924">
      <c r="A924" s="185"/>
      <c r="B924" s="67"/>
      <c r="C924" s="186"/>
      <c r="D924" s="186"/>
      <c r="E924" s="186"/>
      <c r="F924" s="186"/>
      <c r="G924" s="186"/>
      <c r="H924" s="186"/>
      <c r="I924" s="186"/>
      <c r="J924" s="186"/>
      <c r="K924" s="186"/>
      <c r="L924" s="186"/>
      <c r="M924" s="67"/>
      <c r="N924" s="67"/>
      <c r="O924" s="67"/>
      <c r="P924" s="67"/>
      <c r="Q924" s="186"/>
      <c r="R924" s="186"/>
      <c r="S924" s="187"/>
      <c r="T924" s="187"/>
      <c r="U924" s="186"/>
      <c r="V924" s="186"/>
      <c r="W924" s="186"/>
    </row>
    <row r="925">
      <c r="A925" s="185"/>
      <c r="B925" s="67"/>
      <c r="C925" s="186"/>
      <c r="D925" s="186"/>
      <c r="E925" s="186"/>
      <c r="F925" s="186"/>
      <c r="G925" s="186"/>
      <c r="H925" s="186"/>
      <c r="I925" s="186"/>
      <c r="J925" s="186"/>
      <c r="K925" s="186"/>
      <c r="L925" s="186"/>
      <c r="M925" s="67"/>
      <c r="N925" s="67"/>
      <c r="O925" s="67"/>
      <c r="P925" s="67"/>
      <c r="Q925" s="186"/>
      <c r="R925" s="186"/>
      <c r="S925" s="187"/>
      <c r="T925" s="187"/>
      <c r="U925" s="186"/>
      <c r="V925" s="186"/>
      <c r="W925" s="186"/>
    </row>
    <row r="926">
      <c r="A926" s="185"/>
      <c r="B926" s="67"/>
      <c r="C926" s="186"/>
      <c r="D926" s="186"/>
      <c r="E926" s="186"/>
      <c r="F926" s="186"/>
      <c r="G926" s="186"/>
      <c r="H926" s="186"/>
      <c r="I926" s="186"/>
      <c r="J926" s="186"/>
      <c r="K926" s="186"/>
      <c r="L926" s="186"/>
      <c r="M926" s="67"/>
      <c r="N926" s="67"/>
      <c r="O926" s="67"/>
      <c r="P926" s="67"/>
      <c r="Q926" s="186"/>
      <c r="R926" s="186"/>
      <c r="S926" s="187"/>
      <c r="T926" s="187"/>
      <c r="U926" s="186"/>
      <c r="V926" s="186"/>
      <c r="W926" s="186"/>
    </row>
    <row r="927">
      <c r="A927" s="185"/>
      <c r="B927" s="67"/>
      <c r="C927" s="186"/>
      <c r="D927" s="186"/>
      <c r="E927" s="186"/>
      <c r="F927" s="186"/>
      <c r="G927" s="186"/>
      <c r="H927" s="186"/>
      <c r="I927" s="186"/>
      <c r="J927" s="186"/>
      <c r="K927" s="186"/>
      <c r="L927" s="186"/>
      <c r="M927" s="67"/>
      <c r="N927" s="67"/>
      <c r="O927" s="67"/>
      <c r="P927" s="67"/>
      <c r="Q927" s="186"/>
      <c r="R927" s="186"/>
      <c r="S927" s="187"/>
      <c r="T927" s="187"/>
      <c r="U927" s="186"/>
      <c r="V927" s="186"/>
      <c r="W927" s="186"/>
    </row>
    <row r="928">
      <c r="A928" s="185"/>
      <c r="B928" s="67"/>
      <c r="C928" s="186"/>
      <c r="D928" s="186"/>
      <c r="E928" s="186"/>
      <c r="F928" s="186"/>
      <c r="G928" s="186"/>
      <c r="H928" s="186"/>
      <c r="I928" s="186"/>
      <c r="J928" s="186"/>
      <c r="K928" s="186"/>
      <c r="L928" s="186"/>
      <c r="M928" s="67"/>
      <c r="N928" s="67"/>
      <c r="O928" s="67"/>
      <c r="P928" s="67"/>
      <c r="Q928" s="186"/>
      <c r="R928" s="186"/>
      <c r="S928" s="187"/>
      <c r="T928" s="187"/>
      <c r="U928" s="186"/>
      <c r="V928" s="186"/>
      <c r="W928" s="186"/>
    </row>
    <row r="929">
      <c r="A929" s="185"/>
      <c r="B929" s="67"/>
      <c r="C929" s="186"/>
      <c r="D929" s="186"/>
      <c r="E929" s="186"/>
      <c r="F929" s="186"/>
      <c r="G929" s="186"/>
      <c r="H929" s="186"/>
      <c r="I929" s="186"/>
      <c r="J929" s="186"/>
      <c r="K929" s="186"/>
      <c r="L929" s="186"/>
      <c r="M929" s="67"/>
      <c r="N929" s="67"/>
      <c r="O929" s="67"/>
      <c r="P929" s="67"/>
      <c r="Q929" s="186"/>
      <c r="R929" s="186"/>
      <c r="S929" s="187"/>
      <c r="T929" s="187"/>
      <c r="U929" s="186"/>
      <c r="V929" s="186"/>
      <c r="W929" s="186"/>
    </row>
    <row r="930">
      <c r="A930" s="185"/>
      <c r="B930" s="67"/>
      <c r="C930" s="186"/>
      <c r="D930" s="186"/>
      <c r="E930" s="186"/>
      <c r="F930" s="186"/>
      <c r="G930" s="186"/>
      <c r="H930" s="186"/>
      <c r="I930" s="186"/>
      <c r="J930" s="186"/>
      <c r="K930" s="186"/>
      <c r="L930" s="186"/>
      <c r="M930" s="67"/>
      <c r="N930" s="67"/>
      <c r="O930" s="67"/>
      <c r="P930" s="67"/>
      <c r="Q930" s="186"/>
      <c r="R930" s="186"/>
      <c r="S930" s="187"/>
      <c r="T930" s="187"/>
      <c r="U930" s="186"/>
      <c r="V930" s="186"/>
      <c r="W930" s="186"/>
    </row>
    <row r="931">
      <c r="A931" s="185"/>
      <c r="B931" s="67"/>
      <c r="C931" s="186"/>
      <c r="D931" s="186"/>
      <c r="E931" s="186"/>
      <c r="F931" s="186"/>
      <c r="G931" s="186"/>
      <c r="H931" s="186"/>
      <c r="I931" s="186"/>
      <c r="J931" s="186"/>
      <c r="K931" s="186"/>
      <c r="L931" s="186"/>
      <c r="M931" s="67"/>
      <c r="N931" s="67"/>
      <c r="O931" s="67"/>
      <c r="P931" s="67"/>
      <c r="Q931" s="186"/>
      <c r="R931" s="186"/>
      <c r="S931" s="187"/>
      <c r="T931" s="187"/>
      <c r="U931" s="186"/>
      <c r="V931" s="186"/>
      <c r="W931" s="186"/>
    </row>
    <row r="932">
      <c r="A932" s="185"/>
      <c r="B932" s="67"/>
      <c r="C932" s="186"/>
      <c r="D932" s="186"/>
      <c r="E932" s="186"/>
      <c r="F932" s="186"/>
      <c r="G932" s="186"/>
      <c r="H932" s="186"/>
      <c r="I932" s="186"/>
      <c r="J932" s="186"/>
      <c r="K932" s="186"/>
      <c r="L932" s="186"/>
      <c r="M932" s="67"/>
      <c r="N932" s="67"/>
      <c r="O932" s="67"/>
      <c r="P932" s="67"/>
      <c r="Q932" s="186"/>
      <c r="R932" s="186"/>
      <c r="S932" s="187"/>
      <c r="T932" s="187"/>
      <c r="U932" s="186"/>
      <c r="V932" s="186"/>
      <c r="W932" s="186"/>
    </row>
    <row r="933">
      <c r="A933" s="185"/>
      <c r="B933" s="67"/>
      <c r="C933" s="186"/>
      <c r="D933" s="186"/>
      <c r="E933" s="186"/>
      <c r="F933" s="186"/>
      <c r="G933" s="186"/>
      <c r="H933" s="186"/>
      <c r="I933" s="186"/>
      <c r="J933" s="186"/>
      <c r="K933" s="186"/>
      <c r="L933" s="186"/>
      <c r="M933" s="67"/>
      <c r="N933" s="67"/>
      <c r="O933" s="67"/>
      <c r="P933" s="67"/>
      <c r="Q933" s="186"/>
      <c r="R933" s="186"/>
      <c r="S933" s="187"/>
      <c r="T933" s="187"/>
      <c r="U933" s="186"/>
      <c r="V933" s="186"/>
      <c r="W933" s="186"/>
    </row>
    <row r="934">
      <c r="A934" s="185"/>
      <c r="B934" s="67"/>
      <c r="C934" s="186"/>
      <c r="D934" s="186"/>
      <c r="E934" s="186"/>
      <c r="F934" s="186"/>
      <c r="G934" s="186"/>
      <c r="H934" s="186"/>
      <c r="I934" s="186"/>
      <c r="J934" s="186"/>
      <c r="K934" s="186"/>
      <c r="L934" s="186"/>
      <c r="M934" s="67"/>
      <c r="N934" s="67"/>
      <c r="O934" s="67"/>
      <c r="P934" s="67"/>
      <c r="Q934" s="186"/>
      <c r="R934" s="186"/>
      <c r="S934" s="187"/>
      <c r="T934" s="187"/>
      <c r="U934" s="186"/>
      <c r="V934" s="186"/>
      <c r="W934" s="186"/>
    </row>
    <row r="935">
      <c r="A935" s="185"/>
      <c r="B935" s="67"/>
      <c r="C935" s="186"/>
      <c r="D935" s="186"/>
      <c r="E935" s="186"/>
      <c r="F935" s="186"/>
      <c r="G935" s="186"/>
      <c r="H935" s="186"/>
      <c r="I935" s="186"/>
      <c r="J935" s="186"/>
      <c r="K935" s="186"/>
      <c r="L935" s="186"/>
      <c r="M935" s="67"/>
      <c r="N935" s="67"/>
      <c r="O935" s="67"/>
      <c r="P935" s="67"/>
      <c r="Q935" s="186"/>
      <c r="R935" s="186"/>
      <c r="S935" s="187"/>
      <c r="T935" s="187"/>
      <c r="U935" s="186"/>
      <c r="V935" s="186"/>
      <c r="W935" s="186"/>
    </row>
    <row r="936">
      <c r="A936" s="185"/>
      <c r="B936" s="67"/>
      <c r="C936" s="186"/>
      <c r="D936" s="186"/>
      <c r="E936" s="186"/>
      <c r="F936" s="186"/>
      <c r="G936" s="186"/>
      <c r="H936" s="186"/>
      <c r="I936" s="186"/>
      <c r="J936" s="186"/>
      <c r="K936" s="186"/>
      <c r="L936" s="186"/>
      <c r="M936" s="67"/>
      <c r="N936" s="67"/>
      <c r="O936" s="67"/>
      <c r="P936" s="67"/>
      <c r="Q936" s="186"/>
      <c r="R936" s="186"/>
      <c r="S936" s="187"/>
      <c r="T936" s="187"/>
      <c r="U936" s="186"/>
      <c r="V936" s="186"/>
      <c r="W936" s="186"/>
    </row>
    <row r="937">
      <c r="A937" s="185"/>
      <c r="B937" s="67"/>
      <c r="C937" s="186"/>
      <c r="D937" s="186"/>
      <c r="E937" s="186"/>
      <c r="F937" s="186"/>
      <c r="G937" s="186"/>
      <c r="H937" s="186"/>
      <c r="I937" s="186"/>
      <c r="J937" s="186"/>
      <c r="K937" s="186"/>
      <c r="L937" s="186"/>
      <c r="M937" s="67"/>
      <c r="N937" s="67"/>
      <c r="O937" s="67"/>
      <c r="P937" s="67"/>
      <c r="Q937" s="186"/>
      <c r="R937" s="186"/>
      <c r="S937" s="187"/>
      <c r="T937" s="187"/>
      <c r="U937" s="186"/>
      <c r="V937" s="186"/>
      <c r="W937" s="186"/>
    </row>
    <row r="938">
      <c r="A938" s="185"/>
      <c r="B938" s="67"/>
      <c r="C938" s="186"/>
      <c r="D938" s="186"/>
      <c r="E938" s="186"/>
      <c r="F938" s="186"/>
      <c r="G938" s="186"/>
      <c r="H938" s="186"/>
      <c r="I938" s="186"/>
      <c r="J938" s="186"/>
      <c r="K938" s="186"/>
      <c r="L938" s="186"/>
      <c r="M938" s="67"/>
      <c r="N938" s="67"/>
      <c r="O938" s="67"/>
      <c r="P938" s="67"/>
      <c r="Q938" s="186"/>
      <c r="R938" s="186"/>
      <c r="S938" s="187"/>
      <c r="T938" s="187"/>
      <c r="U938" s="186"/>
      <c r="V938" s="186"/>
      <c r="W938" s="186"/>
    </row>
    <row r="939">
      <c r="A939" s="185"/>
      <c r="B939" s="67"/>
      <c r="C939" s="186"/>
      <c r="D939" s="186"/>
      <c r="E939" s="186"/>
      <c r="F939" s="186"/>
      <c r="G939" s="186"/>
      <c r="H939" s="186"/>
      <c r="I939" s="186"/>
      <c r="J939" s="186"/>
      <c r="K939" s="186"/>
      <c r="L939" s="186"/>
      <c r="M939" s="67"/>
      <c r="N939" s="67"/>
      <c r="O939" s="67"/>
      <c r="P939" s="67"/>
      <c r="Q939" s="186"/>
      <c r="R939" s="186"/>
      <c r="S939" s="187"/>
      <c r="T939" s="187"/>
      <c r="U939" s="186"/>
      <c r="V939" s="186"/>
      <c r="W939" s="186"/>
    </row>
    <row r="940">
      <c r="A940" s="185"/>
      <c r="B940" s="67"/>
      <c r="C940" s="186"/>
      <c r="D940" s="186"/>
      <c r="E940" s="186"/>
      <c r="F940" s="186"/>
      <c r="G940" s="186"/>
      <c r="H940" s="186"/>
      <c r="I940" s="186"/>
      <c r="J940" s="186"/>
      <c r="K940" s="186"/>
      <c r="L940" s="186"/>
      <c r="M940" s="67"/>
      <c r="N940" s="67"/>
      <c r="O940" s="67"/>
      <c r="P940" s="67"/>
      <c r="Q940" s="186"/>
      <c r="R940" s="186"/>
      <c r="S940" s="187"/>
      <c r="T940" s="187"/>
      <c r="U940" s="186"/>
      <c r="V940" s="186"/>
      <c r="W940" s="186"/>
    </row>
    <row r="941">
      <c r="A941" s="185"/>
      <c r="B941" s="67"/>
      <c r="C941" s="186"/>
      <c r="D941" s="186"/>
      <c r="E941" s="186"/>
      <c r="F941" s="186"/>
      <c r="G941" s="186"/>
      <c r="H941" s="186"/>
      <c r="I941" s="186"/>
      <c r="J941" s="186"/>
      <c r="K941" s="186"/>
      <c r="L941" s="186"/>
      <c r="M941" s="67"/>
      <c r="N941" s="67"/>
      <c r="O941" s="67"/>
      <c r="P941" s="67"/>
      <c r="Q941" s="186"/>
      <c r="R941" s="186"/>
      <c r="S941" s="187"/>
      <c r="T941" s="187"/>
      <c r="U941" s="186"/>
      <c r="V941" s="186"/>
      <c r="W941" s="186"/>
    </row>
    <row r="942">
      <c r="A942" s="185"/>
      <c r="B942" s="67"/>
      <c r="C942" s="186"/>
      <c r="D942" s="186"/>
      <c r="E942" s="186"/>
      <c r="F942" s="186"/>
      <c r="G942" s="186"/>
      <c r="H942" s="186"/>
      <c r="I942" s="186"/>
      <c r="J942" s="186"/>
      <c r="K942" s="186"/>
      <c r="L942" s="186"/>
      <c r="M942" s="67"/>
      <c r="N942" s="67"/>
      <c r="O942" s="67"/>
      <c r="P942" s="67"/>
      <c r="Q942" s="186"/>
      <c r="R942" s="186"/>
      <c r="S942" s="187"/>
      <c r="T942" s="187"/>
      <c r="U942" s="186"/>
      <c r="V942" s="186"/>
      <c r="W942" s="186"/>
    </row>
    <row r="943">
      <c r="A943" s="185"/>
      <c r="B943" s="67"/>
      <c r="C943" s="186"/>
      <c r="D943" s="186"/>
      <c r="E943" s="186"/>
      <c r="F943" s="186"/>
      <c r="G943" s="186"/>
      <c r="H943" s="186"/>
      <c r="I943" s="186"/>
      <c r="J943" s="186"/>
      <c r="K943" s="186"/>
      <c r="L943" s="186"/>
      <c r="M943" s="67"/>
      <c r="N943" s="67"/>
      <c r="O943" s="67"/>
      <c r="P943" s="67"/>
      <c r="Q943" s="186"/>
      <c r="R943" s="186"/>
      <c r="S943" s="187"/>
      <c r="T943" s="187"/>
      <c r="U943" s="186"/>
      <c r="V943" s="186"/>
      <c r="W943" s="186"/>
    </row>
    <row r="944">
      <c r="A944" s="185"/>
      <c r="B944" s="67"/>
      <c r="C944" s="186"/>
      <c r="D944" s="186"/>
      <c r="E944" s="186"/>
      <c r="F944" s="186"/>
      <c r="G944" s="186"/>
      <c r="H944" s="186"/>
      <c r="I944" s="186"/>
      <c r="J944" s="186"/>
      <c r="K944" s="186"/>
      <c r="L944" s="186"/>
      <c r="M944" s="67"/>
      <c r="N944" s="67"/>
      <c r="O944" s="67"/>
      <c r="P944" s="67"/>
      <c r="Q944" s="186"/>
      <c r="R944" s="186"/>
      <c r="S944" s="187"/>
      <c r="T944" s="187"/>
      <c r="U944" s="186"/>
      <c r="V944" s="186"/>
      <c r="W944" s="186"/>
    </row>
    <row r="945">
      <c r="A945" s="185"/>
      <c r="B945" s="67"/>
      <c r="C945" s="186"/>
      <c r="D945" s="186"/>
      <c r="E945" s="186"/>
      <c r="F945" s="186"/>
      <c r="G945" s="186"/>
      <c r="H945" s="186"/>
      <c r="I945" s="186"/>
      <c r="J945" s="186"/>
      <c r="K945" s="186"/>
      <c r="L945" s="186"/>
      <c r="M945" s="67"/>
      <c r="N945" s="67"/>
      <c r="O945" s="67"/>
      <c r="P945" s="67"/>
      <c r="Q945" s="186"/>
      <c r="R945" s="186"/>
      <c r="S945" s="187"/>
      <c r="T945" s="187"/>
      <c r="U945" s="186"/>
      <c r="V945" s="186"/>
      <c r="W945" s="186"/>
    </row>
    <row r="946">
      <c r="A946" s="185"/>
      <c r="B946" s="67"/>
      <c r="C946" s="186"/>
      <c r="D946" s="186"/>
      <c r="E946" s="186"/>
      <c r="F946" s="186"/>
      <c r="G946" s="186"/>
      <c r="H946" s="186"/>
      <c r="I946" s="186"/>
      <c r="J946" s="186"/>
      <c r="K946" s="186"/>
      <c r="L946" s="186"/>
      <c r="M946" s="67"/>
      <c r="N946" s="67"/>
      <c r="O946" s="67"/>
      <c r="P946" s="67"/>
      <c r="Q946" s="186"/>
      <c r="R946" s="186"/>
      <c r="S946" s="187"/>
      <c r="T946" s="187"/>
      <c r="U946" s="186"/>
      <c r="V946" s="186"/>
      <c r="W946" s="186"/>
    </row>
    <row r="947">
      <c r="A947" s="185"/>
      <c r="B947" s="67"/>
      <c r="C947" s="186"/>
      <c r="D947" s="186"/>
      <c r="E947" s="186"/>
      <c r="F947" s="186"/>
      <c r="G947" s="186"/>
      <c r="H947" s="186"/>
      <c r="I947" s="186"/>
      <c r="J947" s="186"/>
      <c r="K947" s="186"/>
      <c r="L947" s="186"/>
      <c r="M947" s="67"/>
      <c r="N947" s="67"/>
      <c r="O947" s="67"/>
      <c r="P947" s="67"/>
      <c r="Q947" s="186"/>
      <c r="R947" s="186"/>
      <c r="S947" s="187"/>
      <c r="T947" s="187"/>
      <c r="U947" s="186"/>
      <c r="V947" s="186"/>
      <c r="W947" s="186"/>
    </row>
    <row r="948">
      <c r="A948" s="185"/>
      <c r="B948" s="67"/>
      <c r="C948" s="186"/>
      <c r="D948" s="186"/>
      <c r="E948" s="186"/>
      <c r="F948" s="186"/>
      <c r="G948" s="186"/>
      <c r="H948" s="186"/>
      <c r="I948" s="186"/>
      <c r="J948" s="186"/>
      <c r="K948" s="186"/>
      <c r="L948" s="186"/>
      <c r="M948" s="67"/>
      <c r="N948" s="67"/>
      <c r="O948" s="67"/>
      <c r="P948" s="67"/>
      <c r="Q948" s="186"/>
      <c r="R948" s="186"/>
      <c r="S948" s="187"/>
      <c r="T948" s="187"/>
      <c r="U948" s="186"/>
      <c r="V948" s="186"/>
      <c r="W948" s="186"/>
    </row>
    <row r="949">
      <c r="A949" s="185"/>
      <c r="B949" s="67"/>
      <c r="C949" s="186"/>
      <c r="D949" s="186"/>
      <c r="E949" s="186"/>
      <c r="F949" s="186"/>
      <c r="G949" s="186"/>
      <c r="H949" s="186"/>
      <c r="I949" s="186"/>
      <c r="J949" s="186"/>
      <c r="K949" s="186"/>
      <c r="L949" s="186"/>
      <c r="M949" s="67"/>
      <c r="N949" s="67"/>
      <c r="O949" s="67"/>
      <c r="P949" s="67"/>
      <c r="Q949" s="186"/>
      <c r="R949" s="186"/>
      <c r="S949" s="187"/>
      <c r="T949" s="187"/>
      <c r="U949" s="186"/>
      <c r="V949" s="186"/>
      <c r="W949" s="186"/>
    </row>
    <row r="950">
      <c r="A950" s="185"/>
      <c r="B950" s="67"/>
      <c r="C950" s="186"/>
      <c r="D950" s="186"/>
      <c r="E950" s="186"/>
      <c r="F950" s="186"/>
      <c r="G950" s="186"/>
      <c r="H950" s="186"/>
      <c r="I950" s="186"/>
      <c r="J950" s="186"/>
      <c r="K950" s="186"/>
      <c r="L950" s="186"/>
      <c r="M950" s="67"/>
      <c r="N950" s="67"/>
      <c r="O950" s="67"/>
      <c r="P950" s="67"/>
      <c r="Q950" s="186"/>
      <c r="R950" s="186"/>
      <c r="S950" s="187"/>
      <c r="T950" s="187"/>
      <c r="U950" s="186"/>
      <c r="V950" s="186"/>
      <c r="W950" s="186"/>
    </row>
    <row r="951">
      <c r="A951" s="185"/>
      <c r="B951" s="67"/>
      <c r="C951" s="186"/>
      <c r="D951" s="186"/>
      <c r="E951" s="186"/>
      <c r="F951" s="186"/>
      <c r="G951" s="186"/>
      <c r="H951" s="186"/>
      <c r="I951" s="186"/>
      <c r="J951" s="186"/>
      <c r="K951" s="186"/>
      <c r="L951" s="186"/>
      <c r="M951" s="67"/>
      <c r="N951" s="67"/>
      <c r="O951" s="67"/>
      <c r="P951" s="67"/>
      <c r="Q951" s="186"/>
      <c r="R951" s="186"/>
      <c r="S951" s="187"/>
      <c r="T951" s="187"/>
      <c r="U951" s="186"/>
      <c r="V951" s="186"/>
      <c r="W951" s="186"/>
    </row>
    <row r="952">
      <c r="A952" s="185"/>
      <c r="B952" s="67"/>
      <c r="C952" s="186"/>
      <c r="D952" s="186"/>
      <c r="E952" s="186"/>
      <c r="F952" s="186"/>
      <c r="G952" s="186"/>
      <c r="H952" s="186"/>
      <c r="I952" s="186"/>
      <c r="J952" s="186"/>
      <c r="K952" s="186"/>
      <c r="L952" s="186"/>
      <c r="M952" s="67"/>
      <c r="N952" s="67"/>
      <c r="O952" s="67"/>
      <c r="P952" s="67"/>
      <c r="Q952" s="186"/>
      <c r="R952" s="186"/>
      <c r="S952" s="187"/>
      <c r="T952" s="187"/>
      <c r="U952" s="186"/>
      <c r="V952" s="186"/>
      <c r="W952" s="186"/>
    </row>
    <row r="953">
      <c r="A953" s="185"/>
      <c r="B953" s="67"/>
      <c r="C953" s="186"/>
      <c r="D953" s="186"/>
      <c r="E953" s="186"/>
      <c r="F953" s="186"/>
      <c r="G953" s="186"/>
      <c r="H953" s="186"/>
      <c r="I953" s="186"/>
      <c r="J953" s="186"/>
      <c r="K953" s="186"/>
      <c r="L953" s="186"/>
      <c r="M953" s="67"/>
      <c r="N953" s="67"/>
      <c r="O953" s="67"/>
      <c r="P953" s="67"/>
      <c r="Q953" s="186"/>
      <c r="R953" s="186"/>
      <c r="S953" s="187"/>
      <c r="T953" s="187"/>
      <c r="U953" s="186"/>
      <c r="V953" s="186"/>
      <c r="W953" s="186"/>
    </row>
    <row r="954">
      <c r="A954" s="185"/>
      <c r="B954" s="67"/>
      <c r="C954" s="186"/>
      <c r="D954" s="186"/>
      <c r="E954" s="186"/>
      <c r="F954" s="186"/>
      <c r="G954" s="186"/>
      <c r="H954" s="186"/>
      <c r="I954" s="186"/>
      <c r="J954" s="186"/>
      <c r="K954" s="186"/>
      <c r="L954" s="186"/>
      <c r="M954" s="67"/>
      <c r="N954" s="67"/>
      <c r="O954" s="67"/>
      <c r="P954" s="67"/>
      <c r="Q954" s="186"/>
      <c r="R954" s="186"/>
      <c r="S954" s="187"/>
      <c r="T954" s="187"/>
      <c r="U954" s="186"/>
      <c r="V954" s="186"/>
      <c r="W954" s="186"/>
    </row>
    <row r="955">
      <c r="A955" s="185"/>
      <c r="B955" s="67"/>
      <c r="C955" s="186"/>
      <c r="D955" s="186"/>
      <c r="E955" s="186"/>
      <c r="F955" s="186"/>
      <c r="G955" s="186"/>
      <c r="H955" s="186"/>
      <c r="I955" s="186"/>
      <c r="J955" s="186"/>
      <c r="K955" s="186"/>
      <c r="L955" s="186"/>
      <c r="M955" s="67"/>
      <c r="N955" s="67"/>
      <c r="O955" s="67"/>
      <c r="P955" s="67"/>
      <c r="Q955" s="186"/>
      <c r="R955" s="186"/>
      <c r="S955" s="187"/>
      <c r="T955" s="187"/>
      <c r="U955" s="186"/>
      <c r="V955" s="186"/>
      <c r="W955" s="186"/>
    </row>
    <row r="956">
      <c r="A956" s="185"/>
      <c r="B956" s="67"/>
      <c r="C956" s="186"/>
      <c r="D956" s="186"/>
      <c r="E956" s="186"/>
      <c r="F956" s="186"/>
      <c r="G956" s="186"/>
      <c r="H956" s="186"/>
      <c r="I956" s="186"/>
      <c r="J956" s="186"/>
      <c r="K956" s="186"/>
      <c r="L956" s="186"/>
      <c r="M956" s="67"/>
      <c r="N956" s="67"/>
      <c r="O956" s="67"/>
      <c r="P956" s="67"/>
      <c r="Q956" s="186"/>
      <c r="R956" s="186"/>
      <c r="S956" s="187"/>
      <c r="T956" s="187"/>
      <c r="U956" s="186"/>
      <c r="V956" s="186"/>
      <c r="W956" s="186"/>
    </row>
    <row r="957">
      <c r="A957" s="185"/>
      <c r="B957" s="67"/>
      <c r="C957" s="186"/>
      <c r="D957" s="186"/>
      <c r="E957" s="186"/>
      <c r="F957" s="186"/>
      <c r="G957" s="186"/>
      <c r="H957" s="186"/>
      <c r="I957" s="186"/>
      <c r="J957" s="186"/>
      <c r="K957" s="186"/>
      <c r="L957" s="186"/>
      <c r="M957" s="67"/>
      <c r="N957" s="67"/>
      <c r="O957" s="67"/>
      <c r="P957" s="67"/>
      <c r="Q957" s="186"/>
      <c r="R957" s="186"/>
      <c r="S957" s="187"/>
      <c r="T957" s="187"/>
      <c r="U957" s="186"/>
      <c r="V957" s="186"/>
      <c r="W957" s="186"/>
    </row>
    <row r="958">
      <c r="A958" s="185"/>
      <c r="B958" s="67"/>
      <c r="C958" s="186"/>
      <c r="D958" s="186"/>
      <c r="E958" s="186"/>
      <c r="F958" s="186"/>
      <c r="G958" s="186"/>
      <c r="H958" s="186"/>
      <c r="I958" s="186"/>
      <c r="J958" s="186"/>
      <c r="K958" s="186"/>
      <c r="L958" s="186"/>
      <c r="M958" s="67"/>
      <c r="N958" s="67"/>
      <c r="O958" s="67"/>
      <c r="P958" s="67"/>
      <c r="Q958" s="186"/>
      <c r="R958" s="186"/>
      <c r="S958" s="187"/>
      <c r="T958" s="187"/>
      <c r="U958" s="186"/>
      <c r="V958" s="186"/>
      <c r="W958" s="186"/>
    </row>
    <row r="959">
      <c r="A959" s="185"/>
      <c r="B959" s="67"/>
      <c r="C959" s="186"/>
      <c r="D959" s="186"/>
      <c r="E959" s="186"/>
      <c r="F959" s="186"/>
      <c r="G959" s="186"/>
      <c r="H959" s="186"/>
      <c r="I959" s="186"/>
      <c r="J959" s="186"/>
      <c r="K959" s="186"/>
      <c r="L959" s="186"/>
      <c r="M959" s="67"/>
      <c r="N959" s="67"/>
      <c r="O959" s="67"/>
      <c r="P959" s="67"/>
      <c r="Q959" s="186"/>
      <c r="R959" s="186"/>
      <c r="S959" s="187"/>
      <c r="T959" s="187"/>
      <c r="U959" s="186"/>
      <c r="V959" s="186"/>
      <c r="W959" s="186"/>
    </row>
    <row r="960">
      <c r="A960" s="185"/>
      <c r="B960" s="67"/>
      <c r="C960" s="186"/>
      <c r="D960" s="186"/>
      <c r="E960" s="186"/>
      <c r="F960" s="186"/>
      <c r="G960" s="186"/>
      <c r="H960" s="186"/>
      <c r="I960" s="186"/>
      <c r="J960" s="186"/>
      <c r="K960" s="186"/>
      <c r="L960" s="186"/>
      <c r="M960" s="67"/>
      <c r="N960" s="67"/>
      <c r="O960" s="67"/>
      <c r="P960" s="67"/>
      <c r="Q960" s="186"/>
      <c r="R960" s="186"/>
      <c r="S960" s="187"/>
      <c r="T960" s="187"/>
      <c r="U960" s="186"/>
      <c r="V960" s="186"/>
      <c r="W960" s="186"/>
    </row>
    <row r="961">
      <c r="A961" s="185"/>
      <c r="B961" s="67"/>
      <c r="C961" s="186"/>
      <c r="D961" s="186"/>
      <c r="E961" s="186"/>
      <c r="F961" s="186"/>
      <c r="G961" s="186"/>
      <c r="H961" s="186"/>
      <c r="I961" s="186"/>
      <c r="J961" s="186"/>
      <c r="K961" s="186"/>
      <c r="L961" s="186"/>
      <c r="M961" s="67"/>
      <c r="N961" s="67"/>
      <c r="O961" s="67"/>
      <c r="P961" s="67"/>
      <c r="Q961" s="186"/>
      <c r="R961" s="186"/>
      <c r="S961" s="187"/>
      <c r="T961" s="187"/>
      <c r="U961" s="186"/>
      <c r="V961" s="186"/>
      <c r="W961" s="186"/>
    </row>
    <row r="962">
      <c r="A962" s="185"/>
      <c r="B962" s="67"/>
      <c r="C962" s="186"/>
      <c r="D962" s="186"/>
      <c r="E962" s="186"/>
      <c r="F962" s="186"/>
      <c r="G962" s="186"/>
      <c r="H962" s="186"/>
      <c r="I962" s="186"/>
      <c r="J962" s="186"/>
      <c r="K962" s="186"/>
      <c r="L962" s="186"/>
      <c r="M962" s="67"/>
      <c r="N962" s="67"/>
      <c r="O962" s="67"/>
      <c r="P962" s="67"/>
      <c r="Q962" s="186"/>
      <c r="R962" s="186"/>
      <c r="S962" s="187"/>
      <c r="T962" s="187"/>
      <c r="U962" s="186"/>
      <c r="V962" s="186"/>
      <c r="W962" s="186"/>
    </row>
    <row r="963">
      <c r="A963" s="185"/>
      <c r="B963" s="67"/>
      <c r="C963" s="186"/>
      <c r="D963" s="186"/>
      <c r="E963" s="186"/>
      <c r="F963" s="186"/>
      <c r="G963" s="186"/>
      <c r="H963" s="186"/>
      <c r="I963" s="186"/>
      <c r="J963" s="186"/>
      <c r="K963" s="186"/>
      <c r="L963" s="186"/>
      <c r="M963" s="67"/>
      <c r="N963" s="67"/>
      <c r="O963" s="67"/>
      <c r="P963" s="67"/>
      <c r="Q963" s="186"/>
      <c r="R963" s="186"/>
      <c r="S963" s="187"/>
      <c r="T963" s="187"/>
      <c r="U963" s="186"/>
      <c r="V963" s="186"/>
      <c r="W963" s="186"/>
    </row>
    <row r="964">
      <c r="A964" s="185"/>
      <c r="B964" s="67"/>
      <c r="C964" s="186"/>
      <c r="D964" s="186"/>
      <c r="E964" s="186"/>
      <c r="F964" s="186"/>
      <c r="G964" s="186"/>
      <c r="H964" s="186"/>
      <c r="I964" s="186"/>
      <c r="J964" s="186"/>
      <c r="K964" s="186"/>
      <c r="L964" s="186"/>
      <c r="M964" s="67"/>
      <c r="N964" s="67"/>
      <c r="O964" s="67"/>
      <c r="P964" s="67"/>
      <c r="Q964" s="186"/>
      <c r="R964" s="186"/>
      <c r="S964" s="187"/>
      <c r="T964" s="187"/>
      <c r="U964" s="186"/>
      <c r="V964" s="186"/>
      <c r="W964" s="186"/>
    </row>
    <row r="965">
      <c r="A965" s="185"/>
      <c r="B965" s="67"/>
      <c r="C965" s="186"/>
      <c r="D965" s="186"/>
      <c r="E965" s="186"/>
      <c r="F965" s="186"/>
      <c r="G965" s="186"/>
      <c r="H965" s="186"/>
      <c r="I965" s="186"/>
      <c r="J965" s="186"/>
      <c r="K965" s="186"/>
      <c r="L965" s="186"/>
      <c r="M965" s="67"/>
      <c r="N965" s="67"/>
      <c r="O965" s="67"/>
      <c r="P965" s="67"/>
      <c r="Q965" s="186"/>
      <c r="R965" s="186"/>
      <c r="S965" s="187"/>
      <c r="T965" s="187"/>
      <c r="U965" s="186"/>
      <c r="V965" s="186"/>
      <c r="W965" s="186"/>
    </row>
    <row r="966">
      <c r="A966" s="185"/>
      <c r="B966" s="67"/>
      <c r="C966" s="186"/>
      <c r="D966" s="186"/>
      <c r="E966" s="186"/>
      <c r="F966" s="186"/>
      <c r="G966" s="186"/>
      <c r="H966" s="186"/>
      <c r="I966" s="186"/>
      <c r="J966" s="186"/>
      <c r="K966" s="186"/>
      <c r="L966" s="186"/>
      <c r="M966" s="67"/>
      <c r="N966" s="67"/>
      <c r="O966" s="67"/>
      <c r="P966" s="67"/>
      <c r="Q966" s="186"/>
      <c r="R966" s="186"/>
      <c r="S966" s="187"/>
      <c r="T966" s="187"/>
      <c r="U966" s="186"/>
      <c r="V966" s="186"/>
      <c r="W966" s="186"/>
    </row>
    <row r="967">
      <c r="A967" s="185"/>
      <c r="B967" s="67"/>
      <c r="C967" s="186"/>
      <c r="D967" s="186"/>
      <c r="E967" s="186"/>
      <c r="F967" s="186"/>
      <c r="G967" s="186"/>
      <c r="H967" s="186"/>
      <c r="I967" s="186"/>
      <c r="J967" s="186"/>
      <c r="K967" s="186"/>
      <c r="L967" s="186"/>
      <c r="M967" s="67"/>
      <c r="N967" s="67"/>
      <c r="O967" s="67"/>
      <c r="P967" s="67"/>
      <c r="Q967" s="186"/>
      <c r="R967" s="186"/>
      <c r="S967" s="187"/>
      <c r="T967" s="187"/>
      <c r="U967" s="186"/>
      <c r="V967" s="186"/>
      <c r="W967" s="186"/>
    </row>
    <row r="968">
      <c r="A968" s="185"/>
      <c r="B968" s="67"/>
      <c r="C968" s="186"/>
      <c r="D968" s="186"/>
      <c r="E968" s="186"/>
      <c r="F968" s="186"/>
      <c r="G968" s="186"/>
      <c r="H968" s="186"/>
      <c r="I968" s="186"/>
      <c r="J968" s="186"/>
      <c r="K968" s="186"/>
      <c r="L968" s="186"/>
      <c r="M968" s="67"/>
      <c r="N968" s="67"/>
      <c r="O968" s="67"/>
      <c r="P968" s="67"/>
      <c r="Q968" s="186"/>
      <c r="R968" s="186"/>
      <c r="S968" s="187"/>
      <c r="T968" s="187"/>
      <c r="U968" s="186"/>
      <c r="V968" s="186"/>
      <c r="W968" s="186"/>
    </row>
    <row r="969">
      <c r="A969" s="185"/>
      <c r="B969" s="67"/>
      <c r="C969" s="186"/>
      <c r="D969" s="186"/>
      <c r="E969" s="186"/>
      <c r="F969" s="186"/>
      <c r="G969" s="186"/>
      <c r="H969" s="186"/>
      <c r="I969" s="186"/>
      <c r="J969" s="186"/>
      <c r="K969" s="186"/>
      <c r="L969" s="186"/>
      <c r="M969" s="67"/>
      <c r="N969" s="67"/>
      <c r="O969" s="67"/>
      <c r="P969" s="67"/>
      <c r="Q969" s="186"/>
      <c r="R969" s="186"/>
      <c r="S969" s="187"/>
      <c r="T969" s="187"/>
      <c r="U969" s="186"/>
      <c r="V969" s="186"/>
      <c r="W969" s="186"/>
    </row>
    <row r="970">
      <c r="A970" s="185"/>
      <c r="B970" s="67"/>
      <c r="C970" s="186"/>
      <c r="D970" s="186"/>
      <c r="E970" s="186"/>
      <c r="F970" s="186"/>
      <c r="G970" s="186"/>
      <c r="H970" s="186"/>
      <c r="I970" s="186"/>
      <c r="J970" s="186"/>
      <c r="K970" s="186"/>
      <c r="L970" s="186"/>
      <c r="M970" s="67"/>
      <c r="N970" s="67"/>
      <c r="O970" s="67"/>
      <c r="P970" s="67"/>
      <c r="Q970" s="186"/>
      <c r="R970" s="186"/>
      <c r="S970" s="187"/>
      <c r="T970" s="187"/>
      <c r="U970" s="186"/>
      <c r="V970" s="186"/>
      <c r="W970" s="186"/>
    </row>
    <row r="971">
      <c r="A971" s="185"/>
      <c r="B971" s="67"/>
      <c r="C971" s="186"/>
      <c r="D971" s="186"/>
      <c r="E971" s="186"/>
      <c r="F971" s="186"/>
      <c r="G971" s="186"/>
      <c r="H971" s="186"/>
      <c r="I971" s="186"/>
      <c r="J971" s="186"/>
      <c r="K971" s="186"/>
      <c r="L971" s="186"/>
      <c r="M971" s="67"/>
      <c r="N971" s="67"/>
      <c r="O971" s="67"/>
      <c r="P971" s="67"/>
      <c r="Q971" s="186"/>
      <c r="R971" s="186"/>
      <c r="S971" s="187"/>
      <c r="T971" s="187"/>
      <c r="U971" s="186"/>
      <c r="V971" s="186"/>
      <c r="W971" s="186"/>
    </row>
    <row r="972">
      <c r="A972" s="185"/>
      <c r="B972" s="67"/>
      <c r="C972" s="186"/>
      <c r="D972" s="186"/>
      <c r="E972" s="186"/>
      <c r="F972" s="186"/>
      <c r="G972" s="186"/>
      <c r="H972" s="186"/>
      <c r="I972" s="186"/>
      <c r="J972" s="186"/>
      <c r="K972" s="186"/>
      <c r="L972" s="186"/>
      <c r="M972" s="67"/>
      <c r="N972" s="67"/>
      <c r="O972" s="67"/>
      <c r="P972" s="67"/>
      <c r="Q972" s="186"/>
      <c r="R972" s="186"/>
      <c r="S972" s="187"/>
      <c r="T972" s="187"/>
      <c r="U972" s="186"/>
      <c r="V972" s="186"/>
      <c r="W972" s="186"/>
    </row>
    <row r="973">
      <c r="A973" s="185"/>
      <c r="B973" s="67"/>
      <c r="C973" s="186"/>
      <c r="D973" s="186"/>
      <c r="E973" s="186"/>
      <c r="F973" s="186"/>
      <c r="G973" s="186"/>
      <c r="H973" s="186"/>
      <c r="I973" s="186"/>
      <c r="J973" s="186"/>
      <c r="K973" s="186"/>
      <c r="L973" s="186"/>
      <c r="M973" s="67"/>
      <c r="N973" s="67"/>
      <c r="O973" s="67"/>
      <c r="P973" s="67"/>
      <c r="Q973" s="186"/>
      <c r="R973" s="186"/>
      <c r="S973" s="187"/>
      <c r="T973" s="187"/>
      <c r="U973" s="186"/>
      <c r="V973" s="186"/>
      <c r="W973" s="186"/>
    </row>
    <row r="974">
      <c r="A974" s="185"/>
      <c r="B974" s="67"/>
      <c r="C974" s="186"/>
      <c r="D974" s="186"/>
      <c r="E974" s="186"/>
      <c r="F974" s="186"/>
      <c r="G974" s="186"/>
      <c r="H974" s="186"/>
      <c r="I974" s="186"/>
      <c r="J974" s="186"/>
      <c r="K974" s="186"/>
      <c r="L974" s="186"/>
      <c r="M974" s="67"/>
      <c r="N974" s="67"/>
      <c r="O974" s="67"/>
      <c r="P974" s="67"/>
      <c r="Q974" s="186"/>
      <c r="R974" s="186"/>
      <c r="S974" s="187"/>
      <c r="T974" s="187"/>
      <c r="U974" s="186"/>
      <c r="V974" s="186"/>
      <c r="W974" s="186"/>
    </row>
    <row r="975">
      <c r="A975" s="185"/>
      <c r="B975" s="67"/>
      <c r="C975" s="186"/>
      <c r="D975" s="186"/>
      <c r="E975" s="186"/>
      <c r="F975" s="186"/>
      <c r="G975" s="186"/>
      <c r="H975" s="186"/>
      <c r="I975" s="186"/>
      <c r="J975" s="186"/>
      <c r="K975" s="186"/>
      <c r="L975" s="186"/>
      <c r="M975" s="67"/>
      <c r="N975" s="67"/>
      <c r="O975" s="67"/>
      <c r="P975" s="67"/>
      <c r="Q975" s="186"/>
      <c r="R975" s="186"/>
      <c r="S975" s="187"/>
      <c r="T975" s="187"/>
      <c r="U975" s="186"/>
      <c r="V975" s="186"/>
      <c r="W975" s="186"/>
    </row>
    <row r="976">
      <c r="A976" s="185"/>
      <c r="B976" s="67"/>
      <c r="C976" s="186"/>
      <c r="D976" s="186"/>
      <c r="E976" s="186"/>
      <c r="F976" s="186"/>
      <c r="G976" s="186"/>
      <c r="H976" s="186"/>
      <c r="I976" s="186"/>
      <c r="J976" s="186"/>
      <c r="K976" s="186"/>
      <c r="L976" s="186"/>
      <c r="M976" s="67"/>
      <c r="N976" s="67"/>
      <c r="O976" s="67"/>
      <c r="P976" s="67"/>
      <c r="Q976" s="186"/>
      <c r="R976" s="186"/>
      <c r="S976" s="187"/>
      <c r="T976" s="187"/>
      <c r="U976" s="186"/>
      <c r="V976" s="186"/>
      <c r="W976" s="186"/>
    </row>
    <row r="977">
      <c r="A977" s="185"/>
      <c r="B977" s="67"/>
      <c r="C977" s="186"/>
      <c r="D977" s="186"/>
      <c r="E977" s="186"/>
      <c r="F977" s="186"/>
      <c r="G977" s="186"/>
      <c r="H977" s="186"/>
      <c r="I977" s="186"/>
      <c r="J977" s="186"/>
      <c r="K977" s="186"/>
      <c r="L977" s="186"/>
      <c r="M977" s="67"/>
      <c r="N977" s="67"/>
      <c r="O977" s="67"/>
      <c r="P977" s="67"/>
      <c r="Q977" s="186"/>
      <c r="R977" s="186"/>
      <c r="S977" s="187"/>
      <c r="T977" s="187"/>
      <c r="U977" s="186"/>
      <c r="V977" s="186"/>
      <c r="W977" s="186"/>
    </row>
    <row r="978">
      <c r="A978" s="185"/>
      <c r="B978" s="67"/>
      <c r="C978" s="186"/>
      <c r="D978" s="186"/>
      <c r="E978" s="186"/>
      <c r="F978" s="186"/>
      <c r="G978" s="186"/>
      <c r="H978" s="186"/>
      <c r="I978" s="186"/>
      <c r="J978" s="186"/>
      <c r="K978" s="186"/>
      <c r="L978" s="186"/>
      <c r="M978" s="67"/>
      <c r="N978" s="67"/>
      <c r="O978" s="67"/>
      <c r="P978" s="67"/>
      <c r="Q978" s="186"/>
      <c r="R978" s="186"/>
      <c r="S978" s="187"/>
      <c r="T978" s="187"/>
      <c r="U978" s="186"/>
      <c r="V978" s="186"/>
      <c r="W978" s="186"/>
    </row>
    <row r="979">
      <c r="A979" s="185"/>
      <c r="B979" s="67"/>
      <c r="C979" s="186"/>
      <c r="D979" s="186"/>
      <c r="E979" s="186"/>
      <c r="F979" s="186"/>
      <c r="G979" s="186"/>
      <c r="H979" s="186"/>
      <c r="I979" s="186"/>
      <c r="J979" s="186"/>
      <c r="K979" s="186"/>
      <c r="L979" s="186"/>
      <c r="M979" s="67"/>
      <c r="N979" s="67"/>
      <c r="O979" s="67"/>
      <c r="P979" s="67"/>
      <c r="Q979" s="186"/>
      <c r="R979" s="186"/>
      <c r="S979" s="187"/>
      <c r="T979" s="187"/>
      <c r="U979" s="186"/>
      <c r="V979" s="186"/>
      <c r="W979" s="186"/>
    </row>
    <row r="980">
      <c r="A980" s="185"/>
      <c r="B980" s="67"/>
      <c r="C980" s="186"/>
      <c r="D980" s="186"/>
      <c r="E980" s="186"/>
      <c r="F980" s="186"/>
      <c r="G980" s="186"/>
      <c r="H980" s="186"/>
      <c r="I980" s="186"/>
      <c r="J980" s="186"/>
      <c r="K980" s="186"/>
      <c r="L980" s="186"/>
      <c r="M980" s="67"/>
      <c r="N980" s="67"/>
      <c r="O980" s="67"/>
      <c r="P980" s="67"/>
      <c r="Q980" s="186"/>
      <c r="R980" s="186"/>
      <c r="S980" s="187"/>
      <c r="T980" s="187"/>
      <c r="U980" s="186"/>
      <c r="V980" s="186"/>
      <c r="W980" s="186"/>
    </row>
    <row r="981">
      <c r="A981" s="185"/>
      <c r="B981" s="67"/>
      <c r="C981" s="186"/>
      <c r="D981" s="186"/>
      <c r="E981" s="186"/>
      <c r="F981" s="186"/>
      <c r="G981" s="186"/>
      <c r="H981" s="186"/>
      <c r="I981" s="186"/>
      <c r="J981" s="186"/>
      <c r="K981" s="186"/>
      <c r="L981" s="186"/>
      <c r="M981" s="67"/>
      <c r="N981" s="67"/>
      <c r="O981" s="67"/>
      <c r="P981" s="67"/>
      <c r="Q981" s="186"/>
      <c r="R981" s="186"/>
      <c r="S981" s="187"/>
      <c r="T981" s="187"/>
      <c r="U981" s="186"/>
      <c r="V981" s="186"/>
      <c r="W981" s="186"/>
    </row>
    <row r="982">
      <c r="A982" s="185"/>
      <c r="B982" s="67"/>
      <c r="C982" s="186"/>
      <c r="D982" s="186"/>
      <c r="E982" s="186"/>
      <c r="F982" s="186"/>
      <c r="G982" s="186"/>
      <c r="H982" s="186"/>
      <c r="I982" s="186"/>
      <c r="J982" s="186"/>
      <c r="K982" s="186"/>
      <c r="L982" s="186"/>
      <c r="M982" s="67"/>
      <c r="N982" s="67"/>
      <c r="O982" s="67"/>
      <c r="P982" s="67"/>
      <c r="Q982" s="186"/>
      <c r="R982" s="186"/>
      <c r="S982" s="187"/>
      <c r="T982" s="187"/>
      <c r="U982" s="186"/>
      <c r="V982" s="186"/>
      <c r="W982" s="186"/>
    </row>
    <row r="983">
      <c r="A983" s="185"/>
      <c r="B983" s="67"/>
      <c r="C983" s="186"/>
      <c r="D983" s="186"/>
      <c r="E983" s="186"/>
      <c r="F983" s="186"/>
      <c r="G983" s="186"/>
      <c r="H983" s="186"/>
      <c r="I983" s="186"/>
      <c r="J983" s="186"/>
      <c r="K983" s="186"/>
      <c r="L983" s="186"/>
      <c r="M983" s="67"/>
      <c r="N983" s="67"/>
      <c r="O983" s="67"/>
      <c r="P983" s="67"/>
      <c r="Q983" s="186"/>
      <c r="R983" s="186"/>
      <c r="S983" s="187"/>
      <c r="T983" s="187"/>
      <c r="U983" s="186"/>
      <c r="V983" s="186"/>
      <c r="W983" s="186"/>
    </row>
    <row r="984">
      <c r="A984" s="185"/>
      <c r="B984" s="67"/>
      <c r="C984" s="186"/>
      <c r="D984" s="186"/>
      <c r="E984" s="186"/>
      <c r="F984" s="186"/>
      <c r="G984" s="186"/>
      <c r="H984" s="186"/>
      <c r="I984" s="186"/>
      <c r="J984" s="186"/>
      <c r="K984" s="186"/>
      <c r="L984" s="186"/>
      <c r="M984" s="67"/>
      <c r="N984" s="67"/>
      <c r="O984" s="67"/>
      <c r="P984" s="67"/>
      <c r="Q984" s="186"/>
      <c r="R984" s="186"/>
      <c r="S984" s="187"/>
      <c r="T984" s="187"/>
      <c r="U984" s="186"/>
      <c r="V984" s="186"/>
      <c r="W984" s="186"/>
    </row>
    <row r="985">
      <c r="A985" s="185"/>
      <c r="B985" s="67"/>
      <c r="C985" s="186"/>
      <c r="D985" s="186"/>
      <c r="E985" s="186"/>
      <c r="F985" s="186"/>
      <c r="G985" s="186"/>
      <c r="H985" s="186"/>
      <c r="I985" s="186"/>
      <c r="J985" s="186"/>
      <c r="K985" s="186"/>
      <c r="L985" s="186"/>
      <c r="M985" s="67"/>
      <c r="N985" s="67"/>
      <c r="O985" s="67"/>
      <c r="P985" s="67"/>
      <c r="Q985" s="186"/>
      <c r="R985" s="186"/>
      <c r="S985" s="187"/>
      <c r="T985" s="187"/>
      <c r="U985" s="186"/>
      <c r="V985" s="186"/>
      <c r="W985" s="186"/>
    </row>
    <row r="986">
      <c r="A986" s="185"/>
      <c r="B986" s="67"/>
      <c r="C986" s="186"/>
      <c r="D986" s="186"/>
      <c r="E986" s="186"/>
      <c r="F986" s="186"/>
      <c r="G986" s="186"/>
      <c r="H986" s="186"/>
      <c r="I986" s="186"/>
      <c r="J986" s="186"/>
      <c r="K986" s="186"/>
      <c r="L986" s="186"/>
      <c r="M986" s="67"/>
      <c r="N986" s="67"/>
      <c r="O986" s="67"/>
      <c r="P986" s="67"/>
      <c r="Q986" s="186"/>
      <c r="R986" s="186"/>
      <c r="S986" s="187"/>
      <c r="T986" s="187"/>
      <c r="U986" s="186"/>
      <c r="V986" s="186"/>
      <c r="W986" s="186"/>
    </row>
    <row r="987">
      <c r="A987" s="185"/>
      <c r="B987" s="67"/>
      <c r="C987" s="186"/>
      <c r="D987" s="186"/>
      <c r="E987" s="186"/>
      <c r="F987" s="186"/>
      <c r="G987" s="186"/>
      <c r="H987" s="186"/>
      <c r="I987" s="186"/>
      <c r="J987" s="186"/>
      <c r="K987" s="186"/>
      <c r="L987" s="186"/>
      <c r="M987" s="67"/>
      <c r="N987" s="67"/>
      <c r="O987" s="67"/>
      <c r="P987" s="67"/>
      <c r="Q987" s="186"/>
      <c r="R987" s="186"/>
      <c r="S987" s="187"/>
      <c r="T987" s="187"/>
      <c r="U987" s="186"/>
      <c r="V987" s="186"/>
      <c r="W987" s="186"/>
    </row>
    <row r="988">
      <c r="A988" s="185"/>
      <c r="B988" s="67"/>
      <c r="C988" s="186"/>
      <c r="D988" s="186"/>
      <c r="E988" s="186"/>
      <c r="F988" s="186"/>
      <c r="G988" s="186"/>
      <c r="H988" s="186"/>
      <c r="I988" s="186"/>
      <c r="J988" s="186"/>
      <c r="K988" s="186"/>
      <c r="L988" s="186"/>
      <c r="M988" s="67"/>
      <c r="N988" s="67"/>
      <c r="O988" s="67"/>
      <c r="P988" s="67"/>
      <c r="Q988" s="186"/>
      <c r="R988" s="186"/>
      <c r="S988" s="187"/>
      <c r="T988" s="187"/>
      <c r="U988" s="186"/>
      <c r="V988" s="186"/>
      <c r="W988" s="186"/>
    </row>
    <row r="989">
      <c r="A989" s="185"/>
      <c r="B989" s="67"/>
      <c r="C989" s="186"/>
      <c r="D989" s="186"/>
      <c r="E989" s="186"/>
      <c r="F989" s="186"/>
      <c r="G989" s="186"/>
      <c r="H989" s="186"/>
      <c r="I989" s="186"/>
      <c r="J989" s="186"/>
      <c r="K989" s="186"/>
      <c r="L989" s="186"/>
      <c r="M989" s="67"/>
      <c r="N989" s="67"/>
      <c r="O989" s="67"/>
      <c r="P989" s="67"/>
      <c r="Q989" s="186"/>
      <c r="R989" s="186"/>
      <c r="S989" s="187"/>
      <c r="T989" s="187"/>
      <c r="U989" s="186"/>
      <c r="V989" s="186"/>
      <c r="W989" s="186"/>
    </row>
    <row r="990">
      <c r="A990" s="185"/>
      <c r="B990" s="67"/>
      <c r="C990" s="186"/>
      <c r="D990" s="186"/>
      <c r="E990" s="186"/>
      <c r="F990" s="186"/>
      <c r="G990" s="186"/>
      <c r="H990" s="186"/>
      <c r="I990" s="186"/>
      <c r="J990" s="186"/>
      <c r="K990" s="186"/>
      <c r="L990" s="186"/>
      <c r="M990" s="67"/>
      <c r="N990" s="67"/>
      <c r="O990" s="67"/>
      <c r="P990" s="67"/>
      <c r="Q990" s="186"/>
      <c r="R990" s="186"/>
      <c r="S990" s="187"/>
      <c r="T990" s="187"/>
      <c r="U990" s="186"/>
      <c r="V990" s="186"/>
      <c r="W990" s="186"/>
    </row>
    <row r="991">
      <c r="A991" s="185"/>
      <c r="B991" s="67"/>
      <c r="C991" s="186"/>
      <c r="D991" s="186"/>
      <c r="E991" s="186"/>
      <c r="F991" s="186"/>
      <c r="G991" s="186"/>
      <c r="H991" s="186"/>
      <c r="I991" s="186"/>
      <c r="J991" s="186"/>
      <c r="K991" s="186"/>
      <c r="L991" s="186"/>
      <c r="M991" s="67"/>
      <c r="N991" s="67"/>
      <c r="O991" s="67"/>
      <c r="P991" s="67"/>
      <c r="Q991" s="186"/>
      <c r="R991" s="186"/>
      <c r="S991" s="187"/>
      <c r="T991" s="187"/>
      <c r="U991" s="186"/>
      <c r="V991" s="186"/>
      <c r="W991" s="186"/>
    </row>
    <row r="992">
      <c r="A992" s="185"/>
      <c r="B992" s="67"/>
      <c r="C992" s="186"/>
      <c r="D992" s="186"/>
      <c r="E992" s="186"/>
      <c r="F992" s="186"/>
      <c r="G992" s="186"/>
      <c r="H992" s="186"/>
      <c r="I992" s="186"/>
      <c r="J992" s="186"/>
      <c r="K992" s="186"/>
      <c r="L992" s="186"/>
      <c r="M992" s="67"/>
      <c r="N992" s="67"/>
      <c r="O992" s="67"/>
      <c r="P992" s="67"/>
      <c r="Q992" s="186"/>
      <c r="R992" s="186"/>
      <c r="S992" s="187"/>
      <c r="T992" s="187"/>
      <c r="U992" s="186"/>
      <c r="V992" s="186"/>
      <c r="W992" s="186"/>
    </row>
    <row r="993">
      <c r="A993" s="185"/>
      <c r="B993" s="67"/>
      <c r="C993" s="186"/>
      <c r="D993" s="186"/>
      <c r="E993" s="186"/>
      <c r="F993" s="186"/>
      <c r="G993" s="186"/>
      <c r="H993" s="186"/>
      <c r="I993" s="186"/>
      <c r="J993" s="186"/>
      <c r="K993" s="186"/>
      <c r="L993" s="186"/>
      <c r="M993" s="67"/>
      <c r="N993" s="67"/>
      <c r="O993" s="67"/>
      <c r="P993" s="67"/>
      <c r="Q993" s="186"/>
      <c r="R993" s="186"/>
      <c r="S993" s="187"/>
      <c r="T993" s="187"/>
      <c r="U993" s="186"/>
      <c r="V993" s="186"/>
      <c r="W993" s="186"/>
    </row>
    <row r="994">
      <c r="A994" s="185"/>
      <c r="B994" s="67"/>
      <c r="C994" s="186"/>
      <c r="D994" s="186"/>
      <c r="E994" s="186"/>
      <c r="F994" s="186"/>
      <c r="G994" s="186"/>
      <c r="H994" s="186"/>
      <c r="I994" s="186"/>
      <c r="J994" s="186"/>
      <c r="K994" s="186"/>
      <c r="L994" s="186"/>
      <c r="M994" s="67"/>
      <c r="N994" s="67"/>
      <c r="O994" s="67"/>
      <c r="P994" s="67"/>
      <c r="Q994" s="186"/>
      <c r="R994" s="186"/>
      <c r="S994" s="187"/>
      <c r="T994" s="187"/>
      <c r="U994" s="186"/>
      <c r="V994" s="186"/>
      <c r="W994" s="186"/>
    </row>
    <row r="995">
      <c r="A995" s="185"/>
      <c r="B995" s="67"/>
      <c r="C995" s="186"/>
      <c r="D995" s="186"/>
      <c r="E995" s="186"/>
      <c r="F995" s="186"/>
      <c r="G995" s="186"/>
      <c r="H995" s="186"/>
      <c r="I995" s="186"/>
      <c r="J995" s="186"/>
      <c r="K995" s="186"/>
      <c r="L995" s="186"/>
      <c r="M995" s="67"/>
      <c r="N995" s="67"/>
      <c r="O995" s="67"/>
      <c r="P995" s="67"/>
      <c r="Q995" s="186"/>
      <c r="R995" s="186"/>
      <c r="S995" s="187"/>
      <c r="T995" s="187"/>
      <c r="U995" s="186"/>
      <c r="V995" s="186"/>
      <c r="W995" s="186"/>
    </row>
    <row r="996">
      <c r="A996" s="185"/>
      <c r="B996" s="67"/>
      <c r="C996" s="186"/>
      <c r="D996" s="186"/>
      <c r="E996" s="186"/>
      <c r="F996" s="186"/>
      <c r="G996" s="186"/>
      <c r="H996" s="186"/>
      <c r="I996" s="186"/>
      <c r="J996" s="186"/>
      <c r="K996" s="186"/>
      <c r="L996" s="186"/>
      <c r="M996" s="67"/>
      <c r="N996" s="67"/>
      <c r="O996" s="67"/>
      <c r="P996" s="67"/>
      <c r="Q996" s="186"/>
      <c r="R996" s="186"/>
      <c r="S996" s="187"/>
      <c r="T996" s="187"/>
      <c r="U996" s="186"/>
      <c r="V996" s="186"/>
      <c r="W996" s="186"/>
    </row>
    <row r="997">
      <c r="A997" s="185"/>
      <c r="B997" s="67"/>
      <c r="C997" s="186"/>
      <c r="D997" s="186"/>
      <c r="E997" s="186"/>
      <c r="F997" s="186"/>
      <c r="G997" s="186"/>
      <c r="H997" s="186"/>
      <c r="I997" s="186"/>
      <c r="J997" s="186"/>
      <c r="K997" s="186"/>
      <c r="L997" s="186"/>
      <c r="M997" s="67"/>
      <c r="N997" s="67"/>
      <c r="O997" s="67"/>
      <c r="P997" s="67"/>
      <c r="Q997" s="186"/>
      <c r="R997" s="186"/>
      <c r="S997" s="187"/>
      <c r="T997" s="187"/>
      <c r="U997" s="186"/>
      <c r="V997" s="186"/>
      <c r="W997" s="186"/>
    </row>
    <row r="998">
      <c r="A998" s="185"/>
      <c r="B998" s="67"/>
      <c r="C998" s="186"/>
      <c r="D998" s="186"/>
      <c r="E998" s="186"/>
      <c r="F998" s="186"/>
      <c r="G998" s="186"/>
      <c r="H998" s="186"/>
      <c r="I998" s="186"/>
      <c r="J998" s="186"/>
      <c r="K998" s="186"/>
      <c r="L998" s="186"/>
      <c r="M998" s="67"/>
      <c r="N998" s="67"/>
      <c r="O998" s="67"/>
      <c r="P998" s="67"/>
      <c r="Q998" s="186"/>
      <c r="R998" s="186"/>
      <c r="S998" s="187"/>
      <c r="T998" s="187"/>
      <c r="U998" s="186"/>
      <c r="V998" s="186"/>
      <c r="W998" s="186"/>
    </row>
    <row r="999">
      <c r="A999" s="185"/>
      <c r="B999" s="67"/>
      <c r="C999" s="186"/>
      <c r="D999" s="186"/>
      <c r="E999" s="186"/>
      <c r="F999" s="186"/>
      <c r="G999" s="186"/>
      <c r="H999" s="186"/>
      <c r="I999" s="186"/>
      <c r="J999" s="186"/>
      <c r="K999" s="186"/>
      <c r="L999" s="186"/>
      <c r="M999" s="67"/>
      <c r="N999" s="67"/>
      <c r="O999" s="67"/>
      <c r="P999" s="67"/>
      <c r="Q999" s="186"/>
      <c r="R999" s="186"/>
      <c r="S999" s="187"/>
      <c r="T999" s="187"/>
      <c r="U999" s="186"/>
      <c r="V999" s="186"/>
      <c r="W999" s="186"/>
    </row>
    <row r="1000">
      <c r="A1000" s="185"/>
      <c r="B1000" s="67"/>
      <c r="C1000" s="186"/>
      <c r="D1000" s="186"/>
      <c r="E1000" s="186"/>
      <c r="F1000" s="186"/>
      <c r="G1000" s="186"/>
      <c r="H1000" s="186"/>
      <c r="I1000" s="186"/>
      <c r="J1000" s="186"/>
      <c r="K1000" s="186"/>
      <c r="L1000" s="186"/>
      <c r="M1000" s="67"/>
      <c r="N1000" s="67"/>
      <c r="O1000" s="67"/>
      <c r="P1000" s="67"/>
      <c r="Q1000" s="186"/>
      <c r="R1000" s="186"/>
      <c r="S1000" s="187"/>
      <c r="T1000" s="187"/>
      <c r="U1000" s="186"/>
      <c r="V1000" s="186"/>
      <c r="W1000" s="186"/>
    </row>
    <row r="1001">
      <c r="A1001" s="185"/>
      <c r="B1001" s="67"/>
      <c r="C1001" s="186"/>
      <c r="D1001" s="186"/>
      <c r="E1001" s="186"/>
      <c r="F1001" s="186"/>
      <c r="G1001" s="186"/>
      <c r="H1001" s="186"/>
      <c r="I1001" s="186"/>
      <c r="J1001" s="186"/>
      <c r="K1001" s="186"/>
      <c r="L1001" s="186"/>
      <c r="M1001" s="67"/>
      <c r="N1001" s="67"/>
      <c r="O1001" s="67"/>
      <c r="P1001" s="67"/>
      <c r="Q1001" s="186"/>
      <c r="R1001" s="186"/>
      <c r="S1001" s="187"/>
      <c r="T1001" s="187"/>
      <c r="U1001" s="186"/>
      <c r="V1001" s="186"/>
      <c r="W1001" s="186"/>
    </row>
    <row r="1002">
      <c r="A1002" s="185"/>
      <c r="B1002" s="67"/>
      <c r="C1002" s="186"/>
      <c r="D1002" s="186"/>
      <c r="E1002" s="186"/>
      <c r="F1002" s="186"/>
      <c r="G1002" s="186"/>
      <c r="H1002" s="186"/>
      <c r="I1002" s="186"/>
      <c r="J1002" s="186"/>
      <c r="K1002" s="186"/>
      <c r="L1002" s="186"/>
      <c r="M1002" s="67"/>
      <c r="N1002" s="67"/>
      <c r="O1002" s="67"/>
      <c r="P1002" s="67"/>
      <c r="Q1002" s="186"/>
      <c r="R1002" s="186"/>
      <c r="S1002" s="187"/>
      <c r="T1002" s="187"/>
      <c r="U1002" s="186"/>
      <c r="V1002" s="186"/>
      <c r="W1002" s="186"/>
    </row>
    <row r="1003">
      <c r="A1003" s="185"/>
      <c r="B1003" s="67"/>
      <c r="C1003" s="186"/>
      <c r="D1003" s="186"/>
      <c r="E1003" s="186"/>
      <c r="F1003" s="186"/>
      <c r="G1003" s="186"/>
      <c r="H1003" s="186"/>
      <c r="I1003" s="186"/>
      <c r="J1003" s="186"/>
      <c r="K1003" s="186"/>
      <c r="L1003" s="186"/>
      <c r="M1003" s="67"/>
      <c r="N1003" s="67"/>
      <c r="O1003" s="67"/>
      <c r="P1003" s="67"/>
      <c r="Q1003" s="186"/>
      <c r="R1003" s="186"/>
      <c r="S1003" s="187"/>
      <c r="T1003" s="187"/>
      <c r="U1003" s="186"/>
      <c r="V1003" s="186"/>
      <c r="W1003" s="186"/>
    </row>
    <row r="1004">
      <c r="A1004" s="185"/>
      <c r="B1004" s="67"/>
      <c r="C1004" s="186"/>
      <c r="D1004" s="186"/>
      <c r="E1004" s="186"/>
      <c r="F1004" s="186"/>
      <c r="G1004" s="186"/>
      <c r="H1004" s="186"/>
      <c r="I1004" s="186"/>
      <c r="J1004" s="186"/>
      <c r="K1004" s="186"/>
      <c r="L1004" s="186"/>
      <c r="M1004" s="67"/>
      <c r="N1004" s="67"/>
      <c r="O1004" s="67"/>
      <c r="P1004" s="67"/>
      <c r="Q1004" s="186"/>
      <c r="R1004" s="186"/>
      <c r="S1004" s="187"/>
      <c r="T1004" s="187"/>
      <c r="U1004" s="186"/>
      <c r="V1004" s="186"/>
      <c r="W1004" s="186"/>
    </row>
    <row r="1005">
      <c r="A1005" s="185"/>
      <c r="B1005" s="67"/>
      <c r="C1005" s="186"/>
      <c r="D1005" s="186"/>
      <c r="E1005" s="186"/>
      <c r="F1005" s="186"/>
      <c r="G1005" s="186"/>
      <c r="H1005" s="186"/>
      <c r="I1005" s="186"/>
      <c r="J1005" s="186"/>
      <c r="K1005" s="186"/>
      <c r="L1005" s="186"/>
      <c r="M1005" s="67"/>
      <c r="N1005" s="67"/>
      <c r="O1005" s="67"/>
      <c r="P1005" s="67"/>
      <c r="Q1005" s="186"/>
      <c r="R1005" s="186"/>
      <c r="S1005" s="187"/>
      <c r="T1005" s="187"/>
      <c r="U1005" s="186"/>
      <c r="V1005" s="186"/>
      <c r="W1005" s="186"/>
    </row>
    <row r="1006">
      <c r="A1006" s="185"/>
      <c r="B1006" s="67"/>
      <c r="C1006" s="186"/>
      <c r="D1006" s="186"/>
      <c r="E1006" s="186"/>
      <c r="F1006" s="186"/>
      <c r="G1006" s="186"/>
      <c r="H1006" s="186"/>
      <c r="I1006" s="186"/>
      <c r="J1006" s="186"/>
      <c r="K1006" s="186"/>
      <c r="L1006" s="186"/>
      <c r="M1006" s="67"/>
      <c r="N1006" s="67"/>
      <c r="O1006" s="67"/>
      <c r="P1006" s="67"/>
      <c r="Q1006" s="186"/>
      <c r="R1006" s="186"/>
      <c r="S1006" s="187"/>
      <c r="T1006" s="187"/>
      <c r="U1006" s="186"/>
      <c r="V1006" s="186"/>
      <c r="W1006" s="186"/>
    </row>
    <row r="1007">
      <c r="A1007" s="185"/>
      <c r="B1007" s="67"/>
      <c r="C1007" s="186"/>
      <c r="D1007" s="186"/>
      <c r="E1007" s="186"/>
      <c r="F1007" s="186"/>
      <c r="G1007" s="186"/>
      <c r="H1007" s="186"/>
      <c r="I1007" s="186"/>
      <c r="J1007" s="186"/>
      <c r="K1007" s="186"/>
      <c r="L1007" s="186"/>
      <c r="M1007" s="67"/>
      <c r="N1007" s="67"/>
      <c r="O1007" s="67"/>
      <c r="P1007" s="67"/>
      <c r="Q1007" s="186"/>
      <c r="R1007" s="186"/>
      <c r="S1007" s="187"/>
      <c r="T1007" s="187"/>
      <c r="U1007" s="186"/>
      <c r="V1007" s="186"/>
      <c r="W1007" s="186"/>
    </row>
    <row r="1008">
      <c r="A1008" s="185"/>
      <c r="B1008" s="67"/>
      <c r="C1008" s="186"/>
      <c r="D1008" s="186"/>
      <c r="E1008" s="186"/>
      <c r="F1008" s="186"/>
      <c r="G1008" s="186"/>
      <c r="H1008" s="186"/>
      <c r="I1008" s="186"/>
      <c r="J1008" s="186"/>
      <c r="K1008" s="186"/>
      <c r="L1008" s="186"/>
      <c r="M1008" s="67"/>
      <c r="N1008" s="67"/>
      <c r="O1008" s="67"/>
      <c r="P1008" s="67"/>
      <c r="Q1008" s="186"/>
      <c r="R1008" s="186"/>
      <c r="S1008" s="187"/>
      <c r="T1008" s="187"/>
      <c r="U1008" s="186"/>
      <c r="V1008" s="186"/>
      <c r="W1008" s="186"/>
    </row>
    <row r="1009">
      <c r="A1009" s="185"/>
      <c r="B1009" s="67"/>
      <c r="C1009" s="186"/>
      <c r="D1009" s="186"/>
      <c r="E1009" s="186"/>
      <c r="F1009" s="186"/>
      <c r="G1009" s="186"/>
      <c r="H1009" s="186"/>
      <c r="I1009" s="186"/>
      <c r="J1009" s="186"/>
      <c r="K1009" s="186"/>
      <c r="L1009" s="186"/>
      <c r="M1009" s="67"/>
      <c r="N1009" s="67"/>
      <c r="O1009" s="67"/>
      <c r="P1009" s="67"/>
      <c r="Q1009" s="186"/>
      <c r="R1009" s="186"/>
      <c r="S1009" s="187"/>
      <c r="T1009" s="187"/>
      <c r="U1009" s="186"/>
      <c r="V1009" s="186"/>
      <c r="W1009" s="186"/>
    </row>
    <row r="1010">
      <c r="A1010" s="185"/>
      <c r="B1010" s="67"/>
      <c r="C1010" s="186"/>
      <c r="D1010" s="186"/>
      <c r="E1010" s="186"/>
      <c r="F1010" s="186"/>
      <c r="G1010" s="186"/>
      <c r="H1010" s="186"/>
      <c r="I1010" s="186"/>
      <c r="J1010" s="186"/>
      <c r="K1010" s="186"/>
      <c r="L1010" s="186"/>
      <c r="M1010" s="67"/>
      <c r="N1010" s="67"/>
      <c r="O1010" s="67"/>
      <c r="P1010" s="67"/>
      <c r="Q1010" s="186"/>
      <c r="R1010" s="186"/>
      <c r="S1010" s="187"/>
      <c r="T1010" s="187"/>
      <c r="U1010" s="186"/>
      <c r="V1010" s="186"/>
      <c r="W1010" s="186"/>
    </row>
    <row r="1011">
      <c r="A1011" s="185"/>
      <c r="B1011" s="67"/>
      <c r="C1011" s="186"/>
      <c r="D1011" s="186"/>
      <c r="E1011" s="186"/>
      <c r="F1011" s="186"/>
      <c r="G1011" s="186"/>
      <c r="H1011" s="186"/>
      <c r="I1011" s="186"/>
      <c r="J1011" s="186"/>
      <c r="K1011" s="186"/>
      <c r="L1011" s="186"/>
      <c r="M1011" s="67"/>
      <c r="N1011" s="67"/>
      <c r="O1011" s="67"/>
      <c r="P1011" s="67"/>
      <c r="Q1011" s="186"/>
      <c r="R1011" s="186"/>
      <c r="S1011" s="187"/>
      <c r="T1011" s="187"/>
      <c r="U1011" s="186"/>
      <c r="V1011" s="186"/>
      <c r="W1011" s="186"/>
    </row>
    <row r="1012">
      <c r="A1012" s="185"/>
      <c r="B1012" s="67"/>
      <c r="C1012" s="186"/>
      <c r="D1012" s="186"/>
      <c r="E1012" s="186"/>
      <c r="F1012" s="186"/>
      <c r="G1012" s="186"/>
      <c r="H1012" s="186"/>
      <c r="I1012" s="186"/>
      <c r="J1012" s="186"/>
      <c r="K1012" s="186"/>
      <c r="L1012" s="186"/>
      <c r="M1012" s="67"/>
      <c r="N1012" s="67"/>
      <c r="O1012" s="67"/>
      <c r="P1012" s="67"/>
      <c r="Q1012" s="186"/>
      <c r="R1012" s="186"/>
      <c r="S1012" s="187"/>
      <c r="T1012" s="187"/>
      <c r="U1012" s="186"/>
      <c r="V1012" s="186"/>
      <c r="W1012" s="186"/>
    </row>
    <row r="1013">
      <c r="A1013" s="185"/>
      <c r="B1013" s="67"/>
      <c r="C1013" s="186"/>
      <c r="D1013" s="186"/>
      <c r="E1013" s="186"/>
      <c r="F1013" s="186"/>
      <c r="G1013" s="186"/>
      <c r="H1013" s="186"/>
      <c r="I1013" s="186"/>
      <c r="J1013" s="186"/>
      <c r="K1013" s="186"/>
      <c r="L1013" s="186"/>
      <c r="M1013" s="67"/>
      <c r="N1013" s="67"/>
      <c r="O1013" s="67"/>
      <c r="P1013" s="67"/>
      <c r="Q1013" s="186"/>
      <c r="R1013" s="186"/>
      <c r="S1013" s="187"/>
      <c r="T1013" s="187"/>
      <c r="U1013" s="186"/>
      <c r="V1013" s="186"/>
      <c r="W1013" s="186"/>
    </row>
    <row r="1014">
      <c r="A1014" s="185"/>
      <c r="B1014" s="67"/>
      <c r="C1014" s="186"/>
      <c r="D1014" s="186"/>
      <c r="E1014" s="186"/>
      <c r="F1014" s="186"/>
      <c r="G1014" s="186"/>
      <c r="H1014" s="186"/>
      <c r="I1014" s="186"/>
      <c r="J1014" s="186"/>
      <c r="K1014" s="186"/>
      <c r="L1014" s="186"/>
      <c r="M1014" s="67"/>
      <c r="N1014" s="67"/>
      <c r="O1014" s="67"/>
      <c r="P1014" s="67"/>
      <c r="Q1014" s="186"/>
      <c r="R1014" s="186"/>
      <c r="S1014" s="187"/>
      <c r="T1014" s="187"/>
      <c r="U1014" s="186"/>
      <c r="V1014" s="186"/>
      <c r="W1014" s="186"/>
    </row>
    <row r="1015">
      <c r="A1015" s="185"/>
      <c r="B1015" s="67"/>
      <c r="C1015" s="186"/>
      <c r="D1015" s="186"/>
      <c r="E1015" s="186"/>
      <c r="F1015" s="186"/>
      <c r="G1015" s="186"/>
      <c r="H1015" s="186"/>
      <c r="I1015" s="186"/>
      <c r="J1015" s="186"/>
      <c r="K1015" s="186"/>
      <c r="L1015" s="186"/>
      <c r="M1015" s="67"/>
      <c r="N1015" s="67"/>
      <c r="O1015" s="67"/>
      <c r="P1015" s="67"/>
      <c r="Q1015" s="186"/>
      <c r="R1015" s="186"/>
      <c r="S1015" s="187"/>
      <c r="T1015" s="187"/>
      <c r="U1015" s="186"/>
      <c r="V1015" s="186"/>
      <c r="W1015" s="186"/>
    </row>
    <row r="1016">
      <c r="A1016" s="185"/>
      <c r="B1016" s="67"/>
      <c r="C1016" s="186"/>
      <c r="D1016" s="186"/>
      <c r="E1016" s="186"/>
      <c r="F1016" s="186"/>
      <c r="G1016" s="186"/>
      <c r="H1016" s="186"/>
      <c r="I1016" s="186"/>
      <c r="J1016" s="186"/>
      <c r="K1016" s="186"/>
      <c r="L1016" s="186"/>
      <c r="M1016" s="67"/>
      <c r="N1016" s="67"/>
      <c r="O1016" s="67"/>
      <c r="P1016" s="67"/>
      <c r="Q1016" s="186"/>
      <c r="R1016" s="186"/>
      <c r="S1016" s="187"/>
      <c r="T1016" s="187"/>
      <c r="U1016" s="186"/>
      <c r="V1016" s="186"/>
      <c r="W1016" s="186"/>
    </row>
    <row r="1017">
      <c r="A1017" s="185"/>
      <c r="B1017" s="67"/>
      <c r="C1017" s="186"/>
      <c r="D1017" s="186"/>
      <c r="E1017" s="186"/>
      <c r="F1017" s="186"/>
      <c r="G1017" s="186"/>
      <c r="H1017" s="186"/>
      <c r="I1017" s="186"/>
      <c r="J1017" s="186"/>
      <c r="K1017" s="186"/>
      <c r="L1017" s="186"/>
      <c r="M1017" s="67"/>
      <c r="N1017" s="67"/>
      <c r="O1017" s="67"/>
      <c r="P1017" s="67"/>
      <c r="Q1017" s="186"/>
      <c r="R1017" s="186"/>
      <c r="S1017" s="187"/>
      <c r="T1017" s="187"/>
      <c r="U1017" s="186"/>
      <c r="V1017" s="186"/>
      <c r="W1017" s="186"/>
    </row>
    <row r="1018">
      <c r="A1018" s="185"/>
      <c r="B1018" s="67"/>
      <c r="C1018" s="186"/>
      <c r="D1018" s="186"/>
      <c r="E1018" s="186"/>
      <c r="F1018" s="186"/>
      <c r="G1018" s="186"/>
      <c r="H1018" s="186"/>
      <c r="I1018" s="186"/>
      <c r="J1018" s="186"/>
      <c r="K1018" s="186"/>
      <c r="L1018" s="186"/>
      <c r="M1018" s="67"/>
      <c r="N1018" s="67"/>
      <c r="O1018" s="67"/>
      <c r="P1018" s="67"/>
      <c r="Q1018" s="186"/>
      <c r="R1018" s="186"/>
      <c r="S1018" s="187"/>
      <c r="T1018" s="187"/>
      <c r="U1018" s="186"/>
      <c r="V1018" s="186"/>
      <c r="W1018" s="186"/>
    </row>
    <row r="1019">
      <c r="A1019" s="185"/>
      <c r="B1019" s="67"/>
      <c r="C1019" s="186"/>
      <c r="D1019" s="186"/>
      <c r="E1019" s="186"/>
      <c r="F1019" s="186"/>
      <c r="G1019" s="186"/>
      <c r="H1019" s="186"/>
      <c r="I1019" s="186"/>
      <c r="J1019" s="186"/>
      <c r="K1019" s="186"/>
      <c r="L1019" s="186"/>
      <c r="M1019" s="67"/>
      <c r="N1019" s="67"/>
      <c r="O1019" s="67"/>
      <c r="P1019" s="67"/>
      <c r="Q1019" s="186"/>
      <c r="R1019" s="186"/>
      <c r="S1019" s="187"/>
      <c r="T1019" s="187"/>
      <c r="U1019" s="186"/>
      <c r="V1019" s="186"/>
      <c r="W1019" s="186"/>
    </row>
    <row r="1020">
      <c r="A1020" s="185"/>
      <c r="B1020" s="67"/>
      <c r="C1020" s="186"/>
      <c r="D1020" s="186"/>
      <c r="E1020" s="186"/>
      <c r="F1020" s="186"/>
      <c r="G1020" s="186"/>
      <c r="H1020" s="186"/>
      <c r="I1020" s="186"/>
      <c r="J1020" s="186"/>
      <c r="K1020" s="186"/>
      <c r="L1020" s="186"/>
      <c r="M1020" s="67"/>
      <c r="N1020" s="67"/>
      <c r="O1020" s="67"/>
      <c r="P1020" s="67"/>
      <c r="Q1020" s="186"/>
      <c r="R1020" s="186"/>
      <c r="S1020" s="187"/>
      <c r="T1020" s="187"/>
      <c r="U1020" s="186"/>
      <c r="V1020" s="186"/>
      <c r="W1020" s="186"/>
    </row>
    <row r="1021">
      <c r="A1021" s="185"/>
      <c r="B1021" s="67"/>
      <c r="C1021" s="186"/>
      <c r="D1021" s="186"/>
      <c r="E1021" s="186"/>
      <c r="F1021" s="186"/>
      <c r="G1021" s="186"/>
      <c r="H1021" s="186"/>
      <c r="I1021" s="186"/>
      <c r="J1021" s="186"/>
      <c r="K1021" s="186"/>
      <c r="L1021" s="186"/>
      <c r="M1021" s="67"/>
      <c r="N1021" s="67"/>
      <c r="O1021" s="67"/>
      <c r="P1021" s="67"/>
      <c r="Q1021" s="186"/>
      <c r="R1021" s="186"/>
      <c r="S1021" s="187"/>
      <c r="T1021" s="187"/>
      <c r="U1021" s="186"/>
      <c r="V1021" s="186"/>
      <c r="W1021" s="186"/>
    </row>
    <row r="1022">
      <c r="A1022" s="185"/>
      <c r="B1022" s="67"/>
      <c r="C1022" s="186"/>
      <c r="D1022" s="186"/>
      <c r="E1022" s="186"/>
      <c r="F1022" s="186"/>
      <c r="G1022" s="186"/>
      <c r="H1022" s="186"/>
      <c r="I1022" s="186"/>
      <c r="J1022" s="186"/>
      <c r="K1022" s="186"/>
      <c r="L1022" s="186"/>
      <c r="M1022" s="67"/>
      <c r="N1022" s="67"/>
      <c r="O1022" s="67"/>
      <c r="P1022" s="67"/>
      <c r="Q1022" s="186"/>
      <c r="R1022" s="186"/>
      <c r="S1022" s="187"/>
      <c r="T1022" s="187"/>
      <c r="U1022" s="186"/>
      <c r="V1022" s="186"/>
      <c r="W1022" s="186"/>
    </row>
    <row r="1023">
      <c r="A1023" s="185"/>
      <c r="B1023" s="67"/>
      <c r="C1023" s="186"/>
      <c r="D1023" s="186"/>
      <c r="E1023" s="186"/>
      <c r="F1023" s="186"/>
      <c r="G1023" s="186"/>
      <c r="H1023" s="186"/>
      <c r="I1023" s="186"/>
      <c r="J1023" s="186"/>
      <c r="K1023" s="186"/>
      <c r="L1023" s="186"/>
      <c r="M1023" s="67"/>
      <c r="N1023" s="67"/>
      <c r="O1023" s="67"/>
      <c r="P1023" s="67"/>
      <c r="Q1023" s="186"/>
      <c r="R1023" s="186"/>
      <c r="S1023" s="187"/>
      <c r="T1023" s="187"/>
      <c r="U1023" s="186"/>
      <c r="V1023" s="186"/>
      <c r="W1023" s="186"/>
    </row>
    <row r="1024">
      <c r="A1024" s="185"/>
      <c r="B1024" s="67"/>
      <c r="C1024" s="186"/>
      <c r="D1024" s="186"/>
      <c r="E1024" s="186"/>
      <c r="F1024" s="186"/>
      <c r="G1024" s="186"/>
      <c r="H1024" s="186"/>
      <c r="I1024" s="186"/>
      <c r="J1024" s="186"/>
      <c r="K1024" s="186"/>
      <c r="L1024" s="186"/>
      <c r="M1024" s="67"/>
      <c r="N1024" s="67"/>
      <c r="O1024" s="67"/>
      <c r="P1024" s="67"/>
      <c r="Q1024" s="186"/>
      <c r="R1024" s="186"/>
      <c r="S1024" s="187"/>
      <c r="T1024" s="187"/>
      <c r="U1024" s="186"/>
      <c r="V1024" s="186"/>
      <c r="W1024" s="186"/>
    </row>
    <row r="1025">
      <c r="A1025" s="185"/>
      <c r="B1025" s="67"/>
      <c r="C1025" s="186"/>
      <c r="D1025" s="186"/>
      <c r="E1025" s="186"/>
      <c r="F1025" s="186"/>
      <c r="G1025" s="186"/>
      <c r="H1025" s="186"/>
      <c r="I1025" s="186"/>
      <c r="J1025" s="186"/>
      <c r="K1025" s="186"/>
      <c r="L1025" s="186"/>
      <c r="M1025" s="67"/>
      <c r="N1025" s="67"/>
      <c r="O1025" s="67"/>
      <c r="P1025" s="67"/>
      <c r="Q1025" s="186"/>
      <c r="R1025" s="186"/>
      <c r="S1025" s="187"/>
      <c r="T1025" s="187"/>
      <c r="U1025" s="186"/>
      <c r="V1025" s="186"/>
      <c r="W1025" s="186"/>
    </row>
    <row r="1026">
      <c r="A1026" s="185"/>
      <c r="B1026" s="67"/>
      <c r="C1026" s="186"/>
      <c r="D1026" s="186"/>
      <c r="E1026" s="186"/>
      <c r="F1026" s="186"/>
      <c r="G1026" s="186"/>
      <c r="H1026" s="186"/>
      <c r="I1026" s="186"/>
      <c r="J1026" s="186"/>
      <c r="K1026" s="186"/>
      <c r="L1026" s="186"/>
      <c r="M1026" s="67"/>
      <c r="N1026" s="67"/>
      <c r="O1026" s="67"/>
      <c r="P1026" s="67"/>
      <c r="Q1026" s="186"/>
      <c r="R1026" s="186"/>
      <c r="S1026" s="187"/>
      <c r="T1026" s="187"/>
      <c r="U1026" s="186"/>
      <c r="V1026" s="186"/>
      <c r="W1026" s="186"/>
    </row>
    <row r="1027">
      <c r="A1027" s="185"/>
      <c r="B1027" s="67"/>
      <c r="C1027" s="186"/>
      <c r="D1027" s="186"/>
      <c r="E1027" s="186"/>
      <c r="F1027" s="186"/>
      <c r="G1027" s="186"/>
      <c r="H1027" s="186"/>
      <c r="I1027" s="186"/>
      <c r="J1027" s="186"/>
      <c r="K1027" s="186"/>
      <c r="L1027" s="186"/>
      <c r="M1027" s="67"/>
      <c r="N1027" s="67"/>
      <c r="O1027" s="67"/>
      <c r="P1027" s="67"/>
      <c r="Q1027" s="186"/>
      <c r="R1027" s="186"/>
      <c r="S1027" s="187"/>
      <c r="T1027" s="187"/>
      <c r="U1027" s="186"/>
      <c r="V1027" s="186"/>
      <c r="W1027" s="186"/>
    </row>
    <row r="1028">
      <c r="A1028" s="185"/>
      <c r="B1028" s="67"/>
      <c r="C1028" s="186"/>
      <c r="D1028" s="186"/>
      <c r="E1028" s="186"/>
      <c r="F1028" s="186"/>
      <c r="G1028" s="186"/>
      <c r="H1028" s="186"/>
      <c r="I1028" s="186"/>
      <c r="J1028" s="186"/>
      <c r="K1028" s="186"/>
      <c r="L1028" s="186"/>
      <c r="M1028" s="67"/>
      <c r="N1028" s="67"/>
      <c r="O1028" s="67"/>
      <c r="P1028" s="67"/>
      <c r="Q1028" s="186"/>
      <c r="R1028" s="186"/>
      <c r="S1028" s="187"/>
      <c r="T1028" s="187"/>
      <c r="U1028" s="186"/>
      <c r="V1028" s="186"/>
      <c r="W1028" s="186"/>
    </row>
    <row r="1029">
      <c r="A1029" s="185"/>
      <c r="B1029" s="67"/>
      <c r="C1029" s="186"/>
      <c r="D1029" s="186"/>
      <c r="E1029" s="186"/>
      <c r="F1029" s="186"/>
      <c r="G1029" s="186"/>
      <c r="H1029" s="186"/>
      <c r="I1029" s="186"/>
      <c r="J1029" s="186"/>
      <c r="K1029" s="186"/>
      <c r="L1029" s="186"/>
      <c r="M1029" s="67"/>
      <c r="N1029" s="67"/>
      <c r="O1029" s="67"/>
      <c r="P1029" s="67"/>
      <c r="Q1029" s="186"/>
      <c r="R1029" s="186"/>
      <c r="S1029" s="187"/>
      <c r="T1029" s="187"/>
      <c r="U1029" s="186"/>
      <c r="V1029" s="186"/>
      <c r="W1029" s="186"/>
    </row>
    <row r="1030">
      <c r="A1030" s="185"/>
      <c r="B1030" s="67"/>
      <c r="C1030" s="186"/>
      <c r="D1030" s="186"/>
      <c r="E1030" s="186"/>
      <c r="F1030" s="186"/>
      <c r="G1030" s="186"/>
      <c r="H1030" s="186"/>
      <c r="I1030" s="186"/>
      <c r="J1030" s="186"/>
      <c r="K1030" s="186"/>
      <c r="L1030" s="186"/>
      <c r="M1030" s="67"/>
      <c r="N1030" s="67"/>
      <c r="O1030" s="67"/>
      <c r="P1030" s="67"/>
      <c r="Q1030" s="186"/>
      <c r="R1030" s="186"/>
      <c r="S1030" s="187"/>
      <c r="T1030" s="187"/>
      <c r="U1030" s="186"/>
      <c r="V1030" s="186"/>
      <c r="W1030" s="186"/>
    </row>
    <row r="1031">
      <c r="A1031" s="185"/>
      <c r="B1031" s="67"/>
      <c r="C1031" s="186"/>
      <c r="D1031" s="186"/>
      <c r="E1031" s="186"/>
      <c r="F1031" s="186"/>
      <c r="G1031" s="186"/>
      <c r="H1031" s="186"/>
      <c r="I1031" s="186"/>
      <c r="J1031" s="186"/>
      <c r="K1031" s="186"/>
      <c r="L1031" s="186"/>
      <c r="M1031" s="67"/>
      <c r="N1031" s="67"/>
      <c r="O1031" s="67"/>
      <c r="P1031" s="67"/>
      <c r="Q1031" s="186"/>
      <c r="R1031" s="186"/>
      <c r="S1031" s="187"/>
      <c r="T1031" s="187"/>
      <c r="U1031" s="186"/>
      <c r="V1031" s="186"/>
      <c r="W1031" s="186"/>
    </row>
    <row r="1032">
      <c r="A1032" s="185"/>
      <c r="B1032" s="67"/>
      <c r="C1032" s="186"/>
      <c r="D1032" s="186"/>
      <c r="E1032" s="186"/>
      <c r="F1032" s="186"/>
      <c r="G1032" s="186"/>
      <c r="H1032" s="186"/>
      <c r="I1032" s="186"/>
      <c r="J1032" s="186"/>
      <c r="K1032" s="186"/>
      <c r="L1032" s="186"/>
      <c r="M1032" s="67"/>
      <c r="N1032" s="67"/>
      <c r="O1032" s="67"/>
      <c r="P1032" s="67"/>
      <c r="Q1032" s="186"/>
      <c r="R1032" s="186"/>
      <c r="S1032" s="187"/>
      <c r="T1032" s="187"/>
      <c r="U1032" s="186"/>
      <c r="V1032" s="186"/>
      <c r="W1032" s="186"/>
    </row>
    <row r="1033">
      <c r="A1033" s="185"/>
      <c r="B1033" s="67"/>
      <c r="C1033" s="186"/>
      <c r="D1033" s="186"/>
      <c r="E1033" s="186"/>
      <c r="F1033" s="186"/>
      <c r="G1033" s="186"/>
      <c r="H1033" s="186"/>
      <c r="I1033" s="186"/>
      <c r="J1033" s="186"/>
      <c r="K1033" s="186"/>
      <c r="L1033" s="186"/>
      <c r="M1033" s="67"/>
      <c r="N1033" s="67"/>
      <c r="O1033" s="67"/>
      <c r="P1033" s="67"/>
      <c r="Q1033" s="186"/>
      <c r="R1033" s="186"/>
      <c r="S1033" s="187"/>
      <c r="T1033" s="187"/>
      <c r="U1033" s="186"/>
      <c r="V1033" s="186"/>
      <c r="W1033" s="186"/>
    </row>
    <row r="1034">
      <c r="A1034" s="185"/>
      <c r="B1034" s="67"/>
      <c r="C1034" s="186"/>
      <c r="D1034" s="186"/>
      <c r="E1034" s="186"/>
      <c r="F1034" s="186"/>
      <c r="G1034" s="186"/>
      <c r="H1034" s="186"/>
      <c r="I1034" s="186"/>
      <c r="J1034" s="186"/>
      <c r="K1034" s="186"/>
      <c r="L1034" s="186"/>
      <c r="M1034" s="67"/>
      <c r="N1034" s="67"/>
      <c r="O1034" s="67"/>
      <c r="P1034" s="67"/>
      <c r="Q1034" s="186"/>
      <c r="R1034" s="186"/>
      <c r="S1034" s="187"/>
      <c r="T1034" s="187"/>
      <c r="U1034" s="186"/>
      <c r="V1034" s="186"/>
      <c r="W1034" s="186"/>
    </row>
    <row r="1035">
      <c r="A1035" s="185"/>
      <c r="B1035" s="67"/>
      <c r="C1035" s="186"/>
      <c r="D1035" s="186"/>
      <c r="E1035" s="186"/>
      <c r="F1035" s="186"/>
      <c r="G1035" s="186"/>
      <c r="H1035" s="186"/>
      <c r="I1035" s="186"/>
      <c r="J1035" s="186"/>
      <c r="K1035" s="186"/>
      <c r="L1035" s="186"/>
      <c r="M1035" s="67"/>
      <c r="N1035" s="67"/>
      <c r="O1035" s="67"/>
      <c r="P1035" s="67"/>
      <c r="Q1035" s="186"/>
      <c r="R1035" s="186"/>
      <c r="S1035" s="187"/>
      <c r="T1035" s="187"/>
      <c r="U1035" s="186"/>
      <c r="V1035" s="186"/>
      <c r="W1035" s="186"/>
    </row>
    <row r="1036">
      <c r="A1036" s="185"/>
      <c r="B1036" s="67"/>
      <c r="C1036" s="186"/>
      <c r="D1036" s="186"/>
      <c r="E1036" s="186"/>
      <c r="F1036" s="186"/>
      <c r="G1036" s="186"/>
      <c r="H1036" s="186"/>
      <c r="I1036" s="186"/>
      <c r="J1036" s="186"/>
      <c r="K1036" s="186"/>
      <c r="L1036" s="186"/>
      <c r="M1036" s="67"/>
      <c r="N1036" s="67"/>
      <c r="O1036" s="67"/>
      <c r="P1036" s="67"/>
      <c r="Q1036" s="186"/>
      <c r="R1036" s="186"/>
      <c r="S1036" s="187"/>
      <c r="T1036" s="187"/>
      <c r="U1036" s="186"/>
      <c r="V1036" s="186"/>
      <c r="W1036" s="186"/>
    </row>
    <row r="1037">
      <c r="A1037" s="185"/>
      <c r="B1037" s="67"/>
      <c r="C1037" s="186"/>
      <c r="D1037" s="186"/>
      <c r="E1037" s="186"/>
      <c r="F1037" s="186"/>
      <c r="G1037" s="186"/>
      <c r="H1037" s="186"/>
      <c r="I1037" s="186"/>
      <c r="J1037" s="186"/>
      <c r="K1037" s="186"/>
      <c r="L1037" s="186"/>
      <c r="M1037" s="67"/>
      <c r="N1037" s="67"/>
      <c r="O1037" s="67"/>
      <c r="P1037" s="67"/>
      <c r="Q1037" s="186"/>
      <c r="R1037" s="186"/>
      <c r="S1037" s="187"/>
      <c r="T1037" s="187"/>
      <c r="U1037" s="186"/>
      <c r="V1037" s="186"/>
      <c r="W1037" s="186"/>
    </row>
    <row r="1038">
      <c r="A1038" s="185"/>
      <c r="B1038" s="67"/>
      <c r="C1038" s="186"/>
      <c r="D1038" s="186"/>
      <c r="E1038" s="186"/>
      <c r="F1038" s="186"/>
      <c r="G1038" s="186"/>
      <c r="H1038" s="186"/>
      <c r="I1038" s="186"/>
      <c r="J1038" s="186"/>
      <c r="K1038" s="186"/>
      <c r="L1038" s="186"/>
      <c r="M1038" s="67"/>
      <c r="N1038" s="67"/>
      <c r="O1038" s="67"/>
      <c r="P1038" s="67"/>
      <c r="Q1038" s="186"/>
      <c r="R1038" s="186"/>
      <c r="S1038" s="187"/>
      <c r="T1038" s="187"/>
      <c r="U1038" s="186"/>
      <c r="V1038" s="186"/>
      <c r="W1038" s="186"/>
    </row>
    <row r="1039">
      <c r="A1039" s="185"/>
      <c r="B1039" s="67"/>
      <c r="C1039" s="186"/>
      <c r="D1039" s="186"/>
      <c r="E1039" s="186"/>
      <c r="F1039" s="186"/>
      <c r="G1039" s="186"/>
      <c r="H1039" s="186"/>
      <c r="I1039" s="186"/>
      <c r="J1039" s="186"/>
      <c r="K1039" s="186"/>
      <c r="L1039" s="186"/>
      <c r="M1039" s="67"/>
      <c r="N1039" s="67"/>
      <c r="O1039" s="67"/>
      <c r="P1039" s="67"/>
      <c r="Q1039" s="186"/>
      <c r="R1039" s="186"/>
      <c r="S1039" s="187"/>
      <c r="T1039" s="187"/>
      <c r="U1039" s="186"/>
      <c r="V1039" s="186"/>
      <c r="W1039" s="186"/>
    </row>
    <row r="1040">
      <c r="A1040" s="185"/>
      <c r="B1040" s="67"/>
      <c r="C1040" s="186"/>
      <c r="D1040" s="186"/>
      <c r="E1040" s="186"/>
      <c r="F1040" s="186"/>
      <c r="G1040" s="186"/>
      <c r="H1040" s="186"/>
      <c r="I1040" s="186"/>
      <c r="J1040" s="186"/>
      <c r="K1040" s="186"/>
      <c r="L1040" s="186"/>
      <c r="M1040" s="67"/>
      <c r="N1040" s="67"/>
      <c r="O1040" s="67"/>
      <c r="P1040" s="67"/>
      <c r="Q1040" s="186"/>
      <c r="R1040" s="186"/>
      <c r="S1040" s="187"/>
      <c r="T1040" s="187"/>
      <c r="U1040" s="186"/>
      <c r="V1040" s="186"/>
      <c r="W1040" s="186"/>
    </row>
    <row r="1041">
      <c r="A1041" s="185"/>
      <c r="B1041" s="67"/>
      <c r="C1041" s="186"/>
      <c r="D1041" s="186"/>
      <c r="E1041" s="186"/>
      <c r="F1041" s="186"/>
      <c r="G1041" s="186"/>
      <c r="H1041" s="186"/>
      <c r="I1041" s="186"/>
      <c r="J1041" s="186"/>
      <c r="K1041" s="186"/>
      <c r="L1041" s="186"/>
      <c r="M1041" s="67"/>
      <c r="N1041" s="67"/>
      <c r="O1041" s="67"/>
      <c r="P1041" s="67"/>
      <c r="Q1041" s="186"/>
      <c r="R1041" s="186"/>
      <c r="S1041" s="187"/>
      <c r="T1041" s="187"/>
      <c r="U1041" s="186"/>
      <c r="V1041" s="186"/>
      <c r="W1041" s="186"/>
    </row>
    <row r="1042">
      <c r="A1042" s="185"/>
      <c r="B1042" s="67"/>
      <c r="C1042" s="186"/>
      <c r="D1042" s="186"/>
      <c r="E1042" s="186"/>
      <c r="F1042" s="186"/>
      <c r="G1042" s="186"/>
      <c r="H1042" s="186"/>
      <c r="I1042" s="186"/>
      <c r="J1042" s="186"/>
      <c r="K1042" s="186"/>
      <c r="L1042" s="186"/>
      <c r="M1042" s="67"/>
      <c r="N1042" s="67"/>
      <c r="O1042" s="67"/>
      <c r="P1042" s="67"/>
      <c r="Q1042" s="186"/>
      <c r="R1042" s="186"/>
      <c r="S1042" s="187"/>
      <c r="T1042" s="187"/>
      <c r="U1042" s="186"/>
      <c r="V1042" s="186"/>
      <c r="W1042" s="186"/>
    </row>
    <row r="1043">
      <c r="A1043" s="185"/>
      <c r="B1043" s="67"/>
      <c r="C1043" s="186"/>
      <c r="D1043" s="186"/>
      <c r="E1043" s="186"/>
      <c r="F1043" s="186"/>
      <c r="G1043" s="186"/>
      <c r="H1043" s="186"/>
      <c r="I1043" s="186"/>
      <c r="J1043" s="186"/>
      <c r="K1043" s="186"/>
      <c r="L1043" s="186"/>
      <c r="M1043" s="67"/>
      <c r="N1043" s="67"/>
      <c r="O1043" s="67"/>
      <c r="P1043" s="67"/>
      <c r="Q1043" s="186"/>
      <c r="R1043" s="186"/>
      <c r="S1043" s="187"/>
      <c r="T1043" s="187"/>
      <c r="U1043" s="186"/>
      <c r="V1043" s="186"/>
      <c r="W1043" s="186"/>
    </row>
    <row r="1044">
      <c r="A1044" s="185"/>
      <c r="B1044" s="67"/>
      <c r="C1044" s="186"/>
      <c r="D1044" s="186"/>
      <c r="E1044" s="186"/>
      <c r="F1044" s="186"/>
      <c r="G1044" s="186"/>
      <c r="H1044" s="186"/>
      <c r="I1044" s="186"/>
      <c r="J1044" s="186"/>
      <c r="K1044" s="186"/>
      <c r="L1044" s="186"/>
      <c r="M1044" s="67"/>
      <c r="N1044" s="67"/>
      <c r="O1044" s="67"/>
      <c r="P1044" s="67"/>
      <c r="Q1044" s="186"/>
      <c r="R1044" s="186"/>
      <c r="S1044" s="187"/>
      <c r="T1044" s="187"/>
      <c r="U1044" s="186"/>
      <c r="V1044" s="186"/>
      <c r="W1044" s="186"/>
    </row>
    <row r="1045">
      <c r="A1045" s="185"/>
      <c r="B1045" s="67"/>
      <c r="C1045" s="186"/>
      <c r="D1045" s="186"/>
      <c r="E1045" s="186"/>
      <c r="F1045" s="186"/>
      <c r="G1045" s="186"/>
      <c r="H1045" s="186"/>
      <c r="I1045" s="186"/>
      <c r="J1045" s="186"/>
      <c r="K1045" s="186"/>
      <c r="L1045" s="186"/>
      <c r="M1045" s="67"/>
      <c r="N1045" s="67"/>
      <c r="O1045" s="67"/>
      <c r="P1045" s="67"/>
      <c r="Q1045" s="186"/>
      <c r="R1045" s="186"/>
      <c r="S1045" s="187"/>
      <c r="T1045" s="187"/>
      <c r="U1045" s="186"/>
      <c r="V1045" s="186"/>
      <c r="W1045" s="186"/>
    </row>
    <row r="1046">
      <c r="A1046" s="185"/>
      <c r="B1046" s="67"/>
      <c r="C1046" s="186"/>
      <c r="D1046" s="186"/>
      <c r="E1046" s="186"/>
      <c r="F1046" s="186"/>
      <c r="G1046" s="186"/>
      <c r="H1046" s="186"/>
      <c r="I1046" s="186"/>
      <c r="J1046" s="186"/>
      <c r="K1046" s="186"/>
      <c r="L1046" s="186"/>
      <c r="M1046" s="67"/>
      <c r="N1046" s="67"/>
      <c r="O1046" s="67"/>
      <c r="P1046" s="67"/>
      <c r="Q1046" s="186"/>
      <c r="R1046" s="186"/>
      <c r="S1046" s="187"/>
      <c r="T1046" s="187"/>
      <c r="U1046" s="186"/>
      <c r="V1046" s="186"/>
      <c r="W1046" s="186"/>
    </row>
    <row r="1047">
      <c r="A1047" s="185"/>
      <c r="B1047" s="67"/>
      <c r="C1047" s="186"/>
      <c r="D1047" s="186"/>
      <c r="E1047" s="186"/>
      <c r="F1047" s="186"/>
      <c r="G1047" s="186"/>
      <c r="H1047" s="186"/>
      <c r="I1047" s="186"/>
      <c r="J1047" s="186"/>
      <c r="K1047" s="186"/>
      <c r="L1047" s="186"/>
      <c r="M1047" s="67"/>
      <c r="N1047" s="67"/>
      <c r="O1047" s="67"/>
      <c r="P1047" s="67"/>
      <c r="Q1047" s="186"/>
      <c r="R1047" s="186"/>
      <c r="S1047" s="187"/>
      <c r="T1047" s="187"/>
      <c r="U1047" s="186"/>
      <c r="V1047" s="186"/>
      <c r="W1047" s="186"/>
    </row>
    <row r="1048">
      <c r="A1048" s="185"/>
      <c r="B1048" s="67"/>
      <c r="C1048" s="186"/>
      <c r="D1048" s="186"/>
      <c r="E1048" s="186"/>
      <c r="F1048" s="186"/>
      <c r="G1048" s="186"/>
      <c r="H1048" s="186"/>
      <c r="I1048" s="186"/>
      <c r="J1048" s="186"/>
      <c r="K1048" s="186"/>
      <c r="L1048" s="186"/>
      <c r="M1048" s="67"/>
      <c r="N1048" s="67"/>
      <c r="O1048" s="67"/>
      <c r="P1048" s="67"/>
      <c r="Q1048" s="186"/>
      <c r="R1048" s="186"/>
      <c r="S1048" s="187"/>
      <c r="T1048" s="187"/>
      <c r="U1048" s="186"/>
      <c r="V1048" s="186"/>
      <c r="W1048" s="186"/>
    </row>
    <row r="1049">
      <c r="A1049" s="185"/>
      <c r="B1049" s="67"/>
      <c r="C1049" s="186"/>
      <c r="D1049" s="186"/>
      <c r="E1049" s="186"/>
      <c r="F1049" s="186"/>
      <c r="G1049" s="186"/>
      <c r="H1049" s="186"/>
      <c r="I1049" s="186"/>
      <c r="J1049" s="186"/>
      <c r="K1049" s="186"/>
      <c r="L1049" s="186"/>
      <c r="M1049" s="67"/>
      <c r="N1049" s="67"/>
      <c r="O1049" s="67"/>
      <c r="P1049" s="67"/>
      <c r="Q1049" s="186"/>
      <c r="R1049" s="186"/>
      <c r="S1049" s="187"/>
      <c r="T1049" s="187"/>
      <c r="U1049" s="186"/>
      <c r="V1049" s="186"/>
      <c r="W1049" s="186"/>
    </row>
    <row r="1050">
      <c r="A1050" s="185"/>
      <c r="B1050" s="67"/>
      <c r="C1050" s="186"/>
      <c r="D1050" s="186"/>
      <c r="E1050" s="186"/>
      <c r="F1050" s="186"/>
      <c r="G1050" s="186"/>
      <c r="H1050" s="186"/>
      <c r="I1050" s="186"/>
      <c r="J1050" s="186"/>
      <c r="K1050" s="186"/>
      <c r="L1050" s="186"/>
      <c r="M1050" s="67"/>
      <c r="N1050" s="67"/>
      <c r="O1050" s="67"/>
      <c r="P1050" s="67"/>
      <c r="Q1050" s="186"/>
      <c r="R1050" s="186"/>
      <c r="S1050" s="187"/>
      <c r="T1050" s="187"/>
      <c r="U1050" s="186"/>
      <c r="V1050" s="186"/>
      <c r="W1050" s="186"/>
    </row>
    <row r="1051">
      <c r="A1051" s="185"/>
      <c r="B1051" s="67"/>
      <c r="C1051" s="186"/>
      <c r="D1051" s="186"/>
      <c r="E1051" s="186"/>
      <c r="F1051" s="186"/>
      <c r="G1051" s="186"/>
      <c r="H1051" s="186"/>
      <c r="I1051" s="186"/>
      <c r="J1051" s="186"/>
      <c r="K1051" s="186"/>
      <c r="L1051" s="186"/>
      <c r="M1051" s="67"/>
      <c r="N1051" s="67"/>
      <c r="O1051" s="67"/>
      <c r="P1051" s="67"/>
      <c r="Q1051" s="186"/>
      <c r="R1051" s="186"/>
      <c r="S1051" s="187"/>
      <c r="T1051" s="187"/>
      <c r="U1051" s="186"/>
      <c r="V1051" s="186"/>
      <c r="W1051" s="186"/>
    </row>
    <row r="1052">
      <c r="A1052" s="185"/>
      <c r="B1052" s="67"/>
      <c r="C1052" s="186"/>
      <c r="D1052" s="186"/>
      <c r="E1052" s="186"/>
      <c r="F1052" s="186"/>
      <c r="G1052" s="186"/>
      <c r="H1052" s="186"/>
      <c r="I1052" s="186"/>
      <c r="J1052" s="186"/>
      <c r="K1052" s="186"/>
      <c r="L1052" s="186"/>
      <c r="M1052" s="67"/>
      <c r="N1052" s="67"/>
      <c r="O1052" s="67"/>
      <c r="P1052" s="67"/>
      <c r="Q1052" s="186"/>
      <c r="R1052" s="186"/>
      <c r="S1052" s="187"/>
      <c r="T1052" s="187"/>
      <c r="U1052" s="186"/>
      <c r="V1052" s="186"/>
      <c r="W1052" s="186"/>
    </row>
    <row r="1053">
      <c r="A1053" s="185"/>
      <c r="B1053" s="67"/>
      <c r="C1053" s="186"/>
      <c r="D1053" s="186"/>
      <c r="E1053" s="186"/>
      <c r="F1053" s="186"/>
      <c r="G1053" s="186"/>
      <c r="H1053" s="186"/>
      <c r="I1053" s="186"/>
      <c r="J1053" s="186"/>
      <c r="K1053" s="186"/>
      <c r="L1053" s="186"/>
      <c r="M1053" s="67"/>
      <c r="N1053" s="67"/>
      <c r="O1053" s="67"/>
      <c r="P1053" s="67"/>
      <c r="Q1053" s="186"/>
      <c r="R1053" s="186"/>
      <c r="S1053" s="187"/>
      <c r="T1053" s="187"/>
      <c r="U1053" s="186"/>
      <c r="V1053" s="186"/>
      <c r="W1053" s="186"/>
    </row>
    <row r="1054">
      <c r="A1054" s="185"/>
      <c r="B1054" s="67"/>
      <c r="C1054" s="186"/>
      <c r="D1054" s="186"/>
      <c r="E1054" s="186"/>
      <c r="F1054" s="186"/>
      <c r="G1054" s="186"/>
      <c r="H1054" s="186"/>
      <c r="I1054" s="186"/>
      <c r="J1054" s="186"/>
      <c r="K1054" s="186"/>
      <c r="L1054" s="186"/>
      <c r="M1054" s="67"/>
      <c r="N1054" s="67"/>
      <c r="O1054" s="67"/>
      <c r="P1054" s="67"/>
      <c r="Q1054" s="186"/>
      <c r="R1054" s="186"/>
      <c r="S1054" s="187"/>
      <c r="T1054" s="187"/>
      <c r="U1054" s="186"/>
      <c r="V1054" s="186"/>
      <c r="W1054" s="186"/>
    </row>
    <row r="1055">
      <c r="A1055" s="185"/>
      <c r="B1055" s="67"/>
      <c r="C1055" s="186"/>
      <c r="D1055" s="186"/>
      <c r="E1055" s="186"/>
      <c r="F1055" s="186"/>
      <c r="G1055" s="186"/>
      <c r="H1055" s="186"/>
      <c r="I1055" s="186"/>
      <c r="J1055" s="186"/>
      <c r="K1055" s="186"/>
      <c r="L1055" s="186"/>
      <c r="M1055" s="67"/>
      <c r="N1055" s="67"/>
      <c r="O1055" s="67"/>
      <c r="P1055" s="67"/>
      <c r="Q1055" s="186"/>
      <c r="R1055" s="186"/>
      <c r="S1055" s="187"/>
      <c r="T1055" s="187"/>
      <c r="U1055" s="186"/>
      <c r="V1055" s="186"/>
      <c r="W1055" s="186"/>
    </row>
    <row r="1056">
      <c r="A1056" s="185"/>
      <c r="B1056" s="67"/>
      <c r="C1056" s="186"/>
      <c r="D1056" s="186"/>
      <c r="E1056" s="186"/>
      <c r="F1056" s="186"/>
      <c r="G1056" s="186"/>
      <c r="H1056" s="186"/>
      <c r="I1056" s="186"/>
      <c r="J1056" s="186"/>
      <c r="K1056" s="186"/>
      <c r="L1056" s="186"/>
      <c r="M1056" s="67"/>
      <c r="N1056" s="67"/>
      <c r="O1056" s="67"/>
      <c r="P1056" s="67"/>
      <c r="Q1056" s="186"/>
      <c r="R1056" s="186"/>
      <c r="S1056" s="187"/>
      <c r="T1056" s="187"/>
      <c r="U1056" s="186"/>
      <c r="V1056" s="186"/>
      <c r="W1056" s="186"/>
    </row>
    <row r="1057">
      <c r="A1057" s="185"/>
      <c r="B1057" s="67"/>
      <c r="C1057" s="186"/>
      <c r="D1057" s="186"/>
      <c r="E1057" s="186"/>
      <c r="F1057" s="186"/>
      <c r="G1057" s="186"/>
      <c r="H1057" s="186"/>
      <c r="I1057" s="186"/>
      <c r="J1057" s="186"/>
      <c r="K1057" s="186"/>
      <c r="L1057" s="186"/>
      <c r="M1057" s="67"/>
      <c r="N1057" s="67"/>
      <c r="O1057" s="67"/>
      <c r="P1057" s="67"/>
      <c r="Q1057" s="186"/>
      <c r="R1057" s="186"/>
      <c r="S1057" s="187"/>
      <c r="T1057" s="187"/>
      <c r="U1057" s="186"/>
      <c r="V1057" s="186"/>
      <c r="W1057" s="186"/>
    </row>
    <row r="1058">
      <c r="A1058" s="185"/>
      <c r="B1058" s="67"/>
      <c r="C1058" s="186"/>
      <c r="D1058" s="186"/>
      <c r="E1058" s="186"/>
      <c r="F1058" s="186"/>
      <c r="G1058" s="186"/>
      <c r="H1058" s="186"/>
      <c r="I1058" s="186"/>
      <c r="J1058" s="186"/>
      <c r="K1058" s="186"/>
      <c r="L1058" s="186"/>
      <c r="M1058" s="67"/>
      <c r="N1058" s="67"/>
      <c r="O1058" s="67"/>
      <c r="P1058" s="67"/>
      <c r="Q1058" s="186"/>
      <c r="R1058" s="186"/>
      <c r="S1058" s="187"/>
      <c r="T1058" s="187"/>
      <c r="U1058" s="186"/>
      <c r="V1058" s="186"/>
      <c r="W1058" s="186"/>
    </row>
    <row r="1059">
      <c r="A1059" s="185"/>
      <c r="B1059" s="67"/>
      <c r="C1059" s="186"/>
      <c r="D1059" s="186"/>
      <c r="E1059" s="186"/>
      <c r="F1059" s="186"/>
      <c r="G1059" s="186"/>
      <c r="H1059" s="186"/>
      <c r="I1059" s="186"/>
      <c r="J1059" s="186"/>
      <c r="K1059" s="186"/>
      <c r="L1059" s="186"/>
      <c r="M1059" s="67"/>
      <c r="N1059" s="67"/>
      <c r="O1059" s="67"/>
      <c r="P1059" s="67"/>
      <c r="Q1059" s="186"/>
      <c r="R1059" s="186"/>
      <c r="S1059" s="187"/>
      <c r="T1059" s="187"/>
      <c r="U1059" s="186"/>
      <c r="V1059" s="186"/>
      <c r="W1059" s="186"/>
    </row>
    <row r="1060">
      <c r="A1060" s="185"/>
      <c r="B1060" s="67"/>
      <c r="C1060" s="186"/>
      <c r="D1060" s="186"/>
      <c r="E1060" s="186"/>
      <c r="F1060" s="186"/>
      <c r="G1060" s="186"/>
      <c r="H1060" s="186"/>
      <c r="I1060" s="186"/>
      <c r="J1060" s="186"/>
      <c r="K1060" s="186"/>
      <c r="L1060" s="186"/>
      <c r="M1060" s="67"/>
      <c r="N1060" s="67"/>
      <c r="O1060" s="67"/>
      <c r="P1060" s="67"/>
      <c r="Q1060" s="186"/>
      <c r="R1060" s="186"/>
      <c r="S1060" s="187"/>
      <c r="T1060" s="187"/>
      <c r="U1060" s="186"/>
      <c r="V1060" s="186"/>
      <c r="W1060" s="186"/>
    </row>
    <row r="1061">
      <c r="A1061" s="185"/>
      <c r="B1061" s="67"/>
      <c r="C1061" s="186"/>
      <c r="D1061" s="186"/>
      <c r="E1061" s="186"/>
      <c r="F1061" s="186"/>
      <c r="G1061" s="186"/>
      <c r="H1061" s="186"/>
      <c r="I1061" s="186"/>
      <c r="J1061" s="186"/>
      <c r="K1061" s="186"/>
      <c r="L1061" s="186"/>
      <c r="M1061" s="67"/>
      <c r="N1061" s="67"/>
      <c r="O1061" s="67"/>
      <c r="P1061" s="67"/>
      <c r="Q1061" s="186"/>
      <c r="R1061" s="186"/>
      <c r="S1061" s="187"/>
      <c r="T1061" s="187"/>
      <c r="U1061" s="186"/>
      <c r="V1061" s="186"/>
      <c r="W1061" s="186"/>
    </row>
    <row r="1062">
      <c r="A1062" s="185"/>
      <c r="B1062" s="67"/>
      <c r="C1062" s="186"/>
      <c r="D1062" s="186"/>
      <c r="E1062" s="186"/>
      <c r="F1062" s="186"/>
      <c r="G1062" s="186"/>
      <c r="H1062" s="186"/>
      <c r="I1062" s="186"/>
      <c r="J1062" s="186"/>
      <c r="K1062" s="186"/>
      <c r="L1062" s="186"/>
      <c r="M1062" s="67"/>
      <c r="N1062" s="67"/>
      <c r="O1062" s="67"/>
      <c r="P1062" s="67"/>
      <c r="Q1062" s="186"/>
      <c r="R1062" s="186"/>
      <c r="S1062" s="187"/>
      <c r="T1062" s="187"/>
      <c r="U1062" s="186"/>
      <c r="V1062" s="186"/>
      <c r="W1062" s="186"/>
    </row>
    <row r="1063">
      <c r="A1063" s="185"/>
      <c r="B1063" s="67"/>
      <c r="C1063" s="186"/>
      <c r="D1063" s="186"/>
      <c r="E1063" s="186"/>
      <c r="F1063" s="186"/>
      <c r="G1063" s="186"/>
      <c r="H1063" s="186"/>
      <c r="I1063" s="186"/>
      <c r="J1063" s="186"/>
      <c r="K1063" s="186"/>
      <c r="L1063" s="186"/>
      <c r="M1063" s="67"/>
      <c r="N1063" s="67"/>
      <c r="O1063" s="67"/>
      <c r="P1063" s="67"/>
      <c r="Q1063" s="186"/>
      <c r="R1063" s="186"/>
      <c r="S1063" s="187"/>
      <c r="T1063" s="187"/>
      <c r="U1063" s="186"/>
      <c r="V1063" s="186"/>
      <c r="W1063" s="186"/>
    </row>
    <row r="1064">
      <c r="A1064" s="185"/>
      <c r="B1064" s="67"/>
      <c r="C1064" s="186"/>
      <c r="D1064" s="186"/>
      <c r="E1064" s="186"/>
      <c r="F1064" s="186"/>
      <c r="G1064" s="186"/>
      <c r="H1064" s="186"/>
      <c r="I1064" s="186"/>
      <c r="J1064" s="186"/>
      <c r="K1064" s="186"/>
      <c r="L1064" s="186"/>
      <c r="M1064" s="67"/>
      <c r="N1064" s="67"/>
      <c r="O1064" s="67"/>
      <c r="P1064" s="67"/>
      <c r="Q1064" s="186"/>
      <c r="R1064" s="186"/>
      <c r="S1064" s="187"/>
      <c r="T1064" s="187"/>
      <c r="U1064" s="186"/>
      <c r="V1064" s="186"/>
      <c r="W1064" s="186"/>
    </row>
    <row r="1065">
      <c r="A1065" s="185"/>
      <c r="B1065" s="67"/>
      <c r="C1065" s="186"/>
      <c r="D1065" s="186"/>
      <c r="E1065" s="186"/>
      <c r="F1065" s="186"/>
      <c r="G1065" s="186"/>
      <c r="H1065" s="186"/>
      <c r="I1065" s="186"/>
      <c r="J1065" s="186"/>
      <c r="K1065" s="186"/>
      <c r="L1065" s="186"/>
      <c r="M1065" s="67"/>
      <c r="N1065" s="67"/>
      <c r="O1065" s="67"/>
      <c r="P1065" s="67"/>
      <c r="Q1065" s="186"/>
      <c r="R1065" s="186"/>
      <c r="S1065" s="187"/>
      <c r="T1065" s="187"/>
      <c r="U1065" s="186"/>
      <c r="V1065" s="186"/>
      <c r="W1065" s="186"/>
    </row>
    <row r="1066">
      <c r="A1066" s="185"/>
      <c r="B1066" s="67"/>
      <c r="C1066" s="186"/>
      <c r="D1066" s="186"/>
      <c r="E1066" s="186"/>
      <c r="F1066" s="186"/>
      <c r="G1066" s="186"/>
      <c r="H1066" s="186"/>
      <c r="I1066" s="186"/>
      <c r="J1066" s="186"/>
      <c r="K1066" s="186"/>
      <c r="L1066" s="186"/>
      <c r="M1066" s="67"/>
      <c r="N1066" s="67"/>
      <c r="O1066" s="67"/>
      <c r="P1066" s="67"/>
      <c r="Q1066" s="186"/>
      <c r="R1066" s="186"/>
      <c r="S1066" s="187"/>
      <c r="T1066" s="187"/>
      <c r="U1066" s="186"/>
      <c r="V1066" s="186"/>
      <c r="W1066" s="186"/>
    </row>
    <row r="1067">
      <c r="A1067" s="185"/>
      <c r="B1067" s="67"/>
      <c r="C1067" s="186"/>
      <c r="D1067" s="186"/>
      <c r="E1067" s="186"/>
      <c r="F1067" s="186"/>
      <c r="G1067" s="186"/>
      <c r="H1067" s="186"/>
      <c r="I1067" s="186"/>
      <c r="J1067" s="186"/>
      <c r="K1067" s="186"/>
      <c r="L1067" s="186"/>
      <c r="M1067" s="67"/>
      <c r="N1067" s="67"/>
      <c r="O1067" s="67"/>
      <c r="P1067" s="67"/>
      <c r="Q1067" s="186"/>
      <c r="R1067" s="186"/>
      <c r="S1067" s="187"/>
      <c r="T1067" s="187"/>
      <c r="U1067" s="186"/>
      <c r="V1067" s="186"/>
      <c r="W1067" s="186"/>
    </row>
    <row r="1068">
      <c r="A1068" s="185"/>
      <c r="B1068" s="67"/>
      <c r="C1068" s="186"/>
      <c r="D1068" s="186"/>
      <c r="E1068" s="186"/>
      <c r="F1068" s="186"/>
      <c r="G1068" s="186"/>
      <c r="H1068" s="186"/>
      <c r="I1068" s="186"/>
      <c r="J1068" s="186"/>
      <c r="K1068" s="186"/>
      <c r="L1068" s="186"/>
      <c r="M1068" s="67"/>
      <c r="N1068" s="67"/>
      <c r="O1068" s="67"/>
      <c r="P1068" s="67"/>
      <c r="Q1068" s="186"/>
      <c r="R1068" s="186"/>
      <c r="S1068" s="187"/>
      <c r="T1068" s="187"/>
      <c r="U1068" s="186"/>
      <c r="V1068" s="186"/>
      <c r="W1068" s="186"/>
    </row>
    <row r="1069">
      <c r="A1069" s="185"/>
      <c r="B1069" s="67"/>
      <c r="C1069" s="186"/>
      <c r="D1069" s="186"/>
      <c r="E1069" s="186"/>
      <c r="F1069" s="186"/>
      <c r="G1069" s="186"/>
      <c r="H1069" s="186"/>
      <c r="I1069" s="186"/>
      <c r="J1069" s="186"/>
      <c r="K1069" s="186"/>
      <c r="L1069" s="186"/>
      <c r="M1069" s="67"/>
      <c r="N1069" s="67"/>
      <c r="O1069" s="67"/>
      <c r="P1069" s="67"/>
      <c r="Q1069" s="186"/>
      <c r="R1069" s="186"/>
      <c r="S1069" s="187"/>
      <c r="T1069" s="187"/>
      <c r="U1069" s="186"/>
      <c r="V1069" s="186"/>
      <c r="W1069" s="186"/>
    </row>
    <row r="1070">
      <c r="A1070" s="185"/>
      <c r="B1070" s="67"/>
      <c r="C1070" s="186"/>
      <c r="D1070" s="186"/>
      <c r="E1070" s="186"/>
      <c r="F1070" s="186"/>
      <c r="G1070" s="186"/>
      <c r="H1070" s="186"/>
      <c r="I1070" s="186"/>
      <c r="J1070" s="186"/>
      <c r="K1070" s="186"/>
      <c r="L1070" s="186"/>
      <c r="M1070" s="67"/>
      <c r="N1070" s="67"/>
      <c r="O1070" s="67"/>
      <c r="P1070" s="67"/>
      <c r="Q1070" s="186"/>
      <c r="R1070" s="186"/>
      <c r="S1070" s="187"/>
      <c r="T1070" s="187"/>
      <c r="U1070" s="186"/>
      <c r="V1070" s="186"/>
      <c r="W1070" s="186"/>
    </row>
    <row r="1071">
      <c r="A1071" s="185"/>
      <c r="B1071" s="67"/>
      <c r="C1071" s="186"/>
      <c r="D1071" s="186"/>
      <c r="E1071" s="186"/>
      <c r="F1071" s="186"/>
      <c r="G1071" s="186"/>
      <c r="H1071" s="186"/>
      <c r="I1071" s="186"/>
      <c r="J1071" s="186"/>
      <c r="K1071" s="186"/>
      <c r="L1071" s="186"/>
      <c r="M1071" s="67"/>
      <c r="N1071" s="67"/>
      <c r="O1071" s="67"/>
      <c r="P1071" s="67"/>
      <c r="Q1071" s="186"/>
      <c r="R1071" s="186"/>
      <c r="S1071" s="187"/>
      <c r="T1071" s="187"/>
      <c r="U1071" s="186"/>
      <c r="V1071" s="186"/>
      <c r="W1071" s="186"/>
    </row>
    <row r="1072">
      <c r="A1072" s="185"/>
      <c r="B1072" s="67"/>
      <c r="C1072" s="186"/>
      <c r="D1072" s="186"/>
      <c r="E1072" s="186"/>
      <c r="F1072" s="186"/>
      <c r="G1072" s="186"/>
      <c r="H1072" s="186"/>
      <c r="I1072" s="186"/>
      <c r="J1072" s="186"/>
      <c r="K1072" s="186"/>
      <c r="L1072" s="186"/>
      <c r="M1072" s="67"/>
      <c r="N1072" s="67"/>
      <c r="O1072" s="67"/>
      <c r="P1072" s="67"/>
      <c r="Q1072" s="186"/>
      <c r="R1072" s="186"/>
      <c r="S1072" s="187"/>
      <c r="T1072" s="187"/>
      <c r="U1072" s="186"/>
      <c r="V1072" s="186"/>
      <c r="W1072" s="186"/>
    </row>
    <row r="1073">
      <c r="A1073" s="185"/>
      <c r="B1073" s="67"/>
      <c r="C1073" s="186"/>
      <c r="D1073" s="186"/>
      <c r="E1073" s="186"/>
      <c r="F1073" s="186"/>
      <c r="G1073" s="186"/>
      <c r="H1073" s="186"/>
      <c r="I1073" s="186"/>
      <c r="J1073" s="186"/>
      <c r="K1073" s="186"/>
      <c r="L1073" s="186"/>
      <c r="M1073" s="67"/>
      <c r="N1073" s="67"/>
      <c r="O1073" s="67"/>
      <c r="P1073" s="67"/>
      <c r="Q1073" s="186"/>
      <c r="R1073" s="186"/>
      <c r="S1073" s="187"/>
      <c r="T1073" s="187"/>
      <c r="U1073" s="186"/>
      <c r="V1073" s="186"/>
      <c r="W1073" s="186"/>
    </row>
    <row r="1074">
      <c r="A1074" s="185"/>
      <c r="B1074" s="67"/>
      <c r="C1074" s="186"/>
      <c r="D1074" s="186"/>
      <c r="E1074" s="186"/>
      <c r="F1074" s="186"/>
      <c r="G1074" s="186"/>
      <c r="H1074" s="186"/>
      <c r="I1074" s="186"/>
      <c r="J1074" s="186"/>
      <c r="K1074" s="186"/>
      <c r="L1074" s="186"/>
      <c r="M1074" s="67"/>
      <c r="N1074" s="67"/>
      <c r="O1074" s="67"/>
      <c r="P1074" s="67"/>
      <c r="Q1074" s="186"/>
      <c r="R1074" s="186"/>
      <c r="S1074" s="187"/>
      <c r="T1074" s="187"/>
      <c r="U1074" s="186"/>
      <c r="V1074" s="186"/>
      <c r="W1074" s="186"/>
    </row>
    <row r="1075">
      <c r="A1075" s="185"/>
      <c r="B1075" s="67"/>
      <c r="C1075" s="186"/>
      <c r="D1075" s="186"/>
      <c r="E1075" s="186"/>
      <c r="F1075" s="186"/>
      <c r="G1075" s="186"/>
      <c r="H1075" s="186"/>
      <c r="I1075" s="186"/>
      <c r="J1075" s="186"/>
      <c r="K1075" s="186"/>
      <c r="L1075" s="186"/>
      <c r="M1075" s="67"/>
      <c r="N1075" s="67"/>
      <c r="O1075" s="67"/>
      <c r="P1075" s="67"/>
      <c r="Q1075" s="186"/>
      <c r="R1075" s="186"/>
      <c r="S1075" s="187"/>
      <c r="T1075" s="187"/>
      <c r="U1075" s="186"/>
      <c r="V1075" s="186"/>
      <c r="W1075" s="186"/>
    </row>
    <row r="1076">
      <c r="A1076" s="185"/>
      <c r="B1076" s="67"/>
      <c r="C1076" s="186"/>
      <c r="D1076" s="186"/>
      <c r="E1076" s="186"/>
      <c r="F1076" s="186"/>
      <c r="G1076" s="186"/>
      <c r="H1076" s="186"/>
      <c r="I1076" s="186"/>
      <c r="J1076" s="186"/>
      <c r="K1076" s="186"/>
      <c r="L1076" s="186"/>
      <c r="M1076" s="67"/>
      <c r="N1076" s="67"/>
      <c r="O1076" s="67"/>
      <c r="P1076" s="67"/>
      <c r="Q1076" s="186"/>
      <c r="R1076" s="186"/>
      <c r="S1076" s="187"/>
      <c r="T1076" s="187"/>
      <c r="U1076" s="186"/>
      <c r="V1076" s="186"/>
      <c r="W1076" s="186"/>
    </row>
    <row r="1077">
      <c r="A1077" s="185"/>
      <c r="B1077" s="67"/>
      <c r="C1077" s="186"/>
      <c r="D1077" s="186"/>
      <c r="E1077" s="186"/>
      <c r="F1077" s="186"/>
      <c r="G1077" s="186"/>
      <c r="H1077" s="186"/>
      <c r="I1077" s="186"/>
      <c r="J1077" s="186"/>
      <c r="K1077" s="186"/>
      <c r="L1077" s="186"/>
      <c r="M1077" s="67"/>
      <c r="N1077" s="67"/>
      <c r="O1077" s="67"/>
      <c r="P1077" s="67"/>
      <c r="Q1077" s="186"/>
      <c r="R1077" s="186"/>
      <c r="S1077" s="187"/>
      <c r="T1077" s="187"/>
      <c r="U1077" s="186"/>
      <c r="V1077" s="186"/>
      <c r="W1077" s="186"/>
    </row>
    <row r="1078">
      <c r="A1078" s="185"/>
      <c r="B1078" s="67"/>
      <c r="C1078" s="186"/>
      <c r="D1078" s="186"/>
      <c r="E1078" s="186"/>
      <c r="F1078" s="186"/>
      <c r="G1078" s="186"/>
      <c r="H1078" s="186"/>
      <c r="I1078" s="186"/>
      <c r="J1078" s="186"/>
      <c r="K1078" s="186"/>
      <c r="L1078" s="186"/>
      <c r="M1078" s="67"/>
      <c r="N1078" s="67"/>
      <c r="O1078" s="67"/>
      <c r="P1078" s="67"/>
      <c r="Q1078" s="186"/>
      <c r="R1078" s="186"/>
      <c r="S1078" s="187"/>
      <c r="T1078" s="187"/>
      <c r="U1078" s="186"/>
      <c r="V1078" s="186"/>
      <c r="W1078" s="186"/>
    </row>
    <row r="1079">
      <c r="A1079" s="185"/>
      <c r="B1079" s="67"/>
      <c r="C1079" s="186"/>
      <c r="D1079" s="186"/>
      <c r="E1079" s="186"/>
      <c r="F1079" s="186"/>
      <c r="G1079" s="186"/>
      <c r="H1079" s="186"/>
      <c r="I1079" s="186"/>
      <c r="J1079" s="186"/>
      <c r="K1079" s="186"/>
      <c r="L1079" s="186"/>
      <c r="M1079" s="67"/>
      <c r="N1079" s="67"/>
      <c r="O1079" s="67"/>
      <c r="P1079" s="67"/>
      <c r="Q1079" s="186"/>
      <c r="R1079" s="186"/>
      <c r="S1079" s="187"/>
      <c r="T1079" s="187"/>
      <c r="U1079" s="186"/>
      <c r="V1079" s="186"/>
      <c r="W1079" s="186"/>
    </row>
    <row r="1080">
      <c r="A1080" s="185"/>
      <c r="B1080" s="67"/>
      <c r="C1080" s="186"/>
      <c r="D1080" s="186"/>
      <c r="E1080" s="186"/>
      <c r="F1080" s="186"/>
      <c r="G1080" s="186"/>
      <c r="H1080" s="186"/>
      <c r="I1080" s="186"/>
      <c r="J1080" s="186"/>
      <c r="K1080" s="186"/>
      <c r="L1080" s="186"/>
      <c r="M1080" s="67"/>
      <c r="N1080" s="67"/>
      <c r="O1080" s="67"/>
      <c r="P1080" s="67"/>
      <c r="Q1080" s="186"/>
      <c r="R1080" s="186"/>
      <c r="S1080" s="187"/>
      <c r="T1080" s="187"/>
      <c r="U1080" s="186"/>
      <c r="V1080" s="186"/>
      <c r="W1080" s="186"/>
    </row>
    <row r="1081">
      <c r="A1081" s="185"/>
      <c r="B1081" s="67"/>
      <c r="C1081" s="186"/>
      <c r="D1081" s="186"/>
      <c r="E1081" s="186"/>
      <c r="F1081" s="186"/>
      <c r="G1081" s="186"/>
      <c r="H1081" s="186"/>
      <c r="I1081" s="186"/>
      <c r="J1081" s="186"/>
      <c r="K1081" s="186"/>
      <c r="L1081" s="186"/>
      <c r="M1081" s="67"/>
      <c r="N1081" s="67"/>
      <c r="O1081" s="67"/>
      <c r="P1081" s="67"/>
      <c r="Q1081" s="186"/>
      <c r="R1081" s="186"/>
      <c r="S1081" s="187"/>
      <c r="T1081" s="187"/>
      <c r="U1081" s="186"/>
      <c r="V1081" s="186"/>
      <c r="W1081" s="186"/>
    </row>
    <row r="1082">
      <c r="A1082" s="185"/>
      <c r="B1082" s="67"/>
      <c r="C1082" s="186"/>
      <c r="D1082" s="186"/>
      <c r="E1082" s="186"/>
      <c r="F1082" s="186"/>
      <c r="G1082" s="186"/>
      <c r="H1082" s="186"/>
      <c r="I1082" s="186"/>
      <c r="J1082" s="186"/>
      <c r="K1082" s="186"/>
      <c r="L1082" s="186"/>
      <c r="M1082" s="67"/>
      <c r="N1082" s="67"/>
      <c r="O1082" s="67"/>
      <c r="P1082" s="67"/>
      <c r="Q1082" s="186"/>
      <c r="R1082" s="186"/>
      <c r="S1082" s="187"/>
      <c r="T1082" s="187"/>
      <c r="U1082" s="186"/>
      <c r="V1082" s="186"/>
      <c r="W1082" s="186"/>
    </row>
    <row r="1083">
      <c r="A1083" s="185"/>
      <c r="B1083" s="67"/>
      <c r="C1083" s="186"/>
      <c r="D1083" s="186"/>
      <c r="E1083" s="186"/>
      <c r="F1083" s="186"/>
      <c r="G1083" s="186"/>
      <c r="H1083" s="186"/>
      <c r="I1083" s="186"/>
      <c r="J1083" s="186"/>
      <c r="K1083" s="186"/>
      <c r="L1083" s="186"/>
      <c r="M1083" s="67"/>
      <c r="N1083" s="67"/>
      <c r="O1083" s="67"/>
      <c r="P1083" s="67"/>
      <c r="Q1083" s="186"/>
      <c r="R1083" s="186"/>
      <c r="S1083" s="187"/>
      <c r="T1083" s="187"/>
      <c r="U1083" s="186"/>
      <c r="V1083" s="186"/>
      <c r="W1083" s="186"/>
    </row>
    <row r="1084">
      <c r="A1084" s="185"/>
      <c r="B1084" s="67"/>
      <c r="C1084" s="186"/>
      <c r="D1084" s="186"/>
      <c r="E1084" s="186"/>
      <c r="F1084" s="186"/>
      <c r="G1084" s="186"/>
      <c r="H1084" s="186"/>
      <c r="I1084" s="186"/>
      <c r="J1084" s="186"/>
      <c r="K1084" s="186"/>
      <c r="L1084" s="186"/>
      <c r="M1084" s="67"/>
      <c r="N1084" s="67"/>
      <c r="O1084" s="67"/>
      <c r="P1084" s="67"/>
      <c r="Q1084" s="186"/>
      <c r="R1084" s="186"/>
      <c r="S1084" s="187"/>
      <c r="T1084" s="187"/>
      <c r="U1084" s="186"/>
      <c r="V1084" s="186"/>
      <c r="W1084" s="186"/>
    </row>
    <row r="1085">
      <c r="A1085" s="185"/>
      <c r="B1085" s="67"/>
      <c r="C1085" s="186"/>
      <c r="D1085" s="186"/>
      <c r="E1085" s="186"/>
      <c r="F1085" s="186"/>
      <c r="G1085" s="186"/>
      <c r="H1085" s="186"/>
      <c r="I1085" s="186"/>
      <c r="J1085" s="186"/>
      <c r="K1085" s="186"/>
      <c r="L1085" s="186"/>
      <c r="M1085" s="67"/>
      <c r="N1085" s="67"/>
      <c r="O1085" s="67"/>
      <c r="P1085" s="67"/>
      <c r="Q1085" s="186"/>
      <c r="R1085" s="186"/>
      <c r="S1085" s="187"/>
      <c r="T1085" s="187"/>
      <c r="U1085" s="186"/>
      <c r="V1085" s="186"/>
      <c r="W1085" s="186"/>
    </row>
    <row r="1086">
      <c r="A1086" s="185"/>
      <c r="B1086" s="67"/>
      <c r="C1086" s="186"/>
      <c r="D1086" s="186"/>
      <c r="E1086" s="186"/>
      <c r="F1086" s="186"/>
      <c r="G1086" s="186"/>
      <c r="H1086" s="186"/>
      <c r="I1086" s="186"/>
      <c r="J1086" s="186"/>
      <c r="K1086" s="186"/>
      <c r="L1086" s="186"/>
      <c r="M1086" s="67"/>
      <c r="N1086" s="67"/>
      <c r="O1086" s="67"/>
      <c r="P1086" s="67"/>
      <c r="Q1086" s="186"/>
      <c r="R1086" s="186"/>
      <c r="S1086" s="187"/>
      <c r="T1086" s="187"/>
      <c r="U1086" s="186"/>
      <c r="V1086" s="186"/>
      <c r="W1086" s="186"/>
    </row>
    <row r="1087">
      <c r="A1087" s="185"/>
      <c r="B1087" s="67"/>
      <c r="C1087" s="186"/>
      <c r="D1087" s="186"/>
      <c r="E1087" s="186"/>
      <c r="F1087" s="186"/>
      <c r="G1087" s="186"/>
      <c r="H1087" s="186"/>
      <c r="I1087" s="186"/>
      <c r="J1087" s="186"/>
      <c r="K1087" s="186"/>
      <c r="L1087" s="186"/>
      <c r="M1087" s="67"/>
      <c r="N1087" s="67"/>
      <c r="O1087" s="67"/>
      <c r="P1087" s="67"/>
      <c r="Q1087" s="186"/>
      <c r="R1087" s="186"/>
      <c r="S1087" s="187"/>
      <c r="T1087" s="187"/>
      <c r="U1087" s="186"/>
      <c r="V1087" s="186"/>
      <c r="W1087" s="186"/>
    </row>
    <row r="1088">
      <c r="A1088" s="185"/>
      <c r="B1088" s="67"/>
      <c r="C1088" s="186"/>
      <c r="D1088" s="186"/>
      <c r="E1088" s="186"/>
      <c r="F1088" s="186"/>
      <c r="G1088" s="186"/>
      <c r="H1088" s="186"/>
      <c r="I1088" s="186"/>
      <c r="J1088" s="186"/>
      <c r="K1088" s="186"/>
      <c r="L1088" s="186"/>
      <c r="M1088" s="67"/>
      <c r="N1088" s="67"/>
      <c r="O1088" s="67"/>
      <c r="P1088" s="67"/>
      <c r="Q1088" s="186"/>
      <c r="R1088" s="186"/>
      <c r="S1088" s="187"/>
      <c r="T1088" s="187"/>
      <c r="U1088" s="186"/>
      <c r="V1088" s="186"/>
      <c r="W1088" s="186"/>
    </row>
    <row r="1089">
      <c r="A1089" s="185"/>
      <c r="B1089" s="67"/>
      <c r="C1089" s="186"/>
      <c r="D1089" s="186"/>
      <c r="E1089" s="186"/>
      <c r="F1089" s="186"/>
      <c r="G1089" s="186"/>
      <c r="H1089" s="186"/>
      <c r="I1089" s="186"/>
      <c r="J1089" s="186"/>
      <c r="K1089" s="186"/>
      <c r="L1089" s="186"/>
      <c r="M1089" s="67"/>
      <c r="N1089" s="67"/>
      <c r="O1089" s="67"/>
      <c r="P1089" s="67"/>
      <c r="Q1089" s="186"/>
      <c r="R1089" s="186"/>
      <c r="S1089" s="187"/>
      <c r="T1089" s="187"/>
      <c r="U1089" s="186"/>
      <c r="V1089" s="186"/>
      <c r="W1089" s="186"/>
    </row>
    <row r="1090">
      <c r="A1090" s="185"/>
      <c r="B1090" s="67"/>
      <c r="C1090" s="186"/>
      <c r="D1090" s="186"/>
      <c r="E1090" s="186"/>
      <c r="F1090" s="186"/>
      <c r="G1090" s="186"/>
      <c r="H1090" s="186"/>
      <c r="I1090" s="186"/>
      <c r="J1090" s="186"/>
      <c r="K1090" s="186"/>
      <c r="L1090" s="186"/>
      <c r="M1090" s="67"/>
      <c r="N1090" s="67"/>
      <c r="O1090" s="67"/>
      <c r="P1090" s="67"/>
      <c r="Q1090" s="186"/>
      <c r="R1090" s="186"/>
      <c r="S1090" s="187"/>
      <c r="T1090" s="187"/>
      <c r="U1090" s="186"/>
      <c r="V1090" s="186"/>
      <c r="W1090" s="186"/>
    </row>
    <row r="1091">
      <c r="A1091" s="185"/>
      <c r="B1091" s="67"/>
      <c r="C1091" s="186"/>
      <c r="D1091" s="186"/>
      <c r="E1091" s="186"/>
      <c r="F1091" s="186"/>
      <c r="G1091" s="186"/>
      <c r="H1091" s="186"/>
      <c r="I1091" s="186"/>
      <c r="J1091" s="186"/>
      <c r="K1091" s="186"/>
      <c r="L1091" s="186"/>
      <c r="M1091" s="67"/>
      <c r="N1091" s="67"/>
      <c r="O1091" s="67"/>
      <c r="P1091" s="67"/>
      <c r="Q1091" s="186"/>
      <c r="R1091" s="186"/>
      <c r="S1091" s="187"/>
      <c r="T1091" s="187"/>
      <c r="U1091" s="186"/>
      <c r="V1091" s="186"/>
      <c r="W1091" s="186"/>
    </row>
    <row r="1092">
      <c r="A1092" s="185"/>
      <c r="B1092" s="67"/>
      <c r="C1092" s="186"/>
      <c r="D1092" s="186"/>
      <c r="E1092" s="186"/>
      <c r="F1092" s="186"/>
      <c r="G1092" s="186"/>
      <c r="H1092" s="186"/>
      <c r="I1092" s="186"/>
      <c r="J1092" s="186"/>
      <c r="K1092" s="186"/>
      <c r="L1092" s="186"/>
      <c r="M1092" s="67"/>
      <c r="N1092" s="67"/>
      <c r="O1092" s="67"/>
      <c r="P1092" s="67"/>
      <c r="Q1092" s="186"/>
      <c r="R1092" s="186"/>
      <c r="S1092" s="187"/>
      <c r="T1092" s="187"/>
      <c r="U1092" s="186"/>
      <c r="V1092" s="186"/>
      <c r="W1092" s="186"/>
    </row>
    <row r="1093">
      <c r="A1093" s="185"/>
      <c r="B1093" s="67"/>
      <c r="C1093" s="186"/>
      <c r="D1093" s="186"/>
      <c r="E1093" s="186"/>
      <c r="F1093" s="186"/>
      <c r="G1093" s="186"/>
      <c r="H1093" s="186"/>
      <c r="I1093" s="186"/>
      <c r="J1093" s="186"/>
      <c r="K1093" s="186"/>
      <c r="L1093" s="186"/>
      <c r="M1093" s="67"/>
      <c r="N1093" s="67"/>
      <c r="O1093" s="67"/>
      <c r="P1093" s="67"/>
      <c r="Q1093" s="186"/>
      <c r="R1093" s="186"/>
      <c r="S1093" s="187"/>
      <c r="T1093" s="187"/>
      <c r="U1093" s="186"/>
      <c r="V1093" s="186"/>
      <c r="W1093" s="186"/>
    </row>
    <row r="1094">
      <c r="A1094" s="185"/>
      <c r="B1094" s="67"/>
      <c r="C1094" s="186"/>
      <c r="D1094" s="186"/>
      <c r="E1094" s="186"/>
      <c r="F1094" s="186"/>
      <c r="G1094" s="186"/>
      <c r="H1094" s="186"/>
      <c r="I1094" s="186"/>
      <c r="J1094" s="186"/>
      <c r="K1094" s="186"/>
      <c r="L1094" s="186"/>
      <c r="M1094" s="67"/>
      <c r="N1094" s="67"/>
      <c r="O1094" s="67"/>
      <c r="P1094" s="67"/>
      <c r="Q1094" s="186"/>
      <c r="R1094" s="186"/>
      <c r="S1094" s="187"/>
      <c r="T1094" s="187"/>
      <c r="U1094" s="186"/>
      <c r="V1094" s="186"/>
      <c r="W1094" s="186"/>
    </row>
    <row r="1095">
      <c r="A1095" s="185"/>
      <c r="B1095" s="67"/>
      <c r="C1095" s="186"/>
      <c r="D1095" s="186"/>
      <c r="E1095" s="186"/>
      <c r="F1095" s="186"/>
      <c r="G1095" s="186"/>
      <c r="H1095" s="186"/>
      <c r="I1095" s="186"/>
      <c r="J1095" s="186"/>
      <c r="K1095" s="186"/>
      <c r="L1095" s="186"/>
      <c r="M1095" s="67"/>
      <c r="N1095" s="67"/>
      <c r="O1095" s="67"/>
      <c r="P1095" s="67"/>
      <c r="Q1095" s="186"/>
      <c r="R1095" s="186"/>
      <c r="S1095" s="187"/>
      <c r="T1095" s="187"/>
      <c r="U1095" s="186"/>
      <c r="V1095" s="186"/>
      <c r="W1095" s="186"/>
    </row>
    <row r="1096">
      <c r="A1096" s="185"/>
      <c r="B1096" s="67"/>
      <c r="C1096" s="186"/>
      <c r="D1096" s="186"/>
      <c r="E1096" s="186"/>
      <c r="F1096" s="186"/>
      <c r="G1096" s="186"/>
      <c r="H1096" s="186"/>
      <c r="I1096" s="186"/>
      <c r="J1096" s="186"/>
      <c r="K1096" s="186"/>
      <c r="L1096" s="186"/>
      <c r="M1096" s="67"/>
      <c r="N1096" s="67"/>
      <c r="O1096" s="67"/>
      <c r="P1096" s="67"/>
      <c r="Q1096" s="186"/>
      <c r="R1096" s="186"/>
      <c r="S1096" s="187"/>
      <c r="T1096" s="187"/>
      <c r="U1096" s="186"/>
      <c r="V1096" s="186"/>
      <c r="W1096" s="186"/>
    </row>
    <row r="1097">
      <c r="A1097" s="185"/>
      <c r="B1097" s="67"/>
      <c r="C1097" s="186"/>
      <c r="D1097" s="186"/>
      <c r="E1097" s="186"/>
      <c r="F1097" s="186"/>
      <c r="G1097" s="186"/>
      <c r="H1097" s="186"/>
      <c r="I1097" s="186"/>
      <c r="J1097" s="186"/>
      <c r="K1097" s="186"/>
      <c r="L1097" s="186"/>
      <c r="M1097" s="67"/>
      <c r="N1097" s="67"/>
      <c r="O1097" s="67"/>
      <c r="P1097" s="67"/>
      <c r="Q1097" s="186"/>
      <c r="R1097" s="186"/>
      <c r="S1097" s="187"/>
      <c r="T1097" s="187"/>
      <c r="U1097" s="186"/>
      <c r="V1097" s="186"/>
      <c r="W1097" s="186"/>
    </row>
    <row r="1098">
      <c r="A1098" s="185"/>
      <c r="B1098" s="67"/>
      <c r="C1098" s="186"/>
      <c r="D1098" s="186"/>
      <c r="E1098" s="186"/>
      <c r="F1098" s="186"/>
      <c r="G1098" s="186"/>
      <c r="H1098" s="186"/>
      <c r="I1098" s="186"/>
      <c r="J1098" s="186"/>
      <c r="K1098" s="186"/>
      <c r="L1098" s="186"/>
      <c r="M1098" s="67"/>
      <c r="N1098" s="67"/>
      <c r="O1098" s="67"/>
      <c r="P1098" s="67"/>
      <c r="Q1098" s="186"/>
      <c r="R1098" s="186"/>
      <c r="S1098" s="187"/>
      <c r="T1098" s="187"/>
      <c r="U1098" s="186"/>
      <c r="V1098" s="186"/>
      <c r="W1098" s="186"/>
    </row>
    <row r="1099">
      <c r="A1099" s="185"/>
      <c r="B1099" s="67"/>
      <c r="C1099" s="186"/>
      <c r="D1099" s="186"/>
      <c r="E1099" s="186"/>
      <c r="F1099" s="186"/>
      <c r="G1099" s="186"/>
      <c r="H1099" s="186"/>
      <c r="I1099" s="186"/>
      <c r="J1099" s="186"/>
      <c r="K1099" s="186"/>
      <c r="L1099" s="186"/>
      <c r="M1099" s="67"/>
      <c r="N1099" s="67"/>
      <c r="O1099" s="67"/>
      <c r="P1099" s="67"/>
      <c r="Q1099" s="186"/>
      <c r="R1099" s="186"/>
      <c r="S1099" s="187"/>
      <c r="T1099" s="187"/>
      <c r="U1099" s="186"/>
      <c r="V1099" s="186"/>
      <c r="W1099" s="186"/>
    </row>
    <row r="1100">
      <c r="A1100" s="185"/>
      <c r="B1100" s="67"/>
      <c r="C1100" s="186"/>
      <c r="D1100" s="186"/>
      <c r="E1100" s="186"/>
      <c r="F1100" s="186"/>
      <c r="G1100" s="186"/>
      <c r="H1100" s="186"/>
      <c r="I1100" s="186"/>
      <c r="J1100" s="186"/>
      <c r="K1100" s="186"/>
      <c r="L1100" s="186"/>
      <c r="M1100" s="67"/>
      <c r="N1100" s="67"/>
      <c r="O1100" s="67"/>
      <c r="P1100" s="67"/>
      <c r="Q1100" s="186"/>
      <c r="R1100" s="186"/>
      <c r="S1100" s="187"/>
      <c r="T1100" s="187"/>
      <c r="U1100" s="186"/>
      <c r="V1100" s="186"/>
      <c r="W1100" s="186"/>
    </row>
    <row r="1101">
      <c r="A1101" s="185"/>
      <c r="B1101" s="67"/>
      <c r="C1101" s="186"/>
      <c r="D1101" s="186"/>
      <c r="E1101" s="186"/>
      <c r="F1101" s="186"/>
      <c r="G1101" s="186"/>
      <c r="H1101" s="186"/>
      <c r="I1101" s="186"/>
      <c r="J1101" s="186"/>
      <c r="K1101" s="186"/>
      <c r="L1101" s="186"/>
      <c r="M1101" s="67"/>
      <c r="N1101" s="67"/>
      <c r="O1101" s="67"/>
      <c r="P1101" s="67"/>
      <c r="Q1101" s="186"/>
      <c r="R1101" s="186"/>
      <c r="S1101" s="187"/>
      <c r="T1101" s="187"/>
      <c r="U1101" s="186"/>
      <c r="V1101" s="186"/>
      <c r="W1101" s="186"/>
    </row>
    <row r="1102">
      <c r="A1102" s="185"/>
      <c r="B1102" s="67"/>
      <c r="C1102" s="186"/>
      <c r="D1102" s="186"/>
      <c r="E1102" s="186"/>
      <c r="F1102" s="186"/>
      <c r="G1102" s="186"/>
      <c r="H1102" s="186"/>
      <c r="I1102" s="186"/>
      <c r="J1102" s="186"/>
      <c r="K1102" s="186"/>
      <c r="L1102" s="186"/>
      <c r="M1102" s="67"/>
      <c r="N1102" s="67"/>
      <c r="O1102" s="67"/>
      <c r="P1102" s="67"/>
      <c r="Q1102" s="186"/>
      <c r="R1102" s="186"/>
      <c r="S1102" s="187"/>
      <c r="T1102" s="187"/>
      <c r="U1102" s="186"/>
      <c r="V1102" s="186"/>
      <c r="W1102" s="186"/>
    </row>
    <row r="1103">
      <c r="A1103" s="185"/>
      <c r="B1103" s="67"/>
      <c r="C1103" s="186"/>
      <c r="D1103" s="186"/>
      <c r="E1103" s="186"/>
      <c r="F1103" s="186"/>
      <c r="G1103" s="186"/>
      <c r="H1103" s="186"/>
      <c r="I1103" s="186"/>
      <c r="J1103" s="186"/>
      <c r="K1103" s="186"/>
      <c r="L1103" s="186"/>
      <c r="M1103" s="67"/>
      <c r="N1103" s="67"/>
      <c r="O1103" s="67"/>
      <c r="P1103" s="67"/>
      <c r="Q1103" s="186"/>
      <c r="R1103" s="186"/>
      <c r="S1103" s="187"/>
      <c r="T1103" s="187"/>
      <c r="U1103" s="186"/>
      <c r="V1103" s="186"/>
      <c r="W1103" s="186"/>
    </row>
    <row r="1104">
      <c r="A1104" s="185"/>
      <c r="B1104" s="67"/>
      <c r="C1104" s="186"/>
      <c r="D1104" s="186"/>
      <c r="E1104" s="186"/>
      <c r="F1104" s="186"/>
      <c r="G1104" s="186"/>
      <c r="H1104" s="186"/>
      <c r="I1104" s="186"/>
      <c r="J1104" s="186"/>
      <c r="K1104" s="186"/>
      <c r="L1104" s="186"/>
      <c r="M1104" s="67"/>
      <c r="N1104" s="67"/>
      <c r="O1104" s="67"/>
      <c r="P1104" s="67"/>
      <c r="Q1104" s="186"/>
      <c r="R1104" s="186"/>
      <c r="S1104" s="187"/>
      <c r="T1104" s="187"/>
      <c r="U1104" s="186"/>
      <c r="V1104" s="186"/>
      <c r="W1104" s="186"/>
    </row>
    <row r="1105">
      <c r="A1105" s="185"/>
      <c r="B1105" s="67"/>
      <c r="C1105" s="186"/>
      <c r="D1105" s="186"/>
      <c r="E1105" s="186"/>
      <c r="F1105" s="186"/>
      <c r="G1105" s="186"/>
      <c r="H1105" s="186"/>
      <c r="I1105" s="186"/>
      <c r="J1105" s="186"/>
      <c r="K1105" s="186"/>
      <c r="L1105" s="186"/>
      <c r="M1105" s="67"/>
      <c r="N1105" s="67"/>
      <c r="O1105" s="67"/>
      <c r="P1105" s="67"/>
      <c r="Q1105" s="186"/>
      <c r="R1105" s="186"/>
      <c r="S1105" s="187"/>
      <c r="T1105" s="187"/>
      <c r="U1105" s="186"/>
      <c r="V1105" s="186"/>
      <c r="W1105" s="186"/>
    </row>
    <row r="1106">
      <c r="A1106" s="185"/>
      <c r="B1106" s="67"/>
      <c r="C1106" s="186"/>
      <c r="D1106" s="186"/>
      <c r="E1106" s="186"/>
      <c r="F1106" s="186"/>
      <c r="G1106" s="186"/>
      <c r="H1106" s="186"/>
      <c r="I1106" s="186"/>
      <c r="J1106" s="186"/>
      <c r="K1106" s="186"/>
      <c r="L1106" s="186"/>
      <c r="M1106" s="67"/>
      <c r="N1106" s="67"/>
      <c r="O1106" s="67"/>
      <c r="P1106" s="67"/>
      <c r="Q1106" s="186"/>
      <c r="R1106" s="186"/>
      <c r="S1106" s="187"/>
      <c r="T1106" s="187"/>
      <c r="U1106" s="186"/>
      <c r="V1106" s="186"/>
      <c r="W1106" s="186"/>
    </row>
    <row r="1107">
      <c r="A1107" s="185"/>
      <c r="B1107" s="67"/>
      <c r="C1107" s="186"/>
      <c r="D1107" s="186"/>
      <c r="E1107" s="186"/>
      <c r="F1107" s="186"/>
      <c r="G1107" s="186"/>
      <c r="H1107" s="186"/>
      <c r="I1107" s="186"/>
      <c r="J1107" s="186"/>
      <c r="K1107" s="186"/>
      <c r="L1107" s="186"/>
      <c r="M1107" s="67"/>
      <c r="N1107" s="67"/>
      <c r="O1107" s="67"/>
      <c r="P1107" s="67"/>
      <c r="Q1107" s="186"/>
      <c r="R1107" s="186"/>
      <c r="S1107" s="187"/>
      <c r="T1107" s="187"/>
      <c r="U1107" s="186"/>
      <c r="V1107" s="186"/>
      <c r="W1107" s="186"/>
    </row>
    <row r="1108">
      <c r="A1108" s="185"/>
      <c r="B1108" s="67"/>
      <c r="C1108" s="186"/>
      <c r="D1108" s="186"/>
      <c r="E1108" s="186"/>
      <c r="F1108" s="186"/>
      <c r="G1108" s="186"/>
      <c r="H1108" s="186"/>
      <c r="I1108" s="186"/>
      <c r="J1108" s="186"/>
      <c r="K1108" s="186"/>
      <c r="L1108" s="186"/>
      <c r="M1108" s="67"/>
      <c r="N1108" s="67"/>
      <c r="O1108" s="67"/>
      <c r="P1108" s="67"/>
      <c r="Q1108" s="186"/>
      <c r="R1108" s="186"/>
      <c r="S1108" s="187"/>
      <c r="T1108" s="187"/>
      <c r="U1108" s="186"/>
      <c r="V1108" s="186"/>
      <c r="W1108" s="186"/>
    </row>
    <row r="1109">
      <c r="A1109" s="185"/>
      <c r="B1109" s="67"/>
      <c r="C1109" s="186"/>
      <c r="D1109" s="186"/>
      <c r="E1109" s="186"/>
      <c r="F1109" s="186"/>
      <c r="G1109" s="186"/>
      <c r="H1109" s="186"/>
      <c r="I1109" s="186"/>
      <c r="J1109" s="186"/>
      <c r="K1109" s="186"/>
      <c r="L1109" s="186"/>
      <c r="M1109" s="67"/>
      <c r="N1109" s="67"/>
      <c r="O1109" s="67"/>
      <c r="P1109" s="67"/>
      <c r="Q1109" s="186"/>
      <c r="R1109" s="186"/>
      <c r="S1109" s="187"/>
      <c r="T1109" s="187"/>
      <c r="U1109" s="186"/>
      <c r="V1109" s="186"/>
      <c r="W1109" s="186"/>
    </row>
    <row r="1110">
      <c r="A1110" s="185"/>
      <c r="B1110" s="67"/>
      <c r="C1110" s="186"/>
      <c r="D1110" s="186"/>
      <c r="E1110" s="186"/>
      <c r="F1110" s="186"/>
      <c r="G1110" s="186"/>
      <c r="H1110" s="186"/>
      <c r="I1110" s="186"/>
      <c r="J1110" s="186"/>
      <c r="K1110" s="186"/>
      <c r="L1110" s="186"/>
      <c r="M1110" s="67"/>
      <c r="N1110" s="67"/>
      <c r="O1110" s="67"/>
      <c r="P1110" s="67"/>
      <c r="Q1110" s="186"/>
      <c r="R1110" s="186"/>
      <c r="S1110" s="187"/>
      <c r="T1110" s="187"/>
      <c r="U1110" s="186"/>
      <c r="V1110" s="186"/>
      <c r="W1110" s="186"/>
    </row>
    <row r="1111">
      <c r="A1111" s="185"/>
      <c r="B1111" s="67"/>
      <c r="C1111" s="186"/>
      <c r="D1111" s="186"/>
      <c r="E1111" s="186"/>
      <c r="F1111" s="186"/>
      <c r="G1111" s="186"/>
      <c r="H1111" s="186"/>
      <c r="I1111" s="186"/>
      <c r="J1111" s="186"/>
      <c r="K1111" s="186"/>
      <c r="L1111" s="186"/>
      <c r="M1111" s="67"/>
      <c r="N1111" s="67"/>
      <c r="O1111" s="67"/>
      <c r="P1111" s="67"/>
      <c r="Q1111" s="186"/>
      <c r="R1111" s="186"/>
      <c r="S1111" s="187"/>
      <c r="T1111" s="187"/>
      <c r="U1111" s="186"/>
      <c r="V1111" s="186"/>
      <c r="W1111" s="186"/>
    </row>
    <row r="1112">
      <c r="A1112" s="185"/>
      <c r="B1112" s="67"/>
      <c r="C1112" s="186"/>
      <c r="D1112" s="186"/>
      <c r="E1112" s="186"/>
      <c r="F1112" s="186"/>
      <c r="G1112" s="186"/>
      <c r="H1112" s="186"/>
      <c r="I1112" s="186"/>
      <c r="J1112" s="186"/>
      <c r="K1112" s="186"/>
      <c r="L1112" s="186"/>
      <c r="M1112" s="67"/>
      <c r="N1112" s="67"/>
      <c r="O1112" s="67"/>
      <c r="P1112" s="67"/>
      <c r="Q1112" s="186"/>
      <c r="R1112" s="186"/>
      <c r="S1112" s="187"/>
      <c r="T1112" s="187"/>
      <c r="U1112" s="186"/>
      <c r="V1112" s="186"/>
      <c r="W1112" s="186"/>
    </row>
    <row r="1113">
      <c r="A1113" s="185"/>
      <c r="B1113" s="67"/>
      <c r="C1113" s="186"/>
      <c r="D1113" s="186"/>
      <c r="E1113" s="186"/>
      <c r="F1113" s="186"/>
      <c r="G1113" s="186"/>
      <c r="H1113" s="186"/>
      <c r="I1113" s="186"/>
      <c r="J1113" s="186"/>
      <c r="K1113" s="186"/>
      <c r="L1113" s="186"/>
      <c r="M1113" s="67"/>
      <c r="N1113" s="67"/>
      <c r="O1113" s="67"/>
      <c r="P1113" s="67"/>
      <c r="Q1113" s="186"/>
      <c r="R1113" s="186"/>
      <c r="S1113" s="187"/>
      <c r="T1113" s="187"/>
      <c r="U1113" s="186"/>
      <c r="V1113" s="186"/>
      <c r="W1113" s="186"/>
    </row>
    <row r="1114">
      <c r="A1114" s="185"/>
      <c r="B1114" s="67"/>
      <c r="C1114" s="186"/>
      <c r="D1114" s="186"/>
      <c r="E1114" s="186"/>
      <c r="F1114" s="186"/>
      <c r="G1114" s="186"/>
      <c r="H1114" s="186"/>
      <c r="I1114" s="186"/>
      <c r="J1114" s="186"/>
      <c r="K1114" s="186"/>
      <c r="L1114" s="186"/>
      <c r="M1114" s="67"/>
      <c r="N1114" s="67"/>
      <c r="O1114" s="67"/>
      <c r="P1114" s="67"/>
      <c r="Q1114" s="186"/>
      <c r="R1114" s="186"/>
      <c r="S1114" s="187"/>
      <c r="T1114" s="187"/>
      <c r="U1114" s="186"/>
      <c r="V1114" s="186"/>
      <c r="W1114" s="186"/>
    </row>
    <row r="1115">
      <c r="A1115" s="185"/>
      <c r="B1115" s="67"/>
      <c r="C1115" s="186"/>
      <c r="D1115" s="186"/>
      <c r="E1115" s="186"/>
      <c r="F1115" s="186"/>
      <c r="G1115" s="186"/>
      <c r="H1115" s="186"/>
      <c r="I1115" s="186"/>
      <c r="J1115" s="186"/>
      <c r="K1115" s="186"/>
      <c r="L1115" s="186"/>
      <c r="M1115" s="67"/>
      <c r="N1115" s="67"/>
      <c r="O1115" s="67"/>
      <c r="P1115" s="67"/>
      <c r="Q1115" s="186"/>
      <c r="R1115" s="186"/>
      <c r="S1115" s="187"/>
      <c r="T1115" s="187"/>
      <c r="U1115" s="186"/>
      <c r="V1115" s="186"/>
      <c r="W1115" s="186"/>
    </row>
    <row r="1116">
      <c r="A1116" s="185"/>
      <c r="B1116" s="67"/>
      <c r="C1116" s="186"/>
      <c r="D1116" s="186"/>
      <c r="E1116" s="186"/>
      <c r="F1116" s="186"/>
      <c r="G1116" s="186"/>
      <c r="H1116" s="186"/>
      <c r="I1116" s="186"/>
      <c r="J1116" s="186"/>
      <c r="K1116" s="186"/>
      <c r="L1116" s="186"/>
      <c r="M1116" s="67"/>
      <c r="N1116" s="67"/>
      <c r="O1116" s="67"/>
      <c r="P1116" s="67"/>
      <c r="Q1116" s="186"/>
      <c r="R1116" s="186"/>
      <c r="S1116" s="187"/>
      <c r="T1116" s="187"/>
      <c r="U1116" s="186"/>
      <c r="V1116" s="186"/>
      <c r="W1116" s="186"/>
    </row>
    <row r="1117">
      <c r="A1117" s="185"/>
      <c r="B1117" s="67"/>
      <c r="C1117" s="186"/>
      <c r="D1117" s="186"/>
      <c r="E1117" s="186"/>
      <c r="F1117" s="186"/>
      <c r="G1117" s="186"/>
      <c r="H1117" s="186"/>
      <c r="I1117" s="186"/>
      <c r="J1117" s="186"/>
      <c r="K1117" s="186"/>
      <c r="L1117" s="186"/>
      <c r="M1117" s="67"/>
      <c r="N1117" s="67"/>
      <c r="O1117" s="67"/>
      <c r="P1117" s="67"/>
      <c r="Q1117" s="186"/>
      <c r="R1117" s="186"/>
      <c r="S1117" s="187"/>
      <c r="T1117" s="187"/>
      <c r="U1117" s="186"/>
      <c r="V1117" s="186"/>
      <c r="W1117" s="186"/>
    </row>
    <row r="1118">
      <c r="A1118" s="185"/>
      <c r="B1118" s="67"/>
      <c r="C1118" s="186"/>
      <c r="D1118" s="186"/>
      <c r="E1118" s="186"/>
      <c r="F1118" s="186"/>
      <c r="G1118" s="186"/>
      <c r="H1118" s="186"/>
      <c r="I1118" s="186"/>
      <c r="J1118" s="186"/>
      <c r="K1118" s="186"/>
      <c r="L1118" s="186"/>
      <c r="M1118" s="67"/>
      <c r="N1118" s="67"/>
      <c r="O1118" s="67"/>
      <c r="P1118" s="67"/>
      <c r="Q1118" s="186"/>
      <c r="R1118" s="186"/>
      <c r="S1118" s="187"/>
      <c r="T1118" s="187"/>
      <c r="U1118" s="186"/>
      <c r="V1118" s="186"/>
      <c r="W1118" s="186"/>
    </row>
    <row r="1119">
      <c r="A1119" s="185"/>
      <c r="B1119" s="67"/>
      <c r="C1119" s="186"/>
      <c r="D1119" s="186"/>
      <c r="E1119" s="186"/>
      <c r="F1119" s="186"/>
      <c r="G1119" s="186"/>
      <c r="H1119" s="186"/>
      <c r="I1119" s="186"/>
      <c r="J1119" s="186"/>
      <c r="K1119" s="186"/>
      <c r="L1119" s="186"/>
      <c r="M1119" s="67"/>
      <c r="N1119" s="67"/>
      <c r="O1119" s="67"/>
      <c r="P1119" s="67"/>
      <c r="Q1119" s="186"/>
      <c r="R1119" s="186"/>
      <c r="S1119" s="187"/>
      <c r="T1119" s="187"/>
      <c r="U1119" s="186"/>
      <c r="V1119" s="186"/>
      <c r="W1119" s="186"/>
    </row>
    <row r="1120">
      <c r="A1120" s="185"/>
      <c r="B1120" s="67"/>
      <c r="C1120" s="186"/>
      <c r="D1120" s="186"/>
      <c r="E1120" s="186"/>
      <c r="F1120" s="186"/>
      <c r="G1120" s="186"/>
      <c r="H1120" s="186"/>
      <c r="I1120" s="186"/>
      <c r="J1120" s="186"/>
      <c r="K1120" s="186"/>
      <c r="L1120" s="186"/>
      <c r="M1120" s="67"/>
      <c r="N1120" s="67"/>
      <c r="O1120" s="67"/>
      <c r="P1120" s="67"/>
      <c r="Q1120" s="186"/>
      <c r="R1120" s="186"/>
      <c r="S1120" s="187"/>
      <c r="T1120" s="187"/>
      <c r="U1120" s="186"/>
      <c r="V1120" s="186"/>
      <c r="W1120" s="186"/>
    </row>
    <row r="1121">
      <c r="A1121" s="185"/>
      <c r="B1121" s="67"/>
      <c r="C1121" s="186"/>
      <c r="D1121" s="186"/>
      <c r="E1121" s="186"/>
      <c r="F1121" s="186"/>
      <c r="G1121" s="186"/>
      <c r="H1121" s="186"/>
      <c r="I1121" s="186"/>
      <c r="J1121" s="186"/>
      <c r="K1121" s="186"/>
      <c r="L1121" s="186"/>
      <c r="M1121" s="67"/>
      <c r="N1121" s="67"/>
      <c r="O1121" s="67"/>
      <c r="P1121" s="67"/>
      <c r="Q1121" s="186"/>
      <c r="R1121" s="186"/>
      <c r="S1121" s="187"/>
      <c r="T1121" s="187"/>
      <c r="U1121" s="186"/>
      <c r="V1121" s="186"/>
      <c r="W1121" s="186"/>
    </row>
    <row r="1122">
      <c r="A1122" s="185"/>
      <c r="B1122" s="67"/>
      <c r="C1122" s="186"/>
      <c r="D1122" s="186"/>
      <c r="E1122" s="186"/>
      <c r="F1122" s="186"/>
      <c r="G1122" s="186"/>
      <c r="H1122" s="186"/>
      <c r="I1122" s="186"/>
      <c r="J1122" s="186"/>
      <c r="K1122" s="186"/>
      <c r="L1122" s="186"/>
      <c r="M1122" s="67"/>
      <c r="N1122" s="67"/>
      <c r="O1122" s="67"/>
      <c r="P1122" s="67"/>
      <c r="Q1122" s="186"/>
      <c r="R1122" s="186"/>
      <c r="S1122" s="187"/>
      <c r="T1122" s="187"/>
      <c r="U1122" s="186"/>
      <c r="V1122" s="186"/>
      <c r="W1122" s="186"/>
    </row>
    <row r="1123">
      <c r="A1123" s="185"/>
      <c r="B1123" s="67"/>
      <c r="C1123" s="186"/>
      <c r="D1123" s="186"/>
      <c r="E1123" s="186"/>
      <c r="F1123" s="186"/>
      <c r="G1123" s="186"/>
      <c r="H1123" s="186"/>
      <c r="I1123" s="186"/>
      <c r="J1123" s="186"/>
      <c r="K1123" s="186"/>
      <c r="L1123" s="186"/>
      <c r="M1123" s="67"/>
      <c r="N1123" s="67"/>
      <c r="O1123" s="67"/>
      <c r="P1123" s="67"/>
      <c r="Q1123" s="186"/>
      <c r="R1123" s="186"/>
      <c r="S1123" s="187"/>
      <c r="T1123" s="187"/>
      <c r="U1123" s="186"/>
      <c r="V1123" s="186"/>
      <c r="W1123" s="186"/>
    </row>
    <row r="1124">
      <c r="A1124" s="185"/>
      <c r="B1124" s="67"/>
      <c r="C1124" s="186"/>
      <c r="D1124" s="186"/>
      <c r="E1124" s="186"/>
      <c r="F1124" s="186"/>
      <c r="G1124" s="186"/>
      <c r="H1124" s="186"/>
      <c r="I1124" s="186"/>
      <c r="J1124" s="186"/>
      <c r="K1124" s="186"/>
      <c r="L1124" s="186"/>
      <c r="M1124" s="67"/>
      <c r="N1124" s="67"/>
      <c r="O1124" s="67"/>
      <c r="P1124" s="67"/>
      <c r="Q1124" s="186"/>
      <c r="R1124" s="186"/>
      <c r="S1124" s="187"/>
      <c r="T1124" s="187"/>
      <c r="U1124" s="186"/>
      <c r="V1124" s="186"/>
      <c r="W1124" s="186"/>
    </row>
    <row r="1125">
      <c r="A1125" s="185"/>
      <c r="B1125" s="67"/>
      <c r="C1125" s="186"/>
      <c r="D1125" s="186"/>
      <c r="E1125" s="186"/>
      <c r="F1125" s="186"/>
      <c r="G1125" s="186"/>
      <c r="H1125" s="186"/>
      <c r="I1125" s="186"/>
      <c r="J1125" s="186"/>
      <c r="K1125" s="186"/>
      <c r="L1125" s="186"/>
      <c r="M1125" s="67"/>
      <c r="N1125" s="67"/>
      <c r="O1125" s="67"/>
      <c r="P1125" s="67"/>
      <c r="Q1125" s="186"/>
      <c r="R1125" s="186"/>
      <c r="S1125" s="187"/>
      <c r="T1125" s="187"/>
      <c r="U1125" s="186"/>
      <c r="V1125" s="186"/>
      <c r="W1125" s="186"/>
    </row>
    <row r="1126">
      <c r="A1126" s="185"/>
      <c r="B1126" s="67"/>
      <c r="C1126" s="186"/>
      <c r="D1126" s="186"/>
      <c r="E1126" s="186"/>
      <c r="F1126" s="186"/>
      <c r="G1126" s="186"/>
      <c r="H1126" s="186"/>
      <c r="I1126" s="186"/>
      <c r="J1126" s="186"/>
      <c r="K1126" s="186"/>
      <c r="L1126" s="186"/>
      <c r="M1126" s="67"/>
      <c r="N1126" s="67"/>
      <c r="O1126" s="67"/>
      <c r="P1126" s="67"/>
      <c r="Q1126" s="186"/>
      <c r="R1126" s="186"/>
      <c r="S1126" s="187"/>
      <c r="T1126" s="187"/>
      <c r="U1126" s="186"/>
      <c r="V1126" s="186"/>
      <c r="W1126" s="186"/>
    </row>
    <row r="1127">
      <c r="A1127" s="185"/>
      <c r="B1127" s="67"/>
      <c r="C1127" s="186"/>
      <c r="D1127" s="186"/>
      <c r="E1127" s="186"/>
      <c r="F1127" s="186"/>
      <c r="G1127" s="186"/>
      <c r="H1127" s="186"/>
      <c r="I1127" s="186"/>
      <c r="J1127" s="186"/>
      <c r="K1127" s="186"/>
      <c r="L1127" s="186"/>
      <c r="M1127" s="67"/>
      <c r="N1127" s="67"/>
      <c r="O1127" s="67"/>
      <c r="P1127" s="67"/>
      <c r="Q1127" s="186"/>
      <c r="R1127" s="186"/>
      <c r="S1127" s="187"/>
      <c r="T1127" s="187"/>
      <c r="U1127" s="186"/>
      <c r="V1127" s="186"/>
      <c r="W1127" s="186"/>
    </row>
    <row r="1128">
      <c r="A1128" s="185"/>
      <c r="B1128" s="67"/>
      <c r="C1128" s="186"/>
      <c r="D1128" s="186"/>
      <c r="E1128" s="186"/>
      <c r="F1128" s="186"/>
      <c r="G1128" s="186"/>
      <c r="H1128" s="186"/>
      <c r="I1128" s="186"/>
      <c r="J1128" s="186"/>
      <c r="K1128" s="186"/>
      <c r="L1128" s="186"/>
      <c r="M1128" s="67"/>
      <c r="N1128" s="67"/>
      <c r="O1128" s="67"/>
      <c r="P1128" s="67"/>
      <c r="Q1128" s="186"/>
      <c r="R1128" s="186"/>
      <c r="S1128" s="187"/>
      <c r="T1128" s="187"/>
      <c r="U1128" s="186"/>
      <c r="V1128" s="186"/>
      <c r="W1128" s="186"/>
    </row>
    <row r="1129">
      <c r="A1129" s="185"/>
      <c r="B1129" s="67"/>
      <c r="C1129" s="186"/>
      <c r="D1129" s="186"/>
      <c r="E1129" s="186"/>
      <c r="F1129" s="186"/>
      <c r="G1129" s="186"/>
      <c r="H1129" s="186"/>
      <c r="I1129" s="186"/>
      <c r="J1129" s="186"/>
      <c r="K1129" s="186"/>
      <c r="L1129" s="186"/>
      <c r="M1129" s="67"/>
      <c r="N1129" s="67"/>
      <c r="O1129" s="67"/>
      <c r="P1129" s="67"/>
      <c r="Q1129" s="186"/>
      <c r="R1129" s="186"/>
      <c r="S1129" s="187"/>
      <c r="T1129" s="187"/>
      <c r="U1129" s="186"/>
      <c r="V1129" s="186"/>
      <c r="W1129" s="186"/>
    </row>
    <row r="1130">
      <c r="A1130" s="185"/>
      <c r="B1130" s="67"/>
      <c r="C1130" s="186"/>
      <c r="D1130" s="186"/>
      <c r="E1130" s="186"/>
      <c r="F1130" s="186"/>
      <c r="G1130" s="186"/>
      <c r="H1130" s="186"/>
      <c r="I1130" s="186"/>
      <c r="J1130" s="186"/>
      <c r="K1130" s="186"/>
      <c r="L1130" s="186"/>
      <c r="M1130" s="67"/>
      <c r="N1130" s="67"/>
      <c r="O1130" s="67"/>
      <c r="P1130" s="67"/>
      <c r="Q1130" s="186"/>
      <c r="R1130" s="186"/>
      <c r="S1130" s="187"/>
      <c r="T1130" s="187"/>
      <c r="U1130" s="186"/>
      <c r="V1130" s="186"/>
      <c r="W1130" s="186"/>
    </row>
    <row r="1131">
      <c r="A1131" s="185"/>
      <c r="B1131" s="67"/>
      <c r="C1131" s="186"/>
      <c r="D1131" s="186"/>
      <c r="E1131" s="186"/>
      <c r="F1131" s="186"/>
      <c r="G1131" s="186"/>
      <c r="H1131" s="186"/>
      <c r="I1131" s="186"/>
      <c r="J1131" s="186"/>
      <c r="K1131" s="186"/>
      <c r="L1131" s="186"/>
      <c r="M1131" s="67"/>
      <c r="N1131" s="67"/>
      <c r="O1131" s="67"/>
      <c r="P1131" s="67"/>
      <c r="Q1131" s="186"/>
      <c r="R1131" s="186"/>
      <c r="S1131" s="187"/>
      <c r="T1131" s="187"/>
      <c r="U1131" s="186"/>
      <c r="V1131" s="186"/>
      <c r="W1131" s="186"/>
    </row>
    <row r="1132">
      <c r="A1132" s="185"/>
      <c r="B1132" s="67"/>
      <c r="C1132" s="186"/>
      <c r="D1132" s="186"/>
      <c r="E1132" s="186"/>
      <c r="F1132" s="186"/>
      <c r="G1132" s="186"/>
      <c r="H1132" s="186"/>
      <c r="I1132" s="186"/>
      <c r="J1132" s="186"/>
      <c r="K1132" s="186"/>
      <c r="L1132" s="186"/>
      <c r="M1132" s="67"/>
      <c r="N1132" s="67"/>
      <c r="O1132" s="67"/>
      <c r="P1132" s="67"/>
      <c r="Q1132" s="186"/>
      <c r="R1132" s="186"/>
      <c r="S1132" s="187"/>
      <c r="T1132" s="187"/>
      <c r="U1132" s="186"/>
      <c r="V1132" s="186"/>
      <c r="W1132" s="186"/>
    </row>
    <row r="1133">
      <c r="A1133" s="185"/>
      <c r="B1133" s="67"/>
      <c r="C1133" s="186"/>
      <c r="D1133" s="186"/>
      <c r="E1133" s="186"/>
      <c r="F1133" s="186"/>
      <c r="G1133" s="186"/>
      <c r="H1133" s="186"/>
      <c r="I1133" s="186"/>
      <c r="J1133" s="186"/>
      <c r="K1133" s="186"/>
      <c r="L1133" s="186"/>
      <c r="M1133" s="67"/>
      <c r="N1133" s="67"/>
      <c r="O1133" s="67"/>
      <c r="P1133" s="67"/>
      <c r="Q1133" s="186"/>
      <c r="R1133" s="186"/>
      <c r="S1133" s="187"/>
      <c r="T1133" s="187"/>
      <c r="U1133" s="186"/>
      <c r="V1133" s="186"/>
      <c r="W1133" s="186"/>
    </row>
    <row r="1134">
      <c r="A1134" s="185"/>
      <c r="B1134" s="67"/>
      <c r="C1134" s="186"/>
      <c r="D1134" s="186"/>
      <c r="E1134" s="186"/>
      <c r="F1134" s="186"/>
      <c r="G1134" s="186"/>
      <c r="H1134" s="186"/>
      <c r="I1134" s="186"/>
      <c r="J1134" s="186"/>
      <c r="K1134" s="186"/>
      <c r="L1134" s="186"/>
      <c r="M1134" s="67"/>
      <c r="N1134" s="67"/>
      <c r="O1134" s="67"/>
      <c r="P1134" s="67"/>
      <c r="Q1134" s="186"/>
      <c r="R1134" s="186"/>
      <c r="S1134" s="187"/>
      <c r="T1134" s="187"/>
      <c r="U1134" s="186"/>
      <c r="V1134" s="186"/>
      <c r="W1134" s="186"/>
    </row>
    <row r="1135">
      <c r="A1135" s="185"/>
      <c r="B1135" s="67"/>
      <c r="C1135" s="186"/>
      <c r="D1135" s="186"/>
      <c r="E1135" s="186"/>
      <c r="F1135" s="186"/>
      <c r="G1135" s="186"/>
      <c r="H1135" s="186"/>
      <c r="I1135" s="186"/>
      <c r="J1135" s="186"/>
      <c r="K1135" s="186"/>
      <c r="L1135" s="186"/>
      <c r="M1135" s="67"/>
      <c r="N1135" s="67"/>
      <c r="O1135" s="67"/>
      <c r="P1135" s="67"/>
      <c r="Q1135" s="186"/>
      <c r="R1135" s="186"/>
      <c r="S1135" s="187"/>
      <c r="T1135" s="187"/>
      <c r="U1135" s="186"/>
      <c r="V1135" s="186"/>
      <c r="W1135" s="186"/>
    </row>
    <row r="1136">
      <c r="A1136" s="185"/>
      <c r="B1136" s="67"/>
      <c r="C1136" s="186"/>
      <c r="D1136" s="186"/>
      <c r="E1136" s="186"/>
      <c r="F1136" s="186"/>
      <c r="G1136" s="186"/>
      <c r="H1136" s="186"/>
      <c r="I1136" s="186"/>
      <c r="J1136" s="186"/>
      <c r="K1136" s="186"/>
      <c r="L1136" s="186"/>
      <c r="M1136" s="67"/>
      <c r="N1136" s="67"/>
      <c r="O1136" s="67"/>
      <c r="P1136" s="67"/>
      <c r="Q1136" s="186"/>
      <c r="R1136" s="186"/>
      <c r="S1136" s="187"/>
      <c r="T1136" s="187"/>
      <c r="U1136" s="186"/>
      <c r="V1136" s="186"/>
      <c r="W1136" s="186"/>
    </row>
    <row r="1137">
      <c r="A1137" s="185"/>
      <c r="B1137" s="67"/>
      <c r="C1137" s="186"/>
      <c r="D1137" s="186"/>
      <c r="E1137" s="186"/>
      <c r="F1137" s="186"/>
      <c r="G1137" s="186"/>
      <c r="H1137" s="186"/>
      <c r="I1137" s="186"/>
      <c r="J1137" s="186"/>
      <c r="K1137" s="186"/>
      <c r="L1137" s="186"/>
      <c r="M1137" s="67"/>
      <c r="N1137" s="67"/>
      <c r="O1137" s="67"/>
      <c r="P1137" s="67"/>
      <c r="Q1137" s="186"/>
      <c r="R1137" s="186"/>
      <c r="S1137" s="187"/>
      <c r="T1137" s="187"/>
      <c r="U1137" s="186"/>
      <c r="V1137" s="186"/>
      <c r="W1137" s="186"/>
    </row>
    <row r="1138">
      <c r="A1138" s="185"/>
      <c r="B1138" s="67"/>
      <c r="C1138" s="186"/>
      <c r="D1138" s="186"/>
      <c r="E1138" s="186"/>
      <c r="F1138" s="186"/>
      <c r="G1138" s="186"/>
      <c r="H1138" s="186"/>
      <c r="I1138" s="186"/>
      <c r="J1138" s="186"/>
      <c r="K1138" s="186"/>
      <c r="L1138" s="186"/>
      <c r="M1138" s="67"/>
      <c r="N1138" s="67"/>
      <c r="O1138" s="67"/>
      <c r="P1138" s="67"/>
      <c r="Q1138" s="186"/>
      <c r="R1138" s="186"/>
      <c r="S1138" s="187"/>
      <c r="T1138" s="187"/>
      <c r="U1138" s="186"/>
      <c r="V1138" s="186"/>
      <c r="W1138" s="186"/>
    </row>
    <row r="1139">
      <c r="A1139" s="185"/>
      <c r="B1139" s="67"/>
      <c r="C1139" s="186"/>
      <c r="D1139" s="186"/>
      <c r="E1139" s="186"/>
      <c r="F1139" s="186"/>
      <c r="G1139" s="186"/>
      <c r="H1139" s="186"/>
      <c r="I1139" s="186"/>
      <c r="J1139" s="186"/>
      <c r="K1139" s="186"/>
      <c r="L1139" s="186"/>
      <c r="M1139" s="67"/>
      <c r="N1139" s="67"/>
      <c r="O1139" s="67"/>
      <c r="P1139" s="67"/>
      <c r="Q1139" s="186"/>
      <c r="R1139" s="186"/>
      <c r="S1139" s="187"/>
      <c r="T1139" s="187"/>
      <c r="U1139" s="186"/>
      <c r="V1139" s="186"/>
      <c r="W1139" s="186"/>
    </row>
    <row r="1140">
      <c r="A1140" s="185"/>
      <c r="B1140" s="67"/>
      <c r="C1140" s="186"/>
      <c r="D1140" s="186"/>
      <c r="E1140" s="186"/>
      <c r="F1140" s="186"/>
      <c r="G1140" s="186"/>
      <c r="H1140" s="186"/>
      <c r="I1140" s="186"/>
      <c r="J1140" s="186"/>
      <c r="K1140" s="186"/>
      <c r="L1140" s="186"/>
      <c r="M1140" s="67"/>
      <c r="N1140" s="67"/>
      <c r="O1140" s="67"/>
      <c r="P1140" s="67"/>
      <c r="Q1140" s="186"/>
      <c r="R1140" s="186"/>
      <c r="S1140" s="187"/>
      <c r="T1140" s="187"/>
      <c r="U1140" s="186"/>
      <c r="V1140" s="186"/>
      <c r="W1140" s="186"/>
    </row>
    <row r="1141">
      <c r="A1141" s="185"/>
      <c r="B1141" s="67"/>
      <c r="C1141" s="186"/>
      <c r="D1141" s="186"/>
      <c r="E1141" s="186"/>
      <c r="F1141" s="186"/>
      <c r="G1141" s="186"/>
      <c r="H1141" s="186"/>
      <c r="I1141" s="186"/>
      <c r="J1141" s="186"/>
      <c r="K1141" s="186"/>
      <c r="L1141" s="186"/>
      <c r="M1141" s="67"/>
      <c r="N1141" s="67"/>
      <c r="O1141" s="67"/>
      <c r="P1141" s="67"/>
      <c r="Q1141" s="186"/>
      <c r="R1141" s="186"/>
      <c r="S1141" s="187"/>
      <c r="T1141" s="187"/>
      <c r="U1141" s="186"/>
      <c r="V1141" s="186"/>
      <c r="W1141" s="186"/>
    </row>
    <row r="1142">
      <c r="A1142" s="185"/>
      <c r="B1142" s="67"/>
      <c r="C1142" s="186"/>
      <c r="D1142" s="186"/>
      <c r="E1142" s="186"/>
      <c r="F1142" s="186"/>
      <c r="G1142" s="186"/>
      <c r="H1142" s="186"/>
      <c r="I1142" s="186"/>
      <c r="J1142" s="186"/>
      <c r="K1142" s="186"/>
      <c r="L1142" s="186"/>
      <c r="M1142" s="67"/>
      <c r="N1142" s="67"/>
      <c r="O1142" s="67"/>
      <c r="P1142" s="67"/>
      <c r="Q1142" s="186"/>
      <c r="R1142" s="186"/>
      <c r="S1142" s="187"/>
      <c r="T1142" s="187"/>
      <c r="U1142" s="186"/>
      <c r="V1142" s="186"/>
      <c r="W1142" s="186"/>
    </row>
    <row r="1143">
      <c r="A1143" s="185"/>
      <c r="B1143" s="67"/>
      <c r="C1143" s="186"/>
      <c r="D1143" s="186"/>
      <c r="E1143" s="186"/>
      <c r="F1143" s="186"/>
      <c r="G1143" s="186"/>
      <c r="H1143" s="186"/>
      <c r="I1143" s="186"/>
      <c r="J1143" s="186"/>
      <c r="K1143" s="186"/>
      <c r="L1143" s="186"/>
      <c r="M1143" s="67"/>
      <c r="N1143" s="67"/>
      <c r="O1143" s="67"/>
      <c r="P1143" s="67"/>
      <c r="Q1143" s="186"/>
      <c r="R1143" s="186"/>
      <c r="S1143" s="187"/>
      <c r="T1143" s="187"/>
      <c r="U1143" s="186"/>
      <c r="V1143" s="186"/>
      <c r="W1143" s="186"/>
    </row>
    <row r="1144">
      <c r="A1144" s="185"/>
      <c r="B1144" s="67"/>
      <c r="C1144" s="186"/>
      <c r="D1144" s="186"/>
      <c r="E1144" s="186"/>
      <c r="F1144" s="186"/>
      <c r="G1144" s="186"/>
      <c r="H1144" s="186"/>
      <c r="I1144" s="186"/>
      <c r="J1144" s="186"/>
      <c r="K1144" s="186"/>
      <c r="L1144" s="186"/>
      <c r="M1144" s="67"/>
      <c r="N1144" s="67"/>
      <c r="O1144" s="67"/>
      <c r="P1144" s="67"/>
      <c r="Q1144" s="186"/>
      <c r="R1144" s="186"/>
      <c r="S1144" s="187"/>
      <c r="T1144" s="187"/>
      <c r="U1144" s="186"/>
      <c r="V1144" s="186"/>
      <c r="W1144" s="186"/>
    </row>
    <row r="1145">
      <c r="A1145" s="185"/>
      <c r="B1145" s="67"/>
      <c r="C1145" s="186"/>
      <c r="D1145" s="186"/>
      <c r="E1145" s="186"/>
      <c r="F1145" s="186"/>
      <c r="G1145" s="186"/>
      <c r="H1145" s="186"/>
      <c r="I1145" s="186"/>
      <c r="J1145" s="186"/>
      <c r="K1145" s="186"/>
      <c r="L1145" s="186"/>
      <c r="M1145" s="67"/>
      <c r="N1145" s="67"/>
      <c r="O1145" s="67"/>
      <c r="P1145" s="67"/>
      <c r="Q1145" s="186"/>
      <c r="R1145" s="186"/>
      <c r="S1145" s="187"/>
      <c r="T1145" s="187"/>
      <c r="U1145" s="186"/>
      <c r="V1145" s="186"/>
      <c r="W1145" s="186"/>
    </row>
    <row r="1146">
      <c r="A1146" s="185"/>
      <c r="B1146" s="67"/>
      <c r="C1146" s="186"/>
      <c r="D1146" s="186"/>
      <c r="E1146" s="186"/>
      <c r="F1146" s="186"/>
      <c r="G1146" s="186"/>
      <c r="H1146" s="186"/>
      <c r="I1146" s="186"/>
      <c r="J1146" s="186"/>
      <c r="K1146" s="186"/>
      <c r="L1146" s="186"/>
      <c r="M1146" s="67"/>
      <c r="N1146" s="67"/>
      <c r="O1146" s="67"/>
      <c r="P1146" s="67"/>
      <c r="Q1146" s="186"/>
      <c r="R1146" s="186"/>
      <c r="S1146" s="187"/>
      <c r="T1146" s="187"/>
      <c r="U1146" s="186"/>
      <c r="V1146" s="186"/>
      <c r="W1146" s="186"/>
    </row>
    <row r="1147">
      <c r="A1147" s="185"/>
      <c r="B1147" s="67"/>
      <c r="C1147" s="186"/>
      <c r="D1147" s="186"/>
      <c r="E1147" s="186"/>
      <c r="F1147" s="186"/>
      <c r="G1147" s="186"/>
      <c r="H1147" s="186"/>
      <c r="I1147" s="186"/>
      <c r="J1147" s="186"/>
      <c r="K1147" s="186"/>
      <c r="L1147" s="186"/>
      <c r="M1147" s="67"/>
      <c r="N1147" s="67"/>
      <c r="O1147" s="67"/>
      <c r="P1147" s="67"/>
      <c r="Q1147" s="186"/>
      <c r="R1147" s="186"/>
      <c r="S1147" s="187"/>
      <c r="T1147" s="187"/>
      <c r="U1147" s="186"/>
      <c r="V1147" s="186"/>
      <c r="W1147" s="186"/>
    </row>
    <row r="1148">
      <c r="A1148" s="185"/>
      <c r="B1148" s="67"/>
      <c r="C1148" s="186"/>
      <c r="D1148" s="186"/>
      <c r="E1148" s="186"/>
      <c r="F1148" s="186"/>
      <c r="G1148" s="186"/>
      <c r="H1148" s="186"/>
      <c r="I1148" s="186"/>
      <c r="J1148" s="186"/>
      <c r="K1148" s="186"/>
      <c r="L1148" s="186"/>
      <c r="M1148" s="67"/>
      <c r="N1148" s="67"/>
      <c r="O1148" s="67"/>
      <c r="P1148" s="67"/>
      <c r="Q1148" s="186"/>
      <c r="R1148" s="186"/>
      <c r="S1148" s="187"/>
      <c r="T1148" s="187"/>
      <c r="U1148" s="186"/>
      <c r="V1148" s="186"/>
      <c r="W1148" s="186"/>
    </row>
    <row r="1149">
      <c r="A1149" s="185"/>
      <c r="B1149" s="67"/>
      <c r="C1149" s="186"/>
      <c r="D1149" s="186"/>
      <c r="E1149" s="186"/>
      <c r="F1149" s="186"/>
      <c r="G1149" s="186"/>
      <c r="H1149" s="186"/>
      <c r="I1149" s="186"/>
      <c r="J1149" s="186"/>
      <c r="K1149" s="186"/>
      <c r="L1149" s="186"/>
      <c r="M1149" s="67"/>
      <c r="N1149" s="67"/>
      <c r="O1149" s="67"/>
      <c r="P1149" s="67"/>
      <c r="Q1149" s="186"/>
      <c r="R1149" s="186"/>
      <c r="S1149" s="187"/>
      <c r="T1149" s="187"/>
      <c r="U1149" s="186"/>
      <c r="V1149" s="186"/>
      <c r="W1149" s="186"/>
    </row>
    <row r="1150">
      <c r="A1150" s="185"/>
      <c r="B1150" s="67"/>
      <c r="C1150" s="186"/>
      <c r="D1150" s="186"/>
      <c r="E1150" s="186"/>
      <c r="F1150" s="186"/>
      <c r="G1150" s="186"/>
      <c r="H1150" s="186"/>
      <c r="I1150" s="186"/>
      <c r="J1150" s="186"/>
      <c r="K1150" s="186"/>
      <c r="L1150" s="186"/>
      <c r="M1150" s="67"/>
      <c r="N1150" s="67"/>
      <c r="O1150" s="67"/>
      <c r="P1150" s="67"/>
      <c r="Q1150" s="186"/>
      <c r="R1150" s="186"/>
      <c r="S1150" s="187"/>
      <c r="T1150" s="187"/>
      <c r="U1150" s="186"/>
      <c r="V1150" s="186"/>
      <c r="W1150" s="186"/>
    </row>
    <row r="1151">
      <c r="A1151" s="185"/>
      <c r="B1151" s="67"/>
      <c r="C1151" s="186"/>
      <c r="D1151" s="186"/>
      <c r="E1151" s="186"/>
      <c r="F1151" s="186"/>
      <c r="G1151" s="186"/>
      <c r="H1151" s="186"/>
      <c r="I1151" s="186"/>
      <c r="J1151" s="186"/>
      <c r="K1151" s="186"/>
      <c r="L1151" s="186"/>
      <c r="M1151" s="67"/>
      <c r="N1151" s="67"/>
      <c r="O1151" s="67"/>
      <c r="P1151" s="67"/>
      <c r="Q1151" s="186"/>
      <c r="R1151" s="186"/>
      <c r="S1151" s="187"/>
      <c r="T1151" s="187"/>
      <c r="U1151" s="186"/>
      <c r="V1151" s="186"/>
      <c r="W1151" s="186"/>
    </row>
    <row r="1152">
      <c r="A1152" s="185"/>
      <c r="B1152" s="67"/>
      <c r="C1152" s="186"/>
      <c r="D1152" s="186"/>
      <c r="E1152" s="186"/>
      <c r="F1152" s="186"/>
      <c r="G1152" s="186"/>
      <c r="H1152" s="186"/>
      <c r="I1152" s="186"/>
      <c r="J1152" s="186"/>
      <c r="K1152" s="186"/>
      <c r="L1152" s="186"/>
      <c r="M1152" s="67"/>
      <c r="N1152" s="67"/>
      <c r="O1152" s="67"/>
      <c r="P1152" s="67"/>
      <c r="Q1152" s="186"/>
      <c r="R1152" s="186"/>
      <c r="S1152" s="187"/>
      <c r="T1152" s="187"/>
      <c r="U1152" s="186"/>
      <c r="V1152" s="186"/>
      <c r="W1152" s="186"/>
    </row>
    <row r="1153">
      <c r="A1153" s="185"/>
      <c r="B1153" s="67"/>
      <c r="C1153" s="186"/>
      <c r="D1153" s="186"/>
      <c r="E1153" s="186"/>
      <c r="F1153" s="186"/>
      <c r="G1153" s="186"/>
      <c r="H1153" s="186"/>
      <c r="I1153" s="186"/>
      <c r="J1153" s="186"/>
      <c r="K1153" s="186"/>
      <c r="L1153" s="186"/>
      <c r="M1153" s="67"/>
      <c r="N1153" s="67"/>
      <c r="O1153" s="67"/>
      <c r="P1153" s="67"/>
      <c r="Q1153" s="186"/>
      <c r="R1153" s="186"/>
      <c r="S1153" s="187"/>
      <c r="T1153" s="187"/>
      <c r="U1153" s="186"/>
      <c r="V1153" s="186"/>
      <c r="W1153" s="186"/>
    </row>
    <row r="1154">
      <c r="A1154" s="185"/>
      <c r="B1154" s="67"/>
      <c r="C1154" s="186"/>
      <c r="D1154" s="186"/>
      <c r="E1154" s="186"/>
      <c r="F1154" s="186"/>
      <c r="G1154" s="186"/>
      <c r="H1154" s="186"/>
      <c r="I1154" s="186"/>
      <c r="J1154" s="186"/>
      <c r="K1154" s="186"/>
      <c r="L1154" s="186"/>
      <c r="M1154" s="67"/>
      <c r="N1154" s="67"/>
      <c r="O1154" s="67"/>
      <c r="P1154" s="67"/>
      <c r="Q1154" s="186"/>
      <c r="R1154" s="186"/>
      <c r="S1154" s="187"/>
      <c r="T1154" s="187"/>
      <c r="U1154" s="186"/>
      <c r="V1154" s="186"/>
      <c r="W1154" s="186"/>
    </row>
    <row r="1155">
      <c r="A1155" s="185"/>
      <c r="B1155" s="67"/>
      <c r="C1155" s="186"/>
      <c r="D1155" s="186"/>
      <c r="E1155" s="186"/>
      <c r="F1155" s="186"/>
      <c r="G1155" s="186"/>
      <c r="H1155" s="186"/>
      <c r="I1155" s="186"/>
      <c r="J1155" s="186"/>
      <c r="K1155" s="186"/>
      <c r="L1155" s="186"/>
      <c r="M1155" s="67"/>
      <c r="N1155" s="67"/>
      <c r="O1155" s="67"/>
      <c r="P1155" s="67"/>
      <c r="Q1155" s="186"/>
      <c r="R1155" s="186"/>
      <c r="S1155" s="187"/>
      <c r="T1155" s="187"/>
      <c r="U1155" s="186"/>
      <c r="V1155" s="186"/>
      <c r="W1155" s="186"/>
    </row>
    <row r="1156">
      <c r="A1156" s="185"/>
      <c r="B1156" s="67"/>
      <c r="C1156" s="186"/>
      <c r="D1156" s="186"/>
      <c r="E1156" s="186"/>
      <c r="F1156" s="186"/>
      <c r="G1156" s="186"/>
      <c r="H1156" s="186"/>
      <c r="I1156" s="186"/>
      <c r="J1156" s="186"/>
      <c r="K1156" s="186"/>
      <c r="L1156" s="186"/>
      <c r="M1156" s="67"/>
      <c r="N1156" s="67"/>
      <c r="O1156" s="67"/>
      <c r="P1156" s="67"/>
      <c r="Q1156" s="186"/>
      <c r="R1156" s="186"/>
      <c r="S1156" s="187"/>
      <c r="T1156" s="187"/>
      <c r="U1156" s="186"/>
      <c r="V1156" s="186"/>
      <c r="W1156" s="186"/>
    </row>
    <row r="1157">
      <c r="A1157" s="185"/>
      <c r="B1157" s="67"/>
      <c r="C1157" s="186"/>
      <c r="D1157" s="186"/>
      <c r="E1157" s="186"/>
      <c r="F1157" s="186"/>
      <c r="G1157" s="186"/>
      <c r="H1157" s="186"/>
      <c r="I1157" s="186"/>
      <c r="J1157" s="186"/>
      <c r="K1157" s="186"/>
      <c r="L1157" s="186"/>
      <c r="M1157" s="67"/>
      <c r="N1157" s="67"/>
      <c r="O1157" s="67"/>
      <c r="P1157" s="67"/>
      <c r="Q1157" s="186"/>
      <c r="R1157" s="186"/>
      <c r="S1157" s="187"/>
      <c r="T1157" s="187"/>
      <c r="U1157" s="186"/>
      <c r="V1157" s="186"/>
      <c r="W1157" s="186"/>
    </row>
    <row r="1158">
      <c r="A1158" s="185"/>
      <c r="B1158" s="67"/>
      <c r="C1158" s="186"/>
      <c r="D1158" s="186"/>
      <c r="E1158" s="186"/>
      <c r="F1158" s="186"/>
      <c r="G1158" s="186"/>
      <c r="H1158" s="186"/>
      <c r="I1158" s="186"/>
      <c r="J1158" s="186"/>
      <c r="K1158" s="186"/>
      <c r="L1158" s="186"/>
      <c r="M1158" s="67"/>
      <c r="N1158" s="67"/>
      <c r="O1158" s="67"/>
      <c r="P1158" s="67"/>
      <c r="Q1158" s="186"/>
      <c r="R1158" s="186"/>
      <c r="S1158" s="187"/>
      <c r="T1158" s="187"/>
      <c r="U1158" s="186"/>
      <c r="V1158" s="186"/>
      <c r="W1158" s="186"/>
    </row>
    <row r="1159">
      <c r="A1159" s="185"/>
      <c r="B1159" s="67"/>
      <c r="C1159" s="186"/>
      <c r="D1159" s="186"/>
      <c r="E1159" s="186"/>
      <c r="F1159" s="186"/>
      <c r="G1159" s="186"/>
      <c r="H1159" s="186"/>
      <c r="I1159" s="186"/>
      <c r="J1159" s="186"/>
      <c r="K1159" s="186"/>
      <c r="L1159" s="186"/>
      <c r="M1159" s="67"/>
      <c r="N1159" s="67"/>
      <c r="O1159" s="67"/>
      <c r="P1159" s="67"/>
      <c r="Q1159" s="186"/>
      <c r="R1159" s="186"/>
      <c r="S1159" s="187"/>
      <c r="T1159" s="187"/>
      <c r="U1159" s="186"/>
      <c r="V1159" s="186"/>
      <c r="W1159" s="186"/>
    </row>
    <row r="1160">
      <c r="A1160" s="185"/>
      <c r="B1160" s="67"/>
      <c r="C1160" s="186"/>
      <c r="D1160" s="186"/>
      <c r="E1160" s="186"/>
      <c r="F1160" s="186"/>
      <c r="G1160" s="186"/>
      <c r="H1160" s="186"/>
      <c r="I1160" s="186"/>
      <c r="J1160" s="186"/>
      <c r="K1160" s="186"/>
      <c r="L1160" s="186"/>
      <c r="M1160" s="67"/>
      <c r="N1160" s="67"/>
      <c r="O1160" s="67"/>
      <c r="P1160" s="67"/>
      <c r="Q1160" s="186"/>
      <c r="R1160" s="186"/>
      <c r="S1160" s="187"/>
      <c r="T1160" s="187"/>
      <c r="U1160" s="186"/>
      <c r="V1160" s="186"/>
      <c r="W1160" s="186"/>
    </row>
    <row r="1161">
      <c r="A1161" s="185"/>
      <c r="B1161" s="67"/>
      <c r="C1161" s="186"/>
      <c r="D1161" s="186"/>
      <c r="E1161" s="186"/>
      <c r="F1161" s="186"/>
      <c r="G1161" s="186"/>
      <c r="H1161" s="186"/>
      <c r="I1161" s="186"/>
      <c r="J1161" s="186"/>
      <c r="K1161" s="186"/>
      <c r="L1161" s="186"/>
      <c r="M1161" s="67"/>
      <c r="N1161" s="67"/>
      <c r="O1161" s="67"/>
      <c r="P1161" s="67"/>
      <c r="Q1161" s="186"/>
      <c r="R1161" s="186"/>
      <c r="S1161" s="187"/>
      <c r="T1161" s="187"/>
      <c r="U1161" s="186"/>
      <c r="V1161" s="186"/>
      <c r="W1161" s="186"/>
    </row>
    <row r="1162">
      <c r="A1162" s="185"/>
      <c r="B1162" s="67"/>
      <c r="C1162" s="186"/>
      <c r="D1162" s="186"/>
      <c r="E1162" s="186"/>
      <c r="F1162" s="186"/>
      <c r="G1162" s="186"/>
      <c r="H1162" s="186"/>
      <c r="I1162" s="186"/>
      <c r="J1162" s="186"/>
      <c r="K1162" s="186"/>
      <c r="L1162" s="186"/>
      <c r="M1162" s="67"/>
      <c r="N1162" s="67"/>
      <c r="O1162" s="67"/>
      <c r="P1162" s="67"/>
      <c r="Q1162" s="186"/>
      <c r="R1162" s="186"/>
      <c r="S1162" s="187"/>
      <c r="T1162" s="187"/>
      <c r="U1162" s="186"/>
      <c r="V1162" s="186"/>
      <c r="W1162" s="186"/>
    </row>
    <row r="1163">
      <c r="A1163" s="185"/>
      <c r="B1163" s="67"/>
      <c r="C1163" s="186"/>
      <c r="D1163" s="186"/>
      <c r="E1163" s="186"/>
      <c r="F1163" s="186"/>
      <c r="G1163" s="186"/>
      <c r="H1163" s="186"/>
      <c r="I1163" s="186"/>
      <c r="J1163" s="186"/>
      <c r="K1163" s="186"/>
      <c r="L1163" s="186"/>
      <c r="M1163" s="67"/>
      <c r="N1163" s="67"/>
      <c r="O1163" s="67"/>
      <c r="P1163" s="67"/>
      <c r="Q1163" s="186"/>
      <c r="R1163" s="186"/>
      <c r="S1163" s="187"/>
      <c r="T1163" s="187"/>
      <c r="U1163" s="186"/>
      <c r="V1163" s="186"/>
      <c r="W1163" s="186"/>
    </row>
    <row r="1164">
      <c r="A1164" s="185"/>
      <c r="B1164" s="67"/>
      <c r="C1164" s="186"/>
      <c r="D1164" s="186"/>
      <c r="E1164" s="186"/>
      <c r="F1164" s="186"/>
      <c r="G1164" s="186"/>
      <c r="H1164" s="186"/>
      <c r="I1164" s="186"/>
      <c r="J1164" s="186"/>
      <c r="K1164" s="186"/>
      <c r="L1164" s="186"/>
      <c r="M1164" s="67"/>
      <c r="N1164" s="67"/>
      <c r="O1164" s="67"/>
      <c r="P1164" s="67"/>
      <c r="Q1164" s="186"/>
      <c r="R1164" s="186"/>
      <c r="S1164" s="187"/>
      <c r="T1164" s="187"/>
      <c r="U1164" s="186"/>
      <c r="V1164" s="186"/>
      <c r="W1164" s="186"/>
    </row>
    <row r="1165">
      <c r="A1165" s="185"/>
      <c r="B1165" s="67"/>
      <c r="C1165" s="186"/>
      <c r="D1165" s="186"/>
      <c r="E1165" s="186"/>
      <c r="F1165" s="186"/>
      <c r="G1165" s="186"/>
      <c r="H1165" s="186"/>
      <c r="I1165" s="186"/>
      <c r="J1165" s="186"/>
      <c r="K1165" s="186"/>
      <c r="L1165" s="186"/>
      <c r="M1165" s="67"/>
      <c r="N1165" s="67"/>
      <c r="O1165" s="67"/>
      <c r="P1165" s="67"/>
      <c r="Q1165" s="186"/>
      <c r="R1165" s="186"/>
      <c r="S1165" s="187"/>
      <c r="T1165" s="187"/>
      <c r="U1165" s="186"/>
      <c r="V1165" s="186"/>
      <c r="W1165" s="186"/>
    </row>
    <row r="1166">
      <c r="A1166" s="185"/>
      <c r="B1166" s="67"/>
      <c r="C1166" s="186"/>
      <c r="D1166" s="186"/>
      <c r="E1166" s="186"/>
      <c r="F1166" s="186"/>
      <c r="G1166" s="186"/>
      <c r="H1166" s="186"/>
      <c r="I1166" s="186"/>
      <c r="J1166" s="186"/>
      <c r="K1166" s="186"/>
      <c r="L1166" s="186"/>
      <c r="M1166" s="67"/>
      <c r="N1166" s="67"/>
      <c r="O1166" s="67"/>
      <c r="P1166" s="67"/>
      <c r="Q1166" s="186"/>
      <c r="R1166" s="186"/>
      <c r="S1166" s="187"/>
      <c r="T1166" s="187"/>
      <c r="U1166" s="186"/>
      <c r="V1166" s="186"/>
      <c r="W1166" s="186"/>
    </row>
    <row r="1167">
      <c r="A1167" s="185"/>
      <c r="B1167" s="67"/>
      <c r="C1167" s="186"/>
      <c r="D1167" s="186"/>
      <c r="E1167" s="186"/>
      <c r="F1167" s="186"/>
      <c r="G1167" s="186"/>
      <c r="H1167" s="186"/>
      <c r="I1167" s="186"/>
      <c r="J1167" s="186"/>
      <c r="K1167" s="186"/>
      <c r="L1167" s="186"/>
      <c r="M1167" s="67"/>
      <c r="N1167" s="67"/>
      <c r="O1167" s="67"/>
      <c r="P1167" s="67"/>
      <c r="Q1167" s="186"/>
      <c r="R1167" s="186"/>
      <c r="S1167" s="187"/>
      <c r="T1167" s="187"/>
      <c r="U1167" s="186"/>
      <c r="V1167" s="186"/>
      <c r="W1167" s="186"/>
    </row>
    <row r="1168">
      <c r="A1168" s="185"/>
      <c r="B1168" s="67"/>
      <c r="C1168" s="186"/>
      <c r="D1168" s="186"/>
      <c r="E1168" s="186"/>
      <c r="F1168" s="186"/>
      <c r="G1168" s="186"/>
      <c r="H1168" s="186"/>
      <c r="I1168" s="186"/>
      <c r="J1168" s="186"/>
      <c r="K1168" s="186"/>
      <c r="L1168" s="186"/>
      <c r="M1168" s="67"/>
      <c r="N1168" s="67"/>
      <c r="O1168" s="67"/>
      <c r="P1168" s="67"/>
      <c r="Q1168" s="186"/>
      <c r="R1168" s="186"/>
      <c r="S1168" s="187"/>
      <c r="T1168" s="187"/>
      <c r="U1168" s="186"/>
      <c r="V1168" s="186"/>
      <c r="W1168" s="186"/>
    </row>
    <row r="1169">
      <c r="A1169" s="185"/>
      <c r="B1169" s="67"/>
      <c r="C1169" s="186"/>
      <c r="D1169" s="186"/>
      <c r="E1169" s="186"/>
      <c r="F1169" s="186"/>
      <c r="G1169" s="186"/>
      <c r="H1169" s="186"/>
      <c r="I1169" s="186"/>
      <c r="J1169" s="186"/>
      <c r="K1169" s="186"/>
      <c r="L1169" s="186"/>
      <c r="M1169" s="67"/>
      <c r="N1169" s="67"/>
      <c r="O1169" s="67"/>
      <c r="P1169" s="67"/>
      <c r="Q1169" s="186"/>
      <c r="R1169" s="186"/>
      <c r="S1169" s="187"/>
      <c r="T1169" s="187"/>
      <c r="U1169" s="186"/>
      <c r="V1169" s="186"/>
      <c r="W1169" s="186"/>
    </row>
    <row r="1170">
      <c r="A1170" s="185"/>
      <c r="B1170" s="67"/>
      <c r="C1170" s="186"/>
      <c r="D1170" s="186"/>
      <c r="E1170" s="186"/>
      <c r="F1170" s="186"/>
      <c r="G1170" s="186"/>
      <c r="H1170" s="186"/>
      <c r="I1170" s="186"/>
      <c r="J1170" s="186"/>
      <c r="K1170" s="186"/>
      <c r="L1170" s="186"/>
      <c r="M1170" s="67"/>
      <c r="N1170" s="67"/>
      <c r="O1170" s="67"/>
      <c r="P1170" s="67"/>
      <c r="Q1170" s="186"/>
      <c r="R1170" s="186"/>
      <c r="S1170" s="187"/>
      <c r="T1170" s="187"/>
      <c r="U1170" s="186"/>
      <c r="V1170" s="186"/>
      <c r="W1170" s="186"/>
    </row>
    <row r="1171">
      <c r="A1171" s="185"/>
      <c r="B1171" s="67"/>
      <c r="C1171" s="186"/>
      <c r="D1171" s="186"/>
      <c r="E1171" s="186"/>
      <c r="F1171" s="186"/>
      <c r="G1171" s="186"/>
      <c r="H1171" s="186"/>
      <c r="I1171" s="186"/>
      <c r="J1171" s="186"/>
      <c r="K1171" s="186"/>
      <c r="L1171" s="186"/>
      <c r="M1171" s="67"/>
      <c r="N1171" s="67"/>
      <c r="O1171" s="67"/>
      <c r="P1171" s="67"/>
      <c r="Q1171" s="186"/>
      <c r="R1171" s="186"/>
      <c r="S1171" s="187"/>
      <c r="T1171" s="187"/>
      <c r="U1171" s="186"/>
      <c r="V1171" s="186"/>
      <c r="W1171" s="186"/>
    </row>
    <row r="1172">
      <c r="A1172" s="185"/>
      <c r="B1172" s="67"/>
      <c r="C1172" s="186"/>
      <c r="D1172" s="186"/>
      <c r="E1172" s="186"/>
      <c r="F1172" s="186"/>
      <c r="G1172" s="186"/>
      <c r="H1172" s="186"/>
      <c r="I1172" s="186"/>
      <c r="J1172" s="186"/>
      <c r="K1172" s="186"/>
      <c r="L1172" s="186"/>
      <c r="M1172" s="67"/>
      <c r="N1172" s="67"/>
      <c r="O1172" s="67"/>
      <c r="P1172" s="67"/>
      <c r="Q1172" s="186"/>
      <c r="R1172" s="186"/>
      <c r="S1172" s="187"/>
      <c r="T1172" s="187"/>
      <c r="U1172" s="186"/>
      <c r="V1172" s="186"/>
      <c r="W1172" s="186"/>
    </row>
    <row r="1173">
      <c r="A1173" s="185"/>
      <c r="B1173" s="67"/>
      <c r="C1173" s="186"/>
      <c r="D1173" s="186"/>
      <c r="E1173" s="186"/>
      <c r="F1173" s="186"/>
      <c r="G1173" s="186"/>
      <c r="H1173" s="186"/>
      <c r="I1173" s="186"/>
      <c r="J1173" s="186"/>
      <c r="K1173" s="186"/>
      <c r="L1173" s="186"/>
      <c r="M1173" s="67"/>
      <c r="N1173" s="67"/>
      <c r="O1173" s="67"/>
      <c r="P1173" s="67"/>
      <c r="Q1173" s="186"/>
      <c r="R1173" s="186"/>
      <c r="S1173" s="187"/>
      <c r="T1173" s="187"/>
      <c r="U1173" s="186"/>
      <c r="V1173" s="186"/>
      <c r="W1173" s="186"/>
    </row>
    <row r="1174">
      <c r="A1174" s="185"/>
      <c r="B1174" s="67"/>
      <c r="C1174" s="186"/>
      <c r="D1174" s="186"/>
      <c r="E1174" s="186"/>
      <c r="F1174" s="186"/>
      <c r="G1174" s="186"/>
      <c r="H1174" s="186"/>
      <c r="I1174" s="186"/>
      <c r="J1174" s="186"/>
      <c r="K1174" s="186"/>
      <c r="L1174" s="186"/>
      <c r="M1174" s="67"/>
      <c r="N1174" s="67"/>
      <c r="O1174" s="67"/>
      <c r="P1174" s="67"/>
      <c r="Q1174" s="186"/>
      <c r="R1174" s="186"/>
      <c r="S1174" s="187"/>
      <c r="T1174" s="187"/>
      <c r="U1174" s="186"/>
      <c r="V1174" s="186"/>
      <c r="W1174" s="186"/>
    </row>
    <row r="1175">
      <c r="A1175" s="185"/>
      <c r="B1175" s="67"/>
      <c r="C1175" s="186"/>
      <c r="D1175" s="186"/>
      <c r="E1175" s="186"/>
      <c r="F1175" s="186"/>
      <c r="G1175" s="186"/>
      <c r="H1175" s="186"/>
      <c r="I1175" s="186"/>
      <c r="J1175" s="186"/>
      <c r="K1175" s="186"/>
      <c r="L1175" s="186"/>
      <c r="M1175" s="67"/>
      <c r="N1175" s="67"/>
      <c r="O1175" s="67"/>
      <c r="P1175" s="67"/>
      <c r="Q1175" s="186"/>
      <c r="R1175" s="186"/>
      <c r="S1175" s="187"/>
      <c r="T1175" s="187"/>
      <c r="U1175" s="186"/>
      <c r="V1175" s="186"/>
      <c r="W1175" s="186"/>
    </row>
    <row r="1176">
      <c r="A1176" s="185"/>
      <c r="B1176" s="67"/>
      <c r="C1176" s="186"/>
      <c r="D1176" s="186"/>
      <c r="E1176" s="186"/>
      <c r="F1176" s="186"/>
      <c r="G1176" s="186"/>
      <c r="H1176" s="186"/>
      <c r="I1176" s="186"/>
      <c r="J1176" s="186"/>
      <c r="K1176" s="186"/>
      <c r="L1176" s="186"/>
      <c r="M1176" s="67"/>
      <c r="N1176" s="67"/>
      <c r="O1176" s="67"/>
      <c r="P1176" s="67"/>
      <c r="Q1176" s="186"/>
      <c r="R1176" s="186"/>
      <c r="S1176" s="187"/>
      <c r="T1176" s="187"/>
      <c r="U1176" s="186"/>
      <c r="V1176" s="186"/>
      <c r="W1176" s="186"/>
    </row>
    <row r="1177">
      <c r="A1177" s="185"/>
      <c r="B1177" s="67"/>
      <c r="C1177" s="186"/>
      <c r="D1177" s="186"/>
      <c r="E1177" s="186"/>
      <c r="F1177" s="186"/>
      <c r="G1177" s="186"/>
      <c r="H1177" s="186"/>
      <c r="I1177" s="186"/>
      <c r="J1177" s="186"/>
      <c r="K1177" s="186"/>
      <c r="L1177" s="186"/>
      <c r="M1177" s="67"/>
      <c r="N1177" s="67"/>
      <c r="O1177" s="67"/>
      <c r="P1177" s="67"/>
      <c r="Q1177" s="186"/>
      <c r="R1177" s="186"/>
      <c r="S1177" s="187"/>
      <c r="T1177" s="187"/>
      <c r="U1177" s="186"/>
      <c r="V1177" s="186"/>
      <c r="W1177" s="186"/>
    </row>
    <row r="1178">
      <c r="A1178" s="185"/>
      <c r="B1178" s="67"/>
      <c r="C1178" s="186"/>
      <c r="D1178" s="186"/>
      <c r="E1178" s="186"/>
      <c r="F1178" s="186"/>
      <c r="G1178" s="186"/>
      <c r="H1178" s="186"/>
      <c r="I1178" s="186"/>
      <c r="J1178" s="186"/>
      <c r="K1178" s="186"/>
      <c r="L1178" s="186"/>
      <c r="M1178" s="67"/>
      <c r="N1178" s="67"/>
      <c r="O1178" s="67"/>
      <c r="P1178" s="67"/>
      <c r="Q1178" s="186"/>
      <c r="R1178" s="186"/>
      <c r="S1178" s="187"/>
      <c r="T1178" s="187"/>
      <c r="U1178" s="186"/>
      <c r="V1178" s="186"/>
      <c r="W1178" s="186"/>
    </row>
    <row r="1179">
      <c r="A1179" s="185"/>
      <c r="B1179" s="67"/>
      <c r="C1179" s="186"/>
      <c r="D1179" s="186"/>
      <c r="E1179" s="186"/>
      <c r="F1179" s="186"/>
      <c r="G1179" s="186"/>
      <c r="H1179" s="186"/>
      <c r="I1179" s="186"/>
      <c r="J1179" s="186"/>
      <c r="K1179" s="186"/>
      <c r="L1179" s="186"/>
      <c r="M1179" s="67"/>
      <c r="N1179" s="67"/>
      <c r="O1179" s="67"/>
      <c r="P1179" s="67"/>
      <c r="Q1179" s="186"/>
      <c r="R1179" s="186"/>
      <c r="S1179" s="187"/>
      <c r="T1179" s="187"/>
      <c r="U1179" s="186"/>
      <c r="V1179" s="186"/>
      <c r="W1179" s="186"/>
    </row>
    <row r="1180">
      <c r="A1180" s="185"/>
      <c r="B1180" s="67"/>
      <c r="C1180" s="186"/>
      <c r="D1180" s="186"/>
      <c r="E1180" s="186"/>
      <c r="F1180" s="186"/>
      <c r="G1180" s="186"/>
      <c r="H1180" s="186"/>
      <c r="I1180" s="186"/>
      <c r="J1180" s="186"/>
      <c r="K1180" s="186"/>
      <c r="L1180" s="186"/>
      <c r="M1180" s="67"/>
      <c r="N1180" s="67"/>
      <c r="O1180" s="67"/>
      <c r="P1180" s="67"/>
      <c r="Q1180" s="186"/>
      <c r="R1180" s="186"/>
      <c r="S1180" s="187"/>
      <c r="T1180" s="187"/>
      <c r="U1180" s="186"/>
      <c r="V1180" s="186"/>
      <c r="W1180" s="186"/>
    </row>
    <row r="1181">
      <c r="A1181" s="185"/>
      <c r="B1181" s="67"/>
      <c r="C1181" s="186"/>
      <c r="D1181" s="186"/>
      <c r="E1181" s="186"/>
      <c r="F1181" s="186"/>
      <c r="G1181" s="186"/>
      <c r="H1181" s="186"/>
      <c r="I1181" s="186"/>
      <c r="J1181" s="186"/>
      <c r="K1181" s="186"/>
      <c r="L1181" s="186"/>
      <c r="M1181" s="67"/>
      <c r="N1181" s="67"/>
      <c r="O1181" s="67"/>
      <c r="P1181" s="67"/>
      <c r="Q1181" s="186"/>
      <c r="R1181" s="186"/>
      <c r="S1181" s="187"/>
      <c r="T1181" s="187"/>
      <c r="U1181" s="186"/>
      <c r="V1181" s="186"/>
      <c r="W1181" s="186"/>
    </row>
    <row r="1182">
      <c r="A1182" s="185"/>
      <c r="B1182" s="67"/>
      <c r="C1182" s="186"/>
      <c r="D1182" s="186"/>
      <c r="E1182" s="186"/>
      <c r="F1182" s="186"/>
      <c r="G1182" s="186"/>
      <c r="H1182" s="186"/>
      <c r="I1182" s="186"/>
      <c r="J1182" s="186"/>
      <c r="K1182" s="186"/>
      <c r="L1182" s="186"/>
      <c r="M1182" s="67"/>
      <c r="N1182" s="67"/>
      <c r="O1182" s="67"/>
      <c r="P1182" s="67"/>
      <c r="Q1182" s="186"/>
      <c r="R1182" s="186"/>
      <c r="S1182" s="187"/>
      <c r="T1182" s="187"/>
      <c r="U1182" s="186"/>
      <c r="V1182" s="186"/>
      <c r="W1182" s="186"/>
    </row>
    <row r="1183">
      <c r="A1183" s="185"/>
      <c r="B1183" s="67"/>
      <c r="C1183" s="186"/>
      <c r="D1183" s="186"/>
      <c r="E1183" s="186"/>
      <c r="F1183" s="186"/>
      <c r="G1183" s="186"/>
      <c r="H1183" s="186"/>
      <c r="I1183" s="186"/>
      <c r="J1183" s="186"/>
      <c r="K1183" s="186"/>
      <c r="L1183" s="186"/>
      <c r="M1183" s="67"/>
      <c r="N1183" s="67"/>
      <c r="O1183" s="67"/>
      <c r="P1183" s="67"/>
      <c r="Q1183" s="186"/>
      <c r="R1183" s="186"/>
      <c r="S1183" s="187"/>
      <c r="T1183" s="187"/>
      <c r="U1183" s="186"/>
      <c r="V1183" s="186"/>
      <c r="W1183" s="186"/>
    </row>
    <row r="1184">
      <c r="A1184" s="185"/>
      <c r="B1184" s="67"/>
      <c r="C1184" s="186"/>
      <c r="D1184" s="186"/>
      <c r="E1184" s="186"/>
      <c r="F1184" s="186"/>
      <c r="G1184" s="186"/>
      <c r="H1184" s="186"/>
      <c r="I1184" s="186"/>
      <c r="J1184" s="186"/>
      <c r="K1184" s="186"/>
      <c r="L1184" s="186"/>
      <c r="M1184" s="67"/>
      <c r="N1184" s="67"/>
      <c r="O1184" s="67"/>
      <c r="P1184" s="67"/>
      <c r="Q1184" s="186"/>
      <c r="R1184" s="186"/>
      <c r="S1184" s="187"/>
      <c r="T1184" s="187"/>
      <c r="U1184" s="186"/>
      <c r="V1184" s="186"/>
      <c r="W1184" s="186"/>
    </row>
    <row r="1185">
      <c r="A1185" s="185"/>
      <c r="B1185" s="67"/>
      <c r="C1185" s="186"/>
      <c r="D1185" s="186"/>
      <c r="E1185" s="186"/>
      <c r="F1185" s="186"/>
      <c r="G1185" s="186"/>
      <c r="H1185" s="186"/>
      <c r="I1185" s="186"/>
      <c r="J1185" s="186"/>
      <c r="K1185" s="186"/>
      <c r="L1185" s="186"/>
      <c r="M1185" s="67"/>
      <c r="N1185" s="67"/>
      <c r="O1185" s="67"/>
      <c r="P1185" s="67"/>
      <c r="Q1185" s="186"/>
      <c r="R1185" s="186"/>
      <c r="S1185" s="187"/>
      <c r="T1185" s="187"/>
      <c r="U1185" s="186"/>
      <c r="V1185" s="186"/>
      <c r="W1185" s="186"/>
    </row>
    <row r="1186">
      <c r="A1186" s="185"/>
      <c r="B1186" s="67"/>
      <c r="C1186" s="186"/>
      <c r="D1186" s="186"/>
      <c r="E1186" s="186"/>
      <c r="F1186" s="186"/>
      <c r="G1186" s="186"/>
      <c r="H1186" s="186"/>
      <c r="I1186" s="186"/>
      <c r="J1186" s="186"/>
      <c r="K1186" s="186"/>
      <c r="L1186" s="186"/>
      <c r="M1186" s="67"/>
      <c r="N1186" s="67"/>
      <c r="O1186" s="67"/>
      <c r="P1186" s="67"/>
      <c r="Q1186" s="186"/>
      <c r="R1186" s="186"/>
      <c r="S1186" s="187"/>
      <c r="T1186" s="187"/>
      <c r="U1186" s="186"/>
      <c r="V1186" s="186"/>
      <c r="W1186" s="186"/>
    </row>
    <row r="1187">
      <c r="A1187" s="185"/>
      <c r="B1187" s="67"/>
      <c r="C1187" s="186"/>
      <c r="D1187" s="186"/>
      <c r="E1187" s="186"/>
      <c r="F1187" s="186"/>
      <c r="G1187" s="186"/>
      <c r="H1187" s="186"/>
      <c r="I1187" s="186"/>
      <c r="J1187" s="186"/>
      <c r="K1187" s="186"/>
      <c r="L1187" s="186"/>
      <c r="M1187" s="67"/>
      <c r="N1187" s="67"/>
      <c r="O1187" s="67"/>
      <c r="P1187" s="67"/>
      <c r="Q1187" s="186"/>
      <c r="R1187" s="186"/>
      <c r="S1187" s="187"/>
      <c r="T1187" s="187"/>
      <c r="U1187" s="186"/>
      <c r="V1187" s="186"/>
      <c r="W1187" s="186"/>
    </row>
    <row r="1188">
      <c r="A1188" s="185"/>
      <c r="B1188" s="67"/>
      <c r="C1188" s="186"/>
      <c r="D1188" s="186"/>
      <c r="E1188" s="186"/>
      <c r="F1188" s="186"/>
      <c r="G1188" s="186"/>
      <c r="H1188" s="186"/>
      <c r="I1188" s="186"/>
      <c r="J1188" s="186"/>
      <c r="K1188" s="186"/>
      <c r="L1188" s="186"/>
      <c r="M1188" s="67"/>
      <c r="N1188" s="67"/>
      <c r="O1188" s="67"/>
      <c r="P1188" s="67"/>
      <c r="Q1188" s="186"/>
      <c r="R1188" s="186"/>
      <c r="S1188" s="187"/>
      <c r="T1188" s="187"/>
      <c r="U1188" s="186"/>
      <c r="V1188" s="186"/>
      <c r="W1188" s="186"/>
    </row>
    <row r="1189">
      <c r="A1189" s="185"/>
      <c r="B1189" s="67"/>
      <c r="C1189" s="186"/>
      <c r="D1189" s="186"/>
      <c r="E1189" s="186"/>
      <c r="F1189" s="186"/>
      <c r="G1189" s="186"/>
      <c r="H1189" s="186"/>
      <c r="I1189" s="186"/>
      <c r="J1189" s="186"/>
      <c r="K1189" s="186"/>
      <c r="L1189" s="186"/>
      <c r="M1189" s="67"/>
      <c r="N1189" s="67"/>
      <c r="O1189" s="67"/>
      <c r="P1189" s="67"/>
      <c r="Q1189" s="186"/>
      <c r="R1189" s="186"/>
      <c r="S1189" s="187"/>
      <c r="T1189" s="187"/>
      <c r="U1189" s="186"/>
      <c r="V1189" s="186"/>
      <c r="W1189" s="186"/>
    </row>
    <row r="1190">
      <c r="A1190" s="185"/>
      <c r="B1190" s="67"/>
      <c r="C1190" s="186"/>
      <c r="D1190" s="186"/>
      <c r="E1190" s="186"/>
      <c r="F1190" s="186"/>
      <c r="G1190" s="186"/>
      <c r="H1190" s="186"/>
      <c r="I1190" s="186"/>
      <c r="J1190" s="186"/>
      <c r="K1190" s="186"/>
      <c r="L1190" s="186"/>
      <c r="M1190" s="67"/>
      <c r="N1190" s="67"/>
      <c r="O1190" s="67"/>
      <c r="P1190" s="67"/>
      <c r="Q1190" s="186"/>
      <c r="R1190" s="186"/>
      <c r="S1190" s="187"/>
      <c r="T1190" s="187"/>
      <c r="U1190" s="186"/>
      <c r="V1190" s="186"/>
      <c r="W1190" s="186"/>
    </row>
    <row r="1191">
      <c r="A1191" s="185"/>
      <c r="B1191" s="67"/>
      <c r="C1191" s="186"/>
      <c r="D1191" s="186"/>
      <c r="E1191" s="186"/>
      <c r="F1191" s="186"/>
      <c r="G1191" s="186"/>
      <c r="H1191" s="186"/>
      <c r="I1191" s="186"/>
      <c r="J1191" s="186"/>
      <c r="K1191" s="186"/>
      <c r="L1191" s="186"/>
      <c r="M1191" s="67"/>
      <c r="N1191" s="67"/>
      <c r="O1191" s="67"/>
      <c r="P1191" s="67"/>
      <c r="Q1191" s="186"/>
      <c r="R1191" s="186"/>
      <c r="S1191" s="187"/>
      <c r="T1191" s="187"/>
      <c r="U1191" s="186"/>
      <c r="V1191" s="186"/>
      <c r="W1191" s="186"/>
    </row>
    <row r="1192">
      <c r="A1192" s="185"/>
      <c r="B1192" s="67"/>
      <c r="C1192" s="186"/>
      <c r="D1192" s="186"/>
      <c r="E1192" s="186"/>
      <c r="F1192" s="186"/>
      <c r="G1192" s="186"/>
      <c r="H1192" s="186"/>
      <c r="I1192" s="186"/>
      <c r="J1192" s="186"/>
      <c r="K1192" s="186"/>
      <c r="L1192" s="186"/>
      <c r="M1192" s="67"/>
      <c r="N1192" s="67"/>
      <c r="O1192" s="67"/>
      <c r="P1192" s="67"/>
      <c r="Q1192" s="186"/>
      <c r="R1192" s="186"/>
      <c r="S1192" s="187"/>
      <c r="T1192" s="187"/>
      <c r="U1192" s="186"/>
      <c r="V1192" s="186"/>
      <c r="W1192" s="186"/>
    </row>
    <row r="1193">
      <c r="A1193" s="185"/>
      <c r="B1193" s="67"/>
      <c r="C1193" s="186"/>
      <c r="D1193" s="186"/>
      <c r="E1193" s="186"/>
      <c r="F1193" s="186"/>
      <c r="G1193" s="186"/>
      <c r="H1193" s="186"/>
      <c r="I1193" s="186"/>
      <c r="J1193" s="186"/>
      <c r="K1193" s="186"/>
      <c r="L1193" s="186"/>
      <c r="M1193" s="67"/>
      <c r="N1193" s="67"/>
      <c r="O1193" s="67"/>
      <c r="P1193" s="67"/>
      <c r="Q1193" s="186"/>
      <c r="R1193" s="186"/>
      <c r="S1193" s="187"/>
      <c r="T1193" s="187"/>
      <c r="U1193" s="186"/>
      <c r="V1193" s="186"/>
      <c r="W1193" s="186"/>
    </row>
    <row r="1194">
      <c r="A1194" s="185"/>
      <c r="B1194" s="67"/>
      <c r="C1194" s="186"/>
      <c r="D1194" s="186"/>
      <c r="E1194" s="186"/>
      <c r="F1194" s="186"/>
      <c r="G1194" s="186"/>
      <c r="H1194" s="186"/>
      <c r="I1194" s="186"/>
      <c r="J1194" s="186"/>
      <c r="K1194" s="186"/>
      <c r="L1194" s="186"/>
      <c r="M1194" s="67"/>
      <c r="N1194" s="67"/>
      <c r="O1194" s="67"/>
      <c r="P1194" s="67"/>
      <c r="Q1194" s="186"/>
      <c r="R1194" s="186"/>
      <c r="S1194" s="187"/>
      <c r="T1194" s="187"/>
      <c r="U1194" s="186"/>
      <c r="V1194" s="186"/>
      <c r="W1194" s="186"/>
    </row>
    <row r="1195">
      <c r="A1195" s="185"/>
      <c r="B1195" s="67"/>
      <c r="C1195" s="186"/>
      <c r="D1195" s="186"/>
      <c r="E1195" s="186"/>
      <c r="F1195" s="186"/>
      <c r="G1195" s="186"/>
      <c r="H1195" s="186"/>
      <c r="I1195" s="186"/>
      <c r="J1195" s="186"/>
      <c r="K1195" s="186"/>
      <c r="L1195" s="186"/>
      <c r="M1195" s="67"/>
      <c r="N1195" s="67"/>
      <c r="O1195" s="67"/>
      <c r="P1195" s="67"/>
      <c r="Q1195" s="186"/>
      <c r="R1195" s="186"/>
      <c r="S1195" s="187"/>
      <c r="T1195" s="187"/>
      <c r="U1195" s="186"/>
      <c r="V1195" s="186"/>
      <c r="W1195" s="186"/>
    </row>
    <row r="1196">
      <c r="A1196" s="185"/>
      <c r="B1196" s="67"/>
      <c r="C1196" s="186"/>
      <c r="D1196" s="186"/>
      <c r="E1196" s="186"/>
      <c r="F1196" s="186"/>
      <c r="G1196" s="186"/>
      <c r="H1196" s="186"/>
      <c r="I1196" s="186"/>
      <c r="J1196" s="186"/>
      <c r="K1196" s="186"/>
      <c r="L1196" s="186"/>
      <c r="M1196" s="67"/>
      <c r="N1196" s="67"/>
      <c r="O1196" s="67"/>
      <c r="P1196" s="67"/>
      <c r="Q1196" s="186"/>
      <c r="R1196" s="186"/>
      <c r="S1196" s="187"/>
      <c r="T1196" s="187"/>
      <c r="U1196" s="186"/>
      <c r="V1196" s="186"/>
      <c r="W1196" s="186"/>
    </row>
    <row r="1197">
      <c r="A1197" s="185"/>
      <c r="B1197" s="67"/>
      <c r="C1197" s="186"/>
      <c r="D1197" s="186"/>
      <c r="E1197" s="186"/>
      <c r="F1197" s="186"/>
      <c r="G1197" s="186"/>
      <c r="H1197" s="186"/>
      <c r="I1197" s="186"/>
      <c r="J1197" s="186"/>
      <c r="K1197" s="186"/>
      <c r="L1197" s="186"/>
      <c r="M1197" s="67"/>
      <c r="N1197" s="67"/>
      <c r="O1197" s="67"/>
      <c r="P1197" s="67"/>
      <c r="Q1197" s="186"/>
      <c r="R1197" s="186"/>
      <c r="S1197" s="187"/>
      <c r="T1197" s="187"/>
      <c r="U1197" s="186"/>
      <c r="V1197" s="186"/>
      <c r="W1197" s="186"/>
    </row>
    <row r="1198">
      <c r="A1198" s="185"/>
      <c r="B1198" s="67"/>
      <c r="C1198" s="186"/>
      <c r="D1198" s="186"/>
      <c r="E1198" s="186"/>
      <c r="F1198" s="186"/>
      <c r="G1198" s="186"/>
      <c r="H1198" s="186"/>
      <c r="I1198" s="186"/>
      <c r="J1198" s="186"/>
      <c r="K1198" s="186"/>
      <c r="L1198" s="186"/>
      <c r="M1198" s="67"/>
      <c r="N1198" s="67"/>
      <c r="O1198" s="67"/>
      <c r="P1198" s="67"/>
      <c r="Q1198" s="186"/>
      <c r="R1198" s="186"/>
      <c r="S1198" s="187"/>
      <c r="T1198" s="187"/>
      <c r="U1198" s="186"/>
      <c r="V1198" s="186"/>
      <c r="W1198" s="186"/>
    </row>
    <row r="1199">
      <c r="A1199" s="185"/>
      <c r="B1199" s="67"/>
      <c r="C1199" s="186"/>
      <c r="D1199" s="186"/>
      <c r="E1199" s="186"/>
      <c r="F1199" s="186"/>
      <c r="G1199" s="186"/>
      <c r="H1199" s="186"/>
      <c r="I1199" s="186"/>
      <c r="J1199" s="186"/>
      <c r="K1199" s="186"/>
      <c r="L1199" s="186"/>
      <c r="M1199" s="67"/>
      <c r="N1199" s="67"/>
      <c r="O1199" s="67"/>
      <c r="P1199" s="67"/>
      <c r="Q1199" s="186"/>
      <c r="R1199" s="186"/>
      <c r="S1199" s="187"/>
      <c r="T1199" s="187"/>
      <c r="U1199" s="186"/>
      <c r="V1199" s="186"/>
      <c r="W1199" s="186"/>
    </row>
    <row r="1200">
      <c r="A1200" s="185"/>
      <c r="B1200" s="67"/>
      <c r="C1200" s="186"/>
      <c r="D1200" s="186"/>
      <c r="E1200" s="186"/>
      <c r="F1200" s="186"/>
      <c r="G1200" s="186"/>
      <c r="H1200" s="186"/>
      <c r="I1200" s="186"/>
      <c r="J1200" s="186"/>
      <c r="K1200" s="186"/>
      <c r="L1200" s="186"/>
      <c r="M1200" s="67"/>
      <c r="N1200" s="67"/>
      <c r="O1200" s="67"/>
      <c r="P1200" s="67"/>
      <c r="Q1200" s="186"/>
      <c r="R1200" s="186"/>
      <c r="S1200" s="187"/>
      <c r="T1200" s="187"/>
      <c r="U1200" s="186"/>
      <c r="V1200" s="186"/>
      <c r="W1200" s="186"/>
    </row>
    <row r="1201">
      <c r="A1201" s="185"/>
      <c r="B1201" s="67"/>
      <c r="C1201" s="186"/>
      <c r="D1201" s="186"/>
      <c r="E1201" s="186"/>
      <c r="F1201" s="186"/>
      <c r="G1201" s="186"/>
      <c r="H1201" s="186"/>
      <c r="I1201" s="186"/>
      <c r="J1201" s="186"/>
      <c r="K1201" s="186"/>
      <c r="L1201" s="186"/>
      <c r="M1201" s="67"/>
      <c r="N1201" s="67"/>
      <c r="O1201" s="67"/>
      <c r="P1201" s="67"/>
      <c r="Q1201" s="186"/>
      <c r="R1201" s="186"/>
      <c r="S1201" s="187"/>
      <c r="T1201" s="187"/>
      <c r="U1201" s="186"/>
      <c r="V1201" s="186"/>
      <c r="W1201" s="186"/>
    </row>
    <row r="1202">
      <c r="A1202" s="185"/>
      <c r="B1202" s="67"/>
      <c r="C1202" s="186"/>
      <c r="D1202" s="186"/>
      <c r="E1202" s="186"/>
      <c r="F1202" s="186"/>
      <c r="G1202" s="186"/>
      <c r="H1202" s="186"/>
      <c r="I1202" s="186"/>
      <c r="J1202" s="186"/>
      <c r="K1202" s="186"/>
      <c r="L1202" s="186"/>
      <c r="M1202" s="67"/>
      <c r="N1202" s="67"/>
      <c r="O1202" s="67"/>
      <c r="P1202" s="67"/>
      <c r="Q1202" s="186"/>
      <c r="R1202" s="186"/>
      <c r="S1202" s="187"/>
      <c r="T1202" s="187"/>
      <c r="U1202" s="186"/>
      <c r="V1202" s="186"/>
      <c r="W1202" s="186"/>
    </row>
    <row r="1203">
      <c r="A1203" s="185"/>
      <c r="B1203" s="67"/>
      <c r="C1203" s="186"/>
      <c r="D1203" s="186"/>
      <c r="E1203" s="186"/>
      <c r="F1203" s="186"/>
      <c r="G1203" s="186"/>
      <c r="H1203" s="186"/>
      <c r="I1203" s="186"/>
      <c r="J1203" s="186"/>
      <c r="K1203" s="186"/>
      <c r="L1203" s="186"/>
      <c r="M1203" s="67"/>
      <c r="N1203" s="67"/>
      <c r="O1203" s="67"/>
      <c r="P1203" s="67"/>
      <c r="Q1203" s="186"/>
      <c r="R1203" s="186"/>
      <c r="S1203" s="187"/>
      <c r="T1203" s="187"/>
      <c r="U1203" s="186"/>
      <c r="V1203" s="186"/>
      <c r="W1203" s="186"/>
    </row>
    <row r="1204">
      <c r="A1204" s="185"/>
      <c r="B1204" s="67"/>
      <c r="C1204" s="186"/>
      <c r="D1204" s="186"/>
      <c r="E1204" s="186"/>
      <c r="F1204" s="186"/>
      <c r="G1204" s="186"/>
      <c r="H1204" s="186"/>
      <c r="I1204" s="186"/>
      <c r="J1204" s="186"/>
      <c r="K1204" s="186"/>
      <c r="L1204" s="186"/>
      <c r="M1204" s="67"/>
      <c r="N1204" s="67"/>
      <c r="O1204" s="67"/>
      <c r="P1204" s="67"/>
      <c r="Q1204" s="186"/>
      <c r="R1204" s="186"/>
      <c r="S1204" s="187"/>
      <c r="T1204" s="187"/>
      <c r="U1204" s="186"/>
      <c r="V1204" s="186"/>
      <c r="W1204" s="186"/>
    </row>
    <row r="1205">
      <c r="A1205" s="185"/>
      <c r="B1205" s="67"/>
      <c r="C1205" s="186"/>
      <c r="D1205" s="186"/>
      <c r="E1205" s="186"/>
      <c r="F1205" s="186"/>
      <c r="G1205" s="186"/>
      <c r="H1205" s="186"/>
      <c r="I1205" s="186"/>
      <c r="J1205" s="186"/>
      <c r="K1205" s="186"/>
      <c r="L1205" s="186"/>
      <c r="M1205" s="67"/>
      <c r="N1205" s="67"/>
      <c r="O1205" s="67"/>
      <c r="P1205" s="67"/>
      <c r="Q1205" s="186"/>
      <c r="R1205" s="186"/>
      <c r="S1205" s="187"/>
      <c r="T1205" s="187"/>
      <c r="U1205" s="186"/>
      <c r="V1205" s="186"/>
      <c r="W1205" s="186"/>
    </row>
    <row r="1206">
      <c r="A1206" s="185"/>
      <c r="B1206" s="67"/>
      <c r="C1206" s="186"/>
      <c r="D1206" s="186"/>
      <c r="E1206" s="186"/>
      <c r="F1206" s="186"/>
      <c r="G1206" s="186"/>
      <c r="H1206" s="186"/>
      <c r="I1206" s="186"/>
      <c r="J1206" s="186"/>
      <c r="K1206" s="186"/>
      <c r="L1206" s="186"/>
      <c r="M1206" s="67"/>
      <c r="N1206" s="67"/>
      <c r="O1206" s="67"/>
      <c r="P1206" s="67"/>
      <c r="Q1206" s="186"/>
      <c r="R1206" s="186"/>
      <c r="S1206" s="187"/>
      <c r="T1206" s="187"/>
      <c r="U1206" s="186"/>
      <c r="V1206" s="186"/>
      <c r="W1206" s="186"/>
    </row>
    <row r="1207">
      <c r="A1207" s="185"/>
      <c r="B1207" s="67"/>
      <c r="C1207" s="186"/>
      <c r="D1207" s="186"/>
      <c r="E1207" s="186"/>
      <c r="F1207" s="186"/>
      <c r="G1207" s="186"/>
      <c r="H1207" s="186"/>
      <c r="I1207" s="186"/>
      <c r="J1207" s="186"/>
      <c r="K1207" s="186"/>
      <c r="L1207" s="186"/>
      <c r="M1207" s="67"/>
      <c r="N1207" s="67"/>
      <c r="O1207" s="67"/>
      <c r="P1207" s="67"/>
      <c r="Q1207" s="186"/>
      <c r="R1207" s="186"/>
      <c r="S1207" s="187"/>
      <c r="T1207" s="187"/>
      <c r="U1207" s="186"/>
      <c r="V1207" s="186"/>
      <c r="W1207" s="186"/>
    </row>
    <row r="1208">
      <c r="A1208" s="185"/>
      <c r="B1208" s="67"/>
      <c r="C1208" s="186"/>
      <c r="D1208" s="186"/>
      <c r="E1208" s="186"/>
      <c r="F1208" s="186"/>
      <c r="G1208" s="186"/>
      <c r="H1208" s="186"/>
      <c r="I1208" s="186"/>
      <c r="J1208" s="186"/>
      <c r="K1208" s="186"/>
      <c r="L1208" s="186"/>
      <c r="M1208" s="67"/>
      <c r="N1208" s="67"/>
      <c r="O1208" s="67"/>
      <c r="P1208" s="67"/>
      <c r="Q1208" s="186"/>
      <c r="R1208" s="186"/>
      <c r="S1208" s="187"/>
      <c r="T1208" s="187"/>
      <c r="U1208" s="186"/>
      <c r="V1208" s="186"/>
      <c r="W1208" s="186"/>
    </row>
    <row r="1209">
      <c r="A1209" s="185"/>
      <c r="B1209" s="67"/>
      <c r="C1209" s="186"/>
      <c r="D1209" s="186"/>
      <c r="E1209" s="186"/>
      <c r="F1209" s="186"/>
      <c r="G1209" s="186"/>
      <c r="H1209" s="186"/>
      <c r="I1209" s="186"/>
      <c r="J1209" s="186"/>
      <c r="K1209" s="186"/>
      <c r="L1209" s="186"/>
      <c r="M1209" s="67"/>
      <c r="N1209" s="67"/>
      <c r="O1209" s="67"/>
      <c r="P1209" s="67"/>
      <c r="Q1209" s="186"/>
      <c r="R1209" s="186"/>
      <c r="S1209" s="187"/>
      <c r="T1209" s="187"/>
      <c r="U1209" s="186"/>
      <c r="V1209" s="186"/>
      <c r="W1209" s="186"/>
    </row>
    <row r="1210">
      <c r="A1210" s="185"/>
      <c r="B1210" s="67"/>
      <c r="C1210" s="186"/>
      <c r="D1210" s="186"/>
      <c r="E1210" s="186"/>
      <c r="F1210" s="186"/>
      <c r="G1210" s="186"/>
      <c r="H1210" s="186"/>
      <c r="I1210" s="186"/>
      <c r="J1210" s="186"/>
      <c r="K1210" s="186"/>
      <c r="L1210" s="186"/>
      <c r="M1210" s="67"/>
      <c r="N1210" s="67"/>
      <c r="O1210" s="67"/>
      <c r="P1210" s="67"/>
      <c r="Q1210" s="186"/>
      <c r="R1210" s="186"/>
      <c r="S1210" s="187"/>
      <c r="T1210" s="187"/>
      <c r="U1210" s="186"/>
      <c r="V1210" s="186"/>
      <c r="W1210" s="186"/>
    </row>
    <row r="1211">
      <c r="A1211" s="185"/>
      <c r="B1211" s="67"/>
      <c r="C1211" s="186"/>
      <c r="D1211" s="186"/>
      <c r="E1211" s="186"/>
      <c r="F1211" s="186"/>
      <c r="G1211" s="186"/>
      <c r="H1211" s="186"/>
      <c r="I1211" s="186"/>
      <c r="J1211" s="186"/>
      <c r="K1211" s="186"/>
      <c r="L1211" s="186"/>
      <c r="M1211" s="67"/>
      <c r="N1211" s="67"/>
      <c r="O1211" s="67"/>
      <c r="P1211" s="67"/>
      <c r="Q1211" s="186"/>
      <c r="R1211" s="186"/>
      <c r="S1211" s="187"/>
      <c r="T1211" s="187"/>
      <c r="U1211" s="186"/>
      <c r="V1211" s="186"/>
      <c r="W1211" s="186"/>
    </row>
    <row r="1212">
      <c r="A1212" s="185"/>
      <c r="B1212" s="67"/>
      <c r="C1212" s="186"/>
      <c r="D1212" s="186"/>
      <c r="E1212" s="186"/>
      <c r="F1212" s="186"/>
      <c r="G1212" s="186"/>
      <c r="H1212" s="186"/>
      <c r="I1212" s="186"/>
      <c r="J1212" s="186"/>
      <c r="K1212" s="186"/>
      <c r="L1212" s="186"/>
      <c r="M1212" s="67"/>
      <c r="N1212" s="67"/>
      <c r="O1212" s="67"/>
      <c r="P1212" s="67"/>
      <c r="Q1212" s="186"/>
      <c r="R1212" s="186"/>
      <c r="S1212" s="187"/>
      <c r="T1212" s="187"/>
      <c r="U1212" s="186"/>
      <c r="V1212" s="186"/>
      <c r="W1212" s="186"/>
    </row>
    <row r="1213">
      <c r="A1213" s="185"/>
      <c r="B1213" s="67"/>
      <c r="C1213" s="186"/>
      <c r="D1213" s="186"/>
      <c r="E1213" s="186"/>
      <c r="F1213" s="186"/>
      <c r="G1213" s="186"/>
      <c r="H1213" s="186"/>
      <c r="I1213" s="186"/>
      <c r="J1213" s="186"/>
      <c r="K1213" s="186"/>
      <c r="L1213" s="186"/>
      <c r="M1213" s="67"/>
      <c r="N1213" s="67"/>
      <c r="O1213" s="67"/>
      <c r="P1213" s="67"/>
      <c r="Q1213" s="186"/>
      <c r="R1213" s="186"/>
      <c r="S1213" s="187"/>
      <c r="T1213" s="187"/>
      <c r="U1213" s="186"/>
      <c r="V1213" s="186"/>
      <c r="W1213" s="186"/>
    </row>
    <row r="1214">
      <c r="A1214" s="185"/>
      <c r="B1214" s="67"/>
      <c r="C1214" s="186"/>
      <c r="D1214" s="186"/>
      <c r="E1214" s="186"/>
      <c r="F1214" s="186"/>
      <c r="G1214" s="186"/>
      <c r="H1214" s="186"/>
      <c r="I1214" s="186"/>
      <c r="J1214" s="186"/>
      <c r="K1214" s="186"/>
      <c r="L1214" s="186"/>
      <c r="M1214" s="67"/>
      <c r="N1214" s="67"/>
      <c r="O1214" s="67"/>
      <c r="P1214" s="67"/>
      <c r="Q1214" s="186"/>
      <c r="R1214" s="186"/>
      <c r="S1214" s="187"/>
      <c r="T1214" s="187"/>
      <c r="U1214" s="186"/>
      <c r="V1214" s="186"/>
      <c r="W1214" s="186"/>
    </row>
    <row r="1215">
      <c r="A1215" s="185"/>
      <c r="B1215" s="67"/>
      <c r="C1215" s="186"/>
      <c r="D1215" s="186"/>
      <c r="E1215" s="186"/>
      <c r="F1215" s="186"/>
      <c r="G1215" s="186"/>
      <c r="H1215" s="186"/>
      <c r="I1215" s="186"/>
      <c r="J1215" s="186"/>
      <c r="K1215" s="186"/>
      <c r="L1215" s="186"/>
      <c r="M1215" s="67"/>
      <c r="N1215" s="67"/>
      <c r="O1215" s="67"/>
      <c r="P1215" s="67"/>
      <c r="Q1215" s="186"/>
      <c r="R1215" s="186"/>
      <c r="S1215" s="187"/>
      <c r="T1215" s="187"/>
      <c r="U1215" s="186"/>
      <c r="V1215" s="186"/>
      <c r="W1215" s="186"/>
    </row>
    <row r="1216">
      <c r="A1216" s="185"/>
      <c r="B1216" s="67"/>
      <c r="C1216" s="186"/>
      <c r="D1216" s="186"/>
      <c r="E1216" s="186"/>
      <c r="F1216" s="186"/>
      <c r="G1216" s="186"/>
      <c r="H1216" s="186"/>
      <c r="I1216" s="186"/>
      <c r="J1216" s="186"/>
      <c r="K1216" s="186"/>
      <c r="L1216" s="186"/>
      <c r="M1216" s="67"/>
      <c r="N1216" s="67"/>
      <c r="O1216" s="67"/>
      <c r="P1216" s="67"/>
      <c r="Q1216" s="186"/>
      <c r="R1216" s="186"/>
      <c r="S1216" s="187"/>
      <c r="T1216" s="187"/>
      <c r="U1216" s="186"/>
      <c r="V1216" s="186"/>
      <c r="W1216" s="186"/>
    </row>
    <row r="1217">
      <c r="A1217" s="185"/>
      <c r="B1217" s="67"/>
      <c r="C1217" s="186"/>
      <c r="D1217" s="186"/>
      <c r="E1217" s="186"/>
      <c r="F1217" s="186"/>
      <c r="G1217" s="186"/>
      <c r="H1217" s="186"/>
      <c r="I1217" s="186"/>
      <c r="J1217" s="186"/>
      <c r="K1217" s="186"/>
      <c r="L1217" s="186"/>
      <c r="M1217" s="67"/>
      <c r="N1217" s="67"/>
      <c r="O1217" s="67"/>
      <c r="P1217" s="67"/>
      <c r="Q1217" s="186"/>
      <c r="R1217" s="186"/>
      <c r="S1217" s="187"/>
      <c r="T1217" s="187"/>
      <c r="U1217" s="186"/>
      <c r="V1217" s="186"/>
      <c r="W1217" s="186"/>
    </row>
    <row r="1218">
      <c r="A1218" s="185"/>
      <c r="B1218" s="67"/>
      <c r="C1218" s="186"/>
      <c r="D1218" s="186"/>
      <c r="E1218" s="186"/>
      <c r="F1218" s="186"/>
      <c r="G1218" s="186"/>
      <c r="H1218" s="186"/>
      <c r="I1218" s="186"/>
      <c r="J1218" s="186"/>
      <c r="K1218" s="186"/>
      <c r="L1218" s="186"/>
      <c r="M1218" s="67"/>
      <c r="N1218" s="67"/>
      <c r="O1218" s="67"/>
      <c r="P1218" s="67"/>
      <c r="Q1218" s="186"/>
      <c r="R1218" s="186"/>
      <c r="S1218" s="187"/>
      <c r="T1218" s="187"/>
      <c r="U1218" s="186"/>
      <c r="V1218" s="186"/>
      <c r="W1218" s="186"/>
    </row>
    <row r="1219">
      <c r="A1219" s="185"/>
      <c r="B1219" s="67"/>
      <c r="C1219" s="186"/>
      <c r="D1219" s="186"/>
      <c r="E1219" s="186"/>
      <c r="F1219" s="186"/>
      <c r="G1219" s="186"/>
      <c r="H1219" s="186"/>
      <c r="I1219" s="186"/>
      <c r="J1219" s="186"/>
      <c r="K1219" s="186"/>
      <c r="L1219" s="186"/>
      <c r="M1219" s="67"/>
      <c r="N1219" s="67"/>
      <c r="O1219" s="67"/>
      <c r="P1219" s="67"/>
      <c r="Q1219" s="186"/>
      <c r="R1219" s="186"/>
      <c r="S1219" s="187"/>
      <c r="T1219" s="187"/>
      <c r="U1219" s="186"/>
      <c r="V1219" s="186"/>
      <c r="W1219" s="186"/>
    </row>
    <row r="1220">
      <c r="A1220" s="185"/>
      <c r="B1220" s="67"/>
      <c r="C1220" s="186"/>
      <c r="D1220" s="186"/>
      <c r="E1220" s="186"/>
      <c r="F1220" s="186"/>
      <c r="G1220" s="186"/>
      <c r="H1220" s="186"/>
      <c r="I1220" s="186"/>
      <c r="J1220" s="186"/>
      <c r="K1220" s="186"/>
      <c r="L1220" s="186"/>
      <c r="M1220" s="67"/>
      <c r="N1220" s="67"/>
      <c r="O1220" s="67"/>
      <c r="P1220" s="67"/>
      <c r="Q1220" s="186"/>
      <c r="R1220" s="186"/>
      <c r="S1220" s="187"/>
      <c r="T1220" s="187"/>
      <c r="U1220" s="186"/>
      <c r="V1220" s="186"/>
      <c r="W1220" s="186"/>
    </row>
    <row r="1221">
      <c r="A1221" s="185"/>
      <c r="B1221" s="67"/>
      <c r="C1221" s="186"/>
      <c r="D1221" s="186"/>
      <c r="E1221" s="186"/>
      <c r="F1221" s="186"/>
      <c r="G1221" s="186"/>
      <c r="H1221" s="186"/>
      <c r="I1221" s="186"/>
      <c r="J1221" s="186"/>
      <c r="K1221" s="186"/>
      <c r="L1221" s="186"/>
      <c r="M1221" s="67"/>
      <c r="N1221" s="67"/>
      <c r="O1221" s="67"/>
      <c r="P1221" s="67"/>
      <c r="Q1221" s="186"/>
      <c r="R1221" s="186"/>
      <c r="S1221" s="187"/>
      <c r="T1221" s="187"/>
      <c r="U1221" s="186"/>
      <c r="V1221" s="186"/>
      <c r="W1221" s="186"/>
    </row>
    <row r="1222">
      <c r="A1222" s="185"/>
      <c r="B1222" s="67"/>
      <c r="C1222" s="186"/>
      <c r="D1222" s="186"/>
      <c r="E1222" s="186"/>
      <c r="F1222" s="186"/>
      <c r="G1222" s="186"/>
      <c r="H1222" s="186"/>
      <c r="I1222" s="186"/>
      <c r="J1222" s="186"/>
      <c r="K1222" s="186"/>
      <c r="L1222" s="186"/>
      <c r="M1222" s="67"/>
      <c r="N1222" s="67"/>
      <c r="O1222" s="67"/>
      <c r="P1222" s="67"/>
      <c r="Q1222" s="186"/>
      <c r="R1222" s="186"/>
      <c r="S1222" s="187"/>
      <c r="T1222" s="187"/>
      <c r="U1222" s="186"/>
      <c r="V1222" s="186"/>
      <c r="W1222" s="186"/>
    </row>
    <row r="1223">
      <c r="A1223" s="185"/>
      <c r="B1223" s="67"/>
      <c r="C1223" s="186"/>
      <c r="D1223" s="186"/>
      <c r="E1223" s="186"/>
      <c r="F1223" s="186"/>
      <c r="G1223" s="186"/>
      <c r="H1223" s="186"/>
      <c r="I1223" s="186"/>
      <c r="J1223" s="186"/>
      <c r="K1223" s="186"/>
      <c r="L1223" s="186"/>
      <c r="M1223" s="67"/>
      <c r="N1223" s="67"/>
      <c r="O1223" s="67"/>
      <c r="P1223" s="67"/>
      <c r="Q1223" s="186"/>
      <c r="R1223" s="186"/>
      <c r="S1223" s="187"/>
      <c r="T1223" s="187"/>
      <c r="U1223" s="186"/>
      <c r="V1223" s="186"/>
      <c r="W1223" s="186"/>
    </row>
    <row r="1224">
      <c r="A1224" s="185"/>
      <c r="B1224" s="67"/>
      <c r="C1224" s="186"/>
      <c r="D1224" s="186"/>
      <c r="E1224" s="186"/>
      <c r="F1224" s="186"/>
      <c r="G1224" s="186"/>
      <c r="H1224" s="186"/>
      <c r="I1224" s="186"/>
      <c r="J1224" s="186"/>
      <c r="K1224" s="186"/>
      <c r="L1224" s="186"/>
      <c r="M1224" s="67"/>
      <c r="N1224" s="67"/>
      <c r="O1224" s="67"/>
      <c r="P1224" s="67"/>
      <c r="Q1224" s="186"/>
      <c r="R1224" s="186"/>
      <c r="S1224" s="187"/>
      <c r="T1224" s="187"/>
      <c r="U1224" s="186"/>
      <c r="V1224" s="186"/>
      <c r="W1224" s="186"/>
    </row>
    <row r="1225">
      <c r="A1225" s="185"/>
      <c r="B1225" s="67"/>
      <c r="C1225" s="186"/>
      <c r="D1225" s="186"/>
      <c r="E1225" s="186"/>
      <c r="F1225" s="186"/>
      <c r="G1225" s="186"/>
      <c r="H1225" s="186"/>
      <c r="I1225" s="186"/>
      <c r="J1225" s="186"/>
      <c r="K1225" s="186"/>
      <c r="L1225" s="186"/>
      <c r="M1225" s="67"/>
      <c r="N1225" s="67"/>
      <c r="O1225" s="67"/>
      <c r="P1225" s="67"/>
      <c r="Q1225" s="186"/>
      <c r="R1225" s="186"/>
      <c r="S1225" s="187"/>
      <c r="T1225" s="187"/>
      <c r="U1225" s="186"/>
      <c r="V1225" s="186"/>
      <c r="W1225" s="186"/>
    </row>
    <row r="1226">
      <c r="A1226" s="185"/>
      <c r="B1226" s="67"/>
      <c r="C1226" s="186"/>
      <c r="D1226" s="186"/>
      <c r="E1226" s="186"/>
      <c r="F1226" s="186"/>
      <c r="G1226" s="186"/>
      <c r="H1226" s="186"/>
      <c r="I1226" s="186"/>
      <c r="J1226" s="186"/>
      <c r="K1226" s="186"/>
      <c r="L1226" s="186"/>
      <c r="M1226" s="67"/>
      <c r="N1226" s="67"/>
      <c r="O1226" s="67"/>
      <c r="P1226" s="67"/>
      <c r="Q1226" s="186"/>
      <c r="R1226" s="186"/>
      <c r="S1226" s="187"/>
      <c r="T1226" s="187"/>
      <c r="U1226" s="186"/>
      <c r="V1226" s="186"/>
      <c r="W1226" s="186"/>
    </row>
    <row r="1227">
      <c r="A1227" s="185"/>
      <c r="B1227" s="67"/>
      <c r="C1227" s="186"/>
      <c r="D1227" s="186"/>
      <c r="E1227" s="186"/>
      <c r="F1227" s="186"/>
      <c r="G1227" s="186"/>
      <c r="H1227" s="186"/>
      <c r="I1227" s="186"/>
      <c r="J1227" s="186"/>
      <c r="K1227" s="186"/>
      <c r="L1227" s="186"/>
      <c r="M1227" s="67"/>
      <c r="N1227" s="67"/>
      <c r="O1227" s="67"/>
      <c r="P1227" s="67"/>
      <c r="Q1227" s="186"/>
      <c r="R1227" s="186"/>
      <c r="S1227" s="187"/>
      <c r="T1227" s="187"/>
      <c r="U1227" s="186"/>
      <c r="V1227" s="186"/>
      <c r="W1227" s="186"/>
    </row>
    <row r="1228">
      <c r="A1228" s="185"/>
      <c r="B1228" s="67"/>
      <c r="C1228" s="186"/>
      <c r="D1228" s="186"/>
      <c r="E1228" s="186"/>
      <c r="F1228" s="186"/>
      <c r="G1228" s="186"/>
      <c r="H1228" s="186"/>
      <c r="I1228" s="186"/>
      <c r="J1228" s="186"/>
      <c r="K1228" s="186"/>
      <c r="L1228" s="186"/>
      <c r="M1228" s="67"/>
      <c r="N1228" s="67"/>
      <c r="O1228" s="67"/>
      <c r="P1228" s="67"/>
      <c r="Q1228" s="186"/>
      <c r="R1228" s="186"/>
      <c r="S1228" s="187"/>
      <c r="T1228" s="187"/>
      <c r="U1228" s="186"/>
      <c r="V1228" s="186"/>
      <c r="W1228" s="186"/>
    </row>
    <row r="1229">
      <c r="A1229" s="185"/>
      <c r="B1229" s="67"/>
      <c r="C1229" s="186"/>
      <c r="D1229" s="186"/>
      <c r="E1229" s="186"/>
      <c r="F1229" s="186"/>
      <c r="G1229" s="186"/>
      <c r="H1229" s="186"/>
      <c r="I1229" s="186"/>
      <c r="J1229" s="186"/>
      <c r="K1229" s="186"/>
      <c r="L1229" s="186"/>
      <c r="M1229" s="67"/>
      <c r="N1229" s="67"/>
      <c r="O1229" s="67"/>
      <c r="P1229" s="67"/>
      <c r="Q1229" s="186"/>
      <c r="R1229" s="186"/>
      <c r="S1229" s="187"/>
      <c r="T1229" s="187"/>
      <c r="U1229" s="186"/>
      <c r="V1229" s="186"/>
      <c r="W1229" s="186"/>
    </row>
    <row r="1230">
      <c r="A1230" s="185"/>
      <c r="B1230" s="67"/>
      <c r="C1230" s="186"/>
      <c r="D1230" s="186"/>
      <c r="E1230" s="186"/>
      <c r="F1230" s="186"/>
      <c r="G1230" s="186"/>
      <c r="H1230" s="186"/>
      <c r="I1230" s="186"/>
      <c r="J1230" s="186"/>
      <c r="K1230" s="186"/>
      <c r="L1230" s="186"/>
      <c r="M1230" s="67"/>
      <c r="N1230" s="67"/>
      <c r="O1230" s="67"/>
      <c r="P1230" s="67"/>
      <c r="Q1230" s="186"/>
      <c r="R1230" s="186"/>
      <c r="S1230" s="187"/>
      <c r="T1230" s="187"/>
      <c r="U1230" s="186"/>
      <c r="V1230" s="186"/>
      <c r="W1230" s="186"/>
    </row>
    <row r="1231">
      <c r="A1231" s="185"/>
      <c r="B1231" s="67"/>
      <c r="C1231" s="186"/>
      <c r="D1231" s="186"/>
      <c r="E1231" s="186"/>
      <c r="F1231" s="186"/>
      <c r="G1231" s="186"/>
      <c r="H1231" s="186"/>
      <c r="I1231" s="186"/>
      <c r="J1231" s="186"/>
      <c r="K1231" s="186"/>
      <c r="L1231" s="186"/>
      <c r="M1231" s="67"/>
      <c r="N1231" s="67"/>
      <c r="O1231" s="67"/>
      <c r="P1231" s="67"/>
      <c r="Q1231" s="186"/>
      <c r="R1231" s="186"/>
      <c r="S1231" s="187"/>
      <c r="T1231" s="187"/>
      <c r="U1231" s="186"/>
      <c r="V1231" s="186"/>
      <c r="W1231" s="186"/>
    </row>
    <row r="1232">
      <c r="A1232" s="185"/>
      <c r="B1232" s="67"/>
      <c r="C1232" s="186"/>
      <c r="D1232" s="186"/>
      <c r="E1232" s="186"/>
      <c r="F1232" s="186"/>
      <c r="G1232" s="186"/>
      <c r="H1232" s="186"/>
      <c r="I1232" s="186"/>
      <c r="J1232" s="186"/>
      <c r="K1232" s="186"/>
      <c r="L1232" s="186"/>
      <c r="M1232" s="67"/>
      <c r="N1232" s="67"/>
      <c r="O1232" s="67"/>
      <c r="P1232" s="67"/>
      <c r="Q1232" s="186"/>
      <c r="R1232" s="186"/>
      <c r="S1232" s="187"/>
      <c r="T1232" s="187"/>
      <c r="U1232" s="186"/>
      <c r="V1232" s="186"/>
      <c r="W1232" s="186"/>
    </row>
    <row r="1233">
      <c r="A1233" s="185"/>
      <c r="B1233" s="67"/>
      <c r="C1233" s="186"/>
      <c r="D1233" s="186"/>
      <c r="E1233" s="186"/>
      <c r="F1233" s="186"/>
      <c r="G1233" s="186"/>
      <c r="H1233" s="186"/>
      <c r="I1233" s="186"/>
      <c r="J1233" s="186"/>
      <c r="K1233" s="186"/>
      <c r="L1233" s="186"/>
      <c r="M1233" s="67"/>
      <c r="N1233" s="67"/>
      <c r="O1233" s="67"/>
      <c r="P1233" s="67"/>
      <c r="Q1233" s="186"/>
      <c r="R1233" s="186"/>
      <c r="S1233" s="187"/>
      <c r="T1233" s="187"/>
      <c r="U1233" s="186"/>
      <c r="V1233" s="186"/>
      <c r="W1233" s="186"/>
    </row>
    <row r="1234">
      <c r="A1234" s="185"/>
      <c r="B1234" s="67"/>
      <c r="C1234" s="186"/>
      <c r="D1234" s="186"/>
      <c r="E1234" s="186"/>
      <c r="F1234" s="186"/>
      <c r="G1234" s="186"/>
      <c r="H1234" s="186"/>
      <c r="I1234" s="186"/>
      <c r="J1234" s="186"/>
      <c r="K1234" s="186"/>
      <c r="L1234" s="186"/>
      <c r="M1234" s="67"/>
      <c r="N1234" s="67"/>
      <c r="O1234" s="67"/>
      <c r="P1234" s="67"/>
      <c r="Q1234" s="186"/>
      <c r="R1234" s="186"/>
      <c r="S1234" s="187"/>
      <c r="T1234" s="187"/>
      <c r="U1234" s="186"/>
      <c r="V1234" s="186"/>
      <c r="W1234" s="186"/>
    </row>
    <row r="1235">
      <c r="A1235" s="185"/>
      <c r="B1235" s="67"/>
      <c r="C1235" s="186"/>
      <c r="D1235" s="186"/>
      <c r="E1235" s="186"/>
      <c r="F1235" s="186"/>
      <c r="G1235" s="186"/>
      <c r="H1235" s="186"/>
      <c r="I1235" s="186"/>
      <c r="J1235" s="186"/>
      <c r="K1235" s="186"/>
      <c r="L1235" s="186"/>
      <c r="M1235" s="67"/>
      <c r="N1235" s="67"/>
      <c r="O1235" s="67"/>
      <c r="P1235" s="67"/>
      <c r="Q1235" s="186"/>
      <c r="R1235" s="186"/>
      <c r="S1235" s="187"/>
      <c r="T1235" s="187"/>
      <c r="U1235" s="186"/>
      <c r="V1235" s="186"/>
      <c r="W1235" s="186"/>
    </row>
    <row r="1236">
      <c r="A1236" s="185"/>
      <c r="B1236" s="67"/>
      <c r="C1236" s="186"/>
      <c r="D1236" s="186"/>
      <c r="E1236" s="186"/>
      <c r="F1236" s="186"/>
      <c r="G1236" s="186"/>
      <c r="H1236" s="186"/>
      <c r="I1236" s="186"/>
      <c r="J1236" s="186"/>
      <c r="K1236" s="186"/>
      <c r="L1236" s="186"/>
      <c r="M1236" s="67"/>
      <c r="N1236" s="67"/>
      <c r="O1236" s="67"/>
      <c r="P1236" s="67"/>
      <c r="Q1236" s="186"/>
      <c r="R1236" s="186"/>
      <c r="S1236" s="187"/>
      <c r="T1236" s="187"/>
      <c r="U1236" s="186"/>
      <c r="V1236" s="186"/>
      <c r="W1236" s="186"/>
    </row>
    <row r="1237">
      <c r="A1237" s="185"/>
      <c r="B1237" s="67"/>
      <c r="C1237" s="186"/>
      <c r="D1237" s="186"/>
      <c r="E1237" s="186"/>
      <c r="F1237" s="186"/>
      <c r="G1237" s="186"/>
      <c r="H1237" s="186"/>
      <c r="I1237" s="186"/>
      <c r="J1237" s="186"/>
      <c r="K1237" s="186"/>
      <c r="L1237" s="186"/>
      <c r="M1237" s="67"/>
      <c r="N1237" s="67"/>
      <c r="O1237" s="67"/>
      <c r="P1237" s="67"/>
      <c r="Q1237" s="186"/>
      <c r="R1237" s="186"/>
      <c r="S1237" s="187"/>
      <c r="T1237" s="187"/>
      <c r="U1237" s="186"/>
      <c r="V1237" s="186"/>
      <c r="W1237" s="186"/>
    </row>
    <row r="1238">
      <c r="A1238" s="185"/>
      <c r="B1238" s="67"/>
      <c r="C1238" s="186"/>
      <c r="D1238" s="186"/>
      <c r="E1238" s="186"/>
      <c r="F1238" s="186"/>
      <c r="G1238" s="186"/>
      <c r="H1238" s="186"/>
      <c r="I1238" s="186"/>
      <c r="J1238" s="186"/>
      <c r="K1238" s="186"/>
      <c r="L1238" s="186"/>
      <c r="M1238" s="67"/>
      <c r="N1238" s="67"/>
      <c r="O1238" s="67"/>
      <c r="P1238" s="67"/>
      <c r="Q1238" s="186"/>
      <c r="R1238" s="186"/>
      <c r="S1238" s="187"/>
      <c r="T1238" s="187"/>
      <c r="U1238" s="186"/>
      <c r="V1238" s="186"/>
      <c r="W1238" s="186"/>
    </row>
    <row r="1239">
      <c r="A1239" s="185"/>
      <c r="B1239" s="67"/>
      <c r="C1239" s="186"/>
      <c r="D1239" s="186"/>
      <c r="E1239" s="186"/>
      <c r="F1239" s="186"/>
      <c r="G1239" s="186"/>
      <c r="H1239" s="186"/>
      <c r="I1239" s="186"/>
      <c r="J1239" s="186"/>
      <c r="K1239" s="186"/>
      <c r="L1239" s="186"/>
      <c r="M1239" s="67"/>
      <c r="N1239" s="67"/>
      <c r="O1239" s="67"/>
      <c r="P1239" s="67"/>
      <c r="Q1239" s="186"/>
      <c r="R1239" s="186"/>
      <c r="S1239" s="187"/>
      <c r="T1239" s="187"/>
      <c r="U1239" s="186"/>
      <c r="V1239" s="186"/>
      <c r="W1239" s="186"/>
    </row>
    <row r="1240">
      <c r="A1240" s="185"/>
      <c r="B1240" s="67"/>
      <c r="C1240" s="186"/>
      <c r="D1240" s="186"/>
      <c r="E1240" s="186"/>
      <c r="F1240" s="186"/>
      <c r="G1240" s="186"/>
      <c r="H1240" s="186"/>
      <c r="I1240" s="186"/>
      <c r="J1240" s="186"/>
      <c r="K1240" s="186"/>
      <c r="L1240" s="186"/>
      <c r="M1240" s="67"/>
      <c r="N1240" s="67"/>
      <c r="O1240" s="67"/>
      <c r="P1240" s="67"/>
      <c r="Q1240" s="186"/>
      <c r="R1240" s="186"/>
      <c r="S1240" s="187"/>
      <c r="T1240" s="187"/>
      <c r="U1240" s="186"/>
      <c r="V1240" s="186"/>
      <c r="W1240" s="186"/>
    </row>
    <row r="1241">
      <c r="A1241" s="185"/>
      <c r="B1241" s="67"/>
      <c r="C1241" s="186"/>
      <c r="D1241" s="186"/>
      <c r="E1241" s="186"/>
      <c r="F1241" s="186"/>
      <c r="G1241" s="186"/>
      <c r="H1241" s="186"/>
      <c r="I1241" s="186"/>
      <c r="J1241" s="186"/>
      <c r="K1241" s="186"/>
      <c r="L1241" s="186"/>
      <c r="M1241" s="67"/>
      <c r="N1241" s="67"/>
      <c r="O1241" s="67"/>
      <c r="P1241" s="67"/>
      <c r="Q1241" s="186"/>
      <c r="R1241" s="186"/>
      <c r="S1241" s="187"/>
      <c r="T1241" s="187"/>
      <c r="U1241" s="186"/>
      <c r="V1241" s="186"/>
      <c r="W1241" s="186"/>
    </row>
    <row r="1242">
      <c r="A1242" s="185"/>
      <c r="B1242" s="67"/>
      <c r="C1242" s="186"/>
      <c r="D1242" s="186"/>
      <c r="E1242" s="186"/>
      <c r="F1242" s="186"/>
      <c r="G1242" s="186"/>
      <c r="H1242" s="186"/>
      <c r="I1242" s="186"/>
      <c r="J1242" s="186"/>
      <c r="K1242" s="186"/>
      <c r="L1242" s="186"/>
      <c r="M1242" s="67"/>
      <c r="N1242" s="67"/>
      <c r="O1242" s="67"/>
      <c r="P1242" s="67"/>
      <c r="Q1242" s="186"/>
      <c r="R1242" s="186"/>
      <c r="S1242" s="187"/>
      <c r="T1242" s="187"/>
      <c r="U1242" s="186"/>
      <c r="V1242" s="186"/>
      <c r="W1242" s="186"/>
    </row>
    <row r="1243">
      <c r="A1243" s="185"/>
      <c r="B1243" s="67"/>
      <c r="C1243" s="186"/>
      <c r="D1243" s="186"/>
      <c r="E1243" s="186"/>
      <c r="F1243" s="186"/>
      <c r="G1243" s="186"/>
      <c r="H1243" s="186"/>
      <c r="I1243" s="186"/>
      <c r="J1243" s="186"/>
      <c r="K1243" s="186"/>
      <c r="L1243" s="186"/>
      <c r="M1243" s="67"/>
      <c r="N1243" s="67"/>
      <c r="O1243" s="67"/>
      <c r="P1243" s="67"/>
      <c r="Q1243" s="186"/>
      <c r="R1243" s="186"/>
      <c r="S1243" s="187"/>
      <c r="T1243" s="187"/>
      <c r="U1243" s="186"/>
      <c r="V1243" s="186"/>
      <c r="W1243" s="186"/>
    </row>
    <row r="1244">
      <c r="A1244" s="185"/>
      <c r="B1244" s="67"/>
      <c r="C1244" s="186"/>
      <c r="D1244" s="186"/>
      <c r="E1244" s="186"/>
      <c r="F1244" s="186"/>
      <c r="G1244" s="186"/>
      <c r="H1244" s="186"/>
      <c r="I1244" s="186"/>
      <c r="J1244" s="186"/>
      <c r="K1244" s="186"/>
      <c r="L1244" s="186"/>
      <c r="M1244" s="67"/>
      <c r="N1244" s="67"/>
      <c r="O1244" s="67"/>
      <c r="P1244" s="67"/>
      <c r="Q1244" s="186"/>
      <c r="R1244" s="186"/>
      <c r="S1244" s="187"/>
      <c r="T1244" s="187"/>
      <c r="U1244" s="186"/>
      <c r="V1244" s="186"/>
      <c r="W1244" s="186"/>
    </row>
    <row r="1245">
      <c r="A1245" s="185"/>
      <c r="B1245" s="67"/>
      <c r="C1245" s="186"/>
      <c r="D1245" s="186"/>
      <c r="E1245" s="186"/>
      <c r="F1245" s="186"/>
      <c r="G1245" s="186"/>
      <c r="H1245" s="186"/>
      <c r="I1245" s="186"/>
      <c r="J1245" s="186"/>
      <c r="K1245" s="186"/>
      <c r="L1245" s="186"/>
      <c r="M1245" s="67"/>
      <c r="N1245" s="67"/>
      <c r="O1245" s="67"/>
      <c r="P1245" s="67"/>
      <c r="Q1245" s="186"/>
      <c r="R1245" s="186"/>
      <c r="S1245" s="187"/>
      <c r="T1245" s="187"/>
      <c r="U1245" s="186"/>
      <c r="V1245" s="186"/>
      <c r="W1245" s="186"/>
    </row>
    <row r="1246">
      <c r="A1246" s="185"/>
      <c r="B1246" s="67"/>
      <c r="C1246" s="186"/>
      <c r="D1246" s="186"/>
      <c r="E1246" s="186"/>
      <c r="F1246" s="186"/>
      <c r="G1246" s="186"/>
      <c r="H1246" s="186"/>
      <c r="I1246" s="186"/>
      <c r="J1246" s="186"/>
      <c r="K1246" s="186"/>
      <c r="L1246" s="186"/>
      <c r="M1246" s="67"/>
      <c r="N1246" s="67"/>
      <c r="O1246" s="67"/>
      <c r="P1246" s="67"/>
      <c r="Q1246" s="186"/>
      <c r="R1246" s="186"/>
      <c r="S1246" s="187"/>
      <c r="T1246" s="187"/>
      <c r="U1246" s="186"/>
      <c r="V1246" s="186"/>
      <c r="W1246" s="186"/>
    </row>
    <row r="1247">
      <c r="A1247" s="113"/>
    </row>
    <row r="1248">
      <c r="A1248" s="113"/>
    </row>
    <row r="1249">
      <c r="A1249" s="113"/>
    </row>
    <row r="1250">
      <c r="A1250" s="113"/>
    </row>
    <row r="1251">
      <c r="A1251" s="113"/>
    </row>
    <row r="1252">
      <c r="A1252" s="113"/>
    </row>
  </sheetData>
  <autoFilter ref="$A$40:$Q$301"/>
  <conditionalFormatting sqref="E2:E37">
    <cfRule type="expression" dxfId="14" priority="1">
      <formula>E2="N/A"</formula>
    </cfRule>
  </conditionalFormatting>
  <conditionalFormatting sqref="E2:E37">
    <cfRule type="expression" dxfId="15" priority="2">
      <formula>AND(ISNUMBER(E2), E2&gt;=9)</formula>
    </cfRule>
  </conditionalFormatting>
  <conditionalFormatting sqref="E2:E37">
    <cfRule type="expression" dxfId="16" priority="3">
      <formula>AND(ISNUMBER(E2), E2&gt;=8)</formula>
    </cfRule>
  </conditionalFormatting>
  <conditionalFormatting sqref="E2:E37">
    <cfRule type="expression" dxfId="17" priority="4">
      <formula>AND(ISNUMBER(E2), E2&gt;=6)</formula>
    </cfRule>
  </conditionalFormatting>
  <conditionalFormatting sqref="E2:E37">
    <cfRule type="expression" dxfId="18" priority="5">
      <formula>AND(ISNUMBER(E2), E2&gt;=4)</formula>
    </cfRule>
  </conditionalFormatting>
  <conditionalFormatting sqref="E2:E37">
    <cfRule type="expression" dxfId="19" priority="6">
      <formula>AND(ISNUMBER(E2), E2&lt;4)</formula>
    </cfRule>
  </conditionalFormatting>
  <conditionalFormatting sqref="G2:G37">
    <cfRule type="cellIs" dxfId="11" priority="7" operator="greaterThan">
      <formula>0</formula>
    </cfRule>
  </conditionalFormatting>
  <conditionalFormatting sqref="G2:G37">
    <cfRule type="cellIs" dxfId="12" priority="8" operator="lessThanOrEqual">
      <formula>0</formula>
    </cfRule>
  </conditionalFormatting>
  <conditionalFormatting sqref="D301">
    <cfRule type="expression" dxfId="12" priority="9">
      <formula>D301&gt;C301</formula>
    </cfRule>
  </conditionalFormatting>
  <conditionalFormatting sqref="D301">
    <cfRule type="expression" dxfId="11" priority="10">
      <formula>D301&lt;C301</formula>
    </cfRule>
  </conditionalFormatting>
  <conditionalFormatting sqref="W2:W37">
    <cfRule type="containsText" dxfId="6" priority="11" operator="containsText" text="Strong Buy">
      <formula>NOT(ISERROR(SEARCH(("Strong Buy"),(W2))))</formula>
    </cfRule>
  </conditionalFormatting>
  <conditionalFormatting sqref="W2:W37">
    <cfRule type="containsText" dxfId="12" priority="12" operator="containsText" text="Buy">
      <formula>NOT(ISERROR(SEARCH(("Buy"),(W2))))</formula>
    </cfRule>
  </conditionalFormatting>
  <conditionalFormatting sqref="I38:L38 F301:P301">
    <cfRule type="cellIs" dxfId="21" priority="13" operator="lessThan">
      <formula>0</formula>
    </cfRule>
  </conditionalFormatting>
  <conditionalFormatting sqref="W2:W37">
    <cfRule type="containsText" dxfId="3" priority="14" operator="containsText" text="Expensive">
      <formula>NOT(ISERROR(SEARCH(("Expensive"),(W2))))</formula>
    </cfRule>
  </conditionalFormatting>
  <conditionalFormatting sqref="W2:W37">
    <cfRule type="containsText" dxfId="4" priority="15" operator="containsText" text="Overrated">
      <formula>NOT(ISERROR(SEARCH(("Overrated"),(W2))))</formula>
    </cfRule>
  </conditionalFormatting>
  <conditionalFormatting sqref="F41:F300">
    <cfRule type="cellIs" dxfId="11" priority="16" operator="equal">
      <formula>"Yes"</formula>
    </cfRule>
  </conditionalFormatting>
  <conditionalFormatting sqref="F41:F300">
    <cfRule type="cellIs" dxfId="12" priority="17" operator="equal">
      <formula>"No"</formula>
    </cfRule>
  </conditionalFormatting>
  <dataValidations>
    <dataValidation type="list" allowBlank="1" sqref="F2:F37">
      <formula1>"(Select),High,Low"</formula1>
    </dataValidation>
    <dataValidation type="list" allowBlank="1" sqref="N2 N4:N37 J41:J300">
      <formula1>"(Select),Communication Services,Consumer Discretionary,Consumer Staples,Energy,ETF,Financials,Health Care,Industrials,Materials,Real Estate,Utilities,Information Technology,Bonds"</formula1>
    </dataValidation>
    <dataValidation type="list" allowBlank="1" sqref="M2:M37">
      <formula1>"(Select Security),Stocks,ETFs,International,Crypto,Bonds,Index Fund"</formula1>
    </dataValidation>
    <dataValidation type="list" allowBlank="1" sqref="O2:O37">
      <formula1>"(Select),US Bonds,International Market,Value Stocks,Growth,Foundational"</formula1>
    </dataValidation>
    <dataValidation type="list" allowBlank="1" sqref="N3">
      <formula1>"(Select),Communication Services,Consumer Discretionary (Cyclical),Consumer Staples (Defensive),Energy,ETF,Financials,Health Care,Industrials,Materials,Real Estate,Utilities,Information Technology"</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13"/>
    <col customWidth="1" min="2" max="2" width="40.13"/>
    <col customWidth="1" min="3" max="3" width="12.13"/>
    <col customWidth="1" min="4" max="4" width="9.63"/>
    <col customWidth="1" min="5" max="5" width="10.5"/>
    <col customWidth="1" min="6" max="6" width="22.38"/>
    <col customWidth="1" hidden="1" min="7" max="7" width="22.38"/>
    <col customWidth="1" min="8" max="8" width="22.38"/>
    <col customWidth="1" min="9" max="9" width="13.63"/>
    <col customWidth="1" min="10" max="10" width="13.75"/>
    <col customWidth="1" min="11" max="11" width="10.88"/>
    <col customWidth="1" min="12" max="12" width="12.38"/>
    <col customWidth="1" min="13" max="13" width="14.88"/>
    <col customWidth="1" min="14" max="14" width="15.75"/>
    <col customWidth="1" min="15" max="15" width="13.38"/>
    <col customWidth="1" min="16" max="16" width="12.63"/>
    <col customWidth="1" min="17" max="17" width="11.75"/>
    <col customWidth="1" hidden="1" min="18" max="18" width="12.63"/>
    <col customWidth="1" hidden="1" min="19" max="19" width="16.75"/>
    <col customWidth="1" min="20" max="26" width="16.75"/>
    <col customWidth="1" hidden="1" min="27" max="27" width="13.75"/>
  </cols>
  <sheetData>
    <row r="1">
      <c r="A1" s="116" t="s">
        <v>325</v>
      </c>
      <c r="B1" s="117" t="s">
        <v>72</v>
      </c>
      <c r="C1" s="117" t="s">
        <v>73</v>
      </c>
      <c r="D1" s="117" t="s">
        <v>74</v>
      </c>
      <c r="E1" s="118" t="s">
        <v>76</v>
      </c>
      <c r="F1" s="117" t="s">
        <v>85</v>
      </c>
      <c r="G1" s="117" t="s">
        <v>86</v>
      </c>
      <c r="H1" s="117" t="s">
        <v>87</v>
      </c>
      <c r="I1" s="121" t="s">
        <v>88</v>
      </c>
      <c r="J1" s="118" t="s">
        <v>89</v>
      </c>
      <c r="K1" s="121" t="s">
        <v>12</v>
      </c>
      <c r="L1" s="118" t="s">
        <v>9</v>
      </c>
      <c r="M1" s="117" t="s">
        <v>91</v>
      </c>
      <c r="N1" s="117" t="s">
        <v>92</v>
      </c>
      <c r="O1" s="118" t="s">
        <v>99</v>
      </c>
      <c r="P1" s="399" t="s">
        <v>326</v>
      </c>
      <c r="Q1" s="400" t="s">
        <v>327</v>
      </c>
      <c r="R1" s="400" t="s">
        <v>328</v>
      </c>
      <c r="S1" s="400" t="s">
        <v>329</v>
      </c>
      <c r="T1" s="399">
        <v>5.0</v>
      </c>
      <c r="U1" s="399" t="s">
        <v>330</v>
      </c>
      <c r="V1" s="399">
        <v>13.0</v>
      </c>
      <c r="W1" s="281"/>
      <c r="X1" s="281"/>
      <c r="Y1" s="281"/>
      <c r="Z1" s="281"/>
      <c r="AA1" s="126" t="s">
        <v>99</v>
      </c>
    </row>
    <row r="2">
      <c r="A2" s="401" t="s">
        <v>306</v>
      </c>
      <c r="B2" s="128" t="str">
        <f>IFERROR(__xludf.DUMMYFUNCTION("IF(ISBLANK(A2),"""", googlefinance(A2, ""name""))"),"Apple Inc")</f>
        <v>Apple Inc</v>
      </c>
      <c r="C2" s="129" t="str">
        <f t="shared" ref="C2:C29" si="1">IF(ISBLANK(A2),"", HYPERLINK("https://seekingalpha.com/symbol/" &amp; A2,"View"))</f>
        <v>View</v>
      </c>
      <c r="D2" s="176">
        <v>116.0</v>
      </c>
      <c r="E2" s="132">
        <f>IFERROR(__xludf.DUMMYFUNCTION("IF(ISBLANK(A2),"""", googlefinance(A2, ""price""))"),260.29)</f>
        <v>260.29</v>
      </c>
      <c r="F2" s="213" t="s">
        <v>101</v>
      </c>
      <c r="G2" s="213" t="s">
        <v>134</v>
      </c>
      <c r="H2" s="402" t="s">
        <v>103</v>
      </c>
      <c r="I2" s="136">
        <f t="shared" ref="I2:I29" si="2">if(isblank(A2),"",L2/$L$32)</f>
        <v>0.04751544483</v>
      </c>
      <c r="J2" s="140">
        <f>IFERROR(__xludf.DUMMYFUNCTION("IfError(IF(isblank(A2),"""",split(AA2, ""()"")))"),0.0)</f>
        <v>0</v>
      </c>
      <c r="K2" s="136"/>
      <c r="L2" s="135">
        <f t="shared" ref="L2:L29" si="3">IF(ISBLANK(A2),"",D2*E2)</f>
        <v>30193.64</v>
      </c>
      <c r="M2" s="135">
        <f t="shared" ref="M2:M29" si="4">IFERROR(IF(ISBLANK(A2),"",D2*J2),"")</f>
        <v>0</v>
      </c>
      <c r="N2" s="136">
        <f t="shared" ref="N2:N29" si="5">if(isblank(A2),"",M2/$M$32)</f>
        <v>0</v>
      </c>
      <c r="O2" s="178" t="str">
        <f>IFERROR(__xludf.DUMMYFUNCTION("LET(t, A2,
  IF(t="""","""",
    IFERROR(
      SUBSTITUTE(
        INDEX(
          IMPORTXML(
            ""https://finviz.com/quote.ashx?t=""&amp;t&amp;""&amp;ty=dv"",
            ""(//td[normalize-space()='Dividend TTM' or contains(.,'Dividend TTM')]/following-si"&amp;"bling::td[1])[1]""
          ),1,1),
      ""*"",""""),
      IFERROR(
        SUBSTITUTE(
          INDEX(
            IMPORTXML(
              ""https://finviz.com/quote.ashx?t=""&amp;t,
              ""(//td[normalize-space()='Dividend']/following-sibling:"&amp;":td[1])[1]""
            ),1,1),
        ""*"",""""),
      """")
    )
  )
)
"),"1.04 (0.40%)")</f>
        <v>1.04 (0.40%)</v>
      </c>
      <c r="P2" s="403" t="str">
        <f>IFERROR(__xludf.DUMMYFUNCTION("SORT(FILTER(R2:S205, LEN(R2:R205)), 2, 0)
"),"AAPL")</f>
        <v>AAPL</v>
      </c>
      <c r="Q2" s="404">
        <f>IFERROR(__xludf.DUMMYFUNCTION("""COMPUTED_VALUE"""),8.0)</f>
        <v>8</v>
      </c>
      <c r="R2" s="403" t="str">
        <f>IFERROR(__xludf.DUMMYFUNCTION("FILTER(UNIQUE(FLATTEN({A2:A31; A35:A64; A68:A97; A101:A130; A134:A163; A167:A196; A200:A229; A233:A262; A266:A295; A299:A328; A332:A361; A365:A435; 'Super Investors Buys'!C7:C56})), COUNTIF({A2:A31; A35:A64; A68:A97; A101:A130; A134:A163; A167:A196; A200:"&amp;"A229; A233:A262; A266:A295; A299:A328; A332:A361; A365:A435; 'Super Investors Buys'!C7:C56}, UNIQUE(FLATTEN({A2:A31; A35:A64; A68:A97; A101:A130; A134:A163; A167:A196; A200:A229; A233:A262; A266:A295; A299:A328; A332:A361; A365:A435; 'Super Investors Buys"&amp;"'!C7:C56}))) &gt;= T1)"),"AAPL")</f>
        <v>AAPL</v>
      </c>
      <c r="S2" s="404">
        <f t="array" ref="S2">IF(ISBLANK(R2),"",COUNTIF({$A$2:$A$31; $A$35:$A$64; $A$68:$A$97; $A$101:$A$130; A$134:A$163; $A$167:$A$196; $A$200:$A$229; $A$233:$A$262; $A$266:$A$295; $A$299:$A$328; $A$332:$A$361; $A$365:$A$435; 'Super Investors Buys'!$C$7:$C$56}, R2))</f>
        <v>8</v>
      </c>
      <c r="T2" s="405"/>
      <c r="U2" s="405"/>
      <c r="V2" s="405"/>
      <c r="W2" s="405"/>
      <c r="X2" s="405"/>
      <c r="Y2" s="405"/>
      <c r="Z2" s="405"/>
      <c r="AA2" s="178">
        <f>IFERROR(__xludf.DUMMYFUNCTION("IfError(IF(isblank(A2),"""", substitute(index(IMPORTHTML(""http://finviz.com/quote.ashx?t=""&amp;A2,""table"", 10),7,2),""*"","""")),0)"),0.0)</f>
        <v>0</v>
      </c>
    </row>
    <row r="3">
      <c r="A3" s="127" t="s">
        <v>331</v>
      </c>
      <c r="B3" s="128" t="str">
        <f>IFERROR(__xludf.DUMMYFUNCTION("IF(ISBLANK(A3),"""", googlefinance(A3, ""name""))"),"Ally Financial Inc")</f>
        <v>Ally Financial Inc</v>
      </c>
      <c r="C3" s="129" t="str">
        <f t="shared" si="1"/>
        <v>View</v>
      </c>
      <c r="D3" s="176">
        <v>103.0</v>
      </c>
      <c r="E3" s="132">
        <f>IFERROR(__xludf.DUMMYFUNCTION("IF(ISBLANK(A3),"""", googlefinance(A3, ""price""))"),39.9)</f>
        <v>39.9</v>
      </c>
      <c r="F3" s="213" t="s">
        <v>101</v>
      </c>
      <c r="G3" s="213" t="s">
        <v>134</v>
      </c>
      <c r="H3" s="402" t="s">
        <v>113</v>
      </c>
      <c r="I3" s="136">
        <f t="shared" si="2"/>
        <v>0.006467395902</v>
      </c>
      <c r="J3" s="140">
        <f>IFERROR(__xludf.DUMMYFUNCTION("IfError(IF(isblank(A3),"""",split(O3, ""()"")))"),1.2)</f>
        <v>1.2</v>
      </c>
      <c r="K3" s="136">
        <f>IFERROR(__xludf.DUMMYFUNCTION("""COMPUTED_VALUE"""),0.0301)</f>
        <v>0.0301</v>
      </c>
      <c r="L3" s="135">
        <f t="shared" si="3"/>
        <v>4109.7</v>
      </c>
      <c r="M3" s="135">
        <f t="shared" si="4"/>
        <v>123.6</v>
      </c>
      <c r="N3" s="136">
        <f t="shared" si="5"/>
        <v>0.01578945351</v>
      </c>
      <c r="O3" s="178" t="str">
        <f>IFERROR(__xludf.DUMMYFUNCTION("LET(t, A3,
  IF(t="""","""",
    IFERROR(
      SUBSTITUTE(
        INDEX(
          IMPORTXML(
            ""https://finviz.com/quote.ashx?t=""&amp;t&amp;""&amp;ty=dv"",
            ""(//td[normalize-space()='Dividend TTM' or contains(.,'Dividend TTM')]/following-si"&amp;"bling::td[1])[1]""
          ),1,1),
      ""*"",""""),
      IFERROR(
        SUBSTITUTE(
          INDEX(
            IMPORTXML(
              ""https://finviz.com/quote.ashx?t=""&amp;t,
              ""(//td[normalize-space()='Dividend']/following-sibling:"&amp;":td[1])[1]""
            ),1,1),
        ""*"",""""),
      """")
    )
  )
)
"),"1.20 (3.01%)")</f>
        <v>1.20 (3.01%)</v>
      </c>
      <c r="P3" s="406" t="str">
        <f>IFERROR(__xludf.DUMMYFUNCTION("""COMPUTED_VALUE"""),"MSFT")</f>
        <v>MSFT</v>
      </c>
      <c r="Q3" s="407">
        <f>IFERROR(__xludf.DUMMYFUNCTION("""COMPUTED_VALUE"""),8.0)</f>
        <v>8</v>
      </c>
      <c r="R3" s="408" t="str">
        <f>IFERROR(__xludf.DUMMYFUNCTION("""COMPUTED_VALUE"""),"KO")</f>
        <v>KO</v>
      </c>
      <c r="S3" s="404">
        <f t="array" ref="S3">IF(ISBLANK(R3),"",COUNTIF({$A$2:$A$31; $A$35:$A$64; $A$68:$A$97; $A$101:$A$130; A$134:A$163; $A$167:$A$196; $A$200:$A$229; $A$233:$A$262; $A$266:$A$295; $A$299:$A$328; $A$332:$A$361; $A$365:$A$435; 'Super Investors Buys'!$C$7:$C$56}, R3))</f>
        <v>5</v>
      </c>
      <c r="X3" s="1"/>
    </row>
    <row r="4">
      <c r="A4" s="409" t="s">
        <v>318</v>
      </c>
      <c r="B4" s="128" t="str">
        <f>IFERROR(__xludf.DUMMYFUNCTION("IF(ISBLANK(A4),"""", googlefinance(A4, ""name""))"),"Comcast Corp")</f>
        <v>Comcast Corp</v>
      </c>
      <c r="C4" s="129" t="str">
        <f t="shared" si="1"/>
        <v>View</v>
      </c>
      <c r="D4" s="176">
        <v>273.0</v>
      </c>
      <c r="E4" s="132">
        <f>IFERROR(__xludf.DUMMYFUNCTION("IF(ISBLANK(A4),"""", googlefinance(A4, ""price""))"),31.6)</f>
        <v>31.6</v>
      </c>
      <c r="F4" s="213" t="s">
        <v>101</v>
      </c>
      <c r="G4" s="213" t="s">
        <v>134</v>
      </c>
      <c r="H4" s="402" t="s">
        <v>103</v>
      </c>
      <c r="I4" s="136">
        <f t="shared" si="2"/>
        <v>0.01357591332</v>
      </c>
      <c r="J4" s="140" t="str">
        <f>IFERROR(__xludf.DUMMYFUNCTION("IfError(IF(isblank(A4),"""",split(O4, ""()"")))"),"")</f>
        <v/>
      </c>
      <c r="K4" s="136"/>
      <c r="L4" s="135">
        <f t="shared" si="3"/>
        <v>8626.8</v>
      </c>
      <c r="M4" s="135">
        <f t="shared" si="4"/>
        <v>0</v>
      </c>
      <c r="N4" s="136">
        <f t="shared" si="5"/>
        <v>0</v>
      </c>
      <c r="O4" s="178" t="str">
        <f>IFERROR(__xludf.DUMMYFUNCTION("LET(t, A4,
  IF(t="""","""",
    IFERROR(
      SUBSTITUTE(
        INDEX(
          IMPORTXML(
            ""https://finviz.com/quote.ashx?t=""&amp;t&amp;""&amp;ty=dv"",
            ""(//td[normalize-space()='Dividend TTM' or contains(.,'Dividend TTM')]/following-si"&amp;"bling::td[1])[1]""
          ),1,1),
      ""*"",""""),
      IFERROR(
        SUBSTITUTE(
          INDEX(
            IMPORTXML(
              ""https://finviz.com/quote.ashx?t=""&amp;t,
              ""(//td[normalize-space()='Dividend']/following-sibling:"&amp;":td[1])[1]""
            ),1,1),
        ""*"",""""),
      """")
    )
  )
)
"),"")</f>
        <v/>
      </c>
      <c r="P4" s="408" t="str">
        <f>IFERROR(__xludf.DUMMYFUNCTION("""COMPUTED_VALUE"""),"O")</f>
        <v>O</v>
      </c>
      <c r="Q4" s="407">
        <f>IFERROR(__xludf.DUMMYFUNCTION("""COMPUTED_VALUE"""),8.0)</f>
        <v>8</v>
      </c>
      <c r="R4" s="406" t="str">
        <f>IFERROR(__xludf.DUMMYFUNCTION("""COMPUTED_VALUE"""),"MSFT")</f>
        <v>MSFT</v>
      </c>
      <c r="S4" s="404">
        <f t="array" ref="S4">IF(ISBLANK(R4),"",COUNTIF({$A$2:$A$31; $A$35:$A$64; $A$68:$A$97; $A$101:$A$130; A$134:A$163; $A$167:$A$196; $A$200:$A$229; $A$233:$A$262; $A$266:$A$295; $A$299:$A$328; $A$332:$A$361; $A$365:$A$435; 'Super Investors Buys'!$C$7:$C$56}, R4))</f>
        <v>8</v>
      </c>
    </row>
    <row r="5">
      <c r="A5" s="409" t="s">
        <v>332</v>
      </c>
      <c r="B5" s="128" t="str">
        <f>IFERROR(__xludf.DUMMYFUNCTION("IF(ISBLANK(A5),"""", googlefinance(A5, ""name""))"),"Fidelity 500 Index Fund")</f>
        <v>Fidelity 500 Index Fund</v>
      </c>
      <c r="C5" s="129" t="str">
        <f t="shared" si="1"/>
        <v>View</v>
      </c>
      <c r="D5" s="176">
        <v>786.0</v>
      </c>
      <c r="E5" s="132">
        <f>IFERROR(__xludf.DUMMYFUNCTION("IF(ISBLANK(A5),"""", googlefinance(A5, ""price""))"),239.03)</f>
        <v>239.03</v>
      </c>
      <c r="F5" s="213" t="s">
        <v>333</v>
      </c>
      <c r="G5" s="213" t="s">
        <v>134</v>
      </c>
      <c r="H5" s="402" t="s">
        <v>124</v>
      </c>
      <c r="I5" s="136">
        <f t="shared" si="2"/>
        <v>0.2956611653</v>
      </c>
      <c r="J5" s="410">
        <v>2.4</v>
      </c>
      <c r="K5" s="411">
        <v>0.0132</v>
      </c>
      <c r="L5" s="135">
        <f t="shared" si="3"/>
        <v>187877.58</v>
      </c>
      <c r="M5" s="135">
        <f t="shared" si="4"/>
        <v>1886.4</v>
      </c>
      <c r="N5" s="136">
        <f t="shared" si="5"/>
        <v>0.2409807857</v>
      </c>
      <c r="O5" s="178" t="str">
        <f>IFERROR(__xludf.DUMMYFUNCTION("LET(t, A5,
  IF(t="""","""",
    IFERROR(
      SUBSTITUTE(
        INDEX(
          IMPORTXML(
            ""https://finviz.com/quote.ashx?t=""&amp;t&amp;""&amp;ty=dv"",
            ""(//td[normalize-space()='Dividend TTM' or contains(.,'Dividend TTM')]/following-si"&amp;"bling::td[1])[1]""
          ),1,1),
      ""*"",""""),
      IFERROR(
        SUBSTITUTE(
          INDEX(
            IMPORTXML(
              ""https://finviz.com/quote.ashx?t=""&amp;t,
              ""(//td[normalize-space()='Dividend']/following-sibling:"&amp;":td[1])[1]""
            ),1,1),
        ""*"",""""),
      """")
    )
  )
)
"),"")</f>
        <v/>
      </c>
      <c r="P5" s="408" t="str">
        <f>IFERROR(__xludf.DUMMYFUNCTION("""COMPUTED_VALUE"""),"SBUX")</f>
        <v>SBUX</v>
      </c>
      <c r="Q5" s="407">
        <f>IFERROR(__xludf.DUMMYFUNCTION("""COMPUTED_VALUE"""),7.0)</f>
        <v>7</v>
      </c>
      <c r="R5" s="408" t="str">
        <f>IFERROR(__xludf.DUMMYFUNCTION("""COMPUTED_VALUE"""),"O")</f>
        <v>O</v>
      </c>
      <c r="S5" s="404">
        <f t="array" ref="S5">IF(ISBLANK(R5),"",COUNTIF({$A$2:$A$31; $A$35:$A$64; $A$68:$A$97; $A$101:$A$130; A$134:A$163; $A$167:$A$196; $A$200:$A$229; $A$233:$A$262; $A$266:$A$295; $A$299:$A$328; $A$332:$A$361; $A$365:$A$435; 'Super Investors Buys'!$C$7:$C$56}, R5))</f>
        <v>8</v>
      </c>
    </row>
    <row r="6">
      <c r="A6" s="149" t="s">
        <v>334</v>
      </c>
      <c r="B6" s="128" t="str">
        <f>IFERROR(__xludf.DUMMYFUNCTION("IF(ISBLANK(A6),"""", googlefinance(A6, ""name""))"),"Fidelity ZERO International Index Fund")</f>
        <v>Fidelity ZERO International Index Fund</v>
      </c>
      <c r="C6" s="129" t="str">
        <f t="shared" si="1"/>
        <v>View</v>
      </c>
      <c r="D6" s="176">
        <v>543.0</v>
      </c>
      <c r="E6" s="132">
        <f>IFERROR(__xludf.DUMMYFUNCTION("IF(ISBLANK(A6),"""", googlefinance(A6, ""price""))"),15.68)</f>
        <v>15.68</v>
      </c>
      <c r="F6" s="213" t="s">
        <v>333</v>
      </c>
      <c r="G6" s="213" t="s">
        <v>134</v>
      </c>
      <c r="H6" s="402" t="s">
        <v>129</v>
      </c>
      <c r="I6" s="136">
        <f t="shared" si="2"/>
        <v>0.01339877872</v>
      </c>
      <c r="J6" s="410">
        <v>0.91</v>
      </c>
      <c r="K6" s="411">
        <v>0.0776</v>
      </c>
      <c r="L6" s="135">
        <f t="shared" si="3"/>
        <v>8514.24</v>
      </c>
      <c r="M6" s="135">
        <f t="shared" si="4"/>
        <v>494.13</v>
      </c>
      <c r="N6" s="136">
        <f t="shared" si="5"/>
        <v>0.06312332253</v>
      </c>
      <c r="O6" s="178" t="str">
        <f>IFERROR(__xludf.DUMMYFUNCTION("LET(t, A6,
  IF(t="""","""",
    IFERROR(
      SUBSTITUTE(
        INDEX(
          IMPORTXML(
            ""https://finviz.com/quote.ashx?t=""&amp;t&amp;""&amp;ty=dv"",
            ""(//td[normalize-space()='Dividend TTM' or contains(.,'Dividend TTM')]/following-si"&amp;"bling::td[1])[1]""
          ),1,1),
      ""*"",""""),
      IFERROR(
        SUBSTITUTE(
          INDEX(
            IMPORTXML(
              ""https://finviz.com/quote.ashx?t=""&amp;t,
              ""(//td[normalize-space()='Dividend']/following-sibling:"&amp;":td[1])[1]""
            ),1,1),
        ""*"",""""),
      """")
    )
  )
)
"),"")</f>
        <v/>
      </c>
      <c r="P6" s="408" t="str">
        <f>IFERROR(__xludf.DUMMYFUNCTION("""COMPUTED_VALUE"""),"SCHD")</f>
        <v>SCHD</v>
      </c>
      <c r="Q6" s="407">
        <f>IFERROR(__xludf.DUMMYFUNCTION("""COMPUTED_VALUE"""),6.0)</f>
        <v>6</v>
      </c>
      <c r="R6" s="408" t="str">
        <f>IFERROR(__xludf.DUMMYFUNCTION("""COMPUTED_VALUE"""),"SBUX")</f>
        <v>SBUX</v>
      </c>
      <c r="S6" s="404">
        <f t="array" ref="S6">IF(ISBLANK(R6),"",COUNTIF({$A$2:$A$31; $A$35:$A$64; $A$68:$A$97; $A$101:$A$130; A$134:A$163; $A$167:$A$196; $A$200:$A$229; $A$233:$A$262; $A$266:$A$295; $A$299:$A$328; $A$332:$A$361; $A$365:$A$435; 'Super Investors Buys'!$C$7:$C$56}, R6))</f>
        <v>7</v>
      </c>
    </row>
    <row r="7">
      <c r="A7" s="149" t="s">
        <v>111</v>
      </c>
      <c r="B7" s="128" t="str">
        <f>IFERROR(__xludf.DUMMYFUNCTION("IF(ISBLANK(A7),"""", googlefinance(A7, ""name""))"),"JPMorgan Chase &amp; Co")</f>
        <v>JPMorgan Chase &amp; Co</v>
      </c>
      <c r="C7" s="129" t="str">
        <f t="shared" si="1"/>
        <v>View</v>
      </c>
      <c r="D7" s="176">
        <v>20.0</v>
      </c>
      <c r="E7" s="132">
        <f>IFERROR(__xludf.DUMMYFUNCTION("IF(ISBLANK(A7),"""", googlefinance(A7, ""price""))"),293.55)</f>
        <v>293.55</v>
      </c>
      <c r="F7" s="213" t="s">
        <v>101</v>
      </c>
      <c r="G7" s="213" t="s">
        <v>134</v>
      </c>
      <c r="H7" s="402" t="s">
        <v>113</v>
      </c>
      <c r="I7" s="136">
        <f t="shared" si="2"/>
        <v>0.009239137003</v>
      </c>
      <c r="J7" s="140">
        <f>IFERROR(__xludf.DUMMYFUNCTION("IfError(IF(isblank(A7),"""",split(O7, ""()"")))"),5.8)</f>
        <v>5.8</v>
      </c>
      <c r="K7" s="136">
        <f>IFERROR(__xludf.DUMMYFUNCTION("""COMPUTED_VALUE"""),0.0198)</f>
        <v>0.0198</v>
      </c>
      <c r="L7" s="135">
        <f t="shared" si="3"/>
        <v>5871</v>
      </c>
      <c r="M7" s="135">
        <f t="shared" si="4"/>
        <v>116</v>
      </c>
      <c r="N7" s="136">
        <f t="shared" si="5"/>
        <v>0.01481858097</v>
      </c>
      <c r="O7" s="178" t="str">
        <f>IFERROR(__xludf.DUMMYFUNCTION("LET(t, A7,
  IF(t="""","""",
    IFERROR(
      SUBSTITUTE(
        INDEX(
          IMPORTXML(
            ""https://finviz.com/quote.ashx?t=""&amp;t&amp;""&amp;ty=dv"",
            ""(//td[normalize-space()='Dividend TTM' or contains(.,'Dividend TTM')]/following-si"&amp;"bling::td[1])[1]""
          ),1,1),
      ""*"",""""),
      IFERROR(
        SUBSTITUTE(
          INDEX(
            IMPORTXML(
              ""https://finviz.com/quote.ashx?t=""&amp;t,
              ""(//td[normalize-space()='Dividend']/following-sibling:"&amp;":td[1])[1]""
            ),1,1),
        ""*"",""""),
      """")
    )
  )
)
"),"5.80 (1.98%)")</f>
        <v>5.80 (1.98%)</v>
      </c>
      <c r="P7" s="408" t="str">
        <f>IFERROR(__xludf.DUMMYFUNCTION("""COMPUTED_VALUE"""),"PEP")</f>
        <v>PEP</v>
      </c>
      <c r="Q7" s="407">
        <f>IFERROR(__xludf.DUMMYFUNCTION("""COMPUTED_VALUE"""),6.0)</f>
        <v>6</v>
      </c>
      <c r="R7" s="408" t="str">
        <f>IFERROR(__xludf.DUMMYFUNCTION("""COMPUTED_VALUE"""),"V")</f>
        <v>V</v>
      </c>
      <c r="S7" s="404">
        <f t="array" ref="S7">IF(ISBLANK(R7),"",COUNTIF({$A$2:$A$31; $A$35:$A$64; $A$68:$A$97; $A$101:$A$130; A$134:A$163; $A$167:$A$196; $A$200:$A$229; $A$233:$A$262; $A$266:$A$295; $A$299:$A$328; $A$332:$A$361; $A$365:$A$435; 'Super Investors Buys'!$C$7:$C$56}, R7))</f>
        <v>5</v>
      </c>
    </row>
    <row r="8">
      <c r="A8" s="149" t="s">
        <v>114</v>
      </c>
      <c r="B8" s="128" t="str">
        <f>IFERROR(__xludf.DUMMYFUNCTION("IF(ISBLANK(A8),"""", googlefinance(A8, ""name""))"),"Coca-Cola Co")</f>
        <v>Coca-Cola Co</v>
      </c>
      <c r="C8" s="129" t="str">
        <f t="shared" si="1"/>
        <v>View</v>
      </c>
      <c r="D8" s="176">
        <v>100.0</v>
      </c>
      <c r="E8" s="132">
        <f>IFERROR(__xludf.DUMMYFUNCTION("IF(ISBLANK(A8),"""", googlefinance(A8, ""price""))"),77.03)</f>
        <v>77.03</v>
      </c>
      <c r="F8" s="213" t="s">
        <v>101</v>
      </c>
      <c r="G8" s="213" t="s">
        <v>134</v>
      </c>
      <c r="H8" s="402" t="s">
        <v>113</v>
      </c>
      <c r="I8" s="136">
        <f t="shared" si="2"/>
        <v>0.01212213802</v>
      </c>
      <c r="J8" s="140">
        <f>IFERROR(__xludf.DUMMYFUNCTION("IfError(IF(isblank(A8),"""",split(O8, ""()"")))"),2.04)</f>
        <v>2.04</v>
      </c>
      <c r="K8" s="136">
        <f>IFERROR(__xludf.DUMMYFUNCTION("""COMPUTED_VALUE"""),0.0265)</f>
        <v>0.0265</v>
      </c>
      <c r="L8" s="135">
        <f t="shared" si="3"/>
        <v>7703</v>
      </c>
      <c r="M8" s="135">
        <f t="shared" si="4"/>
        <v>204</v>
      </c>
      <c r="N8" s="136">
        <f t="shared" si="5"/>
        <v>0.02606026308</v>
      </c>
      <c r="O8" s="178" t="str">
        <f>IFERROR(__xludf.DUMMYFUNCTION("LET(t, A8,
  IF(t="""","""",
    IFERROR(
      SUBSTITUTE(
        INDEX(
          IMPORTXML(
            ""https://finviz.com/quote.ashx?t=""&amp;t&amp;""&amp;ty=dv"",
            ""(//td[normalize-space()='Dividend TTM' or contains(.,'Dividend TTM')]/following-si"&amp;"bling::td[1])[1]""
          ),1,1),
      ""*"",""""),
      IFERROR(
        SUBSTITUTE(
          INDEX(
            IMPORTXML(
              ""https://finviz.com/quote.ashx?t=""&amp;t,
              ""(//td[normalize-space()='Dividend']/following-sibling:"&amp;":td[1])[1]""
            ),1,1),
        ""*"",""""),
      """")
    )
  )
)
"),"2.04 (2.65%)")</f>
        <v>2.04 (2.65%)</v>
      </c>
      <c r="P8" s="408" t="str">
        <f>IFERROR(__xludf.DUMMYFUNCTION("""COMPUTED_VALUE"""),"MO")</f>
        <v>MO</v>
      </c>
      <c r="Q8" s="407">
        <f>IFERROR(__xludf.DUMMYFUNCTION("""COMPUTED_VALUE"""),6.0)</f>
        <v>6</v>
      </c>
      <c r="R8" s="408" t="str">
        <f>IFERROR(__xludf.DUMMYFUNCTION("""COMPUTED_VALUE"""),"VOO")</f>
        <v>VOO</v>
      </c>
      <c r="S8" s="404">
        <f t="array" ref="S8">IF(ISBLANK(R8),"",COUNTIF({$A$2:$A$31; $A$35:$A$64; $A$68:$A$97; $A$101:$A$130; A$134:A$163; $A$167:$A$196; $A$200:$A$229; $A$233:$A$262; $A$266:$A$295; $A$299:$A$328; $A$332:$A$361; $A$365:$A$435; 'Super Investors Buys'!$C$7:$C$56}, R8))</f>
        <v>5</v>
      </c>
    </row>
    <row r="9">
      <c r="A9" s="149" t="s">
        <v>104</v>
      </c>
      <c r="B9" s="128" t="str">
        <f>IFERROR(__xludf.DUMMYFUNCTION("IF(ISBLANK(A9),"""", googlefinance(A9, ""name""))"),"Microsoft Corp")</f>
        <v>Microsoft Corp</v>
      </c>
      <c r="C9" s="129" t="str">
        <f t="shared" si="1"/>
        <v>View</v>
      </c>
      <c r="D9" s="176">
        <v>23.0</v>
      </c>
      <c r="E9" s="132">
        <f>IFERROR(__xludf.DUMMYFUNCTION("IF(ISBLANK(A9),"""", googlefinance(A9, ""price""))"),410.68)</f>
        <v>410.68</v>
      </c>
      <c r="F9" s="213" t="s">
        <v>101</v>
      </c>
      <c r="G9" s="213" t="s">
        <v>134</v>
      </c>
      <c r="H9" s="402" t="s">
        <v>103</v>
      </c>
      <c r="I9" s="136">
        <f t="shared" si="2"/>
        <v>0.01486451406</v>
      </c>
      <c r="J9" s="140" t="str">
        <f>IFERROR(__xludf.DUMMYFUNCTION("IfError(IF(isblank(A9),"""",split(O9, ""()"")))"),"")</f>
        <v/>
      </c>
      <c r="K9" s="136"/>
      <c r="L9" s="135">
        <f t="shared" si="3"/>
        <v>9445.64</v>
      </c>
      <c r="M9" s="135">
        <f t="shared" si="4"/>
        <v>0</v>
      </c>
      <c r="N9" s="136">
        <f t="shared" si="5"/>
        <v>0</v>
      </c>
      <c r="O9" s="178" t="str">
        <f>IFERROR(__xludf.DUMMYFUNCTION("LET(t, A9,
  IF(t="""","""",
    IFERROR(
      SUBSTITUTE(
        INDEX(
          IMPORTXML(
            ""https://finviz.com/quote.ashx?t=""&amp;t&amp;""&amp;ty=dv"",
            ""(//td[normalize-space()='Dividend TTM' or contains(.,'Dividend TTM')]/following-si"&amp;"bling::td[1])[1]""
          ),1,1),
      ""*"",""""),
      IFERROR(
        SUBSTITUTE(
          INDEX(
            IMPORTXML(
              ""https://finviz.com/quote.ashx?t=""&amp;t,
              ""(//td[normalize-space()='Dividend']/following-sibling:"&amp;":td[1])[1]""
            ),1,1),
        ""*"",""""),
      """")
    )
  )
)
"),"")</f>
        <v/>
      </c>
      <c r="P9" s="408" t="str">
        <f>IFERROR(__xludf.DUMMYFUNCTION("""COMPUTED_VALUE"""),"KO")</f>
        <v>KO</v>
      </c>
      <c r="Q9" s="407">
        <f>IFERROR(__xludf.DUMMYFUNCTION("""COMPUTED_VALUE"""),5.0)</f>
        <v>5</v>
      </c>
      <c r="R9" s="408" t="str">
        <f>IFERROR(__xludf.DUMMYFUNCTION("""COMPUTED_VALUE"""),"SCHD")</f>
        <v>SCHD</v>
      </c>
      <c r="S9" s="404">
        <f t="array" ref="S9">IF(ISBLANK(R9),"",COUNTIF({$A$2:$A$31; $A$35:$A$64; $A$68:$A$97; $A$101:$A$130; A$134:A$163; $A$167:$A$196; $A$200:$A$229; $A$233:$A$262; $A$266:$A$295; $A$299:$A$328; $A$332:$A$361; $A$365:$A$435; 'Super Investors Buys'!$C$7:$C$56}, R9))</f>
        <v>6</v>
      </c>
    </row>
    <row r="10">
      <c r="A10" s="149" t="s">
        <v>115</v>
      </c>
      <c r="B10" s="128" t="str">
        <f>IFERROR(__xludf.DUMMYFUNCTION("IF(ISBLANK(A10),"""", googlefinance(A10, ""name""))"),"Realty Income Corp")</f>
        <v>Realty Income Corp</v>
      </c>
      <c r="C10" s="129" t="str">
        <f t="shared" si="1"/>
        <v>View</v>
      </c>
      <c r="D10" s="176">
        <v>75.0</v>
      </c>
      <c r="E10" s="132">
        <f>IFERROR(__xludf.DUMMYFUNCTION("IF(ISBLANK(A10),"""", googlefinance(A10, ""price""))"),64.8)</f>
        <v>64.8</v>
      </c>
      <c r="F10" s="213" t="s">
        <v>101</v>
      </c>
      <c r="G10" s="213" t="s">
        <v>134</v>
      </c>
      <c r="H10" s="402" t="s">
        <v>113</v>
      </c>
      <c r="I10" s="136">
        <f t="shared" si="2"/>
        <v>0.007648135894</v>
      </c>
      <c r="J10" s="140">
        <f>IFERROR(__xludf.DUMMYFUNCTION("IfError(IF(isblank(A10),"""",split(O10, ""()"")))"),3.5)</f>
        <v>3.5</v>
      </c>
      <c r="K10" s="136">
        <f>IFERROR(__xludf.DUMMYFUNCTION("""COMPUTED_VALUE"""),0.054)</f>
        <v>0.054</v>
      </c>
      <c r="L10" s="135">
        <f t="shared" si="3"/>
        <v>4860</v>
      </c>
      <c r="M10" s="135">
        <f t="shared" si="4"/>
        <v>262.5</v>
      </c>
      <c r="N10" s="136">
        <f t="shared" si="5"/>
        <v>0.03353342676</v>
      </c>
      <c r="O10" s="178" t="str">
        <f>IFERROR(__xludf.DUMMYFUNCTION("LET(t, A10,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"),"3.50 (5.40%)")</f>
        <v>3.50 (5.40%)</v>
      </c>
      <c r="P10" s="408" t="str">
        <f>IFERROR(__xludf.DUMMYFUNCTION("""COMPUTED_VALUE"""),"V")</f>
        <v>V</v>
      </c>
      <c r="Q10" s="407">
        <f>IFERROR(__xludf.DUMMYFUNCTION("""COMPUTED_VALUE"""),5.0)</f>
        <v>5</v>
      </c>
      <c r="R10" s="408" t="str">
        <f>IFERROR(__xludf.DUMMYFUNCTION("""COMPUTED_VALUE"""),"TGT")</f>
        <v>TGT</v>
      </c>
      <c r="S10" s="404">
        <f t="array" ref="S10">IF(ISBLANK(R10),"",COUNTIF({$A$2:$A$31; $A$35:$A$64; $A$68:$A$97; $A$101:$A$130; A$134:A$163; $A$167:$A$196; $A$200:$A$229; $A$233:$A$262; $A$266:$A$295; $A$299:$A$328; $A$332:$A$361; $A$365:$A$435; 'Super Investors Buys'!$C$7:$C$56}, R10))</f>
        <v>5</v>
      </c>
    </row>
    <row r="11">
      <c r="A11" s="149" t="s">
        <v>335</v>
      </c>
      <c r="B11" s="128" t="str">
        <f>IFERROR(__xludf.DUMMYFUNCTION("IF(ISBLANK(A11),"""", googlefinance(A11, ""name""))"),"NVIDIA Corp")</f>
        <v>NVIDIA Corp</v>
      </c>
      <c r="C11" s="129" t="str">
        <f t="shared" si="1"/>
        <v>View</v>
      </c>
      <c r="D11" s="176">
        <v>100.0</v>
      </c>
      <c r="E11" s="132">
        <f>IFERROR(__xludf.DUMMYFUNCTION("IF(ISBLANK(A11),"""", googlefinance(A11, ""price""))"),183.34)</f>
        <v>183.34</v>
      </c>
      <c r="F11" s="213" t="s">
        <v>101</v>
      </c>
      <c r="G11" s="213" t="s">
        <v>134</v>
      </c>
      <c r="H11" s="402" t="s">
        <v>103</v>
      </c>
      <c r="I11" s="136">
        <f t="shared" si="2"/>
        <v>0.02885204187</v>
      </c>
      <c r="J11" s="140">
        <f>IFERROR(__xludf.DUMMYFUNCTION("IfError(IF(isblank(A11),"""",split(O11, ""()"")))"),0.04)</f>
        <v>0.04</v>
      </c>
      <c r="K11" s="136">
        <f>IFERROR(__xludf.DUMMYFUNCTION("""COMPUTED_VALUE"""),2.0E-4)</f>
        <v>0.0002</v>
      </c>
      <c r="L11" s="135">
        <f t="shared" si="3"/>
        <v>18334</v>
      </c>
      <c r="M11" s="135">
        <f t="shared" si="4"/>
        <v>4</v>
      </c>
      <c r="N11" s="136">
        <f t="shared" si="5"/>
        <v>0.0005109855506</v>
      </c>
      <c r="O11" s="178" t="str">
        <f>IFERROR(__xludf.DUMMYFUNCTION("LET(t, A11,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"),"0.04 (0.02%)")</f>
        <v>0.04 (0.02%)</v>
      </c>
      <c r="P11" s="408" t="str">
        <f>IFERROR(__xludf.DUMMYFUNCTION("""COMPUTED_VALUE"""),"VOO")</f>
        <v>VOO</v>
      </c>
      <c r="Q11" s="407">
        <f>IFERROR(__xludf.DUMMYFUNCTION("""COMPUTED_VALUE"""),5.0)</f>
        <v>5</v>
      </c>
      <c r="R11" s="408" t="str">
        <f>IFERROR(__xludf.DUMMYFUNCTION("""COMPUTED_VALUE"""),"GOOGL")</f>
        <v>GOOGL</v>
      </c>
      <c r="S11" s="404">
        <f t="array" ref="S11">IF(ISBLANK(R11),"",COUNTIF({$A$2:$A$31; $A$35:$A$64; $A$68:$A$97; $A$101:$A$130; A$134:A$163; $A$167:$A$196; $A$200:$A$229; $A$233:$A$262; $A$266:$A$295; $A$299:$A$328; $A$332:$A$361; $A$365:$A$435; 'Super Investors Buys'!$C$7:$C$56}, R11))</f>
        <v>5</v>
      </c>
    </row>
    <row r="12">
      <c r="A12" s="149" t="s">
        <v>109</v>
      </c>
      <c r="B12" s="128" t="str">
        <f>IFERROR(__xludf.DUMMYFUNCTION("IF(ISBLANK(A12),"""", googlefinance(A12, ""name""))"),"Starbucks Corp")</f>
        <v>Starbucks Corp</v>
      </c>
      <c r="C12" s="129" t="str">
        <f t="shared" si="1"/>
        <v>View</v>
      </c>
      <c r="D12" s="176">
        <v>45.0</v>
      </c>
      <c r="E12" s="132">
        <f>IFERROR(__xludf.DUMMYFUNCTION("IF(ISBLANK(A12),"""", googlefinance(A12, ""price""))"),98.69)</f>
        <v>98.69</v>
      </c>
      <c r="F12" s="213" t="s">
        <v>101</v>
      </c>
      <c r="G12" s="213" t="s">
        <v>134</v>
      </c>
      <c r="H12" s="402" t="s">
        <v>103</v>
      </c>
      <c r="I12" s="136">
        <f t="shared" si="2"/>
        <v>0.006988838254</v>
      </c>
      <c r="J12" s="140">
        <f>IFERROR(__xludf.DUMMYFUNCTION("IfError(IF(isblank(A12),"""",split(O12, ""()"")))"),2.46)</f>
        <v>2.46</v>
      </c>
      <c r="K12" s="136">
        <f>IFERROR(__xludf.DUMMYFUNCTION("""COMPUTED_VALUE"""),0.0249)</f>
        <v>0.0249</v>
      </c>
      <c r="L12" s="135">
        <f t="shared" si="3"/>
        <v>4441.05</v>
      </c>
      <c r="M12" s="135">
        <f t="shared" si="4"/>
        <v>110.7</v>
      </c>
      <c r="N12" s="136">
        <f t="shared" si="5"/>
        <v>0.01414152511</v>
      </c>
      <c r="O12" s="178" t="str">
        <f>IFERROR(__xludf.DUMMYFUNCTION("LET(t, A12,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"),"2.46 (2.49%)")</f>
        <v>2.46 (2.49%)</v>
      </c>
      <c r="P12" s="408" t="str">
        <f>IFERROR(__xludf.DUMMYFUNCTION("""COMPUTED_VALUE"""),"TGT")</f>
        <v>TGT</v>
      </c>
      <c r="Q12" s="407">
        <f>IFERROR(__xludf.DUMMYFUNCTION("""COMPUTED_VALUE"""),5.0)</f>
        <v>5</v>
      </c>
      <c r="R12" s="408" t="str">
        <f>IFERROR(__xludf.DUMMYFUNCTION("""COMPUTED_VALUE"""),"PEP")</f>
        <v>PEP</v>
      </c>
      <c r="S12" s="404">
        <f t="array" ref="S12">IF(ISBLANK(R12),"",COUNTIF({$A$2:$A$31; $A$35:$A$64; $A$68:$A$97; $A$101:$A$130; A$134:A$163; $A$167:$A$196; $A$200:$A$229; $A$233:$A$262; $A$266:$A$295; $A$299:$A$328; $A$332:$A$361; $A$365:$A$435; 'Super Investors Buys'!$C$7:$C$56}, R12))</f>
        <v>6</v>
      </c>
    </row>
    <row r="13">
      <c r="A13" s="409" t="s">
        <v>336</v>
      </c>
      <c r="B13" s="128" t="str">
        <f>IFERROR(__xludf.DUMMYFUNCTION("IF(ISBLANK(A13),"""", googlefinance(A13, ""name""))"),"AT&amp;T Inc")</f>
        <v>AT&amp;T Inc</v>
      </c>
      <c r="C13" s="129" t="str">
        <f t="shared" si="1"/>
        <v>View</v>
      </c>
      <c r="D13" s="176">
        <v>100.0</v>
      </c>
      <c r="E13" s="132">
        <f>IFERROR(__xludf.DUMMYFUNCTION("IF(ISBLANK(A13),"""", googlefinance(A13, ""price""))"),28.97)</f>
        <v>28.97</v>
      </c>
      <c r="F13" s="213" t="s">
        <v>101</v>
      </c>
      <c r="G13" s="213" t="s">
        <v>134</v>
      </c>
      <c r="H13" s="402" t="s">
        <v>113</v>
      </c>
      <c r="I13" s="136">
        <f t="shared" si="2"/>
        <v>0.004558981417</v>
      </c>
      <c r="J13" s="140">
        <f>IFERROR(__xludf.DUMMYFUNCTION("IfError(IF(isblank(A13),"""",split(O13, ""()"")))"),1.11)</f>
        <v>1.11</v>
      </c>
      <c r="K13" s="136">
        <f>IFERROR(__xludf.DUMMYFUNCTION("""COMPUTED_VALUE"""),0.0384)</f>
        <v>0.0384</v>
      </c>
      <c r="L13" s="135">
        <f t="shared" si="3"/>
        <v>2897</v>
      </c>
      <c r="M13" s="135">
        <f t="shared" si="4"/>
        <v>111</v>
      </c>
      <c r="N13" s="136">
        <f t="shared" si="5"/>
        <v>0.01417984903</v>
      </c>
      <c r="O13" s="178" t="str">
        <f>IFERROR(__xludf.DUMMYFUNCTION("LET(t, A13,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"),"1.11 (3.84%)")</f>
        <v>1.11 (3.84%)</v>
      </c>
      <c r="P13" s="408" t="str">
        <f>IFERROR(__xludf.DUMMYFUNCTION("""COMPUTED_VALUE"""),"GOOGL")</f>
        <v>GOOGL</v>
      </c>
      <c r="Q13" s="407">
        <f>IFERROR(__xludf.DUMMYFUNCTION("""COMPUTED_VALUE"""),5.0)</f>
        <v>5</v>
      </c>
      <c r="R13" s="408" t="str">
        <f>IFERROR(__xludf.DUMMYFUNCTION("""COMPUTED_VALUE"""),"MO")</f>
        <v>MO</v>
      </c>
      <c r="S13" s="404">
        <f t="array" ref="S13">IF(ISBLANK(R13),"",COUNTIF({$A$2:$A$31; $A$35:$A$64; $A$68:$A$97; $A$101:$A$130; A$134:A$163; $A$167:$A$196; $A$200:$A$229; $A$233:$A$262; $A$266:$A$295; $A$299:$A$328; $A$332:$A$361; $A$365:$A$435; 'Super Investors Buys'!$C$7:$C$56}, R13))</f>
        <v>6</v>
      </c>
    </row>
    <row r="14">
      <c r="A14" s="149" t="s">
        <v>308</v>
      </c>
      <c r="B14" s="128" t="str">
        <f>IFERROR(__xludf.DUMMYFUNCTION("IF(ISBLANK(A14),"""", googlefinance(A14, ""name""))"),"Visa Inc")</f>
        <v>Visa Inc</v>
      </c>
      <c r="C14" s="129" t="str">
        <f t="shared" si="1"/>
        <v>View</v>
      </c>
      <c r="D14" s="176">
        <v>8.0</v>
      </c>
      <c r="E14" s="132">
        <f>IFERROR(__xludf.DUMMYFUNCTION("IF(ISBLANK(A14),"""", googlefinance(A14, ""price""))"),319.8)</f>
        <v>319.8</v>
      </c>
      <c r="F14" s="213" t="s">
        <v>101</v>
      </c>
      <c r="G14" s="213" t="s">
        <v>134</v>
      </c>
      <c r="H14" s="402" t="s">
        <v>103</v>
      </c>
      <c r="I14" s="136">
        <f t="shared" si="2"/>
        <v>0.004026129809</v>
      </c>
      <c r="J14" s="140">
        <f>IFERROR(__xludf.DUMMYFUNCTION("IfError(IF(isblank(A14),"""",split(O14, ""()"")))"),2.52)</f>
        <v>2.52</v>
      </c>
      <c r="K14" s="136">
        <f>IFERROR(__xludf.DUMMYFUNCTION("""COMPUTED_VALUE"""),0.0079)</f>
        <v>0.0079</v>
      </c>
      <c r="L14" s="135">
        <f t="shared" si="3"/>
        <v>2558.4</v>
      </c>
      <c r="M14" s="135">
        <f t="shared" si="4"/>
        <v>20.16</v>
      </c>
      <c r="N14" s="136">
        <f t="shared" si="5"/>
        <v>0.002575367175</v>
      </c>
      <c r="O14" s="178" t="str">
        <f>IFERROR(__xludf.DUMMYFUNCTION("LET(t, A14,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"),"2.52 (0.79%)")</f>
        <v>2.52 (0.79%)</v>
      </c>
      <c r="P14" s="408" t="str">
        <f>IFERROR(__xludf.DUMMYFUNCTION("""COMPUTED_VALUE"""),"VICI")</f>
        <v>VICI</v>
      </c>
      <c r="Q14" s="407">
        <f>IFERROR(__xludf.DUMMYFUNCTION("""COMPUTED_VALUE"""),5.0)</f>
        <v>5</v>
      </c>
      <c r="R14" s="408" t="str">
        <f>IFERROR(__xludf.DUMMYFUNCTION("""COMPUTED_VALUE"""),"VICI")</f>
        <v>VICI</v>
      </c>
      <c r="S14" s="404">
        <f t="array" ref="S14">IF(ISBLANK(R14),"",COUNTIF({$A$2:$A$31; $A$35:$A$64; $A$68:$A$97; $A$101:$A$130; A$134:A$163; $A$167:$A$196; $A$200:$A$229; $A$233:$A$262; $A$266:$A$295; $A$299:$A$328; $A$332:$A$361; $A$365:$A$435; 'Super Investors Buys'!$C$7:$C$56}, R14))</f>
        <v>5</v>
      </c>
    </row>
    <row r="15">
      <c r="A15" s="412" t="s">
        <v>120</v>
      </c>
      <c r="B15" s="128" t="str">
        <f>IFERROR(__xludf.DUMMYFUNCTION("IF(ISBLANK(A15),"""", googlefinance(A15, ""name""))"),"Vanguard Information Technology Index Fund ETF")</f>
        <v>Vanguard Information Technology Index Fund ETF</v>
      </c>
      <c r="C15" s="129" t="str">
        <f t="shared" si="1"/>
        <v>View</v>
      </c>
      <c r="D15" s="176">
        <v>45.0</v>
      </c>
      <c r="E15" s="132">
        <f>IFERROR(__xludf.DUMMYFUNCTION("IF(ISBLANK(A15),"""", googlefinance(A15, ""price""))"),733.27)</f>
        <v>733.27</v>
      </c>
      <c r="F15" s="213" t="s">
        <v>121</v>
      </c>
      <c r="G15" s="213" t="s">
        <v>134</v>
      </c>
      <c r="H15" s="402" t="s">
        <v>103</v>
      </c>
      <c r="I15" s="136">
        <f t="shared" si="2"/>
        <v>0.05192730192</v>
      </c>
      <c r="J15" s="140">
        <f>IFERROR(__xludf.DUMMYFUNCTION("IfError(IF(isblank(A15),"""",split(O15, ""()"")))"),3.05)</f>
        <v>3.05</v>
      </c>
      <c r="K15" s="136">
        <f>IFERROR(__xludf.DUMMYFUNCTION("""COMPUTED_VALUE"""),0.0042)</f>
        <v>0.0042</v>
      </c>
      <c r="L15" s="135">
        <f t="shared" si="3"/>
        <v>32997.15</v>
      </c>
      <c r="M15" s="135">
        <f t="shared" si="4"/>
        <v>137.25</v>
      </c>
      <c r="N15" s="136">
        <f t="shared" si="5"/>
        <v>0.01753319171</v>
      </c>
      <c r="O15" s="178" t="str">
        <f>IFERROR(__xludf.DUMMYFUNCTION("LET(t, A15,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"),"3.05 (0.42%)")</f>
        <v>3.05 (0.42%)</v>
      </c>
      <c r="P15" s="408"/>
      <c r="Q15" s="407"/>
      <c r="R15" s="408"/>
      <c r="S15" s="404" t="str">
        <f t="array" ref="S15">IF(ISBLANK(R15),"",COUNTIF({$A$2:$A$31; $A$35:$A$64; $A$68:$A$97; $A$101:$A$130; A$134:A$163; $A$167:$A$196; $A$200:$A$229; $A$233:$A$262; $A$266:$A$295; $A$299:$A$328; $A$332:$A$361; $A$365:$A$435; 'Super Investors Buys'!$C$7:$C$56}, R15))</f>
        <v/>
      </c>
    </row>
    <row r="16">
      <c r="A16" s="149" t="s">
        <v>127</v>
      </c>
      <c r="B16" s="128" t="str">
        <f>IFERROR(__xludf.DUMMYFUNCTION("IF(ISBLANK(A16),"""", googlefinance(A16, ""name""))"),"Vanguard Dividend Appreciation Index Fund ETF")</f>
        <v>Vanguard Dividend Appreciation Index Fund ETF</v>
      </c>
      <c r="C16" s="129" t="str">
        <f t="shared" si="1"/>
        <v>View</v>
      </c>
      <c r="D16" s="176">
        <v>52.0</v>
      </c>
      <c r="E16" s="132">
        <f>IFERROR(__xludf.DUMMYFUNCTION("IF(ISBLANK(A16),"""", googlefinance(A16, ""price""))"),223.45)</f>
        <v>223.45</v>
      </c>
      <c r="F16" s="213" t="s">
        <v>121</v>
      </c>
      <c r="G16" s="213" t="s">
        <v>134</v>
      </c>
      <c r="H16" s="402" t="s">
        <v>113</v>
      </c>
      <c r="I16" s="136">
        <f t="shared" si="2"/>
        <v>0.01828533955</v>
      </c>
      <c r="J16" s="140">
        <f>IFERROR(__xludf.DUMMYFUNCTION("IfError(IF(isblank(A16),"""",split(O16, ""()"")))"),3.56)</f>
        <v>3.56</v>
      </c>
      <c r="K16" s="136">
        <f>IFERROR(__xludf.DUMMYFUNCTION("""COMPUTED_VALUE"""),0.0159)</f>
        <v>0.0159</v>
      </c>
      <c r="L16" s="135">
        <f t="shared" si="3"/>
        <v>11619.4</v>
      </c>
      <c r="M16" s="135">
        <f t="shared" si="4"/>
        <v>185.12</v>
      </c>
      <c r="N16" s="136">
        <f t="shared" si="5"/>
        <v>0.02364841128</v>
      </c>
      <c r="O16" s="178" t="str">
        <f>IFERROR(__xludf.DUMMYFUNCTION("LET(t, A16,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"),"3.56 (1.59%)")</f>
        <v>3.56 (1.59%)</v>
      </c>
      <c r="P16" s="408"/>
      <c r="Q16" s="407"/>
      <c r="R16" s="408"/>
      <c r="S16" s="404" t="str">
        <f t="array" ref="S16">IF(ISBLANK(R16),"",COUNTIF({$A$2:$A$31; $A$35:$A$64; $A$68:$A$97; $A$101:$A$130; A$134:A$163; $A$167:$A$196; $A$200:$A$229; $A$233:$A$262; $A$266:$A$295; $A$299:$A$328; $A$332:$A$361; $A$365:$A$435; 'Super Investors Buys'!$C$7:$C$56}, R16))</f>
        <v/>
      </c>
    </row>
    <row r="17">
      <c r="A17" s="149" t="s">
        <v>337</v>
      </c>
      <c r="B17" s="128" t="str">
        <f>IFERROR(__xludf.DUMMYFUNCTION("IF(ISBLANK(A17),"""", googlefinance(A17, ""name""))"),"Vanguard Real Estate Index Fund ETF")</f>
        <v>Vanguard Real Estate Index Fund ETF</v>
      </c>
      <c r="C17" s="129" t="str">
        <f t="shared" si="1"/>
        <v>View</v>
      </c>
      <c r="D17" s="176">
        <v>54.0</v>
      </c>
      <c r="E17" s="132">
        <f>IFERROR(__xludf.DUMMYFUNCTION("IF(ISBLANK(A17),"""", googlefinance(A17, ""price""))"),94.58)</f>
        <v>94.58</v>
      </c>
      <c r="F17" s="213" t="s">
        <v>121</v>
      </c>
      <c r="G17" s="213" t="s">
        <v>134</v>
      </c>
      <c r="H17" s="402" t="s">
        <v>103</v>
      </c>
      <c r="I17" s="136">
        <f t="shared" si="2"/>
        <v>0.008037341032</v>
      </c>
      <c r="J17" s="140">
        <f>IFERROR(__xludf.DUMMYFUNCTION("IfError(IF(isblank(A17),"""",split(O17, ""()"")))"),3.47)</f>
        <v>3.47</v>
      </c>
      <c r="K17" s="136">
        <f>IFERROR(__xludf.DUMMYFUNCTION("""COMPUTED_VALUE"""),0.0367)</f>
        <v>0.0367</v>
      </c>
      <c r="L17" s="135">
        <f t="shared" si="3"/>
        <v>5107.32</v>
      </c>
      <c r="M17" s="135">
        <f t="shared" si="4"/>
        <v>187.38</v>
      </c>
      <c r="N17" s="136">
        <f t="shared" si="5"/>
        <v>0.02393711812</v>
      </c>
      <c r="O17" s="178" t="str">
        <f>IFERROR(__xludf.DUMMYFUNCTION("LET(t, A17,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"),"3.47 (3.67%)")</f>
        <v>3.47 (3.67%)</v>
      </c>
      <c r="P17" s="408"/>
      <c r="Q17" s="407"/>
      <c r="R17" s="408"/>
      <c r="S17" s="404" t="str">
        <f t="array" ref="S17">IF(ISBLANK(R17),"",COUNTIF({$A$2:$A$31; $A$35:$A$64; $A$68:$A$97; $A$101:$A$130; A$134:A$163; $A$167:$A$196; $A$200:$A$229; $A$233:$A$262; $A$266:$A$295; $A$299:$A$328; $A$332:$A$361; $A$365:$A$435; 'Super Investors Buys'!$C$7:$C$56}, R17))</f>
        <v/>
      </c>
    </row>
    <row r="18">
      <c r="A18" s="149" t="s">
        <v>123</v>
      </c>
      <c r="B18" s="128" t="str">
        <f>IFERROR(__xludf.DUMMYFUNCTION("IF(ISBLANK(A18),"""", googlefinance(A18, ""name""))"),"Vanguard S&amp;P 500 ETF")</f>
        <v>Vanguard S&amp;P 500 ETF</v>
      </c>
      <c r="C18" s="129" t="str">
        <f t="shared" si="1"/>
        <v>View</v>
      </c>
      <c r="D18" s="176">
        <v>55.0</v>
      </c>
      <c r="E18" s="132">
        <f>IFERROR(__xludf.DUMMYFUNCTION("IF(ISBLANK(A18),"""", googlefinance(A18, ""price""))"),626.81)</f>
        <v>626.81</v>
      </c>
      <c r="F18" s="213" t="s">
        <v>121</v>
      </c>
      <c r="G18" s="213" t="s">
        <v>134</v>
      </c>
      <c r="H18" s="402" t="s">
        <v>124</v>
      </c>
      <c r="I18" s="136">
        <f t="shared" si="2"/>
        <v>0.05425227228</v>
      </c>
      <c r="J18" s="140">
        <f>IFERROR(__xludf.DUMMYFUNCTION("IfError(IF(isblank(A18),"""",split(O18, ""()"")))"),7.07)</f>
        <v>7.07</v>
      </c>
      <c r="K18" s="136">
        <f>IFERROR(__xludf.DUMMYFUNCTION("""COMPUTED_VALUE"""),0.0113)</f>
        <v>0.0113</v>
      </c>
      <c r="L18" s="135">
        <f t="shared" si="3"/>
        <v>34474.55</v>
      </c>
      <c r="M18" s="135">
        <f t="shared" si="4"/>
        <v>388.85</v>
      </c>
      <c r="N18" s="136">
        <f t="shared" si="5"/>
        <v>0.04967418284</v>
      </c>
      <c r="O18" s="178" t="str">
        <f>IFERROR(__xludf.DUMMYFUNCTION("LET(t, A18,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"),"7.07 (1.13%)")</f>
        <v>7.07 (1.13%)</v>
      </c>
      <c r="P18" s="408"/>
      <c r="Q18" s="407"/>
      <c r="R18" s="408"/>
      <c r="S18" s="404" t="str">
        <f t="array" ref="S18">IF(ISBLANK(R18),"",COUNTIF({$A$2:$A$31; $A$35:$A$64; $A$68:$A$97; $A$101:$A$130; A$134:A$163; $A$167:$A$196; $A$200:$A$229; $A$233:$A$262; $A$266:$A$295; $A$299:$A$328; $A$332:$A$361; $A$365:$A$435; 'Super Investors Buys'!$C$7:$C$56}, R18))</f>
        <v/>
      </c>
    </row>
    <row r="19">
      <c r="A19" s="412" t="s">
        <v>125</v>
      </c>
      <c r="B19" s="128" t="str">
        <f>IFERROR(__xludf.DUMMYFUNCTION("IF(ISBLANK(A19),"""", googlefinance(A19, ""name""))"),"Vanguard Total Stock Market Index Fund ETF")</f>
        <v>Vanguard Total Stock Market Index Fund ETF</v>
      </c>
      <c r="C19" s="129" t="str">
        <f t="shared" si="1"/>
        <v>View</v>
      </c>
      <c r="D19" s="176">
        <v>434.0</v>
      </c>
      <c r="E19" s="132">
        <f>IFERROR(__xludf.DUMMYFUNCTION("IF(ISBLANK(A19),"""", googlefinance(A19, ""price""))"),336.0)</f>
        <v>336</v>
      </c>
      <c r="F19" s="213" t="s">
        <v>121</v>
      </c>
      <c r="G19" s="213" t="s">
        <v>134</v>
      </c>
      <c r="H19" s="402" t="s">
        <v>124</v>
      </c>
      <c r="I19" s="136">
        <f t="shared" si="2"/>
        <v>0.2294818454</v>
      </c>
      <c r="J19" s="140">
        <f>IFERROR(__xludf.DUMMYFUNCTION("IfError(IF(isblank(A19),"""",split(O19, ""()"")))"),3.76)</f>
        <v>3.76</v>
      </c>
      <c r="K19" s="136">
        <f>IFERROR(__xludf.DUMMYFUNCTION("""COMPUTED_VALUE"""),0.0112)</f>
        <v>0.0112</v>
      </c>
      <c r="L19" s="135">
        <f t="shared" si="3"/>
        <v>145824</v>
      </c>
      <c r="M19" s="135">
        <f t="shared" si="4"/>
        <v>1631.84</v>
      </c>
      <c r="N19" s="136">
        <f t="shared" si="5"/>
        <v>0.2084616652</v>
      </c>
      <c r="O19" s="178" t="str">
        <f>IFERROR(__xludf.DUMMYFUNCTION("LET(t, A19,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"),"3.76 (1.12%)")</f>
        <v>3.76 (1.12%)</v>
      </c>
      <c r="P19" s="408"/>
      <c r="Q19" s="407"/>
      <c r="R19" s="408"/>
      <c r="S19" s="404" t="str">
        <f t="array" ref="S19">IF(ISBLANK(R19),"",COUNTIF({$A$2:$A$31; $A$35:$A$64; $A$68:$A$97; $A$101:$A$130; A$134:A$163; $A$167:$A$196; $A$200:$A$229; $A$233:$A$262; $A$266:$A$295; $A$299:$A$328; $A$332:$A$361; $A$365:$A$435; 'Super Investors Buys'!$C$7:$C$56}, R19))</f>
        <v/>
      </c>
    </row>
    <row r="20">
      <c r="A20" s="149" t="s">
        <v>128</v>
      </c>
      <c r="B20" s="128" t="str">
        <f>IFERROR(__xludf.DUMMYFUNCTION("IF(ISBLANK(A20),"""", googlefinance(A20, ""name""))"),"Vanguard Total International Stock Index Fund ETF")</f>
        <v>Vanguard Total International Stock Index Fund ETF</v>
      </c>
      <c r="C20" s="129" t="str">
        <f t="shared" si="1"/>
        <v>View</v>
      </c>
      <c r="D20" s="176">
        <v>592.0</v>
      </c>
      <c r="E20" s="132">
        <f>IFERROR(__xludf.DUMMYFUNCTION("IF(ISBLANK(A20),"""", googlefinance(A20, ""price""))"),78.72)</f>
        <v>78.72</v>
      </c>
      <c r="F20" s="213" t="s">
        <v>121</v>
      </c>
      <c r="G20" s="213" t="s">
        <v>134</v>
      </c>
      <c r="H20" s="402" t="s">
        <v>129</v>
      </c>
      <c r="I20" s="136">
        <f t="shared" si="2"/>
        <v>0.07333750298</v>
      </c>
      <c r="J20" s="140">
        <f>IFERROR(__xludf.DUMMYFUNCTION("IfError(IF(isblank(A20),"""",split(O20, ""()"")))"),2.4)</f>
        <v>2.4</v>
      </c>
      <c r="K20" s="136">
        <f>IFERROR(__xludf.DUMMYFUNCTION("""COMPUTED_VALUE"""),0.0305)</f>
        <v>0.0305</v>
      </c>
      <c r="L20" s="135">
        <f t="shared" si="3"/>
        <v>46602.24</v>
      </c>
      <c r="M20" s="135">
        <f t="shared" si="4"/>
        <v>1420.8</v>
      </c>
      <c r="N20" s="136">
        <f t="shared" si="5"/>
        <v>0.1815020676</v>
      </c>
      <c r="O20" s="178" t="str">
        <f>IFERROR(__xludf.DUMMYFUNCTION("LET(t, A20,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"),"2.40 (3.05%)")</f>
        <v>2.40 (3.05%)</v>
      </c>
      <c r="P20" s="408"/>
      <c r="Q20" s="407"/>
      <c r="R20" s="406"/>
      <c r="S20" s="404" t="str">
        <f t="array" ref="S20">IF(ISBLANK(R20),"",COUNTIF({$A$2:$A$31; $A$35:$A$64; $A$68:$A$97; $A$101:$A$130; A$134:A$163; $A$167:$A$196; $A$200:$A$229; $A$233:$A$262; $A$266:$A$295; $A$299:$A$328; $A$332:$A$361; $A$365:$A$435; 'Super Investors Buys'!$C$7:$C$56}, R20))</f>
        <v/>
      </c>
    </row>
    <row r="21">
      <c r="A21" s="149" t="s">
        <v>130</v>
      </c>
      <c r="B21" s="128" t="str">
        <f>IFERROR(__xludf.DUMMYFUNCTION("IF(ISBLANK(A21),"""", googlefinance(A21, ""name""))"),"Vanguard Total Bond Market Index Fund ETF")</f>
        <v>Vanguard Total Bond Market Index Fund ETF</v>
      </c>
      <c r="C21" s="129" t="str">
        <f t="shared" si="1"/>
        <v>View</v>
      </c>
      <c r="D21" s="176">
        <v>28.0</v>
      </c>
      <c r="E21" s="132">
        <f>IFERROR(__xludf.DUMMYFUNCTION("IF(ISBLANK(A21),"""", googlefinance(A21, ""price""))"),74.34)</f>
        <v>74.34</v>
      </c>
      <c r="F21" s="213" t="s">
        <v>131</v>
      </c>
      <c r="G21" s="213" t="s">
        <v>134</v>
      </c>
      <c r="H21" s="402" t="s">
        <v>132</v>
      </c>
      <c r="I21" s="136">
        <f t="shared" si="2"/>
        <v>0.003275668277</v>
      </c>
      <c r="J21" s="140">
        <f>IFERROR(__xludf.DUMMYFUNCTION("IfError(IF(isblank(A21),"""",split(O21, ""()"")))"),2.88)</f>
        <v>2.88</v>
      </c>
      <c r="K21" s="136">
        <f>IFERROR(__xludf.DUMMYFUNCTION("""COMPUTED_VALUE"""),0.0387)</f>
        <v>0.0387</v>
      </c>
      <c r="L21" s="135">
        <f t="shared" si="3"/>
        <v>2081.52</v>
      </c>
      <c r="M21" s="135">
        <f t="shared" si="4"/>
        <v>80.64</v>
      </c>
      <c r="N21" s="136">
        <f t="shared" si="5"/>
        <v>0.0103014687</v>
      </c>
      <c r="O21" s="178" t="str">
        <f>IFERROR(__xludf.DUMMYFUNCTION("LET(t, A21,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"),"2.88 (3.87%)")</f>
        <v>2.88 (3.87%)</v>
      </c>
      <c r="P21" s="408"/>
      <c r="Q21" s="407"/>
      <c r="R21" s="408"/>
      <c r="S21" s="404" t="str">
        <f t="array" ref="S21">IF(ISBLANK(R21),"",COUNTIF({$A$2:$A$31; $A$35:$A$64; $A$68:$A$97; $A$101:$A$130; A$134:A$163; $A$167:$A$196; $A$200:$A$229; $A$233:$A$262; $A$266:$A$295; $A$299:$A$328; $A$332:$A$361; $A$365:$A$435; 'Super Investors Buys'!$C$7:$C$56}, R21))</f>
        <v/>
      </c>
    </row>
    <row r="22">
      <c r="A22" s="149" t="s">
        <v>105</v>
      </c>
      <c r="B22" s="128" t="str">
        <f>IFERROR(__xludf.DUMMYFUNCTION("IF(ISBLANK(A22),"""", googlefinance(A22, ""name""))"),"Walt Disney Co")</f>
        <v>Walt Disney Co</v>
      </c>
      <c r="C22" s="129" t="str">
        <f t="shared" si="1"/>
        <v>View</v>
      </c>
      <c r="D22" s="176">
        <v>51.0</v>
      </c>
      <c r="E22" s="132">
        <f>IFERROR(__xludf.DUMMYFUNCTION("IF(ISBLANK(A22),"""", googlefinance(A22, ""price""))"),102.41)</f>
        <v>102.41</v>
      </c>
      <c r="F22" s="213" t="s">
        <v>101</v>
      </c>
      <c r="G22" s="213" t="s">
        <v>134</v>
      </c>
      <c r="H22" s="402" t="s">
        <v>103</v>
      </c>
      <c r="I22" s="136">
        <f t="shared" si="2"/>
        <v>0.008219243919</v>
      </c>
      <c r="J22" s="140">
        <f>IFERROR(__xludf.DUMMYFUNCTION("IfError(IF(isblank(A22),"""",split(O22, ""()"")))"),1.25)</f>
        <v>1.25</v>
      </c>
      <c r="K22" s="136">
        <f>IFERROR(__xludf.DUMMYFUNCTION("""COMPUTED_VALUE"""),0.0122)</f>
        <v>0.0122</v>
      </c>
      <c r="L22" s="135">
        <f t="shared" si="3"/>
        <v>5222.91</v>
      </c>
      <c r="M22" s="135">
        <f t="shared" si="4"/>
        <v>63.75</v>
      </c>
      <c r="N22" s="136">
        <f t="shared" si="5"/>
        <v>0.008143832213</v>
      </c>
      <c r="O22" s="178" t="str">
        <f>IFERROR(__xludf.DUMMYFUNCTION("LET(t, A22,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"),"1.25 (1.22%)")</f>
        <v>1.25 (1.22%)</v>
      </c>
      <c r="P22" s="408"/>
      <c r="Q22" s="407"/>
      <c r="R22" s="408"/>
      <c r="S22" s="404" t="str">
        <f t="array" ref="S22">IF(ISBLANK(R22),"",COUNTIF({$A$2:$A$31; $A$35:$A$64; $A$68:$A$97; $A$101:$A$130; A$134:A$163; $A$167:$A$196; $A$200:$A$229; $A$233:$A$262; $A$266:$A$295; $A$299:$A$328; $A$332:$A$361; $A$365:$A$435; 'Super Investors Buys'!$C$7:$C$56}, R22))</f>
        <v/>
      </c>
    </row>
    <row r="23">
      <c r="A23" s="149" t="s">
        <v>338</v>
      </c>
      <c r="B23" s="128" t="str">
        <f>IFERROR(__xludf.DUMMYFUNCTION("IF(ISBLANK(A23),"""", googlefinance(A23, ""name""))"),"Nu Holdings Ltd")</f>
        <v>Nu Holdings Ltd</v>
      </c>
      <c r="C23" s="129" t="str">
        <f t="shared" si="1"/>
        <v>View</v>
      </c>
      <c r="D23" s="176">
        <v>200.0</v>
      </c>
      <c r="E23" s="132">
        <f>IFERROR(__xludf.DUMMYFUNCTION("IF(ISBLANK(A23),"""", googlefinance(A23, ""price""))"),14.82)</f>
        <v>14.82</v>
      </c>
      <c r="F23" s="213" t="s">
        <v>101</v>
      </c>
      <c r="G23" s="213" t="s">
        <v>134</v>
      </c>
      <c r="H23" s="213" t="s">
        <v>103</v>
      </c>
      <c r="I23" s="136">
        <f t="shared" si="2"/>
        <v>0.004664418681</v>
      </c>
      <c r="J23" s="140" t="str">
        <f>IFERROR(__xludf.DUMMYFUNCTION("IfError(IF(isblank(A23),"""",split(O23, ""()"")))"),"-")</f>
        <v>-</v>
      </c>
      <c r="K23" s="136"/>
      <c r="L23" s="135">
        <f t="shared" si="3"/>
        <v>2964</v>
      </c>
      <c r="M23" s="135" t="str">
        <f t="shared" si="4"/>
        <v/>
      </c>
      <c r="N23" s="136">
        <f t="shared" si="5"/>
        <v>0</v>
      </c>
      <c r="O23" s="178" t="str">
        <f>IFERROR(__xludf.DUMMYFUNCTION("LET(t, A23,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23" s="408"/>
      <c r="Q23" s="407"/>
      <c r="R23" s="408"/>
      <c r="S23" s="404" t="str">
        <f t="array" ref="S23">IF(ISBLANK(R23),"",COUNTIF({$A$2:$A$31; $A$35:$A$64; $A$68:$A$97; $A$101:$A$130; A$134:A$163; $A$167:$A$196; $A$200:$A$229; $A$233:$A$262; $A$266:$A$295; $A$299:$A$328; $A$332:$A$361; $A$365:$A$435; 'Super Investors Buys'!$C$7:$C$56}, R23))</f>
        <v/>
      </c>
    </row>
    <row r="24">
      <c r="A24" s="412" t="s">
        <v>126</v>
      </c>
      <c r="B24" s="128" t="str">
        <f>IFERROR(__xludf.DUMMYFUNCTION("IF(ISBLANK(A24),"""", googlefinance(A24, ""name""))"),"Schwab US Dividend Equity ETF")</f>
        <v>Schwab US Dividend Equity ETF</v>
      </c>
      <c r="C24" s="129" t="str">
        <f t="shared" si="1"/>
        <v>View</v>
      </c>
      <c r="D24" s="176">
        <v>87.0</v>
      </c>
      <c r="E24" s="132">
        <f>IFERROR(__xludf.DUMMYFUNCTION("IF(ISBLANK(A24),"""", googlefinance(A24, ""price""))"),31.26)</f>
        <v>31.26</v>
      </c>
      <c r="F24" s="213" t="s">
        <v>121</v>
      </c>
      <c r="G24" s="213" t="s">
        <v>134</v>
      </c>
      <c r="H24" s="402" t="s">
        <v>113</v>
      </c>
      <c r="I24" s="136">
        <f t="shared" si="2"/>
        <v>0.004279840194</v>
      </c>
      <c r="J24" s="140">
        <f>IFERROR(__xludf.DUMMYFUNCTION("IfError(IF(isblank(A24),"""",split(O24, ""()"")))"),1.05)</f>
        <v>1.05</v>
      </c>
      <c r="K24" s="136">
        <f>IFERROR(__xludf.DUMMYFUNCTION("""COMPUTED_VALUE"""),0.0335)</f>
        <v>0.0335</v>
      </c>
      <c r="L24" s="135">
        <f t="shared" si="3"/>
        <v>2719.62</v>
      </c>
      <c r="M24" s="135">
        <f t="shared" si="4"/>
        <v>91.35</v>
      </c>
      <c r="N24" s="136">
        <f t="shared" si="5"/>
        <v>0.01166963251</v>
      </c>
      <c r="O24" s="178" t="str">
        <f>IFERROR(__xludf.DUMMYFUNCTION("LET(t, A24,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"),"1.05 (3.35%)")</f>
        <v>1.05 (3.35%)</v>
      </c>
      <c r="P24" s="408"/>
      <c r="Q24" s="407"/>
      <c r="R24" s="408"/>
      <c r="S24" s="404" t="str">
        <f t="array" ref="S24">IF(ISBLANK(R24),"",COUNTIF({$A$2:$A$31; $A$35:$A$64; $A$68:$A$97; $A$101:$A$130; A$134:A$163; $A$167:$A$196; $A$200:$A$229; $A$233:$A$262; $A$266:$A$295; $A$299:$A$328; $A$332:$A$361; $A$365:$A$435; 'Super Investors Buys'!$C$7:$C$56}, R24))</f>
        <v/>
      </c>
    </row>
    <row r="25">
      <c r="A25" s="149" t="s">
        <v>107</v>
      </c>
      <c r="B25" s="128" t="str">
        <f>IFERROR(__xludf.DUMMYFUNCTION("IF(ISBLANK(A25),"""", googlefinance(A25, ""name""))"),"Target Corp")</f>
        <v>Target Corp</v>
      </c>
      <c r="C25" s="129" t="str">
        <f t="shared" si="1"/>
        <v>View</v>
      </c>
      <c r="D25" s="176">
        <v>30.0</v>
      </c>
      <c r="E25" s="132">
        <f>IFERROR(__xludf.DUMMYFUNCTION("IF(ISBLANK(A25),"""", googlefinance(A25, ""price""))"),120.36)</f>
        <v>120.36</v>
      </c>
      <c r="F25" s="213" t="s">
        <v>101</v>
      </c>
      <c r="G25" s="213" t="s">
        <v>134</v>
      </c>
      <c r="H25" s="402" t="s">
        <v>103</v>
      </c>
      <c r="I25" s="136">
        <f t="shared" si="2"/>
        <v>0.005682281705</v>
      </c>
      <c r="J25" s="140">
        <f>IFERROR(__xludf.DUMMYFUNCTION("IfError(IF(isblank(A25),"""",split(O25, ""()"")))"),4.54)</f>
        <v>4.54</v>
      </c>
      <c r="K25" s="136">
        <f>IFERROR(__xludf.DUMMYFUNCTION("""COMPUTED_VALUE"""),0.0377)</f>
        <v>0.0377</v>
      </c>
      <c r="L25" s="135">
        <f t="shared" si="3"/>
        <v>3610.8</v>
      </c>
      <c r="M25" s="135">
        <f t="shared" si="4"/>
        <v>136.2</v>
      </c>
      <c r="N25" s="136">
        <f t="shared" si="5"/>
        <v>0.017399058</v>
      </c>
      <c r="O25" s="178" t="str">
        <f>IFERROR(__xludf.DUMMYFUNCTION("LET(t, A25,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"),"4.54 (3.77%)")</f>
        <v>4.54 (3.77%)</v>
      </c>
      <c r="P25" s="408"/>
      <c r="Q25" s="407"/>
      <c r="R25" s="408"/>
      <c r="S25" s="404" t="str">
        <f t="array" ref="S25">IF(ISBLANK(R25),"",COUNTIF({$A$2:$A$31; $A$35:$A$64; $A$68:$A$97; $A$101:$A$130; A$134:A$163; $A$167:$A$196; $A$200:$A$229; $A$233:$A$262; $A$266:$A$295; $A$299:$A$328; $A$332:$A$361; $A$365:$A$435; 'Super Investors Buys'!$C$7:$C$56}, R25))</f>
        <v/>
      </c>
    </row>
    <row r="26">
      <c r="A26" s="409" t="s">
        <v>339</v>
      </c>
      <c r="B26" s="128" t="str">
        <f>IFERROR(__xludf.DUMMYFUNCTION("IF(ISBLANK(A26),"""", googlefinance(A26, ""name""))"),"Vanguard FTSE All World ex US ETF")</f>
        <v>Vanguard FTSE All World ex US ETF</v>
      </c>
      <c r="C26" s="129" t="str">
        <f t="shared" si="1"/>
        <v>View</v>
      </c>
      <c r="D26" s="176">
        <v>24.0</v>
      </c>
      <c r="E26" s="132">
        <f>IFERROR(__xludf.DUMMYFUNCTION("IF(ISBLANK(A26),"""", googlefinance(A26, ""price""))"),76.8)</f>
        <v>76.8</v>
      </c>
      <c r="F26" s="213" t="s">
        <v>121</v>
      </c>
      <c r="G26" s="213" t="s">
        <v>134</v>
      </c>
      <c r="H26" s="402" t="s">
        <v>129</v>
      </c>
      <c r="I26" s="136">
        <f t="shared" si="2"/>
        <v>0.002900626354</v>
      </c>
      <c r="J26" s="140">
        <f>IFERROR(__xludf.DUMMYFUNCTION("IfError(IF(isblank(A26),"""",split(O26, ""()"")))"),2.27)</f>
        <v>2.27</v>
      </c>
      <c r="K26" s="136">
        <f>IFERROR(__xludf.DUMMYFUNCTION("""COMPUTED_VALUE"""),0.0296)</f>
        <v>0.0296</v>
      </c>
      <c r="L26" s="135">
        <f t="shared" si="3"/>
        <v>1843.2</v>
      </c>
      <c r="M26" s="135">
        <f t="shared" si="4"/>
        <v>54.48</v>
      </c>
      <c r="N26" s="136">
        <f t="shared" si="5"/>
        <v>0.006959623199</v>
      </c>
      <c r="O26" s="178" t="str">
        <f>IFERROR(__xludf.DUMMYFUNCTION("LET(t, A26,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"),"2.27 (2.96%)")</f>
        <v>2.27 (2.96%)</v>
      </c>
      <c r="P26" s="408"/>
      <c r="Q26" s="407"/>
      <c r="R26" s="408"/>
      <c r="S26" s="404" t="str">
        <f t="array" ref="S26">IF(ISBLANK(R26),"",COUNTIF({$A$2:$A$31; $A$35:$A$64; $A$68:$A$97; $A$101:$A$130; A$134:A$163; $A$167:$A$196; $A$200:$A$229; $A$233:$A$262; $A$266:$A$295; $A$299:$A$328; $A$332:$A$361; $A$365:$A$435; 'Super Investors Buys'!$C$7:$C$56}, R26))</f>
        <v/>
      </c>
    </row>
    <row r="27">
      <c r="A27" s="149" t="s">
        <v>100</v>
      </c>
      <c r="B27" s="128" t="str">
        <f>IFERROR(__xludf.DUMMYFUNCTION("IF(ISBLANK(A27),"""", googlefinance(A27, ""name""))"),"Alphabet Inc Class A")</f>
        <v>Alphabet Inc Class A</v>
      </c>
      <c r="C27" s="129" t="str">
        <f t="shared" si="1"/>
        <v>View</v>
      </c>
      <c r="D27" s="176">
        <v>142.0</v>
      </c>
      <c r="E27" s="132">
        <f>IFERROR(__xludf.DUMMYFUNCTION("IF(ISBLANK(A27),"""", googlefinance(A27, ""price""))"),300.88)</f>
        <v>300.88</v>
      </c>
      <c r="F27" s="213" t="s">
        <v>101</v>
      </c>
      <c r="G27" s="213" t="s">
        <v>134</v>
      </c>
      <c r="H27" s="213" t="s">
        <v>103</v>
      </c>
      <c r="I27" s="136">
        <f t="shared" si="2"/>
        <v>0.06723586423</v>
      </c>
      <c r="J27" s="140">
        <f>IFERROR(__xludf.DUMMYFUNCTION("IfError(IF(isblank(A27),"""",split(O27, ""()"")))"),0.83)</f>
        <v>0.83</v>
      </c>
      <c r="K27" s="136">
        <f>IFERROR(__xludf.DUMMYFUNCTION("""COMPUTED_VALUE"""),0.0028)</f>
        <v>0.0028</v>
      </c>
      <c r="L27" s="135">
        <f t="shared" si="3"/>
        <v>42724.96</v>
      </c>
      <c r="M27" s="135">
        <f t="shared" si="4"/>
        <v>117.86</v>
      </c>
      <c r="N27" s="136">
        <f t="shared" si="5"/>
        <v>0.01505618925</v>
      </c>
      <c r="O27" s="178" t="str">
        <f>IFERROR(__xludf.DUMMYFUNCTION("LET(t, A27,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"),"0.83 (0.28%)")</f>
        <v>0.83 (0.28%)</v>
      </c>
      <c r="P27" s="408"/>
      <c r="Q27" s="407"/>
      <c r="R27" s="408"/>
      <c r="S27" s="404" t="str">
        <f t="array" ref="S27">IF(ISBLANK(R27),"",COUNTIF({$A$2:$A$31; $A$35:$A$64; $A$68:$A$97; $A$101:$A$130; A$134:A$163; $A$167:$A$196; $A$200:$A$229; $A$233:$A$262; $A$266:$A$295; $A$299:$A$328; $A$332:$A$361; $A$365:$A$435; 'Super Investors Buys'!$C$7:$C$56}, R27))</f>
        <v/>
      </c>
    </row>
    <row r="28">
      <c r="A28" s="149" t="s">
        <v>316</v>
      </c>
      <c r="B28" s="128" t="str">
        <f>IFERROR(__xludf.DUMMYFUNCTION("IF(ISBLANK(A28),"""", googlefinance(A28, ""name""))"),"Chipotle Mexican Grill Inc")</f>
        <v>Chipotle Mexican Grill Inc</v>
      </c>
      <c r="C28" s="129" t="str">
        <f t="shared" si="1"/>
        <v>View</v>
      </c>
      <c r="D28" s="176">
        <v>29.0</v>
      </c>
      <c r="E28" s="132">
        <f>IFERROR(__xludf.DUMMYFUNCTION("IF(ISBLANK(A28),"""", googlefinance(A28, ""price""))"),37.06)</f>
        <v>37.06</v>
      </c>
      <c r="F28" s="213" t="s">
        <v>101</v>
      </c>
      <c r="G28" s="213" t="s">
        <v>134</v>
      </c>
      <c r="H28" s="213" t="s">
        <v>103</v>
      </c>
      <c r="I28" s="136">
        <f t="shared" si="2"/>
        <v>0.001691308142</v>
      </c>
      <c r="J28" s="140" t="str">
        <f>IFERROR(__xludf.DUMMYFUNCTION("IfError(IF(isblank(A28),"""",split(O28, ""()"")))"),"-")</f>
        <v>-</v>
      </c>
      <c r="K28" s="136"/>
      <c r="L28" s="135">
        <f t="shared" si="3"/>
        <v>1074.74</v>
      </c>
      <c r="M28" s="135" t="str">
        <f t="shared" si="4"/>
        <v/>
      </c>
      <c r="N28" s="136">
        <f t="shared" si="5"/>
        <v>0</v>
      </c>
      <c r="O28" s="178" t="str">
        <f>IFERROR(__xludf.DUMMYFUNCTION("LET(t, A28,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28" s="408"/>
      <c r="Q28" s="407"/>
      <c r="R28" s="408"/>
      <c r="S28" s="404" t="str">
        <f t="array" ref="S28">IF(ISBLANK(R28),"",COUNTIF({$A$2:$A$31; $A$35:$A$64; $A$68:$A$97; $A$101:$A$130; A$134:A$163; $A$167:$A$196; $A$200:$A$229; $A$233:$A$262; $A$266:$A$295; $A$299:$A$328; $A$332:$A$361; $A$365:$A$435; 'Super Investors Buys'!$C$7:$C$56}, R28))</f>
        <v/>
      </c>
    </row>
    <row r="29">
      <c r="A29" s="149" t="s">
        <v>340</v>
      </c>
      <c r="B29" s="128" t="str">
        <f>IFERROR(__xludf.DUMMYFUNCTION("IF(ISBLANK(A29),"""", googlefinance(A29, ""name""))"),"Monster Beverage Corp")</f>
        <v>Monster Beverage Corp</v>
      </c>
      <c r="C29" s="129" t="str">
        <f t="shared" si="1"/>
        <v>View</v>
      </c>
      <c r="D29" s="176">
        <v>15.0</v>
      </c>
      <c r="E29" s="132">
        <f>IFERROR(__xludf.DUMMYFUNCTION("IF(ISBLANK(A29),"""", googlefinance(A29, ""price""))"),76.7)</f>
        <v>76.7</v>
      </c>
      <c r="F29" s="213" t="s">
        <v>101</v>
      </c>
      <c r="G29" s="213" t="s">
        <v>134</v>
      </c>
      <c r="H29" s="213" t="s">
        <v>103</v>
      </c>
      <c r="I29" s="136">
        <f t="shared" si="2"/>
        <v>0.001810530935</v>
      </c>
      <c r="J29" s="140" t="str">
        <f>IFERROR(__xludf.DUMMYFUNCTION("IfError(IF(isblank(A29),"""",split(O29, ""()"")))"),"-")</f>
        <v>-</v>
      </c>
      <c r="K29" s="136"/>
      <c r="L29" s="135">
        <f t="shared" si="3"/>
        <v>1150.5</v>
      </c>
      <c r="M29" s="135" t="str">
        <f t="shared" si="4"/>
        <v/>
      </c>
      <c r="N29" s="136">
        <f t="shared" si="5"/>
        <v>0</v>
      </c>
      <c r="O29" s="178" t="str">
        <f>IFERROR(__xludf.DUMMYFUNCTION("LET(t, A29,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29" s="408"/>
      <c r="Q29" s="407"/>
      <c r="R29" s="408"/>
      <c r="S29" s="404" t="str">
        <f t="array" ref="S29">IF(ISBLANK(R29),"",COUNTIF({$A$2:$A$31; $A$35:$A$64; $A$68:$A$97; $A$101:$A$130; A$134:A$163; $A$167:$A$196; $A$200:$A$229; $A$233:$A$262; $A$266:$A$295; $A$299:$A$328; $A$332:$A$361; $A$365:$A$435; 'Super Investors Buys'!$C$7:$C$56}, R29))</f>
        <v/>
      </c>
    </row>
    <row r="30">
      <c r="A30" s="149"/>
      <c r="B30" s="128"/>
      <c r="C30" s="175"/>
      <c r="D30" s="176"/>
      <c r="E30" s="132"/>
      <c r="F30" s="213"/>
      <c r="G30" s="213"/>
      <c r="H30" s="213"/>
      <c r="I30" s="136"/>
      <c r="J30" s="140"/>
      <c r="K30" s="136"/>
      <c r="L30" s="135"/>
      <c r="M30" s="135"/>
      <c r="N30" s="136"/>
      <c r="O30" s="178" t="str">
        <f>IFERROR(__xludf.DUMMYFUNCTION("LET(t, A30,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30" s="408"/>
      <c r="Q30" s="407"/>
      <c r="R30" s="408"/>
      <c r="S30" s="404" t="str">
        <f t="array" ref="S30">IF(ISBLANK(R30),"",COUNTIF({$A$2:$A$31; $A$35:$A$64; $A$68:$A$97; $A$101:$A$130; A$134:A$163; $A$167:$A$196; $A$200:$A$229; $A$233:$A$262; $A$266:$A$295; $A$299:$A$328; $A$332:$A$361; $A$365:$A$435; 'Super Investors Buys'!$C$7:$C$56}, R30))</f>
        <v/>
      </c>
    </row>
    <row r="31">
      <c r="A31" s="149"/>
      <c r="B31" s="128"/>
      <c r="C31" s="175"/>
      <c r="D31" s="176"/>
      <c r="E31" s="132"/>
      <c r="F31" s="213"/>
      <c r="G31" s="213"/>
      <c r="H31" s="213"/>
      <c r="I31" s="136"/>
      <c r="J31" s="140"/>
      <c r="K31" s="136"/>
      <c r="L31" s="135"/>
      <c r="M31" s="135"/>
      <c r="N31" s="136"/>
      <c r="O31" s="178" t="str">
        <f>IFERROR(__xludf.DUMMYFUNCTION("LET(t, A31,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31" s="408"/>
      <c r="Q31" s="407"/>
      <c r="R31" s="408"/>
      <c r="S31" s="404" t="str">
        <f t="array" ref="S31">IF(ISBLANK(R31),"",COUNTIF({$A$2:$A$31; $A$35:$A$64; $A$68:$A$97; $A$101:$A$130; A$134:A$163; $A$167:$A$196; $A$200:$A$229; $A$233:$A$262; $A$266:$A$295; $A$299:$A$328; $A$332:$A$361; $A$365:$A$435; 'Super Investors Buys'!$C$7:$C$56}, R31))</f>
        <v/>
      </c>
    </row>
    <row r="32">
      <c r="A32" s="179">
        <f>COUNTA(A2:A31)</f>
        <v>28</v>
      </c>
      <c r="B32" s="180" t="s">
        <v>341</v>
      </c>
      <c r="C32" s="413">
        <v>45352.0</v>
      </c>
      <c r="D32" s="414" t="s">
        <v>342</v>
      </c>
      <c r="E32" s="181"/>
      <c r="F32" s="179"/>
      <c r="G32" s="179"/>
      <c r="H32" s="179"/>
      <c r="I32" s="182">
        <f>SUM(I2:I31)</f>
        <v>1</v>
      </c>
      <c r="J32" s="181"/>
      <c r="K32" s="182">
        <f>M32/L32</f>
        <v>0.01231886507</v>
      </c>
      <c r="L32" s="181">
        <f t="shared" ref="L32:N32" si="6">SUM(L2:L31)</f>
        <v>635448.96</v>
      </c>
      <c r="M32" s="181">
        <f t="shared" si="6"/>
        <v>7828.01</v>
      </c>
      <c r="N32" s="182">
        <f t="shared" si="6"/>
        <v>1</v>
      </c>
      <c r="O32" s="184"/>
      <c r="P32" s="408"/>
      <c r="Q32" s="407"/>
      <c r="R32" s="408"/>
      <c r="S32" s="404" t="str">
        <f t="array" ref="S32">IF(ISBLANK(R32),"",COUNTIF({$A$2:$A$31; $A$35:$A$64; $A$68:$A$97; $A$101:$A$130; A$134:A$163; $A$167:$A$196; $A$200:$A$229; $A$233:$A$262; $A$266:$A$295; $A$299:$A$328; $A$332:$A$361; $A$365:$A$435; 'Super Investors Buys'!$C$7:$C$56}, R32))</f>
        <v/>
      </c>
    </row>
    <row r="33">
      <c r="A33" s="185"/>
      <c r="B33" s="67"/>
      <c r="C33" s="67"/>
      <c r="D33" s="67"/>
      <c r="E33" s="186"/>
      <c r="F33" s="67"/>
      <c r="G33" s="67"/>
      <c r="H33" s="67"/>
      <c r="I33" s="187"/>
      <c r="J33" s="186"/>
      <c r="K33" s="187"/>
      <c r="L33" s="186"/>
      <c r="M33" s="67"/>
      <c r="N33" s="67"/>
      <c r="O33" s="186"/>
      <c r="P33" s="408"/>
      <c r="Q33" s="407"/>
      <c r="R33" s="408"/>
      <c r="S33" s="404" t="str">
        <f t="array" ref="S33">IF(ISBLANK(R33),"",COUNTIF({$A$2:$A$31; $A$35:$A$64; $A$68:$A$97; $A$101:$A$130; A$134:A$163; $A$167:$A$196; $A$200:$A$229; $A$233:$A$262; $A$266:$A$295; $A$299:$A$328; $A$332:$A$361; $A$365:$A$435; 'Super Investors Buys'!$C$7:$C$56}, R33))</f>
        <v/>
      </c>
    </row>
    <row r="34" ht="37.5" customHeight="1">
      <c r="A34" s="116" t="s">
        <v>343</v>
      </c>
      <c r="B34" s="117" t="s">
        <v>72</v>
      </c>
      <c r="C34" s="117" t="s">
        <v>73</v>
      </c>
      <c r="D34" s="117" t="s">
        <v>74</v>
      </c>
      <c r="E34" s="118" t="s">
        <v>76</v>
      </c>
      <c r="F34" s="117" t="s">
        <v>85</v>
      </c>
      <c r="G34" s="117" t="s">
        <v>86</v>
      </c>
      <c r="H34" s="117" t="s">
        <v>87</v>
      </c>
      <c r="I34" s="121" t="s">
        <v>88</v>
      </c>
      <c r="J34" s="118" t="s">
        <v>89</v>
      </c>
      <c r="K34" s="121" t="s">
        <v>12</v>
      </c>
      <c r="L34" s="118" t="s">
        <v>9</v>
      </c>
      <c r="M34" s="117" t="s">
        <v>91</v>
      </c>
      <c r="N34" s="117" t="s">
        <v>92</v>
      </c>
      <c r="O34" s="118" t="s">
        <v>99</v>
      </c>
      <c r="P34" s="408"/>
      <c r="Q34" s="407"/>
      <c r="R34" s="408"/>
      <c r="S34" s="404" t="str">
        <f t="array" ref="S34">IF(ISBLANK(R34),"",COUNTIF({$A$2:$A$31; $A$35:$A$64; $A$68:$A$97; $A$101:$A$130; A$134:A$163; $A$167:$A$196; $A$200:$A$229; $A$233:$A$262; $A$266:$A$295; $A$299:$A$328; $A$332:$A$361; $A$365:$A$435; 'Super Investors Buys'!$C$7:$C$56}, R34))</f>
        <v/>
      </c>
      <c r="X34" s="1"/>
    </row>
    <row r="35">
      <c r="A35" s="127" t="s">
        <v>100</v>
      </c>
      <c r="B35" s="128" t="str">
        <f>IFERROR(__xludf.DUMMYFUNCTION("IF(ISBLANK(A35),"""", googlefinance(A35, ""name""))"),"Alphabet Inc Class A")</f>
        <v>Alphabet Inc Class A</v>
      </c>
      <c r="C35" s="129" t="str">
        <f t="shared" ref="C35:C61" si="7">IF(ISBLANK(A35),"", HYPERLINK("https://seekingalpha.com/symbol/" &amp; A35,"View"))</f>
        <v>View</v>
      </c>
      <c r="D35" s="415">
        <v>51.0</v>
      </c>
      <c r="E35" s="132">
        <f>IFERROR(__xludf.DUMMYFUNCTION("IF(ISBLANK(A35),"""", googlefinance(A35, ""price""))"),300.88)</f>
        <v>300.88</v>
      </c>
      <c r="F35" s="213" t="s">
        <v>101</v>
      </c>
      <c r="G35" s="213" t="s">
        <v>134</v>
      </c>
      <c r="H35" s="402" t="s">
        <v>103</v>
      </c>
      <c r="I35" s="136">
        <f t="shared" ref="I35:I64" si="8">if(isblank(A35),"",L35/$L$65)</f>
        <v>0.1489407941</v>
      </c>
      <c r="J35" s="140">
        <f>IFERROR(__xludf.DUMMYFUNCTION("IfError(IF(isblank(A35),"""",split(O35, ""()"")))"),0.83)</f>
        <v>0.83</v>
      </c>
      <c r="K35" s="136">
        <f>IFERROR(__xludf.DUMMYFUNCTION("""COMPUTED_VALUE"""),0.0028)</f>
        <v>0.0028</v>
      </c>
      <c r="L35" s="135">
        <f t="shared" ref="L35:L61" si="9">IF(ISBLANK(A35),"",D35*E35)</f>
        <v>15344.88</v>
      </c>
      <c r="M35" s="135">
        <f t="shared" ref="M35:M61" si="10">IFERROR(IF(ISBLANK(A35),"",D35*J35),"")</f>
        <v>42.33</v>
      </c>
      <c r="N35" s="136">
        <f t="shared" ref="N35:N64" si="11">if(isblank(A35),"",M35/$M$65)</f>
        <v>0.01784712941</v>
      </c>
      <c r="O35" s="178" t="str">
        <f>IFERROR(__xludf.DUMMYFUNCTION("LET(t, A35,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"),"0.83 (0.28%)")</f>
        <v>0.83 (0.28%)</v>
      </c>
      <c r="P35" s="408"/>
      <c r="Q35" s="407"/>
      <c r="R35" s="408"/>
      <c r="S35" s="404" t="str">
        <f t="array" ref="S35">IF(ISBLANK(R35),"",COUNTIF({$A$2:$A$31; $A$35:$A$64; $A$68:$A$97; $A$101:$A$130; A$134:A$163; $A$167:$A$196; $A$200:$A$229; $A$233:$A$262; $A$266:$A$295; $A$299:$A$328; $A$332:$A$361; $A$365:$A$435; 'Super Investors Buys'!$C$7:$C$56}, R35))</f>
        <v/>
      </c>
    </row>
    <row r="36">
      <c r="A36" s="127" t="s">
        <v>344</v>
      </c>
      <c r="B36" s="128" t="str">
        <f>IFERROR(__xludf.DUMMYFUNCTION("IF(ISBLANK(A36),"""", googlefinance(A36, ""name""))"),"Meta Platforms Inc")</f>
        <v>Meta Platforms Inc</v>
      </c>
      <c r="C36" s="129" t="str">
        <f t="shared" si="7"/>
        <v>View</v>
      </c>
      <c r="D36" s="415">
        <v>1.5</v>
      </c>
      <c r="E36" s="132">
        <f>IFERROR(__xludf.DUMMYFUNCTION("IF(ISBLANK(A36),"""", googlefinance(A36, ""price""))"),660.57)</f>
        <v>660.57</v>
      </c>
      <c r="F36" s="213" t="s">
        <v>101</v>
      </c>
      <c r="G36" s="213" t="s">
        <v>134</v>
      </c>
      <c r="H36" s="402" t="s">
        <v>103</v>
      </c>
      <c r="I36" s="136">
        <f t="shared" si="8"/>
        <v>0.009617457454</v>
      </c>
      <c r="J36" s="140">
        <f>IFERROR(__xludf.DUMMYFUNCTION("IfError(IF(isblank(A36),"""",split(O36, ""()"")))"),2.1)</f>
        <v>2.1</v>
      </c>
      <c r="K36" s="136">
        <f>IFERROR(__xludf.DUMMYFUNCTION("""COMPUTED_VALUE"""),0.0032)</f>
        <v>0.0032</v>
      </c>
      <c r="L36" s="135">
        <f t="shared" si="9"/>
        <v>990.855</v>
      </c>
      <c r="M36" s="135">
        <f t="shared" si="10"/>
        <v>3.15</v>
      </c>
      <c r="N36" s="136">
        <f t="shared" si="11"/>
        <v>0.001328099637</v>
      </c>
      <c r="O36" s="178" t="str">
        <f>IFERROR(__xludf.DUMMYFUNCTION("LET(t, A36,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"),"2.10 (0.32%)")</f>
        <v>2.10 (0.32%)</v>
      </c>
      <c r="P36" s="408"/>
      <c r="Q36" s="407"/>
      <c r="R36" s="408"/>
      <c r="S36" s="404" t="str">
        <f t="array" ref="S36">IF(ISBLANK(R36),"",COUNTIF({$A$2:$A$31; $A$35:$A$64; $A$68:$A$97; $A$101:$A$130; A$134:A$163; $A$167:$A$196; $A$200:$A$229; $A$233:$A$262; $A$266:$A$295; $A$299:$A$328; $A$332:$A$361; $A$365:$A$435; 'Super Investors Buys'!$C$7:$C$56}, R36))</f>
        <v/>
      </c>
    </row>
    <row r="37">
      <c r="A37" s="149" t="s">
        <v>345</v>
      </c>
      <c r="B37" s="128" t="str">
        <f>IFERROR(__xludf.DUMMYFUNCTION("IF(ISBLANK(A37),"""", googlefinance(A37, ""name""))"),"Amazon.com Inc")</f>
        <v>Amazon.com Inc</v>
      </c>
      <c r="C37" s="129" t="str">
        <f t="shared" si="7"/>
        <v>View</v>
      </c>
      <c r="D37" s="415">
        <v>26.0</v>
      </c>
      <c r="E37" s="132">
        <f>IFERROR(__xludf.DUMMYFUNCTION("IF(ISBLANK(A37),"""", googlefinance(A37, ""price""))"),218.94)</f>
        <v>218.94</v>
      </c>
      <c r="F37" s="213" t="s">
        <v>101</v>
      </c>
      <c r="G37" s="213" t="s">
        <v>134</v>
      </c>
      <c r="H37" s="402" t="s">
        <v>103</v>
      </c>
      <c r="I37" s="136">
        <f t="shared" si="8"/>
        <v>0.05525207978</v>
      </c>
      <c r="J37" s="140" t="str">
        <f>IFERROR(__xludf.DUMMYFUNCTION("IfError(IF(isblank(A37),"""",split(O37, ""()"")))"),"-")</f>
        <v>-</v>
      </c>
      <c r="K37" s="136"/>
      <c r="L37" s="135">
        <f t="shared" si="9"/>
        <v>5692.44</v>
      </c>
      <c r="M37" s="135" t="str">
        <f t="shared" si="10"/>
        <v/>
      </c>
      <c r="N37" s="136">
        <f t="shared" si="11"/>
        <v>0</v>
      </c>
      <c r="O37" s="178" t="str">
        <f>IFERROR(__xludf.DUMMYFUNCTION("LET(t, A37,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37" s="408"/>
      <c r="Q37" s="407"/>
      <c r="R37" s="408"/>
      <c r="S37" s="404" t="str">
        <f t="array" ref="S37">IF(ISBLANK(R37),"",COUNTIF({$A$2:$A$31; $A$35:$A$64; $A$68:$A$97; $A$101:$A$130; A$134:A$163; $A$167:$A$196; $A$200:$A$229; $A$233:$A$262; $A$266:$A$295; $A$299:$A$328; $A$332:$A$361; $A$365:$A$435; 'Super Investors Buys'!$C$7:$C$56}, R37))</f>
        <v/>
      </c>
    </row>
    <row r="38">
      <c r="A38" s="149" t="s">
        <v>346</v>
      </c>
      <c r="B38" s="128" t="str">
        <f>IFERROR(__xludf.DUMMYFUNCTION("IF(ISBLANK(A38),"""", googlefinance(A38, ""name""))"),"iShares 20+ Year Treasury Bond ETF")</f>
        <v>iShares 20+ Year Treasury Bond ETF</v>
      </c>
      <c r="C38" s="129" t="str">
        <f t="shared" si="7"/>
        <v>View</v>
      </c>
      <c r="D38" s="415">
        <v>80.0</v>
      </c>
      <c r="E38" s="132">
        <f>IFERROR(__xludf.DUMMYFUNCTION("IF(ISBLANK(A38),"""", googlefinance(A38, ""price""))"),88.79)</f>
        <v>88.79</v>
      </c>
      <c r="F38" s="213" t="s">
        <v>131</v>
      </c>
      <c r="G38" s="213" t="s">
        <v>134</v>
      </c>
      <c r="H38" s="213" t="s">
        <v>132</v>
      </c>
      <c r="I38" s="136">
        <f t="shared" si="8"/>
        <v>0.06894522789</v>
      </c>
      <c r="J38" s="140">
        <f>IFERROR(__xludf.DUMMYFUNCTION("IfError(IF(isblank(A38),"""",split(O38, ""()"")))"),3.89)</f>
        <v>3.89</v>
      </c>
      <c r="K38" s="136">
        <f>IFERROR(__xludf.DUMMYFUNCTION("""COMPUTED_VALUE"""),0.0438)</f>
        <v>0.0438</v>
      </c>
      <c r="L38" s="135">
        <f t="shared" si="9"/>
        <v>7103.2</v>
      </c>
      <c r="M38" s="135">
        <f t="shared" si="10"/>
        <v>311.2</v>
      </c>
      <c r="N38" s="136">
        <f t="shared" si="11"/>
        <v>0.1312078118</v>
      </c>
      <c r="O38" s="178" t="str">
        <f>IFERROR(__xludf.DUMMYFUNCTION("LET(t, A38,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"),"3.89 (4.38%)")</f>
        <v>3.89 (4.38%)</v>
      </c>
      <c r="P38" s="408"/>
      <c r="Q38" s="407"/>
      <c r="R38" s="408"/>
      <c r="S38" s="404" t="str">
        <f t="array" ref="S38">IF(ISBLANK(R38),"",COUNTIF({$A$2:$A$31; $A$35:$A$64; $A$68:$A$97; $A$101:$A$130; A$134:A$163; $A$167:$A$196; $A$200:$A$229; $A$233:$A$262; $A$266:$A$295; $A$299:$A$328; $A$332:$A$361; $A$365:$A$435; 'Super Investors Buys'!$C$7:$C$56}, R38))</f>
        <v/>
      </c>
    </row>
    <row r="39">
      <c r="A39" s="409" t="s">
        <v>336</v>
      </c>
      <c r="B39" s="128" t="str">
        <f>IFERROR(__xludf.DUMMYFUNCTION("IF(ISBLANK(A39),"""", googlefinance(A39, ""name""))"),"AT&amp;T Inc")</f>
        <v>AT&amp;T Inc</v>
      </c>
      <c r="C39" s="129" t="str">
        <f t="shared" si="7"/>
        <v>View</v>
      </c>
      <c r="D39" s="415">
        <v>200.0</v>
      </c>
      <c r="E39" s="132">
        <f>IFERROR(__xludf.DUMMYFUNCTION("IF(ISBLANK(A39),"""", googlefinance(A39, ""price""))"),28.97)</f>
        <v>28.97</v>
      </c>
      <c r="F39" s="213" t="s">
        <v>101</v>
      </c>
      <c r="G39" s="213" t="s">
        <v>134</v>
      </c>
      <c r="H39" s="402" t="s">
        <v>113</v>
      </c>
      <c r="I39" s="136">
        <f t="shared" si="8"/>
        <v>0.05623784357</v>
      </c>
      <c r="J39" s="140">
        <f>IFERROR(__xludf.DUMMYFUNCTION("IfError(IF(isblank(A39),"""",split(O39, ""()"")))"),1.11)</f>
        <v>1.11</v>
      </c>
      <c r="K39" s="136">
        <f>IFERROR(__xludf.DUMMYFUNCTION("""COMPUTED_VALUE"""),0.0384)</f>
        <v>0.0384</v>
      </c>
      <c r="L39" s="135">
        <f t="shared" si="9"/>
        <v>5794</v>
      </c>
      <c r="M39" s="135">
        <f t="shared" si="10"/>
        <v>222</v>
      </c>
      <c r="N39" s="136">
        <f t="shared" si="11"/>
        <v>0.09359940299</v>
      </c>
      <c r="O39" s="178" t="str">
        <f>IFERROR(__xludf.DUMMYFUNCTION("LET(t, A39,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"),"1.11 (3.84%)")</f>
        <v>1.11 (3.84%)</v>
      </c>
      <c r="P39" s="408"/>
      <c r="Q39" s="407"/>
      <c r="R39" s="408"/>
      <c r="S39" s="404" t="str">
        <f t="array" ref="S39">IF(ISBLANK(R39),"",COUNTIF({$A$2:$A$31; $A$35:$A$64; $A$68:$A$97; $A$101:$A$130; A$134:A$163; $A$167:$A$196; $A$200:$A$229; $A$233:$A$262; $A$266:$A$295; $A$299:$A$328; $A$332:$A$361; $A$365:$A$435; 'Super Investors Buys'!$C$7:$C$56}, R39))</f>
        <v/>
      </c>
    </row>
    <row r="40">
      <c r="A40" s="149" t="s">
        <v>115</v>
      </c>
      <c r="B40" s="128" t="str">
        <f>IFERROR(__xludf.DUMMYFUNCTION("IF(ISBLANK(A40),"""", googlefinance(A40, ""name""))"),"Realty Income Corp")</f>
        <v>Realty Income Corp</v>
      </c>
      <c r="C40" s="129" t="str">
        <f t="shared" si="7"/>
        <v>View</v>
      </c>
      <c r="D40" s="415">
        <v>125.0</v>
      </c>
      <c r="E40" s="132">
        <f>IFERROR(__xludf.DUMMYFUNCTION("IF(ISBLANK(A40),"""", googlefinance(A40, ""price""))"),64.8)</f>
        <v>64.8</v>
      </c>
      <c r="F40" s="213" t="s">
        <v>101</v>
      </c>
      <c r="G40" s="213" t="s">
        <v>134</v>
      </c>
      <c r="H40" s="402" t="s">
        <v>113</v>
      </c>
      <c r="I40" s="136">
        <f t="shared" si="8"/>
        <v>0.07862038883</v>
      </c>
      <c r="J40" s="140">
        <f>IFERROR(__xludf.DUMMYFUNCTION("IfError(IF(isblank(A40),"""",split(O40, ""()"")))"),3.5)</f>
        <v>3.5</v>
      </c>
      <c r="K40" s="136">
        <f>IFERROR(__xludf.DUMMYFUNCTION("""COMPUTED_VALUE"""),0.054)</f>
        <v>0.054</v>
      </c>
      <c r="L40" s="135">
        <f t="shared" si="9"/>
        <v>8100</v>
      </c>
      <c r="M40" s="135">
        <f t="shared" si="10"/>
        <v>437.5</v>
      </c>
      <c r="N40" s="136">
        <f t="shared" si="11"/>
        <v>0.1844582829</v>
      </c>
      <c r="O40" s="178" t="str">
        <f>IFERROR(__xludf.DUMMYFUNCTION("LET(t, A40,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"),"3.50 (5.40%)")</f>
        <v>3.50 (5.40%)</v>
      </c>
      <c r="P40" s="408"/>
      <c r="Q40" s="407"/>
      <c r="R40" s="408"/>
      <c r="S40" s="404" t="str">
        <f t="array" ref="S40">IF(ISBLANK(R40),"",COUNTIF({$A$2:$A$31; $A$35:$A$64; $A$68:$A$97; $A$101:$A$130; A$134:A$163; $A$167:$A$196; $A$200:$A$229; $A$233:$A$262; $A$266:$A$295; $A$299:$A$328; $A$332:$A$361; $A$365:$A$435; 'Super Investors Buys'!$C$7:$C$56}, R40))</f>
        <v/>
      </c>
    </row>
    <row r="41">
      <c r="A41" s="149" t="s">
        <v>347</v>
      </c>
      <c r="B41" s="128" t="str">
        <f>IFERROR(__xludf.DUMMYFUNCTION("IF(ISBLANK(A41),"""", googlefinance(A41, ""name""))"),"Tyson Foods Inc")</f>
        <v>Tyson Foods Inc</v>
      </c>
      <c r="C41" s="129" t="str">
        <f t="shared" si="7"/>
        <v>View</v>
      </c>
      <c r="D41" s="415">
        <v>90.0</v>
      </c>
      <c r="E41" s="132">
        <f>IFERROR(__xludf.DUMMYFUNCTION("IF(ISBLANK(A41),"""", googlefinance(A41, ""price""))"),62.06)</f>
        <v>62.06</v>
      </c>
      <c r="F41" s="213" t="s">
        <v>101</v>
      </c>
      <c r="G41" s="213" t="s">
        <v>134</v>
      </c>
      <c r="H41" s="402" t="s">
        <v>113</v>
      </c>
      <c r="I41" s="136">
        <f t="shared" si="8"/>
        <v>0.0542131259</v>
      </c>
      <c r="J41" s="140">
        <f>IFERROR(__xludf.DUMMYFUNCTION("IfError(IF(isblank(A41),"""",split(O41, ""()"")))"),2.02)</f>
        <v>2.02</v>
      </c>
      <c r="K41" s="136">
        <f>IFERROR(__xludf.DUMMYFUNCTION("""COMPUTED_VALUE"""),0.0325)</f>
        <v>0.0325</v>
      </c>
      <c r="L41" s="135">
        <f t="shared" si="9"/>
        <v>5585.4</v>
      </c>
      <c r="M41" s="135">
        <f t="shared" si="10"/>
        <v>181.8</v>
      </c>
      <c r="N41" s="136">
        <f t="shared" si="11"/>
        <v>0.07665032191</v>
      </c>
      <c r="O41" s="178" t="str">
        <f>IFERROR(__xludf.DUMMYFUNCTION("LET(t, A41,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"),"2.02 (3.25%)")</f>
        <v>2.02 (3.25%)</v>
      </c>
      <c r="P41" s="408"/>
      <c r="Q41" s="407"/>
      <c r="R41" s="408"/>
      <c r="S41" s="404" t="str">
        <f t="array" ref="S41">IF(ISBLANK(R41),"",COUNTIF({$A$2:$A$31; $A$35:$A$64; $A$68:$A$97; $A$101:$A$130; A$134:A$163; $A$167:$A$196; $A$200:$A$229; $A$233:$A$262; $A$266:$A$295; $A$299:$A$328; $A$332:$A$361; $A$365:$A$435; 'Super Investors Buys'!$C$7:$C$56}, R41))</f>
        <v/>
      </c>
    </row>
    <row r="42">
      <c r="A42" s="149" t="s">
        <v>107</v>
      </c>
      <c r="B42" s="128" t="str">
        <f>IFERROR(__xludf.DUMMYFUNCTION("IF(ISBLANK(A42),"""", googlefinance(A42, ""name""))"),"Target Corp")</f>
        <v>Target Corp</v>
      </c>
      <c r="C42" s="129" t="str">
        <f t="shared" si="7"/>
        <v>View</v>
      </c>
      <c r="D42" s="415">
        <v>50.5</v>
      </c>
      <c r="E42" s="132">
        <f>IFERROR(__xludf.DUMMYFUNCTION("IF(ISBLANK(A42),"""", googlefinance(A42, ""price""))"),120.36)</f>
        <v>120.36</v>
      </c>
      <c r="F42" s="213" t="s">
        <v>101</v>
      </c>
      <c r="G42" s="213" t="s">
        <v>134</v>
      </c>
      <c r="H42" s="402" t="s">
        <v>103</v>
      </c>
      <c r="I42" s="136">
        <f t="shared" si="8"/>
        <v>0.0589961574</v>
      </c>
      <c r="J42" s="140">
        <f>IFERROR(__xludf.DUMMYFUNCTION("IfError(IF(isblank(A42),"""",split(O42, ""()"")))"),4.54)</f>
        <v>4.54</v>
      </c>
      <c r="K42" s="136">
        <f>IFERROR(__xludf.DUMMYFUNCTION("""COMPUTED_VALUE"""),0.0377)</f>
        <v>0.0377</v>
      </c>
      <c r="L42" s="135">
        <f t="shared" si="9"/>
        <v>6078.18</v>
      </c>
      <c r="M42" s="135">
        <f t="shared" si="10"/>
        <v>229.27</v>
      </c>
      <c r="N42" s="136">
        <f t="shared" si="11"/>
        <v>0.09666457263</v>
      </c>
      <c r="O42" s="178" t="str">
        <f>IFERROR(__xludf.DUMMYFUNCTION("LET(t, A42,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"),"4.54 (3.77%)")</f>
        <v>4.54 (3.77%)</v>
      </c>
      <c r="P42" s="408"/>
      <c r="Q42" s="407"/>
      <c r="R42" s="408"/>
      <c r="S42" s="404" t="str">
        <f t="array" ref="S42">IF(ISBLANK(R42),"",COUNTIF({$A$2:$A$31; $A$35:$A$64; $A$68:$A$97; $A$101:$A$130; A$134:A$163; $A$167:$A$196; $A$200:$A$229; $A$233:$A$262; $A$266:$A$295; $A$299:$A$328; $A$332:$A$361; $A$365:$A$435; 'Super Investors Buys'!$C$7:$C$56}, R42))</f>
        <v/>
      </c>
    </row>
    <row r="43">
      <c r="A43" s="149" t="s">
        <v>348</v>
      </c>
      <c r="B43" s="128" t="str">
        <f>IFERROR(__xludf.DUMMYFUNCTION("IF(ISBLANK(A43),"""", googlefinance(A43, ""name""))"),"Intel Corp")</f>
        <v>Intel Corp</v>
      </c>
      <c r="C43" s="129" t="str">
        <f t="shared" si="7"/>
        <v>View</v>
      </c>
      <c r="D43" s="415">
        <v>100.0</v>
      </c>
      <c r="E43" s="132">
        <f>IFERROR(__xludf.DUMMYFUNCTION("IF(ISBLANK(A43),"""", googlefinance(A43, ""price""))"),45.95)</f>
        <v>45.95</v>
      </c>
      <c r="F43" s="213" t="s">
        <v>101</v>
      </c>
      <c r="G43" s="213" t="s">
        <v>134</v>
      </c>
      <c r="H43" s="402" t="s">
        <v>103</v>
      </c>
      <c r="I43" s="136">
        <f t="shared" si="8"/>
        <v>0.04460008477</v>
      </c>
      <c r="J43" s="140" t="str">
        <f>IFERROR(__xludf.DUMMYFUNCTION("IfError(IF(isblank(A43),"""",split(O43, ""()"")))"),"-")</f>
        <v>-</v>
      </c>
      <c r="K43" s="136"/>
      <c r="L43" s="135">
        <f t="shared" si="9"/>
        <v>4595</v>
      </c>
      <c r="M43" s="135" t="str">
        <f t="shared" si="10"/>
        <v/>
      </c>
      <c r="N43" s="136">
        <f t="shared" si="11"/>
        <v>0</v>
      </c>
      <c r="O43" s="178" t="str">
        <f>IFERROR(__xludf.DUMMYFUNCTION("LET(t, A43,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43" s="408"/>
      <c r="Q43" s="407"/>
      <c r="R43" s="408"/>
      <c r="S43" s="404" t="str">
        <f t="array" ref="S43">IF(ISBLANK(R43),"",COUNTIF({$A$2:$A$31; $A$35:$A$64; $A$68:$A$97; $A$101:$A$130; A$134:A$163; $A$167:$A$196; $A$200:$A$229; $A$233:$A$262; $A$266:$A$295; $A$299:$A$328; $A$332:$A$361; $A$365:$A$435; 'Super Investors Buys'!$C$7:$C$56}, R43))</f>
        <v/>
      </c>
    </row>
    <row r="44">
      <c r="A44" s="149" t="s">
        <v>349</v>
      </c>
      <c r="B44" s="128" t="str">
        <f>IFERROR(__xludf.DUMMYFUNCTION("IF(ISBLANK(A44),"""", googlefinance(A44, ""name""))"),"Boeing Co")</f>
        <v>Boeing Co</v>
      </c>
      <c r="C44" s="129" t="str">
        <f t="shared" si="7"/>
        <v>View</v>
      </c>
      <c r="D44" s="415">
        <v>10.0</v>
      </c>
      <c r="E44" s="132">
        <f>IFERROR(__xludf.DUMMYFUNCTION("IF(ISBLANK(A44),"""", googlefinance(A44, ""price""))"),222.06)</f>
        <v>222.06</v>
      </c>
      <c r="F44" s="213" t="s">
        <v>101</v>
      </c>
      <c r="G44" s="213" t="s">
        <v>134</v>
      </c>
      <c r="H44" s="402" t="s">
        <v>103</v>
      </c>
      <c r="I44" s="136">
        <f t="shared" si="8"/>
        <v>0.021553634</v>
      </c>
      <c r="J44" s="140" t="str">
        <f>IFERROR(__xludf.DUMMYFUNCTION("IfError(IF(isblank(A44),"""",split(O44, ""()"")))"),"-")</f>
        <v>-</v>
      </c>
      <c r="K44" s="136"/>
      <c r="L44" s="135">
        <f t="shared" si="9"/>
        <v>2220.6</v>
      </c>
      <c r="M44" s="135" t="str">
        <f t="shared" si="10"/>
        <v/>
      </c>
      <c r="N44" s="136">
        <f t="shared" si="11"/>
        <v>0</v>
      </c>
      <c r="O44" s="178" t="str">
        <f>IFERROR(__xludf.DUMMYFUNCTION("LET(t, A44,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44" s="408"/>
      <c r="Q44" s="407"/>
      <c r="R44" s="408"/>
      <c r="S44" s="404" t="str">
        <f t="array" ref="S44">IF(ISBLANK(R44),"",COUNTIF({$A$2:$A$31; $A$35:$A$64; $A$68:$A$97; $A$101:$A$130; A$134:A$163; $A$167:$A$196; $A$200:$A$229; $A$233:$A$262; $A$266:$A$295; $A$299:$A$328; $A$332:$A$361; $A$365:$A$435; 'Super Investors Buys'!$C$7:$C$56}, R44))</f>
        <v/>
      </c>
    </row>
    <row r="45">
      <c r="A45" s="409" t="s">
        <v>105</v>
      </c>
      <c r="B45" s="128" t="str">
        <f>IFERROR(__xludf.DUMMYFUNCTION("IF(ISBLANK(A45),"""", googlefinance(A45, ""name""))"),"Walt Disney Co")</f>
        <v>Walt Disney Co</v>
      </c>
      <c r="C45" s="129" t="str">
        <f t="shared" si="7"/>
        <v>View</v>
      </c>
      <c r="D45" s="415">
        <v>20.0</v>
      </c>
      <c r="E45" s="132">
        <f>IFERROR(__xludf.DUMMYFUNCTION("IF(ISBLANK(A45),"""", googlefinance(A45, ""price""))"),102.41)</f>
        <v>102.41</v>
      </c>
      <c r="F45" s="213" t="s">
        <v>101</v>
      </c>
      <c r="G45" s="213" t="s">
        <v>134</v>
      </c>
      <c r="H45" s="402" t="s">
        <v>103</v>
      </c>
      <c r="I45" s="136">
        <f t="shared" si="8"/>
        <v>0.01988028153</v>
      </c>
      <c r="J45" s="140">
        <f>IFERROR(__xludf.DUMMYFUNCTION("IfError(IF(isblank(A45),"""",split(O45, ""()"")))"),1.25)</f>
        <v>1.25</v>
      </c>
      <c r="K45" s="136">
        <f>IFERROR(__xludf.DUMMYFUNCTION("""COMPUTED_VALUE"""),0.0122)</f>
        <v>0.0122</v>
      </c>
      <c r="L45" s="135">
        <f t="shared" si="9"/>
        <v>2048.2</v>
      </c>
      <c r="M45" s="135">
        <f t="shared" si="10"/>
        <v>25</v>
      </c>
      <c r="N45" s="136">
        <f t="shared" si="11"/>
        <v>0.01054047331</v>
      </c>
      <c r="O45" s="178" t="str">
        <f>IFERROR(__xludf.DUMMYFUNCTION("LET(t, A45,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"),"1.25 (1.22%)")</f>
        <v>1.25 (1.22%)</v>
      </c>
      <c r="P45" s="408"/>
      <c r="Q45" s="407"/>
      <c r="R45" s="408"/>
      <c r="S45" s="404" t="str">
        <f t="array" ref="S45">IF(ISBLANK(R45),"",COUNTIF({$A$2:$A$31; $A$35:$A$64; $A$68:$A$97; $A$101:$A$130; A$134:A$163; $A$167:$A$196; $A$200:$A$229; $A$233:$A$262; $A$266:$A$295; $A$299:$A$328; $A$332:$A$361; $A$365:$A$435; 'Super Investors Buys'!$C$7:$C$56}, R45))</f>
        <v/>
      </c>
    </row>
    <row r="46">
      <c r="A46" s="149" t="s">
        <v>350</v>
      </c>
      <c r="B46" s="128" t="str">
        <f>IFERROR(__xludf.DUMMYFUNCTION("IF(ISBLANK(A46),"""", googlefinance(A46, ""name""))"),"Nike Inc")</f>
        <v>Nike Inc</v>
      </c>
      <c r="C46" s="129" t="str">
        <f t="shared" si="7"/>
        <v>View</v>
      </c>
      <c r="D46" s="415">
        <v>86.0</v>
      </c>
      <c r="E46" s="132">
        <f>IFERROR(__xludf.DUMMYFUNCTION("IF(ISBLANK(A46),"""", googlefinance(A46, ""price""))"),58.02)</f>
        <v>58.02</v>
      </c>
      <c r="F46" s="213" t="s">
        <v>101</v>
      </c>
      <c r="G46" s="213" t="s">
        <v>134</v>
      </c>
      <c r="H46" s="402" t="s">
        <v>103</v>
      </c>
      <c r="I46" s="136">
        <f t="shared" si="8"/>
        <v>0.04843132427</v>
      </c>
      <c r="J46" s="140">
        <f>IFERROR(__xludf.DUMMYFUNCTION("IfError(IF(isblank(A46),"""",split(O46, ""()"")))"),1.62)</f>
        <v>1.62</v>
      </c>
      <c r="K46" s="136">
        <f>IFERROR(__xludf.DUMMYFUNCTION("""COMPUTED_VALUE"""),0.0279)</f>
        <v>0.0279</v>
      </c>
      <c r="L46" s="135">
        <f t="shared" si="9"/>
        <v>4989.72</v>
      </c>
      <c r="M46" s="135">
        <f t="shared" si="10"/>
        <v>139.32</v>
      </c>
      <c r="N46" s="136">
        <f t="shared" si="11"/>
        <v>0.05873994966</v>
      </c>
      <c r="O46" s="178" t="str">
        <f>IFERROR(__xludf.DUMMYFUNCTION("LET(t, A46,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"),"1.62 (2.79%)")</f>
        <v>1.62 (2.79%)</v>
      </c>
      <c r="P46" s="408"/>
      <c r="Q46" s="407"/>
      <c r="R46" s="408"/>
      <c r="S46" s="404" t="str">
        <f t="array" ref="S46">IF(ISBLANK(R46),"",COUNTIF({$A$2:$A$31; $A$35:$A$64; $A$68:$A$97; $A$101:$A$130; A$134:A$163; $A$167:$A$196; $A$200:$A$229; $A$233:$A$262; $A$266:$A$295; $A$299:$A$328; $A$332:$A$361; $A$365:$A$435; 'Super Investors Buys'!$C$7:$C$56}, R46))</f>
        <v/>
      </c>
    </row>
    <row r="47">
      <c r="A47" s="149" t="s">
        <v>351</v>
      </c>
      <c r="B47" s="128" t="str">
        <f>IFERROR(__xludf.DUMMYFUNCTION("IF(ISBLANK(A47),"""", googlefinance(A47, ""name""))"),"Pfizer Inc")</f>
        <v>Pfizer Inc</v>
      </c>
      <c r="C47" s="129" t="str">
        <f t="shared" si="7"/>
        <v>View</v>
      </c>
      <c r="D47" s="415">
        <v>150.0</v>
      </c>
      <c r="E47" s="132">
        <f>IFERROR(__xludf.DUMMYFUNCTION("IF(ISBLANK(A47),"""", googlefinance(A47, ""price""))"),26.61)</f>
        <v>26.61</v>
      </c>
      <c r="F47" s="213" t="s">
        <v>101</v>
      </c>
      <c r="G47" s="213" t="s">
        <v>134</v>
      </c>
      <c r="H47" s="402" t="s">
        <v>113</v>
      </c>
      <c r="I47" s="136">
        <f t="shared" si="8"/>
        <v>0.0387423805</v>
      </c>
      <c r="J47" s="140">
        <f>IFERROR(__xludf.DUMMYFUNCTION("IfError(IF(isblank(A47),"""",split(O47, ""()"")))"),1.72)</f>
        <v>1.72</v>
      </c>
      <c r="K47" s="136">
        <f>IFERROR(__xludf.DUMMYFUNCTION("""COMPUTED_VALUE"""),0.0646)</f>
        <v>0.0646</v>
      </c>
      <c r="L47" s="135">
        <f t="shared" si="9"/>
        <v>3991.5</v>
      </c>
      <c r="M47" s="135">
        <f t="shared" si="10"/>
        <v>258</v>
      </c>
      <c r="N47" s="136">
        <f t="shared" si="11"/>
        <v>0.1087776846</v>
      </c>
      <c r="O47" s="178" t="str">
        <f>IFERROR(__xludf.DUMMYFUNCTION("LET(t, A47,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"),"1.72 (6.46%)")</f>
        <v>1.72 (6.46%)</v>
      </c>
      <c r="P47" s="408"/>
      <c r="Q47" s="407"/>
      <c r="R47" s="408"/>
      <c r="S47" s="404" t="str">
        <f t="array" ref="S47">IF(ISBLANK(R47),"",COUNTIF({$A$2:$A$31; $A$35:$A$64; $A$68:$A$97; $A$101:$A$130; A$134:A$163; $A$167:$A$196; $A$200:$A$229; $A$233:$A$262; $A$266:$A$295; $A$299:$A$328; $A$332:$A$361; $A$365:$A$435; 'Super Investors Buys'!$C$7:$C$56}, R47))</f>
        <v/>
      </c>
    </row>
    <row r="48">
      <c r="A48" s="149" t="s">
        <v>352</v>
      </c>
      <c r="B48" s="128" t="str">
        <f>IFERROR(__xludf.DUMMYFUNCTION("IF(ISBLANK(A48),"""", googlefinance(A48, ""name""))"),"Celsius Holdings Inc")</f>
        <v>Celsius Holdings Inc</v>
      </c>
      <c r="C48" s="129" t="str">
        <f t="shared" si="7"/>
        <v>View</v>
      </c>
      <c r="D48" s="415">
        <v>60.0</v>
      </c>
      <c r="E48" s="132">
        <f>IFERROR(__xludf.DUMMYFUNCTION("IF(ISBLANK(A48),"""", googlefinance(A48, ""price""))"),43.69)</f>
        <v>43.69</v>
      </c>
      <c r="F48" s="213" t="s">
        <v>101</v>
      </c>
      <c r="G48" s="213" t="s">
        <v>134</v>
      </c>
      <c r="H48" s="402" t="s">
        <v>103</v>
      </c>
      <c r="I48" s="136">
        <f t="shared" si="8"/>
        <v>0.02544388732</v>
      </c>
      <c r="J48" s="140" t="str">
        <f>IFERROR(__xludf.DUMMYFUNCTION("IfError(IF(isblank(A48),"""",split(O48, ""()"")))"),"-")</f>
        <v>-</v>
      </c>
      <c r="K48" s="136"/>
      <c r="L48" s="135">
        <f t="shared" si="9"/>
        <v>2621.4</v>
      </c>
      <c r="M48" s="135" t="str">
        <f t="shared" si="10"/>
        <v/>
      </c>
      <c r="N48" s="136">
        <f t="shared" si="11"/>
        <v>0</v>
      </c>
      <c r="O48" s="178" t="str">
        <f>IFERROR(__xludf.DUMMYFUNCTION("LET(t, A48,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48" s="408"/>
      <c r="Q48" s="407"/>
      <c r="R48" s="408"/>
      <c r="S48" s="404" t="str">
        <f t="array" ref="S48">IF(ISBLANK(R48),"",COUNTIF({$A$2:$A$31; $A$35:$A$64; $A$68:$A$97; $A$101:$A$130; A$134:A$163; $A$167:$A$196; $A$200:$A$229; $A$233:$A$262; $A$266:$A$295; $A$299:$A$328; $A$332:$A$361; $A$365:$A$435; 'Super Investors Buys'!$C$7:$C$56}, R48))</f>
        <v/>
      </c>
      <c r="AA48" s="186"/>
    </row>
    <row r="49">
      <c r="A49" s="149" t="s">
        <v>310</v>
      </c>
      <c r="B49" s="128" t="str">
        <f>IFERROR(__xludf.DUMMYFUNCTION("IF(ISBLANK(A49),"""", googlefinance(A49, ""name""))"),"PepsiCo Inc")</f>
        <v>PepsiCo Inc</v>
      </c>
      <c r="C49" s="129" t="str">
        <f t="shared" si="7"/>
        <v>View</v>
      </c>
      <c r="D49" s="415">
        <v>18.0</v>
      </c>
      <c r="E49" s="132">
        <f>IFERROR(__xludf.DUMMYFUNCTION("IF(ISBLANK(A49),"""", googlefinance(A49, ""price""))"),160.7)</f>
        <v>160.7</v>
      </c>
      <c r="F49" s="213" t="s">
        <v>101</v>
      </c>
      <c r="G49" s="213" t="s">
        <v>134</v>
      </c>
      <c r="H49" s="213" t="s">
        <v>113</v>
      </c>
      <c r="I49" s="136">
        <f t="shared" si="8"/>
        <v>0.02807621441</v>
      </c>
      <c r="J49" s="140">
        <f>IFERROR(__xludf.DUMMYFUNCTION("IfError(IF(isblank(A49),"""",split(O49, ""()"")))"),5.62)</f>
        <v>5.62</v>
      </c>
      <c r="K49" s="136">
        <f>IFERROR(__xludf.DUMMYFUNCTION("""COMPUTED_VALUE"""),0.035)</f>
        <v>0.035</v>
      </c>
      <c r="L49" s="135">
        <f t="shared" si="9"/>
        <v>2892.6</v>
      </c>
      <c r="M49" s="135">
        <f t="shared" si="10"/>
        <v>101.16</v>
      </c>
      <c r="N49" s="136">
        <f t="shared" si="11"/>
        <v>0.0426509712</v>
      </c>
      <c r="O49" s="178" t="str">
        <f>IFERROR(__xludf.DUMMYFUNCTION("LET(t, A49,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"),"5.62 (3.50%)")</f>
        <v>5.62 (3.50%)</v>
      </c>
      <c r="P49" s="408"/>
      <c r="Q49" s="407"/>
      <c r="R49" s="408"/>
      <c r="S49" s="404" t="str">
        <f t="array" ref="S49">IF(ISBLANK(R49),"",COUNTIF({$A$2:$A$31; $A$35:$A$64; $A$68:$A$97; $A$101:$A$130; A$134:A$163; $A$167:$A$196; $A$200:$A$229; $A$233:$A$262; $A$266:$A$295; $A$299:$A$328; $A$332:$A$361; $A$365:$A$435; 'Super Investors Buys'!$C$7:$C$56}, R49))</f>
        <v/>
      </c>
      <c r="AA49" s="186"/>
    </row>
    <row r="50">
      <c r="A50" s="149" t="s">
        <v>353</v>
      </c>
      <c r="B50" s="128" t="str">
        <f>IFERROR(__xludf.DUMMYFUNCTION("IF(ISBLANK(A50),"""", googlefinance(A50, ""name""))"),"United Parcel Service Inc")</f>
        <v>United Parcel Service Inc</v>
      </c>
      <c r="C50" s="129" t="str">
        <f t="shared" si="7"/>
        <v>View</v>
      </c>
      <c r="D50" s="415">
        <v>43.0</v>
      </c>
      <c r="E50" s="132">
        <f>IFERROR(__xludf.DUMMYFUNCTION("IF(ISBLANK(A50),"""", googlefinance(A50, ""price""))"),104.07)</f>
        <v>104.07</v>
      </c>
      <c r="F50" s="213" t="s">
        <v>101</v>
      </c>
      <c r="G50" s="213" t="s">
        <v>134</v>
      </c>
      <c r="H50" s="213" t="s">
        <v>113</v>
      </c>
      <c r="I50" s="136">
        <f t="shared" si="8"/>
        <v>0.04343543534</v>
      </c>
      <c r="J50" s="140">
        <f>IFERROR(__xludf.DUMMYFUNCTION("IfError(IF(isblank(A50),"""",split(O50, ""()"")))"),6.56)</f>
        <v>6.56</v>
      </c>
      <c r="K50" s="136">
        <f>IFERROR(__xludf.DUMMYFUNCTION("""COMPUTED_VALUE"""),0.063)</f>
        <v>0.063</v>
      </c>
      <c r="L50" s="135">
        <f t="shared" si="9"/>
        <v>4475.01</v>
      </c>
      <c r="M50" s="135">
        <f t="shared" si="10"/>
        <v>282.08</v>
      </c>
      <c r="N50" s="136">
        <f t="shared" si="11"/>
        <v>0.1189302684</v>
      </c>
      <c r="O50" s="178" t="str">
        <f>IFERROR(__xludf.DUMMYFUNCTION("LET(t, A50,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"),"6.56 (6.30%)")</f>
        <v>6.56 (6.30%)</v>
      </c>
      <c r="P50" s="408"/>
      <c r="Q50" s="407"/>
      <c r="R50" s="408"/>
      <c r="S50" s="404" t="str">
        <f t="array" ref="S50">IF(ISBLANK(R50),"",COUNTIF({$A$2:$A$31; $A$35:$A$64; $A$68:$A$97; $A$101:$A$130; A$134:A$163; $A$167:$A$196; $A$200:$A$229; $A$233:$A$262; $A$266:$A$295; $A$299:$A$328; $A$332:$A$361; $A$365:$A$435; 'Super Investors Buys'!$C$7:$C$56}, R50))</f>
        <v/>
      </c>
      <c r="AA50" s="186"/>
    </row>
    <row r="51">
      <c r="A51" s="149" t="s">
        <v>354</v>
      </c>
      <c r="B51" s="128" t="str">
        <f>IFERROR(__xludf.DUMMYFUNCTION("IF(ISBLANK(A51),"""", googlefinance(A51, ""name""))"),"Hershey Co")</f>
        <v>Hershey Co</v>
      </c>
      <c r="C51" s="129" t="str">
        <f t="shared" si="7"/>
        <v>View</v>
      </c>
      <c r="D51" s="415">
        <v>25.0</v>
      </c>
      <c r="E51" s="132">
        <f>IFERROR(__xludf.DUMMYFUNCTION("IF(ISBLANK(A51),"""", googlefinance(A51, ""price""))"),226.58)</f>
        <v>226.58</v>
      </c>
      <c r="F51" s="213" t="s">
        <v>101</v>
      </c>
      <c r="G51" s="213" t="s">
        <v>134</v>
      </c>
      <c r="H51" s="213" t="s">
        <v>113</v>
      </c>
      <c r="I51" s="136">
        <f t="shared" si="8"/>
        <v>0.05498088797</v>
      </c>
      <c r="J51" s="140">
        <f>IFERROR(__xludf.DUMMYFUNCTION("IfError(IF(isblank(A51),"""",split(O51, ""()"")))"),5.56)</f>
        <v>5.56</v>
      </c>
      <c r="K51" s="136">
        <f>IFERROR(__xludf.DUMMYFUNCTION("""COMPUTED_VALUE"""),0.0245)</f>
        <v>0.0245</v>
      </c>
      <c r="L51" s="135">
        <f t="shared" si="9"/>
        <v>5664.5</v>
      </c>
      <c r="M51" s="135">
        <f t="shared" si="10"/>
        <v>139</v>
      </c>
      <c r="N51" s="136">
        <f t="shared" si="11"/>
        <v>0.0586050316</v>
      </c>
      <c r="O51" s="178" t="str">
        <f>IFERROR(__xludf.DUMMYFUNCTION("LET(t, A51,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"),"5.56 (2.45%)")</f>
        <v>5.56 (2.45%)</v>
      </c>
      <c r="P51" s="408"/>
      <c r="Q51" s="407"/>
      <c r="R51" s="408"/>
      <c r="S51" s="404" t="str">
        <f t="array" ref="S51">IF(ISBLANK(R51),"",COUNTIF({$A$2:$A$31; $A$35:$A$64; $A$68:$A$97; $A$101:$A$130; A$134:A$163; $A$167:$A$196; $A$200:$A$229; $A$233:$A$262; $A$266:$A$295; $A$299:$A$328; $A$332:$A$361; $A$365:$A$435; 'Super Investors Buys'!$C$7:$C$56}, R51))</f>
        <v/>
      </c>
      <c r="AA51" s="186"/>
    </row>
    <row r="52">
      <c r="A52" s="149" t="s">
        <v>355</v>
      </c>
      <c r="B52" s="128" t="str">
        <f>IFERROR(__xludf.DUMMYFUNCTION("IF(ISBLANK(A52),"""", googlefinance(A52, ""name""))"),"Advanced Micro Devices Inc")</f>
        <v>Advanced Micro Devices Inc</v>
      </c>
      <c r="C52" s="129" t="str">
        <f t="shared" si="7"/>
        <v>View</v>
      </c>
      <c r="D52" s="415">
        <v>46.5</v>
      </c>
      <c r="E52" s="132">
        <f>IFERROR(__xludf.DUMMYFUNCTION("IF(ISBLANK(A52),"""", googlefinance(A52, ""price""))"),199.45)</f>
        <v>199.45</v>
      </c>
      <c r="F52" s="213" t="s">
        <v>101</v>
      </c>
      <c r="G52" s="213" t="s">
        <v>134</v>
      </c>
      <c r="H52" s="213" t="s">
        <v>103</v>
      </c>
      <c r="I52" s="136">
        <f t="shared" si="8"/>
        <v>0.09001961724</v>
      </c>
      <c r="J52" s="140" t="str">
        <f>IFERROR(__xludf.DUMMYFUNCTION("IfError(IF(isblank(A52),"""",split(O52, ""()"")))"),"-")</f>
        <v>-</v>
      </c>
      <c r="K52" s="136"/>
      <c r="L52" s="135">
        <f t="shared" si="9"/>
        <v>9274.425</v>
      </c>
      <c r="M52" s="135" t="str">
        <f t="shared" si="10"/>
        <v/>
      </c>
      <c r="N52" s="136">
        <f t="shared" si="11"/>
        <v>0</v>
      </c>
      <c r="O52" s="178" t="str">
        <f>IFERROR(__xludf.DUMMYFUNCTION("LET(t, A52,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52" s="408"/>
      <c r="Q52" s="407"/>
      <c r="R52" s="408"/>
      <c r="S52" s="404" t="str">
        <f t="array" ref="S52">IF(ISBLANK(R52),"",COUNTIF({$A$2:$A$31; $A$35:$A$64; $A$68:$A$97; $A$101:$A$130; A$134:A$163; $A$167:$A$196; $A$200:$A$229; $A$233:$A$262; $A$266:$A$295; $A$299:$A$328; $A$332:$A$361; $A$365:$A$435; 'Super Investors Buys'!$C$7:$C$56}, R52))</f>
        <v/>
      </c>
      <c r="AA52" s="186"/>
    </row>
    <row r="53">
      <c r="A53" s="149" t="s">
        <v>356</v>
      </c>
      <c r="B53" s="128" t="str">
        <f>IFERROR(__xludf.DUMMYFUNCTION("IF(ISBLANK(A53),"""", googlefinance(A53, ""name""))"),"Uber Technologies Inc")</f>
        <v>Uber Technologies Inc</v>
      </c>
      <c r="C53" s="129" t="str">
        <f t="shared" si="7"/>
        <v>View</v>
      </c>
      <c r="D53" s="415">
        <v>30.0</v>
      </c>
      <c r="E53" s="132">
        <f>IFERROR(__xludf.DUMMYFUNCTION("IF(ISBLANK(A53),"""", googlefinance(A53, ""price""))"),75.44)</f>
        <v>75.44</v>
      </c>
      <c r="F53" s="213" t="s">
        <v>101</v>
      </c>
      <c r="G53" s="213" t="s">
        <v>134</v>
      </c>
      <c r="H53" s="213" t="s">
        <v>103</v>
      </c>
      <c r="I53" s="136">
        <f t="shared" si="8"/>
        <v>0.02196711901</v>
      </c>
      <c r="J53" s="140" t="str">
        <f>IFERROR(__xludf.DUMMYFUNCTION("IfError(IF(isblank(A53),"""",split(O53, ""()"")))"),"-")</f>
        <v>-</v>
      </c>
      <c r="K53" s="136"/>
      <c r="L53" s="135">
        <f t="shared" si="9"/>
        <v>2263.2</v>
      </c>
      <c r="M53" s="135" t="str">
        <f t="shared" si="10"/>
        <v/>
      </c>
      <c r="N53" s="136">
        <f t="shared" si="11"/>
        <v>0</v>
      </c>
      <c r="O53" s="178" t="str">
        <f>IFERROR(__xludf.DUMMYFUNCTION("LET(t, A53,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53" s="408"/>
      <c r="Q53" s="407"/>
      <c r="R53" s="408"/>
      <c r="S53" s="404" t="str">
        <f t="array" ref="S53">IF(ISBLANK(R53),"",COUNTIF({$A$2:$A$31; $A$35:$A$64; $A$68:$A$97; $A$101:$A$130; A$134:A$163; $A$167:$A$196; $A$200:$A$229; $A$233:$A$262; $A$266:$A$295; $A$299:$A$328; $A$332:$A$361; $A$365:$A$435; 'Super Investors Buys'!$C$7:$C$56}, R53))</f>
        <v/>
      </c>
      <c r="AA53" s="186"/>
    </row>
    <row r="54">
      <c r="A54" s="149" t="s">
        <v>357</v>
      </c>
      <c r="B54" s="128" t="str">
        <f>IFERROR(__xludf.DUMMYFUNCTION("IF(ISBLANK(A54),"""", googlefinance(A54, ""name""))"),"elf Beauty Inc")</f>
        <v>elf Beauty Inc</v>
      </c>
      <c r="C54" s="129" t="str">
        <f t="shared" si="7"/>
        <v>View</v>
      </c>
      <c r="D54" s="415">
        <v>40.0</v>
      </c>
      <c r="E54" s="132">
        <f>IFERROR(__xludf.DUMMYFUNCTION("IF(ISBLANK(A54),"""", googlefinance(A54, ""price""))"),82.54)</f>
        <v>82.54</v>
      </c>
      <c r="F54" s="213" t="s">
        <v>101</v>
      </c>
      <c r="G54" s="213" t="s">
        <v>134</v>
      </c>
      <c r="H54" s="213" t="s">
        <v>103</v>
      </c>
      <c r="I54" s="136">
        <f t="shared" si="8"/>
        <v>0.03204605874</v>
      </c>
      <c r="J54" s="140" t="str">
        <f>IFERROR(__xludf.DUMMYFUNCTION("IfError(IF(isblank(A54),"""",split(O54, ""()"")))"),"-")</f>
        <v>-</v>
      </c>
      <c r="K54" s="136"/>
      <c r="L54" s="135">
        <f t="shared" si="9"/>
        <v>3301.6</v>
      </c>
      <c r="M54" s="135" t="str">
        <f t="shared" si="10"/>
        <v/>
      </c>
      <c r="N54" s="136">
        <f t="shared" si="11"/>
        <v>0</v>
      </c>
      <c r="O54" s="178" t="str">
        <f>IFERROR(__xludf.DUMMYFUNCTION("LET(t, A54,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v>
      </c>
      <c r="P54" s="408"/>
      <c r="Q54" s="407"/>
      <c r="R54" s="408"/>
      <c r="S54" s="404" t="str">
        <f t="array" ref="S54">IF(ISBLANK(R54),"",COUNTIF({$A$2:$A$31; $A$35:$A$64; $A$68:$A$97; $A$101:$A$130; A$134:A$163; $A$167:$A$196; $A$200:$A$229; $A$233:$A$262; $A$266:$A$295; $A$299:$A$328; $A$332:$A$361; $A$365:$A$435; 'Super Investors Buys'!$C$7:$C$56}, R54))</f>
        <v/>
      </c>
      <c r="AA54" s="186"/>
    </row>
    <row r="55">
      <c r="A55" s="149"/>
      <c r="B55" s="128" t="str">
        <f>IFERROR(__xludf.DUMMYFUNCTION("IF(ISBLANK(A55),"""", googlefinance(A55, ""name""))"),"")</f>
        <v/>
      </c>
      <c r="C55" s="175" t="str">
        <f t="shared" si="7"/>
        <v/>
      </c>
      <c r="D55" s="415"/>
      <c r="E55" s="132" t="str">
        <f>IFERROR(__xludf.DUMMYFUNCTION("IF(ISBLANK(A55),"""", googlefinance(A55, ""price""))"),"")</f>
        <v/>
      </c>
      <c r="F55" s="213" t="s">
        <v>133</v>
      </c>
      <c r="G55" s="213" t="s">
        <v>134</v>
      </c>
      <c r="H55" s="213" t="s">
        <v>134</v>
      </c>
      <c r="I55" s="136" t="str">
        <f t="shared" si="8"/>
        <v/>
      </c>
      <c r="J55" s="140" t="str">
        <f>IFERROR(__xludf.DUMMYFUNCTION("IfError(IF(isblank(A55),"""",split(O55, ""()"")))"),"")</f>
        <v/>
      </c>
      <c r="K55" s="136"/>
      <c r="L55" s="135" t="str">
        <f t="shared" si="9"/>
        <v/>
      </c>
      <c r="M55" s="135" t="str">
        <f t="shared" si="10"/>
        <v/>
      </c>
      <c r="N55" s="136" t="str">
        <f t="shared" si="11"/>
        <v/>
      </c>
      <c r="O55" s="178" t="str">
        <f>IFERROR(__xludf.DUMMYFUNCTION("LET(t, A55,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55" s="408"/>
      <c r="Q55" s="407"/>
      <c r="R55" s="408"/>
      <c r="S55" s="404" t="str">
        <f t="array" ref="S55">IF(ISBLANK(R55),"",COUNTIF({$A$2:$A$31; $A$35:$A$64; $A$68:$A$97; $A$101:$A$130; A$134:A$163; $A$167:$A$196; $A$200:$A$229; $A$233:$A$262; $A$266:$A$295; $A$299:$A$328; $A$332:$A$361; $A$365:$A$435; 'Super Investors Buys'!$C$7:$C$56}, R55))</f>
        <v/>
      </c>
      <c r="AA55" s="186"/>
    </row>
    <row r="56">
      <c r="A56" s="149"/>
      <c r="B56" s="128" t="str">
        <f>IFERROR(__xludf.DUMMYFUNCTION("IF(ISBLANK(A56),"""", googlefinance(A56, ""name""))"),"")</f>
        <v/>
      </c>
      <c r="C56" s="175" t="str">
        <f t="shared" si="7"/>
        <v/>
      </c>
      <c r="D56" s="415"/>
      <c r="E56" s="132" t="str">
        <f>IFERROR(__xludf.DUMMYFUNCTION("IF(ISBLANK(A56),"""", googlefinance(A56, ""price""))"),"")</f>
        <v/>
      </c>
      <c r="F56" s="213" t="s">
        <v>133</v>
      </c>
      <c r="G56" s="213" t="s">
        <v>134</v>
      </c>
      <c r="H56" s="213" t="s">
        <v>134</v>
      </c>
      <c r="I56" s="136" t="str">
        <f t="shared" si="8"/>
        <v/>
      </c>
      <c r="J56" s="140" t="str">
        <f>IFERROR(__xludf.DUMMYFUNCTION("IfError(IF(isblank(A56),"""",split(O56, ""()"")))"),"")</f>
        <v/>
      </c>
      <c r="K56" s="136"/>
      <c r="L56" s="135" t="str">
        <f t="shared" si="9"/>
        <v/>
      </c>
      <c r="M56" s="135" t="str">
        <f t="shared" si="10"/>
        <v/>
      </c>
      <c r="N56" s="136" t="str">
        <f t="shared" si="11"/>
        <v/>
      </c>
      <c r="O56" s="178" t="str">
        <f>IFERROR(__xludf.DUMMYFUNCTION("LET(t, A56,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56" s="408"/>
      <c r="Q56" s="407"/>
      <c r="R56" s="408"/>
      <c r="S56" s="404" t="str">
        <f t="array" ref="S56">IF(ISBLANK(R56),"",COUNTIF({$A$2:$A$31; $A$35:$A$64; $A$68:$A$97; $A$101:$A$130; A$134:A$163; $A$167:$A$196; $A$200:$A$229; $A$233:$A$262; $A$266:$A$295; $A$299:$A$328; $A$332:$A$361; $A$365:$A$435; 'Super Investors Buys'!$C$7:$C$56}, R56))</f>
        <v/>
      </c>
      <c r="AA56" s="186"/>
    </row>
    <row r="57">
      <c r="A57" s="149"/>
      <c r="B57" s="128" t="str">
        <f>IFERROR(__xludf.DUMMYFUNCTION("IF(ISBLANK(A57),"""", googlefinance(A57, ""name""))"),"")</f>
        <v/>
      </c>
      <c r="C57" s="175" t="str">
        <f t="shared" si="7"/>
        <v/>
      </c>
      <c r="D57" s="415"/>
      <c r="E57" s="132" t="str">
        <f>IFERROR(__xludf.DUMMYFUNCTION("IF(ISBLANK(A57),"""", googlefinance(A57, ""price""))"),"")</f>
        <v/>
      </c>
      <c r="F57" s="213" t="s">
        <v>133</v>
      </c>
      <c r="G57" s="213" t="s">
        <v>134</v>
      </c>
      <c r="H57" s="213" t="s">
        <v>134</v>
      </c>
      <c r="I57" s="136" t="str">
        <f t="shared" si="8"/>
        <v/>
      </c>
      <c r="J57" s="140" t="str">
        <f>IFERROR(__xludf.DUMMYFUNCTION("IfError(IF(isblank(A57),"""",split(O57, ""()"")))"),"")</f>
        <v/>
      </c>
      <c r="K57" s="136"/>
      <c r="L57" s="135" t="str">
        <f t="shared" si="9"/>
        <v/>
      </c>
      <c r="M57" s="135" t="str">
        <f t="shared" si="10"/>
        <v/>
      </c>
      <c r="N57" s="136" t="str">
        <f t="shared" si="11"/>
        <v/>
      </c>
      <c r="O57" s="178" t="str">
        <f>IFERROR(__xludf.DUMMYFUNCTION("LET(t, A57,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57" s="408"/>
      <c r="Q57" s="407"/>
      <c r="R57" s="408"/>
      <c r="S57" s="404" t="str">
        <f t="array" ref="S57">IF(ISBLANK(R57),"",COUNTIF({$A$2:$A$31; $A$35:$A$64; $A$68:$A$97; $A$101:$A$130; A$134:A$163; $A$167:$A$196; $A$200:$A$229; $A$233:$A$262; $A$266:$A$295; $A$299:$A$328; $A$332:$A$361; $A$365:$A$435; 'Super Investors Buys'!$C$7:$C$56}, R57))</f>
        <v/>
      </c>
      <c r="AA57" s="186"/>
    </row>
    <row r="58">
      <c r="A58" s="149"/>
      <c r="B58" s="128" t="str">
        <f>IFERROR(__xludf.DUMMYFUNCTION("IF(ISBLANK(A58),"""", googlefinance(A58, ""name""))"),"")</f>
        <v/>
      </c>
      <c r="C58" s="175" t="str">
        <f t="shared" si="7"/>
        <v/>
      </c>
      <c r="D58" s="415"/>
      <c r="E58" s="132" t="str">
        <f>IFERROR(__xludf.DUMMYFUNCTION("IF(ISBLANK(A58),"""", googlefinance(A58, ""price""))"),"")</f>
        <v/>
      </c>
      <c r="F58" s="213" t="s">
        <v>133</v>
      </c>
      <c r="G58" s="213" t="s">
        <v>134</v>
      </c>
      <c r="H58" s="213" t="s">
        <v>134</v>
      </c>
      <c r="I58" s="136" t="str">
        <f t="shared" si="8"/>
        <v/>
      </c>
      <c r="J58" s="140" t="str">
        <f>IFERROR(__xludf.DUMMYFUNCTION("IfError(IF(isblank(A58),"""",split(O58, ""()"")))"),"")</f>
        <v/>
      </c>
      <c r="K58" s="136"/>
      <c r="L58" s="135" t="str">
        <f t="shared" si="9"/>
        <v/>
      </c>
      <c r="M58" s="135" t="str">
        <f t="shared" si="10"/>
        <v/>
      </c>
      <c r="N58" s="136" t="str">
        <f t="shared" si="11"/>
        <v/>
      </c>
      <c r="O58" s="178" t="str">
        <f>IFERROR(__xludf.DUMMYFUNCTION("LET(t, A58,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58" s="408"/>
      <c r="Q58" s="407"/>
      <c r="R58" s="408"/>
      <c r="S58" s="404" t="str">
        <f t="array" ref="S58">IF(ISBLANK(R58),"",COUNTIF({$A$2:$A$31; $A$35:$A$64; $A$68:$A$97; $A$101:$A$130; A$134:A$163; $A$167:$A$196; $A$200:$A$229; $A$233:$A$262; $A$266:$A$295; $A$299:$A$328; $A$332:$A$361; $A$365:$A$435; 'Super Investors Buys'!$C$7:$C$56}, R58))</f>
        <v/>
      </c>
      <c r="AA58" s="186"/>
    </row>
    <row r="59">
      <c r="A59" s="149"/>
      <c r="B59" s="128" t="str">
        <f>IFERROR(__xludf.DUMMYFUNCTION("IF(ISBLANK(A59),"""", googlefinance(A59, ""name""))"),"")</f>
        <v/>
      </c>
      <c r="C59" s="175" t="str">
        <f t="shared" si="7"/>
        <v/>
      </c>
      <c r="D59" s="415"/>
      <c r="E59" s="132" t="str">
        <f>IFERROR(__xludf.DUMMYFUNCTION("IF(ISBLANK(A59),"""", googlefinance(A59, ""price""))"),"")</f>
        <v/>
      </c>
      <c r="F59" s="213" t="s">
        <v>133</v>
      </c>
      <c r="G59" s="213" t="s">
        <v>134</v>
      </c>
      <c r="H59" s="213" t="s">
        <v>134</v>
      </c>
      <c r="I59" s="136" t="str">
        <f t="shared" si="8"/>
        <v/>
      </c>
      <c r="J59" s="140" t="str">
        <f>IFERROR(__xludf.DUMMYFUNCTION("IfError(IF(isblank(A59),"""",split(O59, ""()"")))"),"")</f>
        <v/>
      </c>
      <c r="K59" s="136"/>
      <c r="L59" s="135" t="str">
        <f t="shared" si="9"/>
        <v/>
      </c>
      <c r="M59" s="135" t="str">
        <f t="shared" si="10"/>
        <v/>
      </c>
      <c r="N59" s="136" t="str">
        <f t="shared" si="11"/>
        <v/>
      </c>
      <c r="O59" s="178" t="str">
        <f>IFERROR(__xludf.DUMMYFUNCTION("LET(t, A59,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59" s="408"/>
      <c r="Q59" s="407"/>
      <c r="R59" s="408"/>
      <c r="S59" s="404" t="str">
        <f t="array" ref="S59">IF(ISBLANK(R59),"",COUNTIF({$A$2:$A$31; $A$35:$A$64; $A$68:$A$97; $A$101:$A$130; A$134:A$163; $A$167:$A$196; $A$200:$A$229; $A$233:$A$262; $A$266:$A$295; $A$299:$A$328; $A$332:$A$361; $A$365:$A$435; 'Super Investors Buys'!$C$7:$C$56}, R59))</f>
        <v/>
      </c>
      <c r="AA59" s="186"/>
    </row>
    <row r="60">
      <c r="A60" s="149"/>
      <c r="B60" s="128" t="str">
        <f>IFERROR(__xludf.DUMMYFUNCTION("IF(ISBLANK(A60),"""", googlefinance(A60, ""name""))"),"")</f>
        <v/>
      </c>
      <c r="C60" s="175" t="str">
        <f t="shared" si="7"/>
        <v/>
      </c>
      <c r="D60" s="415"/>
      <c r="E60" s="132" t="str">
        <f>IFERROR(__xludf.DUMMYFUNCTION("IF(ISBLANK(A60),"""", googlefinance(A60, ""price""))"),"")</f>
        <v/>
      </c>
      <c r="F60" s="213" t="s">
        <v>133</v>
      </c>
      <c r="G60" s="213" t="s">
        <v>134</v>
      </c>
      <c r="H60" s="213" t="s">
        <v>134</v>
      </c>
      <c r="I60" s="136" t="str">
        <f t="shared" si="8"/>
        <v/>
      </c>
      <c r="J60" s="140" t="str">
        <f>IFERROR(__xludf.DUMMYFUNCTION("IfError(IF(isblank(A60),"""",split(O60, ""()"")))"),"")</f>
        <v/>
      </c>
      <c r="K60" s="136"/>
      <c r="L60" s="135" t="str">
        <f t="shared" si="9"/>
        <v/>
      </c>
      <c r="M60" s="135" t="str">
        <f t="shared" si="10"/>
        <v/>
      </c>
      <c r="N60" s="136" t="str">
        <f t="shared" si="11"/>
        <v/>
      </c>
      <c r="O60" s="178" t="str">
        <f>IFERROR(__xludf.DUMMYFUNCTION("LET(t, A60,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60" s="408"/>
      <c r="Q60" s="407"/>
      <c r="R60" s="408"/>
      <c r="S60" s="404" t="str">
        <f t="array" ref="S60">IF(ISBLANK(R60),"",COUNTIF({$A$2:$A$31; $A$35:$A$64; $A$68:$A$97; $A$101:$A$130; A$134:A$163; $A$167:$A$196; $A$200:$A$229; $A$233:$A$262; $A$266:$A$295; $A$299:$A$328; $A$332:$A$361; $A$365:$A$435; 'Super Investors Buys'!$C$7:$C$56}, R60))</f>
        <v/>
      </c>
      <c r="AA60" s="186"/>
    </row>
    <row r="61">
      <c r="A61" s="149"/>
      <c r="B61" s="128" t="str">
        <f>IFERROR(__xludf.DUMMYFUNCTION("IF(ISBLANK(A61),"""", googlefinance(A61, ""name""))"),"")</f>
        <v/>
      </c>
      <c r="C61" s="175" t="str">
        <f t="shared" si="7"/>
        <v/>
      </c>
      <c r="D61" s="415"/>
      <c r="E61" s="132" t="str">
        <f>IFERROR(__xludf.DUMMYFUNCTION("IF(ISBLANK(A61),"""", googlefinance(A61, ""price""))"),"")</f>
        <v/>
      </c>
      <c r="F61" s="213" t="s">
        <v>133</v>
      </c>
      <c r="G61" s="213" t="s">
        <v>134</v>
      </c>
      <c r="H61" s="213" t="s">
        <v>134</v>
      </c>
      <c r="I61" s="136" t="str">
        <f t="shared" si="8"/>
        <v/>
      </c>
      <c r="J61" s="140" t="str">
        <f>IFERROR(__xludf.DUMMYFUNCTION("IfError(IF(isblank(A61),"""",split(O61, ""()"")))"),"")</f>
        <v/>
      </c>
      <c r="K61" s="136"/>
      <c r="L61" s="135" t="str">
        <f t="shared" si="9"/>
        <v/>
      </c>
      <c r="M61" s="135" t="str">
        <f t="shared" si="10"/>
        <v/>
      </c>
      <c r="N61" s="136" t="str">
        <f t="shared" si="11"/>
        <v/>
      </c>
      <c r="O61" s="178" t="str">
        <f>IFERROR(__xludf.DUMMYFUNCTION("LET(t, A61,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61" s="408"/>
      <c r="Q61" s="407"/>
      <c r="R61" s="408"/>
      <c r="S61" s="404" t="str">
        <f t="array" ref="S61">IF(ISBLANK(R61),"",COUNTIF({$A$2:$A$31; $A$35:$A$64; $A$68:$A$97; $A$101:$A$130; A$134:A$163; $A$167:$A$196; $A$200:$A$229; $A$233:$A$262; $A$266:$A$295; $A$299:$A$328; $A$332:$A$361; $A$365:$A$435; 'Super Investors Buys'!$C$7:$C$56}, R61))</f>
        <v/>
      </c>
      <c r="AA61" s="186"/>
    </row>
    <row r="62">
      <c r="A62" s="149"/>
      <c r="B62" s="128"/>
      <c r="C62" s="175"/>
      <c r="D62" s="415"/>
      <c r="E62" s="132"/>
      <c r="F62" s="213" t="s">
        <v>133</v>
      </c>
      <c r="G62" s="213" t="s">
        <v>134</v>
      </c>
      <c r="H62" s="213" t="s">
        <v>134</v>
      </c>
      <c r="I62" s="136" t="str">
        <f t="shared" si="8"/>
        <v/>
      </c>
      <c r="J62" s="140"/>
      <c r="K62" s="136"/>
      <c r="L62" s="135"/>
      <c r="M62" s="135"/>
      <c r="N62" s="136" t="str">
        <f t="shared" si="11"/>
        <v/>
      </c>
      <c r="O62" s="178" t="str">
        <f>IFERROR(__xludf.DUMMYFUNCTION("LET(t, A62,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62" s="408"/>
      <c r="Q62" s="407"/>
      <c r="R62" s="408"/>
      <c r="S62" s="404" t="str">
        <f t="array" ref="S62">IF(ISBLANK(R62),"",COUNTIF({$A$2:$A$31; $A$35:$A$64; $A$68:$A$97; $A$101:$A$130; A$134:A$163; $A$167:$A$196; $A$200:$A$229; $A$233:$A$262; $A$266:$A$295; $A$299:$A$328; $A$332:$A$361; $A$365:$A$435; 'Super Investors Buys'!$C$7:$C$56}, R62))</f>
        <v/>
      </c>
      <c r="AA62" s="186"/>
    </row>
    <row r="63">
      <c r="A63" s="149"/>
      <c r="B63" s="128"/>
      <c r="C63" s="175"/>
      <c r="D63" s="415"/>
      <c r="E63" s="132"/>
      <c r="F63" s="213" t="s">
        <v>133</v>
      </c>
      <c r="G63" s="213" t="s">
        <v>134</v>
      </c>
      <c r="H63" s="213" t="s">
        <v>134</v>
      </c>
      <c r="I63" s="136" t="str">
        <f t="shared" si="8"/>
        <v/>
      </c>
      <c r="J63" s="140"/>
      <c r="K63" s="136"/>
      <c r="L63" s="135"/>
      <c r="M63" s="135"/>
      <c r="N63" s="136" t="str">
        <f t="shared" si="11"/>
        <v/>
      </c>
      <c r="O63" s="178" t="str">
        <f>IFERROR(__xludf.DUMMYFUNCTION("LET(t, A63,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63" s="408"/>
      <c r="Q63" s="407"/>
      <c r="R63" s="408"/>
      <c r="S63" s="404" t="str">
        <f t="array" ref="S63">IF(ISBLANK(R63),"",COUNTIF({$A$2:$A$31; $A$35:$A$64; $A$68:$A$97; $A$101:$A$130; A$134:A$163; $A$167:$A$196; $A$200:$A$229; $A$233:$A$262; $A$266:$A$295; $A$299:$A$328; $A$332:$A$361; $A$365:$A$435; 'Super Investors Buys'!$C$7:$C$56}, R63))</f>
        <v/>
      </c>
      <c r="AA63" s="186"/>
    </row>
    <row r="64">
      <c r="A64" s="149"/>
      <c r="B64" s="128"/>
      <c r="C64" s="175"/>
      <c r="D64" s="415"/>
      <c r="E64" s="132"/>
      <c r="F64" s="213" t="s">
        <v>133</v>
      </c>
      <c r="G64" s="213" t="s">
        <v>134</v>
      </c>
      <c r="H64" s="213" t="s">
        <v>134</v>
      </c>
      <c r="I64" s="136" t="str">
        <f t="shared" si="8"/>
        <v/>
      </c>
      <c r="J64" s="140"/>
      <c r="K64" s="136"/>
      <c r="L64" s="135"/>
      <c r="M64" s="135"/>
      <c r="N64" s="136" t="str">
        <f t="shared" si="11"/>
        <v/>
      </c>
      <c r="O64" s="178" t="str">
        <f>IFERROR(__xludf.DUMMYFUNCTION("LET(t, A64,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P64" s="408"/>
      <c r="Q64" s="407"/>
      <c r="R64" s="408"/>
      <c r="S64" s="404" t="str">
        <f t="array" ref="S64">IF(ISBLANK(R64),"",COUNTIF({$A$2:$A$31; $A$35:$A$64; $A$68:$A$97; $A$101:$A$130; A$134:A$163; $A$167:$A$196; $A$200:$A$229; $A$233:$A$262; $A$266:$A$295; $A$299:$A$328; $A$332:$A$361; $A$365:$A$435; 'Super Investors Buys'!$C$7:$C$56}, R64))</f>
        <v/>
      </c>
      <c r="AA64" s="186"/>
    </row>
    <row r="65">
      <c r="A65" s="179">
        <f>COUNTA(A35:A64)</f>
        <v>20</v>
      </c>
      <c r="B65" s="180" t="s">
        <v>341</v>
      </c>
      <c r="C65" s="413">
        <v>45717.0</v>
      </c>
      <c r="D65" s="416" t="s">
        <v>358</v>
      </c>
      <c r="E65" s="181"/>
      <c r="F65" s="179"/>
      <c r="G65" s="179"/>
      <c r="H65" s="179"/>
      <c r="I65" s="182">
        <f>SUM(I35:I64)</f>
        <v>1</v>
      </c>
      <c r="J65" s="181"/>
      <c r="K65" s="182">
        <f>M65/L65</f>
        <v>0.02302131166</v>
      </c>
      <c r="L65" s="181">
        <f t="shared" ref="L65:N65" si="12">SUM(L35:L64)</f>
        <v>103026.71</v>
      </c>
      <c r="M65" s="181">
        <f t="shared" si="12"/>
        <v>2371.81</v>
      </c>
      <c r="N65" s="182">
        <f t="shared" si="12"/>
        <v>1</v>
      </c>
      <c r="O65" s="184"/>
      <c r="P65" s="408"/>
      <c r="Q65" s="407"/>
      <c r="R65" s="408"/>
      <c r="S65" s="404" t="str">
        <f t="array" ref="S65">IF(ISBLANK(R65),"",COUNTIF({$A$2:$A$31; $A$35:$A$64; $A$68:$A$97; $A$101:$A$130; A$134:A$163; $A$167:$A$196; $A$200:$A$229; $A$233:$A$262; $A$266:$A$295; $A$299:$A$328; $A$332:$A$361; $A$365:$A$435; 'Super Investors Buys'!$C$7:$C$56}, R65))</f>
        <v/>
      </c>
    </row>
    <row r="66">
      <c r="A66" s="185"/>
      <c r="B66" s="67"/>
      <c r="C66" s="67"/>
      <c r="D66" s="67"/>
      <c r="E66" s="186"/>
      <c r="F66" s="67"/>
      <c r="G66" s="67"/>
      <c r="H66" s="67"/>
      <c r="I66" s="187"/>
      <c r="J66" s="186"/>
      <c r="K66" s="187"/>
      <c r="L66" s="186"/>
      <c r="M66" s="67"/>
      <c r="N66" s="67"/>
      <c r="Q66" s="417"/>
      <c r="S66" s="404" t="str">
        <f t="array" ref="S66">IF(ISBLANK(R66),"",COUNTIF({$A$2:$A$31; $A$35:$A$64; $A$68:$A$97; $A$101:$A$130; A$134:A$163; $A$167:$A$196; $A$200:$A$229; $A$233:$A$262; $A$266:$A$295; $A$299:$A$328; $A$332:$A$361; $A$365:$A$435; 'Super Investors Buys'!$C$7:$C$56}, R66))</f>
        <v/>
      </c>
      <c r="AA66" s="186"/>
    </row>
    <row r="67">
      <c r="A67" s="116" t="s">
        <v>359</v>
      </c>
      <c r="B67" s="117" t="s">
        <v>72</v>
      </c>
      <c r="C67" s="117" t="s">
        <v>73</v>
      </c>
      <c r="D67" s="117" t="s">
        <v>74</v>
      </c>
      <c r="E67" s="118" t="s">
        <v>76</v>
      </c>
      <c r="F67" s="117" t="s">
        <v>85</v>
      </c>
      <c r="G67" s="117" t="s">
        <v>86</v>
      </c>
      <c r="H67" s="117" t="s">
        <v>87</v>
      </c>
      <c r="I67" s="121" t="s">
        <v>88</v>
      </c>
      <c r="J67" s="118" t="s">
        <v>89</v>
      </c>
      <c r="K67" s="121" t="s">
        <v>12</v>
      </c>
      <c r="L67" s="118" t="s">
        <v>9</v>
      </c>
      <c r="M67" s="117" t="s">
        <v>91</v>
      </c>
      <c r="N67" s="117" t="s">
        <v>92</v>
      </c>
      <c r="O67" s="118" t="s">
        <v>99</v>
      </c>
      <c r="Q67" s="417"/>
      <c r="S67" s="404" t="str">
        <f t="array" ref="S67">IF(ISBLANK(R67),"",COUNTIF({$A$2:$A$31; $A$35:$A$64; $A$68:$A$97; $A$101:$A$130; A$134:A$163; $A$167:$A$196; $A$200:$A$229; $A$233:$A$262; $A$266:$A$295; $A$299:$A$328; $A$332:$A$361; $A$365:$A$435; 'Super Investors Buys'!$C$7:$C$56}, R67))</f>
        <v/>
      </c>
      <c r="W67" s="418"/>
      <c r="AA67" s="186"/>
    </row>
    <row r="68">
      <c r="A68" s="127" t="s">
        <v>126</v>
      </c>
      <c r="B68" s="128" t="str">
        <f>IFERROR(__xludf.DUMMYFUNCTION("IF(ISBLANK(A68),"""", googlefinance(A68, ""name""))"),"Schwab US Dividend Equity ETF")</f>
        <v>Schwab US Dividend Equity ETF</v>
      </c>
      <c r="C68" s="129" t="str">
        <f t="shared" ref="C68:C94" si="13">IF(ISBLANK(A68),"", HYPERLINK("https://seekingalpha.com/symbol/" &amp; A68,"View"))</f>
        <v>View</v>
      </c>
      <c r="D68" s="176">
        <v>25.0</v>
      </c>
      <c r="E68" s="132">
        <f>IFERROR(__xludf.DUMMYFUNCTION("IF(ISBLANK(A68),"""", googlefinance(A68, ""price""))"),31.26)</f>
        <v>31.26</v>
      </c>
      <c r="F68" s="213" t="s">
        <v>121</v>
      </c>
      <c r="G68" s="213" t="s">
        <v>134</v>
      </c>
      <c r="H68" s="213" t="s">
        <v>113</v>
      </c>
      <c r="I68" s="136">
        <f t="shared" ref="I68:I94" si="14">if(isblank(A68),"",L68/$L$98)</f>
        <v>0.2425517449</v>
      </c>
      <c r="J68" s="140">
        <f>IFERROR(__xludf.DUMMYFUNCTION("IfError(IF(isblank(A68),"""",split(O68, ""()"")))"),1.05)</f>
        <v>1.05</v>
      </c>
      <c r="K68" s="136">
        <f>IFERROR(__xludf.DUMMYFUNCTION("""COMPUTED_VALUE"""),0.0335)</f>
        <v>0.0335</v>
      </c>
      <c r="L68" s="135">
        <f t="shared" ref="L68:L94" si="15">IF(ISBLANK(A68),"",D68*E68)</f>
        <v>781.5</v>
      </c>
      <c r="M68" s="135">
        <f t="shared" ref="M68:M94" si="16">IFERROR(IF(ISBLANK(A68),"",D68*J68),"")</f>
        <v>26.25</v>
      </c>
      <c r="N68" s="136">
        <f t="shared" ref="N68:N97" si="17">if(isblank(A68),"",M68/$M$98)</f>
        <v>0.2022398156</v>
      </c>
      <c r="O68" s="178" t="str">
        <f>IFERROR(__xludf.DUMMYFUNCTION("LET(t, A68,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"),"1.05 (3.35%)")</f>
        <v>1.05 (3.35%)</v>
      </c>
      <c r="Q68" s="417"/>
      <c r="S68" s="404" t="str">
        <f t="array" ref="S68">IF(ISBLANK(R68),"",COUNTIF({$A$2:$A$31; $A$35:$A$64; $A$68:$A$97; $A$101:$A$130; A$134:A$163; $A$167:$A$196; $A$200:$A$229; $A$233:$A$262; $A$266:$A$295; $A$299:$A$328; $A$332:$A$361; $A$365:$A$435; 'Super Investors Buys'!$C$7:$C$56}, R68))</f>
        <v/>
      </c>
      <c r="AA68" s="186"/>
    </row>
    <row r="69">
      <c r="A69" s="127" t="s">
        <v>354</v>
      </c>
      <c r="B69" s="128" t="str">
        <f>IFERROR(__xludf.DUMMYFUNCTION("IF(ISBLANK(A69),"""", googlefinance(A69, ""name""))"),"Hershey Co")</f>
        <v>Hershey Co</v>
      </c>
      <c r="C69" s="129" t="str">
        <f t="shared" si="13"/>
        <v>View</v>
      </c>
      <c r="D69" s="176">
        <v>2.15</v>
      </c>
      <c r="E69" s="132">
        <f>IFERROR(__xludf.DUMMYFUNCTION("IF(ISBLANK(A69),"""", googlefinance(A69, ""price""))"),226.58)</f>
        <v>226.58</v>
      </c>
      <c r="F69" s="213" t="s">
        <v>101</v>
      </c>
      <c r="G69" s="213" t="s">
        <v>134</v>
      </c>
      <c r="H69" s="213" t="s">
        <v>113</v>
      </c>
      <c r="I69" s="136">
        <f t="shared" si="14"/>
        <v>0.1511943121</v>
      </c>
      <c r="J69" s="140">
        <f>IFERROR(__xludf.DUMMYFUNCTION("IfError(IF(isblank(A69),"""",split(O69, ""()"")))"),5.56)</f>
        <v>5.56</v>
      </c>
      <c r="K69" s="136">
        <f>IFERROR(__xludf.DUMMYFUNCTION("""COMPUTED_VALUE"""),0.0245)</f>
        <v>0.0245</v>
      </c>
      <c r="L69" s="135">
        <f t="shared" si="15"/>
        <v>487.147</v>
      </c>
      <c r="M69" s="135">
        <f t="shared" si="16"/>
        <v>11.954</v>
      </c>
      <c r="N69" s="136">
        <f t="shared" si="17"/>
        <v>0.09209808593</v>
      </c>
      <c r="O69" s="178" t="str">
        <f>IFERROR(__xludf.DUMMYFUNCTION("LET(t, A69,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"),"5.56 (2.45%)")</f>
        <v>5.56 (2.45%)</v>
      </c>
      <c r="Q69" s="417"/>
      <c r="S69" s="404" t="str">
        <f t="array" ref="S69">IF(ISBLANK(R69),"",COUNTIF({$A$2:$A$31; $A$35:$A$64; $A$68:$A$97; $A$101:$A$130; A$134:A$163; $A$167:$A$196; $A$200:$A$229; $A$233:$A$262; $A$266:$A$295; $A$299:$A$328; $A$332:$A$361; $A$365:$A$435; 'Super Investors Buys'!$C$7:$C$56}, R69))</f>
        <v/>
      </c>
      <c r="AA69" s="186"/>
    </row>
    <row r="70">
      <c r="A70" s="149" t="s">
        <v>115</v>
      </c>
      <c r="B70" s="128" t="str">
        <f>IFERROR(__xludf.DUMMYFUNCTION("IF(ISBLANK(A70),"""", googlefinance(A70, ""name""))"),"Realty Income Corp")</f>
        <v>Realty Income Corp</v>
      </c>
      <c r="C70" s="129" t="str">
        <f t="shared" si="13"/>
        <v>View</v>
      </c>
      <c r="D70" s="176">
        <v>5.0</v>
      </c>
      <c r="E70" s="132">
        <f>IFERROR(__xludf.DUMMYFUNCTION("IF(ISBLANK(A70),"""", googlefinance(A70, ""price""))"),64.8)</f>
        <v>64.8</v>
      </c>
      <c r="F70" s="213" t="s">
        <v>101</v>
      </c>
      <c r="G70" s="213" t="s">
        <v>134</v>
      </c>
      <c r="H70" s="213" t="s">
        <v>113</v>
      </c>
      <c r="I70" s="136">
        <f t="shared" si="14"/>
        <v>0.1005588808</v>
      </c>
      <c r="J70" s="140">
        <f>IFERROR(__xludf.DUMMYFUNCTION("IfError(IF(isblank(A70),"""",split(O70, ""()"")))"),3.5)</f>
        <v>3.5</v>
      </c>
      <c r="K70" s="136">
        <f>IFERROR(__xludf.DUMMYFUNCTION("""COMPUTED_VALUE"""),0.054)</f>
        <v>0.054</v>
      </c>
      <c r="L70" s="135">
        <f t="shared" si="15"/>
        <v>324</v>
      </c>
      <c r="M70" s="135">
        <f t="shared" si="16"/>
        <v>17.5</v>
      </c>
      <c r="N70" s="136">
        <f t="shared" si="17"/>
        <v>0.1348265437</v>
      </c>
      <c r="O70" s="178" t="str">
        <f>IFERROR(__xludf.DUMMYFUNCTION("LET(t, A70,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"),"3.50 (5.40%)")</f>
        <v>3.50 (5.40%)</v>
      </c>
      <c r="Q70" s="417"/>
      <c r="S70" s="404" t="str">
        <f t="array" ref="S70">IF(ISBLANK(R70),"",COUNTIF({$A$2:$A$31; $A$35:$A$64; $A$68:$A$97; $A$101:$A$130; A$134:A$163; $A$167:$A$196; $A$200:$A$229; $A$233:$A$262; $A$266:$A$295; $A$299:$A$328; $A$332:$A$361; $A$365:$A$435; 'Super Investors Buys'!$C$7:$C$56}, R70))</f>
        <v/>
      </c>
      <c r="AA70" s="186"/>
    </row>
    <row r="71">
      <c r="A71" s="149" t="s">
        <v>353</v>
      </c>
      <c r="B71" s="128" t="str">
        <f>IFERROR(__xludf.DUMMYFUNCTION("IF(ISBLANK(A71),"""", googlefinance(A71, ""name""))"),"United Parcel Service Inc")</f>
        <v>United Parcel Service Inc</v>
      </c>
      <c r="C71" s="129" t="str">
        <f t="shared" si="13"/>
        <v>View</v>
      </c>
      <c r="D71" s="176">
        <v>2.85</v>
      </c>
      <c r="E71" s="132">
        <f>IFERROR(__xludf.DUMMYFUNCTION("IF(ISBLANK(A71),"""", googlefinance(A71, ""price""))"),104.07)</f>
        <v>104.07</v>
      </c>
      <c r="F71" s="213" t="s">
        <v>101</v>
      </c>
      <c r="G71" s="213" t="s">
        <v>134</v>
      </c>
      <c r="H71" s="213" t="s">
        <v>113</v>
      </c>
      <c r="I71" s="136">
        <f t="shared" si="14"/>
        <v>0.09205467213</v>
      </c>
      <c r="J71" s="140">
        <f>IFERROR(__xludf.DUMMYFUNCTION("IfError(IF(isblank(A71),"""",split(O71, ""()"")))"),6.56)</f>
        <v>6.56</v>
      </c>
      <c r="K71" s="136">
        <f>IFERROR(__xludf.DUMMYFUNCTION("""COMPUTED_VALUE"""),0.063)</f>
        <v>0.063</v>
      </c>
      <c r="L71" s="135">
        <f t="shared" si="15"/>
        <v>296.5995</v>
      </c>
      <c r="M71" s="135">
        <f t="shared" si="16"/>
        <v>18.696</v>
      </c>
      <c r="N71" s="136">
        <f t="shared" si="17"/>
        <v>0.1440409749</v>
      </c>
      <c r="O71" s="178" t="str">
        <f>IFERROR(__xludf.DUMMYFUNCTION("LET(t, A71,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"),"6.56 (6.30%)")</f>
        <v>6.56 (6.30%)</v>
      </c>
      <c r="Q71" s="417"/>
      <c r="S71" s="404" t="str">
        <f t="array" ref="S71">IF(ISBLANK(R71),"",COUNTIF({$A$2:$A$31; $A$35:$A$64; $A$68:$A$97; $A$101:$A$130; A$134:A$163; $A$167:$A$196; $A$200:$A$229; $A$233:$A$262; $A$266:$A$295; $A$299:$A$328; $A$332:$A$361; $A$365:$A$435; 'Super Investors Buys'!$C$7:$C$56}, R71))</f>
        <v/>
      </c>
      <c r="AA71" s="186"/>
    </row>
    <row r="72">
      <c r="A72" s="149" t="s">
        <v>109</v>
      </c>
      <c r="B72" s="128" t="str">
        <f>IFERROR(__xludf.DUMMYFUNCTION("IF(ISBLANK(A72),"""", googlefinance(A72, ""name""))"),"Starbucks Corp")</f>
        <v>Starbucks Corp</v>
      </c>
      <c r="C72" s="129" t="str">
        <f t="shared" si="13"/>
        <v>View</v>
      </c>
      <c r="D72" s="176">
        <v>2.0</v>
      </c>
      <c r="E72" s="132">
        <f>IFERROR(__xludf.DUMMYFUNCTION("IF(ISBLANK(A72),"""", googlefinance(A72, ""price""))"),98.69)</f>
        <v>98.69</v>
      </c>
      <c r="F72" s="213" t="s">
        <v>101</v>
      </c>
      <c r="G72" s="213" t="s">
        <v>134</v>
      </c>
      <c r="H72" s="402" t="s">
        <v>103</v>
      </c>
      <c r="I72" s="136">
        <f t="shared" si="14"/>
        <v>0.0612602219</v>
      </c>
      <c r="J72" s="140">
        <f>IFERROR(__xludf.DUMMYFUNCTION("IfError(IF(isblank(A72),"""",split(O72, ""()"")))"),2.46)</f>
        <v>2.46</v>
      </c>
      <c r="K72" s="136">
        <f>IFERROR(__xludf.DUMMYFUNCTION("""COMPUTED_VALUE"""),0.0249)</f>
        <v>0.0249</v>
      </c>
      <c r="L72" s="135">
        <f t="shared" si="15"/>
        <v>197.38</v>
      </c>
      <c r="M72" s="135">
        <f t="shared" si="16"/>
        <v>4.92</v>
      </c>
      <c r="N72" s="136">
        <f t="shared" si="17"/>
        <v>0.03790551972</v>
      </c>
      <c r="O72" s="178" t="str">
        <f>IFERROR(__xludf.DUMMYFUNCTION("LET(t, A72,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"),"2.46 (2.49%)")</f>
        <v>2.46 (2.49%)</v>
      </c>
      <c r="Q72" s="417"/>
      <c r="S72" s="404" t="str">
        <f t="array" ref="S72">IF(ISBLANK(R72),"",COUNTIF({$A$2:$A$31; $A$35:$A$64; $A$68:$A$97; $A$101:$A$130; A$134:A$163; $A$167:$A$196; $A$200:$A$229; $A$233:$A$262; $A$266:$A$295; $A$299:$A$328; $A$332:$A$361; $A$365:$A$435; 'Super Investors Buys'!$C$7:$C$56}, R72))</f>
        <v/>
      </c>
      <c r="AA72" s="186"/>
    </row>
    <row r="73">
      <c r="A73" s="149" t="s">
        <v>107</v>
      </c>
      <c r="B73" s="128" t="str">
        <f>IFERROR(__xludf.DUMMYFUNCTION("IF(ISBLANK(A73),"""", googlefinance(A73, ""name""))"),"Target Corp")</f>
        <v>Target Corp</v>
      </c>
      <c r="C73" s="129" t="str">
        <f t="shared" si="13"/>
        <v>View</v>
      </c>
      <c r="D73" s="176">
        <v>1.75</v>
      </c>
      <c r="E73" s="132">
        <f>IFERROR(__xludf.DUMMYFUNCTION("IF(ISBLANK(A73),"""", googlefinance(A73, ""price""))"),120.36)</f>
        <v>120.36</v>
      </c>
      <c r="F73" s="213" t="s">
        <v>101</v>
      </c>
      <c r="G73" s="213" t="s">
        <v>134</v>
      </c>
      <c r="H73" s="402" t="s">
        <v>103</v>
      </c>
      <c r="I73" s="136">
        <f t="shared" si="14"/>
        <v>0.06537258353</v>
      </c>
      <c r="J73" s="140">
        <f>IFERROR(__xludf.DUMMYFUNCTION("IfError(IF(isblank(A73),"""",split(O73, ""()"")))"),4.54)</f>
        <v>4.54</v>
      </c>
      <c r="K73" s="136">
        <f>IFERROR(__xludf.DUMMYFUNCTION("""COMPUTED_VALUE"""),0.0377)</f>
        <v>0.0377</v>
      </c>
      <c r="L73" s="135">
        <f t="shared" si="15"/>
        <v>210.63</v>
      </c>
      <c r="M73" s="135">
        <f t="shared" si="16"/>
        <v>7.945</v>
      </c>
      <c r="N73" s="136">
        <f t="shared" si="17"/>
        <v>0.06121125085</v>
      </c>
      <c r="O73" s="178" t="str">
        <f>IFERROR(__xludf.DUMMYFUNCTION("LET(t, A73,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"),"4.54 (3.77%)")</f>
        <v>4.54 (3.77%)</v>
      </c>
      <c r="Q73" s="417"/>
      <c r="S73" s="404" t="str">
        <f t="array" ref="S73">IF(ISBLANK(R73),"",COUNTIF({$A$2:$A$31; $A$35:$A$64; $A$68:$A$97; $A$101:$A$130; A$134:A$163; $A$167:$A$196; $A$200:$A$229; $A$233:$A$262; $A$266:$A$295; $A$299:$A$328; $A$332:$A$361; $A$365:$A$435; 'Super Investors Buys'!$C$7:$C$56}, R73))</f>
        <v/>
      </c>
      <c r="AA73" s="186"/>
    </row>
    <row r="74">
      <c r="A74" s="149" t="s">
        <v>319</v>
      </c>
      <c r="B74" s="128" t="str">
        <f>IFERROR(__xludf.DUMMYFUNCTION("IF(ISBLANK(A74),"""", googlefinance(A74, ""name""))"),"Chevron Corp")</f>
        <v>Chevron Corp</v>
      </c>
      <c r="C74" s="129" t="str">
        <f t="shared" si="13"/>
        <v>View</v>
      </c>
      <c r="D74" s="176">
        <v>1.0</v>
      </c>
      <c r="E74" s="132">
        <f>IFERROR(__xludf.DUMMYFUNCTION("IF(ISBLANK(A74),"""", googlefinance(A74, ""price""))"),189.9)</f>
        <v>189.9</v>
      </c>
      <c r="F74" s="213" t="s">
        <v>101</v>
      </c>
      <c r="G74" s="213" t="s">
        <v>134</v>
      </c>
      <c r="H74" s="213" t="s">
        <v>113</v>
      </c>
      <c r="I74" s="136">
        <f t="shared" si="14"/>
        <v>0.05893867736</v>
      </c>
      <c r="J74" s="140">
        <f>IFERROR(__xludf.DUMMYFUNCTION("IfError(IF(isblank(A74),"""",split(O74, ""()"")))"),6.91)</f>
        <v>6.91</v>
      </c>
      <c r="K74" s="136">
        <f>IFERROR(__xludf.DUMMYFUNCTION("""COMPUTED_VALUE"""),0.0364)</f>
        <v>0.0364</v>
      </c>
      <c r="L74" s="135">
        <f t="shared" si="15"/>
        <v>189.9</v>
      </c>
      <c r="M74" s="135">
        <f t="shared" si="16"/>
        <v>6.91</v>
      </c>
      <c r="N74" s="136">
        <f t="shared" si="17"/>
        <v>0.05323722384</v>
      </c>
      <c r="O74" s="178" t="str">
        <f>IFERROR(__xludf.DUMMYFUNCTION("LET(t, A74,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"),"6.91 (3.64%)")</f>
        <v>6.91 (3.64%)</v>
      </c>
      <c r="Q74" s="417"/>
      <c r="S74" s="404" t="str">
        <f t="array" ref="S74">IF(ISBLANK(R74),"",COUNTIF({$A$2:$A$31; $A$35:$A$64; $A$68:$A$97; $A$101:$A$130; A$134:A$163; $A$167:$A$196; $A$200:$A$229; $A$233:$A$262; $A$266:$A$295; $A$299:$A$328; $A$332:$A$361; $A$365:$A$435; 'Super Investors Buys'!$C$7:$C$56}, R74))</f>
        <v/>
      </c>
      <c r="AA74" s="186"/>
    </row>
    <row r="75">
      <c r="A75" s="149" t="s">
        <v>360</v>
      </c>
      <c r="B75" s="128" t="str">
        <f>IFERROR(__xludf.DUMMYFUNCTION("IF(ISBLANK(A75),"""", googlefinance(A75, ""name""))"),"Wendy's Co")</f>
        <v>Wendy's Co</v>
      </c>
      <c r="C75" s="129" t="str">
        <f t="shared" si="13"/>
        <v>View</v>
      </c>
      <c r="D75" s="176">
        <v>9.0</v>
      </c>
      <c r="E75" s="132">
        <f>IFERROR(__xludf.DUMMYFUNCTION("IF(ISBLANK(A75),"""", googlefinance(A75, ""price""))"),7.25)</f>
        <v>7.25</v>
      </c>
      <c r="F75" s="213" t="s">
        <v>101</v>
      </c>
      <c r="G75" s="213" t="s">
        <v>134</v>
      </c>
      <c r="H75" s="402" t="s">
        <v>113</v>
      </c>
      <c r="I75" s="136">
        <f t="shared" si="14"/>
        <v>0.02025144127</v>
      </c>
      <c r="J75" s="140">
        <f>IFERROR(__xludf.DUMMYFUNCTION("IfError(IF(isblank(A75),"""",split(O75, ""()"")))"),0.56)</f>
        <v>0.56</v>
      </c>
      <c r="K75" s="136">
        <f>IFERROR(__xludf.DUMMYFUNCTION("""COMPUTED_VALUE"""),0.0772)</f>
        <v>0.0772</v>
      </c>
      <c r="L75" s="135">
        <f t="shared" si="15"/>
        <v>65.25</v>
      </c>
      <c r="M75" s="135">
        <f t="shared" si="16"/>
        <v>5.04</v>
      </c>
      <c r="N75" s="136">
        <f t="shared" si="17"/>
        <v>0.03883004459</v>
      </c>
      <c r="O75" s="178" t="str">
        <f>IFERROR(__xludf.DUMMYFUNCTION("LET(t, A75,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"),"0.56 (7.72%)")</f>
        <v>0.56 (7.72%)</v>
      </c>
      <c r="Q75" s="417"/>
      <c r="S75" s="404" t="str">
        <f t="array" ref="S75">IF(ISBLANK(R75),"",COUNTIF({$A$2:$A$31; $A$35:$A$64; $A$68:$A$97; $A$101:$A$130; A$134:A$163; $A$167:$A$196; $A$200:$A$229; $A$233:$A$262; $A$266:$A$295; $A$299:$A$328; $A$332:$A$361; $A$365:$A$435; 'Super Investors Buys'!$C$7:$C$56}, R75))</f>
        <v/>
      </c>
      <c r="AA75" s="186"/>
    </row>
    <row r="76">
      <c r="A76" s="149" t="s">
        <v>311</v>
      </c>
      <c r="B76" s="128" t="str">
        <f>IFERROR(__xludf.DUMMYFUNCTION("IF(ISBLANK(A76),"""", googlefinance(A76, ""name""))"),"Altria Group Inc")</f>
        <v>Altria Group Inc</v>
      </c>
      <c r="C76" s="129" t="str">
        <f t="shared" si="13"/>
        <v>View</v>
      </c>
      <c r="D76" s="176">
        <v>2.0</v>
      </c>
      <c r="E76" s="132">
        <f>IFERROR(__xludf.DUMMYFUNCTION("IF(ISBLANK(A76),"""", googlefinance(A76, ""price""))"),66.98)</f>
        <v>66.98</v>
      </c>
      <c r="F76" s="213" t="s">
        <v>101</v>
      </c>
      <c r="G76" s="213" t="s">
        <v>134</v>
      </c>
      <c r="H76" s="213" t="s">
        <v>113</v>
      </c>
      <c r="I76" s="136">
        <f t="shared" si="14"/>
        <v>0.04157675208</v>
      </c>
      <c r="J76" s="140">
        <f>IFERROR(__xludf.DUMMYFUNCTION("IfError(IF(isblank(A76),"""",split(O76, ""()"")))"),4.16)</f>
        <v>4.16</v>
      </c>
      <c r="K76" s="136">
        <f>IFERROR(__xludf.DUMMYFUNCTION("""COMPUTED_VALUE"""),0.0621)</f>
        <v>0.0621</v>
      </c>
      <c r="L76" s="135">
        <f t="shared" si="15"/>
        <v>133.96</v>
      </c>
      <c r="M76" s="135">
        <f t="shared" si="16"/>
        <v>8.32</v>
      </c>
      <c r="N76" s="136">
        <f t="shared" si="17"/>
        <v>0.06410039107</v>
      </c>
      <c r="O76" s="178" t="str">
        <f>IFERROR(__xludf.DUMMYFUNCTION("LET(t, A76,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"),"4.16 (6.21%)")</f>
        <v>4.16 (6.21%)</v>
      </c>
      <c r="Q76" s="417"/>
      <c r="S76" s="404" t="str">
        <f t="array" ref="S76">IF(ISBLANK(R76),"",COUNTIF({$A$2:$A$31; $A$35:$A$64; $A$68:$A$97; $A$101:$A$130; A$134:A$163; $A$167:$A$196; $A$200:$A$229; $A$233:$A$262; $A$266:$A$295; $A$299:$A$328; $A$332:$A$361; $A$365:$A$435; 'Super Investors Buys'!$C$7:$C$56}, R76))</f>
        <v/>
      </c>
      <c r="AA76" s="186"/>
    </row>
    <row r="77">
      <c r="A77" s="149" t="s">
        <v>318</v>
      </c>
      <c r="B77" s="128" t="str">
        <f>IFERROR(__xludf.DUMMYFUNCTION("IF(ISBLANK(A77),"""", googlefinance(A77, ""name""))"),"Comcast Corp")</f>
        <v>Comcast Corp</v>
      </c>
      <c r="C77" s="129" t="str">
        <f t="shared" si="13"/>
        <v>View</v>
      </c>
      <c r="D77" s="176">
        <v>3.25</v>
      </c>
      <c r="E77" s="132">
        <f>IFERROR(__xludf.DUMMYFUNCTION("IF(ISBLANK(A77),"""", googlefinance(A77, ""price""))"),31.6)</f>
        <v>31.6</v>
      </c>
      <c r="F77" s="213" t="s">
        <v>101</v>
      </c>
      <c r="G77" s="213" t="s">
        <v>134</v>
      </c>
      <c r="H77" s="402" t="s">
        <v>113</v>
      </c>
      <c r="I77" s="136">
        <f t="shared" si="14"/>
        <v>0.03187468228</v>
      </c>
      <c r="J77" s="140" t="str">
        <f>IFERROR(__xludf.DUMMYFUNCTION("IfError(IF(isblank(A77),"""",split(O77, ""()"")))"),"")</f>
        <v/>
      </c>
      <c r="K77" s="136"/>
      <c r="L77" s="135">
        <f t="shared" si="15"/>
        <v>102.7</v>
      </c>
      <c r="M77" s="135">
        <f t="shared" si="16"/>
        <v>0</v>
      </c>
      <c r="N77" s="136">
        <f t="shared" si="17"/>
        <v>0</v>
      </c>
      <c r="O77" s="178" t="str">
        <f>IFERROR(__xludf.DUMMYFUNCTION("LET(t, A77,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77" s="417"/>
      <c r="S77" s="404" t="str">
        <f t="array" ref="S77">IF(ISBLANK(R77),"",COUNTIF({$A$2:$A$31; $A$35:$A$64; $A$68:$A$97; $A$101:$A$130; A$134:A$163; $A$167:$A$196; $A$200:$A$229; $A$233:$A$262; $A$266:$A$295; $A$299:$A$328; $A$332:$A$361; $A$365:$A$435; 'Super Investors Buys'!$C$7:$C$56}, R77))</f>
        <v/>
      </c>
      <c r="AA77" s="186"/>
    </row>
    <row r="78">
      <c r="A78" s="149" t="s">
        <v>361</v>
      </c>
      <c r="B78" s="128" t="str">
        <f>IFERROR(__xludf.DUMMYFUNCTION("IF(ISBLANK(A78),"""", googlefinance(A78, ""name""))"),"Crown Castle Inc")</f>
        <v>Crown Castle Inc</v>
      </c>
      <c r="C78" s="129" t="str">
        <f t="shared" si="13"/>
        <v>View</v>
      </c>
      <c r="D78" s="176">
        <v>1.0</v>
      </c>
      <c r="E78" s="132">
        <f>IFERROR(__xludf.DUMMYFUNCTION("IF(ISBLANK(A78),"""", googlefinance(A78, ""price""))"),90.11)</f>
        <v>90.11</v>
      </c>
      <c r="F78" s="213" t="s">
        <v>101</v>
      </c>
      <c r="G78" s="213" t="s">
        <v>134</v>
      </c>
      <c r="H78" s="213" t="s">
        <v>113</v>
      </c>
      <c r="I78" s="136">
        <f t="shared" si="14"/>
        <v>0.02796716281</v>
      </c>
      <c r="J78" s="140">
        <f>IFERROR(__xludf.DUMMYFUNCTION("IfError(IF(isblank(A78),"""",split(O78, ""()"")))"),4.75)</f>
        <v>4.75</v>
      </c>
      <c r="K78" s="136">
        <f>IFERROR(__xludf.DUMMYFUNCTION("""COMPUTED_VALUE"""),0.0527)</f>
        <v>0.0527</v>
      </c>
      <c r="L78" s="135">
        <f t="shared" si="15"/>
        <v>90.11</v>
      </c>
      <c r="M78" s="135">
        <f t="shared" si="16"/>
        <v>4.75</v>
      </c>
      <c r="N78" s="136">
        <f t="shared" si="17"/>
        <v>0.03659577615</v>
      </c>
      <c r="O78" s="178" t="str">
        <f>IFERROR(__xludf.DUMMYFUNCTION("LET(t, A78,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"),"4.75 (5.27%)")</f>
        <v>4.75 (5.27%)</v>
      </c>
      <c r="Q78" s="417"/>
      <c r="S78" s="404" t="str">
        <f t="array" ref="S78">IF(ISBLANK(R78),"",COUNTIF({$A$2:$A$31; $A$35:$A$64; $A$68:$A$97; $A$101:$A$130; A$134:A$163; $A$167:$A$196; $A$200:$A$229; $A$233:$A$262; $A$266:$A$295; $A$299:$A$328; $A$332:$A$361; $A$365:$A$435; 'Super Investors Buys'!$C$7:$C$56}, R78))</f>
        <v/>
      </c>
      <c r="AA78" s="186"/>
    </row>
    <row r="79">
      <c r="A79" s="149" t="s">
        <v>362</v>
      </c>
      <c r="B79" s="128" t="str">
        <f>IFERROR(__xludf.DUMMYFUNCTION("IF(ISBLANK(A79),"""", googlefinance(A79, ""name""))"),"Ford Motor Co")</f>
        <v>Ford Motor Co</v>
      </c>
      <c r="C79" s="129" t="str">
        <f t="shared" si="13"/>
        <v>View</v>
      </c>
      <c r="D79" s="176">
        <v>10.0</v>
      </c>
      <c r="E79" s="132">
        <f>IFERROR(__xludf.DUMMYFUNCTION("IF(ISBLANK(A79),"""", googlefinance(A79, ""price""))"),12.34)</f>
        <v>12.34</v>
      </c>
      <c r="F79" s="213" t="s">
        <v>101</v>
      </c>
      <c r="G79" s="213" t="s">
        <v>134</v>
      </c>
      <c r="H79" s="213" t="s">
        <v>113</v>
      </c>
      <c r="I79" s="136">
        <f t="shared" si="14"/>
        <v>0.03829927744</v>
      </c>
      <c r="J79" s="140">
        <f>IFERROR(__xludf.DUMMYFUNCTION("IfError(IF(isblank(A79),"""",split(O79, ""()"")))"),0.6)</f>
        <v>0.6</v>
      </c>
      <c r="K79" s="136">
        <f>IFERROR(__xludf.DUMMYFUNCTION("""COMPUTED_VALUE"""),0.0486)</f>
        <v>0.0486</v>
      </c>
      <c r="L79" s="135">
        <f t="shared" si="15"/>
        <v>123.4</v>
      </c>
      <c r="M79" s="135">
        <f t="shared" si="16"/>
        <v>6</v>
      </c>
      <c r="N79" s="136">
        <f t="shared" si="17"/>
        <v>0.04622624356</v>
      </c>
      <c r="O79" s="178" t="str">
        <f>IFERROR(__xludf.DUMMYFUNCTION("LET(t, A79,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"),"0.60 (4.86%)")</f>
        <v>0.60 (4.86%)</v>
      </c>
      <c r="Q79" s="417"/>
      <c r="S79" s="404" t="str">
        <f t="array" ref="S79">IF(ISBLANK(R79),"",COUNTIF({$A$2:$A$31; $A$35:$A$64; $A$68:$A$97; $A$101:$A$130; A$134:A$163; $A$167:$A$196; $A$200:$A$229; $A$233:$A$262; $A$266:$A$295; $A$299:$A$328; $A$332:$A$361; $A$365:$A$435; 'Super Investors Buys'!$C$7:$C$56}, R79))</f>
        <v/>
      </c>
      <c r="AA79" s="186"/>
    </row>
    <row r="80">
      <c r="A80" s="149" t="s">
        <v>363</v>
      </c>
      <c r="B80" s="128" t="str">
        <f>IFERROR(__xludf.DUMMYFUNCTION("IF(ISBLANK(A80),"""", googlefinance(A80, ""name""))"),"Bristol-Myers Squibb Co")</f>
        <v>Bristol-Myers Squibb Co</v>
      </c>
      <c r="C80" s="129" t="str">
        <f t="shared" si="13"/>
        <v>View</v>
      </c>
      <c r="D80" s="176">
        <v>1.86</v>
      </c>
      <c r="E80" s="132">
        <f>IFERROR(__xludf.DUMMYFUNCTION("IF(ISBLANK(A80),"""", googlefinance(A80, ""price""))"),60.74)</f>
        <v>60.74</v>
      </c>
      <c r="F80" s="213" t="s">
        <v>101</v>
      </c>
      <c r="G80" s="213" t="s">
        <v>134</v>
      </c>
      <c r="H80" s="213" t="s">
        <v>113</v>
      </c>
      <c r="I80" s="136">
        <f t="shared" si="14"/>
        <v>0.03506413686</v>
      </c>
      <c r="J80" s="140">
        <f>IFERROR(__xludf.DUMMYFUNCTION("IfError(IF(isblank(A80),"""",split(O80, ""()"")))"),2.49)</f>
        <v>2.49</v>
      </c>
      <c r="K80" s="136">
        <f>IFERROR(__xludf.DUMMYFUNCTION("""COMPUTED_VALUE"""),0.041)</f>
        <v>0.041</v>
      </c>
      <c r="L80" s="135">
        <f t="shared" si="15"/>
        <v>112.9764</v>
      </c>
      <c r="M80" s="135">
        <f t="shared" si="16"/>
        <v>4.6314</v>
      </c>
      <c r="N80" s="136">
        <f t="shared" si="17"/>
        <v>0.03568203741</v>
      </c>
      <c r="O80" s="178" t="str">
        <f>IFERROR(__xludf.DUMMYFUNCTION("LET(t, A80,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"),"2.49 (4.10%)")</f>
        <v>2.49 (4.10%)</v>
      </c>
      <c r="Q80" s="417"/>
      <c r="S80" s="404" t="str">
        <f t="array" ref="S80">IF(ISBLANK(R80),"",COUNTIF({$A$2:$A$31; $A$35:$A$64; $A$68:$A$97; $A$101:$A$130; A$134:A$163; $A$167:$A$196; $A$200:$A$229; $A$233:$A$262; $A$266:$A$295; $A$299:$A$328; $A$332:$A$361; $A$365:$A$435; 'Super Investors Buys'!$C$7:$C$56}, R80))</f>
        <v/>
      </c>
      <c r="AA80" s="186"/>
    </row>
    <row r="81">
      <c r="A81" s="149" t="s">
        <v>351</v>
      </c>
      <c r="B81" s="128" t="str">
        <f>IFERROR(__xludf.DUMMYFUNCTION("IF(ISBLANK(A81),"""", googlefinance(A81, ""name""))"),"Pfizer Inc")</f>
        <v>Pfizer Inc</v>
      </c>
      <c r="C81" s="129" t="str">
        <f t="shared" si="13"/>
        <v>View</v>
      </c>
      <c r="D81" s="176">
        <v>4.0</v>
      </c>
      <c r="E81" s="132">
        <f>IFERROR(__xludf.DUMMYFUNCTION("IF(ISBLANK(A81),"""", googlefinance(A81, ""price""))"),26.61)</f>
        <v>26.61</v>
      </c>
      <c r="F81" s="213" t="s">
        <v>101</v>
      </c>
      <c r="G81" s="213" t="s">
        <v>134</v>
      </c>
      <c r="H81" s="213" t="s">
        <v>113</v>
      </c>
      <c r="I81" s="136">
        <f t="shared" si="14"/>
        <v>0.03303545455</v>
      </c>
      <c r="J81" s="140">
        <f>IFERROR(__xludf.DUMMYFUNCTION("IfError(IF(isblank(A81),"""",split(O81, ""()"")))"),1.72)</f>
        <v>1.72</v>
      </c>
      <c r="K81" s="136">
        <f>IFERROR(__xludf.DUMMYFUNCTION("""COMPUTED_VALUE"""),0.0646)</f>
        <v>0.0646</v>
      </c>
      <c r="L81" s="135">
        <f t="shared" si="15"/>
        <v>106.44</v>
      </c>
      <c r="M81" s="135">
        <f t="shared" si="16"/>
        <v>6.88</v>
      </c>
      <c r="N81" s="136">
        <f t="shared" si="17"/>
        <v>0.05300609262</v>
      </c>
      <c r="O81" s="178" t="str">
        <f>IFERROR(__xludf.DUMMYFUNCTION("LET(t, A81,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"),"1.72 (6.46%)")</f>
        <v>1.72 (6.46%)</v>
      </c>
      <c r="Q81" s="417"/>
      <c r="S81" s="404" t="str">
        <f t="array" ref="S81">IF(ISBLANK(R81),"",COUNTIF({$A$2:$A$31; $A$35:$A$64; $A$68:$A$97; $A$101:$A$130; A$134:A$163; $A$167:$A$196; $A$200:$A$229; $A$233:$A$262; $A$266:$A$295; $A$299:$A$328; $A$332:$A$361; $A$365:$A$435; 'Super Investors Buys'!$C$7:$C$56}, R81))</f>
        <v/>
      </c>
      <c r="AA81" s="186"/>
    </row>
    <row r="82">
      <c r="A82" s="149"/>
      <c r="B82" s="128" t="str">
        <f>IFERROR(__xludf.DUMMYFUNCTION("IF(ISBLANK(A82),"""", googlefinance(A82, ""name""))"),"")</f>
        <v/>
      </c>
      <c r="C82" s="175" t="str">
        <f t="shared" si="13"/>
        <v/>
      </c>
      <c r="D82" s="176"/>
      <c r="E82" s="132" t="str">
        <f>IFERROR(__xludf.DUMMYFUNCTION("IF(ISBLANK(A82),"""", googlefinance(A82, ""price""))"),"")</f>
        <v/>
      </c>
      <c r="F82" s="213" t="s">
        <v>133</v>
      </c>
      <c r="G82" s="213" t="s">
        <v>134</v>
      </c>
      <c r="H82" s="213" t="s">
        <v>134</v>
      </c>
      <c r="I82" s="136" t="str">
        <f t="shared" si="14"/>
        <v/>
      </c>
      <c r="J82" s="140" t="str">
        <f>IFERROR(__xludf.DUMMYFUNCTION("IfError(IF(isblank(A82),"""",split(O82, ""()"")))"),"")</f>
        <v/>
      </c>
      <c r="K82" s="136"/>
      <c r="L82" s="135" t="str">
        <f t="shared" si="15"/>
        <v/>
      </c>
      <c r="M82" s="135" t="str">
        <f t="shared" si="16"/>
        <v/>
      </c>
      <c r="N82" s="136" t="str">
        <f t="shared" si="17"/>
        <v/>
      </c>
      <c r="O82" s="178" t="str">
        <f>IFERROR(__xludf.DUMMYFUNCTION("LET(t, A82,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82" s="417"/>
      <c r="S82" s="404" t="str">
        <f t="array" ref="S82">IF(ISBLANK(R82),"",COUNTIF({$A$2:$A$31; $A$35:$A$64; $A$68:$A$97; $A$101:$A$130; A$134:A$163; $A$167:$A$196; $A$200:$A$229; $A$233:$A$262; $A$266:$A$295; $A$299:$A$328; $A$332:$A$361; $A$365:$A$435; 'Super Investors Buys'!$C$7:$C$56}, R82))</f>
        <v/>
      </c>
      <c r="AA82" s="186"/>
    </row>
    <row r="83">
      <c r="A83" s="149"/>
      <c r="B83" s="128" t="str">
        <f>IFERROR(__xludf.DUMMYFUNCTION("IF(ISBLANK(A83),"""", googlefinance(A83, ""name""))"),"")</f>
        <v/>
      </c>
      <c r="C83" s="175" t="str">
        <f t="shared" si="13"/>
        <v/>
      </c>
      <c r="D83" s="176"/>
      <c r="E83" s="132" t="str">
        <f>IFERROR(__xludf.DUMMYFUNCTION("IF(ISBLANK(A83),"""", googlefinance(A83, ""price""))"),"")</f>
        <v/>
      </c>
      <c r="F83" s="213" t="s">
        <v>133</v>
      </c>
      <c r="G83" s="213" t="s">
        <v>134</v>
      </c>
      <c r="H83" s="213" t="s">
        <v>134</v>
      </c>
      <c r="I83" s="136" t="str">
        <f t="shared" si="14"/>
        <v/>
      </c>
      <c r="J83" s="140" t="str">
        <f>IFERROR(__xludf.DUMMYFUNCTION("IfError(IF(isblank(A83),"""",split(O83, ""()"")))"),"")</f>
        <v/>
      </c>
      <c r="K83" s="136"/>
      <c r="L83" s="135" t="str">
        <f t="shared" si="15"/>
        <v/>
      </c>
      <c r="M83" s="135" t="str">
        <f t="shared" si="16"/>
        <v/>
      </c>
      <c r="N83" s="136" t="str">
        <f t="shared" si="17"/>
        <v/>
      </c>
      <c r="O83" s="178" t="str">
        <f>IFERROR(__xludf.DUMMYFUNCTION("LET(t, A83,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83" s="417"/>
      <c r="S83" s="404" t="str">
        <f t="array" ref="S83">IF(ISBLANK(R83),"",COUNTIF({$A$2:$A$31; $A$35:$A$64; $A$68:$A$97; $A$101:$A$130; A$134:A$163; $A$167:$A$196; $A$200:$A$229; $A$233:$A$262; $A$266:$A$295; $A$299:$A$328; $A$332:$A$361; $A$365:$A$435; 'Super Investors Buys'!$C$7:$C$56}, R83))</f>
        <v/>
      </c>
      <c r="AA83" s="186"/>
    </row>
    <row r="84">
      <c r="A84" s="149"/>
      <c r="B84" s="128" t="str">
        <f>IFERROR(__xludf.DUMMYFUNCTION("IF(ISBLANK(A84),"""", googlefinance(A84, ""name""))"),"")</f>
        <v/>
      </c>
      <c r="C84" s="175" t="str">
        <f t="shared" si="13"/>
        <v/>
      </c>
      <c r="D84" s="176"/>
      <c r="E84" s="132" t="str">
        <f>IFERROR(__xludf.DUMMYFUNCTION("IF(ISBLANK(A84),"""", googlefinance(A84, ""price""))"),"")</f>
        <v/>
      </c>
      <c r="F84" s="213" t="s">
        <v>133</v>
      </c>
      <c r="G84" s="213" t="s">
        <v>134</v>
      </c>
      <c r="H84" s="213" t="s">
        <v>134</v>
      </c>
      <c r="I84" s="136" t="str">
        <f t="shared" si="14"/>
        <v/>
      </c>
      <c r="J84" s="140" t="str">
        <f>IFERROR(__xludf.DUMMYFUNCTION("IfError(IF(isblank(A84),"""",split(O84, ""()"")))"),"")</f>
        <v/>
      </c>
      <c r="K84" s="136"/>
      <c r="L84" s="135" t="str">
        <f t="shared" si="15"/>
        <v/>
      </c>
      <c r="M84" s="135" t="str">
        <f t="shared" si="16"/>
        <v/>
      </c>
      <c r="N84" s="136" t="str">
        <f t="shared" si="17"/>
        <v/>
      </c>
      <c r="O84" s="178" t="str">
        <f>IFERROR(__xludf.DUMMYFUNCTION("LET(t, A84,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84" s="417"/>
      <c r="S84" s="404" t="str">
        <f t="array" ref="S84">IF(ISBLANK(R84),"",COUNTIF({$A$2:$A$31; $A$35:$A$64; $A$68:$A$97; $A$101:$A$130; A$134:A$163; $A$167:$A$196; $A$200:$A$229; $A$233:$A$262; $A$266:$A$295; $A$299:$A$328; $A$332:$A$361; $A$365:$A$435; 'Super Investors Buys'!$C$7:$C$56}, R84))</f>
        <v/>
      </c>
      <c r="AA84" s="186"/>
    </row>
    <row r="85">
      <c r="A85" s="149"/>
      <c r="B85" s="128" t="str">
        <f>IFERROR(__xludf.DUMMYFUNCTION("IF(ISBLANK(A85),"""", googlefinance(A85, ""name""))"),"")</f>
        <v/>
      </c>
      <c r="C85" s="175" t="str">
        <f t="shared" si="13"/>
        <v/>
      </c>
      <c r="D85" s="176"/>
      <c r="E85" s="132" t="str">
        <f>IFERROR(__xludf.DUMMYFUNCTION("IF(ISBLANK(A85),"""", googlefinance(A85, ""price""))"),"")</f>
        <v/>
      </c>
      <c r="F85" s="213" t="s">
        <v>133</v>
      </c>
      <c r="G85" s="213" t="s">
        <v>134</v>
      </c>
      <c r="H85" s="213" t="s">
        <v>134</v>
      </c>
      <c r="I85" s="136" t="str">
        <f t="shared" si="14"/>
        <v/>
      </c>
      <c r="J85" s="140" t="str">
        <f>IFERROR(__xludf.DUMMYFUNCTION("IfError(IF(isblank(A85),"""",split(O85, ""()"")))"),"")</f>
        <v/>
      </c>
      <c r="K85" s="136"/>
      <c r="L85" s="135" t="str">
        <f t="shared" si="15"/>
        <v/>
      </c>
      <c r="M85" s="135" t="str">
        <f t="shared" si="16"/>
        <v/>
      </c>
      <c r="N85" s="136" t="str">
        <f t="shared" si="17"/>
        <v/>
      </c>
      <c r="O85" s="178" t="str">
        <f>IFERROR(__xludf.DUMMYFUNCTION("LET(t, A85,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85" s="417"/>
      <c r="S85" s="404" t="str">
        <f t="array" ref="S85">IF(ISBLANK(R85),"",COUNTIF({$A$2:$A$31; $A$35:$A$64; $A$68:$A$97; $A$101:$A$130; A$134:A$163; $A$167:$A$196; $A$200:$A$229; $A$233:$A$262; $A$266:$A$295; $A$299:$A$328; $A$332:$A$361; $A$365:$A$435; 'Super Investors Buys'!$C$7:$C$56}, R85))</f>
        <v/>
      </c>
      <c r="AA85" s="186"/>
    </row>
    <row r="86">
      <c r="A86" s="149"/>
      <c r="B86" s="128" t="str">
        <f>IFERROR(__xludf.DUMMYFUNCTION("IF(ISBLANK(A86),"""", googlefinance(A86, ""name""))"),"")</f>
        <v/>
      </c>
      <c r="C86" s="175" t="str">
        <f t="shared" si="13"/>
        <v/>
      </c>
      <c r="D86" s="176"/>
      <c r="E86" s="132" t="str">
        <f>IFERROR(__xludf.DUMMYFUNCTION("IF(ISBLANK(A86),"""", googlefinance(A86, ""price""))"),"")</f>
        <v/>
      </c>
      <c r="F86" s="213" t="s">
        <v>133</v>
      </c>
      <c r="G86" s="213" t="s">
        <v>134</v>
      </c>
      <c r="H86" s="213" t="s">
        <v>134</v>
      </c>
      <c r="I86" s="136" t="str">
        <f t="shared" si="14"/>
        <v/>
      </c>
      <c r="J86" s="140" t="str">
        <f>IFERROR(__xludf.DUMMYFUNCTION("IfError(IF(isblank(A86),"""",split(O86, ""()"")))"),"")</f>
        <v/>
      </c>
      <c r="K86" s="136"/>
      <c r="L86" s="135" t="str">
        <f t="shared" si="15"/>
        <v/>
      </c>
      <c r="M86" s="135" t="str">
        <f t="shared" si="16"/>
        <v/>
      </c>
      <c r="N86" s="136" t="str">
        <f t="shared" si="17"/>
        <v/>
      </c>
      <c r="O86" s="178" t="str">
        <f>IFERROR(__xludf.DUMMYFUNCTION("LET(t, A86,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86" s="417"/>
      <c r="S86" s="404" t="str">
        <f t="array" ref="S86">IF(ISBLANK(R86),"",COUNTIF({$A$2:$A$31; $A$35:$A$64; $A$68:$A$97; $A$101:$A$130; A$134:A$163; $A$167:$A$196; $A$200:$A$229; $A$233:$A$262; $A$266:$A$295; $A$299:$A$328; $A$332:$A$361; $A$365:$A$435; 'Super Investors Buys'!$C$7:$C$56}, R86))</f>
        <v/>
      </c>
      <c r="AA86" s="186"/>
    </row>
    <row r="87">
      <c r="A87" s="149"/>
      <c r="B87" s="128" t="str">
        <f>IFERROR(__xludf.DUMMYFUNCTION("IF(ISBLANK(A87),"""", googlefinance(A87, ""name""))"),"")</f>
        <v/>
      </c>
      <c r="C87" s="175" t="str">
        <f t="shared" si="13"/>
        <v/>
      </c>
      <c r="D87" s="176"/>
      <c r="E87" s="132" t="str">
        <f>IFERROR(__xludf.DUMMYFUNCTION("IF(ISBLANK(A87),"""", googlefinance(A87, ""price""))"),"")</f>
        <v/>
      </c>
      <c r="F87" s="213" t="s">
        <v>133</v>
      </c>
      <c r="G87" s="213" t="s">
        <v>134</v>
      </c>
      <c r="H87" s="213" t="s">
        <v>134</v>
      </c>
      <c r="I87" s="136" t="str">
        <f t="shared" si="14"/>
        <v/>
      </c>
      <c r="J87" s="140" t="str">
        <f>IFERROR(__xludf.DUMMYFUNCTION("IfError(IF(isblank(A87),"""",split(O87, ""()"")))"),"")</f>
        <v/>
      </c>
      <c r="K87" s="136"/>
      <c r="L87" s="135" t="str">
        <f t="shared" si="15"/>
        <v/>
      </c>
      <c r="M87" s="135" t="str">
        <f t="shared" si="16"/>
        <v/>
      </c>
      <c r="N87" s="136" t="str">
        <f t="shared" si="17"/>
        <v/>
      </c>
      <c r="O87" s="178" t="str">
        <f>IFERROR(__xludf.DUMMYFUNCTION("LET(t, A87,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87" s="417"/>
      <c r="S87" s="404" t="str">
        <f t="array" ref="S87">IF(ISBLANK(R87),"",COUNTIF({$A$2:$A$31; $A$35:$A$64; $A$68:$A$97; $A$101:$A$130; A$134:A$163; $A$167:$A$196; $A$200:$A$229; $A$233:$A$262; $A$266:$A$295; $A$299:$A$328; $A$332:$A$361; $A$365:$A$435; 'Super Investors Buys'!$C$7:$C$56}, R87))</f>
        <v/>
      </c>
      <c r="AA87" s="186"/>
    </row>
    <row r="88">
      <c r="A88" s="149"/>
      <c r="B88" s="128" t="str">
        <f>IFERROR(__xludf.DUMMYFUNCTION("IF(ISBLANK(A88),"""", googlefinance(A88, ""name""))"),"")</f>
        <v/>
      </c>
      <c r="C88" s="175" t="str">
        <f t="shared" si="13"/>
        <v/>
      </c>
      <c r="D88" s="176"/>
      <c r="E88" s="132" t="str">
        <f>IFERROR(__xludf.DUMMYFUNCTION("IF(ISBLANK(A88),"""", googlefinance(A88, ""price""))"),"")</f>
        <v/>
      </c>
      <c r="F88" s="213" t="s">
        <v>133</v>
      </c>
      <c r="G88" s="213" t="s">
        <v>134</v>
      </c>
      <c r="H88" s="213" t="s">
        <v>134</v>
      </c>
      <c r="I88" s="136" t="str">
        <f t="shared" si="14"/>
        <v/>
      </c>
      <c r="J88" s="140" t="str">
        <f>IFERROR(__xludf.DUMMYFUNCTION("IfError(IF(isblank(A88),"""",split(O88, ""()"")))"),"")</f>
        <v/>
      </c>
      <c r="K88" s="136"/>
      <c r="L88" s="135" t="str">
        <f t="shared" si="15"/>
        <v/>
      </c>
      <c r="M88" s="135" t="str">
        <f t="shared" si="16"/>
        <v/>
      </c>
      <c r="N88" s="136" t="str">
        <f t="shared" si="17"/>
        <v/>
      </c>
      <c r="O88" s="178" t="str">
        <f>IFERROR(__xludf.DUMMYFUNCTION("LET(t, A88,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88" s="417"/>
      <c r="S88" s="404" t="str">
        <f t="array" ref="S88">IF(ISBLANK(R88),"",COUNTIF({$A$2:$A$31; $A$35:$A$64; $A$68:$A$97; $A$101:$A$130; A$134:A$163; $A$167:$A$196; $A$200:$A$229; $A$233:$A$262; $A$266:$A$295; $A$299:$A$328; $A$332:$A$361; $A$365:$A$435; 'Super Investors Buys'!$C$7:$C$56}, R88))</f>
        <v/>
      </c>
      <c r="AA88" s="186"/>
    </row>
    <row r="89">
      <c r="A89" s="149"/>
      <c r="B89" s="128" t="str">
        <f>IFERROR(__xludf.DUMMYFUNCTION("IF(ISBLANK(A89),"""", googlefinance(A89, ""name""))"),"")</f>
        <v/>
      </c>
      <c r="C89" s="175" t="str">
        <f t="shared" si="13"/>
        <v/>
      </c>
      <c r="D89" s="176"/>
      <c r="E89" s="132" t="str">
        <f>IFERROR(__xludf.DUMMYFUNCTION("IF(ISBLANK(A89),"""", googlefinance(A89, ""price""))"),"")</f>
        <v/>
      </c>
      <c r="F89" s="213" t="s">
        <v>133</v>
      </c>
      <c r="G89" s="213" t="s">
        <v>134</v>
      </c>
      <c r="H89" s="213" t="s">
        <v>134</v>
      </c>
      <c r="I89" s="136" t="str">
        <f t="shared" si="14"/>
        <v/>
      </c>
      <c r="J89" s="140" t="str">
        <f>IFERROR(__xludf.DUMMYFUNCTION("IfError(IF(isblank(A89),"""",split(O89, ""()"")))"),"")</f>
        <v/>
      </c>
      <c r="K89" s="136"/>
      <c r="L89" s="135" t="str">
        <f t="shared" si="15"/>
        <v/>
      </c>
      <c r="M89" s="135" t="str">
        <f t="shared" si="16"/>
        <v/>
      </c>
      <c r="N89" s="136" t="str">
        <f t="shared" si="17"/>
        <v/>
      </c>
      <c r="O89" s="178" t="str">
        <f>IFERROR(__xludf.DUMMYFUNCTION("LET(t, A89,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89" s="417"/>
      <c r="S89" s="404" t="str">
        <f t="array" ref="S89">IF(ISBLANK(R89),"",COUNTIF({$A$2:$A$31; $A$35:$A$64; $A$68:$A$97; $A$101:$A$130; A$134:A$163; $A$167:$A$196; $A$200:$A$229; $A$233:$A$262; $A$266:$A$295; $A$299:$A$328; $A$332:$A$361; $A$365:$A$435; 'Super Investors Buys'!$C$7:$C$56}, R89))</f>
        <v/>
      </c>
      <c r="AA89" s="186"/>
    </row>
    <row r="90">
      <c r="A90" s="149"/>
      <c r="B90" s="128" t="str">
        <f>IFERROR(__xludf.DUMMYFUNCTION("IF(ISBLANK(A90),"""", googlefinance(A90, ""name""))"),"")</f>
        <v/>
      </c>
      <c r="C90" s="175" t="str">
        <f t="shared" si="13"/>
        <v/>
      </c>
      <c r="D90" s="176"/>
      <c r="E90" s="132" t="str">
        <f>IFERROR(__xludf.DUMMYFUNCTION("IF(ISBLANK(A90),"""", googlefinance(A90, ""price""))"),"")</f>
        <v/>
      </c>
      <c r="F90" s="213" t="s">
        <v>133</v>
      </c>
      <c r="G90" s="213" t="s">
        <v>134</v>
      </c>
      <c r="H90" s="213" t="s">
        <v>134</v>
      </c>
      <c r="I90" s="136" t="str">
        <f t="shared" si="14"/>
        <v/>
      </c>
      <c r="J90" s="140" t="str">
        <f>IFERROR(__xludf.DUMMYFUNCTION("IfError(IF(isblank(A90),"""",split(O90, ""()"")))"),"")</f>
        <v/>
      </c>
      <c r="K90" s="136"/>
      <c r="L90" s="135" t="str">
        <f t="shared" si="15"/>
        <v/>
      </c>
      <c r="M90" s="135" t="str">
        <f t="shared" si="16"/>
        <v/>
      </c>
      <c r="N90" s="136" t="str">
        <f t="shared" si="17"/>
        <v/>
      </c>
      <c r="O90" s="178" t="str">
        <f>IFERROR(__xludf.DUMMYFUNCTION("LET(t, A90,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90" s="417"/>
      <c r="S90" s="404" t="str">
        <f t="array" ref="S90">IF(ISBLANK(R90),"",COUNTIF({$A$2:$A$31; $A$35:$A$64; $A$68:$A$97; $A$101:$A$130; A$134:A$163; $A$167:$A$196; $A$200:$A$229; $A$233:$A$262; $A$266:$A$295; $A$299:$A$328; $A$332:$A$361; $A$365:$A$435; 'Super Investors Buys'!$C$7:$C$56}, R90))</f>
        <v/>
      </c>
      <c r="AA90" s="186"/>
    </row>
    <row r="91">
      <c r="A91" s="149"/>
      <c r="B91" s="128" t="str">
        <f>IFERROR(__xludf.DUMMYFUNCTION("IF(ISBLANK(A91),"""", googlefinance(A91, ""name""))"),"")</f>
        <v/>
      </c>
      <c r="C91" s="175" t="str">
        <f t="shared" si="13"/>
        <v/>
      </c>
      <c r="D91" s="176"/>
      <c r="E91" s="132" t="str">
        <f>IFERROR(__xludf.DUMMYFUNCTION("IF(ISBLANK(A91),"""", googlefinance(A91, ""price""))"),"")</f>
        <v/>
      </c>
      <c r="F91" s="213" t="s">
        <v>133</v>
      </c>
      <c r="G91" s="213" t="s">
        <v>134</v>
      </c>
      <c r="H91" s="213" t="s">
        <v>134</v>
      </c>
      <c r="I91" s="136" t="str">
        <f t="shared" si="14"/>
        <v/>
      </c>
      <c r="J91" s="140" t="str">
        <f>IFERROR(__xludf.DUMMYFUNCTION("IfError(IF(isblank(A91),"""",split(O91, ""()"")))"),"")</f>
        <v/>
      </c>
      <c r="K91" s="136"/>
      <c r="L91" s="135" t="str">
        <f t="shared" si="15"/>
        <v/>
      </c>
      <c r="M91" s="135" t="str">
        <f t="shared" si="16"/>
        <v/>
      </c>
      <c r="N91" s="136" t="str">
        <f t="shared" si="17"/>
        <v/>
      </c>
      <c r="O91" s="178" t="str">
        <f>IFERROR(__xludf.DUMMYFUNCTION("LET(t, A91,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91" s="417"/>
      <c r="S91" s="404" t="str">
        <f t="array" ref="S91">IF(ISBLANK(R91),"",COUNTIF({$A$2:$A$31; $A$35:$A$64; $A$68:$A$97; $A$101:$A$130; A$134:A$163; $A$167:$A$196; $A$200:$A$229; $A$233:$A$262; $A$266:$A$295; $A$299:$A$328; $A$332:$A$361; $A$365:$A$435; 'Super Investors Buys'!$C$7:$C$56}, R91))</f>
        <v/>
      </c>
      <c r="AA91" s="186"/>
    </row>
    <row r="92">
      <c r="A92" s="149"/>
      <c r="B92" s="128" t="str">
        <f>IFERROR(__xludf.DUMMYFUNCTION("IF(ISBLANK(A92),"""", googlefinance(A92, ""name""))"),"")</f>
        <v/>
      </c>
      <c r="C92" s="175" t="str">
        <f t="shared" si="13"/>
        <v/>
      </c>
      <c r="D92" s="176"/>
      <c r="E92" s="132" t="str">
        <f>IFERROR(__xludf.DUMMYFUNCTION("IF(ISBLANK(A92),"""", googlefinance(A92, ""price""))"),"")</f>
        <v/>
      </c>
      <c r="F92" s="213" t="s">
        <v>133</v>
      </c>
      <c r="G92" s="213" t="s">
        <v>134</v>
      </c>
      <c r="H92" s="213" t="s">
        <v>134</v>
      </c>
      <c r="I92" s="136" t="str">
        <f t="shared" si="14"/>
        <v/>
      </c>
      <c r="J92" s="140" t="str">
        <f>IFERROR(__xludf.DUMMYFUNCTION("IfError(IF(isblank(A92),"""",split(O92, ""()"")))"),"")</f>
        <v/>
      </c>
      <c r="K92" s="136"/>
      <c r="L92" s="135" t="str">
        <f t="shared" si="15"/>
        <v/>
      </c>
      <c r="M92" s="135" t="str">
        <f t="shared" si="16"/>
        <v/>
      </c>
      <c r="N92" s="136" t="str">
        <f t="shared" si="17"/>
        <v/>
      </c>
      <c r="O92" s="178" t="str">
        <f>IFERROR(__xludf.DUMMYFUNCTION("LET(t, A92,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92" s="417"/>
      <c r="S92" s="404" t="str">
        <f t="array" ref="S92">IF(ISBLANK(R92),"",COUNTIF({$A$2:$A$31; $A$35:$A$64; $A$68:$A$97; $A$101:$A$130; A$134:A$163; $A$167:$A$196; $A$200:$A$229; $A$233:$A$262; $A$266:$A$295; $A$299:$A$328; $A$332:$A$361; $A$365:$A$435; 'Super Investors Buys'!$C$7:$C$56}, R92))</f>
        <v/>
      </c>
      <c r="AA92" s="186"/>
    </row>
    <row r="93">
      <c r="A93" s="149"/>
      <c r="B93" s="128" t="s">
        <v>0</v>
      </c>
      <c r="C93" s="175" t="str">
        <f t="shared" si="13"/>
        <v/>
      </c>
      <c r="D93" s="176"/>
      <c r="E93" s="132" t="str">
        <f>IFERROR(__xludf.DUMMYFUNCTION("IF(ISBLANK(A93),"""", googlefinance(A93, ""price""))"),"")</f>
        <v/>
      </c>
      <c r="F93" s="213" t="s">
        <v>133</v>
      </c>
      <c r="G93" s="213" t="s">
        <v>134</v>
      </c>
      <c r="H93" s="213" t="s">
        <v>134</v>
      </c>
      <c r="I93" s="136" t="str">
        <f t="shared" si="14"/>
        <v/>
      </c>
      <c r="J93" s="140" t="str">
        <f>IFERROR(__xludf.DUMMYFUNCTION("IfError(IF(isblank(A93),"""",split(O93, ""()"")))"),"")</f>
        <v/>
      </c>
      <c r="K93" s="136"/>
      <c r="L93" s="135" t="str">
        <f t="shared" si="15"/>
        <v/>
      </c>
      <c r="M93" s="135" t="str">
        <f t="shared" si="16"/>
        <v/>
      </c>
      <c r="N93" s="136" t="str">
        <f t="shared" si="17"/>
        <v/>
      </c>
      <c r="O93" s="178" t="str">
        <f>IFERROR(__xludf.DUMMYFUNCTION("LET(t, A93,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93" s="417"/>
      <c r="S93" s="404" t="str">
        <f t="array" ref="S93">IF(ISBLANK(R93),"",COUNTIF({$A$2:$A$31; $A$35:$A$64; $A$68:$A$97; $A$101:$A$130; A$134:A$163; $A$167:$A$196; $A$200:$A$229; $A$233:$A$262; $A$266:$A$295; $A$299:$A$328; $A$332:$A$361; $A$365:$A$435; 'Super Investors Buys'!$C$7:$C$56}, R93))</f>
        <v/>
      </c>
      <c r="AA93" s="186"/>
    </row>
    <row r="94">
      <c r="A94" s="149"/>
      <c r="B94" s="128" t="str">
        <f>IFERROR(__xludf.DUMMYFUNCTION("IF(ISBLANK(A94),"""", googlefinance(A94, ""name""))"),"")</f>
        <v/>
      </c>
      <c r="C94" s="175" t="str">
        <f t="shared" si="13"/>
        <v/>
      </c>
      <c r="D94" s="176"/>
      <c r="E94" s="132" t="str">
        <f>IFERROR(__xludf.DUMMYFUNCTION("IF(ISBLANK(A94),"""", googlefinance(A94, ""price""))"),"")</f>
        <v/>
      </c>
      <c r="F94" s="213" t="s">
        <v>133</v>
      </c>
      <c r="G94" s="213" t="s">
        <v>134</v>
      </c>
      <c r="H94" s="213" t="s">
        <v>134</v>
      </c>
      <c r="I94" s="136" t="str">
        <f t="shared" si="14"/>
        <v/>
      </c>
      <c r="J94" s="140" t="str">
        <f>IFERROR(__xludf.DUMMYFUNCTION("IfError(IF(isblank(A94),"""",split(O94, ""()"")))"),"")</f>
        <v/>
      </c>
      <c r="K94" s="136"/>
      <c r="L94" s="135" t="str">
        <f t="shared" si="15"/>
        <v/>
      </c>
      <c r="M94" s="135" t="str">
        <f t="shared" si="16"/>
        <v/>
      </c>
      <c r="N94" s="136" t="str">
        <f t="shared" si="17"/>
        <v/>
      </c>
      <c r="O94" s="178" t="str">
        <f>IFERROR(__xludf.DUMMYFUNCTION("LET(t, A94,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94" s="417"/>
      <c r="S94" s="404" t="str">
        <f t="array" ref="S94">IF(ISBLANK(R94),"",COUNTIF({$A$2:$A$31; $A$35:$A$64; $A$68:$A$97; $A$101:$A$130; A$134:A$163; $A$167:$A$196; $A$200:$A$229; $A$233:$A$262; $A$266:$A$295; $A$299:$A$328; $A$332:$A$361; $A$365:$A$435; 'Super Investors Buys'!$C$7:$C$56}, R94))</f>
        <v/>
      </c>
      <c r="AA94" s="186"/>
    </row>
    <row r="95">
      <c r="A95" s="149"/>
      <c r="B95" s="128"/>
      <c r="C95" s="175"/>
      <c r="D95" s="176"/>
      <c r="E95" s="132"/>
      <c r="F95" s="213" t="s">
        <v>133</v>
      </c>
      <c r="G95" s="213" t="s">
        <v>134</v>
      </c>
      <c r="H95" s="213" t="s">
        <v>134</v>
      </c>
      <c r="I95" s="136"/>
      <c r="J95" s="140"/>
      <c r="K95" s="136"/>
      <c r="L95" s="135"/>
      <c r="M95" s="135"/>
      <c r="N95" s="136" t="str">
        <f t="shared" si="17"/>
        <v/>
      </c>
      <c r="O95" s="178" t="str">
        <f>IFERROR(__xludf.DUMMYFUNCTION("LET(t, A95,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95" s="417"/>
      <c r="S95" s="404" t="str">
        <f t="array" ref="S95">IF(ISBLANK(R95),"",COUNTIF({$A$2:$A$31; $A$35:$A$64; $A$68:$A$97; $A$101:$A$130; A$134:A$163; $A$167:$A$196; $A$200:$A$229; $A$233:$A$262; $A$266:$A$295; $A$299:$A$328; $A$332:$A$361; $A$365:$A$435; 'Super Investors Buys'!$C$7:$C$56}, R95))</f>
        <v/>
      </c>
      <c r="AA95" s="186"/>
    </row>
    <row r="96">
      <c r="A96" s="149"/>
      <c r="B96" s="128"/>
      <c r="C96" s="175"/>
      <c r="D96" s="176"/>
      <c r="E96" s="132"/>
      <c r="F96" s="213" t="s">
        <v>133</v>
      </c>
      <c r="G96" s="213" t="s">
        <v>134</v>
      </c>
      <c r="H96" s="213" t="s">
        <v>134</v>
      </c>
      <c r="I96" s="136"/>
      <c r="J96" s="140"/>
      <c r="K96" s="136"/>
      <c r="L96" s="135"/>
      <c r="M96" s="135"/>
      <c r="N96" s="136" t="str">
        <f t="shared" si="17"/>
        <v/>
      </c>
      <c r="O96" s="178" t="str">
        <f>IFERROR(__xludf.DUMMYFUNCTION("LET(t, A96,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96" s="417"/>
      <c r="S96" s="404" t="str">
        <f t="array" ref="S96">IF(ISBLANK(R96),"",COUNTIF({$A$2:$A$31; $A$35:$A$64; $A$68:$A$97; $A$101:$A$130; A$134:A$163; $A$167:$A$196; $A$200:$A$229; $A$233:$A$262; $A$266:$A$295; $A$299:$A$328; $A$332:$A$361; $A$365:$A$435; 'Super Investors Buys'!$C$7:$C$56}, R96))</f>
        <v/>
      </c>
      <c r="AA96" s="186"/>
    </row>
    <row r="97">
      <c r="A97" s="149"/>
      <c r="B97" s="128"/>
      <c r="C97" s="175"/>
      <c r="D97" s="176"/>
      <c r="E97" s="132"/>
      <c r="F97" s="213" t="s">
        <v>133</v>
      </c>
      <c r="G97" s="213" t="s">
        <v>134</v>
      </c>
      <c r="H97" s="213" t="s">
        <v>134</v>
      </c>
      <c r="I97" s="136"/>
      <c r="J97" s="140"/>
      <c r="K97" s="136"/>
      <c r="L97" s="135"/>
      <c r="M97" s="135"/>
      <c r="N97" s="136" t="str">
        <f t="shared" si="17"/>
        <v/>
      </c>
      <c r="O97" s="178" t="str">
        <f>IFERROR(__xludf.DUMMYFUNCTION("LET(t, A97,
  IF(t="""","""",
    IFERROR(
      SUBSTITUTE(
        INDEX(
          IMPORTXML(
            ""https://finviz.com/quote.ashx?t=""&amp;t&amp;""&amp;ty=dv"",
            ""(//td[normalize-space()='Dividend TTM' or contains(.,'Dividend TTM')]/following-s"&amp;"ibling::td[1])[1]""
          ),1,1),
      ""*"",""""),
      IFERROR(
        SUBSTITUTE(
          INDEX(
            IMPORTXML(
              ""https://finviz.com/quote.ashx?t=""&amp;t,
              ""(//td[normalize-space()='Dividend']/following-sibling"&amp;"::td[1])[1]""
            ),1,1),
        ""*"",""""),
      """")
    )
  )
)
"),"")</f>
        <v/>
      </c>
      <c r="Q97" s="417"/>
      <c r="S97" s="404" t="str">
        <f t="array" ref="S97">IF(ISBLANK(R97),"",COUNTIF({$A$2:$A$31; $A$35:$A$64; $A$68:$A$97; $A$101:$A$130; A$134:A$163; $A$167:$A$196; $A$200:$A$229; $A$233:$A$262; $A$266:$A$295; $A$299:$A$328; $A$332:$A$361; $A$365:$A$435; 'Super Investors Buys'!$C$7:$C$56}, R97))</f>
        <v/>
      </c>
      <c r="AA97" s="186"/>
    </row>
    <row r="98">
      <c r="A98" s="179">
        <f>COUNTA(A68:A97)</f>
        <v>14</v>
      </c>
      <c r="B98" s="180" t="s">
        <v>341</v>
      </c>
      <c r="C98" s="413">
        <v>45444.0</v>
      </c>
      <c r="D98" s="419" t="s">
        <v>364</v>
      </c>
      <c r="E98" s="420"/>
      <c r="F98" s="179"/>
      <c r="G98" s="179"/>
      <c r="H98" s="179"/>
      <c r="I98" s="182">
        <f>SUM(I68:I97)</f>
        <v>1</v>
      </c>
      <c r="J98" s="181"/>
      <c r="K98" s="182">
        <f>M98/L98</f>
        <v>0.04028450839</v>
      </c>
      <c r="L98" s="181">
        <f t="shared" ref="L98:N98" si="18">SUM(L68:L97)</f>
        <v>3221.9929</v>
      </c>
      <c r="M98" s="181">
        <f t="shared" si="18"/>
        <v>129.7964</v>
      </c>
      <c r="N98" s="182">
        <f t="shared" si="18"/>
        <v>1</v>
      </c>
      <c r="O98" s="184"/>
      <c r="Q98" s="417"/>
      <c r="S98" s="404" t="str">
        <f t="array" ref="S98">IF(ISBLANK(R98),"",COUNTIF({$A$2:$A$31; $A$35:$A$64; $A$68:$A$97; $A$101:$A$130; A$134:A$163; $A$167:$A$196; $A$200:$A$229; $A$233:$A$262; $A$266:$A$295; $A$299:$A$328; $A$332:$A$361; $A$365:$A$435; 'Super Investors Buys'!$C$7:$C$56}, R98))</f>
        <v/>
      </c>
    </row>
    <row r="99">
      <c r="A99" s="185"/>
      <c r="B99" s="67"/>
      <c r="C99" s="67"/>
      <c r="D99" s="67"/>
      <c r="E99" s="186"/>
      <c r="F99" s="67"/>
      <c r="G99" s="67"/>
      <c r="H99" s="67"/>
      <c r="I99" s="187"/>
      <c r="J99" s="186"/>
      <c r="K99" s="187"/>
      <c r="L99" s="186"/>
      <c r="M99" s="67"/>
      <c r="N99" s="67"/>
      <c r="Q99" s="417"/>
      <c r="S99" s="404" t="str">
        <f t="array" ref="S99">IF(ISBLANK(R99),"",COUNTIF({$A$2:$A$31; $A$35:$A$64; $A$68:$A$97; $A$101:$A$130; A$134:A$163; $A$167:$A$196; $A$200:$A$229; $A$233:$A$262; $A$266:$A$295; $A$299:$A$328; $A$332:$A$361; $A$365:$A$435; 'Super Investors Buys'!$C$7:$C$56}, R99))</f>
        <v/>
      </c>
      <c r="AA99" s="186"/>
    </row>
    <row r="100">
      <c r="A100" s="116" t="s">
        <v>365</v>
      </c>
      <c r="B100" s="117" t="s">
        <v>72</v>
      </c>
      <c r="C100" s="117" t="s">
        <v>73</v>
      </c>
      <c r="D100" s="117" t="s">
        <v>74</v>
      </c>
      <c r="E100" s="118" t="s">
        <v>76</v>
      </c>
      <c r="F100" s="117" t="s">
        <v>85</v>
      </c>
      <c r="G100" s="117" t="s">
        <v>86</v>
      </c>
      <c r="H100" s="117" t="s">
        <v>87</v>
      </c>
      <c r="I100" s="121" t="s">
        <v>88</v>
      </c>
      <c r="J100" s="118" t="s">
        <v>89</v>
      </c>
      <c r="K100" s="121" t="s">
        <v>12</v>
      </c>
      <c r="L100" s="118" t="s">
        <v>9</v>
      </c>
      <c r="M100" s="117" t="s">
        <v>91</v>
      </c>
      <c r="N100" s="117" t="s">
        <v>92</v>
      </c>
      <c r="O100" s="118" t="s">
        <v>99</v>
      </c>
      <c r="Q100" s="417"/>
      <c r="S100" s="404" t="str">
        <f t="array" ref="S100">IF(ISBLANK(R100),"",COUNTIF({$A$2:$A$31; $A$35:$A$64; $A$68:$A$97; $A$101:$A$130; A$134:A$163; $A$167:$A$196; $A$200:$A$229; $A$233:$A$262; $A$266:$A$295; $A$299:$A$328; $A$332:$A$361; $A$365:$A$435; 'Super Investors Buys'!$C$7:$C$56}, R100))</f>
        <v/>
      </c>
      <c r="AA100" s="186"/>
    </row>
    <row r="101">
      <c r="A101" s="149" t="s">
        <v>312</v>
      </c>
      <c r="B101" s="128" t="str">
        <f>IFERROR(__xludf.DUMMYFUNCTION("IF(ISBLANK(A101),"""", googlefinance(A101, ""name""))"),"AbbVie Common Stock")</f>
        <v>AbbVie Common Stock</v>
      </c>
      <c r="C101" s="129" t="str">
        <f t="shared" ref="C101:C130" si="19">IF(ISBLANK(A101),"", HYPERLINK("https://seekingalpha.com/symbol/" &amp; A101,"View"))</f>
        <v>View</v>
      </c>
      <c r="D101" s="176">
        <v>10.06</v>
      </c>
      <c r="E101" s="132">
        <f>IFERROR(__xludf.DUMMYFUNCTION("IF(ISBLANK(A101),"""", googlefinance(A101, ""price""))"),232.35)</f>
        <v>232.35</v>
      </c>
      <c r="F101" s="213" t="s">
        <v>101</v>
      </c>
      <c r="G101" s="213" t="s">
        <v>134</v>
      </c>
      <c r="H101" s="213" t="s">
        <v>113</v>
      </c>
      <c r="I101" s="136">
        <f t="shared" ref="I101:I130" si="20">if(isblank(A101),"",L101/$L$131)</f>
        <v>0.02293878745</v>
      </c>
      <c r="J101" s="140">
        <f>IFERROR(__xludf.DUMMYFUNCTION("IfError(IF(isblank(A101),"""",split(O101, ""()"")))"),6.65)</f>
        <v>6.65</v>
      </c>
      <c r="K101" s="136">
        <f>IFERROR(__xludf.DUMMYFUNCTION("""COMPUTED_VALUE"""),0.0286)</f>
        <v>0.0286</v>
      </c>
      <c r="L101" s="135">
        <f t="shared" ref="L101:L127" si="21">IF(ISBLANK(A101),"",D101*E101)</f>
        <v>2337.441</v>
      </c>
      <c r="M101" s="135">
        <f t="shared" ref="M101:M127" si="22">IFERROR(IF(ISBLANK(A101),"",D101*J101),"")</f>
        <v>66.899</v>
      </c>
      <c r="N101" s="136">
        <f t="shared" ref="N101:N130" si="23">if(isblank(A101),"",M101/$M$131)</f>
        <v>0.02043883351</v>
      </c>
      <c r="O101" s="178" t="str">
        <f>IFERROR(__xludf.DUMMYFUNCTION("LET(t, A101,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"),"6.65 (2.86%)")</f>
        <v>6.65 (2.86%)</v>
      </c>
      <c r="Q101" s="417"/>
      <c r="S101" s="404" t="str">
        <f t="array" ref="S101">IF(ISBLANK(R101),"",COUNTIF({$A$2:$A$31; $A$35:$A$64; $A$68:$A$97; $A$101:$A$130; A$134:A$163; $A$167:$A$196; $A$200:$A$229; $A$233:$A$262; $A$266:$A$295; $A$299:$A$328; $A$332:$A$361; $A$365:$A$435; 'Super Investors Buys'!$C$7:$C$56}, R101))</f>
        <v/>
      </c>
      <c r="AA101" s="186"/>
    </row>
    <row r="102">
      <c r="A102" s="149" t="s">
        <v>319</v>
      </c>
      <c r="B102" s="128" t="str">
        <f>IFERROR(__xludf.DUMMYFUNCTION("IF(ISBLANK(A102),"""", googlefinance(A102, ""name""))"),"Chevron Corp")</f>
        <v>Chevron Corp</v>
      </c>
      <c r="C102" s="129" t="str">
        <f t="shared" si="19"/>
        <v>View</v>
      </c>
      <c r="D102" s="176">
        <v>19.77</v>
      </c>
      <c r="E102" s="132">
        <f>IFERROR(__xludf.DUMMYFUNCTION("IF(ISBLANK(A102),"""", googlefinance(A102, ""price""))"),189.9)</f>
        <v>189.9</v>
      </c>
      <c r="F102" s="213" t="s">
        <v>101</v>
      </c>
      <c r="G102" s="213" t="s">
        <v>134</v>
      </c>
      <c r="H102" s="213" t="s">
        <v>113</v>
      </c>
      <c r="I102" s="136">
        <f t="shared" si="20"/>
        <v>0.03684354698</v>
      </c>
      <c r="J102" s="140">
        <f>IFERROR(__xludf.DUMMYFUNCTION("IfError(IF(isblank(A102),"""",split(O102, ""()"")))"),6.91)</f>
        <v>6.91</v>
      </c>
      <c r="K102" s="136">
        <f>IFERROR(__xludf.DUMMYFUNCTION("""COMPUTED_VALUE"""),0.0364)</f>
        <v>0.0364</v>
      </c>
      <c r="L102" s="135">
        <f t="shared" si="21"/>
        <v>3754.323</v>
      </c>
      <c r="M102" s="135">
        <f t="shared" si="22"/>
        <v>136.6107</v>
      </c>
      <c r="N102" s="136">
        <f t="shared" si="23"/>
        <v>0.04173699686</v>
      </c>
      <c r="O102" s="178" t="str">
        <f>IFERROR(__xludf.DUMMYFUNCTION("LET(t, A102,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"),"6.91 (3.64%)")</f>
        <v>6.91 (3.64%)</v>
      </c>
      <c r="Q102" s="417"/>
      <c r="S102" s="404" t="str">
        <f t="array" ref="S102">IF(ISBLANK(R102),"",COUNTIF({$A$2:$A$31; $A$35:$A$64; $A$68:$A$97; $A$101:$A$130; A$134:A$163; $A$167:$A$196; $A$200:$A$229; $A$233:$A$262; $A$266:$A$295; $A$299:$A$328; $A$332:$A$361; $A$365:$A$435; 'Super Investors Buys'!$C$7:$C$56}, R102))</f>
        <v/>
      </c>
      <c r="AA102" s="186"/>
    </row>
    <row r="103">
      <c r="A103" s="149" t="s">
        <v>366</v>
      </c>
      <c r="B103" s="128" t="str">
        <f>IFERROR(__xludf.DUMMYFUNCTION("IF(ISBLANK(A103),"""", googlefinance(A103, ""name""))"),"Enterprise Products Partners L.P")</f>
        <v>Enterprise Products Partners L.P</v>
      </c>
      <c r="C103" s="129" t="str">
        <f t="shared" si="19"/>
        <v>View</v>
      </c>
      <c r="D103" s="176">
        <v>112.83</v>
      </c>
      <c r="E103" s="132">
        <f>IFERROR(__xludf.DUMMYFUNCTION("IF(ISBLANK(A103),"""", googlefinance(A103, ""price""))"),37.29)</f>
        <v>37.29</v>
      </c>
      <c r="F103" s="213" t="s">
        <v>101</v>
      </c>
      <c r="G103" s="213" t="s">
        <v>134</v>
      </c>
      <c r="H103" s="213" t="s">
        <v>113</v>
      </c>
      <c r="I103" s="136">
        <f t="shared" si="20"/>
        <v>0.04129017953</v>
      </c>
      <c r="J103" s="140">
        <f>IFERROR(__xludf.DUMMYFUNCTION("IfError(IF(isblank(A103),"""",split(O103, ""()"")))"),2.18)</f>
        <v>2.18</v>
      </c>
      <c r="K103" s="136">
        <f>IFERROR(__xludf.DUMMYFUNCTION("""COMPUTED_VALUE"""),0.0583)</f>
        <v>0.0583</v>
      </c>
      <c r="L103" s="135">
        <f t="shared" si="21"/>
        <v>4207.4307</v>
      </c>
      <c r="M103" s="135">
        <f t="shared" si="22"/>
        <v>245.9694</v>
      </c>
      <c r="N103" s="136">
        <f t="shared" si="23"/>
        <v>0.07514802336</v>
      </c>
      <c r="O103" s="178" t="str">
        <f>IFERROR(__xludf.DUMMYFUNCTION("LET(t, A103,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"),"2.18 (5.83%)")</f>
        <v>2.18 (5.83%)</v>
      </c>
      <c r="Q103" s="417"/>
      <c r="S103" s="404" t="str">
        <f t="array" ref="S103">IF(ISBLANK(R103),"",COUNTIF({$A$2:$A$31; $A$35:$A$64; $A$68:$A$97; $A$101:$A$130; A$134:A$163; $A$167:$A$196; $A$200:$A$229; $A$233:$A$262; $A$266:$A$295; $A$299:$A$328; $A$332:$A$361; $A$365:$A$435; 'Super Investors Buys'!$C$7:$C$56}, R103))</f>
        <v/>
      </c>
      <c r="AA103" s="186"/>
    </row>
    <row r="104">
      <c r="A104" s="149" t="s">
        <v>313</v>
      </c>
      <c r="B104" s="128" t="str">
        <f>IFERROR(__xludf.DUMMYFUNCTION("IF(ISBLANK(A104),"""", googlefinance(A104, ""name""))"),"Johnson &amp; Johnson")</f>
        <v>Johnson &amp; Johnson</v>
      </c>
      <c r="C104" s="129" t="str">
        <f t="shared" si="19"/>
        <v>View</v>
      </c>
      <c r="D104" s="176">
        <v>40.05</v>
      </c>
      <c r="E104" s="132">
        <f>IFERROR(__xludf.DUMMYFUNCTION("IF(ISBLANK(A104),"""", googlefinance(A104, ""price""))"),239.63)</f>
        <v>239.63</v>
      </c>
      <c r="F104" s="213" t="s">
        <v>101</v>
      </c>
      <c r="G104" s="213" t="s">
        <v>134</v>
      </c>
      <c r="H104" s="213" t="s">
        <v>113</v>
      </c>
      <c r="I104" s="136">
        <f t="shared" si="20"/>
        <v>0.09418321426</v>
      </c>
      <c r="J104" s="140">
        <f>IFERROR(__xludf.DUMMYFUNCTION("IfError(IF(isblank(A104),"""",split(O104, ""()"")))"),5.2)</f>
        <v>5.2</v>
      </c>
      <c r="K104" s="136">
        <f>IFERROR(__xludf.DUMMYFUNCTION("""COMPUTED_VALUE"""),0.0217)</f>
        <v>0.0217</v>
      </c>
      <c r="L104" s="135">
        <f t="shared" si="21"/>
        <v>9597.1815</v>
      </c>
      <c r="M104" s="135">
        <f t="shared" si="22"/>
        <v>208.26</v>
      </c>
      <c r="N104" s="136">
        <f t="shared" si="23"/>
        <v>0.06362713144</v>
      </c>
      <c r="O104" s="178" t="str">
        <f>IFERROR(__xludf.DUMMYFUNCTION("LET(t, A104,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"),"5.20 (2.17%)")</f>
        <v>5.20 (2.17%)</v>
      </c>
      <c r="Q104" s="417"/>
      <c r="S104" s="404" t="str">
        <f t="array" ref="S104">IF(ISBLANK(R104),"",COUNTIF({$A$2:$A$31; $A$35:$A$64; $A$68:$A$97; $A$101:$A$130; A$134:A$163; $A$167:$A$196; $A$200:$A$229; $A$233:$A$262; $A$266:$A$295; $A$299:$A$328; $A$332:$A$361; $A$365:$A$435; 'Super Investors Buys'!$C$7:$C$56}, R104))</f>
        <v/>
      </c>
      <c r="AA104" s="186"/>
    </row>
    <row r="105">
      <c r="A105" s="149" t="s">
        <v>367</v>
      </c>
      <c r="B105" s="128" t="str">
        <f>IFERROR(__xludf.DUMMYFUNCTION("IF(ISBLANK(A105),"""", googlefinance(A105, ""name""))"),"Kilroy Realty Corp")</f>
        <v>Kilroy Realty Corp</v>
      </c>
      <c r="C105" s="129" t="str">
        <f t="shared" si="19"/>
        <v>View</v>
      </c>
      <c r="D105" s="176">
        <v>77.0</v>
      </c>
      <c r="E105" s="132">
        <f>IFERROR(__xludf.DUMMYFUNCTION("IF(ISBLANK(A105),"""", googlefinance(A105, ""price""))"),30.94)</f>
        <v>30.94</v>
      </c>
      <c r="F105" s="213" t="s">
        <v>101</v>
      </c>
      <c r="G105" s="213" t="s">
        <v>134</v>
      </c>
      <c r="H105" s="213" t="s">
        <v>113</v>
      </c>
      <c r="I105" s="136">
        <f t="shared" si="20"/>
        <v>0.02337980229</v>
      </c>
      <c r="J105" s="140">
        <f>IFERROR(__xludf.DUMMYFUNCTION("IfError(IF(isblank(A105),"""",split(O105, ""()"")))"),2.16)</f>
        <v>2.16</v>
      </c>
      <c r="K105" s="136">
        <f>IFERROR(__xludf.DUMMYFUNCTION("""COMPUTED_VALUE"""),0.0698)</f>
        <v>0.0698</v>
      </c>
      <c r="L105" s="135">
        <f t="shared" si="21"/>
        <v>2382.38</v>
      </c>
      <c r="M105" s="135">
        <f t="shared" si="22"/>
        <v>166.32</v>
      </c>
      <c r="N105" s="136">
        <f t="shared" si="23"/>
        <v>0.05081371604</v>
      </c>
      <c r="O105" s="178" t="str">
        <f>IFERROR(__xludf.DUMMYFUNCTION("LET(t, A105,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"),"2.16 (6.98%)")</f>
        <v>2.16 (6.98%)</v>
      </c>
      <c r="Q105" s="417"/>
      <c r="S105" s="404" t="str">
        <f t="array" ref="S105">IF(ISBLANK(R105),"",COUNTIF({$A$2:$A$31; $A$35:$A$64; $A$68:$A$97; $A$101:$A$130; A$134:A$163; $A$167:$A$196; $A$200:$A$229; $A$233:$A$262; $A$266:$A$295; $A$299:$A$328; $A$332:$A$361; $A$365:$A$435; 'Super Investors Buys'!$C$7:$C$56}, R105))</f>
        <v/>
      </c>
      <c r="AA105" s="186"/>
    </row>
    <row r="106">
      <c r="A106" s="149" t="s">
        <v>368</v>
      </c>
      <c r="B106" s="128" t="str">
        <f>IFERROR(__xludf.DUMMYFUNCTION("IF(ISBLANK(A106),"""", googlefinance(A106, ""name""))"),"Lowe's Companies Inc")</f>
        <v>Lowe's Companies Inc</v>
      </c>
      <c r="C106" s="129" t="str">
        <f t="shared" si="19"/>
        <v>View</v>
      </c>
      <c r="D106" s="176">
        <v>16.39</v>
      </c>
      <c r="E106" s="132">
        <f>IFERROR(__xludf.DUMMYFUNCTION("IF(ISBLANK(A106),"""", googlefinance(A106, ""price""))"),254.71)</f>
        <v>254.71</v>
      </c>
      <c r="F106" s="213" t="s">
        <v>101</v>
      </c>
      <c r="G106" s="213" t="s">
        <v>134</v>
      </c>
      <c r="H106" s="213" t="s">
        <v>113</v>
      </c>
      <c r="I106" s="136">
        <f t="shared" si="20"/>
        <v>0.04096894204</v>
      </c>
      <c r="J106" s="140">
        <f>IFERROR(__xludf.DUMMYFUNCTION("IfError(IF(isblank(A106),"""",split(O106, ""()"")))"),4.75)</f>
        <v>4.75</v>
      </c>
      <c r="K106" s="136">
        <f>IFERROR(__xludf.DUMMYFUNCTION("""COMPUTED_VALUE"""),0.0186)</f>
        <v>0.0186</v>
      </c>
      <c r="L106" s="135">
        <f t="shared" si="21"/>
        <v>4174.6969</v>
      </c>
      <c r="M106" s="135">
        <f t="shared" si="22"/>
        <v>77.8525</v>
      </c>
      <c r="N106" s="136">
        <f t="shared" si="23"/>
        <v>0.02378532244</v>
      </c>
      <c r="O106" s="178" t="str">
        <f>IFERROR(__xludf.DUMMYFUNCTION("LET(t, A106,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"),"4.75 (1.86%)")</f>
        <v>4.75 (1.86%)</v>
      </c>
      <c r="Q106" s="417"/>
      <c r="S106" s="404" t="str">
        <f t="array" ref="S106">IF(ISBLANK(R106),"",COUNTIF({$A$2:$A$31; $A$35:$A$64; $A$68:$A$97; $A$101:$A$130; A$134:A$163; $A$167:$A$196; $A$200:$A$229; $A$233:$A$262; $A$266:$A$295; $A$299:$A$328; $A$332:$A$361; $A$365:$A$435; 'Super Investors Buys'!$C$7:$C$56}, R106))</f>
        <v/>
      </c>
      <c r="AA106" s="186"/>
    </row>
    <row r="107">
      <c r="A107" s="149" t="s">
        <v>369</v>
      </c>
      <c r="B107" s="128" t="str">
        <f>IFERROR(__xludf.DUMMYFUNCTION("IF(ISBLANK(A107),"""", googlefinance(A107, ""name""))"),"Main Street Capital Corp")</f>
        <v>Main Street Capital Corp</v>
      </c>
      <c r="C107" s="129" t="str">
        <f t="shared" si="19"/>
        <v>View</v>
      </c>
      <c r="D107" s="176">
        <v>56.27</v>
      </c>
      <c r="E107" s="132">
        <f>IFERROR(__xludf.DUMMYFUNCTION("IF(ISBLANK(A107),"""", googlefinance(A107, ""price""))"),58.3)</f>
        <v>58.3</v>
      </c>
      <c r="F107" s="213" t="s">
        <v>101</v>
      </c>
      <c r="G107" s="213" t="s">
        <v>134</v>
      </c>
      <c r="H107" s="213" t="s">
        <v>113</v>
      </c>
      <c r="I107" s="136">
        <f t="shared" si="20"/>
        <v>0.03219402445</v>
      </c>
      <c r="J107" s="140">
        <f>IFERROR(__xludf.DUMMYFUNCTION("IfError(IF(isblank(A107),"""",split(O107, ""()"")))"),3.02)</f>
        <v>3.02</v>
      </c>
      <c r="K107" s="136">
        <f>IFERROR(__xludf.DUMMYFUNCTION("""COMPUTED_VALUE"""),0.0519)</f>
        <v>0.0519</v>
      </c>
      <c r="L107" s="135">
        <f t="shared" si="21"/>
        <v>3280.541</v>
      </c>
      <c r="M107" s="135">
        <f t="shared" si="22"/>
        <v>169.9354</v>
      </c>
      <c r="N107" s="136">
        <f t="shared" si="23"/>
        <v>0.05191828499</v>
      </c>
      <c r="O107" s="178" t="str">
        <f>IFERROR(__xludf.DUMMYFUNCTION("LET(t, A107,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"),"3.02 (5.19%)")</f>
        <v>3.02 (5.19%)</v>
      </c>
      <c r="Q107" s="417"/>
      <c r="S107" s="404" t="str">
        <f t="array" ref="S107">IF(ISBLANK(R107),"",COUNTIF({$A$2:$A$31; $A$35:$A$64; $A$68:$A$97; $A$101:$A$130; A$134:A$163; $A$167:$A$196; $A$200:$A$229; $A$233:$A$262; $A$266:$A$295; $A$299:$A$328; $A$332:$A$361; $A$365:$A$435; 'Super Investors Buys'!$C$7:$C$56}, R107))</f>
        <v/>
      </c>
      <c r="AA107" s="186"/>
    </row>
    <row r="108">
      <c r="A108" s="149" t="s">
        <v>311</v>
      </c>
      <c r="B108" s="128" t="str">
        <f>IFERROR(__xludf.DUMMYFUNCTION("IF(ISBLANK(A108),"""", googlefinance(A108, ""name""))"),"Altria Group Inc")</f>
        <v>Altria Group Inc</v>
      </c>
      <c r="C108" s="129" t="str">
        <f t="shared" si="19"/>
        <v>View</v>
      </c>
      <c r="D108" s="176">
        <v>56.17</v>
      </c>
      <c r="E108" s="132">
        <f>IFERROR(__xludf.DUMMYFUNCTION("IF(ISBLANK(A108),"""", googlefinance(A108, ""price""))"),66.98)</f>
        <v>66.98</v>
      </c>
      <c r="F108" s="213" t="s">
        <v>101</v>
      </c>
      <c r="G108" s="213" t="s">
        <v>134</v>
      </c>
      <c r="H108" s="402" t="s">
        <v>113</v>
      </c>
      <c r="I108" s="136">
        <f t="shared" si="20"/>
        <v>0.03692150256</v>
      </c>
      <c r="J108" s="140">
        <f>IFERROR(__xludf.DUMMYFUNCTION("IfError(IF(isblank(A108),"""",split(O108, ""()"")))"),4.16)</f>
        <v>4.16</v>
      </c>
      <c r="K108" s="136">
        <f>IFERROR(__xludf.DUMMYFUNCTION("""COMPUTED_VALUE"""),0.0621)</f>
        <v>0.0621</v>
      </c>
      <c r="L108" s="135">
        <f t="shared" si="21"/>
        <v>3762.2666</v>
      </c>
      <c r="M108" s="135">
        <f t="shared" si="22"/>
        <v>233.6672</v>
      </c>
      <c r="N108" s="136">
        <f t="shared" si="23"/>
        <v>0.07138948261</v>
      </c>
      <c r="O108" s="178" t="str">
        <f>IFERROR(__xludf.DUMMYFUNCTION("LET(t, A108,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"),"4.16 (6.21%)")</f>
        <v>4.16 (6.21%)</v>
      </c>
      <c r="Q108" s="417"/>
      <c r="S108" s="404" t="str">
        <f t="array" ref="S108">IF(ISBLANK(R108),"",COUNTIF({$A$2:$A$31; $A$35:$A$64; $A$68:$A$97; $A$101:$A$130; A$134:A$163; $A$167:$A$196; $A$200:$A$229; $A$233:$A$262; $A$266:$A$295; $A$299:$A$328; $A$332:$A$361; $A$365:$A$435; 'Super Investors Buys'!$C$7:$C$56}, R108))</f>
        <v/>
      </c>
      <c r="AA108" s="186"/>
    </row>
    <row r="109">
      <c r="A109" s="149" t="s">
        <v>115</v>
      </c>
      <c r="B109" s="128" t="str">
        <f>IFERROR(__xludf.DUMMYFUNCTION("IF(ISBLANK(A109),"""", googlefinance(A109, ""name""))"),"Realty Income Corp")</f>
        <v>Realty Income Corp</v>
      </c>
      <c r="C109" s="129" t="str">
        <f t="shared" si="19"/>
        <v>View</v>
      </c>
      <c r="D109" s="176">
        <v>106.14</v>
      </c>
      <c r="E109" s="132">
        <f>IFERROR(__xludf.DUMMYFUNCTION("IF(ISBLANK(A109),"""", googlefinance(A109, ""price""))"),64.8)</f>
        <v>64.8</v>
      </c>
      <c r="F109" s="213" t="s">
        <v>101</v>
      </c>
      <c r="G109" s="213" t="s">
        <v>134</v>
      </c>
      <c r="H109" s="402" t="s">
        <v>113</v>
      </c>
      <c r="I109" s="136">
        <f t="shared" si="20"/>
        <v>0.06749690961</v>
      </c>
      <c r="J109" s="140">
        <f>IFERROR(__xludf.DUMMYFUNCTION("IfError(IF(isblank(A109),"""",split(O109, ""()"")))"),3.5)</f>
        <v>3.5</v>
      </c>
      <c r="K109" s="136">
        <f>IFERROR(__xludf.DUMMYFUNCTION("""COMPUTED_VALUE"""),0.054)</f>
        <v>0.054</v>
      </c>
      <c r="L109" s="135">
        <f t="shared" si="21"/>
        <v>6877.872</v>
      </c>
      <c r="M109" s="135">
        <f t="shared" si="22"/>
        <v>371.49</v>
      </c>
      <c r="N109" s="136">
        <f t="shared" si="23"/>
        <v>0.1134967976</v>
      </c>
      <c r="O109" s="178" t="str">
        <f>IFERROR(__xludf.DUMMYFUNCTION("LET(t, A109,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"),"3.50 (5.40%)")</f>
        <v>3.50 (5.40%)</v>
      </c>
      <c r="Q109" s="417"/>
      <c r="S109" s="404" t="str">
        <f t="array" ref="S109">IF(ISBLANK(R109),"",COUNTIF({$A$2:$A$31; $A$35:$A$64; $A$68:$A$97; $A$101:$A$130; A$134:A$163; $A$167:$A$196; $A$200:$A$229; $A$233:$A$262; $A$266:$A$295; $A$299:$A$328; $A$332:$A$361; $A$365:$A$435; 'Super Investors Buys'!$C$7:$C$56}, R109))</f>
        <v/>
      </c>
      <c r="AA109" s="186"/>
    </row>
    <row r="110">
      <c r="A110" s="149" t="s">
        <v>370</v>
      </c>
      <c r="B110" s="128" t="str">
        <f>IFERROR(__xludf.DUMMYFUNCTION("IF(ISBLANK(A110),"""", googlefinance(A110, ""name""))"),"Blue Owl Capital Corp")</f>
        <v>Blue Owl Capital Corp</v>
      </c>
      <c r="C110" s="129" t="str">
        <f t="shared" si="19"/>
        <v>View</v>
      </c>
      <c r="D110" s="176">
        <v>116.41</v>
      </c>
      <c r="E110" s="132">
        <f>IFERROR(__xludf.DUMMYFUNCTION("IF(ISBLANK(A110),"""", googlefinance(A110, ""price""))"),11.56)</f>
        <v>11.56</v>
      </c>
      <c r="F110" s="213" t="s">
        <v>101</v>
      </c>
      <c r="G110" s="213" t="s">
        <v>134</v>
      </c>
      <c r="H110" s="402" t="s">
        <v>113</v>
      </c>
      <c r="I110" s="136">
        <f t="shared" si="20"/>
        <v>0.01320620161</v>
      </c>
      <c r="J110" s="140">
        <f>IFERROR(__xludf.DUMMYFUNCTION("IfError(IF(isblank(A110),"""",split(O110, ""()"")))"),1.48)</f>
        <v>1.48</v>
      </c>
      <c r="K110" s="136">
        <f>IFERROR(__xludf.DUMMYFUNCTION("""COMPUTED_VALUE"""),0.1279)</f>
        <v>0.1279</v>
      </c>
      <c r="L110" s="135">
        <f t="shared" si="21"/>
        <v>1345.6996</v>
      </c>
      <c r="M110" s="135">
        <f t="shared" si="22"/>
        <v>172.2868</v>
      </c>
      <c r="N110" s="136">
        <f t="shared" si="23"/>
        <v>0.05263667949</v>
      </c>
      <c r="O110" s="178" t="str">
        <f>IFERROR(__xludf.DUMMYFUNCTION("LET(t, A110,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"),"1.48 (12.79%)")</f>
        <v>1.48 (12.79%)</v>
      </c>
      <c r="Q110" s="417"/>
      <c r="S110" s="404" t="str">
        <f t="array" ref="S110">IF(ISBLANK(R110),"",COUNTIF({$A$2:$A$31; $A$35:$A$64; $A$68:$A$97; $A$101:$A$130; A$134:A$163; $A$167:$A$196; $A$200:$A$229; $A$233:$A$262; $A$266:$A$295; $A$299:$A$328; $A$332:$A$361; $A$365:$A$435; 'Super Investors Buys'!$C$7:$C$56}, R110))</f>
        <v/>
      </c>
      <c r="AA110" s="186"/>
    </row>
    <row r="111">
      <c r="A111" s="149" t="s">
        <v>321</v>
      </c>
      <c r="B111" s="128" t="str">
        <f>IFERROR(__xludf.DUMMYFUNCTION("IF(ISBLANK(A111),"""", googlefinance(A111, ""name""))"),"Procter &amp; Gamble Co")</f>
        <v>Procter &amp; Gamble Co</v>
      </c>
      <c r="C111" s="129" t="str">
        <f t="shared" si="19"/>
        <v>View</v>
      </c>
      <c r="D111" s="176">
        <v>28.05</v>
      </c>
      <c r="E111" s="132">
        <f>IFERROR(__xludf.DUMMYFUNCTION("IF(ISBLANK(A111),"""", googlefinance(A111, ""price""))"),153.99)</f>
        <v>153.99</v>
      </c>
      <c r="F111" s="213" t="s">
        <v>101</v>
      </c>
      <c r="G111" s="213" t="s">
        <v>134</v>
      </c>
      <c r="H111" s="213" t="s">
        <v>113</v>
      </c>
      <c r="I111" s="136">
        <f t="shared" si="20"/>
        <v>0.04238919648</v>
      </c>
      <c r="J111" s="140">
        <f>IFERROR(__xludf.DUMMYFUNCTION("IfError(IF(isblank(A111),"""",split(O111, ""()"")))"),4.23)</f>
        <v>4.23</v>
      </c>
      <c r="K111" s="136">
        <f>IFERROR(__xludf.DUMMYFUNCTION("""COMPUTED_VALUE"""),0.0275)</f>
        <v>0.0275</v>
      </c>
      <c r="L111" s="135">
        <f t="shared" si="21"/>
        <v>4319.4195</v>
      </c>
      <c r="M111" s="135">
        <f t="shared" si="22"/>
        <v>118.6515</v>
      </c>
      <c r="N111" s="136">
        <f t="shared" si="23"/>
        <v>0.03625014207</v>
      </c>
      <c r="O111" s="178" t="str">
        <f>IFERROR(__xludf.DUMMYFUNCTION("LET(t, A111,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"),"4.23 (2.75%)")</f>
        <v>4.23 (2.75%)</v>
      </c>
      <c r="Q111" s="417"/>
      <c r="S111" s="404" t="str">
        <f t="array" ref="S111">IF(ISBLANK(R111),"",COUNTIF({$A$2:$A$31; $A$35:$A$64; $A$68:$A$97; $A$101:$A$130; A$134:A$163; $A$167:$A$196; $A$200:$A$229; $A$233:$A$262; $A$266:$A$295; $A$299:$A$328; $A$332:$A$361; $A$365:$A$435; 'Super Investors Buys'!$C$7:$C$56}, R111))</f>
        <v/>
      </c>
      <c r="AA111" s="186"/>
    </row>
    <row r="112">
      <c r="A112" s="149" t="s">
        <v>109</v>
      </c>
      <c r="B112" s="128" t="str">
        <f>IFERROR(__xludf.DUMMYFUNCTION("IF(ISBLANK(A112),"""", googlefinance(A112, ""name""))"),"Starbucks Corp")</f>
        <v>Starbucks Corp</v>
      </c>
      <c r="C112" s="129" t="str">
        <f t="shared" si="19"/>
        <v>View</v>
      </c>
      <c r="D112" s="176">
        <v>78.06</v>
      </c>
      <c r="E112" s="132">
        <f>IFERROR(__xludf.DUMMYFUNCTION("IF(ISBLANK(A112),"""", googlefinance(A112, ""price""))"),98.69)</f>
        <v>98.69</v>
      </c>
      <c r="F112" s="213" t="s">
        <v>101</v>
      </c>
      <c r="G112" s="213" t="s">
        <v>134</v>
      </c>
      <c r="H112" s="213" t="s">
        <v>103</v>
      </c>
      <c r="I112" s="136">
        <f t="shared" si="20"/>
        <v>0.07560168857</v>
      </c>
      <c r="J112" s="140">
        <f>IFERROR(__xludf.DUMMYFUNCTION("IfError(IF(isblank(A112),"""",split(O112, ""()"")))"),2.46)</f>
        <v>2.46</v>
      </c>
      <c r="K112" s="136">
        <f>IFERROR(__xludf.DUMMYFUNCTION("""COMPUTED_VALUE"""),0.0249)</f>
        <v>0.0249</v>
      </c>
      <c r="L112" s="135">
        <f t="shared" si="21"/>
        <v>7703.7414</v>
      </c>
      <c r="M112" s="135">
        <f t="shared" si="22"/>
        <v>192.0276</v>
      </c>
      <c r="N112" s="136">
        <f t="shared" si="23"/>
        <v>0.05866784474</v>
      </c>
      <c r="O112" s="178" t="str">
        <f>IFERROR(__xludf.DUMMYFUNCTION("LET(t, A112,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"),"2.46 (2.49%)")</f>
        <v>2.46 (2.49%)</v>
      </c>
      <c r="Q112" s="417"/>
      <c r="S112" s="404" t="str">
        <f t="array" ref="S112">IF(ISBLANK(R112),"",COUNTIF({$A$2:$A$31; $A$35:$A$64; $A$68:$A$97; $A$101:$A$130; A$134:A$163; $A$167:$A$196; $A$200:$A$229; $A$233:$A$262; $A$266:$A$295; $A$299:$A$328; $A$332:$A$361; $A$365:$A$435; 'Super Investors Buys'!$C$7:$C$56}, R112))</f>
        <v/>
      </c>
      <c r="AA112" s="186"/>
    </row>
    <row r="113">
      <c r="A113" s="149" t="s">
        <v>371</v>
      </c>
      <c r="B113" s="128" t="str">
        <f>IFERROR(__xludf.DUMMYFUNCTION("IF(ISBLANK(A113),"""", googlefinance(A113, ""name""))"),"Snap-On Inc")</f>
        <v>Snap-On Inc</v>
      </c>
      <c r="C113" s="129" t="str">
        <f t="shared" si="19"/>
        <v>View</v>
      </c>
      <c r="D113" s="176">
        <v>8.98</v>
      </c>
      <c r="E113" s="132">
        <f>IFERROR(__xludf.DUMMYFUNCTION("IF(ISBLANK(A113),"""", googlefinance(A113, ""price""))"),382.27)</f>
        <v>382.27</v>
      </c>
      <c r="F113" s="213" t="s">
        <v>101</v>
      </c>
      <c r="G113" s="213" t="s">
        <v>134</v>
      </c>
      <c r="H113" s="213" t="s">
        <v>113</v>
      </c>
      <c r="I113" s="136">
        <f t="shared" si="20"/>
        <v>0.03368808723</v>
      </c>
      <c r="J113" s="140">
        <f>IFERROR(__xludf.DUMMYFUNCTION("IfError(IF(isblank(A113),"""",split(O113, ""()"")))"),9.16)</f>
        <v>9.16</v>
      </c>
      <c r="K113" s="136">
        <f>IFERROR(__xludf.DUMMYFUNCTION("""COMPUTED_VALUE"""),0.024)</f>
        <v>0.024</v>
      </c>
      <c r="L113" s="135">
        <f t="shared" si="21"/>
        <v>3432.7846</v>
      </c>
      <c r="M113" s="135">
        <f t="shared" si="22"/>
        <v>82.2568</v>
      </c>
      <c r="N113" s="136">
        <f t="shared" si="23"/>
        <v>0.02513091437</v>
      </c>
      <c r="O113" s="178" t="str">
        <f>IFERROR(__xludf.DUMMYFUNCTION("LET(t, A113,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"),"9.16 (2.40%)")</f>
        <v>9.16 (2.40%)</v>
      </c>
      <c r="Q113" s="417"/>
      <c r="S113" s="404" t="str">
        <f t="array" ref="S113">IF(ISBLANK(R113),"",COUNTIF({$A$2:$A$31; $A$35:$A$64; $A$68:$A$97; $A$101:$A$130; A$134:A$163; $A$167:$A$196; $A$200:$A$229; $A$233:$A$262; $A$266:$A$295; $A$299:$A$328; $A$332:$A$361; $A$365:$A$435; 'Super Investors Buys'!$C$7:$C$56}, R113))</f>
        <v/>
      </c>
      <c r="AA113" s="186"/>
    </row>
    <row r="114">
      <c r="A114" s="149" t="s">
        <v>308</v>
      </c>
      <c r="B114" s="128" t="str">
        <f>IFERROR(__xludf.DUMMYFUNCTION("IF(ISBLANK(A114),"""", googlefinance(A114, ""name""))"),"Visa Inc")</f>
        <v>Visa Inc</v>
      </c>
      <c r="C114" s="129" t="str">
        <f t="shared" si="19"/>
        <v>View</v>
      </c>
      <c r="D114" s="176">
        <v>23.74</v>
      </c>
      <c r="E114" s="132">
        <f>IFERROR(__xludf.DUMMYFUNCTION("IF(ISBLANK(A114),"""", googlefinance(A114, ""price""))"),319.8)</f>
        <v>319.8</v>
      </c>
      <c r="F114" s="213" t="s">
        <v>101</v>
      </c>
      <c r="G114" s="213" t="s">
        <v>134</v>
      </c>
      <c r="H114" s="402" t="s">
        <v>103</v>
      </c>
      <c r="I114" s="136">
        <f t="shared" si="20"/>
        <v>0.07450560982</v>
      </c>
      <c r="J114" s="140">
        <f>IFERROR(__xludf.DUMMYFUNCTION("IfError(IF(isblank(A114),"""",split(O114, ""()"")))"),2.52)</f>
        <v>2.52</v>
      </c>
      <c r="K114" s="136">
        <f>IFERROR(__xludf.DUMMYFUNCTION("""COMPUTED_VALUE"""),0.0079)</f>
        <v>0.0079</v>
      </c>
      <c r="L114" s="135">
        <f t="shared" si="21"/>
        <v>7592.052</v>
      </c>
      <c r="M114" s="135">
        <f t="shared" si="22"/>
        <v>59.8248</v>
      </c>
      <c r="N114" s="136">
        <f t="shared" si="23"/>
        <v>0.01827753968</v>
      </c>
      <c r="O114" s="178" t="str">
        <f>IFERROR(__xludf.DUMMYFUNCTION("LET(t, A114,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"),"2.52 (0.79%)")</f>
        <v>2.52 (0.79%)</v>
      </c>
      <c r="Q114" s="417"/>
      <c r="S114" s="404" t="str">
        <f t="array" ref="S114">IF(ISBLANK(R114),"",COUNTIF({$A$2:$A$31; $A$35:$A$64; $A$68:$A$97; $A$101:$A$130; A$134:A$163; $A$167:$A$196; $A$200:$A$229; $A$233:$A$262; $A$266:$A$295; $A$299:$A$328; $A$332:$A$361; $A$365:$A$435; 'Super Investors Buys'!$C$7:$C$56}, R114))</f>
        <v/>
      </c>
      <c r="AA114" s="186"/>
    </row>
    <row r="115">
      <c r="A115" s="149" t="s">
        <v>117</v>
      </c>
      <c r="B115" s="128" t="str">
        <f>IFERROR(__xludf.DUMMYFUNCTION("IF(ISBLANK(A115),"""", googlefinance(A115, ""name""))"),"VICI Properties Inc")</f>
        <v>VICI Properties Inc</v>
      </c>
      <c r="C115" s="129" t="str">
        <f t="shared" si="19"/>
        <v>View</v>
      </c>
      <c r="D115" s="176">
        <v>145.0</v>
      </c>
      <c r="E115" s="132">
        <f>IFERROR(__xludf.DUMMYFUNCTION("IF(ISBLANK(A115),"""", googlefinance(A115, ""price""))"),29.69)</f>
        <v>29.69</v>
      </c>
      <c r="F115" s="213" t="s">
        <v>101</v>
      </c>
      <c r="G115" s="213" t="s">
        <v>134</v>
      </c>
      <c r="H115" s="213" t="s">
        <v>113</v>
      </c>
      <c r="I115" s="136">
        <f t="shared" si="20"/>
        <v>0.04224817948</v>
      </c>
      <c r="J115" s="140">
        <f>IFERROR(__xludf.DUMMYFUNCTION("IfError(IF(isblank(A115),"""",split(O115, ""()"")))"),1.76)</f>
        <v>1.76</v>
      </c>
      <c r="K115" s="136">
        <f>IFERROR(__xludf.DUMMYFUNCTION("""COMPUTED_VALUE"""),0.0594)</f>
        <v>0.0594</v>
      </c>
      <c r="L115" s="135">
        <f t="shared" si="21"/>
        <v>4305.05</v>
      </c>
      <c r="M115" s="135">
        <f t="shared" si="22"/>
        <v>255.2</v>
      </c>
      <c r="N115" s="136">
        <f t="shared" si="23"/>
        <v>0.07796813572</v>
      </c>
      <c r="O115" s="178" t="str">
        <f>IFERROR(__xludf.DUMMYFUNCTION("LET(t, A115,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"),"1.76 (5.94%)")</f>
        <v>1.76 (5.94%)</v>
      </c>
      <c r="Q115" s="417"/>
      <c r="S115" s="404" t="str">
        <f t="array" ref="S115">IF(ISBLANK(R115),"",COUNTIF({$A$2:$A$31; $A$35:$A$64; $A$68:$A$97; $A$101:$A$130; A$134:A$163; $A$167:$A$196; $A$200:$A$229; $A$233:$A$262; $A$266:$A$295; $A$299:$A$328; $A$332:$A$361; $A$365:$A$435; 'Super Investors Buys'!$C$7:$C$56}, R115))</f>
        <v/>
      </c>
      <c r="AA115" s="186"/>
    </row>
    <row r="116">
      <c r="A116" s="149" t="s">
        <v>372</v>
      </c>
      <c r="B116" s="128" t="str">
        <f>IFERROR(__xludf.DUMMYFUNCTION("IF(ISBLANK(A116),"""", googlefinance(A116, ""name""))"),"W.p. Carey Inc")</f>
        <v>W.p. Carey Inc</v>
      </c>
      <c r="C116" s="129" t="str">
        <f t="shared" si="19"/>
        <v>View</v>
      </c>
      <c r="D116" s="176">
        <v>38.11</v>
      </c>
      <c r="E116" s="132">
        <f>IFERROR(__xludf.DUMMYFUNCTION("IF(ISBLANK(A116),"""", googlefinance(A116, ""price""))"),72.58)</f>
        <v>72.58</v>
      </c>
      <c r="F116" s="213" t="s">
        <v>101</v>
      </c>
      <c r="G116" s="213" t="s">
        <v>134</v>
      </c>
      <c r="H116" s="213" t="s">
        <v>113</v>
      </c>
      <c r="I116" s="136">
        <f t="shared" si="20"/>
        <v>0.02714474163</v>
      </c>
      <c r="J116" s="140">
        <f>IFERROR(__xludf.DUMMYFUNCTION("IfError(IF(isblank(A116),"""",split(O116, ""()"")))"),3.62)</f>
        <v>3.62</v>
      </c>
      <c r="K116" s="136">
        <f>IFERROR(__xludf.DUMMYFUNCTION("""COMPUTED_VALUE"""),0.0499)</f>
        <v>0.0499</v>
      </c>
      <c r="L116" s="135">
        <f t="shared" si="21"/>
        <v>2766.0238</v>
      </c>
      <c r="M116" s="135">
        <f t="shared" si="22"/>
        <v>137.9582</v>
      </c>
      <c r="N116" s="136">
        <f t="shared" si="23"/>
        <v>0.04214868206</v>
      </c>
      <c r="O116" s="178" t="str">
        <f>IFERROR(__xludf.DUMMYFUNCTION("LET(t, A116,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"),"3.62 (4.99%)")</f>
        <v>3.62 (4.99%)</v>
      </c>
      <c r="Q116" s="417"/>
      <c r="S116" s="404" t="str">
        <f t="array" ref="S116">IF(ISBLANK(R116),"",COUNTIF({$A$2:$A$31; $A$35:$A$64; $A$68:$A$97; $A$101:$A$130; A$134:A$163; $A$167:$A$196; $A$200:$A$229; $A$233:$A$262; $A$266:$A$295; $A$299:$A$328; $A$332:$A$361; $A$365:$A$435; 'Super Investors Buys'!$C$7:$C$56}, R116))</f>
        <v/>
      </c>
      <c r="AA116" s="186"/>
    </row>
    <row r="117">
      <c r="A117" s="149" t="s">
        <v>373</v>
      </c>
      <c r="B117" s="128" t="str">
        <f>IFERROR(__xludf.DUMMYFUNCTION("IF(ISBLANK(A117),"""", googlefinance(A117, ""name""))"),"Williams-Sonoma Inc")</f>
        <v>Williams-Sonoma Inc</v>
      </c>
      <c r="C117" s="129" t="str">
        <f t="shared" si="19"/>
        <v>View</v>
      </c>
      <c r="D117" s="176">
        <v>36.0</v>
      </c>
      <c r="E117" s="132">
        <f>IFERROR(__xludf.DUMMYFUNCTION("IF(ISBLANK(A117),"""", googlefinance(A117, ""price""))"),193.59)</f>
        <v>193.59</v>
      </c>
      <c r="F117" s="213" t="s">
        <v>101</v>
      </c>
      <c r="G117" s="213" t="s">
        <v>134</v>
      </c>
      <c r="H117" s="213" t="s">
        <v>113</v>
      </c>
      <c r="I117" s="136">
        <f t="shared" si="20"/>
        <v>0.0683935616</v>
      </c>
      <c r="J117" s="140">
        <f>IFERROR(__xludf.DUMMYFUNCTION("IfError(IF(isblank(A117),"""",split(O117, ""()"")))"),2.64)</f>
        <v>2.64</v>
      </c>
      <c r="K117" s="136">
        <f>IFERROR(__xludf.DUMMYFUNCTION("""COMPUTED_VALUE"""),0.0136)</f>
        <v>0.0136</v>
      </c>
      <c r="L117" s="135">
        <f t="shared" si="21"/>
        <v>6969.24</v>
      </c>
      <c r="M117" s="135">
        <f t="shared" si="22"/>
        <v>95.04</v>
      </c>
      <c r="N117" s="136">
        <f t="shared" si="23"/>
        <v>0.02903640916</v>
      </c>
      <c r="O117" s="178" t="str">
        <f>IFERROR(__xludf.DUMMYFUNCTION("LET(t, A117,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"),"2.64 (1.36%)")</f>
        <v>2.64 (1.36%)</v>
      </c>
      <c r="Q117" s="417"/>
      <c r="S117" s="404" t="str">
        <f t="array" ref="S117">IF(ISBLANK(R117),"",COUNTIF({$A$2:$A$31; $A$35:$A$64; $A$68:$A$97; $A$101:$A$130; A$134:A$163; $A$167:$A$196; $A$200:$A$229; $A$233:$A$262; $A$266:$A$295; $A$299:$A$328; $A$332:$A$361; $A$365:$A$435; 'Super Investors Buys'!$C$7:$C$56}, R117))</f>
        <v/>
      </c>
      <c r="AA117" s="186"/>
    </row>
    <row r="118">
      <c r="A118" s="149" t="s">
        <v>374</v>
      </c>
      <c r="B118" s="128" t="str">
        <f>IFERROR(__xludf.DUMMYFUNCTION("IF(ISBLANK(A118),"""", googlefinance(A118, ""name""))"),"Clear Secure Inc")</f>
        <v>Clear Secure Inc</v>
      </c>
      <c r="C118" s="129" t="str">
        <f t="shared" si="19"/>
        <v>View</v>
      </c>
      <c r="D118" s="176">
        <v>128.0</v>
      </c>
      <c r="E118" s="132">
        <f>IFERROR(__xludf.DUMMYFUNCTION("IF(ISBLANK(A118),"""", googlefinance(A118, ""price""))"),47.42)</f>
        <v>47.42</v>
      </c>
      <c r="F118" s="213" t="s">
        <v>101</v>
      </c>
      <c r="G118" s="213" t="s">
        <v>134</v>
      </c>
      <c r="H118" s="213" t="s">
        <v>103</v>
      </c>
      <c r="I118" s="136">
        <f t="shared" si="20"/>
        <v>0.05956639526</v>
      </c>
      <c r="J118" s="140">
        <f>IFERROR(__xludf.DUMMYFUNCTION("IfError(IF(isblank(A118),"""",split(O118, ""()"")))"),0.5)</f>
        <v>0.5</v>
      </c>
      <c r="K118" s="136">
        <f>IFERROR(__xludf.DUMMYFUNCTION("""COMPUTED_VALUE"""),0.0105)</f>
        <v>0.0105</v>
      </c>
      <c r="L118" s="135">
        <f t="shared" si="21"/>
        <v>6069.76</v>
      </c>
      <c r="M118" s="135">
        <f t="shared" si="22"/>
        <v>64</v>
      </c>
      <c r="N118" s="136">
        <f t="shared" si="23"/>
        <v>0.01955313748</v>
      </c>
      <c r="O118" s="178" t="str">
        <f>IFERROR(__xludf.DUMMYFUNCTION("LET(t, A118,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"),"0.50 (1.05%)")</f>
        <v>0.50 (1.05%)</v>
      </c>
      <c r="Q118" s="417"/>
      <c r="S118" s="404" t="str">
        <f t="array" ref="S118">IF(ISBLANK(R118),"",COUNTIF({$A$2:$A$31; $A$35:$A$64; $A$68:$A$97; $A$101:$A$130; A$134:A$163; $A$167:$A$196; $A$200:$A$229; $A$233:$A$262; $A$266:$A$295; $A$299:$A$328; $A$332:$A$361; $A$365:$A$435; 'Super Investors Buys'!$C$7:$C$56}, R118))</f>
        <v/>
      </c>
      <c r="AA118" s="186"/>
    </row>
    <row r="119">
      <c r="A119" s="149" t="s">
        <v>126</v>
      </c>
      <c r="B119" s="128" t="str">
        <f>IFERROR(__xludf.DUMMYFUNCTION("IF(ISBLANK(A119),"""", googlefinance(A119, ""name""))"),"Schwab US Dividend Equity ETF")</f>
        <v>Schwab US Dividend Equity ETF</v>
      </c>
      <c r="C119" s="129" t="str">
        <f t="shared" si="19"/>
        <v>View</v>
      </c>
      <c r="D119" s="176">
        <v>325.34</v>
      </c>
      <c r="E119" s="132">
        <f>IFERROR(__xludf.DUMMYFUNCTION("IF(ISBLANK(A119),"""", googlefinance(A119, ""price""))"),31.26)</f>
        <v>31.26</v>
      </c>
      <c r="F119" s="213" t="s">
        <v>121</v>
      </c>
      <c r="G119" s="213" t="s">
        <v>134</v>
      </c>
      <c r="H119" s="213" t="s">
        <v>113</v>
      </c>
      <c r="I119" s="136">
        <f t="shared" si="20"/>
        <v>0.0998059047</v>
      </c>
      <c r="J119" s="140">
        <f>IFERROR(__xludf.DUMMYFUNCTION("IfError(IF(isblank(A119),"""",split(O119, ""()"")))"),1.05)</f>
        <v>1.05</v>
      </c>
      <c r="K119" s="136">
        <f>IFERROR(__xludf.DUMMYFUNCTION("""COMPUTED_VALUE"""),0.0335)</f>
        <v>0.0335</v>
      </c>
      <c r="L119" s="135">
        <f t="shared" si="21"/>
        <v>10170.1284</v>
      </c>
      <c r="M119" s="135">
        <f t="shared" si="22"/>
        <v>341.607</v>
      </c>
      <c r="N119" s="136">
        <f t="shared" si="23"/>
        <v>0.1043670099</v>
      </c>
      <c r="O119" s="178" t="str">
        <f>IFERROR(__xludf.DUMMYFUNCTION("LET(t, A119,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"),"1.05 (3.35%)")</f>
        <v>1.05 (3.35%)</v>
      </c>
      <c r="Q119" s="417"/>
      <c r="S119" s="404" t="str">
        <f t="array" ref="S119">IF(ISBLANK(R119),"",COUNTIF({$A$2:$A$31; $A$35:$A$64; $A$68:$A$97; $A$101:$A$130; A$134:A$163; $A$167:$A$196; $A$200:$A$229; $A$233:$A$262; $A$266:$A$295; $A$299:$A$328; $A$332:$A$361; $A$365:$A$435; 'Super Investors Buys'!$C$7:$C$56}, R119))</f>
        <v/>
      </c>
      <c r="AA119" s="186"/>
    </row>
    <row r="120">
      <c r="A120" s="149" t="s">
        <v>123</v>
      </c>
      <c r="B120" s="128" t="str">
        <f>IFERROR(__xludf.DUMMYFUNCTION("IF(ISBLANK(A120),"""", googlefinance(A120, ""name""))"),"Vanguard S&amp;P 500 ETF")</f>
        <v>Vanguard S&amp;P 500 ETF</v>
      </c>
      <c r="C120" s="129" t="str">
        <f t="shared" si="19"/>
        <v>View</v>
      </c>
      <c r="D120" s="176">
        <v>10.93</v>
      </c>
      <c r="E120" s="132">
        <f>IFERROR(__xludf.DUMMYFUNCTION("IF(ISBLANK(A120),"""", googlefinance(A120, ""price""))"),626.81)</f>
        <v>626.81</v>
      </c>
      <c r="F120" s="213" t="s">
        <v>121</v>
      </c>
      <c r="G120" s="213" t="s">
        <v>134</v>
      </c>
      <c r="H120" s="213" t="s">
        <v>124</v>
      </c>
      <c r="I120" s="136">
        <f t="shared" si="20"/>
        <v>0.06723352447</v>
      </c>
      <c r="J120" s="140">
        <f>IFERROR(__xludf.DUMMYFUNCTION("IfError(IF(isblank(A120),"""",split(O120, ""()"")))"),7.07)</f>
        <v>7.07</v>
      </c>
      <c r="K120" s="136">
        <f>IFERROR(__xludf.DUMMYFUNCTION("""COMPUTED_VALUE"""),0.0113)</f>
        <v>0.0113</v>
      </c>
      <c r="L120" s="135">
        <f t="shared" si="21"/>
        <v>6851.0333</v>
      </c>
      <c r="M120" s="135">
        <f t="shared" si="22"/>
        <v>77.2751</v>
      </c>
      <c r="N120" s="136">
        <f t="shared" si="23"/>
        <v>0.02360891648</v>
      </c>
      <c r="O120" s="178" t="str">
        <f>IFERROR(__xludf.DUMMYFUNCTION("LET(t, A120,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"),"7.07 (1.13%)")</f>
        <v>7.07 (1.13%)</v>
      </c>
      <c r="Q120" s="417"/>
      <c r="S120" s="404" t="str">
        <f t="array" ref="S120">IF(ISBLANK(R120),"",COUNTIF({$A$2:$A$31; $A$35:$A$64; $A$68:$A$97; $A$101:$A$130; A$134:A$163; $A$167:$A$196; $A$200:$A$229; $A$233:$A$262; $A$266:$A$295; $A$299:$A$328; $A$332:$A$361; $A$365:$A$435; 'Super Investors Buys'!$C$7:$C$56}, R120))</f>
        <v/>
      </c>
      <c r="AA120" s="186"/>
    </row>
    <row r="121">
      <c r="A121" s="149"/>
      <c r="B121" s="128" t="str">
        <f>IFERROR(__xludf.DUMMYFUNCTION("IF(ISBLANK(A121),"""", googlefinance(A121, ""name""))"),"")</f>
        <v/>
      </c>
      <c r="C121" s="175" t="str">
        <f t="shared" si="19"/>
        <v/>
      </c>
      <c r="D121" s="176"/>
      <c r="E121" s="132" t="str">
        <f>IFERROR(__xludf.DUMMYFUNCTION("IF(ISBLANK(A121),"""", googlefinance(A121, ""price""))"),"")</f>
        <v/>
      </c>
      <c r="F121" s="213" t="s">
        <v>133</v>
      </c>
      <c r="G121" s="213" t="s">
        <v>134</v>
      </c>
      <c r="H121" s="213" t="s">
        <v>134</v>
      </c>
      <c r="I121" s="136" t="str">
        <f t="shared" si="20"/>
        <v/>
      </c>
      <c r="J121" s="140" t="str">
        <f>IFERROR(__xludf.DUMMYFUNCTION("IfError(IF(isblank(A121),"""",split(O121, ""()"")))"),"")</f>
        <v/>
      </c>
      <c r="K121" s="136"/>
      <c r="L121" s="135" t="str">
        <f t="shared" si="21"/>
        <v/>
      </c>
      <c r="M121" s="135" t="str">
        <f t="shared" si="22"/>
        <v/>
      </c>
      <c r="N121" s="136" t="str">
        <f t="shared" si="23"/>
        <v/>
      </c>
      <c r="O121" s="178" t="str">
        <f>IFERROR(__xludf.DUMMYFUNCTION("LET(t, A121,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1" s="417"/>
      <c r="S121" s="404" t="str">
        <f t="array" ref="S121">IF(ISBLANK(R121),"",COUNTIF({$A$2:$A$31; $A$35:$A$64; $A$68:$A$97; $A$101:$A$130; A$134:A$163; $A$167:$A$196; $A$200:$A$229; $A$233:$A$262; $A$266:$A$295; $A$299:$A$328; $A$332:$A$361; $A$365:$A$435; 'Super Investors Buys'!$C$7:$C$56}, R121))</f>
        <v/>
      </c>
      <c r="AA121" s="186"/>
    </row>
    <row r="122">
      <c r="A122" s="149"/>
      <c r="B122" s="128" t="str">
        <f>IFERROR(__xludf.DUMMYFUNCTION("IF(ISBLANK(A122),"""", googlefinance(A122, ""name""))"),"")</f>
        <v/>
      </c>
      <c r="C122" s="175" t="str">
        <f t="shared" si="19"/>
        <v/>
      </c>
      <c r="D122" s="176"/>
      <c r="E122" s="132" t="str">
        <f>IFERROR(__xludf.DUMMYFUNCTION("IF(ISBLANK(A122),"""", googlefinance(A122, ""price""))"),"")</f>
        <v/>
      </c>
      <c r="F122" s="213" t="s">
        <v>133</v>
      </c>
      <c r="G122" s="213" t="s">
        <v>134</v>
      </c>
      <c r="H122" s="213" t="s">
        <v>134</v>
      </c>
      <c r="I122" s="136" t="str">
        <f t="shared" si="20"/>
        <v/>
      </c>
      <c r="J122" s="140" t="str">
        <f>IFERROR(__xludf.DUMMYFUNCTION("IfError(IF(isblank(A122),"""",split(O122, ""()"")))"),"")</f>
        <v/>
      </c>
      <c r="K122" s="136"/>
      <c r="L122" s="135" t="str">
        <f t="shared" si="21"/>
        <v/>
      </c>
      <c r="M122" s="135" t="str">
        <f t="shared" si="22"/>
        <v/>
      </c>
      <c r="N122" s="136" t="str">
        <f t="shared" si="23"/>
        <v/>
      </c>
      <c r="O122" s="178" t="str">
        <f>IFERROR(__xludf.DUMMYFUNCTION("LET(t, A122,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2" s="417"/>
      <c r="S122" s="404" t="str">
        <f t="array" ref="S122">IF(ISBLANK(R122),"",COUNTIF({$A$2:$A$31; $A$35:$A$64; $A$68:$A$97; $A$101:$A$130; A$134:A$163; $A$167:$A$196; $A$200:$A$229; $A$233:$A$262; $A$266:$A$295; $A$299:$A$328; $A$332:$A$361; $A$365:$A$435; 'Super Investors Buys'!$C$7:$C$56}, R122))</f>
        <v/>
      </c>
      <c r="AA122" s="186"/>
    </row>
    <row r="123">
      <c r="A123" s="149"/>
      <c r="B123" s="128" t="str">
        <f>IFERROR(__xludf.DUMMYFUNCTION("IF(ISBLANK(A123),"""", googlefinance(A123, ""name""))"),"")</f>
        <v/>
      </c>
      <c r="C123" s="175" t="str">
        <f t="shared" si="19"/>
        <v/>
      </c>
      <c r="D123" s="176"/>
      <c r="E123" s="132" t="str">
        <f>IFERROR(__xludf.DUMMYFUNCTION("IF(ISBLANK(A123),"""", googlefinance(A123, ""price""))"),"")</f>
        <v/>
      </c>
      <c r="F123" s="213" t="s">
        <v>133</v>
      </c>
      <c r="G123" s="213" t="s">
        <v>134</v>
      </c>
      <c r="H123" s="213" t="s">
        <v>134</v>
      </c>
      <c r="I123" s="136" t="str">
        <f t="shared" si="20"/>
        <v/>
      </c>
      <c r="J123" s="140" t="str">
        <f>IFERROR(__xludf.DUMMYFUNCTION("IfError(IF(isblank(A123),"""",split(O123, ""()"")))"),"")</f>
        <v/>
      </c>
      <c r="K123" s="136"/>
      <c r="L123" s="135" t="str">
        <f t="shared" si="21"/>
        <v/>
      </c>
      <c r="M123" s="135" t="str">
        <f t="shared" si="22"/>
        <v/>
      </c>
      <c r="N123" s="136" t="str">
        <f t="shared" si="23"/>
        <v/>
      </c>
      <c r="O123" s="178" t="str">
        <f>IFERROR(__xludf.DUMMYFUNCTION("LET(t, A123,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3" s="417"/>
      <c r="S123" s="404" t="str">
        <f t="array" ref="S123">IF(ISBLANK(R123),"",COUNTIF({$A$2:$A$31; $A$35:$A$64; $A$68:$A$97; $A$101:$A$130; A$134:A$163; $A$167:$A$196; $A$200:$A$229; $A$233:$A$262; $A$266:$A$295; $A$299:$A$328; $A$332:$A$361; $A$365:$A$435; 'Super Investors Buys'!$C$7:$C$56}, R123))</f>
        <v/>
      </c>
      <c r="AA123" s="186"/>
    </row>
    <row r="124">
      <c r="A124" s="149"/>
      <c r="B124" s="128" t="str">
        <f>IFERROR(__xludf.DUMMYFUNCTION("IF(ISBLANK(A124),"""", googlefinance(A124, ""name""))"),"")</f>
        <v/>
      </c>
      <c r="C124" s="175" t="str">
        <f t="shared" si="19"/>
        <v/>
      </c>
      <c r="D124" s="176"/>
      <c r="E124" s="132" t="str">
        <f>IFERROR(__xludf.DUMMYFUNCTION("IF(ISBLANK(A124),"""", googlefinance(A124, ""price""))"),"")</f>
        <v/>
      </c>
      <c r="F124" s="213" t="s">
        <v>133</v>
      </c>
      <c r="G124" s="213" t="s">
        <v>134</v>
      </c>
      <c r="H124" s="213" t="s">
        <v>134</v>
      </c>
      <c r="I124" s="136" t="str">
        <f t="shared" si="20"/>
        <v/>
      </c>
      <c r="J124" s="140" t="str">
        <f>IFERROR(__xludf.DUMMYFUNCTION("IfError(IF(isblank(A124),"""",split(O124, ""()"")))"),"")</f>
        <v/>
      </c>
      <c r="K124" s="136"/>
      <c r="L124" s="135" t="str">
        <f t="shared" si="21"/>
        <v/>
      </c>
      <c r="M124" s="135" t="str">
        <f t="shared" si="22"/>
        <v/>
      </c>
      <c r="N124" s="136" t="str">
        <f t="shared" si="23"/>
        <v/>
      </c>
      <c r="O124" s="178" t="str">
        <f>IFERROR(__xludf.DUMMYFUNCTION("LET(t, A124,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4" s="417"/>
      <c r="S124" s="404" t="str">
        <f t="array" ref="S124">IF(ISBLANK(R124),"",COUNTIF({$A$2:$A$31; $A$35:$A$64; $A$68:$A$97; $A$101:$A$130; A$134:A$163; $A$167:$A$196; $A$200:$A$229; $A$233:$A$262; $A$266:$A$295; $A$299:$A$328; $A$332:$A$361; $A$365:$A$435; 'Super Investors Buys'!$C$7:$C$56}, R124))</f>
        <v/>
      </c>
      <c r="AA124" s="186"/>
    </row>
    <row r="125">
      <c r="A125" s="149"/>
      <c r="B125" s="128" t="str">
        <f>IFERROR(__xludf.DUMMYFUNCTION("IF(ISBLANK(A125),"""", googlefinance(A125, ""name""))"),"")</f>
        <v/>
      </c>
      <c r="C125" s="175" t="str">
        <f t="shared" si="19"/>
        <v/>
      </c>
      <c r="D125" s="176"/>
      <c r="E125" s="132" t="str">
        <f>IFERROR(__xludf.DUMMYFUNCTION("IF(ISBLANK(A125),"""", googlefinance(A125, ""price""))"),"")</f>
        <v/>
      </c>
      <c r="F125" s="213" t="s">
        <v>133</v>
      </c>
      <c r="G125" s="213" t="s">
        <v>134</v>
      </c>
      <c r="H125" s="213" t="s">
        <v>134</v>
      </c>
      <c r="I125" s="136" t="str">
        <f t="shared" si="20"/>
        <v/>
      </c>
      <c r="J125" s="140" t="str">
        <f>IFERROR(__xludf.DUMMYFUNCTION("IfError(IF(isblank(A125),"""",split(O125, ""()"")))"),"")</f>
        <v/>
      </c>
      <c r="K125" s="136"/>
      <c r="L125" s="135" t="str">
        <f t="shared" si="21"/>
        <v/>
      </c>
      <c r="M125" s="135" t="str">
        <f t="shared" si="22"/>
        <v/>
      </c>
      <c r="N125" s="136" t="str">
        <f t="shared" si="23"/>
        <v/>
      </c>
      <c r="O125" s="178" t="str">
        <f>IFERROR(__xludf.DUMMYFUNCTION("LET(t, A125,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5" s="417"/>
      <c r="S125" s="404" t="str">
        <f t="array" ref="S125">IF(ISBLANK(R125),"",COUNTIF({$A$2:$A$31; $A$35:$A$64; $A$68:$A$97; $A$101:$A$130; A$134:A$163; $A$167:$A$196; $A$200:$A$229; $A$233:$A$262; $A$266:$A$295; $A$299:$A$328; $A$332:$A$361; $A$365:$A$435; 'Super Investors Buys'!$C$7:$C$56}, R125))</f>
        <v/>
      </c>
      <c r="AA125" s="186"/>
    </row>
    <row r="126">
      <c r="A126" s="149"/>
      <c r="B126" s="128" t="str">
        <f>IFERROR(__xludf.DUMMYFUNCTION("IF(ISBLANK(A126),"""", googlefinance(A126, ""name""))"),"")</f>
        <v/>
      </c>
      <c r="C126" s="175" t="str">
        <f t="shared" si="19"/>
        <v/>
      </c>
      <c r="D126" s="176"/>
      <c r="E126" s="132" t="str">
        <f>IFERROR(__xludf.DUMMYFUNCTION("IF(ISBLANK(A126),"""", googlefinance(A126, ""price""))"),"")</f>
        <v/>
      </c>
      <c r="F126" s="213" t="s">
        <v>133</v>
      </c>
      <c r="G126" s="213" t="s">
        <v>134</v>
      </c>
      <c r="H126" s="213" t="s">
        <v>134</v>
      </c>
      <c r="I126" s="136" t="str">
        <f t="shared" si="20"/>
        <v/>
      </c>
      <c r="J126" s="140" t="str">
        <f>IFERROR(__xludf.DUMMYFUNCTION("IfError(IF(isblank(A126),"""",split(O126, ""()"")))"),"")</f>
        <v/>
      </c>
      <c r="K126" s="136"/>
      <c r="L126" s="135" t="str">
        <f t="shared" si="21"/>
        <v/>
      </c>
      <c r="M126" s="135" t="str">
        <f t="shared" si="22"/>
        <v/>
      </c>
      <c r="N126" s="136" t="str">
        <f t="shared" si="23"/>
        <v/>
      </c>
      <c r="O126" s="178" t="str">
        <f>IFERROR(__xludf.DUMMYFUNCTION("LET(t, A126,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6" s="417"/>
      <c r="S126" s="404" t="str">
        <f t="array" ref="S126">IF(ISBLANK(R126),"",COUNTIF({$A$2:$A$31; $A$35:$A$64; $A$68:$A$97; $A$101:$A$130; A$134:A$163; $A$167:$A$196; $A$200:$A$229; $A$233:$A$262; $A$266:$A$295; $A$299:$A$328; $A$332:$A$361; $A$365:$A$435; 'Super Investors Buys'!$C$7:$C$56}, R126))</f>
        <v/>
      </c>
      <c r="AA126" s="186"/>
    </row>
    <row r="127">
      <c r="A127" s="149"/>
      <c r="B127" s="128" t="str">
        <f>IFERROR(__xludf.DUMMYFUNCTION("IF(ISBLANK(A127),"""", googlefinance(A127, ""name""))"),"")</f>
        <v/>
      </c>
      <c r="C127" s="175" t="str">
        <f t="shared" si="19"/>
        <v/>
      </c>
      <c r="D127" s="176"/>
      <c r="E127" s="132" t="str">
        <f>IFERROR(__xludf.DUMMYFUNCTION("IF(ISBLANK(A127),"""", googlefinance(A127, ""price""))"),"")</f>
        <v/>
      </c>
      <c r="F127" s="213" t="s">
        <v>133</v>
      </c>
      <c r="G127" s="213" t="s">
        <v>134</v>
      </c>
      <c r="H127" s="213" t="s">
        <v>134</v>
      </c>
      <c r="I127" s="136" t="str">
        <f t="shared" si="20"/>
        <v/>
      </c>
      <c r="J127" s="140" t="str">
        <f>IFERROR(__xludf.DUMMYFUNCTION("IfError(IF(isblank(A127),"""",split(O127, ""()"")))"),"")</f>
        <v/>
      </c>
      <c r="K127" s="136"/>
      <c r="L127" s="135" t="str">
        <f t="shared" si="21"/>
        <v/>
      </c>
      <c r="M127" s="135" t="str">
        <f t="shared" si="22"/>
        <v/>
      </c>
      <c r="N127" s="136" t="str">
        <f t="shared" si="23"/>
        <v/>
      </c>
      <c r="O127" s="178" t="str">
        <f>IFERROR(__xludf.DUMMYFUNCTION("LET(t, A127,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7" s="417"/>
      <c r="S127" s="404" t="str">
        <f t="array" ref="S127">IF(ISBLANK(R127),"",COUNTIF({$A$2:$A$31; $A$35:$A$64; $A$68:$A$97; $A$101:$A$130; A$134:A$163; $A$167:$A$196; $A$200:$A$229; $A$233:$A$262; $A$266:$A$295; $A$299:$A$328; $A$332:$A$361; $A$365:$A$435; 'Super Investors Buys'!$C$7:$C$56}, R127))</f>
        <v/>
      </c>
      <c r="AA127" s="186"/>
    </row>
    <row r="128">
      <c r="A128" s="149"/>
      <c r="B128" s="128"/>
      <c r="C128" s="175" t="str">
        <f t="shared" si="19"/>
        <v/>
      </c>
      <c r="D128" s="176"/>
      <c r="E128" s="132"/>
      <c r="F128" s="213" t="s">
        <v>133</v>
      </c>
      <c r="G128" s="213" t="s">
        <v>134</v>
      </c>
      <c r="H128" s="213" t="s">
        <v>134</v>
      </c>
      <c r="I128" s="136" t="str">
        <f t="shared" si="20"/>
        <v/>
      </c>
      <c r="J128" s="140"/>
      <c r="K128" s="136"/>
      <c r="L128" s="135"/>
      <c r="M128" s="135"/>
      <c r="N128" s="136" t="str">
        <f t="shared" si="23"/>
        <v/>
      </c>
      <c r="O128" s="178" t="str">
        <f>IFERROR(__xludf.DUMMYFUNCTION("LET(t, A128,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8" s="417"/>
      <c r="S128" s="404" t="str">
        <f t="array" ref="S128">IF(ISBLANK(R128),"",COUNTIF({$A$2:$A$31; $A$35:$A$64; $A$68:$A$97; $A$101:$A$130; A$134:A$163; $A$167:$A$196; $A$200:$A$229; $A$233:$A$262; $A$266:$A$295; $A$299:$A$328; $A$332:$A$361; $A$365:$A$435; 'Super Investors Buys'!$C$7:$C$56}, R128))</f>
        <v/>
      </c>
      <c r="AA128" s="186"/>
    </row>
    <row r="129">
      <c r="A129" s="149"/>
      <c r="B129" s="128"/>
      <c r="C129" s="175" t="str">
        <f t="shared" si="19"/>
        <v/>
      </c>
      <c r="D129" s="176"/>
      <c r="E129" s="132"/>
      <c r="F129" s="213" t="s">
        <v>133</v>
      </c>
      <c r="G129" s="213" t="s">
        <v>134</v>
      </c>
      <c r="H129" s="213" t="s">
        <v>134</v>
      </c>
      <c r="I129" s="136" t="str">
        <f t="shared" si="20"/>
        <v/>
      </c>
      <c r="J129" s="140"/>
      <c r="K129" s="136"/>
      <c r="L129" s="135"/>
      <c r="M129" s="135"/>
      <c r="N129" s="136" t="str">
        <f t="shared" si="23"/>
        <v/>
      </c>
      <c r="O129" s="178" t="str">
        <f>IFERROR(__xludf.DUMMYFUNCTION("LET(t, A129,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29" s="417"/>
      <c r="S129" s="404" t="str">
        <f t="array" ref="S129">IF(ISBLANK(R129),"",COUNTIF({$A$2:$A$31; $A$35:$A$64; $A$68:$A$97; $A$101:$A$130; A$134:A$163; $A$167:$A$196; $A$200:$A$229; $A$233:$A$262; $A$266:$A$295; $A$299:$A$328; $A$332:$A$361; $A$365:$A$435; 'Super Investors Buys'!$C$7:$C$56}, R129))</f>
        <v/>
      </c>
      <c r="AA129" s="186"/>
    </row>
    <row r="130">
      <c r="A130" s="149"/>
      <c r="B130" s="128"/>
      <c r="C130" s="175" t="str">
        <f t="shared" si="19"/>
        <v/>
      </c>
      <c r="D130" s="176"/>
      <c r="E130" s="132"/>
      <c r="F130" s="213" t="s">
        <v>133</v>
      </c>
      <c r="G130" s="213" t="s">
        <v>134</v>
      </c>
      <c r="H130" s="213" t="s">
        <v>134</v>
      </c>
      <c r="I130" s="136" t="str">
        <f t="shared" si="20"/>
        <v/>
      </c>
      <c r="J130" s="140"/>
      <c r="K130" s="136"/>
      <c r="L130" s="135"/>
      <c r="M130" s="135"/>
      <c r="N130" s="136" t="str">
        <f t="shared" si="23"/>
        <v/>
      </c>
      <c r="O130" s="178" t="str">
        <f>IFERROR(__xludf.DUMMYFUNCTION("LET(t, A130,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30" s="417"/>
      <c r="S130" s="404" t="str">
        <f t="array" ref="S130">IF(ISBLANK(R130),"",COUNTIF({$A$2:$A$31; $A$35:$A$64; $A$68:$A$97; $A$101:$A$130; A$134:A$163; $A$167:$A$196; $A$200:$A$229; $A$233:$A$262; $A$266:$A$295; $A$299:$A$328; $A$332:$A$361; $A$365:$A$435; 'Super Investors Buys'!$C$7:$C$56}, R130))</f>
        <v/>
      </c>
      <c r="AA130" s="186"/>
    </row>
    <row r="131">
      <c r="A131" s="179">
        <f>COUNTA(A101:A130)</f>
        <v>20</v>
      </c>
      <c r="B131" s="180" t="s">
        <v>341</v>
      </c>
      <c r="C131" s="413">
        <v>45717.0</v>
      </c>
      <c r="D131" s="414" t="s">
        <v>375</v>
      </c>
      <c r="E131" s="181"/>
      <c r="F131" s="179"/>
      <c r="G131" s="179"/>
      <c r="H131" s="179"/>
      <c r="I131" s="182">
        <f>SUM(I101:I130)</f>
        <v>1</v>
      </c>
      <c r="J131" s="181"/>
      <c r="K131" s="182">
        <f>M131/L131</f>
        <v>0.03212131525</v>
      </c>
      <c r="L131" s="181">
        <f t="shared" ref="L131:N131" si="24">SUM(L101:L130)</f>
        <v>101899.0653</v>
      </c>
      <c r="M131" s="181">
        <f t="shared" si="24"/>
        <v>3273.132</v>
      </c>
      <c r="N131" s="182">
        <f t="shared" si="24"/>
        <v>1</v>
      </c>
      <c r="O131" s="184"/>
      <c r="Q131" s="417"/>
      <c r="S131" s="404" t="str">
        <f t="array" ref="S131">IF(ISBLANK(R131),"",COUNTIF({$A$2:$A$31; $A$35:$A$64; $A$68:$A$97; $A$101:$A$130; A$134:A$163; $A$167:$A$196; $A$200:$A$229; $A$233:$A$262; $A$266:$A$295; $A$299:$A$328; $A$332:$A$361; $A$365:$A$435; 'Super Investors Buys'!$C$7:$C$56}, R131))</f>
        <v/>
      </c>
    </row>
    <row r="132">
      <c r="Q132" s="417"/>
      <c r="S132" s="404" t="str">
        <f t="array" ref="S132">IF(ISBLANK(R132),"",COUNTIF({$A$2:$A$31; $A$35:$A$64; $A$68:$A$97; $A$101:$A$130; A$134:A$163; $A$167:$A$196; $A$200:$A$229; $A$233:$A$262; $A$266:$A$295; $A$299:$A$328; $A$332:$A$361; $A$365:$A$435; 'Super Investors Buys'!$C$7:$C$56}, R132))</f>
        <v/>
      </c>
      <c r="AA132" s="186"/>
    </row>
    <row r="133">
      <c r="A133" s="116" t="s">
        <v>376</v>
      </c>
      <c r="B133" s="117" t="s">
        <v>72</v>
      </c>
      <c r="C133" s="117" t="s">
        <v>73</v>
      </c>
      <c r="D133" s="117" t="s">
        <v>74</v>
      </c>
      <c r="E133" s="118" t="s">
        <v>76</v>
      </c>
      <c r="F133" s="117" t="s">
        <v>85</v>
      </c>
      <c r="G133" s="117" t="s">
        <v>86</v>
      </c>
      <c r="H133" s="117" t="s">
        <v>87</v>
      </c>
      <c r="I133" s="121" t="s">
        <v>88</v>
      </c>
      <c r="J133" s="118" t="s">
        <v>89</v>
      </c>
      <c r="K133" s="121" t="s">
        <v>12</v>
      </c>
      <c r="L133" s="118" t="s">
        <v>9</v>
      </c>
      <c r="M133" s="117" t="s">
        <v>91</v>
      </c>
      <c r="N133" s="117" t="s">
        <v>92</v>
      </c>
      <c r="O133" s="118" t="s">
        <v>99</v>
      </c>
      <c r="Q133" s="417"/>
      <c r="S133" s="404" t="str">
        <f t="array" ref="S133">IF(ISBLANK(R133),"",COUNTIF({$A$2:$A$31; $A$35:$A$64; $A$68:$A$97; $A$101:$A$130; A$134:A$163; $A$167:$A$196; $A$200:$A$229; $A$233:$A$262; $A$266:$A$295; $A$299:$A$328; $A$332:$A$361; $A$365:$A$435; 'Super Investors Buys'!$C$7:$C$56}, R133))</f>
        <v/>
      </c>
      <c r="W133" s="418"/>
      <c r="AA133" s="186"/>
    </row>
    <row r="134">
      <c r="A134" s="149" t="s">
        <v>366</v>
      </c>
      <c r="B134" s="128" t="str">
        <f>IFERROR(__xludf.DUMMYFUNCTION("IF(ISBLANK(A134),"""", googlefinance(A134, ""name""))"),"Enterprise Products Partners L.P")</f>
        <v>Enterprise Products Partners L.P</v>
      </c>
      <c r="C134" s="129" t="str">
        <f t="shared" ref="C134:C163" si="25">IF(ISBLANK(A134),"", HYPERLINK("https://seekingalpha.com/symbol/" &amp; A134,"View"))</f>
        <v>View</v>
      </c>
      <c r="D134" s="176"/>
      <c r="E134" s="132">
        <f>IFERROR(__xludf.DUMMYFUNCTION("IF(ISBLANK(A134),"""", googlefinance(A134, ""price""))"),37.29)</f>
        <v>37.29</v>
      </c>
      <c r="F134" s="213" t="s">
        <v>101</v>
      </c>
      <c r="G134" s="213" t="s">
        <v>134</v>
      </c>
      <c r="H134" s="213" t="s">
        <v>113</v>
      </c>
      <c r="I134" s="136">
        <f t="shared" ref="I134:I163" si="26">if(isblank(A134),"",L134/$L$164)</f>
        <v>0</v>
      </c>
      <c r="J134" s="140">
        <f>IFERROR(__xludf.DUMMYFUNCTION("IfError(IF(isblank(A134),"""",split(O134, ""()"")))"),2.18)</f>
        <v>2.18</v>
      </c>
      <c r="K134" s="136">
        <f>IFERROR(__xludf.DUMMYFUNCTION("""COMPUTED_VALUE"""),0.0583)</f>
        <v>0.0583</v>
      </c>
      <c r="L134" s="135">
        <f t="shared" ref="L134:L163" si="27">IF(ISBLANK(A134),"",D134*E134)</f>
        <v>0</v>
      </c>
      <c r="M134" s="135">
        <f t="shared" ref="M134:M163" si="28">IFERROR(IF(ISBLANK(A134),"",D134*J134),"")</f>
        <v>0</v>
      </c>
      <c r="N134" s="136">
        <f t="shared" ref="N134:N163" si="29">if(isblank(A134),"",M134/$M$164)</f>
        <v>0</v>
      </c>
      <c r="O134" s="178" t="str">
        <f>IFERROR(__xludf.DUMMYFUNCTION("LET(t, A134,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"),"2.18 (5.83%)")</f>
        <v>2.18 (5.83%)</v>
      </c>
      <c r="Q134" s="417"/>
      <c r="S134" s="404" t="str">
        <f t="array" ref="S134">IF(ISBLANK(R134),"",COUNTIF({$A$2:$A$31; $A$35:$A$64; $A$68:$A$97; $A$101:$A$130; A$134:A$163; $A$167:$A$196; $A$200:$A$229; $A$233:$A$262; $A$266:$A$295; $A$299:$A$328; $A$332:$A$361; $A$365:$A$435; 'Super Investors Buys'!$C$7:$C$56}, R134))</f>
        <v/>
      </c>
      <c r="AA134" s="186"/>
    </row>
    <row r="135">
      <c r="A135" s="149" t="s">
        <v>313</v>
      </c>
      <c r="B135" s="128" t="str">
        <f>IFERROR(__xludf.DUMMYFUNCTION("IF(ISBLANK(A135),"""", googlefinance(A135, ""name""))"),"Johnson &amp; Johnson")</f>
        <v>Johnson &amp; Johnson</v>
      </c>
      <c r="C135" s="129" t="str">
        <f t="shared" si="25"/>
        <v>View</v>
      </c>
      <c r="D135" s="176">
        <v>27.0</v>
      </c>
      <c r="E135" s="132">
        <f>IFERROR(__xludf.DUMMYFUNCTION("IF(ISBLANK(A135),"""", googlefinance(A135, ""price""))"),239.63)</f>
        <v>239.63</v>
      </c>
      <c r="F135" s="213" t="s">
        <v>101</v>
      </c>
      <c r="G135" s="213" t="s">
        <v>134</v>
      </c>
      <c r="H135" s="213" t="s">
        <v>113</v>
      </c>
      <c r="I135" s="136">
        <f t="shared" si="26"/>
        <v>0.02598746699</v>
      </c>
      <c r="J135" s="140">
        <f>IFERROR(__xludf.DUMMYFUNCTION("IfError(IF(isblank(A135),"""",split(O135, ""()"")))"),5.2)</f>
        <v>5.2</v>
      </c>
      <c r="K135" s="136">
        <f>IFERROR(__xludf.DUMMYFUNCTION("""COMPUTED_VALUE"""),0.0217)</f>
        <v>0.0217</v>
      </c>
      <c r="L135" s="135">
        <f t="shared" si="27"/>
        <v>6470.01</v>
      </c>
      <c r="M135" s="135">
        <f t="shared" si="28"/>
        <v>140.4</v>
      </c>
      <c r="N135" s="136">
        <f t="shared" si="29"/>
        <v>0.02122837605</v>
      </c>
      <c r="O135" s="178" t="str">
        <f>IFERROR(__xludf.DUMMYFUNCTION("LET(t, A135,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"),"5.20 (2.17%)")</f>
        <v>5.20 (2.17%)</v>
      </c>
      <c r="Q135" s="417"/>
      <c r="S135" s="404" t="str">
        <f t="array" ref="S135">IF(ISBLANK(R135),"",COUNTIF({$A$2:$A$31; $A$35:$A$64; $A$68:$A$97; $A$101:$A$130; A$134:A$163; $A$167:$A$196; $A$200:$A$229; $A$233:$A$262; $A$266:$A$295; $A$299:$A$328; $A$332:$A$361; $A$365:$A$435; 'Super Investors Buys'!$C$7:$C$56}, R135))</f>
        <v/>
      </c>
      <c r="AA135" s="186"/>
    </row>
    <row r="136">
      <c r="A136" s="149" t="s">
        <v>114</v>
      </c>
      <c r="B136" s="128" t="str">
        <f>IFERROR(__xludf.DUMMYFUNCTION("IF(ISBLANK(A136),"""", googlefinance(A136, ""name""))"),"Coca-Cola Co")</f>
        <v>Coca-Cola Co</v>
      </c>
      <c r="C136" s="129" t="str">
        <f t="shared" si="25"/>
        <v>View</v>
      </c>
      <c r="D136" s="176">
        <v>45.5</v>
      </c>
      <c r="E136" s="132">
        <f>IFERROR(__xludf.DUMMYFUNCTION("IF(ISBLANK(A136),"""", googlefinance(A136, ""price""))"),77.03)</f>
        <v>77.03</v>
      </c>
      <c r="F136" s="213" t="s">
        <v>101</v>
      </c>
      <c r="G136" s="213" t="s">
        <v>134</v>
      </c>
      <c r="H136" s="213" t="s">
        <v>113</v>
      </c>
      <c r="I136" s="136">
        <f t="shared" si="26"/>
        <v>0.01407765421</v>
      </c>
      <c r="J136" s="140">
        <f>IFERROR(__xludf.DUMMYFUNCTION("IfError(IF(isblank(A136),"""",split(O136, ""()"")))"),2.04)</f>
        <v>2.04</v>
      </c>
      <c r="K136" s="136">
        <f>IFERROR(__xludf.DUMMYFUNCTION("""COMPUTED_VALUE"""),0.0265)</f>
        <v>0.0265</v>
      </c>
      <c r="L136" s="135">
        <f t="shared" si="27"/>
        <v>3504.865</v>
      </c>
      <c r="M136" s="135">
        <f t="shared" si="28"/>
        <v>92.82</v>
      </c>
      <c r="N136" s="136">
        <f t="shared" si="29"/>
        <v>0.01403431528</v>
      </c>
      <c r="O136" s="178" t="str">
        <f>IFERROR(__xludf.DUMMYFUNCTION("LET(t, A136,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"),"2.04 (2.65%)")</f>
        <v>2.04 (2.65%)</v>
      </c>
      <c r="Q136" s="417"/>
      <c r="S136" s="404" t="str">
        <f t="array" ref="S136">IF(ISBLANK(R136),"",COUNTIF({$A$2:$A$31; $A$35:$A$64; $A$68:$A$97; $A$101:$A$130; A$134:A$163; $A$167:$A$196; $A$200:$A$229; $A$233:$A$262; $A$266:$A$295; $A$299:$A$328; $A$332:$A$361; $A$365:$A$435; 'Super Investors Buys'!$C$7:$C$56}, R136))</f>
        <v/>
      </c>
      <c r="AA136" s="186"/>
    </row>
    <row r="137">
      <c r="A137" s="149" t="s">
        <v>311</v>
      </c>
      <c r="B137" s="128" t="str">
        <f>IFERROR(__xludf.DUMMYFUNCTION("IF(ISBLANK(A137),"""", googlefinance(A137, ""name""))"),"Altria Group Inc")</f>
        <v>Altria Group Inc</v>
      </c>
      <c r="C137" s="129" t="str">
        <f t="shared" si="25"/>
        <v>View</v>
      </c>
      <c r="D137" s="176">
        <v>95.9</v>
      </c>
      <c r="E137" s="132">
        <f>IFERROR(__xludf.DUMMYFUNCTION("IF(ISBLANK(A137),"""", googlefinance(A137, ""price""))"),66.98)</f>
        <v>66.98</v>
      </c>
      <c r="F137" s="213" t="s">
        <v>101</v>
      </c>
      <c r="G137" s="213" t="s">
        <v>134</v>
      </c>
      <c r="H137" s="213" t="s">
        <v>113</v>
      </c>
      <c r="I137" s="136">
        <f t="shared" si="26"/>
        <v>0.02580018079</v>
      </c>
      <c r="J137" s="140">
        <f>IFERROR(__xludf.DUMMYFUNCTION("IfError(IF(isblank(A137),"""",split(O137, ""()"")))"),4.16)</f>
        <v>4.16</v>
      </c>
      <c r="K137" s="136">
        <f>IFERROR(__xludf.DUMMYFUNCTION("""COMPUTED_VALUE"""),0.0621)</f>
        <v>0.0621</v>
      </c>
      <c r="L137" s="135">
        <f t="shared" si="27"/>
        <v>6423.382</v>
      </c>
      <c r="M137" s="135">
        <f t="shared" si="28"/>
        <v>398.944</v>
      </c>
      <c r="N137" s="136">
        <f t="shared" si="29"/>
        <v>0.06032003742</v>
      </c>
      <c r="O137" s="178" t="str">
        <f>IFERROR(__xludf.DUMMYFUNCTION("LET(t, A137,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"),"4.16 (6.21%)")</f>
        <v>4.16 (6.21%)</v>
      </c>
      <c r="Q137" s="417"/>
      <c r="S137" s="404" t="str">
        <f t="array" ref="S137">IF(ISBLANK(R137),"",COUNTIF({$A$2:$A$31; $A$35:$A$64; $A$68:$A$97; $A$101:$A$130; A$134:A$163; $A$167:$A$196; $A$200:$A$229; $A$233:$A$262; $A$266:$A$295; $A$299:$A$328; $A$332:$A$361; $A$365:$A$435; 'Super Investors Buys'!$C$7:$C$56}, R137))</f>
        <v/>
      </c>
      <c r="AA137" s="186"/>
    </row>
    <row r="138">
      <c r="A138" s="149" t="s">
        <v>104</v>
      </c>
      <c r="B138" s="128" t="str">
        <f>IFERROR(__xludf.DUMMYFUNCTION("IF(ISBLANK(A138),"""", googlefinance(A138, ""name""))"),"Microsoft Corp")</f>
        <v>Microsoft Corp</v>
      </c>
      <c r="C138" s="129" t="str">
        <f t="shared" si="25"/>
        <v>View</v>
      </c>
      <c r="D138" s="176">
        <v>32.6</v>
      </c>
      <c r="E138" s="132">
        <f>IFERROR(__xludf.DUMMYFUNCTION("IF(ISBLANK(A138),"""", googlefinance(A138, ""price""))"),410.68)</f>
        <v>410.68</v>
      </c>
      <c r="F138" s="213" t="s">
        <v>101</v>
      </c>
      <c r="G138" s="213" t="s">
        <v>134</v>
      </c>
      <c r="H138" s="213" t="s">
        <v>103</v>
      </c>
      <c r="I138" s="136">
        <f t="shared" si="26"/>
        <v>0.05377496696</v>
      </c>
      <c r="J138" s="140" t="str">
        <f>IFERROR(__xludf.DUMMYFUNCTION("IfError(IF(isblank(A138),"""",split(O138, ""()"")))"),"")</f>
        <v/>
      </c>
      <c r="K138" s="136"/>
      <c r="L138" s="135">
        <f t="shared" si="27"/>
        <v>13388.168</v>
      </c>
      <c r="M138" s="135">
        <f t="shared" si="28"/>
        <v>0</v>
      </c>
      <c r="N138" s="136">
        <f t="shared" si="29"/>
        <v>0</v>
      </c>
      <c r="O138" s="178" t="str">
        <f>IFERROR(__xludf.DUMMYFUNCTION("LET(t, A138,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38" s="417"/>
      <c r="S138" s="404" t="str">
        <f t="array" ref="S138">IF(ISBLANK(R138),"",COUNTIF({$A$2:$A$31; $A$35:$A$64; $A$68:$A$97; $A$101:$A$130; A$134:A$163; $A$167:$A$196; $A$200:$A$229; $A$233:$A$262; $A$266:$A$295; $A$299:$A$328; $A$332:$A$361; $A$365:$A$435; 'Super Investors Buys'!$C$7:$C$56}, R138))</f>
        <v/>
      </c>
      <c r="AA138" s="186"/>
    </row>
    <row r="139">
      <c r="A139" s="149" t="s">
        <v>115</v>
      </c>
      <c r="B139" s="128" t="str">
        <f>IFERROR(__xludf.DUMMYFUNCTION("IF(ISBLANK(A139),"""", googlefinance(A139, ""name""))"),"Realty Income Corp")</f>
        <v>Realty Income Corp</v>
      </c>
      <c r="C139" s="129" t="str">
        <f t="shared" si="25"/>
        <v>View</v>
      </c>
      <c r="D139" s="176">
        <v>112.0</v>
      </c>
      <c r="E139" s="132">
        <f>IFERROR(__xludf.DUMMYFUNCTION("IF(ISBLANK(A139),"""", googlefinance(A139, ""price""))"),64.8)</f>
        <v>64.8</v>
      </c>
      <c r="F139" s="213" t="s">
        <v>101</v>
      </c>
      <c r="G139" s="213" t="s">
        <v>134</v>
      </c>
      <c r="H139" s="213" t="s">
        <v>113</v>
      </c>
      <c r="I139" s="136">
        <f t="shared" si="26"/>
        <v>0.02915090401</v>
      </c>
      <c r="J139" s="140">
        <f>IFERROR(__xludf.DUMMYFUNCTION("IfError(IF(isblank(A139),"""",split(O139, ""()"")))"),3.5)</f>
        <v>3.5</v>
      </c>
      <c r="K139" s="136">
        <f>IFERROR(__xludf.DUMMYFUNCTION("""COMPUTED_VALUE"""),0.054)</f>
        <v>0.054</v>
      </c>
      <c r="L139" s="135">
        <f t="shared" si="27"/>
        <v>7257.6</v>
      </c>
      <c r="M139" s="135">
        <f t="shared" si="28"/>
        <v>392</v>
      </c>
      <c r="N139" s="136">
        <f t="shared" si="29"/>
        <v>0.05927010977</v>
      </c>
      <c r="O139" s="178" t="str">
        <f>IFERROR(__xludf.DUMMYFUNCTION("LET(t, A139,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"),"3.50 (5.40%)")</f>
        <v>3.50 (5.40%)</v>
      </c>
      <c r="Q139" s="417"/>
      <c r="S139" s="404" t="str">
        <f t="array" ref="S139">IF(ISBLANK(R139),"",COUNTIF({$A$2:$A$31; $A$35:$A$64; $A$68:$A$97; $A$101:$A$130; A$134:A$163; $A$167:$A$196; $A$200:$A$229; $A$233:$A$262; $A$266:$A$295; $A$299:$A$328; $A$332:$A$361; $A$365:$A$435; 'Super Investors Buys'!$C$7:$C$56}, R139))</f>
        <v/>
      </c>
      <c r="AA139" s="186"/>
    </row>
    <row r="140">
      <c r="A140" s="149" t="s">
        <v>377</v>
      </c>
      <c r="B140" s="128" t="str">
        <f>IFERROR(__xludf.DUMMYFUNCTION("IF(ISBLANK(A140),"""", googlefinance(A140, ""name""))"),"3M Co")</f>
        <v>3M Co</v>
      </c>
      <c r="C140" s="129" t="str">
        <f t="shared" si="25"/>
        <v>View</v>
      </c>
      <c r="D140" s="176"/>
      <c r="E140" s="132">
        <f>IFERROR(__xludf.DUMMYFUNCTION("IF(ISBLANK(A140),"""", googlefinance(A140, ""price""))"),156.21)</f>
        <v>156.21</v>
      </c>
      <c r="F140" s="213" t="s">
        <v>101</v>
      </c>
      <c r="G140" s="213" t="s">
        <v>134</v>
      </c>
      <c r="H140" s="213" t="s">
        <v>113</v>
      </c>
      <c r="I140" s="136">
        <f t="shared" si="26"/>
        <v>0</v>
      </c>
      <c r="J140" s="140">
        <f>IFERROR(__xludf.DUMMYFUNCTION("IfError(IF(isblank(A140),"""",split(O140, ""()"")))"),2.97)</f>
        <v>2.97</v>
      </c>
      <c r="K140" s="136">
        <f>IFERROR(__xludf.DUMMYFUNCTION("""COMPUTED_VALUE"""),0.019)</f>
        <v>0.019</v>
      </c>
      <c r="L140" s="135">
        <f t="shared" si="27"/>
        <v>0</v>
      </c>
      <c r="M140" s="135">
        <f t="shared" si="28"/>
        <v>0</v>
      </c>
      <c r="N140" s="136">
        <f t="shared" si="29"/>
        <v>0</v>
      </c>
      <c r="O140" s="178" t="str">
        <f>IFERROR(__xludf.DUMMYFUNCTION("LET(t, A140,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"),"2.97 (1.90%)")</f>
        <v>2.97 (1.90%)</v>
      </c>
      <c r="Q140" s="417"/>
      <c r="S140" s="404" t="str">
        <f t="array" ref="S140">IF(ISBLANK(R140),"",COUNTIF({$A$2:$A$31; $A$35:$A$64; $A$68:$A$97; $A$101:$A$130; A$134:A$163; $A$167:$A$196; $A$200:$A$229; $A$233:$A$262; $A$266:$A$295; $A$299:$A$328; $A$332:$A$361; $A$365:$A$435; 'Super Investors Buys'!$C$7:$C$56}, R140))</f>
        <v/>
      </c>
      <c r="AA140" s="186"/>
    </row>
    <row r="141">
      <c r="A141" s="149" t="s">
        <v>117</v>
      </c>
      <c r="B141" s="128" t="str">
        <f>IFERROR(__xludf.DUMMYFUNCTION("IF(ISBLANK(A141),"""", googlefinance(A141, ""name""))"),"VICI Properties Inc")</f>
        <v>VICI Properties Inc</v>
      </c>
      <c r="C141" s="129" t="str">
        <f t="shared" si="25"/>
        <v>View</v>
      </c>
      <c r="D141" s="176">
        <v>285.0</v>
      </c>
      <c r="E141" s="132">
        <f>IFERROR(__xludf.DUMMYFUNCTION("IF(ISBLANK(A141),"""", googlefinance(A141, ""price""))"),29.69)</f>
        <v>29.69</v>
      </c>
      <c r="F141" s="213" t="s">
        <v>101</v>
      </c>
      <c r="G141" s="213" t="s">
        <v>134</v>
      </c>
      <c r="H141" s="402" t="s">
        <v>113</v>
      </c>
      <c r="I141" s="136">
        <f t="shared" si="26"/>
        <v>0.03398709586</v>
      </c>
      <c r="J141" s="140">
        <f>IFERROR(__xludf.DUMMYFUNCTION("IfError(IF(isblank(A141),"""",split(O141, ""()"")))"),1.76)</f>
        <v>1.76</v>
      </c>
      <c r="K141" s="136">
        <f>IFERROR(__xludf.DUMMYFUNCTION("""COMPUTED_VALUE"""),0.0594)</f>
        <v>0.0594</v>
      </c>
      <c r="L141" s="135">
        <f t="shared" si="27"/>
        <v>8461.65</v>
      </c>
      <c r="M141" s="135">
        <f t="shared" si="28"/>
        <v>501.6</v>
      </c>
      <c r="N141" s="136">
        <f t="shared" si="29"/>
        <v>0.07584154862</v>
      </c>
      <c r="O141" s="178" t="str">
        <f>IFERROR(__xludf.DUMMYFUNCTION("LET(t, A141,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"),"1.76 (5.94%)")</f>
        <v>1.76 (5.94%)</v>
      </c>
      <c r="Q141" s="417"/>
      <c r="S141" s="404" t="str">
        <f t="array" ref="S141">IF(ISBLANK(R141),"",COUNTIF({$A$2:$A$31; $A$35:$A$64; $A$68:$A$97; $A$101:$A$130; A$134:A$163; $A$167:$A$196; $A$200:$A$229; $A$233:$A$262; $A$266:$A$295; $A$299:$A$328; $A$332:$A$361; $A$365:$A$435; 'Super Investors Buys'!$C$7:$C$56}, R141))</f>
        <v/>
      </c>
      <c r="AA141" s="186"/>
    </row>
    <row r="142">
      <c r="A142" s="149" t="s">
        <v>378</v>
      </c>
      <c r="B142" s="128" t="str">
        <f>IFERROR(__xludf.DUMMYFUNCTION("IF(ISBLANK(A142),"""", googlefinance(A142, ""name""))"),"Bank of America Corp")</f>
        <v>Bank of America Corp</v>
      </c>
      <c r="C142" s="129" t="str">
        <f t="shared" si="25"/>
        <v>View</v>
      </c>
      <c r="D142" s="176">
        <v>100.0</v>
      </c>
      <c r="E142" s="132">
        <f>IFERROR(__xludf.DUMMYFUNCTION("IF(ISBLANK(A142),"""", googlefinance(A142, ""price""))"),49.81)</f>
        <v>49.81</v>
      </c>
      <c r="F142" s="213" t="s">
        <v>101</v>
      </c>
      <c r="G142" s="213" t="s">
        <v>134</v>
      </c>
      <c r="H142" s="402" t="s">
        <v>113</v>
      </c>
      <c r="I142" s="136">
        <f t="shared" si="26"/>
        <v>0.02000670371</v>
      </c>
      <c r="J142" s="140">
        <f>IFERROR(__xludf.DUMMYFUNCTION("IfError(IF(isblank(A142),"""",split(O142, ""()"")))"),1.08)</f>
        <v>1.08</v>
      </c>
      <c r="K142" s="136">
        <f>IFERROR(__xludf.DUMMYFUNCTION("""COMPUTED_VALUE"""),0.0217)</f>
        <v>0.0217</v>
      </c>
      <c r="L142" s="135">
        <f t="shared" si="27"/>
        <v>4981</v>
      </c>
      <c r="M142" s="135">
        <f t="shared" si="28"/>
        <v>108</v>
      </c>
      <c r="N142" s="136">
        <f t="shared" si="29"/>
        <v>0.01632952004</v>
      </c>
      <c r="O142" s="178" t="str">
        <f>IFERROR(__xludf.DUMMYFUNCTION("LET(t, A142,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"),"1.08 (2.17%)")</f>
        <v>1.08 (2.17%)</v>
      </c>
      <c r="Q142" s="417"/>
      <c r="S142" s="404" t="str">
        <f t="array" ref="S142">IF(ISBLANK(R142),"",COUNTIF({$A$2:$A$31; $A$35:$A$64; $A$68:$A$97; $A$101:$A$130; A$134:A$163; $A$167:$A$196; $A$200:$A$229; $A$233:$A$262; $A$266:$A$295; $A$299:$A$328; $A$332:$A$361; $A$365:$A$435; 'Super Investors Buys'!$C$7:$C$56}, R142))</f>
        <v/>
      </c>
      <c r="AA142" s="186"/>
    </row>
    <row r="143">
      <c r="A143" s="149" t="s">
        <v>379</v>
      </c>
      <c r="B143" s="128" t="str">
        <f>IFERROR(__xludf.DUMMYFUNCTION("IF(ISBLANK(A143),"""", googlefinance(A143, ""name""))"),"Domino's Pizza Inc")</f>
        <v>Domino's Pizza Inc</v>
      </c>
      <c r="C143" s="129" t="str">
        <f t="shared" si="25"/>
        <v>View</v>
      </c>
      <c r="D143" s="176">
        <v>8.5</v>
      </c>
      <c r="E143" s="132">
        <f>IFERROR(__xludf.DUMMYFUNCTION("IF(ISBLANK(A143),"""", googlefinance(A143, ""price""))"),402.7)</f>
        <v>402.7</v>
      </c>
      <c r="F143" s="213" t="s">
        <v>101</v>
      </c>
      <c r="G143" s="213" t="s">
        <v>134</v>
      </c>
      <c r="H143" s="213" t="s">
        <v>103</v>
      </c>
      <c r="I143" s="136">
        <f t="shared" si="26"/>
        <v>0.0137486341</v>
      </c>
      <c r="J143" s="140">
        <f>IFERROR(__xludf.DUMMYFUNCTION("IfError(IF(isblank(A143),"""",split(O143, ""()"")))"),6.96)</f>
        <v>6.96</v>
      </c>
      <c r="K143" s="136">
        <f>IFERROR(__xludf.DUMMYFUNCTION("""COMPUTED_VALUE"""),0.0173)</f>
        <v>0.0173</v>
      </c>
      <c r="L143" s="135">
        <f t="shared" si="27"/>
        <v>3422.95</v>
      </c>
      <c r="M143" s="135">
        <f t="shared" si="28"/>
        <v>59.16</v>
      </c>
      <c r="N143" s="136">
        <f t="shared" si="29"/>
        <v>0.008944948198</v>
      </c>
      <c r="O143" s="178" t="str">
        <f>IFERROR(__xludf.DUMMYFUNCTION("LET(t, A143,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"),"6.96 (1.73%)")</f>
        <v>6.96 (1.73%)</v>
      </c>
      <c r="Q143" s="417"/>
      <c r="S143" s="404" t="str">
        <f t="array" ref="S143">IF(ISBLANK(R143),"",COUNTIF({$A$2:$A$31; $A$35:$A$64; $A$68:$A$97; $A$101:$A$130; A$134:A$163; $A$167:$A$196; $A$200:$A$229; $A$233:$A$262; $A$266:$A$295; $A$299:$A$328; $A$332:$A$361; $A$365:$A$435; 'Super Investors Buys'!$C$7:$C$56}, R143))</f>
        <v/>
      </c>
      <c r="AA143" s="186"/>
    </row>
    <row r="144">
      <c r="A144" s="149" t="s">
        <v>348</v>
      </c>
      <c r="B144" s="128" t="str">
        <f>IFERROR(__xludf.DUMMYFUNCTION("IF(ISBLANK(A144),"""", googlefinance(A144, ""name""))"),"Intel Corp")</f>
        <v>Intel Corp</v>
      </c>
      <c r="C144" s="129" t="str">
        <f t="shared" si="25"/>
        <v>View</v>
      </c>
      <c r="D144" s="176"/>
      <c r="E144" s="132">
        <f>IFERROR(__xludf.DUMMYFUNCTION("IF(ISBLANK(A144),"""", googlefinance(A144, ""price""))"),45.95)</f>
        <v>45.95</v>
      </c>
      <c r="F144" s="213" t="s">
        <v>101</v>
      </c>
      <c r="G144" s="213" t="s">
        <v>134</v>
      </c>
      <c r="H144" s="213" t="s">
        <v>113</v>
      </c>
      <c r="I144" s="136">
        <f t="shared" si="26"/>
        <v>0</v>
      </c>
      <c r="J144" s="140" t="str">
        <f>IFERROR(__xludf.DUMMYFUNCTION("IfError(IF(isblank(A144),"""",split(O144, ""()"")))"),"-")</f>
        <v>-</v>
      </c>
      <c r="K144" s="136"/>
      <c r="L144" s="135">
        <f t="shared" si="27"/>
        <v>0</v>
      </c>
      <c r="M144" s="135" t="str">
        <f t="shared" si="28"/>
        <v/>
      </c>
      <c r="N144" s="136">
        <f t="shared" si="29"/>
        <v>0</v>
      </c>
      <c r="O144" s="178" t="str">
        <f>IFERROR(__xludf.DUMMYFUNCTION("LET(t, A144,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v>
      </c>
      <c r="Q144" s="417"/>
      <c r="S144" s="404" t="str">
        <f t="array" ref="S144">IF(ISBLANK(R144),"",COUNTIF({$A$2:$A$31; $A$35:$A$64; $A$68:$A$97; $A$101:$A$130; A$134:A$163; $A$167:$A$196; $A$200:$A$229; $A$233:$A$262; $A$266:$A$295; $A$299:$A$328; $A$332:$A$361; $A$365:$A$435; 'Super Investors Buys'!$C$7:$C$56}, R144))</f>
        <v/>
      </c>
      <c r="AA144" s="186"/>
    </row>
    <row r="145">
      <c r="A145" s="149" t="s">
        <v>109</v>
      </c>
      <c r="B145" s="128" t="str">
        <f>IFERROR(__xludf.DUMMYFUNCTION("IF(ISBLANK(A145),"""", googlefinance(A145, ""name""))"),"Starbucks Corp")</f>
        <v>Starbucks Corp</v>
      </c>
      <c r="C145" s="129" t="str">
        <f t="shared" si="25"/>
        <v>View</v>
      </c>
      <c r="D145" s="176">
        <v>35.0</v>
      </c>
      <c r="E145" s="132">
        <f>IFERROR(__xludf.DUMMYFUNCTION("IF(ISBLANK(A145),"""", googlefinance(A145, ""price""))"),98.69)</f>
        <v>98.69</v>
      </c>
      <c r="F145" s="213" t="s">
        <v>101</v>
      </c>
      <c r="G145" s="213" t="s">
        <v>134</v>
      </c>
      <c r="H145" s="213" t="s">
        <v>103</v>
      </c>
      <c r="I145" s="136">
        <f t="shared" si="26"/>
        <v>0.01387395214</v>
      </c>
      <c r="J145" s="140">
        <f>IFERROR(__xludf.DUMMYFUNCTION("IfError(IF(isblank(A145),"""",split(O145, ""()"")))"),2.46)</f>
        <v>2.46</v>
      </c>
      <c r="K145" s="136">
        <f>IFERROR(__xludf.DUMMYFUNCTION("""COMPUTED_VALUE"""),0.0249)</f>
        <v>0.0249</v>
      </c>
      <c r="L145" s="135">
        <f t="shared" si="27"/>
        <v>3454.15</v>
      </c>
      <c r="M145" s="135">
        <f t="shared" si="28"/>
        <v>86.1</v>
      </c>
      <c r="N145" s="136">
        <f t="shared" si="29"/>
        <v>0.01301825625</v>
      </c>
      <c r="O145" s="178" t="str">
        <f>IFERROR(__xludf.DUMMYFUNCTION("LET(t, A145,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"),"2.46 (2.49%)")</f>
        <v>2.46 (2.49%)</v>
      </c>
      <c r="Q145" s="417"/>
      <c r="S145" s="404" t="str">
        <f t="array" ref="S145">IF(ISBLANK(R145),"",COUNTIF({$A$2:$A$31; $A$35:$A$64; $A$68:$A$97; $A$101:$A$130; A$134:A$163; $A$167:$A$196; $A$200:$A$229; $A$233:$A$262; $A$266:$A$295; $A$299:$A$328; $A$332:$A$361; $A$365:$A$435; 'Super Investors Buys'!$C$7:$C$56}, R145))</f>
        <v/>
      </c>
      <c r="AA145" s="186"/>
    </row>
    <row r="146">
      <c r="A146" s="149" t="s">
        <v>368</v>
      </c>
      <c r="B146" s="128" t="str">
        <f>IFERROR(__xludf.DUMMYFUNCTION("IF(ISBLANK(A146),"""", googlefinance(A146, ""name""))"),"Lowe's Companies Inc")</f>
        <v>Lowe's Companies Inc</v>
      </c>
      <c r="C146" s="129" t="str">
        <f t="shared" si="25"/>
        <v>View</v>
      </c>
      <c r="D146" s="176">
        <v>23.5</v>
      </c>
      <c r="E146" s="132">
        <f>IFERROR(__xludf.DUMMYFUNCTION("IF(ISBLANK(A146),"""", googlefinance(A146, ""price""))"),254.71)</f>
        <v>254.71</v>
      </c>
      <c r="F146" s="213" t="s">
        <v>101</v>
      </c>
      <c r="G146" s="213" t="s">
        <v>134</v>
      </c>
      <c r="H146" s="213" t="s">
        <v>113</v>
      </c>
      <c r="I146" s="136">
        <f t="shared" si="26"/>
        <v>0.02404212534</v>
      </c>
      <c r="J146" s="140">
        <f>IFERROR(__xludf.DUMMYFUNCTION("IfError(IF(isblank(A146),"""",split(O146, ""()"")))"),4.75)</f>
        <v>4.75</v>
      </c>
      <c r="K146" s="136">
        <f>IFERROR(__xludf.DUMMYFUNCTION("""COMPUTED_VALUE"""),0.0186)</f>
        <v>0.0186</v>
      </c>
      <c r="L146" s="135">
        <f t="shared" si="27"/>
        <v>5985.685</v>
      </c>
      <c r="M146" s="135">
        <f t="shared" si="28"/>
        <v>111.625</v>
      </c>
      <c r="N146" s="136">
        <f t="shared" si="29"/>
        <v>0.01687761735</v>
      </c>
      <c r="O146" s="178" t="str">
        <f>IFERROR(__xludf.DUMMYFUNCTION("LET(t, A146,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"),"4.75 (1.86%)")</f>
        <v>4.75 (1.86%)</v>
      </c>
      <c r="Q146" s="417"/>
      <c r="S146" s="404" t="str">
        <f t="array" ref="S146">IF(ISBLANK(R146),"",COUNTIF({$A$2:$A$31; $A$35:$A$64; $A$68:$A$97; $A$101:$A$130; A$134:A$163; $A$167:$A$196; $A$200:$A$229; $A$233:$A$262; $A$266:$A$295; $A$299:$A$328; $A$332:$A$361; $A$365:$A$435; 'Super Investors Buys'!$C$7:$C$56}, R146))</f>
        <v/>
      </c>
      <c r="AA146" s="186"/>
    </row>
    <row r="147">
      <c r="A147" s="149" t="s">
        <v>111</v>
      </c>
      <c r="B147" s="128" t="str">
        <f>IFERROR(__xludf.DUMMYFUNCTION("IF(ISBLANK(A147),"""", googlefinance(A147, ""name""))"),"JPMorgan Chase &amp; Co")</f>
        <v>JPMorgan Chase &amp; Co</v>
      </c>
      <c r="C147" s="129" t="str">
        <f t="shared" si="25"/>
        <v>View</v>
      </c>
      <c r="D147" s="176">
        <v>12.0</v>
      </c>
      <c r="E147" s="132">
        <f>IFERROR(__xludf.DUMMYFUNCTION("IF(ISBLANK(A147),"""", googlefinance(A147, ""price""))"),293.55)</f>
        <v>293.55</v>
      </c>
      <c r="F147" s="213" t="s">
        <v>101</v>
      </c>
      <c r="G147" s="213" t="s">
        <v>134</v>
      </c>
      <c r="H147" s="213" t="s">
        <v>113</v>
      </c>
      <c r="I147" s="136">
        <f t="shared" si="26"/>
        <v>0.01414888868</v>
      </c>
      <c r="J147" s="140">
        <f>IFERROR(__xludf.DUMMYFUNCTION("IfError(IF(isblank(A147),"""",split(O147, ""()"")))"),5.8)</f>
        <v>5.8</v>
      </c>
      <c r="K147" s="136">
        <f>IFERROR(__xludf.DUMMYFUNCTION("""COMPUTED_VALUE"""),0.0198)</f>
        <v>0.0198</v>
      </c>
      <c r="L147" s="135">
        <f t="shared" si="27"/>
        <v>3522.6</v>
      </c>
      <c r="M147" s="135">
        <f t="shared" si="28"/>
        <v>69.6</v>
      </c>
      <c r="N147" s="136">
        <f t="shared" si="29"/>
        <v>0.01052346847</v>
      </c>
      <c r="O147" s="178" t="str">
        <f>IFERROR(__xludf.DUMMYFUNCTION("LET(t, A147,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"),"5.80 (1.98%)")</f>
        <v>5.80 (1.98%)</v>
      </c>
      <c r="Q147" s="417"/>
      <c r="S147" s="404" t="str">
        <f t="array" ref="S147">IF(ISBLANK(R147),"",COUNTIF({$A$2:$A$31; $A$35:$A$64; $A$68:$A$97; $A$101:$A$130; A$134:A$163; $A$167:$A$196; $A$200:$A$229; $A$233:$A$262; $A$266:$A$295; $A$299:$A$328; $A$332:$A$361; $A$365:$A$435; 'Super Investors Buys'!$C$7:$C$56}, R147))</f>
        <v/>
      </c>
      <c r="AA147" s="186"/>
    </row>
    <row r="148">
      <c r="A148" s="149" t="s">
        <v>380</v>
      </c>
      <c r="B148" s="128" t="str">
        <f>IFERROR(__xludf.DUMMYFUNCTION("IF(ISBLANK(A148),"""", googlefinance(A148, ""name""))"),"JPMorgan Equity Premium Income ETF")</f>
        <v>JPMorgan Equity Premium Income ETF</v>
      </c>
      <c r="C148" s="129" t="str">
        <f t="shared" si="25"/>
        <v>View</v>
      </c>
      <c r="D148" s="176">
        <v>26.0</v>
      </c>
      <c r="E148" s="132">
        <f>IFERROR(__xludf.DUMMYFUNCTION("IF(ISBLANK(A148),"""", googlefinance(A148, ""price""))"),58.62)</f>
        <v>58.62</v>
      </c>
      <c r="F148" s="213" t="s">
        <v>101</v>
      </c>
      <c r="G148" s="213" t="s">
        <v>134</v>
      </c>
      <c r="H148" s="213" t="s">
        <v>113</v>
      </c>
      <c r="I148" s="136">
        <f t="shared" si="26"/>
        <v>0.00612178624</v>
      </c>
      <c r="J148" s="140">
        <f>IFERROR(__xludf.DUMMYFUNCTION("IfError(IF(isblank(A148),"""",split(O148, ""()"")))"),4.76)</f>
        <v>4.76</v>
      </c>
      <c r="K148" s="136">
        <f>IFERROR(__xludf.DUMMYFUNCTION("""COMPUTED_VALUE"""),0.0812)</f>
        <v>0.0812</v>
      </c>
      <c r="L148" s="135">
        <f t="shared" si="27"/>
        <v>1524.12</v>
      </c>
      <c r="M148" s="135">
        <f t="shared" si="28"/>
        <v>123.76</v>
      </c>
      <c r="N148" s="136">
        <f t="shared" si="29"/>
        <v>0.01871242037</v>
      </c>
      <c r="O148" s="178" t="str">
        <f>IFERROR(__xludf.DUMMYFUNCTION("LET(t, A148,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"),"4.76 (8.12%)")</f>
        <v>4.76 (8.12%)</v>
      </c>
      <c r="Q148" s="417"/>
      <c r="S148" s="404" t="str">
        <f t="array" ref="S148">IF(ISBLANK(R148),"",COUNTIF({$A$2:$A$31; $A$35:$A$64; $A$68:$A$97; $A$101:$A$130; A$134:A$163; $A$167:$A$196; $A$200:$A$229; $A$233:$A$262; $A$266:$A$295; $A$299:$A$328; $A$332:$A$361; $A$365:$A$435; 'Super Investors Buys'!$C$7:$C$56}, R148))</f>
        <v/>
      </c>
      <c r="AA148" s="186"/>
    </row>
    <row r="149">
      <c r="A149" s="149" t="s">
        <v>107</v>
      </c>
      <c r="B149" s="128" t="str">
        <f>IFERROR(__xludf.DUMMYFUNCTION("IF(ISBLANK(A149),"""", googlefinance(A149, ""name""))"),"Target Corp")</f>
        <v>Target Corp</v>
      </c>
      <c r="C149" s="129" t="str">
        <f t="shared" si="25"/>
        <v>View</v>
      </c>
      <c r="D149" s="176"/>
      <c r="E149" s="132">
        <f>IFERROR(__xludf.DUMMYFUNCTION("IF(ISBLANK(A149),"""", googlefinance(A149, ""price""))"),120.36)</f>
        <v>120.36</v>
      </c>
      <c r="F149" s="213" t="s">
        <v>101</v>
      </c>
      <c r="G149" s="213" t="s">
        <v>134</v>
      </c>
      <c r="H149" s="213" t="s">
        <v>113</v>
      </c>
      <c r="I149" s="136">
        <f t="shared" si="26"/>
        <v>0</v>
      </c>
      <c r="J149" s="140">
        <f>IFERROR(__xludf.DUMMYFUNCTION("IfError(IF(isblank(A149),"""",split(O149, ""()"")))"),4.54)</f>
        <v>4.54</v>
      </c>
      <c r="K149" s="136">
        <f>IFERROR(__xludf.DUMMYFUNCTION("""COMPUTED_VALUE"""),0.0377)</f>
        <v>0.0377</v>
      </c>
      <c r="L149" s="135">
        <f t="shared" si="27"/>
        <v>0</v>
      </c>
      <c r="M149" s="135">
        <f t="shared" si="28"/>
        <v>0</v>
      </c>
      <c r="N149" s="136">
        <f t="shared" si="29"/>
        <v>0</v>
      </c>
      <c r="O149" s="178" t="str">
        <f>IFERROR(__xludf.DUMMYFUNCTION("LET(t, A149,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"),"4.54 (3.77%)")</f>
        <v>4.54 (3.77%)</v>
      </c>
      <c r="Q149" s="417"/>
      <c r="S149" s="404" t="str">
        <f t="array" ref="S149">IF(ISBLANK(R149),"",COUNTIF({$A$2:$A$31; $A$35:$A$64; $A$68:$A$97; $A$101:$A$130; A$134:A$163; $A$167:$A$196; $A$200:$A$229; $A$233:$A$262; $A$266:$A$295; $A$299:$A$328; $A$332:$A$361; $A$365:$A$435; 'Super Investors Buys'!$C$7:$C$56}, R149))</f>
        <v/>
      </c>
      <c r="AA149" s="186"/>
    </row>
    <row r="150">
      <c r="A150" s="149" t="s">
        <v>308</v>
      </c>
      <c r="B150" s="128" t="str">
        <f>IFERROR(__xludf.DUMMYFUNCTION("IF(ISBLANK(A150),"""", googlefinance(A150, ""name""))"),"Visa Inc")</f>
        <v>Visa Inc</v>
      </c>
      <c r="C150" s="129" t="str">
        <f t="shared" si="25"/>
        <v>View</v>
      </c>
      <c r="D150" s="176">
        <v>43.0</v>
      </c>
      <c r="E150" s="132">
        <f>IFERROR(__xludf.DUMMYFUNCTION("IF(ISBLANK(A150),"""", googlefinance(A150, ""price""))"),319.8)</f>
        <v>319.8</v>
      </c>
      <c r="F150" s="213" t="s">
        <v>101</v>
      </c>
      <c r="G150" s="213" t="s">
        <v>134</v>
      </c>
      <c r="H150" s="213" t="s">
        <v>113</v>
      </c>
      <c r="I150" s="136">
        <f t="shared" si="26"/>
        <v>0.055233926</v>
      </c>
      <c r="J150" s="140">
        <f>IFERROR(__xludf.DUMMYFUNCTION("IfError(IF(isblank(A150),"""",split(O150, ""()"")))"),2.52)</f>
        <v>2.52</v>
      </c>
      <c r="K150" s="136">
        <f>IFERROR(__xludf.DUMMYFUNCTION("""COMPUTED_VALUE"""),0.0079)</f>
        <v>0.0079</v>
      </c>
      <c r="L150" s="135">
        <f t="shared" si="27"/>
        <v>13751.4</v>
      </c>
      <c r="M150" s="135">
        <f t="shared" si="28"/>
        <v>108.36</v>
      </c>
      <c r="N150" s="136">
        <f t="shared" si="29"/>
        <v>0.01638395177</v>
      </c>
      <c r="O150" s="178" t="str">
        <f>IFERROR(__xludf.DUMMYFUNCTION("LET(t, A150,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"),"2.52 (0.79%)")</f>
        <v>2.52 (0.79%)</v>
      </c>
      <c r="Q150" s="417"/>
      <c r="S150" s="404" t="str">
        <f t="array" ref="S150">IF(ISBLANK(R150),"",COUNTIF({$A$2:$A$31; $A$35:$A$64; $A$68:$A$97; $A$101:$A$130; A$134:A$163; $A$167:$A$196; $A$200:$A$229; $A$233:$A$262; $A$266:$A$295; $A$299:$A$328; $A$332:$A$361; $A$365:$A$435; 'Super Investors Buys'!$C$7:$C$56}, R150))</f>
        <v/>
      </c>
      <c r="AA150" s="186"/>
    </row>
    <row r="151">
      <c r="A151" s="149" t="s">
        <v>381</v>
      </c>
      <c r="B151" s="128" t="str">
        <f>IFERROR(__xludf.DUMMYFUNCTION("IF(ISBLANK(A151),"""", googlefinance(A151, ""name""))"),"Texas Instruments Inc")</f>
        <v>Texas Instruments Inc</v>
      </c>
      <c r="C151" s="129" t="str">
        <f t="shared" si="25"/>
        <v>View</v>
      </c>
      <c r="D151" s="176">
        <v>34.0</v>
      </c>
      <c r="E151" s="132">
        <f>IFERROR(__xludf.DUMMYFUNCTION("IF(ISBLANK(A151),"""", googlefinance(A151, ""price""))"),197.98)</f>
        <v>197.98</v>
      </c>
      <c r="F151" s="213" t="s">
        <v>101</v>
      </c>
      <c r="G151" s="213" t="s">
        <v>134</v>
      </c>
      <c r="H151" s="213" t="s">
        <v>113</v>
      </c>
      <c r="I151" s="136">
        <f t="shared" si="26"/>
        <v>0.02703704574</v>
      </c>
      <c r="J151" s="140">
        <f>IFERROR(__xludf.DUMMYFUNCTION("IfError(IF(isblank(A151),"""",split(O151, ""()"")))"),5.56)</f>
        <v>5.56</v>
      </c>
      <c r="K151" s="136">
        <f>IFERROR(__xludf.DUMMYFUNCTION("""COMPUTED_VALUE"""),0.0281)</f>
        <v>0.0281</v>
      </c>
      <c r="L151" s="135">
        <f t="shared" si="27"/>
        <v>6731.32</v>
      </c>
      <c r="M151" s="135">
        <f t="shared" si="28"/>
        <v>189.04</v>
      </c>
      <c r="N151" s="136">
        <f t="shared" si="29"/>
        <v>0.02858270804</v>
      </c>
      <c r="O151" s="178" t="str">
        <f>IFERROR(__xludf.DUMMYFUNCTION("LET(t, A151,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"),"5.56 (2.81%)")</f>
        <v>5.56 (2.81%)</v>
      </c>
      <c r="Q151" s="417"/>
      <c r="S151" s="404" t="str">
        <f t="array" ref="S151">IF(ISBLANK(R151),"",COUNTIF({$A$2:$A$31; $A$35:$A$64; $A$68:$A$97; $A$101:$A$130; A$134:A$163; $A$167:$A$196; $A$200:$A$229; $A$233:$A$262; $A$266:$A$295; $A$299:$A$328; $A$332:$A$361; $A$365:$A$435; 'Super Investors Buys'!$C$7:$C$56}, R151))</f>
        <v/>
      </c>
      <c r="AA151" s="186"/>
    </row>
    <row r="152">
      <c r="A152" s="149" t="s">
        <v>382</v>
      </c>
      <c r="B152" s="128" t="str">
        <f>IFERROR(__xludf.DUMMYFUNCTION("IF(ISBLANK(A152),"""", googlefinance(A152, ""name""))"),"Caterpillar Inc")</f>
        <v>Caterpillar Inc</v>
      </c>
      <c r="C152" s="129" t="str">
        <f t="shared" si="25"/>
        <v>View</v>
      </c>
      <c r="D152" s="176">
        <v>4.5</v>
      </c>
      <c r="E152" s="132">
        <f>IFERROR(__xludf.DUMMYFUNCTION("IF(ISBLANK(A152),"""", googlefinance(A152, ""price""))"),706.08)</f>
        <v>706.08</v>
      </c>
      <c r="F152" s="213" t="s">
        <v>101</v>
      </c>
      <c r="G152" s="213" t="s">
        <v>134</v>
      </c>
      <c r="H152" s="213" t="s">
        <v>113</v>
      </c>
      <c r="I152" s="136">
        <f t="shared" si="26"/>
        <v>0.01276219637</v>
      </c>
      <c r="J152" s="140">
        <f>IFERROR(__xludf.DUMMYFUNCTION("IfError(IF(isblank(A152),"""",split(O152, ""()"")))"),5.94)</f>
        <v>5.94</v>
      </c>
      <c r="K152" s="136">
        <f>IFERROR(__xludf.DUMMYFUNCTION("""COMPUTED_VALUE"""),0.0084)</f>
        <v>0.0084</v>
      </c>
      <c r="L152" s="135">
        <f t="shared" si="27"/>
        <v>3177.36</v>
      </c>
      <c r="M152" s="135">
        <f t="shared" si="28"/>
        <v>26.73</v>
      </c>
      <c r="N152" s="136">
        <f t="shared" si="29"/>
        <v>0.004041556209</v>
      </c>
      <c r="O152" s="178" t="str">
        <f>IFERROR(__xludf.DUMMYFUNCTION("LET(t, A152,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"),"5.94 (0.84%)")</f>
        <v>5.94 (0.84%)</v>
      </c>
      <c r="Q152" s="417"/>
      <c r="S152" s="404" t="str">
        <f t="array" ref="S152">IF(ISBLANK(R152),"",COUNTIF({$A$2:$A$31; $A$35:$A$64; $A$68:$A$97; $A$101:$A$130; A$134:A$163; $A$167:$A$196; $A$200:$A$229; $A$233:$A$262; $A$266:$A$295; $A$299:$A$328; $A$332:$A$361; $A$365:$A$435; 'Super Investors Buys'!$C$7:$C$56}, R152))</f>
        <v/>
      </c>
      <c r="AA152" s="186"/>
    </row>
    <row r="153">
      <c r="A153" s="149" t="s">
        <v>383</v>
      </c>
      <c r="B153" s="128" t="str">
        <f>IFERROR(__xludf.DUMMYFUNCTION("IF(ISBLANK(A153),"""", googlefinance(A153, ""name""))"),"T Rowe Price Group Inc")</f>
        <v>T Rowe Price Group Inc</v>
      </c>
      <c r="C153" s="129" t="str">
        <f t="shared" si="25"/>
        <v>View</v>
      </c>
      <c r="D153" s="176">
        <v>12.0</v>
      </c>
      <c r="E153" s="132">
        <f>IFERROR(__xludf.DUMMYFUNCTION("IF(ISBLANK(A153),"""", googlefinance(A153, ""price""))"),92.04)</f>
        <v>92.04</v>
      </c>
      <c r="F153" s="213" t="s">
        <v>101</v>
      </c>
      <c r="G153" s="213" t="s">
        <v>134</v>
      </c>
      <c r="H153" s="213" t="s">
        <v>113</v>
      </c>
      <c r="I153" s="136">
        <f t="shared" si="26"/>
        <v>0.004436258606</v>
      </c>
      <c r="J153" s="140">
        <f>IFERROR(__xludf.DUMMYFUNCTION("IfError(IF(isblank(A153),"""",split(O153, ""()"")))"),5.08)</f>
        <v>5.08</v>
      </c>
      <c r="K153" s="136">
        <f>IFERROR(__xludf.DUMMYFUNCTION("""COMPUTED_VALUE"""),0.0552)</f>
        <v>0.0552</v>
      </c>
      <c r="L153" s="135">
        <f t="shared" si="27"/>
        <v>1104.48</v>
      </c>
      <c r="M153" s="135">
        <f t="shared" si="28"/>
        <v>60.96</v>
      </c>
      <c r="N153" s="136">
        <f t="shared" si="29"/>
        <v>0.009217106866</v>
      </c>
      <c r="O153" s="178" t="str">
        <f>IFERROR(__xludf.DUMMYFUNCTION("LET(t, A153,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"),"5.08 (5.52%)")</f>
        <v>5.08 (5.52%)</v>
      </c>
      <c r="Q153" s="417"/>
      <c r="S153" s="404" t="str">
        <f t="array" ref="S153">IF(ISBLANK(R153),"",COUNTIF({$A$2:$A$31; $A$35:$A$64; $A$68:$A$97; $A$101:$A$130; A$134:A$163; $A$167:$A$196; $A$200:$A$229; $A$233:$A$262; $A$266:$A$295; $A$299:$A$328; $A$332:$A$361; $A$365:$A$435; 'Super Investors Buys'!$C$7:$C$56}, R153))</f>
        <v/>
      </c>
      <c r="AA153" s="186"/>
    </row>
    <row r="154">
      <c r="A154" s="149" t="s">
        <v>384</v>
      </c>
      <c r="B154" s="128" t="str">
        <f>IFERROR(__xludf.DUMMYFUNCTION("IF(ISBLANK(A154),"""", googlefinance(A154, ""name""))"),"Cisco Systems Inc")</f>
        <v>Cisco Systems Inc</v>
      </c>
      <c r="C154" s="129" t="str">
        <f t="shared" si="25"/>
        <v>View</v>
      </c>
      <c r="D154" s="176"/>
      <c r="E154" s="132">
        <f>IFERROR(__xludf.DUMMYFUNCTION("IF(ISBLANK(A154),"""", googlefinance(A154, ""price""))"),80.01)</f>
        <v>80.01</v>
      </c>
      <c r="F154" s="213" t="s">
        <v>101</v>
      </c>
      <c r="G154" s="213" t="s">
        <v>134</v>
      </c>
      <c r="H154" s="213" t="s">
        <v>113</v>
      </c>
      <c r="I154" s="136">
        <f t="shared" si="26"/>
        <v>0</v>
      </c>
      <c r="J154" s="140">
        <f>IFERROR(__xludf.DUMMYFUNCTION("IfError(IF(isblank(A154),"""",split(O154, ""()"")))"),1.64)</f>
        <v>1.64</v>
      </c>
      <c r="K154" s="136">
        <f>IFERROR(__xludf.DUMMYFUNCTION("""COMPUTED_VALUE"""),0.0205)</f>
        <v>0.0205</v>
      </c>
      <c r="L154" s="135">
        <f t="shared" si="27"/>
        <v>0</v>
      </c>
      <c r="M154" s="135">
        <f t="shared" si="28"/>
        <v>0</v>
      </c>
      <c r="N154" s="136">
        <f t="shared" si="29"/>
        <v>0</v>
      </c>
      <c r="O154" s="178" t="str">
        <f>IFERROR(__xludf.DUMMYFUNCTION("LET(t, A154,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"),"1.64 (2.05%)")</f>
        <v>1.64 (2.05%)</v>
      </c>
      <c r="Q154" s="417"/>
      <c r="S154" s="404" t="str">
        <f t="array" ref="S154">IF(ISBLANK(R154),"",COUNTIF({$A$2:$A$31; $A$35:$A$64; $A$68:$A$97; $A$101:$A$130; A$134:A$163; $A$167:$A$196; $A$200:$A$229; $A$233:$A$262; $A$266:$A$295; $A$299:$A$328; $A$332:$A$361; $A$365:$A$435; 'Super Investors Buys'!$C$7:$C$56}, R154))</f>
        <v/>
      </c>
      <c r="AA154" s="186"/>
    </row>
    <row r="155">
      <c r="A155" s="149" t="s">
        <v>385</v>
      </c>
      <c r="B155" s="128" t="str">
        <f>IFERROR(__xludf.DUMMYFUNCTION("IF(ISBLANK(A155),"""", googlefinance(A155, ""name""))"),"Broadcom Inc")</f>
        <v>Broadcom Inc</v>
      </c>
      <c r="C155" s="129" t="str">
        <f t="shared" si="25"/>
        <v>View</v>
      </c>
      <c r="D155" s="176">
        <v>34.0</v>
      </c>
      <c r="E155" s="132">
        <f>IFERROR(__xludf.DUMMYFUNCTION("IF(ISBLANK(A155),"""", googlefinance(A155, ""price""))"),332.74)</f>
        <v>332.74</v>
      </c>
      <c r="F155" s="213" t="s">
        <v>101</v>
      </c>
      <c r="G155" s="213" t="s">
        <v>134</v>
      </c>
      <c r="H155" s="213" t="s">
        <v>103</v>
      </c>
      <c r="I155" s="136">
        <f t="shared" si="26"/>
        <v>0.04544048186</v>
      </c>
      <c r="J155" s="140">
        <f>IFERROR(__xludf.DUMMYFUNCTION("IfError(IF(isblank(A155),"""",split(O155, ""()"")))"),2.42)</f>
        <v>2.42</v>
      </c>
      <c r="K155" s="136">
        <f>IFERROR(__xludf.DUMMYFUNCTION("""COMPUTED_VALUE"""),0.0073)</f>
        <v>0.0073</v>
      </c>
      <c r="L155" s="135">
        <f t="shared" si="27"/>
        <v>11313.16</v>
      </c>
      <c r="M155" s="135">
        <f t="shared" si="28"/>
        <v>82.28</v>
      </c>
      <c r="N155" s="136">
        <f t="shared" si="29"/>
        <v>0.01244067508</v>
      </c>
      <c r="O155" s="178" t="str">
        <f>IFERROR(__xludf.DUMMYFUNCTION("LET(t, A155,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"),"2.42 (0.73%)")</f>
        <v>2.42 (0.73%)</v>
      </c>
      <c r="Q155" s="417"/>
      <c r="S155" s="404" t="str">
        <f t="array" ref="S155">IF(ISBLANK(R155),"",COUNTIF({$A$2:$A$31; $A$35:$A$64; $A$68:$A$97; $A$101:$A$130; A$134:A$163; $A$167:$A$196; $A$200:$A$229; $A$233:$A$262; $A$266:$A$295; $A$299:$A$328; $A$332:$A$361; $A$365:$A$435; 'Super Investors Buys'!$C$7:$C$56}, R155))</f>
        <v/>
      </c>
      <c r="AA155" s="186"/>
    </row>
    <row r="156">
      <c r="A156" s="149" t="s">
        <v>386</v>
      </c>
      <c r="B156" s="128" t="str">
        <f>IFERROR(__xludf.DUMMYFUNCTION("IF(ISBLANK(A156),"""", googlefinance(A156, ""name""))"),"Jefferies Financial Group Inc")</f>
        <v>Jefferies Financial Group Inc</v>
      </c>
      <c r="C156" s="129" t="str">
        <f t="shared" si="25"/>
        <v>View</v>
      </c>
      <c r="D156" s="176">
        <v>50.5</v>
      </c>
      <c r="E156" s="132">
        <f>IFERROR(__xludf.DUMMYFUNCTION("IF(ISBLANK(A156),"""", googlefinance(A156, ""price""))"),44.28)</f>
        <v>44.28</v>
      </c>
      <c r="F156" s="213" t="s">
        <v>101</v>
      </c>
      <c r="G156" s="213" t="s">
        <v>134</v>
      </c>
      <c r="H156" s="213" t="s">
        <v>113</v>
      </c>
      <c r="I156" s="136">
        <f t="shared" si="26"/>
        <v>0.008981688504</v>
      </c>
      <c r="J156" s="140">
        <f>IFERROR(__xludf.DUMMYFUNCTION("IfError(IF(isblank(A156),"""",split(O156, ""()"")))"),1.6)</f>
        <v>1.6</v>
      </c>
      <c r="K156" s="136">
        <f>IFERROR(__xludf.DUMMYFUNCTION("""COMPUTED_VALUE"""),0.0361)</f>
        <v>0.0361</v>
      </c>
      <c r="L156" s="135">
        <f t="shared" si="27"/>
        <v>2236.14</v>
      </c>
      <c r="M156" s="135">
        <f t="shared" si="28"/>
        <v>80.8</v>
      </c>
      <c r="N156" s="136">
        <f t="shared" si="29"/>
        <v>0.01221690018</v>
      </c>
      <c r="O156" s="178" t="str">
        <f>IFERROR(__xludf.DUMMYFUNCTION("LET(t, A156,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"),"1.60 (3.61%)")</f>
        <v>1.60 (3.61%)</v>
      </c>
      <c r="Q156" s="417"/>
      <c r="S156" s="404" t="str">
        <f t="array" ref="S156">IF(ISBLANK(R156),"",COUNTIF({$A$2:$A$31; $A$35:$A$64; $A$68:$A$97; $A$101:$A$130; A$134:A$163; $A$167:$A$196; $A$200:$A$229; $A$233:$A$262; $A$266:$A$295; $A$299:$A$328; $A$332:$A$361; $A$365:$A$435; 'Super Investors Buys'!$C$7:$C$56}, R156))</f>
        <v/>
      </c>
      <c r="AA156" s="186"/>
    </row>
    <row r="157">
      <c r="A157" s="149" t="s">
        <v>126</v>
      </c>
      <c r="B157" s="128" t="str">
        <f>IFERROR(__xludf.DUMMYFUNCTION("IF(ISBLANK(A157),"""", googlefinance(A157, ""name""))"),"Schwab US Dividend Equity ETF")</f>
        <v>Schwab US Dividend Equity ETF</v>
      </c>
      <c r="C157" s="129" t="str">
        <f t="shared" si="25"/>
        <v>View</v>
      </c>
      <c r="D157" s="176">
        <v>3550.0</v>
      </c>
      <c r="E157" s="132">
        <f>IFERROR(__xludf.DUMMYFUNCTION("IF(ISBLANK(A157),"""", googlefinance(A157, ""price""))"),31.26)</f>
        <v>31.26</v>
      </c>
      <c r="F157" s="213" t="s">
        <v>121</v>
      </c>
      <c r="G157" s="213" t="s">
        <v>134</v>
      </c>
      <c r="H157" s="213" t="s">
        <v>113</v>
      </c>
      <c r="I157" s="136">
        <f t="shared" si="26"/>
        <v>0.4457345776</v>
      </c>
      <c r="J157" s="140">
        <f>IFERROR(__xludf.DUMMYFUNCTION("IfError(IF(isblank(A157),"""",split(O157, ""()"")))"),1.05)</f>
        <v>1.05</v>
      </c>
      <c r="K157" s="136">
        <f>IFERROR(__xludf.DUMMYFUNCTION("""COMPUTED_VALUE"""),0.0335)</f>
        <v>0.0335</v>
      </c>
      <c r="L157" s="135">
        <f t="shared" si="27"/>
        <v>110973</v>
      </c>
      <c r="M157" s="135">
        <f t="shared" si="28"/>
        <v>3727.5</v>
      </c>
      <c r="N157" s="136">
        <f t="shared" si="29"/>
        <v>0.5635952402</v>
      </c>
      <c r="O157" s="178" t="str">
        <f>IFERROR(__xludf.DUMMYFUNCTION("LET(t, A157,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"),"1.05 (3.35%)")</f>
        <v>1.05 (3.35%)</v>
      </c>
      <c r="Q157" s="417"/>
      <c r="S157" s="404" t="str">
        <f t="array" ref="S157">IF(ISBLANK(R157),"",COUNTIF({$A$2:$A$31; $A$35:$A$64; $A$68:$A$97; $A$101:$A$130; A$134:A$163; $A$167:$A$196; $A$200:$A$229; $A$233:$A$262; $A$266:$A$295; $A$299:$A$328; $A$332:$A$361; $A$365:$A$435; 'Super Investors Buys'!$C$7:$C$56}, R157))</f>
        <v/>
      </c>
      <c r="AA157" s="186"/>
    </row>
    <row r="158">
      <c r="A158" s="149" t="s">
        <v>306</v>
      </c>
      <c r="B158" s="128" t="str">
        <f>IFERROR(__xludf.DUMMYFUNCTION("IF(ISBLANK(A158),"""", googlefinance(A158, ""name""))"),"Apple Inc")</f>
        <v>Apple Inc</v>
      </c>
      <c r="C158" s="129" t="str">
        <f t="shared" si="25"/>
        <v>View</v>
      </c>
      <c r="D158" s="176">
        <v>11.0</v>
      </c>
      <c r="E158" s="132">
        <f>IFERROR(__xludf.DUMMYFUNCTION("IF(ISBLANK(A158),"""", googlefinance(A158, ""price""))"),260.29)</f>
        <v>260.29</v>
      </c>
      <c r="F158" s="213" t="s">
        <v>101</v>
      </c>
      <c r="G158" s="213" t="s">
        <v>134</v>
      </c>
      <c r="H158" s="213" t="s">
        <v>103</v>
      </c>
      <c r="I158" s="136">
        <f t="shared" si="26"/>
        <v>0.01150029994</v>
      </c>
      <c r="J158" s="140">
        <f>IFERROR(__xludf.DUMMYFUNCTION("IfError(IF(isblank(A158),"""",split(O158, ""()"")))"),1.04)</f>
        <v>1.04</v>
      </c>
      <c r="K158" s="136">
        <f>IFERROR(__xludf.DUMMYFUNCTION("""COMPUTED_VALUE"""),0.004)</f>
        <v>0.004</v>
      </c>
      <c r="L158" s="135">
        <f t="shared" si="27"/>
        <v>2863.19</v>
      </c>
      <c r="M158" s="135">
        <f t="shared" si="28"/>
        <v>11.44</v>
      </c>
      <c r="N158" s="136">
        <f t="shared" si="29"/>
        <v>0.00172971953</v>
      </c>
      <c r="O158" s="178" t="str">
        <f>IFERROR(__xludf.DUMMYFUNCTION("LET(t, A158,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"),"1.04 (0.40%)")</f>
        <v>1.04 (0.40%)</v>
      </c>
      <c r="Q158" s="417"/>
      <c r="S158" s="404" t="str">
        <f t="array" ref="S158">IF(ISBLANK(R158),"",COUNTIF({$A$2:$A$31; $A$35:$A$64; $A$68:$A$97; $A$101:$A$130; A$134:A$163; $A$167:$A$196; $A$200:$A$229; $A$233:$A$262; $A$266:$A$295; $A$299:$A$328; $A$332:$A$361; $A$365:$A$435; 'Super Investors Buys'!$C$7:$C$56}, R158))</f>
        <v/>
      </c>
      <c r="AA158" s="186"/>
    </row>
    <row r="159">
      <c r="A159" s="149" t="s">
        <v>387</v>
      </c>
      <c r="B159" s="128" t="str">
        <f>IFERROR(__xludf.DUMMYFUNCTION("IF(ISBLANK(A159),"""", googlefinance(A159, ""name""))"),"Waste Management Inc")</f>
        <v>Waste Management Inc</v>
      </c>
      <c r="C159" s="129" t="str">
        <f t="shared" si="25"/>
        <v>View</v>
      </c>
      <c r="D159" s="176">
        <v>22.0</v>
      </c>
      <c r="E159" s="132">
        <f>IFERROR(__xludf.DUMMYFUNCTION("IF(ISBLANK(A159),"""", googlefinance(A159, ""price""))"),246.09)</f>
        <v>246.09</v>
      </c>
      <c r="F159" s="213" t="s">
        <v>101</v>
      </c>
      <c r="G159" s="213" t="s">
        <v>134</v>
      </c>
      <c r="H159" s="213" t="s">
        <v>113</v>
      </c>
      <c r="I159" s="136">
        <f t="shared" si="26"/>
        <v>0.02174581284</v>
      </c>
      <c r="J159" s="140">
        <f>IFERROR(__xludf.DUMMYFUNCTION("IfError(IF(isblank(A159),"""",split(O159, ""()"")))"),3.3)</f>
        <v>3.3</v>
      </c>
      <c r="K159" s="136">
        <f>IFERROR(__xludf.DUMMYFUNCTION("""COMPUTED_VALUE"""),0.0134)</f>
        <v>0.0134</v>
      </c>
      <c r="L159" s="135">
        <f t="shared" si="27"/>
        <v>5413.98</v>
      </c>
      <c r="M159" s="135">
        <f t="shared" si="28"/>
        <v>72.6</v>
      </c>
      <c r="N159" s="136">
        <f t="shared" si="29"/>
        <v>0.01097706625</v>
      </c>
      <c r="O159" s="178" t="str">
        <f>IFERROR(__xludf.DUMMYFUNCTION("LET(t, A159,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"),"3.30 (1.34%)")</f>
        <v>3.30 (1.34%)</v>
      </c>
      <c r="Q159" s="417"/>
      <c r="S159" s="404" t="str">
        <f t="array" ref="S159">IF(ISBLANK(R159),"",COUNTIF({$A$2:$A$31; $A$35:$A$64; $A$68:$A$97; $A$101:$A$130; A$134:A$163; $A$167:$A$196; $A$200:$A$229; $A$233:$A$262; $A$266:$A$295; $A$299:$A$328; $A$332:$A$361; $A$365:$A$435; 'Super Investors Buys'!$C$7:$C$56}, R159))</f>
        <v/>
      </c>
      <c r="AA159" s="186"/>
    </row>
    <row r="160">
      <c r="A160" s="149" t="s">
        <v>388</v>
      </c>
      <c r="B160" s="128" t="str">
        <f>IFERROR(__xludf.DUMMYFUNCTION("IF(ISBLANK(A160),"""", googlefinance(A160, ""name""))"),"LVMH Moet Hennessy Louis Vuitton SE")</f>
        <v>LVMH Moet Hennessy Louis Vuitton SE</v>
      </c>
      <c r="C160" s="129" t="str">
        <f t="shared" si="25"/>
        <v>View</v>
      </c>
      <c r="D160" s="176">
        <v>5.0</v>
      </c>
      <c r="E160" s="132">
        <f>IFERROR(__xludf.DUMMYFUNCTION("IF(ISBLANK(A160),"""", googlefinance(A160, ""price""))"),581.5)</f>
        <v>581.5</v>
      </c>
      <c r="F160" s="213" t="s">
        <v>101</v>
      </c>
      <c r="G160" s="213" t="s">
        <v>134</v>
      </c>
      <c r="H160" s="213" t="s">
        <v>103</v>
      </c>
      <c r="I160" s="136">
        <f t="shared" si="26"/>
        <v>0.01167827566</v>
      </c>
      <c r="J160" s="140" t="str">
        <f>IFERROR(__xludf.DUMMYFUNCTION("IfError(IF(isblank(A160),"""",split(O160, ""()"")))"),"")</f>
        <v/>
      </c>
      <c r="K160" s="136"/>
      <c r="L160" s="135">
        <f t="shared" si="27"/>
        <v>2907.5</v>
      </c>
      <c r="M160" s="135">
        <f t="shared" si="28"/>
        <v>0</v>
      </c>
      <c r="N160" s="136">
        <f t="shared" si="29"/>
        <v>0</v>
      </c>
      <c r="O160" s="178" t="str">
        <f>IFERROR(__xludf.DUMMYFUNCTION("LET(t, A160,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60" s="417"/>
      <c r="S160" s="404" t="str">
        <f t="array" ref="S160">IF(ISBLANK(R160),"",COUNTIF({$A$2:$A$31; $A$35:$A$64; $A$68:$A$97; $A$101:$A$130; A$134:A$163; $A$167:$A$196; $A$200:$A$229; $A$233:$A$262; $A$266:$A$295; $A$299:$A$328; $A$332:$A$361; $A$365:$A$435; 'Super Investors Buys'!$C$7:$C$56}, R160))</f>
        <v/>
      </c>
      <c r="AA160" s="186"/>
    </row>
    <row r="161">
      <c r="A161" s="149" t="s">
        <v>118</v>
      </c>
      <c r="B161" s="128" t="str">
        <f>IFERROR(__xludf.DUMMYFUNCTION("IF(ISBLANK(A161),"""", googlefinance(A161, ""name""))"),"UnitedHealth Group Inc")</f>
        <v>UnitedHealth Group Inc</v>
      </c>
      <c r="C161" s="129" t="str">
        <f t="shared" si="25"/>
        <v>View</v>
      </c>
      <c r="D161" s="176">
        <v>8.0</v>
      </c>
      <c r="E161" s="132">
        <f>IFERROR(__xludf.DUMMYFUNCTION("IF(ISBLANK(A161),"""", googlefinance(A161, ""price""))"),288.77)</f>
        <v>288.77</v>
      </c>
      <c r="F161" s="213" t="s">
        <v>101</v>
      </c>
      <c r="G161" s="213" t="s">
        <v>134</v>
      </c>
      <c r="H161" s="213" t="s">
        <v>103</v>
      </c>
      <c r="I161" s="136">
        <f t="shared" si="26"/>
        <v>0.00927899752</v>
      </c>
      <c r="J161" s="140">
        <f>IFERROR(__xludf.DUMMYFUNCTION("IfError(IF(isblank(A161),"""",split(O161, ""()"")))"),8.73)</f>
        <v>8.73</v>
      </c>
      <c r="K161" s="136">
        <f>IFERROR(__xludf.DUMMYFUNCTION("""COMPUTED_VALUE"""),0.0302)</f>
        <v>0.0302</v>
      </c>
      <c r="L161" s="135">
        <f t="shared" si="27"/>
        <v>2310.16</v>
      </c>
      <c r="M161" s="135">
        <f t="shared" si="28"/>
        <v>69.84</v>
      </c>
      <c r="N161" s="136">
        <f t="shared" si="29"/>
        <v>0.01055975629</v>
      </c>
      <c r="O161" s="178" t="str">
        <f>IFERROR(__xludf.DUMMYFUNCTION("LET(t, A161,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"),"8.73 (3.02%)")</f>
        <v>8.73 (3.02%)</v>
      </c>
      <c r="Q161" s="417"/>
      <c r="S161" s="404" t="str">
        <f t="array" ref="S161">IF(ISBLANK(R161),"",COUNTIF({$A$2:$A$31; $A$35:$A$64; $A$68:$A$97; $A$101:$A$130; A$134:A$163; $A$167:$A$196; $A$200:$A$229; $A$233:$A$262; $A$266:$A$295; $A$299:$A$328; $A$332:$A$361; $A$365:$A$435; 'Super Investors Buys'!$C$7:$C$56}, R161))</f>
        <v/>
      </c>
      <c r="AA161" s="186"/>
    </row>
    <row r="162">
      <c r="A162" s="149" t="s">
        <v>389</v>
      </c>
      <c r="B162" s="128" t="str">
        <f>IFERROR(__xludf.DUMMYFUNCTION("IF(ISBLANK(A162),"""", googlefinance(A162, ""name""))"),"ASML Holding NV")</f>
        <v>ASML Holding NV</v>
      </c>
      <c r="C162" s="129" t="str">
        <f t="shared" si="25"/>
        <v>View</v>
      </c>
      <c r="D162" s="176">
        <v>13.0</v>
      </c>
      <c r="E162" s="132">
        <f>IFERROR(__xludf.DUMMYFUNCTION("IF(ISBLANK(A162),"""", googlefinance(A162, ""price""))"),1368.36)</f>
        <v>1368.36</v>
      </c>
      <c r="F162" s="213" t="s">
        <v>101</v>
      </c>
      <c r="G162" s="213" t="s">
        <v>134</v>
      </c>
      <c r="H162" s="213" t="s">
        <v>113</v>
      </c>
      <c r="I162" s="136">
        <f t="shared" si="26"/>
        <v>0.07145008034</v>
      </c>
      <c r="J162" s="140">
        <f>IFERROR(__xludf.DUMMYFUNCTION("IfError(IF(isblank(A162),"""",split(O162, ""()"")))"),7.71)</f>
        <v>7.71</v>
      </c>
      <c r="K162" s="136">
        <f>IFERROR(__xludf.DUMMYFUNCTION("""COMPUTED_VALUE"""),0.0056)</f>
        <v>0.0056</v>
      </c>
      <c r="L162" s="135">
        <f t="shared" si="27"/>
        <v>17788.68</v>
      </c>
      <c r="M162" s="135">
        <f t="shared" si="28"/>
        <v>100.23</v>
      </c>
      <c r="N162" s="136">
        <f t="shared" si="29"/>
        <v>0.01515470179</v>
      </c>
      <c r="O162" s="178" t="str">
        <f>IFERROR(__xludf.DUMMYFUNCTION("LET(t, A162,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"),"7.71 (0.56%)")</f>
        <v>7.71 (0.56%)</v>
      </c>
      <c r="Q162" s="417"/>
      <c r="S162" s="404" t="str">
        <f t="array" ref="S162">IF(ISBLANK(R162),"",COUNTIF({$A$2:$A$31; $A$35:$A$64; $A$68:$A$97; $A$101:$A$130; A$134:A$163; $A$167:$A$196; $A$200:$A$229; $A$233:$A$262; $A$266:$A$295; $A$299:$A$328; $A$332:$A$361; $A$365:$A$435; 'Super Investors Buys'!$C$7:$C$56}, R162))</f>
        <v/>
      </c>
      <c r="AA162" s="186"/>
    </row>
    <row r="163">
      <c r="A163" s="149"/>
      <c r="B163" s="128" t="str">
        <f>IFERROR(__xludf.DUMMYFUNCTION("IF(ISBLANK(A163),"""", googlefinance(A163, ""name""))"),"")</f>
        <v/>
      </c>
      <c r="C163" s="175" t="str">
        <f t="shared" si="25"/>
        <v/>
      </c>
      <c r="D163" s="176"/>
      <c r="E163" s="132" t="str">
        <f>IFERROR(__xludf.DUMMYFUNCTION("IF(ISBLANK(A163),"""", googlefinance(A163, ""price""))"),"")</f>
        <v/>
      </c>
      <c r="F163" s="213" t="s">
        <v>133</v>
      </c>
      <c r="G163" s="213" t="s">
        <v>134</v>
      </c>
      <c r="H163" s="213" t="s">
        <v>134</v>
      </c>
      <c r="I163" s="136" t="str">
        <f t="shared" si="26"/>
        <v/>
      </c>
      <c r="J163" s="140" t="str">
        <f>IFERROR(__xludf.DUMMYFUNCTION("IfError(IF(isblank(A163),"""",split(O163, ""()"")))"),"")</f>
        <v/>
      </c>
      <c r="K163" s="136"/>
      <c r="L163" s="135" t="str">
        <f t="shared" si="27"/>
        <v/>
      </c>
      <c r="M163" s="135" t="str">
        <f t="shared" si="28"/>
        <v/>
      </c>
      <c r="N163" s="136" t="str">
        <f t="shared" si="29"/>
        <v/>
      </c>
      <c r="O163" s="178" t="str">
        <f>IFERROR(__xludf.DUMMYFUNCTION("LET(t, A163,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63" s="417"/>
      <c r="S163" s="404" t="str">
        <f t="array" ref="S163">IF(ISBLANK(R163),"",COUNTIF({$A$2:$A$31; $A$35:$A$64; $A$68:$A$97; $A$101:$A$130; A$134:A$163; $A$167:$A$196; $A$200:$A$229; $A$233:$A$262; $A$266:$A$295; $A$299:$A$328; $A$332:$A$361; $A$365:$A$435; 'Super Investors Buys'!$C$7:$C$56}, R163))</f>
        <v/>
      </c>
      <c r="AA163" s="186"/>
    </row>
    <row r="164">
      <c r="A164" s="179">
        <f>COUNTA(A134:A163)</f>
        <v>29</v>
      </c>
      <c r="B164" s="180" t="s">
        <v>341</v>
      </c>
      <c r="C164" s="413">
        <v>45717.0</v>
      </c>
      <c r="D164" s="414" t="s">
        <v>390</v>
      </c>
      <c r="E164" s="181"/>
      <c r="F164" s="179"/>
      <c r="G164" s="179"/>
      <c r="H164" s="179"/>
      <c r="I164" s="182">
        <f>SUM(I134:I163)</f>
        <v>1</v>
      </c>
      <c r="J164" s="181"/>
      <c r="K164" s="182">
        <f>M164/L164</f>
        <v>0.02656497027</v>
      </c>
      <c r="L164" s="181">
        <f t="shared" ref="L164:N164" si="30">SUM(L134:L163)</f>
        <v>248966.55</v>
      </c>
      <c r="M164" s="181">
        <f t="shared" si="30"/>
        <v>6613.789</v>
      </c>
      <c r="N164" s="182">
        <f t="shared" si="30"/>
        <v>1</v>
      </c>
      <c r="O164" s="184"/>
      <c r="Q164" s="417"/>
      <c r="S164" s="404" t="str">
        <f t="array" ref="S164">IF(ISBLANK(R164),"",COUNTIF({$A$2:$A$31; $A$35:$A$64; $A$68:$A$97; $A$101:$A$130; A$134:A$163; $A$167:$A$196; $A$200:$A$229; $A$233:$A$262; $A$266:$A$295; $A$299:$A$328; $A$332:$A$361; $A$365:$A$435; 'Super Investors Buys'!$C$7:$C$56}, R164))</f>
        <v/>
      </c>
    </row>
    <row r="165">
      <c r="A165" s="185"/>
      <c r="B165" s="67"/>
      <c r="C165" s="67"/>
      <c r="D165" s="67"/>
      <c r="E165" s="186"/>
      <c r="F165" s="67"/>
      <c r="G165" s="67"/>
      <c r="H165" s="67"/>
      <c r="I165" s="187"/>
      <c r="J165" s="186"/>
      <c r="K165" s="187"/>
      <c r="L165" s="186"/>
      <c r="M165" s="67"/>
      <c r="N165" s="67"/>
      <c r="Q165" s="417"/>
      <c r="S165" s="404" t="str">
        <f t="array" ref="S165">IF(ISBLANK(R165),"",COUNTIF({$A$2:$A$31; $A$35:$A$64; $A$68:$A$97; $A$101:$A$130; A$134:A$163; $A$167:$A$196; $A$200:$A$229; $A$233:$A$262; $A$266:$A$295; $A$299:$A$328; $A$332:$A$361; $A$365:$A$435; 'Super Investors Buys'!$C$7:$C$56}, R165))</f>
        <v/>
      </c>
      <c r="AA165" s="186"/>
    </row>
    <row r="166">
      <c r="A166" s="116" t="s">
        <v>391</v>
      </c>
      <c r="B166" s="117" t="s">
        <v>72</v>
      </c>
      <c r="C166" s="117" t="s">
        <v>73</v>
      </c>
      <c r="D166" s="117" t="s">
        <v>74</v>
      </c>
      <c r="E166" s="118" t="s">
        <v>76</v>
      </c>
      <c r="F166" s="117" t="s">
        <v>85</v>
      </c>
      <c r="G166" s="117" t="s">
        <v>86</v>
      </c>
      <c r="H166" s="117" t="s">
        <v>87</v>
      </c>
      <c r="I166" s="121" t="s">
        <v>88</v>
      </c>
      <c r="J166" s="118" t="s">
        <v>89</v>
      </c>
      <c r="K166" s="121" t="s">
        <v>12</v>
      </c>
      <c r="L166" s="118" t="s">
        <v>9</v>
      </c>
      <c r="M166" s="117" t="s">
        <v>91</v>
      </c>
      <c r="N166" s="117" t="s">
        <v>92</v>
      </c>
      <c r="O166" s="118" t="s">
        <v>99</v>
      </c>
      <c r="Q166" s="417"/>
      <c r="S166" s="404" t="str">
        <f t="array" ref="S166">IF(ISBLANK(R166),"",COUNTIF({$A$2:$A$31; $A$35:$A$64; $A$68:$A$97; $A$101:$A$130; A$134:A$163; $A$167:$A$196; $A$200:$A$229; $A$233:$A$262; $A$266:$A$295; $A$299:$A$328; $A$332:$A$361; $A$365:$A$435; 'Super Investors Buys'!$C$7:$C$56}, R166))</f>
        <v/>
      </c>
      <c r="W166" s="418"/>
      <c r="AA166" s="186"/>
    </row>
    <row r="167">
      <c r="A167" s="149" t="s">
        <v>312</v>
      </c>
      <c r="B167" s="128" t="str">
        <f>IFERROR(__xludf.DUMMYFUNCTION("IF(ISBLANK(A167),"""", googlefinance(A167, ""name""))"),"AbbVie Common Stock")</f>
        <v>AbbVie Common Stock</v>
      </c>
      <c r="C167" s="129" t="str">
        <f t="shared" ref="C167:C194" si="31">IF(ISBLANK(A167),"", HYPERLINK("https://seekingalpha.com/symbol/" &amp; A167,"View"))</f>
        <v>View</v>
      </c>
      <c r="D167" s="176">
        <v>176.67</v>
      </c>
      <c r="E167" s="132">
        <f>IFERROR(__xludf.DUMMYFUNCTION("IF(ISBLANK(A167),"""", googlefinance(A167, ""price""))"),232.35)</f>
        <v>232.35</v>
      </c>
      <c r="F167" s="213" t="s">
        <v>101</v>
      </c>
      <c r="G167" s="213" t="s">
        <v>134</v>
      </c>
      <c r="H167" s="213" t="s">
        <v>113</v>
      </c>
      <c r="I167" s="136">
        <f t="shared" ref="I167:I196" si="32">if(isblank(A167),"",L167/$L$197)</f>
        <v>0.08031002372</v>
      </c>
      <c r="J167" s="140">
        <f>IFERROR(__xludf.DUMMYFUNCTION("IfError(IF(isblank(A167),"""",split(O167, ""()"")))"),6.65)</f>
        <v>6.65</v>
      </c>
      <c r="K167" s="136">
        <f>IFERROR(__xludf.DUMMYFUNCTION("""COMPUTED_VALUE"""),0.0286)</f>
        <v>0.0286</v>
      </c>
      <c r="L167" s="135">
        <f t="shared" ref="L167:L194" si="33">IF(ISBLANK(A167),"",D167*E167)</f>
        <v>41049.2745</v>
      </c>
      <c r="M167" s="135">
        <f t="shared" ref="M167:M194" si="34">IFERROR(IF(ISBLANK(A167),"",D167*J167),"")</f>
        <v>1174.8555</v>
      </c>
      <c r="N167" s="136">
        <f t="shared" ref="N167:N196" si="35">if(isblank(A167),"",M167/$M$197)</f>
        <v>0.1602294166</v>
      </c>
      <c r="O167" s="178" t="str">
        <f>IFERROR(__xludf.DUMMYFUNCTION("LET(t, A167,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"),"6.65 (2.86%)")</f>
        <v>6.65 (2.86%)</v>
      </c>
      <c r="Q167" s="417"/>
      <c r="S167" s="404" t="str">
        <f t="array" ref="S167">IF(ISBLANK(R167),"",COUNTIF({$A$2:$A$31; $A$35:$A$64; $A$68:$A$97; $A$101:$A$130; A$134:A$163; $A$167:$A$196; $A$200:$A$229; $A$233:$A$262; $A$266:$A$295; $A$299:$A$328; $A$332:$A$361; $A$365:$A$435; 'Super Investors Buys'!$C$7:$C$56}, R167))</f>
        <v/>
      </c>
      <c r="AA167" s="186"/>
    </row>
    <row r="168">
      <c r="A168" s="149" t="s">
        <v>392</v>
      </c>
      <c r="B168" s="128" t="str">
        <f>IFERROR(__xludf.DUMMYFUNCTION("IF(ISBLANK(A168),"""", googlefinance(A168, ""name""))"),"Alphabet Inc Class C")</f>
        <v>Alphabet Inc Class C</v>
      </c>
      <c r="C168" s="129" t="str">
        <f t="shared" si="31"/>
        <v>View</v>
      </c>
      <c r="D168" s="176">
        <v>301.162</v>
      </c>
      <c r="E168" s="132">
        <f>IFERROR(__xludf.DUMMYFUNCTION("IF(ISBLANK(A168),"""", googlefinance(A168, ""price""))"),300.91)</f>
        <v>300.91</v>
      </c>
      <c r="F168" s="213" t="s">
        <v>101</v>
      </c>
      <c r="G168" s="213" t="s">
        <v>134</v>
      </c>
      <c r="H168" s="213" t="s">
        <v>103</v>
      </c>
      <c r="I168" s="136">
        <f t="shared" si="32"/>
        <v>0.1772968671</v>
      </c>
      <c r="J168" s="140">
        <f>IFERROR(__xludf.DUMMYFUNCTION("IfError(IF(isblank(A168),"""",split(O168, ""()"")))"),0.83)</f>
        <v>0.83</v>
      </c>
      <c r="K168" s="136">
        <f>IFERROR(__xludf.DUMMYFUNCTION("""COMPUTED_VALUE"""),0.0028)</f>
        <v>0.0028</v>
      </c>
      <c r="L168" s="135">
        <f t="shared" si="33"/>
        <v>90622.65742</v>
      </c>
      <c r="M168" s="135">
        <f t="shared" si="34"/>
        <v>249.96446</v>
      </c>
      <c r="N168" s="136">
        <f t="shared" si="35"/>
        <v>0.03409071124</v>
      </c>
      <c r="O168" s="178" t="str">
        <f>IFERROR(__xludf.DUMMYFUNCTION("LET(t, A168,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"),"0.83 (0.28%)")</f>
        <v>0.83 (0.28%)</v>
      </c>
      <c r="Q168" s="417"/>
      <c r="S168" s="404" t="str">
        <f t="array" ref="S168">IF(ISBLANK(R168),"",COUNTIF({$A$2:$A$31; $A$35:$A$64; $A$68:$A$97; $A$101:$A$130; A$134:A$163; $A$167:$A$196; $A$200:$A$229; $A$233:$A$262; $A$266:$A$295; $A$299:$A$328; $A$332:$A$361; $A$365:$A$435; 'Super Investors Buys'!$C$7:$C$56}, R168))</f>
        <v/>
      </c>
      <c r="AA168" s="186"/>
    </row>
    <row r="169">
      <c r="A169" s="149" t="s">
        <v>393</v>
      </c>
      <c r="B169" s="128" t="str">
        <f>IFERROR(__xludf.DUMMYFUNCTION("IF(ISBLANK(A169),"""", googlefinance(A169, ""name""))"),"American Express Co")</f>
        <v>American Express Co</v>
      </c>
      <c r="C169" s="129" t="str">
        <f t="shared" si="31"/>
        <v>View</v>
      </c>
      <c r="D169" s="176">
        <v>10.147</v>
      </c>
      <c r="E169" s="132">
        <f>IFERROR(__xludf.DUMMYFUNCTION("IF(ISBLANK(A169),"""", googlefinance(A169, ""price""))"),307.21)</f>
        <v>307.21</v>
      </c>
      <c r="F169" s="213" t="s">
        <v>101</v>
      </c>
      <c r="G169" s="213" t="s">
        <v>134</v>
      </c>
      <c r="H169" s="213" t="s">
        <v>103</v>
      </c>
      <c r="I169" s="136">
        <f t="shared" si="32"/>
        <v>0.006098700091</v>
      </c>
      <c r="J169" s="140">
        <f>IFERROR(__xludf.DUMMYFUNCTION("IfError(IF(isblank(A169),"""",split(O169, ""()"")))"),3.28)</f>
        <v>3.28</v>
      </c>
      <c r="K169" s="136">
        <f>IFERROR(__xludf.DUMMYFUNCTION("""COMPUTED_VALUE"""),0.0107)</f>
        <v>0.0107</v>
      </c>
      <c r="L169" s="135">
        <f t="shared" si="33"/>
        <v>3117.25987</v>
      </c>
      <c r="M169" s="135">
        <f t="shared" si="34"/>
        <v>33.28216</v>
      </c>
      <c r="N169" s="136">
        <f t="shared" si="35"/>
        <v>0.004539095302</v>
      </c>
      <c r="O169" s="178" t="str">
        <f>IFERROR(__xludf.DUMMYFUNCTION("LET(t, A169,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"),"3.28 (1.07%)")</f>
        <v>3.28 (1.07%)</v>
      </c>
      <c r="Q169" s="417"/>
      <c r="S169" s="404" t="str">
        <f t="array" ref="S169">IF(ISBLANK(R169),"",COUNTIF({$A$2:$A$31; $A$35:$A$64; $A$68:$A$97; $A$101:$A$130; A$134:A$163; $A$167:$A$196; $A$200:$A$229; $A$233:$A$262; $A$266:$A$295; $A$299:$A$328; $A$332:$A$361; $A$365:$A$435; 'Super Investors Buys'!$C$7:$C$56}, R169))</f>
        <v/>
      </c>
      <c r="AA169" s="186"/>
    </row>
    <row r="170">
      <c r="A170" s="149" t="s">
        <v>306</v>
      </c>
      <c r="B170" s="128" t="str">
        <f>IFERROR(__xludf.DUMMYFUNCTION("IF(ISBLANK(A170),"""", googlefinance(A170, ""name""))"),"Apple Inc")</f>
        <v>Apple Inc</v>
      </c>
      <c r="C170" s="129" t="str">
        <f t="shared" si="31"/>
        <v>View</v>
      </c>
      <c r="D170" s="176">
        <v>302.005</v>
      </c>
      <c r="E170" s="132">
        <f>IFERROR(__xludf.DUMMYFUNCTION("IF(ISBLANK(A170),"""", googlefinance(A170, ""price""))"),260.29)</f>
        <v>260.29</v>
      </c>
      <c r="F170" s="213" t="s">
        <v>101</v>
      </c>
      <c r="G170" s="213" t="s">
        <v>134</v>
      </c>
      <c r="H170" s="213" t="s">
        <v>103</v>
      </c>
      <c r="I170" s="136">
        <f t="shared" si="32"/>
        <v>0.1537927579</v>
      </c>
      <c r="J170" s="140">
        <f>IFERROR(__xludf.DUMMYFUNCTION("IfError(IF(isblank(A170),"""",split(O170, ""()"")))"),1.04)</f>
        <v>1.04</v>
      </c>
      <c r="K170" s="136">
        <f>IFERROR(__xludf.DUMMYFUNCTION("""COMPUTED_VALUE"""),0.004)</f>
        <v>0.004</v>
      </c>
      <c r="L170" s="135">
        <f t="shared" si="33"/>
        <v>78608.88145</v>
      </c>
      <c r="M170" s="135">
        <f t="shared" si="34"/>
        <v>314.0852</v>
      </c>
      <c r="N170" s="136">
        <f t="shared" si="35"/>
        <v>0.04283564095</v>
      </c>
      <c r="O170" s="178" t="str">
        <f>IFERROR(__xludf.DUMMYFUNCTION("LET(t, A170,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"),"1.04 (0.40%)")</f>
        <v>1.04 (0.40%)</v>
      </c>
      <c r="Q170" s="417"/>
      <c r="S170" s="404" t="str">
        <f t="array" ref="S170">IF(ISBLANK(R170),"",COUNTIF({$A$2:$A$31; $A$35:$A$64; $A$68:$A$97; $A$101:$A$130; A$134:A$163; $A$167:$A$196; $A$200:$A$229; $A$233:$A$262; $A$266:$A$295; $A$299:$A$328; $A$332:$A$361; $A$365:$A$435; 'Super Investors Buys'!$C$7:$C$56}, R170))</f>
        <v/>
      </c>
      <c r="AA170" s="186"/>
    </row>
    <row r="171">
      <c r="A171" s="149" t="s">
        <v>394</v>
      </c>
      <c r="B171" s="128" t="str">
        <f>IFERROR(__xludf.DUMMYFUNCTION("IF(ISBLANK(A171),"""", googlefinance(A171, ""name""))"),"Gold.com Inc")</f>
        <v>Gold.com Inc</v>
      </c>
      <c r="C171" s="129" t="str">
        <f t="shared" si="31"/>
        <v>View</v>
      </c>
      <c r="D171" s="176">
        <v>207.632</v>
      </c>
      <c r="E171" s="132">
        <f>IFERROR(__xludf.DUMMYFUNCTION("IF(ISBLANK(A171),"""", googlefinance(A171, ""price""))"),54.6)</f>
        <v>54.6</v>
      </c>
      <c r="F171" s="213" t="s">
        <v>101</v>
      </c>
      <c r="G171" s="213" t="s">
        <v>134</v>
      </c>
      <c r="H171" s="213" t="s">
        <v>113</v>
      </c>
      <c r="I171" s="136">
        <f t="shared" si="32"/>
        <v>0.02217947175</v>
      </c>
      <c r="J171" s="140">
        <f>IFERROR(__xludf.DUMMYFUNCTION("IfError(IF(isblank(A171),"""",split(O171, ""()"")))"),0.8)</f>
        <v>0.8</v>
      </c>
      <c r="K171" s="136">
        <f>IFERROR(__xludf.DUMMYFUNCTION("""COMPUTED_VALUE"""),0.0147)</f>
        <v>0.0147</v>
      </c>
      <c r="L171" s="135">
        <f t="shared" si="33"/>
        <v>11336.7072</v>
      </c>
      <c r="M171" s="135">
        <f t="shared" si="34"/>
        <v>166.1056</v>
      </c>
      <c r="N171" s="136">
        <f t="shared" si="35"/>
        <v>0.02265385265</v>
      </c>
      <c r="O171" s="178" t="str">
        <f>IFERROR(__xludf.DUMMYFUNCTION("LET(t, A171,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"),"0.80 (1.47%)")</f>
        <v>0.80 (1.47%)</v>
      </c>
      <c r="Q171" s="417"/>
      <c r="S171" s="404" t="str">
        <f t="array" ref="S171">IF(ISBLANK(R171),"",COUNTIF({$A$2:$A$31; $A$35:$A$64; $A$68:$A$97; $A$101:$A$130; A$134:A$163; $A$167:$A$196; $A$200:$A$229; $A$233:$A$262; $A$266:$A$295; $A$299:$A$328; $A$332:$A$361; $A$365:$A$435; 'Super Investors Buys'!$C$7:$C$56}, R171))</f>
        <v/>
      </c>
      <c r="AA171" s="186"/>
    </row>
    <row r="172">
      <c r="A172" s="149" t="s">
        <v>114</v>
      </c>
      <c r="B172" s="128" t="str">
        <f>IFERROR(__xludf.DUMMYFUNCTION("IF(ISBLANK(A172),"""", googlefinance(A172, ""name""))"),"Coca-Cola Co")</f>
        <v>Coca-Cola Co</v>
      </c>
      <c r="C172" s="129" t="str">
        <f t="shared" si="31"/>
        <v>View</v>
      </c>
      <c r="D172" s="176">
        <v>31.09</v>
      </c>
      <c r="E172" s="132">
        <f>IFERROR(__xludf.DUMMYFUNCTION("IF(ISBLANK(A172),"""", googlefinance(A172, ""price""))"),77.03)</f>
        <v>77.03</v>
      </c>
      <c r="F172" s="213" t="s">
        <v>101</v>
      </c>
      <c r="G172" s="213" t="s">
        <v>134</v>
      </c>
      <c r="H172" s="213" t="s">
        <v>113</v>
      </c>
      <c r="I172" s="136">
        <f t="shared" si="32"/>
        <v>0.004685380743</v>
      </c>
      <c r="J172" s="140">
        <f>IFERROR(__xludf.DUMMYFUNCTION("IfError(IF(isblank(A172),"""",split(O172, ""()"")))"),2.04)</f>
        <v>2.04</v>
      </c>
      <c r="K172" s="136">
        <f>IFERROR(__xludf.DUMMYFUNCTION("""COMPUTED_VALUE"""),0.0265)</f>
        <v>0.0265</v>
      </c>
      <c r="L172" s="135">
        <f t="shared" si="33"/>
        <v>2394.8627</v>
      </c>
      <c r="M172" s="135">
        <f t="shared" si="34"/>
        <v>63.4236</v>
      </c>
      <c r="N172" s="136">
        <f t="shared" si="35"/>
        <v>0.008649852198</v>
      </c>
      <c r="O172" s="178" t="str">
        <f>IFERROR(__xludf.DUMMYFUNCTION("LET(t, A172,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"),"2.04 (2.65%)")</f>
        <v>2.04 (2.65%)</v>
      </c>
      <c r="Q172" s="417"/>
      <c r="S172" s="404" t="str">
        <f t="array" ref="S172">IF(ISBLANK(R172),"",COUNTIF({$A$2:$A$31; $A$35:$A$64; $A$68:$A$97; $A$101:$A$130; A$134:A$163; $A$167:$A$196; $A$200:$A$229; $A$233:$A$262; $A$266:$A$295; $A$299:$A$328; $A$332:$A$361; $A$365:$A$435; 'Super Investors Buys'!$C$7:$C$56}, R172))</f>
        <v/>
      </c>
      <c r="AA172" s="186"/>
    </row>
    <row r="173">
      <c r="A173" s="149" t="s">
        <v>395</v>
      </c>
      <c r="B173" s="128" t="str">
        <f>IFERROR(__xludf.DUMMYFUNCTION("IF(ISBLANK(A173),"""", googlefinance(A173, ""name""))"),"Exxon Mobil Corp")</f>
        <v>Exxon Mobil Corp</v>
      </c>
      <c r="C173" s="129" t="str">
        <f t="shared" si="31"/>
        <v>View</v>
      </c>
      <c r="D173" s="176">
        <v>139.211</v>
      </c>
      <c r="E173" s="132">
        <f>IFERROR(__xludf.DUMMYFUNCTION("IF(ISBLANK(A173),"""", googlefinance(A173, ""price""))"),150.76)</f>
        <v>150.76</v>
      </c>
      <c r="F173" s="213" t="s">
        <v>101</v>
      </c>
      <c r="G173" s="213" t="s">
        <v>134</v>
      </c>
      <c r="H173" s="213" t="s">
        <v>113</v>
      </c>
      <c r="I173" s="136">
        <f t="shared" si="32"/>
        <v>0.04106047322</v>
      </c>
      <c r="J173" s="140">
        <f>IFERROR(__xludf.DUMMYFUNCTION("IfError(IF(isblank(A173),"""",split(O173, ""()"")))"),4.04)</f>
        <v>4.04</v>
      </c>
      <c r="K173" s="136">
        <f>IFERROR(__xludf.DUMMYFUNCTION("""COMPUTED_VALUE"""),0.0268)</f>
        <v>0.0268</v>
      </c>
      <c r="L173" s="135">
        <f t="shared" si="33"/>
        <v>20987.45036</v>
      </c>
      <c r="M173" s="135">
        <f t="shared" si="34"/>
        <v>562.41244</v>
      </c>
      <c r="N173" s="136">
        <f t="shared" si="35"/>
        <v>0.07670306448</v>
      </c>
      <c r="O173" s="178" t="str">
        <f>IFERROR(__xludf.DUMMYFUNCTION("LET(t, A173,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"),"4.04 (2.68%)")</f>
        <v>4.04 (2.68%)</v>
      </c>
      <c r="Q173" s="417"/>
      <c r="S173" s="404" t="str">
        <f t="array" ref="S173">IF(ISBLANK(R173),"",COUNTIF({$A$2:$A$31; $A$35:$A$64; $A$68:$A$97; $A$101:$A$130; A$134:A$163; $A$167:$A$196; $A$200:$A$229; $A$233:$A$262; $A$266:$A$295; $A$299:$A$328; $A$332:$A$361; $A$365:$A$435; 'Super Investors Buys'!$C$7:$C$56}, R173))</f>
        <v/>
      </c>
      <c r="AA173" s="186"/>
    </row>
    <row r="174">
      <c r="A174" s="149" t="s">
        <v>322</v>
      </c>
      <c r="B174" s="128" t="str">
        <f>IFERROR(__xludf.DUMMYFUNCTION("IF(ISBLANK(A174),"""", googlefinance(A174, ""name""))"),"Home Depot Inc")</f>
        <v>Home Depot Inc</v>
      </c>
      <c r="C174" s="129" t="str">
        <f t="shared" si="31"/>
        <v>View</v>
      </c>
      <c r="D174" s="176">
        <v>15.204</v>
      </c>
      <c r="E174" s="132">
        <f>IFERROR(__xludf.DUMMYFUNCTION("IF(ISBLANK(A174),"""", googlefinance(A174, ""price""))"),361.68)</f>
        <v>361.68</v>
      </c>
      <c r="F174" s="213" t="s">
        <v>101</v>
      </c>
      <c r="G174" s="213" t="s">
        <v>134</v>
      </c>
      <c r="H174" s="213" t="s">
        <v>103</v>
      </c>
      <c r="I174" s="136">
        <f t="shared" si="32"/>
        <v>0.01075837364</v>
      </c>
      <c r="J174" s="140">
        <f>IFERROR(__xludf.DUMMYFUNCTION("IfError(IF(isblank(A174),"""",split(O174, ""()"")))"),9.2)</f>
        <v>9.2</v>
      </c>
      <c r="K174" s="136">
        <f>IFERROR(__xludf.DUMMYFUNCTION("""COMPUTED_VALUE"""),0.0254)</f>
        <v>0.0254</v>
      </c>
      <c r="L174" s="135">
        <f t="shared" si="33"/>
        <v>5498.98272</v>
      </c>
      <c r="M174" s="135">
        <f t="shared" si="34"/>
        <v>139.8768</v>
      </c>
      <c r="N174" s="136">
        <f t="shared" si="35"/>
        <v>0.01907671034</v>
      </c>
      <c r="O174" s="178" t="str">
        <f>IFERROR(__xludf.DUMMYFUNCTION("LET(t, A174,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"),"9.20 (2.54%)")</f>
        <v>9.20 (2.54%)</v>
      </c>
      <c r="Q174" s="417"/>
      <c r="S174" s="404" t="str">
        <f t="array" ref="S174">IF(ISBLANK(R174),"",COUNTIF({$A$2:$A$31; $A$35:$A$64; $A$68:$A$97; $A$101:$A$130; A$134:A$163; $A$167:$A$196; $A$200:$A$229; $A$233:$A$262; $A$266:$A$295; $A$299:$A$328; $A$332:$A$361; $A$365:$A$435; 'Super Investors Buys'!$C$7:$C$56}, R174))</f>
        <v/>
      </c>
      <c r="AA174" s="186"/>
    </row>
    <row r="175">
      <c r="A175" s="149" t="s">
        <v>111</v>
      </c>
      <c r="B175" s="128" t="str">
        <f>IFERROR(__xludf.DUMMYFUNCTION("IF(ISBLANK(A175),"""", googlefinance(A175, ""name""))"),"JPMorgan Chase &amp; Co")</f>
        <v>JPMorgan Chase &amp; Co</v>
      </c>
      <c r="C175" s="129" t="str">
        <f t="shared" si="31"/>
        <v>View</v>
      </c>
      <c r="D175" s="176">
        <v>403.192</v>
      </c>
      <c r="E175" s="132">
        <f>IFERROR(__xludf.DUMMYFUNCTION("IF(ISBLANK(A175),"""", googlefinance(A175, ""price""))"),293.55)</f>
        <v>293.55</v>
      </c>
      <c r="F175" s="213" t="s">
        <v>101</v>
      </c>
      <c r="G175" s="213" t="s">
        <v>134</v>
      </c>
      <c r="H175" s="402" t="s">
        <v>113</v>
      </c>
      <c r="I175" s="136">
        <f t="shared" si="32"/>
        <v>0.231557184</v>
      </c>
      <c r="J175" s="140">
        <f>IFERROR(__xludf.DUMMYFUNCTION("IfError(IF(isblank(A175),"""",split(O175, ""()"")))"),5.8)</f>
        <v>5.8</v>
      </c>
      <c r="K175" s="136">
        <f>IFERROR(__xludf.DUMMYFUNCTION("""COMPUTED_VALUE"""),0.0198)</f>
        <v>0.0198</v>
      </c>
      <c r="L175" s="135">
        <f t="shared" si="33"/>
        <v>118357.0116</v>
      </c>
      <c r="M175" s="135">
        <f t="shared" si="34"/>
        <v>2338.5136</v>
      </c>
      <c r="N175" s="136">
        <f t="shared" si="35"/>
        <v>0.3189317068</v>
      </c>
      <c r="O175" s="178" t="str">
        <f>IFERROR(__xludf.DUMMYFUNCTION("LET(t, A175,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"),"5.80 (1.98%)")</f>
        <v>5.80 (1.98%)</v>
      </c>
      <c r="Q175" s="417"/>
      <c r="S175" s="404" t="str">
        <f t="array" ref="S175">IF(ISBLANK(R175),"",COUNTIF({$A$2:$A$31; $A$35:$A$64; $A$68:$A$97; $A$101:$A$130; A$134:A$163; $A$167:$A$196; $A$200:$A$229; $A$233:$A$262; $A$266:$A$295; $A$299:$A$328; $A$332:$A$361; $A$365:$A$435; 'Super Investors Buys'!$C$7:$C$56}, R175))</f>
        <v/>
      </c>
      <c r="AA175" s="186"/>
    </row>
    <row r="176">
      <c r="A176" s="149" t="s">
        <v>313</v>
      </c>
      <c r="B176" s="128" t="str">
        <f>IFERROR(__xludf.DUMMYFUNCTION("IF(ISBLANK(A176),"""", googlefinance(A176, ""name""))"),"Johnson &amp; Johnson")</f>
        <v>Johnson &amp; Johnson</v>
      </c>
      <c r="C176" s="129" t="str">
        <f t="shared" si="31"/>
        <v>View</v>
      </c>
      <c r="D176" s="176">
        <v>38.588</v>
      </c>
      <c r="E176" s="132">
        <f>IFERROR(__xludf.DUMMYFUNCTION("IF(ISBLANK(A176),"""", googlefinance(A176, ""price""))"),239.63)</f>
        <v>239.63</v>
      </c>
      <c r="F176" s="213" t="s">
        <v>101</v>
      </c>
      <c r="G176" s="213" t="s">
        <v>134</v>
      </c>
      <c r="H176" s="213" t="s">
        <v>113</v>
      </c>
      <c r="I176" s="136">
        <f t="shared" si="32"/>
        <v>0.01809079807</v>
      </c>
      <c r="J176" s="140">
        <f>IFERROR(__xludf.DUMMYFUNCTION("IfError(IF(isblank(A176),"""",split(O176, ""()"")))"),5.2)</f>
        <v>5.2</v>
      </c>
      <c r="K176" s="136">
        <f>IFERROR(__xludf.DUMMYFUNCTION("""COMPUTED_VALUE"""),0.0217)</f>
        <v>0.0217</v>
      </c>
      <c r="L176" s="135">
        <f t="shared" si="33"/>
        <v>9246.84244</v>
      </c>
      <c r="M176" s="135">
        <f t="shared" si="34"/>
        <v>200.6576</v>
      </c>
      <c r="N176" s="136">
        <f t="shared" si="35"/>
        <v>0.02736613157</v>
      </c>
      <c r="O176" s="178" t="str">
        <f>IFERROR(__xludf.DUMMYFUNCTION("LET(t, A176,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"),"5.20 (2.17%)")</f>
        <v>5.20 (2.17%)</v>
      </c>
      <c r="Q176" s="417"/>
      <c r="S176" s="404" t="str">
        <f t="array" ref="S176">IF(ISBLANK(R176),"",COUNTIF({$A$2:$A$31; $A$35:$A$64; $A$68:$A$97; $A$101:$A$130; A$134:A$163; $A$167:$A$196; $A$200:$A$229; $A$233:$A$262; $A$266:$A$295; $A$299:$A$328; $A$332:$A$361; $A$365:$A$435; 'Super Investors Buys'!$C$7:$C$56}, R176))</f>
        <v/>
      </c>
      <c r="AA176" s="186"/>
    </row>
    <row r="177">
      <c r="A177" s="149" t="s">
        <v>396</v>
      </c>
      <c r="B177" s="128" t="str">
        <f>IFERROR(__xludf.DUMMYFUNCTION("IF(ISBLANK(A177),"""", googlefinance(A177, ""name""))"),"Kraft Heinz Co")</f>
        <v>Kraft Heinz Co</v>
      </c>
      <c r="C177" s="129" t="str">
        <f t="shared" si="31"/>
        <v>View</v>
      </c>
      <c r="D177" s="176">
        <v>322.617</v>
      </c>
      <c r="E177" s="132">
        <f>IFERROR(__xludf.DUMMYFUNCTION("IF(ISBLANK(A177),"""", googlefinance(A177, ""price""))"),24.23)</f>
        <v>24.23</v>
      </c>
      <c r="F177" s="213" t="s">
        <v>101</v>
      </c>
      <c r="G177" s="213" t="s">
        <v>134</v>
      </c>
      <c r="H177" s="213" t="s">
        <v>113</v>
      </c>
      <c r="I177" s="136">
        <f t="shared" si="32"/>
        <v>0.0152934311</v>
      </c>
      <c r="J177" s="140">
        <f>IFERROR(__xludf.DUMMYFUNCTION("IfError(IF(isblank(A177),"""",split(O177, ""()"")))"),1.6)</f>
        <v>1.6</v>
      </c>
      <c r="K177" s="136">
        <f>IFERROR(__xludf.DUMMYFUNCTION("""COMPUTED_VALUE"""),0.066)</f>
        <v>0.066</v>
      </c>
      <c r="L177" s="135">
        <f t="shared" si="33"/>
        <v>7817.00991</v>
      </c>
      <c r="M177" s="135">
        <f t="shared" si="34"/>
        <v>516.1872</v>
      </c>
      <c r="N177" s="136">
        <f t="shared" si="35"/>
        <v>0.07039876302</v>
      </c>
      <c r="O177" s="178" t="str">
        <f>IFERROR(__xludf.DUMMYFUNCTION("LET(t, A177,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"),"1.60 (6.60%)")</f>
        <v>1.60 (6.60%)</v>
      </c>
      <c r="Q177" s="417"/>
      <c r="S177" s="404" t="str">
        <f t="array" ref="S177">IF(ISBLANK(R177),"",COUNTIF({$A$2:$A$31; $A$35:$A$64; $A$68:$A$97; $A$101:$A$130; A$134:A$163; $A$167:$A$196; $A$200:$A$229; $A$233:$A$262; $A$266:$A$295; $A$299:$A$328; $A$332:$A$361; $A$365:$A$435; 'Super Investors Buys'!$C$7:$C$56}, R177))</f>
        <v/>
      </c>
      <c r="AA177" s="186"/>
    </row>
    <row r="178">
      <c r="A178" s="149" t="s">
        <v>368</v>
      </c>
      <c r="B178" s="128" t="str">
        <f>IFERROR(__xludf.DUMMYFUNCTION("IF(ISBLANK(A178),"""", googlefinance(A178, ""name""))"),"Lowe's Companies Inc")</f>
        <v>Lowe's Companies Inc</v>
      </c>
      <c r="C178" s="129" t="str">
        <f t="shared" si="31"/>
        <v>View</v>
      </c>
      <c r="D178" s="176">
        <v>6.131</v>
      </c>
      <c r="E178" s="132">
        <f>IFERROR(__xludf.DUMMYFUNCTION("IF(ISBLANK(A178),"""", googlefinance(A178, ""price""))"),254.71)</f>
        <v>254.71</v>
      </c>
      <c r="F178" s="213" t="s">
        <v>101</v>
      </c>
      <c r="G178" s="213" t="s">
        <v>134</v>
      </c>
      <c r="H178" s="213" t="s">
        <v>113</v>
      </c>
      <c r="I178" s="136">
        <f t="shared" si="32"/>
        <v>0.003055213612</v>
      </c>
      <c r="J178" s="140">
        <f>IFERROR(__xludf.DUMMYFUNCTION("IfError(IF(isblank(A178),"""",split(O178, ""()"")))"),4.75)</f>
        <v>4.75</v>
      </c>
      <c r="K178" s="136">
        <f>IFERROR(__xludf.DUMMYFUNCTION("""COMPUTED_VALUE"""),0.0186)</f>
        <v>0.0186</v>
      </c>
      <c r="L178" s="135">
        <f t="shared" si="33"/>
        <v>1561.62701</v>
      </c>
      <c r="M178" s="135">
        <f t="shared" si="34"/>
        <v>29.12225</v>
      </c>
      <c r="N178" s="136">
        <f t="shared" si="35"/>
        <v>0.003971757487</v>
      </c>
      <c r="O178" s="178" t="str">
        <f>IFERROR(__xludf.DUMMYFUNCTION("LET(t, A178,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"),"4.75 (1.86%)")</f>
        <v>4.75 (1.86%)</v>
      </c>
      <c r="Q178" s="417"/>
      <c r="S178" s="404" t="str">
        <f t="array" ref="S178">IF(ISBLANK(R178),"",COUNTIF({$A$2:$A$31; $A$35:$A$64; $A$68:$A$97; $A$101:$A$130; A$134:A$163; $A$167:$A$196; $A$200:$A$229; $A$233:$A$262; $A$266:$A$295; $A$299:$A$328; $A$332:$A$361; $A$365:$A$435; 'Super Investors Buys'!$C$7:$C$56}, R178))</f>
        <v/>
      </c>
      <c r="AA178" s="186"/>
    </row>
    <row r="179">
      <c r="A179" s="149" t="s">
        <v>310</v>
      </c>
      <c r="B179" s="128" t="str">
        <f>IFERROR(__xludf.DUMMYFUNCTION("IF(ISBLANK(A179),"""", googlefinance(A179, ""name""))"),"PepsiCo Inc")</f>
        <v>PepsiCo Inc</v>
      </c>
      <c r="C179" s="129" t="str">
        <f t="shared" si="31"/>
        <v>View</v>
      </c>
      <c r="D179" s="176">
        <v>28.18</v>
      </c>
      <c r="E179" s="132">
        <f>IFERROR(__xludf.DUMMYFUNCTION("IF(ISBLANK(A179),"""", googlefinance(A179, ""price""))"),160.7)</f>
        <v>160.7</v>
      </c>
      <c r="F179" s="213" t="s">
        <v>101</v>
      </c>
      <c r="G179" s="213" t="s">
        <v>134</v>
      </c>
      <c r="H179" s="213" t="s">
        <v>113</v>
      </c>
      <c r="I179" s="136">
        <f t="shared" si="32"/>
        <v>0.008859743197</v>
      </c>
      <c r="J179" s="140">
        <f>IFERROR(__xludf.DUMMYFUNCTION("IfError(IF(isblank(A179),"""",split(O179, ""()"")))"),5.62)</f>
        <v>5.62</v>
      </c>
      <c r="K179" s="136">
        <f>IFERROR(__xludf.DUMMYFUNCTION("""COMPUTED_VALUE"""),0.035)</f>
        <v>0.035</v>
      </c>
      <c r="L179" s="135">
        <f t="shared" si="33"/>
        <v>4528.526</v>
      </c>
      <c r="M179" s="135">
        <f t="shared" si="34"/>
        <v>158.3716</v>
      </c>
      <c r="N179" s="136">
        <f t="shared" si="35"/>
        <v>0.02159907246</v>
      </c>
      <c r="O179" s="178" t="str">
        <f>IFERROR(__xludf.DUMMYFUNCTION("LET(t, A179,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"),"5.62 (3.50%)")</f>
        <v>5.62 (3.50%)</v>
      </c>
      <c r="Q179" s="417"/>
      <c r="S179" s="404" t="str">
        <f t="array" ref="S179">IF(ISBLANK(R179),"",COUNTIF({$A$2:$A$31; $A$35:$A$64; $A$68:$A$97; $A$101:$A$130; A$134:A$163; $A$167:$A$196; $A$200:$A$229; $A$233:$A$262; $A$266:$A$295; $A$299:$A$328; $A$332:$A$361; $A$365:$A$435; 'Super Investors Buys'!$C$7:$C$56}, R179))</f>
        <v/>
      </c>
      <c r="AA179" s="186"/>
    </row>
    <row r="180">
      <c r="A180" s="149" t="s">
        <v>321</v>
      </c>
      <c r="B180" s="128" t="str">
        <f>IFERROR(__xludf.DUMMYFUNCTION("IF(ISBLANK(A180),"""", googlefinance(A180, ""name""))"),"Procter &amp; Gamble Co")</f>
        <v>Procter &amp; Gamble Co</v>
      </c>
      <c r="C180" s="129" t="str">
        <f t="shared" si="31"/>
        <v>View</v>
      </c>
      <c r="D180" s="176">
        <v>7.215</v>
      </c>
      <c r="E180" s="132">
        <f>IFERROR(__xludf.DUMMYFUNCTION("IF(ISBLANK(A180),"""", googlefinance(A180, ""price""))"),153.99)</f>
        <v>153.99</v>
      </c>
      <c r="F180" s="213" t="s">
        <v>101</v>
      </c>
      <c r="G180" s="213" t="s">
        <v>134</v>
      </c>
      <c r="H180" s="213" t="s">
        <v>113</v>
      </c>
      <c r="I180" s="136">
        <f t="shared" si="32"/>
        <v>0.002173667554</v>
      </c>
      <c r="J180" s="140">
        <f>IFERROR(__xludf.DUMMYFUNCTION("IfError(IF(isblank(A180),"""",split(O180, ""()"")))"),4.23)</f>
        <v>4.23</v>
      </c>
      <c r="K180" s="136">
        <f>IFERROR(__xludf.DUMMYFUNCTION("""COMPUTED_VALUE"""),0.0275)</f>
        <v>0.0275</v>
      </c>
      <c r="L180" s="135">
        <f t="shared" si="33"/>
        <v>1111.03785</v>
      </c>
      <c r="M180" s="135">
        <f t="shared" si="34"/>
        <v>30.51945</v>
      </c>
      <c r="N180" s="136">
        <f t="shared" si="35"/>
        <v>0.004162310743</v>
      </c>
      <c r="O180" s="178" t="str">
        <f>IFERROR(__xludf.DUMMYFUNCTION("LET(t, A180,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"),"4.23 (2.75%)")</f>
        <v>4.23 (2.75%)</v>
      </c>
      <c r="Q180" s="417"/>
      <c r="S180" s="404" t="str">
        <f t="array" ref="S180">IF(ISBLANK(R180),"",COUNTIF({$A$2:$A$31; $A$35:$A$64; $A$68:$A$97; $A$101:$A$130; A$134:A$163; $A$167:$A$196; $A$200:$A$229; $A$233:$A$262; $A$266:$A$295; $A$299:$A$328; $A$332:$A$361; $A$365:$A$435; 'Super Investors Buys'!$C$7:$C$56}, R180))</f>
        <v/>
      </c>
      <c r="AA180" s="186"/>
    </row>
    <row r="181">
      <c r="A181" s="149" t="s">
        <v>107</v>
      </c>
      <c r="B181" s="128" t="str">
        <f>IFERROR(__xludf.DUMMYFUNCTION("IF(ISBLANK(A181),"""", googlefinance(A181, ""name""))"),"Target Corp")</f>
        <v>Target Corp</v>
      </c>
      <c r="C181" s="129" t="str">
        <f t="shared" si="31"/>
        <v>View</v>
      </c>
      <c r="D181" s="176">
        <v>6.165</v>
      </c>
      <c r="E181" s="132">
        <f>IFERROR(__xludf.DUMMYFUNCTION("IF(ISBLANK(A181),"""", googlefinance(A181, ""price""))"),120.36)</f>
        <v>120.36</v>
      </c>
      <c r="F181" s="213" t="s">
        <v>101</v>
      </c>
      <c r="G181" s="213" t="s">
        <v>134</v>
      </c>
      <c r="H181" s="213" t="s">
        <v>113</v>
      </c>
      <c r="I181" s="136">
        <f t="shared" si="32"/>
        <v>0.001451708863</v>
      </c>
      <c r="J181" s="140">
        <f>IFERROR(__xludf.DUMMYFUNCTION("IfError(IF(isblank(A181),"""",split(O181, ""()"")))"),4.54)</f>
        <v>4.54</v>
      </c>
      <c r="K181" s="136">
        <f>IFERROR(__xludf.DUMMYFUNCTION("""COMPUTED_VALUE"""),0.0377)</f>
        <v>0.0377</v>
      </c>
      <c r="L181" s="135">
        <f t="shared" si="33"/>
        <v>742.0194</v>
      </c>
      <c r="M181" s="135">
        <f t="shared" si="34"/>
        <v>27.9891</v>
      </c>
      <c r="N181" s="136">
        <f t="shared" si="35"/>
        <v>0.00381721596</v>
      </c>
      <c r="O181" s="178" t="str">
        <f>IFERROR(__xludf.DUMMYFUNCTION("LET(t, A181,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"),"4.54 (3.77%)")</f>
        <v>4.54 (3.77%)</v>
      </c>
      <c r="Q181" s="417"/>
      <c r="S181" s="404" t="str">
        <f t="array" ref="S181">IF(ISBLANK(R181),"",COUNTIF({$A$2:$A$31; $A$35:$A$64; $A$68:$A$97; $A$101:$A$130; A$134:A$163; $A$167:$A$196; $A$200:$A$229; $A$233:$A$262; $A$266:$A$295; $A$299:$A$328; $A$332:$A$361; $A$365:$A$435; 'Super Investors Buys'!$C$7:$C$56}, R181))</f>
        <v/>
      </c>
      <c r="AA181" s="186"/>
    </row>
    <row r="182">
      <c r="A182" s="149" t="s">
        <v>123</v>
      </c>
      <c r="B182" s="128" t="str">
        <f>IFERROR(__xludf.DUMMYFUNCTION("IF(ISBLANK(A182),"""", googlefinance(A182, ""name""))"),"Vanguard S&amp;P 500 ETF")</f>
        <v>Vanguard S&amp;P 500 ETF</v>
      </c>
      <c r="C182" s="129" t="str">
        <f t="shared" si="31"/>
        <v>View</v>
      </c>
      <c r="D182" s="176">
        <v>180.634</v>
      </c>
      <c r="E182" s="132">
        <f>IFERROR(__xludf.DUMMYFUNCTION("IF(ISBLANK(A182),"""", googlefinance(A182, ""price""))"),626.81)</f>
        <v>626.81</v>
      </c>
      <c r="F182" s="213" t="s">
        <v>121</v>
      </c>
      <c r="G182" s="213" t="s">
        <v>134</v>
      </c>
      <c r="H182" s="213" t="s">
        <v>124</v>
      </c>
      <c r="I182" s="136">
        <f t="shared" si="32"/>
        <v>0.2215132372</v>
      </c>
      <c r="J182" s="140">
        <f>IFERROR(__xludf.DUMMYFUNCTION("IfError(IF(isblank(A182),"""",split(O182, ""()"")))"),7.07)</f>
        <v>7.07</v>
      </c>
      <c r="K182" s="136">
        <f>IFERROR(__xludf.DUMMYFUNCTION("""COMPUTED_VALUE"""),0.0113)</f>
        <v>0.0113</v>
      </c>
      <c r="L182" s="135">
        <f t="shared" si="33"/>
        <v>113223.1975</v>
      </c>
      <c r="M182" s="135">
        <f t="shared" si="34"/>
        <v>1277.08238</v>
      </c>
      <c r="N182" s="136">
        <f t="shared" si="35"/>
        <v>0.1741713468</v>
      </c>
      <c r="O182" s="178" t="str">
        <f>IFERROR(__xludf.DUMMYFUNCTION("LET(t, A182,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"),"7.07 (1.13%)")</f>
        <v>7.07 (1.13%)</v>
      </c>
      <c r="Q182" s="417"/>
      <c r="S182" s="404" t="str">
        <f t="array" ref="S182">IF(ISBLANK(R182),"",COUNTIF({$A$2:$A$31; $A$35:$A$64; $A$68:$A$97; $A$101:$A$130; A$134:A$163; $A$167:$A$196; $A$200:$A$229; $A$233:$A$262; $A$266:$A$295; $A$299:$A$328; $A$332:$A$361; $A$365:$A$435; 'Super Investors Buys'!$C$7:$C$56}, R182))</f>
        <v/>
      </c>
      <c r="AA182" s="186"/>
    </row>
    <row r="183">
      <c r="A183" s="149" t="s">
        <v>397</v>
      </c>
      <c r="B183" s="128" t="str">
        <f>IFERROR(__xludf.DUMMYFUNCTION("IF(ISBLANK(A183),"""", googlefinance(A183, ""name""))"),"Verizon Communications Inc")</f>
        <v>Verizon Communications Inc</v>
      </c>
      <c r="C183" s="129" t="str">
        <f t="shared" si="31"/>
        <v>View</v>
      </c>
      <c r="D183" s="176">
        <v>18.206</v>
      </c>
      <c r="E183" s="132">
        <f>IFERROR(__xludf.DUMMYFUNCTION("IF(ISBLANK(A183),"""", googlefinance(A183, ""price""))"),51.18)</f>
        <v>51.18</v>
      </c>
      <c r="F183" s="213" t="s">
        <v>101</v>
      </c>
      <c r="G183" s="213" t="s">
        <v>134</v>
      </c>
      <c r="H183" s="213" t="s">
        <v>113</v>
      </c>
      <c r="I183" s="136">
        <f t="shared" si="32"/>
        <v>0.001822968181</v>
      </c>
      <c r="J183" s="140">
        <f>IFERROR(__xludf.DUMMYFUNCTION("IfError(IF(isblank(A183),"""",split(O183, ""()"")))"),2.74)</f>
        <v>2.74</v>
      </c>
      <c r="K183" s="136">
        <f>IFERROR(__xludf.DUMMYFUNCTION("""COMPUTED_VALUE"""),0.0535)</f>
        <v>0.0535</v>
      </c>
      <c r="L183" s="135">
        <f t="shared" si="33"/>
        <v>931.78308</v>
      </c>
      <c r="M183" s="135">
        <f t="shared" si="34"/>
        <v>49.88444</v>
      </c>
      <c r="N183" s="136">
        <f t="shared" si="35"/>
        <v>0.006803351323</v>
      </c>
      <c r="O183" s="178" t="str">
        <f>IFERROR(__xludf.DUMMYFUNCTION("LET(t, A183,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"),"2.74 (5.35%)")</f>
        <v>2.74 (5.35%)</v>
      </c>
      <c r="Q183" s="417"/>
      <c r="S183" s="404" t="str">
        <f t="array" ref="S183">IF(ISBLANK(R183),"",COUNTIF({$A$2:$A$31; $A$35:$A$64; $A$68:$A$97; $A$101:$A$130; A$134:A$163; $A$167:$A$196; $A$200:$A$229; $A$233:$A$262; $A$266:$A$295; $A$299:$A$328; $A$332:$A$361; $A$365:$A$435; 'Super Investors Buys'!$C$7:$C$56}, R183))</f>
        <v/>
      </c>
      <c r="AA183" s="186"/>
    </row>
    <row r="184">
      <c r="A184" s="149"/>
      <c r="B184" s="128" t="str">
        <f>IFERROR(__xludf.DUMMYFUNCTION("IF(ISBLANK(A184),"""", googlefinance(A184, ""name""))"),"")</f>
        <v/>
      </c>
      <c r="C184" s="175" t="str">
        <f t="shared" si="31"/>
        <v/>
      </c>
      <c r="D184" s="176"/>
      <c r="E184" s="132" t="str">
        <f>IFERROR(__xludf.DUMMYFUNCTION("IF(ISBLANK(A184),"""", googlefinance(A184, ""price""))"),"")</f>
        <v/>
      </c>
      <c r="F184" s="213"/>
      <c r="G184" s="213"/>
      <c r="H184" s="213"/>
      <c r="I184" s="136" t="str">
        <f t="shared" si="32"/>
        <v/>
      </c>
      <c r="J184" s="140" t="str">
        <f>IFERROR(__xludf.DUMMYFUNCTION("IfError(IF(isblank(A184),"""",split(O184, ""()"")))"),"")</f>
        <v/>
      </c>
      <c r="K184" s="136"/>
      <c r="L184" s="135" t="str">
        <f t="shared" si="33"/>
        <v/>
      </c>
      <c r="M184" s="135" t="str">
        <f t="shared" si="34"/>
        <v/>
      </c>
      <c r="N184" s="136" t="str">
        <f t="shared" si="35"/>
        <v/>
      </c>
      <c r="O184" s="178" t="str">
        <f>IFERROR(__xludf.DUMMYFUNCTION("LET(t, A184,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84" s="417"/>
      <c r="S184" s="404" t="str">
        <f t="array" ref="S184">IF(ISBLANK(R184),"",COUNTIF({$A$2:$A$31; $A$35:$A$64; $A$68:$A$97; $A$101:$A$130; A$134:A$163; $A$167:$A$196; $A$200:$A$229; $A$233:$A$262; $A$266:$A$295; $A$299:$A$328; $A$332:$A$361; $A$365:$A$435; 'Super Investors Buys'!$C$7:$C$56}, R184))</f>
        <v/>
      </c>
      <c r="AA184" s="186"/>
    </row>
    <row r="185">
      <c r="A185" s="149"/>
      <c r="B185" s="128" t="str">
        <f>IFERROR(__xludf.DUMMYFUNCTION("IF(ISBLANK(A185),"""", googlefinance(A185, ""name""))"),"")</f>
        <v/>
      </c>
      <c r="C185" s="175" t="str">
        <f t="shared" si="31"/>
        <v/>
      </c>
      <c r="D185" s="176"/>
      <c r="E185" s="132" t="str">
        <f>IFERROR(__xludf.DUMMYFUNCTION("IF(ISBLANK(A185),"""", googlefinance(A185, ""price""))"),"")</f>
        <v/>
      </c>
      <c r="F185" s="213"/>
      <c r="G185" s="213"/>
      <c r="H185" s="213"/>
      <c r="I185" s="136" t="str">
        <f t="shared" si="32"/>
        <v/>
      </c>
      <c r="J185" s="140" t="str">
        <f>IFERROR(__xludf.DUMMYFUNCTION("IfError(IF(isblank(A185),"""",split(O185, ""()"")))"),"")</f>
        <v/>
      </c>
      <c r="K185" s="136"/>
      <c r="L185" s="135" t="str">
        <f t="shared" si="33"/>
        <v/>
      </c>
      <c r="M185" s="135" t="str">
        <f t="shared" si="34"/>
        <v/>
      </c>
      <c r="N185" s="136" t="str">
        <f t="shared" si="35"/>
        <v/>
      </c>
      <c r="O185" s="178" t="str">
        <f>IFERROR(__xludf.DUMMYFUNCTION("LET(t, A185,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85" s="417"/>
      <c r="S185" s="404" t="str">
        <f t="array" ref="S185">IF(ISBLANK(R185),"",COUNTIF({$A$2:$A$31; $A$35:$A$64; $A$68:$A$97; $A$101:$A$130; A$134:A$163; $A$167:$A$196; $A$200:$A$229; $A$233:$A$262; $A$266:$A$295; $A$299:$A$328; $A$332:$A$361; $A$365:$A$435; 'Super Investors Buys'!$C$7:$C$56}, R185))</f>
        <v/>
      </c>
      <c r="AA185" s="186"/>
    </row>
    <row r="186">
      <c r="A186" s="149"/>
      <c r="B186" s="128" t="str">
        <f>IFERROR(__xludf.DUMMYFUNCTION("IF(ISBLANK(A186),"""", googlefinance(A186, ""name""))"),"")</f>
        <v/>
      </c>
      <c r="C186" s="175" t="str">
        <f t="shared" si="31"/>
        <v/>
      </c>
      <c r="D186" s="176"/>
      <c r="E186" s="132" t="str">
        <f>IFERROR(__xludf.DUMMYFUNCTION("IF(ISBLANK(A186),"""", googlefinance(A186, ""price""))"),"")</f>
        <v/>
      </c>
      <c r="F186" s="213"/>
      <c r="G186" s="213"/>
      <c r="H186" s="213"/>
      <c r="I186" s="136" t="str">
        <f t="shared" si="32"/>
        <v/>
      </c>
      <c r="J186" s="140" t="str">
        <f>IFERROR(__xludf.DUMMYFUNCTION("IfError(IF(isblank(A186),"""",split(O186, ""()"")))"),"")</f>
        <v/>
      </c>
      <c r="K186" s="136"/>
      <c r="L186" s="135" t="str">
        <f t="shared" si="33"/>
        <v/>
      </c>
      <c r="M186" s="135" t="str">
        <f t="shared" si="34"/>
        <v/>
      </c>
      <c r="N186" s="136" t="str">
        <f t="shared" si="35"/>
        <v/>
      </c>
      <c r="O186" s="178" t="str">
        <f>IFERROR(__xludf.DUMMYFUNCTION("LET(t, A186,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86" s="417"/>
      <c r="S186" s="404" t="str">
        <f t="array" ref="S186">IF(ISBLANK(R186),"",COUNTIF({$A$2:$A$31; $A$35:$A$64; $A$68:$A$97; $A$101:$A$130; A$134:A$163; $A$167:$A$196; $A$200:$A$229; $A$233:$A$262; $A$266:$A$295; $A$299:$A$328; $A$332:$A$361; $A$365:$A$435; 'Super Investors Buys'!$C$7:$C$56}, R186))</f>
        <v/>
      </c>
      <c r="AA186" s="186"/>
    </row>
    <row r="187">
      <c r="A187" s="149"/>
      <c r="B187" s="128" t="str">
        <f>IFERROR(__xludf.DUMMYFUNCTION("IF(ISBLANK(A187),"""", googlefinance(A187, ""name""))"),"")</f>
        <v/>
      </c>
      <c r="C187" s="175" t="str">
        <f t="shared" si="31"/>
        <v/>
      </c>
      <c r="D187" s="176"/>
      <c r="E187" s="132" t="str">
        <f>IFERROR(__xludf.DUMMYFUNCTION("IF(ISBLANK(A187),"""", googlefinance(A187, ""price""))"),"")</f>
        <v/>
      </c>
      <c r="F187" s="213"/>
      <c r="G187" s="213"/>
      <c r="H187" s="213"/>
      <c r="I187" s="136" t="str">
        <f t="shared" si="32"/>
        <v/>
      </c>
      <c r="J187" s="140" t="str">
        <f>IFERROR(__xludf.DUMMYFUNCTION("IfError(IF(isblank(A187),"""",split(O187, ""()"")))"),"")</f>
        <v/>
      </c>
      <c r="K187" s="136"/>
      <c r="L187" s="135" t="str">
        <f t="shared" si="33"/>
        <v/>
      </c>
      <c r="M187" s="135" t="str">
        <f t="shared" si="34"/>
        <v/>
      </c>
      <c r="N187" s="136" t="str">
        <f t="shared" si="35"/>
        <v/>
      </c>
      <c r="O187" s="178" t="str">
        <f>IFERROR(__xludf.DUMMYFUNCTION("LET(t, A187,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87" s="417"/>
      <c r="S187" s="404" t="str">
        <f t="array" ref="S187">IF(ISBLANK(R187),"",COUNTIF({$A$2:$A$31; $A$35:$A$64; $A$68:$A$97; $A$101:$A$130; A$134:A$163; $A$167:$A$196; $A$200:$A$229; $A$233:$A$262; $A$266:$A$295; $A$299:$A$328; $A$332:$A$361; $A$365:$A$435; 'Super Investors Buys'!$C$7:$C$56}, R187))</f>
        <v/>
      </c>
      <c r="AA187" s="186"/>
    </row>
    <row r="188">
      <c r="A188" s="149"/>
      <c r="B188" s="128" t="str">
        <f>IFERROR(__xludf.DUMMYFUNCTION("IF(ISBLANK(A188),"""", googlefinance(A188, ""name""))"),"")</f>
        <v/>
      </c>
      <c r="C188" s="175" t="str">
        <f t="shared" si="31"/>
        <v/>
      </c>
      <c r="D188" s="176"/>
      <c r="E188" s="132" t="str">
        <f>IFERROR(__xludf.DUMMYFUNCTION("IF(ISBLANK(A188),"""", googlefinance(A188, ""price""))"),"")</f>
        <v/>
      </c>
      <c r="F188" s="213"/>
      <c r="G188" s="213"/>
      <c r="H188" s="213"/>
      <c r="I188" s="136" t="str">
        <f t="shared" si="32"/>
        <v/>
      </c>
      <c r="J188" s="140" t="str">
        <f>IFERROR(__xludf.DUMMYFUNCTION("IfError(IF(isblank(A188),"""",split(O188, ""()"")))"),"")</f>
        <v/>
      </c>
      <c r="K188" s="136"/>
      <c r="L188" s="135" t="str">
        <f t="shared" si="33"/>
        <v/>
      </c>
      <c r="M188" s="135" t="str">
        <f t="shared" si="34"/>
        <v/>
      </c>
      <c r="N188" s="136" t="str">
        <f t="shared" si="35"/>
        <v/>
      </c>
      <c r="O188" s="178" t="str">
        <f>IFERROR(__xludf.DUMMYFUNCTION("LET(t, A188,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88" s="417"/>
      <c r="S188" s="404" t="str">
        <f t="array" ref="S188">IF(ISBLANK(R188),"",COUNTIF({$A$2:$A$31; $A$35:$A$64; $A$68:$A$97; $A$101:$A$130; A$134:A$163; $A$167:$A$196; $A$200:$A$229; $A$233:$A$262; $A$266:$A$295; $A$299:$A$328; $A$332:$A$361; $A$365:$A$435; 'Super Investors Buys'!$C$7:$C$56}, R188))</f>
        <v/>
      </c>
      <c r="AA188" s="186"/>
    </row>
    <row r="189">
      <c r="A189" s="149"/>
      <c r="B189" s="128" t="str">
        <f>IFERROR(__xludf.DUMMYFUNCTION("IF(ISBLANK(A189),"""", googlefinance(A189, ""name""))"),"")</f>
        <v/>
      </c>
      <c r="C189" s="175" t="str">
        <f t="shared" si="31"/>
        <v/>
      </c>
      <c r="D189" s="176"/>
      <c r="E189" s="132" t="str">
        <f>IFERROR(__xludf.DUMMYFUNCTION("IF(ISBLANK(A189),"""", googlefinance(A189, ""price""))"),"")</f>
        <v/>
      </c>
      <c r="F189" s="213"/>
      <c r="G189" s="213"/>
      <c r="H189" s="213"/>
      <c r="I189" s="136" t="str">
        <f t="shared" si="32"/>
        <v/>
      </c>
      <c r="J189" s="140" t="str">
        <f>IFERROR(__xludf.DUMMYFUNCTION("IfError(IF(isblank(A189),"""",split(O189, ""()"")))"),"")</f>
        <v/>
      </c>
      <c r="K189" s="136"/>
      <c r="L189" s="135" t="str">
        <f t="shared" si="33"/>
        <v/>
      </c>
      <c r="M189" s="135" t="str">
        <f t="shared" si="34"/>
        <v/>
      </c>
      <c r="N189" s="136" t="str">
        <f t="shared" si="35"/>
        <v/>
      </c>
      <c r="O189" s="178" t="str">
        <f>IFERROR(__xludf.DUMMYFUNCTION("LET(t, A189,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89" s="417"/>
      <c r="S189" s="404" t="str">
        <f t="array" ref="S189">IF(ISBLANK(R189),"",COUNTIF({$A$2:$A$31; $A$35:$A$64; $A$68:$A$97; $A$101:$A$130; A$134:A$163; $A$167:$A$196; $A$200:$A$229; $A$233:$A$262; $A$266:$A$295; $A$299:$A$328; $A$332:$A$361; $A$365:$A$435; 'Super Investors Buys'!$C$7:$C$56}, R189))</f>
        <v/>
      </c>
      <c r="AA189" s="186"/>
    </row>
    <row r="190">
      <c r="A190" s="149"/>
      <c r="B190" s="128" t="str">
        <f>IFERROR(__xludf.DUMMYFUNCTION("IF(ISBLANK(A190),"""", googlefinance(A190, ""name""))"),"")</f>
        <v/>
      </c>
      <c r="C190" s="175" t="str">
        <f t="shared" si="31"/>
        <v/>
      </c>
      <c r="D190" s="176"/>
      <c r="E190" s="132" t="str">
        <f>IFERROR(__xludf.DUMMYFUNCTION("IF(ISBLANK(A190),"""", googlefinance(A190, ""price""))"),"")</f>
        <v/>
      </c>
      <c r="F190" s="213"/>
      <c r="G190" s="213"/>
      <c r="H190" s="213"/>
      <c r="I190" s="136" t="str">
        <f t="shared" si="32"/>
        <v/>
      </c>
      <c r="J190" s="140" t="str">
        <f>IFERROR(__xludf.DUMMYFUNCTION("IfError(IF(isblank(A190),"""",split(O190, ""()"")))"),"")</f>
        <v/>
      </c>
      <c r="K190" s="136"/>
      <c r="L190" s="135" t="str">
        <f t="shared" si="33"/>
        <v/>
      </c>
      <c r="M190" s="135" t="str">
        <f t="shared" si="34"/>
        <v/>
      </c>
      <c r="N190" s="136" t="str">
        <f t="shared" si="35"/>
        <v/>
      </c>
      <c r="O190" s="178" t="str">
        <f>IFERROR(__xludf.DUMMYFUNCTION("LET(t, A190,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90" s="417"/>
      <c r="S190" s="404" t="str">
        <f t="array" ref="S190">IF(ISBLANK(R190),"",COUNTIF({$A$2:$A$31; $A$35:$A$64; $A$68:$A$97; $A$101:$A$130; A$134:A$163; $A$167:$A$196; $A$200:$A$229; $A$233:$A$262; $A$266:$A$295; $A$299:$A$328; $A$332:$A$361; $A$365:$A$435; 'Super Investors Buys'!$C$7:$C$56}, R190))</f>
        <v/>
      </c>
      <c r="AA190" s="186"/>
    </row>
    <row r="191">
      <c r="A191" s="149"/>
      <c r="B191" s="128" t="str">
        <f>IFERROR(__xludf.DUMMYFUNCTION("IF(ISBLANK(A191),"""", googlefinance(A191, ""name""))"),"")</f>
        <v/>
      </c>
      <c r="C191" s="175" t="str">
        <f t="shared" si="31"/>
        <v/>
      </c>
      <c r="D191" s="176"/>
      <c r="E191" s="132" t="str">
        <f>IFERROR(__xludf.DUMMYFUNCTION("IF(ISBLANK(A191),"""", googlefinance(A191, ""price""))"),"")</f>
        <v/>
      </c>
      <c r="F191" s="213"/>
      <c r="G191" s="213"/>
      <c r="H191" s="213"/>
      <c r="I191" s="136" t="str">
        <f t="shared" si="32"/>
        <v/>
      </c>
      <c r="J191" s="140" t="str">
        <f>IFERROR(__xludf.DUMMYFUNCTION("IfError(IF(isblank(A191),"""",split(O191, ""()"")))"),"")</f>
        <v/>
      </c>
      <c r="K191" s="136"/>
      <c r="L191" s="135" t="str">
        <f t="shared" si="33"/>
        <v/>
      </c>
      <c r="M191" s="135" t="str">
        <f t="shared" si="34"/>
        <v/>
      </c>
      <c r="N191" s="136" t="str">
        <f t="shared" si="35"/>
        <v/>
      </c>
      <c r="O191" s="178" t="str">
        <f>IFERROR(__xludf.DUMMYFUNCTION("LET(t, A191,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91" s="417"/>
      <c r="S191" s="404" t="str">
        <f t="array" ref="S191">IF(ISBLANK(R191),"",COUNTIF({$A$2:$A$31; $A$35:$A$64; $A$68:$A$97; $A$101:$A$130; A$134:A$163; $A$167:$A$196; $A$200:$A$229; $A$233:$A$262; $A$266:$A$295; $A$299:$A$328; $A$332:$A$361; $A$365:$A$435; 'Super Investors Buys'!$C$7:$C$56}, R191))</f>
        <v/>
      </c>
      <c r="AA191" s="186"/>
    </row>
    <row r="192">
      <c r="A192" s="149"/>
      <c r="B192" s="128" t="str">
        <f>IFERROR(__xludf.DUMMYFUNCTION("IF(ISBLANK(A192),"""", googlefinance(A192, ""name""))"),"")</f>
        <v/>
      </c>
      <c r="C192" s="175" t="str">
        <f t="shared" si="31"/>
        <v/>
      </c>
      <c r="D192" s="176"/>
      <c r="E192" s="132" t="str">
        <f>IFERROR(__xludf.DUMMYFUNCTION("IF(ISBLANK(A192),"""", googlefinance(A192, ""price""))"),"")</f>
        <v/>
      </c>
      <c r="F192" s="213"/>
      <c r="G192" s="213"/>
      <c r="H192" s="213"/>
      <c r="I192" s="136" t="str">
        <f t="shared" si="32"/>
        <v/>
      </c>
      <c r="J192" s="140" t="str">
        <f>IFERROR(__xludf.DUMMYFUNCTION("IfError(IF(isblank(A192),"""",split(O192, ""()"")))"),"")</f>
        <v/>
      </c>
      <c r="K192" s="136"/>
      <c r="L192" s="135" t="str">
        <f t="shared" si="33"/>
        <v/>
      </c>
      <c r="M192" s="135" t="str">
        <f t="shared" si="34"/>
        <v/>
      </c>
      <c r="N192" s="136" t="str">
        <f t="shared" si="35"/>
        <v/>
      </c>
      <c r="O192" s="178" t="str">
        <f>IFERROR(__xludf.DUMMYFUNCTION("LET(t, A192,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92" s="417"/>
      <c r="S192" s="404" t="str">
        <f t="array" ref="S192">IF(ISBLANK(R192),"",COUNTIF({$A$2:$A$31; $A$35:$A$64; $A$68:$A$97; $A$101:$A$130; A$134:A$163; $A$167:$A$196; $A$200:$A$229; $A$233:$A$262; $A$266:$A$295; $A$299:$A$328; $A$332:$A$361; $A$365:$A$435; 'Super Investors Buys'!$C$7:$C$56}, R192))</f>
        <v/>
      </c>
      <c r="AA192" s="186"/>
    </row>
    <row r="193">
      <c r="A193" s="149"/>
      <c r="B193" s="128" t="str">
        <f>IFERROR(__xludf.DUMMYFUNCTION("IF(ISBLANK(A193),"""", googlefinance(A193, ""name""))"),"")</f>
        <v/>
      </c>
      <c r="C193" s="175" t="str">
        <f t="shared" si="31"/>
        <v/>
      </c>
      <c r="D193" s="176"/>
      <c r="E193" s="132" t="str">
        <f>IFERROR(__xludf.DUMMYFUNCTION("IF(ISBLANK(A193),"""", googlefinance(A193, ""price""))"),"")</f>
        <v/>
      </c>
      <c r="F193" s="213"/>
      <c r="G193" s="213"/>
      <c r="H193" s="213"/>
      <c r="I193" s="136" t="str">
        <f t="shared" si="32"/>
        <v/>
      </c>
      <c r="J193" s="140" t="str">
        <f>IFERROR(__xludf.DUMMYFUNCTION("IfError(IF(isblank(A193),"""",split(O193, ""()"")))"),"")</f>
        <v/>
      </c>
      <c r="K193" s="136"/>
      <c r="L193" s="135" t="str">
        <f t="shared" si="33"/>
        <v/>
      </c>
      <c r="M193" s="135" t="str">
        <f t="shared" si="34"/>
        <v/>
      </c>
      <c r="N193" s="136" t="str">
        <f t="shared" si="35"/>
        <v/>
      </c>
      <c r="O193" s="178" t="str">
        <f>IFERROR(__xludf.DUMMYFUNCTION("LET(t, A193,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93" s="417"/>
      <c r="S193" s="404" t="str">
        <f t="array" ref="S193">IF(ISBLANK(R193),"",COUNTIF({$A$2:$A$31; $A$35:$A$64; $A$68:$A$97; $A$101:$A$130; A$134:A$163; $A$167:$A$196; $A$200:$A$229; $A$233:$A$262; $A$266:$A$295; $A$299:$A$328; $A$332:$A$361; $A$365:$A$435; 'Super Investors Buys'!$C$7:$C$56}, R193))</f>
        <v/>
      </c>
      <c r="AA193" s="186"/>
    </row>
    <row r="194">
      <c r="A194" s="149"/>
      <c r="B194" s="128" t="str">
        <f>IFERROR(__xludf.DUMMYFUNCTION("IF(ISBLANK(A194),"""", googlefinance(A194, ""name""))"),"")</f>
        <v/>
      </c>
      <c r="C194" s="175" t="str">
        <f t="shared" si="31"/>
        <v/>
      </c>
      <c r="D194" s="176"/>
      <c r="E194" s="132" t="str">
        <f>IFERROR(__xludf.DUMMYFUNCTION("IF(ISBLANK(A194),"""", googlefinance(A194, ""price""))"),"")</f>
        <v/>
      </c>
      <c r="F194" s="213"/>
      <c r="G194" s="213"/>
      <c r="H194" s="213"/>
      <c r="I194" s="136" t="str">
        <f t="shared" si="32"/>
        <v/>
      </c>
      <c r="J194" s="140" t="str">
        <f>IFERROR(__xludf.DUMMYFUNCTION("IfError(IF(isblank(A194),"""",split(O194, ""()"")))"),"")</f>
        <v/>
      </c>
      <c r="K194" s="136"/>
      <c r="L194" s="135" t="str">
        <f t="shared" si="33"/>
        <v/>
      </c>
      <c r="M194" s="135" t="str">
        <f t="shared" si="34"/>
        <v/>
      </c>
      <c r="N194" s="136" t="str">
        <f t="shared" si="35"/>
        <v/>
      </c>
      <c r="O194" s="178" t="str">
        <f>IFERROR(__xludf.DUMMYFUNCTION("LET(t, A194,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94" s="417"/>
      <c r="S194" s="404" t="str">
        <f t="array" ref="S194">IF(ISBLANK(R194),"",COUNTIF({$A$2:$A$31; $A$35:$A$64; $A$68:$A$97; $A$101:$A$130; A$134:A$163; $A$167:$A$196; $A$200:$A$229; $A$233:$A$262; $A$266:$A$295; $A$299:$A$328; $A$332:$A$361; $A$365:$A$435; 'Super Investors Buys'!$C$7:$C$56}, R194))</f>
        <v/>
      </c>
      <c r="AA194" s="186"/>
    </row>
    <row r="195">
      <c r="A195" s="149"/>
      <c r="B195" s="128"/>
      <c r="C195" s="175"/>
      <c r="D195" s="176"/>
      <c r="E195" s="132"/>
      <c r="F195" s="213"/>
      <c r="G195" s="213"/>
      <c r="H195" s="213"/>
      <c r="I195" s="136" t="str">
        <f t="shared" si="32"/>
        <v/>
      </c>
      <c r="J195" s="140"/>
      <c r="K195" s="136"/>
      <c r="L195" s="135"/>
      <c r="M195" s="135"/>
      <c r="N195" s="136" t="str">
        <f t="shared" si="35"/>
        <v/>
      </c>
      <c r="O195" s="178" t="str">
        <f>IFERROR(__xludf.DUMMYFUNCTION("LET(t, A195,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95" s="417"/>
      <c r="S195" s="404" t="str">
        <f t="array" ref="S195">IF(ISBLANK(R195),"",COUNTIF({$A$2:$A$31; $A$35:$A$64; $A$68:$A$97; $A$101:$A$130; A$134:A$163; $A$167:$A$196; $A$200:$A$229; $A$233:$A$262; $A$266:$A$295; $A$299:$A$328; $A$332:$A$361; $A$365:$A$435; 'Super Investors Buys'!$C$7:$C$56}, R195))</f>
        <v/>
      </c>
      <c r="AA195" s="186"/>
    </row>
    <row r="196">
      <c r="A196" s="149"/>
      <c r="B196" s="128"/>
      <c r="C196" s="175"/>
      <c r="D196" s="176"/>
      <c r="E196" s="132"/>
      <c r="F196" s="213"/>
      <c r="G196" s="213"/>
      <c r="H196" s="213"/>
      <c r="I196" s="136" t="str">
        <f t="shared" si="32"/>
        <v/>
      </c>
      <c r="J196" s="140"/>
      <c r="K196" s="136"/>
      <c r="L196" s="135"/>
      <c r="M196" s="135"/>
      <c r="N196" s="136" t="str">
        <f t="shared" si="35"/>
        <v/>
      </c>
      <c r="O196" s="178" t="str">
        <f>IFERROR(__xludf.DUMMYFUNCTION("LET(t, A196,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196" s="417"/>
      <c r="S196" s="404" t="str">
        <f t="array" ref="S196">IF(ISBLANK(R196),"",COUNTIF({$A$2:$A$31; $A$35:$A$64; $A$68:$A$97; $A$101:$A$130; A$134:A$163; $A$167:$A$196; $A$200:$A$229; $A$233:$A$262; $A$266:$A$295; $A$299:$A$328; $A$332:$A$361; $A$365:$A$435; 'Super Investors Buys'!$C$7:$C$56}, R196))</f>
        <v/>
      </c>
      <c r="AA196" s="186"/>
    </row>
    <row r="197">
      <c r="A197" s="179">
        <f>COUNTA(A167:A196)</f>
        <v>17</v>
      </c>
      <c r="B197" s="180" t="s">
        <v>341</v>
      </c>
      <c r="C197" s="413">
        <v>44927.0</v>
      </c>
      <c r="D197" s="414" t="s">
        <v>398</v>
      </c>
      <c r="E197" s="181"/>
      <c r="F197" s="179"/>
      <c r="G197" s="179"/>
      <c r="H197" s="179"/>
      <c r="I197" s="182">
        <f>SUM(I167:I196)</f>
        <v>1</v>
      </c>
      <c r="J197" s="181"/>
      <c r="K197" s="182">
        <f>M197/L197</f>
        <v>0.0143451955</v>
      </c>
      <c r="L197" s="181">
        <f t="shared" ref="L197:N197" si="36">SUM(L167:L196)</f>
        <v>511135.1311</v>
      </c>
      <c r="M197" s="181">
        <f t="shared" si="36"/>
        <v>7332.33338</v>
      </c>
      <c r="N197" s="182">
        <f t="shared" si="36"/>
        <v>1</v>
      </c>
      <c r="O197" s="184"/>
      <c r="Q197" s="417"/>
      <c r="S197" s="404" t="str">
        <f t="array" ref="S197">IF(ISBLANK(R197),"",COUNTIF({$A$2:$A$31; $A$35:$A$64; $A$68:$A$97; $A$101:$A$130; A$134:A$163; $A$167:$A$196; $A$200:$A$229; $A$233:$A$262; $A$266:$A$295; $A$299:$A$328; $A$332:$A$361; $A$365:$A$435; 'Super Investors Buys'!$C$7:$C$56}, R197))</f>
        <v/>
      </c>
      <c r="AA197" s="186"/>
    </row>
    <row r="198">
      <c r="A198" s="185"/>
      <c r="B198" s="67"/>
      <c r="C198" s="67"/>
      <c r="D198" s="67"/>
      <c r="E198" s="186"/>
      <c r="F198" s="67"/>
      <c r="G198" s="67"/>
      <c r="H198" s="67"/>
      <c r="I198" s="187"/>
      <c r="J198" s="186"/>
      <c r="K198" s="187"/>
      <c r="L198" s="186"/>
      <c r="M198" s="67"/>
      <c r="N198" s="67"/>
      <c r="Q198" s="417"/>
      <c r="S198" s="421" t="str">
        <f t="array" ref="S198">IF(ISBLANK(R198),"",COUNTIF({$A$2:$A$31; $A$35:$A$64; $A$68:$A$97; $A$101:$A$130; A$134:A$163; $A$167:$A$196; $A$200:$A$229; $A$233:$A$262; $A$266:$A$295; $A$299:$A$328; $A$365:$A$435; 'Super Investors Buys'!$C$7:$C$56}, R198))</f>
        <v/>
      </c>
      <c r="AA198" s="186"/>
    </row>
    <row r="199">
      <c r="A199" s="116" t="s">
        <v>399</v>
      </c>
      <c r="B199" s="117" t="s">
        <v>72</v>
      </c>
      <c r="C199" s="117" t="s">
        <v>73</v>
      </c>
      <c r="D199" s="117" t="s">
        <v>74</v>
      </c>
      <c r="E199" s="118" t="s">
        <v>76</v>
      </c>
      <c r="F199" s="117" t="s">
        <v>85</v>
      </c>
      <c r="G199" s="117" t="s">
        <v>86</v>
      </c>
      <c r="H199" s="117" t="s">
        <v>87</v>
      </c>
      <c r="I199" s="121" t="s">
        <v>88</v>
      </c>
      <c r="J199" s="118" t="s">
        <v>89</v>
      </c>
      <c r="K199" s="121" t="s">
        <v>12</v>
      </c>
      <c r="L199" s="118" t="s">
        <v>9</v>
      </c>
      <c r="M199" s="117" t="s">
        <v>91</v>
      </c>
      <c r="N199" s="117" t="s">
        <v>92</v>
      </c>
      <c r="O199" s="118" t="s">
        <v>99</v>
      </c>
      <c r="Q199" s="417"/>
      <c r="S199" s="421" t="str">
        <f t="array" ref="S199">IF(ISBLANK(R199),"",COUNTIF({$A$2:$A$31; $A$35:$A$64; $A$68:$A$97; $A$101:$A$130; A$134:A$163; $A$167:$A$196; $A$200:$A$229; $A$233:$A$262; $A$266:$A$295; $A$299:$A$328; $A$365:$A$435; 'Super Investors Buys'!$C$7:$C$56}, R199))</f>
        <v/>
      </c>
      <c r="AA199" s="186"/>
    </row>
    <row r="200">
      <c r="A200" s="149" t="s">
        <v>308</v>
      </c>
      <c r="B200" s="128" t="str">
        <f>IFERROR(__xludf.DUMMYFUNCTION("IF(ISBLANK(A200),"""", googlefinance(A200, ""name""))"),"Visa Inc")</f>
        <v>Visa Inc</v>
      </c>
      <c r="C200" s="129" t="str">
        <f t="shared" ref="C200:C213" si="37">IF(ISBLANK(A200),"", HYPERLINK("https://seekingalpha.com/symbol/" &amp; A200,"View"))</f>
        <v>View</v>
      </c>
      <c r="D200" s="176">
        <v>156.06</v>
      </c>
      <c r="E200" s="132">
        <f>IFERROR(__xludf.DUMMYFUNCTION("IF(ISBLANK(A200),"""", googlefinance(A200, ""price""))"),319.8)</f>
        <v>319.8</v>
      </c>
      <c r="F200" s="213" t="s">
        <v>101</v>
      </c>
      <c r="G200" s="213" t="s">
        <v>134</v>
      </c>
      <c r="H200" s="213" t="s">
        <v>103</v>
      </c>
      <c r="I200" s="136">
        <f t="shared" ref="I200:I229" si="38">if(isblank(A200),"",L200/$L$230)</f>
        <v>0.2252173131</v>
      </c>
      <c r="J200" s="140">
        <f>IFERROR(__xludf.DUMMYFUNCTION("IfError(IF(isblank(A200),"""",split(O200, ""()"")))"),2.52)</f>
        <v>2.52</v>
      </c>
      <c r="K200" s="136">
        <f>IFERROR(__xludf.DUMMYFUNCTION("""COMPUTED_VALUE"""),0.0079)</f>
        <v>0.0079</v>
      </c>
      <c r="L200" s="135">
        <f t="shared" ref="L200:L227" si="39">IF(ISBLANK(A200),"",D200*E200)</f>
        <v>49907.988</v>
      </c>
      <c r="M200" s="135">
        <f t="shared" ref="M200:M227" si="40">IFERROR(IF(ISBLANK(A200),"",D200*J200),"")</f>
        <v>393.2712</v>
      </c>
      <c r="N200" s="136">
        <f t="shared" ref="N200:N229" si="41">if(isblank(A200),"",M200/$M$230)</f>
        <v>0.08903931363</v>
      </c>
      <c r="O200" s="178" t="str">
        <f>IFERROR(__xludf.DUMMYFUNCTION("LET(t, A200,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"),"2.52 (0.79%)")</f>
        <v>2.52 (0.79%)</v>
      </c>
      <c r="Q200" s="417"/>
      <c r="S200" s="421" t="str">
        <f t="array" ref="S200">IF(ISBLANK(R200),"",COUNTIF({$A$2:$A$31; $A$35:$A$64; $A$68:$A$97; $A$101:$A$130; A$134:A$163; $A$167:$A$196; $A$200:$A$229; $A$233:$A$262; $A$266:$A$295; $A$299:$A$328; $A$365:$A$435; 'Super Investors Buys'!$C$7:$C$56}, R200))</f>
        <v/>
      </c>
      <c r="AA200" s="186"/>
    </row>
    <row r="201">
      <c r="A201" s="149" t="s">
        <v>104</v>
      </c>
      <c r="B201" s="128" t="str">
        <f>IFERROR(__xludf.DUMMYFUNCTION("IF(ISBLANK(A201),"""", googlefinance(A201, ""name""))"),"Microsoft Corp")</f>
        <v>Microsoft Corp</v>
      </c>
      <c r="C201" s="129" t="str">
        <f t="shared" si="37"/>
        <v>View</v>
      </c>
      <c r="D201" s="176">
        <v>106.2</v>
      </c>
      <c r="E201" s="132">
        <f>IFERROR(__xludf.DUMMYFUNCTION("IF(ISBLANK(A201),"""", googlefinance(A201, ""price""))"),410.68)</f>
        <v>410.68</v>
      </c>
      <c r="F201" s="213" t="s">
        <v>101</v>
      </c>
      <c r="G201" s="213" t="s">
        <v>134</v>
      </c>
      <c r="H201" s="213" t="s">
        <v>103</v>
      </c>
      <c r="I201" s="136">
        <f t="shared" si="38"/>
        <v>0.1968157189</v>
      </c>
      <c r="J201" s="140" t="str">
        <f>IFERROR(__xludf.DUMMYFUNCTION("IfError(IF(isblank(A201),"""",split(O201, ""()"")))"),"")</f>
        <v/>
      </c>
      <c r="K201" s="136"/>
      <c r="L201" s="135">
        <f t="shared" si="39"/>
        <v>43614.216</v>
      </c>
      <c r="M201" s="135">
        <f t="shared" si="40"/>
        <v>0</v>
      </c>
      <c r="N201" s="136">
        <f t="shared" si="41"/>
        <v>0</v>
      </c>
      <c r="O201" s="178" t="str">
        <f>IFERROR(__xludf.DUMMYFUNCTION("LET(t, A201,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01" s="417"/>
      <c r="S201" s="421"/>
      <c r="AA201" s="186"/>
    </row>
    <row r="202">
      <c r="A202" s="149" t="s">
        <v>311</v>
      </c>
      <c r="B202" s="128" t="str">
        <f>IFERROR(__xludf.DUMMYFUNCTION("IF(ISBLANK(A202),"""", googlefinance(A202, ""name""))"),"Altria Group Inc")</f>
        <v>Altria Group Inc</v>
      </c>
      <c r="C202" s="129" t="str">
        <f t="shared" si="37"/>
        <v>View</v>
      </c>
      <c r="D202" s="176">
        <v>559.0</v>
      </c>
      <c r="E202" s="132">
        <f>IFERROR(__xludf.DUMMYFUNCTION("IF(ISBLANK(A202),"""", googlefinance(A202, ""price""))"),66.98)</f>
        <v>66.98</v>
      </c>
      <c r="F202" s="213" t="s">
        <v>101</v>
      </c>
      <c r="G202" s="213" t="s">
        <v>134</v>
      </c>
      <c r="H202" s="213" t="s">
        <v>113</v>
      </c>
      <c r="I202" s="136">
        <f t="shared" si="38"/>
        <v>0.1689618523</v>
      </c>
      <c r="J202" s="140">
        <f>IFERROR(__xludf.DUMMYFUNCTION("IfError(IF(isblank(A202),"""",split(O202, ""()"")))"),4.16)</f>
        <v>4.16</v>
      </c>
      <c r="K202" s="136">
        <f>IFERROR(__xludf.DUMMYFUNCTION("""COMPUTED_VALUE"""),0.0621)</f>
        <v>0.0621</v>
      </c>
      <c r="L202" s="135">
        <f t="shared" si="39"/>
        <v>37441.82</v>
      </c>
      <c r="M202" s="135">
        <f t="shared" si="40"/>
        <v>2325.44</v>
      </c>
      <c r="N202" s="136">
        <f t="shared" si="41"/>
        <v>0.5264956638</v>
      </c>
      <c r="O202" s="178" t="str">
        <f>IFERROR(__xludf.DUMMYFUNCTION("LET(t, A202,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"),"4.16 (6.21%)")</f>
        <v>4.16 (6.21%)</v>
      </c>
      <c r="Q202" s="417"/>
      <c r="S202" s="421"/>
      <c r="AA202" s="186"/>
    </row>
    <row r="203">
      <c r="A203" s="149" t="s">
        <v>395</v>
      </c>
      <c r="B203" s="128" t="str">
        <f>IFERROR(__xludf.DUMMYFUNCTION("IF(ISBLANK(A203),"""", googlefinance(A203, ""name""))"),"Exxon Mobil Corp")</f>
        <v>Exxon Mobil Corp</v>
      </c>
      <c r="C203" s="129" t="str">
        <f t="shared" si="37"/>
        <v>View</v>
      </c>
      <c r="D203" s="176">
        <v>167.76</v>
      </c>
      <c r="E203" s="132">
        <f>IFERROR(__xludf.DUMMYFUNCTION("IF(ISBLANK(A203),"""", googlefinance(A203, ""price""))"),150.76)</f>
        <v>150.76</v>
      </c>
      <c r="F203" s="213" t="s">
        <v>101</v>
      </c>
      <c r="G203" s="213" t="s">
        <v>134</v>
      </c>
      <c r="H203" s="213" t="s">
        <v>113</v>
      </c>
      <c r="I203" s="136">
        <f t="shared" si="38"/>
        <v>0.1141316924</v>
      </c>
      <c r="J203" s="140">
        <f>IFERROR(__xludf.DUMMYFUNCTION("IfError(IF(isblank(A203),"""",split(O203, ""()"")))"),4.04)</f>
        <v>4.04</v>
      </c>
      <c r="K203" s="136">
        <f>IFERROR(__xludf.DUMMYFUNCTION("""COMPUTED_VALUE"""),0.0268)</f>
        <v>0.0268</v>
      </c>
      <c r="L203" s="135">
        <f t="shared" si="39"/>
        <v>25291.4976</v>
      </c>
      <c r="M203" s="135">
        <f t="shared" si="40"/>
        <v>677.7504</v>
      </c>
      <c r="N203" s="136">
        <f t="shared" si="41"/>
        <v>0.1534473677</v>
      </c>
      <c r="O203" s="178" t="str">
        <f>IFERROR(__xludf.DUMMYFUNCTION("LET(t, A203,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"),"4.04 (2.68%)")</f>
        <v>4.04 (2.68%)</v>
      </c>
      <c r="Q203" s="417"/>
      <c r="S203" s="421"/>
      <c r="AA203" s="186"/>
    </row>
    <row r="204">
      <c r="A204" s="149" t="s">
        <v>100</v>
      </c>
      <c r="B204" s="128" t="str">
        <f>IFERROR(__xludf.DUMMYFUNCTION("IF(ISBLANK(A204),"""", googlefinance(A204, ""name""))"),"Alphabet Inc Class A")</f>
        <v>Alphabet Inc Class A</v>
      </c>
      <c r="C204" s="129" t="str">
        <f t="shared" si="37"/>
        <v>View</v>
      </c>
      <c r="D204" s="176">
        <v>73.0</v>
      </c>
      <c r="E204" s="132">
        <f>IFERROR(__xludf.DUMMYFUNCTION("IF(ISBLANK(A204),"""", googlefinance(A204, ""price""))"),300.88)</f>
        <v>300.88</v>
      </c>
      <c r="F204" s="213" t="s">
        <v>101</v>
      </c>
      <c r="G204" s="213" t="s">
        <v>134</v>
      </c>
      <c r="H204" s="213" t="s">
        <v>103</v>
      </c>
      <c r="I204" s="136">
        <f t="shared" si="38"/>
        <v>0.09911694129</v>
      </c>
      <c r="J204" s="140">
        <f>IFERROR(__xludf.DUMMYFUNCTION("IfError(IF(isblank(A204),"""",split(O204, ""()"")))"),0.83)</f>
        <v>0.83</v>
      </c>
      <c r="K204" s="136">
        <f>IFERROR(__xludf.DUMMYFUNCTION("""COMPUTED_VALUE"""),0.0028)</f>
        <v>0.0028</v>
      </c>
      <c r="L204" s="135">
        <f t="shared" si="39"/>
        <v>21964.24</v>
      </c>
      <c r="M204" s="135">
        <f t="shared" si="40"/>
        <v>60.59</v>
      </c>
      <c r="N204" s="136">
        <f t="shared" si="41"/>
        <v>0.01371799413</v>
      </c>
      <c r="O204" s="178" t="str">
        <f>IFERROR(__xludf.DUMMYFUNCTION("LET(t, A204,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"),"0.83 (0.28%)")</f>
        <v>0.83 (0.28%)</v>
      </c>
      <c r="Q204" s="417"/>
      <c r="S204" s="421" t="str">
        <f t="array" ref="S204">IF(ISBLANK(R204),"",COUNTIF({$A$2:$A$31; $A$35:$A$64; $A$68:$A$97; $A$101:$A$130; A$134:A$163; $A$167:$A$196; $A$365:$A$435; 'Super Investors Buys'!$C$7:$C$56}, R204))</f>
        <v/>
      </c>
      <c r="AA204" s="186"/>
    </row>
    <row r="205">
      <c r="A205" s="149" t="s">
        <v>306</v>
      </c>
      <c r="B205" s="128" t="str">
        <f>IFERROR(__xludf.DUMMYFUNCTION("IF(ISBLANK(A205),"""", googlefinance(A205, ""name""))"),"Apple Inc")</f>
        <v>Apple Inc</v>
      </c>
      <c r="C205" s="129" t="str">
        <f t="shared" si="37"/>
        <v>View</v>
      </c>
      <c r="D205" s="176">
        <v>51.0</v>
      </c>
      <c r="E205" s="132">
        <f>IFERROR(__xludf.DUMMYFUNCTION("IF(ISBLANK(A205),"""", googlefinance(A205, ""price""))"),260.29)</f>
        <v>260.29</v>
      </c>
      <c r="F205" s="213" t="s">
        <v>101</v>
      </c>
      <c r="G205" s="213" t="s">
        <v>134</v>
      </c>
      <c r="H205" s="213" t="s">
        <v>103</v>
      </c>
      <c r="I205" s="136">
        <f t="shared" si="38"/>
        <v>0.05990448934</v>
      </c>
      <c r="J205" s="140">
        <f>IFERROR(__xludf.DUMMYFUNCTION("IfError(IF(isblank(A205),"""",split(O205, ""()"")))"),1.04)</f>
        <v>1.04</v>
      </c>
      <c r="K205" s="136">
        <f>IFERROR(__xludf.DUMMYFUNCTION("""COMPUTED_VALUE"""),0.004)</f>
        <v>0.004</v>
      </c>
      <c r="L205" s="135">
        <f t="shared" si="39"/>
        <v>13274.79</v>
      </c>
      <c r="M205" s="135">
        <f t="shared" si="40"/>
        <v>53.04</v>
      </c>
      <c r="N205" s="136">
        <f t="shared" si="41"/>
        <v>0.01200862203</v>
      </c>
      <c r="O205" s="178" t="str">
        <f>IFERROR(__xludf.DUMMYFUNCTION("LET(t, A205,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"),"1.04 (0.40%)")</f>
        <v>1.04 (0.40%)</v>
      </c>
      <c r="Q205" s="417"/>
      <c r="S205" s="421" t="str">
        <f t="array" ref="S205">IF(ISBLANK(R205),"",COUNTIF({$A$2:$A$31; $A$35:$A$64; $A$68:$A$97; $A$101:$A$130; A$134:A$163; 'Super Investors Buys'!$C$7:$C$56}, R205))</f>
        <v/>
      </c>
      <c r="AA205" s="186"/>
    </row>
    <row r="206">
      <c r="A206" s="149" t="s">
        <v>400</v>
      </c>
      <c r="B206" s="128" t="str">
        <f>IFERROR(__xludf.DUMMYFUNCTION("IF(ISBLANK(A206),"""", googlefinance(A206, ""name""))"),"Salesforce Inc")</f>
        <v>Salesforce Inc</v>
      </c>
      <c r="C206" s="129" t="str">
        <f t="shared" si="37"/>
        <v>View</v>
      </c>
      <c r="D206" s="176">
        <v>38.0</v>
      </c>
      <c r="E206" s="132">
        <f>IFERROR(__xludf.DUMMYFUNCTION("IF(ISBLANK(A206),"""", googlefinance(A206, ""price""))"),201.39)</f>
        <v>201.39</v>
      </c>
      <c r="F206" s="213" t="s">
        <v>101</v>
      </c>
      <c r="G206" s="213" t="s">
        <v>134</v>
      </c>
      <c r="H206" s="213" t="s">
        <v>103</v>
      </c>
      <c r="I206" s="136">
        <f t="shared" si="38"/>
        <v>0.03453450293</v>
      </c>
      <c r="J206" s="140">
        <f>IFERROR(__xludf.DUMMYFUNCTION("IfError(IF(isblank(A206),"""",split(O206, ""()"")))"),1.66)</f>
        <v>1.66</v>
      </c>
      <c r="K206" s="136">
        <f>IFERROR(__xludf.DUMMYFUNCTION("""COMPUTED_VALUE"""),0.0083)</f>
        <v>0.0083</v>
      </c>
      <c r="L206" s="135">
        <f t="shared" si="39"/>
        <v>7652.82</v>
      </c>
      <c r="M206" s="135">
        <f t="shared" si="40"/>
        <v>63.08</v>
      </c>
      <c r="N206" s="136">
        <f t="shared" si="41"/>
        <v>0.01428174731</v>
      </c>
      <c r="O206" s="178" t="str">
        <f>IFERROR(__xludf.DUMMYFUNCTION("LET(t, A206,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"),"1.66 (0.83%)")</f>
        <v>1.66 (0.83%)</v>
      </c>
      <c r="Q206" s="417"/>
      <c r="S206" s="417"/>
      <c r="AA206" s="186"/>
    </row>
    <row r="207">
      <c r="A207" s="149" t="s">
        <v>105</v>
      </c>
      <c r="B207" s="128" t="str">
        <f>IFERROR(__xludf.DUMMYFUNCTION("IF(ISBLANK(A207),"""", googlefinance(A207, ""name""))"),"Walt Disney Co")</f>
        <v>Walt Disney Co</v>
      </c>
      <c r="C207" s="129" t="str">
        <f t="shared" si="37"/>
        <v>View</v>
      </c>
      <c r="D207" s="176">
        <v>75.17</v>
      </c>
      <c r="E207" s="132">
        <f>IFERROR(__xludf.DUMMYFUNCTION("IF(ISBLANK(A207),"""", googlefinance(A207, ""price""))"),102.41)</f>
        <v>102.41</v>
      </c>
      <c r="F207" s="213" t="s">
        <v>101</v>
      </c>
      <c r="G207" s="213" t="s">
        <v>134</v>
      </c>
      <c r="H207" s="213" t="s">
        <v>103</v>
      </c>
      <c r="I207" s="136">
        <f t="shared" si="38"/>
        <v>0.03473910515</v>
      </c>
      <c r="J207" s="140">
        <f>IFERROR(__xludf.DUMMYFUNCTION("IfError(IF(isblank(A207),"""",split(O207, ""()"")))"),1.25)</f>
        <v>1.25</v>
      </c>
      <c r="K207" s="136">
        <f>IFERROR(__xludf.DUMMYFUNCTION("""COMPUTED_VALUE"""),0.0122)</f>
        <v>0.0122</v>
      </c>
      <c r="L207" s="135">
        <f t="shared" si="39"/>
        <v>7698.1597</v>
      </c>
      <c r="M207" s="135">
        <f t="shared" si="40"/>
        <v>93.9625</v>
      </c>
      <c r="N207" s="136">
        <f t="shared" si="41"/>
        <v>0.02127375843</v>
      </c>
      <c r="O207" s="178" t="str">
        <f>IFERROR(__xludf.DUMMYFUNCTION("LET(t, A207,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"),"1.25 (1.22%)")</f>
        <v>1.25 (1.22%)</v>
      </c>
      <c r="Q207" s="417"/>
      <c r="S207" s="417"/>
      <c r="AA207" s="186"/>
    </row>
    <row r="208">
      <c r="A208" s="149" t="s">
        <v>383</v>
      </c>
      <c r="B208" s="128" t="str">
        <f>IFERROR(__xludf.DUMMYFUNCTION("IF(ISBLANK(A208),"""", googlefinance(A208, ""name""))"),"T Rowe Price Group Inc")</f>
        <v>T Rowe Price Group Inc</v>
      </c>
      <c r="C208" s="129" t="str">
        <f t="shared" si="37"/>
        <v>View</v>
      </c>
      <c r="D208" s="176">
        <v>75.8</v>
      </c>
      <c r="E208" s="132">
        <f>IFERROR(__xludf.DUMMYFUNCTION("IF(ISBLANK(A208),"""", googlefinance(A208, ""price""))"),92.04)</f>
        <v>92.04</v>
      </c>
      <c r="F208" s="213" t="s">
        <v>101</v>
      </c>
      <c r="G208" s="213" t="s">
        <v>134</v>
      </c>
      <c r="H208" s="213" t="s">
        <v>113</v>
      </c>
      <c r="I208" s="136">
        <f t="shared" si="38"/>
        <v>0.03148310273</v>
      </c>
      <c r="J208" s="140">
        <f>IFERROR(__xludf.DUMMYFUNCTION("IfError(IF(isblank(A208),"""",split(O208, ""()"")))"),5.08)</f>
        <v>5.08</v>
      </c>
      <c r="K208" s="136">
        <f>IFERROR(__xludf.DUMMYFUNCTION("""COMPUTED_VALUE"""),0.0552)</f>
        <v>0.0552</v>
      </c>
      <c r="L208" s="135">
        <f t="shared" si="39"/>
        <v>6976.632</v>
      </c>
      <c r="M208" s="135">
        <f t="shared" si="40"/>
        <v>385.064</v>
      </c>
      <c r="N208" s="136">
        <f t="shared" si="41"/>
        <v>0.08718114692</v>
      </c>
      <c r="O208" s="178" t="str">
        <f>IFERROR(__xludf.DUMMYFUNCTION("LET(t, A208,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"),"5.08 (5.52%)")</f>
        <v>5.08 (5.52%)</v>
      </c>
      <c r="Q208" s="417"/>
      <c r="S208" s="417"/>
      <c r="AA208" s="186"/>
    </row>
    <row r="209">
      <c r="A209" s="149" t="s">
        <v>366</v>
      </c>
      <c r="B209" s="128" t="str">
        <f>IFERROR(__xludf.DUMMYFUNCTION("IF(ISBLANK(A209),"""", googlefinance(A209, ""name""))"),"Enterprise Products Partners L.P")</f>
        <v>Enterprise Products Partners L.P</v>
      </c>
      <c r="C209" s="129" t="str">
        <f t="shared" si="37"/>
        <v>View</v>
      </c>
      <c r="D209" s="176">
        <v>139.58</v>
      </c>
      <c r="E209" s="132">
        <f>IFERROR(__xludf.DUMMYFUNCTION("IF(ISBLANK(A209),"""", googlefinance(A209, ""price""))"),37.29)</f>
        <v>37.29</v>
      </c>
      <c r="F209" s="213" t="s">
        <v>101</v>
      </c>
      <c r="G209" s="213" t="s">
        <v>134</v>
      </c>
      <c r="H209" s="213" t="s">
        <v>113</v>
      </c>
      <c r="I209" s="136">
        <f t="shared" si="38"/>
        <v>0.0234880676</v>
      </c>
      <c r="J209" s="140">
        <f>IFERROR(__xludf.DUMMYFUNCTION("IfError(IF(isblank(A209),"""",split(O209, ""()"")))"),2.18)</f>
        <v>2.18</v>
      </c>
      <c r="K209" s="136">
        <f>IFERROR(__xludf.DUMMYFUNCTION("""COMPUTED_VALUE"""),0.0583)</f>
        <v>0.0583</v>
      </c>
      <c r="L209" s="135">
        <f t="shared" si="39"/>
        <v>5204.9382</v>
      </c>
      <c r="M209" s="135">
        <f t="shared" si="40"/>
        <v>304.2844</v>
      </c>
      <c r="N209" s="136">
        <f t="shared" si="41"/>
        <v>0.06889208802</v>
      </c>
      <c r="O209" s="178" t="str">
        <f>IFERROR(__xludf.DUMMYFUNCTION("LET(t, A209,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"),"2.18 (5.83%)")</f>
        <v>2.18 (5.83%)</v>
      </c>
      <c r="Q209" s="417"/>
      <c r="S209" s="417"/>
      <c r="AA209" s="186"/>
    </row>
    <row r="210">
      <c r="A210" s="149" t="s">
        <v>401</v>
      </c>
      <c r="B210" s="128" t="str">
        <f>IFERROR(__xludf.DUMMYFUNCTION("IF(ISBLANK(A210),"""", googlefinance(A210, ""name""))"),"Automatic Data Processing Inc")</f>
        <v>Automatic Data Processing Inc</v>
      </c>
      <c r="C210" s="129" t="str">
        <f t="shared" si="37"/>
        <v>View</v>
      </c>
      <c r="D210" s="176">
        <v>9.2</v>
      </c>
      <c r="E210" s="132">
        <f>IFERROR(__xludf.DUMMYFUNCTION("IF(ISBLANK(A210),"""", googlefinance(A210, ""price""))"),222.7)</f>
        <v>222.7</v>
      </c>
      <c r="F210" s="213" t="s">
        <v>101</v>
      </c>
      <c r="G210" s="213" t="s">
        <v>134</v>
      </c>
      <c r="H210" s="213" t="s">
        <v>103</v>
      </c>
      <c r="I210" s="136">
        <f t="shared" si="38"/>
        <v>0.009245699099</v>
      </c>
      <c r="J210" s="140">
        <f>IFERROR(__xludf.DUMMYFUNCTION("IfError(IF(isblank(A210),"""",split(O210, ""()"")))"),6.32)</f>
        <v>6.32</v>
      </c>
      <c r="K210" s="136">
        <f>IFERROR(__xludf.DUMMYFUNCTION("""COMPUTED_VALUE"""),0.0284)</f>
        <v>0.0284</v>
      </c>
      <c r="L210" s="135">
        <f t="shared" si="39"/>
        <v>2048.84</v>
      </c>
      <c r="M210" s="135">
        <f t="shared" si="40"/>
        <v>58.144</v>
      </c>
      <c r="N210" s="136">
        <f t="shared" si="41"/>
        <v>0.01316420285</v>
      </c>
      <c r="O210" s="178" t="str">
        <f>IFERROR(__xludf.DUMMYFUNCTION("LET(t, A210,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"),"6.32 (2.84%)")</f>
        <v>6.32 (2.84%)</v>
      </c>
      <c r="Q210" s="417"/>
      <c r="S210" s="417"/>
      <c r="AA210" s="186"/>
    </row>
    <row r="211">
      <c r="A211" s="149" t="s">
        <v>402</v>
      </c>
      <c r="B211" s="128" t="str">
        <f>IFERROR(__xludf.DUMMYFUNCTION("IF(ISBLANK(A211),"""", googlefinance(A211, ""name""))"),"Texas Pacific Land Corp")</f>
        <v>Texas Pacific Land Corp</v>
      </c>
      <c r="C211" s="129" t="str">
        <f t="shared" si="37"/>
        <v>View</v>
      </c>
      <c r="D211" s="176">
        <v>1.0</v>
      </c>
      <c r="E211" s="132">
        <f>IFERROR(__xludf.DUMMYFUNCTION("IF(ISBLANK(A211),"""", googlefinance(A211, ""price""))"),523.31)</f>
        <v>523.31</v>
      </c>
      <c r="F211" s="213" t="s">
        <v>101</v>
      </c>
      <c r="G211" s="213" t="s">
        <v>134</v>
      </c>
      <c r="H211" s="213" t="s">
        <v>103</v>
      </c>
      <c r="I211" s="136">
        <f t="shared" si="38"/>
        <v>0.002361515197</v>
      </c>
      <c r="J211" s="140">
        <f>IFERROR(__xludf.DUMMYFUNCTION("IfError(IF(isblank(A211),"""",split(O211, ""()"")))"),2.2)</f>
        <v>2.2</v>
      </c>
      <c r="K211" s="136">
        <f>IFERROR(__xludf.DUMMYFUNCTION("""COMPUTED_VALUE"""),0.0042)</f>
        <v>0.0042</v>
      </c>
      <c r="L211" s="135">
        <f t="shared" si="39"/>
        <v>523.31</v>
      </c>
      <c r="M211" s="135">
        <f t="shared" si="40"/>
        <v>2.2</v>
      </c>
      <c r="N211" s="136">
        <f t="shared" si="41"/>
        <v>0.0004980951821</v>
      </c>
      <c r="O211" s="178" t="str">
        <f>IFERROR(__xludf.DUMMYFUNCTION("LET(t, A211,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"),"2.20 (0.42%)")</f>
        <v>2.20 (0.42%)</v>
      </c>
      <c r="Q211" s="417"/>
      <c r="S211" s="417"/>
      <c r="AA211" s="186"/>
    </row>
    <row r="212">
      <c r="A212" s="149"/>
      <c r="B212" s="128" t="str">
        <f>IFERROR(__xludf.DUMMYFUNCTION("IF(ISBLANK(A212),"""", googlefinance(A212, ""name""))"),"")</f>
        <v/>
      </c>
      <c r="C212" s="175" t="str">
        <f t="shared" si="37"/>
        <v/>
      </c>
      <c r="D212" s="176"/>
      <c r="E212" s="132" t="str">
        <f>IFERROR(__xludf.DUMMYFUNCTION("IF(ISBLANK(A212),"""", googlefinance(A212, ""price""))"),"")</f>
        <v/>
      </c>
      <c r="F212" s="213" t="s">
        <v>133</v>
      </c>
      <c r="G212" s="213" t="s">
        <v>134</v>
      </c>
      <c r="H212" s="213" t="s">
        <v>134</v>
      </c>
      <c r="I212" s="136" t="str">
        <f t="shared" si="38"/>
        <v/>
      </c>
      <c r="J212" s="140" t="str">
        <f>IFERROR(__xludf.DUMMYFUNCTION("IfError(IF(isblank(A212),"""",split(O212, ""()"")))"),"")</f>
        <v/>
      </c>
      <c r="K212" s="136"/>
      <c r="L212" s="135" t="str">
        <f t="shared" si="39"/>
        <v/>
      </c>
      <c r="M212" s="135" t="str">
        <f t="shared" si="40"/>
        <v/>
      </c>
      <c r="N212" s="136" t="str">
        <f t="shared" si="41"/>
        <v/>
      </c>
      <c r="O212" s="178" t="str">
        <f>IFERROR(__xludf.DUMMYFUNCTION("LET(t, A212,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12" s="417"/>
      <c r="S212" s="417"/>
      <c r="AA212" s="186"/>
    </row>
    <row r="213">
      <c r="A213" s="149"/>
      <c r="B213" s="128" t="str">
        <f>IFERROR(__xludf.DUMMYFUNCTION("IF(ISBLANK(A213),"""", googlefinance(A213, ""name""))"),"")</f>
        <v/>
      </c>
      <c r="C213" s="175" t="str">
        <f t="shared" si="37"/>
        <v/>
      </c>
      <c r="D213" s="176"/>
      <c r="E213" s="132" t="str">
        <f>IFERROR(__xludf.DUMMYFUNCTION("IF(ISBLANK(A213),"""", googlefinance(A213, ""price""))"),"")</f>
        <v/>
      </c>
      <c r="F213" s="213" t="s">
        <v>133</v>
      </c>
      <c r="G213" s="213" t="s">
        <v>134</v>
      </c>
      <c r="H213" s="213" t="s">
        <v>134</v>
      </c>
      <c r="I213" s="136" t="str">
        <f t="shared" si="38"/>
        <v/>
      </c>
      <c r="J213" s="140" t="str">
        <f>IFERROR(__xludf.DUMMYFUNCTION("IfError(IF(isblank(A213),"""",split(O213, ""()"")))"),"")</f>
        <v/>
      </c>
      <c r="K213" s="136"/>
      <c r="L213" s="135" t="str">
        <f t="shared" si="39"/>
        <v/>
      </c>
      <c r="M213" s="135" t="str">
        <f t="shared" si="40"/>
        <v/>
      </c>
      <c r="N213" s="136" t="str">
        <f t="shared" si="41"/>
        <v/>
      </c>
      <c r="O213" s="178" t="str">
        <f>IFERROR(__xludf.DUMMYFUNCTION("LET(t, A213,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13" s="417"/>
      <c r="S213" s="417"/>
      <c r="AA213" s="186"/>
    </row>
    <row r="214">
      <c r="A214" s="149"/>
      <c r="B214" s="128"/>
      <c r="C214" s="175"/>
      <c r="D214" s="176"/>
      <c r="E214" s="132"/>
      <c r="F214" s="213" t="s">
        <v>133</v>
      </c>
      <c r="G214" s="213"/>
      <c r="H214" s="213" t="s">
        <v>134</v>
      </c>
      <c r="I214" s="136" t="str">
        <f t="shared" si="38"/>
        <v/>
      </c>
      <c r="J214" s="140" t="str">
        <f>IFERROR(__xludf.DUMMYFUNCTION("IfError(IF(isblank(A214),"""",split(O214, ""()"")))"),"")</f>
        <v/>
      </c>
      <c r="K214" s="136"/>
      <c r="L214" s="135" t="str">
        <f t="shared" si="39"/>
        <v/>
      </c>
      <c r="M214" s="135" t="str">
        <f t="shared" si="40"/>
        <v/>
      </c>
      <c r="N214" s="136" t="str">
        <f t="shared" si="41"/>
        <v/>
      </c>
      <c r="O214" s="178" t="str">
        <f>IFERROR(__xludf.DUMMYFUNCTION("LET(t, A214,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14" s="417"/>
      <c r="S214" s="417"/>
      <c r="AA214" s="186"/>
    </row>
    <row r="215">
      <c r="A215" s="149"/>
      <c r="B215" s="128" t="str">
        <f>IFERROR(__xludf.DUMMYFUNCTION("IF(ISBLANK(A215),"""", googlefinance(A215, ""name""))"),"")</f>
        <v/>
      </c>
      <c r="C215" s="175" t="str">
        <f>IF(ISBLANK(A215),"", HYPERLINK("https://seekingalpha.com/symbol/" &amp; A215,"View"))</f>
        <v/>
      </c>
      <c r="D215" s="176"/>
      <c r="E215" s="132" t="str">
        <f>IFERROR(__xludf.DUMMYFUNCTION("IF(ISBLANK(A215),"""", googlefinance(A215, ""price""))"),"")</f>
        <v/>
      </c>
      <c r="F215" s="213" t="s">
        <v>133</v>
      </c>
      <c r="G215" s="213"/>
      <c r="H215" s="213" t="s">
        <v>134</v>
      </c>
      <c r="I215" s="136" t="str">
        <f t="shared" si="38"/>
        <v/>
      </c>
      <c r="J215" s="140" t="str">
        <f>IFERROR(__xludf.DUMMYFUNCTION("IfError(IF(isblank(A215),"""",split(O215, ""()"")))"),"")</f>
        <v/>
      </c>
      <c r="K215" s="136"/>
      <c r="L215" s="135" t="str">
        <f t="shared" si="39"/>
        <v/>
      </c>
      <c r="M215" s="135" t="str">
        <f t="shared" si="40"/>
        <v/>
      </c>
      <c r="N215" s="136" t="str">
        <f t="shared" si="41"/>
        <v/>
      </c>
      <c r="O215" s="178" t="str">
        <f>IFERROR(__xludf.DUMMYFUNCTION("LET(t, A215,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15" s="417"/>
      <c r="S215" s="417"/>
      <c r="AA215" s="186"/>
    </row>
    <row r="216">
      <c r="A216" s="149"/>
      <c r="B216" s="128"/>
      <c r="C216" s="175"/>
      <c r="D216" s="176"/>
      <c r="E216" s="132"/>
      <c r="F216" s="213" t="s">
        <v>133</v>
      </c>
      <c r="G216" s="213"/>
      <c r="H216" s="213" t="s">
        <v>134</v>
      </c>
      <c r="I216" s="136" t="str">
        <f t="shared" si="38"/>
        <v/>
      </c>
      <c r="J216" s="140" t="str">
        <f>IFERROR(__xludf.DUMMYFUNCTION("IfError(IF(isblank(A216),"""",split(O216, ""()"")))"),"")</f>
        <v/>
      </c>
      <c r="K216" s="136"/>
      <c r="L216" s="135" t="str">
        <f t="shared" si="39"/>
        <v/>
      </c>
      <c r="M216" s="135" t="str">
        <f t="shared" si="40"/>
        <v/>
      </c>
      <c r="N216" s="136" t="str">
        <f t="shared" si="41"/>
        <v/>
      </c>
      <c r="O216" s="178" t="str">
        <f>IFERROR(__xludf.DUMMYFUNCTION("LET(t, A216,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16" s="417"/>
      <c r="S216" s="417"/>
      <c r="AA216" s="186"/>
    </row>
    <row r="217">
      <c r="A217" s="149"/>
      <c r="B217" s="128"/>
      <c r="C217" s="175"/>
      <c r="D217" s="176"/>
      <c r="E217" s="132"/>
      <c r="F217" s="213" t="s">
        <v>133</v>
      </c>
      <c r="G217" s="213"/>
      <c r="H217" s="213" t="s">
        <v>134</v>
      </c>
      <c r="I217" s="136" t="str">
        <f t="shared" si="38"/>
        <v/>
      </c>
      <c r="J217" s="140" t="str">
        <f>IFERROR(__xludf.DUMMYFUNCTION("IfError(IF(isblank(A217),"""",split(O217, ""()"")))"),"")</f>
        <v/>
      </c>
      <c r="K217" s="136"/>
      <c r="L217" s="135" t="str">
        <f t="shared" si="39"/>
        <v/>
      </c>
      <c r="M217" s="135" t="str">
        <f t="shared" si="40"/>
        <v/>
      </c>
      <c r="N217" s="136" t="str">
        <f t="shared" si="41"/>
        <v/>
      </c>
      <c r="O217" s="178" t="str">
        <f>IFERROR(__xludf.DUMMYFUNCTION("LET(t, A217,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17" s="417"/>
      <c r="S217" s="417"/>
      <c r="AA217" s="186"/>
    </row>
    <row r="218">
      <c r="A218" s="149"/>
      <c r="B218" s="128"/>
      <c r="C218" s="175"/>
      <c r="D218" s="176"/>
      <c r="E218" s="132"/>
      <c r="F218" s="213" t="s">
        <v>133</v>
      </c>
      <c r="G218" s="213"/>
      <c r="H218" s="213" t="s">
        <v>134</v>
      </c>
      <c r="I218" s="136" t="str">
        <f t="shared" si="38"/>
        <v/>
      </c>
      <c r="J218" s="140" t="str">
        <f>IFERROR(__xludf.DUMMYFUNCTION("IfError(IF(isblank(A218),"""",split(O218, ""()"")))"),"")</f>
        <v/>
      </c>
      <c r="K218" s="136"/>
      <c r="L218" s="135" t="str">
        <f t="shared" si="39"/>
        <v/>
      </c>
      <c r="M218" s="135" t="str">
        <f t="shared" si="40"/>
        <v/>
      </c>
      <c r="N218" s="136" t="str">
        <f t="shared" si="41"/>
        <v/>
      </c>
      <c r="O218" s="178" t="str">
        <f>IFERROR(__xludf.DUMMYFUNCTION("LET(t, A218,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18" s="417"/>
      <c r="S218" s="417"/>
      <c r="AA218" s="186"/>
    </row>
    <row r="219">
      <c r="A219" s="149"/>
      <c r="B219" s="128"/>
      <c r="C219" s="175"/>
      <c r="D219" s="176"/>
      <c r="E219" s="132"/>
      <c r="F219" s="213" t="s">
        <v>133</v>
      </c>
      <c r="G219" s="213"/>
      <c r="H219" s="213" t="s">
        <v>134</v>
      </c>
      <c r="I219" s="136" t="str">
        <f t="shared" si="38"/>
        <v/>
      </c>
      <c r="J219" s="140" t="str">
        <f>IFERROR(__xludf.DUMMYFUNCTION("IfError(IF(isblank(A219),"""",split(O219, ""()"")))"),"")</f>
        <v/>
      </c>
      <c r="K219" s="136"/>
      <c r="L219" s="135" t="str">
        <f t="shared" si="39"/>
        <v/>
      </c>
      <c r="M219" s="135" t="str">
        <f t="shared" si="40"/>
        <v/>
      </c>
      <c r="N219" s="136" t="str">
        <f t="shared" si="41"/>
        <v/>
      </c>
      <c r="O219" s="178" t="str">
        <f>IFERROR(__xludf.DUMMYFUNCTION("LET(t, A219,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19" s="417"/>
      <c r="S219" s="417"/>
      <c r="AA219" s="186"/>
    </row>
    <row r="220">
      <c r="A220" s="149"/>
      <c r="B220" s="128"/>
      <c r="C220" s="175"/>
      <c r="D220" s="176"/>
      <c r="E220" s="132"/>
      <c r="F220" s="213" t="s">
        <v>133</v>
      </c>
      <c r="G220" s="213"/>
      <c r="H220" s="213" t="s">
        <v>134</v>
      </c>
      <c r="I220" s="136" t="str">
        <f t="shared" si="38"/>
        <v/>
      </c>
      <c r="J220" s="140" t="str">
        <f>IFERROR(__xludf.DUMMYFUNCTION("IfError(IF(isblank(A220),"""",split(O220, ""()"")))"),"")</f>
        <v/>
      </c>
      <c r="K220" s="136"/>
      <c r="L220" s="135" t="str">
        <f t="shared" si="39"/>
        <v/>
      </c>
      <c r="M220" s="135" t="str">
        <f t="shared" si="40"/>
        <v/>
      </c>
      <c r="N220" s="136" t="str">
        <f t="shared" si="41"/>
        <v/>
      </c>
      <c r="O220" s="178" t="str">
        <f>IFERROR(__xludf.DUMMYFUNCTION("LET(t, A220,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0" s="417"/>
      <c r="S220" s="417"/>
      <c r="AA220" s="186"/>
    </row>
    <row r="221">
      <c r="A221" s="149"/>
      <c r="B221" s="128" t="str">
        <f>IFERROR(__xludf.DUMMYFUNCTION("IF(ISBLANK(A221),"""", googlefinance(A221, ""name""))"),"")</f>
        <v/>
      </c>
      <c r="C221" s="175" t="str">
        <f t="shared" ref="C221:C227" si="42">IF(ISBLANK(A221),"", HYPERLINK("https://seekingalpha.com/symbol/" &amp; A221,"View"))</f>
        <v/>
      </c>
      <c r="D221" s="176"/>
      <c r="E221" s="132" t="str">
        <f>IFERROR(__xludf.DUMMYFUNCTION("IF(ISBLANK(A221),"""", googlefinance(A221, ""price""))"),"")</f>
        <v/>
      </c>
      <c r="F221" s="213" t="s">
        <v>133</v>
      </c>
      <c r="G221" s="213"/>
      <c r="H221" s="213" t="s">
        <v>134</v>
      </c>
      <c r="I221" s="136" t="str">
        <f t="shared" si="38"/>
        <v/>
      </c>
      <c r="J221" s="140" t="str">
        <f>IFERROR(__xludf.DUMMYFUNCTION("IfError(IF(isblank(A221),"""",split(O221, ""()"")))"),"")</f>
        <v/>
      </c>
      <c r="K221" s="136"/>
      <c r="L221" s="135" t="str">
        <f t="shared" si="39"/>
        <v/>
      </c>
      <c r="M221" s="135" t="str">
        <f t="shared" si="40"/>
        <v/>
      </c>
      <c r="N221" s="136" t="str">
        <f t="shared" si="41"/>
        <v/>
      </c>
      <c r="O221" s="178" t="str">
        <f>IFERROR(__xludf.DUMMYFUNCTION("LET(t, A221,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1" s="417"/>
      <c r="S221" s="417"/>
      <c r="AA221" s="186"/>
    </row>
    <row r="222">
      <c r="A222" s="149"/>
      <c r="B222" s="128" t="str">
        <f>IFERROR(__xludf.DUMMYFUNCTION("IF(ISBLANK(A222),"""", googlefinance(A222, ""name""))"),"")</f>
        <v/>
      </c>
      <c r="C222" s="175" t="str">
        <f t="shared" si="42"/>
        <v/>
      </c>
      <c r="D222" s="176"/>
      <c r="E222" s="132" t="str">
        <f>IFERROR(__xludf.DUMMYFUNCTION("IF(ISBLANK(A222),"""", googlefinance(A222, ""price""))"),"")</f>
        <v/>
      </c>
      <c r="F222" s="213" t="s">
        <v>133</v>
      </c>
      <c r="G222" s="213"/>
      <c r="H222" s="213" t="s">
        <v>134</v>
      </c>
      <c r="I222" s="136" t="str">
        <f t="shared" si="38"/>
        <v/>
      </c>
      <c r="J222" s="140" t="str">
        <f>IFERROR(__xludf.DUMMYFUNCTION("IfError(IF(isblank(A222),"""",split(O222, ""()"")))"),"")</f>
        <v/>
      </c>
      <c r="K222" s="136"/>
      <c r="L222" s="135" t="str">
        <f t="shared" si="39"/>
        <v/>
      </c>
      <c r="M222" s="135" t="str">
        <f t="shared" si="40"/>
        <v/>
      </c>
      <c r="N222" s="136" t="str">
        <f t="shared" si="41"/>
        <v/>
      </c>
      <c r="O222" s="178" t="str">
        <f>IFERROR(__xludf.DUMMYFUNCTION("LET(t, A222,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2" s="417"/>
      <c r="S222" s="417"/>
      <c r="AA222" s="186"/>
    </row>
    <row r="223">
      <c r="A223" s="149"/>
      <c r="B223" s="128" t="str">
        <f>IFERROR(__xludf.DUMMYFUNCTION("IF(ISBLANK(A223),"""", googlefinance(A223, ""name""))"),"")</f>
        <v/>
      </c>
      <c r="C223" s="175" t="str">
        <f t="shared" si="42"/>
        <v/>
      </c>
      <c r="D223" s="176"/>
      <c r="E223" s="132" t="str">
        <f>IFERROR(__xludf.DUMMYFUNCTION("IF(ISBLANK(A223),"""", googlefinance(A223, ""price""))"),"")</f>
        <v/>
      </c>
      <c r="F223" s="213" t="s">
        <v>133</v>
      </c>
      <c r="G223" s="213"/>
      <c r="H223" s="213" t="s">
        <v>134</v>
      </c>
      <c r="I223" s="136" t="str">
        <f t="shared" si="38"/>
        <v/>
      </c>
      <c r="J223" s="140" t="str">
        <f>IFERROR(__xludf.DUMMYFUNCTION("IfError(IF(isblank(A223),"""",split(O223, ""()"")))"),"")</f>
        <v/>
      </c>
      <c r="K223" s="136"/>
      <c r="L223" s="135" t="str">
        <f t="shared" si="39"/>
        <v/>
      </c>
      <c r="M223" s="135" t="str">
        <f t="shared" si="40"/>
        <v/>
      </c>
      <c r="N223" s="136" t="str">
        <f t="shared" si="41"/>
        <v/>
      </c>
      <c r="O223" s="178" t="str">
        <f>IFERROR(__xludf.DUMMYFUNCTION("LET(t, A223,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3" s="417"/>
      <c r="S223" s="417"/>
      <c r="AA223" s="186"/>
    </row>
    <row r="224">
      <c r="A224" s="149"/>
      <c r="B224" s="128" t="str">
        <f>IFERROR(__xludf.DUMMYFUNCTION("IF(ISBLANK(A224),"""", googlefinance(A224, ""name""))"),"")</f>
        <v/>
      </c>
      <c r="C224" s="175" t="str">
        <f t="shared" si="42"/>
        <v/>
      </c>
      <c r="D224" s="176"/>
      <c r="E224" s="132" t="str">
        <f>IFERROR(__xludf.DUMMYFUNCTION("IF(ISBLANK(A224),"""", googlefinance(A224, ""price""))"),"")</f>
        <v/>
      </c>
      <c r="F224" s="213" t="s">
        <v>133</v>
      </c>
      <c r="G224" s="213"/>
      <c r="H224" s="213" t="s">
        <v>134</v>
      </c>
      <c r="I224" s="136" t="str">
        <f t="shared" si="38"/>
        <v/>
      </c>
      <c r="J224" s="140" t="str">
        <f>IFERROR(__xludf.DUMMYFUNCTION("IfError(IF(isblank(A224),"""",split(O224, ""()"")))"),"")</f>
        <v/>
      </c>
      <c r="K224" s="136"/>
      <c r="L224" s="135" t="str">
        <f t="shared" si="39"/>
        <v/>
      </c>
      <c r="M224" s="135" t="str">
        <f t="shared" si="40"/>
        <v/>
      </c>
      <c r="N224" s="136" t="str">
        <f t="shared" si="41"/>
        <v/>
      </c>
      <c r="O224" s="178" t="str">
        <f>IFERROR(__xludf.DUMMYFUNCTION("LET(t, A224,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4" s="417"/>
      <c r="S224" s="417"/>
      <c r="AA224" s="186"/>
    </row>
    <row r="225">
      <c r="A225" s="149"/>
      <c r="B225" s="128" t="str">
        <f>IFERROR(__xludf.DUMMYFUNCTION("IF(ISBLANK(A225),"""", googlefinance(A225, ""name""))"),"")</f>
        <v/>
      </c>
      <c r="C225" s="175" t="str">
        <f t="shared" si="42"/>
        <v/>
      </c>
      <c r="D225" s="176"/>
      <c r="E225" s="132" t="str">
        <f>IFERROR(__xludf.DUMMYFUNCTION("IF(ISBLANK(A225),"""", googlefinance(A225, ""price""))"),"")</f>
        <v/>
      </c>
      <c r="F225" s="213" t="s">
        <v>133</v>
      </c>
      <c r="G225" s="213"/>
      <c r="H225" s="213" t="s">
        <v>134</v>
      </c>
      <c r="I225" s="136" t="str">
        <f t="shared" si="38"/>
        <v/>
      </c>
      <c r="J225" s="140" t="str">
        <f>IFERROR(__xludf.DUMMYFUNCTION("IfError(IF(isblank(A225),"""",split(O225, ""()"")))"),"")</f>
        <v/>
      </c>
      <c r="K225" s="136"/>
      <c r="L225" s="135" t="str">
        <f t="shared" si="39"/>
        <v/>
      </c>
      <c r="M225" s="135" t="str">
        <f t="shared" si="40"/>
        <v/>
      </c>
      <c r="N225" s="136" t="str">
        <f t="shared" si="41"/>
        <v/>
      </c>
      <c r="O225" s="178" t="str">
        <f>IFERROR(__xludf.DUMMYFUNCTION("LET(t, A225,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5" s="417"/>
      <c r="S225" s="417"/>
      <c r="AA225" s="186"/>
    </row>
    <row r="226">
      <c r="A226" s="149"/>
      <c r="B226" s="128" t="str">
        <f>IFERROR(__xludf.DUMMYFUNCTION("IF(ISBLANK(A226),"""", googlefinance(A226, ""name""))"),"")</f>
        <v/>
      </c>
      <c r="C226" s="175" t="str">
        <f t="shared" si="42"/>
        <v/>
      </c>
      <c r="D226" s="176"/>
      <c r="E226" s="132" t="str">
        <f>IFERROR(__xludf.DUMMYFUNCTION("IF(ISBLANK(A226),"""", googlefinance(A226, ""price""))"),"")</f>
        <v/>
      </c>
      <c r="F226" s="213" t="s">
        <v>133</v>
      </c>
      <c r="G226" s="213"/>
      <c r="H226" s="213" t="s">
        <v>134</v>
      </c>
      <c r="I226" s="136" t="str">
        <f t="shared" si="38"/>
        <v/>
      </c>
      <c r="J226" s="140" t="str">
        <f>IFERROR(__xludf.DUMMYFUNCTION("IfError(IF(isblank(A226),"""",split(O226, ""()"")))"),"")</f>
        <v/>
      </c>
      <c r="K226" s="136"/>
      <c r="L226" s="135" t="str">
        <f t="shared" si="39"/>
        <v/>
      </c>
      <c r="M226" s="135" t="str">
        <f t="shared" si="40"/>
        <v/>
      </c>
      <c r="N226" s="136" t="str">
        <f t="shared" si="41"/>
        <v/>
      </c>
      <c r="O226" s="178" t="str">
        <f>IFERROR(__xludf.DUMMYFUNCTION("LET(t, A226,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6" s="417"/>
      <c r="S226" s="417"/>
      <c r="AA226" s="186"/>
    </row>
    <row r="227">
      <c r="A227" s="149"/>
      <c r="B227" s="128" t="str">
        <f>IFERROR(__xludf.DUMMYFUNCTION("IF(ISBLANK(A227),"""", googlefinance(A227, ""name""))"),"")</f>
        <v/>
      </c>
      <c r="C227" s="175" t="str">
        <f t="shared" si="42"/>
        <v/>
      </c>
      <c r="D227" s="176"/>
      <c r="E227" s="132" t="str">
        <f>IFERROR(__xludf.DUMMYFUNCTION("IF(ISBLANK(A227),"""", googlefinance(A227, ""price""))"),"")</f>
        <v/>
      </c>
      <c r="F227" s="213" t="s">
        <v>133</v>
      </c>
      <c r="G227" s="213"/>
      <c r="H227" s="213" t="s">
        <v>134</v>
      </c>
      <c r="I227" s="136" t="str">
        <f t="shared" si="38"/>
        <v/>
      </c>
      <c r="J227" s="140" t="str">
        <f>IFERROR(__xludf.DUMMYFUNCTION("IfError(IF(isblank(A227),"""",split(O227, ""()"")))"),"")</f>
        <v/>
      </c>
      <c r="K227" s="136"/>
      <c r="L227" s="135" t="str">
        <f t="shared" si="39"/>
        <v/>
      </c>
      <c r="M227" s="135" t="str">
        <f t="shared" si="40"/>
        <v/>
      </c>
      <c r="N227" s="136" t="str">
        <f t="shared" si="41"/>
        <v/>
      </c>
      <c r="O227" s="178" t="str">
        <f>IFERROR(__xludf.DUMMYFUNCTION("LET(t, A227,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7" s="417"/>
      <c r="S227" s="417"/>
      <c r="AA227" s="186"/>
    </row>
    <row r="228">
      <c r="A228" s="149"/>
      <c r="B228" s="128"/>
      <c r="C228" s="175"/>
      <c r="D228" s="176"/>
      <c r="E228" s="132"/>
      <c r="F228" s="213" t="s">
        <v>133</v>
      </c>
      <c r="G228" s="213"/>
      <c r="H228" s="213" t="s">
        <v>134</v>
      </c>
      <c r="I228" s="136" t="str">
        <f t="shared" si="38"/>
        <v/>
      </c>
      <c r="J228" s="140"/>
      <c r="K228" s="136"/>
      <c r="L228" s="135"/>
      <c r="M228" s="135"/>
      <c r="N228" s="136" t="str">
        <f t="shared" si="41"/>
        <v/>
      </c>
      <c r="O228" s="178" t="str">
        <f>IFERROR(__xludf.DUMMYFUNCTION("LET(t, A228,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8" s="417"/>
      <c r="S228" s="417"/>
      <c r="AA228" s="186"/>
    </row>
    <row r="229">
      <c r="A229" s="149"/>
      <c r="B229" s="128"/>
      <c r="C229" s="175"/>
      <c r="D229" s="176"/>
      <c r="E229" s="132"/>
      <c r="F229" s="213" t="s">
        <v>133</v>
      </c>
      <c r="G229" s="213"/>
      <c r="H229" s="213" t="s">
        <v>134</v>
      </c>
      <c r="I229" s="136" t="str">
        <f t="shared" si="38"/>
        <v/>
      </c>
      <c r="J229" s="140"/>
      <c r="K229" s="136"/>
      <c r="L229" s="135"/>
      <c r="M229" s="135"/>
      <c r="N229" s="136" t="str">
        <f t="shared" si="41"/>
        <v/>
      </c>
      <c r="O229" s="178" t="str">
        <f>IFERROR(__xludf.DUMMYFUNCTION("LET(t, A229,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29" s="417"/>
      <c r="S229" s="417"/>
      <c r="AA229" s="186"/>
    </row>
    <row r="230">
      <c r="A230" s="179">
        <f>COUNTA(A200:A229)</f>
        <v>12</v>
      </c>
      <c r="B230" s="180" t="s">
        <v>341</v>
      </c>
      <c r="C230" s="413">
        <v>45717.0</v>
      </c>
      <c r="D230" s="414" t="s">
        <v>403</v>
      </c>
      <c r="E230" s="181"/>
      <c r="F230" s="179"/>
      <c r="G230" s="179"/>
      <c r="H230" s="179"/>
      <c r="I230" s="182">
        <f>SUM(I200:I229)</f>
        <v>1</v>
      </c>
      <c r="J230" s="181"/>
      <c r="K230" s="182">
        <f>M230/L230</f>
        <v>0.01993159485</v>
      </c>
      <c r="L230" s="181">
        <f t="shared" ref="L230:N230" si="43">SUM(L200:L229)</f>
        <v>221599.2515</v>
      </c>
      <c r="M230" s="181">
        <f t="shared" si="43"/>
        <v>4416.8265</v>
      </c>
      <c r="N230" s="182">
        <f t="shared" si="43"/>
        <v>1</v>
      </c>
      <c r="O230" s="184"/>
      <c r="Q230" s="417"/>
      <c r="S230" s="417"/>
      <c r="AA230" s="186"/>
    </row>
    <row r="231">
      <c r="C231" s="1" t="s">
        <v>0</v>
      </c>
      <c r="Q231" s="417"/>
      <c r="S231" s="417"/>
      <c r="AA231" s="186"/>
    </row>
    <row r="232">
      <c r="A232" s="116" t="s">
        <v>404</v>
      </c>
      <c r="B232" s="117" t="s">
        <v>72</v>
      </c>
      <c r="C232" s="117" t="s">
        <v>73</v>
      </c>
      <c r="D232" s="117" t="s">
        <v>74</v>
      </c>
      <c r="E232" s="118" t="s">
        <v>76</v>
      </c>
      <c r="F232" s="117" t="s">
        <v>85</v>
      </c>
      <c r="G232" s="117" t="s">
        <v>86</v>
      </c>
      <c r="H232" s="117" t="s">
        <v>87</v>
      </c>
      <c r="I232" s="121" t="s">
        <v>88</v>
      </c>
      <c r="J232" s="118" t="s">
        <v>89</v>
      </c>
      <c r="K232" s="121" t="s">
        <v>12</v>
      </c>
      <c r="L232" s="118" t="s">
        <v>9</v>
      </c>
      <c r="M232" s="117" t="s">
        <v>91</v>
      </c>
      <c r="N232" s="117" t="s">
        <v>92</v>
      </c>
      <c r="O232" s="118" t="s">
        <v>99</v>
      </c>
      <c r="Q232" s="417"/>
      <c r="S232" s="417"/>
      <c r="W232" s="1"/>
      <c r="AA232" s="186"/>
    </row>
    <row r="233">
      <c r="A233" s="149" t="s">
        <v>405</v>
      </c>
      <c r="B233" s="128" t="str">
        <f>IFERROR(__xludf.DUMMYFUNCTION("IF(ISBLANK(A233),"""", googlefinance(A233, ""name""))"),"S&amp;P Global Inc")</f>
        <v>S&amp;P Global Inc</v>
      </c>
      <c r="C233" s="129" t="str">
        <f t="shared" ref="C233:C260" si="44">IF(ISBLANK(A233),"", HYPERLINK("https://seekingalpha.com/symbol/" &amp; A233,"View"))</f>
        <v>View</v>
      </c>
      <c r="D233" s="176">
        <v>223.0</v>
      </c>
      <c r="E233" s="132">
        <f>IFERROR(__xludf.DUMMYFUNCTION("IF(ISBLANK(A233),"""", googlefinance(A233, ""price""))"),451.11)</f>
        <v>451.11</v>
      </c>
      <c r="F233" s="213" t="s">
        <v>101</v>
      </c>
      <c r="G233" s="213" t="s">
        <v>134</v>
      </c>
      <c r="H233" s="213" t="s">
        <v>103</v>
      </c>
      <c r="I233" s="136">
        <f t="shared" ref="I233:I262" si="45">if(isblank(A233),"",L233/$L$263)</f>
        <v>0.1043444256</v>
      </c>
      <c r="J233" s="140">
        <f>IFERROR(__xludf.DUMMYFUNCTION("IfError(IF(isblank(A233),"""",split(O233, ""()"")))"),3.85)</f>
        <v>3.85</v>
      </c>
      <c r="K233" s="136">
        <f>IFERROR(__xludf.DUMMYFUNCTION("""COMPUTED_VALUE"""),0.0085)</f>
        <v>0.0085</v>
      </c>
      <c r="L233" s="135">
        <f t="shared" ref="L233:L260" si="46">IF(ISBLANK(A233),"",D233*E233)</f>
        <v>100597.53</v>
      </c>
      <c r="M233" s="135">
        <f t="shared" ref="M233:M260" si="47">IFERROR(IF(ISBLANK(A233),"",D233*J233),"")</f>
        <v>858.55</v>
      </c>
      <c r="N233" s="136">
        <f t="shared" ref="N233:N262" si="48">if(isblank(A233),"",M233/$M$263)</f>
        <v>0.1143306487</v>
      </c>
      <c r="O233" s="178" t="str">
        <f>IFERROR(__xludf.DUMMYFUNCTION("LET(t, A233,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"),"3.85 (0.85%)")</f>
        <v>3.85 (0.85%)</v>
      </c>
      <c r="Q233" s="417"/>
      <c r="S233" s="417"/>
      <c r="AA233" s="186"/>
    </row>
    <row r="234">
      <c r="A234" s="149" t="s">
        <v>406</v>
      </c>
      <c r="B234" s="128" t="str">
        <f>IFERROR(__xludf.DUMMYFUNCTION("IF(ISBLANK(A234),"""", googlefinance(A234, ""name""))"),"Mastercard Inc")</f>
        <v>Mastercard Inc</v>
      </c>
      <c r="C234" s="129" t="str">
        <f t="shared" si="44"/>
        <v>View</v>
      </c>
      <c r="D234" s="176">
        <v>195.0</v>
      </c>
      <c r="E234" s="132">
        <f>IFERROR(__xludf.DUMMYFUNCTION("IF(ISBLANK(A234),"""", googlefinance(A234, ""price""))"),524.66)</f>
        <v>524.66</v>
      </c>
      <c r="F234" s="213" t="s">
        <v>101</v>
      </c>
      <c r="G234" s="213" t="s">
        <v>134</v>
      </c>
      <c r="H234" s="213" t="s">
        <v>103</v>
      </c>
      <c r="I234" s="136">
        <f t="shared" si="45"/>
        <v>0.1061193306</v>
      </c>
      <c r="J234" s="140">
        <f>IFERROR(__xludf.DUMMYFUNCTION("IfError(IF(isblank(A234),"""",split(O234, ""()"")))"),3.15)</f>
        <v>3.15</v>
      </c>
      <c r="K234" s="136">
        <f>IFERROR(__xludf.DUMMYFUNCTION("""COMPUTED_VALUE"""),0.006)</f>
        <v>0.006</v>
      </c>
      <c r="L234" s="135">
        <f t="shared" si="46"/>
        <v>102308.7</v>
      </c>
      <c r="M234" s="135">
        <f t="shared" si="47"/>
        <v>614.25</v>
      </c>
      <c r="N234" s="136">
        <f t="shared" si="48"/>
        <v>0.0817979162</v>
      </c>
      <c r="O234" s="178" t="str">
        <f>IFERROR(__xludf.DUMMYFUNCTION("LET(t, A234,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"),"3.15 (0.60%)")</f>
        <v>3.15 (0.60%)</v>
      </c>
      <c r="Q234" s="417"/>
      <c r="S234" s="417"/>
      <c r="AA234" s="186"/>
    </row>
    <row r="235">
      <c r="A235" s="149" t="s">
        <v>314</v>
      </c>
      <c r="B235" s="128" t="str">
        <f>IFERROR(__xludf.DUMMYFUNCTION("IF(ISBLANK(A235),"""", googlefinance(A235, ""name""))"),"Costco Wholesale Corp")</f>
        <v>Costco Wholesale Corp</v>
      </c>
      <c r="C235" s="129" t="str">
        <f t="shared" si="44"/>
        <v>View</v>
      </c>
      <c r="D235" s="176">
        <v>86.0</v>
      </c>
      <c r="E235" s="132">
        <f>IFERROR(__xludf.DUMMYFUNCTION("IF(ISBLANK(A235),"""", googlefinance(A235, ""price""))"),982.57)</f>
        <v>982.57</v>
      </c>
      <c r="F235" s="213" t="s">
        <v>101</v>
      </c>
      <c r="G235" s="213" t="s">
        <v>134</v>
      </c>
      <c r="H235" s="213" t="s">
        <v>103</v>
      </c>
      <c r="I235" s="136">
        <f t="shared" si="45"/>
        <v>0.08764837862</v>
      </c>
      <c r="J235" s="140">
        <f>IFERROR(__xludf.DUMMYFUNCTION("IfError(IF(isblank(A235),"""",split(O235, ""()"")))"),5.2)</f>
        <v>5.2</v>
      </c>
      <c r="K235" s="136">
        <f>IFERROR(__xludf.DUMMYFUNCTION("""COMPUTED_VALUE"""),0.0053)</f>
        <v>0.0053</v>
      </c>
      <c r="L235" s="135">
        <f t="shared" si="46"/>
        <v>84501.02</v>
      </c>
      <c r="M235" s="135">
        <f t="shared" si="47"/>
        <v>447.2</v>
      </c>
      <c r="N235" s="136">
        <f t="shared" si="48"/>
        <v>0.05955234534</v>
      </c>
      <c r="O235" s="178" t="str">
        <f>IFERROR(__xludf.DUMMYFUNCTION("LET(t, A235,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"),"5.20 (0.53%)")</f>
        <v>5.20 (0.53%)</v>
      </c>
      <c r="Q235" s="417"/>
      <c r="S235" s="417"/>
      <c r="AA235" s="186"/>
    </row>
    <row r="236">
      <c r="A236" s="149" t="s">
        <v>315</v>
      </c>
      <c r="B236" s="128" t="str">
        <f>IFERROR(__xludf.DUMMYFUNCTION("IF(ISBLANK(A236),"""", googlefinance(A236, ""name""))"),"Texas Roadhouse Inc")</f>
        <v>Texas Roadhouse Inc</v>
      </c>
      <c r="C236" s="129" t="str">
        <f t="shared" si="44"/>
        <v>View</v>
      </c>
      <c r="D236" s="176">
        <v>440.0</v>
      </c>
      <c r="E236" s="132">
        <f>IFERROR(__xludf.DUMMYFUNCTION("IF(ISBLANK(A236),"""", googlefinance(A236, ""price""))"),175.04)</f>
        <v>175.04</v>
      </c>
      <c r="F236" s="213" t="s">
        <v>101</v>
      </c>
      <c r="G236" s="213" t="s">
        <v>134</v>
      </c>
      <c r="H236" s="213" t="s">
        <v>113</v>
      </c>
      <c r="I236" s="136">
        <f t="shared" si="45"/>
        <v>0.07988622818</v>
      </c>
      <c r="J236" s="140">
        <f>IFERROR(__xludf.DUMMYFUNCTION("IfError(IF(isblank(A236),"""",split(O236, ""()"")))"),2.72)</f>
        <v>2.72</v>
      </c>
      <c r="K236" s="136">
        <f>IFERROR(__xludf.DUMMYFUNCTION("""COMPUTED_VALUE"""),0.0155)</f>
        <v>0.0155</v>
      </c>
      <c r="L236" s="135">
        <f t="shared" si="46"/>
        <v>77017.6</v>
      </c>
      <c r="M236" s="135">
        <f t="shared" si="47"/>
        <v>1196.8</v>
      </c>
      <c r="N236" s="136">
        <f t="shared" si="48"/>
        <v>0.159374434</v>
      </c>
      <c r="O236" s="178" t="str">
        <f>IFERROR(__xludf.DUMMYFUNCTION("LET(t, A236,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"),"2.72 (1.55%)")</f>
        <v>2.72 (1.55%)</v>
      </c>
      <c r="Q236" s="417"/>
      <c r="S236" s="417"/>
      <c r="AA236" s="186"/>
    </row>
    <row r="237">
      <c r="A237" s="149" t="s">
        <v>407</v>
      </c>
      <c r="B237" s="128" t="str">
        <f>IFERROR(__xludf.DUMMYFUNCTION("IF(ISBLANK(A237),"""", googlefinance(A237, ""name""))"),"Moody's Corp")</f>
        <v>Moody's Corp</v>
      </c>
      <c r="C237" s="129" t="str">
        <f t="shared" si="44"/>
        <v>View</v>
      </c>
      <c r="D237" s="176">
        <v>120.0</v>
      </c>
      <c r="E237" s="132">
        <f>IFERROR(__xludf.DUMMYFUNCTION("IF(ISBLANK(A237),"""", googlefinance(A237, ""price""))"),470.05)</f>
        <v>470.05</v>
      </c>
      <c r="F237" s="213" t="s">
        <v>101</v>
      </c>
      <c r="G237" s="213" t="s">
        <v>134</v>
      </c>
      <c r="H237" s="213" t="s">
        <v>103</v>
      </c>
      <c r="I237" s="136">
        <f t="shared" si="45"/>
        <v>0.05850692032</v>
      </c>
      <c r="J237" s="140">
        <f>IFERROR(__xludf.DUMMYFUNCTION("IfError(IF(isblank(A237),"""",split(O237, ""()"")))"),4.79)</f>
        <v>4.79</v>
      </c>
      <c r="K237" s="136">
        <f>IFERROR(__xludf.DUMMYFUNCTION("""COMPUTED_VALUE"""),0.0102)</f>
        <v>0.0102</v>
      </c>
      <c r="L237" s="135">
        <f t="shared" si="46"/>
        <v>56406</v>
      </c>
      <c r="M237" s="135">
        <f t="shared" si="47"/>
        <v>574.8</v>
      </c>
      <c r="N237" s="136">
        <f t="shared" si="48"/>
        <v>0.0765444725</v>
      </c>
      <c r="O237" s="178" t="str">
        <f>IFERROR(__xludf.DUMMYFUNCTION("LET(t, A237,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"),"4.79 (1.02%)")</f>
        <v>4.79 (1.02%)</v>
      </c>
      <c r="Q237" s="417"/>
      <c r="S237" s="417"/>
      <c r="AA237" s="186"/>
    </row>
    <row r="238">
      <c r="A238" s="149" t="s">
        <v>408</v>
      </c>
      <c r="B238" s="128" t="str">
        <f>IFERROR(__xludf.DUMMYFUNCTION("IF(ISBLANK(A238),"""", googlefinance(A238, ""name""))"),"Booking Holdings Inc")</f>
        <v>Booking Holdings Inc</v>
      </c>
      <c r="C238" s="129" t="str">
        <f t="shared" si="44"/>
        <v>View</v>
      </c>
      <c r="D238" s="176">
        <v>13.0</v>
      </c>
      <c r="E238" s="132">
        <f>IFERROR(__xludf.DUMMYFUNCTION("IF(ISBLANK(A238),"""", googlefinance(A238, ""price""))"),4613.28)</f>
        <v>4613.28</v>
      </c>
      <c r="F238" s="213" t="s">
        <v>101</v>
      </c>
      <c r="G238" s="213" t="s">
        <v>134</v>
      </c>
      <c r="H238" s="213" t="s">
        <v>103</v>
      </c>
      <c r="I238" s="136">
        <f t="shared" si="45"/>
        <v>0.06220640481</v>
      </c>
      <c r="J238" s="140">
        <f>IFERROR(__xludf.DUMMYFUNCTION("IfError(IF(isblank(A238),"""",split(O238, ""()"")))"),38.4)</f>
        <v>38.4</v>
      </c>
      <c r="K238" s="136">
        <f>IFERROR(__xludf.DUMMYFUNCTION("""COMPUTED_VALUE"""),0.0083)</f>
        <v>0.0083</v>
      </c>
      <c r="L238" s="135">
        <f t="shared" si="46"/>
        <v>59972.64</v>
      </c>
      <c r="M238" s="135">
        <f t="shared" si="47"/>
        <v>499.2</v>
      </c>
      <c r="N238" s="136">
        <f t="shared" si="48"/>
        <v>0.06647703666</v>
      </c>
      <c r="O238" s="178" t="str">
        <f>IFERROR(__xludf.DUMMYFUNCTION("LET(t, A238,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"),"38.40 (0.83%)")</f>
        <v>38.40 (0.83%)</v>
      </c>
      <c r="Q238" s="417"/>
      <c r="S238" s="417"/>
      <c r="AA238" s="186"/>
    </row>
    <row r="239">
      <c r="A239" s="149" t="s">
        <v>400</v>
      </c>
      <c r="B239" s="128" t="str">
        <f>IFERROR(__xludf.DUMMYFUNCTION("IF(ISBLANK(A239),"""", googlefinance(A239, ""name""))"),"Salesforce Inc")</f>
        <v>Salesforce Inc</v>
      </c>
      <c r="C239" s="129" t="str">
        <f t="shared" si="44"/>
        <v>View</v>
      </c>
      <c r="D239" s="176">
        <v>154.0</v>
      </c>
      <c r="E239" s="132">
        <f>IFERROR(__xludf.DUMMYFUNCTION("IF(ISBLANK(A239),"""", googlefinance(A239, ""price""))"),201.39)</f>
        <v>201.39</v>
      </c>
      <c r="F239" s="213" t="s">
        <v>101</v>
      </c>
      <c r="G239" s="213" t="s">
        <v>134</v>
      </c>
      <c r="H239" s="213" t="s">
        <v>103</v>
      </c>
      <c r="I239" s="136">
        <f t="shared" si="45"/>
        <v>0.03216922202</v>
      </c>
      <c r="J239" s="140">
        <f>IFERROR(__xludf.DUMMYFUNCTION("IfError(IF(isblank(A239),"""",split(O239, ""()"")))"),1.66)</f>
        <v>1.66</v>
      </c>
      <c r="K239" s="136">
        <f>IFERROR(__xludf.DUMMYFUNCTION("""COMPUTED_VALUE"""),0.0083)</f>
        <v>0.0083</v>
      </c>
      <c r="L239" s="135">
        <f t="shared" si="46"/>
        <v>31014.06</v>
      </c>
      <c r="M239" s="135">
        <f t="shared" si="47"/>
        <v>255.64</v>
      </c>
      <c r="N239" s="136">
        <f t="shared" si="48"/>
        <v>0.03404284786</v>
      </c>
      <c r="O239" s="178" t="str">
        <f>IFERROR(__xludf.DUMMYFUNCTION("LET(t, A239,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"),"1.66 (0.83%)")</f>
        <v>1.66 (0.83%)</v>
      </c>
      <c r="Q239" s="417"/>
      <c r="S239" s="417"/>
      <c r="AA239" s="186"/>
    </row>
    <row r="240">
      <c r="A240" s="149" t="s">
        <v>117</v>
      </c>
      <c r="B240" s="128" t="str">
        <f>IFERROR(__xludf.DUMMYFUNCTION("IF(ISBLANK(A240),"""", googlefinance(A240, ""name""))"),"VICI Properties Inc")</f>
        <v>VICI Properties Inc</v>
      </c>
      <c r="C240" s="129" t="str">
        <f t="shared" si="44"/>
        <v>View</v>
      </c>
      <c r="D240" s="176">
        <v>215.0</v>
      </c>
      <c r="E240" s="132">
        <f>IFERROR(__xludf.DUMMYFUNCTION("IF(ISBLANK(A240),"""", googlefinance(A240, ""price""))"),29.69)</f>
        <v>29.69</v>
      </c>
      <c r="F240" s="213" t="s">
        <v>101</v>
      </c>
      <c r="G240" s="213" t="s">
        <v>134</v>
      </c>
      <c r="H240" s="213" t="s">
        <v>113</v>
      </c>
      <c r="I240" s="136">
        <f t="shared" si="45"/>
        <v>0.006621106794</v>
      </c>
      <c r="J240" s="140">
        <f>IFERROR(__xludf.DUMMYFUNCTION("IfError(IF(isblank(A240),"""",split(O240, ""()"")))"),1.76)</f>
        <v>1.76</v>
      </c>
      <c r="K240" s="136">
        <f>IFERROR(__xludf.DUMMYFUNCTION("""COMPUTED_VALUE"""),0.0594)</f>
        <v>0.0594</v>
      </c>
      <c r="L240" s="135">
        <f t="shared" si="46"/>
        <v>6383.35</v>
      </c>
      <c r="M240" s="135">
        <f t="shared" si="47"/>
        <v>378.4</v>
      </c>
      <c r="N240" s="136">
        <f t="shared" si="48"/>
        <v>0.05039044606</v>
      </c>
      <c r="O240" s="178" t="str">
        <f>IFERROR(__xludf.DUMMYFUNCTION("LET(t, A240,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"),"1.76 (5.94%)")</f>
        <v>1.76 (5.94%)</v>
      </c>
      <c r="Q240" s="417"/>
      <c r="S240" s="417"/>
      <c r="AA240" s="186"/>
    </row>
    <row r="241">
      <c r="A241" s="149" t="s">
        <v>409</v>
      </c>
      <c r="B241" s="128" t="str">
        <f>IFERROR(__xludf.DUMMYFUNCTION("IF(ISBLANK(A241),"""", googlefinance(A241, ""name""))"),"Intuit Inc")</f>
        <v>Intuit Inc</v>
      </c>
      <c r="C241" s="129" t="str">
        <f t="shared" si="44"/>
        <v>View</v>
      </c>
      <c r="D241" s="176">
        <v>111.0</v>
      </c>
      <c r="E241" s="132">
        <f>IFERROR(__xludf.DUMMYFUNCTION("IF(ISBLANK(A241),"""", googlefinance(A241, ""price""))"),466.79)</f>
        <v>466.79</v>
      </c>
      <c r="F241" s="213" t="s">
        <v>101</v>
      </c>
      <c r="G241" s="213" t="s">
        <v>134</v>
      </c>
      <c r="H241" s="213" t="s">
        <v>103</v>
      </c>
      <c r="I241" s="136">
        <f t="shared" si="45"/>
        <v>0.05374356332</v>
      </c>
      <c r="J241" s="140">
        <f>IFERROR(__xludf.DUMMYFUNCTION("IfError(IF(isblank(A241),"""",split(O241, ""()"")))"),4.48)</f>
        <v>4.48</v>
      </c>
      <c r="K241" s="136">
        <f>IFERROR(__xludf.DUMMYFUNCTION("""COMPUTED_VALUE"""),0.0096)</f>
        <v>0.0096</v>
      </c>
      <c r="L241" s="135">
        <f t="shared" si="46"/>
        <v>51813.69</v>
      </c>
      <c r="M241" s="135">
        <f t="shared" si="47"/>
        <v>497.28</v>
      </c>
      <c r="N241" s="136">
        <f t="shared" si="48"/>
        <v>0.06622135575</v>
      </c>
      <c r="O241" s="178" t="str">
        <f>IFERROR(__xludf.DUMMYFUNCTION("LET(t, A241,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"),"4.48 (0.96%)")</f>
        <v>4.48 (0.96%)</v>
      </c>
      <c r="Q241" s="417"/>
      <c r="S241" s="417"/>
      <c r="AA241" s="186"/>
    </row>
    <row r="242">
      <c r="A242" s="149" t="s">
        <v>104</v>
      </c>
      <c r="B242" s="128" t="str">
        <f>IFERROR(__xludf.DUMMYFUNCTION("IF(ISBLANK(A242),"""", googlefinance(A242, ""name""))"),"Microsoft Corp")</f>
        <v>Microsoft Corp</v>
      </c>
      <c r="C242" s="129" t="str">
        <f t="shared" si="44"/>
        <v>View</v>
      </c>
      <c r="D242" s="176">
        <v>165.0</v>
      </c>
      <c r="E242" s="132">
        <f>IFERROR(__xludf.DUMMYFUNCTION("IF(ISBLANK(A242),"""", googlefinance(A242, ""price""))"),410.68)</f>
        <v>410.68</v>
      </c>
      <c r="F242" s="213" t="s">
        <v>101</v>
      </c>
      <c r="G242" s="213" t="s">
        <v>134</v>
      </c>
      <c r="H242" s="213" t="s">
        <v>103</v>
      </c>
      <c r="I242" s="136">
        <f t="shared" si="45"/>
        <v>0.07028609787</v>
      </c>
      <c r="J242" s="140" t="str">
        <f>IFERROR(__xludf.DUMMYFUNCTION("IfError(IF(isblank(A242),"""",split(O242, ""()"")))"),"")</f>
        <v/>
      </c>
      <c r="K242" s="136"/>
      <c r="L242" s="135">
        <f t="shared" si="46"/>
        <v>67762.2</v>
      </c>
      <c r="M242" s="135">
        <f t="shared" si="47"/>
        <v>0</v>
      </c>
      <c r="N242" s="136">
        <f t="shared" si="48"/>
        <v>0</v>
      </c>
      <c r="O242" s="178" t="str">
        <f>IFERROR(__xludf.DUMMYFUNCTION("LET(t, A242,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42" s="417"/>
      <c r="S242" s="417"/>
      <c r="AA242" s="186"/>
    </row>
    <row r="243">
      <c r="A243" s="149" t="s">
        <v>410</v>
      </c>
      <c r="B243" s="128" t="str">
        <f>IFERROR(__xludf.DUMMYFUNCTION("IF(ISBLANK(A243),"""", googlefinance(A243, ""name""))"),"Canadian Pacific Kansas City Ltd")</f>
        <v>Canadian Pacific Kansas City Ltd</v>
      </c>
      <c r="C243" s="129" t="str">
        <f t="shared" si="44"/>
        <v>View</v>
      </c>
      <c r="D243" s="176">
        <v>450.0</v>
      </c>
      <c r="E243" s="132">
        <f>IFERROR(__xludf.DUMMYFUNCTION("IF(ISBLANK(A243),"""", googlefinance(A243, ""price""))"),85.26)</f>
        <v>85.26</v>
      </c>
      <c r="F243" s="213" t="s">
        <v>101</v>
      </c>
      <c r="G243" s="213" t="s">
        <v>134</v>
      </c>
      <c r="H243" s="213" t="s">
        <v>129</v>
      </c>
      <c r="I243" s="136">
        <f t="shared" si="45"/>
        <v>0.03979603255</v>
      </c>
      <c r="J243" s="140">
        <f>IFERROR(__xludf.DUMMYFUNCTION("IfError(IF(isblank(A243),"""",split(O243, ""()"")))"),0.63)</f>
        <v>0.63</v>
      </c>
      <c r="K243" s="136">
        <f>IFERROR(__xludf.DUMMYFUNCTION("""COMPUTED_VALUE"""),0.0074)</f>
        <v>0.0074</v>
      </c>
      <c r="L243" s="135">
        <f t="shared" si="46"/>
        <v>38367</v>
      </c>
      <c r="M243" s="135">
        <f t="shared" si="47"/>
        <v>283.5</v>
      </c>
      <c r="N243" s="136">
        <f t="shared" si="48"/>
        <v>0.0377528844</v>
      </c>
      <c r="O243" s="178" t="str">
        <f>IFERROR(__xludf.DUMMYFUNCTION("LET(t, A243,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"),"0.63 (0.74%)")</f>
        <v>0.63 (0.74%)</v>
      </c>
      <c r="Q243" s="417"/>
      <c r="S243" s="417"/>
      <c r="AA243" s="186"/>
    </row>
    <row r="244">
      <c r="A244" s="149" t="s">
        <v>306</v>
      </c>
      <c r="B244" s="128" t="str">
        <f>IFERROR(__xludf.DUMMYFUNCTION("IF(ISBLANK(A244),"""", googlefinance(A244, ""name""))"),"Apple Inc")</f>
        <v>Apple Inc</v>
      </c>
      <c r="C244" s="129" t="str">
        <f t="shared" si="44"/>
        <v>View</v>
      </c>
      <c r="D244" s="176">
        <v>6.0</v>
      </c>
      <c r="E244" s="132">
        <f>IFERROR(__xludf.DUMMYFUNCTION("IF(ISBLANK(A244),"""", googlefinance(A244, ""price""))"),260.29)</f>
        <v>260.29</v>
      </c>
      <c r="F244" s="213" t="s">
        <v>101</v>
      </c>
      <c r="G244" s="213" t="s">
        <v>134</v>
      </c>
      <c r="H244" s="213" t="s">
        <v>103</v>
      </c>
      <c r="I244" s="136">
        <f t="shared" si="45"/>
        <v>0.001619909189</v>
      </c>
      <c r="J244" s="140">
        <f>IFERROR(__xludf.DUMMYFUNCTION("IfError(IF(isblank(A244),"""",split(O244, ""()"")))"),1.04)</f>
        <v>1.04</v>
      </c>
      <c r="K244" s="136">
        <f>IFERROR(__xludf.DUMMYFUNCTION("""COMPUTED_VALUE"""),0.004)</f>
        <v>0.004</v>
      </c>
      <c r="L244" s="135">
        <f t="shared" si="46"/>
        <v>1561.74</v>
      </c>
      <c r="M244" s="135">
        <f t="shared" si="47"/>
        <v>6.24</v>
      </c>
      <c r="N244" s="136">
        <f t="shared" si="48"/>
        <v>0.0008309629582</v>
      </c>
      <c r="O244" s="178" t="str">
        <f>IFERROR(__xludf.DUMMYFUNCTION("LET(t, A244,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"),"1.04 (0.40%)")</f>
        <v>1.04 (0.40%)</v>
      </c>
      <c r="Q244" s="417"/>
      <c r="S244" s="417"/>
      <c r="AA244" s="186"/>
    </row>
    <row r="245">
      <c r="A245" s="149" t="s">
        <v>316</v>
      </c>
      <c r="B245" s="128" t="str">
        <f>IFERROR(__xludf.DUMMYFUNCTION("IF(ISBLANK(A245),"""", googlefinance(A245, ""name""))"),"Chipotle Mexican Grill Inc")</f>
        <v>Chipotle Mexican Grill Inc</v>
      </c>
      <c r="C245" s="129" t="str">
        <f t="shared" si="44"/>
        <v>View</v>
      </c>
      <c r="D245" s="176">
        <v>800.0</v>
      </c>
      <c r="E245" s="132">
        <f>IFERROR(__xludf.DUMMYFUNCTION("IF(ISBLANK(A245),"""", googlefinance(A245, ""price""))"),37.06)</f>
        <v>37.06</v>
      </c>
      <c r="F245" s="213" t="s">
        <v>101</v>
      </c>
      <c r="G245" s="213" t="s">
        <v>134</v>
      </c>
      <c r="H245" s="213" t="s">
        <v>103</v>
      </c>
      <c r="I245" s="136">
        <f t="shared" si="45"/>
        <v>0.03075228121</v>
      </c>
      <c r="J245" s="140" t="str">
        <f>IFERROR(__xludf.DUMMYFUNCTION("IfError(IF(isblank(A245),"""",split(O245, ""()"")))"),"-")</f>
        <v>-</v>
      </c>
      <c r="K245" s="136"/>
      <c r="L245" s="135">
        <f t="shared" si="46"/>
        <v>29648</v>
      </c>
      <c r="M245" s="135" t="str">
        <f t="shared" si="47"/>
        <v/>
      </c>
      <c r="N245" s="136">
        <f t="shared" si="48"/>
        <v>0</v>
      </c>
      <c r="O245" s="178" t="str">
        <f>IFERROR(__xludf.DUMMYFUNCTION("LET(t, A245,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v>
      </c>
      <c r="Q245" s="417"/>
      <c r="S245" s="417"/>
      <c r="AA245" s="186"/>
    </row>
    <row r="246">
      <c r="A246" s="149" t="s">
        <v>411</v>
      </c>
      <c r="B246" s="128" t="str">
        <f>IFERROR(__xludf.DUMMYFUNCTION("IF(ISBLANK(A246),"""", googlefinance(A246, ""name""))"),"Union Pacific Corp")</f>
        <v>Union Pacific Corp</v>
      </c>
      <c r="C246" s="129" t="str">
        <f t="shared" si="44"/>
        <v>View</v>
      </c>
      <c r="D246" s="176">
        <v>145.0</v>
      </c>
      <c r="E246" s="132">
        <f>IFERROR(__xludf.DUMMYFUNCTION("IF(ISBLANK(A246),"""", googlefinance(A246, ""price""))"),260.2)</f>
        <v>260.2</v>
      </c>
      <c r="F246" s="213" t="s">
        <v>101</v>
      </c>
      <c r="G246" s="213" t="s">
        <v>134</v>
      </c>
      <c r="H246" s="213" t="s">
        <v>113</v>
      </c>
      <c r="I246" s="136">
        <f t="shared" si="45"/>
        <v>0.03913426935</v>
      </c>
      <c r="J246" s="140">
        <f>IFERROR(__xludf.DUMMYFUNCTION("IfError(IF(isblank(A246),"""",split(O246, ""()"")))"),5.48)</f>
        <v>5.48</v>
      </c>
      <c r="K246" s="136">
        <f>IFERROR(__xludf.DUMMYFUNCTION("""COMPUTED_VALUE"""),0.0211)</f>
        <v>0.0211</v>
      </c>
      <c r="L246" s="135">
        <f t="shared" si="46"/>
        <v>37729</v>
      </c>
      <c r="M246" s="135">
        <f t="shared" si="47"/>
        <v>794.6</v>
      </c>
      <c r="N246" s="136">
        <f t="shared" si="48"/>
        <v>0.10581461</v>
      </c>
      <c r="O246" s="178" t="str">
        <f>IFERROR(__xludf.DUMMYFUNCTION("LET(t, A246,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"),"5.48 (2.11%)")</f>
        <v>5.48 (2.11%)</v>
      </c>
      <c r="Q246" s="417"/>
      <c r="S246" s="417"/>
      <c r="AA246" s="186"/>
    </row>
    <row r="247">
      <c r="A247" s="149" t="s">
        <v>400</v>
      </c>
      <c r="B247" s="128" t="str">
        <f>IFERROR(__xludf.DUMMYFUNCTION("IF(ISBLANK(A247),"""", googlefinance(A247, ""name""))"),"Salesforce Inc")</f>
        <v>Salesforce Inc</v>
      </c>
      <c r="C247" s="129" t="str">
        <f t="shared" si="44"/>
        <v>View</v>
      </c>
      <c r="D247" s="176">
        <v>220.0</v>
      </c>
      <c r="E247" s="132">
        <f>IFERROR(__xludf.DUMMYFUNCTION("IF(ISBLANK(A247),"""", googlefinance(A247, ""price""))"),201.39)</f>
        <v>201.39</v>
      </c>
      <c r="F247" s="213" t="s">
        <v>101</v>
      </c>
      <c r="G247" s="213"/>
      <c r="H247" s="213" t="s">
        <v>103</v>
      </c>
      <c r="I247" s="136">
        <f t="shared" si="45"/>
        <v>0.04595603146</v>
      </c>
      <c r="J247" s="140">
        <f>IFERROR(__xludf.DUMMYFUNCTION("IfError(IF(isblank(A247),"""",split(O247, ""()"")))"),1.66)</f>
        <v>1.66</v>
      </c>
      <c r="K247" s="136">
        <f>IFERROR(__xludf.DUMMYFUNCTION("""COMPUTED_VALUE"""),0.0083)</f>
        <v>0.0083</v>
      </c>
      <c r="L247" s="135">
        <f t="shared" si="46"/>
        <v>44305.8</v>
      </c>
      <c r="M247" s="135">
        <f t="shared" si="47"/>
        <v>365.2</v>
      </c>
      <c r="N247" s="136">
        <f t="shared" si="48"/>
        <v>0.0486326398</v>
      </c>
      <c r="O247" s="178" t="str">
        <f>IFERROR(__xludf.DUMMYFUNCTION("LET(t, A247,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"),"1.66 (0.83%)")</f>
        <v>1.66 (0.83%)</v>
      </c>
      <c r="Q247" s="417"/>
      <c r="S247" s="417"/>
      <c r="AA247" s="186"/>
    </row>
    <row r="248">
      <c r="A248" s="149" t="s">
        <v>392</v>
      </c>
      <c r="B248" s="128" t="str">
        <f>IFERROR(__xludf.DUMMYFUNCTION("IF(ISBLANK(A248),"""", googlefinance(A248, ""name""))"),"Alphabet Inc Class C")</f>
        <v>Alphabet Inc Class C</v>
      </c>
      <c r="C248" s="129" t="str">
        <f t="shared" si="44"/>
        <v>View</v>
      </c>
      <c r="D248" s="176">
        <v>285.0</v>
      </c>
      <c r="E248" s="132">
        <f>IFERROR(__xludf.DUMMYFUNCTION("IF(ISBLANK(A248),"""", googlefinance(A248, ""price""))"),300.91)</f>
        <v>300.91</v>
      </c>
      <c r="F248" s="213" t="s">
        <v>101</v>
      </c>
      <c r="G248" s="213"/>
      <c r="H248" s="213" t="s">
        <v>103</v>
      </c>
      <c r="I248" s="136">
        <f t="shared" si="45"/>
        <v>0.08895357688</v>
      </c>
      <c r="J248" s="140">
        <f>IFERROR(__xludf.DUMMYFUNCTION("IfError(IF(isblank(A248),"""",split(O248, ""()"")))"),0.83)</f>
        <v>0.83</v>
      </c>
      <c r="K248" s="136">
        <f>IFERROR(__xludf.DUMMYFUNCTION("""COMPUTED_VALUE"""),0.0028)</f>
        <v>0.0028</v>
      </c>
      <c r="L248" s="135">
        <f t="shared" si="46"/>
        <v>85759.35</v>
      </c>
      <c r="M248" s="135">
        <f t="shared" si="47"/>
        <v>236.55</v>
      </c>
      <c r="N248" s="136">
        <f t="shared" si="48"/>
        <v>0.03150068714</v>
      </c>
      <c r="O248" s="178" t="str">
        <f>IFERROR(__xludf.DUMMYFUNCTION("LET(t, A248,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"),"0.83 (0.28%)")</f>
        <v>0.83 (0.28%)</v>
      </c>
      <c r="Q248" s="417"/>
      <c r="S248" s="417"/>
      <c r="AA248" s="186"/>
    </row>
    <row r="249">
      <c r="A249" s="149" t="s">
        <v>389</v>
      </c>
      <c r="B249" s="128" t="str">
        <f>IFERROR(__xludf.DUMMYFUNCTION("IF(ISBLANK(A249),"""", googlefinance(A249, ""name""))"),"ASML Holding NV")</f>
        <v>ASML Holding NV</v>
      </c>
      <c r="C249" s="129" t="str">
        <f t="shared" si="44"/>
        <v>View</v>
      </c>
      <c r="D249" s="176">
        <v>65.0</v>
      </c>
      <c r="E249" s="132">
        <f>IFERROR(__xludf.DUMMYFUNCTION("IF(ISBLANK(A249),"""", googlefinance(A249, ""price""))"),1368.36)</f>
        <v>1368.36</v>
      </c>
      <c r="F249" s="213" t="s">
        <v>101</v>
      </c>
      <c r="G249" s="213"/>
      <c r="H249" s="213" t="s">
        <v>103</v>
      </c>
      <c r="I249" s="136">
        <f t="shared" si="45"/>
        <v>0.09225622127</v>
      </c>
      <c r="J249" s="140">
        <f>IFERROR(__xludf.DUMMYFUNCTION("IfError(IF(isblank(A249),"""",split(O249, ""()"")))"),7.71)</f>
        <v>7.71</v>
      </c>
      <c r="K249" s="136">
        <f>IFERROR(__xludf.DUMMYFUNCTION("""COMPUTED_VALUE"""),0.0056)</f>
        <v>0.0056</v>
      </c>
      <c r="L249" s="135">
        <f t="shared" si="46"/>
        <v>88943.4</v>
      </c>
      <c r="M249" s="135">
        <f t="shared" si="47"/>
        <v>501.15</v>
      </c>
      <c r="N249" s="136">
        <f t="shared" si="48"/>
        <v>0.06673671258</v>
      </c>
      <c r="O249" s="178" t="str">
        <f>IFERROR(__xludf.DUMMYFUNCTION("LET(t, A249,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"),"7.71 (0.56%)")</f>
        <v>7.71 (0.56%)</v>
      </c>
      <c r="Q249" s="417"/>
      <c r="S249" s="417"/>
      <c r="AA249" s="186"/>
    </row>
    <row r="250">
      <c r="A250" s="149"/>
      <c r="B250" s="128" t="str">
        <f>IFERROR(__xludf.DUMMYFUNCTION("IF(ISBLANK(A250),"""", googlefinance(A250, ""name""))"),"")</f>
        <v/>
      </c>
      <c r="C250" s="175" t="str">
        <f t="shared" si="44"/>
        <v/>
      </c>
      <c r="D250" s="176"/>
      <c r="E250" s="132" t="str">
        <f>IFERROR(__xludf.DUMMYFUNCTION("IF(ISBLANK(A250),"""", googlefinance(A250, ""price""))"),"")</f>
        <v/>
      </c>
      <c r="F250" s="213" t="s">
        <v>133</v>
      </c>
      <c r="G250" s="213"/>
      <c r="H250" s="213" t="s">
        <v>134</v>
      </c>
      <c r="I250" s="136" t="str">
        <f t="shared" si="45"/>
        <v/>
      </c>
      <c r="J250" s="140" t="str">
        <f>IFERROR(__xludf.DUMMYFUNCTION("IfError(IF(isblank(A250),"""",split(O250, ""()"")))"),"")</f>
        <v/>
      </c>
      <c r="K250" s="136"/>
      <c r="L250" s="135" t="str">
        <f t="shared" si="46"/>
        <v/>
      </c>
      <c r="M250" s="135" t="str">
        <f t="shared" si="47"/>
        <v/>
      </c>
      <c r="N250" s="136" t="str">
        <f t="shared" si="48"/>
        <v/>
      </c>
      <c r="O250" s="178" t="str">
        <f>IFERROR(__xludf.DUMMYFUNCTION("LET(t, A250,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0" s="417"/>
      <c r="S250" s="417"/>
      <c r="AA250" s="186"/>
    </row>
    <row r="251">
      <c r="A251" s="149"/>
      <c r="B251" s="128" t="str">
        <f>IFERROR(__xludf.DUMMYFUNCTION("IF(ISBLANK(A251),"""", googlefinance(A251, ""name""))"),"")</f>
        <v/>
      </c>
      <c r="C251" s="175" t="str">
        <f t="shared" si="44"/>
        <v/>
      </c>
      <c r="D251" s="176"/>
      <c r="E251" s="132" t="str">
        <f>IFERROR(__xludf.DUMMYFUNCTION("IF(ISBLANK(A251),"""", googlefinance(A251, ""price""))"),"")</f>
        <v/>
      </c>
      <c r="F251" s="213" t="s">
        <v>133</v>
      </c>
      <c r="G251" s="213"/>
      <c r="H251" s="213" t="s">
        <v>134</v>
      </c>
      <c r="I251" s="136" t="str">
        <f t="shared" si="45"/>
        <v/>
      </c>
      <c r="J251" s="140" t="str">
        <f>IFERROR(__xludf.DUMMYFUNCTION("IfError(IF(isblank(A251),"""",split(O251, ""()"")))"),"")</f>
        <v/>
      </c>
      <c r="K251" s="136"/>
      <c r="L251" s="135" t="str">
        <f t="shared" si="46"/>
        <v/>
      </c>
      <c r="M251" s="135" t="str">
        <f t="shared" si="47"/>
        <v/>
      </c>
      <c r="N251" s="136" t="str">
        <f t="shared" si="48"/>
        <v/>
      </c>
      <c r="O251" s="178" t="str">
        <f>IFERROR(__xludf.DUMMYFUNCTION("LET(t, A251,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1" s="417"/>
      <c r="S251" s="417"/>
      <c r="AA251" s="186"/>
    </row>
    <row r="252">
      <c r="A252" s="149"/>
      <c r="B252" s="128" t="str">
        <f>IFERROR(__xludf.DUMMYFUNCTION("IF(ISBLANK(A252),"""", googlefinance(A252, ""name""))"),"")</f>
        <v/>
      </c>
      <c r="C252" s="175" t="str">
        <f t="shared" si="44"/>
        <v/>
      </c>
      <c r="D252" s="176"/>
      <c r="E252" s="132" t="str">
        <f>IFERROR(__xludf.DUMMYFUNCTION("IF(ISBLANK(A252),"""", googlefinance(A252, ""price""))"),"")</f>
        <v/>
      </c>
      <c r="F252" s="213" t="s">
        <v>133</v>
      </c>
      <c r="G252" s="213"/>
      <c r="H252" s="213" t="s">
        <v>134</v>
      </c>
      <c r="I252" s="136" t="str">
        <f t="shared" si="45"/>
        <v/>
      </c>
      <c r="J252" s="140" t="str">
        <f>IFERROR(__xludf.DUMMYFUNCTION("IfError(IF(isblank(A252),"""",split(O252, ""()"")))"),"")</f>
        <v/>
      </c>
      <c r="K252" s="136"/>
      <c r="L252" s="135" t="str">
        <f t="shared" si="46"/>
        <v/>
      </c>
      <c r="M252" s="135" t="str">
        <f t="shared" si="47"/>
        <v/>
      </c>
      <c r="N252" s="136" t="str">
        <f t="shared" si="48"/>
        <v/>
      </c>
      <c r="O252" s="178" t="str">
        <f>IFERROR(__xludf.DUMMYFUNCTION("LET(t, A252,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2" s="417"/>
      <c r="S252" s="417"/>
      <c r="AA252" s="186"/>
    </row>
    <row r="253">
      <c r="A253" s="149"/>
      <c r="B253" s="128" t="str">
        <f>IFERROR(__xludf.DUMMYFUNCTION("IF(ISBLANK(A253),"""", googlefinance(A253, ""name""))"),"")</f>
        <v/>
      </c>
      <c r="C253" s="175" t="str">
        <f t="shared" si="44"/>
        <v/>
      </c>
      <c r="D253" s="176"/>
      <c r="E253" s="132" t="str">
        <f>IFERROR(__xludf.DUMMYFUNCTION("IF(ISBLANK(A253),"""", googlefinance(A253, ""price""))"),"")</f>
        <v/>
      </c>
      <c r="F253" s="213" t="s">
        <v>133</v>
      </c>
      <c r="G253" s="213"/>
      <c r="H253" s="213" t="s">
        <v>134</v>
      </c>
      <c r="I253" s="136" t="str">
        <f t="shared" si="45"/>
        <v/>
      </c>
      <c r="J253" s="140" t="str">
        <f>IFERROR(__xludf.DUMMYFUNCTION("IfError(IF(isblank(A253),"""",split(O253, ""()"")))"),"")</f>
        <v/>
      </c>
      <c r="K253" s="136"/>
      <c r="L253" s="135" t="str">
        <f t="shared" si="46"/>
        <v/>
      </c>
      <c r="M253" s="135" t="str">
        <f t="shared" si="47"/>
        <v/>
      </c>
      <c r="N253" s="136" t="str">
        <f t="shared" si="48"/>
        <v/>
      </c>
      <c r="O253" s="178" t="str">
        <f>IFERROR(__xludf.DUMMYFUNCTION("LET(t, A253,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3" s="417"/>
      <c r="S253" s="417"/>
      <c r="AA253" s="186"/>
    </row>
    <row r="254">
      <c r="A254" s="149"/>
      <c r="B254" s="128" t="str">
        <f>IFERROR(__xludf.DUMMYFUNCTION("IF(ISBLANK(A254),"""", googlefinance(A254, ""name""))"),"")</f>
        <v/>
      </c>
      <c r="C254" s="175" t="str">
        <f t="shared" si="44"/>
        <v/>
      </c>
      <c r="D254" s="176"/>
      <c r="E254" s="132" t="str">
        <f>IFERROR(__xludf.DUMMYFUNCTION("IF(ISBLANK(A254),"""", googlefinance(A254, ""price""))"),"")</f>
        <v/>
      </c>
      <c r="F254" s="213" t="s">
        <v>133</v>
      </c>
      <c r="G254" s="213"/>
      <c r="H254" s="213" t="s">
        <v>134</v>
      </c>
      <c r="I254" s="136" t="str">
        <f t="shared" si="45"/>
        <v/>
      </c>
      <c r="J254" s="140" t="str">
        <f>IFERROR(__xludf.DUMMYFUNCTION("IfError(IF(isblank(A254),"""",split(O254, ""()"")))"),"")</f>
        <v/>
      </c>
      <c r="K254" s="136"/>
      <c r="L254" s="135" t="str">
        <f t="shared" si="46"/>
        <v/>
      </c>
      <c r="M254" s="135" t="str">
        <f t="shared" si="47"/>
        <v/>
      </c>
      <c r="N254" s="136" t="str">
        <f t="shared" si="48"/>
        <v/>
      </c>
      <c r="O254" s="178" t="str">
        <f>IFERROR(__xludf.DUMMYFUNCTION("LET(t, A254,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4" s="417"/>
      <c r="S254" s="417"/>
      <c r="AA254" s="186"/>
    </row>
    <row r="255">
      <c r="A255" s="149"/>
      <c r="B255" s="128" t="str">
        <f>IFERROR(__xludf.DUMMYFUNCTION("IF(ISBLANK(A255),"""", googlefinance(A255, ""name""))"),"")</f>
        <v/>
      </c>
      <c r="C255" s="175" t="str">
        <f t="shared" si="44"/>
        <v/>
      </c>
      <c r="D255" s="176"/>
      <c r="E255" s="132" t="str">
        <f>IFERROR(__xludf.DUMMYFUNCTION("IF(ISBLANK(A255),"""", googlefinance(A255, ""price""))"),"")</f>
        <v/>
      </c>
      <c r="F255" s="213" t="s">
        <v>133</v>
      </c>
      <c r="G255" s="213"/>
      <c r="H255" s="213" t="s">
        <v>134</v>
      </c>
      <c r="I255" s="136" t="str">
        <f t="shared" si="45"/>
        <v/>
      </c>
      <c r="J255" s="140" t="str">
        <f>IFERROR(__xludf.DUMMYFUNCTION("IfError(IF(isblank(A255),"""",split(O255, ""()"")))"),"")</f>
        <v/>
      </c>
      <c r="K255" s="136"/>
      <c r="L255" s="135" t="str">
        <f t="shared" si="46"/>
        <v/>
      </c>
      <c r="M255" s="135" t="str">
        <f t="shared" si="47"/>
        <v/>
      </c>
      <c r="N255" s="136" t="str">
        <f t="shared" si="48"/>
        <v/>
      </c>
      <c r="O255" s="178" t="str">
        <f>IFERROR(__xludf.DUMMYFUNCTION("LET(t, A255,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5" s="417"/>
      <c r="S255" s="417"/>
      <c r="AA255" s="186"/>
    </row>
    <row r="256">
      <c r="A256" s="149"/>
      <c r="B256" s="128" t="str">
        <f>IFERROR(__xludf.DUMMYFUNCTION("IF(ISBLANK(A256),"""", googlefinance(A256, ""name""))"),"")</f>
        <v/>
      </c>
      <c r="C256" s="175" t="str">
        <f t="shared" si="44"/>
        <v/>
      </c>
      <c r="D256" s="176"/>
      <c r="E256" s="132" t="str">
        <f>IFERROR(__xludf.DUMMYFUNCTION("IF(ISBLANK(A256),"""", googlefinance(A256, ""price""))"),"")</f>
        <v/>
      </c>
      <c r="F256" s="213" t="s">
        <v>133</v>
      </c>
      <c r="G256" s="213"/>
      <c r="H256" s="213" t="s">
        <v>134</v>
      </c>
      <c r="I256" s="136" t="str">
        <f t="shared" si="45"/>
        <v/>
      </c>
      <c r="J256" s="140" t="str">
        <f>IFERROR(__xludf.DUMMYFUNCTION("IfError(IF(isblank(A256),"""",split(O256, ""()"")))"),"")</f>
        <v/>
      </c>
      <c r="K256" s="136"/>
      <c r="L256" s="135" t="str">
        <f t="shared" si="46"/>
        <v/>
      </c>
      <c r="M256" s="135" t="str">
        <f t="shared" si="47"/>
        <v/>
      </c>
      <c r="N256" s="136" t="str">
        <f t="shared" si="48"/>
        <v/>
      </c>
      <c r="O256" s="178" t="str">
        <f>IFERROR(__xludf.DUMMYFUNCTION("LET(t, A256,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6" s="417"/>
      <c r="S256" s="417"/>
      <c r="AA256" s="186"/>
    </row>
    <row r="257">
      <c r="A257" s="149"/>
      <c r="B257" s="128" t="str">
        <f>IFERROR(__xludf.DUMMYFUNCTION("IF(ISBLANK(A257),"""", googlefinance(A257, ""name""))"),"")</f>
        <v/>
      </c>
      <c r="C257" s="175" t="str">
        <f t="shared" si="44"/>
        <v/>
      </c>
      <c r="D257" s="176"/>
      <c r="E257" s="132" t="str">
        <f>IFERROR(__xludf.DUMMYFUNCTION("IF(ISBLANK(A257),"""", googlefinance(A257, ""price""))"),"")</f>
        <v/>
      </c>
      <c r="F257" s="213" t="s">
        <v>133</v>
      </c>
      <c r="G257" s="213"/>
      <c r="H257" s="213" t="s">
        <v>134</v>
      </c>
      <c r="I257" s="136" t="str">
        <f t="shared" si="45"/>
        <v/>
      </c>
      <c r="J257" s="140" t="str">
        <f>IFERROR(__xludf.DUMMYFUNCTION("IfError(IF(isblank(A257),"""",split(O257, ""()"")))"),"")</f>
        <v/>
      </c>
      <c r="K257" s="136"/>
      <c r="L257" s="135" t="str">
        <f t="shared" si="46"/>
        <v/>
      </c>
      <c r="M257" s="135" t="str">
        <f t="shared" si="47"/>
        <v/>
      </c>
      <c r="N257" s="136" t="str">
        <f t="shared" si="48"/>
        <v/>
      </c>
      <c r="O257" s="178" t="str">
        <f>IFERROR(__xludf.DUMMYFUNCTION("LET(t, A257,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7" s="417"/>
      <c r="S257" s="417"/>
      <c r="AA257" s="186"/>
    </row>
    <row r="258">
      <c r="A258" s="149"/>
      <c r="B258" s="128" t="str">
        <f>IFERROR(__xludf.DUMMYFUNCTION("IF(ISBLANK(A258),"""", googlefinance(A258, ""name""))"),"")</f>
        <v/>
      </c>
      <c r="C258" s="175" t="str">
        <f t="shared" si="44"/>
        <v/>
      </c>
      <c r="D258" s="176"/>
      <c r="E258" s="132" t="str">
        <f>IFERROR(__xludf.DUMMYFUNCTION("IF(ISBLANK(A258),"""", googlefinance(A258, ""price""))"),"")</f>
        <v/>
      </c>
      <c r="F258" s="213" t="s">
        <v>133</v>
      </c>
      <c r="G258" s="213"/>
      <c r="H258" s="213" t="s">
        <v>134</v>
      </c>
      <c r="I258" s="136" t="str">
        <f t="shared" si="45"/>
        <v/>
      </c>
      <c r="J258" s="140" t="str">
        <f>IFERROR(__xludf.DUMMYFUNCTION("IfError(IF(isblank(A258),"""",split(O258, ""()"")))"),"")</f>
        <v/>
      </c>
      <c r="K258" s="136"/>
      <c r="L258" s="135" t="str">
        <f t="shared" si="46"/>
        <v/>
      </c>
      <c r="M258" s="135" t="str">
        <f t="shared" si="47"/>
        <v/>
      </c>
      <c r="N258" s="136" t="str">
        <f t="shared" si="48"/>
        <v/>
      </c>
      <c r="O258" s="178" t="str">
        <f>IFERROR(__xludf.DUMMYFUNCTION("LET(t, A258,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8" s="417"/>
      <c r="S258" s="417"/>
      <c r="AA258" s="186"/>
    </row>
    <row r="259">
      <c r="A259" s="149"/>
      <c r="B259" s="128" t="str">
        <f>IFERROR(__xludf.DUMMYFUNCTION("IF(ISBLANK(A259),"""", googlefinance(A259, ""name""))"),"")</f>
        <v/>
      </c>
      <c r="C259" s="175" t="str">
        <f t="shared" si="44"/>
        <v/>
      </c>
      <c r="D259" s="176"/>
      <c r="E259" s="132" t="str">
        <f>IFERROR(__xludf.DUMMYFUNCTION("IF(ISBLANK(A259),"""", googlefinance(A259, ""price""))"),"")</f>
        <v/>
      </c>
      <c r="F259" s="213" t="s">
        <v>133</v>
      </c>
      <c r="G259" s="213"/>
      <c r="H259" s="213" t="s">
        <v>134</v>
      </c>
      <c r="I259" s="136" t="str">
        <f t="shared" si="45"/>
        <v/>
      </c>
      <c r="J259" s="140" t="str">
        <f>IFERROR(__xludf.DUMMYFUNCTION("IfError(IF(isblank(A259),"""",split(O259, ""()"")))"),"")</f>
        <v/>
      </c>
      <c r="K259" s="136"/>
      <c r="L259" s="135" t="str">
        <f t="shared" si="46"/>
        <v/>
      </c>
      <c r="M259" s="135" t="str">
        <f t="shared" si="47"/>
        <v/>
      </c>
      <c r="N259" s="136" t="str">
        <f t="shared" si="48"/>
        <v/>
      </c>
      <c r="O259" s="178" t="str">
        <f>IFERROR(__xludf.DUMMYFUNCTION("LET(t, A259,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59" s="417"/>
      <c r="S259" s="417"/>
      <c r="AA259" s="186"/>
    </row>
    <row r="260">
      <c r="A260" s="149"/>
      <c r="B260" s="128" t="str">
        <f>IFERROR(__xludf.DUMMYFUNCTION("IF(ISBLANK(A260),"""", googlefinance(A260, ""name""))"),"")</f>
        <v/>
      </c>
      <c r="C260" s="175" t="str">
        <f t="shared" si="44"/>
        <v/>
      </c>
      <c r="D260" s="176"/>
      <c r="E260" s="132" t="str">
        <f>IFERROR(__xludf.DUMMYFUNCTION("IF(ISBLANK(A260),"""", googlefinance(A260, ""price""))"),"")</f>
        <v/>
      </c>
      <c r="F260" s="213" t="s">
        <v>133</v>
      </c>
      <c r="G260" s="213"/>
      <c r="H260" s="213" t="s">
        <v>134</v>
      </c>
      <c r="I260" s="136" t="str">
        <f t="shared" si="45"/>
        <v/>
      </c>
      <c r="J260" s="140" t="str">
        <f>IFERROR(__xludf.DUMMYFUNCTION("IfError(IF(isblank(A260),"""",split(O260, ""()"")))"),"")</f>
        <v/>
      </c>
      <c r="K260" s="136"/>
      <c r="L260" s="135" t="str">
        <f t="shared" si="46"/>
        <v/>
      </c>
      <c r="M260" s="135" t="str">
        <f t="shared" si="47"/>
        <v/>
      </c>
      <c r="N260" s="136" t="str">
        <f t="shared" si="48"/>
        <v/>
      </c>
      <c r="O260" s="178" t="str">
        <f>IFERROR(__xludf.DUMMYFUNCTION("LET(t, A260,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60" s="417"/>
      <c r="S260" s="417"/>
      <c r="AA260" s="186"/>
    </row>
    <row r="261">
      <c r="A261" s="149"/>
      <c r="B261" s="128"/>
      <c r="C261" s="175"/>
      <c r="D261" s="176"/>
      <c r="E261" s="132"/>
      <c r="F261" s="213" t="s">
        <v>133</v>
      </c>
      <c r="G261" s="213"/>
      <c r="H261" s="213" t="s">
        <v>134</v>
      </c>
      <c r="I261" s="136" t="str">
        <f t="shared" si="45"/>
        <v/>
      </c>
      <c r="J261" s="140"/>
      <c r="K261" s="136"/>
      <c r="L261" s="135"/>
      <c r="M261" s="135"/>
      <c r="N261" s="136" t="str">
        <f t="shared" si="48"/>
        <v/>
      </c>
      <c r="O261" s="178" t="str">
        <f>IFERROR(__xludf.DUMMYFUNCTION("LET(t, A261,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61" s="417"/>
      <c r="S261" s="417"/>
      <c r="AA261" s="186"/>
    </row>
    <row r="262">
      <c r="A262" s="149"/>
      <c r="B262" s="128"/>
      <c r="C262" s="175"/>
      <c r="D262" s="176"/>
      <c r="E262" s="132"/>
      <c r="F262" s="213" t="s">
        <v>133</v>
      </c>
      <c r="G262" s="213"/>
      <c r="H262" s="213" t="s">
        <v>134</v>
      </c>
      <c r="I262" s="136" t="str">
        <f t="shared" si="45"/>
        <v/>
      </c>
      <c r="J262" s="140"/>
      <c r="K262" s="136"/>
      <c r="L262" s="135"/>
      <c r="M262" s="135"/>
      <c r="N262" s="136" t="str">
        <f t="shared" si="48"/>
        <v/>
      </c>
      <c r="O262" s="178" t="str">
        <f>IFERROR(__xludf.DUMMYFUNCTION("LET(t, A262,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62" s="417"/>
      <c r="S262" s="417"/>
      <c r="AA262" s="186"/>
    </row>
    <row r="263">
      <c r="A263" s="179">
        <f>COUNTA(A233:A262)</f>
        <v>17</v>
      </c>
      <c r="B263" s="180" t="s">
        <v>341</v>
      </c>
      <c r="C263" s="413">
        <v>45717.0</v>
      </c>
      <c r="D263" s="414" t="s">
        <v>412</v>
      </c>
      <c r="E263" s="181"/>
      <c r="F263" s="179"/>
      <c r="G263" s="179"/>
      <c r="H263" s="179"/>
      <c r="I263" s="182">
        <f>SUM(I233:I262)</f>
        <v>1</v>
      </c>
      <c r="J263" s="181"/>
      <c r="K263" s="182">
        <f>M263/L263</f>
        <v>0.007789056611</v>
      </c>
      <c r="L263" s="181">
        <f t="shared" ref="L263:N263" si="49">SUM(L233:L262)</f>
        <v>964091.08</v>
      </c>
      <c r="M263" s="181">
        <f t="shared" si="49"/>
        <v>7509.36</v>
      </c>
      <c r="N263" s="182">
        <f t="shared" si="49"/>
        <v>1</v>
      </c>
      <c r="O263" s="184"/>
      <c r="Q263" s="417"/>
      <c r="S263" s="417"/>
      <c r="AA263" s="186"/>
    </row>
    <row r="264">
      <c r="Q264" s="417"/>
      <c r="S264" s="417"/>
      <c r="AA264" s="186"/>
    </row>
    <row r="265">
      <c r="A265" s="116" t="s">
        <v>413</v>
      </c>
      <c r="B265" s="117" t="s">
        <v>72</v>
      </c>
      <c r="C265" s="117" t="s">
        <v>73</v>
      </c>
      <c r="D265" s="117" t="s">
        <v>74</v>
      </c>
      <c r="E265" s="118" t="s">
        <v>76</v>
      </c>
      <c r="F265" s="117" t="s">
        <v>85</v>
      </c>
      <c r="G265" s="117" t="s">
        <v>86</v>
      </c>
      <c r="H265" s="117" t="s">
        <v>87</v>
      </c>
      <c r="I265" s="121" t="s">
        <v>88</v>
      </c>
      <c r="J265" s="118" t="s">
        <v>89</v>
      </c>
      <c r="K265" s="121" t="s">
        <v>12</v>
      </c>
      <c r="L265" s="118" t="s">
        <v>9</v>
      </c>
      <c r="M265" s="117" t="s">
        <v>91</v>
      </c>
      <c r="N265" s="117" t="s">
        <v>92</v>
      </c>
      <c r="O265" s="118" t="s">
        <v>99</v>
      </c>
      <c r="Q265" s="417"/>
      <c r="S265" s="417"/>
      <c r="AA265" s="186"/>
    </row>
    <row r="266">
      <c r="A266" s="149" t="s">
        <v>414</v>
      </c>
      <c r="B266" s="128" t="str">
        <f>IFERROR(__xludf.DUMMYFUNCTION("IF(ISBLANK(A266),"""", googlefinance(A266, ""name""))"),"Vanguard High Dividend Yield Index Fund ETF")</f>
        <v>Vanguard High Dividend Yield Index Fund ETF</v>
      </c>
      <c r="C266" s="129" t="str">
        <f t="shared" ref="C266:C293" si="50">IF(ISBLANK(A266),"", HYPERLINK("https://seekingalpha.com/symbol/" &amp; A266,"View"))</f>
        <v>View</v>
      </c>
      <c r="D266" s="176">
        <v>18.7</v>
      </c>
      <c r="E266" s="132">
        <f>IFERROR(__xludf.DUMMYFUNCTION("IF(ISBLANK(A266),"""", googlefinance(A266, ""price""))"),152.07)</f>
        <v>152.07</v>
      </c>
      <c r="F266" s="213" t="s">
        <v>121</v>
      </c>
      <c r="G266" s="213" t="s">
        <v>134</v>
      </c>
      <c r="H266" s="213" t="s">
        <v>113</v>
      </c>
      <c r="I266" s="136">
        <f t="shared" ref="I266:I295" si="51">if(isblank(A266),"",L266/$L$296)</f>
        <v>0.06421581265</v>
      </c>
      <c r="J266" s="140">
        <f>IFERROR(__xludf.DUMMYFUNCTION("IfError(IF(isblank(A266),"""",split(O266, ""()"")))"),3.5)</f>
        <v>3.5</v>
      </c>
      <c r="K266" s="136">
        <f>IFERROR(__xludf.DUMMYFUNCTION("""COMPUTED_VALUE"""),0.023)</f>
        <v>0.023</v>
      </c>
      <c r="L266" s="135">
        <f t="shared" ref="L266:L293" si="52">IF(ISBLANK(A266),"",D266*E266)</f>
        <v>2843.709</v>
      </c>
      <c r="M266" s="135">
        <f t="shared" ref="M266:M293" si="53">IFERROR(IF(ISBLANK(A266),"",D266*J266),"")</f>
        <v>65.45</v>
      </c>
      <c r="N266" s="136">
        <f t="shared" ref="N266:N295" si="54">if(isblank(A266),"",M266/$M$296)</f>
        <v>0.06010544764</v>
      </c>
      <c r="O266" s="178" t="str">
        <f>IFERROR(__xludf.DUMMYFUNCTION("LET(t, A266,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"),"3.50 (2.30%)")</f>
        <v>3.50 (2.30%)</v>
      </c>
      <c r="Q266" s="417"/>
      <c r="S266" s="417"/>
      <c r="AA266" s="186"/>
    </row>
    <row r="267">
      <c r="A267" s="149" t="s">
        <v>126</v>
      </c>
      <c r="B267" s="128" t="str">
        <f>IFERROR(__xludf.DUMMYFUNCTION("IF(ISBLANK(A267),"""", googlefinance(A267, ""name""))"),"Schwab US Dividend Equity ETF")</f>
        <v>Schwab US Dividend Equity ETF</v>
      </c>
      <c r="C267" s="129" t="str">
        <f t="shared" si="50"/>
        <v>View</v>
      </c>
      <c r="D267" s="176">
        <v>82.9</v>
      </c>
      <c r="E267" s="132">
        <f>IFERROR(__xludf.DUMMYFUNCTION("IF(ISBLANK(A267),"""", googlefinance(A267, ""price""))"),31.26)</f>
        <v>31.26</v>
      </c>
      <c r="F267" s="213" t="s">
        <v>121</v>
      </c>
      <c r="G267" s="213" t="s">
        <v>134</v>
      </c>
      <c r="H267" s="213" t="s">
        <v>113</v>
      </c>
      <c r="I267" s="136">
        <f t="shared" si="51"/>
        <v>0.05851946334</v>
      </c>
      <c r="J267" s="140">
        <f>IFERROR(__xludf.DUMMYFUNCTION("IfError(IF(isblank(A267),"""",split(O267, ""()"")))"),1.05)</f>
        <v>1.05</v>
      </c>
      <c r="K267" s="136">
        <f>IFERROR(__xludf.DUMMYFUNCTION("""COMPUTED_VALUE"""),0.0335)</f>
        <v>0.0335</v>
      </c>
      <c r="L267" s="135">
        <f t="shared" si="52"/>
        <v>2591.454</v>
      </c>
      <c r="M267" s="135">
        <f t="shared" si="53"/>
        <v>87.045</v>
      </c>
      <c r="N267" s="136">
        <f t="shared" si="54"/>
        <v>0.07993703116</v>
      </c>
      <c r="O267" s="178" t="str">
        <f>IFERROR(__xludf.DUMMYFUNCTION("LET(t, A267,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"),"1.05 (3.35%)")</f>
        <v>1.05 (3.35%)</v>
      </c>
      <c r="Q267" s="417"/>
      <c r="S267" s="417"/>
      <c r="AA267" s="186"/>
    </row>
    <row r="268">
      <c r="A268" s="149" t="s">
        <v>123</v>
      </c>
      <c r="B268" s="128" t="str">
        <f>IFERROR(__xludf.DUMMYFUNCTION("IF(ISBLANK(A268),"""", googlefinance(A268, ""name""))"),"Vanguard S&amp;P 500 ETF")</f>
        <v>Vanguard S&amp;P 500 ETF</v>
      </c>
      <c r="C268" s="129" t="str">
        <f t="shared" si="50"/>
        <v>View</v>
      </c>
      <c r="D268" s="176">
        <v>3.84</v>
      </c>
      <c r="E268" s="132">
        <f>IFERROR(__xludf.DUMMYFUNCTION("IF(ISBLANK(A268),"""", googlefinance(A268, ""price""))"),626.81)</f>
        <v>626.81</v>
      </c>
      <c r="F268" s="213" t="s">
        <v>121</v>
      </c>
      <c r="G268" s="213" t="s">
        <v>134</v>
      </c>
      <c r="H268" s="213" t="s">
        <v>124</v>
      </c>
      <c r="I268" s="136">
        <f t="shared" si="51"/>
        <v>0.0543530565</v>
      </c>
      <c r="J268" s="140">
        <f>IFERROR(__xludf.DUMMYFUNCTION("IfError(IF(isblank(A268),"""",split(O268, ""()"")))"),7.07)</f>
        <v>7.07</v>
      </c>
      <c r="K268" s="136">
        <f>IFERROR(__xludf.DUMMYFUNCTION("""COMPUTED_VALUE"""),0.0113)</f>
        <v>0.0113</v>
      </c>
      <c r="L268" s="135">
        <f t="shared" si="52"/>
        <v>2406.9504</v>
      </c>
      <c r="M268" s="135">
        <f t="shared" si="53"/>
        <v>27.1488</v>
      </c>
      <c r="N268" s="136">
        <f t="shared" si="54"/>
        <v>0.02493186825</v>
      </c>
      <c r="O268" s="178" t="str">
        <f>IFERROR(__xludf.DUMMYFUNCTION("LET(t, A268,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"),"7.07 (1.13%)")</f>
        <v>7.07 (1.13%)</v>
      </c>
      <c r="Q268" s="417"/>
      <c r="S268" s="417"/>
      <c r="AA268" s="186"/>
    </row>
    <row r="269">
      <c r="A269" s="149" t="s">
        <v>415</v>
      </c>
      <c r="B269" s="128" t="str">
        <f>IFERROR(__xludf.DUMMYFUNCTION("IF(ISBLANK(A269),"""", googlefinance(A269, ""name""))"),"McDonald's Corp")</f>
        <v>McDonald's Corp</v>
      </c>
      <c r="C269" s="129" t="str">
        <f t="shared" si="50"/>
        <v>View</v>
      </c>
      <c r="D269" s="176">
        <v>5.77</v>
      </c>
      <c r="E269" s="132">
        <f>IFERROR(__xludf.DUMMYFUNCTION("IF(ISBLANK(A269),"""", googlefinance(A269, ""price""))"),327.45)</f>
        <v>327.45</v>
      </c>
      <c r="F269" s="213" t="s">
        <v>101</v>
      </c>
      <c r="G269" s="213" t="s">
        <v>134</v>
      </c>
      <c r="H269" s="213" t="s">
        <v>113</v>
      </c>
      <c r="I269" s="136">
        <f t="shared" si="51"/>
        <v>0.04266557848</v>
      </c>
      <c r="J269" s="140">
        <f>IFERROR(__xludf.DUMMYFUNCTION("IfError(IF(isblank(A269),"""",split(O269, ""()"")))"),7.26)</f>
        <v>7.26</v>
      </c>
      <c r="K269" s="136">
        <f>IFERROR(__xludf.DUMMYFUNCTION("""COMPUTED_VALUE"""),0.0222)</f>
        <v>0.0222</v>
      </c>
      <c r="L269" s="135">
        <f t="shared" si="52"/>
        <v>1889.3865</v>
      </c>
      <c r="M269" s="135">
        <f t="shared" si="53"/>
        <v>41.8902</v>
      </c>
      <c r="N269" s="136">
        <f t="shared" si="54"/>
        <v>0.03846950684</v>
      </c>
      <c r="O269" s="178" t="str">
        <f>IFERROR(__xludf.DUMMYFUNCTION("LET(t, A269,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"),"7.26 (2.22%)")</f>
        <v>7.26 (2.22%)</v>
      </c>
      <c r="Q269" s="417"/>
      <c r="S269" s="417"/>
      <c r="AA269" s="186"/>
    </row>
    <row r="270">
      <c r="A270" s="149" t="s">
        <v>416</v>
      </c>
      <c r="B270" s="128" t="str">
        <f>IFERROR(__xludf.DUMMYFUNCTION("IF(ISBLANK(A270),"""", googlefinance(A270, ""name""))"),"Lockheed Martin Corp")</f>
        <v>Lockheed Martin Corp</v>
      </c>
      <c r="C270" s="129" t="str">
        <f t="shared" si="50"/>
        <v>View</v>
      </c>
      <c r="D270" s="176">
        <v>2.74</v>
      </c>
      <c r="E270" s="132">
        <f>IFERROR(__xludf.DUMMYFUNCTION("IF(ISBLANK(A270),"""", googlefinance(A270, ""price""))"),655.0)</f>
        <v>655</v>
      </c>
      <c r="F270" s="213" t="s">
        <v>101</v>
      </c>
      <c r="G270" s="213" t="s">
        <v>134</v>
      </c>
      <c r="H270" s="213" t="s">
        <v>113</v>
      </c>
      <c r="I270" s="136">
        <f t="shared" si="51"/>
        <v>0.04052739537</v>
      </c>
      <c r="J270" s="140">
        <f>IFERROR(__xludf.DUMMYFUNCTION("IfError(IF(isblank(A270),"""",split(O270, ""()"")))"),13.5)</f>
        <v>13.5</v>
      </c>
      <c r="K270" s="136">
        <f>IFERROR(__xludf.DUMMYFUNCTION("""COMPUTED_VALUE"""),0.0206)</f>
        <v>0.0206</v>
      </c>
      <c r="L270" s="135">
        <f t="shared" si="52"/>
        <v>1794.7</v>
      </c>
      <c r="M270" s="135">
        <f t="shared" si="53"/>
        <v>36.99</v>
      </c>
      <c r="N270" s="136">
        <f t="shared" si="54"/>
        <v>0.03396945009</v>
      </c>
      <c r="O270" s="178" t="str">
        <f>IFERROR(__xludf.DUMMYFUNCTION("LET(t, A270,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"),"13.50 (2.06%)")</f>
        <v>13.50 (2.06%)</v>
      </c>
      <c r="Q270" s="417"/>
      <c r="S270" s="417"/>
      <c r="AA270" s="186"/>
    </row>
    <row r="271">
      <c r="A271" s="149" t="s">
        <v>118</v>
      </c>
      <c r="B271" s="128" t="str">
        <f>IFERROR(__xludf.DUMMYFUNCTION("IF(ISBLANK(A271),"""", googlefinance(A271, ""name""))"),"UnitedHealth Group Inc")</f>
        <v>UnitedHealth Group Inc</v>
      </c>
      <c r="C271" s="129" t="str">
        <f t="shared" si="50"/>
        <v>View</v>
      </c>
      <c r="D271" s="176">
        <v>2.78</v>
      </c>
      <c r="E271" s="132">
        <f>IFERROR(__xludf.DUMMYFUNCTION("IF(ISBLANK(A271),"""", googlefinance(A271, ""price""))"),288.77)</f>
        <v>288.77</v>
      </c>
      <c r="F271" s="213" t="s">
        <v>101</v>
      </c>
      <c r="G271" s="213" t="s">
        <v>134</v>
      </c>
      <c r="H271" s="213" t="s">
        <v>103</v>
      </c>
      <c r="I271" s="136">
        <f t="shared" si="51"/>
        <v>0.0181281589</v>
      </c>
      <c r="J271" s="140">
        <f>IFERROR(__xludf.DUMMYFUNCTION("IfError(IF(isblank(A271),"""",split(O271, ""()"")))"),8.73)</f>
        <v>8.73</v>
      </c>
      <c r="K271" s="136">
        <f>IFERROR(__xludf.DUMMYFUNCTION("""COMPUTED_VALUE"""),0.0302)</f>
        <v>0.0302</v>
      </c>
      <c r="L271" s="135">
        <f t="shared" si="52"/>
        <v>802.7806</v>
      </c>
      <c r="M271" s="135">
        <f t="shared" si="53"/>
        <v>24.2694</v>
      </c>
      <c r="N271" s="136">
        <f t="shared" si="54"/>
        <v>0.02228759589</v>
      </c>
      <c r="O271" s="178" t="str">
        <f>IFERROR(__xludf.DUMMYFUNCTION("LET(t, A271,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"),"8.73 (3.02%)")</f>
        <v>8.73 (3.02%)</v>
      </c>
      <c r="Q271" s="417"/>
      <c r="S271" s="417"/>
      <c r="AA271" s="186"/>
    </row>
    <row r="272">
      <c r="A272" s="149" t="s">
        <v>417</v>
      </c>
      <c r="B272" s="128" t="str">
        <f>IFERROR(__xludf.DUMMYFUNCTION("IF(ISBLANK(A272),"""", googlefinance(A272, ""name""))"),"NextEra Energy Inc")</f>
        <v>NextEra Energy Inc</v>
      </c>
      <c r="C272" s="129" t="str">
        <f t="shared" si="50"/>
        <v>View</v>
      </c>
      <c r="D272" s="176">
        <v>20.37</v>
      </c>
      <c r="E272" s="132">
        <f>IFERROR(__xludf.DUMMYFUNCTION("IF(ISBLANK(A272),"""", googlefinance(A272, ""price""))"),91.13)</f>
        <v>91.13</v>
      </c>
      <c r="F272" s="213" t="s">
        <v>101</v>
      </c>
      <c r="G272" s="213" t="s">
        <v>134</v>
      </c>
      <c r="H272" s="213" t="s">
        <v>103</v>
      </c>
      <c r="I272" s="136">
        <f t="shared" si="51"/>
        <v>0.04191883745</v>
      </c>
      <c r="J272" s="140">
        <f>IFERROR(__xludf.DUMMYFUNCTION("IfError(IF(isblank(A272),"""",split(O272, ""()"")))"),2.32)</f>
        <v>2.32</v>
      </c>
      <c r="K272" s="136">
        <f>IFERROR(__xludf.DUMMYFUNCTION("""COMPUTED_VALUE"""),0.0255)</f>
        <v>0.0255</v>
      </c>
      <c r="L272" s="135">
        <f t="shared" si="52"/>
        <v>1856.3181</v>
      </c>
      <c r="M272" s="135">
        <f t="shared" si="53"/>
        <v>47.2584</v>
      </c>
      <c r="N272" s="136">
        <f t="shared" si="54"/>
        <v>0.04339934739</v>
      </c>
      <c r="O272" s="178" t="str">
        <f>IFERROR(__xludf.DUMMYFUNCTION("LET(t, A272,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"),"2.32 (2.55%)")</f>
        <v>2.32 (2.55%)</v>
      </c>
      <c r="Q272" s="417"/>
      <c r="S272" s="417"/>
      <c r="AA272" s="186"/>
    </row>
    <row r="273">
      <c r="A273" s="149" t="s">
        <v>418</v>
      </c>
      <c r="B273" s="128" t="str">
        <f>IFERROR(__xludf.DUMMYFUNCTION("IF(ISBLANK(A273),"""", googlefinance(A273, ""name""))"),"Agree Realty Corp")</f>
        <v>Agree Realty Corp</v>
      </c>
      <c r="C273" s="129" t="str">
        <f t="shared" si="50"/>
        <v>View</v>
      </c>
      <c r="D273" s="176">
        <v>18.68</v>
      </c>
      <c r="E273" s="132">
        <f>IFERROR(__xludf.DUMMYFUNCTION("IF(ISBLANK(A273),"""", googlefinance(A273, ""price""))"),81.03)</f>
        <v>81.03</v>
      </c>
      <c r="F273" s="213" t="s">
        <v>101</v>
      </c>
      <c r="G273" s="213" t="s">
        <v>134</v>
      </c>
      <c r="H273" s="213" t="s">
        <v>113</v>
      </c>
      <c r="I273" s="136">
        <f t="shared" si="51"/>
        <v>0.03418058892</v>
      </c>
      <c r="J273" s="140">
        <f>IFERROR(__xludf.DUMMYFUNCTION("IfError(IF(isblank(A273),"""",split(O273, ""()"")))"),3.1)</f>
        <v>3.1</v>
      </c>
      <c r="K273" s="136">
        <f>IFERROR(__xludf.DUMMYFUNCTION("""COMPUTED_VALUE"""),0.0382)</f>
        <v>0.0382</v>
      </c>
      <c r="L273" s="135">
        <f t="shared" si="52"/>
        <v>1513.6404</v>
      </c>
      <c r="M273" s="135">
        <f t="shared" si="53"/>
        <v>57.908</v>
      </c>
      <c r="N273" s="136">
        <f t="shared" si="54"/>
        <v>0.05317931645</v>
      </c>
      <c r="O273" s="178" t="str">
        <f>IFERROR(__xludf.DUMMYFUNCTION("LET(t, A273,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"),"3.10 (3.82%)")</f>
        <v>3.10 (3.82%)</v>
      </c>
      <c r="Q273" s="417"/>
      <c r="S273" s="417"/>
      <c r="AA273" s="186"/>
    </row>
    <row r="274">
      <c r="A274" s="149" t="s">
        <v>419</v>
      </c>
      <c r="B274" s="128" t="str">
        <f>IFERROR(__xludf.DUMMYFUNCTION("IF(ISBLANK(A274),"""", googlefinance(A274, ""name""))"),"Kroger Co")</f>
        <v>Kroger Co</v>
      </c>
      <c r="C274" s="129" t="str">
        <f t="shared" si="50"/>
        <v>View</v>
      </c>
      <c r="D274" s="176">
        <v>24.68</v>
      </c>
      <c r="E274" s="132">
        <f>IFERROR(__xludf.DUMMYFUNCTION("IF(ISBLANK(A274),"""", googlefinance(A274, ""price""))"),71.57)</f>
        <v>71.57</v>
      </c>
      <c r="F274" s="213" t="s">
        <v>101</v>
      </c>
      <c r="G274" s="213" t="s">
        <v>134</v>
      </c>
      <c r="H274" s="402" t="s">
        <v>113</v>
      </c>
      <c r="I274" s="136">
        <f t="shared" si="51"/>
        <v>0.03988714969</v>
      </c>
      <c r="J274" s="140">
        <f>IFERROR(__xludf.DUMMYFUNCTION("IfError(IF(isblank(A274),"""",split(O274, ""()"")))"),1.37)</f>
        <v>1.37</v>
      </c>
      <c r="K274" s="136">
        <f>IFERROR(__xludf.DUMMYFUNCTION("""COMPUTED_VALUE"""),0.0191)</f>
        <v>0.0191</v>
      </c>
      <c r="L274" s="135">
        <f t="shared" si="52"/>
        <v>1766.3476</v>
      </c>
      <c r="M274" s="135">
        <f t="shared" si="53"/>
        <v>33.8116</v>
      </c>
      <c r="N274" s="136">
        <f t="shared" si="54"/>
        <v>0.03105059363</v>
      </c>
      <c r="O274" s="178" t="str">
        <f>IFERROR(__xludf.DUMMYFUNCTION("LET(t, A274,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"),"1.37 (1.91%)")</f>
        <v>1.37 (1.91%)</v>
      </c>
      <c r="Q274" s="417"/>
      <c r="S274" s="417"/>
      <c r="AA274" s="186"/>
    </row>
    <row r="275">
      <c r="A275" s="149" t="s">
        <v>109</v>
      </c>
      <c r="B275" s="128" t="str">
        <f>IFERROR(__xludf.DUMMYFUNCTION("IF(ISBLANK(A275),"""", googlefinance(A275, ""name""))"),"Starbucks Corp")</f>
        <v>Starbucks Corp</v>
      </c>
      <c r="C275" s="129" t="str">
        <f t="shared" si="50"/>
        <v>View</v>
      </c>
      <c r="D275" s="176">
        <v>14.88</v>
      </c>
      <c r="E275" s="132">
        <f>IFERROR(__xludf.DUMMYFUNCTION("IF(ISBLANK(A275),"""", googlefinance(A275, ""price""))"),98.69)</f>
        <v>98.69</v>
      </c>
      <c r="F275" s="213" t="s">
        <v>101</v>
      </c>
      <c r="G275" s="213" t="s">
        <v>134</v>
      </c>
      <c r="H275" s="213" t="s">
        <v>103</v>
      </c>
      <c r="I275" s="136">
        <f t="shared" si="51"/>
        <v>0.03316140408</v>
      </c>
      <c r="J275" s="140">
        <f>IFERROR(__xludf.DUMMYFUNCTION("IfError(IF(isblank(A275),"""",split(O275, ""()"")))"),2.46)</f>
        <v>2.46</v>
      </c>
      <c r="K275" s="136">
        <f>IFERROR(__xludf.DUMMYFUNCTION("""COMPUTED_VALUE"""),0.0249)</f>
        <v>0.0249</v>
      </c>
      <c r="L275" s="135">
        <f t="shared" si="52"/>
        <v>1468.5072</v>
      </c>
      <c r="M275" s="135">
        <f t="shared" si="53"/>
        <v>36.6048</v>
      </c>
      <c r="N275" s="136">
        <f t="shared" si="54"/>
        <v>0.03361570496</v>
      </c>
      <c r="O275" s="178" t="str">
        <f>IFERROR(__xludf.DUMMYFUNCTION("LET(t, A275,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"),"2.46 (2.49%)")</f>
        <v>2.46 (2.49%)</v>
      </c>
      <c r="Q275" s="417"/>
      <c r="S275" s="417"/>
      <c r="AA275" s="186"/>
    </row>
    <row r="276">
      <c r="A276" s="149" t="s">
        <v>318</v>
      </c>
      <c r="B276" s="128" t="str">
        <f>IFERROR(__xludf.DUMMYFUNCTION("IF(ISBLANK(A276),"""", googlefinance(A276, ""name""))"),"Comcast Corp")</f>
        <v>Comcast Corp</v>
      </c>
      <c r="C276" s="129" t="str">
        <f t="shared" si="50"/>
        <v>View</v>
      </c>
      <c r="D276" s="176">
        <v>35.39</v>
      </c>
      <c r="E276" s="132">
        <f>IFERROR(__xludf.DUMMYFUNCTION("IF(ISBLANK(A276),"""", googlefinance(A276, ""price""))"),31.6)</f>
        <v>31.6</v>
      </c>
      <c r="F276" s="213" t="s">
        <v>101</v>
      </c>
      <c r="G276" s="213" t="s">
        <v>134</v>
      </c>
      <c r="H276" s="213" t="s">
        <v>113</v>
      </c>
      <c r="I276" s="136">
        <f t="shared" si="51"/>
        <v>0.02525366853</v>
      </c>
      <c r="J276" s="140" t="str">
        <f>IFERROR(__xludf.DUMMYFUNCTION("IfError(IF(isblank(A276),"""",split(O276, ""()"")))"),"")</f>
        <v/>
      </c>
      <c r="K276" s="136"/>
      <c r="L276" s="135">
        <f t="shared" si="52"/>
        <v>1118.324</v>
      </c>
      <c r="M276" s="135">
        <f t="shared" si="53"/>
        <v>0</v>
      </c>
      <c r="N276" s="136">
        <f t="shared" si="54"/>
        <v>0</v>
      </c>
      <c r="O276" s="178" t="str">
        <f>IFERROR(__xludf.DUMMYFUNCTION("LET(t, A276,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76" s="417"/>
      <c r="S276" s="417"/>
      <c r="AA276" s="186"/>
    </row>
    <row r="277">
      <c r="A277" s="149" t="s">
        <v>117</v>
      </c>
      <c r="B277" s="128" t="str">
        <f>IFERROR(__xludf.DUMMYFUNCTION("IF(ISBLANK(A277),"""", googlefinance(A277, ""name""))"),"VICI Properties Inc")</f>
        <v>VICI Properties Inc</v>
      </c>
      <c r="C277" s="129" t="str">
        <f t="shared" si="50"/>
        <v>View</v>
      </c>
      <c r="D277" s="176">
        <v>45.44</v>
      </c>
      <c r="E277" s="132">
        <f>IFERROR(__xludf.DUMMYFUNCTION("IF(ISBLANK(A277),"""", googlefinance(A277, ""price""))"),29.69)</f>
        <v>29.69</v>
      </c>
      <c r="F277" s="213" t="s">
        <v>101</v>
      </c>
      <c r="G277" s="213" t="s">
        <v>134</v>
      </c>
      <c r="H277" s="213" t="s">
        <v>113</v>
      </c>
      <c r="I277" s="136">
        <f t="shared" si="51"/>
        <v>0.0304652924</v>
      </c>
      <c r="J277" s="140">
        <f>IFERROR(__xludf.DUMMYFUNCTION("IfError(IF(isblank(A277),"""",split(O277, ""()"")))"),1.76)</f>
        <v>1.76</v>
      </c>
      <c r="K277" s="136">
        <f>IFERROR(__xludf.DUMMYFUNCTION("""COMPUTED_VALUE"""),0.0594)</f>
        <v>0.0594</v>
      </c>
      <c r="L277" s="135">
        <f t="shared" si="52"/>
        <v>1349.1136</v>
      </c>
      <c r="M277" s="135">
        <f t="shared" si="53"/>
        <v>79.9744</v>
      </c>
      <c r="N277" s="136">
        <f t="shared" si="54"/>
        <v>0.07344380614</v>
      </c>
      <c r="O277" s="178" t="str">
        <f>IFERROR(__xludf.DUMMYFUNCTION("LET(t, A277,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"),"1.76 (5.94%)")</f>
        <v>1.76 (5.94%)</v>
      </c>
      <c r="Q277" s="417"/>
      <c r="S277" s="417"/>
      <c r="AA277" s="186"/>
    </row>
    <row r="278">
      <c r="A278" s="149" t="s">
        <v>406</v>
      </c>
      <c r="B278" s="128" t="str">
        <f>IFERROR(__xludf.DUMMYFUNCTION("IF(ISBLANK(A278),"""", googlefinance(A278, ""name""))"),"Mastercard Inc")</f>
        <v>Mastercard Inc</v>
      </c>
      <c r="C278" s="129" t="str">
        <f t="shared" si="50"/>
        <v>View</v>
      </c>
      <c r="D278" s="176">
        <v>2.752</v>
      </c>
      <c r="E278" s="132">
        <f>IFERROR(__xludf.DUMMYFUNCTION("IF(ISBLANK(A278),"""", googlefinance(A278, ""price""))"),524.66)</f>
        <v>524.66</v>
      </c>
      <c r="F278" s="213" t="s">
        <v>101</v>
      </c>
      <c r="G278" s="213" t="s">
        <v>134</v>
      </c>
      <c r="H278" s="213" t="s">
        <v>103</v>
      </c>
      <c r="I278" s="136">
        <f t="shared" si="51"/>
        <v>0.0326049257</v>
      </c>
      <c r="J278" s="140">
        <f>IFERROR(__xludf.DUMMYFUNCTION("IfError(IF(isblank(A278),"""",split(O278, ""()"")))"),3.15)</f>
        <v>3.15</v>
      </c>
      <c r="K278" s="136">
        <f>IFERROR(__xludf.DUMMYFUNCTION("""COMPUTED_VALUE"""),0.006)</f>
        <v>0.006</v>
      </c>
      <c r="L278" s="135">
        <f t="shared" si="52"/>
        <v>1443.86432</v>
      </c>
      <c r="M278" s="135">
        <f t="shared" si="53"/>
        <v>8.6688</v>
      </c>
      <c r="N278" s="136">
        <f t="shared" si="54"/>
        <v>0.007960918327</v>
      </c>
      <c r="O278" s="178" t="str">
        <f>IFERROR(__xludf.DUMMYFUNCTION("LET(t, A278,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"),"3.15 (0.60%)")</f>
        <v>3.15 (0.60%)</v>
      </c>
      <c r="Q278" s="417"/>
      <c r="S278" s="417"/>
      <c r="AA278" s="186"/>
    </row>
    <row r="279">
      <c r="A279" s="149" t="s">
        <v>401</v>
      </c>
      <c r="B279" s="128" t="str">
        <f>IFERROR(__xludf.DUMMYFUNCTION("IF(ISBLANK(A279),"""", googlefinance(A279, ""name""))"),"Automatic Data Processing Inc")</f>
        <v>Automatic Data Processing Inc</v>
      </c>
      <c r="C279" s="129" t="str">
        <f t="shared" si="50"/>
        <v>View</v>
      </c>
      <c r="D279" s="176">
        <v>4.16</v>
      </c>
      <c r="E279" s="132">
        <f>IFERROR(__xludf.DUMMYFUNCTION("IF(ISBLANK(A279),"""", googlefinance(A279, ""price""))"),222.7)</f>
        <v>222.7</v>
      </c>
      <c r="F279" s="213" t="s">
        <v>101</v>
      </c>
      <c r="G279" s="213" t="s">
        <v>134</v>
      </c>
      <c r="H279" s="213" t="s">
        <v>103</v>
      </c>
      <c r="I279" s="136">
        <f t="shared" si="51"/>
        <v>0.02092041898</v>
      </c>
      <c r="J279" s="140">
        <f>IFERROR(__xludf.DUMMYFUNCTION("IfError(IF(isblank(A279),"""",split(O279, ""()"")))"),6.32)</f>
        <v>6.32</v>
      </c>
      <c r="K279" s="136">
        <f>IFERROR(__xludf.DUMMYFUNCTION("""COMPUTED_VALUE"""),0.0284)</f>
        <v>0.0284</v>
      </c>
      <c r="L279" s="135">
        <f t="shared" si="52"/>
        <v>926.432</v>
      </c>
      <c r="M279" s="135">
        <f t="shared" si="53"/>
        <v>26.2912</v>
      </c>
      <c r="N279" s="136">
        <f t="shared" si="54"/>
        <v>0.02414429862</v>
      </c>
      <c r="O279" s="178" t="str">
        <f>IFERROR(__xludf.DUMMYFUNCTION("LET(t, A279,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"),"6.32 (2.84%)")</f>
        <v>6.32 (2.84%)</v>
      </c>
      <c r="Q279" s="417"/>
      <c r="S279" s="417"/>
      <c r="AA279" s="186"/>
    </row>
    <row r="280">
      <c r="A280" s="149" t="s">
        <v>420</v>
      </c>
      <c r="B280" s="128" t="str">
        <f>IFERROR(__xludf.DUMMYFUNCTION("IF(ISBLANK(A280),"""", googlefinance(A280, ""name""))"),"Aflac Inc")</f>
        <v>Aflac Inc</v>
      </c>
      <c r="C280" s="129" t="str">
        <f t="shared" si="50"/>
        <v>View</v>
      </c>
      <c r="D280" s="176">
        <v>11.53</v>
      </c>
      <c r="E280" s="132">
        <f>IFERROR(__xludf.DUMMYFUNCTION("IF(ISBLANK(A280),"""", googlefinance(A280, ""price""))"),111.04)</f>
        <v>111.04</v>
      </c>
      <c r="F280" s="213" t="s">
        <v>101</v>
      </c>
      <c r="G280" s="213" t="s">
        <v>134</v>
      </c>
      <c r="H280" s="213" t="s">
        <v>113</v>
      </c>
      <c r="I280" s="136">
        <f t="shared" si="51"/>
        <v>0.02891116491</v>
      </c>
      <c r="J280" s="140">
        <f>IFERROR(__xludf.DUMMYFUNCTION("IfError(IF(isblank(A280),"""",split(O280, ""()"")))"),2.35)</f>
        <v>2.35</v>
      </c>
      <c r="K280" s="136">
        <f>IFERROR(__xludf.DUMMYFUNCTION("""COMPUTED_VALUE"""),0.0212)</f>
        <v>0.0212</v>
      </c>
      <c r="L280" s="135">
        <f t="shared" si="52"/>
        <v>1280.2912</v>
      </c>
      <c r="M280" s="135">
        <f t="shared" si="53"/>
        <v>27.0955</v>
      </c>
      <c r="N280" s="136">
        <f t="shared" si="54"/>
        <v>0.02488292065</v>
      </c>
      <c r="O280" s="178" t="str">
        <f>IFERROR(__xludf.DUMMYFUNCTION("LET(t, A280,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"),"2.35 (2.12%)")</f>
        <v>2.35 (2.12%)</v>
      </c>
      <c r="Q280" s="417"/>
      <c r="S280" s="417"/>
      <c r="AA280" s="186"/>
    </row>
    <row r="281">
      <c r="A281" s="149" t="s">
        <v>322</v>
      </c>
      <c r="B281" s="128" t="str">
        <f>IFERROR(__xludf.DUMMYFUNCTION("IF(ISBLANK(A281),"""", googlefinance(A281, ""name""))"),"Home Depot Inc")</f>
        <v>Home Depot Inc</v>
      </c>
      <c r="C281" s="129" t="str">
        <f t="shared" si="50"/>
        <v>View</v>
      </c>
      <c r="D281" s="176">
        <v>3.64</v>
      </c>
      <c r="E281" s="132">
        <f>IFERROR(__xludf.DUMMYFUNCTION("IF(ISBLANK(A281),"""", googlefinance(A281, ""price""))"),361.68)</f>
        <v>361.68</v>
      </c>
      <c r="F281" s="213" t="s">
        <v>101</v>
      </c>
      <c r="G281" s="213" t="s">
        <v>134</v>
      </c>
      <c r="H281" s="213" t="s">
        <v>103</v>
      </c>
      <c r="I281" s="136">
        <f t="shared" si="51"/>
        <v>0.02972916478</v>
      </c>
      <c r="J281" s="140">
        <f>IFERROR(__xludf.DUMMYFUNCTION("IfError(IF(isblank(A281),"""",split(O281, ""()"")))"),9.2)</f>
        <v>9.2</v>
      </c>
      <c r="K281" s="136">
        <f>IFERROR(__xludf.DUMMYFUNCTION("""COMPUTED_VALUE"""),0.0254)</f>
        <v>0.0254</v>
      </c>
      <c r="L281" s="135">
        <f t="shared" si="52"/>
        <v>1316.5152</v>
      </c>
      <c r="M281" s="135">
        <f t="shared" si="53"/>
        <v>33.488</v>
      </c>
      <c r="N281" s="136">
        <f t="shared" si="54"/>
        <v>0.03075341834</v>
      </c>
      <c r="O281" s="178" t="str">
        <f>IFERROR(__xludf.DUMMYFUNCTION("LET(t, A281,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"),"9.20 (2.54%)")</f>
        <v>9.20 (2.54%)</v>
      </c>
      <c r="Q281" s="417"/>
      <c r="S281" s="417"/>
      <c r="AA281" s="186"/>
    </row>
    <row r="282">
      <c r="A282" s="149" t="s">
        <v>321</v>
      </c>
      <c r="B282" s="128" t="str">
        <f>IFERROR(__xludf.DUMMYFUNCTION("IF(ISBLANK(A282),"""", googlefinance(A282, ""name""))"),"Procter &amp; Gamble Co")</f>
        <v>Procter &amp; Gamble Co</v>
      </c>
      <c r="C282" s="129" t="str">
        <f t="shared" si="50"/>
        <v>View</v>
      </c>
      <c r="D282" s="176">
        <v>8.5</v>
      </c>
      <c r="E282" s="132">
        <f>IFERROR(__xludf.DUMMYFUNCTION("IF(ISBLANK(A282),"""", googlefinance(A282, ""price""))"),153.99)</f>
        <v>153.99</v>
      </c>
      <c r="F282" s="213" t="s">
        <v>101</v>
      </c>
      <c r="G282" s="213" t="s">
        <v>134</v>
      </c>
      <c r="H282" s="213" t="s">
        <v>113</v>
      </c>
      <c r="I282" s="136">
        <f t="shared" si="51"/>
        <v>0.02955753926</v>
      </c>
      <c r="J282" s="140">
        <f>IFERROR(__xludf.DUMMYFUNCTION("IfError(IF(isblank(A282),"""",split(O282, ""()"")))"),4.23)</f>
        <v>4.23</v>
      </c>
      <c r="K282" s="136">
        <f>IFERROR(__xludf.DUMMYFUNCTION("""COMPUTED_VALUE"""),0.0275)</f>
        <v>0.0275</v>
      </c>
      <c r="L282" s="135">
        <f t="shared" si="52"/>
        <v>1308.915</v>
      </c>
      <c r="M282" s="135">
        <f t="shared" si="53"/>
        <v>35.955</v>
      </c>
      <c r="N282" s="136">
        <f t="shared" si="54"/>
        <v>0.03301896669</v>
      </c>
      <c r="O282" s="178" t="str">
        <f>IFERROR(__xludf.DUMMYFUNCTION("LET(t, A282,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"),"4.23 (2.75%)")</f>
        <v>4.23 (2.75%)</v>
      </c>
      <c r="Q282" s="417"/>
      <c r="S282" s="417"/>
      <c r="AA282" s="186"/>
    </row>
    <row r="283">
      <c r="A283" s="149" t="s">
        <v>319</v>
      </c>
      <c r="B283" s="128" t="str">
        <f>IFERROR(__xludf.DUMMYFUNCTION("IF(ISBLANK(A283),"""", googlefinance(A283, ""name""))"),"Chevron Corp")</f>
        <v>Chevron Corp</v>
      </c>
      <c r="C283" s="129" t="str">
        <f t="shared" si="50"/>
        <v>View</v>
      </c>
      <c r="D283" s="176">
        <v>9.8</v>
      </c>
      <c r="E283" s="132">
        <f>IFERROR(__xludf.DUMMYFUNCTION("IF(ISBLANK(A283),"""", googlefinance(A283, ""price""))"),189.9)</f>
        <v>189.9</v>
      </c>
      <c r="F283" s="213" t="s">
        <v>101</v>
      </c>
      <c r="G283" s="213"/>
      <c r="H283" s="213" t="s">
        <v>113</v>
      </c>
      <c r="I283" s="136">
        <f t="shared" si="51"/>
        <v>0.0420250144</v>
      </c>
      <c r="J283" s="140">
        <f>IFERROR(__xludf.DUMMYFUNCTION("IfError(IF(isblank(A283),"""",split(O283, ""()"")))"),6.91)</f>
        <v>6.91</v>
      </c>
      <c r="K283" s="136">
        <f>IFERROR(__xludf.DUMMYFUNCTION("""COMPUTED_VALUE"""),0.0364)</f>
        <v>0.0364</v>
      </c>
      <c r="L283" s="135">
        <f t="shared" si="52"/>
        <v>1861.02</v>
      </c>
      <c r="M283" s="135">
        <f t="shared" si="53"/>
        <v>67.718</v>
      </c>
      <c r="N283" s="136">
        <f t="shared" si="54"/>
        <v>0.06218824604</v>
      </c>
      <c r="O283" s="178" t="str">
        <f>IFERROR(__xludf.DUMMYFUNCTION("LET(t, A283,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"),"6.91 (3.64%)")</f>
        <v>6.91 (3.64%)</v>
      </c>
      <c r="Q283" s="417"/>
      <c r="S283" s="417"/>
      <c r="AA283" s="186"/>
    </row>
    <row r="284">
      <c r="A284" s="149" t="s">
        <v>421</v>
      </c>
      <c r="B284" s="128" t="str">
        <f>IFERROR(__xludf.DUMMYFUNCTION("IF(ISBLANK(A284),"""", googlefinance(A284, ""name""))"),"MONDELEZ INTERNATIONAL INC Common Stock")</f>
        <v>MONDELEZ INTERNATIONAL INC Common Stock</v>
      </c>
      <c r="C284" s="129" t="str">
        <f t="shared" si="50"/>
        <v>View</v>
      </c>
      <c r="D284" s="176">
        <v>24.95</v>
      </c>
      <c r="E284" s="132">
        <f>IFERROR(__xludf.DUMMYFUNCTION("IF(ISBLANK(A284),"""", googlefinance(A284, ""price""))"),58.19)</f>
        <v>58.19</v>
      </c>
      <c r="F284" s="213" t="s">
        <v>101</v>
      </c>
      <c r="G284" s="213"/>
      <c r="H284" s="213" t="s">
        <v>113</v>
      </c>
      <c r="I284" s="136">
        <f t="shared" si="51"/>
        <v>0.03278504149</v>
      </c>
      <c r="J284" s="140">
        <f>IFERROR(__xludf.DUMMYFUNCTION("IfError(IF(isblank(A284),"""",split(O284, ""()"")))"),1.94)</f>
        <v>1.94</v>
      </c>
      <c r="K284" s="136">
        <f>IFERROR(__xludf.DUMMYFUNCTION("""COMPUTED_VALUE"""),0.0333)</f>
        <v>0.0333</v>
      </c>
      <c r="L284" s="135">
        <f t="shared" si="52"/>
        <v>1451.8405</v>
      </c>
      <c r="M284" s="135">
        <f t="shared" si="53"/>
        <v>48.403</v>
      </c>
      <c r="N284" s="136">
        <f t="shared" si="54"/>
        <v>0.04445048101</v>
      </c>
      <c r="O284" s="178" t="str">
        <f>IFERROR(__xludf.DUMMYFUNCTION("LET(t, A284,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"),"1.94 (3.33%)")</f>
        <v>1.94 (3.33%)</v>
      </c>
      <c r="Q284" s="417"/>
      <c r="S284" s="417"/>
      <c r="AA284" s="186"/>
    </row>
    <row r="285">
      <c r="A285" s="149" t="s">
        <v>371</v>
      </c>
      <c r="B285" s="128" t="str">
        <f>IFERROR(__xludf.DUMMYFUNCTION("IF(ISBLANK(A285),"""", googlefinance(A285, ""name""))"),"Snap-On Inc")</f>
        <v>Snap-On Inc</v>
      </c>
      <c r="C285" s="129" t="str">
        <f t="shared" si="50"/>
        <v>View</v>
      </c>
      <c r="D285" s="176">
        <v>4.1</v>
      </c>
      <c r="E285" s="132">
        <f>IFERROR(__xludf.DUMMYFUNCTION("IF(ISBLANK(A285),"""", googlefinance(A285, ""price""))"),382.27)</f>
        <v>382.27</v>
      </c>
      <c r="F285" s="213" t="s">
        <v>101</v>
      </c>
      <c r="G285" s="213"/>
      <c r="H285" s="213" t="s">
        <v>113</v>
      </c>
      <c r="I285" s="136">
        <f t="shared" si="51"/>
        <v>0.03539247254</v>
      </c>
      <c r="J285" s="140">
        <f>IFERROR(__xludf.DUMMYFUNCTION("IfError(IF(isblank(A285),"""",split(O285, ""()"")))"),9.16)</f>
        <v>9.16</v>
      </c>
      <c r="K285" s="136">
        <f>IFERROR(__xludf.DUMMYFUNCTION("""COMPUTED_VALUE"""),0.024)</f>
        <v>0.024</v>
      </c>
      <c r="L285" s="135">
        <f t="shared" si="52"/>
        <v>1567.307</v>
      </c>
      <c r="M285" s="135">
        <f t="shared" si="53"/>
        <v>37.556</v>
      </c>
      <c r="N285" s="136">
        <f t="shared" si="54"/>
        <v>0.03448923134</v>
      </c>
      <c r="O285" s="178" t="str">
        <f>IFERROR(__xludf.DUMMYFUNCTION("LET(t, A285,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"),"9.16 (2.40%)")</f>
        <v>9.16 (2.40%)</v>
      </c>
      <c r="Q285" s="417"/>
      <c r="S285" s="417"/>
      <c r="AA285" s="186"/>
    </row>
    <row r="286">
      <c r="A286" s="149" t="s">
        <v>384</v>
      </c>
      <c r="B286" s="128" t="str">
        <f>IFERROR(__xludf.DUMMYFUNCTION("IF(ISBLANK(A286),"""", googlefinance(A286, ""name""))"),"Cisco Systems Inc")</f>
        <v>Cisco Systems Inc</v>
      </c>
      <c r="C286" s="129" t="str">
        <f t="shared" si="50"/>
        <v>View</v>
      </c>
      <c r="D286" s="176">
        <v>25.23</v>
      </c>
      <c r="E286" s="132">
        <f>IFERROR(__xludf.DUMMYFUNCTION("IF(ISBLANK(A286),"""", googlefinance(A286, ""price""))"),80.01)</f>
        <v>80.01</v>
      </c>
      <c r="F286" s="213" t="s">
        <v>101</v>
      </c>
      <c r="G286" s="213"/>
      <c r="H286" s="213" t="s">
        <v>113</v>
      </c>
      <c r="I286" s="136">
        <f t="shared" si="51"/>
        <v>0.04558462132</v>
      </c>
      <c r="J286" s="140">
        <f>IFERROR(__xludf.DUMMYFUNCTION("IfError(IF(isblank(A286),"""",split(O286, ""()"")))"),1.64)</f>
        <v>1.64</v>
      </c>
      <c r="K286" s="136">
        <f>IFERROR(__xludf.DUMMYFUNCTION("""COMPUTED_VALUE"""),0.0205)</f>
        <v>0.0205</v>
      </c>
      <c r="L286" s="135">
        <f t="shared" si="52"/>
        <v>2018.6523</v>
      </c>
      <c r="M286" s="135">
        <f t="shared" si="53"/>
        <v>41.3772</v>
      </c>
      <c r="N286" s="136">
        <f t="shared" si="54"/>
        <v>0.03799839768</v>
      </c>
      <c r="O286" s="178" t="str">
        <f>IFERROR(__xludf.DUMMYFUNCTION("LET(t, A286,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"),"1.64 (2.05%)")</f>
        <v>1.64 (2.05%)</v>
      </c>
      <c r="Q286" s="417"/>
      <c r="S286" s="417"/>
      <c r="AA286" s="186"/>
    </row>
    <row r="287">
      <c r="A287" s="149" t="s">
        <v>387</v>
      </c>
      <c r="B287" s="128" t="str">
        <f>IFERROR(__xludf.DUMMYFUNCTION("IF(ISBLANK(A287),"""", googlefinance(A287, ""name""))"),"Waste Management Inc")</f>
        <v>Waste Management Inc</v>
      </c>
      <c r="C287" s="129" t="str">
        <f t="shared" si="50"/>
        <v>View</v>
      </c>
      <c r="D287" s="176">
        <v>6.05</v>
      </c>
      <c r="E287" s="132">
        <f>IFERROR(__xludf.DUMMYFUNCTION("IF(ISBLANK(A287),"""", googlefinance(A287, ""price""))"),246.09)</f>
        <v>246.09</v>
      </c>
      <c r="F287" s="213" t="s">
        <v>101</v>
      </c>
      <c r="G287" s="213"/>
      <c r="H287" s="213" t="s">
        <v>113</v>
      </c>
      <c r="I287" s="136">
        <f t="shared" si="51"/>
        <v>0.0336206551</v>
      </c>
      <c r="J287" s="140">
        <f>IFERROR(__xludf.DUMMYFUNCTION("IfError(IF(isblank(A287),"""",split(O287, ""()"")))"),3.3)</f>
        <v>3.3</v>
      </c>
      <c r="K287" s="136">
        <f>IFERROR(__xludf.DUMMYFUNCTION("""COMPUTED_VALUE"""),0.0134)</f>
        <v>0.0134</v>
      </c>
      <c r="L287" s="135">
        <f t="shared" si="52"/>
        <v>1488.8445</v>
      </c>
      <c r="M287" s="135">
        <f t="shared" si="53"/>
        <v>19.965</v>
      </c>
      <c r="N287" s="136">
        <f t="shared" si="54"/>
        <v>0.01833468697</v>
      </c>
      <c r="O287" s="178" t="str">
        <f>IFERROR(__xludf.DUMMYFUNCTION("LET(t, A287,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"),"3.30 (1.34%)")</f>
        <v>3.30 (1.34%)</v>
      </c>
      <c r="Q287" s="417"/>
      <c r="S287" s="417"/>
      <c r="AA287" s="186"/>
    </row>
    <row r="288">
      <c r="A288" s="149" t="s">
        <v>385</v>
      </c>
      <c r="B288" s="128" t="str">
        <f>IFERROR(__xludf.DUMMYFUNCTION("IF(ISBLANK(A288),"""", googlefinance(A288, ""name""))"),"Broadcom Inc")</f>
        <v>Broadcom Inc</v>
      </c>
      <c r="C288" s="129" t="str">
        <f t="shared" si="50"/>
        <v>View</v>
      </c>
      <c r="D288" s="176">
        <v>7.5</v>
      </c>
      <c r="E288" s="132">
        <f>IFERROR(__xludf.DUMMYFUNCTION("IF(ISBLANK(A288),"""", googlefinance(A288, ""price""))"),332.74)</f>
        <v>332.74</v>
      </c>
      <c r="F288" s="213" t="s">
        <v>101</v>
      </c>
      <c r="G288" s="213"/>
      <c r="H288" s="213" t="s">
        <v>103</v>
      </c>
      <c r="I288" s="136">
        <f t="shared" si="51"/>
        <v>0.056353787</v>
      </c>
      <c r="J288" s="140">
        <f>IFERROR(__xludf.DUMMYFUNCTION("IfError(IF(isblank(A288),"""",split(O288, ""()"")))"),2.42)</f>
        <v>2.42</v>
      </c>
      <c r="K288" s="136">
        <f>IFERROR(__xludf.DUMMYFUNCTION("""COMPUTED_VALUE"""),0.0073)</f>
        <v>0.0073</v>
      </c>
      <c r="L288" s="135">
        <f t="shared" si="52"/>
        <v>2495.55</v>
      </c>
      <c r="M288" s="135">
        <f t="shared" si="53"/>
        <v>18.15</v>
      </c>
      <c r="N288" s="136">
        <f t="shared" si="54"/>
        <v>0.01666789724</v>
      </c>
      <c r="O288" s="178" t="str">
        <f>IFERROR(__xludf.DUMMYFUNCTION("LET(t, A288,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"),"2.42 (0.73%)")</f>
        <v>2.42 (0.73%)</v>
      </c>
      <c r="Q288" s="417"/>
      <c r="S288" s="417"/>
      <c r="AA288" s="186"/>
    </row>
    <row r="289">
      <c r="A289" s="149" t="s">
        <v>422</v>
      </c>
      <c r="B289" s="128" t="str">
        <f>IFERROR(__xludf.DUMMYFUNCTION("IF(ISBLANK(A289),"""", googlefinance(A289, ""name""))"),"BlackRock Inc")</f>
        <v>BlackRock Inc</v>
      </c>
      <c r="C289" s="129" t="str">
        <f t="shared" si="50"/>
        <v>View</v>
      </c>
      <c r="D289" s="176">
        <v>1.3</v>
      </c>
      <c r="E289" s="132">
        <f>IFERROR(__xludf.DUMMYFUNCTION("IF(ISBLANK(A289),"""", googlefinance(A289, ""price""))"),1035.0)</f>
        <v>1035</v>
      </c>
      <c r="F289" s="213" t="s">
        <v>101</v>
      </c>
      <c r="G289" s="213"/>
      <c r="H289" s="213" t="s">
        <v>113</v>
      </c>
      <c r="I289" s="136">
        <f t="shared" si="51"/>
        <v>0.03038369113</v>
      </c>
      <c r="J289" s="140">
        <f>IFERROR(__xludf.DUMMYFUNCTION("IfError(IF(isblank(A289),"""",split(O289, ""()"")))"),20.84)</f>
        <v>20.84</v>
      </c>
      <c r="K289" s="136">
        <f>IFERROR(__xludf.DUMMYFUNCTION("""COMPUTED_VALUE"""),0.0201)</f>
        <v>0.0201</v>
      </c>
      <c r="L289" s="135">
        <f t="shared" si="52"/>
        <v>1345.5</v>
      </c>
      <c r="M289" s="135">
        <f t="shared" si="53"/>
        <v>27.092</v>
      </c>
      <c r="N289" s="136">
        <f t="shared" si="54"/>
        <v>0.02487970645</v>
      </c>
      <c r="O289" s="178" t="str">
        <f>IFERROR(__xludf.DUMMYFUNCTION("LET(t, A289,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"),"20.84 (2.01%)")</f>
        <v>20.84 (2.01%)</v>
      </c>
      <c r="Q289" s="417"/>
      <c r="S289" s="417"/>
      <c r="AA289" s="186"/>
    </row>
    <row r="290">
      <c r="A290" s="149" t="s">
        <v>369</v>
      </c>
      <c r="B290" s="128" t="str">
        <f>IFERROR(__xludf.DUMMYFUNCTION("IF(ISBLANK(A290),"""", googlefinance(A290, ""name""))"),"Main Street Capital Corp")</f>
        <v>Main Street Capital Corp</v>
      </c>
      <c r="C290" s="129" t="str">
        <f t="shared" si="50"/>
        <v>View</v>
      </c>
      <c r="D290" s="176">
        <v>25.68</v>
      </c>
      <c r="E290" s="132">
        <f>IFERROR(__xludf.DUMMYFUNCTION("IF(ISBLANK(A290),"""", googlefinance(A290, ""price""))"),58.3)</f>
        <v>58.3</v>
      </c>
      <c r="F290" s="213" t="s">
        <v>101</v>
      </c>
      <c r="G290" s="213"/>
      <c r="H290" s="213" t="s">
        <v>113</v>
      </c>
      <c r="I290" s="136">
        <f t="shared" si="51"/>
        <v>0.033808072</v>
      </c>
      <c r="J290" s="140">
        <f>IFERROR(__xludf.DUMMYFUNCTION("IfError(IF(isblank(A290),"""",split(O290, ""()"")))"),3.02)</f>
        <v>3.02</v>
      </c>
      <c r="K290" s="136">
        <f>IFERROR(__xludf.DUMMYFUNCTION("""COMPUTED_VALUE"""),0.0519)</f>
        <v>0.0519</v>
      </c>
      <c r="L290" s="135">
        <f t="shared" si="52"/>
        <v>1497.144</v>
      </c>
      <c r="M290" s="135">
        <f t="shared" si="53"/>
        <v>77.5536</v>
      </c>
      <c r="N290" s="136">
        <f t="shared" si="54"/>
        <v>0.07122068516</v>
      </c>
      <c r="O290" s="178" t="str">
        <f>IFERROR(__xludf.DUMMYFUNCTION("LET(t, A290,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"),"3.02 (5.19%)")</f>
        <v>3.02 (5.19%)</v>
      </c>
      <c r="Q290" s="417"/>
      <c r="S290" s="417"/>
      <c r="AA290" s="186"/>
    </row>
    <row r="291">
      <c r="A291" s="149" t="s">
        <v>423</v>
      </c>
      <c r="B291" s="128" t="str">
        <f>IFERROR(__xludf.DUMMYFUNCTION("IF(ISBLANK(A291),"""", googlefinance(A291, ""name""))"),"Amgen Inc")</f>
        <v>Amgen Inc</v>
      </c>
      <c r="C291" s="129" t="str">
        <f t="shared" si="50"/>
        <v>View</v>
      </c>
      <c r="D291" s="176">
        <v>4.19</v>
      </c>
      <c r="E291" s="132">
        <f>IFERROR(__xludf.DUMMYFUNCTION("IF(ISBLANK(A291),"""", googlefinance(A291, ""price""))"),367.6)</f>
        <v>367.6</v>
      </c>
      <c r="F291" s="213" t="s">
        <v>101</v>
      </c>
      <c r="G291" s="213"/>
      <c r="H291" s="213" t="s">
        <v>113</v>
      </c>
      <c r="I291" s="136">
        <f t="shared" si="51"/>
        <v>0.03478134371</v>
      </c>
      <c r="J291" s="140">
        <f>IFERROR(__xludf.DUMMYFUNCTION("IfError(IF(isblank(A291),"""",split(O291, ""()"")))"),9.66)</f>
        <v>9.66</v>
      </c>
      <c r="K291" s="136">
        <f>IFERROR(__xludf.DUMMYFUNCTION("""COMPUTED_VALUE"""),0.0263)</f>
        <v>0.0263</v>
      </c>
      <c r="L291" s="135">
        <f t="shared" si="52"/>
        <v>1540.244</v>
      </c>
      <c r="M291" s="135">
        <f t="shared" si="53"/>
        <v>40.4754</v>
      </c>
      <c r="N291" s="136">
        <f t="shared" si="54"/>
        <v>0.03717023736</v>
      </c>
      <c r="O291" s="178" t="str">
        <f>IFERROR(__xludf.DUMMYFUNCTION("LET(t, A291,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"),"9.66 (2.63%)")</f>
        <v>9.66 (2.63%)</v>
      </c>
      <c r="Q291" s="417"/>
      <c r="S291" s="417"/>
      <c r="AA291" s="186"/>
    </row>
    <row r="292">
      <c r="A292" s="149" t="s">
        <v>424</v>
      </c>
      <c r="B292" s="128" t="str">
        <f>IFERROR(__xludf.DUMMYFUNCTION("IF(ISBLANK(A292),"""", googlefinance(A292, ""name""))"),"Medtronic PLC")</f>
        <v>Medtronic PLC</v>
      </c>
      <c r="C292" s="129" t="str">
        <f t="shared" si="50"/>
        <v>View</v>
      </c>
      <c r="D292" s="176">
        <v>14.41</v>
      </c>
      <c r="E292" s="132">
        <f>IFERROR(__xludf.DUMMYFUNCTION("IF(ISBLANK(A292),"""", googlefinance(A292, ""price""))"),93.01)</f>
        <v>93.01</v>
      </c>
      <c r="F292" s="213" t="s">
        <v>101</v>
      </c>
      <c r="G292" s="213"/>
      <c r="H292" s="213" t="s">
        <v>113</v>
      </c>
      <c r="I292" s="136">
        <f t="shared" si="51"/>
        <v>0.03026568137</v>
      </c>
      <c r="J292" s="140">
        <f>IFERROR(__xludf.DUMMYFUNCTION("IfError(IF(isblank(A292),"""",split(O292, ""()"")))"),2.83)</f>
        <v>2.83</v>
      </c>
      <c r="K292" s="136">
        <f>IFERROR(__xludf.DUMMYFUNCTION("""COMPUTED_VALUE"""),0.0304)</f>
        <v>0.0304</v>
      </c>
      <c r="L292" s="135">
        <f t="shared" si="52"/>
        <v>1340.2741</v>
      </c>
      <c r="M292" s="135">
        <f t="shared" si="53"/>
        <v>40.7803</v>
      </c>
      <c r="N292" s="136">
        <f t="shared" si="54"/>
        <v>0.03745023967</v>
      </c>
      <c r="O292" s="178" t="str">
        <f>IFERROR(__xludf.DUMMYFUNCTION("LET(t, A292,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"),"2.83 (3.04%)")</f>
        <v>2.83 (3.04%)</v>
      </c>
      <c r="Q292" s="417"/>
      <c r="S292" s="417"/>
      <c r="AA292" s="186"/>
    </row>
    <row r="293">
      <c r="A293" s="149"/>
      <c r="B293" s="128" t="str">
        <f>IFERROR(__xludf.DUMMYFUNCTION("IF(ISBLANK(A293),"""", googlefinance(A293, ""name""))"),"")</f>
        <v/>
      </c>
      <c r="C293" s="175" t="str">
        <f t="shared" si="50"/>
        <v/>
      </c>
      <c r="D293" s="176"/>
      <c r="E293" s="132" t="str">
        <f>IFERROR(__xludf.DUMMYFUNCTION("IF(ISBLANK(A293),"""", googlefinance(A293, ""price""))"),"")</f>
        <v/>
      </c>
      <c r="F293" s="213" t="s">
        <v>133</v>
      </c>
      <c r="G293" s="213"/>
      <c r="H293" s="213" t="s">
        <v>134</v>
      </c>
      <c r="I293" s="136" t="str">
        <f t="shared" si="51"/>
        <v/>
      </c>
      <c r="J293" s="140" t="str">
        <f>IFERROR(__xludf.DUMMYFUNCTION("IfError(IF(isblank(A293),"""",split(O293, ""()"")))"),"")</f>
        <v/>
      </c>
      <c r="K293" s="136"/>
      <c r="L293" s="135" t="str">
        <f t="shared" si="52"/>
        <v/>
      </c>
      <c r="M293" s="135" t="str">
        <f t="shared" si="53"/>
        <v/>
      </c>
      <c r="N293" s="136" t="str">
        <f t="shared" si="54"/>
        <v/>
      </c>
      <c r="O293" s="178" t="str">
        <f>IFERROR(__xludf.DUMMYFUNCTION("LET(t, A293,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93" s="417"/>
      <c r="S293" s="417"/>
      <c r="AA293" s="186"/>
    </row>
    <row r="294">
      <c r="A294" s="149"/>
      <c r="B294" s="128"/>
      <c r="C294" s="175"/>
      <c r="D294" s="176"/>
      <c r="E294" s="132"/>
      <c r="F294" s="213" t="s">
        <v>133</v>
      </c>
      <c r="G294" s="213"/>
      <c r="H294" s="213" t="s">
        <v>134</v>
      </c>
      <c r="I294" s="136" t="str">
        <f t="shared" si="51"/>
        <v/>
      </c>
      <c r="J294" s="140"/>
      <c r="K294" s="136"/>
      <c r="L294" s="135"/>
      <c r="M294" s="135"/>
      <c r="N294" s="136" t="str">
        <f t="shared" si="54"/>
        <v/>
      </c>
      <c r="O294" s="178" t="str">
        <f>IFERROR(__xludf.DUMMYFUNCTION("LET(t, A294,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94" s="417"/>
      <c r="S294" s="417"/>
      <c r="AA294" s="186"/>
    </row>
    <row r="295">
      <c r="A295" s="149"/>
      <c r="B295" s="128"/>
      <c r="C295" s="175"/>
      <c r="D295" s="176"/>
      <c r="E295" s="132"/>
      <c r="F295" s="213" t="s">
        <v>133</v>
      </c>
      <c r="G295" s="213"/>
      <c r="H295" s="213" t="s">
        <v>134</v>
      </c>
      <c r="I295" s="136" t="str">
        <f t="shared" si="51"/>
        <v/>
      </c>
      <c r="J295" s="140"/>
      <c r="K295" s="136"/>
      <c r="L295" s="135"/>
      <c r="M295" s="135"/>
      <c r="N295" s="136" t="str">
        <f t="shared" si="54"/>
        <v/>
      </c>
      <c r="O295" s="178" t="str">
        <f>IFERROR(__xludf.DUMMYFUNCTION("LET(t, A295,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295" s="417"/>
      <c r="S295" s="417"/>
      <c r="AA295" s="186"/>
    </row>
    <row r="296">
      <c r="A296" s="179">
        <f>COUNTA(A266:A295)</f>
        <v>27</v>
      </c>
      <c r="B296" s="180" t="s">
        <v>341</v>
      </c>
      <c r="C296" s="413">
        <v>45658.0</v>
      </c>
      <c r="D296" s="414" t="s">
        <v>425</v>
      </c>
      <c r="E296" s="181"/>
      <c r="F296" s="179"/>
      <c r="G296" s="179"/>
      <c r="H296" s="179"/>
      <c r="I296" s="182">
        <f>SUM(I266:I295)</f>
        <v>1</v>
      </c>
      <c r="J296" s="181"/>
      <c r="K296" s="182">
        <f>M296/L296</f>
        <v>0.02458966689</v>
      </c>
      <c r="L296" s="181">
        <f t="shared" ref="L296:N296" si="55">SUM(L266:L295)</f>
        <v>44283.62552</v>
      </c>
      <c r="M296" s="181">
        <f t="shared" si="55"/>
        <v>1088.9196</v>
      </c>
      <c r="N296" s="182">
        <f t="shared" si="55"/>
        <v>1</v>
      </c>
      <c r="O296" s="184"/>
      <c r="Q296" s="417"/>
      <c r="S296" s="417"/>
      <c r="AA296" s="186"/>
    </row>
    <row r="297">
      <c r="Q297" s="417"/>
      <c r="S297" s="417"/>
      <c r="AA297" s="186"/>
    </row>
    <row r="298">
      <c r="A298" s="116" t="s">
        <v>426</v>
      </c>
      <c r="B298" s="117" t="s">
        <v>72</v>
      </c>
      <c r="C298" s="117" t="s">
        <v>73</v>
      </c>
      <c r="D298" s="117" t="s">
        <v>74</v>
      </c>
      <c r="E298" s="118" t="s">
        <v>76</v>
      </c>
      <c r="F298" s="117" t="s">
        <v>85</v>
      </c>
      <c r="G298" s="117" t="s">
        <v>86</v>
      </c>
      <c r="H298" s="117" t="s">
        <v>87</v>
      </c>
      <c r="I298" s="121" t="s">
        <v>88</v>
      </c>
      <c r="J298" s="118" t="s">
        <v>89</v>
      </c>
      <c r="K298" s="121" t="s">
        <v>12</v>
      </c>
      <c r="L298" s="118" t="s">
        <v>9</v>
      </c>
      <c r="M298" s="117" t="s">
        <v>91</v>
      </c>
      <c r="N298" s="117" t="s">
        <v>92</v>
      </c>
      <c r="O298" s="118" t="s">
        <v>99</v>
      </c>
      <c r="Q298" s="417"/>
      <c r="S298" s="417"/>
      <c r="AA298" s="186"/>
    </row>
    <row r="299">
      <c r="A299" s="149" t="s">
        <v>126</v>
      </c>
      <c r="B299" s="128" t="str">
        <f>IFERROR(__xludf.DUMMYFUNCTION("IF(ISBLANK(A299),"""", googlefinance(A299, ""name""))"),"Schwab US Dividend Equity ETF")</f>
        <v>Schwab US Dividend Equity ETF</v>
      </c>
      <c r="C299" s="129" t="str">
        <f t="shared" ref="C299:C328" si="56">IF(ISBLANK(A299),"", HYPERLINK("https://seekingalpha.com/symbol/" &amp; A299,"View"))</f>
        <v>View</v>
      </c>
      <c r="D299" s="176">
        <v>8034.0</v>
      </c>
      <c r="E299" s="132">
        <f>IFERROR(__xludf.DUMMYFUNCTION("IF(ISBLANK(A299),"""", googlefinance(A299, ""price""))"),31.26)</f>
        <v>31.26</v>
      </c>
      <c r="F299" s="213" t="s">
        <v>121</v>
      </c>
      <c r="G299" s="213" t="s">
        <v>134</v>
      </c>
      <c r="H299" s="213" t="s">
        <v>113</v>
      </c>
      <c r="I299" s="136">
        <f t="shared" ref="I299:I328" si="57">if(isblank(A299),"",L299/$L$329)</f>
        <v>0.06410664901</v>
      </c>
      <c r="J299" s="140">
        <f>IFERROR(__xludf.DUMMYFUNCTION("IfError(IF(isblank(A299),"""",split(O299, ""()"")))"),1.05)</f>
        <v>1.05</v>
      </c>
      <c r="K299" s="136">
        <f>IFERROR(__xludf.DUMMYFUNCTION("""COMPUTED_VALUE"""),0.0335)</f>
        <v>0.0335</v>
      </c>
      <c r="L299" s="135">
        <f t="shared" ref="L299:L328" si="58">IF(ISBLANK(A299),"",D299*E299)</f>
        <v>251142.84</v>
      </c>
      <c r="M299" s="135">
        <f t="shared" ref="M299:M328" si="59">IFERROR(IF(ISBLANK(A299),"",D299*J299),"")</f>
        <v>8435.7</v>
      </c>
      <c r="N299" s="136">
        <f t="shared" ref="N299:N328" si="60">if(isblank(A299),"",M299/$M$329)</f>
        <v>0.05904716948</v>
      </c>
      <c r="O299" s="178" t="str">
        <f>IFERROR(__xludf.DUMMYFUNCTION("LET(t, A299,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"),"1.05 (3.35%)")</f>
        <v>1.05 (3.35%)</v>
      </c>
      <c r="Q299" s="417"/>
      <c r="S299" s="417"/>
      <c r="AA299" s="186"/>
    </row>
    <row r="300">
      <c r="A300" s="149" t="s">
        <v>115</v>
      </c>
      <c r="B300" s="128" t="str">
        <f>IFERROR(__xludf.DUMMYFUNCTION("IF(ISBLANK(A300),"""", googlefinance(A300, ""name""))"),"Realty Income Corp")</f>
        <v>Realty Income Corp</v>
      </c>
      <c r="C300" s="129" t="str">
        <f t="shared" si="56"/>
        <v>View</v>
      </c>
      <c r="D300" s="176">
        <v>3795.5</v>
      </c>
      <c r="E300" s="132">
        <f>IFERROR(__xludf.DUMMYFUNCTION("IF(ISBLANK(A300),"""", googlefinance(A300, ""price""))"),64.8)</f>
        <v>64.8</v>
      </c>
      <c r="F300" s="213" t="s">
        <v>101</v>
      </c>
      <c r="G300" s="213" t="s">
        <v>134</v>
      </c>
      <c r="H300" s="213" t="s">
        <v>113</v>
      </c>
      <c r="I300" s="136">
        <f t="shared" si="57"/>
        <v>0.06278071775</v>
      </c>
      <c r="J300" s="140">
        <f>IFERROR(__xludf.DUMMYFUNCTION("IfError(IF(isblank(A300),"""",split(O300, ""()"")))"),3.5)</f>
        <v>3.5</v>
      </c>
      <c r="K300" s="136">
        <f>IFERROR(__xludf.DUMMYFUNCTION("""COMPUTED_VALUE"""),0.054)</f>
        <v>0.054</v>
      </c>
      <c r="L300" s="135">
        <f t="shared" si="58"/>
        <v>245948.4</v>
      </c>
      <c r="M300" s="135">
        <f t="shared" si="59"/>
        <v>13284.25</v>
      </c>
      <c r="N300" s="136">
        <f t="shared" si="60"/>
        <v>0.09298545007</v>
      </c>
      <c r="O300" s="178" t="str">
        <f>IFERROR(__xludf.DUMMYFUNCTION("LET(t, A300,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"),"3.50 (5.40%)")</f>
        <v>3.50 (5.40%)</v>
      </c>
      <c r="Q300" s="417"/>
      <c r="S300" s="417"/>
      <c r="AA300" s="186"/>
    </row>
    <row r="301">
      <c r="A301" s="149" t="s">
        <v>311</v>
      </c>
      <c r="B301" s="128" t="str">
        <f>IFERROR(__xludf.DUMMYFUNCTION("IF(ISBLANK(A301),"""", googlefinance(A301, ""name""))"),"Altria Group Inc")</f>
        <v>Altria Group Inc</v>
      </c>
      <c r="C301" s="129" t="str">
        <f t="shared" si="56"/>
        <v>View</v>
      </c>
      <c r="D301" s="176">
        <v>3799.1</v>
      </c>
      <c r="E301" s="132">
        <f>IFERROR(__xludf.DUMMYFUNCTION("IF(ISBLANK(A301),"""", googlefinance(A301, ""price""))"),66.98)</f>
        <v>66.98</v>
      </c>
      <c r="F301" s="213" t="s">
        <v>101</v>
      </c>
      <c r="G301" s="213" t="s">
        <v>134</v>
      </c>
      <c r="H301" s="213" t="s">
        <v>113</v>
      </c>
      <c r="I301" s="136">
        <f t="shared" si="57"/>
        <v>0.06495433537</v>
      </c>
      <c r="J301" s="140">
        <f>IFERROR(__xludf.DUMMYFUNCTION("IfError(IF(isblank(A301),"""",split(O301, ""()"")))"),4.16)</f>
        <v>4.16</v>
      </c>
      <c r="K301" s="136">
        <f>IFERROR(__xludf.DUMMYFUNCTION("""COMPUTED_VALUE"""),0.0621)</f>
        <v>0.0621</v>
      </c>
      <c r="L301" s="135">
        <f t="shared" si="58"/>
        <v>254463.718</v>
      </c>
      <c r="M301" s="135">
        <f t="shared" si="59"/>
        <v>15804.256</v>
      </c>
      <c r="N301" s="136">
        <f t="shared" si="60"/>
        <v>0.1106246764</v>
      </c>
      <c r="O301" s="178" t="str">
        <f>IFERROR(__xludf.DUMMYFUNCTION("LET(t, A301,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"),"4.16 (6.21%)")</f>
        <v>4.16 (6.21%)</v>
      </c>
      <c r="Q301" s="417"/>
      <c r="S301" s="417"/>
      <c r="AA301" s="186"/>
    </row>
    <row r="302">
      <c r="A302" s="149" t="s">
        <v>104</v>
      </c>
      <c r="B302" s="128" t="str">
        <f>IFERROR(__xludf.DUMMYFUNCTION("IF(ISBLANK(A302),"""", googlefinance(A302, ""name""))"),"Microsoft Corp")</f>
        <v>Microsoft Corp</v>
      </c>
      <c r="C302" s="129" t="str">
        <f t="shared" si="56"/>
        <v>View</v>
      </c>
      <c r="D302" s="176">
        <v>374.0</v>
      </c>
      <c r="E302" s="132">
        <f>IFERROR(__xludf.DUMMYFUNCTION("IF(ISBLANK(A302),"""", googlefinance(A302, ""price""))"),410.68)</f>
        <v>410.68</v>
      </c>
      <c r="F302" s="213" t="s">
        <v>101</v>
      </c>
      <c r="G302" s="213" t="s">
        <v>134</v>
      </c>
      <c r="H302" s="213" t="s">
        <v>103</v>
      </c>
      <c r="I302" s="136">
        <f t="shared" si="57"/>
        <v>0.03920644189</v>
      </c>
      <c r="J302" s="140" t="str">
        <f>IFERROR(__xludf.DUMMYFUNCTION("IfError(IF(isblank(A302),"""",split(O302, ""()"")))"),"")</f>
        <v/>
      </c>
      <c r="K302" s="136"/>
      <c r="L302" s="135">
        <f t="shared" si="58"/>
        <v>153594.32</v>
      </c>
      <c r="M302" s="135">
        <f t="shared" si="59"/>
        <v>0</v>
      </c>
      <c r="N302" s="136">
        <f t="shared" si="60"/>
        <v>0</v>
      </c>
      <c r="O302" s="178" t="str">
        <f>IFERROR(__xludf.DUMMYFUNCTION("LET(t, A302,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02" s="417"/>
      <c r="S302" s="417"/>
      <c r="AA302" s="186"/>
    </row>
    <row r="303">
      <c r="A303" s="149" t="s">
        <v>312</v>
      </c>
      <c r="B303" s="128" t="str">
        <f>IFERROR(__xludf.DUMMYFUNCTION("IF(ISBLANK(A303),"""", googlefinance(A303, ""name""))"),"AbbVie Common Stock")</f>
        <v>AbbVie Common Stock</v>
      </c>
      <c r="C303" s="129" t="str">
        <f t="shared" si="56"/>
        <v>View</v>
      </c>
      <c r="D303" s="176">
        <v>932.0</v>
      </c>
      <c r="E303" s="132">
        <f>IFERROR(__xludf.DUMMYFUNCTION("IF(ISBLANK(A303),"""", googlefinance(A303, ""price""))"),232.35)</f>
        <v>232.35</v>
      </c>
      <c r="F303" s="213" t="s">
        <v>101</v>
      </c>
      <c r="G303" s="213" t="s">
        <v>134</v>
      </c>
      <c r="H303" s="213" t="s">
        <v>113</v>
      </c>
      <c r="I303" s="136">
        <f t="shared" si="57"/>
        <v>0.05527654169</v>
      </c>
      <c r="J303" s="140">
        <f>IFERROR(__xludf.DUMMYFUNCTION("IfError(IF(isblank(A303),"""",split(O303, ""()"")))"),6.65)</f>
        <v>6.65</v>
      </c>
      <c r="K303" s="136">
        <f>IFERROR(__xludf.DUMMYFUNCTION("""COMPUTED_VALUE"""),0.0286)</f>
        <v>0.0286</v>
      </c>
      <c r="L303" s="135">
        <f t="shared" si="58"/>
        <v>216550.2</v>
      </c>
      <c r="M303" s="135">
        <f t="shared" si="59"/>
        <v>6197.8</v>
      </c>
      <c r="N303" s="136">
        <f t="shared" si="60"/>
        <v>0.04338259386</v>
      </c>
      <c r="O303" s="178" t="str">
        <f>IFERROR(__xludf.DUMMYFUNCTION("LET(t, A303,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"),"6.65 (2.86%)")</f>
        <v>6.65 (2.86%)</v>
      </c>
      <c r="Q303" s="417"/>
      <c r="S303" s="417"/>
      <c r="AA303" s="186"/>
    </row>
    <row r="304">
      <c r="A304" s="149" t="s">
        <v>427</v>
      </c>
      <c r="B304" s="128" t="str">
        <f>IFERROR(__xludf.DUMMYFUNCTION("IF(ISBLANK(A304),"""", googlefinance(A304, ""name""))"),"JPMorgan Nasdaq Equity Premium Income ETF")</f>
        <v>JPMorgan Nasdaq Equity Premium Income ETF</v>
      </c>
      <c r="C304" s="129" t="str">
        <f t="shared" si="56"/>
        <v>View</v>
      </c>
      <c r="D304" s="176">
        <v>2672.0</v>
      </c>
      <c r="E304" s="132">
        <f>IFERROR(__xludf.DUMMYFUNCTION("IF(ISBLANK(A304),"""", googlefinance(A304, ""price""))"),57.64)</f>
        <v>57.64</v>
      </c>
      <c r="F304" s="213" t="s">
        <v>121</v>
      </c>
      <c r="G304" s="213" t="s">
        <v>134</v>
      </c>
      <c r="H304" s="213" t="s">
        <v>113</v>
      </c>
      <c r="I304" s="136">
        <f t="shared" si="57"/>
        <v>0.03931358971</v>
      </c>
      <c r="J304" s="140">
        <f>IFERROR(__xludf.DUMMYFUNCTION("IfError(IF(isblank(A304),"""",split(O304, ""()"")))"),6.17)</f>
        <v>6.17</v>
      </c>
      <c r="K304" s="136">
        <f>IFERROR(__xludf.DUMMYFUNCTION("""COMPUTED_VALUE"""),0.107)</f>
        <v>0.107</v>
      </c>
      <c r="L304" s="135">
        <f t="shared" si="58"/>
        <v>154014.08</v>
      </c>
      <c r="M304" s="135">
        <f t="shared" si="59"/>
        <v>16486.24</v>
      </c>
      <c r="N304" s="136">
        <f t="shared" si="60"/>
        <v>0.1153983436</v>
      </c>
      <c r="O304" s="178" t="str">
        <f>IFERROR(__xludf.DUMMYFUNCTION("LET(t, A304,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"),"6.17 (10.70%)")</f>
        <v>6.17 (10.70%)</v>
      </c>
      <c r="Q304" s="417"/>
      <c r="S304" s="417"/>
      <c r="AA304" s="186"/>
    </row>
    <row r="305">
      <c r="A305" s="149" t="s">
        <v>313</v>
      </c>
      <c r="B305" s="128" t="str">
        <f>IFERROR(__xludf.DUMMYFUNCTION("IF(ISBLANK(A305),"""", googlefinance(A305, ""name""))"),"Johnson &amp; Johnson")</f>
        <v>Johnson &amp; Johnson</v>
      </c>
      <c r="C305" s="129" t="str">
        <f t="shared" si="56"/>
        <v>View</v>
      </c>
      <c r="D305" s="176">
        <v>967.0</v>
      </c>
      <c r="E305" s="132">
        <f>IFERROR(__xludf.DUMMYFUNCTION("IF(ISBLANK(A305),"""", googlefinance(A305, ""price""))"),239.63)</f>
        <v>239.63</v>
      </c>
      <c r="F305" s="213" t="s">
        <v>101</v>
      </c>
      <c r="G305" s="213" t="s">
        <v>134</v>
      </c>
      <c r="H305" s="213" t="s">
        <v>113</v>
      </c>
      <c r="I305" s="136">
        <f t="shared" si="57"/>
        <v>0.05914934459</v>
      </c>
      <c r="J305" s="140">
        <f>IFERROR(__xludf.DUMMYFUNCTION("IfError(IF(isblank(A305),"""",split(O305, ""()"")))"),5.2)</f>
        <v>5.2</v>
      </c>
      <c r="K305" s="136">
        <f>IFERROR(__xludf.DUMMYFUNCTION("""COMPUTED_VALUE"""),0.0217)</f>
        <v>0.0217</v>
      </c>
      <c r="L305" s="135">
        <f t="shared" si="58"/>
        <v>231722.21</v>
      </c>
      <c r="M305" s="135">
        <f t="shared" si="59"/>
        <v>5028.4</v>
      </c>
      <c r="N305" s="136">
        <f t="shared" si="60"/>
        <v>0.03519717238</v>
      </c>
      <c r="O305" s="178" t="str">
        <f>IFERROR(__xludf.DUMMYFUNCTION("LET(t, A305,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"),"5.20 (2.17%)")</f>
        <v>5.20 (2.17%)</v>
      </c>
      <c r="Q305" s="417"/>
      <c r="S305" s="417"/>
      <c r="AA305" s="186"/>
    </row>
    <row r="306">
      <c r="A306" s="149" t="s">
        <v>366</v>
      </c>
      <c r="B306" s="128" t="str">
        <f>IFERROR(__xludf.DUMMYFUNCTION("IF(ISBLANK(A306),"""", googlefinance(A306, ""name""))"),"Enterprise Products Partners L.P")</f>
        <v>Enterprise Products Partners L.P</v>
      </c>
      <c r="C306" s="129" t="str">
        <f t="shared" si="56"/>
        <v>View</v>
      </c>
      <c r="D306" s="176">
        <v>4783.7</v>
      </c>
      <c r="E306" s="132">
        <f>IFERROR(__xludf.DUMMYFUNCTION("IF(ISBLANK(A306),"""", googlefinance(A306, ""price""))"),37.29)</f>
        <v>37.29</v>
      </c>
      <c r="F306" s="213" t="s">
        <v>101</v>
      </c>
      <c r="G306" s="213" t="s">
        <v>134</v>
      </c>
      <c r="H306" s="213" t="s">
        <v>113</v>
      </c>
      <c r="I306" s="136">
        <f t="shared" si="57"/>
        <v>0.04553429263</v>
      </c>
      <c r="J306" s="140">
        <f>IFERROR(__xludf.DUMMYFUNCTION("IfError(IF(isblank(A306),"""",split(O306, ""()"")))"),2.18)</f>
        <v>2.18</v>
      </c>
      <c r="K306" s="136">
        <f>IFERROR(__xludf.DUMMYFUNCTION("""COMPUTED_VALUE"""),0.0583)</f>
        <v>0.0583</v>
      </c>
      <c r="L306" s="135">
        <f t="shared" si="58"/>
        <v>178384.173</v>
      </c>
      <c r="M306" s="135">
        <f t="shared" si="59"/>
        <v>10428.466</v>
      </c>
      <c r="N306" s="136">
        <f t="shared" si="60"/>
        <v>0.07299588645</v>
      </c>
      <c r="O306" s="178" t="str">
        <f>IFERROR(__xludf.DUMMYFUNCTION("LET(t, A306,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"),"2.18 (5.83%)")</f>
        <v>2.18 (5.83%)</v>
      </c>
      <c r="Q306" s="417"/>
      <c r="S306" s="417"/>
      <c r="AA306" s="186"/>
    </row>
    <row r="307">
      <c r="A307" s="149" t="s">
        <v>428</v>
      </c>
      <c r="B307" s="128" t="str">
        <f>IFERROR(__xludf.DUMMYFUNCTION("IF(ISBLANK(A307),"""", googlefinance(A307, ""name""))"),"Amplify CWP Enhanced Dividend Income ETF")</f>
        <v>Amplify CWP Enhanced Dividend Income ETF</v>
      </c>
      <c r="C307" s="129" t="str">
        <f t="shared" si="56"/>
        <v>View</v>
      </c>
      <c r="D307" s="176">
        <v>3528.9</v>
      </c>
      <c r="E307" s="132">
        <f>IFERROR(__xludf.DUMMYFUNCTION("IF(ISBLANK(A307),"""", googlefinance(A307, ""price""))"),46.05)</f>
        <v>46.05</v>
      </c>
      <c r="F307" s="213" t="s">
        <v>121</v>
      </c>
      <c r="G307" s="213" t="s">
        <v>134</v>
      </c>
      <c r="H307" s="402" t="s">
        <v>113</v>
      </c>
      <c r="I307" s="136">
        <f t="shared" si="57"/>
        <v>0.04148119519</v>
      </c>
      <c r="J307" s="140">
        <f>IFERROR(__xludf.DUMMYFUNCTION("IfError(IF(isblank(A307),"""",split(O307, ""()"")))"),2.29)</f>
        <v>2.29</v>
      </c>
      <c r="K307" s="136">
        <f>IFERROR(__xludf.DUMMYFUNCTION("""COMPUTED_VALUE"""),0.0498)</f>
        <v>0.0498</v>
      </c>
      <c r="L307" s="135">
        <f t="shared" si="58"/>
        <v>162505.845</v>
      </c>
      <c r="M307" s="135">
        <f t="shared" si="59"/>
        <v>8081.181</v>
      </c>
      <c r="N307" s="136">
        <f t="shared" si="60"/>
        <v>0.05656565123</v>
      </c>
      <c r="O307" s="178" t="str">
        <f>IFERROR(__xludf.DUMMYFUNCTION("LET(t, A307,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"),"2.29 (4.98%)")</f>
        <v>2.29 (4.98%)</v>
      </c>
      <c r="Q307" s="417"/>
      <c r="S307" s="417"/>
      <c r="AA307" s="186"/>
    </row>
    <row r="308">
      <c r="A308" s="149" t="s">
        <v>395</v>
      </c>
      <c r="B308" s="128" t="str">
        <f>IFERROR(__xludf.DUMMYFUNCTION("IF(ISBLANK(A308),"""", googlefinance(A308, ""name""))"),"Exxon Mobil Corp")</f>
        <v>Exxon Mobil Corp</v>
      </c>
      <c r="C308" s="129" t="str">
        <f t="shared" si="56"/>
        <v>View</v>
      </c>
      <c r="D308" s="176">
        <v>1205.0</v>
      </c>
      <c r="E308" s="132">
        <f>IFERROR(__xludf.DUMMYFUNCTION("IF(ISBLANK(A308),"""", googlefinance(A308, ""price""))"),150.76)</f>
        <v>150.76</v>
      </c>
      <c r="F308" s="213" t="s">
        <v>101</v>
      </c>
      <c r="G308" s="213" t="s">
        <v>134</v>
      </c>
      <c r="H308" s="213" t="s">
        <v>113</v>
      </c>
      <c r="I308" s="136">
        <f t="shared" si="57"/>
        <v>0.04637195979</v>
      </c>
      <c r="J308" s="140">
        <f>IFERROR(__xludf.DUMMYFUNCTION("IfError(IF(isblank(A308),"""",split(O308, ""()"")))"),4.04)</f>
        <v>4.04</v>
      </c>
      <c r="K308" s="136">
        <f>IFERROR(__xludf.DUMMYFUNCTION("""COMPUTED_VALUE"""),0.0268)</f>
        <v>0.0268</v>
      </c>
      <c r="L308" s="135">
        <f t="shared" si="58"/>
        <v>181665.8</v>
      </c>
      <c r="M308" s="135">
        <f t="shared" si="59"/>
        <v>4868.2</v>
      </c>
      <c r="N308" s="136">
        <f t="shared" si="60"/>
        <v>0.03407582423</v>
      </c>
      <c r="O308" s="178" t="str">
        <f>IFERROR(__xludf.DUMMYFUNCTION("LET(t, A308,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"),"4.04 (2.68%)")</f>
        <v>4.04 (2.68%)</v>
      </c>
      <c r="Q308" s="417"/>
      <c r="S308" s="417"/>
      <c r="AA308" s="186"/>
    </row>
    <row r="309">
      <c r="A309" s="149" t="s">
        <v>321</v>
      </c>
      <c r="B309" s="128" t="str">
        <f>IFERROR(__xludf.DUMMYFUNCTION("IF(ISBLANK(A309),"""", googlefinance(A309, ""name""))"),"Procter &amp; Gamble Co")</f>
        <v>Procter &amp; Gamble Co</v>
      </c>
      <c r="C309" s="129" t="str">
        <f t="shared" si="56"/>
        <v>View</v>
      </c>
      <c r="D309" s="176">
        <v>770.0</v>
      </c>
      <c r="E309" s="132">
        <f>IFERROR(__xludf.DUMMYFUNCTION("IF(ISBLANK(A309),"""", googlefinance(A309, ""price""))"),153.99)</f>
        <v>153.99</v>
      </c>
      <c r="F309" s="213" t="s">
        <v>101</v>
      </c>
      <c r="G309" s="213" t="s">
        <v>134</v>
      </c>
      <c r="H309" s="213" t="s">
        <v>113</v>
      </c>
      <c r="I309" s="136">
        <f t="shared" si="57"/>
        <v>0.03026673115</v>
      </c>
      <c r="J309" s="140">
        <f>IFERROR(__xludf.DUMMYFUNCTION("IfError(IF(isblank(A309),"""",split(O309, ""()"")))"),4.23)</f>
        <v>4.23</v>
      </c>
      <c r="K309" s="136">
        <f>IFERROR(__xludf.DUMMYFUNCTION("""COMPUTED_VALUE"""),0.0275)</f>
        <v>0.0275</v>
      </c>
      <c r="L309" s="135">
        <f t="shared" si="58"/>
        <v>118572.3</v>
      </c>
      <c r="M309" s="135">
        <f t="shared" si="59"/>
        <v>3257.1</v>
      </c>
      <c r="N309" s="136">
        <f t="shared" si="60"/>
        <v>0.02279864572</v>
      </c>
      <c r="O309" s="178" t="str">
        <f>IFERROR(__xludf.DUMMYFUNCTION("LET(t, A309,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"),"4.23 (2.75%)")</f>
        <v>4.23 (2.75%)</v>
      </c>
      <c r="Q309" s="417"/>
      <c r="S309" s="417"/>
      <c r="AA309" s="186"/>
    </row>
    <row r="310">
      <c r="A310" s="149" t="s">
        <v>310</v>
      </c>
      <c r="B310" s="128" t="str">
        <f>IFERROR(__xludf.DUMMYFUNCTION("IF(ISBLANK(A310),"""", googlefinance(A310, ""name""))"),"PepsiCo Inc")</f>
        <v>PepsiCo Inc</v>
      </c>
      <c r="C310" s="129" t="str">
        <f t="shared" si="56"/>
        <v>View</v>
      </c>
      <c r="D310" s="176">
        <v>768.0</v>
      </c>
      <c r="E310" s="132">
        <f>IFERROR(__xludf.DUMMYFUNCTION("IF(ISBLANK(A310),"""", googlefinance(A310, ""price""))"),160.7)</f>
        <v>160.7</v>
      </c>
      <c r="F310" s="213" t="s">
        <v>101</v>
      </c>
      <c r="G310" s="213" t="s">
        <v>134</v>
      </c>
      <c r="H310" s="213" t="s">
        <v>113</v>
      </c>
      <c r="I310" s="136">
        <f t="shared" si="57"/>
        <v>0.03150354103</v>
      </c>
      <c r="J310" s="140">
        <f>IFERROR(__xludf.DUMMYFUNCTION("IfError(IF(isblank(A310),"""",split(O310, ""()"")))"),5.62)</f>
        <v>5.62</v>
      </c>
      <c r="K310" s="136">
        <f>IFERROR(__xludf.DUMMYFUNCTION("""COMPUTED_VALUE"""),0.035)</f>
        <v>0.035</v>
      </c>
      <c r="L310" s="135">
        <f t="shared" si="58"/>
        <v>123417.6</v>
      </c>
      <c r="M310" s="135">
        <f t="shared" si="59"/>
        <v>4316.16</v>
      </c>
      <c r="N310" s="136">
        <f t="shared" si="60"/>
        <v>0.03021172292</v>
      </c>
      <c r="O310" s="178" t="str">
        <f>IFERROR(__xludf.DUMMYFUNCTION("LET(t, A310,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"),"5.62 (3.50%)")</f>
        <v>5.62 (3.50%)</v>
      </c>
      <c r="Q310" s="417"/>
      <c r="S310" s="417"/>
      <c r="AA310" s="186"/>
    </row>
    <row r="311">
      <c r="A311" s="149" t="s">
        <v>429</v>
      </c>
      <c r="B311" s="128" t="str">
        <f>IFERROR(__xludf.DUMMYFUNCTION("IF(ISBLANK(A311),"""", googlefinance(A311, ""name""))"),"Duke Energy Corp")</f>
        <v>Duke Energy Corp</v>
      </c>
      <c r="C311" s="129" t="str">
        <f t="shared" si="56"/>
        <v>View</v>
      </c>
      <c r="D311" s="176">
        <v>1077.0</v>
      </c>
      <c r="E311" s="132">
        <f>IFERROR(__xludf.DUMMYFUNCTION("IF(ISBLANK(A311),"""", googlefinance(A311, ""price""))"),131.61)</f>
        <v>131.61</v>
      </c>
      <c r="F311" s="213" t="s">
        <v>101</v>
      </c>
      <c r="G311" s="213" t="s">
        <v>134</v>
      </c>
      <c r="H311" s="213" t="s">
        <v>113</v>
      </c>
      <c r="I311" s="136">
        <f t="shared" si="57"/>
        <v>0.03618152496</v>
      </c>
      <c r="J311" s="140">
        <f>IFERROR(__xludf.DUMMYFUNCTION("IfError(IF(isblank(A311),"""",split(O311, ""()"")))"),4.24)</f>
        <v>4.24</v>
      </c>
      <c r="K311" s="136">
        <f>IFERROR(__xludf.DUMMYFUNCTION("""COMPUTED_VALUE"""),0.0322)</f>
        <v>0.0322</v>
      </c>
      <c r="L311" s="135">
        <f t="shared" si="58"/>
        <v>141743.97</v>
      </c>
      <c r="M311" s="135">
        <f t="shared" si="59"/>
        <v>4566.48</v>
      </c>
      <c r="N311" s="136">
        <f t="shared" si="60"/>
        <v>0.03196388189</v>
      </c>
      <c r="O311" s="178" t="str">
        <f>IFERROR(__xludf.DUMMYFUNCTION("LET(t, A311,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"),"4.24 (3.22%)")</f>
        <v>4.24 (3.22%)</v>
      </c>
      <c r="Q311" s="417"/>
      <c r="S311" s="417"/>
      <c r="AA311" s="186"/>
    </row>
    <row r="312">
      <c r="A312" s="149" t="s">
        <v>114</v>
      </c>
      <c r="B312" s="128" t="str">
        <f>IFERROR(__xludf.DUMMYFUNCTION("IF(ISBLANK(A312),"""", googlefinance(A312, ""name""))"),"Coca-Cola Co")</f>
        <v>Coca-Cola Co</v>
      </c>
      <c r="C312" s="129" t="str">
        <f t="shared" si="56"/>
        <v>View</v>
      </c>
      <c r="D312" s="176">
        <v>1666.0</v>
      </c>
      <c r="E312" s="132">
        <f>IFERROR(__xludf.DUMMYFUNCTION("IF(ISBLANK(A312),"""", googlefinance(A312, ""price""))"),77.03)</f>
        <v>77.03</v>
      </c>
      <c r="F312" s="213" t="s">
        <v>101</v>
      </c>
      <c r="G312" s="213" t="s">
        <v>134</v>
      </c>
      <c r="H312" s="213" t="s">
        <v>113</v>
      </c>
      <c r="I312" s="136">
        <f t="shared" si="57"/>
        <v>0.03275798426</v>
      </c>
      <c r="J312" s="140">
        <f>IFERROR(__xludf.DUMMYFUNCTION("IfError(IF(isblank(A312),"""",split(O312, ""()"")))"),2.04)</f>
        <v>2.04</v>
      </c>
      <c r="K312" s="136">
        <f>IFERROR(__xludf.DUMMYFUNCTION("""COMPUTED_VALUE"""),0.0265)</f>
        <v>0.0265</v>
      </c>
      <c r="L312" s="135">
        <f t="shared" si="58"/>
        <v>128331.98</v>
      </c>
      <c r="M312" s="135">
        <f t="shared" si="59"/>
        <v>3398.64</v>
      </c>
      <c r="N312" s="136">
        <f t="shared" si="60"/>
        <v>0.02378937991</v>
      </c>
      <c r="O312" s="178" t="str">
        <f>IFERROR(__xludf.DUMMYFUNCTION("LET(t, A312,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"),"2.04 (2.65%)")</f>
        <v>2.04 (2.65%)</v>
      </c>
      <c r="Q312" s="417"/>
      <c r="S312" s="417"/>
      <c r="AA312" s="186"/>
    </row>
    <row r="313">
      <c r="A313" s="149" t="s">
        <v>415</v>
      </c>
      <c r="B313" s="128" t="str">
        <f>IFERROR(__xludf.DUMMYFUNCTION("IF(ISBLANK(A313),"""", googlefinance(A313, ""name""))"),"McDonald's Corp")</f>
        <v>McDonald's Corp</v>
      </c>
      <c r="C313" s="129" t="str">
        <f t="shared" si="56"/>
        <v>View</v>
      </c>
      <c r="D313" s="176">
        <v>410.0</v>
      </c>
      <c r="E313" s="132">
        <f>IFERROR(__xludf.DUMMYFUNCTION("IF(ISBLANK(A313),"""", googlefinance(A313, ""price""))"),327.45)</f>
        <v>327.45</v>
      </c>
      <c r="F313" s="213" t="s">
        <v>101</v>
      </c>
      <c r="G313" s="213" t="s">
        <v>134</v>
      </c>
      <c r="H313" s="213" t="s">
        <v>113</v>
      </c>
      <c r="I313" s="136">
        <f t="shared" si="57"/>
        <v>0.03426976501</v>
      </c>
      <c r="J313" s="140">
        <f>IFERROR(__xludf.DUMMYFUNCTION("IfError(IF(isblank(A313),"""",split(O313, ""()"")))"),7.26)</f>
        <v>7.26</v>
      </c>
      <c r="K313" s="136">
        <f>IFERROR(__xludf.DUMMYFUNCTION("""COMPUTED_VALUE"""),0.0222)</f>
        <v>0.0222</v>
      </c>
      <c r="L313" s="135">
        <f t="shared" si="58"/>
        <v>134254.5</v>
      </c>
      <c r="M313" s="135">
        <f t="shared" si="59"/>
        <v>2976.6</v>
      </c>
      <c r="N313" s="136">
        <f t="shared" si="60"/>
        <v>0.02083523652</v>
      </c>
      <c r="O313" s="178" t="str">
        <f>IFERROR(__xludf.DUMMYFUNCTION("LET(t, A313,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"),"7.26 (2.22%)")</f>
        <v>7.26 (2.22%)</v>
      </c>
      <c r="Q313" s="417"/>
      <c r="S313" s="417"/>
      <c r="AA313" s="186"/>
    </row>
    <row r="314">
      <c r="A314" s="149" t="s">
        <v>306</v>
      </c>
      <c r="B314" s="128" t="str">
        <f>IFERROR(__xludf.DUMMYFUNCTION("IF(ISBLANK(A314),"""", googlefinance(A314, ""name""))"),"Apple Inc")</f>
        <v>Apple Inc</v>
      </c>
      <c r="C314" s="129" t="str">
        <f t="shared" si="56"/>
        <v>View</v>
      </c>
      <c r="D314" s="176">
        <v>408.0</v>
      </c>
      <c r="E314" s="132">
        <f>IFERROR(__xludf.DUMMYFUNCTION("IF(ISBLANK(A314),"""", googlefinance(A314, ""price""))"),260.29)</f>
        <v>260.29</v>
      </c>
      <c r="F314" s="213" t="s">
        <v>101</v>
      </c>
      <c r="G314" s="213" t="s">
        <v>134</v>
      </c>
      <c r="H314" s="213" t="s">
        <v>103</v>
      </c>
      <c r="I314" s="136">
        <f t="shared" si="57"/>
        <v>0.02710815258</v>
      </c>
      <c r="J314" s="140">
        <f>IFERROR(__xludf.DUMMYFUNCTION("IfError(IF(isblank(A314),"""",split(O314, ""()"")))"),1.04)</f>
        <v>1.04</v>
      </c>
      <c r="K314" s="136">
        <f>IFERROR(__xludf.DUMMYFUNCTION("""COMPUTED_VALUE"""),0.004)</f>
        <v>0.004</v>
      </c>
      <c r="L314" s="135">
        <f t="shared" si="58"/>
        <v>106198.32</v>
      </c>
      <c r="M314" s="135">
        <f t="shared" si="59"/>
        <v>424.32</v>
      </c>
      <c r="N314" s="136">
        <f t="shared" si="60"/>
        <v>0.002970102654</v>
      </c>
      <c r="O314" s="178" t="str">
        <f>IFERROR(__xludf.DUMMYFUNCTION("LET(t, A314,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"),"1.04 (0.40%)")</f>
        <v>1.04 (0.40%)</v>
      </c>
      <c r="Q314" s="417"/>
      <c r="S314" s="417"/>
      <c r="AA314" s="186"/>
    </row>
    <row r="315">
      <c r="A315" s="149" t="s">
        <v>430</v>
      </c>
      <c r="B315" s="128" t="str">
        <f>IFERROR(__xludf.DUMMYFUNCTION("IF(ISBLANK(A315),"""", googlefinance(A315, ""name""))"),"British American Tobacco PLC")</f>
        <v>British American Tobacco PLC</v>
      </c>
      <c r="C315" s="129" t="str">
        <f t="shared" si="56"/>
        <v>View</v>
      </c>
      <c r="D315" s="176">
        <v>2819.6</v>
      </c>
      <c r="E315" s="132">
        <f>IFERROR(__xludf.DUMMYFUNCTION("IF(ISBLANK(A315),"""", googlefinance(A315, ""price""))"),58.59)</f>
        <v>58.59</v>
      </c>
      <c r="F315" s="213" t="s">
        <v>101</v>
      </c>
      <c r="G315" s="213" t="s">
        <v>134</v>
      </c>
      <c r="H315" s="213" t="s">
        <v>129</v>
      </c>
      <c r="I315" s="136">
        <f t="shared" si="57"/>
        <v>0.04216899734</v>
      </c>
      <c r="J315" s="140">
        <f>IFERROR(__xludf.DUMMYFUNCTION("IfError(IF(isblank(A315),"""",split(O315, ""()"")))"),3.12)</f>
        <v>3.12</v>
      </c>
      <c r="K315" s="136">
        <f>IFERROR(__xludf.DUMMYFUNCTION("""COMPUTED_VALUE"""),0.0532)</f>
        <v>0.0532</v>
      </c>
      <c r="L315" s="135">
        <f t="shared" si="58"/>
        <v>165200.364</v>
      </c>
      <c r="M315" s="135">
        <f t="shared" si="59"/>
        <v>8797.152</v>
      </c>
      <c r="N315" s="136">
        <f t="shared" si="60"/>
        <v>0.06157721648</v>
      </c>
      <c r="O315" s="178" t="str">
        <f>IFERROR(__xludf.DUMMYFUNCTION("LET(t, A315,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"),"3.12 (5.32%)")</f>
        <v>3.12 (5.32%)</v>
      </c>
      <c r="Q315" s="417"/>
      <c r="S315" s="417"/>
      <c r="AA315" s="186"/>
    </row>
    <row r="316">
      <c r="A316" s="149" t="s">
        <v>431</v>
      </c>
      <c r="B316" s="128" t="str">
        <f>IFERROR(__xludf.DUMMYFUNCTION("IF(ISBLANK(A316),"""", googlefinance(A316, ""name""))"),"Southern Co")</f>
        <v>Southern Co</v>
      </c>
      <c r="C316" s="129" t="str">
        <f t="shared" si="56"/>
        <v>View</v>
      </c>
      <c r="D316" s="176">
        <v>1119.0</v>
      </c>
      <c r="E316" s="132">
        <f>IFERROR(__xludf.DUMMYFUNCTION("IF(ISBLANK(A316),"""", googlefinance(A316, ""price""))"),97.2)</f>
        <v>97.2</v>
      </c>
      <c r="F316" s="213" t="s">
        <v>101</v>
      </c>
      <c r="G316" s="213"/>
      <c r="H316" s="213" t="s">
        <v>113</v>
      </c>
      <c r="I316" s="136">
        <f t="shared" si="57"/>
        <v>0.02776378204</v>
      </c>
      <c r="J316" s="140">
        <f>IFERROR(__xludf.DUMMYFUNCTION("IfError(IF(isblank(A316),"""",split(O316, ""()"")))"),2.96)</f>
        <v>2.96</v>
      </c>
      <c r="K316" s="136">
        <f>IFERROR(__xludf.DUMMYFUNCTION("""COMPUTED_VALUE"""),0.0305)</f>
        <v>0.0305</v>
      </c>
      <c r="L316" s="135">
        <f t="shared" si="58"/>
        <v>108766.8</v>
      </c>
      <c r="M316" s="135">
        <f t="shared" si="59"/>
        <v>3312.24</v>
      </c>
      <c r="N316" s="136">
        <f t="shared" si="60"/>
        <v>0.02318460787</v>
      </c>
      <c r="O316" s="178" t="str">
        <f>IFERROR(__xludf.DUMMYFUNCTION("LET(t, A316,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"),"2.96 (3.05%)")</f>
        <v>2.96 (3.05%)</v>
      </c>
      <c r="Q316" s="417"/>
      <c r="S316" s="417"/>
      <c r="AA316" s="186"/>
    </row>
    <row r="317">
      <c r="A317" s="149" t="s">
        <v>432</v>
      </c>
      <c r="B317" s="128" t="str">
        <f>IFERROR(__xludf.DUMMYFUNCTION("IF(ISBLANK(A317),"""", googlefinance(A317, ""name""))"),"Goldman Sachs Group Inc")</f>
        <v>Goldman Sachs Group Inc</v>
      </c>
      <c r="C317" s="129" t="str">
        <f t="shared" si="56"/>
        <v>View</v>
      </c>
      <c r="D317" s="176">
        <v>177.6</v>
      </c>
      <c r="E317" s="132">
        <f>IFERROR(__xludf.DUMMYFUNCTION("IF(ISBLANK(A317),"""", googlefinance(A317, ""price""))"),835.46)</f>
        <v>835.46</v>
      </c>
      <c r="F317" s="213" t="s">
        <v>101</v>
      </c>
      <c r="G317" s="213"/>
      <c r="H317" s="213" t="s">
        <v>113</v>
      </c>
      <c r="I317" s="136">
        <f t="shared" si="57"/>
        <v>0.03787484795</v>
      </c>
      <c r="J317" s="140">
        <f>IFERROR(__xludf.DUMMYFUNCTION("IfError(IF(isblank(A317),"""",split(O317, ""()"")))"),18.5)</f>
        <v>18.5</v>
      </c>
      <c r="K317" s="136">
        <f>IFERROR(__xludf.DUMMYFUNCTION("""COMPUTED_VALUE"""),0.0221)</f>
        <v>0.0221</v>
      </c>
      <c r="L317" s="135">
        <f t="shared" si="58"/>
        <v>148377.696</v>
      </c>
      <c r="M317" s="135">
        <f t="shared" si="59"/>
        <v>3285.6</v>
      </c>
      <c r="N317" s="136">
        <f t="shared" si="60"/>
        <v>0.0229981365</v>
      </c>
      <c r="O317" s="178" t="str">
        <f>IFERROR(__xludf.DUMMYFUNCTION("LET(t, A317,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"),"18.50 (2.21%)")</f>
        <v>18.50 (2.21%)</v>
      </c>
      <c r="Q317" s="417"/>
      <c r="S317" s="417"/>
      <c r="AA317" s="186"/>
    </row>
    <row r="318">
      <c r="A318" s="149" t="s">
        <v>433</v>
      </c>
      <c r="B318" s="128" t="str">
        <f>IFERROR(__xludf.DUMMYFUNCTION("IF(ISBLANK(A318),"""", googlefinance(A318, ""name""))"),"Kimberly-Clark Corp")</f>
        <v>Kimberly-Clark Corp</v>
      </c>
      <c r="C318" s="129" t="str">
        <f t="shared" si="56"/>
        <v>View</v>
      </c>
      <c r="D318" s="176">
        <v>558.0</v>
      </c>
      <c r="E318" s="132">
        <f>IFERROR(__xludf.DUMMYFUNCTION("IF(ISBLANK(A318),"""", googlefinance(A318, ""price""))"),104.91)</f>
        <v>104.91</v>
      </c>
      <c r="F318" s="213" t="s">
        <v>101</v>
      </c>
      <c r="G318" s="213"/>
      <c r="H318" s="213" t="s">
        <v>113</v>
      </c>
      <c r="I318" s="136">
        <f t="shared" si="57"/>
        <v>0.01494284738</v>
      </c>
      <c r="J318" s="140">
        <f>IFERROR(__xludf.DUMMYFUNCTION("IfError(IF(isblank(A318),"""",split(O318, ""()"")))"),5.04)</f>
        <v>5.04</v>
      </c>
      <c r="K318" s="136">
        <f>IFERROR(__xludf.DUMMYFUNCTION("""COMPUTED_VALUE"""),0.048)</f>
        <v>0.048</v>
      </c>
      <c r="L318" s="135">
        <f t="shared" si="58"/>
        <v>58539.78</v>
      </c>
      <c r="M318" s="135">
        <f t="shared" si="59"/>
        <v>2812.32</v>
      </c>
      <c r="N318" s="136">
        <f t="shared" si="60"/>
        <v>0.01968532969</v>
      </c>
      <c r="O318" s="178" t="str">
        <f>IFERROR(__xludf.DUMMYFUNCTION("LET(t, A318,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"),"5.04 (4.80%)")</f>
        <v>5.04 (4.80%)</v>
      </c>
      <c r="Q318" s="417"/>
      <c r="S318" s="417"/>
      <c r="AA318" s="186"/>
    </row>
    <row r="319">
      <c r="A319" s="149" t="s">
        <v>319</v>
      </c>
      <c r="B319" s="128" t="str">
        <f>IFERROR(__xludf.DUMMYFUNCTION("IF(ISBLANK(A319),"""", googlefinance(A319, ""name""))"),"Chevron Corp")</f>
        <v>Chevron Corp</v>
      </c>
      <c r="C319" s="129" t="str">
        <f t="shared" si="56"/>
        <v>View</v>
      </c>
      <c r="D319" s="176">
        <v>503.0</v>
      </c>
      <c r="E319" s="132">
        <f>IFERROR(__xludf.DUMMYFUNCTION("IF(ISBLANK(A319),"""", googlefinance(A319, ""price""))"),189.9)</f>
        <v>189.9</v>
      </c>
      <c r="F319" s="213" t="s">
        <v>101</v>
      </c>
      <c r="G319" s="213"/>
      <c r="H319" s="213" t="s">
        <v>113</v>
      </c>
      <c r="I319" s="136">
        <f t="shared" si="57"/>
        <v>0.02438233111</v>
      </c>
      <c r="J319" s="140">
        <f>IFERROR(__xludf.DUMMYFUNCTION("IfError(IF(isblank(A319),"""",split(O319, ""()"")))"),6.91)</f>
        <v>6.91</v>
      </c>
      <c r="K319" s="136">
        <f>IFERROR(__xludf.DUMMYFUNCTION("""COMPUTED_VALUE"""),0.0364)</f>
        <v>0.0364</v>
      </c>
      <c r="L319" s="135">
        <f t="shared" si="58"/>
        <v>95519.7</v>
      </c>
      <c r="M319" s="135">
        <f t="shared" si="59"/>
        <v>3475.73</v>
      </c>
      <c r="N319" s="136">
        <f t="shared" si="60"/>
        <v>0.02432898495</v>
      </c>
      <c r="O319" s="178" t="str">
        <f>IFERROR(__xludf.DUMMYFUNCTION("LET(t, A319,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"),"6.91 (3.64%)")</f>
        <v>6.91 (3.64%)</v>
      </c>
      <c r="Q319" s="417"/>
      <c r="S319" s="417"/>
      <c r="AA319" s="186"/>
    </row>
    <row r="320">
      <c r="A320" s="149" t="s">
        <v>434</v>
      </c>
      <c r="B320" s="128" t="str">
        <f>IFERROR(__xludf.DUMMYFUNCTION("IF(ISBLANK(A320),"""", googlefinance(A320, ""name""))"),"Philip Morris International Inc.")</f>
        <v>Philip Morris International Inc.</v>
      </c>
      <c r="C320" s="129" t="str">
        <f t="shared" si="56"/>
        <v>View</v>
      </c>
      <c r="D320" s="176">
        <v>664.0</v>
      </c>
      <c r="E320" s="132">
        <f>IFERROR(__xludf.DUMMYFUNCTION("IF(ISBLANK(A320),"""", googlefinance(A320, ""price""))"),169.7)</f>
        <v>169.7</v>
      </c>
      <c r="F320" s="213" t="s">
        <v>101</v>
      </c>
      <c r="G320" s="213"/>
      <c r="H320" s="213" t="s">
        <v>113</v>
      </c>
      <c r="I320" s="136">
        <f t="shared" si="57"/>
        <v>0.02876286856</v>
      </c>
      <c r="J320" s="140">
        <f>IFERROR(__xludf.DUMMYFUNCTION("IfError(IF(isblank(A320),"""",split(O320, ""()"")))"),5.64)</f>
        <v>5.64</v>
      </c>
      <c r="K320" s="136">
        <f>IFERROR(__xludf.DUMMYFUNCTION("""COMPUTED_VALUE"""),0.0332)</f>
        <v>0.0332</v>
      </c>
      <c r="L320" s="135">
        <f t="shared" si="58"/>
        <v>112680.8</v>
      </c>
      <c r="M320" s="135">
        <f t="shared" si="59"/>
        <v>3744.96</v>
      </c>
      <c r="N320" s="136">
        <f t="shared" si="60"/>
        <v>0.02621350781</v>
      </c>
      <c r="O320" s="178" t="str">
        <f>IFERROR(__xludf.DUMMYFUNCTION("LET(t, A320,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"),"5.64 (3.32%)")</f>
        <v>5.64 (3.32%)</v>
      </c>
      <c r="Q320" s="417"/>
      <c r="S320" s="417"/>
      <c r="AA320" s="186"/>
    </row>
    <row r="321">
      <c r="A321" s="149" t="s">
        <v>382</v>
      </c>
      <c r="B321" s="128" t="str">
        <f>IFERROR(__xludf.DUMMYFUNCTION("IF(ISBLANK(A321),"""", googlefinance(A321, ""name""))"),"Caterpillar Inc")</f>
        <v>Caterpillar Inc</v>
      </c>
      <c r="C321" s="129" t="str">
        <f t="shared" si="56"/>
        <v>View</v>
      </c>
      <c r="D321" s="176">
        <v>207.0</v>
      </c>
      <c r="E321" s="132">
        <f>IFERROR(__xludf.DUMMYFUNCTION("IF(ISBLANK(A321),"""", googlefinance(A321, ""price""))"),706.08)</f>
        <v>706.08</v>
      </c>
      <c r="F321" s="213" t="s">
        <v>101</v>
      </c>
      <c r="G321" s="213"/>
      <c r="H321" s="213" t="s">
        <v>113</v>
      </c>
      <c r="I321" s="136">
        <f t="shared" si="57"/>
        <v>0.03730839193</v>
      </c>
      <c r="J321" s="140">
        <f>IFERROR(__xludf.DUMMYFUNCTION("IfError(IF(isblank(A321),"""",split(O321, ""()"")))"),5.94)</f>
        <v>5.94</v>
      </c>
      <c r="K321" s="136">
        <f>IFERROR(__xludf.DUMMYFUNCTION("""COMPUTED_VALUE"""),0.0084)</f>
        <v>0.0084</v>
      </c>
      <c r="L321" s="135">
        <f t="shared" si="58"/>
        <v>146158.56</v>
      </c>
      <c r="M321" s="135">
        <f t="shared" si="59"/>
        <v>1229.58</v>
      </c>
      <c r="N321" s="136">
        <f t="shared" si="60"/>
        <v>0.008606662002</v>
      </c>
      <c r="O321" s="178" t="str">
        <f>IFERROR(__xludf.DUMMYFUNCTION("LET(t, A321,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"),"5.94 (0.84%)")</f>
        <v>5.94 (0.84%)</v>
      </c>
      <c r="Q321" s="417"/>
      <c r="S321" s="417"/>
      <c r="AA321" s="186"/>
    </row>
    <row r="322">
      <c r="A322" s="149" t="s">
        <v>435</v>
      </c>
      <c r="B322" s="128" t="str">
        <f>IFERROR(__xludf.DUMMYFUNCTION("IF(ISBLANK(A322),"""", googlefinance(A322, ""name""))"),"Colgate-Palmolive Co")</f>
        <v>Colgate-Palmolive Co</v>
      </c>
      <c r="C322" s="129" t="str">
        <f t="shared" si="56"/>
        <v>View</v>
      </c>
      <c r="D322" s="176">
        <v>667.0</v>
      </c>
      <c r="E322" s="132">
        <f>IFERROR(__xludf.DUMMYFUNCTION("IF(ISBLANK(A322),"""", googlefinance(A322, ""price""))"),92.67)</f>
        <v>92.67</v>
      </c>
      <c r="F322" s="213" t="s">
        <v>101</v>
      </c>
      <c r="G322" s="213"/>
      <c r="H322" s="213" t="s">
        <v>113</v>
      </c>
      <c r="I322" s="136">
        <f t="shared" si="57"/>
        <v>0.01577782998</v>
      </c>
      <c r="J322" s="140">
        <f>IFERROR(__xludf.DUMMYFUNCTION("IfError(IF(isblank(A322),"""",split(O322, ""()"")))"),2.08)</f>
        <v>2.08</v>
      </c>
      <c r="K322" s="136">
        <f>IFERROR(__xludf.DUMMYFUNCTION("""COMPUTED_VALUE"""),0.0224)</f>
        <v>0.0224</v>
      </c>
      <c r="L322" s="135">
        <f t="shared" si="58"/>
        <v>61810.89</v>
      </c>
      <c r="M322" s="135">
        <f t="shared" si="59"/>
        <v>1387.36</v>
      </c>
      <c r="N322" s="136">
        <f t="shared" si="60"/>
        <v>0.009711070931</v>
      </c>
      <c r="O322" s="178" t="str">
        <f>IFERROR(__xludf.DUMMYFUNCTION("LET(t, A322,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"),"2.08 (2.24%)")</f>
        <v>2.08 (2.24%)</v>
      </c>
      <c r="Q322" s="417"/>
      <c r="S322" s="417"/>
      <c r="AA322" s="186"/>
    </row>
    <row r="323">
      <c r="A323" s="149" t="s">
        <v>436</v>
      </c>
      <c r="B323" s="128" t="str">
        <f>IFERROR(__xludf.DUMMYFUNCTION("IF(ISBLANK(A323),"""", googlefinance(A323, ""name""))"),"Toronto-Dominion Bank")</f>
        <v>Toronto-Dominion Bank</v>
      </c>
      <c r="C323" s="129" t="str">
        <f t="shared" si="56"/>
        <v>View</v>
      </c>
      <c r="D323" s="176">
        <v>812.6</v>
      </c>
      <c r="E323" s="132">
        <f>IFERROR(__xludf.DUMMYFUNCTION("IF(ISBLANK(A323),"""", googlefinance(A323, ""price""))"),97.07)</f>
        <v>97.07</v>
      </c>
      <c r="F323" s="213" t="s">
        <v>101</v>
      </c>
      <c r="G323" s="213"/>
      <c r="H323" s="213" t="s">
        <v>129</v>
      </c>
      <c r="I323" s="136">
        <f t="shared" si="57"/>
        <v>0.02013465175</v>
      </c>
      <c r="J323" s="140">
        <f>IFERROR(__xludf.DUMMYFUNCTION("IfError(IF(isblank(A323),"""",split(O323, ""()"")))"),3.04)</f>
        <v>3.04</v>
      </c>
      <c r="K323" s="136">
        <f>IFERROR(__xludf.DUMMYFUNCTION("""COMPUTED_VALUE"""),0.0313)</f>
        <v>0.0313</v>
      </c>
      <c r="L323" s="135">
        <f t="shared" si="58"/>
        <v>78879.082</v>
      </c>
      <c r="M323" s="135">
        <f t="shared" si="59"/>
        <v>2470.304</v>
      </c>
      <c r="N323" s="136">
        <f t="shared" si="60"/>
        <v>0.0172913284</v>
      </c>
      <c r="O323" s="178" t="str">
        <f>IFERROR(__xludf.DUMMYFUNCTION("LET(t, A323,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"),"3.04 (3.13%)")</f>
        <v>3.04 (3.13%)</v>
      </c>
      <c r="Q323" s="417"/>
      <c r="S323" s="417"/>
      <c r="AA323" s="186"/>
    </row>
    <row r="324">
      <c r="A324" s="149" t="s">
        <v>322</v>
      </c>
      <c r="B324" s="128" t="str">
        <f>IFERROR(__xludf.DUMMYFUNCTION("IF(ISBLANK(A324),"""", googlefinance(A324, ""name""))"),"Home Depot Inc")</f>
        <v>Home Depot Inc</v>
      </c>
      <c r="C324" s="129" t="str">
        <f t="shared" si="56"/>
        <v>View</v>
      </c>
      <c r="D324" s="176">
        <v>100.0</v>
      </c>
      <c r="E324" s="132">
        <f>IFERROR(__xludf.DUMMYFUNCTION("IF(ISBLANK(A324),"""", googlefinance(A324, ""price""))"),361.68)</f>
        <v>361.68</v>
      </c>
      <c r="F324" s="213" t="s">
        <v>101</v>
      </c>
      <c r="G324" s="213"/>
      <c r="H324" s="213" t="s">
        <v>103</v>
      </c>
      <c r="I324" s="136">
        <f t="shared" si="57"/>
        <v>0.009232233264</v>
      </c>
      <c r="J324" s="140">
        <f>IFERROR(__xludf.DUMMYFUNCTION("IfError(IF(isblank(A324),"""",split(O324, ""()"")))"),9.2)</f>
        <v>9.2</v>
      </c>
      <c r="K324" s="136">
        <f>IFERROR(__xludf.DUMMYFUNCTION("""COMPUTED_VALUE"""),0.0254)</f>
        <v>0.0254</v>
      </c>
      <c r="L324" s="135">
        <f t="shared" si="58"/>
        <v>36168</v>
      </c>
      <c r="M324" s="135">
        <f t="shared" si="59"/>
        <v>920</v>
      </c>
      <c r="N324" s="136">
        <f t="shared" si="60"/>
        <v>0.006439702209</v>
      </c>
      <c r="O324" s="178" t="str">
        <f>IFERROR(__xludf.DUMMYFUNCTION("LET(t, A324,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"),"9.20 (2.54%)")</f>
        <v>9.20 (2.54%)</v>
      </c>
      <c r="Q324" s="417"/>
      <c r="S324" s="417"/>
      <c r="AA324" s="186"/>
    </row>
    <row r="325">
      <c r="A325" s="149" t="s">
        <v>437</v>
      </c>
      <c r="B325" s="128" t="str">
        <f>IFERROR(__xludf.DUMMYFUNCTION("IF(ISBLANK(A325),"""", googlefinance(A325, ""name""))"),"Travelers Companies Inc")</f>
        <v>Travelers Companies Inc</v>
      </c>
      <c r="C325" s="129" t="str">
        <f t="shared" si="56"/>
        <v>View</v>
      </c>
      <c r="D325" s="176">
        <v>155.0</v>
      </c>
      <c r="E325" s="132">
        <f>IFERROR(__xludf.DUMMYFUNCTION("IF(ISBLANK(A325),"""", googlefinance(A325, ""price""))"),306.64)</f>
        <v>306.64</v>
      </c>
      <c r="F325" s="213" t="s">
        <v>101</v>
      </c>
      <c r="G325" s="213"/>
      <c r="H325" s="213" t="s">
        <v>113</v>
      </c>
      <c r="I325" s="136">
        <f t="shared" si="57"/>
        <v>0.0121322899</v>
      </c>
      <c r="J325" s="140">
        <f>IFERROR(__xludf.DUMMYFUNCTION("IfError(IF(isblank(A325),"""",split(O325, ""()"")))"),4.35)</f>
        <v>4.35</v>
      </c>
      <c r="K325" s="136">
        <f>IFERROR(__xludf.DUMMYFUNCTION("""COMPUTED_VALUE"""),0.0142)</f>
        <v>0.0142</v>
      </c>
      <c r="L325" s="135">
        <f t="shared" si="58"/>
        <v>47529.2</v>
      </c>
      <c r="M325" s="135">
        <f t="shared" si="59"/>
        <v>674.25</v>
      </c>
      <c r="N325" s="136">
        <f t="shared" si="60"/>
        <v>0.004719531755</v>
      </c>
      <c r="O325" s="178" t="str">
        <f>IFERROR(__xludf.DUMMYFUNCTION("LET(t, A325,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"),"4.35 (1.42%)")</f>
        <v>4.35 (1.42%)</v>
      </c>
      <c r="Q325" s="417"/>
      <c r="S325" s="417"/>
      <c r="AA325" s="186"/>
    </row>
    <row r="326">
      <c r="A326" s="149" t="s">
        <v>109</v>
      </c>
      <c r="B326" s="128" t="str">
        <f>IFERROR(__xludf.DUMMYFUNCTION("IF(ISBLANK(A326),"""", googlefinance(A326, ""name""))"),"Starbucks Corp")</f>
        <v>Starbucks Corp</v>
      </c>
      <c r="C326" s="129" t="str">
        <f t="shared" si="56"/>
        <v>View</v>
      </c>
      <c r="D326" s="176">
        <v>311.0</v>
      </c>
      <c r="E326" s="132">
        <f>IFERROR(__xludf.DUMMYFUNCTION("IF(ISBLANK(A326),"""", googlefinance(A326, ""price""))"),98.69)</f>
        <v>98.69</v>
      </c>
      <c r="F326" s="213" t="s">
        <v>101</v>
      </c>
      <c r="G326" s="213"/>
      <c r="H326" s="213" t="s">
        <v>103</v>
      </c>
      <c r="I326" s="136">
        <f t="shared" si="57"/>
        <v>0.007834581684</v>
      </c>
      <c r="J326" s="140">
        <f>IFERROR(__xludf.DUMMYFUNCTION("IfError(IF(isblank(A326),"""",split(O326, ""()"")))"),2.46)</f>
        <v>2.46</v>
      </c>
      <c r="K326" s="136">
        <f>IFERROR(__xludf.DUMMYFUNCTION("""COMPUTED_VALUE"""),0.0249)</f>
        <v>0.0249</v>
      </c>
      <c r="L326" s="135">
        <f t="shared" si="58"/>
        <v>30692.59</v>
      </c>
      <c r="M326" s="135">
        <f t="shared" si="59"/>
        <v>765.06</v>
      </c>
      <c r="N326" s="136">
        <f t="shared" si="60"/>
        <v>0.005355172361</v>
      </c>
      <c r="O326" s="178" t="str">
        <f>IFERROR(__xludf.DUMMYFUNCTION("LET(t, A326,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"),"2.46 (2.49%)")</f>
        <v>2.46 (2.49%)</v>
      </c>
      <c r="Q326" s="417"/>
      <c r="S326" s="417"/>
      <c r="AA326" s="186"/>
    </row>
    <row r="327">
      <c r="A327" s="149" t="s">
        <v>438</v>
      </c>
      <c r="B327" s="128" t="str">
        <f>IFERROR(__xludf.DUMMYFUNCTION("IF(ISBLANK(A327),"""", googlefinance(A327, ""name""))"),"Amplify CWP International Enhanced Div Inc ETF")</f>
        <v>Amplify CWP International Enhanced Div Inc ETF</v>
      </c>
      <c r="C327" s="129" t="str">
        <f t="shared" si="56"/>
        <v>View</v>
      </c>
      <c r="D327" s="176">
        <v>1107.0</v>
      </c>
      <c r="E327" s="132">
        <f>IFERROR(__xludf.DUMMYFUNCTION("IF(ISBLANK(A327),"""", googlefinance(A327, ""price""))"),40.42)</f>
        <v>40.42</v>
      </c>
      <c r="F327" s="213" t="s">
        <v>121</v>
      </c>
      <c r="G327" s="213"/>
      <c r="H327" s="213" t="s">
        <v>129</v>
      </c>
      <c r="I327" s="136">
        <f t="shared" si="57"/>
        <v>0.0114215805</v>
      </c>
      <c r="J327" s="140">
        <f>IFERROR(__xludf.DUMMYFUNCTION("IfError(IF(isblank(A327),"""",split(O327, ""()"")))"),2.2)</f>
        <v>2.2</v>
      </c>
      <c r="K327" s="136">
        <f>IFERROR(__xludf.DUMMYFUNCTION("""COMPUTED_VALUE"""),0.0544)</f>
        <v>0.0544</v>
      </c>
      <c r="L327" s="135">
        <f t="shared" si="58"/>
        <v>44744.94</v>
      </c>
      <c r="M327" s="135">
        <f t="shared" si="59"/>
        <v>2435.4</v>
      </c>
      <c r="N327" s="136">
        <f t="shared" si="60"/>
        <v>0.0170470117</v>
      </c>
      <c r="O327" s="178" t="str">
        <f>IFERROR(__xludf.DUMMYFUNCTION("LET(t, A327,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"),"2.20 (5.44%)")</f>
        <v>2.20 (5.44%)</v>
      </c>
      <c r="Q327" s="417"/>
      <c r="S327" s="417"/>
      <c r="AA327" s="186"/>
    </row>
    <row r="328">
      <c r="A328" s="149"/>
      <c r="B328" s="128" t="str">
        <f>IFERROR(__xludf.DUMMYFUNCTION("IF(ISBLANK(A328),"""", googlefinance(A328, ""name""))"),"")</f>
        <v/>
      </c>
      <c r="C328" s="175" t="str">
        <f t="shared" si="56"/>
        <v/>
      </c>
      <c r="D328" s="176"/>
      <c r="E328" s="132" t="str">
        <f>IFERROR(__xludf.DUMMYFUNCTION("IF(ISBLANK(A328),"""", googlefinance(A328, ""price""))"),"")</f>
        <v/>
      </c>
      <c r="F328" s="213" t="s">
        <v>133</v>
      </c>
      <c r="G328" s="213"/>
      <c r="H328" s="213" t="s">
        <v>134</v>
      </c>
      <c r="I328" s="136" t="str">
        <f t="shared" si="57"/>
        <v/>
      </c>
      <c r="J328" s="140" t="str">
        <f>IFERROR(__xludf.DUMMYFUNCTION("IfError(IF(isblank(A328),"""",split(O328, ""()"")))"),"")</f>
        <v/>
      </c>
      <c r="K328" s="136"/>
      <c r="L328" s="135" t="str">
        <f t="shared" si="58"/>
        <v/>
      </c>
      <c r="M328" s="135" t="str">
        <f t="shared" si="59"/>
        <v/>
      </c>
      <c r="N328" s="136" t="str">
        <f t="shared" si="60"/>
        <v/>
      </c>
      <c r="O328" s="178" t="str">
        <f>IFERROR(__xludf.DUMMYFUNCTION("LET(t, A328,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28" s="417"/>
      <c r="S328" s="417"/>
      <c r="AA328" s="186"/>
    </row>
    <row r="329">
      <c r="A329" s="179">
        <f>COUNTA(A299:A328)</f>
        <v>29</v>
      </c>
      <c r="B329" s="180" t="s">
        <v>341</v>
      </c>
      <c r="C329" s="413">
        <v>45717.0</v>
      </c>
      <c r="D329" s="414" t="s">
        <v>439</v>
      </c>
      <c r="E329" s="181"/>
      <c r="F329" s="179"/>
      <c r="G329" s="179"/>
      <c r="H329" s="179"/>
      <c r="I329" s="182">
        <f>SUM(I299:I328)</f>
        <v>1</v>
      </c>
      <c r="J329" s="181"/>
      <c r="K329" s="182">
        <f>M329/L329</f>
        <v>0.03646735943</v>
      </c>
      <c r="L329" s="181">
        <f t="shared" ref="L329:N329" si="61">SUM(L299:L328)</f>
        <v>3917578.658</v>
      </c>
      <c r="M329" s="181">
        <f t="shared" si="61"/>
        <v>142863.749</v>
      </c>
      <c r="N329" s="182">
        <f t="shared" si="61"/>
        <v>1</v>
      </c>
      <c r="O329" s="184"/>
      <c r="Q329" s="417"/>
      <c r="S329" s="417"/>
      <c r="AA329" s="186"/>
    </row>
    <row r="330">
      <c r="Q330" s="417"/>
      <c r="S330" s="417"/>
      <c r="AA330" s="186"/>
    </row>
    <row r="331">
      <c r="A331" s="116" t="s">
        <v>440</v>
      </c>
      <c r="B331" s="117" t="s">
        <v>72</v>
      </c>
      <c r="C331" s="117" t="s">
        <v>73</v>
      </c>
      <c r="D331" s="117" t="s">
        <v>74</v>
      </c>
      <c r="E331" s="118" t="s">
        <v>76</v>
      </c>
      <c r="F331" s="117" t="s">
        <v>85</v>
      </c>
      <c r="G331" s="117" t="s">
        <v>86</v>
      </c>
      <c r="H331" s="117" t="s">
        <v>87</v>
      </c>
      <c r="I331" s="121" t="s">
        <v>88</v>
      </c>
      <c r="J331" s="118" t="s">
        <v>89</v>
      </c>
      <c r="K331" s="121" t="s">
        <v>12</v>
      </c>
      <c r="L331" s="118" t="s">
        <v>9</v>
      </c>
      <c r="M331" s="117" t="s">
        <v>91</v>
      </c>
      <c r="N331" s="117" t="s">
        <v>92</v>
      </c>
      <c r="O331" s="118" t="s">
        <v>99</v>
      </c>
      <c r="Q331" s="417"/>
      <c r="S331" s="417"/>
      <c r="AA331" s="186"/>
    </row>
    <row r="332">
      <c r="A332" s="127" t="s">
        <v>123</v>
      </c>
      <c r="B332" s="128" t="str">
        <f>IFERROR(__xludf.DUMMYFUNCTION("IF(ISBLANK(A332),"""", googlefinance(A332, ""name""))"),"Vanguard S&amp;P 500 ETF")</f>
        <v>Vanguard S&amp;P 500 ETF</v>
      </c>
      <c r="C332" s="129" t="str">
        <f t="shared" ref="C332:C358" si="62">IF(ISBLANK(A332),"", HYPERLINK("https://seekingalpha.com/symbol/" &amp; A332,"View"))</f>
        <v>View</v>
      </c>
      <c r="D332" s="176">
        <v>164.78</v>
      </c>
      <c r="E332" s="132">
        <f>IFERROR(__xludf.DUMMYFUNCTION("IF(ISBLANK(A332),"""", googlefinance(A332, ""price""))"),626.81)</f>
        <v>626.81</v>
      </c>
      <c r="F332" s="213" t="s">
        <v>121</v>
      </c>
      <c r="G332" s="213" t="s">
        <v>134</v>
      </c>
      <c r="H332" s="213" t="s">
        <v>124</v>
      </c>
      <c r="I332" s="136">
        <f t="shared" ref="I332:I358" si="63">if(isblank(A332),"",L332/$L$98)</f>
        <v>32.05648026</v>
      </c>
      <c r="J332" s="140">
        <f>IFERROR(__xludf.DUMMYFUNCTION("IfError(IF(isblank(A332),"""",split(O332, ""()"")))"),2.08)</f>
        <v>2.08</v>
      </c>
      <c r="K332" s="136">
        <f>IFERROR(__xludf.DUMMYFUNCTION("""COMPUTED_VALUE"""),0.0224)</f>
        <v>0.0224</v>
      </c>
      <c r="L332" s="135">
        <f t="shared" ref="L332:L358" si="64">IF(ISBLANK(A332),"",D332*E332)</f>
        <v>103285.7518</v>
      </c>
      <c r="M332" s="135">
        <f t="shared" ref="M332:M358" si="65">IFERROR(IF(ISBLANK(A332),"",D332*J332),"")</f>
        <v>342.7424</v>
      </c>
      <c r="N332" s="136">
        <f t="shared" ref="N332:N361" si="66">if(isblank(A332),"",M332/$M$98)</f>
        <v>2.64061561</v>
      </c>
      <c r="O332" s="178" t="str">
        <f>IFERROR(__xludf.DUMMYFUNCTION("LET(t, A322,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"),"2.08 (2.24%)")</f>
        <v>2.08 (2.24%)</v>
      </c>
      <c r="Q332" s="417"/>
      <c r="S332" s="417"/>
      <c r="AA332" s="186"/>
    </row>
    <row r="333">
      <c r="A333" s="127" t="s">
        <v>115</v>
      </c>
      <c r="B333" s="128" t="str">
        <f>IFERROR(__xludf.DUMMYFUNCTION("IF(ISBLANK(A333),"""", googlefinance(A333, ""name""))"),"Realty Income Corp")</f>
        <v>Realty Income Corp</v>
      </c>
      <c r="C333" s="129" t="str">
        <f t="shared" si="62"/>
        <v>View</v>
      </c>
      <c r="D333" s="176">
        <v>90.52</v>
      </c>
      <c r="E333" s="132">
        <f>IFERROR(__xludf.DUMMYFUNCTION("IF(ISBLANK(A333),"""", googlefinance(A333, ""price""))"),64.8)</f>
        <v>64.8</v>
      </c>
      <c r="F333" s="213" t="s">
        <v>101</v>
      </c>
      <c r="G333" s="213" t="s">
        <v>134</v>
      </c>
      <c r="H333" s="213" t="s">
        <v>113</v>
      </c>
      <c r="I333" s="136">
        <f t="shared" si="63"/>
        <v>1.820517978</v>
      </c>
      <c r="J333" s="140">
        <f>IFERROR(__xludf.DUMMYFUNCTION("IfError(IF(isblank(A333),"""",split(O333, ""()"")))"),3.04)</f>
        <v>3.04</v>
      </c>
      <c r="K333" s="136">
        <f>IFERROR(__xludf.DUMMYFUNCTION("""COMPUTED_VALUE"""),0.0313)</f>
        <v>0.0313</v>
      </c>
      <c r="L333" s="135">
        <f t="shared" si="64"/>
        <v>5865.696</v>
      </c>
      <c r="M333" s="135">
        <f t="shared" si="65"/>
        <v>275.1808</v>
      </c>
      <c r="N333" s="136">
        <f t="shared" si="66"/>
        <v>2.120095781</v>
      </c>
      <c r="O333" s="178" t="str">
        <f>IFERROR(__xludf.DUMMYFUNCTION("LET(t, A323,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"),"3.04 (3.13%)")</f>
        <v>3.04 (3.13%)</v>
      </c>
      <c r="Q333" s="417"/>
      <c r="S333" s="417"/>
      <c r="AA333" s="186"/>
    </row>
    <row r="334">
      <c r="A334" s="149" t="s">
        <v>351</v>
      </c>
      <c r="B334" s="128" t="str">
        <f>IFERROR(__xludf.DUMMYFUNCTION("IF(ISBLANK(A334),"""", googlefinance(A334, ""name""))"),"Pfizer Inc")</f>
        <v>Pfizer Inc</v>
      </c>
      <c r="C334" s="129" t="str">
        <f t="shared" si="62"/>
        <v>View</v>
      </c>
      <c r="D334" s="176">
        <v>130.15</v>
      </c>
      <c r="E334" s="132">
        <f>IFERROR(__xludf.DUMMYFUNCTION("IF(ISBLANK(A334),"""", googlefinance(A334, ""price""))"),26.61)</f>
        <v>26.61</v>
      </c>
      <c r="F334" s="213" t="s">
        <v>101</v>
      </c>
      <c r="G334" s="213" t="s">
        <v>134</v>
      </c>
      <c r="H334" s="213" t="s">
        <v>113</v>
      </c>
      <c r="I334" s="136">
        <f t="shared" si="63"/>
        <v>1.074891102</v>
      </c>
      <c r="J334" s="140">
        <f>IFERROR(__xludf.DUMMYFUNCTION("IfError(IF(isblank(A334),"""",split(O334, ""()"")))"),9.2)</f>
        <v>9.2</v>
      </c>
      <c r="K334" s="136">
        <f>IFERROR(__xludf.DUMMYFUNCTION("""COMPUTED_VALUE"""),0.0254)</f>
        <v>0.0254</v>
      </c>
      <c r="L334" s="135">
        <f t="shared" si="64"/>
        <v>3463.2915</v>
      </c>
      <c r="M334" s="135">
        <f t="shared" si="65"/>
        <v>1197.38</v>
      </c>
      <c r="N334" s="136">
        <f t="shared" si="66"/>
        <v>9.225063253</v>
      </c>
      <c r="O334" s="178" t="str">
        <f>IFERROR(__xludf.DUMMYFUNCTION("LET(t, A324,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"),"9.20 (2.54%)")</f>
        <v>9.20 (2.54%)</v>
      </c>
      <c r="Q334" s="417"/>
      <c r="S334" s="417"/>
      <c r="AA334" s="186"/>
    </row>
    <row r="335">
      <c r="A335" s="149" t="s">
        <v>422</v>
      </c>
      <c r="B335" s="128" t="str">
        <f>IFERROR(__xludf.DUMMYFUNCTION("IF(ISBLANK(A335),"""", googlefinance(A335, ""name""))"),"BlackRock Inc")</f>
        <v>BlackRock Inc</v>
      </c>
      <c r="C335" s="129" t="str">
        <f t="shared" si="62"/>
        <v>View</v>
      </c>
      <c r="D335" s="176">
        <v>3.826</v>
      </c>
      <c r="E335" s="132">
        <f>IFERROR(__xludf.DUMMYFUNCTION("IF(ISBLANK(A335),"""", googlefinance(A335, ""price""))"),1035.0)</f>
        <v>1035</v>
      </c>
      <c r="F335" s="213" t="s">
        <v>101</v>
      </c>
      <c r="G335" s="213" t="s">
        <v>134</v>
      </c>
      <c r="H335" s="213" t="s">
        <v>113</v>
      </c>
      <c r="I335" s="136">
        <f t="shared" si="63"/>
        <v>1.229025055</v>
      </c>
      <c r="J335" s="140">
        <f>IFERROR(__xludf.DUMMYFUNCTION("IfError(IF(isblank(A335),"""",split(O335, ""()"")))"),4.35)</f>
        <v>4.35</v>
      </c>
      <c r="K335" s="136">
        <f>IFERROR(__xludf.DUMMYFUNCTION("""COMPUTED_VALUE"""),0.0142)</f>
        <v>0.0142</v>
      </c>
      <c r="L335" s="135">
        <f t="shared" si="64"/>
        <v>3959.91</v>
      </c>
      <c r="M335" s="135">
        <f t="shared" si="65"/>
        <v>16.6431</v>
      </c>
      <c r="N335" s="136">
        <f t="shared" si="66"/>
        <v>0.1282246657</v>
      </c>
      <c r="O335" s="178" t="str">
        <f>IFERROR(__xludf.DUMMYFUNCTION("LET(t, A325,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"),"4.35 (1.42%)")</f>
        <v>4.35 (1.42%)</v>
      </c>
      <c r="Q335" s="417"/>
      <c r="S335" s="417"/>
      <c r="AA335" s="186"/>
    </row>
    <row r="336">
      <c r="A336" s="149" t="s">
        <v>392</v>
      </c>
      <c r="B336" s="128" t="str">
        <f>IFERROR(__xludf.DUMMYFUNCTION("IF(ISBLANK(A336),"""", googlefinance(A336, ""name""))"),"Alphabet Inc Class C")</f>
        <v>Alphabet Inc Class C</v>
      </c>
      <c r="C336" s="129" t="str">
        <f t="shared" si="62"/>
        <v>View</v>
      </c>
      <c r="D336" s="176">
        <v>19.0</v>
      </c>
      <c r="E336" s="132">
        <f>IFERROR(__xludf.DUMMYFUNCTION("IF(ISBLANK(A336),"""", googlefinance(A336, ""price""))"),300.91)</f>
        <v>300.91</v>
      </c>
      <c r="F336" s="213" t="s">
        <v>101</v>
      </c>
      <c r="G336" s="213" t="s">
        <v>134</v>
      </c>
      <c r="H336" s="402" t="s">
        <v>103</v>
      </c>
      <c r="I336" s="136">
        <f t="shared" si="63"/>
        <v>1.774457666</v>
      </c>
      <c r="J336" s="140">
        <f>IFERROR(__xludf.DUMMYFUNCTION("IfError(IF(isblank(A336),"""",split(O336, ""()"")))"),2.46)</f>
        <v>2.46</v>
      </c>
      <c r="K336" s="136">
        <f>IFERROR(__xludf.DUMMYFUNCTION("""COMPUTED_VALUE"""),0.0249)</f>
        <v>0.0249</v>
      </c>
      <c r="L336" s="135">
        <f t="shared" si="64"/>
        <v>5717.29</v>
      </c>
      <c r="M336" s="135">
        <f t="shared" si="65"/>
        <v>46.74</v>
      </c>
      <c r="N336" s="136">
        <f t="shared" si="66"/>
        <v>0.3601024374</v>
      </c>
      <c r="O336" s="178" t="str">
        <f>IFERROR(__xludf.DUMMYFUNCTION("LET(t, A326,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"),"2.46 (2.49%)")</f>
        <v>2.46 (2.49%)</v>
      </c>
      <c r="Q336" s="417"/>
      <c r="S336" s="417"/>
      <c r="AA336" s="186"/>
    </row>
    <row r="337">
      <c r="A337" s="149" t="s">
        <v>306</v>
      </c>
      <c r="B337" s="128" t="str">
        <f>IFERROR(__xludf.DUMMYFUNCTION("IF(ISBLANK(A337),"""", googlefinance(A337, ""name""))"),"Apple Inc")</f>
        <v>Apple Inc</v>
      </c>
      <c r="C337" s="129" t="str">
        <f t="shared" si="62"/>
        <v>View</v>
      </c>
      <c r="D337" s="176">
        <v>13.76</v>
      </c>
      <c r="E337" s="132">
        <f>IFERROR(__xludf.DUMMYFUNCTION("IF(ISBLANK(A337),"""", googlefinance(A337, ""price""))"),260.29)</f>
        <v>260.29</v>
      </c>
      <c r="F337" s="213" t="s">
        <v>101</v>
      </c>
      <c r="G337" s="213" t="s">
        <v>134</v>
      </c>
      <c r="H337" s="402" t="s">
        <v>103</v>
      </c>
      <c r="I337" s="136">
        <f t="shared" si="63"/>
        <v>1.111607167</v>
      </c>
      <c r="J337" s="140">
        <f>IFERROR(__xludf.DUMMYFUNCTION("IfError(IF(isblank(A337),"""",split(O337, ""()"")))"),2.2)</f>
        <v>2.2</v>
      </c>
      <c r="K337" s="136">
        <f>IFERROR(__xludf.DUMMYFUNCTION("""COMPUTED_VALUE"""),0.0544)</f>
        <v>0.0544</v>
      </c>
      <c r="L337" s="135">
        <f t="shared" si="64"/>
        <v>3581.5904</v>
      </c>
      <c r="M337" s="135">
        <f t="shared" si="65"/>
        <v>30.272</v>
      </c>
      <c r="N337" s="136">
        <f t="shared" si="66"/>
        <v>0.2332268075</v>
      </c>
      <c r="O337" s="178" t="str">
        <f>IFERROR(__xludf.DUMMYFUNCTION("LET(t, A327,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"),"2.20 (5.44%)")</f>
        <v>2.20 (5.44%)</v>
      </c>
      <c r="Q337" s="417"/>
      <c r="S337" s="417"/>
      <c r="AA337" s="186"/>
    </row>
    <row r="338">
      <c r="A338" s="149" t="s">
        <v>117</v>
      </c>
      <c r="B338" s="128" t="str">
        <f>IFERROR(__xludf.DUMMYFUNCTION("IF(ISBLANK(A338),"""", googlefinance(A338, ""name""))"),"VICI Properties Inc")</f>
        <v>VICI Properties Inc</v>
      </c>
      <c r="C338" s="129" t="str">
        <f t="shared" si="62"/>
        <v>View</v>
      </c>
      <c r="D338" s="176">
        <v>89.71</v>
      </c>
      <c r="E338" s="132">
        <f>IFERROR(__xludf.DUMMYFUNCTION("IF(ISBLANK(A338),"""", googlefinance(A338, ""price""))"),29.69)</f>
        <v>29.69</v>
      </c>
      <c r="F338" s="213" t="s">
        <v>101</v>
      </c>
      <c r="G338" s="213" t="s">
        <v>134</v>
      </c>
      <c r="H338" s="213" t="s">
        <v>113</v>
      </c>
      <c r="I338" s="136">
        <f t="shared" si="63"/>
        <v>0.8266591463</v>
      </c>
      <c r="J338" s="140" t="str">
        <f>IFERROR(__xludf.DUMMYFUNCTION("IfError(IF(isblank(A338),"""",split(O338, ""()"")))"),"")</f>
        <v/>
      </c>
      <c r="K338" s="136"/>
      <c r="L338" s="135">
        <f t="shared" si="64"/>
        <v>2663.4899</v>
      </c>
      <c r="M338" s="135">
        <f t="shared" si="65"/>
        <v>0</v>
      </c>
      <c r="N338" s="136">
        <f t="shared" si="66"/>
        <v>0</v>
      </c>
      <c r="O338" s="178" t="str">
        <f>IFERROR(__xludf.DUMMYFUNCTION("LET(t, A328,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38" s="417"/>
      <c r="S338" s="417"/>
      <c r="AA338" s="186"/>
    </row>
    <row r="339">
      <c r="A339" s="149" t="s">
        <v>311</v>
      </c>
      <c r="B339" s="128" t="str">
        <f>IFERROR(__xludf.DUMMYFUNCTION("IF(ISBLANK(A339),"""", googlefinance(A339, ""name""))"),"Altria Group Inc")</f>
        <v>Altria Group Inc</v>
      </c>
      <c r="C339" s="129" t="str">
        <f t="shared" si="62"/>
        <v>View</v>
      </c>
      <c r="D339" s="176">
        <v>62.49</v>
      </c>
      <c r="E339" s="132">
        <f>IFERROR(__xludf.DUMMYFUNCTION("IF(ISBLANK(A339),"""", googlefinance(A339, ""price""))"),66.98)</f>
        <v>66.98</v>
      </c>
      <c r="F339" s="213" t="s">
        <v>101</v>
      </c>
      <c r="G339" s="213" t="s">
        <v>134</v>
      </c>
      <c r="H339" s="402" t="s">
        <v>113</v>
      </c>
      <c r="I339" s="136">
        <f t="shared" si="63"/>
        <v>1.299065619</v>
      </c>
      <c r="J339" s="140" t="str">
        <f>IFERROR(__xludf.DUMMYFUNCTION("IfError(IF(isblank(A339),"""",split(O339, ""()"")))"),"")</f>
        <v/>
      </c>
      <c r="K339" s="136"/>
      <c r="L339" s="135">
        <f t="shared" si="64"/>
        <v>4185.5802</v>
      </c>
      <c r="M339" s="135">
        <f t="shared" si="65"/>
        <v>0</v>
      </c>
      <c r="N339" s="136">
        <f t="shared" si="66"/>
        <v>0</v>
      </c>
      <c r="O339" s="178" t="str">
        <f>IFERROR(__xludf.DUMMYFUNCTION("LET(t, A329,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39" s="417"/>
      <c r="S339" s="417"/>
      <c r="AA339" s="186"/>
    </row>
    <row r="340">
      <c r="A340" s="149" t="s">
        <v>104</v>
      </c>
      <c r="B340" s="128" t="str">
        <f>IFERROR(__xludf.DUMMYFUNCTION("IF(ISBLANK(A340),"""", googlefinance(A340, ""name""))"),"Microsoft Corp")</f>
        <v>Microsoft Corp</v>
      </c>
      <c r="C340" s="129" t="str">
        <f t="shared" si="62"/>
        <v>View</v>
      </c>
      <c r="D340" s="176">
        <v>4.99</v>
      </c>
      <c r="E340" s="132">
        <f>IFERROR(__xludf.DUMMYFUNCTION("IF(ISBLANK(A340),"""", googlefinance(A340, ""price""))"),410.68)</f>
        <v>410.68</v>
      </c>
      <c r="F340" s="213" t="s">
        <v>101</v>
      </c>
      <c r="G340" s="213" t="s">
        <v>134</v>
      </c>
      <c r="H340" s="213" t="s">
        <v>103</v>
      </c>
      <c r="I340" s="136">
        <f t="shared" si="63"/>
        <v>0.6360328106</v>
      </c>
      <c r="J340" s="140" t="str">
        <f>IFERROR(__xludf.DUMMYFUNCTION("IfError(IF(isblank(A340),"""",split(O340, ""()"")))"),"")</f>
        <v/>
      </c>
      <c r="K340" s="136"/>
      <c r="L340" s="135">
        <f t="shared" si="64"/>
        <v>2049.2932</v>
      </c>
      <c r="M340" s="135">
        <f t="shared" si="65"/>
        <v>0</v>
      </c>
      <c r="N340" s="136">
        <f t="shared" si="66"/>
        <v>0</v>
      </c>
      <c r="O340" s="178" t="str">
        <f>IFERROR(__xludf.DUMMYFUNCTION("LET(t, A330,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40" s="417"/>
      <c r="S340" s="417"/>
      <c r="AA340" s="186"/>
    </row>
    <row r="341">
      <c r="A341" s="149" t="s">
        <v>441</v>
      </c>
      <c r="B341" s="128" t="str">
        <f>IFERROR(__xludf.DUMMYFUNCTION("IF(ISBLANK(A341),"""", googlefinance(A341, ""name""))"),"Morgan Stanley")</f>
        <v>Morgan Stanley</v>
      </c>
      <c r="C341" s="129" t="str">
        <f t="shared" si="62"/>
        <v>View</v>
      </c>
      <c r="D341" s="176">
        <v>20.33</v>
      </c>
      <c r="E341" s="132">
        <f>IFERROR(__xludf.DUMMYFUNCTION("IF(ISBLANK(A341),"""", googlefinance(A341, ""price""))"),162.55)</f>
        <v>162.55</v>
      </c>
      <c r="F341" s="213" t="s">
        <v>101</v>
      </c>
      <c r="G341" s="213" t="s">
        <v>134</v>
      </c>
      <c r="H341" s="402" t="s">
        <v>113</v>
      </c>
      <c r="I341" s="136">
        <f t="shared" si="63"/>
        <v>1.025651391</v>
      </c>
      <c r="J341" s="140" t="str">
        <f>IFERROR(__xludf.DUMMYFUNCTION("IfError(IF(isblank(A341),"""",split(O341, ""()"")))"),"")</f>
        <v/>
      </c>
      <c r="K341" s="136"/>
      <c r="L341" s="135">
        <f t="shared" si="64"/>
        <v>3304.6415</v>
      </c>
      <c r="M341" s="135">
        <f t="shared" si="65"/>
        <v>0</v>
      </c>
      <c r="N341" s="136">
        <f t="shared" si="66"/>
        <v>0</v>
      </c>
      <c r="O341" s="178" t="str">
        <f>IFERROR(__xludf.DUMMYFUNCTION("LET(t, A331,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41" s="417"/>
      <c r="S341" s="417"/>
      <c r="AA341" s="186"/>
    </row>
    <row r="342">
      <c r="A342" s="149" t="s">
        <v>310</v>
      </c>
      <c r="B342" s="128" t="str">
        <f>IFERROR(__xludf.DUMMYFUNCTION("IF(ISBLANK(A342),"""", googlefinance(A342, ""name""))"),"PepsiCo Inc")</f>
        <v>PepsiCo Inc</v>
      </c>
      <c r="C342" s="129" t="str">
        <f t="shared" si="62"/>
        <v>View</v>
      </c>
      <c r="D342" s="176">
        <v>9.02</v>
      </c>
      <c r="E342" s="132">
        <f>IFERROR(__xludf.DUMMYFUNCTION("IF(ISBLANK(A342),"""", googlefinance(A342, ""price""))"),160.7)</f>
        <v>160.7</v>
      </c>
      <c r="F342" s="213" t="s">
        <v>101</v>
      </c>
      <c r="G342" s="213" t="s">
        <v>134</v>
      </c>
      <c r="H342" s="213" t="s">
        <v>113</v>
      </c>
      <c r="I342" s="136">
        <f t="shared" si="63"/>
        <v>0.44988119</v>
      </c>
      <c r="J342" s="140">
        <f>IFERROR(__xludf.DUMMYFUNCTION("IfError(IF(isblank(A342),"""",split(O342, ""()"")))"),7.07)</f>
        <v>7.07</v>
      </c>
      <c r="K342" s="136">
        <f>IFERROR(__xludf.DUMMYFUNCTION("""COMPUTED_VALUE"""),0.0113)</f>
        <v>0.0113</v>
      </c>
      <c r="L342" s="135">
        <f t="shared" si="64"/>
        <v>1449.514</v>
      </c>
      <c r="M342" s="135">
        <f t="shared" si="65"/>
        <v>63.7714</v>
      </c>
      <c r="N342" s="136">
        <f t="shared" si="66"/>
        <v>0.4913187115</v>
      </c>
      <c r="O342" s="178" t="str">
        <f>IFERROR(__xludf.DUMMYFUNCTION("LET(t, A332,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"),"7.07 (1.13%)")</f>
        <v>7.07 (1.13%)</v>
      </c>
      <c r="Q342" s="417"/>
      <c r="S342" s="417"/>
      <c r="AA342" s="186"/>
    </row>
    <row r="343">
      <c r="A343" s="149" t="s">
        <v>442</v>
      </c>
      <c r="B343" s="128" t="str">
        <f>IFERROR(__xludf.DUMMYFUNCTION("IF(ISBLANK(A343),"""", googlefinance(A343, ""name""))"),"Blackstone Inc")</f>
        <v>Blackstone Inc</v>
      </c>
      <c r="C343" s="129" t="str">
        <f t="shared" si="62"/>
        <v>View</v>
      </c>
      <c r="D343" s="176">
        <v>11.59</v>
      </c>
      <c r="E343" s="132">
        <f>IFERROR(__xludf.DUMMYFUNCTION("IF(ISBLANK(A343),"""", googlefinance(A343, ""price""))"),115.55)</f>
        <v>115.55</v>
      </c>
      <c r="F343" s="213" t="s">
        <v>101</v>
      </c>
      <c r="G343" s="213" t="s">
        <v>134</v>
      </c>
      <c r="H343" s="213" t="s">
        <v>103</v>
      </c>
      <c r="I343" s="136">
        <f t="shared" si="63"/>
        <v>0.415650978</v>
      </c>
      <c r="J343" s="140">
        <f>IFERROR(__xludf.DUMMYFUNCTION("IfError(IF(isblank(A343),"""",split(O343, ""()"")))"),3.5)</f>
        <v>3.5</v>
      </c>
      <c r="K343" s="136">
        <f>IFERROR(__xludf.DUMMYFUNCTION("""COMPUTED_VALUE"""),0.054)</f>
        <v>0.054</v>
      </c>
      <c r="L343" s="135">
        <f t="shared" si="64"/>
        <v>1339.2245</v>
      </c>
      <c r="M343" s="135">
        <f t="shared" si="65"/>
        <v>40.565</v>
      </c>
      <c r="N343" s="136">
        <f t="shared" si="66"/>
        <v>0.3125279284</v>
      </c>
      <c r="O343" s="178" t="str">
        <f>IFERROR(__xludf.DUMMYFUNCTION("LET(t, A333,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"),"3.50 (5.40%)")</f>
        <v>3.50 (5.40%)</v>
      </c>
      <c r="Q343" s="417"/>
      <c r="S343" s="417"/>
      <c r="AA343" s="186"/>
    </row>
    <row r="344">
      <c r="A344" s="149" t="s">
        <v>114</v>
      </c>
      <c r="B344" s="128" t="str">
        <f>IFERROR(__xludf.DUMMYFUNCTION("IF(ISBLANK(A344),"""", googlefinance(A344, ""name""))"),"Coca-Cola Co")</f>
        <v>Coca-Cola Co</v>
      </c>
      <c r="C344" s="129" t="str">
        <f t="shared" si="62"/>
        <v>View</v>
      </c>
      <c r="D344" s="176">
        <v>23.75</v>
      </c>
      <c r="E344" s="132">
        <f>IFERROR(__xludf.DUMMYFUNCTION("IF(ISBLANK(A344),"""", googlefinance(A344, ""price""))"),77.03)</f>
        <v>77.03</v>
      </c>
      <c r="F344" s="213" t="s">
        <v>101</v>
      </c>
      <c r="G344" s="213" t="s">
        <v>134</v>
      </c>
      <c r="H344" s="213" t="s">
        <v>113</v>
      </c>
      <c r="I344" s="136">
        <f t="shared" si="63"/>
        <v>0.5678046342</v>
      </c>
      <c r="J344" s="140">
        <f>IFERROR(__xludf.DUMMYFUNCTION("IfError(IF(isblank(A344),"""",split(O344, ""()"")))"),1.72)</f>
        <v>1.72</v>
      </c>
      <c r="K344" s="136">
        <f>IFERROR(__xludf.DUMMYFUNCTION("""COMPUTED_VALUE"""),0.0646)</f>
        <v>0.0646</v>
      </c>
      <c r="L344" s="135">
        <f t="shared" si="64"/>
        <v>1829.4625</v>
      </c>
      <c r="M344" s="135">
        <f t="shared" si="65"/>
        <v>40.85</v>
      </c>
      <c r="N344" s="136">
        <f t="shared" si="66"/>
        <v>0.3147236749</v>
      </c>
      <c r="O344" s="178" t="str">
        <f>IFERROR(__xludf.DUMMYFUNCTION("LET(t, A334,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"),"1.72 (6.46%)")</f>
        <v>1.72 (6.46%)</v>
      </c>
      <c r="Q344" s="417"/>
      <c r="S344" s="417"/>
      <c r="AA344" s="186"/>
    </row>
    <row r="345">
      <c r="A345" s="149" t="s">
        <v>418</v>
      </c>
      <c r="B345" s="128" t="str">
        <f>IFERROR(__xludf.DUMMYFUNCTION("IF(ISBLANK(A345),"""", googlefinance(A345, ""name""))"),"Agree Realty Corp")</f>
        <v>Agree Realty Corp</v>
      </c>
      <c r="C345" s="129" t="str">
        <f t="shared" si="62"/>
        <v>View</v>
      </c>
      <c r="D345" s="176">
        <v>30.22</v>
      </c>
      <c r="E345" s="132">
        <f>IFERROR(__xludf.DUMMYFUNCTION("IF(ISBLANK(A345),"""", googlefinance(A345, ""price""))"),81.03)</f>
        <v>81.03</v>
      </c>
      <c r="F345" s="213" t="s">
        <v>101</v>
      </c>
      <c r="G345" s="213" t="s">
        <v>134</v>
      </c>
      <c r="H345" s="213" t="s">
        <v>113</v>
      </c>
      <c r="I345" s="136">
        <f t="shared" si="63"/>
        <v>0.7600037232</v>
      </c>
      <c r="J345" s="140">
        <f>IFERROR(__xludf.DUMMYFUNCTION("IfError(IF(isblank(A345),"""",split(O345, ""()"")))"),20.84)</f>
        <v>20.84</v>
      </c>
      <c r="K345" s="136">
        <f>IFERROR(__xludf.DUMMYFUNCTION("""COMPUTED_VALUE"""),0.0201)</f>
        <v>0.0201</v>
      </c>
      <c r="L345" s="135">
        <f t="shared" si="64"/>
        <v>2448.7266</v>
      </c>
      <c r="M345" s="135">
        <f t="shared" si="65"/>
        <v>629.7848</v>
      </c>
      <c r="N345" s="136">
        <f t="shared" si="66"/>
        <v>4.852097593</v>
      </c>
      <c r="O345" s="178" t="str">
        <f>IFERROR(__xludf.DUMMYFUNCTION("LET(t, A335,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"),"20.84 (2.01%)")</f>
        <v>20.84 (2.01%)</v>
      </c>
      <c r="Q345" s="417"/>
      <c r="S345" s="417"/>
      <c r="AA345" s="186"/>
    </row>
    <row r="346">
      <c r="A346" s="149" t="s">
        <v>443</v>
      </c>
      <c r="B346" s="128" t="str">
        <f>IFERROR(__xludf.DUMMYFUNCTION("IF(ISBLANK(A346),"""", googlefinance(A346, ""name""))"),"Thermo Fisher Scientific Inc")</f>
        <v>Thermo Fisher Scientific Inc</v>
      </c>
      <c r="C346" s="129" t="str">
        <f t="shared" si="62"/>
        <v>View</v>
      </c>
      <c r="D346" s="176">
        <v>1.09</v>
      </c>
      <c r="E346" s="132">
        <f>IFERROR(__xludf.DUMMYFUNCTION("IF(ISBLANK(A346),"""", googlefinance(A346, ""price""))"),518.84)</f>
        <v>518.84</v>
      </c>
      <c r="F346" s="213" t="s">
        <v>101</v>
      </c>
      <c r="G346" s="213" t="s">
        <v>134</v>
      </c>
      <c r="H346" s="402" t="s">
        <v>103</v>
      </c>
      <c r="I346" s="136">
        <f t="shared" si="63"/>
        <v>0.1755235401</v>
      </c>
      <c r="J346" s="140">
        <f>IFERROR(__xludf.DUMMYFUNCTION("IfError(IF(isblank(A346),"""",split(O346, ""()"")))"),0.83)</f>
        <v>0.83</v>
      </c>
      <c r="K346" s="136">
        <f>IFERROR(__xludf.DUMMYFUNCTION("""COMPUTED_VALUE"""),0.0028)</f>
        <v>0.0028</v>
      </c>
      <c r="L346" s="135">
        <f t="shared" si="64"/>
        <v>565.5356</v>
      </c>
      <c r="M346" s="135">
        <f t="shared" si="65"/>
        <v>0.9047</v>
      </c>
      <c r="N346" s="136">
        <f t="shared" si="66"/>
        <v>0.006970147092</v>
      </c>
      <c r="O346" s="178" t="str">
        <f>IFERROR(__xludf.DUMMYFUNCTION("LET(t, A336,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"),"0.83 (0.28%)")</f>
        <v>0.83 (0.28%)</v>
      </c>
      <c r="Q346" s="417"/>
      <c r="S346" s="417"/>
      <c r="AA346" s="186"/>
    </row>
    <row r="347">
      <c r="A347" s="149" t="s">
        <v>416</v>
      </c>
      <c r="B347" s="128" t="str">
        <f>IFERROR(__xludf.DUMMYFUNCTION("IF(ISBLANK(A347),"""", googlefinance(A347, ""name""))"),"Lockheed Martin Corp")</f>
        <v>Lockheed Martin Corp</v>
      </c>
      <c r="C347" s="129" t="str">
        <f t="shared" si="62"/>
        <v>View</v>
      </c>
      <c r="D347" s="176">
        <v>1.237</v>
      </c>
      <c r="E347" s="132">
        <f>IFERROR(__xludf.DUMMYFUNCTION("IF(ISBLANK(A347),"""", googlefinance(A347, ""price""))"),655.0)</f>
        <v>655</v>
      </c>
      <c r="F347" s="213" t="s">
        <v>101</v>
      </c>
      <c r="G347" s="213" t="s">
        <v>134</v>
      </c>
      <c r="H347" s="402" t="s">
        <v>113</v>
      </c>
      <c r="I347" s="136">
        <f t="shared" si="63"/>
        <v>0.2514701382</v>
      </c>
      <c r="J347" s="140">
        <f>IFERROR(__xludf.DUMMYFUNCTION("IfError(IF(isblank(A347),"""",split(O347, ""()"")))"),1.04)</f>
        <v>1.04</v>
      </c>
      <c r="K347" s="136">
        <f>IFERROR(__xludf.DUMMYFUNCTION("""COMPUTED_VALUE"""),0.004)</f>
        <v>0.004</v>
      </c>
      <c r="L347" s="135">
        <f t="shared" si="64"/>
        <v>810.235</v>
      </c>
      <c r="M347" s="135">
        <f t="shared" si="65"/>
        <v>1.28648</v>
      </c>
      <c r="N347" s="136">
        <f t="shared" si="66"/>
        <v>0.00991152297</v>
      </c>
      <c r="O347" s="178" t="str">
        <f>IFERROR(__xludf.DUMMYFUNCTION("LET(t, A337,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"),"1.04 (0.40%)")</f>
        <v>1.04 (0.40%)</v>
      </c>
      <c r="Q347" s="417"/>
      <c r="S347" s="417"/>
      <c r="AA347" s="186"/>
    </row>
    <row r="348">
      <c r="A348" s="149" t="s">
        <v>381</v>
      </c>
      <c r="B348" s="128" t="str">
        <f>IFERROR(__xludf.DUMMYFUNCTION("IF(ISBLANK(A348),"""", googlefinance(A348, ""name""))"),"Texas Instruments Inc")</f>
        <v>Texas Instruments Inc</v>
      </c>
      <c r="C348" s="129" t="str">
        <f t="shared" si="62"/>
        <v>View</v>
      </c>
      <c r="D348" s="176">
        <v>3.117</v>
      </c>
      <c r="E348" s="132">
        <f>IFERROR(__xludf.DUMMYFUNCTION("IF(ISBLANK(A348),"""", googlefinance(A348, ""price""))"),197.98)</f>
        <v>197.98</v>
      </c>
      <c r="F348" s="213" t="s">
        <v>101</v>
      </c>
      <c r="G348" s="213" t="s">
        <v>134</v>
      </c>
      <c r="H348" s="213" t="s">
        <v>113</v>
      </c>
      <c r="I348" s="136">
        <f t="shared" si="63"/>
        <v>0.1915285599</v>
      </c>
      <c r="J348" s="140">
        <f>IFERROR(__xludf.DUMMYFUNCTION("IfError(IF(isblank(A348),"""",split(O348, ""()"")))"),1.76)</f>
        <v>1.76</v>
      </c>
      <c r="K348" s="136">
        <f>IFERROR(__xludf.DUMMYFUNCTION("""COMPUTED_VALUE"""),0.0594)</f>
        <v>0.0594</v>
      </c>
      <c r="L348" s="135">
        <f t="shared" si="64"/>
        <v>617.10366</v>
      </c>
      <c r="M348" s="135">
        <f t="shared" si="65"/>
        <v>5.48592</v>
      </c>
      <c r="N348" s="136">
        <f t="shared" si="66"/>
        <v>0.04226557901</v>
      </c>
      <c r="O348" s="178" t="str">
        <f>IFERROR(__xludf.DUMMYFUNCTION("LET(t, A338,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"),"1.76 (5.94%)")</f>
        <v>1.76 (5.94%)</v>
      </c>
      <c r="Q348" s="417"/>
      <c r="S348" s="417"/>
      <c r="AA348" s="186"/>
    </row>
    <row r="349">
      <c r="A349" s="149" t="s">
        <v>312</v>
      </c>
      <c r="B349" s="128" t="str">
        <f>IFERROR(__xludf.DUMMYFUNCTION("IF(ISBLANK(A349),"""", googlefinance(A349, ""name""))"),"AbbVie Common Stock")</f>
        <v>AbbVie Common Stock</v>
      </c>
      <c r="C349" s="129" t="str">
        <f t="shared" si="62"/>
        <v>View</v>
      </c>
      <c r="D349" s="176">
        <v>1.617</v>
      </c>
      <c r="E349" s="132">
        <f>IFERROR(__xludf.DUMMYFUNCTION("IF(ISBLANK(A349),"""", googlefinance(A349, ""price""))"),232.35)</f>
        <v>232.35</v>
      </c>
      <c r="F349" s="213" t="s">
        <v>101</v>
      </c>
      <c r="G349" s="213" t="s">
        <v>134</v>
      </c>
      <c r="H349" s="213" t="s">
        <v>113</v>
      </c>
      <c r="I349" s="136">
        <f t="shared" si="63"/>
        <v>0.1166079385</v>
      </c>
      <c r="J349" s="140">
        <f>IFERROR(__xludf.DUMMYFUNCTION("IfError(IF(isblank(A349),"""",split(O349, ""()"")))"),4.16)</f>
        <v>4.16</v>
      </c>
      <c r="K349" s="136">
        <f>IFERROR(__xludf.DUMMYFUNCTION("""COMPUTED_VALUE"""),0.0621)</f>
        <v>0.0621</v>
      </c>
      <c r="L349" s="135">
        <f t="shared" si="64"/>
        <v>375.70995</v>
      </c>
      <c r="M349" s="135">
        <f t="shared" si="65"/>
        <v>6.72672</v>
      </c>
      <c r="N349" s="136">
        <f t="shared" si="66"/>
        <v>0.05182516618</v>
      </c>
      <c r="O349" s="178" t="str">
        <f>IFERROR(__xludf.DUMMYFUNCTION("LET(t, A339,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"),"4.16 (6.21%)")</f>
        <v>4.16 (6.21%)</v>
      </c>
      <c r="Q349" s="417"/>
      <c r="S349" s="417"/>
      <c r="AA349" s="186"/>
    </row>
    <row r="350">
      <c r="A350" s="149" t="s">
        <v>405</v>
      </c>
      <c r="B350" s="128" t="str">
        <f>IFERROR(__xludf.DUMMYFUNCTION("IF(ISBLANK(A350),"""", googlefinance(A350, ""name""))"),"S&amp;P Global Inc")</f>
        <v>S&amp;P Global Inc</v>
      </c>
      <c r="C350" s="129" t="str">
        <f t="shared" si="62"/>
        <v>View</v>
      </c>
      <c r="D350" s="176">
        <v>0.3</v>
      </c>
      <c r="E350" s="132">
        <f>IFERROR(__xludf.DUMMYFUNCTION("IF(ISBLANK(A350),"""", googlefinance(A350, ""price""))"),451.11)</f>
        <v>451.11</v>
      </c>
      <c r="F350" s="213" t="s">
        <v>101</v>
      </c>
      <c r="G350" s="213" t="s">
        <v>134</v>
      </c>
      <c r="H350" s="402" t="s">
        <v>103</v>
      </c>
      <c r="I350" s="136">
        <f t="shared" si="63"/>
        <v>0.04200288585</v>
      </c>
      <c r="J350" s="140" t="str">
        <f>IFERROR(__xludf.DUMMYFUNCTION("IfError(IF(isblank(A350),"""",split(O350, ""()"")))"),"")</f>
        <v/>
      </c>
      <c r="K350" s="136"/>
      <c r="L350" s="135">
        <f t="shared" si="64"/>
        <v>135.333</v>
      </c>
      <c r="M350" s="135">
        <f t="shared" si="65"/>
        <v>0</v>
      </c>
      <c r="N350" s="136">
        <f t="shared" si="66"/>
        <v>0</v>
      </c>
      <c r="O350" s="178" t="str">
        <f>IFERROR(__xludf.DUMMYFUNCTION("LET(t, A340,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50" s="417"/>
      <c r="S350" s="417"/>
      <c r="AA350" s="186"/>
    </row>
    <row r="351">
      <c r="A351" s="149" t="s">
        <v>444</v>
      </c>
      <c r="B351" s="128" t="str">
        <f>IFERROR(__xludf.DUMMYFUNCTION("IF(ISBLANK(A351),"""", googlefinance(A351, ""name""))"),"Vanguard S&amp;P 500 UCITS ETF USD Dis")</f>
        <v>Vanguard S&amp;P 500 UCITS ETF USD Dis</v>
      </c>
      <c r="C351" s="129" t="str">
        <f t="shared" si="62"/>
        <v>View</v>
      </c>
      <c r="D351" s="176">
        <v>164.79</v>
      </c>
      <c r="E351" s="132">
        <f>IFERROR(__xludf.DUMMYFUNCTION("IF(ISBLANK(A351),"""", googlefinance(A351, ""price""))"),97.16)</f>
        <v>97.16</v>
      </c>
      <c r="F351" s="213" t="s">
        <v>121</v>
      </c>
      <c r="G351" s="213" t="s">
        <v>134</v>
      </c>
      <c r="H351" s="213" t="s">
        <v>124</v>
      </c>
      <c r="I351" s="136">
        <f t="shared" si="63"/>
        <v>4.969283576</v>
      </c>
      <c r="J351" s="140">
        <f>IFERROR(__xludf.DUMMYFUNCTION("IfError(IF(isblank(A351),"""",split(O351, ""()"")))"),3.92)</f>
        <v>3.92</v>
      </c>
      <c r="K351" s="136">
        <f>IFERROR(__xludf.DUMMYFUNCTION("""COMPUTED_VALUE"""),0.0241)</f>
        <v>0.0241</v>
      </c>
      <c r="L351" s="135">
        <f t="shared" si="64"/>
        <v>16010.9964</v>
      </c>
      <c r="M351" s="135">
        <f t="shared" si="65"/>
        <v>645.9768</v>
      </c>
      <c r="N351" s="136">
        <f t="shared" si="66"/>
        <v>4.976846815</v>
      </c>
      <c r="O351" s="178" t="str">
        <f>IFERROR(__xludf.DUMMYFUNCTION("LET(t, A341,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"),"3.92 (2.41%)")</f>
        <v>3.92 (2.41%)</v>
      </c>
      <c r="Q351" s="417"/>
      <c r="S351" s="417"/>
      <c r="AA351" s="186"/>
    </row>
    <row r="352">
      <c r="A352" s="149" t="s">
        <v>445</v>
      </c>
      <c r="B352" s="128" t="str">
        <f>IFERROR(__xludf.DUMMYFUNCTION("IF(ISBLANK(A352),"""", googlefinance(A352, ""name""))"),"SPDR S&amp;P 500 UCITS ETF")</f>
        <v>SPDR S&amp;P 500 UCITS ETF</v>
      </c>
      <c r="C352" s="129" t="str">
        <f t="shared" si="62"/>
        <v>View</v>
      </c>
      <c r="D352" s="176">
        <f>85.67+23.98+6.83</f>
        <v>116.48</v>
      </c>
      <c r="E352" s="132">
        <f>IFERROR(__xludf.DUMMYFUNCTION("IF(ISBLANK(A352),"""", googlefinance(A352, ""price""))"),681.63)</f>
        <v>681.63</v>
      </c>
      <c r="F352" s="213" t="s">
        <v>121</v>
      </c>
      <c r="G352" s="213" t="s">
        <v>134</v>
      </c>
      <c r="H352" s="213" t="s">
        <v>124</v>
      </c>
      <c r="I352" s="136">
        <f t="shared" si="63"/>
        <v>24.64197311</v>
      </c>
      <c r="J352" s="140">
        <f>IFERROR(__xludf.DUMMYFUNCTION("IfError(IF(isblank(A352),"""",split(O352, ""()"")))"),5.62)</f>
        <v>5.62</v>
      </c>
      <c r="K352" s="136">
        <f>IFERROR(__xludf.DUMMYFUNCTION("""COMPUTED_VALUE"""),0.035)</f>
        <v>0.035</v>
      </c>
      <c r="L352" s="135">
        <f t="shared" si="64"/>
        <v>79396.2624</v>
      </c>
      <c r="M352" s="135">
        <f t="shared" si="65"/>
        <v>654.6176</v>
      </c>
      <c r="N352" s="136">
        <f t="shared" si="66"/>
        <v>5.04341877</v>
      </c>
      <c r="O352" s="178" t="str">
        <f>IFERROR(__xludf.DUMMYFUNCTION("LET(t, A342,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"),"5.62 (3.50%)")</f>
        <v>5.62 (3.50%)</v>
      </c>
      <c r="Q352" s="417"/>
      <c r="S352" s="417"/>
      <c r="AA352" s="186"/>
    </row>
    <row r="353">
      <c r="A353" s="149" t="s">
        <v>446</v>
      </c>
      <c r="B353" s="128" t="str">
        <f>IFERROR(__xludf.DUMMYFUNCTION("IF(ISBLANK(A353),"""", googlefinance(A353, ""name""))"),"iShares NASDAQ 100 UCITS ETF USD (Acc)")</f>
        <v>iShares NASDAQ 100 UCITS ETF USD (Acc)</v>
      </c>
      <c r="C353" s="129" t="str">
        <f t="shared" si="62"/>
        <v>View</v>
      </c>
      <c r="D353" s="176">
        <f>5.46+3.45</f>
        <v>8.91</v>
      </c>
      <c r="E353" s="132">
        <f>IFERROR(__xludf.DUMMYFUNCTION("IF(ISBLANK(A353),"""", googlefinance(A353, ""price""))"),1432.4)</f>
        <v>1432.4</v>
      </c>
      <c r="F353" s="213" t="s">
        <v>121</v>
      </c>
      <c r="G353" s="213" t="s">
        <v>134</v>
      </c>
      <c r="H353" s="213" t="s">
        <v>124</v>
      </c>
      <c r="I353" s="136">
        <f t="shared" si="63"/>
        <v>3.961114874</v>
      </c>
      <c r="J353" s="140">
        <f>IFERROR(__xludf.DUMMYFUNCTION("IfError(IF(isblank(A353),"""",split(O353, ""()"")))"),4.74)</f>
        <v>4.74</v>
      </c>
      <c r="K353" s="136">
        <f>IFERROR(__xludf.DUMMYFUNCTION("""COMPUTED_VALUE"""),0.041)</f>
        <v>0.041</v>
      </c>
      <c r="L353" s="135">
        <f t="shared" si="64"/>
        <v>12762.684</v>
      </c>
      <c r="M353" s="135">
        <f t="shared" si="65"/>
        <v>42.2334</v>
      </c>
      <c r="N353" s="136">
        <f t="shared" si="66"/>
        <v>0.3253819058</v>
      </c>
      <c r="O353" s="178" t="str">
        <f>IFERROR(__xludf.DUMMYFUNCTION("LET(t, A343,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"),"4.74 (4.10%)")</f>
        <v>4.74 (4.10%)</v>
      </c>
      <c r="Q353" s="417"/>
      <c r="S353" s="417"/>
      <c r="AA353" s="186"/>
    </row>
    <row r="354">
      <c r="A354" s="149" t="s">
        <v>447</v>
      </c>
      <c r="B354" s="128" t="str">
        <f>IFERROR(__xludf.DUMMYFUNCTION("IF(ISBLANK(A354),"""", googlefinance(A354, ""name""))"),"Vanguard S&amp;P 500 UCITS ETF USD Acc")</f>
        <v>Vanguard S&amp;P 500 UCITS ETF USD Acc</v>
      </c>
      <c r="C354" s="129" t="str">
        <f t="shared" si="62"/>
        <v>View</v>
      </c>
      <c r="D354" s="176">
        <v>21.0</v>
      </c>
      <c r="E354" s="132">
        <f>IFERROR(__xludf.DUMMYFUNCTION("IF(ISBLANK(A354),"""", googlefinance(A354, ""price""))"),130.79)</f>
        <v>130.79</v>
      </c>
      <c r="F354" s="213" t="s">
        <v>121</v>
      </c>
      <c r="G354" s="213" t="s">
        <v>134</v>
      </c>
      <c r="H354" s="213" t="s">
        <v>124</v>
      </c>
      <c r="I354" s="136">
        <f t="shared" si="63"/>
        <v>0.852450668</v>
      </c>
      <c r="J354" s="140">
        <f>IFERROR(__xludf.DUMMYFUNCTION("IfError(IF(isblank(A354),"""",split(O354, ""()"")))"),2.04)</f>
        <v>2.04</v>
      </c>
      <c r="K354" s="136">
        <f>IFERROR(__xludf.DUMMYFUNCTION("""COMPUTED_VALUE"""),0.0265)</f>
        <v>0.0265</v>
      </c>
      <c r="L354" s="135">
        <f t="shared" si="64"/>
        <v>2746.59</v>
      </c>
      <c r="M354" s="135">
        <f t="shared" si="65"/>
        <v>42.84</v>
      </c>
      <c r="N354" s="136">
        <f t="shared" si="66"/>
        <v>0.330055379</v>
      </c>
      <c r="O354" s="178" t="str">
        <f>IFERROR(__xludf.DUMMYFUNCTION("LET(t, A344,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"),"2.04 (2.65%)")</f>
        <v>2.04 (2.65%)</v>
      </c>
      <c r="Q354" s="417"/>
      <c r="S354" s="417"/>
      <c r="AA354" s="186"/>
    </row>
    <row r="355">
      <c r="A355" s="149"/>
      <c r="B355" s="128" t="str">
        <f>IFERROR(__xludf.DUMMYFUNCTION("IF(ISBLANK(A355),"""", googlefinance(A355, ""name""))"),"")</f>
        <v/>
      </c>
      <c r="C355" s="175" t="str">
        <f t="shared" si="62"/>
        <v/>
      </c>
      <c r="D355" s="176"/>
      <c r="E355" s="132" t="str">
        <f>IFERROR(__xludf.DUMMYFUNCTION("IF(ISBLANK(A355),"""", googlefinance(A355, ""price""))"),"")</f>
        <v/>
      </c>
      <c r="F355" s="213" t="s">
        <v>133</v>
      </c>
      <c r="G355" s="213" t="s">
        <v>134</v>
      </c>
      <c r="H355" s="213" t="s">
        <v>134</v>
      </c>
      <c r="I355" s="136" t="str">
        <f t="shared" si="63"/>
        <v/>
      </c>
      <c r="J355" s="140" t="str">
        <f>IFERROR(__xludf.DUMMYFUNCTION("IfError(IF(isblank(A355),"""",split(O355, ""()"")))"),"")</f>
        <v/>
      </c>
      <c r="K355" s="136"/>
      <c r="L355" s="135" t="str">
        <f t="shared" si="64"/>
        <v/>
      </c>
      <c r="M355" s="135" t="str">
        <f t="shared" si="65"/>
        <v/>
      </c>
      <c r="N355" s="136" t="str">
        <f t="shared" si="66"/>
        <v/>
      </c>
      <c r="O355" s="178" t="str">
        <f>IFERROR(__xludf.DUMMYFUNCTION("LET(t, A345,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"),"3.10 (3.82%)")</f>
        <v>3.10 (3.82%)</v>
      </c>
      <c r="Q355" s="417"/>
      <c r="S355" s="417"/>
      <c r="AA355" s="186"/>
    </row>
    <row r="356">
      <c r="A356" s="149"/>
      <c r="B356" s="128" t="str">
        <f>IFERROR(__xludf.DUMMYFUNCTION("IF(ISBLANK(A356),"""", googlefinance(A356, ""name""))"),"")</f>
        <v/>
      </c>
      <c r="C356" s="175" t="str">
        <f t="shared" si="62"/>
        <v/>
      </c>
      <c r="D356" s="176"/>
      <c r="E356" s="132" t="str">
        <f>IFERROR(__xludf.DUMMYFUNCTION("IF(ISBLANK(A356),"""", googlefinance(A356, ""price""))"),"")</f>
        <v/>
      </c>
      <c r="F356" s="213" t="s">
        <v>133</v>
      </c>
      <c r="G356" s="213" t="s">
        <v>134</v>
      </c>
      <c r="H356" s="213" t="s">
        <v>134</v>
      </c>
      <c r="I356" s="136" t="str">
        <f t="shared" si="63"/>
        <v/>
      </c>
      <c r="J356" s="140" t="str">
        <f>IFERROR(__xludf.DUMMYFUNCTION("IfError(IF(isblank(A356),"""",split(O356, ""()"")))"),"")</f>
        <v/>
      </c>
      <c r="K356" s="136"/>
      <c r="L356" s="135" t="str">
        <f t="shared" si="64"/>
        <v/>
      </c>
      <c r="M356" s="135" t="str">
        <f t="shared" si="65"/>
        <v/>
      </c>
      <c r="N356" s="136" t="str">
        <f t="shared" si="66"/>
        <v/>
      </c>
      <c r="O356" s="178" t="str">
        <f>IFERROR(__xludf.DUMMYFUNCTION("LET(t, A346,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"),"1.72 (0.33%)")</f>
        <v>1.72 (0.33%)</v>
      </c>
      <c r="Q356" s="417"/>
      <c r="S356" s="417"/>
      <c r="AA356" s="186"/>
    </row>
    <row r="357">
      <c r="A357" s="149"/>
      <c r="B357" s="128" t="s">
        <v>0</v>
      </c>
      <c r="C357" s="175" t="str">
        <f t="shared" si="62"/>
        <v/>
      </c>
      <c r="D357" s="176"/>
      <c r="E357" s="132" t="str">
        <f>IFERROR(__xludf.DUMMYFUNCTION("IF(ISBLANK(A357),"""", googlefinance(A357, ""price""))"),"")</f>
        <v/>
      </c>
      <c r="F357" s="213" t="s">
        <v>133</v>
      </c>
      <c r="G357" s="213" t="s">
        <v>134</v>
      </c>
      <c r="H357" s="213" t="s">
        <v>134</v>
      </c>
      <c r="I357" s="136" t="str">
        <f t="shared" si="63"/>
        <v/>
      </c>
      <c r="J357" s="140" t="str">
        <f>IFERROR(__xludf.DUMMYFUNCTION("IfError(IF(isblank(A357),"""",split(O357, ""()"")))"),"")</f>
        <v/>
      </c>
      <c r="K357" s="136"/>
      <c r="L357" s="135" t="str">
        <f t="shared" si="64"/>
        <v/>
      </c>
      <c r="M357" s="135" t="str">
        <f t="shared" si="65"/>
        <v/>
      </c>
      <c r="N357" s="136" t="str">
        <f t="shared" si="66"/>
        <v/>
      </c>
      <c r="O357" s="178" t="str">
        <f>IFERROR(__xludf.DUMMYFUNCTION("LET(t, A347,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"),"13.50 (2.06%)")</f>
        <v>13.50 (2.06%)</v>
      </c>
      <c r="Q357" s="417"/>
      <c r="S357" s="417"/>
      <c r="AA357" s="186"/>
    </row>
    <row r="358">
      <c r="A358" s="149"/>
      <c r="B358" s="128" t="str">
        <f>IFERROR(__xludf.DUMMYFUNCTION("IF(ISBLANK(A358),"""", googlefinance(A358, ""name""))"),"")</f>
        <v/>
      </c>
      <c r="C358" s="175" t="str">
        <f t="shared" si="62"/>
        <v/>
      </c>
      <c r="D358" s="176"/>
      <c r="E358" s="132" t="str">
        <f>IFERROR(__xludf.DUMMYFUNCTION("IF(ISBLANK(A358),"""", googlefinance(A358, ""price""))"),"")</f>
        <v/>
      </c>
      <c r="F358" s="213" t="s">
        <v>133</v>
      </c>
      <c r="G358" s="213" t="s">
        <v>134</v>
      </c>
      <c r="H358" s="213" t="s">
        <v>134</v>
      </c>
      <c r="I358" s="136" t="str">
        <f t="shared" si="63"/>
        <v/>
      </c>
      <c r="J358" s="140" t="str">
        <f>IFERROR(__xludf.DUMMYFUNCTION("IfError(IF(isblank(A358),"""",split(O358, ""()"")))"),"")</f>
        <v/>
      </c>
      <c r="K358" s="136"/>
      <c r="L358" s="135" t="str">
        <f t="shared" si="64"/>
        <v/>
      </c>
      <c r="M358" s="135" t="str">
        <f t="shared" si="65"/>
        <v/>
      </c>
      <c r="N358" s="136" t="str">
        <f t="shared" si="66"/>
        <v/>
      </c>
      <c r="O358" s="178" t="str">
        <f>IFERROR(__xludf.DUMMYFUNCTION("LET(t, A348,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"),"5.56 (2.81%)")</f>
        <v>5.56 (2.81%)</v>
      </c>
      <c r="Q358" s="417"/>
      <c r="S358" s="417"/>
      <c r="AA358" s="186"/>
    </row>
    <row r="359">
      <c r="A359" s="149"/>
      <c r="B359" s="128"/>
      <c r="C359" s="175"/>
      <c r="D359" s="176"/>
      <c r="E359" s="132"/>
      <c r="F359" s="213" t="s">
        <v>133</v>
      </c>
      <c r="G359" s="213" t="s">
        <v>134</v>
      </c>
      <c r="H359" s="213" t="s">
        <v>134</v>
      </c>
      <c r="I359" s="136"/>
      <c r="J359" s="140"/>
      <c r="K359" s="136"/>
      <c r="L359" s="135"/>
      <c r="M359" s="135"/>
      <c r="N359" s="136" t="str">
        <f t="shared" si="66"/>
        <v/>
      </c>
      <c r="O359" s="178" t="str">
        <f>IFERROR(__xludf.DUMMYFUNCTION("LET(t, A349,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"),"6.65 (2.86%)")</f>
        <v>6.65 (2.86%)</v>
      </c>
      <c r="Q359" s="417"/>
      <c r="S359" s="417"/>
      <c r="AA359" s="186"/>
    </row>
    <row r="360">
      <c r="A360" s="149"/>
      <c r="B360" s="128"/>
      <c r="C360" s="175"/>
      <c r="D360" s="176"/>
      <c r="E360" s="132"/>
      <c r="F360" s="213" t="s">
        <v>133</v>
      </c>
      <c r="G360" s="213" t="s">
        <v>134</v>
      </c>
      <c r="H360" s="213" t="s">
        <v>134</v>
      </c>
      <c r="I360" s="136"/>
      <c r="J360" s="140"/>
      <c r="K360" s="136"/>
      <c r="L360" s="135"/>
      <c r="M360" s="135"/>
      <c r="N360" s="136" t="str">
        <f t="shared" si="66"/>
        <v/>
      </c>
      <c r="O360" s="178" t="str">
        <f>IFERROR(__xludf.DUMMYFUNCTION("LET(t, A350,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"),"3.85 (0.85%)")</f>
        <v>3.85 (0.85%)</v>
      </c>
      <c r="Q360" s="417"/>
      <c r="S360" s="417"/>
      <c r="AA360" s="186"/>
    </row>
    <row r="361">
      <c r="A361" s="149"/>
      <c r="B361" s="128"/>
      <c r="C361" s="175"/>
      <c r="D361" s="176"/>
      <c r="E361" s="132"/>
      <c r="F361" s="213" t="s">
        <v>133</v>
      </c>
      <c r="G361" s="213" t="s">
        <v>134</v>
      </c>
      <c r="H361" s="213" t="s">
        <v>134</v>
      </c>
      <c r="I361" s="136"/>
      <c r="J361" s="140"/>
      <c r="K361" s="136"/>
      <c r="L361" s="135"/>
      <c r="M361" s="135"/>
      <c r="N361" s="136" t="str">
        <f t="shared" si="66"/>
        <v/>
      </c>
      <c r="O361" s="178" t="str">
        <f>IFERROR(__xludf.DUMMYFUNCTION("LET(t, A351,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61" s="417"/>
      <c r="S361" s="417"/>
      <c r="AA361" s="186"/>
    </row>
    <row r="362">
      <c r="A362" s="179">
        <f>COUNTA(A332:A361)</f>
        <v>23</v>
      </c>
      <c r="B362" s="180" t="s">
        <v>341</v>
      </c>
      <c r="C362" s="413">
        <v>45383.0</v>
      </c>
      <c r="D362" s="414" t="s">
        <v>448</v>
      </c>
      <c r="E362" s="181"/>
      <c r="F362" s="179"/>
      <c r="G362" s="179"/>
      <c r="H362" s="179"/>
      <c r="I362" s="182">
        <f>SUM(I332:I361)</f>
        <v>80.24968401</v>
      </c>
      <c r="J362" s="181"/>
      <c r="K362" s="182">
        <f>M362/L362</f>
        <v>0.01579493862</v>
      </c>
      <c r="L362" s="181">
        <f t="shared" ref="L362:N362" si="67">SUM(L332:L361)</f>
        <v>258563.9121</v>
      </c>
      <c r="M362" s="181">
        <f t="shared" si="67"/>
        <v>4084.00112</v>
      </c>
      <c r="N362" s="182">
        <f t="shared" si="67"/>
        <v>31.46467175</v>
      </c>
      <c r="O362" s="184"/>
      <c r="Q362" s="417"/>
      <c r="S362" s="417"/>
      <c r="AA362" s="186"/>
    </row>
    <row r="363">
      <c r="Q363" s="417"/>
      <c r="S363" s="417"/>
      <c r="AA363" s="186"/>
    </row>
    <row r="364">
      <c r="A364" s="116" t="s">
        <v>449</v>
      </c>
      <c r="B364" s="117" t="s">
        <v>72</v>
      </c>
      <c r="C364" s="117" t="s">
        <v>73</v>
      </c>
      <c r="D364" s="117" t="s">
        <v>74</v>
      </c>
      <c r="E364" s="118" t="s">
        <v>76</v>
      </c>
      <c r="F364" s="117" t="s">
        <v>85</v>
      </c>
      <c r="G364" s="117" t="s">
        <v>86</v>
      </c>
      <c r="H364" s="117" t="s">
        <v>87</v>
      </c>
      <c r="I364" s="121" t="s">
        <v>88</v>
      </c>
      <c r="J364" s="118" t="s">
        <v>89</v>
      </c>
      <c r="K364" s="121" t="s">
        <v>12</v>
      </c>
      <c r="L364" s="118" t="s">
        <v>9</v>
      </c>
      <c r="M364" s="117" t="s">
        <v>91</v>
      </c>
      <c r="N364" s="117" t="s">
        <v>92</v>
      </c>
      <c r="O364" s="118" t="s">
        <v>99</v>
      </c>
      <c r="Q364" s="417"/>
      <c r="S364" s="417"/>
      <c r="AA364" s="186"/>
    </row>
    <row r="365">
      <c r="A365" s="149" t="s">
        <v>427</v>
      </c>
      <c r="B365" s="128" t="str">
        <f>IFERROR(__xludf.DUMMYFUNCTION("IF(ISBLANK(A365),"""", googlefinance(A365, ""name""))"),"JPMorgan Nasdaq Equity Premium Income ETF")</f>
        <v>JPMorgan Nasdaq Equity Premium Income ETF</v>
      </c>
      <c r="C365" s="129" t="str">
        <f t="shared" ref="C365:C435" si="68">IF(ISBLANK(A365),"", HYPERLINK("https://seekingalpha.com/symbol/" &amp; A365,"View"))</f>
        <v>View</v>
      </c>
      <c r="D365" s="176">
        <v>4777.0</v>
      </c>
      <c r="E365" s="132">
        <f>IFERROR(__xludf.DUMMYFUNCTION("IF(ISBLANK(A365),"""", googlefinance(A365, ""price""))"),57.64)</f>
        <v>57.64</v>
      </c>
      <c r="F365" s="213" t="s">
        <v>121</v>
      </c>
      <c r="G365" s="213" t="s">
        <v>134</v>
      </c>
      <c r="H365" s="213" t="s">
        <v>113</v>
      </c>
      <c r="I365" s="136">
        <f t="shared" ref="I365:I435" si="69">if(isblank(A365),"",L365/$L$436)</f>
        <v>0.02425282624</v>
      </c>
      <c r="J365" s="140">
        <f>IFERROR(__xludf.DUMMYFUNCTION("IfError(IF(isblank(A365),"""",split(O365, ""()"")))"),6.17)</f>
        <v>6.17</v>
      </c>
      <c r="K365" s="136">
        <f>IFERROR(__xludf.DUMMYFUNCTION("""COMPUTED_VALUE"""),0.107)</f>
        <v>0.107</v>
      </c>
      <c r="L365" s="135">
        <f t="shared" ref="L365:L435" si="70">IF(ISBLANK(A365),"",D365*E365)</f>
        <v>275346.28</v>
      </c>
      <c r="M365" s="135">
        <f t="shared" ref="M365:M435" si="71">IFERROR(IF(ISBLANK(A365),"",D365*J365),"")</f>
        <v>29474.09</v>
      </c>
      <c r="N365" s="136">
        <f t="shared" ref="N365:N435" si="72">if(isblank(A365),"",M365/$M$436)</f>
        <v>0.211918339</v>
      </c>
      <c r="O365" s="178" t="str">
        <f>IFERROR(__xludf.DUMMYFUNCTION("LET(t, A365,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"),"6.17 (10.70%)")</f>
        <v>6.17 (10.70%)</v>
      </c>
      <c r="Q365" s="417"/>
      <c r="S365" s="417"/>
      <c r="AA365" s="186"/>
    </row>
    <row r="366">
      <c r="A366" s="149" t="s">
        <v>450</v>
      </c>
      <c r="B366" s="128" t="str">
        <f>IFERROR(__xludf.DUMMYFUNCTION("IF(ISBLANK(A366),"""", googlefinance(A366, ""name""))"),"NEOS S&amp;P 500 High Income ETF")</f>
        <v>NEOS S&amp;P 500 High Income ETF</v>
      </c>
      <c r="C366" s="129" t="str">
        <f t="shared" si="68"/>
        <v>View</v>
      </c>
      <c r="D366" s="176">
        <v>3133.0</v>
      </c>
      <c r="E366" s="132">
        <f>IFERROR(__xludf.DUMMYFUNCTION("IF(ISBLANK(A366),"""", googlefinance(A366, ""price""))"),51.78)</f>
        <v>51.78</v>
      </c>
      <c r="F366" s="213" t="s">
        <v>121</v>
      </c>
      <c r="G366" s="213" t="s">
        <v>134</v>
      </c>
      <c r="H366" s="213" t="s">
        <v>113</v>
      </c>
      <c r="I366" s="136">
        <f t="shared" si="69"/>
        <v>0.01428912327</v>
      </c>
      <c r="J366" s="140">
        <f>IFERROR(__xludf.DUMMYFUNCTION("IfError(IF(isblank(A366),"""",split(O366, ""()"")))"),6.17)</f>
        <v>6.17</v>
      </c>
      <c r="K366" s="136">
        <f>IFERROR(__xludf.DUMMYFUNCTION("""COMPUTED_VALUE"""),0.1191)</f>
        <v>0.1191</v>
      </c>
      <c r="L366" s="135">
        <f t="shared" si="70"/>
        <v>162226.74</v>
      </c>
      <c r="M366" s="135">
        <f t="shared" si="71"/>
        <v>19330.61</v>
      </c>
      <c r="N366" s="136">
        <f t="shared" si="72"/>
        <v>0.1389868445</v>
      </c>
      <c r="O366" s="178" t="str">
        <f>IFERROR(__xludf.DUMMYFUNCTION("LET(t, A366,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"),"6.17 (11.91%)")</f>
        <v>6.17 (11.91%)</v>
      </c>
      <c r="Q366" s="417"/>
      <c r="S366" s="417"/>
      <c r="AA366" s="186"/>
    </row>
    <row r="367">
      <c r="A367" s="149" t="s">
        <v>428</v>
      </c>
      <c r="B367" s="128" t="str">
        <f>IFERROR(__xludf.DUMMYFUNCTION("IF(ISBLANK(A367),"""", googlefinance(A367, ""name""))"),"Amplify CWP Enhanced Dividend Income ETF")</f>
        <v>Amplify CWP Enhanced Dividend Income ETF</v>
      </c>
      <c r="C367" s="129" t="str">
        <f t="shared" si="68"/>
        <v>View</v>
      </c>
      <c r="D367" s="176">
        <v>3340.0</v>
      </c>
      <c r="E367" s="132">
        <f>IFERROR(__xludf.DUMMYFUNCTION("IF(ISBLANK(A367),"""", googlefinance(A367, ""price""))"),46.05)</f>
        <v>46.05</v>
      </c>
      <c r="F367" s="213" t="s">
        <v>121</v>
      </c>
      <c r="G367" s="213" t="s">
        <v>134</v>
      </c>
      <c r="H367" s="213" t="s">
        <v>113</v>
      </c>
      <c r="I367" s="136">
        <f t="shared" si="69"/>
        <v>0.0135475026</v>
      </c>
      <c r="J367" s="140">
        <f>IFERROR(__xludf.DUMMYFUNCTION("IfError(IF(isblank(A367),"""",split(O367, ""()"")))"),2.29)</f>
        <v>2.29</v>
      </c>
      <c r="K367" s="136">
        <f>IFERROR(__xludf.DUMMYFUNCTION("""COMPUTED_VALUE"""),0.0498)</f>
        <v>0.0498</v>
      </c>
      <c r="L367" s="135">
        <f t="shared" si="70"/>
        <v>153807</v>
      </c>
      <c r="M367" s="135">
        <f t="shared" si="71"/>
        <v>7648.6</v>
      </c>
      <c r="N367" s="136">
        <f t="shared" si="72"/>
        <v>0.05499333848</v>
      </c>
      <c r="O367" s="178" t="str">
        <f>IFERROR(__xludf.DUMMYFUNCTION("LET(t, A367,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"),"2.29 (4.98%)")</f>
        <v>2.29 (4.98%)</v>
      </c>
      <c r="Q367" s="417"/>
      <c r="S367" s="417"/>
      <c r="AA367" s="186"/>
    </row>
    <row r="368">
      <c r="A368" s="149" t="s">
        <v>385</v>
      </c>
      <c r="B368" s="128" t="str">
        <f>IFERROR(__xludf.DUMMYFUNCTION("IF(ISBLANK(A368),"""", googlefinance(A368, ""name""))"),"Broadcom Inc")</f>
        <v>Broadcom Inc</v>
      </c>
      <c r="C368" s="129" t="str">
        <f t="shared" si="68"/>
        <v>View</v>
      </c>
      <c r="D368" s="176">
        <v>462.0</v>
      </c>
      <c r="E368" s="132">
        <f>IFERROR(__xludf.DUMMYFUNCTION("IF(ISBLANK(A368),"""", googlefinance(A368, ""price""))"),332.74)</f>
        <v>332.74</v>
      </c>
      <c r="F368" s="213" t="s">
        <v>101</v>
      </c>
      <c r="G368" s="213" t="s">
        <v>134</v>
      </c>
      <c r="H368" s="213" t="s">
        <v>103</v>
      </c>
      <c r="I368" s="136">
        <f t="shared" si="69"/>
        <v>0.01354035746</v>
      </c>
      <c r="J368" s="140">
        <f>IFERROR(__xludf.DUMMYFUNCTION("IfError(IF(isblank(A368),"""",split(O368, ""()"")))"),2.42)</f>
        <v>2.42</v>
      </c>
      <c r="K368" s="136">
        <f>IFERROR(__xludf.DUMMYFUNCTION("""COMPUTED_VALUE"""),0.0073)</f>
        <v>0.0073</v>
      </c>
      <c r="L368" s="135">
        <f t="shared" si="70"/>
        <v>153725.88</v>
      </c>
      <c r="M368" s="135">
        <f t="shared" si="71"/>
        <v>1118.04</v>
      </c>
      <c r="N368" s="136">
        <f t="shared" si="72"/>
        <v>0.008038693637</v>
      </c>
      <c r="O368" s="178" t="str">
        <f>IFERROR(__xludf.DUMMYFUNCTION("LET(t, A368,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"),"2.42 (0.73%)")</f>
        <v>2.42 (0.73%)</v>
      </c>
      <c r="Q368" s="417"/>
      <c r="S368" s="417"/>
      <c r="AA368" s="186"/>
    </row>
    <row r="369">
      <c r="A369" s="149" t="s">
        <v>451</v>
      </c>
      <c r="B369" s="128" t="str">
        <f>IFERROR(__xludf.DUMMYFUNCTION("IF(ISBLANK(A369),"""", googlefinance(A369, ""name""))"),"PIMCO Corporate&amp;Income Opportunity Fund")</f>
        <v>PIMCO Corporate&amp;Income Opportunity Fund</v>
      </c>
      <c r="C369" s="129" t="str">
        <f t="shared" si="68"/>
        <v>View</v>
      </c>
      <c r="D369" s="176">
        <v>7000.0</v>
      </c>
      <c r="E369" s="132">
        <f>IFERROR(__xludf.DUMMYFUNCTION("IF(ISBLANK(A369),"""", googlefinance(A369, ""price""))"),12.56)</f>
        <v>12.56</v>
      </c>
      <c r="F369" s="213" t="s">
        <v>131</v>
      </c>
      <c r="G369" s="213" t="s">
        <v>134</v>
      </c>
      <c r="H369" s="213" t="s">
        <v>132</v>
      </c>
      <c r="I369" s="136">
        <f t="shared" si="69"/>
        <v>0.00774409766</v>
      </c>
      <c r="J369" s="140">
        <f>IFERROR(__xludf.DUMMYFUNCTION("IfError(IF(isblank(A369),"""",split(O369, ""()"")))"),1.43)</f>
        <v>1.43</v>
      </c>
      <c r="K369" s="136">
        <f>IFERROR(__xludf.DUMMYFUNCTION("""COMPUTED_VALUE"""),0.1137)</f>
        <v>0.1137</v>
      </c>
      <c r="L369" s="135">
        <f t="shared" si="70"/>
        <v>87920</v>
      </c>
      <c r="M369" s="135">
        <f t="shared" si="71"/>
        <v>10010</v>
      </c>
      <c r="N369" s="136">
        <f t="shared" si="72"/>
        <v>0.07197177499</v>
      </c>
      <c r="O369" s="178" t="str">
        <f>IFERROR(__xludf.DUMMYFUNCTION("LET(t, A369,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"),"1.43 (11.37%)")</f>
        <v>1.43 (11.37%)</v>
      </c>
      <c r="Q369" s="417"/>
      <c r="S369" s="417"/>
      <c r="AA369" s="186"/>
    </row>
    <row r="370">
      <c r="A370" s="149" t="s">
        <v>430</v>
      </c>
      <c r="B370" s="128" t="str">
        <f>IFERROR(__xludf.DUMMYFUNCTION("IF(ISBLANK(A370),"""", googlefinance(A370, ""name""))"),"British American Tobacco PLC")</f>
        <v>British American Tobacco PLC</v>
      </c>
      <c r="C370" s="129" t="str">
        <f t="shared" si="68"/>
        <v>View</v>
      </c>
      <c r="D370" s="176">
        <v>2475.0</v>
      </c>
      <c r="E370" s="132">
        <f>IFERROR(__xludf.DUMMYFUNCTION("IF(ISBLANK(A370),"""", googlefinance(A370, ""price""))"),58.59)</f>
        <v>58.59</v>
      </c>
      <c r="F370" s="213" t="s">
        <v>101</v>
      </c>
      <c r="G370" s="213" t="s">
        <v>134</v>
      </c>
      <c r="H370" s="213" t="s">
        <v>129</v>
      </c>
      <c r="I370" s="136">
        <f t="shared" si="69"/>
        <v>0.01277267445</v>
      </c>
      <c r="J370" s="140">
        <f>IFERROR(__xludf.DUMMYFUNCTION("IfError(IF(isblank(A370),"""",split(O370, ""()"")))"),3.12)</f>
        <v>3.12</v>
      </c>
      <c r="K370" s="136">
        <f>IFERROR(__xludf.DUMMYFUNCTION("""COMPUTED_VALUE"""),0.0532)</f>
        <v>0.0532</v>
      </c>
      <c r="L370" s="135">
        <f t="shared" si="70"/>
        <v>145010.25</v>
      </c>
      <c r="M370" s="135">
        <f t="shared" si="71"/>
        <v>7722</v>
      </c>
      <c r="N370" s="136">
        <f t="shared" si="72"/>
        <v>0.05552108356</v>
      </c>
      <c r="O370" s="178" t="str">
        <f>IFERROR(__xludf.DUMMYFUNCTION("LET(t, A370,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"),"3.12 (5.32%)")</f>
        <v>3.12 (5.32%)</v>
      </c>
      <c r="Q370" s="417"/>
      <c r="S370" s="417"/>
      <c r="AA370" s="186"/>
    </row>
    <row r="371">
      <c r="A371" s="149" t="s">
        <v>452</v>
      </c>
      <c r="B371" s="128" t="str">
        <f>IFERROR(__xludf.DUMMYFUNCTION("IF(ISBLANK(A371),"""", googlefinance(A371, ""name""))"),"NEOS Nasdaq-100 High Income ETF")</f>
        <v>NEOS Nasdaq-100 High Income ETF</v>
      </c>
      <c r="C371" s="129" t="str">
        <f t="shared" si="68"/>
        <v>View</v>
      </c>
      <c r="D371" s="176">
        <v>1492.0</v>
      </c>
      <c r="E371" s="132">
        <f>IFERROR(__xludf.DUMMYFUNCTION("IF(ISBLANK(A371),"""", googlefinance(A371, ""price""))"),52.53)</f>
        <v>52.53</v>
      </c>
      <c r="F371" s="213" t="s">
        <v>121</v>
      </c>
      <c r="G371" s="213" t="s">
        <v>134</v>
      </c>
      <c r="H371" s="213" t="s">
        <v>113</v>
      </c>
      <c r="I371" s="136">
        <f t="shared" si="69"/>
        <v>0.006903341623</v>
      </c>
      <c r="J371" s="140">
        <f>IFERROR(__xludf.DUMMYFUNCTION("IfError(IF(isblank(A371),"""",split(O371, ""()"")))"),7.45)</f>
        <v>7.45</v>
      </c>
      <c r="K371" s="136">
        <f>IFERROR(__xludf.DUMMYFUNCTION("""COMPUTED_VALUE"""),0.1419)</f>
        <v>0.1419</v>
      </c>
      <c r="L371" s="135">
        <f t="shared" si="70"/>
        <v>78374.76</v>
      </c>
      <c r="M371" s="135">
        <f t="shared" si="71"/>
        <v>11115.4</v>
      </c>
      <c r="N371" s="136">
        <f t="shared" si="72"/>
        <v>0.07991958718</v>
      </c>
      <c r="O371" s="178" t="str">
        <f>IFERROR(__xludf.DUMMYFUNCTION("LET(t, A371,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"),"7.45 (14.19%)")</f>
        <v>7.45 (14.19%)</v>
      </c>
      <c r="Q371" s="417"/>
      <c r="S371" s="417"/>
      <c r="AA371" s="186"/>
    </row>
    <row r="372">
      <c r="A372" s="149" t="s">
        <v>453</v>
      </c>
      <c r="B372" s="128" t="str">
        <f>IFERROR(__xludf.DUMMYFUNCTION("IF(ISBLANK(A372),"""", googlefinance(A372, ""name""))"),"IBM Common Stock")</f>
        <v>IBM Common Stock</v>
      </c>
      <c r="C372" s="129" t="str">
        <f t="shared" si="68"/>
        <v>View</v>
      </c>
      <c r="D372" s="176">
        <v>5.0</v>
      </c>
      <c r="E372" s="132">
        <f>IFERROR(__xludf.DUMMYFUNCTION("IF(ISBLANK(A372),"""", googlefinance(A372, ""price""))"),256.55)</f>
        <v>256.55</v>
      </c>
      <c r="F372" s="213" t="s">
        <v>101</v>
      </c>
      <c r="G372" s="213" t="s">
        <v>134</v>
      </c>
      <c r="H372" s="213" t="s">
        <v>113</v>
      </c>
      <c r="I372" s="136">
        <f t="shared" si="69"/>
        <v>0.0001129861382</v>
      </c>
      <c r="J372" s="140">
        <f>IFERROR(__xludf.DUMMYFUNCTION("IfError(IF(isblank(A372),"""",split(O372, ""()"")))"),6.72)</f>
        <v>6.72</v>
      </c>
      <c r="K372" s="136">
        <f>IFERROR(__xludf.DUMMYFUNCTION("""COMPUTED_VALUE"""),0.0262)</f>
        <v>0.0262</v>
      </c>
      <c r="L372" s="135">
        <f t="shared" si="70"/>
        <v>1282.75</v>
      </c>
      <c r="M372" s="135">
        <f t="shared" si="71"/>
        <v>33.6</v>
      </c>
      <c r="N372" s="136">
        <f t="shared" si="72"/>
        <v>0.0002415835804</v>
      </c>
      <c r="O372" s="178" t="str">
        <f>IFERROR(__xludf.DUMMYFUNCTION("LET(t, A372,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"),"6.72 (2.62%)")</f>
        <v>6.72 (2.62%)</v>
      </c>
      <c r="Q372" s="417"/>
      <c r="S372" s="417"/>
      <c r="AA372" s="186"/>
    </row>
    <row r="373">
      <c r="A373" s="149" t="s">
        <v>454</v>
      </c>
      <c r="B373" s="128" t="str">
        <f>IFERROR(__xludf.DUMMYFUNCTION("IF(ISBLANK(A373),"""", googlefinance(A373, ""name""))"),"Goldman Sachs S&amp;P 500 Premium Income ETF")</f>
        <v>Goldman Sachs S&amp;P 500 Premium Income ETF</v>
      </c>
      <c r="C373" s="129" t="str">
        <f t="shared" si="68"/>
        <v>View</v>
      </c>
      <c r="D373" s="176">
        <v>1252.0</v>
      </c>
      <c r="E373" s="132">
        <f>IFERROR(__xludf.DUMMYFUNCTION("IF(ISBLANK(A373),"""", googlefinance(A373, ""price""))"),52.03)</f>
        <v>52.03</v>
      </c>
      <c r="F373" s="213" t="s">
        <v>121</v>
      </c>
      <c r="G373" s="213" t="s">
        <v>134</v>
      </c>
      <c r="H373" s="213" t="s">
        <v>113</v>
      </c>
      <c r="I373" s="136">
        <f t="shared" si="69"/>
        <v>0.005737745705</v>
      </c>
      <c r="J373" s="140">
        <f>IFERROR(__xludf.DUMMYFUNCTION("IfError(IF(isblank(A373),"""",split(O373, ""()"")))"),4.3)</f>
        <v>4.3</v>
      </c>
      <c r="K373" s="136">
        <f>IFERROR(__xludf.DUMMYFUNCTION("""COMPUTED_VALUE"""),0.0827)</f>
        <v>0.0827</v>
      </c>
      <c r="L373" s="135">
        <f t="shared" si="70"/>
        <v>65141.56</v>
      </c>
      <c r="M373" s="135">
        <f t="shared" si="71"/>
        <v>5383.6</v>
      </c>
      <c r="N373" s="136">
        <f t="shared" si="72"/>
        <v>0.03870801676</v>
      </c>
      <c r="O373" s="178" t="str">
        <f>IFERROR(__xludf.DUMMYFUNCTION("LET(t, A373,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"),"4.30 (8.27%)")</f>
        <v>4.30 (8.27%)</v>
      </c>
      <c r="Q373" s="417"/>
      <c r="S373" s="417"/>
      <c r="AA373" s="186"/>
    </row>
    <row r="374">
      <c r="A374" s="149" t="s">
        <v>115</v>
      </c>
      <c r="B374" s="128" t="str">
        <f>IFERROR(__xludf.DUMMYFUNCTION("IF(ISBLANK(A374),"""", googlefinance(A374, ""name""))"),"Realty Income Corp")</f>
        <v>Realty Income Corp</v>
      </c>
      <c r="C374" s="129" t="str">
        <f t="shared" si="68"/>
        <v>View</v>
      </c>
      <c r="D374" s="176">
        <v>468.0</v>
      </c>
      <c r="E374" s="132">
        <f>IFERROR(__xludf.DUMMYFUNCTION("IF(ISBLANK(A374),"""", googlefinance(A374, ""price""))"),64.8)</f>
        <v>64.8</v>
      </c>
      <c r="F374" s="213" t="s">
        <v>101</v>
      </c>
      <c r="G374" s="213" t="s">
        <v>134</v>
      </c>
      <c r="H374" s="213" t="s">
        <v>113</v>
      </c>
      <c r="I374" s="136">
        <f t="shared" si="69"/>
        <v>0.002671185206</v>
      </c>
      <c r="J374" s="140">
        <f>IFERROR(__xludf.DUMMYFUNCTION("IfError(IF(isblank(A374),"""",split(O374, ""()"")))"),3.5)</f>
        <v>3.5</v>
      </c>
      <c r="K374" s="136">
        <f>IFERROR(__xludf.DUMMYFUNCTION("""COMPUTED_VALUE"""),0.054)</f>
        <v>0.054</v>
      </c>
      <c r="L374" s="135">
        <f t="shared" si="70"/>
        <v>30326.4</v>
      </c>
      <c r="M374" s="135">
        <f t="shared" si="71"/>
        <v>1638</v>
      </c>
      <c r="N374" s="136">
        <f t="shared" si="72"/>
        <v>0.01177719954</v>
      </c>
      <c r="O374" s="178" t="str">
        <f>IFERROR(__xludf.DUMMYFUNCTION("LET(t, A374,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"),"3.50 (5.40%)")</f>
        <v>3.50 (5.40%)</v>
      </c>
      <c r="Q374" s="417"/>
      <c r="S374" s="417"/>
      <c r="AA374" s="186"/>
    </row>
    <row r="375">
      <c r="A375" s="149" t="s">
        <v>100</v>
      </c>
      <c r="B375" s="128" t="str">
        <f>IFERROR(__xludf.DUMMYFUNCTION("IF(ISBLANK(A375),"""", googlefinance(A375, ""name""))"),"Alphabet Inc Class A")</f>
        <v>Alphabet Inc Class A</v>
      </c>
      <c r="C375" s="129" t="str">
        <f t="shared" si="68"/>
        <v>View</v>
      </c>
      <c r="D375" s="176">
        <v>201.0</v>
      </c>
      <c r="E375" s="132">
        <f>IFERROR(__xludf.DUMMYFUNCTION("IF(ISBLANK(A375),"""", googlefinance(A375, ""price""))"),300.88)</f>
        <v>300.88</v>
      </c>
      <c r="F375" s="213" t="s">
        <v>101</v>
      </c>
      <c r="G375" s="213" t="s">
        <v>134</v>
      </c>
      <c r="H375" s="213" t="s">
        <v>103</v>
      </c>
      <c r="I375" s="136">
        <f t="shared" si="69"/>
        <v>0.005326875169</v>
      </c>
      <c r="J375" s="140">
        <f>IFERROR(__xludf.DUMMYFUNCTION("IfError(IF(isblank(A375),"""",split(O375, ""()"")))"),0.83)</f>
        <v>0.83</v>
      </c>
      <c r="K375" s="136">
        <f>IFERROR(__xludf.DUMMYFUNCTION("""COMPUTED_VALUE"""),0.0028)</f>
        <v>0.0028</v>
      </c>
      <c r="L375" s="135">
        <f t="shared" si="70"/>
        <v>60476.88</v>
      </c>
      <c r="M375" s="135">
        <f t="shared" si="71"/>
        <v>166.83</v>
      </c>
      <c r="N375" s="136">
        <f t="shared" si="72"/>
        <v>0.001199505616</v>
      </c>
      <c r="O375" s="178" t="str">
        <f>IFERROR(__xludf.DUMMYFUNCTION("LET(t, A375,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"),"0.83 (0.28%)")</f>
        <v>0.83 (0.28%)</v>
      </c>
      <c r="Q375" s="417"/>
      <c r="S375" s="417"/>
      <c r="AA375" s="186"/>
    </row>
    <row r="376">
      <c r="A376" s="149" t="s">
        <v>369</v>
      </c>
      <c r="B376" s="128" t="str">
        <f>IFERROR(__xludf.DUMMYFUNCTION("IF(ISBLANK(A376),"""", googlefinance(A376, ""name""))"),"Main Street Capital Corp")</f>
        <v>Main Street Capital Corp</v>
      </c>
      <c r="C376" s="129" t="str">
        <f t="shared" si="68"/>
        <v>View</v>
      </c>
      <c r="D376" s="176">
        <v>690.0</v>
      </c>
      <c r="E376" s="132">
        <f>IFERROR(__xludf.DUMMYFUNCTION("IF(ISBLANK(A376),"""", googlefinance(A376, ""price""))"),58.3)</f>
        <v>58.3</v>
      </c>
      <c r="F376" s="213" t="s">
        <v>101</v>
      </c>
      <c r="G376" s="213" t="s">
        <v>134</v>
      </c>
      <c r="H376" s="213" t="s">
        <v>113</v>
      </c>
      <c r="I376" s="136">
        <f t="shared" si="69"/>
        <v>0.003543241772</v>
      </c>
      <c r="J376" s="140">
        <f>IFERROR(__xludf.DUMMYFUNCTION("IfError(IF(isblank(A376),"""",split(O376, ""()"")))"),3.02)</f>
        <v>3.02</v>
      </c>
      <c r="K376" s="136">
        <f>IFERROR(__xludf.DUMMYFUNCTION("""COMPUTED_VALUE"""),0.0519)</f>
        <v>0.0519</v>
      </c>
      <c r="L376" s="135">
        <f t="shared" si="70"/>
        <v>40227</v>
      </c>
      <c r="M376" s="135">
        <f t="shared" si="71"/>
        <v>2083.8</v>
      </c>
      <c r="N376" s="136">
        <f t="shared" si="72"/>
        <v>0.01498249598</v>
      </c>
      <c r="O376" s="178" t="str">
        <f>IFERROR(__xludf.DUMMYFUNCTION("LET(t, A376,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"),"3.02 (5.19%)")</f>
        <v>3.02 (5.19%)</v>
      </c>
      <c r="Q376" s="417"/>
      <c r="S376" s="417"/>
      <c r="AA376" s="186"/>
    </row>
    <row r="377">
      <c r="A377" s="149" t="s">
        <v>455</v>
      </c>
      <c r="B377" s="128" t="str">
        <f>IFERROR(__xludf.DUMMYFUNCTION("IF(ISBLANK(A377),"""", googlefinance(A377, ""name""))"),"Fidelity High Dividend ETF")</f>
        <v>Fidelity High Dividend ETF</v>
      </c>
      <c r="C377" s="129" t="str">
        <f t="shared" si="68"/>
        <v>View</v>
      </c>
      <c r="D377" s="176">
        <v>860.0</v>
      </c>
      <c r="E377" s="132">
        <f>IFERROR(__xludf.DUMMYFUNCTION("IF(ISBLANK(A377),"""", googlefinance(A377, ""price""))"),57.89)</f>
        <v>57.89</v>
      </c>
      <c r="F377" s="213" t="s">
        <v>121</v>
      </c>
      <c r="G377" s="213" t="s">
        <v>134</v>
      </c>
      <c r="H377" s="213" t="s">
        <v>113</v>
      </c>
      <c r="I377" s="136">
        <f t="shared" si="69"/>
        <v>0.004385156957</v>
      </c>
      <c r="J377" s="140">
        <f>IFERROR(__xludf.DUMMYFUNCTION("IfError(IF(isblank(A377),"""",split(O377, ""()"")))"),1.64)</f>
        <v>1.64</v>
      </c>
      <c r="K377" s="136">
        <f>IFERROR(__xludf.DUMMYFUNCTION("""COMPUTED_VALUE"""),0.0283)</f>
        <v>0.0283</v>
      </c>
      <c r="L377" s="135">
        <f t="shared" si="70"/>
        <v>49785.4</v>
      </c>
      <c r="M377" s="135">
        <f t="shared" si="71"/>
        <v>1410.4</v>
      </c>
      <c r="N377" s="136">
        <f t="shared" si="72"/>
        <v>0.01014075839</v>
      </c>
      <c r="O377" s="178" t="str">
        <f>IFERROR(__xludf.DUMMYFUNCTION("LET(t, A377,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"),"1.64 (2.83%)")</f>
        <v>1.64 (2.83%)</v>
      </c>
      <c r="Q377" s="417"/>
      <c r="S377" s="417"/>
      <c r="AA377" s="186"/>
    </row>
    <row r="378">
      <c r="A378" s="149" t="s">
        <v>310</v>
      </c>
      <c r="B378" s="128" t="str">
        <f>IFERROR(__xludf.DUMMYFUNCTION("IF(ISBLANK(A378),"""", googlefinance(A378, ""name""))"),"PepsiCo Inc")</f>
        <v>PepsiCo Inc</v>
      </c>
      <c r="C378" s="129" t="str">
        <f t="shared" si="68"/>
        <v>View</v>
      </c>
      <c r="D378" s="176">
        <v>108.0</v>
      </c>
      <c r="E378" s="132">
        <f>IFERROR(__xludf.DUMMYFUNCTION("IF(ISBLANK(A378),"""", googlefinance(A378, ""price""))"),160.7)</f>
        <v>160.7</v>
      </c>
      <c r="F378" s="213" t="s">
        <v>101</v>
      </c>
      <c r="G378" s="213" t="s">
        <v>134</v>
      </c>
      <c r="H378" s="213" t="s">
        <v>113</v>
      </c>
      <c r="I378" s="136">
        <f t="shared" si="69"/>
        <v>0.00152870179</v>
      </c>
      <c r="J378" s="140">
        <f>IFERROR(__xludf.DUMMYFUNCTION("IfError(IF(isblank(A378),"""",split(O378, ""()"")))"),5.62)</f>
        <v>5.62</v>
      </c>
      <c r="K378" s="136">
        <f>IFERROR(__xludf.DUMMYFUNCTION("""COMPUTED_VALUE"""),0.035)</f>
        <v>0.035</v>
      </c>
      <c r="L378" s="135">
        <f t="shared" si="70"/>
        <v>17355.6</v>
      </c>
      <c r="M378" s="135">
        <f t="shared" si="71"/>
        <v>606.96</v>
      </c>
      <c r="N378" s="136">
        <f t="shared" si="72"/>
        <v>0.00436403482</v>
      </c>
      <c r="O378" s="178" t="str">
        <f>IFERROR(__xludf.DUMMYFUNCTION("LET(t, A378,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"),"5.62 (3.50%)")</f>
        <v>5.62 (3.50%)</v>
      </c>
      <c r="Q378" s="417"/>
      <c r="S378" s="417"/>
      <c r="AA378" s="186"/>
    </row>
    <row r="379">
      <c r="A379" s="149" t="s">
        <v>456</v>
      </c>
      <c r="B379" s="128" t="str">
        <f>IFERROR(__xludf.DUMMYFUNCTION("IF(ISBLANK(A379),"""", googlefinance(A379, ""name""))"),"Berkshire Hathaway Inc Cedear")</f>
        <v>Berkshire Hathaway Inc Cedear</v>
      </c>
      <c r="C379" s="129" t="str">
        <f t="shared" si="68"/>
        <v>View</v>
      </c>
      <c r="D379" s="176">
        <v>20.0</v>
      </c>
      <c r="E379" s="132">
        <f>IFERROR(__xludf.DUMMYFUNCTION("IF(ISBLANK(A379),"""", googlefinance(A379, ""price""))"),33480.0)</f>
        <v>33480</v>
      </c>
      <c r="F379" s="213" t="s">
        <v>101</v>
      </c>
      <c r="G379" s="213" t="s">
        <v>134</v>
      </c>
      <c r="H379" s="213" t="s">
        <v>103</v>
      </c>
      <c r="I379" s="136">
        <f t="shared" si="69"/>
        <v>0.05897916052</v>
      </c>
      <c r="J379" s="140" t="str">
        <f>IFERROR(__xludf.DUMMYFUNCTION("IfError(IF(isblank(A379),"""",split(O379, ""()"")))"),"")</f>
        <v/>
      </c>
      <c r="K379" s="136"/>
      <c r="L379" s="135">
        <f t="shared" si="70"/>
        <v>669600</v>
      </c>
      <c r="M379" s="135">
        <f t="shared" si="71"/>
        <v>0</v>
      </c>
      <c r="N379" s="136">
        <f t="shared" si="72"/>
        <v>0</v>
      </c>
      <c r="O379" s="178" t="str">
        <f>IFERROR(__xludf.DUMMYFUNCTION("LET(t, A379,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79" s="417"/>
      <c r="S379" s="417"/>
      <c r="AA379" s="186"/>
    </row>
    <row r="380">
      <c r="A380" s="149" t="s">
        <v>337</v>
      </c>
      <c r="B380" s="128" t="str">
        <f>IFERROR(__xludf.DUMMYFUNCTION("IF(ISBLANK(A380),"""", googlefinance(A380, ""name""))"),"Vanguard Real Estate Index Fund ETF")</f>
        <v>Vanguard Real Estate Index Fund ETF</v>
      </c>
      <c r="C380" s="129" t="str">
        <f t="shared" si="68"/>
        <v>View</v>
      </c>
      <c r="D380" s="176">
        <v>357.0</v>
      </c>
      <c r="E380" s="132">
        <f>IFERROR(__xludf.DUMMYFUNCTION("IF(ISBLANK(A380),"""", googlefinance(A380, ""price""))"),94.58)</f>
        <v>94.58</v>
      </c>
      <c r="F380" s="213" t="s">
        <v>121</v>
      </c>
      <c r="G380" s="213" t="s">
        <v>134</v>
      </c>
      <c r="H380" s="213" t="s">
        <v>113</v>
      </c>
      <c r="I380" s="136">
        <f t="shared" si="69"/>
        <v>0.002974066448</v>
      </c>
      <c r="J380" s="140">
        <f>IFERROR(__xludf.DUMMYFUNCTION("IfError(IF(isblank(A380),"""",split(O380, ""()"")))"),3.47)</f>
        <v>3.47</v>
      </c>
      <c r="K380" s="136">
        <f>IFERROR(__xludf.DUMMYFUNCTION("""COMPUTED_VALUE"""),0.0367)</f>
        <v>0.0367</v>
      </c>
      <c r="L380" s="135">
        <f t="shared" si="70"/>
        <v>33765.06</v>
      </c>
      <c r="M380" s="135">
        <f t="shared" si="71"/>
        <v>1238.79</v>
      </c>
      <c r="N380" s="136">
        <f t="shared" si="72"/>
        <v>0.008906884629</v>
      </c>
      <c r="O380" s="178" t="str">
        <f>IFERROR(__xludf.DUMMYFUNCTION("LET(t, A380,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"),"3.47 (3.67%)")</f>
        <v>3.47 (3.67%)</v>
      </c>
      <c r="Q380" s="417"/>
      <c r="S380" s="417"/>
      <c r="AA380" s="186"/>
    </row>
    <row r="381">
      <c r="A381" s="149" t="s">
        <v>457</v>
      </c>
      <c r="B381" s="128" t="str">
        <f>IFERROR(__xludf.DUMMYFUNCTION("IF(ISBLANK(A381),"""", googlefinance(A381, ""name""))"),"Manulife Financial Corp")</f>
        <v>Manulife Financial Corp</v>
      </c>
      <c r="C381" s="129" t="str">
        <f t="shared" si="68"/>
        <v>View</v>
      </c>
      <c r="D381" s="176">
        <v>910.0</v>
      </c>
      <c r="E381" s="132">
        <f>IFERROR(__xludf.DUMMYFUNCTION("IF(ISBLANK(A381),"""", googlefinance(A381, ""price""))"),34.4)</f>
        <v>34.4</v>
      </c>
      <c r="F381" s="213" t="s">
        <v>101</v>
      </c>
      <c r="G381" s="213" t="s">
        <v>134</v>
      </c>
      <c r="H381" s="213" t="s">
        <v>129</v>
      </c>
      <c r="I381" s="136">
        <f t="shared" si="69"/>
        <v>0.002757293371</v>
      </c>
      <c r="J381" s="140">
        <f>IFERROR(__xludf.DUMMYFUNCTION("IfError(IF(isblank(A381),"""",split(O381, ""()"")))"),1.61)</f>
        <v>1.61</v>
      </c>
      <c r="K381" s="136">
        <f>IFERROR(__xludf.DUMMYFUNCTION("""COMPUTED_VALUE"""),0.0467)</f>
        <v>0.0467</v>
      </c>
      <c r="L381" s="135">
        <f t="shared" si="70"/>
        <v>31304</v>
      </c>
      <c r="M381" s="135">
        <f t="shared" si="71"/>
        <v>1465.1</v>
      </c>
      <c r="N381" s="136">
        <f t="shared" si="72"/>
        <v>0.0105340507</v>
      </c>
      <c r="O381" s="178" t="str">
        <f>IFERROR(__xludf.DUMMYFUNCTION("LET(t, A381,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"),"1.61 (4.67%)")</f>
        <v>1.61 (4.67%)</v>
      </c>
      <c r="Q381" s="417"/>
      <c r="S381" s="417"/>
      <c r="AA381" s="186"/>
    </row>
    <row r="382">
      <c r="A382" s="149" t="s">
        <v>458</v>
      </c>
      <c r="B382" s="128" t="str">
        <f>IFERROR(__xludf.DUMMYFUNCTION("IF(ISBLANK(A382),"""", googlefinance(A382, ""name""))"),"Jpmorgan US Quality Factor ETF")</f>
        <v>Jpmorgan US Quality Factor ETF</v>
      </c>
      <c r="C382" s="129" t="str">
        <f t="shared" si="68"/>
        <v>View</v>
      </c>
      <c r="D382" s="176">
        <v>116.0</v>
      </c>
      <c r="E382" s="132">
        <f>IFERROR(__xludf.DUMMYFUNCTION("IF(ISBLANK(A382),"""", googlefinance(A382, ""price""))"),64.02)</f>
        <v>64.02</v>
      </c>
      <c r="F382" s="213" t="s">
        <v>121</v>
      </c>
      <c r="G382" s="213"/>
      <c r="H382" s="213" t="s">
        <v>103</v>
      </c>
      <c r="I382" s="136">
        <f t="shared" si="69"/>
        <v>0.0006541190552</v>
      </c>
      <c r="J382" s="140">
        <f>IFERROR(__xludf.DUMMYFUNCTION("IfError(IF(isblank(A382),"""",split(O382, ""()"")))"),0.75)</f>
        <v>0.75</v>
      </c>
      <c r="K382" s="136">
        <f>IFERROR(__xludf.DUMMYFUNCTION("""COMPUTED_VALUE"""),0.0118)</f>
        <v>0.0118</v>
      </c>
      <c r="L382" s="135">
        <f t="shared" si="70"/>
        <v>7426.32</v>
      </c>
      <c r="M382" s="135">
        <f t="shared" si="71"/>
        <v>87</v>
      </c>
      <c r="N382" s="136">
        <f t="shared" si="72"/>
        <v>0.0006255289135</v>
      </c>
      <c r="O382" s="178" t="str">
        <f>IFERROR(__xludf.DUMMYFUNCTION("LET(t, A382,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"),"0.75 (1.18%)")</f>
        <v>0.75 (1.18%)</v>
      </c>
      <c r="Q382" s="417"/>
      <c r="S382" s="417"/>
      <c r="AA382" s="186"/>
    </row>
    <row r="383">
      <c r="A383" s="149" t="s">
        <v>459</v>
      </c>
      <c r="B383" s="128" t="str">
        <f>IFERROR(__xludf.DUMMYFUNCTION("IF(ISBLANK(A383),"""", googlefinance(A383, ""name""))"),"Sunoco LP")</f>
        <v>Sunoco LP</v>
      </c>
      <c r="C383" s="129" t="str">
        <f t="shared" si="68"/>
        <v>View</v>
      </c>
      <c r="D383" s="176">
        <v>401.0</v>
      </c>
      <c r="E383" s="132">
        <f>IFERROR(__xludf.DUMMYFUNCTION("IF(ISBLANK(A383),"""", googlefinance(A383, ""price""))"),64.4)</f>
        <v>64.4</v>
      </c>
      <c r="F383" s="213" t="s">
        <v>101</v>
      </c>
      <c r="G383" s="213"/>
      <c r="H383" s="213" t="s">
        <v>113</v>
      </c>
      <c r="I383" s="136">
        <f t="shared" si="69"/>
        <v>0.002274643717</v>
      </c>
      <c r="J383" s="140">
        <f>IFERROR(__xludf.DUMMYFUNCTION("IfError(IF(isblank(A383),"""",split(O383, ""()"")))"),3.66)</f>
        <v>3.66</v>
      </c>
      <c r="K383" s="136">
        <f>IFERROR(__xludf.DUMMYFUNCTION("""COMPUTED_VALUE"""),0.0568)</f>
        <v>0.0568</v>
      </c>
      <c r="L383" s="135">
        <f t="shared" si="70"/>
        <v>25824.4</v>
      </c>
      <c r="M383" s="135">
        <f t="shared" si="71"/>
        <v>1467.66</v>
      </c>
      <c r="N383" s="136">
        <f t="shared" si="72"/>
        <v>0.01055245707</v>
      </c>
      <c r="O383" s="178" t="str">
        <f>IFERROR(__xludf.DUMMYFUNCTION("LET(t, A383,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"),"3.66 (5.68%)")</f>
        <v>3.66 (5.68%)</v>
      </c>
      <c r="Q383" s="417"/>
      <c r="S383" s="417"/>
      <c r="AA383" s="186"/>
    </row>
    <row r="384">
      <c r="A384" s="149" t="s">
        <v>460</v>
      </c>
      <c r="B384" s="128" t="str">
        <f>IFERROR(__xludf.DUMMYFUNCTION("IF(ISBLANK(A384),"""", googlefinance(A384, ""name""))"),"Applied Materials Inc")</f>
        <v>Applied Materials Inc</v>
      </c>
      <c r="C384" s="129" t="str">
        <f t="shared" si="68"/>
        <v>View</v>
      </c>
      <c r="D384" s="176">
        <v>26.0</v>
      </c>
      <c r="E384" s="132">
        <f>IFERROR(__xludf.DUMMYFUNCTION("IF(ISBLANK(A384),"""", googlefinance(A384, ""price""))"),346.53)</f>
        <v>346.53</v>
      </c>
      <c r="F384" s="213" t="s">
        <v>101</v>
      </c>
      <c r="G384" s="213"/>
      <c r="H384" s="213" t="s">
        <v>103</v>
      </c>
      <c r="I384" s="136">
        <f t="shared" si="69"/>
        <v>0.0007935920861</v>
      </c>
      <c r="J384" s="140" t="str">
        <f>IFERROR(__xludf.DUMMYFUNCTION("IfError(IF(isblank(A384),"""",split(O384, ""()"")))"),"")</f>
        <v/>
      </c>
      <c r="K384" s="136"/>
      <c r="L384" s="135">
        <f t="shared" si="70"/>
        <v>9009.78</v>
      </c>
      <c r="M384" s="135">
        <f t="shared" si="71"/>
        <v>0</v>
      </c>
      <c r="N384" s="136">
        <f t="shared" si="72"/>
        <v>0</v>
      </c>
      <c r="O384" s="178" t="str">
        <f>IFERROR(__xludf.DUMMYFUNCTION("LET(t, A384,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384" s="417"/>
      <c r="S384" s="417"/>
      <c r="AA384" s="186"/>
    </row>
    <row r="385">
      <c r="A385" s="149" t="s">
        <v>461</v>
      </c>
      <c r="B385" s="128" t="str">
        <f>IFERROR(__xludf.DUMMYFUNCTION("IF(ISBLANK(A385),"""", googlefinance(A385, ""name""))"),"Federal Realty Investment Trust")</f>
        <v>Federal Realty Investment Trust</v>
      </c>
      <c r="C385" s="129" t="str">
        <f t="shared" si="68"/>
        <v>View</v>
      </c>
      <c r="D385" s="176">
        <v>17.0</v>
      </c>
      <c r="E385" s="132">
        <f>IFERROR(__xludf.DUMMYFUNCTION("IF(ISBLANK(A385),"""", googlefinance(A385, ""price""))"),108.67)</f>
        <v>108.67</v>
      </c>
      <c r="F385" s="213" t="s">
        <v>101</v>
      </c>
      <c r="G385" s="213"/>
      <c r="H385" s="213" t="s">
        <v>113</v>
      </c>
      <c r="I385" s="136">
        <f t="shared" si="69"/>
        <v>0.0001627202977</v>
      </c>
      <c r="J385" s="140">
        <f>IFERROR(__xludf.DUMMYFUNCTION("IfError(IF(isblank(A385),"""",split(O385, ""()"")))"),4.46)</f>
        <v>4.46</v>
      </c>
      <c r="K385" s="136">
        <f>IFERROR(__xludf.DUMMYFUNCTION("""COMPUTED_VALUE"""),0.041)</f>
        <v>0.041</v>
      </c>
      <c r="L385" s="135">
        <f t="shared" si="70"/>
        <v>1847.39</v>
      </c>
      <c r="M385" s="135">
        <f t="shared" si="71"/>
        <v>75.82</v>
      </c>
      <c r="N385" s="136">
        <f t="shared" si="72"/>
        <v>0.0005451448531</v>
      </c>
      <c r="O385" s="178" t="str">
        <f>IFERROR(__xludf.DUMMYFUNCTION("LET(t, A385,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"),"4.46 (4.10%)")</f>
        <v>4.46 (4.10%)</v>
      </c>
      <c r="Q385" s="417"/>
      <c r="S385" s="417"/>
      <c r="AA385" s="186"/>
    </row>
    <row r="386">
      <c r="A386" s="149" t="s">
        <v>462</v>
      </c>
      <c r="B386" s="128" t="str">
        <f>IFERROR(__xludf.DUMMYFUNCTION("IF(ISBLANK(A386),"""", googlefinance(A386, ""name""))"),"Invesco QQQ Trust, Series 1")</f>
        <v>Invesco QQQ Trust, Series 1</v>
      </c>
      <c r="C386" s="129" t="str">
        <f t="shared" si="68"/>
        <v>View</v>
      </c>
      <c r="D386" s="176">
        <v>7.0</v>
      </c>
      <c r="E386" s="132">
        <f>IFERROR(__xludf.DUMMYFUNCTION("IF(ISBLANK(A386),"""", googlefinance(A386, ""price""))"),608.91)</f>
        <v>608.91</v>
      </c>
      <c r="F386" s="213" t="s">
        <v>121</v>
      </c>
      <c r="G386" s="213"/>
      <c r="H386" s="213" t="s">
        <v>103</v>
      </c>
      <c r="I386" s="136">
        <f t="shared" si="69"/>
        <v>0.0003754345944</v>
      </c>
      <c r="J386" s="140">
        <f>IFERROR(__xludf.DUMMYFUNCTION("IfError(IF(isblank(A386),"""",split(O386, ""()"")))"),2.79)</f>
        <v>2.79</v>
      </c>
      <c r="K386" s="136">
        <f>IFERROR(__xludf.DUMMYFUNCTION("""COMPUTED_VALUE"""),0.0046)</f>
        <v>0.0046</v>
      </c>
      <c r="L386" s="135">
        <f t="shared" si="70"/>
        <v>4262.37</v>
      </c>
      <c r="M386" s="135">
        <f t="shared" si="71"/>
        <v>19.53</v>
      </c>
      <c r="N386" s="136">
        <f t="shared" si="72"/>
        <v>0.0001404204561</v>
      </c>
      <c r="O386" s="178" t="str">
        <f>IFERROR(__xludf.DUMMYFUNCTION("LET(t, A386,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"),"2.79 (0.46%)")</f>
        <v>2.79 (0.46%)</v>
      </c>
      <c r="Q386" s="417"/>
      <c r="S386" s="417"/>
      <c r="AA386" s="186"/>
    </row>
    <row r="387">
      <c r="A387" s="149" t="s">
        <v>463</v>
      </c>
      <c r="B387" s="128" t="str">
        <f>IFERROR(__xludf.DUMMYFUNCTION("IF(ISBLANK(A387),"""", googlefinance(A387, ""name""))"),"Starwood Property Trust Inc")</f>
        <v>Starwood Property Trust Inc</v>
      </c>
      <c r="C387" s="129" t="str">
        <f t="shared" si="68"/>
        <v>View</v>
      </c>
      <c r="D387" s="176">
        <v>1133.0</v>
      </c>
      <c r="E387" s="132">
        <f>IFERROR(__xludf.DUMMYFUNCTION("IF(ISBLANK(A387),"""", googlefinance(A387, ""price""))"),18.04)</f>
        <v>18.04</v>
      </c>
      <c r="F387" s="213" t="s">
        <v>101</v>
      </c>
      <c r="G387" s="213"/>
      <c r="H387" s="213" t="s">
        <v>113</v>
      </c>
      <c r="I387" s="136">
        <f t="shared" si="69"/>
        <v>0.001800319497</v>
      </c>
      <c r="J387" s="140">
        <f>IFERROR(__xludf.DUMMYFUNCTION("IfError(IF(isblank(A387),"""",split(O387, ""()"")))"),1.92)</f>
        <v>1.92</v>
      </c>
      <c r="K387" s="136">
        <f>IFERROR(__xludf.DUMMYFUNCTION("""COMPUTED_VALUE"""),0.1064)</f>
        <v>0.1064</v>
      </c>
      <c r="L387" s="135">
        <f t="shared" si="70"/>
        <v>20439.32</v>
      </c>
      <c r="M387" s="135">
        <f t="shared" si="71"/>
        <v>2175.36</v>
      </c>
      <c r="N387" s="136">
        <f t="shared" si="72"/>
        <v>0.01564081123</v>
      </c>
      <c r="O387" s="178" t="str">
        <f>IFERROR(__xludf.DUMMYFUNCTION("LET(t, A387,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"),"1.92 (10.64%)")</f>
        <v>1.92 (10.64%)</v>
      </c>
      <c r="Q387" s="417"/>
      <c r="S387" s="417"/>
      <c r="AA387" s="186"/>
    </row>
    <row r="388">
      <c r="A388" s="149" t="s">
        <v>429</v>
      </c>
      <c r="B388" s="128" t="str">
        <f>IFERROR(__xludf.DUMMYFUNCTION("IF(ISBLANK(A388),"""", googlefinance(A388, ""name""))"),"Duke Energy Corp")</f>
        <v>Duke Energy Corp</v>
      </c>
      <c r="C388" s="129" t="str">
        <f t="shared" si="68"/>
        <v>View</v>
      </c>
      <c r="D388" s="176">
        <v>103.0</v>
      </c>
      <c r="E388" s="132">
        <f>IFERROR(__xludf.DUMMYFUNCTION("IF(ISBLANK(A388),"""", googlefinance(A388, ""price""))"),131.61)</f>
        <v>131.61</v>
      </c>
      <c r="F388" s="213" t="s">
        <v>101</v>
      </c>
      <c r="G388" s="213"/>
      <c r="H388" s="213" t="s">
        <v>113</v>
      </c>
      <c r="I388" s="136">
        <f t="shared" si="69"/>
        <v>0.001194013551</v>
      </c>
      <c r="J388" s="140">
        <f>IFERROR(__xludf.DUMMYFUNCTION("IfError(IF(isblank(A388),"""",split(O388, ""()"")))"),4.24)</f>
        <v>4.24</v>
      </c>
      <c r="K388" s="136">
        <f>IFERROR(__xludf.DUMMYFUNCTION("""COMPUTED_VALUE"""),0.0322)</f>
        <v>0.0322</v>
      </c>
      <c r="L388" s="135">
        <f t="shared" si="70"/>
        <v>13555.83</v>
      </c>
      <c r="M388" s="135">
        <f t="shared" si="71"/>
        <v>436.72</v>
      </c>
      <c r="N388" s="136">
        <f t="shared" si="72"/>
        <v>0.003140011346</v>
      </c>
      <c r="O388" s="178" t="str">
        <f>IFERROR(__xludf.DUMMYFUNCTION("LET(t, A388,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"),"4.24 (3.22%)")</f>
        <v>4.24 (3.22%)</v>
      </c>
      <c r="Q388" s="417"/>
      <c r="S388" s="417"/>
      <c r="AA388" s="186"/>
    </row>
    <row r="389">
      <c r="A389" s="149" t="s">
        <v>464</v>
      </c>
      <c r="B389" s="128" t="str">
        <f>IFERROR(__xludf.DUMMYFUNCTION("IF(ISBLANK(A389),"""", googlefinance(A389, ""name""))"),"State Street Utilities Select Sector SPDR ETF")</f>
        <v>State Street Utilities Select Sector SPDR ETF</v>
      </c>
      <c r="C389" s="129" t="str">
        <f t="shared" si="68"/>
        <v>View</v>
      </c>
      <c r="D389" s="176">
        <v>40.0</v>
      </c>
      <c r="E389" s="132">
        <f>IFERROR(__xludf.DUMMYFUNCTION("IF(ISBLANK(A389),"""", googlefinance(A389, ""price""))"),46.9)</f>
        <v>46.9</v>
      </c>
      <c r="F389" s="213" t="s">
        <v>121</v>
      </c>
      <c r="G389" s="213"/>
      <c r="H389" s="213" t="s">
        <v>113</v>
      </c>
      <c r="I389" s="136">
        <f t="shared" si="69"/>
        <v>0.0001652403004</v>
      </c>
      <c r="J389" s="140">
        <f>IFERROR(__xludf.DUMMYFUNCTION("IfError(IF(isblank(A389),"""",split(O389, ""()"")))"),1.16)</f>
        <v>1.16</v>
      </c>
      <c r="K389" s="136">
        <f>IFERROR(__xludf.DUMMYFUNCTION("""COMPUTED_VALUE"""),0.0247)</f>
        <v>0.0247</v>
      </c>
      <c r="L389" s="135">
        <f t="shared" si="70"/>
        <v>1876</v>
      </c>
      <c r="M389" s="135">
        <f t="shared" si="71"/>
        <v>46.4</v>
      </c>
      <c r="N389" s="136">
        <f t="shared" si="72"/>
        <v>0.0003336154205</v>
      </c>
      <c r="O389" s="178" t="str">
        <f>IFERROR(__xludf.DUMMYFUNCTION("LET(t, A389,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"),"1.16 (2.47%)")</f>
        <v>1.16 (2.47%)</v>
      </c>
      <c r="Q389" s="417"/>
      <c r="S389" s="417"/>
      <c r="AA389" s="186"/>
    </row>
    <row r="390">
      <c r="A390" s="149" t="s">
        <v>465</v>
      </c>
      <c r="B390" s="128" t="str">
        <f>IFERROR(__xludf.DUMMYFUNCTION("IF(ISBLANK(A390),"""", googlefinance(A390, ""name""))"),"State Street Health Care Select Sector SPDR ETF")</f>
        <v>State Street Health Care Select Sector SPDR ETF</v>
      </c>
      <c r="C390" s="129" t="str">
        <f t="shared" si="68"/>
        <v>View</v>
      </c>
      <c r="D390" s="176">
        <v>17.0</v>
      </c>
      <c r="E390" s="132">
        <f>IFERROR(__xludf.DUMMYFUNCTION("IF(ISBLANK(A390),"""", googlefinance(A390, ""price""))"),153.91)</f>
        <v>153.91</v>
      </c>
      <c r="F390" s="213" t="s">
        <v>121</v>
      </c>
      <c r="G390" s="213"/>
      <c r="H390" s="213" t="s">
        <v>113</v>
      </c>
      <c r="I390" s="136">
        <f t="shared" si="69"/>
        <v>0.0002304617744</v>
      </c>
      <c r="J390" s="140">
        <f>IFERROR(__xludf.DUMMYFUNCTION("IfError(IF(isblank(A390),"""",split(O390, ""()"")))"),2.48)</f>
        <v>2.48</v>
      </c>
      <c r="K390" s="136">
        <f>IFERROR(__xludf.DUMMYFUNCTION("""COMPUTED_VALUE"""),0.0161)</f>
        <v>0.0161</v>
      </c>
      <c r="L390" s="135">
        <f t="shared" si="70"/>
        <v>2616.47</v>
      </c>
      <c r="M390" s="135">
        <f t="shared" si="71"/>
        <v>42.16</v>
      </c>
      <c r="N390" s="136">
        <f t="shared" si="72"/>
        <v>0.0003031298735</v>
      </c>
      <c r="O390" s="178" t="str">
        <f>IFERROR(__xludf.DUMMYFUNCTION("LET(t, A390,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"),"2.48 (1.61%)")</f>
        <v>2.48 (1.61%)</v>
      </c>
      <c r="Q390" s="417"/>
      <c r="S390" s="417"/>
      <c r="AA390" s="186"/>
    </row>
    <row r="391">
      <c r="A391" s="149" t="s">
        <v>466</v>
      </c>
      <c r="B391" s="128" t="str">
        <f>IFERROR(__xludf.DUMMYFUNCTION("IF(ISBLANK(A391),"""", googlefinance(A391, ""name""))"),"Fidelity MSCI Information Technology Index ETF")</f>
        <v>Fidelity MSCI Information Technology Index ETF</v>
      </c>
      <c r="C391" s="129" t="str">
        <f t="shared" si="68"/>
        <v>View</v>
      </c>
      <c r="D391" s="176">
        <v>100.0</v>
      </c>
      <c r="E391" s="132">
        <f>IFERROR(__xludf.DUMMYFUNCTION("IF(ISBLANK(A391),"""", googlefinance(A391, ""price""))"),218.72)</f>
        <v>218.72</v>
      </c>
      <c r="F391" s="213" t="s">
        <v>121</v>
      </c>
      <c r="G391" s="213"/>
      <c r="H391" s="213" t="s">
        <v>103</v>
      </c>
      <c r="I391" s="136">
        <f t="shared" si="69"/>
        <v>0.001926511647</v>
      </c>
      <c r="J391" s="140">
        <f>IFERROR(__xludf.DUMMYFUNCTION("IfError(IF(isblank(A391),"""",split(O391, ""()"")))"),0.96)</f>
        <v>0.96</v>
      </c>
      <c r="K391" s="136">
        <f>IFERROR(__xludf.DUMMYFUNCTION("""COMPUTED_VALUE"""),0.0044)</f>
        <v>0.0044</v>
      </c>
      <c r="L391" s="135">
        <f t="shared" si="70"/>
        <v>21872</v>
      </c>
      <c r="M391" s="135">
        <f t="shared" si="71"/>
        <v>96</v>
      </c>
      <c r="N391" s="136">
        <f t="shared" si="72"/>
        <v>0.0006902388011</v>
      </c>
      <c r="O391" s="178" t="str">
        <f>IFERROR(__xludf.DUMMYFUNCTION("LET(t, A391,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"),"0.96 (0.44%)")</f>
        <v>0.96 (0.44%)</v>
      </c>
      <c r="Q391" s="417"/>
      <c r="S391" s="417"/>
      <c r="AA391" s="186"/>
    </row>
    <row r="392">
      <c r="A392" s="149" t="s">
        <v>467</v>
      </c>
      <c r="B392" s="128" t="str">
        <f>IFERROR(__xludf.DUMMYFUNCTION("IF(ISBLANK(A392),"""", googlefinance(A392, ""name""))"),"Fortis Inc")</f>
        <v>Fortis Inc</v>
      </c>
      <c r="C392" s="129" t="str">
        <f t="shared" si="68"/>
        <v>View</v>
      </c>
      <c r="D392" s="176">
        <v>297.0</v>
      </c>
      <c r="E392" s="132">
        <f>IFERROR(__xludf.DUMMYFUNCTION("IF(ISBLANK(A392),"""", googlefinance(A392, ""price""))"),57.26)</f>
        <v>57.26</v>
      </c>
      <c r="F392" s="213" t="s">
        <v>101</v>
      </c>
      <c r="G392" s="213"/>
      <c r="H392" s="213" t="s">
        <v>129</v>
      </c>
      <c r="I392" s="136">
        <f t="shared" si="69"/>
        <v>0.001497927986</v>
      </c>
      <c r="J392" s="140">
        <f>IFERROR(__xludf.DUMMYFUNCTION("IfError(IF(isblank(A392),"""",split(O392, ""()"")))"),1.81)</f>
        <v>1.81</v>
      </c>
      <c r="K392" s="136">
        <f>IFERROR(__xludf.DUMMYFUNCTION("""COMPUTED_VALUE"""),0.0316)</f>
        <v>0.0316</v>
      </c>
      <c r="L392" s="135">
        <f t="shared" si="70"/>
        <v>17006.22</v>
      </c>
      <c r="M392" s="135">
        <f t="shared" si="71"/>
        <v>537.57</v>
      </c>
      <c r="N392" s="136">
        <f t="shared" si="72"/>
        <v>0.003865121586</v>
      </c>
      <c r="O392" s="178" t="str">
        <f>IFERROR(__xludf.DUMMYFUNCTION("LET(t, A392,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"),"1.81 (3.16%)")</f>
        <v>1.81 (3.16%)</v>
      </c>
      <c r="Q392" s="417"/>
      <c r="S392" s="417"/>
      <c r="AA392" s="186"/>
    </row>
    <row r="393">
      <c r="A393" s="149" t="s">
        <v>468</v>
      </c>
      <c r="B393" s="128" t="str">
        <f>IFERROR(__xludf.DUMMYFUNCTION("IF(ISBLANK(A393),"""", googlefinance(A393, ""name""))"),"Public Storage")</f>
        <v>Public Storage</v>
      </c>
      <c r="C393" s="129" t="str">
        <f t="shared" si="68"/>
        <v>View</v>
      </c>
      <c r="D393" s="176">
        <v>52.0</v>
      </c>
      <c r="E393" s="132">
        <f>IFERROR(__xludf.DUMMYFUNCTION("IF(ISBLANK(A393),"""", googlefinance(A393, ""price""))"),306.94)</f>
        <v>306.94</v>
      </c>
      <c r="F393" s="213" t="s">
        <v>101</v>
      </c>
      <c r="G393" s="213"/>
      <c r="H393" s="213" t="s">
        <v>113</v>
      </c>
      <c r="I393" s="136">
        <f t="shared" si="69"/>
        <v>0.001405853201</v>
      </c>
      <c r="J393" s="140">
        <f>IFERROR(__xludf.DUMMYFUNCTION("IfError(IF(isblank(A393),"""",split(O393, ""()"")))"),12.0)</f>
        <v>12</v>
      </c>
      <c r="K393" s="136">
        <f>IFERROR(__xludf.DUMMYFUNCTION("""COMPUTED_VALUE"""),0.0391)</f>
        <v>0.0391</v>
      </c>
      <c r="L393" s="135">
        <f t="shared" si="70"/>
        <v>15960.88</v>
      </c>
      <c r="M393" s="135">
        <f t="shared" si="71"/>
        <v>624</v>
      </c>
      <c r="N393" s="136">
        <f t="shared" si="72"/>
        <v>0.004486552207</v>
      </c>
      <c r="O393" s="178" t="str">
        <f>IFERROR(__xludf.DUMMYFUNCTION("LET(t, A393,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"),"12.00 (3.91%)")</f>
        <v>12.00 (3.91%)</v>
      </c>
      <c r="Q393" s="417"/>
      <c r="S393" s="417"/>
      <c r="AA393" s="186"/>
    </row>
    <row r="394">
      <c r="A394" s="149" t="s">
        <v>469</v>
      </c>
      <c r="B394" s="128" t="str">
        <f>IFERROR(__xludf.DUMMYFUNCTION("IF(ISBLANK(A394),"""", googlefinance(A394, ""name""))"),"Schwab US Large-Cap Growth ETF")</f>
        <v>Schwab US Large-Cap Growth ETF</v>
      </c>
      <c r="C394" s="129" t="str">
        <f t="shared" si="68"/>
        <v>View</v>
      </c>
      <c r="D394" s="176">
        <v>637.0</v>
      </c>
      <c r="E394" s="132">
        <f>IFERROR(__xludf.DUMMYFUNCTION("IF(ISBLANK(A394),"""", googlefinance(A394, ""price""))"),30.97)</f>
        <v>30.97</v>
      </c>
      <c r="F394" s="213" t="s">
        <v>121</v>
      </c>
      <c r="G394" s="213"/>
      <c r="H394" s="213" t="s">
        <v>103</v>
      </c>
      <c r="I394" s="136">
        <f t="shared" si="69"/>
        <v>0.001737655901</v>
      </c>
      <c r="J394" s="140">
        <f>IFERROR(__xludf.DUMMYFUNCTION("IfError(IF(isblank(A394),"""",split(O394, ""()"")))"),0.12)</f>
        <v>0.12</v>
      </c>
      <c r="K394" s="136">
        <f>IFERROR(__xludf.DUMMYFUNCTION("""COMPUTED_VALUE"""),0.0038)</f>
        <v>0.0038</v>
      </c>
      <c r="L394" s="135">
        <f t="shared" si="70"/>
        <v>19727.89</v>
      </c>
      <c r="M394" s="135">
        <f t="shared" si="71"/>
        <v>76.44</v>
      </c>
      <c r="N394" s="136">
        <f t="shared" si="72"/>
        <v>0.0005496026453</v>
      </c>
      <c r="O394" s="178" t="str">
        <f>IFERROR(__xludf.DUMMYFUNCTION("LET(t, A394,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"),"0.12 (0.38%)")</f>
        <v>0.12 (0.38%)</v>
      </c>
      <c r="Q394" s="417"/>
      <c r="S394" s="417"/>
      <c r="AA394" s="186"/>
    </row>
    <row r="395">
      <c r="A395" s="149" t="s">
        <v>470</v>
      </c>
      <c r="B395" s="128" t="str">
        <f>IFERROR(__xludf.DUMMYFUNCTION("IF(ISBLANK(A395),"""", googlefinance(A395, ""name""))"),"Bank of Montreal")</f>
        <v>Bank of Montreal</v>
      </c>
      <c r="C395" s="129" t="str">
        <f t="shared" si="68"/>
        <v>View</v>
      </c>
      <c r="D395" s="176">
        <v>176.0</v>
      </c>
      <c r="E395" s="132">
        <f>IFERROR(__xludf.DUMMYFUNCTION("IF(ISBLANK(A395),"""", googlefinance(A395, ""price""))"),144.0)</f>
        <v>144</v>
      </c>
      <c r="F395" s="213" t="s">
        <v>101</v>
      </c>
      <c r="G395" s="213"/>
      <c r="H395" s="213" t="s">
        <v>129</v>
      </c>
      <c r="I395" s="136">
        <f t="shared" si="69"/>
        <v>0.002232329517</v>
      </c>
      <c r="J395" s="140">
        <f>IFERROR(__xludf.DUMMYFUNCTION("IfError(IF(isblank(A395),"""",split(O395, ""()"")))"),4.72)</f>
        <v>4.72</v>
      </c>
      <c r="K395" s="136">
        <f>IFERROR(__xludf.DUMMYFUNCTION("""COMPUTED_VALUE"""),0.0328)</f>
        <v>0.0328</v>
      </c>
      <c r="L395" s="135">
        <f t="shared" si="70"/>
        <v>25344</v>
      </c>
      <c r="M395" s="135">
        <f t="shared" si="71"/>
        <v>830.72</v>
      </c>
      <c r="N395" s="136">
        <f t="shared" si="72"/>
        <v>0.005972866425</v>
      </c>
      <c r="O395" s="178" t="str">
        <f>IFERROR(__xludf.DUMMYFUNCTION("LET(t, A395,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"),"4.72 (3.28%)")</f>
        <v>4.72 (3.28%)</v>
      </c>
      <c r="Q395" s="417"/>
      <c r="S395" s="417"/>
      <c r="AA395" s="186"/>
    </row>
    <row r="396">
      <c r="A396" s="149" t="s">
        <v>471</v>
      </c>
      <c r="B396" s="128" t="str">
        <f>IFERROR(__xludf.DUMMYFUNCTION("IF(ISBLANK(A396),"""", googlefinance(A396, ""name""))"),"Roundhill Innov-100 0DTE Covered Call Strat ETF")</f>
        <v>Roundhill Innov-100 0DTE Covered Call Strat ETF</v>
      </c>
      <c r="C396" s="129" t="str">
        <f t="shared" si="68"/>
        <v>View</v>
      </c>
      <c r="D396" s="176">
        <v>50.0</v>
      </c>
      <c r="E396" s="132">
        <f>IFERROR(__xludf.DUMMYFUNCTION("IF(ISBLANK(A396),"""", googlefinance(A396, ""price""))"),29.59)</f>
        <v>29.59</v>
      </c>
      <c r="F396" s="213" t="s">
        <v>333</v>
      </c>
      <c r="G396" s="213"/>
      <c r="H396" s="213" t="s">
        <v>103</v>
      </c>
      <c r="I396" s="136">
        <f t="shared" si="69"/>
        <v>0.0001303161111</v>
      </c>
      <c r="J396" s="140">
        <f>IFERROR(__xludf.DUMMYFUNCTION("IfError(IF(isblank(A396),"""",split(O396, ""()"")))"),14.28)</f>
        <v>14.28</v>
      </c>
      <c r="K396" s="136">
        <f>IFERROR(__xludf.DUMMYFUNCTION("""COMPUTED_VALUE"""),0.4825)</f>
        <v>0.4825</v>
      </c>
      <c r="L396" s="135">
        <f t="shared" si="70"/>
        <v>1479.5</v>
      </c>
      <c r="M396" s="135">
        <f t="shared" si="71"/>
        <v>714</v>
      </c>
      <c r="N396" s="136">
        <f t="shared" si="72"/>
        <v>0.005133651083</v>
      </c>
      <c r="O396" s="178" t="str">
        <f>IFERROR(__xludf.DUMMYFUNCTION("LET(t, A396,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"),"14.28 (48.25%)")</f>
        <v>14.28 (48.25%)</v>
      </c>
      <c r="Q396" s="417"/>
      <c r="S396" s="417"/>
      <c r="AA396" s="186"/>
    </row>
    <row r="397">
      <c r="A397" s="149" t="s">
        <v>472</v>
      </c>
      <c r="B397" s="128" t="str">
        <f>IFERROR(__xludf.DUMMYFUNCTION("IF(ISBLANK(A397),"""", googlefinance(A397, ""name""))"),"Janus Henderson Group PLC")</f>
        <v>Janus Henderson Group PLC</v>
      </c>
      <c r="C397" s="129" t="str">
        <f t="shared" si="68"/>
        <v>View</v>
      </c>
      <c r="D397" s="176">
        <v>421.0</v>
      </c>
      <c r="E397" s="132">
        <f>IFERROR(__xludf.DUMMYFUNCTION("IF(ISBLANK(A397),"""", googlefinance(A397, ""price""))"),51.49)</f>
        <v>51.49</v>
      </c>
      <c r="F397" s="213" t="s">
        <v>101</v>
      </c>
      <c r="G397" s="213"/>
      <c r="H397" s="213" t="s">
        <v>129</v>
      </c>
      <c r="I397" s="136">
        <f t="shared" si="69"/>
        <v>0.00190936136</v>
      </c>
      <c r="J397" s="140">
        <f>IFERROR(__xludf.DUMMYFUNCTION("IfError(IF(isblank(A397),"""",split(O397, ""()"")))"),1.2)</f>
        <v>1.2</v>
      </c>
      <c r="K397" s="136">
        <f>IFERROR(__xludf.DUMMYFUNCTION("""COMPUTED_VALUE"""),0.0233)</f>
        <v>0.0233</v>
      </c>
      <c r="L397" s="135">
        <f t="shared" si="70"/>
        <v>21677.29</v>
      </c>
      <c r="M397" s="135">
        <f t="shared" si="71"/>
        <v>505.2</v>
      </c>
      <c r="N397" s="136">
        <f t="shared" si="72"/>
        <v>0.003632381691</v>
      </c>
      <c r="O397" s="178" t="str">
        <f>IFERROR(__xludf.DUMMYFUNCTION("LET(t, A397,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"),"1.20 (2.33%)")</f>
        <v>1.20 (2.33%)</v>
      </c>
      <c r="Q397" s="417"/>
      <c r="S397" s="417"/>
      <c r="AA397" s="186"/>
    </row>
    <row r="398">
      <c r="A398" s="149" t="s">
        <v>473</v>
      </c>
      <c r="B398" s="128" t="str">
        <f>IFERROR(__xludf.DUMMYFUNCTION("IF(ISBLANK(A398),"""", googlefinance(A398, ""name""))"),"Cintas Corp")</f>
        <v>Cintas Corp</v>
      </c>
      <c r="C398" s="129" t="str">
        <f t="shared" si="68"/>
        <v>View</v>
      </c>
      <c r="D398" s="176">
        <v>100.0</v>
      </c>
      <c r="E398" s="132">
        <f>IFERROR(__xludf.DUMMYFUNCTION("IF(ISBLANK(A398),"""", googlefinance(A398, ""price""))"),204.53)</f>
        <v>204.53</v>
      </c>
      <c r="F398" s="213" t="s">
        <v>101</v>
      </c>
      <c r="G398" s="213"/>
      <c r="H398" s="213" t="s">
        <v>103</v>
      </c>
      <c r="I398" s="136">
        <f t="shared" si="69"/>
        <v>0.001801524448</v>
      </c>
      <c r="J398" s="140">
        <f>IFERROR(__xludf.DUMMYFUNCTION("IfError(IF(isblank(A398),"""",split(O398, ""()"")))"),1.74)</f>
        <v>1.74</v>
      </c>
      <c r="K398" s="136">
        <f>IFERROR(__xludf.DUMMYFUNCTION("""COMPUTED_VALUE"""),0.0085)</f>
        <v>0.0085</v>
      </c>
      <c r="L398" s="135">
        <f t="shared" si="70"/>
        <v>20453</v>
      </c>
      <c r="M398" s="135">
        <f t="shared" si="71"/>
        <v>174</v>
      </c>
      <c r="N398" s="136">
        <f t="shared" si="72"/>
        <v>0.001251057827</v>
      </c>
      <c r="O398" s="178" t="str">
        <f>IFERROR(__xludf.DUMMYFUNCTION("LET(t, A398,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"),"1.74 (0.85%)")</f>
        <v>1.74 (0.85%)</v>
      </c>
      <c r="Q398" s="417"/>
      <c r="S398" s="417"/>
      <c r="AA398" s="186"/>
    </row>
    <row r="399">
      <c r="A399" s="149" t="s">
        <v>127</v>
      </c>
      <c r="B399" s="128" t="str">
        <f>IFERROR(__xludf.DUMMYFUNCTION("IF(ISBLANK(A399),"""", googlefinance(A399, ""name""))"),"Vanguard Dividend Appreciation Index Fund ETF")</f>
        <v>Vanguard Dividend Appreciation Index Fund ETF</v>
      </c>
      <c r="C399" s="129" t="str">
        <f t="shared" si="68"/>
        <v>View</v>
      </c>
      <c r="D399" s="176">
        <v>5.0</v>
      </c>
      <c r="E399" s="132">
        <f>IFERROR(__xludf.DUMMYFUNCTION("IF(ISBLANK(A399),"""", googlefinance(A399, ""price""))"),223.45)</f>
        <v>223.45</v>
      </c>
      <c r="F399" s="213" t="s">
        <v>121</v>
      </c>
      <c r="G399" s="213"/>
      <c r="H399" s="213" t="s">
        <v>103</v>
      </c>
      <c r="I399" s="136">
        <f t="shared" si="69"/>
        <v>0.00009840870235</v>
      </c>
      <c r="J399" s="140">
        <f>IFERROR(__xludf.DUMMYFUNCTION("IfError(IF(isblank(A399),"""",split(O399, ""()"")))"),3.56)</f>
        <v>3.56</v>
      </c>
      <c r="K399" s="136">
        <f>IFERROR(__xludf.DUMMYFUNCTION("""COMPUTED_VALUE"""),0.0159)</f>
        <v>0.0159</v>
      </c>
      <c r="L399" s="135">
        <f t="shared" si="70"/>
        <v>1117.25</v>
      </c>
      <c r="M399" s="135">
        <f t="shared" si="71"/>
        <v>17.8</v>
      </c>
      <c r="N399" s="136">
        <f t="shared" si="72"/>
        <v>0.0001279817777</v>
      </c>
      <c r="O399" s="178" t="str">
        <f>IFERROR(__xludf.DUMMYFUNCTION("LET(t, A399,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"),"3.56 (1.59%)")</f>
        <v>3.56 (1.59%)</v>
      </c>
      <c r="Q399" s="417"/>
      <c r="S399" s="417"/>
      <c r="AA399" s="186"/>
    </row>
    <row r="400">
      <c r="A400" s="149" t="s">
        <v>474</v>
      </c>
      <c r="B400" s="128" t="str">
        <f>IFERROR(__xludf.DUMMYFUNCTION("IF(ISBLANK(A400),"""", googlefinance(A400, ""name""))"),"VanEck Semiconductor ETF")</f>
        <v>VanEck Semiconductor ETF</v>
      </c>
      <c r="C400" s="129" t="str">
        <f t="shared" si="68"/>
        <v>View</v>
      </c>
      <c r="D400" s="176">
        <v>22.0</v>
      </c>
      <c r="E400" s="132">
        <f>IFERROR(__xludf.DUMMYFUNCTION("IF(ISBLANK(A400),"""", googlefinance(A400, ""price""))"),395.35)</f>
        <v>395.35</v>
      </c>
      <c r="F400" s="213" t="s">
        <v>121</v>
      </c>
      <c r="G400" s="213"/>
      <c r="H400" s="213" t="s">
        <v>103</v>
      </c>
      <c r="I400" s="136">
        <f t="shared" si="69"/>
        <v>0.0007661037104</v>
      </c>
      <c r="J400" s="140">
        <f>IFERROR(__xludf.DUMMYFUNCTION("IfError(IF(isblank(A400),"""",split(O400, ""()"")))"),1.1)</f>
        <v>1.1</v>
      </c>
      <c r="K400" s="136">
        <f>IFERROR(__xludf.DUMMYFUNCTION("""COMPUTED_VALUE"""),0.0028)</f>
        <v>0.0028</v>
      </c>
      <c r="L400" s="135">
        <f t="shared" si="70"/>
        <v>8697.7</v>
      </c>
      <c r="M400" s="135">
        <f t="shared" si="71"/>
        <v>24.2</v>
      </c>
      <c r="N400" s="136">
        <f t="shared" si="72"/>
        <v>0.0001739976978</v>
      </c>
      <c r="O400" s="178" t="str">
        <f>IFERROR(__xludf.DUMMYFUNCTION("LET(t, A400,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"),"1.10 (0.28%)")</f>
        <v>1.10 (0.28%)</v>
      </c>
      <c r="Q400" s="422"/>
      <c r="S400" s="417"/>
      <c r="AA400" s="186"/>
    </row>
    <row r="401">
      <c r="A401" s="149" t="s">
        <v>475</v>
      </c>
      <c r="B401" s="128" t="str">
        <f>IFERROR(__xludf.DUMMYFUNCTION("IF(ISBLANK(A401),"""", googlefinance(A401, ""name""))"),"Hercules Capital Inc")</f>
        <v>Hercules Capital Inc</v>
      </c>
      <c r="C401" s="129" t="str">
        <f t="shared" si="68"/>
        <v>View</v>
      </c>
      <c r="D401" s="176">
        <v>610.0</v>
      </c>
      <c r="E401" s="132">
        <f>IFERROR(__xludf.DUMMYFUNCTION("IF(ISBLANK(A401),"""", googlefinance(A401, ""price""))"),15.11)</f>
        <v>15.11</v>
      </c>
      <c r="F401" s="213" t="s">
        <v>101</v>
      </c>
      <c r="G401" s="213"/>
      <c r="H401" s="213" t="s">
        <v>113</v>
      </c>
      <c r="I401" s="136">
        <f t="shared" si="69"/>
        <v>0.0008118530771</v>
      </c>
      <c r="J401" s="140">
        <f>IFERROR(__xludf.DUMMYFUNCTION("IfError(IF(isblank(A401),"""",split(O401, ""()"")))"),1.59)</f>
        <v>1.59</v>
      </c>
      <c r="K401" s="136">
        <f>IFERROR(__xludf.DUMMYFUNCTION("""COMPUTED_VALUE"""),0.1052)</f>
        <v>0.1052</v>
      </c>
      <c r="L401" s="135">
        <f t="shared" si="70"/>
        <v>9217.1</v>
      </c>
      <c r="M401" s="135">
        <f t="shared" si="71"/>
        <v>969.9</v>
      </c>
      <c r="N401" s="136">
        <f t="shared" si="72"/>
        <v>0.006973568887</v>
      </c>
      <c r="O401" s="178" t="str">
        <f>IFERROR(__xludf.DUMMYFUNCTION("LET(t, A401,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"),"1.59 (10.52%)")</f>
        <v>1.59 (10.52%)</v>
      </c>
      <c r="Q401" s="422"/>
      <c r="S401" s="417"/>
      <c r="AA401" s="186"/>
    </row>
    <row r="402">
      <c r="A402" s="149" t="s">
        <v>476</v>
      </c>
      <c r="B402" s="128" t="str">
        <f>IFERROR(__xludf.DUMMYFUNCTION("IF(ISBLANK(A402),"""", googlefinance(A402, ""name""))"),"Stag Industrial Inc")</f>
        <v>Stag Industrial Inc</v>
      </c>
      <c r="C402" s="129" t="str">
        <f t="shared" si="68"/>
        <v>View</v>
      </c>
      <c r="D402" s="176">
        <v>310.0</v>
      </c>
      <c r="E402" s="132">
        <f>IFERROR(__xludf.DUMMYFUNCTION("IF(ISBLANK(A402),"""", googlefinance(A402, ""price""))"),38.97)</f>
        <v>38.97</v>
      </c>
      <c r="F402" s="213" t="s">
        <v>101</v>
      </c>
      <c r="G402" s="213"/>
      <c r="H402" s="213" t="s">
        <v>113</v>
      </c>
      <c r="I402" s="136">
        <f t="shared" si="69"/>
        <v>0.001064082354</v>
      </c>
      <c r="J402" s="140">
        <f>IFERROR(__xludf.DUMMYFUNCTION("IfError(IF(isblank(A402),"""",split(O402, ""()"")))"),1.36)</f>
        <v>1.36</v>
      </c>
      <c r="K402" s="136">
        <f>IFERROR(__xludf.DUMMYFUNCTION("""COMPUTED_VALUE"""),0.035)</f>
        <v>0.035</v>
      </c>
      <c r="L402" s="135">
        <f t="shared" si="70"/>
        <v>12080.7</v>
      </c>
      <c r="M402" s="135">
        <f t="shared" si="71"/>
        <v>421.6</v>
      </c>
      <c r="N402" s="136">
        <f t="shared" si="72"/>
        <v>0.003031298735</v>
      </c>
      <c r="O402" s="178" t="str">
        <f>IFERROR(__xludf.DUMMYFUNCTION("LET(t, A402,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"),"1.36 (3.50%)")</f>
        <v>1.36 (3.50%)</v>
      </c>
      <c r="Q402" s="422"/>
      <c r="S402" s="417"/>
      <c r="AA402" s="186"/>
    </row>
    <row r="403">
      <c r="A403" s="149" t="s">
        <v>477</v>
      </c>
      <c r="B403" s="128" t="str">
        <f>IFERROR(__xludf.DUMMYFUNCTION("IF(ISBLANK(A403),"""", googlefinance(A403, ""name""))"),"Sun Life Financial Inc")</f>
        <v>Sun Life Financial Inc</v>
      </c>
      <c r="C403" s="129" t="str">
        <f t="shared" si="68"/>
        <v>View</v>
      </c>
      <c r="D403" s="176">
        <v>203.0</v>
      </c>
      <c r="E403" s="132">
        <f>IFERROR(__xludf.DUMMYFUNCTION("IF(ISBLANK(A403),"""", googlefinance(A403, ""price""))"),65.51)</f>
        <v>65.51</v>
      </c>
      <c r="F403" s="213" t="s">
        <v>101</v>
      </c>
      <c r="G403" s="213"/>
      <c r="H403" s="213" t="s">
        <v>129</v>
      </c>
      <c r="I403" s="136">
        <f t="shared" si="69"/>
        <v>0.001171350262</v>
      </c>
      <c r="J403" s="140">
        <f>IFERROR(__xludf.DUMMYFUNCTION("IfError(IF(isblank(A403),"""",split(O403, ""()"")))"),2.6)</f>
        <v>2.6</v>
      </c>
      <c r="K403" s="136">
        <f>IFERROR(__xludf.DUMMYFUNCTION("""COMPUTED_VALUE"""),0.0397)</f>
        <v>0.0397</v>
      </c>
      <c r="L403" s="135">
        <f t="shared" si="70"/>
        <v>13298.53</v>
      </c>
      <c r="M403" s="135">
        <f t="shared" si="71"/>
        <v>527.8</v>
      </c>
      <c r="N403" s="136">
        <f t="shared" si="72"/>
        <v>0.003794875408</v>
      </c>
      <c r="O403" s="178" t="str">
        <f>IFERROR(__xludf.DUMMYFUNCTION("LET(t, A403,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"),"2.60 (3.97%)")</f>
        <v>2.60 (3.97%)</v>
      </c>
      <c r="Q403" s="422"/>
      <c r="S403" s="417"/>
      <c r="AA403" s="186"/>
    </row>
    <row r="404">
      <c r="A404" s="149" t="s">
        <v>478</v>
      </c>
      <c r="B404" s="128" t="str">
        <f>IFERROR(__xludf.DUMMYFUNCTION("IF(ISBLANK(A404),"""", googlefinance(A404, ""name""))"),"iShares US Technology ETF")</f>
        <v>iShares US Technology ETF</v>
      </c>
      <c r="C404" s="129" t="str">
        <f t="shared" si="68"/>
        <v>View</v>
      </c>
      <c r="D404" s="176">
        <v>60.0</v>
      </c>
      <c r="E404" s="132">
        <f>IFERROR(__xludf.DUMMYFUNCTION("IF(ISBLANK(A404),"""", googlefinance(A404, ""price""))"),191.71)</f>
        <v>191.71</v>
      </c>
      <c r="F404" s="213" t="s">
        <v>121</v>
      </c>
      <c r="G404" s="213"/>
      <c r="H404" s="213" t="s">
        <v>103</v>
      </c>
      <c r="I404" s="136">
        <f t="shared" si="69"/>
        <v>0.001013162622</v>
      </c>
      <c r="J404" s="140">
        <f>IFERROR(__xludf.DUMMYFUNCTION("IfError(IF(isblank(A404),"""",split(O404, ""()"")))"),0.28)</f>
        <v>0.28</v>
      </c>
      <c r="K404" s="136">
        <f>IFERROR(__xludf.DUMMYFUNCTION("""COMPUTED_VALUE"""),0.0014)</f>
        <v>0.0014</v>
      </c>
      <c r="L404" s="135">
        <f t="shared" si="70"/>
        <v>11502.6</v>
      </c>
      <c r="M404" s="135">
        <f t="shared" si="71"/>
        <v>16.8</v>
      </c>
      <c r="N404" s="136">
        <f t="shared" si="72"/>
        <v>0.0001207917902</v>
      </c>
      <c r="O404" s="178" t="str">
        <f>IFERROR(__xludf.DUMMYFUNCTION("LET(t, A404,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"),"0.28 (0.14%)")</f>
        <v>0.28 (0.14%)</v>
      </c>
      <c r="Q404" s="422"/>
      <c r="S404" s="417"/>
      <c r="AA404" s="186"/>
    </row>
    <row r="405">
      <c r="A405" s="149" t="s">
        <v>479</v>
      </c>
      <c r="B405" s="128" t="str">
        <f>IFERROR(__xludf.DUMMYFUNCTION("IF(ISBLANK(A405),"""", googlefinance(A405, ""name""))"),"Simplify Volatility Premium ETF")</f>
        <v>Simplify Volatility Premium ETF</v>
      </c>
      <c r="C405" s="129" t="str">
        <f t="shared" si="68"/>
        <v>View</v>
      </c>
      <c r="D405" s="176">
        <v>401.0</v>
      </c>
      <c r="E405" s="132">
        <f>IFERROR(__xludf.DUMMYFUNCTION("IF(ISBLANK(A405),"""", googlefinance(A405, ""price""))"),16.21)</f>
        <v>16.21</v>
      </c>
      <c r="F405" s="213" t="s">
        <v>121</v>
      </c>
      <c r="G405" s="213"/>
      <c r="H405" s="213" t="s">
        <v>113</v>
      </c>
      <c r="I405" s="136">
        <f t="shared" si="69"/>
        <v>0.0005725461903</v>
      </c>
      <c r="J405" s="140">
        <f>IFERROR(__xludf.DUMMYFUNCTION("IfError(IF(isblank(A405),"""",split(O405, ""()"")))"),3.54)</f>
        <v>3.54</v>
      </c>
      <c r="K405" s="136">
        <f>IFERROR(__xludf.DUMMYFUNCTION("""COMPUTED_VALUE"""),0.2184)</f>
        <v>0.2184</v>
      </c>
      <c r="L405" s="135">
        <f t="shared" si="70"/>
        <v>6500.21</v>
      </c>
      <c r="M405" s="135">
        <f t="shared" si="71"/>
        <v>1419.54</v>
      </c>
      <c r="N405" s="136">
        <f t="shared" si="72"/>
        <v>0.01020647487</v>
      </c>
      <c r="O405" s="178" t="str">
        <f>IFERROR(__xludf.DUMMYFUNCTION("LET(t, A405,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"),"3.54 (21.84%)")</f>
        <v>3.54 (21.84%)</v>
      </c>
      <c r="Q405" s="422"/>
      <c r="S405" s="417"/>
      <c r="AA405" s="186"/>
    </row>
    <row r="406">
      <c r="A406" s="149" t="s">
        <v>480</v>
      </c>
      <c r="B406" s="128" t="str">
        <f>IFERROR(__xludf.DUMMYFUNCTION("IF(ISBLANK(A406),"""", googlefinance(A406, ""name""))"),"Cardinal Health Inc")</f>
        <v>Cardinal Health Inc</v>
      </c>
      <c r="C406" s="129" t="str">
        <f t="shared" si="68"/>
        <v>View</v>
      </c>
      <c r="D406" s="176">
        <v>101.0</v>
      </c>
      <c r="E406" s="132">
        <f>IFERROR(__xludf.DUMMYFUNCTION("IF(ISBLANK(A406),"""", googlefinance(A406, ""price""))"),216.02)</f>
        <v>216.02</v>
      </c>
      <c r="F406" s="213" t="s">
        <v>101</v>
      </c>
      <c r="G406" s="213"/>
      <c r="H406" s="213" t="s">
        <v>113</v>
      </c>
      <c r="I406" s="136">
        <f t="shared" si="69"/>
        <v>0.001921757025</v>
      </c>
      <c r="J406" s="140">
        <f>IFERROR(__xludf.DUMMYFUNCTION("IfError(IF(isblank(A406),"""",split(O406, ""()"")))"),2.04)</f>
        <v>2.04</v>
      </c>
      <c r="K406" s="136">
        <f>IFERROR(__xludf.DUMMYFUNCTION("""COMPUTED_VALUE"""),0.0094)</f>
        <v>0.0094</v>
      </c>
      <c r="L406" s="135">
        <f t="shared" si="70"/>
        <v>21818.02</v>
      </c>
      <c r="M406" s="135">
        <f t="shared" si="71"/>
        <v>206.04</v>
      </c>
      <c r="N406" s="136">
        <f t="shared" si="72"/>
        <v>0.001481425027</v>
      </c>
      <c r="O406" s="178" t="str">
        <f>IFERROR(__xludf.DUMMYFUNCTION("LET(t, A406,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"),"2.04 (0.94%)")</f>
        <v>2.04 (0.94%)</v>
      </c>
      <c r="Q406" s="422"/>
      <c r="S406" s="417"/>
      <c r="AA406" s="186"/>
    </row>
    <row r="407">
      <c r="A407" s="149" t="s">
        <v>481</v>
      </c>
      <c r="B407" s="128" t="str">
        <f>IFERROR(__xludf.DUMMYFUNCTION("IF(ISBLANK(A407),"""", googlefinance(A407, ""name""))"),"iShares Semiconductor ETF")</f>
        <v>iShares Semiconductor ETF</v>
      </c>
      <c r="C407" s="129" t="str">
        <f t="shared" si="68"/>
        <v>View</v>
      </c>
      <c r="D407" s="176">
        <v>35.0</v>
      </c>
      <c r="E407" s="132">
        <f>IFERROR(__xludf.DUMMYFUNCTION("IF(ISBLANK(A407),"""", googlefinance(A407, ""price""))"),337.76)</f>
        <v>337.76</v>
      </c>
      <c r="F407" s="213" t="s">
        <v>121</v>
      </c>
      <c r="G407" s="213"/>
      <c r="H407" s="213" t="s">
        <v>103</v>
      </c>
      <c r="I407" s="136">
        <f t="shared" si="69"/>
        <v>0.00104126052</v>
      </c>
      <c r="J407" s="140">
        <f>IFERROR(__xludf.DUMMYFUNCTION("IfError(IF(isblank(A407),"""",split(O407, ""()"")))"),1.72)</f>
        <v>1.72</v>
      </c>
      <c r="K407" s="136">
        <f>IFERROR(__xludf.DUMMYFUNCTION("""COMPUTED_VALUE"""),0.0051)</f>
        <v>0.0051</v>
      </c>
      <c r="L407" s="135">
        <f t="shared" si="70"/>
        <v>11821.6</v>
      </c>
      <c r="M407" s="135">
        <f t="shared" si="71"/>
        <v>60.2</v>
      </c>
      <c r="N407" s="136">
        <f t="shared" si="72"/>
        <v>0.0004328372482</v>
      </c>
      <c r="O407" s="178" t="str">
        <f>IFERROR(__xludf.DUMMYFUNCTION("LET(t, A407,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"),"1.72 (0.51%)")</f>
        <v>1.72 (0.51%)</v>
      </c>
      <c r="Q407" s="422"/>
      <c r="S407" s="417"/>
      <c r="AA407" s="186"/>
    </row>
    <row r="408">
      <c r="A408" s="149" t="s">
        <v>482</v>
      </c>
      <c r="B408" s="128" t="str">
        <f>IFERROR(__xludf.DUMMYFUNCTION("IF(ISBLANK(A408),"""", googlefinance(A408, ""name""))"),"Vanguard Growth Index Fund ETF")</f>
        <v>Vanguard Growth Index Fund ETF</v>
      </c>
      <c r="C408" s="129" t="str">
        <f t="shared" si="68"/>
        <v>View</v>
      </c>
      <c r="D408" s="176">
        <v>23.0</v>
      </c>
      <c r="E408" s="132">
        <f>IFERROR(__xludf.DUMMYFUNCTION("IF(ISBLANK(A408),"""", googlefinance(A408, ""price""))"),464.31)</f>
        <v>464.31</v>
      </c>
      <c r="F408" s="213" t="s">
        <v>121</v>
      </c>
      <c r="G408" s="213"/>
      <c r="H408" s="213" t="s">
        <v>103</v>
      </c>
      <c r="I408" s="136">
        <f t="shared" si="69"/>
        <v>0.0009406304099</v>
      </c>
      <c r="J408" s="140">
        <f>IFERROR(__xludf.DUMMYFUNCTION("IfError(IF(isblank(A408),"""",split(O408, ""()"")))"),2.01)</f>
        <v>2.01</v>
      </c>
      <c r="K408" s="136">
        <f>IFERROR(__xludf.DUMMYFUNCTION("""COMPUTED_VALUE"""),0.0043)</f>
        <v>0.0043</v>
      </c>
      <c r="L408" s="135">
        <f t="shared" si="70"/>
        <v>10679.13</v>
      </c>
      <c r="M408" s="135">
        <f t="shared" si="71"/>
        <v>46.23</v>
      </c>
      <c r="N408" s="136">
        <f t="shared" si="72"/>
        <v>0.0003323931226</v>
      </c>
      <c r="O408" s="178" t="str">
        <f>IFERROR(__xludf.DUMMYFUNCTION("LET(t, A408,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"),"2.01 (0.43%)")</f>
        <v>2.01 (0.43%)</v>
      </c>
      <c r="Q408" s="422"/>
      <c r="S408" s="417"/>
      <c r="AA408" s="186"/>
    </row>
    <row r="409">
      <c r="A409" s="149" t="s">
        <v>483</v>
      </c>
      <c r="B409" s="128" t="str">
        <f>IFERROR(__xludf.DUMMYFUNCTION("IF(ISBLANK(A409),"""", googlefinance(A409, ""name""))"),"Canadian Imperial Bank of Commerce")</f>
        <v>Canadian Imperial Bank of Commerce</v>
      </c>
      <c r="C409" s="129" t="str">
        <f t="shared" si="68"/>
        <v>View</v>
      </c>
      <c r="D409" s="176">
        <v>74.0</v>
      </c>
      <c r="E409" s="132">
        <f>IFERROR(__xludf.DUMMYFUNCTION("IF(ISBLANK(A409),"""", googlefinance(A409, ""price""))"),100.31)</f>
        <v>100.31</v>
      </c>
      <c r="F409" s="213" t="s">
        <v>101</v>
      </c>
      <c r="G409" s="213"/>
      <c r="H409" s="213" t="s">
        <v>129</v>
      </c>
      <c r="I409" s="136">
        <f t="shared" si="69"/>
        <v>0.0006538213408</v>
      </c>
      <c r="J409" s="140">
        <f>IFERROR(__xludf.DUMMYFUNCTION("IfError(IF(isblank(A409),"""",split(O409, ""()"")))"),2.87)</f>
        <v>2.87</v>
      </c>
      <c r="K409" s="136">
        <f>IFERROR(__xludf.DUMMYFUNCTION("""COMPUTED_VALUE"""),0.0286)</f>
        <v>0.0286</v>
      </c>
      <c r="L409" s="135">
        <f t="shared" si="70"/>
        <v>7422.94</v>
      </c>
      <c r="M409" s="135">
        <f t="shared" si="71"/>
        <v>212.38</v>
      </c>
      <c r="N409" s="136">
        <f t="shared" si="72"/>
        <v>0.001527009548</v>
      </c>
      <c r="O409" s="178" t="str">
        <f>IFERROR(__xludf.DUMMYFUNCTION("LET(t, A409,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"),"2.87 (2.86%)")</f>
        <v>2.87 (2.86%)</v>
      </c>
      <c r="Q409" s="417"/>
      <c r="S409" s="417"/>
      <c r="AA409" s="186"/>
    </row>
    <row r="410">
      <c r="A410" s="149" t="s">
        <v>484</v>
      </c>
      <c r="B410" s="128" t="str">
        <f>IFERROR(__xludf.DUMMYFUNCTION("IF(ISBLANK(A410),"""", googlefinance(A410, ""name""))"),"Ennis Inc")</f>
        <v>Ennis Inc</v>
      </c>
      <c r="C410" s="129" t="str">
        <f t="shared" si="68"/>
        <v>View</v>
      </c>
      <c r="D410" s="176">
        <v>304.0</v>
      </c>
      <c r="E410" s="132">
        <f>IFERROR(__xludf.DUMMYFUNCTION("IF(ISBLANK(A410),"""", googlefinance(A410, ""price""))"),21.21)</f>
        <v>21.21</v>
      </c>
      <c r="F410" s="213" t="s">
        <v>101</v>
      </c>
      <c r="G410" s="213"/>
      <c r="H410" s="213" t="s">
        <v>113</v>
      </c>
      <c r="I410" s="136">
        <f t="shared" si="69"/>
        <v>0.0005679333787</v>
      </c>
      <c r="J410" s="140">
        <f>IFERROR(__xludf.DUMMYFUNCTION("IfError(IF(isblank(A410),"""",split(O410, ""()"")))"),1.0)</f>
        <v>1</v>
      </c>
      <c r="K410" s="136">
        <f>IFERROR(__xludf.DUMMYFUNCTION("""COMPUTED_VALUE"""),0.0471)</f>
        <v>0.0471</v>
      </c>
      <c r="L410" s="135">
        <f t="shared" si="70"/>
        <v>6447.84</v>
      </c>
      <c r="M410" s="135">
        <f t="shared" si="71"/>
        <v>304</v>
      </c>
      <c r="N410" s="136">
        <f t="shared" si="72"/>
        <v>0.002185756203</v>
      </c>
      <c r="O410" s="178" t="str">
        <f>IFERROR(__xludf.DUMMYFUNCTION("LET(t, A410,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"),"1.00 (4.71%)")</f>
        <v>1.00 (4.71%)</v>
      </c>
      <c r="Q410" s="417"/>
      <c r="S410" s="417"/>
      <c r="AA410" s="186"/>
    </row>
    <row r="411">
      <c r="A411" s="149" t="s">
        <v>372</v>
      </c>
      <c r="B411" s="128" t="str">
        <f>IFERROR(__xludf.DUMMYFUNCTION("IF(ISBLANK(A411),"""", googlefinance(A411, ""name""))"),"W.p. Carey Inc")</f>
        <v>W.p. Carey Inc</v>
      </c>
      <c r="C411" s="129" t="str">
        <f t="shared" si="68"/>
        <v>View</v>
      </c>
      <c r="D411" s="176">
        <v>106.0</v>
      </c>
      <c r="E411" s="132">
        <f>IFERROR(__xludf.DUMMYFUNCTION("IF(ISBLANK(A411),"""", googlefinance(A411, ""price""))"),72.58)</f>
        <v>72.58</v>
      </c>
      <c r="F411" s="213" t="s">
        <v>101</v>
      </c>
      <c r="G411" s="213"/>
      <c r="H411" s="213" t="s">
        <v>113</v>
      </c>
      <c r="I411" s="136">
        <f t="shared" si="69"/>
        <v>0.0006776508242</v>
      </c>
      <c r="J411" s="140">
        <f>IFERROR(__xludf.DUMMYFUNCTION("IfError(IF(isblank(A411),"""",split(O411, ""()"")))"),3.62)</f>
        <v>3.62</v>
      </c>
      <c r="K411" s="136">
        <f>IFERROR(__xludf.DUMMYFUNCTION("""COMPUTED_VALUE"""),0.0499)</f>
        <v>0.0499</v>
      </c>
      <c r="L411" s="135">
        <f t="shared" si="70"/>
        <v>7693.48</v>
      </c>
      <c r="M411" s="135">
        <f t="shared" si="71"/>
        <v>383.72</v>
      </c>
      <c r="N411" s="136">
        <f t="shared" si="72"/>
        <v>0.002758942008</v>
      </c>
      <c r="O411" s="178" t="str">
        <f>IFERROR(__xludf.DUMMYFUNCTION("LET(t, A411,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"),"3.62 (4.99%)")</f>
        <v>3.62 (4.99%)</v>
      </c>
      <c r="Q411" s="417"/>
      <c r="S411" s="417"/>
      <c r="AA411" s="186"/>
    </row>
    <row r="412">
      <c r="A412" s="149" t="s">
        <v>118</v>
      </c>
      <c r="B412" s="128" t="str">
        <f>IFERROR(__xludf.DUMMYFUNCTION("IF(ISBLANK(A412),"""", googlefinance(A412, ""name""))"),"UnitedHealth Group Inc")</f>
        <v>UnitedHealth Group Inc</v>
      </c>
      <c r="C412" s="129" t="str">
        <f t="shared" si="68"/>
        <v>View</v>
      </c>
      <c r="D412" s="176">
        <v>11.0</v>
      </c>
      <c r="E412" s="132">
        <f>IFERROR(__xludf.DUMMYFUNCTION("IF(ISBLANK(A412),"""", googlefinance(A412, ""price""))"),288.77)</f>
        <v>288.77</v>
      </c>
      <c r="F412" s="213" t="s">
        <v>101</v>
      </c>
      <c r="G412" s="213"/>
      <c r="H412" s="213" t="s">
        <v>103</v>
      </c>
      <c r="I412" s="136">
        <f t="shared" si="69"/>
        <v>0.0002797872372</v>
      </c>
      <c r="J412" s="140">
        <f>IFERROR(__xludf.DUMMYFUNCTION("IfError(IF(isblank(A412),"""",split(O412, ""()"")))"),8.73)</f>
        <v>8.73</v>
      </c>
      <c r="K412" s="136">
        <f>IFERROR(__xludf.DUMMYFUNCTION("""COMPUTED_VALUE"""),0.0302)</f>
        <v>0.0302</v>
      </c>
      <c r="L412" s="135">
        <f t="shared" si="70"/>
        <v>3176.47</v>
      </c>
      <c r="M412" s="135">
        <f t="shared" si="71"/>
        <v>96.03</v>
      </c>
      <c r="N412" s="136">
        <f t="shared" si="72"/>
        <v>0.0006904545007</v>
      </c>
      <c r="O412" s="178" t="str">
        <f>IFERROR(__xludf.DUMMYFUNCTION("LET(t, A412,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"),"8.73 (3.02%)")</f>
        <v>8.73 (3.02%)</v>
      </c>
      <c r="Q412" s="417"/>
      <c r="S412" s="417"/>
      <c r="AA412" s="186"/>
    </row>
    <row r="413">
      <c r="A413" s="149" t="s">
        <v>485</v>
      </c>
      <c r="B413" s="128" t="str">
        <f>IFERROR(__xludf.DUMMYFUNCTION("IF(ISBLANK(A413),"""", googlefinance(A413, ""name""))"),"Eli Lilly And Co")</f>
        <v>Eli Lilly And Co</v>
      </c>
      <c r="C413" s="129" t="str">
        <f t="shared" si="68"/>
        <v>View</v>
      </c>
      <c r="D413" s="176">
        <v>6.0</v>
      </c>
      <c r="E413" s="132">
        <f>IFERROR(__xludf.DUMMYFUNCTION("IF(ISBLANK(A413),"""", googlefinance(A413, ""price""))"),983.26)</f>
        <v>983.26</v>
      </c>
      <c r="F413" s="213" t="s">
        <v>101</v>
      </c>
      <c r="G413" s="213"/>
      <c r="H413" s="213" t="s">
        <v>103</v>
      </c>
      <c r="I413" s="136">
        <f t="shared" si="69"/>
        <v>0.0005196402274</v>
      </c>
      <c r="J413" s="140">
        <f>IFERROR(__xludf.DUMMYFUNCTION("IfError(IF(isblank(A413),"""",split(O413, ""()"")))"),6.23)</f>
        <v>6.23</v>
      </c>
      <c r="K413" s="136">
        <f>IFERROR(__xludf.DUMMYFUNCTION("""COMPUTED_VALUE"""),0.0063)</f>
        <v>0.0063</v>
      </c>
      <c r="L413" s="135">
        <f t="shared" si="70"/>
        <v>5899.56</v>
      </c>
      <c r="M413" s="135">
        <f t="shared" si="71"/>
        <v>37.38</v>
      </c>
      <c r="N413" s="136">
        <f t="shared" si="72"/>
        <v>0.0002687617332</v>
      </c>
      <c r="O413" s="178" t="str">
        <f>IFERROR(__xludf.DUMMYFUNCTION("LET(t, A413,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"),"6.23 (0.63%)")</f>
        <v>6.23 (0.63%)</v>
      </c>
      <c r="Q413" s="417"/>
      <c r="S413" s="417"/>
      <c r="AA413" s="186"/>
    </row>
    <row r="414">
      <c r="A414" s="149" t="s">
        <v>486</v>
      </c>
      <c r="B414" s="128" t="str">
        <f>IFERROR(__xludf.DUMMYFUNCTION("IF(ISBLANK(A414),"""", googlefinance(A414, ""name""))"),"Getty Realty Corp")</f>
        <v>Getty Realty Corp</v>
      </c>
      <c r="C414" s="129" t="str">
        <f t="shared" si="68"/>
        <v>View</v>
      </c>
      <c r="D414" s="176">
        <v>106.0</v>
      </c>
      <c r="E414" s="132">
        <f>IFERROR(__xludf.DUMMYFUNCTION("IF(ISBLANK(A414),"""", googlefinance(A414, ""price""))"),33.1)</f>
        <v>33.1</v>
      </c>
      <c r="F414" s="213" t="s">
        <v>101</v>
      </c>
      <c r="G414" s="213"/>
      <c r="H414" s="213" t="s">
        <v>113</v>
      </c>
      <c r="I414" s="136">
        <f t="shared" si="69"/>
        <v>0.0003090416407</v>
      </c>
      <c r="J414" s="140">
        <f>IFERROR(__xludf.DUMMYFUNCTION("IfError(IF(isblank(A414),"""",split(O414, ""()"")))"),1.89)</f>
        <v>1.89</v>
      </c>
      <c r="K414" s="136">
        <f>IFERROR(__xludf.DUMMYFUNCTION("""COMPUTED_VALUE"""),0.0573)</f>
        <v>0.0573</v>
      </c>
      <c r="L414" s="135">
        <f t="shared" si="70"/>
        <v>3508.6</v>
      </c>
      <c r="M414" s="135">
        <f t="shared" si="71"/>
        <v>200.34</v>
      </c>
      <c r="N414" s="136">
        <f t="shared" si="72"/>
        <v>0.001440442098</v>
      </c>
      <c r="O414" s="178" t="str">
        <f>IFERROR(__xludf.DUMMYFUNCTION("LET(t, A414,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"),"1.89 (5.73%)")</f>
        <v>1.89 (5.73%)</v>
      </c>
      <c r="Q414" s="417"/>
      <c r="S414" s="417"/>
      <c r="AA414" s="186"/>
    </row>
    <row r="415">
      <c r="A415" s="149" t="s">
        <v>487</v>
      </c>
      <c r="B415" s="128" t="str">
        <f>IFERROR(__xludf.DUMMYFUNCTION("IF(ISBLANK(A415),"""", googlefinance(A415, ""name""))"),"Vanguard Small-Cap Value Index Fund ETF")</f>
        <v>Vanguard Small-Cap Value Index Fund ETF</v>
      </c>
      <c r="C415" s="129" t="str">
        <f t="shared" si="68"/>
        <v>View</v>
      </c>
      <c r="D415" s="176">
        <v>25.0</v>
      </c>
      <c r="E415" s="132">
        <f>IFERROR(__xludf.DUMMYFUNCTION("IF(ISBLANK(A415),"""", googlefinance(A415, ""price""))"),224.8)</f>
        <v>224.8</v>
      </c>
      <c r="F415" s="213" t="s">
        <v>121</v>
      </c>
      <c r="G415" s="213"/>
      <c r="H415" s="213" t="s">
        <v>113</v>
      </c>
      <c r="I415" s="136">
        <f t="shared" si="69"/>
        <v>0.0004950162517</v>
      </c>
      <c r="J415" s="140">
        <f>IFERROR(__xludf.DUMMYFUNCTION("IfError(IF(isblank(A415),"""",split(O415, ""()"")))"),4.14)</f>
        <v>4.14</v>
      </c>
      <c r="K415" s="136">
        <f>IFERROR(__xludf.DUMMYFUNCTION("""COMPUTED_VALUE"""),0.0184)</f>
        <v>0.0184</v>
      </c>
      <c r="L415" s="135">
        <f t="shared" si="70"/>
        <v>5620</v>
      </c>
      <c r="M415" s="135">
        <f t="shared" si="71"/>
        <v>103.5</v>
      </c>
      <c r="N415" s="136">
        <f t="shared" si="72"/>
        <v>0.0007441637074</v>
      </c>
      <c r="O415" s="178" t="str">
        <f>IFERROR(__xludf.DUMMYFUNCTION("LET(t, A415,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"),"4.14 (1.84%)")</f>
        <v>4.14 (1.84%)</v>
      </c>
      <c r="Q415" s="417"/>
      <c r="S415" s="417"/>
      <c r="AA415" s="186"/>
    </row>
    <row r="416">
      <c r="A416" s="149" t="s">
        <v>488</v>
      </c>
      <c r="B416" s="128" t="str">
        <f>IFERROR(__xludf.DUMMYFUNCTION("IF(ISBLANK(A416),"""", googlefinance(A416, ""name""))"),"Goldman Sachs Nasdaq-100 Premium Income ETF")</f>
        <v>Goldman Sachs Nasdaq-100 Premium Income ETF</v>
      </c>
      <c r="C416" s="129" t="str">
        <f t="shared" si="68"/>
        <v>View</v>
      </c>
      <c r="D416" s="176">
        <v>461.0</v>
      </c>
      <c r="E416" s="132">
        <f>IFERROR(__xludf.DUMMYFUNCTION("IF(ISBLANK(A416),"""", googlefinance(A416, ""price""))"),51.65)</f>
        <v>51.65</v>
      </c>
      <c r="F416" s="213" t="s">
        <v>121</v>
      </c>
      <c r="G416" s="213"/>
      <c r="H416" s="213" t="s">
        <v>113</v>
      </c>
      <c r="I416" s="136">
        <f t="shared" si="69"/>
        <v>0.002097270234</v>
      </c>
      <c r="J416" s="140">
        <f>IFERROR(__xludf.DUMMYFUNCTION("IfError(IF(isblank(A416),"""",split(O416, ""()"")))"),5.29)</f>
        <v>5.29</v>
      </c>
      <c r="K416" s="136">
        <f>IFERROR(__xludf.DUMMYFUNCTION("""COMPUTED_VALUE"""),0.1024)</f>
        <v>0.1024</v>
      </c>
      <c r="L416" s="135">
        <f t="shared" si="70"/>
        <v>23810.65</v>
      </c>
      <c r="M416" s="135">
        <f t="shared" si="71"/>
        <v>2438.69</v>
      </c>
      <c r="N416" s="136">
        <f t="shared" si="72"/>
        <v>0.01753415064</v>
      </c>
      <c r="O416" s="178" t="str">
        <f>IFERROR(__xludf.DUMMYFUNCTION("LET(t, A416,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"),"5.29 (10.24%)")</f>
        <v>5.29 (10.24%)</v>
      </c>
      <c r="Q416" s="417"/>
      <c r="S416" s="417"/>
      <c r="AA416" s="186"/>
    </row>
    <row r="417">
      <c r="A417" s="149" t="s">
        <v>389</v>
      </c>
      <c r="B417" s="128" t="str">
        <f>IFERROR(__xludf.DUMMYFUNCTION("IF(ISBLANK(A417),"""", googlefinance(A417, ""name""))"),"ASML Holding NV")</f>
        <v>ASML Holding NV</v>
      </c>
      <c r="C417" s="129" t="str">
        <f t="shared" si="68"/>
        <v>View</v>
      </c>
      <c r="D417" s="176">
        <v>3.0</v>
      </c>
      <c r="E417" s="132">
        <f>IFERROR(__xludf.DUMMYFUNCTION("IF(ISBLANK(A417),"""", googlefinance(A417, ""price""))"),1368.36)</f>
        <v>1368.36</v>
      </c>
      <c r="F417" s="213" t="s">
        <v>101</v>
      </c>
      <c r="G417" s="213"/>
      <c r="H417" s="213" t="s">
        <v>103</v>
      </c>
      <c r="I417" s="136">
        <f t="shared" si="69"/>
        <v>0.0003615803051</v>
      </c>
      <c r="J417" s="140">
        <f>IFERROR(__xludf.DUMMYFUNCTION("IfError(IF(isblank(A417),"""",split(O417, ""()"")))"),7.71)</f>
        <v>7.71</v>
      </c>
      <c r="K417" s="136">
        <f>IFERROR(__xludf.DUMMYFUNCTION("""COMPUTED_VALUE"""),0.0056)</f>
        <v>0.0056</v>
      </c>
      <c r="L417" s="135">
        <f t="shared" si="70"/>
        <v>4105.08</v>
      </c>
      <c r="M417" s="135">
        <f t="shared" si="71"/>
        <v>23.13</v>
      </c>
      <c r="N417" s="136">
        <f t="shared" si="72"/>
        <v>0.0001663044111</v>
      </c>
      <c r="O417" s="178" t="str">
        <f>IFERROR(__xludf.DUMMYFUNCTION("LET(t, A417,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"),"7.71 (0.56%)")</f>
        <v>7.71 (0.56%)</v>
      </c>
      <c r="Q417" s="417"/>
      <c r="S417" s="417"/>
      <c r="AA417" s="186"/>
    </row>
    <row r="418">
      <c r="A418" s="149" t="s">
        <v>314</v>
      </c>
      <c r="B418" s="128" t="str">
        <f>IFERROR(__xludf.DUMMYFUNCTION("IF(ISBLANK(A418),"""", googlefinance(A418, ""name""))"),"Costco Wholesale Corp")</f>
        <v>Costco Wholesale Corp</v>
      </c>
      <c r="C418" s="129" t="str">
        <f t="shared" si="68"/>
        <v>View</v>
      </c>
      <c r="D418" s="176">
        <v>2.0</v>
      </c>
      <c r="E418" s="132">
        <f>IFERROR(__xludf.DUMMYFUNCTION("IF(ISBLANK(A418),"""", googlefinance(A418, ""price""))"),982.57)</f>
        <v>982.57</v>
      </c>
      <c r="F418" s="213" t="s">
        <v>101</v>
      </c>
      <c r="G418" s="213"/>
      <c r="H418" s="213" t="s">
        <v>103</v>
      </c>
      <c r="I418" s="136">
        <f t="shared" si="69"/>
        <v>0.0001730918571</v>
      </c>
      <c r="J418" s="140">
        <f>IFERROR(__xludf.DUMMYFUNCTION("IfError(IF(isblank(A418),"""",split(O418, ""()"")))"),5.2)</f>
        <v>5.2</v>
      </c>
      <c r="K418" s="136">
        <f>IFERROR(__xludf.DUMMYFUNCTION("""COMPUTED_VALUE"""),0.0053)</f>
        <v>0.0053</v>
      </c>
      <c r="L418" s="135">
        <f t="shared" si="70"/>
        <v>1965.14</v>
      </c>
      <c r="M418" s="135">
        <f t="shared" si="71"/>
        <v>10.4</v>
      </c>
      <c r="N418" s="136">
        <f t="shared" si="72"/>
        <v>0.00007477587011</v>
      </c>
      <c r="O418" s="178" t="str">
        <f>IFERROR(__xludf.DUMMYFUNCTION("LET(t, A418,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"),"5.20 (0.53%)")</f>
        <v>5.20 (0.53%)</v>
      </c>
      <c r="Q418" s="417"/>
      <c r="S418" s="417"/>
      <c r="AA418" s="186"/>
    </row>
    <row r="419">
      <c r="A419" s="149" t="s">
        <v>120</v>
      </c>
      <c r="B419" s="128" t="str">
        <f>IFERROR(__xludf.DUMMYFUNCTION("IF(ISBLANK(A419),"""", googlefinance(A419, ""name""))"),"Vanguard Information Technology Index Fund ETF")</f>
        <v>Vanguard Information Technology Index Fund ETF</v>
      </c>
      <c r="C419" s="129" t="str">
        <f t="shared" si="68"/>
        <v>View</v>
      </c>
      <c r="D419" s="176">
        <v>6.0</v>
      </c>
      <c r="E419" s="132">
        <f>IFERROR(__xludf.DUMMYFUNCTION("IF(ISBLANK(A419),"""", googlefinance(A419, ""price""))"),733.27)</f>
        <v>733.27</v>
      </c>
      <c r="F419" s="213" t="s">
        <v>121</v>
      </c>
      <c r="G419" s="213"/>
      <c r="H419" s="213" t="s">
        <v>103</v>
      </c>
      <c r="I419" s="136">
        <f t="shared" si="69"/>
        <v>0.0003875237369</v>
      </c>
      <c r="J419" s="140">
        <f>IFERROR(__xludf.DUMMYFUNCTION("IfError(IF(isblank(A419),"""",split(O419, ""()"")))"),3.05)</f>
        <v>3.05</v>
      </c>
      <c r="K419" s="136">
        <f>IFERROR(__xludf.DUMMYFUNCTION("""COMPUTED_VALUE"""),0.0042)</f>
        <v>0.0042</v>
      </c>
      <c r="L419" s="135">
        <f t="shared" si="70"/>
        <v>4399.62</v>
      </c>
      <c r="M419" s="135">
        <f t="shared" si="71"/>
        <v>18.3</v>
      </c>
      <c r="N419" s="136">
        <f t="shared" si="72"/>
        <v>0.0001315767715</v>
      </c>
      <c r="O419" s="178" t="str">
        <f>IFERROR(__xludf.DUMMYFUNCTION("LET(t, A419,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"),"3.05 (0.42%)")</f>
        <v>3.05 (0.42%)</v>
      </c>
      <c r="Q419" s="417"/>
      <c r="S419" s="417"/>
      <c r="AA419" s="186"/>
    </row>
    <row r="420">
      <c r="A420" s="149" t="s">
        <v>306</v>
      </c>
      <c r="B420" s="128" t="str">
        <f>IFERROR(__xludf.DUMMYFUNCTION("IF(ISBLANK(A420),"""", googlefinance(A420, ""name""))"),"Apple Inc")</f>
        <v>Apple Inc</v>
      </c>
      <c r="C420" s="129" t="str">
        <f t="shared" si="68"/>
        <v>View</v>
      </c>
      <c r="D420" s="176">
        <v>10.0</v>
      </c>
      <c r="E420" s="132">
        <f>IFERROR(__xludf.DUMMYFUNCTION("IF(ISBLANK(A420),"""", googlefinance(A420, ""price""))"),260.29)</f>
        <v>260.29</v>
      </c>
      <c r="F420" s="213" t="s">
        <v>121</v>
      </c>
      <c r="G420" s="213"/>
      <c r="H420" s="213" t="s">
        <v>113</v>
      </c>
      <c r="I420" s="136">
        <f t="shared" si="69"/>
        <v>0.0002292665127</v>
      </c>
      <c r="J420" s="140">
        <f>IFERROR(__xludf.DUMMYFUNCTION("IfError(IF(isblank(A420),"""",split(O420, ""()"")))"),1.04)</f>
        <v>1.04</v>
      </c>
      <c r="K420" s="136">
        <f>IFERROR(__xludf.DUMMYFUNCTION("""COMPUTED_VALUE"""),0.004)</f>
        <v>0.004</v>
      </c>
      <c r="L420" s="135">
        <f t="shared" si="70"/>
        <v>2602.9</v>
      </c>
      <c r="M420" s="135">
        <f t="shared" si="71"/>
        <v>10.4</v>
      </c>
      <c r="N420" s="136">
        <f t="shared" si="72"/>
        <v>0.00007477587011</v>
      </c>
      <c r="O420" s="178" t="str">
        <f>IFERROR(__xludf.DUMMYFUNCTION("LET(t, A420,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"),"1.04 (0.40%)")</f>
        <v>1.04 (0.40%)</v>
      </c>
      <c r="Q420" s="417"/>
      <c r="S420" s="417"/>
      <c r="AA420" s="186"/>
    </row>
    <row r="421">
      <c r="A421" s="149" t="s">
        <v>345</v>
      </c>
      <c r="B421" s="128" t="str">
        <f>IFERROR(__xludf.DUMMYFUNCTION("IF(ISBLANK(A421),"""", googlefinance(A421, ""name""))"),"Amazon.com Inc")</f>
        <v>Amazon.com Inc</v>
      </c>
      <c r="C421" s="129" t="str">
        <f t="shared" si="68"/>
        <v>View</v>
      </c>
      <c r="D421" s="176">
        <v>5.0</v>
      </c>
      <c r="E421" s="132">
        <f>IFERROR(__xludf.DUMMYFUNCTION("IF(ISBLANK(A421),"""", googlefinance(A421, ""price""))"),218.94)</f>
        <v>218.94</v>
      </c>
      <c r="F421" s="213" t="s">
        <v>101</v>
      </c>
      <c r="G421" s="213"/>
      <c r="H421" s="213" t="s">
        <v>103</v>
      </c>
      <c r="I421" s="136">
        <f t="shared" si="69"/>
        <v>0.00009642247166</v>
      </c>
      <c r="J421" s="140" t="str">
        <f>IFERROR(__xludf.DUMMYFUNCTION("IfError(IF(isblank(A421),"""",split(O421, ""()"")))"),"-")</f>
        <v>-</v>
      </c>
      <c r="K421" s="136"/>
      <c r="L421" s="135">
        <f t="shared" si="70"/>
        <v>1094.7</v>
      </c>
      <c r="M421" s="135" t="str">
        <f t="shared" si="71"/>
        <v/>
      </c>
      <c r="N421" s="136">
        <f t="shared" si="72"/>
        <v>0</v>
      </c>
      <c r="O421" s="178" t="str">
        <f>IFERROR(__xludf.DUMMYFUNCTION("LET(t, A421,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v>
      </c>
      <c r="Q421" s="417"/>
      <c r="S421" s="417"/>
      <c r="AA421" s="186"/>
    </row>
    <row r="422">
      <c r="A422" s="149" t="s">
        <v>381</v>
      </c>
      <c r="B422" s="128" t="str">
        <f>IFERROR(__xludf.DUMMYFUNCTION("IF(ISBLANK(A422),"""", googlefinance(A422, ""name""))"),"Texas Instruments Inc")</f>
        <v>Texas Instruments Inc</v>
      </c>
      <c r="C422" s="129" t="str">
        <f t="shared" si="68"/>
        <v>View</v>
      </c>
      <c r="D422" s="176">
        <v>22.0</v>
      </c>
      <c r="E422" s="132">
        <f>IFERROR(__xludf.DUMMYFUNCTION("IF(ISBLANK(A422),"""", googlefinance(A422, ""price""))"),197.98)</f>
        <v>197.98</v>
      </c>
      <c r="F422" s="213" t="s">
        <v>101</v>
      </c>
      <c r="G422" s="213"/>
      <c r="H422" s="213" t="s">
        <v>103</v>
      </c>
      <c r="I422" s="136">
        <f t="shared" si="69"/>
        <v>0.0003836428799</v>
      </c>
      <c r="J422" s="140">
        <f>IFERROR(__xludf.DUMMYFUNCTION("IfError(IF(isblank(A422),"""",split(O422, ""()"")))"),5.56)</f>
        <v>5.56</v>
      </c>
      <c r="K422" s="136">
        <f>IFERROR(__xludf.DUMMYFUNCTION("""COMPUTED_VALUE"""),0.0281)</f>
        <v>0.0281</v>
      </c>
      <c r="L422" s="135">
        <f t="shared" si="70"/>
        <v>4355.56</v>
      </c>
      <c r="M422" s="135">
        <f t="shared" si="71"/>
        <v>122.32</v>
      </c>
      <c r="N422" s="136">
        <f t="shared" si="72"/>
        <v>0.0008794792723</v>
      </c>
      <c r="O422" s="178" t="str">
        <f>IFERROR(__xludf.DUMMYFUNCTION("LET(t, A422,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"),"5.56 (2.81%)")</f>
        <v>5.56 (2.81%)</v>
      </c>
      <c r="Q422" s="417"/>
      <c r="S422" s="417"/>
      <c r="AA422" s="186"/>
    </row>
    <row r="423">
      <c r="A423" s="149" t="s">
        <v>104</v>
      </c>
      <c r="B423" s="128" t="str">
        <f>IFERROR(__xludf.DUMMYFUNCTION("IF(ISBLANK(A423),"""", googlefinance(A423, ""name""))"),"Microsoft Corp")</f>
        <v>Microsoft Corp</v>
      </c>
      <c r="C423" s="129" t="str">
        <f t="shared" si="68"/>
        <v>View</v>
      </c>
      <c r="D423" s="176">
        <v>8.0</v>
      </c>
      <c r="E423" s="132">
        <f>IFERROR(__xludf.DUMMYFUNCTION("IF(ISBLANK(A423),"""", googlefinance(A423, ""price""))"),410.68)</f>
        <v>410.68</v>
      </c>
      <c r="F423" s="213" t="s">
        <v>101</v>
      </c>
      <c r="G423" s="213"/>
      <c r="H423" s="213" t="s">
        <v>113</v>
      </c>
      <c r="I423" s="136">
        <f t="shared" si="69"/>
        <v>0.0002893854438</v>
      </c>
      <c r="J423" s="140" t="str">
        <f>IFERROR(__xludf.DUMMYFUNCTION("IfError(IF(isblank(A423),"""",split(O423, ""()"")))"),"")</f>
        <v/>
      </c>
      <c r="K423" s="136"/>
      <c r="L423" s="135">
        <f t="shared" si="70"/>
        <v>3285.44</v>
      </c>
      <c r="M423" s="135">
        <f t="shared" si="71"/>
        <v>0</v>
      </c>
      <c r="N423" s="136">
        <f t="shared" si="72"/>
        <v>0</v>
      </c>
      <c r="O423" s="178" t="str">
        <f>IFERROR(__xludf.DUMMYFUNCTION("LET(t, A423,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423" s="417"/>
      <c r="S423" s="417"/>
      <c r="AA423" s="186"/>
    </row>
    <row r="424">
      <c r="A424" s="149" t="s">
        <v>489</v>
      </c>
      <c r="B424" s="128" t="str">
        <f>IFERROR(__xludf.DUMMYFUNCTION("IF(ISBLANK(A424),"""", googlefinance(A424, ""name""))"),"Novo Nordisk A/S")</f>
        <v>Novo Nordisk A/S</v>
      </c>
      <c r="C424" s="129" t="str">
        <f t="shared" si="68"/>
        <v>View</v>
      </c>
      <c r="D424" s="176">
        <v>10.0</v>
      </c>
      <c r="E424" s="132">
        <f>IFERROR(__xludf.DUMMYFUNCTION("IF(ISBLANK(A424),"""", googlefinance(A424, ""price""))"),39.07)</f>
        <v>39.07</v>
      </c>
      <c r="F424" s="213" t="s">
        <v>101</v>
      </c>
      <c r="G424" s="213"/>
      <c r="H424" s="213" t="s">
        <v>113</v>
      </c>
      <c r="I424" s="136">
        <f t="shared" si="69"/>
        <v>0.00003441331842</v>
      </c>
      <c r="J424" s="140">
        <f>IFERROR(__xludf.DUMMYFUNCTION("IfError(IF(isblank(A424),"""",split(O424, ""()"")))"),1.73)</f>
        <v>1.73</v>
      </c>
      <c r="K424" s="136">
        <f>IFERROR(__xludf.DUMMYFUNCTION("""COMPUTED_VALUE"""),0.0442)</f>
        <v>0.0442</v>
      </c>
      <c r="L424" s="135">
        <f t="shared" si="70"/>
        <v>390.7</v>
      </c>
      <c r="M424" s="135">
        <f t="shared" si="71"/>
        <v>17.3</v>
      </c>
      <c r="N424" s="136">
        <f t="shared" si="72"/>
        <v>0.0001243867839</v>
      </c>
      <c r="O424" s="178" t="str">
        <f>IFERROR(__xludf.DUMMYFUNCTION("LET(t, A424,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"),"1.73 (4.42%)")</f>
        <v>1.73 (4.42%)</v>
      </c>
      <c r="Q424" s="417"/>
      <c r="S424" s="417"/>
      <c r="AA424" s="186"/>
    </row>
    <row r="425">
      <c r="A425" s="149" t="s">
        <v>490</v>
      </c>
      <c r="B425" s="128" t="str">
        <f>IFERROR(__xludf.DUMMYFUNCTION("IF(ISBLANK(A425),"""", googlefinance(A425, ""name""))"),"PIMCO Dynamic Income Fund")</f>
        <v>PIMCO Dynamic Income Fund</v>
      </c>
      <c r="C425" s="129" t="str">
        <f t="shared" si="68"/>
        <v>View</v>
      </c>
      <c r="D425" s="176">
        <v>102.0</v>
      </c>
      <c r="E425" s="132">
        <f>IFERROR(__xludf.DUMMYFUNCTION("IF(ISBLANK(A425),"""", googlefinance(A425, ""price""))"),17.94)</f>
        <v>17.94</v>
      </c>
      <c r="F425" s="213" t="s">
        <v>101</v>
      </c>
      <c r="G425" s="213"/>
      <c r="H425" s="213" t="s">
        <v>103</v>
      </c>
      <c r="I425" s="136">
        <f t="shared" si="69"/>
        <v>0.0001611779962</v>
      </c>
      <c r="J425" s="140">
        <f>IFERROR(__xludf.DUMMYFUNCTION("IfError(IF(isblank(A425),"""",split(O425, ""()"")))"),2.64)</f>
        <v>2.64</v>
      </c>
      <c r="K425" s="136">
        <f>IFERROR(__xludf.DUMMYFUNCTION("""COMPUTED_VALUE"""),0.1472)</f>
        <v>0.1472</v>
      </c>
      <c r="L425" s="135">
        <f t="shared" si="70"/>
        <v>1829.88</v>
      </c>
      <c r="M425" s="135">
        <f t="shared" si="71"/>
        <v>269.28</v>
      </c>
      <c r="N425" s="136">
        <f t="shared" si="72"/>
        <v>0.001936119837</v>
      </c>
      <c r="O425" s="178" t="str">
        <f>IFERROR(__xludf.DUMMYFUNCTION("LET(t, A425,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"),"2.64 (14.72%)")</f>
        <v>2.64 (14.72%)</v>
      </c>
      <c r="Q425" s="417"/>
      <c r="S425" s="417"/>
      <c r="AA425" s="186"/>
    </row>
    <row r="426">
      <c r="A426" s="149" t="s">
        <v>491</v>
      </c>
      <c r="B426" s="128" t="str">
        <f>IFERROR(__xludf.DUMMYFUNCTION("IF(ISBLANK(A426),"""", googlefinance(A426, ""name""))"),"NEOS Russell 2000 High Income ETF")</f>
        <v>NEOS Russell 2000 High Income ETF</v>
      </c>
      <c r="C426" s="129" t="str">
        <f t="shared" si="68"/>
        <v>View</v>
      </c>
      <c r="D426" s="176">
        <v>11.0</v>
      </c>
      <c r="E426" s="132">
        <f>IFERROR(__xludf.DUMMYFUNCTION("IF(ISBLANK(A426),"""", googlefinance(A426, ""price""))"),49.27)</f>
        <v>49.27</v>
      </c>
      <c r="F426" s="213" t="s">
        <v>121</v>
      </c>
      <c r="G426" s="213"/>
      <c r="H426" s="213" t="s">
        <v>113</v>
      </c>
      <c r="I426" s="136">
        <f t="shared" si="69"/>
        <v>0.00004773735906</v>
      </c>
      <c r="J426" s="140">
        <f>IFERROR(__xludf.DUMMYFUNCTION("IfError(IF(isblank(A426),"""",split(O426, ""()"")))"),6.86)</f>
        <v>6.86</v>
      </c>
      <c r="K426" s="136">
        <f>IFERROR(__xludf.DUMMYFUNCTION("""COMPUTED_VALUE"""),0.1392)</f>
        <v>0.1392</v>
      </c>
      <c r="L426" s="135">
        <f t="shared" si="70"/>
        <v>541.97</v>
      </c>
      <c r="M426" s="135">
        <f t="shared" si="71"/>
        <v>75.46</v>
      </c>
      <c r="N426" s="136">
        <f t="shared" si="72"/>
        <v>0.0005425564576</v>
      </c>
      <c r="O426" s="178" t="str">
        <f>IFERROR(__xludf.DUMMYFUNCTION("LET(t, A426,
  IF(t="""","""",
    IFERROR(
      SUBSTITUTE(
        INDEX(
          IMPORTXML(
            ""https://finviz.com/quote.ashx?t=""&amp;t&amp;""&amp;ty=dv"",
            ""(//td[normalize-space()='Dividend TTM' or contains(.,'Dividend TTM')]/following-"&amp;"sibling::td[1])[1]""
          ),1,1),
      ""*"",""""),
      IFERROR(
        SUBSTITUTE(
          INDEX(
            IMPORTXML(
              ""https://finviz.com/quote.ashx?t=""&amp;t,
              ""(//td[normalize-space()='Dividend']/following-siblin"&amp;"g::td[1])[1]""
            ),1,1),
        ""*"",""""),
      """")
    )
  )
)
"),"6.86 (13.92%)")</f>
        <v>6.86 (13.92%)</v>
      </c>
      <c r="Q426" s="417"/>
      <c r="S426" s="417"/>
      <c r="AA426" s="186"/>
    </row>
    <row r="427">
      <c r="A427" s="149" t="s">
        <v>492</v>
      </c>
      <c r="B427" s="128" t="str">
        <f>IFERROR(__xludf.DUMMYFUNCTION("IF(ISBLANK(A427),"""", googlefinance(A427, ""name""))"),"Amplify CWP Growth &amp; Income ETF")</f>
        <v>Amplify CWP Growth &amp; Income ETF</v>
      </c>
      <c r="C427" s="129" t="str">
        <f t="shared" si="68"/>
        <v>View</v>
      </c>
      <c r="D427" s="176">
        <v>12.0</v>
      </c>
      <c r="E427" s="132">
        <f>IFERROR(__xludf.DUMMYFUNCTION("IF(ISBLANK(A427),"""", googlefinance(A427, ""price""))"),27.93)</f>
        <v>27.93</v>
      </c>
      <c r="F427" s="213" t="s">
        <v>121</v>
      </c>
      <c r="G427" s="213"/>
      <c r="H427" s="213" t="s">
        <v>129</v>
      </c>
      <c r="I427" s="136">
        <f t="shared" si="69"/>
        <v>0.00002952128949</v>
      </c>
      <c r="J427" s="140">
        <f>IFERROR(__xludf.DUMMYFUNCTION("IfError(IF(isblank(A427),"""",split(O427, ""()"")))"),2.97)</f>
        <v>2.97</v>
      </c>
      <c r="K427" s="136">
        <f>IFERROR(__xludf.DUMMYFUNCTION("""COMPUTED_VALUE"""),0.1062)</f>
        <v>0.1062</v>
      </c>
      <c r="L427" s="135">
        <f t="shared" si="70"/>
        <v>335.16</v>
      </c>
      <c r="M427" s="135">
        <f t="shared" si="71"/>
        <v>35.64</v>
      </c>
      <c r="N427" s="136">
        <f t="shared" si="72"/>
        <v>0.0002562511549</v>
      </c>
      <c r="O427" s="178" t="str">
        <f>IFERROR(__xludf.DUMMYFUNCTION("LET(t, A427,
  IF(t="""","""",
    IFERROR(
      SUBSTITUTE(
        INDEX(
          IMPORTXML(
            ""https://finviz.com/quote.ashx?t=""&amp;t&amp;""&amp;ty=dv"",
            ""(//td[normalize-space()='Dividend TTM' or contains(.,'Dividend TTM')]/following-"&amp;"sibling::td[1])[1]""
          ),1,1),
      ""*"",""""),
      IFERROR(
        SUBSTITUTE(
          INDEX(
            IMPORTXML(
              ""https://finviz.com/quote.ashx?t=""&amp;t,
              ""(//td[normalize-space()='Dividend']/following-siblin"&amp;"g::td[1])[1]""
            ),1,1),
        ""*"",""""),
      """")
    )
  )
)
"),"2.97 (10.62%)")</f>
        <v>2.97 (10.62%)</v>
      </c>
      <c r="Q427" s="417"/>
      <c r="S427" s="417"/>
      <c r="AA427" s="186"/>
    </row>
    <row r="428">
      <c r="A428" s="149" t="s">
        <v>493</v>
      </c>
      <c r="B428" s="128" t="str">
        <f>IFERROR(__xludf.DUMMYFUNCTION("IF(ISBLANK(A428),"""", googlefinance(A428, ""name""))"),"L&amp;G Cyber Security UCITS ETF USD Acc")</f>
        <v>L&amp;G Cyber Security UCITS ETF USD Acc</v>
      </c>
      <c r="C428" s="129" t="str">
        <f t="shared" si="68"/>
        <v>View</v>
      </c>
      <c r="D428" s="176">
        <v>3911.0</v>
      </c>
      <c r="E428" s="132">
        <f>IFERROR(__xludf.DUMMYFUNCTION("IF(ISBLANK(A428),"""", googlefinance(A428, ""price""))"),2261.5)</f>
        <v>2261.5</v>
      </c>
      <c r="F428" s="213" t="s">
        <v>131</v>
      </c>
      <c r="G428" s="213"/>
      <c r="H428" s="213" t="s">
        <v>113</v>
      </c>
      <c r="I428" s="136">
        <f t="shared" si="69"/>
        <v>0.7790539785</v>
      </c>
      <c r="J428" s="140">
        <f>IFERROR(__xludf.DUMMYFUNCTION("IfError(IF(isblank(A428),"""",split(O428, ""()"")))"),3.84)</f>
        <v>3.84</v>
      </c>
      <c r="K428" s="136">
        <f>IFERROR(__xludf.DUMMYFUNCTION("""COMPUTED_VALUE"""),0.0851)</f>
        <v>0.0851</v>
      </c>
      <c r="L428" s="135">
        <f t="shared" si="70"/>
        <v>8844726.5</v>
      </c>
      <c r="M428" s="135">
        <f t="shared" si="71"/>
        <v>15018.24</v>
      </c>
      <c r="N428" s="136">
        <f t="shared" si="72"/>
        <v>0.107980958</v>
      </c>
      <c r="O428" s="178" t="str">
        <f>IFERROR(__xludf.DUMMYFUNCTION("LET(t, A428,
  IF(t="""","""",
    IFERROR(
      SUBSTITUTE(
        INDEX(
          IMPORTXML(
            ""https://finviz.com/quote.ashx?t=""&amp;t&amp;""&amp;ty=dv"",
            ""(//td[normalize-space()='Dividend TTM' or contains(.,'Dividend TTM')]/following-"&amp;"sibling::td[1])[1]""
          ),1,1),
      ""*"",""""),
      IFERROR(
        SUBSTITUTE(
          INDEX(
            IMPORTXML(
              ""https://finviz.com/quote.ashx?t=""&amp;t,
              ""(//td[normalize-space()='Dividend']/following-siblin"&amp;"g::td[1])[1]""
            ),1,1),
        ""*"",""""),
      """")
    )
  )
)
"),"3.84 (8.51%)")</f>
        <v>3.84 (8.51%)</v>
      </c>
      <c r="Q428" s="417"/>
      <c r="S428" s="417"/>
      <c r="AA428" s="186"/>
    </row>
    <row r="429">
      <c r="A429" s="149" t="s">
        <v>494</v>
      </c>
      <c r="B429" s="128" t="str">
        <f>IFERROR(__xludf.DUMMYFUNCTION("IF(ISBLANK(A429),"""", googlefinance(A429, ""name""))"),"Roundhill S&amp;P 500 0DTE Covered Call Strategy ETF")</f>
        <v>Roundhill S&amp;P 500 0DTE Covered Call Strategy ETF</v>
      </c>
      <c r="C429" s="129" t="str">
        <f t="shared" si="68"/>
        <v>View</v>
      </c>
      <c r="D429" s="176">
        <v>460.0</v>
      </c>
      <c r="E429" s="132">
        <f>IFERROR(__xludf.DUMMYFUNCTION("IF(ISBLANK(A429),"""", googlefinance(A429, ""price""))"),38.92)</f>
        <v>38.92</v>
      </c>
      <c r="F429" s="213" t="s">
        <v>121</v>
      </c>
      <c r="G429" s="213"/>
      <c r="H429" s="213" t="s">
        <v>113</v>
      </c>
      <c r="I429" s="136">
        <f t="shared" si="69"/>
        <v>0.001576935046</v>
      </c>
      <c r="J429" s="140">
        <f>IFERROR(__xludf.DUMMYFUNCTION("IfError(IF(isblank(A429),"""",split(O429, ""()"")))"),14.45)</f>
        <v>14.45</v>
      </c>
      <c r="K429" s="136">
        <f>IFERROR(__xludf.DUMMYFUNCTION("""COMPUTED_VALUE"""),0.3712)</f>
        <v>0.3712</v>
      </c>
      <c r="L429" s="135">
        <f t="shared" si="70"/>
        <v>17903.2</v>
      </c>
      <c r="M429" s="135">
        <f t="shared" si="71"/>
        <v>6647</v>
      </c>
      <c r="N429" s="136">
        <f t="shared" si="72"/>
        <v>0.04779184699</v>
      </c>
      <c r="O429" s="178" t="str">
        <f>IFERROR(__xludf.DUMMYFUNCTION("LET(t, A429,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"),"14.45 (37.12%)")</f>
        <v>14.45 (37.12%)</v>
      </c>
      <c r="Q429" s="417"/>
      <c r="S429" s="417"/>
      <c r="AA429" s="186"/>
    </row>
    <row r="430">
      <c r="A430" s="149" t="s">
        <v>495</v>
      </c>
      <c r="B430" s="128" t="str">
        <f>IFERROR(__xludf.DUMMYFUNCTION("IF(ISBLANK(A430),"""", googlefinance(A430, ""name""))"),"Pimco Corporate &amp; Income Strategy Fund")</f>
        <v>Pimco Corporate &amp; Income Strategy Fund</v>
      </c>
      <c r="C430" s="129" t="str">
        <f t="shared" si="68"/>
        <v>View</v>
      </c>
      <c r="D430" s="176">
        <v>742.0</v>
      </c>
      <c r="E430" s="132">
        <f>IFERROR(__xludf.DUMMYFUNCTION("IF(ISBLANK(A430),"""", googlefinance(A430, ""price""))"),12.48)</f>
        <v>12.48</v>
      </c>
      <c r="F430" s="213" t="s">
        <v>121</v>
      </c>
      <c r="G430" s="213"/>
      <c r="H430" s="213" t="s">
        <v>113</v>
      </c>
      <c r="I430" s="136">
        <f t="shared" si="69"/>
        <v>0.0008156458529</v>
      </c>
      <c r="J430" s="140">
        <f>IFERROR(__xludf.DUMMYFUNCTION("IfError(IF(isblank(A430),"""",split(O430, ""()"")))"),1.34)</f>
        <v>1.34</v>
      </c>
      <c r="K430" s="136">
        <f>IFERROR(__xludf.DUMMYFUNCTION("""COMPUTED_VALUE"""),0.1077)</f>
        <v>0.1077</v>
      </c>
      <c r="L430" s="135">
        <f t="shared" si="70"/>
        <v>9260.16</v>
      </c>
      <c r="M430" s="135">
        <f t="shared" si="71"/>
        <v>994.28</v>
      </c>
      <c r="N430" s="136">
        <f t="shared" si="72"/>
        <v>0.007148860782</v>
      </c>
      <c r="O430" s="178" t="str">
        <f>IFERROR(__xludf.DUMMYFUNCTION("LET(t, A430,
  IF(t="""","""",
    IFERROR(
      SUBSTITUTE(
        INDEX(
          IMPORTXML(
            ""https://finviz.com/quote.ashx?t=""&amp;t&amp;""&amp;ty=dv"",
            ""(//td[normalize-space()='Dividend TTM' or contains(.,'Dividend TTM')]/following-"&amp;"sibling::td[1])[1]""
          ),1,1),
      ""*"",""""),
      IFERROR(
        SUBSTITUTE(
          INDEX(
            IMPORTXML(
              ""https://finviz.com/quote.ashx?t=""&amp;t,
              ""(//td[normalize-space()='Dividend']/following-siblin"&amp;"g::td[1])[1]""
            ),1,1),
        ""*"",""""),
      """")
    )
  )
)
"),"1.34 (10.77%)")</f>
        <v>1.34 (10.77%)</v>
      </c>
      <c r="Q430" s="417"/>
      <c r="S430" s="417"/>
      <c r="AA430" s="186"/>
    </row>
    <row r="431">
      <c r="A431" s="149"/>
      <c r="B431" s="128" t="str">
        <f>IFERROR(__xludf.DUMMYFUNCTION("IF(ISBLANK(A431),"""", googlefinance(A431, ""name""))"),"")</f>
        <v/>
      </c>
      <c r="C431" s="175" t="str">
        <f t="shared" si="68"/>
        <v/>
      </c>
      <c r="D431" s="176"/>
      <c r="E431" s="132" t="str">
        <f>IFERROR(__xludf.DUMMYFUNCTION("IF(ISBLANK(A431),"""", googlefinance(A431, ""price""))"),"")</f>
        <v/>
      </c>
      <c r="F431" s="213" t="s">
        <v>133</v>
      </c>
      <c r="G431" s="213"/>
      <c r="H431" s="213" t="s">
        <v>134</v>
      </c>
      <c r="I431" s="136" t="str">
        <f t="shared" si="69"/>
        <v/>
      </c>
      <c r="J431" s="140" t="str">
        <f>IFERROR(__xludf.DUMMYFUNCTION("IfError(IF(isblank(A431),"""",split(O431, ""()"")))"),"")</f>
        <v/>
      </c>
      <c r="K431" s="136"/>
      <c r="L431" s="135" t="str">
        <f t="shared" si="70"/>
        <v/>
      </c>
      <c r="M431" s="135" t="str">
        <f t="shared" si="71"/>
        <v/>
      </c>
      <c r="N431" s="136" t="str">
        <f t="shared" si="72"/>
        <v/>
      </c>
      <c r="O431" s="178" t="str">
        <f>IFERROR(__xludf.DUMMYFUNCTION("LET(t, A431,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431" s="417"/>
      <c r="S431" s="417"/>
      <c r="AA431" s="186"/>
    </row>
    <row r="432">
      <c r="A432" s="149"/>
      <c r="B432" s="128" t="str">
        <f>IFERROR(__xludf.DUMMYFUNCTION("IF(ISBLANK(A432),"""", googlefinance(A432, ""name""))"),"")</f>
        <v/>
      </c>
      <c r="C432" s="175" t="str">
        <f t="shared" si="68"/>
        <v/>
      </c>
      <c r="D432" s="176"/>
      <c r="E432" s="132" t="str">
        <f>IFERROR(__xludf.DUMMYFUNCTION("IF(ISBLANK(A432),"""", googlefinance(A432, ""price""))"),"")</f>
        <v/>
      </c>
      <c r="F432" s="213" t="s">
        <v>133</v>
      </c>
      <c r="G432" s="213"/>
      <c r="H432" s="213" t="s">
        <v>134</v>
      </c>
      <c r="I432" s="136" t="str">
        <f t="shared" si="69"/>
        <v/>
      </c>
      <c r="J432" s="140" t="str">
        <f>IFERROR(__xludf.DUMMYFUNCTION("IfError(IF(isblank(A432),"""",split(O432, ""()"")))"),"")</f>
        <v/>
      </c>
      <c r="K432" s="136"/>
      <c r="L432" s="135" t="str">
        <f t="shared" si="70"/>
        <v/>
      </c>
      <c r="M432" s="135" t="str">
        <f t="shared" si="71"/>
        <v/>
      </c>
      <c r="N432" s="136" t="str">
        <f t="shared" si="72"/>
        <v/>
      </c>
      <c r="O432" s="178" t="str">
        <f>IFERROR(__xludf.DUMMYFUNCTION("LET(t, A432,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432" s="417"/>
      <c r="S432" s="417"/>
      <c r="AA432" s="186"/>
    </row>
    <row r="433">
      <c r="A433" s="149"/>
      <c r="B433" s="128" t="str">
        <f>IFERROR(__xludf.DUMMYFUNCTION("IF(ISBLANK(A433),"""", googlefinance(A433, ""name""))"),"")</f>
        <v/>
      </c>
      <c r="C433" s="175" t="str">
        <f t="shared" si="68"/>
        <v/>
      </c>
      <c r="D433" s="176"/>
      <c r="E433" s="132" t="str">
        <f>IFERROR(__xludf.DUMMYFUNCTION("IF(ISBLANK(A433),"""", googlefinance(A433, ""price""))"),"")</f>
        <v/>
      </c>
      <c r="F433" s="213" t="s">
        <v>133</v>
      </c>
      <c r="G433" s="213"/>
      <c r="H433" s="213" t="s">
        <v>134</v>
      </c>
      <c r="I433" s="136" t="str">
        <f t="shared" si="69"/>
        <v/>
      </c>
      <c r="J433" s="140" t="str">
        <f>IFERROR(__xludf.DUMMYFUNCTION("IfError(IF(isblank(A433),"""",split(O433, ""()"")))"),"")</f>
        <v/>
      </c>
      <c r="K433" s="136"/>
      <c r="L433" s="135" t="str">
        <f t="shared" si="70"/>
        <v/>
      </c>
      <c r="M433" s="135" t="str">
        <f t="shared" si="71"/>
        <v/>
      </c>
      <c r="N433" s="136" t="str">
        <f t="shared" si="72"/>
        <v/>
      </c>
      <c r="O433" s="178" t="str">
        <f>IFERROR(__xludf.DUMMYFUNCTION("LET(t, A433,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433" s="417"/>
      <c r="S433" s="417"/>
      <c r="AA433" s="186"/>
    </row>
    <row r="434">
      <c r="A434" s="149"/>
      <c r="B434" s="128" t="str">
        <f>IFERROR(__xludf.DUMMYFUNCTION("IF(ISBLANK(A434),"""", googlefinance(A434, ""name""))"),"")</f>
        <v/>
      </c>
      <c r="C434" s="175" t="str">
        <f t="shared" si="68"/>
        <v/>
      </c>
      <c r="D434" s="176"/>
      <c r="E434" s="132" t="str">
        <f>IFERROR(__xludf.DUMMYFUNCTION("IF(ISBLANK(A434),"""", googlefinance(A434, ""price""))"),"")</f>
        <v/>
      </c>
      <c r="F434" s="213" t="s">
        <v>133</v>
      </c>
      <c r="G434" s="213"/>
      <c r="H434" s="213" t="s">
        <v>134</v>
      </c>
      <c r="I434" s="136" t="str">
        <f t="shared" si="69"/>
        <v/>
      </c>
      <c r="J434" s="140" t="str">
        <f>IFERROR(__xludf.DUMMYFUNCTION("IfError(IF(isblank(A434),"""",split(O434, ""()"")))"),"")</f>
        <v/>
      </c>
      <c r="K434" s="136"/>
      <c r="L434" s="135" t="str">
        <f t="shared" si="70"/>
        <v/>
      </c>
      <c r="M434" s="135" t="str">
        <f t="shared" si="71"/>
        <v/>
      </c>
      <c r="N434" s="136" t="str">
        <f t="shared" si="72"/>
        <v/>
      </c>
      <c r="O434" s="178" t="str">
        <f>IFERROR(__xludf.DUMMYFUNCTION("LET(t, A434,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434" s="417"/>
      <c r="S434" s="417"/>
      <c r="AA434" s="186"/>
    </row>
    <row r="435">
      <c r="A435" s="149"/>
      <c r="B435" s="128" t="str">
        <f>IFERROR(__xludf.DUMMYFUNCTION("IF(ISBLANK(A435),"""", googlefinance(A435, ""name""))"),"")</f>
        <v/>
      </c>
      <c r="C435" s="175" t="str">
        <f t="shared" si="68"/>
        <v/>
      </c>
      <c r="D435" s="176"/>
      <c r="E435" s="132" t="str">
        <f>IFERROR(__xludf.DUMMYFUNCTION("IF(ISBLANK(A435),"""", googlefinance(A435, ""price""))"),"")</f>
        <v/>
      </c>
      <c r="F435" s="213" t="s">
        <v>133</v>
      </c>
      <c r="G435" s="213"/>
      <c r="H435" s="213" t="s">
        <v>134</v>
      </c>
      <c r="I435" s="136" t="str">
        <f t="shared" si="69"/>
        <v/>
      </c>
      <c r="J435" s="140" t="str">
        <f>IFERROR(__xludf.DUMMYFUNCTION("IfError(IF(isblank(A435),"""",split(O435, ""()"")))"),"")</f>
        <v/>
      </c>
      <c r="K435" s="136"/>
      <c r="L435" s="135" t="str">
        <f t="shared" si="70"/>
        <v/>
      </c>
      <c r="M435" s="135" t="str">
        <f t="shared" si="71"/>
        <v/>
      </c>
      <c r="N435" s="136" t="str">
        <f t="shared" si="72"/>
        <v/>
      </c>
      <c r="O435" s="178" t="str">
        <f>IFERROR(__xludf.DUMMYFUNCTION("LET(t, A435,
  IF(t="""","""",
    IFERROR(
      SUBSTITUTE(
        INDEX(
          IMPORTXML(
            ""https://finviz.com/quote.ashx?t=""&amp;t&amp;""&amp;ty=dv"",
            ""(//td[normalize-space()='Dividend TTM' or contains(.,'Dividend TTM')]/following-"&amp;"sibling::td[1])[1]""
          ),1,1),
      ""*"",""""),
      IFERROR(
        SUBSTITUTE(
          INDEX(
            IMPORTXML(
              ""https://finviz.com/quote.ashx?t=""&amp;t,
              ""(//td[normalize-space()='Dividend']/following-siblin"&amp;"g::td[1])[1]""
            ),1,1),
        ""*"",""""),
      """")
    )
  )
)
"),"")</f>
        <v/>
      </c>
      <c r="Q435" s="417"/>
      <c r="S435" s="417"/>
      <c r="AA435" s="186"/>
    </row>
    <row r="436">
      <c r="A436" s="179">
        <f>COUNTA(A365:A435)</f>
        <v>66</v>
      </c>
      <c r="B436" s="180" t="s">
        <v>341</v>
      </c>
      <c r="C436" s="413">
        <v>45597.0</v>
      </c>
      <c r="D436" s="419" t="s">
        <v>496</v>
      </c>
      <c r="E436" s="181"/>
      <c r="F436" s="179"/>
      <c r="G436" s="179"/>
      <c r="H436" s="179"/>
      <c r="I436" s="182">
        <f>SUM(I365:I435)</f>
        <v>1</v>
      </c>
      <c r="J436" s="181"/>
      <c r="K436" s="182">
        <f>M436/L436</f>
        <v>0.0122505336</v>
      </c>
      <c r="L436" s="181">
        <f t="shared" ref="L436:N436" si="73">SUM(L365:L435)</f>
        <v>11353162.61</v>
      </c>
      <c r="M436" s="181">
        <f t="shared" si="73"/>
        <v>139082.3</v>
      </c>
      <c r="N436" s="182">
        <f t="shared" si="73"/>
        <v>1</v>
      </c>
      <c r="O436" s="184"/>
      <c r="Q436" s="417"/>
      <c r="S436" s="417"/>
      <c r="AA436" s="186"/>
    </row>
    <row r="437">
      <c r="A437" s="185"/>
      <c r="B437" s="67"/>
      <c r="C437" s="67"/>
      <c r="D437" s="67"/>
      <c r="E437" s="186"/>
      <c r="F437" s="67"/>
      <c r="G437" s="67"/>
      <c r="H437" s="67"/>
      <c r="I437" s="187"/>
      <c r="J437" s="186"/>
      <c r="K437" s="187"/>
      <c r="L437" s="186"/>
      <c r="M437" s="67"/>
      <c r="N437" s="67"/>
      <c r="Q437" s="417"/>
      <c r="S437" s="417"/>
      <c r="AA437" s="186"/>
    </row>
    <row r="438">
      <c r="A438" s="185"/>
      <c r="B438" s="67"/>
      <c r="C438" s="67"/>
      <c r="D438" s="67"/>
      <c r="E438" s="186"/>
      <c r="F438" s="67"/>
      <c r="G438" s="67"/>
      <c r="H438" s="67"/>
      <c r="I438" s="187"/>
      <c r="J438" s="186"/>
      <c r="K438" s="187"/>
      <c r="L438" s="186"/>
      <c r="M438" s="67"/>
      <c r="N438" s="67"/>
      <c r="Q438" s="417"/>
      <c r="S438" s="417"/>
      <c r="AA438" s="186"/>
    </row>
    <row r="439">
      <c r="A439" s="185"/>
      <c r="B439" s="67"/>
      <c r="C439" s="67"/>
      <c r="D439" s="67"/>
      <c r="E439" s="186"/>
      <c r="F439" s="67"/>
      <c r="G439" s="67"/>
      <c r="H439" s="67"/>
      <c r="I439" s="187"/>
      <c r="J439" s="186"/>
      <c r="K439" s="187"/>
      <c r="L439" s="186"/>
      <c r="M439" s="67"/>
      <c r="N439" s="67"/>
      <c r="Q439" s="417"/>
      <c r="S439" s="417"/>
      <c r="AA439" s="186"/>
    </row>
    <row r="440">
      <c r="A440" s="185"/>
      <c r="B440" s="67"/>
      <c r="C440" s="67"/>
      <c r="D440" s="67"/>
      <c r="E440" s="186"/>
      <c r="F440" s="67"/>
      <c r="G440" s="67"/>
      <c r="H440" s="67"/>
      <c r="I440" s="187"/>
      <c r="J440" s="186"/>
      <c r="K440" s="187"/>
      <c r="L440" s="186"/>
      <c r="M440" s="67"/>
      <c r="N440" s="67"/>
      <c r="Q440" s="417"/>
      <c r="S440" s="417"/>
      <c r="AA440" s="186"/>
    </row>
    <row r="441">
      <c r="A441" s="185"/>
      <c r="B441" s="67"/>
      <c r="C441" s="67"/>
      <c r="D441" s="67"/>
      <c r="E441" s="186"/>
      <c r="F441" s="67"/>
      <c r="G441" s="67"/>
      <c r="H441" s="67"/>
      <c r="I441" s="187"/>
      <c r="J441" s="186"/>
      <c r="K441" s="187"/>
      <c r="L441" s="186"/>
      <c r="M441" s="67"/>
      <c r="N441" s="67"/>
      <c r="Q441" s="417"/>
      <c r="S441" s="417"/>
      <c r="AA441" s="186"/>
    </row>
    <row r="442">
      <c r="A442" s="185"/>
      <c r="B442" s="67"/>
      <c r="C442" s="67"/>
      <c r="D442" s="67"/>
      <c r="E442" s="186"/>
      <c r="F442" s="67"/>
      <c r="G442" s="67"/>
      <c r="H442" s="67"/>
      <c r="I442" s="187"/>
      <c r="J442" s="186"/>
      <c r="K442" s="187"/>
      <c r="L442" s="186"/>
      <c r="M442" s="67"/>
      <c r="N442" s="67"/>
      <c r="Q442" s="417"/>
      <c r="S442" s="417"/>
      <c r="AA442" s="186"/>
    </row>
    <row r="443">
      <c r="A443" s="185"/>
      <c r="B443" s="67"/>
      <c r="C443" s="67"/>
      <c r="D443" s="67"/>
      <c r="E443" s="186"/>
      <c r="F443" s="67"/>
      <c r="G443" s="67"/>
      <c r="H443" s="67"/>
      <c r="I443" s="187"/>
      <c r="J443" s="186"/>
      <c r="K443" s="187"/>
      <c r="L443" s="186"/>
      <c r="M443" s="67"/>
      <c r="N443" s="67"/>
      <c r="Q443" s="417"/>
      <c r="S443" s="417"/>
      <c r="AA443" s="186"/>
    </row>
    <row r="444">
      <c r="A444" s="185"/>
      <c r="B444" s="67"/>
      <c r="C444" s="67"/>
      <c r="D444" s="67"/>
      <c r="E444" s="186"/>
      <c r="F444" s="67"/>
      <c r="G444" s="67"/>
      <c r="H444" s="67"/>
      <c r="I444" s="187"/>
      <c r="J444" s="186"/>
      <c r="K444" s="187"/>
      <c r="L444" s="186"/>
      <c r="M444" s="67"/>
      <c r="N444" s="67"/>
      <c r="Q444" s="417"/>
      <c r="S444" s="417"/>
      <c r="AA444" s="186"/>
    </row>
    <row r="445">
      <c r="A445" s="185"/>
      <c r="B445" s="67"/>
      <c r="C445" s="67"/>
      <c r="D445" s="67"/>
      <c r="E445" s="186"/>
      <c r="F445" s="67"/>
      <c r="G445" s="67"/>
      <c r="H445" s="67"/>
      <c r="I445" s="187"/>
      <c r="J445" s="186"/>
      <c r="K445" s="187"/>
      <c r="L445" s="186"/>
      <c r="M445" s="67"/>
      <c r="N445" s="67"/>
      <c r="Q445" s="417"/>
      <c r="S445" s="417"/>
      <c r="AA445" s="186"/>
    </row>
    <row r="446">
      <c r="A446" s="185"/>
      <c r="B446" s="67"/>
      <c r="C446" s="67"/>
      <c r="D446" s="67"/>
      <c r="E446" s="186"/>
      <c r="F446" s="67"/>
      <c r="G446" s="67"/>
      <c r="H446" s="67"/>
      <c r="I446" s="187"/>
      <c r="J446" s="186"/>
      <c r="K446" s="187"/>
      <c r="L446" s="186"/>
      <c r="M446" s="67"/>
      <c r="N446" s="67"/>
      <c r="Q446" s="417"/>
      <c r="S446" s="417"/>
      <c r="AA446" s="186"/>
    </row>
    <row r="447">
      <c r="A447" s="185"/>
      <c r="B447" s="67"/>
      <c r="C447" s="67"/>
      <c r="D447" s="67"/>
      <c r="E447" s="186"/>
      <c r="F447" s="67"/>
      <c r="G447" s="67"/>
      <c r="H447" s="67"/>
      <c r="I447" s="187"/>
      <c r="J447" s="186"/>
      <c r="K447" s="187"/>
      <c r="L447" s="186"/>
      <c r="M447" s="67"/>
      <c r="N447" s="67"/>
      <c r="Q447" s="417"/>
      <c r="S447" s="417"/>
      <c r="AA447" s="186"/>
    </row>
    <row r="448">
      <c r="A448" s="185"/>
      <c r="B448" s="67"/>
      <c r="C448" s="67"/>
      <c r="D448" s="67"/>
      <c r="E448" s="186"/>
      <c r="F448" s="67"/>
      <c r="G448" s="67"/>
      <c r="H448" s="67"/>
      <c r="I448" s="187"/>
      <c r="J448" s="186"/>
      <c r="K448" s="187"/>
      <c r="L448" s="186"/>
      <c r="M448" s="67"/>
      <c r="N448" s="67"/>
      <c r="Q448" s="417"/>
      <c r="S448" s="417"/>
      <c r="AA448" s="186"/>
    </row>
    <row r="449">
      <c r="A449" s="185"/>
      <c r="B449" s="67"/>
      <c r="C449" s="67"/>
      <c r="D449" s="67"/>
      <c r="E449" s="186"/>
      <c r="F449" s="67"/>
      <c r="G449" s="67"/>
      <c r="H449" s="67"/>
      <c r="I449" s="187"/>
      <c r="J449" s="186"/>
      <c r="K449" s="187"/>
      <c r="L449" s="186"/>
      <c r="M449" s="67"/>
      <c r="N449" s="67"/>
      <c r="Q449" s="417"/>
      <c r="S449" s="417"/>
      <c r="AA449" s="186"/>
    </row>
    <row r="450">
      <c r="A450" s="185"/>
      <c r="B450" s="67"/>
      <c r="C450" s="67"/>
      <c r="D450" s="67"/>
      <c r="E450" s="186"/>
      <c r="F450" s="67"/>
      <c r="G450" s="67"/>
      <c r="H450" s="67"/>
      <c r="I450" s="187"/>
      <c r="J450" s="186"/>
      <c r="K450" s="187"/>
      <c r="L450" s="186"/>
      <c r="M450" s="67"/>
      <c r="N450" s="67"/>
      <c r="Q450" s="417"/>
      <c r="S450" s="417"/>
      <c r="AA450" s="186"/>
    </row>
    <row r="451">
      <c r="A451" s="185"/>
      <c r="B451" s="67"/>
      <c r="C451" s="67"/>
      <c r="D451" s="67"/>
      <c r="E451" s="186"/>
      <c r="F451" s="67"/>
      <c r="G451" s="67"/>
      <c r="H451" s="67"/>
      <c r="I451" s="187"/>
      <c r="J451" s="186"/>
      <c r="K451" s="187"/>
      <c r="L451" s="186"/>
      <c r="M451" s="67"/>
      <c r="N451" s="67"/>
      <c r="Q451" s="417"/>
      <c r="S451" s="417"/>
      <c r="AA451" s="186"/>
    </row>
    <row r="452">
      <c r="A452" s="185"/>
      <c r="B452" s="67"/>
      <c r="C452" s="67"/>
      <c r="D452" s="67"/>
      <c r="E452" s="186"/>
      <c r="F452" s="67"/>
      <c r="G452" s="67"/>
      <c r="H452" s="67"/>
      <c r="I452" s="187"/>
      <c r="J452" s="186"/>
      <c r="K452" s="187"/>
      <c r="L452" s="186"/>
      <c r="M452" s="67"/>
      <c r="N452" s="67"/>
      <c r="Q452" s="417"/>
      <c r="S452" s="417"/>
      <c r="AA452" s="186"/>
    </row>
    <row r="453">
      <c r="A453" s="185"/>
      <c r="B453" s="67"/>
      <c r="C453" s="67"/>
      <c r="D453" s="67"/>
      <c r="E453" s="186"/>
      <c r="F453" s="67"/>
      <c r="G453" s="67"/>
      <c r="H453" s="67"/>
      <c r="I453" s="187"/>
      <c r="J453" s="186"/>
      <c r="K453" s="187"/>
      <c r="L453" s="186"/>
      <c r="M453" s="67"/>
      <c r="N453" s="67"/>
      <c r="Q453" s="417"/>
      <c r="S453" s="417"/>
      <c r="AA453" s="186"/>
    </row>
    <row r="454">
      <c r="A454" s="185"/>
      <c r="B454" s="67"/>
      <c r="C454" s="67"/>
      <c r="D454" s="67"/>
      <c r="E454" s="186"/>
      <c r="F454" s="67"/>
      <c r="G454" s="67"/>
      <c r="H454" s="67"/>
      <c r="I454" s="187"/>
      <c r="J454" s="186"/>
      <c r="K454" s="187"/>
      <c r="L454" s="186"/>
      <c r="M454" s="67"/>
      <c r="N454" s="67"/>
      <c r="Q454" s="417"/>
      <c r="S454" s="417"/>
      <c r="AA454" s="186"/>
    </row>
    <row r="455">
      <c r="A455" s="185"/>
      <c r="B455" s="67"/>
      <c r="C455" s="67"/>
      <c r="D455" s="67"/>
      <c r="E455" s="186"/>
      <c r="F455" s="67"/>
      <c r="G455" s="67"/>
      <c r="H455" s="67"/>
      <c r="I455" s="187"/>
      <c r="J455" s="186"/>
      <c r="K455" s="187"/>
      <c r="L455" s="186"/>
      <c r="M455" s="67"/>
      <c r="N455" s="67"/>
      <c r="Q455" s="417"/>
      <c r="S455" s="417"/>
      <c r="AA455" s="186"/>
    </row>
    <row r="456">
      <c r="A456" s="185"/>
      <c r="B456" s="67"/>
      <c r="C456" s="67"/>
      <c r="D456" s="67"/>
      <c r="E456" s="186"/>
      <c r="F456" s="67"/>
      <c r="G456" s="67"/>
      <c r="H456" s="67"/>
      <c r="I456" s="187"/>
      <c r="J456" s="186"/>
      <c r="K456" s="187"/>
      <c r="L456" s="186"/>
      <c r="M456" s="67"/>
      <c r="N456" s="67"/>
      <c r="Q456" s="417"/>
      <c r="S456" s="417"/>
      <c r="AA456" s="186"/>
    </row>
    <row r="457">
      <c r="A457" s="185"/>
      <c r="B457" s="67"/>
      <c r="C457" s="67"/>
      <c r="D457" s="67"/>
      <c r="E457" s="186"/>
      <c r="F457" s="67"/>
      <c r="G457" s="67"/>
      <c r="H457" s="67"/>
      <c r="I457" s="187"/>
      <c r="J457" s="186"/>
      <c r="K457" s="187"/>
      <c r="L457" s="186"/>
      <c r="M457" s="67"/>
      <c r="N457" s="67"/>
      <c r="Q457" s="417"/>
      <c r="S457" s="417"/>
      <c r="AA457" s="186"/>
    </row>
    <row r="458">
      <c r="A458" s="185"/>
      <c r="B458" s="67"/>
      <c r="C458" s="67"/>
      <c r="D458" s="67"/>
      <c r="E458" s="186"/>
      <c r="F458" s="67"/>
      <c r="G458" s="67"/>
      <c r="H458" s="67"/>
      <c r="I458" s="187"/>
      <c r="J458" s="186"/>
      <c r="K458" s="187"/>
      <c r="L458" s="186"/>
      <c r="M458" s="67"/>
      <c r="N458" s="67"/>
      <c r="Q458" s="417"/>
      <c r="S458" s="417"/>
      <c r="AA458" s="186"/>
    </row>
    <row r="459">
      <c r="A459" s="185"/>
      <c r="B459" s="67"/>
      <c r="C459" s="67"/>
      <c r="D459" s="67"/>
      <c r="E459" s="186"/>
      <c r="F459" s="67"/>
      <c r="G459" s="67"/>
      <c r="H459" s="67"/>
      <c r="I459" s="187"/>
      <c r="J459" s="186"/>
      <c r="K459" s="187"/>
      <c r="L459" s="186"/>
      <c r="M459" s="67"/>
      <c r="N459" s="67"/>
      <c r="Q459" s="417"/>
      <c r="S459" s="417"/>
      <c r="AA459" s="186"/>
    </row>
    <row r="460">
      <c r="A460" s="185"/>
      <c r="B460" s="67"/>
      <c r="C460" s="67"/>
      <c r="D460" s="67"/>
      <c r="E460" s="186"/>
      <c r="F460" s="67"/>
      <c r="G460" s="67"/>
      <c r="H460" s="67"/>
      <c r="I460" s="187"/>
      <c r="J460" s="186"/>
      <c r="K460" s="187"/>
      <c r="L460" s="186"/>
      <c r="M460" s="67"/>
      <c r="N460" s="67"/>
      <c r="Q460" s="417"/>
      <c r="S460" s="417"/>
      <c r="AA460" s="186"/>
    </row>
    <row r="461">
      <c r="A461" s="185"/>
      <c r="B461" s="67"/>
      <c r="C461" s="67"/>
      <c r="D461" s="67"/>
      <c r="E461" s="186"/>
      <c r="F461" s="67"/>
      <c r="G461" s="67"/>
      <c r="H461" s="67"/>
      <c r="I461" s="187"/>
      <c r="J461" s="186"/>
      <c r="K461" s="187"/>
      <c r="L461" s="186"/>
      <c r="M461" s="67"/>
      <c r="N461" s="67"/>
      <c r="Q461" s="417"/>
      <c r="S461" s="417"/>
      <c r="AA461" s="186"/>
    </row>
    <row r="462">
      <c r="A462" s="185"/>
      <c r="B462" s="67"/>
      <c r="C462" s="67"/>
      <c r="D462" s="67"/>
      <c r="E462" s="186"/>
      <c r="F462" s="67"/>
      <c r="G462" s="67"/>
      <c r="H462" s="67"/>
      <c r="I462" s="187"/>
      <c r="J462" s="186"/>
      <c r="K462" s="187"/>
      <c r="L462" s="186"/>
      <c r="M462" s="67"/>
      <c r="N462" s="67"/>
      <c r="Q462" s="417"/>
      <c r="S462" s="417"/>
      <c r="AA462" s="186"/>
    </row>
    <row r="463">
      <c r="A463" s="185"/>
      <c r="B463" s="67"/>
      <c r="C463" s="67"/>
      <c r="D463" s="67"/>
      <c r="E463" s="186"/>
      <c r="F463" s="67"/>
      <c r="G463" s="67"/>
      <c r="H463" s="67"/>
      <c r="I463" s="187"/>
      <c r="J463" s="186"/>
      <c r="K463" s="187"/>
      <c r="L463" s="186"/>
      <c r="M463" s="67"/>
      <c r="N463" s="67"/>
      <c r="Q463" s="417"/>
      <c r="S463" s="417"/>
      <c r="AA463" s="186"/>
    </row>
    <row r="464">
      <c r="A464" s="185"/>
      <c r="B464" s="67"/>
      <c r="C464" s="67"/>
      <c r="D464" s="67"/>
      <c r="E464" s="186"/>
      <c r="F464" s="67"/>
      <c r="G464" s="67"/>
      <c r="H464" s="67"/>
      <c r="I464" s="187"/>
      <c r="J464" s="186"/>
      <c r="K464" s="187"/>
      <c r="L464" s="186"/>
      <c r="M464" s="67"/>
      <c r="N464" s="67"/>
      <c r="Q464" s="417"/>
      <c r="S464" s="417"/>
      <c r="AA464" s="186"/>
    </row>
    <row r="465">
      <c r="A465" s="185"/>
      <c r="B465" s="67"/>
      <c r="C465" s="67"/>
      <c r="D465" s="67"/>
      <c r="E465" s="186"/>
      <c r="F465" s="67"/>
      <c r="G465" s="67"/>
      <c r="H465" s="67"/>
      <c r="I465" s="187"/>
      <c r="J465" s="186"/>
      <c r="K465" s="187"/>
      <c r="L465" s="186"/>
      <c r="M465" s="67"/>
      <c r="N465" s="67"/>
      <c r="Q465" s="417"/>
      <c r="S465" s="417"/>
      <c r="AA465" s="186"/>
    </row>
    <row r="466">
      <c r="A466" s="185"/>
      <c r="B466" s="67"/>
      <c r="C466" s="67"/>
      <c r="D466" s="67"/>
      <c r="E466" s="186"/>
      <c r="F466" s="67"/>
      <c r="G466" s="67"/>
      <c r="H466" s="67"/>
      <c r="I466" s="187"/>
      <c r="J466" s="186"/>
      <c r="K466" s="187"/>
      <c r="L466" s="186"/>
      <c r="M466" s="67"/>
      <c r="N466" s="67"/>
      <c r="Q466" s="417"/>
      <c r="S466" s="417"/>
      <c r="AA466" s="186"/>
    </row>
    <row r="467">
      <c r="A467" s="185"/>
      <c r="B467" s="67"/>
      <c r="C467" s="67"/>
      <c r="D467" s="67"/>
      <c r="E467" s="186"/>
      <c r="F467" s="67"/>
      <c r="G467" s="67"/>
      <c r="H467" s="67"/>
      <c r="I467" s="187"/>
      <c r="J467" s="186"/>
      <c r="K467" s="187"/>
      <c r="L467" s="186"/>
      <c r="M467" s="67"/>
      <c r="N467" s="67"/>
      <c r="Q467" s="417"/>
      <c r="S467" s="417"/>
      <c r="AA467" s="186"/>
    </row>
    <row r="468">
      <c r="A468" s="185"/>
      <c r="B468" s="67"/>
      <c r="C468" s="67"/>
      <c r="D468" s="67"/>
      <c r="E468" s="186"/>
      <c r="F468" s="67"/>
      <c r="G468" s="67"/>
      <c r="H468" s="67"/>
      <c r="I468" s="187"/>
      <c r="J468" s="186"/>
      <c r="K468" s="187"/>
      <c r="L468" s="186"/>
      <c r="M468" s="67"/>
      <c r="N468" s="67"/>
      <c r="Q468" s="417"/>
      <c r="S468" s="417"/>
      <c r="AA468" s="186"/>
    </row>
    <row r="469">
      <c r="A469" s="185"/>
      <c r="B469" s="67"/>
      <c r="C469" s="67"/>
      <c r="D469" s="67"/>
      <c r="E469" s="186"/>
      <c r="F469" s="67"/>
      <c r="G469" s="67"/>
      <c r="H469" s="67"/>
      <c r="I469" s="187"/>
      <c r="J469" s="186"/>
      <c r="K469" s="187"/>
      <c r="L469" s="186"/>
      <c r="M469" s="67"/>
      <c r="N469" s="67"/>
      <c r="Q469" s="417"/>
      <c r="S469" s="417"/>
      <c r="AA469" s="186"/>
    </row>
    <row r="470">
      <c r="A470" s="185"/>
      <c r="B470" s="67"/>
      <c r="C470" s="67"/>
      <c r="D470" s="67"/>
      <c r="E470" s="186"/>
      <c r="F470" s="67"/>
      <c r="G470" s="67"/>
      <c r="H470" s="67"/>
      <c r="I470" s="187"/>
      <c r="J470" s="186"/>
      <c r="K470" s="187"/>
      <c r="L470" s="186"/>
      <c r="M470" s="67"/>
      <c r="N470" s="67"/>
      <c r="Q470" s="417"/>
      <c r="S470" s="417"/>
      <c r="AA470" s="186"/>
    </row>
    <row r="471">
      <c r="A471" s="185"/>
      <c r="B471" s="67"/>
      <c r="C471" s="67"/>
      <c r="D471" s="67"/>
      <c r="E471" s="186"/>
      <c r="F471" s="67"/>
      <c r="G471" s="67"/>
      <c r="H471" s="67"/>
      <c r="I471" s="187"/>
      <c r="J471" s="186"/>
      <c r="K471" s="187"/>
      <c r="L471" s="186"/>
      <c r="M471" s="67"/>
      <c r="N471" s="67"/>
      <c r="Q471" s="417"/>
      <c r="S471" s="417"/>
      <c r="AA471" s="186"/>
    </row>
    <row r="472">
      <c r="A472" s="185"/>
      <c r="B472" s="67"/>
      <c r="C472" s="67"/>
      <c r="D472" s="67"/>
      <c r="E472" s="186"/>
      <c r="F472" s="67"/>
      <c r="G472" s="67"/>
      <c r="H472" s="67"/>
      <c r="I472" s="187"/>
      <c r="J472" s="186"/>
      <c r="K472" s="187"/>
      <c r="L472" s="186"/>
      <c r="M472" s="67"/>
      <c r="N472" s="67"/>
      <c r="Q472" s="417"/>
      <c r="S472" s="417"/>
      <c r="AA472" s="186"/>
    </row>
    <row r="473">
      <c r="A473" s="185"/>
      <c r="B473" s="67"/>
      <c r="C473" s="67"/>
      <c r="D473" s="67"/>
      <c r="E473" s="186"/>
      <c r="F473" s="67"/>
      <c r="G473" s="67"/>
      <c r="H473" s="67"/>
      <c r="I473" s="187"/>
      <c r="J473" s="186"/>
      <c r="K473" s="187"/>
      <c r="L473" s="186"/>
      <c r="M473" s="67"/>
      <c r="N473" s="67"/>
      <c r="Q473" s="417"/>
      <c r="S473" s="417"/>
      <c r="AA473" s="186"/>
    </row>
    <row r="474">
      <c r="A474" s="185"/>
      <c r="B474" s="67"/>
      <c r="C474" s="67"/>
      <c r="D474" s="67"/>
      <c r="E474" s="186"/>
      <c r="F474" s="67"/>
      <c r="G474" s="67"/>
      <c r="H474" s="67"/>
      <c r="I474" s="187"/>
      <c r="J474" s="186"/>
      <c r="K474" s="187"/>
      <c r="L474" s="186"/>
      <c r="M474" s="67"/>
      <c r="N474" s="67"/>
      <c r="Q474" s="417"/>
      <c r="S474" s="417"/>
      <c r="AA474" s="186"/>
    </row>
    <row r="475">
      <c r="A475" s="185"/>
      <c r="B475" s="67"/>
      <c r="C475" s="67"/>
      <c r="D475" s="67"/>
      <c r="E475" s="186"/>
      <c r="F475" s="67"/>
      <c r="G475" s="67"/>
      <c r="H475" s="67"/>
      <c r="I475" s="187"/>
      <c r="J475" s="186"/>
      <c r="K475" s="187"/>
      <c r="L475" s="186"/>
      <c r="M475" s="67"/>
      <c r="N475" s="67"/>
      <c r="Q475" s="417"/>
      <c r="S475" s="417"/>
      <c r="AA475" s="186"/>
    </row>
    <row r="476">
      <c r="A476" s="185"/>
      <c r="B476" s="67"/>
      <c r="C476" s="67"/>
      <c r="D476" s="67"/>
      <c r="E476" s="186"/>
      <c r="F476" s="67"/>
      <c r="G476" s="67"/>
      <c r="H476" s="67"/>
      <c r="I476" s="187"/>
      <c r="J476" s="186"/>
      <c r="K476" s="187"/>
      <c r="L476" s="186"/>
      <c r="M476" s="67"/>
      <c r="N476" s="67"/>
      <c r="Q476" s="417"/>
      <c r="S476" s="417"/>
      <c r="AA476" s="186"/>
    </row>
    <row r="477">
      <c r="A477" s="185"/>
      <c r="B477" s="67"/>
      <c r="C477" s="67"/>
      <c r="D477" s="67"/>
      <c r="E477" s="186"/>
      <c r="F477" s="67"/>
      <c r="G477" s="67"/>
      <c r="H477" s="67"/>
      <c r="I477" s="187"/>
      <c r="J477" s="186"/>
      <c r="K477" s="187"/>
      <c r="L477" s="186"/>
      <c r="M477" s="67"/>
      <c r="N477" s="67"/>
      <c r="Q477" s="417"/>
      <c r="S477" s="417"/>
      <c r="AA477" s="186"/>
    </row>
    <row r="478">
      <c r="A478" s="185"/>
      <c r="B478" s="67"/>
      <c r="C478" s="67"/>
      <c r="D478" s="67"/>
      <c r="E478" s="186"/>
      <c r="F478" s="67"/>
      <c r="G478" s="67"/>
      <c r="H478" s="67"/>
      <c r="I478" s="187"/>
      <c r="J478" s="186"/>
      <c r="K478" s="187"/>
      <c r="L478" s="186"/>
      <c r="M478" s="67"/>
      <c r="N478" s="67"/>
      <c r="Q478" s="417"/>
      <c r="S478" s="417"/>
      <c r="AA478" s="186"/>
    </row>
    <row r="479">
      <c r="A479" s="185"/>
      <c r="B479" s="67"/>
      <c r="C479" s="67"/>
      <c r="D479" s="67"/>
      <c r="E479" s="186"/>
      <c r="F479" s="67"/>
      <c r="G479" s="67"/>
      <c r="H479" s="67"/>
      <c r="I479" s="187"/>
      <c r="J479" s="186"/>
      <c r="K479" s="187"/>
      <c r="L479" s="186"/>
      <c r="M479" s="67"/>
      <c r="N479" s="67"/>
      <c r="Q479" s="417"/>
      <c r="S479" s="417"/>
      <c r="AA479" s="186"/>
    </row>
    <row r="480">
      <c r="A480" s="185"/>
      <c r="B480" s="67"/>
      <c r="C480" s="67"/>
      <c r="D480" s="67"/>
      <c r="E480" s="186"/>
      <c r="F480" s="67"/>
      <c r="G480" s="67"/>
      <c r="H480" s="67"/>
      <c r="I480" s="187"/>
      <c r="J480" s="186"/>
      <c r="K480" s="187"/>
      <c r="L480" s="186"/>
      <c r="M480" s="67"/>
      <c r="N480" s="67"/>
      <c r="Q480" s="417"/>
      <c r="S480" s="417"/>
      <c r="AA480" s="186"/>
    </row>
    <row r="481">
      <c r="A481" s="185"/>
      <c r="B481" s="67"/>
      <c r="C481" s="67"/>
      <c r="D481" s="67"/>
      <c r="E481" s="186"/>
      <c r="F481" s="67"/>
      <c r="G481" s="67"/>
      <c r="H481" s="67"/>
      <c r="I481" s="187"/>
      <c r="J481" s="186"/>
      <c r="K481" s="187"/>
      <c r="L481" s="186"/>
      <c r="M481" s="67"/>
      <c r="N481" s="67"/>
      <c r="Q481" s="417"/>
      <c r="S481" s="417"/>
      <c r="AA481" s="186"/>
    </row>
    <row r="482">
      <c r="A482" s="185"/>
      <c r="B482" s="67"/>
      <c r="C482" s="67"/>
      <c r="D482" s="67"/>
      <c r="E482" s="186"/>
      <c r="F482" s="67"/>
      <c r="G482" s="67"/>
      <c r="H482" s="67"/>
      <c r="I482" s="187"/>
      <c r="J482" s="186"/>
      <c r="K482" s="187"/>
      <c r="L482" s="186"/>
      <c r="M482" s="67"/>
      <c r="N482" s="67"/>
      <c r="Q482" s="417"/>
      <c r="S482" s="417"/>
      <c r="AA482" s="186"/>
    </row>
    <row r="483">
      <c r="A483" s="185"/>
      <c r="B483" s="67"/>
      <c r="C483" s="67"/>
      <c r="D483" s="67"/>
      <c r="E483" s="186"/>
      <c r="F483" s="67"/>
      <c r="G483" s="67"/>
      <c r="H483" s="67"/>
      <c r="I483" s="187"/>
      <c r="J483" s="186"/>
      <c r="K483" s="187"/>
      <c r="L483" s="186"/>
      <c r="M483" s="67"/>
      <c r="N483" s="67"/>
      <c r="Q483" s="417"/>
      <c r="S483" s="417"/>
      <c r="AA483" s="186"/>
    </row>
    <row r="484">
      <c r="A484" s="185"/>
      <c r="B484" s="67"/>
      <c r="C484" s="67"/>
      <c r="D484" s="67"/>
      <c r="E484" s="186"/>
      <c r="F484" s="67"/>
      <c r="G484" s="67"/>
      <c r="H484" s="67"/>
      <c r="I484" s="187"/>
      <c r="J484" s="186"/>
      <c r="K484" s="187"/>
      <c r="L484" s="186"/>
      <c r="M484" s="67"/>
      <c r="N484" s="67"/>
      <c r="Q484" s="417"/>
      <c r="S484" s="417"/>
      <c r="AA484" s="186"/>
    </row>
    <row r="485">
      <c r="A485" s="185"/>
      <c r="B485" s="67"/>
      <c r="C485" s="67"/>
      <c r="D485" s="67"/>
      <c r="E485" s="186"/>
      <c r="F485" s="67"/>
      <c r="G485" s="67"/>
      <c r="H485" s="67"/>
      <c r="I485" s="187"/>
      <c r="J485" s="186"/>
      <c r="K485" s="187"/>
      <c r="L485" s="186"/>
      <c r="M485" s="67"/>
      <c r="N485" s="67"/>
      <c r="Q485" s="417"/>
      <c r="S485" s="417"/>
      <c r="AA485" s="186"/>
    </row>
    <row r="486">
      <c r="A486" s="185"/>
      <c r="B486" s="67"/>
      <c r="C486" s="67"/>
      <c r="D486" s="67"/>
      <c r="E486" s="186"/>
      <c r="F486" s="67"/>
      <c r="G486" s="67"/>
      <c r="H486" s="67"/>
      <c r="I486" s="187"/>
      <c r="J486" s="186"/>
      <c r="K486" s="187"/>
      <c r="L486" s="186"/>
      <c r="M486" s="67"/>
      <c r="N486" s="67"/>
      <c r="Q486" s="417"/>
      <c r="S486" s="417"/>
      <c r="AA486" s="186"/>
    </row>
    <row r="487">
      <c r="A487" s="185"/>
      <c r="B487" s="67"/>
      <c r="C487" s="67"/>
      <c r="D487" s="67"/>
      <c r="E487" s="186"/>
      <c r="F487" s="67"/>
      <c r="G487" s="67"/>
      <c r="H487" s="67"/>
      <c r="I487" s="187"/>
      <c r="J487" s="186"/>
      <c r="K487" s="187"/>
      <c r="L487" s="186"/>
      <c r="M487" s="67"/>
      <c r="N487" s="67"/>
      <c r="Q487" s="417"/>
      <c r="S487" s="417"/>
      <c r="AA487" s="186"/>
    </row>
    <row r="488">
      <c r="A488" s="185"/>
      <c r="B488" s="67"/>
      <c r="C488" s="67"/>
      <c r="D488" s="67"/>
      <c r="E488" s="186"/>
      <c r="F488" s="67"/>
      <c r="G488" s="67"/>
      <c r="H488" s="67"/>
      <c r="I488" s="187"/>
      <c r="J488" s="186"/>
      <c r="K488" s="187"/>
      <c r="L488" s="186"/>
      <c r="M488" s="67"/>
      <c r="N488" s="67"/>
      <c r="Q488" s="417"/>
      <c r="S488" s="417"/>
      <c r="AA488" s="186"/>
    </row>
    <row r="489">
      <c r="A489" s="185"/>
      <c r="B489" s="67"/>
      <c r="C489" s="67"/>
      <c r="D489" s="67"/>
      <c r="E489" s="186"/>
      <c r="F489" s="67"/>
      <c r="G489" s="67"/>
      <c r="H489" s="67"/>
      <c r="I489" s="187"/>
      <c r="J489" s="186"/>
      <c r="K489" s="187"/>
      <c r="L489" s="186"/>
      <c r="M489" s="67"/>
      <c r="N489" s="67"/>
      <c r="Q489" s="417"/>
      <c r="S489" s="417"/>
      <c r="AA489" s="186"/>
    </row>
    <row r="490">
      <c r="A490" s="185"/>
      <c r="B490" s="67"/>
      <c r="C490" s="67"/>
      <c r="D490" s="67"/>
      <c r="E490" s="186"/>
      <c r="F490" s="67"/>
      <c r="G490" s="67"/>
      <c r="H490" s="67"/>
      <c r="I490" s="187"/>
      <c r="J490" s="186"/>
      <c r="K490" s="187"/>
      <c r="L490" s="186"/>
      <c r="M490" s="67"/>
      <c r="N490" s="67"/>
      <c r="Q490" s="417"/>
      <c r="S490" s="417"/>
      <c r="AA490" s="186"/>
    </row>
    <row r="491">
      <c r="A491" s="185"/>
      <c r="B491" s="67"/>
      <c r="C491" s="67"/>
      <c r="D491" s="67"/>
      <c r="E491" s="186"/>
      <c r="F491" s="67"/>
      <c r="G491" s="67"/>
      <c r="H491" s="67"/>
      <c r="I491" s="187"/>
      <c r="J491" s="186"/>
      <c r="K491" s="187"/>
      <c r="L491" s="186"/>
      <c r="M491" s="67"/>
      <c r="N491" s="67"/>
      <c r="Q491" s="417"/>
      <c r="S491" s="417"/>
      <c r="AA491" s="186"/>
    </row>
    <row r="492">
      <c r="A492" s="185"/>
      <c r="B492" s="67"/>
      <c r="C492" s="67"/>
      <c r="D492" s="67"/>
      <c r="E492" s="186"/>
      <c r="F492" s="67"/>
      <c r="G492" s="67"/>
      <c r="H492" s="67"/>
      <c r="I492" s="187"/>
      <c r="J492" s="186"/>
      <c r="K492" s="187"/>
      <c r="L492" s="186"/>
      <c r="M492" s="67"/>
      <c r="N492" s="67"/>
      <c r="Q492" s="417"/>
      <c r="S492" s="417"/>
      <c r="AA492" s="186"/>
    </row>
    <row r="493">
      <c r="A493" s="185"/>
      <c r="B493" s="67"/>
      <c r="C493" s="67"/>
      <c r="D493" s="67"/>
      <c r="E493" s="186"/>
      <c r="F493" s="67"/>
      <c r="G493" s="67"/>
      <c r="H493" s="67"/>
      <c r="I493" s="187"/>
      <c r="J493" s="186"/>
      <c r="K493" s="187"/>
      <c r="L493" s="186"/>
      <c r="M493" s="67"/>
      <c r="N493" s="67"/>
      <c r="Q493" s="417"/>
      <c r="S493" s="417"/>
      <c r="AA493" s="186"/>
    </row>
    <row r="494">
      <c r="A494" s="185"/>
      <c r="B494" s="67"/>
      <c r="C494" s="67"/>
      <c r="D494" s="67"/>
      <c r="E494" s="186"/>
      <c r="F494" s="67"/>
      <c r="G494" s="67"/>
      <c r="H494" s="67"/>
      <c r="I494" s="187"/>
      <c r="J494" s="186"/>
      <c r="K494" s="187"/>
      <c r="L494" s="186"/>
      <c r="M494" s="67"/>
      <c r="N494" s="67"/>
      <c r="Q494" s="417"/>
      <c r="S494" s="417"/>
      <c r="AA494" s="186"/>
    </row>
    <row r="495">
      <c r="A495" s="185"/>
      <c r="B495" s="67"/>
      <c r="C495" s="67"/>
      <c r="D495" s="67"/>
      <c r="E495" s="186"/>
      <c r="F495" s="67"/>
      <c r="G495" s="67"/>
      <c r="H495" s="67"/>
      <c r="I495" s="187"/>
      <c r="J495" s="186"/>
      <c r="K495" s="187"/>
      <c r="L495" s="186"/>
      <c r="M495" s="67"/>
      <c r="N495" s="67"/>
      <c r="Q495" s="417"/>
      <c r="S495" s="417"/>
      <c r="AA495" s="186"/>
    </row>
    <row r="496">
      <c r="A496" s="185"/>
      <c r="B496" s="67"/>
      <c r="C496" s="67"/>
      <c r="D496" s="67"/>
      <c r="E496" s="186"/>
      <c r="F496" s="67"/>
      <c r="G496" s="67"/>
      <c r="H496" s="67"/>
      <c r="I496" s="187"/>
      <c r="J496" s="186"/>
      <c r="K496" s="187"/>
      <c r="L496" s="186"/>
      <c r="M496" s="67"/>
      <c r="N496" s="67"/>
      <c r="Q496" s="417"/>
      <c r="S496" s="417"/>
      <c r="AA496" s="186"/>
    </row>
    <row r="497">
      <c r="A497" s="185"/>
      <c r="B497" s="67"/>
      <c r="C497" s="67"/>
      <c r="D497" s="67"/>
      <c r="E497" s="186"/>
      <c r="F497" s="67"/>
      <c r="G497" s="67"/>
      <c r="H497" s="67"/>
      <c r="I497" s="187"/>
      <c r="J497" s="186"/>
      <c r="K497" s="187"/>
      <c r="L497" s="186"/>
      <c r="M497" s="67"/>
      <c r="N497" s="67"/>
      <c r="Q497" s="417"/>
      <c r="S497" s="417"/>
      <c r="AA497" s="186"/>
    </row>
    <row r="498">
      <c r="A498" s="185"/>
      <c r="B498" s="67"/>
      <c r="C498" s="67"/>
      <c r="D498" s="67"/>
      <c r="E498" s="186"/>
      <c r="F498" s="67"/>
      <c r="G498" s="67"/>
      <c r="H498" s="67"/>
      <c r="I498" s="187"/>
      <c r="J498" s="186"/>
      <c r="K498" s="187"/>
      <c r="L498" s="186"/>
      <c r="M498" s="67"/>
      <c r="N498" s="67"/>
      <c r="Q498" s="417"/>
      <c r="S498" s="417"/>
      <c r="AA498" s="186"/>
    </row>
    <row r="499">
      <c r="A499" s="185"/>
      <c r="B499" s="67"/>
      <c r="C499" s="67"/>
      <c r="D499" s="67"/>
      <c r="E499" s="186"/>
      <c r="F499" s="67"/>
      <c r="G499" s="67"/>
      <c r="H499" s="67"/>
      <c r="I499" s="187"/>
      <c r="J499" s="186"/>
      <c r="K499" s="187"/>
      <c r="L499" s="186"/>
      <c r="M499" s="67"/>
      <c r="N499" s="67"/>
      <c r="Q499" s="417"/>
      <c r="S499" s="417"/>
      <c r="AA499" s="186"/>
    </row>
    <row r="500">
      <c r="A500" s="185"/>
      <c r="B500" s="67"/>
      <c r="C500" s="67"/>
      <c r="D500" s="67"/>
      <c r="E500" s="186"/>
      <c r="F500" s="67"/>
      <c r="G500" s="67"/>
      <c r="H500" s="67"/>
      <c r="I500" s="187"/>
      <c r="J500" s="186"/>
      <c r="K500" s="187"/>
      <c r="L500" s="186"/>
      <c r="M500" s="67"/>
      <c r="N500" s="67"/>
      <c r="Q500" s="417"/>
      <c r="S500" s="417"/>
      <c r="AA500" s="186"/>
    </row>
    <row r="501">
      <c r="A501" s="185"/>
      <c r="B501" s="67"/>
      <c r="C501" s="67"/>
      <c r="D501" s="67"/>
      <c r="E501" s="186"/>
      <c r="F501" s="67"/>
      <c r="G501" s="67"/>
      <c r="H501" s="67"/>
      <c r="I501" s="187"/>
      <c r="J501" s="186"/>
      <c r="K501" s="187"/>
      <c r="L501" s="186"/>
      <c r="M501" s="67"/>
      <c r="N501" s="67"/>
      <c r="Q501" s="417"/>
      <c r="S501" s="417"/>
      <c r="AA501" s="186"/>
    </row>
    <row r="502">
      <c r="A502" s="185"/>
      <c r="B502" s="67"/>
      <c r="C502" s="67"/>
      <c r="D502" s="67"/>
      <c r="E502" s="186"/>
      <c r="F502" s="67"/>
      <c r="G502" s="67"/>
      <c r="H502" s="67"/>
      <c r="I502" s="187"/>
      <c r="J502" s="186"/>
      <c r="K502" s="187"/>
      <c r="L502" s="186"/>
      <c r="M502" s="67"/>
      <c r="N502" s="67"/>
      <c r="Q502" s="417"/>
      <c r="S502" s="417"/>
      <c r="AA502" s="186"/>
    </row>
    <row r="503">
      <c r="A503" s="185"/>
      <c r="B503" s="67"/>
      <c r="C503" s="67"/>
      <c r="D503" s="67"/>
      <c r="E503" s="186"/>
      <c r="F503" s="67"/>
      <c r="G503" s="67"/>
      <c r="H503" s="67"/>
      <c r="I503" s="187"/>
      <c r="J503" s="186"/>
      <c r="K503" s="187"/>
      <c r="L503" s="186"/>
      <c r="M503" s="67"/>
      <c r="N503" s="67"/>
      <c r="Q503" s="417"/>
      <c r="S503" s="417"/>
      <c r="AA503" s="186"/>
    </row>
    <row r="504">
      <c r="A504" s="185"/>
      <c r="B504" s="67"/>
      <c r="C504" s="67"/>
      <c r="D504" s="67"/>
      <c r="E504" s="186"/>
      <c r="F504" s="67"/>
      <c r="G504" s="67"/>
      <c r="H504" s="67"/>
      <c r="I504" s="187"/>
      <c r="J504" s="186"/>
      <c r="K504" s="187"/>
      <c r="L504" s="186"/>
      <c r="M504" s="67"/>
      <c r="N504" s="67"/>
      <c r="Q504" s="417"/>
      <c r="S504" s="417"/>
      <c r="AA504" s="186"/>
    </row>
    <row r="505">
      <c r="A505" s="185"/>
      <c r="B505" s="67"/>
      <c r="C505" s="67"/>
      <c r="D505" s="67"/>
      <c r="E505" s="186"/>
      <c r="F505" s="67"/>
      <c r="G505" s="67"/>
      <c r="H505" s="67"/>
      <c r="I505" s="187"/>
      <c r="J505" s="186"/>
      <c r="K505" s="187"/>
      <c r="L505" s="186"/>
      <c r="M505" s="67"/>
      <c r="N505" s="67"/>
      <c r="Q505" s="417"/>
      <c r="S505" s="417"/>
      <c r="AA505" s="186"/>
    </row>
    <row r="506">
      <c r="A506" s="185"/>
      <c r="B506" s="67"/>
      <c r="C506" s="67"/>
      <c r="D506" s="67"/>
      <c r="E506" s="186"/>
      <c r="F506" s="67"/>
      <c r="G506" s="67"/>
      <c r="H506" s="67"/>
      <c r="I506" s="187"/>
      <c r="J506" s="186"/>
      <c r="K506" s="187"/>
      <c r="L506" s="186"/>
      <c r="M506" s="67"/>
      <c r="N506" s="67"/>
      <c r="Q506" s="417"/>
      <c r="S506" s="417"/>
      <c r="AA506" s="186"/>
    </row>
    <row r="507">
      <c r="A507" s="185"/>
      <c r="B507" s="67"/>
      <c r="C507" s="67"/>
      <c r="D507" s="67"/>
      <c r="E507" s="186"/>
      <c r="F507" s="67"/>
      <c r="G507" s="67"/>
      <c r="H507" s="67"/>
      <c r="I507" s="187"/>
      <c r="J507" s="186"/>
      <c r="K507" s="187"/>
      <c r="L507" s="186"/>
      <c r="M507" s="67"/>
      <c r="N507" s="67"/>
      <c r="Q507" s="417"/>
      <c r="S507" s="417"/>
      <c r="AA507" s="186"/>
    </row>
    <row r="508">
      <c r="A508" s="185"/>
      <c r="B508" s="67"/>
      <c r="C508" s="67"/>
      <c r="D508" s="67"/>
      <c r="E508" s="186"/>
      <c r="F508" s="67"/>
      <c r="G508" s="67"/>
      <c r="H508" s="67"/>
      <c r="I508" s="187"/>
      <c r="J508" s="186"/>
      <c r="K508" s="187"/>
      <c r="L508" s="186"/>
      <c r="M508" s="67"/>
      <c r="N508" s="67"/>
      <c r="Q508" s="417"/>
      <c r="S508" s="417"/>
      <c r="AA508" s="186"/>
    </row>
    <row r="509">
      <c r="A509" s="185"/>
      <c r="B509" s="67"/>
      <c r="C509" s="67"/>
      <c r="D509" s="67"/>
      <c r="E509" s="186"/>
      <c r="F509" s="67"/>
      <c r="G509" s="67"/>
      <c r="H509" s="67"/>
      <c r="I509" s="187"/>
      <c r="J509" s="186"/>
      <c r="K509" s="187"/>
      <c r="L509" s="186"/>
      <c r="M509" s="67"/>
      <c r="N509" s="67"/>
      <c r="Q509" s="417"/>
      <c r="S509" s="417"/>
      <c r="AA509" s="186"/>
    </row>
    <row r="510">
      <c r="A510" s="185"/>
      <c r="B510" s="67"/>
      <c r="C510" s="67"/>
      <c r="D510" s="67"/>
      <c r="E510" s="186"/>
      <c r="F510" s="67"/>
      <c r="G510" s="67"/>
      <c r="H510" s="67"/>
      <c r="I510" s="187"/>
      <c r="J510" s="186"/>
      <c r="K510" s="187"/>
      <c r="L510" s="186"/>
      <c r="M510" s="67"/>
      <c r="N510" s="67"/>
      <c r="Q510" s="417"/>
      <c r="S510" s="417"/>
      <c r="AA510" s="186"/>
    </row>
    <row r="511">
      <c r="A511" s="185"/>
      <c r="B511" s="67"/>
      <c r="C511" s="67"/>
      <c r="D511" s="67"/>
      <c r="E511" s="186"/>
      <c r="F511" s="67"/>
      <c r="G511" s="67"/>
      <c r="H511" s="67"/>
      <c r="I511" s="187"/>
      <c r="J511" s="186"/>
      <c r="K511" s="187"/>
      <c r="L511" s="186"/>
      <c r="M511" s="67"/>
      <c r="N511" s="67"/>
      <c r="Q511" s="417"/>
      <c r="S511" s="417"/>
      <c r="AA511" s="186"/>
    </row>
    <row r="512">
      <c r="A512" s="185"/>
      <c r="B512" s="67"/>
      <c r="C512" s="67"/>
      <c r="D512" s="67"/>
      <c r="E512" s="186"/>
      <c r="F512" s="67"/>
      <c r="G512" s="67"/>
      <c r="H512" s="67"/>
      <c r="I512" s="187"/>
      <c r="J512" s="186"/>
      <c r="K512" s="187"/>
      <c r="L512" s="186"/>
      <c r="M512" s="67"/>
      <c r="N512" s="67"/>
      <c r="Q512" s="417"/>
      <c r="S512" s="417"/>
      <c r="AA512" s="186"/>
    </row>
    <row r="513">
      <c r="A513" s="185"/>
      <c r="B513" s="67"/>
      <c r="C513" s="67"/>
      <c r="D513" s="67"/>
      <c r="E513" s="186"/>
      <c r="F513" s="67"/>
      <c r="G513" s="67"/>
      <c r="H513" s="67"/>
      <c r="I513" s="187"/>
      <c r="J513" s="186"/>
      <c r="K513" s="187"/>
      <c r="L513" s="186"/>
      <c r="M513" s="67"/>
      <c r="N513" s="67"/>
      <c r="Q513" s="417"/>
      <c r="S513" s="417"/>
      <c r="AA513" s="186"/>
    </row>
    <row r="514">
      <c r="A514" s="185"/>
      <c r="B514" s="67"/>
      <c r="C514" s="67"/>
      <c r="D514" s="67"/>
      <c r="E514" s="186"/>
      <c r="F514" s="67"/>
      <c r="G514" s="67"/>
      <c r="H514" s="67"/>
      <c r="I514" s="187"/>
      <c r="J514" s="186"/>
      <c r="K514" s="187"/>
      <c r="L514" s="186"/>
      <c r="M514" s="67"/>
      <c r="N514" s="67"/>
      <c r="Q514" s="417"/>
      <c r="S514" s="417"/>
      <c r="AA514" s="186"/>
    </row>
    <row r="515">
      <c r="A515" s="185"/>
      <c r="B515" s="67"/>
      <c r="C515" s="67"/>
      <c r="D515" s="67"/>
      <c r="E515" s="186"/>
      <c r="F515" s="67"/>
      <c r="G515" s="67"/>
      <c r="H515" s="67"/>
      <c r="I515" s="187"/>
      <c r="J515" s="186"/>
      <c r="K515" s="187"/>
      <c r="L515" s="186"/>
      <c r="M515" s="67"/>
      <c r="N515" s="67"/>
      <c r="Q515" s="417"/>
      <c r="S515" s="417"/>
      <c r="AA515" s="186"/>
    </row>
    <row r="516">
      <c r="A516" s="185"/>
      <c r="B516" s="67"/>
      <c r="C516" s="67"/>
      <c r="D516" s="67"/>
      <c r="E516" s="186"/>
      <c r="F516" s="67"/>
      <c r="G516" s="67"/>
      <c r="H516" s="67"/>
      <c r="I516" s="187"/>
      <c r="J516" s="186"/>
      <c r="K516" s="187"/>
      <c r="L516" s="186"/>
      <c r="M516" s="67"/>
      <c r="N516" s="67"/>
      <c r="Q516" s="417"/>
      <c r="S516" s="417"/>
      <c r="AA516" s="186"/>
    </row>
    <row r="517">
      <c r="A517" s="185"/>
      <c r="B517" s="67"/>
      <c r="C517" s="67"/>
      <c r="D517" s="67"/>
      <c r="E517" s="186"/>
      <c r="F517" s="67"/>
      <c r="G517" s="67"/>
      <c r="H517" s="67"/>
      <c r="I517" s="187"/>
      <c r="J517" s="186"/>
      <c r="K517" s="187"/>
      <c r="L517" s="186"/>
      <c r="M517" s="67"/>
      <c r="N517" s="67"/>
      <c r="Q517" s="417"/>
      <c r="S517" s="417"/>
      <c r="AA517" s="186"/>
    </row>
    <row r="518">
      <c r="A518" s="185"/>
      <c r="B518" s="67"/>
      <c r="C518" s="67"/>
      <c r="D518" s="67"/>
      <c r="E518" s="186"/>
      <c r="F518" s="67"/>
      <c r="G518" s="67"/>
      <c r="H518" s="67"/>
      <c r="I518" s="187"/>
      <c r="J518" s="186"/>
      <c r="K518" s="187"/>
      <c r="L518" s="186"/>
      <c r="M518" s="67"/>
      <c r="N518" s="67"/>
      <c r="Q518" s="417"/>
      <c r="S518" s="417"/>
      <c r="AA518" s="186"/>
    </row>
    <row r="519">
      <c r="A519" s="185"/>
      <c r="B519" s="67"/>
      <c r="C519" s="67"/>
      <c r="D519" s="67"/>
      <c r="E519" s="186"/>
      <c r="F519" s="67"/>
      <c r="G519" s="67"/>
      <c r="H519" s="67"/>
      <c r="I519" s="187"/>
      <c r="J519" s="186"/>
      <c r="K519" s="187"/>
      <c r="L519" s="186"/>
      <c r="M519" s="67"/>
      <c r="N519" s="67"/>
      <c r="Q519" s="417"/>
      <c r="S519" s="417"/>
      <c r="AA519" s="186"/>
    </row>
    <row r="520">
      <c r="A520" s="185"/>
      <c r="B520" s="67"/>
      <c r="C520" s="67"/>
      <c r="D520" s="67"/>
      <c r="E520" s="186"/>
      <c r="F520" s="67"/>
      <c r="G520" s="67"/>
      <c r="H520" s="67"/>
      <c r="I520" s="187"/>
      <c r="J520" s="186"/>
      <c r="K520" s="187"/>
      <c r="L520" s="186"/>
      <c r="M520" s="67"/>
      <c r="N520" s="67"/>
      <c r="Q520" s="417"/>
      <c r="S520" s="417"/>
      <c r="AA520" s="186"/>
    </row>
    <row r="521">
      <c r="A521" s="185"/>
      <c r="B521" s="67"/>
      <c r="C521" s="67"/>
      <c r="D521" s="67"/>
      <c r="E521" s="186"/>
      <c r="F521" s="67"/>
      <c r="G521" s="67"/>
      <c r="H521" s="67"/>
      <c r="I521" s="187"/>
      <c r="J521" s="186"/>
      <c r="K521" s="187"/>
      <c r="L521" s="186"/>
      <c r="M521" s="67"/>
      <c r="N521" s="67"/>
      <c r="Q521" s="417"/>
      <c r="S521" s="417"/>
      <c r="AA521" s="186"/>
    </row>
    <row r="522">
      <c r="A522" s="185"/>
      <c r="B522" s="67"/>
      <c r="C522" s="67"/>
      <c r="D522" s="67"/>
      <c r="E522" s="186"/>
      <c r="F522" s="67"/>
      <c r="G522" s="67"/>
      <c r="H522" s="67"/>
      <c r="I522" s="187"/>
      <c r="J522" s="186"/>
      <c r="K522" s="187"/>
      <c r="L522" s="186"/>
      <c r="M522" s="67"/>
      <c r="N522" s="67"/>
      <c r="Q522" s="417"/>
      <c r="S522" s="417"/>
      <c r="AA522" s="186"/>
    </row>
    <row r="523">
      <c r="A523" s="185"/>
      <c r="B523" s="67"/>
      <c r="C523" s="67"/>
      <c r="D523" s="67"/>
      <c r="E523" s="186"/>
      <c r="F523" s="67"/>
      <c r="G523" s="67"/>
      <c r="H523" s="67"/>
      <c r="I523" s="187"/>
      <c r="J523" s="186"/>
      <c r="K523" s="187"/>
      <c r="L523" s="186"/>
      <c r="M523" s="67"/>
      <c r="N523" s="67"/>
      <c r="Q523" s="417"/>
      <c r="S523" s="417"/>
      <c r="AA523" s="186"/>
    </row>
    <row r="524">
      <c r="A524" s="185"/>
      <c r="B524" s="67"/>
      <c r="C524" s="67"/>
      <c r="D524" s="67"/>
      <c r="E524" s="186"/>
      <c r="F524" s="67"/>
      <c r="G524" s="67"/>
      <c r="H524" s="67"/>
      <c r="I524" s="187"/>
      <c r="J524" s="186"/>
      <c r="K524" s="187"/>
      <c r="L524" s="186"/>
      <c r="M524" s="67"/>
      <c r="N524" s="67"/>
      <c r="Q524" s="417"/>
      <c r="S524" s="417"/>
      <c r="AA524" s="186"/>
    </row>
    <row r="525">
      <c r="A525" s="185"/>
      <c r="B525" s="67"/>
      <c r="C525" s="67"/>
      <c r="D525" s="67"/>
      <c r="E525" s="186"/>
      <c r="F525" s="67"/>
      <c r="G525" s="67"/>
      <c r="H525" s="67"/>
      <c r="I525" s="187"/>
      <c r="J525" s="186"/>
      <c r="K525" s="187"/>
      <c r="L525" s="186"/>
      <c r="M525" s="67"/>
      <c r="N525" s="67"/>
      <c r="Q525" s="417"/>
      <c r="S525" s="417"/>
      <c r="AA525" s="186"/>
    </row>
    <row r="526">
      <c r="A526" s="185"/>
      <c r="B526" s="67"/>
      <c r="C526" s="67"/>
      <c r="D526" s="67"/>
      <c r="E526" s="186"/>
      <c r="F526" s="67"/>
      <c r="G526" s="67"/>
      <c r="H526" s="67"/>
      <c r="I526" s="187"/>
      <c r="J526" s="186"/>
      <c r="K526" s="187"/>
      <c r="L526" s="186"/>
      <c r="M526" s="67"/>
      <c r="N526" s="67"/>
      <c r="Q526" s="417"/>
      <c r="S526" s="417"/>
      <c r="AA526" s="186"/>
    </row>
    <row r="527">
      <c r="A527" s="185"/>
      <c r="B527" s="67"/>
      <c r="C527" s="67"/>
      <c r="D527" s="67"/>
      <c r="E527" s="186"/>
      <c r="F527" s="67"/>
      <c r="G527" s="67"/>
      <c r="H527" s="67"/>
      <c r="I527" s="187"/>
      <c r="J527" s="186"/>
      <c r="K527" s="187"/>
      <c r="L527" s="186"/>
      <c r="M527" s="67"/>
      <c r="N527" s="67"/>
      <c r="Q527" s="417"/>
      <c r="S527" s="417"/>
      <c r="AA527" s="186"/>
    </row>
    <row r="528">
      <c r="A528" s="185"/>
      <c r="B528" s="67"/>
      <c r="C528" s="67"/>
      <c r="D528" s="67"/>
      <c r="E528" s="186"/>
      <c r="F528" s="67"/>
      <c r="G528" s="67"/>
      <c r="H528" s="67"/>
      <c r="I528" s="187"/>
      <c r="J528" s="186"/>
      <c r="K528" s="187"/>
      <c r="L528" s="186"/>
      <c r="M528" s="67"/>
      <c r="N528" s="67"/>
      <c r="Q528" s="417"/>
      <c r="S528" s="417"/>
      <c r="AA528" s="186"/>
    </row>
    <row r="529">
      <c r="A529" s="185"/>
      <c r="B529" s="67"/>
      <c r="C529" s="67"/>
      <c r="D529" s="67"/>
      <c r="E529" s="186"/>
      <c r="F529" s="67"/>
      <c r="G529" s="67"/>
      <c r="H529" s="67"/>
      <c r="I529" s="187"/>
      <c r="J529" s="186"/>
      <c r="K529" s="187"/>
      <c r="L529" s="186"/>
      <c r="M529" s="67"/>
      <c r="N529" s="67"/>
      <c r="Q529" s="417"/>
      <c r="S529" s="417"/>
      <c r="AA529" s="186"/>
    </row>
    <row r="530">
      <c r="A530" s="185"/>
      <c r="B530" s="67"/>
      <c r="C530" s="67"/>
      <c r="D530" s="67"/>
      <c r="E530" s="186"/>
      <c r="F530" s="67"/>
      <c r="G530" s="67"/>
      <c r="H530" s="67"/>
      <c r="I530" s="187"/>
      <c r="J530" s="186"/>
      <c r="K530" s="187"/>
      <c r="L530" s="186"/>
      <c r="M530" s="67"/>
      <c r="N530" s="67"/>
      <c r="Q530" s="417"/>
      <c r="S530" s="417"/>
      <c r="AA530" s="186"/>
    </row>
    <row r="531">
      <c r="A531" s="185"/>
      <c r="B531" s="67"/>
      <c r="C531" s="67"/>
      <c r="D531" s="67"/>
      <c r="E531" s="186"/>
      <c r="F531" s="67"/>
      <c r="G531" s="67"/>
      <c r="H531" s="67"/>
      <c r="I531" s="187"/>
      <c r="J531" s="186"/>
      <c r="K531" s="187"/>
      <c r="L531" s="186"/>
      <c r="M531" s="67"/>
      <c r="N531" s="67"/>
      <c r="Q531" s="417"/>
      <c r="S531" s="417"/>
      <c r="AA531" s="186"/>
    </row>
    <row r="532">
      <c r="A532" s="185"/>
      <c r="B532" s="67"/>
      <c r="C532" s="67"/>
      <c r="D532" s="67"/>
      <c r="E532" s="186"/>
      <c r="F532" s="67"/>
      <c r="G532" s="67"/>
      <c r="H532" s="67"/>
      <c r="I532" s="187"/>
      <c r="J532" s="186"/>
      <c r="K532" s="187"/>
      <c r="L532" s="186"/>
      <c r="M532" s="67"/>
      <c r="N532" s="67"/>
      <c r="Q532" s="417"/>
      <c r="S532" s="417"/>
      <c r="AA532" s="186"/>
    </row>
    <row r="533">
      <c r="A533" s="185"/>
      <c r="B533" s="67"/>
      <c r="C533" s="67"/>
      <c r="D533" s="67"/>
      <c r="E533" s="186"/>
      <c r="F533" s="67"/>
      <c r="G533" s="67"/>
      <c r="H533" s="67"/>
      <c r="I533" s="187"/>
      <c r="J533" s="186"/>
      <c r="K533" s="187"/>
      <c r="L533" s="186"/>
      <c r="M533" s="67"/>
      <c r="N533" s="67"/>
      <c r="Q533" s="417"/>
      <c r="S533" s="417"/>
      <c r="AA533" s="186"/>
    </row>
    <row r="534">
      <c r="A534" s="185"/>
      <c r="B534" s="67"/>
      <c r="C534" s="67"/>
      <c r="D534" s="67"/>
      <c r="E534" s="186"/>
      <c r="F534" s="67"/>
      <c r="G534" s="67"/>
      <c r="H534" s="67"/>
      <c r="I534" s="187"/>
      <c r="J534" s="186"/>
      <c r="K534" s="187"/>
      <c r="L534" s="186"/>
      <c r="M534" s="67"/>
      <c r="N534" s="67"/>
      <c r="Q534" s="417"/>
      <c r="S534" s="417"/>
      <c r="AA534" s="186"/>
    </row>
    <row r="535">
      <c r="A535" s="185"/>
      <c r="B535" s="67"/>
      <c r="C535" s="67"/>
      <c r="D535" s="67"/>
      <c r="E535" s="186"/>
      <c r="F535" s="67"/>
      <c r="G535" s="67"/>
      <c r="H535" s="67"/>
      <c r="I535" s="187"/>
      <c r="J535" s="186"/>
      <c r="K535" s="187"/>
      <c r="L535" s="186"/>
      <c r="M535" s="67"/>
      <c r="N535" s="67"/>
      <c r="Q535" s="417"/>
      <c r="S535" s="417"/>
      <c r="AA535" s="186"/>
    </row>
    <row r="536">
      <c r="A536" s="185"/>
      <c r="B536" s="67"/>
      <c r="C536" s="67"/>
      <c r="D536" s="67"/>
      <c r="E536" s="186"/>
      <c r="F536" s="67"/>
      <c r="G536" s="67"/>
      <c r="H536" s="67"/>
      <c r="I536" s="187"/>
      <c r="J536" s="186"/>
      <c r="K536" s="187"/>
      <c r="L536" s="186"/>
      <c r="M536" s="67"/>
      <c r="N536" s="67"/>
      <c r="Q536" s="417"/>
      <c r="S536" s="417"/>
      <c r="AA536" s="186"/>
    </row>
    <row r="537">
      <c r="A537" s="185"/>
      <c r="B537" s="67"/>
      <c r="C537" s="67"/>
      <c r="D537" s="67"/>
      <c r="E537" s="186"/>
      <c r="F537" s="67"/>
      <c r="G537" s="67"/>
      <c r="H537" s="67"/>
      <c r="I537" s="187"/>
      <c r="J537" s="186"/>
      <c r="K537" s="187"/>
      <c r="L537" s="186"/>
      <c r="M537" s="67"/>
      <c r="N537" s="67"/>
      <c r="Q537" s="417"/>
      <c r="S537" s="417"/>
      <c r="AA537" s="186"/>
    </row>
    <row r="538">
      <c r="A538" s="185"/>
      <c r="B538" s="67"/>
      <c r="C538" s="67"/>
      <c r="D538" s="67"/>
      <c r="E538" s="186"/>
      <c r="F538" s="67"/>
      <c r="G538" s="67"/>
      <c r="H538" s="67"/>
      <c r="I538" s="187"/>
      <c r="J538" s="186"/>
      <c r="K538" s="187"/>
      <c r="L538" s="186"/>
      <c r="M538" s="67"/>
      <c r="N538" s="67"/>
      <c r="Q538" s="417"/>
      <c r="S538" s="417"/>
      <c r="AA538" s="186"/>
    </row>
    <row r="539">
      <c r="A539" s="185"/>
      <c r="B539" s="67"/>
      <c r="C539" s="67"/>
      <c r="D539" s="67"/>
      <c r="E539" s="186"/>
      <c r="F539" s="67"/>
      <c r="G539" s="67"/>
      <c r="H539" s="67"/>
      <c r="I539" s="187"/>
      <c r="J539" s="186"/>
      <c r="K539" s="187"/>
      <c r="L539" s="186"/>
      <c r="M539" s="67"/>
      <c r="N539" s="67"/>
      <c r="Q539" s="417"/>
      <c r="S539" s="417"/>
      <c r="AA539" s="186"/>
    </row>
    <row r="540">
      <c r="A540" s="185"/>
      <c r="B540" s="67"/>
      <c r="C540" s="67"/>
      <c r="D540" s="67"/>
      <c r="E540" s="186"/>
      <c r="F540" s="67"/>
      <c r="G540" s="67"/>
      <c r="H540" s="67"/>
      <c r="I540" s="187"/>
      <c r="J540" s="186"/>
      <c r="K540" s="187"/>
      <c r="L540" s="186"/>
      <c r="M540" s="67"/>
      <c r="N540" s="67"/>
      <c r="Q540" s="417"/>
      <c r="S540" s="417"/>
      <c r="AA540" s="186"/>
    </row>
    <row r="541">
      <c r="A541" s="185"/>
      <c r="B541" s="67"/>
      <c r="C541" s="67"/>
      <c r="D541" s="67"/>
      <c r="E541" s="186"/>
      <c r="F541" s="67"/>
      <c r="G541" s="67"/>
      <c r="H541" s="67"/>
      <c r="I541" s="187"/>
      <c r="J541" s="186"/>
      <c r="K541" s="187"/>
      <c r="L541" s="186"/>
      <c r="M541" s="67"/>
      <c r="N541" s="67"/>
      <c r="Q541" s="417"/>
      <c r="S541" s="417"/>
      <c r="AA541" s="186"/>
    </row>
    <row r="542">
      <c r="A542" s="185"/>
      <c r="B542" s="67"/>
      <c r="C542" s="67"/>
      <c r="D542" s="67"/>
      <c r="E542" s="186"/>
      <c r="F542" s="67"/>
      <c r="G542" s="67"/>
      <c r="H542" s="67"/>
      <c r="I542" s="187"/>
      <c r="J542" s="186"/>
      <c r="K542" s="187"/>
      <c r="L542" s="186"/>
      <c r="M542" s="67"/>
      <c r="N542" s="67"/>
      <c r="Q542" s="417"/>
      <c r="S542" s="417"/>
      <c r="AA542" s="186"/>
    </row>
    <row r="543">
      <c r="A543" s="185"/>
      <c r="B543" s="67"/>
      <c r="C543" s="67"/>
      <c r="D543" s="67"/>
      <c r="E543" s="186"/>
      <c r="F543" s="67"/>
      <c r="G543" s="67"/>
      <c r="H543" s="67"/>
      <c r="I543" s="187"/>
      <c r="J543" s="186"/>
      <c r="K543" s="187"/>
      <c r="L543" s="186"/>
      <c r="M543" s="67"/>
      <c r="N543" s="67"/>
      <c r="Q543" s="417"/>
      <c r="S543" s="417"/>
      <c r="AA543" s="186"/>
    </row>
    <row r="544">
      <c r="A544" s="185"/>
      <c r="B544" s="67"/>
      <c r="C544" s="67"/>
      <c r="D544" s="67"/>
      <c r="E544" s="186"/>
      <c r="F544" s="67"/>
      <c r="G544" s="67"/>
      <c r="H544" s="67"/>
      <c r="I544" s="187"/>
      <c r="J544" s="186"/>
      <c r="K544" s="187"/>
      <c r="L544" s="186"/>
      <c r="M544" s="67"/>
      <c r="N544" s="67"/>
      <c r="Q544" s="417"/>
      <c r="S544" s="417"/>
      <c r="AA544" s="186"/>
    </row>
    <row r="545">
      <c r="A545" s="185"/>
      <c r="B545" s="67"/>
      <c r="C545" s="67"/>
      <c r="D545" s="67"/>
      <c r="E545" s="186"/>
      <c r="F545" s="67"/>
      <c r="G545" s="67"/>
      <c r="H545" s="67"/>
      <c r="I545" s="187"/>
      <c r="J545" s="186"/>
      <c r="K545" s="187"/>
      <c r="L545" s="186"/>
      <c r="M545" s="67"/>
      <c r="N545" s="67"/>
      <c r="Q545" s="417"/>
      <c r="S545" s="417"/>
      <c r="AA545" s="186"/>
    </row>
    <row r="546">
      <c r="A546" s="185"/>
      <c r="B546" s="67"/>
      <c r="C546" s="67"/>
      <c r="D546" s="67"/>
      <c r="E546" s="186"/>
      <c r="F546" s="67"/>
      <c r="G546" s="67"/>
      <c r="H546" s="67"/>
      <c r="I546" s="187"/>
      <c r="J546" s="186"/>
      <c r="K546" s="187"/>
      <c r="L546" s="186"/>
      <c r="M546" s="67"/>
      <c r="N546" s="67"/>
      <c r="Q546" s="417"/>
      <c r="S546" s="417"/>
      <c r="AA546" s="186"/>
    </row>
    <row r="547">
      <c r="A547" s="185"/>
      <c r="B547" s="67"/>
      <c r="C547" s="67"/>
      <c r="D547" s="67"/>
      <c r="E547" s="186"/>
      <c r="F547" s="67"/>
      <c r="G547" s="67"/>
      <c r="H547" s="67"/>
      <c r="I547" s="187"/>
      <c r="J547" s="186"/>
      <c r="K547" s="187"/>
      <c r="L547" s="186"/>
      <c r="M547" s="67"/>
      <c r="N547" s="67"/>
      <c r="Q547" s="417"/>
      <c r="S547" s="417"/>
      <c r="AA547" s="186"/>
    </row>
    <row r="548">
      <c r="A548" s="185"/>
      <c r="B548" s="67"/>
      <c r="C548" s="67"/>
      <c r="D548" s="67"/>
      <c r="E548" s="186"/>
      <c r="F548" s="67"/>
      <c r="G548" s="67"/>
      <c r="H548" s="67"/>
      <c r="I548" s="187"/>
      <c r="J548" s="186"/>
      <c r="K548" s="187"/>
      <c r="L548" s="186"/>
      <c r="M548" s="67"/>
      <c r="N548" s="67"/>
      <c r="Q548" s="417"/>
      <c r="S548" s="417"/>
      <c r="AA548" s="186"/>
    </row>
    <row r="549">
      <c r="A549" s="185"/>
      <c r="B549" s="67"/>
      <c r="C549" s="67"/>
      <c r="D549" s="67"/>
      <c r="E549" s="186"/>
      <c r="F549" s="67"/>
      <c r="G549" s="67"/>
      <c r="H549" s="67"/>
      <c r="I549" s="187"/>
      <c r="J549" s="186"/>
      <c r="K549" s="187"/>
      <c r="L549" s="186"/>
      <c r="M549" s="67"/>
      <c r="N549" s="67"/>
      <c r="Q549" s="417"/>
      <c r="S549" s="417"/>
      <c r="AA549" s="186"/>
    </row>
    <row r="550">
      <c r="A550" s="185"/>
      <c r="B550" s="67"/>
      <c r="C550" s="67"/>
      <c r="D550" s="67"/>
      <c r="E550" s="186"/>
      <c r="F550" s="67"/>
      <c r="G550" s="67"/>
      <c r="H550" s="67"/>
      <c r="I550" s="187"/>
      <c r="J550" s="186"/>
      <c r="K550" s="187"/>
      <c r="L550" s="186"/>
      <c r="M550" s="67"/>
      <c r="N550" s="67"/>
      <c r="Q550" s="417"/>
      <c r="S550" s="417"/>
      <c r="AA550" s="186"/>
    </row>
    <row r="551">
      <c r="A551" s="185"/>
      <c r="B551" s="67"/>
      <c r="C551" s="67"/>
      <c r="D551" s="67"/>
      <c r="E551" s="186"/>
      <c r="F551" s="67"/>
      <c r="G551" s="67"/>
      <c r="H551" s="67"/>
      <c r="I551" s="187"/>
      <c r="J551" s="186"/>
      <c r="K551" s="187"/>
      <c r="L551" s="186"/>
      <c r="M551" s="67"/>
      <c r="N551" s="67"/>
      <c r="Q551" s="417"/>
      <c r="S551" s="417"/>
      <c r="AA551" s="186"/>
    </row>
    <row r="552">
      <c r="A552" s="185"/>
      <c r="B552" s="67"/>
      <c r="C552" s="67"/>
      <c r="D552" s="67"/>
      <c r="E552" s="186"/>
      <c r="F552" s="67"/>
      <c r="G552" s="67"/>
      <c r="H552" s="67"/>
      <c r="I552" s="187"/>
      <c r="J552" s="186"/>
      <c r="K552" s="187"/>
      <c r="L552" s="186"/>
      <c r="M552" s="67"/>
      <c r="N552" s="67"/>
      <c r="Q552" s="417"/>
      <c r="S552" s="417"/>
      <c r="AA552" s="186"/>
    </row>
    <row r="553">
      <c r="A553" s="185"/>
      <c r="B553" s="67"/>
      <c r="C553" s="67"/>
      <c r="D553" s="67"/>
      <c r="E553" s="186"/>
      <c r="F553" s="67"/>
      <c r="G553" s="67"/>
      <c r="H553" s="67"/>
      <c r="I553" s="187"/>
      <c r="J553" s="186"/>
      <c r="K553" s="187"/>
      <c r="L553" s="186"/>
      <c r="M553" s="67"/>
      <c r="N553" s="67"/>
      <c r="Q553" s="417"/>
      <c r="S553" s="417"/>
      <c r="AA553" s="186"/>
    </row>
    <row r="554">
      <c r="A554" s="185"/>
      <c r="B554" s="67"/>
      <c r="C554" s="67"/>
      <c r="D554" s="67"/>
      <c r="E554" s="186"/>
      <c r="F554" s="67"/>
      <c r="G554" s="67"/>
      <c r="H554" s="67"/>
      <c r="I554" s="187"/>
      <c r="J554" s="186"/>
      <c r="K554" s="187"/>
      <c r="L554" s="186"/>
      <c r="M554" s="67"/>
      <c r="N554" s="67"/>
      <c r="Q554" s="417"/>
      <c r="S554" s="417"/>
      <c r="AA554" s="186"/>
    </row>
    <row r="555">
      <c r="A555" s="185"/>
      <c r="B555" s="67"/>
      <c r="C555" s="67"/>
      <c r="D555" s="67"/>
      <c r="E555" s="186"/>
      <c r="F555" s="67"/>
      <c r="G555" s="67"/>
      <c r="H555" s="67"/>
      <c r="I555" s="187"/>
      <c r="J555" s="186"/>
      <c r="K555" s="187"/>
      <c r="L555" s="186"/>
      <c r="M555" s="67"/>
      <c r="N555" s="67"/>
      <c r="Q555" s="417"/>
      <c r="S555" s="417"/>
      <c r="AA555" s="186"/>
    </row>
    <row r="556">
      <c r="A556" s="185"/>
      <c r="B556" s="67"/>
      <c r="C556" s="67"/>
      <c r="D556" s="67"/>
      <c r="E556" s="186"/>
      <c r="F556" s="67"/>
      <c r="G556" s="67"/>
      <c r="H556" s="67"/>
      <c r="I556" s="187"/>
      <c r="J556" s="186"/>
      <c r="K556" s="187"/>
      <c r="L556" s="186"/>
      <c r="M556" s="67"/>
      <c r="N556" s="67"/>
      <c r="Q556" s="417"/>
      <c r="S556" s="417"/>
      <c r="AA556" s="186"/>
    </row>
    <row r="557">
      <c r="A557" s="185"/>
      <c r="B557" s="67"/>
      <c r="C557" s="67"/>
      <c r="D557" s="67"/>
      <c r="E557" s="186"/>
      <c r="F557" s="67"/>
      <c r="G557" s="67"/>
      <c r="H557" s="67"/>
      <c r="I557" s="187"/>
      <c r="J557" s="186"/>
      <c r="K557" s="187"/>
      <c r="L557" s="186"/>
      <c r="M557" s="67"/>
      <c r="N557" s="67"/>
      <c r="Q557" s="417"/>
      <c r="S557" s="417"/>
      <c r="AA557" s="186"/>
    </row>
    <row r="558">
      <c r="A558" s="185"/>
      <c r="B558" s="67"/>
      <c r="C558" s="67"/>
      <c r="D558" s="67"/>
      <c r="E558" s="186"/>
      <c r="F558" s="67"/>
      <c r="G558" s="67"/>
      <c r="H558" s="67"/>
      <c r="I558" s="187"/>
      <c r="J558" s="186"/>
      <c r="K558" s="187"/>
      <c r="L558" s="186"/>
      <c r="M558" s="67"/>
      <c r="N558" s="67"/>
      <c r="Q558" s="417"/>
      <c r="S558" s="417"/>
      <c r="AA558" s="186"/>
    </row>
    <row r="559">
      <c r="A559" s="185"/>
      <c r="B559" s="67"/>
      <c r="C559" s="67"/>
      <c r="D559" s="67"/>
      <c r="E559" s="186"/>
      <c r="F559" s="67"/>
      <c r="G559" s="67"/>
      <c r="H559" s="67"/>
      <c r="I559" s="187"/>
      <c r="J559" s="186"/>
      <c r="K559" s="187"/>
      <c r="L559" s="186"/>
      <c r="M559" s="67"/>
      <c r="N559" s="67"/>
      <c r="Q559" s="417"/>
      <c r="S559" s="417"/>
      <c r="AA559" s="186"/>
    </row>
    <row r="560">
      <c r="A560" s="185"/>
      <c r="B560" s="67"/>
      <c r="C560" s="67"/>
      <c r="D560" s="67"/>
      <c r="E560" s="186"/>
      <c r="F560" s="67"/>
      <c r="G560" s="67"/>
      <c r="H560" s="67"/>
      <c r="I560" s="187"/>
      <c r="J560" s="186"/>
      <c r="K560" s="187"/>
      <c r="L560" s="186"/>
      <c r="M560" s="67"/>
      <c r="N560" s="67"/>
      <c r="Q560" s="417"/>
      <c r="S560" s="417"/>
      <c r="AA560" s="186"/>
    </row>
    <row r="561">
      <c r="A561" s="185"/>
      <c r="B561" s="67"/>
      <c r="C561" s="67"/>
      <c r="D561" s="67"/>
      <c r="E561" s="186"/>
      <c r="F561" s="67"/>
      <c r="G561" s="67"/>
      <c r="H561" s="67"/>
      <c r="I561" s="187"/>
      <c r="J561" s="186"/>
      <c r="K561" s="187"/>
      <c r="L561" s="186"/>
      <c r="M561" s="67"/>
      <c r="N561" s="67"/>
      <c r="Q561" s="417"/>
      <c r="S561" s="417"/>
      <c r="AA561" s="186"/>
    </row>
    <row r="562">
      <c r="A562" s="185"/>
      <c r="B562" s="67"/>
      <c r="C562" s="67"/>
      <c r="D562" s="67"/>
      <c r="E562" s="186"/>
      <c r="F562" s="67"/>
      <c r="G562" s="67"/>
      <c r="H562" s="67"/>
      <c r="I562" s="187"/>
      <c r="J562" s="186"/>
      <c r="K562" s="187"/>
      <c r="L562" s="186"/>
      <c r="M562" s="67"/>
      <c r="N562" s="67"/>
      <c r="Q562" s="417"/>
      <c r="S562" s="417"/>
      <c r="AA562" s="186"/>
    </row>
    <row r="563">
      <c r="A563" s="185"/>
      <c r="B563" s="67"/>
      <c r="C563" s="67"/>
      <c r="D563" s="67"/>
      <c r="E563" s="186"/>
      <c r="F563" s="67"/>
      <c r="G563" s="67"/>
      <c r="H563" s="67"/>
      <c r="I563" s="187"/>
      <c r="J563" s="186"/>
      <c r="K563" s="187"/>
      <c r="L563" s="186"/>
      <c r="M563" s="67"/>
      <c r="N563" s="67"/>
      <c r="Q563" s="417"/>
      <c r="S563" s="417"/>
      <c r="AA563" s="186"/>
    </row>
    <row r="564">
      <c r="A564" s="185"/>
      <c r="B564" s="67"/>
      <c r="C564" s="67"/>
      <c r="D564" s="67"/>
      <c r="E564" s="186"/>
      <c r="F564" s="67"/>
      <c r="G564" s="67"/>
      <c r="H564" s="67"/>
      <c r="I564" s="187"/>
      <c r="J564" s="186"/>
      <c r="K564" s="187"/>
      <c r="L564" s="186"/>
      <c r="M564" s="67"/>
      <c r="N564" s="67"/>
      <c r="Q564" s="417"/>
      <c r="S564" s="417"/>
      <c r="AA564" s="186"/>
    </row>
    <row r="565">
      <c r="A565" s="185"/>
      <c r="B565" s="67"/>
      <c r="C565" s="67"/>
      <c r="D565" s="67"/>
      <c r="E565" s="186"/>
      <c r="F565" s="67"/>
      <c r="G565" s="67"/>
      <c r="H565" s="67"/>
      <c r="I565" s="187"/>
      <c r="J565" s="186"/>
      <c r="K565" s="187"/>
      <c r="L565" s="186"/>
      <c r="M565" s="67"/>
      <c r="N565" s="67"/>
      <c r="Q565" s="417"/>
      <c r="S565" s="417"/>
      <c r="AA565" s="186"/>
    </row>
    <row r="566">
      <c r="A566" s="185"/>
      <c r="B566" s="67"/>
      <c r="C566" s="67"/>
      <c r="D566" s="67"/>
      <c r="E566" s="186"/>
      <c r="F566" s="67"/>
      <c r="G566" s="67"/>
      <c r="H566" s="67"/>
      <c r="I566" s="187"/>
      <c r="J566" s="186"/>
      <c r="K566" s="187"/>
      <c r="L566" s="186"/>
      <c r="M566" s="67"/>
      <c r="N566" s="67"/>
      <c r="Q566" s="417"/>
      <c r="S566" s="417"/>
      <c r="AA566" s="186"/>
    </row>
    <row r="567">
      <c r="A567" s="185"/>
      <c r="B567" s="67"/>
      <c r="C567" s="67"/>
      <c r="D567" s="67"/>
      <c r="E567" s="186"/>
      <c r="F567" s="67"/>
      <c r="G567" s="67"/>
      <c r="H567" s="67"/>
      <c r="I567" s="187"/>
      <c r="J567" s="186"/>
      <c r="K567" s="187"/>
      <c r="L567" s="186"/>
      <c r="M567" s="67"/>
      <c r="N567" s="67"/>
      <c r="Q567" s="417"/>
      <c r="S567" s="417"/>
      <c r="AA567" s="186"/>
    </row>
    <row r="568">
      <c r="A568" s="185"/>
      <c r="B568" s="67"/>
      <c r="C568" s="67"/>
      <c r="D568" s="67"/>
      <c r="E568" s="186"/>
      <c r="F568" s="67"/>
      <c r="G568" s="67"/>
      <c r="H568" s="67"/>
      <c r="I568" s="187"/>
      <c r="J568" s="186"/>
      <c r="K568" s="187"/>
      <c r="L568" s="186"/>
      <c r="M568" s="67"/>
      <c r="N568" s="67"/>
      <c r="Q568" s="417"/>
      <c r="S568" s="417"/>
      <c r="AA568" s="186"/>
    </row>
    <row r="569">
      <c r="A569" s="185"/>
      <c r="B569" s="67"/>
      <c r="C569" s="67"/>
      <c r="D569" s="67"/>
      <c r="E569" s="186"/>
      <c r="F569" s="67"/>
      <c r="G569" s="67"/>
      <c r="H569" s="67"/>
      <c r="I569" s="187"/>
      <c r="J569" s="186"/>
      <c r="K569" s="187"/>
      <c r="L569" s="186"/>
      <c r="M569" s="67"/>
      <c r="N569" s="67"/>
      <c r="Q569" s="417"/>
      <c r="S569" s="417"/>
      <c r="AA569" s="186"/>
    </row>
    <row r="570">
      <c r="A570" s="185"/>
      <c r="B570" s="67"/>
      <c r="C570" s="67"/>
      <c r="D570" s="67"/>
      <c r="E570" s="186"/>
      <c r="F570" s="67"/>
      <c r="G570" s="67"/>
      <c r="H570" s="67"/>
      <c r="I570" s="187"/>
      <c r="J570" s="186"/>
      <c r="K570" s="187"/>
      <c r="L570" s="186"/>
      <c r="M570" s="67"/>
      <c r="N570" s="67"/>
      <c r="Q570" s="417"/>
      <c r="S570" s="417"/>
      <c r="AA570" s="186"/>
    </row>
    <row r="571">
      <c r="A571" s="185"/>
      <c r="B571" s="67"/>
      <c r="C571" s="67"/>
      <c r="D571" s="67"/>
      <c r="E571" s="186"/>
      <c r="F571" s="67"/>
      <c r="G571" s="67"/>
      <c r="H571" s="67"/>
      <c r="I571" s="187"/>
      <c r="J571" s="186"/>
      <c r="K571" s="187"/>
      <c r="L571" s="186"/>
      <c r="M571" s="67"/>
      <c r="N571" s="67"/>
      <c r="Q571" s="417"/>
      <c r="S571" s="417"/>
      <c r="AA571" s="186"/>
    </row>
    <row r="572">
      <c r="A572" s="185"/>
      <c r="B572" s="67"/>
      <c r="C572" s="67"/>
      <c r="D572" s="67"/>
      <c r="E572" s="186"/>
      <c r="F572" s="67"/>
      <c r="G572" s="67"/>
      <c r="H572" s="67"/>
      <c r="I572" s="187"/>
      <c r="J572" s="186"/>
      <c r="K572" s="187"/>
      <c r="L572" s="186"/>
      <c r="M572" s="67"/>
      <c r="N572" s="67"/>
      <c r="Q572" s="417"/>
      <c r="S572" s="417"/>
      <c r="AA572" s="186"/>
    </row>
    <row r="573">
      <c r="A573" s="185"/>
      <c r="B573" s="67"/>
      <c r="C573" s="67"/>
      <c r="D573" s="67"/>
      <c r="E573" s="186"/>
      <c r="F573" s="67"/>
      <c r="G573" s="67"/>
      <c r="H573" s="67"/>
      <c r="I573" s="187"/>
      <c r="J573" s="186"/>
      <c r="K573" s="187"/>
      <c r="L573" s="186"/>
      <c r="M573" s="67"/>
      <c r="N573" s="67"/>
      <c r="Q573" s="417"/>
      <c r="S573" s="417"/>
      <c r="AA573" s="186"/>
    </row>
    <row r="574">
      <c r="A574" s="185"/>
      <c r="B574" s="67"/>
      <c r="C574" s="67"/>
      <c r="D574" s="67"/>
      <c r="E574" s="186"/>
      <c r="F574" s="67"/>
      <c r="G574" s="67"/>
      <c r="H574" s="67"/>
      <c r="I574" s="187"/>
      <c r="J574" s="186"/>
      <c r="K574" s="187"/>
      <c r="L574" s="186"/>
      <c r="M574" s="67"/>
      <c r="N574" s="67"/>
      <c r="Q574" s="417"/>
      <c r="S574" s="417"/>
      <c r="AA574" s="186"/>
    </row>
    <row r="575">
      <c r="A575" s="185"/>
      <c r="B575" s="67"/>
      <c r="C575" s="67"/>
      <c r="D575" s="67"/>
      <c r="E575" s="186"/>
      <c r="F575" s="67"/>
      <c r="G575" s="67"/>
      <c r="H575" s="67"/>
      <c r="I575" s="187"/>
      <c r="J575" s="186"/>
      <c r="K575" s="187"/>
      <c r="L575" s="186"/>
      <c r="M575" s="67"/>
      <c r="N575" s="67"/>
      <c r="Q575" s="417"/>
      <c r="S575" s="417"/>
      <c r="AA575" s="186"/>
    </row>
    <row r="576">
      <c r="A576" s="185"/>
      <c r="B576" s="67"/>
      <c r="C576" s="67"/>
      <c r="D576" s="67"/>
      <c r="E576" s="186"/>
      <c r="F576" s="67"/>
      <c r="G576" s="67"/>
      <c r="H576" s="67"/>
      <c r="I576" s="187"/>
      <c r="J576" s="186"/>
      <c r="K576" s="187"/>
      <c r="L576" s="186"/>
      <c r="M576" s="67"/>
      <c r="N576" s="67"/>
      <c r="Q576" s="417"/>
      <c r="S576" s="417"/>
      <c r="AA576" s="186"/>
    </row>
    <row r="577">
      <c r="A577" s="185"/>
      <c r="B577" s="67"/>
      <c r="C577" s="67"/>
      <c r="D577" s="67"/>
      <c r="E577" s="186"/>
      <c r="F577" s="67"/>
      <c r="G577" s="67"/>
      <c r="H577" s="67"/>
      <c r="I577" s="187"/>
      <c r="J577" s="186"/>
      <c r="K577" s="187"/>
      <c r="L577" s="186"/>
      <c r="M577" s="67"/>
      <c r="N577" s="67"/>
      <c r="Q577" s="417"/>
      <c r="S577" s="417"/>
      <c r="AA577" s="186"/>
    </row>
    <row r="578">
      <c r="A578" s="185"/>
      <c r="B578" s="67"/>
      <c r="C578" s="67"/>
      <c r="D578" s="67"/>
      <c r="E578" s="186"/>
      <c r="F578" s="67"/>
      <c r="G578" s="67"/>
      <c r="H578" s="67"/>
      <c r="I578" s="187"/>
      <c r="J578" s="186"/>
      <c r="K578" s="187"/>
      <c r="L578" s="186"/>
      <c r="M578" s="67"/>
      <c r="N578" s="67"/>
      <c r="Q578" s="417"/>
      <c r="S578" s="417"/>
      <c r="AA578" s="186"/>
    </row>
    <row r="579">
      <c r="A579" s="185"/>
      <c r="B579" s="67"/>
      <c r="C579" s="67"/>
      <c r="D579" s="67"/>
      <c r="E579" s="186"/>
      <c r="F579" s="67"/>
      <c r="G579" s="67"/>
      <c r="H579" s="67"/>
      <c r="I579" s="187"/>
      <c r="J579" s="186"/>
      <c r="K579" s="187"/>
      <c r="L579" s="186"/>
      <c r="M579" s="67"/>
      <c r="N579" s="67"/>
      <c r="Q579" s="417"/>
      <c r="S579" s="417"/>
      <c r="AA579" s="186"/>
    </row>
    <row r="580">
      <c r="A580" s="185"/>
      <c r="B580" s="67"/>
      <c r="C580" s="67"/>
      <c r="D580" s="67"/>
      <c r="E580" s="186"/>
      <c r="F580" s="67"/>
      <c r="G580" s="67"/>
      <c r="H580" s="67"/>
      <c r="I580" s="187"/>
      <c r="J580" s="186"/>
      <c r="K580" s="187"/>
      <c r="L580" s="186"/>
      <c r="M580" s="67"/>
      <c r="N580" s="67"/>
      <c r="Q580" s="417"/>
      <c r="S580" s="417"/>
      <c r="AA580" s="186"/>
    </row>
    <row r="581">
      <c r="A581" s="185"/>
      <c r="B581" s="67"/>
      <c r="C581" s="67"/>
      <c r="D581" s="67"/>
      <c r="E581" s="186"/>
      <c r="F581" s="67"/>
      <c r="G581" s="67"/>
      <c r="H581" s="67"/>
      <c r="I581" s="187"/>
      <c r="J581" s="186"/>
      <c r="K581" s="187"/>
      <c r="L581" s="186"/>
      <c r="M581" s="67"/>
      <c r="N581" s="67"/>
      <c r="Q581" s="417"/>
      <c r="S581" s="417"/>
      <c r="AA581" s="186"/>
    </row>
    <row r="582">
      <c r="A582" s="185"/>
      <c r="B582" s="67"/>
      <c r="C582" s="67"/>
      <c r="D582" s="67"/>
      <c r="E582" s="186"/>
      <c r="F582" s="67"/>
      <c r="G582" s="67"/>
      <c r="H582" s="67"/>
      <c r="I582" s="187"/>
      <c r="J582" s="186"/>
      <c r="K582" s="187"/>
      <c r="L582" s="186"/>
      <c r="M582" s="67"/>
      <c r="N582" s="67"/>
      <c r="Q582" s="417"/>
      <c r="S582" s="417"/>
      <c r="AA582" s="186"/>
    </row>
    <row r="583">
      <c r="A583" s="185"/>
      <c r="B583" s="67"/>
      <c r="C583" s="67"/>
      <c r="D583" s="67"/>
      <c r="E583" s="186"/>
      <c r="F583" s="67"/>
      <c r="G583" s="67"/>
      <c r="H583" s="67"/>
      <c r="I583" s="187"/>
      <c r="J583" s="186"/>
      <c r="K583" s="187"/>
      <c r="L583" s="186"/>
      <c r="M583" s="67"/>
      <c r="N583" s="67"/>
      <c r="Q583" s="417"/>
      <c r="S583" s="417"/>
      <c r="AA583" s="186"/>
    </row>
    <row r="584">
      <c r="A584" s="185"/>
      <c r="B584" s="67"/>
      <c r="C584" s="67"/>
      <c r="D584" s="67"/>
      <c r="E584" s="186"/>
      <c r="F584" s="67"/>
      <c r="G584" s="67"/>
      <c r="H584" s="67"/>
      <c r="I584" s="187"/>
      <c r="J584" s="186"/>
      <c r="K584" s="187"/>
      <c r="L584" s="186"/>
      <c r="M584" s="67"/>
      <c r="N584" s="67"/>
      <c r="Q584" s="417"/>
      <c r="S584" s="417"/>
      <c r="AA584" s="186"/>
    </row>
    <row r="585">
      <c r="A585" s="185"/>
      <c r="B585" s="67"/>
      <c r="C585" s="67"/>
      <c r="D585" s="67"/>
      <c r="E585" s="186"/>
      <c r="F585" s="67"/>
      <c r="G585" s="67"/>
      <c r="H585" s="67"/>
      <c r="I585" s="187"/>
      <c r="J585" s="186"/>
      <c r="K585" s="187"/>
      <c r="L585" s="186"/>
      <c r="M585" s="67"/>
      <c r="N585" s="67"/>
      <c r="Q585" s="417"/>
      <c r="S585" s="417"/>
      <c r="AA585" s="186"/>
    </row>
    <row r="586">
      <c r="A586" s="185"/>
      <c r="B586" s="67"/>
      <c r="C586" s="67"/>
      <c r="D586" s="67"/>
      <c r="E586" s="186"/>
      <c r="F586" s="67"/>
      <c r="G586" s="67"/>
      <c r="H586" s="67"/>
      <c r="I586" s="187"/>
      <c r="J586" s="186"/>
      <c r="K586" s="187"/>
      <c r="L586" s="186"/>
      <c r="M586" s="67"/>
      <c r="N586" s="67"/>
      <c r="Q586" s="417"/>
      <c r="S586" s="417"/>
      <c r="AA586" s="186"/>
    </row>
    <row r="587">
      <c r="A587" s="185"/>
      <c r="B587" s="67"/>
      <c r="C587" s="67"/>
      <c r="D587" s="67"/>
      <c r="E587" s="186"/>
      <c r="F587" s="67"/>
      <c r="G587" s="67"/>
      <c r="H587" s="67"/>
      <c r="I587" s="187"/>
      <c r="J587" s="186"/>
      <c r="K587" s="187"/>
      <c r="L587" s="186"/>
      <c r="M587" s="67"/>
      <c r="N587" s="67"/>
      <c r="Q587" s="417"/>
      <c r="S587" s="417"/>
      <c r="AA587" s="186"/>
    </row>
    <row r="588">
      <c r="A588" s="185"/>
      <c r="B588" s="67"/>
      <c r="C588" s="67"/>
      <c r="D588" s="67"/>
      <c r="E588" s="186"/>
      <c r="F588" s="67"/>
      <c r="G588" s="67"/>
      <c r="H588" s="67"/>
      <c r="I588" s="187"/>
      <c r="J588" s="186"/>
      <c r="K588" s="187"/>
      <c r="L588" s="186"/>
      <c r="M588" s="67"/>
      <c r="N588" s="67"/>
      <c r="Q588" s="417"/>
      <c r="S588" s="417"/>
      <c r="AA588" s="186"/>
    </row>
    <row r="589">
      <c r="A589" s="185"/>
      <c r="B589" s="67"/>
      <c r="C589" s="67"/>
      <c r="D589" s="67"/>
      <c r="E589" s="186"/>
      <c r="F589" s="67"/>
      <c r="G589" s="67"/>
      <c r="H589" s="67"/>
      <c r="I589" s="187"/>
      <c r="J589" s="186"/>
      <c r="K589" s="187"/>
      <c r="L589" s="186"/>
      <c r="M589" s="67"/>
      <c r="N589" s="67"/>
      <c r="Q589" s="417"/>
      <c r="S589" s="417"/>
      <c r="AA589" s="186"/>
    </row>
    <row r="590">
      <c r="A590" s="185"/>
      <c r="B590" s="67"/>
      <c r="C590" s="67"/>
      <c r="D590" s="67"/>
      <c r="E590" s="186"/>
      <c r="F590" s="67"/>
      <c r="G590" s="67"/>
      <c r="H590" s="67"/>
      <c r="I590" s="187"/>
      <c r="J590" s="186"/>
      <c r="K590" s="187"/>
      <c r="L590" s="186"/>
      <c r="M590" s="67"/>
      <c r="N590" s="67"/>
      <c r="Q590" s="417"/>
      <c r="S590" s="417"/>
      <c r="AA590" s="186"/>
    </row>
    <row r="591">
      <c r="A591" s="185"/>
      <c r="B591" s="67"/>
      <c r="C591" s="67"/>
      <c r="D591" s="67"/>
      <c r="E591" s="186"/>
      <c r="F591" s="67"/>
      <c r="G591" s="67"/>
      <c r="H591" s="67"/>
      <c r="I591" s="187"/>
      <c r="J591" s="186"/>
      <c r="K591" s="187"/>
      <c r="L591" s="186"/>
      <c r="M591" s="67"/>
      <c r="N591" s="67"/>
      <c r="Q591" s="417"/>
      <c r="S591" s="417"/>
      <c r="AA591" s="186"/>
    </row>
    <row r="592">
      <c r="A592" s="185"/>
      <c r="B592" s="67"/>
      <c r="C592" s="67"/>
      <c r="D592" s="67"/>
      <c r="E592" s="186"/>
      <c r="F592" s="67"/>
      <c r="G592" s="67"/>
      <c r="H592" s="67"/>
      <c r="I592" s="187"/>
      <c r="J592" s="186"/>
      <c r="K592" s="187"/>
      <c r="L592" s="186"/>
      <c r="M592" s="67"/>
      <c r="N592" s="67"/>
      <c r="Q592" s="417"/>
      <c r="S592" s="417"/>
      <c r="AA592" s="186"/>
    </row>
    <row r="593">
      <c r="A593" s="185"/>
      <c r="B593" s="67"/>
      <c r="C593" s="67"/>
      <c r="D593" s="67"/>
      <c r="E593" s="186"/>
      <c r="F593" s="67"/>
      <c r="G593" s="67"/>
      <c r="H593" s="67"/>
      <c r="I593" s="187"/>
      <c r="J593" s="186"/>
      <c r="K593" s="187"/>
      <c r="L593" s="186"/>
      <c r="M593" s="67"/>
      <c r="N593" s="67"/>
      <c r="Q593" s="417"/>
      <c r="S593" s="417"/>
      <c r="AA593" s="186"/>
    </row>
    <row r="594">
      <c r="A594" s="185"/>
      <c r="B594" s="67"/>
      <c r="C594" s="67"/>
      <c r="D594" s="67"/>
      <c r="E594" s="186"/>
      <c r="F594" s="67"/>
      <c r="G594" s="67"/>
      <c r="H594" s="67"/>
      <c r="I594" s="187"/>
      <c r="J594" s="186"/>
      <c r="K594" s="187"/>
      <c r="L594" s="186"/>
      <c r="M594" s="67"/>
      <c r="N594" s="67"/>
      <c r="Q594" s="417"/>
      <c r="S594" s="417"/>
      <c r="AA594" s="186"/>
    </row>
    <row r="595">
      <c r="A595" s="185"/>
      <c r="B595" s="67"/>
      <c r="C595" s="67"/>
      <c r="D595" s="67"/>
      <c r="E595" s="186"/>
      <c r="F595" s="67"/>
      <c r="G595" s="67"/>
      <c r="H595" s="67"/>
      <c r="I595" s="187"/>
      <c r="J595" s="186"/>
      <c r="K595" s="187"/>
      <c r="L595" s="186"/>
      <c r="M595" s="67"/>
      <c r="N595" s="67"/>
      <c r="Q595" s="417"/>
      <c r="S595" s="417"/>
      <c r="AA595" s="186"/>
    </row>
    <row r="596">
      <c r="A596" s="185"/>
      <c r="B596" s="67"/>
      <c r="C596" s="67"/>
      <c r="D596" s="67"/>
      <c r="E596" s="186"/>
      <c r="F596" s="67"/>
      <c r="G596" s="67"/>
      <c r="H596" s="67"/>
      <c r="I596" s="187"/>
      <c r="J596" s="186"/>
      <c r="K596" s="187"/>
      <c r="L596" s="186"/>
      <c r="M596" s="67"/>
      <c r="N596" s="67"/>
      <c r="Q596" s="417"/>
      <c r="S596" s="417"/>
      <c r="AA596" s="186"/>
    </row>
    <row r="597">
      <c r="A597" s="185"/>
      <c r="B597" s="67"/>
      <c r="C597" s="67"/>
      <c r="D597" s="67"/>
      <c r="E597" s="186"/>
      <c r="F597" s="67"/>
      <c r="G597" s="67"/>
      <c r="H597" s="67"/>
      <c r="I597" s="187"/>
      <c r="J597" s="186"/>
      <c r="K597" s="187"/>
      <c r="L597" s="186"/>
      <c r="M597" s="67"/>
      <c r="N597" s="67"/>
      <c r="Q597" s="417"/>
      <c r="S597" s="417"/>
      <c r="AA597" s="186"/>
    </row>
    <row r="598">
      <c r="A598" s="185"/>
      <c r="B598" s="67"/>
      <c r="C598" s="67"/>
      <c r="D598" s="67"/>
      <c r="E598" s="186"/>
      <c r="F598" s="67"/>
      <c r="G598" s="67"/>
      <c r="H598" s="67"/>
      <c r="I598" s="187"/>
      <c r="J598" s="186"/>
      <c r="K598" s="187"/>
      <c r="L598" s="186"/>
      <c r="M598" s="67"/>
      <c r="N598" s="67"/>
      <c r="Q598" s="417"/>
      <c r="S598" s="417"/>
      <c r="AA598" s="186"/>
    </row>
    <row r="599">
      <c r="A599" s="185"/>
      <c r="B599" s="67"/>
      <c r="C599" s="67"/>
      <c r="D599" s="67"/>
      <c r="E599" s="186"/>
      <c r="F599" s="67"/>
      <c r="G599" s="67"/>
      <c r="H599" s="67"/>
      <c r="I599" s="187"/>
      <c r="J599" s="186"/>
      <c r="K599" s="187"/>
      <c r="L599" s="186"/>
      <c r="M599" s="67"/>
      <c r="N599" s="67"/>
      <c r="Q599" s="417"/>
      <c r="S599" s="417"/>
      <c r="AA599" s="186"/>
    </row>
    <row r="600">
      <c r="A600" s="185"/>
      <c r="B600" s="67"/>
      <c r="C600" s="67"/>
      <c r="D600" s="67"/>
      <c r="E600" s="186"/>
      <c r="F600" s="67"/>
      <c r="G600" s="67"/>
      <c r="H600" s="67"/>
      <c r="I600" s="187"/>
      <c r="J600" s="186"/>
      <c r="K600" s="187"/>
      <c r="L600" s="186"/>
      <c r="M600" s="67"/>
      <c r="N600" s="67"/>
      <c r="Q600" s="417"/>
      <c r="S600" s="417"/>
      <c r="AA600" s="186"/>
    </row>
    <row r="601">
      <c r="A601" s="185"/>
      <c r="B601" s="67"/>
      <c r="C601" s="67"/>
      <c r="D601" s="67"/>
      <c r="E601" s="186"/>
      <c r="F601" s="67"/>
      <c r="G601" s="67"/>
      <c r="H601" s="67"/>
      <c r="I601" s="187"/>
      <c r="J601" s="186"/>
      <c r="K601" s="187"/>
      <c r="L601" s="186"/>
      <c r="M601" s="67"/>
      <c r="N601" s="67"/>
      <c r="Q601" s="417"/>
      <c r="S601" s="417"/>
      <c r="AA601" s="186"/>
    </row>
    <row r="602">
      <c r="A602" s="185"/>
      <c r="B602" s="67"/>
      <c r="C602" s="67"/>
      <c r="D602" s="67"/>
      <c r="E602" s="186"/>
      <c r="F602" s="67"/>
      <c r="G602" s="67"/>
      <c r="H602" s="67"/>
      <c r="I602" s="187"/>
      <c r="J602" s="186"/>
      <c r="K602" s="187"/>
      <c r="L602" s="186"/>
      <c r="M602" s="67"/>
      <c r="N602" s="67"/>
      <c r="Q602" s="417"/>
      <c r="S602" s="417"/>
      <c r="AA602" s="186"/>
    </row>
    <row r="603">
      <c r="A603" s="185"/>
      <c r="B603" s="67"/>
      <c r="C603" s="67"/>
      <c r="D603" s="67"/>
      <c r="E603" s="186"/>
      <c r="F603" s="67"/>
      <c r="G603" s="67"/>
      <c r="H603" s="67"/>
      <c r="I603" s="187"/>
      <c r="J603" s="186"/>
      <c r="K603" s="187"/>
      <c r="L603" s="186"/>
      <c r="M603" s="67"/>
      <c r="N603" s="67"/>
      <c r="Q603" s="417"/>
      <c r="S603" s="417"/>
      <c r="AA603" s="186"/>
    </row>
    <row r="604">
      <c r="A604" s="185"/>
      <c r="B604" s="67"/>
      <c r="C604" s="67"/>
      <c r="D604" s="67"/>
      <c r="E604" s="186"/>
      <c r="F604" s="67"/>
      <c r="G604" s="67"/>
      <c r="H604" s="67"/>
      <c r="I604" s="187"/>
      <c r="J604" s="186"/>
      <c r="K604" s="187"/>
      <c r="L604" s="186"/>
      <c r="M604" s="67"/>
      <c r="N604" s="67"/>
      <c r="Q604" s="417"/>
      <c r="S604" s="417"/>
      <c r="AA604" s="186"/>
    </row>
    <row r="605">
      <c r="A605" s="185"/>
      <c r="B605" s="67"/>
      <c r="C605" s="67"/>
      <c r="D605" s="67"/>
      <c r="E605" s="186"/>
      <c r="F605" s="67"/>
      <c r="G605" s="67"/>
      <c r="H605" s="67"/>
      <c r="I605" s="187"/>
      <c r="J605" s="186"/>
      <c r="K605" s="187"/>
      <c r="L605" s="186"/>
      <c r="M605" s="67"/>
      <c r="N605" s="67"/>
      <c r="Q605" s="417"/>
      <c r="S605" s="417"/>
      <c r="AA605" s="186"/>
    </row>
    <row r="606">
      <c r="A606" s="185"/>
      <c r="B606" s="67"/>
      <c r="C606" s="67"/>
      <c r="D606" s="67"/>
      <c r="E606" s="186"/>
      <c r="F606" s="67"/>
      <c r="G606" s="67"/>
      <c r="H606" s="67"/>
      <c r="I606" s="187"/>
      <c r="J606" s="186"/>
      <c r="K606" s="187"/>
      <c r="L606" s="186"/>
      <c r="M606" s="67"/>
      <c r="N606" s="67"/>
      <c r="Q606" s="417"/>
      <c r="S606" s="417"/>
      <c r="AA606" s="186"/>
    </row>
    <row r="607">
      <c r="A607" s="185"/>
      <c r="B607" s="67"/>
      <c r="C607" s="67"/>
      <c r="D607" s="67"/>
      <c r="E607" s="186"/>
      <c r="F607" s="67"/>
      <c r="G607" s="67"/>
      <c r="H607" s="67"/>
      <c r="I607" s="187"/>
      <c r="J607" s="186"/>
      <c r="K607" s="187"/>
      <c r="L607" s="186"/>
      <c r="M607" s="67"/>
      <c r="N607" s="67"/>
      <c r="Q607" s="417"/>
      <c r="S607" s="417"/>
      <c r="AA607" s="186"/>
    </row>
    <row r="608">
      <c r="A608" s="185"/>
      <c r="B608" s="67"/>
      <c r="C608" s="67"/>
      <c r="D608" s="67"/>
      <c r="E608" s="186"/>
      <c r="F608" s="67"/>
      <c r="G608" s="67"/>
      <c r="H608" s="67"/>
      <c r="I608" s="187"/>
      <c r="J608" s="186"/>
      <c r="K608" s="187"/>
      <c r="L608" s="186"/>
      <c r="M608" s="67"/>
      <c r="N608" s="67"/>
      <c r="Q608" s="417"/>
      <c r="S608" s="417"/>
      <c r="AA608" s="186"/>
    </row>
    <row r="609">
      <c r="A609" s="185"/>
      <c r="B609" s="67"/>
      <c r="C609" s="67"/>
      <c r="D609" s="67"/>
      <c r="E609" s="186"/>
      <c r="F609" s="67"/>
      <c r="G609" s="67"/>
      <c r="H609" s="67"/>
      <c r="I609" s="187"/>
      <c r="J609" s="186"/>
      <c r="K609" s="187"/>
      <c r="L609" s="186"/>
      <c r="M609" s="67"/>
      <c r="N609" s="67"/>
      <c r="Q609" s="417"/>
      <c r="S609" s="417"/>
      <c r="AA609" s="186"/>
    </row>
    <row r="610">
      <c r="A610" s="185"/>
      <c r="B610" s="67"/>
      <c r="C610" s="67"/>
      <c r="D610" s="67"/>
      <c r="E610" s="186"/>
      <c r="F610" s="67"/>
      <c r="G610" s="67"/>
      <c r="H610" s="67"/>
      <c r="I610" s="187"/>
      <c r="J610" s="186"/>
      <c r="K610" s="187"/>
      <c r="L610" s="186"/>
      <c r="M610" s="67"/>
      <c r="N610" s="67"/>
      <c r="Q610" s="417"/>
      <c r="S610" s="417"/>
      <c r="AA610" s="186"/>
    </row>
    <row r="611">
      <c r="A611" s="185"/>
      <c r="B611" s="67"/>
      <c r="C611" s="67"/>
      <c r="D611" s="67"/>
      <c r="E611" s="186"/>
      <c r="F611" s="67"/>
      <c r="G611" s="67"/>
      <c r="H611" s="67"/>
      <c r="I611" s="187"/>
      <c r="J611" s="186"/>
      <c r="K611" s="187"/>
      <c r="L611" s="186"/>
      <c r="M611" s="67"/>
      <c r="N611" s="67"/>
      <c r="Q611" s="417"/>
      <c r="S611" s="417"/>
      <c r="AA611" s="186"/>
    </row>
    <row r="612">
      <c r="A612" s="185"/>
      <c r="B612" s="67"/>
      <c r="C612" s="67"/>
      <c r="D612" s="67"/>
      <c r="E612" s="186"/>
      <c r="F612" s="67"/>
      <c r="G612" s="67"/>
      <c r="H612" s="67"/>
      <c r="I612" s="187"/>
      <c r="J612" s="186"/>
      <c r="K612" s="187"/>
      <c r="L612" s="186"/>
      <c r="M612" s="67"/>
      <c r="N612" s="67"/>
      <c r="Q612" s="417"/>
      <c r="S612" s="417"/>
      <c r="AA612" s="186"/>
    </row>
    <row r="613">
      <c r="A613" s="185"/>
      <c r="B613" s="67"/>
      <c r="C613" s="67"/>
      <c r="D613" s="67"/>
      <c r="E613" s="186"/>
      <c r="F613" s="67"/>
      <c r="G613" s="67"/>
      <c r="H613" s="67"/>
      <c r="I613" s="187"/>
      <c r="J613" s="186"/>
      <c r="K613" s="187"/>
      <c r="L613" s="186"/>
      <c r="M613" s="67"/>
      <c r="N613" s="67"/>
      <c r="Q613" s="417"/>
      <c r="S613" s="417"/>
      <c r="AA613" s="186"/>
    </row>
    <row r="614">
      <c r="A614" s="185"/>
      <c r="B614" s="67"/>
      <c r="C614" s="67"/>
      <c r="D614" s="67"/>
      <c r="E614" s="186"/>
      <c r="F614" s="67"/>
      <c r="G614" s="67"/>
      <c r="H614" s="67"/>
      <c r="I614" s="187"/>
      <c r="J614" s="186"/>
      <c r="K614" s="187"/>
      <c r="L614" s="186"/>
      <c r="M614" s="67"/>
      <c r="N614" s="67"/>
      <c r="Q614" s="417"/>
      <c r="S614" s="417"/>
      <c r="AA614" s="186"/>
    </row>
    <row r="615">
      <c r="A615" s="185"/>
      <c r="B615" s="67"/>
      <c r="C615" s="67"/>
      <c r="D615" s="67"/>
      <c r="E615" s="186"/>
      <c r="F615" s="67"/>
      <c r="G615" s="67"/>
      <c r="H615" s="67"/>
      <c r="I615" s="187"/>
      <c r="J615" s="186"/>
      <c r="K615" s="187"/>
      <c r="L615" s="186"/>
      <c r="M615" s="67"/>
      <c r="N615" s="67"/>
      <c r="Q615" s="417"/>
      <c r="S615" s="417"/>
      <c r="AA615" s="186"/>
    </row>
    <row r="616">
      <c r="A616" s="185"/>
      <c r="B616" s="67"/>
      <c r="C616" s="67"/>
      <c r="D616" s="67"/>
      <c r="E616" s="186"/>
      <c r="F616" s="67"/>
      <c r="G616" s="67"/>
      <c r="H616" s="67"/>
      <c r="I616" s="187"/>
      <c r="J616" s="186"/>
      <c r="K616" s="187"/>
      <c r="L616" s="186"/>
      <c r="M616" s="67"/>
      <c r="N616" s="67"/>
      <c r="Q616" s="417"/>
      <c r="S616" s="417"/>
      <c r="AA616" s="186"/>
    </row>
    <row r="617">
      <c r="A617" s="185"/>
      <c r="B617" s="67"/>
      <c r="C617" s="67"/>
      <c r="D617" s="67"/>
      <c r="E617" s="186"/>
      <c r="F617" s="67"/>
      <c r="G617" s="67"/>
      <c r="H617" s="67"/>
      <c r="I617" s="187"/>
      <c r="J617" s="186"/>
      <c r="K617" s="187"/>
      <c r="L617" s="186"/>
      <c r="M617" s="67"/>
      <c r="N617" s="67"/>
      <c r="Q617" s="417"/>
      <c r="S617" s="417"/>
      <c r="AA617" s="186"/>
    </row>
    <row r="618">
      <c r="A618" s="185"/>
      <c r="B618" s="67"/>
      <c r="C618" s="67"/>
      <c r="D618" s="67"/>
      <c r="E618" s="186"/>
      <c r="F618" s="67"/>
      <c r="G618" s="67"/>
      <c r="H618" s="67"/>
      <c r="I618" s="187"/>
      <c r="J618" s="186"/>
      <c r="K618" s="187"/>
      <c r="L618" s="186"/>
      <c r="M618" s="67"/>
      <c r="N618" s="67"/>
      <c r="Q618" s="417"/>
      <c r="S618" s="417"/>
      <c r="AA618" s="186"/>
    </row>
    <row r="619">
      <c r="A619" s="185"/>
      <c r="B619" s="67"/>
      <c r="C619" s="67"/>
      <c r="D619" s="67"/>
      <c r="E619" s="186"/>
      <c r="F619" s="67"/>
      <c r="G619" s="67"/>
      <c r="H619" s="67"/>
      <c r="I619" s="187"/>
      <c r="J619" s="186"/>
      <c r="K619" s="187"/>
      <c r="L619" s="186"/>
      <c r="M619" s="67"/>
      <c r="N619" s="67"/>
      <c r="Q619" s="417"/>
      <c r="S619" s="417"/>
      <c r="AA619" s="186"/>
    </row>
    <row r="620">
      <c r="A620" s="185"/>
      <c r="B620" s="67"/>
      <c r="C620" s="67"/>
      <c r="D620" s="67"/>
      <c r="E620" s="186"/>
      <c r="F620" s="67"/>
      <c r="G620" s="67"/>
      <c r="H620" s="67"/>
      <c r="I620" s="187"/>
      <c r="J620" s="186"/>
      <c r="K620" s="187"/>
      <c r="L620" s="186"/>
      <c r="M620" s="67"/>
      <c r="N620" s="67"/>
      <c r="Q620" s="417"/>
      <c r="S620" s="417"/>
      <c r="AA620" s="186"/>
    </row>
    <row r="621">
      <c r="A621" s="185"/>
      <c r="B621" s="67"/>
      <c r="C621" s="67"/>
      <c r="D621" s="67"/>
      <c r="E621" s="186"/>
      <c r="F621" s="67"/>
      <c r="G621" s="67"/>
      <c r="H621" s="67"/>
      <c r="I621" s="187"/>
      <c r="J621" s="186"/>
      <c r="K621" s="187"/>
      <c r="L621" s="186"/>
      <c r="M621" s="67"/>
      <c r="N621" s="67"/>
      <c r="Q621" s="417"/>
      <c r="S621" s="417"/>
      <c r="AA621" s="186"/>
    </row>
    <row r="622">
      <c r="A622" s="185"/>
      <c r="B622" s="67"/>
      <c r="C622" s="67"/>
      <c r="D622" s="67"/>
      <c r="E622" s="186"/>
      <c r="F622" s="67"/>
      <c r="G622" s="67"/>
      <c r="H622" s="67"/>
      <c r="I622" s="187"/>
      <c r="J622" s="186"/>
      <c r="K622" s="187"/>
      <c r="L622" s="186"/>
      <c r="M622" s="67"/>
      <c r="N622" s="67"/>
      <c r="Q622" s="417"/>
      <c r="S622" s="417"/>
      <c r="AA622" s="186"/>
    </row>
    <row r="623">
      <c r="A623" s="185"/>
      <c r="B623" s="67"/>
      <c r="C623" s="67"/>
      <c r="D623" s="67"/>
      <c r="E623" s="186"/>
      <c r="F623" s="67"/>
      <c r="G623" s="67"/>
      <c r="H623" s="67"/>
      <c r="I623" s="187"/>
      <c r="J623" s="186"/>
      <c r="K623" s="187"/>
      <c r="L623" s="186"/>
      <c r="M623" s="67"/>
      <c r="N623" s="67"/>
      <c r="Q623" s="417"/>
      <c r="S623" s="417"/>
      <c r="AA623" s="186"/>
    </row>
    <row r="624">
      <c r="A624" s="185"/>
      <c r="B624" s="67"/>
      <c r="C624" s="67"/>
      <c r="D624" s="67"/>
      <c r="E624" s="186"/>
      <c r="F624" s="67"/>
      <c r="G624" s="67"/>
      <c r="H624" s="67"/>
      <c r="I624" s="187"/>
      <c r="J624" s="186"/>
      <c r="K624" s="187"/>
      <c r="L624" s="186"/>
      <c r="M624" s="67"/>
      <c r="N624" s="67"/>
      <c r="Q624" s="417"/>
      <c r="S624" s="417"/>
      <c r="AA624" s="186"/>
    </row>
    <row r="625">
      <c r="A625" s="185"/>
      <c r="B625" s="67"/>
      <c r="C625" s="67"/>
      <c r="D625" s="67"/>
      <c r="E625" s="186"/>
      <c r="F625" s="67"/>
      <c r="G625" s="67"/>
      <c r="H625" s="67"/>
      <c r="I625" s="187"/>
      <c r="J625" s="186"/>
      <c r="K625" s="187"/>
      <c r="L625" s="186"/>
      <c r="M625" s="67"/>
      <c r="N625" s="67"/>
      <c r="Q625" s="417"/>
      <c r="S625" s="417"/>
      <c r="AA625" s="186"/>
    </row>
    <row r="626">
      <c r="A626" s="185"/>
      <c r="B626" s="67"/>
      <c r="C626" s="67"/>
      <c r="D626" s="67"/>
      <c r="E626" s="186"/>
      <c r="F626" s="67"/>
      <c r="G626" s="67"/>
      <c r="H626" s="67"/>
      <c r="I626" s="187"/>
      <c r="J626" s="186"/>
      <c r="K626" s="187"/>
      <c r="L626" s="186"/>
      <c r="M626" s="67"/>
      <c r="N626" s="67"/>
      <c r="Q626" s="417"/>
      <c r="S626" s="417"/>
      <c r="AA626" s="186"/>
    </row>
    <row r="627">
      <c r="A627" s="185"/>
      <c r="B627" s="67"/>
      <c r="C627" s="67"/>
      <c r="D627" s="67"/>
      <c r="E627" s="186"/>
      <c r="F627" s="67"/>
      <c r="G627" s="67"/>
      <c r="H627" s="67"/>
      <c r="I627" s="187"/>
      <c r="J627" s="186"/>
      <c r="K627" s="187"/>
      <c r="L627" s="186"/>
      <c r="M627" s="67"/>
      <c r="N627" s="67"/>
      <c r="Q627" s="417"/>
      <c r="S627" s="417"/>
      <c r="AA627" s="186"/>
    </row>
    <row r="628">
      <c r="A628" s="185"/>
      <c r="B628" s="67"/>
      <c r="C628" s="67"/>
      <c r="D628" s="67"/>
      <c r="E628" s="186"/>
      <c r="F628" s="67"/>
      <c r="G628" s="67"/>
      <c r="H628" s="67"/>
      <c r="I628" s="187"/>
      <c r="J628" s="186"/>
      <c r="K628" s="187"/>
      <c r="L628" s="186"/>
      <c r="M628" s="67"/>
      <c r="N628" s="67"/>
      <c r="Q628" s="417"/>
      <c r="S628" s="417"/>
      <c r="AA628" s="186"/>
    </row>
    <row r="629">
      <c r="A629" s="185"/>
      <c r="B629" s="67"/>
      <c r="C629" s="67"/>
      <c r="D629" s="67"/>
      <c r="E629" s="186"/>
      <c r="F629" s="67"/>
      <c r="G629" s="67"/>
      <c r="H629" s="67"/>
      <c r="I629" s="187"/>
      <c r="J629" s="186"/>
      <c r="K629" s="187"/>
      <c r="L629" s="186"/>
      <c r="M629" s="67"/>
      <c r="N629" s="67"/>
      <c r="Q629" s="417"/>
      <c r="S629" s="417"/>
      <c r="AA629" s="186"/>
    </row>
    <row r="630">
      <c r="A630" s="185"/>
      <c r="B630" s="67"/>
      <c r="C630" s="67"/>
      <c r="D630" s="67"/>
      <c r="E630" s="186"/>
      <c r="F630" s="67"/>
      <c r="G630" s="67"/>
      <c r="H630" s="67"/>
      <c r="I630" s="187"/>
      <c r="J630" s="186"/>
      <c r="K630" s="187"/>
      <c r="L630" s="186"/>
      <c r="M630" s="67"/>
      <c r="N630" s="67"/>
      <c r="Q630" s="417"/>
      <c r="S630" s="417"/>
      <c r="AA630" s="186"/>
    </row>
    <row r="631">
      <c r="A631" s="185"/>
      <c r="B631" s="67"/>
      <c r="C631" s="67"/>
      <c r="D631" s="67"/>
      <c r="E631" s="186"/>
      <c r="F631" s="67"/>
      <c r="G631" s="67"/>
      <c r="H631" s="67"/>
      <c r="I631" s="187"/>
      <c r="J631" s="186"/>
      <c r="K631" s="187"/>
      <c r="L631" s="186"/>
      <c r="M631" s="67"/>
      <c r="N631" s="67"/>
      <c r="Q631" s="417"/>
      <c r="S631" s="417"/>
      <c r="AA631" s="186"/>
    </row>
    <row r="632">
      <c r="A632" s="185"/>
      <c r="B632" s="67"/>
      <c r="C632" s="67"/>
      <c r="D632" s="67"/>
      <c r="E632" s="186"/>
      <c r="F632" s="67"/>
      <c r="G632" s="67"/>
      <c r="H632" s="67"/>
      <c r="I632" s="187"/>
      <c r="J632" s="186"/>
      <c r="K632" s="187"/>
      <c r="L632" s="186"/>
      <c r="M632" s="67"/>
      <c r="N632" s="67"/>
      <c r="Q632" s="417"/>
      <c r="S632" s="417"/>
      <c r="AA632" s="186"/>
    </row>
    <row r="633">
      <c r="A633" s="185"/>
      <c r="B633" s="67"/>
      <c r="C633" s="67"/>
      <c r="D633" s="67"/>
      <c r="E633" s="186"/>
      <c r="F633" s="67"/>
      <c r="G633" s="67"/>
      <c r="H633" s="67"/>
      <c r="I633" s="187"/>
      <c r="J633" s="186"/>
      <c r="K633" s="187"/>
      <c r="L633" s="186"/>
      <c r="M633" s="67"/>
      <c r="N633" s="67"/>
      <c r="Q633" s="417"/>
      <c r="S633" s="417"/>
      <c r="AA633" s="186"/>
    </row>
    <row r="634">
      <c r="A634" s="185"/>
      <c r="B634" s="67"/>
      <c r="C634" s="67"/>
      <c r="D634" s="67"/>
      <c r="E634" s="186"/>
      <c r="F634" s="67"/>
      <c r="G634" s="67"/>
      <c r="H634" s="67"/>
      <c r="I634" s="187"/>
      <c r="J634" s="186"/>
      <c r="K634" s="187"/>
      <c r="L634" s="186"/>
      <c r="M634" s="67"/>
      <c r="N634" s="67"/>
      <c r="Q634" s="417"/>
      <c r="S634" s="417"/>
      <c r="AA634" s="186"/>
    </row>
    <row r="635">
      <c r="A635" s="185"/>
      <c r="B635" s="67"/>
      <c r="C635" s="67"/>
      <c r="D635" s="67"/>
      <c r="E635" s="186"/>
      <c r="F635" s="67"/>
      <c r="G635" s="67"/>
      <c r="H635" s="67"/>
      <c r="I635" s="187"/>
      <c r="J635" s="186"/>
      <c r="K635" s="187"/>
      <c r="L635" s="186"/>
      <c r="M635" s="67"/>
      <c r="N635" s="67"/>
      <c r="Q635" s="417"/>
      <c r="S635" s="417"/>
      <c r="AA635" s="186"/>
    </row>
    <row r="636">
      <c r="A636" s="185"/>
      <c r="B636" s="67"/>
      <c r="C636" s="67"/>
      <c r="D636" s="67"/>
      <c r="E636" s="186"/>
      <c r="F636" s="67"/>
      <c r="G636" s="67"/>
      <c r="H636" s="67"/>
      <c r="I636" s="187"/>
      <c r="J636" s="186"/>
      <c r="K636" s="187"/>
      <c r="L636" s="186"/>
      <c r="M636" s="67"/>
      <c r="N636" s="67"/>
      <c r="Q636" s="417"/>
      <c r="S636" s="417"/>
      <c r="AA636" s="186"/>
    </row>
    <row r="637">
      <c r="A637" s="185"/>
      <c r="B637" s="67"/>
      <c r="C637" s="67"/>
      <c r="D637" s="67"/>
      <c r="E637" s="186"/>
      <c r="F637" s="67"/>
      <c r="G637" s="67"/>
      <c r="H637" s="67"/>
      <c r="I637" s="187"/>
      <c r="J637" s="186"/>
      <c r="K637" s="187"/>
      <c r="L637" s="186"/>
      <c r="M637" s="67"/>
      <c r="N637" s="67"/>
      <c r="Q637" s="417"/>
      <c r="S637" s="417"/>
      <c r="AA637" s="186"/>
    </row>
    <row r="638">
      <c r="A638" s="185"/>
      <c r="B638" s="67"/>
      <c r="C638" s="67"/>
      <c r="D638" s="67"/>
      <c r="E638" s="186"/>
      <c r="F638" s="67"/>
      <c r="G638" s="67"/>
      <c r="H638" s="67"/>
      <c r="I638" s="187"/>
      <c r="J638" s="186"/>
      <c r="K638" s="187"/>
      <c r="L638" s="186"/>
      <c r="M638" s="67"/>
      <c r="N638" s="67"/>
      <c r="Q638" s="417"/>
      <c r="S638" s="417"/>
      <c r="AA638" s="186"/>
    </row>
    <row r="639">
      <c r="A639" s="185"/>
      <c r="B639" s="67"/>
      <c r="C639" s="67"/>
      <c r="D639" s="67"/>
      <c r="E639" s="186"/>
      <c r="F639" s="67"/>
      <c r="G639" s="67"/>
      <c r="H639" s="67"/>
      <c r="I639" s="187"/>
      <c r="J639" s="186"/>
      <c r="K639" s="187"/>
      <c r="L639" s="186"/>
      <c r="M639" s="67"/>
      <c r="N639" s="67"/>
      <c r="Q639" s="417"/>
      <c r="S639" s="417"/>
      <c r="AA639" s="186"/>
    </row>
    <row r="640">
      <c r="A640" s="185"/>
      <c r="B640" s="67"/>
      <c r="C640" s="67"/>
      <c r="D640" s="67"/>
      <c r="E640" s="186"/>
      <c r="F640" s="67"/>
      <c r="G640" s="67"/>
      <c r="H640" s="67"/>
      <c r="I640" s="187"/>
      <c r="J640" s="186"/>
      <c r="K640" s="187"/>
      <c r="L640" s="186"/>
      <c r="M640" s="67"/>
      <c r="N640" s="67"/>
      <c r="Q640" s="417"/>
      <c r="S640" s="417"/>
      <c r="AA640" s="186"/>
    </row>
    <row r="641">
      <c r="A641" s="185"/>
      <c r="B641" s="67"/>
      <c r="C641" s="67"/>
      <c r="D641" s="67"/>
      <c r="E641" s="186"/>
      <c r="F641" s="67"/>
      <c r="G641" s="67"/>
      <c r="H641" s="67"/>
      <c r="I641" s="187"/>
      <c r="J641" s="186"/>
      <c r="K641" s="187"/>
      <c r="L641" s="186"/>
      <c r="M641" s="67"/>
      <c r="N641" s="67"/>
      <c r="Q641" s="417"/>
      <c r="S641" s="417"/>
      <c r="AA641" s="186"/>
    </row>
    <row r="642">
      <c r="A642" s="185"/>
      <c r="B642" s="67"/>
      <c r="C642" s="67"/>
      <c r="D642" s="67"/>
      <c r="E642" s="186"/>
      <c r="F642" s="67"/>
      <c r="G642" s="67"/>
      <c r="H642" s="67"/>
      <c r="I642" s="187"/>
      <c r="J642" s="186"/>
      <c r="K642" s="187"/>
      <c r="L642" s="186"/>
      <c r="M642" s="67"/>
      <c r="N642" s="67"/>
      <c r="Q642" s="417"/>
      <c r="S642" s="417"/>
      <c r="AA642" s="186"/>
    </row>
    <row r="643">
      <c r="A643" s="185"/>
      <c r="B643" s="67"/>
      <c r="C643" s="67"/>
      <c r="D643" s="67"/>
      <c r="E643" s="186"/>
      <c r="F643" s="67"/>
      <c r="G643" s="67"/>
      <c r="H643" s="67"/>
      <c r="I643" s="187"/>
      <c r="J643" s="186"/>
      <c r="K643" s="187"/>
      <c r="L643" s="186"/>
      <c r="M643" s="67"/>
      <c r="N643" s="67"/>
      <c r="Q643" s="417"/>
      <c r="S643" s="417"/>
      <c r="AA643" s="186"/>
    </row>
    <row r="644">
      <c r="A644" s="185"/>
      <c r="B644" s="67"/>
      <c r="C644" s="67"/>
      <c r="D644" s="67"/>
      <c r="E644" s="186"/>
      <c r="F644" s="67"/>
      <c r="G644" s="67"/>
      <c r="H644" s="67"/>
      <c r="I644" s="187"/>
      <c r="J644" s="186"/>
      <c r="K644" s="187"/>
      <c r="L644" s="186"/>
      <c r="M644" s="67"/>
      <c r="N644" s="67"/>
      <c r="Q644" s="417"/>
      <c r="S644" s="417"/>
      <c r="AA644" s="186"/>
    </row>
    <row r="645">
      <c r="A645" s="185"/>
      <c r="B645" s="67"/>
      <c r="C645" s="67"/>
      <c r="D645" s="67"/>
      <c r="E645" s="186"/>
      <c r="F645" s="67"/>
      <c r="G645" s="67"/>
      <c r="H645" s="67"/>
      <c r="I645" s="187"/>
      <c r="J645" s="186"/>
      <c r="K645" s="187"/>
      <c r="L645" s="186"/>
      <c r="M645" s="67"/>
      <c r="N645" s="67"/>
      <c r="Q645" s="417"/>
      <c r="S645" s="417"/>
      <c r="AA645" s="186"/>
    </row>
    <row r="646">
      <c r="A646" s="185"/>
      <c r="B646" s="67"/>
      <c r="C646" s="67"/>
      <c r="D646" s="67"/>
      <c r="E646" s="186"/>
      <c r="F646" s="67"/>
      <c r="G646" s="67"/>
      <c r="H646" s="67"/>
      <c r="I646" s="187"/>
      <c r="J646" s="186"/>
      <c r="K646" s="187"/>
      <c r="L646" s="186"/>
      <c r="M646" s="67"/>
      <c r="N646" s="67"/>
      <c r="Q646" s="417"/>
      <c r="S646" s="417"/>
      <c r="AA646" s="186"/>
    </row>
    <row r="647">
      <c r="A647" s="185"/>
      <c r="B647" s="67"/>
      <c r="C647" s="67"/>
      <c r="D647" s="67"/>
      <c r="E647" s="186"/>
      <c r="F647" s="67"/>
      <c r="G647" s="67"/>
      <c r="H647" s="67"/>
      <c r="I647" s="187"/>
      <c r="J647" s="186"/>
      <c r="K647" s="187"/>
      <c r="L647" s="186"/>
      <c r="M647" s="67"/>
      <c r="N647" s="67"/>
      <c r="Q647" s="417"/>
      <c r="S647" s="417"/>
      <c r="AA647" s="186"/>
    </row>
    <row r="648">
      <c r="A648" s="185"/>
      <c r="B648" s="67"/>
      <c r="C648" s="67"/>
      <c r="D648" s="67"/>
      <c r="E648" s="186"/>
      <c r="F648" s="67"/>
      <c r="G648" s="67"/>
      <c r="H648" s="67"/>
      <c r="I648" s="187"/>
      <c r="J648" s="186"/>
      <c r="K648" s="187"/>
      <c r="L648" s="186"/>
      <c r="M648" s="67"/>
      <c r="N648" s="67"/>
      <c r="Q648" s="417"/>
      <c r="S648" s="417"/>
      <c r="AA648" s="186"/>
    </row>
    <row r="649">
      <c r="A649" s="185"/>
      <c r="B649" s="67"/>
      <c r="C649" s="67"/>
      <c r="D649" s="67"/>
      <c r="E649" s="186"/>
      <c r="F649" s="67"/>
      <c r="G649" s="67"/>
      <c r="H649" s="67"/>
      <c r="I649" s="187"/>
      <c r="J649" s="186"/>
      <c r="K649" s="187"/>
      <c r="L649" s="186"/>
      <c r="M649" s="67"/>
      <c r="N649" s="67"/>
      <c r="Q649" s="417"/>
      <c r="S649" s="417"/>
      <c r="AA649" s="186"/>
    </row>
    <row r="650">
      <c r="A650" s="185"/>
      <c r="B650" s="67"/>
      <c r="C650" s="67"/>
      <c r="D650" s="67"/>
      <c r="E650" s="186"/>
      <c r="F650" s="67"/>
      <c r="G650" s="67"/>
      <c r="H650" s="67"/>
      <c r="I650" s="187"/>
      <c r="J650" s="186"/>
      <c r="K650" s="187"/>
      <c r="L650" s="186"/>
      <c r="M650" s="67"/>
      <c r="N650" s="67"/>
      <c r="Q650" s="417"/>
      <c r="S650" s="417"/>
      <c r="AA650" s="186"/>
    </row>
    <row r="651">
      <c r="A651" s="185"/>
      <c r="B651" s="67"/>
      <c r="C651" s="67"/>
      <c r="D651" s="67"/>
      <c r="E651" s="186"/>
      <c r="F651" s="67"/>
      <c r="G651" s="67"/>
      <c r="H651" s="67"/>
      <c r="I651" s="187"/>
      <c r="J651" s="186"/>
      <c r="K651" s="187"/>
      <c r="L651" s="186"/>
      <c r="M651" s="67"/>
      <c r="N651" s="67"/>
      <c r="Q651" s="417"/>
      <c r="S651" s="417"/>
      <c r="AA651" s="186"/>
    </row>
    <row r="652">
      <c r="A652" s="185"/>
      <c r="B652" s="67"/>
      <c r="C652" s="67"/>
      <c r="D652" s="67"/>
      <c r="E652" s="186"/>
      <c r="F652" s="67"/>
      <c r="G652" s="67"/>
      <c r="H652" s="67"/>
      <c r="I652" s="187"/>
      <c r="J652" s="186"/>
      <c r="K652" s="187"/>
      <c r="L652" s="186"/>
      <c r="M652" s="67"/>
      <c r="N652" s="67"/>
      <c r="Q652" s="417"/>
      <c r="S652" s="417"/>
      <c r="AA652" s="186"/>
    </row>
    <row r="653">
      <c r="A653" s="185"/>
      <c r="B653" s="67"/>
      <c r="C653" s="67"/>
      <c r="D653" s="67"/>
      <c r="E653" s="186"/>
      <c r="F653" s="67"/>
      <c r="G653" s="67"/>
      <c r="H653" s="67"/>
      <c r="I653" s="187"/>
      <c r="J653" s="186"/>
      <c r="K653" s="187"/>
      <c r="L653" s="186"/>
      <c r="M653" s="67"/>
      <c r="N653" s="67"/>
      <c r="Q653" s="417"/>
      <c r="S653" s="417"/>
      <c r="AA653" s="186"/>
    </row>
    <row r="654">
      <c r="A654" s="185"/>
      <c r="B654" s="67"/>
      <c r="C654" s="67"/>
      <c r="D654" s="67"/>
      <c r="E654" s="186"/>
      <c r="F654" s="67"/>
      <c r="G654" s="67"/>
      <c r="H654" s="67"/>
      <c r="I654" s="187"/>
      <c r="J654" s="186"/>
      <c r="K654" s="187"/>
      <c r="L654" s="186"/>
      <c r="M654" s="67"/>
      <c r="N654" s="67"/>
      <c r="Q654" s="417"/>
      <c r="S654" s="417"/>
      <c r="AA654" s="186"/>
    </row>
    <row r="655">
      <c r="A655" s="185"/>
      <c r="B655" s="67"/>
      <c r="C655" s="67"/>
      <c r="D655" s="67"/>
      <c r="E655" s="186"/>
      <c r="F655" s="67"/>
      <c r="G655" s="67"/>
      <c r="H655" s="67"/>
      <c r="I655" s="187"/>
      <c r="J655" s="186"/>
      <c r="K655" s="187"/>
      <c r="L655" s="186"/>
      <c r="M655" s="67"/>
      <c r="N655" s="67"/>
      <c r="Q655" s="417"/>
      <c r="S655" s="417"/>
      <c r="AA655" s="186"/>
    </row>
    <row r="656">
      <c r="A656" s="185"/>
      <c r="B656" s="67"/>
      <c r="C656" s="67"/>
      <c r="D656" s="67"/>
      <c r="E656" s="186"/>
      <c r="F656" s="67"/>
      <c r="G656" s="67"/>
      <c r="H656" s="67"/>
      <c r="I656" s="187"/>
      <c r="J656" s="186"/>
      <c r="K656" s="187"/>
      <c r="L656" s="186"/>
      <c r="M656" s="67"/>
      <c r="N656" s="67"/>
      <c r="Q656" s="417"/>
      <c r="S656" s="417"/>
      <c r="AA656" s="186"/>
    </row>
    <row r="657">
      <c r="A657" s="185"/>
      <c r="B657" s="67"/>
      <c r="C657" s="67"/>
      <c r="D657" s="67"/>
      <c r="E657" s="186"/>
      <c r="F657" s="67"/>
      <c r="G657" s="67"/>
      <c r="H657" s="67"/>
      <c r="I657" s="187"/>
      <c r="J657" s="186"/>
      <c r="K657" s="187"/>
      <c r="L657" s="186"/>
      <c r="M657" s="67"/>
      <c r="N657" s="67"/>
      <c r="Q657" s="417"/>
      <c r="S657" s="417"/>
      <c r="AA657" s="186"/>
    </row>
    <row r="658">
      <c r="A658" s="185"/>
      <c r="B658" s="67"/>
      <c r="C658" s="67"/>
      <c r="D658" s="67"/>
      <c r="E658" s="186"/>
      <c r="F658" s="67"/>
      <c r="G658" s="67"/>
      <c r="H658" s="67"/>
      <c r="I658" s="187"/>
      <c r="J658" s="186"/>
      <c r="K658" s="187"/>
      <c r="L658" s="186"/>
      <c r="M658" s="67"/>
      <c r="N658" s="67"/>
      <c r="Q658" s="417"/>
      <c r="S658" s="417"/>
      <c r="AA658" s="186"/>
    </row>
    <row r="659">
      <c r="A659" s="185"/>
      <c r="B659" s="67"/>
      <c r="C659" s="67"/>
      <c r="D659" s="67"/>
      <c r="E659" s="186"/>
      <c r="F659" s="67"/>
      <c r="G659" s="67"/>
      <c r="H659" s="67"/>
      <c r="I659" s="187"/>
      <c r="J659" s="186"/>
      <c r="K659" s="187"/>
      <c r="L659" s="186"/>
      <c r="M659" s="67"/>
      <c r="N659" s="67"/>
      <c r="Q659" s="417"/>
      <c r="S659" s="417"/>
      <c r="AA659" s="186"/>
    </row>
    <row r="660">
      <c r="A660" s="185"/>
      <c r="B660" s="67"/>
      <c r="C660" s="67"/>
      <c r="D660" s="67"/>
      <c r="E660" s="186"/>
      <c r="F660" s="67"/>
      <c r="G660" s="67"/>
      <c r="H660" s="67"/>
      <c r="I660" s="187"/>
      <c r="J660" s="186"/>
      <c r="K660" s="187"/>
      <c r="L660" s="186"/>
      <c r="M660" s="67"/>
      <c r="N660" s="67"/>
      <c r="Q660" s="417"/>
      <c r="S660" s="417"/>
      <c r="AA660" s="186"/>
    </row>
    <row r="661">
      <c r="A661" s="185"/>
      <c r="B661" s="67"/>
      <c r="C661" s="67"/>
      <c r="D661" s="67"/>
      <c r="E661" s="186"/>
      <c r="F661" s="67"/>
      <c r="G661" s="67"/>
      <c r="H661" s="67"/>
      <c r="I661" s="187"/>
      <c r="J661" s="186"/>
      <c r="K661" s="187"/>
      <c r="L661" s="186"/>
      <c r="M661" s="67"/>
      <c r="N661" s="67"/>
      <c r="Q661" s="417"/>
      <c r="S661" s="417"/>
      <c r="AA661" s="186"/>
    </row>
    <row r="662">
      <c r="A662" s="185"/>
      <c r="B662" s="67"/>
      <c r="C662" s="67"/>
      <c r="D662" s="67"/>
      <c r="E662" s="186"/>
      <c r="F662" s="67"/>
      <c r="G662" s="67"/>
      <c r="H662" s="67"/>
      <c r="I662" s="187"/>
      <c r="J662" s="186"/>
      <c r="K662" s="187"/>
      <c r="L662" s="186"/>
      <c r="M662" s="67"/>
      <c r="N662" s="67"/>
      <c r="Q662" s="417"/>
      <c r="S662" s="417"/>
      <c r="AA662" s="186"/>
    </row>
    <row r="663">
      <c r="A663" s="185"/>
      <c r="B663" s="67"/>
      <c r="C663" s="67"/>
      <c r="D663" s="67"/>
      <c r="E663" s="186"/>
      <c r="F663" s="67"/>
      <c r="G663" s="67"/>
      <c r="H663" s="67"/>
      <c r="I663" s="187"/>
      <c r="J663" s="186"/>
      <c r="K663" s="187"/>
      <c r="L663" s="186"/>
      <c r="M663" s="67"/>
      <c r="N663" s="67"/>
      <c r="Q663" s="417"/>
      <c r="S663" s="417"/>
      <c r="AA663" s="186"/>
    </row>
    <row r="664">
      <c r="A664" s="185"/>
      <c r="B664" s="67"/>
      <c r="C664" s="67"/>
      <c r="D664" s="67"/>
      <c r="E664" s="186"/>
      <c r="F664" s="67"/>
      <c r="G664" s="67"/>
      <c r="H664" s="67"/>
      <c r="I664" s="187"/>
      <c r="J664" s="186"/>
      <c r="K664" s="187"/>
      <c r="L664" s="186"/>
      <c r="M664" s="67"/>
      <c r="N664" s="67"/>
      <c r="Q664" s="417"/>
      <c r="S664" s="417"/>
      <c r="AA664" s="186"/>
    </row>
    <row r="665">
      <c r="A665" s="185"/>
      <c r="B665" s="67"/>
      <c r="C665" s="67"/>
      <c r="D665" s="67"/>
      <c r="E665" s="186"/>
      <c r="F665" s="67"/>
      <c r="G665" s="67"/>
      <c r="H665" s="67"/>
      <c r="I665" s="187"/>
      <c r="J665" s="186"/>
      <c r="K665" s="187"/>
      <c r="L665" s="186"/>
      <c r="M665" s="67"/>
      <c r="N665" s="67"/>
      <c r="Q665" s="417"/>
      <c r="S665" s="417"/>
      <c r="AA665" s="186"/>
    </row>
    <row r="666">
      <c r="A666" s="185"/>
      <c r="B666" s="67"/>
      <c r="C666" s="67"/>
      <c r="D666" s="67"/>
      <c r="E666" s="186"/>
      <c r="F666" s="67"/>
      <c r="G666" s="67"/>
      <c r="H666" s="67"/>
      <c r="I666" s="187"/>
      <c r="J666" s="186"/>
      <c r="K666" s="187"/>
      <c r="L666" s="186"/>
      <c r="M666" s="67"/>
      <c r="N666" s="67"/>
      <c r="Q666" s="417"/>
      <c r="S666" s="417"/>
      <c r="AA666" s="186"/>
    </row>
    <row r="667">
      <c r="A667" s="185"/>
      <c r="B667" s="67"/>
      <c r="C667" s="67"/>
      <c r="D667" s="67"/>
      <c r="E667" s="186"/>
      <c r="F667" s="67"/>
      <c r="G667" s="67"/>
      <c r="H667" s="67"/>
      <c r="I667" s="187"/>
      <c r="J667" s="186"/>
      <c r="K667" s="187"/>
      <c r="L667" s="186"/>
      <c r="M667" s="67"/>
      <c r="N667" s="67"/>
      <c r="Q667" s="417"/>
      <c r="S667" s="417"/>
      <c r="AA667" s="186"/>
    </row>
    <row r="668">
      <c r="A668" s="185"/>
      <c r="B668" s="67"/>
      <c r="C668" s="67"/>
      <c r="D668" s="67"/>
      <c r="E668" s="186"/>
      <c r="F668" s="67"/>
      <c r="G668" s="67"/>
      <c r="H668" s="67"/>
      <c r="I668" s="187"/>
      <c r="J668" s="186"/>
      <c r="K668" s="187"/>
      <c r="L668" s="186"/>
      <c r="M668" s="67"/>
      <c r="N668" s="67"/>
      <c r="Q668" s="417"/>
      <c r="S668" s="417"/>
      <c r="AA668" s="186"/>
    </row>
    <row r="669">
      <c r="A669" s="185"/>
      <c r="B669" s="67"/>
      <c r="C669" s="67"/>
      <c r="D669" s="67"/>
      <c r="E669" s="186"/>
      <c r="F669" s="67"/>
      <c r="G669" s="67"/>
      <c r="H669" s="67"/>
      <c r="I669" s="187"/>
      <c r="J669" s="186"/>
      <c r="K669" s="187"/>
      <c r="L669" s="186"/>
      <c r="M669" s="67"/>
      <c r="N669" s="67"/>
      <c r="Q669" s="417"/>
      <c r="S669" s="417"/>
      <c r="AA669" s="186"/>
    </row>
    <row r="670">
      <c r="A670" s="185"/>
      <c r="B670" s="67"/>
      <c r="C670" s="67"/>
      <c r="D670" s="67"/>
      <c r="E670" s="186"/>
      <c r="F670" s="67"/>
      <c r="G670" s="67"/>
      <c r="H670" s="67"/>
      <c r="I670" s="187"/>
      <c r="J670" s="186"/>
      <c r="K670" s="187"/>
      <c r="L670" s="186"/>
      <c r="M670" s="67"/>
      <c r="N670" s="67"/>
      <c r="Q670" s="417"/>
      <c r="S670" s="417"/>
      <c r="AA670" s="186"/>
    </row>
    <row r="671">
      <c r="A671" s="185"/>
      <c r="B671" s="67"/>
      <c r="C671" s="67"/>
      <c r="D671" s="67"/>
      <c r="E671" s="186"/>
      <c r="F671" s="67"/>
      <c r="G671" s="67"/>
      <c r="H671" s="67"/>
      <c r="I671" s="187"/>
      <c r="J671" s="186"/>
      <c r="K671" s="187"/>
      <c r="L671" s="186"/>
      <c r="M671" s="67"/>
      <c r="N671" s="67"/>
      <c r="Q671" s="417"/>
      <c r="S671" s="417"/>
      <c r="AA671" s="186"/>
    </row>
    <row r="672">
      <c r="A672" s="185"/>
      <c r="B672" s="67"/>
      <c r="C672" s="67"/>
      <c r="D672" s="67"/>
      <c r="E672" s="186"/>
      <c r="F672" s="67"/>
      <c r="G672" s="67"/>
      <c r="H672" s="67"/>
      <c r="I672" s="187"/>
      <c r="J672" s="186"/>
      <c r="K672" s="187"/>
      <c r="L672" s="186"/>
      <c r="M672" s="67"/>
      <c r="N672" s="67"/>
      <c r="Q672" s="417"/>
      <c r="S672" s="417"/>
      <c r="AA672" s="186"/>
    </row>
    <row r="673">
      <c r="A673" s="185"/>
      <c r="B673" s="67"/>
      <c r="C673" s="67"/>
      <c r="D673" s="67"/>
      <c r="E673" s="186"/>
      <c r="F673" s="67"/>
      <c r="G673" s="67"/>
      <c r="H673" s="67"/>
      <c r="I673" s="187"/>
      <c r="J673" s="186"/>
      <c r="K673" s="187"/>
      <c r="L673" s="186"/>
      <c r="M673" s="67"/>
      <c r="N673" s="67"/>
      <c r="Q673" s="417"/>
      <c r="S673" s="417"/>
      <c r="AA673" s="186"/>
    </row>
    <row r="674">
      <c r="A674" s="185"/>
      <c r="B674" s="67"/>
      <c r="C674" s="67"/>
      <c r="D674" s="67"/>
      <c r="E674" s="186"/>
      <c r="F674" s="67"/>
      <c r="G674" s="67"/>
      <c r="H674" s="67"/>
      <c r="I674" s="187"/>
      <c r="J674" s="186"/>
      <c r="K674" s="187"/>
      <c r="L674" s="186"/>
      <c r="M674" s="67"/>
      <c r="N674" s="67"/>
      <c r="Q674" s="417"/>
      <c r="S674" s="417"/>
      <c r="AA674" s="186"/>
    </row>
    <row r="675">
      <c r="A675" s="185"/>
      <c r="B675" s="67"/>
      <c r="C675" s="67"/>
      <c r="D675" s="67"/>
      <c r="E675" s="186"/>
      <c r="F675" s="67"/>
      <c r="G675" s="67"/>
      <c r="H675" s="67"/>
      <c r="I675" s="187"/>
      <c r="J675" s="186"/>
      <c r="K675" s="187"/>
      <c r="L675" s="186"/>
      <c r="M675" s="67"/>
      <c r="N675" s="67"/>
      <c r="Q675" s="417"/>
      <c r="S675" s="417"/>
      <c r="AA675" s="186"/>
    </row>
    <row r="676">
      <c r="A676" s="185"/>
      <c r="B676" s="67"/>
      <c r="C676" s="67"/>
      <c r="D676" s="67"/>
      <c r="E676" s="186"/>
      <c r="F676" s="67"/>
      <c r="G676" s="67"/>
      <c r="H676" s="67"/>
      <c r="I676" s="187"/>
      <c r="J676" s="186"/>
      <c r="K676" s="187"/>
      <c r="L676" s="186"/>
      <c r="M676" s="67"/>
      <c r="N676" s="67"/>
      <c r="Q676" s="417"/>
      <c r="S676" s="417"/>
      <c r="AA676" s="186"/>
    </row>
    <row r="677">
      <c r="A677" s="185"/>
      <c r="B677" s="67"/>
      <c r="C677" s="67"/>
      <c r="D677" s="67"/>
      <c r="E677" s="186"/>
      <c r="F677" s="67"/>
      <c r="G677" s="67"/>
      <c r="H677" s="67"/>
      <c r="I677" s="187"/>
      <c r="J677" s="186"/>
      <c r="K677" s="187"/>
      <c r="L677" s="186"/>
      <c r="M677" s="67"/>
      <c r="N677" s="67"/>
      <c r="Q677" s="417"/>
      <c r="S677" s="417"/>
      <c r="AA677" s="186"/>
    </row>
    <row r="678">
      <c r="A678" s="185"/>
      <c r="B678" s="67"/>
      <c r="C678" s="67"/>
      <c r="D678" s="67"/>
      <c r="E678" s="186"/>
      <c r="F678" s="67"/>
      <c r="G678" s="67"/>
      <c r="H678" s="67"/>
      <c r="I678" s="187"/>
      <c r="J678" s="186"/>
      <c r="K678" s="187"/>
      <c r="L678" s="186"/>
      <c r="M678" s="67"/>
      <c r="N678" s="67"/>
      <c r="Q678" s="417"/>
      <c r="S678" s="417"/>
      <c r="AA678" s="186"/>
    </row>
    <row r="679">
      <c r="A679" s="185"/>
      <c r="B679" s="67"/>
      <c r="C679" s="67"/>
      <c r="D679" s="67"/>
      <c r="E679" s="186"/>
      <c r="F679" s="67"/>
      <c r="G679" s="67"/>
      <c r="H679" s="67"/>
      <c r="I679" s="187"/>
      <c r="J679" s="186"/>
      <c r="K679" s="187"/>
      <c r="L679" s="186"/>
      <c r="M679" s="67"/>
      <c r="N679" s="67"/>
      <c r="Q679" s="417"/>
      <c r="S679" s="417"/>
      <c r="AA679" s="186"/>
    </row>
    <row r="680">
      <c r="A680" s="185"/>
      <c r="B680" s="67"/>
      <c r="C680" s="67"/>
      <c r="D680" s="67"/>
      <c r="E680" s="186"/>
      <c r="F680" s="67"/>
      <c r="G680" s="67"/>
      <c r="H680" s="67"/>
      <c r="I680" s="187"/>
      <c r="J680" s="186"/>
      <c r="K680" s="187"/>
      <c r="L680" s="186"/>
      <c r="M680" s="67"/>
      <c r="N680" s="67"/>
      <c r="Q680" s="417"/>
      <c r="S680" s="417"/>
      <c r="AA680" s="186"/>
    </row>
    <row r="681">
      <c r="A681" s="185"/>
      <c r="B681" s="67"/>
      <c r="C681" s="67"/>
      <c r="D681" s="67"/>
      <c r="E681" s="186"/>
      <c r="F681" s="67"/>
      <c r="G681" s="67"/>
      <c r="H681" s="67"/>
      <c r="I681" s="187"/>
      <c r="J681" s="186"/>
      <c r="K681" s="187"/>
      <c r="L681" s="186"/>
      <c r="M681" s="67"/>
      <c r="N681" s="67"/>
      <c r="Q681" s="417"/>
      <c r="S681" s="417"/>
      <c r="AA681" s="186"/>
    </row>
    <row r="682">
      <c r="A682" s="185"/>
      <c r="B682" s="67"/>
      <c r="C682" s="67"/>
      <c r="D682" s="67"/>
      <c r="E682" s="186"/>
      <c r="F682" s="67"/>
      <c r="G682" s="67"/>
      <c r="H682" s="67"/>
      <c r="I682" s="187"/>
      <c r="J682" s="186"/>
      <c r="K682" s="187"/>
      <c r="L682" s="186"/>
      <c r="M682" s="67"/>
      <c r="N682" s="67"/>
      <c r="Q682" s="417"/>
      <c r="S682" s="417"/>
      <c r="AA682" s="186"/>
    </row>
    <row r="683">
      <c r="A683" s="185"/>
      <c r="B683" s="67"/>
      <c r="C683" s="67"/>
      <c r="D683" s="67"/>
      <c r="E683" s="186"/>
      <c r="F683" s="67"/>
      <c r="G683" s="67"/>
      <c r="H683" s="67"/>
      <c r="I683" s="187"/>
      <c r="J683" s="186"/>
      <c r="K683" s="187"/>
      <c r="L683" s="186"/>
      <c r="M683" s="67"/>
      <c r="N683" s="67"/>
      <c r="Q683" s="417"/>
      <c r="S683" s="417"/>
      <c r="AA683" s="186"/>
    </row>
    <row r="684">
      <c r="A684" s="185"/>
      <c r="B684" s="67"/>
      <c r="C684" s="67"/>
      <c r="D684" s="67"/>
      <c r="E684" s="186"/>
      <c r="F684" s="67"/>
      <c r="G684" s="67"/>
      <c r="H684" s="67"/>
      <c r="I684" s="187"/>
      <c r="J684" s="186"/>
      <c r="K684" s="187"/>
      <c r="L684" s="186"/>
      <c r="M684" s="67"/>
      <c r="N684" s="67"/>
      <c r="Q684" s="417"/>
      <c r="S684" s="417"/>
      <c r="AA684" s="186"/>
    </row>
    <row r="685">
      <c r="A685" s="185"/>
      <c r="B685" s="67"/>
      <c r="C685" s="67"/>
      <c r="D685" s="67"/>
      <c r="E685" s="186"/>
      <c r="F685" s="67"/>
      <c r="G685" s="67"/>
      <c r="H685" s="67"/>
      <c r="I685" s="187"/>
      <c r="J685" s="186"/>
      <c r="K685" s="187"/>
      <c r="L685" s="186"/>
      <c r="M685" s="67"/>
      <c r="N685" s="67"/>
      <c r="Q685" s="417"/>
      <c r="S685" s="417"/>
      <c r="AA685" s="186"/>
    </row>
    <row r="686">
      <c r="A686" s="185"/>
      <c r="B686" s="67"/>
      <c r="C686" s="67"/>
      <c r="D686" s="67"/>
      <c r="E686" s="186"/>
      <c r="F686" s="67"/>
      <c r="G686" s="67"/>
      <c r="H686" s="67"/>
      <c r="I686" s="187"/>
      <c r="J686" s="186"/>
      <c r="K686" s="187"/>
      <c r="L686" s="186"/>
      <c r="M686" s="67"/>
      <c r="N686" s="67"/>
      <c r="Q686" s="417"/>
      <c r="S686" s="417"/>
      <c r="AA686" s="186"/>
    </row>
    <row r="687">
      <c r="A687" s="185"/>
      <c r="B687" s="67"/>
      <c r="C687" s="67"/>
      <c r="D687" s="67"/>
      <c r="E687" s="186"/>
      <c r="F687" s="67"/>
      <c r="G687" s="67"/>
      <c r="H687" s="67"/>
      <c r="I687" s="187"/>
      <c r="J687" s="186"/>
      <c r="K687" s="187"/>
      <c r="L687" s="186"/>
      <c r="M687" s="67"/>
      <c r="N687" s="67"/>
      <c r="Q687" s="417"/>
      <c r="S687" s="417"/>
      <c r="AA687" s="186"/>
    </row>
    <row r="688">
      <c r="A688" s="185"/>
      <c r="B688" s="67"/>
      <c r="C688" s="67"/>
      <c r="D688" s="67"/>
      <c r="E688" s="186"/>
      <c r="F688" s="67"/>
      <c r="G688" s="67"/>
      <c r="H688" s="67"/>
      <c r="I688" s="187"/>
      <c r="J688" s="186"/>
      <c r="K688" s="187"/>
      <c r="L688" s="186"/>
      <c r="M688" s="67"/>
      <c r="N688" s="67"/>
      <c r="Q688" s="417"/>
      <c r="S688" s="417"/>
      <c r="AA688" s="186"/>
    </row>
    <row r="689">
      <c r="A689" s="185"/>
      <c r="B689" s="67"/>
      <c r="C689" s="67"/>
      <c r="D689" s="67"/>
      <c r="E689" s="186"/>
      <c r="F689" s="67"/>
      <c r="G689" s="67"/>
      <c r="H689" s="67"/>
      <c r="I689" s="187"/>
      <c r="J689" s="186"/>
      <c r="K689" s="187"/>
      <c r="L689" s="186"/>
      <c r="M689" s="67"/>
      <c r="N689" s="67"/>
      <c r="Q689" s="417"/>
      <c r="S689" s="417"/>
      <c r="AA689" s="186"/>
    </row>
    <row r="690">
      <c r="A690" s="185"/>
      <c r="B690" s="67"/>
      <c r="C690" s="67"/>
      <c r="D690" s="67"/>
      <c r="E690" s="186"/>
      <c r="F690" s="67"/>
      <c r="G690" s="67"/>
      <c r="H690" s="67"/>
      <c r="I690" s="187"/>
      <c r="J690" s="186"/>
      <c r="K690" s="187"/>
      <c r="L690" s="186"/>
      <c r="M690" s="67"/>
      <c r="N690" s="67"/>
      <c r="Q690" s="417"/>
      <c r="S690" s="417"/>
      <c r="AA690" s="186"/>
    </row>
    <row r="691">
      <c r="A691" s="185"/>
      <c r="B691" s="67"/>
      <c r="C691" s="67"/>
      <c r="D691" s="67"/>
      <c r="E691" s="186"/>
      <c r="F691" s="67"/>
      <c r="G691" s="67"/>
      <c r="H691" s="67"/>
      <c r="I691" s="187"/>
      <c r="J691" s="186"/>
      <c r="K691" s="187"/>
      <c r="L691" s="186"/>
      <c r="M691" s="67"/>
      <c r="N691" s="67"/>
      <c r="Q691" s="417"/>
      <c r="S691" s="417"/>
      <c r="AA691" s="186"/>
    </row>
    <row r="692">
      <c r="A692" s="185"/>
      <c r="B692" s="67"/>
      <c r="C692" s="67"/>
      <c r="D692" s="67"/>
      <c r="E692" s="186"/>
      <c r="F692" s="67"/>
      <c r="G692" s="67"/>
      <c r="H692" s="67"/>
      <c r="I692" s="187"/>
      <c r="J692" s="186"/>
      <c r="K692" s="187"/>
      <c r="L692" s="186"/>
      <c r="M692" s="67"/>
      <c r="N692" s="67"/>
      <c r="Q692" s="417"/>
      <c r="S692" s="417"/>
      <c r="AA692" s="186"/>
    </row>
    <row r="693">
      <c r="A693" s="185"/>
      <c r="B693" s="67"/>
      <c r="C693" s="67"/>
      <c r="D693" s="67"/>
      <c r="E693" s="186"/>
      <c r="F693" s="67"/>
      <c r="G693" s="67"/>
      <c r="H693" s="67"/>
      <c r="I693" s="187"/>
      <c r="J693" s="186"/>
      <c r="K693" s="187"/>
      <c r="L693" s="186"/>
      <c r="M693" s="67"/>
      <c r="N693" s="67"/>
      <c r="Q693" s="417"/>
      <c r="S693" s="417"/>
      <c r="AA693" s="186"/>
    </row>
    <row r="694">
      <c r="A694" s="185"/>
      <c r="B694" s="67"/>
      <c r="C694" s="67"/>
      <c r="D694" s="67"/>
      <c r="E694" s="186"/>
      <c r="F694" s="67"/>
      <c r="G694" s="67"/>
      <c r="H694" s="67"/>
      <c r="I694" s="187"/>
      <c r="J694" s="186"/>
      <c r="K694" s="187"/>
      <c r="L694" s="186"/>
      <c r="M694" s="67"/>
      <c r="N694" s="67"/>
      <c r="Q694" s="417"/>
      <c r="S694" s="417"/>
      <c r="AA694" s="186"/>
    </row>
    <row r="695">
      <c r="A695" s="185"/>
      <c r="B695" s="67"/>
      <c r="C695" s="67"/>
      <c r="D695" s="67"/>
      <c r="E695" s="186"/>
      <c r="F695" s="67"/>
      <c r="G695" s="67"/>
      <c r="H695" s="67"/>
      <c r="I695" s="187"/>
      <c r="J695" s="186"/>
      <c r="K695" s="187"/>
      <c r="L695" s="186"/>
      <c r="M695" s="67"/>
      <c r="N695" s="67"/>
      <c r="Q695" s="417"/>
      <c r="S695" s="417"/>
      <c r="AA695" s="186"/>
    </row>
    <row r="696">
      <c r="A696" s="185"/>
      <c r="B696" s="67"/>
      <c r="C696" s="67"/>
      <c r="D696" s="67"/>
      <c r="E696" s="186"/>
      <c r="F696" s="67"/>
      <c r="G696" s="67"/>
      <c r="H696" s="67"/>
      <c r="I696" s="187"/>
      <c r="J696" s="186"/>
      <c r="K696" s="187"/>
      <c r="L696" s="186"/>
      <c r="M696" s="67"/>
      <c r="N696" s="67"/>
      <c r="Q696" s="417"/>
      <c r="S696" s="417"/>
      <c r="AA696" s="186"/>
    </row>
    <row r="697">
      <c r="A697" s="185"/>
      <c r="B697" s="67"/>
      <c r="C697" s="67"/>
      <c r="D697" s="67"/>
      <c r="E697" s="186"/>
      <c r="F697" s="67"/>
      <c r="G697" s="67"/>
      <c r="H697" s="67"/>
      <c r="I697" s="187"/>
      <c r="J697" s="186"/>
      <c r="K697" s="187"/>
      <c r="L697" s="186"/>
      <c r="M697" s="67"/>
      <c r="N697" s="67"/>
      <c r="Q697" s="417"/>
      <c r="S697" s="417"/>
      <c r="AA697" s="186"/>
    </row>
    <row r="698">
      <c r="A698" s="185"/>
      <c r="B698" s="67"/>
      <c r="C698" s="67"/>
      <c r="D698" s="67"/>
      <c r="E698" s="186"/>
      <c r="F698" s="67"/>
      <c r="G698" s="67"/>
      <c r="H698" s="67"/>
      <c r="I698" s="187"/>
      <c r="J698" s="186"/>
      <c r="K698" s="187"/>
      <c r="L698" s="186"/>
      <c r="M698" s="67"/>
      <c r="N698" s="67"/>
      <c r="Q698" s="417"/>
      <c r="S698" s="417"/>
      <c r="AA698" s="186"/>
    </row>
    <row r="699">
      <c r="A699" s="185"/>
      <c r="B699" s="67"/>
      <c r="C699" s="67"/>
      <c r="D699" s="67"/>
      <c r="E699" s="186"/>
      <c r="F699" s="67"/>
      <c r="G699" s="67"/>
      <c r="H699" s="67"/>
      <c r="I699" s="187"/>
      <c r="J699" s="186"/>
      <c r="K699" s="187"/>
      <c r="L699" s="186"/>
      <c r="M699" s="67"/>
      <c r="N699" s="67"/>
      <c r="Q699" s="417"/>
      <c r="S699" s="417"/>
      <c r="AA699" s="186"/>
    </row>
    <row r="700">
      <c r="A700" s="185"/>
      <c r="B700" s="67"/>
      <c r="C700" s="67"/>
      <c r="D700" s="67"/>
      <c r="E700" s="186"/>
      <c r="F700" s="67"/>
      <c r="G700" s="67"/>
      <c r="H700" s="67"/>
      <c r="I700" s="187"/>
      <c r="J700" s="186"/>
      <c r="K700" s="187"/>
      <c r="L700" s="186"/>
      <c r="M700" s="67"/>
      <c r="N700" s="67"/>
      <c r="Q700" s="417"/>
      <c r="S700" s="417"/>
      <c r="AA700" s="186"/>
    </row>
    <row r="701">
      <c r="A701" s="185"/>
      <c r="B701" s="67"/>
      <c r="C701" s="67"/>
      <c r="D701" s="67"/>
      <c r="E701" s="186"/>
      <c r="F701" s="67"/>
      <c r="G701" s="67"/>
      <c r="H701" s="67"/>
      <c r="I701" s="187"/>
      <c r="J701" s="186"/>
      <c r="K701" s="187"/>
      <c r="L701" s="186"/>
      <c r="M701" s="67"/>
      <c r="N701" s="67"/>
      <c r="Q701" s="417"/>
      <c r="S701" s="417"/>
      <c r="AA701" s="186"/>
    </row>
    <row r="702">
      <c r="A702" s="185"/>
      <c r="B702" s="67"/>
      <c r="C702" s="67"/>
      <c r="D702" s="67"/>
      <c r="E702" s="186"/>
      <c r="F702" s="67"/>
      <c r="G702" s="67"/>
      <c r="H702" s="67"/>
      <c r="I702" s="187"/>
      <c r="J702" s="186"/>
      <c r="K702" s="187"/>
      <c r="L702" s="186"/>
      <c r="M702" s="67"/>
      <c r="N702" s="67"/>
      <c r="Q702" s="417"/>
      <c r="S702" s="417"/>
      <c r="AA702" s="186"/>
    </row>
    <row r="703">
      <c r="A703" s="185"/>
      <c r="B703" s="67"/>
      <c r="C703" s="67"/>
      <c r="D703" s="67"/>
      <c r="E703" s="186"/>
      <c r="F703" s="67"/>
      <c r="G703" s="67"/>
      <c r="H703" s="67"/>
      <c r="I703" s="187"/>
      <c r="J703" s="186"/>
      <c r="K703" s="187"/>
      <c r="L703" s="186"/>
      <c r="M703" s="67"/>
      <c r="N703" s="67"/>
      <c r="Q703" s="417"/>
      <c r="S703" s="417"/>
      <c r="AA703" s="186"/>
    </row>
    <row r="704">
      <c r="A704" s="185"/>
      <c r="B704" s="67"/>
      <c r="C704" s="67"/>
      <c r="D704" s="67"/>
      <c r="E704" s="186"/>
      <c r="F704" s="67"/>
      <c r="G704" s="67"/>
      <c r="H704" s="67"/>
      <c r="I704" s="187"/>
      <c r="J704" s="186"/>
      <c r="K704" s="187"/>
      <c r="L704" s="186"/>
      <c r="M704" s="67"/>
      <c r="N704" s="67"/>
      <c r="Q704" s="417"/>
      <c r="S704" s="417"/>
      <c r="AA704" s="186"/>
    </row>
    <row r="705">
      <c r="A705" s="185"/>
      <c r="B705" s="67"/>
      <c r="C705" s="67"/>
      <c r="D705" s="67"/>
      <c r="E705" s="186"/>
      <c r="F705" s="67"/>
      <c r="G705" s="67"/>
      <c r="H705" s="67"/>
      <c r="I705" s="187"/>
      <c r="J705" s="186"/>
      <c r="K705" s="187"/>
      <c r="L705" s="186"/>
      <c r="M705" s="67"/>
      <c r="N705" s="67"/>
      <c r="Q705" s="417"/>
      <c r="S705" s="417"/>
      <c r="AA705" s="186"/>
    </row>
    <row r="706">
      <c r="A706" s="185"/>
      <c r="B706" s="67"/>
      <c r="C706" s="67"/>
      <c r="D706" s="67"/>
      <c r="E706" s="186"/>
      <c r="F706" s="67"/>
      <c r="G706" s="67"/>
      <c r="H706" s="67"/>
      <c r="I706" s="187"/>
      <c r="J706" s="186"/>
      <c r="K706" s="187"/>
      <c r="L706" s="186"/>
      <c r="M706" s="67"/>
      <c r="N706" s="67"/>
      <c r="Q706" s="417"/>
      <c r="S706" s="417"/>
      <c r="AA706" s="186"/>
    </row>
    <row r="707">
      <c r="A707" s="185"/>
      <c r="B707" s="67"/>
      <c r="C707" s="67"/>
      <c r="D707" s="67"/>
      <c r="E707" s="186"/>
      <c r="F707" s="67"/>
      <c r="G707" s="67"/>
      <c r="H707" s="67"/>
      <c r="I707" s="187"/>
      <c r="J707" s="186"/>
      <c r="K707" s="187"/>
      <c r="L707" s="186"/>
      <c r="M707" s="67"/>
      <c r="N707" s="67"/>
      <c r="Q707" s="417"/>
      <c r="S707" s="417"/>
      <c r="AA707" s="186"/>
    </row>
    <row r="708">
      <c r="A708" s="185"/>
      <c r="B708" s="67"/>
      <c r="C708" s="67"/>
      <c r="D708" s="67"/>
      <c r="E708" s="186"/>
      <c r="F708" s="67"/>
      <c r="G708" s="67"/>
      <c r="H708" s="67"/>
      <c r="I708" s="187"/>
      <c r="J708" s="186"/>
      <c r="K708" s="187"/>
      <c r="L708" s="186"/>
      <c r="M708" s="67"/>
      <c r="N708" s="67"/>
      <c r="Q708" s="417"/>
      <c r="S708" s="417"/>
      <c r="AA708" s="186"/>
    </row>
    <row r="709">
      <c r="A709" s="185"/>
      <c r="B709" s="67"/>
      <c r="C709" s="67"/>
      <c r="D709" s="67"/>
      <c r="E709" s="186"/>
      <c r="F709" s="67"/>
      <c r="G709" s="67"/>
      <c r="H709" s="67"/>
      <c r="I709" s="187"/>
      <c r="J709" s="186"/>
      <c r="K709" s="187"/>
      <c r="L709" s="186"/>
      <c r="M709" s="67"/>
      <c r="N709" s="67"/>
      <c r="Q709" s="417"/>
      <c r="S709" s="417"/>
      <c r="AA709" s="186"/>
    </row>
    <row r="710">
      <c r="A710" s="185"/>
      <c r="B710" s="67"/>
      <c r="C710" s="67"/>
      <c r="D710" s="67"/>
      <c r="E710" s="186"/>
      <c r="F710" s="67"/>
      <c r="G710" s="67"/>
      <c r="H710" s="67"/>
      <c r="I710" s="187"/>
      <c r="J710" s="186"/>
      <c r="K710" s="187"/>
      <c r="L710" s="186"/>
      <c r="M710" s="67"/>
      <c r="N710" s="67"/>
      <c r="Q710" s="417"/>
      <c r="S710" s="417"/>
      <c r="AA710" s="186"/>
    </row>
    <row r="711">
      <c r="A711" s="185"/>
      <c r="B711" s="67"/>
      <c r="C711" s="67"/>
      <c r="D711" s="67"/>
      <c r="E711" s="186"/>
      <c r="F711" s="67"/>
      <c r="G711" s="67"/>
      <c r="H711" s="67"/>
      <c r="I711" s="187"/>
      <c r="J711" s="186"/>
      <c r="K711" s="187"/>
      <c r="L711" s="186"/>
      <c r="M711" s="67"/>
      <c r="N711" s="67"/>
      <c r="Q711" s="417"/>
      <c r="S711" s="417"/>
      <c r="AA711" s="186"/>
    </row>
    <row r="712">
      <c r="A712" s="185"/>
      <c r="B712" s="67"/>
      <c r="C712" s="67"/>
      <c r="D712" s="67"/>
      <c r="E712" s="186"/>
      <c r="F712" s="67"/>
      <c r="G712" s="67"/>
      <c r="H712" s="67"/>
      <c r="I712" s="187"/>
      <c r="J712" s="186"/>
      <c r="K712" s="187"/>
      <c r="L712" s="186"/>
      <c r="M712" s="67"/>
      <c r="N712" s="67"/>
      <c r="Q712" s="417"/>
      <c r="S712" s="417"/>
      <c r="AA712" s="186"/>
    </row>
    <row r="713">
      <c r="A713" s="185"/>
      <c r="B713" s="67"/>
      <c r="C713" s="67"/>
      <c r="D713" s="67"/>
      <c r="E713" s="186"/>
      <c r="F713" s="67"/>
      <c r="G713" s="67"/>
      <c r="H713" s="67"/>
      <c r="I713" s="187"/>
      <c r="J713" s="186"/>
      <c r="K713" s="187"/>
      <c r="L713" s="186"/>
      <c r="M713" s="67"/>
      <c r="N713" s="67"/>
      <c r="Q713" s="417"/>
      <c r="S713" s="417"/>
      <c r="AA713" s="186"/>
    </row>
    <row r="714">
      <c r="A714" s="185"/>
      <c r="B714" s="67"/>
      <c r="C714" s="67"/>
      <c r="D714" s="67"/>
      <c r="E714" s="186"/>
      <c r="F714" s="67"/>
      <c r="G714" s="67"/>
      <c r="H714" s="67"/>
      <c r="I714" s="187"/>
      <c r="J714" s="186"/>
      <c r="K714" s="187"/>
      <c r="L714" s="186"/>
      <c r="M714" s="67"/>
      <c r="N714" s="67"/>
      <c r="Q714" s="417"/>
      <c r="S714" s="417"/>
      <c r="AA714" s="186"/>
    </row>
    <row r="715">
      <c r="A715" s="185"/>
      <c r="B715" s="67"/>
      <c r="C715" s="67"/>
      <c r="D715" s="67"/>
      <c r="E715" s="186"/>
      <c r="F715" s="67"/>
      <c r="G715" s="67"/>
      <c r="H715" s="67"/>
      <c r="I715" s="187"/>
      <c r="J715" s="186"/>
      <c r="K715" s="187"/>
      <c r="L715" s="186"/>
      <c r="M715" s="67"/>
      <c r="N715" s="67"/>
      <c r="Q715" s="417"/>
      <c r="S715" s="417"/>
      <c r="AA715" s="186"/>
    </row>
    <row r="716">
      <c r="A716" s="185"/>
      <c r="B716" s="67"/>
      <c r="C716" s="67"/>
      <c r="D716" s="67"/>
      <c r="E716" s="186"/>
      <c r="F716" s="67"/>
      <c r="G716" s="67"/>
      <c r="H716" s="67"/>
      <c r="I716" s="187"/>
      <c r="J716" s="186"/>
      <c r="K716" s="187"/>
      <c r="L716" s="186"/>
      <c r="M716" s="67"/>
      <c r="N716" s="67"/>
      <c r="Q716" s="417"/>
      <c r="S716" s="417"/>
      <c r="AA716" s="186"/>
    </row>
    <row r="717">
      <c r="A717" s="185"/>
      <c r="B717" s="67"/>
      <c r="C717" s="67"/>
      <c r="D717" s="67"/>
      <c r="E717" s="186"/>
      <c r="F717" s="67"/>
      <c r="G717" s="67"/>
      <c r="H717" s="67"/>
      <c r="I717" s="187"/>
      <c r="J717" s="186"/>
      <c r="K717" s="187"/>
      <c r="L717" s="186"/>
      <c r="M717" s="67"/>
      <c r="N717" s="67"/>
      <c r="Q717" s="417"/>
      <c r="S717" s="417"/>
      <c r="AA717" s="186"/>
    </row>
    <row r="718">
      <c r="A718" s="185"/>
      <c r="B718" s="67"/>
      <c r="C718" s="67"/>
      <c r="D718" s="67"/>
      <c r="E718" s="186"/>
      <c r="F718" s="67"/>
      <c r="G718" s="67"/>
      <c r="H718" s="67"/>
      <c r="I718" s="187"/>
      <c r="J718" s="186"/>
      <c r="K718" s="187"/>
      <c r="L718" s="186"/>
      <c r="M718" s="67"/>
      <c r="N718" s="67"/>
      <c r="Q718" s="417"/>
      <c r="S718" s="417"/>
      <c r="AA718" s="186"/>
    </row>
    <row r="719">
      <c r="A719" s="185"/>
      <c r="B719" s="67"/>
      <c r="C719" s="67"/>
      <c r="D719" s="67"/>
      <c r="E719" s="186"/>
      <c r="F719" s="67"/>
      <c r="G719" s="67"/>
      <c r="H719" s="67"/>
      <c r="I719" s="187"/>
      <c r="J719" s="186"/>
      <c r="K719" s="187"/>
      <c r="L719" s="186"/>
      <c r="M719" s="67"/>
      <c r="N719" s="67"/>
      <c r="Q719" s="417"/>
      <c r="S719" s="417"/>
      <c r="AA719" s="186"/>
    </row>
    <row r="720">
      <c r="A720" s="185"/>
      <c r="B720" s="67"/>
      <c r="C720" s="67"/>
      <c r="D720" s="67"/>
      <c r="E720" s="186"/>
      <c r="F720" s="67"/>
      <c r="G720" s="67"/>
      <c r="H720" s="67"/>
      <c r="I720" s="187"/>
      <c r="J720" s="186"/>
      <c r="K720" s="187"/>
      <c r="L720" s="186"/>
      <c r="M720" s="67"/>
      <c r="N720" s="67"/>
      <c r="Q720" s="417"/>
      <c r="S720" s="417"/>
      <c r="AA720" s="186"/>
    </row>
    <row r="721">
      <c r="A721" s="185"/>
      <c r="B721" s="67"/>
      <c r="C721" s="67"/>
      <c r="D721" s="67"/>
      <c r="E721" s="186"/>
      <c r="F721" s="67"/>
      <c r="G721" s="67"/>
      <c r="H721" s="67"/>
      <c r="I721" s="187"/>
      <c r="J721" s="186"/>
      <c r="K721" s="187"/>
      <c r="L721" s="186"/>
      <c r="M721" s="67"/>
      <c r="N721" s="67"/>
      <c r="Q721" s="417"/>
      <c r="S721" s="417"/>
      <c r="AA721" s="186"/>
    </row>
    <row r="722">
      <c r="A722" s="185"/>
      <c r="B722" s="67"/>
      <c r="C722" s="67"/>
      <c r="D722" s="67"/>
      <c r="E722" s="186"/>
      <c r="F722" s="67"/>
      <c r="G722" s="67"/>
      <c r="H722" s="67"/>
      <c r="I722" s="187"/>
      <c r="J722" s="186"/>
      <c r="K722" s="187"/>
      <c r="L722" s="186"/>
      <c r="M722" s="67"/>
      <c r="N722" s="67"/>
      <c r="Q722" s="417"/>
      <c r="S722" s="417"/>
      <c r="AA722" s="186"/>
    </row>
    <row r="723">
      <c r="A723" s="185"/>
      <c r="B723" s="67"/>
      <c r="C723" s="67"/>
      <c r="D723" s="67"/>
      <c r="E723" s="186"/>
      <c r="F723" s="67"/>
      <c r="G723" s="67"/>
      <c r="H723" s="67"/>
      <c r="I723" s="187"/>
      <c r="J723" s="186"/>
      <c r="K723" s="187"/>
      <c r="L723" s="186"/>
      <c r="M723" s="67"/>
      <c r="N723" s="67"/>
      <c r="Q723" s="417"/>
      <c r="S723" s="417"/>
      <c r="AA723" s="186"/>
    </row>
    <row r="724">
      <c r="A724" s="185"/>
      <c r="B724" s="67"/>
      <c r="C724" s="67"/>
      <c r="D724" s="67"/>
      <c r="E724" s="186"/>
      <c r="F724" s="67"/>
      <c r="G724" s="67"/>
      <c r="H724" s="67"/>
      <c r="I724" s="187"/>
      <c r="J724" s="186"/>
      <c r="K724" s="187"/>
      <c r="L724" s="186"/>
      <c r="M724" s="67"/>
      <c r="N724" s="67"/>
      <c r="Q724" s="417"/>
      <c r="S724" s="417"/>
      <c r="AA724" s="186"/>
    </row>
    <row r="725">
      <c r="A725" s="185"/>
      <c r="B725" s="67"/>
      <c r="C725" s="67"/>
      <c r="D725" s="67"/>
      <c r="E725" s="186"/>
      <c r="F725" s="67"/>
      <c r="G725" s="67"/>
      <c r="H725" s="67"/>
      <c r="I725" s="187"/>
      <c r="J725" s="186"/>
      <c r="K725" s="187"/>
      <c r="L725" s="186"/>
      <c r="M725" s="67"/>
      <c r="N725" s="67"/>
      <c r="Q725" s="417"/>
      <c r="S725" s="417"/>
      <c r="AA725" s="186"/>
    </row>
    <row r="726">
      <c r="A726" s="185"/>
      <c r="B726" s="67"/>
      <c r="C726" s="67"/>
      <c r="D726" s="67"/>
      <c r="E726" s="186"/>
      <c r="F726" s="67"/>
      <c r="G726" s="67"/>
      <c r="H726" s="67"/>
      <c r="I726" s="187"/>
      <c r="J726" s="186"/>
      <c r="K726" s="187"/>
      <c r="L726" s="186"/>
      <c r="M726" s="67"/>
      <c r="N726" s="67"/>
      <c r="Q726" s="417"/>
      <c r="S726" s="417"/>
      <c r="AA726" s="186"/>
    </row>
    <row r="727">
      <c r="A727" s="185"/>
      <c r="B727" s="67"/>
      <c r="C727" s="67"/>
      <c r="D727" s="67"/>
      <c r="E727" s="186"/>
      <c r="F727" s="67"/>
      <c r="G727" s="67"/>
      <c r="H727" s="67"/>
      <c r="I727" s="187"/>
      <c r="J727" s="186"/>
      <c r="K727" s="187"/>
      <c r="L727" s="186"/>
      <c r="M727" s="67"/>
      <c r="N727" s="67"/>
      <c r="Q727" s="417"/>
      <c r="S727" s="417"/>
      <c r="AA727" s="186"/>
    </row>
    <row r="728">
      <c r="A728" s="185"/>
      <c r="B728" s="67"/>
      <c r="C728" s="67"/>
      <c r="D728" s="67"/>
      <c r="E728" s="186"/>
      <c r="F728" s="67"/>
      <c r="G728" s="67"/>
      <c r="H728" s="67"/>
      <c r="I728" s="187"/>
      <c r="J728" s="186"/>
      <c r="K728" s="187"/>
      <c r="L728" s="186"/>
      <c r="M728" s="67"/>
      <c r="N728" s="67"/>
      <c r="Q728" s="417"/>
      <c r="S728" s="417"/>
      <c r="AA728" s="186"/>
    </row>
    <row r="729">
      <c r="A729" s="185"/>
      <c r="B729" s="67"/>
      <c r="C729" s="67"/>
      <c r="D729" s="67"/>
      <c r="E729" s="186"/>
      <c r="F729" s="67"/>
      <c r="G729" s="67"/>
      <c r="H729" s="67"/>
      <c r="I729" s="187"/>
      <c r="J729" s="186"/>
      <c r="K729" s="187"/>
      <c r="L729" s="186"/>
      <c r="M729" s="67"/>
      <c r="N729" s="67"/>
      <c r="Q729" s="417"/>
      <c r="S729" s="417"/>
      <c r="AA729" s="186"/>
    </row>
    <row r="730">
      <c r="A730" s="185"/>
      <c r="B730" s="67"/>
      <c r="C730" s="67"/>
      <c r="D730" s="67"/>
      <c r="E730" s="186"/>
      <c r="F730" s="67"/>
      <c r="G730" s="67"/>
      <c r="H730" s="67"/>
      <c r="I730" s="187"/>
      <c r="J730" s="186"/>
      <c r="K730" s="187"/>
      <c r="L730" s="186"/>
      <c r="M730" s="67"/>
      <c r="N730" s="67"/>
      <c r="Q730" s="417"/>
      <c r="S730" s="417"/>
      <c r="AA730" s="186"/>
    </row>
    <row r="731">
      <c r="A731" s="185"/>
      <c r="B731" s="67"/>
      <c r="C731" s="67"/>
      <c r="D731" s="67"/>
      <c r="E731" s="186"/>
      <c r="F731" s="67"/>
      <c r="G731" s="67"/>
      <c r="H731" s="67"/>
      <c r="I731" s="187"/>
      <c r="J731" s="186"/>
      <c r="K731" s="187"/>
      <c r="L731" s="186"/>
      <c r="M731" s="67"/>
      <c r="N731" s="67"/>
      <c r="Q731" s="417"/>
      <c r="S731" s="417"/>
      <c r="AA731" s="186"/>
    </row>
    <row r="732">
      <c r="A732" s="185"/>
      <c r="B732" s="67"/>
      <c r="C732" s="67"/>
      <c r="D732" s="67"/>
      <c r="E732" s="186"/>
      <c r="F732" s="67"/>
      <c r="G732" s="67"/>
      <c r="H732" s="67"/>
      <c r="I732" s="187"/>
      <c r="J732" s="186"/>
      <c r="K732" s="187"/>
      <c r="L732" s="186"/>
      <c r="M732" s="67"/>
      <c r="N732" s="67"/>
      <c r="Q732" s="417"/>
      <c r="S732" s="417"/>
      <c r="AA732" s="186"/>
    </row>
    <row r="733">
      <c r="A733" s="185"/>
      <c r="B733" s="67"/>
      <c r="C733" s="67"/>
      <c r="D733" s="67"/>
      <c r="E733" s="186"/>
      <c r="F733" s="67"/>
      <c r="G733" s="67"/>
      <c r="H733" s="67"/>
      <c r="I733" s="187"/>
      <c r="J733" s="186"/>
      <c r="K733" s="187"/>
      <c r="L733" s="186"/>
      <c r="M733" s="67"/>
      <c r="N733" s="67"/>
      <c r="Q733" s="417"/>
      <c r="S733" s="417"/>
      <c r="AA733" s="186"/>
    </row>
    <row r="734">
      <c r="A734" s="185"/>
      <c r="B734" s="67"/>
      <c r="C734" s="67"/>
      <c r="D734" s="67"/>
      <c r="E734" s="186"/>
      <c r="F734" s="67"/>
      <c r="G734" s="67"/>
      <c r="H734" s="67"/>
      <c r="I734" s="187"/>
      <c r="J734" s="186"/>
      <c r="K734" s="187"/>
      <c r="L734" s="186"/>
      <c r="M734" s="67"/>
      <c r="N734" s="67"/>
      <c r="Q734" s="417"/>
      <c r="S734" s="417"/>
      <c r="AA734" s="186"/>
    </row>
    <row r="735">
      <c r="A735" s="185"/>
      <c r="B735" s="67"/>
      <c r="C735" s="67"/>
      <c r="D735" s="67"/>
      <c r="E735" s="186"/>
      <c r="F735" s="67"/>
      <c r="G735" s="67"/>
      <c r="H735" s="67"/>
      <c r="I735" s="187"/>
      <c r="J735" s="186"/>
      <c r="K735" s="187"/>
      <c r="L735" s="186"/>
      <c r="M735" s="67"/>
      <c r="N735" s="67"/>
      <c r="Q735" s="417"/>
      <c r="S735" s="417"/>
      <c r="AA735" s="186"/>
    </row>
    <row r="736">
      <c r="A736" s="185"/>
      <c r="B736" s="67"/>
      <c r="C736" s="67"/>
      <c r="D736" s="67"/>
      <c r="E736" s="186"/>
      <c r="F736" s="67"/>
      <c r="G736" s="67"/>
      <c r="H736" s="67"/>
      <c r="I736" s="187"/>
      <c r="J736" s="186"/>
      <c r="K736" s="187"/>
      <c r="L736" s="186"/>
      <c r="M736" s="67"/>
      <c r="N736" s="67"/>
      <c r="Q736" s="417"/>
      <c r="S736" s="417"/>
      <c r="AA736" s="186"/>
    </row>
    <row r="737">
      <c r="A737" s="185"/>
      <c r="B737" s="67"/>
      <c r="C737" s="67"/>
      <c r="D737" s="67"/>
      <c r="E737" s="186"/>
      <c r="F737" s="67"/>
      <c r="G737" s="67"/>
      <c r="H737" s="67"/>
      <c r="I737" s="187"/>
      <c r="J737" s="186"/>
      <c r="K737" s="187"/>
      <c r="L737" s="186"/>
      <c r="M737" s="67"/>
      <c r="N737" s="67"/>
      <c r="Q737" s="417"/>
      <c r="S737" s="417"/>
      <c r="AA737" s="186"/>
    </row>
    <row r="738">
      <c r="A738" s="185"/>
      <c r="B738" s="67"/>
      <c r="C738" s="67"/>
      <c r="D738" s="67"/>
      <c r="E738" s="186"/>
      <c r="F738" s="67"/>
      <c r="G738" s="67"/>
      <c r="H738" s="67"/>
      <c r="I738" s="187"/>
      <c r="J738" s="186"/>
      <c r="K738" s="187"/>
      <c r="L738" s="186"/>
      <c r="M738" s="67"/>
      <c r="N738" s="67"/>
      <c r="Q738" s="417"/>
      <c r="S738" s="417"/>
      <c r="AA738" s="186"/>
    </row>
    <row r="739">
      <c r="A739" s="185"/>
      <c r="B739" s="67"/>
      <c r="C739" s="67"/>
      <c r="D739" s="67"/>
      <c r="E739" s="186"/>
      <c r="F739" s="67"/>
      <c r="G739" s="67"/>
      <c r="H739" s="67"/>
      <c r="I739" s="187"/>
      <c r="J739" s="186"/>
      <c r="K739" s="187"/>
      <c r="L739" s="186"/>
      <c r="M739" s="67"/>
      <c r="N739" s="67"/>
      <c r="Q739" s="417"/>
      <c r="S739" s="417"/>
      <c r="AA739" s="186"/>
    </row>
    <row r="740">
      <c r="A740" s="185"/>
      <c r="B740" s="67"/>
      <c r="C740" s="67"/>
      <c r="D740" s="67"/>
      <c r="E740" s="186"/>
      <c r="F740" s="67"/>
      <c r="G740" s="67"/>
      <c r="H740" s="67"/>
      <c r="I740" s="187"/>
      <c r="J740" s="186"/>
      <c r="K740" s="187"/>
      <c r="L740" s="186"/>
      <c r="M740" s="67"/>
      <c r="N740" s="67"/>
      <c r="Q740" s="417"/>
      <c r="S740" s="417"/>
      <c r="AA740" s="186"/>
    </row>
    <row r="741">
      <c r="A741" s="185"/>
      <c r="B741" s="67"/>
      <c r="C741" s="67"/>
      <c r="D741" s="67"/>
      <c r="E741" s="186"/>
      <c r="F741" s="67"/>
      <c r="G741" s="67"/>
      <c r="H741" s="67"/>
      <c r="I741" s="187"/>
      <c r="J741" s="186"/>
      <c r="K741" s="187"/>
      <c r="L741" s="186"/>
      <c r="M741" s="67"/>
      <c r="N741" s="67"/>
      <c r="Q741" s="417"/>
      <c r="S741" s="417"/>
      <c r="AA741" s="186"/>
    </row>
    <row r="742">
      <c r="A742" s="185"/>
      <c r="B742" s="67"/>
      <c r="C742" s="67"/>
      <c r="D742" s="67"/>
      <c r="E742" s="186"/>
      <c r="F742" s="67"/>
      <c r="G742" s="67"/>
      <c r="H742" s="67"/>
      <c r="I742" s="187"/>
      <c r="J742" s="186"/>
      <c r="K742" s="187"/>
      <c r="L742" s="186"/>
      <c r="M742" s="67"/>
      <c r="N742" s="67"/>
      <c r="Q742" s="417"/>
      <c r="S742" s="417"/>
      <c r="AA742" s="186"/>
    </row>
    <row r="743">
      <c r="A743" s="185"/>
      <c r="B743" s="67"/>
      <c r="C743" s="67"/>
      <c r="D743" s="67"/>
      <c r="E743" s="186"/>
      <c r="F743" s="67"/>
      <c r="G743" s="67"/>
      <c r="H743" s="67"/>
      <c r="I743" s="187"/>
      <c r="J743" s="186"/>
      <c r="K743" s="187"/>
      <c r="L743" s="186"/>
      <c r="M743" s="67"/>
      <c r="N743" s="67"/>
      <c r="Q743" s="417"/>
      <c r="S743" s="417"/>
      <c r="AA743" s="186"/>
    </row>
    <row r="744">
      <c r="A744" s="185"/>
      <c r="B744" s="67"/>
      <c r="C744" s="67"/>
      <c r="D744" s="67"/>
      <c r="E744" s="186"/>
      <c r="F744" s="67"/>
      <c r="G744" s="67"/>
      <c r="H744" s="67"/>
      <c r="I744" s="187"/>
      <c r="J744" s="186"/>
      <c r="K744" s="187"/>
      <c r="L744" s="186"/>
      <c r="M744" s="67"/>
      <c r="N744" s="67"/>
      <c r="Q744" s="417"/>
      <c r="S744" s="417"/>
      <c r="AA744" s="186"/>
    </row>
    <row r="745">
      <c r="A745" s="185"/>
      <c r="B745" s="67"/>
      <c r="C745" s="67"/>
      <c r="D745" s="67"/>
      <c r="E745" s="186"/>
      <c r="F745" s="67"/>
      <c r="G745" s="67"/>
      <c r="H745" s="67"/>
      <c r="I745" s="187"/>
      <c r="J745" s="186"/>
      <c r="K745" s="187"/>
      <c r="L745" s="186"/>
      <c r="M745" s="67"/>
      <c r="N745" s="67"/>
      <c r="Q745" s="417"/>
      <c r="S745" s="417"/>
      <c r="AA745" s="186"/>
    </row>
    <row r="746">
      <c r="A746" s="185"/>
      <c r="B746" s="67"/>
      <c r="C746" s="67"/>
      <c r="D746" s="67"/>
      <c r="E746" s="186"/>
      <c r="F746" s="67"/>
      <c r="G746" s="67"/>
      <c r="H746" s="67"/>
      <c r="I746" s="187"/>
      <c r="J746" s="186"/>
      <c r="K746" s="187"/>
      <c r="L746" s="186"/>
      <c r="M746" s="67"/>
      <c r="N746" s="67"/>
      <c r="Q746" s="417"/>
      <c r="S746" s="417"/>
      <c r="AA746" s="186"/>
    </row>
    <row r="747">
      <c r="A747" s="185"/>
      <c r="B747" s="67"/>
      <c r="C747" s="67"/>
      <c r="D747" s="67"/>
      <c r="E747" s="186"/>
      <c r="F747" s="67"/>
      <c r="G747" s="67"/>
      <c r="H747" s="67"/>
      <c r="I747" s="187"/>
      <c r="J747" s="186"/>
      <c r="K747" s="187"/>
      <c r="L747" s="186"/>
      <c r="M747" s="67"/>
      <c r="N747" s="67"/>
      <c r="Q747" s="417"/>
      <c r="S747" s="417"/>
      <c r="AA747" s="186"/>
    </row>
    <row r="748">
      <c r="A748" s="185"/>
      <c r="B748" s="67"/>
      <c r="C748" s="67"/>
      <c r="D748" s="67"/>
      <c r="E748" s="186"/>
      <c r="F748" s="67"/>
      <c r="G748" s="67"/>
      <c r="H748" s="67"/>
      <c r="I748" s="187"/>
      <c r="J748" s="186"/>
      <c r="K748" s="187"/>
      <c r="L748" s="186"/>
      <c r="M748" s="67"/>
      <c r="N748" s="67"/>
      <c r="Q748" s="417"/>
      <c r="S748" s="417"/>
      <c r="AA748" s="186"/>
    </row>
    <row r="749">
      <c r="A749" s="185"/>
      <c r="B749" s="67"/>
      <c r="C749" s="67"/>
      <c r="D749" s="67"/>
      <c r="E749" s="186"/>
      <c r="F749" s="67"/>
      <c r="G749" s="67"/>
      <c r="H749" s="67"/>
      <c r="I749" s="187"/>
      <c r="J749" s="186"/>
      <c r="K749" s="187"/>
      <c r="L749" s="186"/>
      <c r="M749" s="67"/>
      <c r="N749" s="67"/>
      <c r="Q749" s="417"/>
      <c r="S749" s="417"/>
      <c r="AA749" s="186"/>
    </row>
    <row r="750">
      <c r="A750" s="185"/>
      <c r="B750" s="67"/>
      <c r="C750" s="67"/>
      <c r="D750" s="67"/>
      <c r="E750" s="186"/>
      <c r="F750" s="67"/>
      <c r="G750" s="67"/>
      <c r="H750" s="67"/>
      <c r="I750" s="187"/>
      <c r="J750" s="186"/>
      <c r="K750" s="187"/>
      <c r="L750" s="186"/>
      <c r="M750" s="67"/>
      <c r="N750" s="67"/>
      <c r="Q750" s="417"/>
      <c r="S750" s="417"/>
      <c r="AA750" s="186"/>
    </row>
    <row r="751">
      <c r="A751" s="185"/>
      <c r="B751" s="67"/>
      <c r="C751" s="67"/>
      <c r="D751" s="67"/>
      <c r="E751" s="186"/>
      <c r="F751" s="67"/>
      <c r="G751" s="67"/>
      <c r="H751" s="67"/>
      <c r="I751" s="187"/>
      <c r="J751" s="186"/>
      <c r="K751" s="187"/>
      <c r="L751" s="186"/>
      <c r="M751" s="67"/>
      <c r="N751" s="67"/>
      <c r="Q751" s="417"/>
      <c r="S751" s="417"/>
      <c r="AA751" s="186"/>
    </row>
    <row r="752">
      <c r="A752" s="185"/>
      <c r="B752" s="67"/>
      <c r="C752" s="67"/>
      <c r="D752" s="67"/>
      <c r="E752" s="186"/>
      <c r="F752" s="67"/>
      <c r="G752" s="67"/>
      <c r="H752" s="67"/>
      <c r="I752" s="187"/>
      <c r="J752" s="186"/>
      <c r="K752" s="187"/>
      <c r="L752" s="186"/>
      <c r="M752" s="67"/>
      <c r="N752" s="67"/>
      <c r="Q752" s="417"/>
      <c r="S752" s="417"/>
      <c r="AA752" s="186"/>
    </row>
    <row r="753">
      <c r="A753" s="185"/>
      <c r="B753" s="67"/>
      <c r="C753" s="67"/>
      <c r="D753" s="67"/>
      <c r="E753" s="186"/>
      <c r="F753" s="67"/>
      <c r="G753" s="67"/>
      <c r="H753" s="67"/>
      <c r="I753" s="187"/>
      <c r="J753" s="186"/>
      <c r="K753" s="187"/>
      <c r="L753" s="186"/>
      <c r="M753" s="67"/>
      <c r="N753" s="67"/>
      <c r="Q753" s="417"/>
      <c r="S753" s="417"/>
      <c r="AA753" s="186"/>
    </row>
    <row r="754">
      <c r="A754" s="185"/>
      <c r="B754" s="67"/>
      <c r="C754" s="67"/>
      <c r="D754" s="67"/>
      <c r="E754" s="186"/>
      <c r="F754" s="67"/>
      <c r="G754" s="67"/>
      <c r="H754" s="67"/>
      <c r="I754" s="187"/>
      <c r="J754" s="186"/>
      <c r="K754" s="187"/>
      <c r="L754" s="186"/>
      <c r="M754" s="67"/>
      <c r="N754" s="67"/>
      <c r="Q754" s="417"/>
      <c r="S754" s="417"/>
      <c r="AA754" s="186"/>
    </row>
    <row r="755">
      <c r="A755" s="185"/>
      <c r="B755" s="67"/>
      <c r="C755" s="67"/>
      <c r="D755" s="67"/>
      <c r="E755" s="186"/>
      <c r="F755" s="67"/>
      <c r="G755" s="67"/>
      <c r="H755" s="67"/>
      <c r="I755" s="187"/>
      <c r="J755" s="186"/>
      <c r="K755" s="187"/>
      <c r="L755" s="186"/>
      <c r="M755" s="67"/>
      <c r="N755" s="67"/>
      <c r="Q755" s="417"/>
      <c r="S755" s="417"/>
      <c r="AA755" s="186"/>
    </row>
    <row r="756">
      <c r="A756" s="185"/>
      <c r="B756" s="67"/>
      <c r="C756" s="67"/>
      <c r="D756" s="67"/>
      <c r="E756" s="186"/>
      <c r="F756" s="67"/>
      <c r="G756" s="67"/>
      <c r="H756" s="67"/>
      <c r="I756" s="187"/>
      <c r="J756" s="186"/>
      <c r="K756" s="187"/>
      <c r="L756" s="186"/>
      <c r="M756" s="67"/>
      <c r="N756" s="67"/>
      <c r="Q756" s="417"/>
      <c r="S756" s="417"/>
      <c r="AA756" s="186"/>
    </row>
    <row r="757">
      <c r="A757" s="185"/>
      <c r="B757" s="67"/>
      <c r="C757" s="67"/>
      <c r="D757" s="67"/>
      <c r="E757" s="186"/>
      <c r="F757" s="67"/>
      <c r="G757" s="67"/>
      <c r="H757" s="67"/>
      <c r="I757" s="187"/>
      <c r="J757" s="186"/>
      <c r="K757" s="187"/>
      <c r="L757" s="186"/>
      <c r="M757" s="67"/>
      <c r="N757" s="67"/>
      <c r="Q757" s="417"/>
      <c r="S757" s="417"/>
      <c r="AA757" s="186"/>
    </row>
    <row r="758">
      <c r="A758" s="185"/>
      <c r="B758" s="67"/>
      <c r="C758" s="67"/>
      <c r="D758" s="67"/>
      <c r="E758" s="186"/>
      <c r="F758" s="67"/>
      <c r="G758" s="67"/>
      <c r="H758" s="67"/>
      <c r="I758" s="187"/>
      <c r="J758" s="186"/>
      <c r="K758" s="187"/>
      <c r="L758" s="186"/>
      <c r="M758" s="67"/>
      <c r="N758" s="67"/>
      <c r="Q758" s="417"/>
      <c r="S758" s="417"/>
      <c r="AA758" s="186"/>
    </row>
    <row r="759">
      <c r="A759" s="185"/>
      <c r="B759" s="67"/>
      <c r="C759" s="67"/>
      <c r="D759" s="67"/>
      <c r="E759" s="186"/>
      <c r="F759" s="67"/>
      <c r="G759" s="67"/>
      <c r="H759" s="67"/>
      <c r="I759" s="187"/>
      <c r="J759" s="186"/>
      <c r="K759" s="187"/>
      <c r="L759" s="186"/>
      <c r="M759" s="67"/>
      <c r="N759" s="67"/>
      <c r="Q759" s="417"/>
      <c r="S759" s="417"/>
      <c r="AA759" s="186"/>
    </row>
    <row r="760">
      <c r="A760" s="185"/>
      <c r="B760" s="67"/>
      <c r="C760" s="67"/>
      <c r="D760" s="67"/>
      <c r="E760" s="186"/>
      <c r="F760" s="67"/>
      <c r="G760" s="67"/>
      <c r="H760" s="67"/>
      <c r="I760" s="187"/>
      <c r="J760" s="186"/>
      <c r="K760" s="187"/>
      <c r="L760" s="186"/>
      <c r="M760" s="67"/>
      <c r="N760" s="67"/>
      <c r="Q760" s="417"/>
      <c r="S760" s="417"/>
      <c r="AA760" s="186"/>
    </row>
    <row r="761">
      <c r="A761" s="185"/>
      <c r="B761" s="67"/>
      <c r="C761" s="67"/>
      <c r="D761" s="67"/>
      <c r="E761" s="186"/>
      <c r="F761" s="67"/>
      <c r="G761" s="67"/>
      <c r="H761" s="67"/>
      <c r="I761" s="187"/>
      <c r="J761" s="186"/>
      <c r="K761" s="187"/>
      <c r="L761" s="186"/>
      <c r="M761" s="67"/>
      <c r="N761" s="67"/>
      <c r="Q761" s="417"/>
      <c r="S761" s="417"/>
      <c r="AA761" s="186"/>
    </row>
    <row r="762">
      <c r="A762" s="185"/>
      <c r="B762" s="67"/>
      <c r="C762" s="67"/>
      <c r="D762" s="67"/>
      <c r="E762" s="186"/>
      <c r="F762" s="67"/>
      <c r="G762" s="67"/>
      <c r="H762" s="67"/>
      <c r="I762" s="187"/>
      <c r="J762" s="186"/>
      <c r="K762" s="187"/>
      <c r="L762" s="186"/>
      <c r="M762" s="67"/>
      <c r="N762" s="67"/>
      <c r="Q762" s="417"/>
      <c r="S762" s="417"/>
      <c r="AA762" s="186"/>
    </row>
    <row r="763">
      <c r="A763" s="185"/>
      <c r="B763" s="67"/>
      <c r="C763" s="67"/>
      <c r="D763" s="67"/>
      <c r="E763" s="186"/>
      <c r="F763" s="67"/>
      <c r="G763" s="67"/>
      <c r="H763" s="67"/>
      <c r="I763" s="187"/>
      <c r="J763" s="186"/>
      <c r="K763" s="187"/>
      <c r="L763" s="186"/>
      <c r="M763" s="67"/>
      <c r="N763" s="67"/>
      <c r="Q763" s="417"/>
      <c r="S763" s="417"/>
      <c r="AA763" s="186"/>
    </row>
    <row r="764">
      <c r="A764" s="185"/>
      <c r="B764" s="67"/>
      <c r="C764" s="67"/>
      <c r="D764" s="67"/>
      <c r="E764" s="186"/>
      <c r="F764" s="67"/>
      <c r="G764" s="67"/>
      <c r="H764" s="67"/>
      <c r="I764" s="187"/>
      <c r="J764" s="186"/>
      <c r="K764" s="187"/>
      <c r="L764" s="186"/>
      <c r="M764" s="67"/>
      <c r="N764" s="67"/>
      <c r="Q764" s="417"/>
      <c r="S764" s="417"/>
      <c r="AA764" s="186"/>
    </row>
    <row r="765">
      <c r="A765" s="185"/>
      <c r="B765" s="67"/>
      <c r="C765" s="67"/>
      <c r="D765" s="67"/>
      <c r="E765" s="186"/>
      <c r="F765" s="67"/>
      <c r="G765" s="67"/>
      <c r="H765" s="67"/>
      <c r="I765" s="187"/>
      <c r="J765" s="186"/>
      <c r="K765" s="187"/>
      <c r="L765" s="186"/>
      <c r="M765" s="67"/>
      <c r="N765" s="67"/>
      <c r="Q765" s="417"/>
      <c r="S765" s="417"/>
      <c r="AA765" s="186"/>
    </row>
    <row r="766">
      <c r="A766" s="185"/>
      <c r="B766" s="67"/>
      <c r="C766" s="67"/>
      <c r="D766" s="67"/>
      <c r="E766" s="186"/>
      <c r="F766" s="67"/>
      <c r="G766" s="67"/>
      <c r="H766" s="67"/>
      <c r="I766" s="187"/>
      <c r="J766" s="186"/>
      <c r="K766" s="187"/>
      <c r="L766" s="186"/>
      <c r="M766" s="67"/>
      <c r="N766" s="67"/>
      <c r="Q766" s="417"/>
      <c r="S766" s="417"/>
      <c r="AA766" s="186"/>
    </row>
    <row r="767">
      <c r="A767" s="185"/>
      <c r="B767" s="67"/>
      <c r="C767" s="67"/>
      <c r="D767" s="67"/>
      <c r="E767" s="186"/>
      <c r="F767" s="67"/>
      <c r="G767" s="67"/>
      <c r="H767" s="67"/>
      <c r="I767" s="187"/>
      <c r="J767" s="186"/>
      <c r="K767" s="187"/>
      <c r="L767" s="186"/>
      <c r="M767" s="67"/>
      <c r="N767" s="67"/>
      <c r="Q767" s="417"/>
      <c r="S767" s="417"/>
      <c r="AA767" s="186"/>
    </row>
    <row r="768">
      <c r="A768" s="185"/>
      <c r="B768" s="67"/>
      <c r="C768" s="67"/>
      <c r="D768" s="67"/>
      <c r="E768" s="186"/>
      <c r="F768" s="67"/>
      <c r="G768" s="67"/>
      <c r="H768" s="67"/>
      <c r="I768" s="187"/>
      <c r="J768" s="186"/>
      <c r="K768" s="187"/>
      <c r="L768" s="186"/>
      <c r="M768" s="67"/>
      <c r="N768" s="67"/>
      <c r="Q768" s="417"/>
      <c r="S768" s="417"/>
      <c r="AA768" s="186"/>
    </row>
    <row r="769">
      <c r="A769" s="185"/>
      <c r="B769" s="67"/>
      <c r="C769" s="67"/>
      <c r="D769" s="67"/>
      <c r="E769" s="186"/>
      <c r="F769" s="67"/>
      <c r="G769" s="67"/>
      <c r="H769" s="67"/>
      <c r="I769" s="187"/>
      <c r="J769" s="186"/>
      <c r="K769" s="187"/>
      <c r="L769" s="186"/>
      <c r="M769" s="67"/>
      <c r="N769" s="67"/>
      <c r="Q769" s="417"/>
      <c r="S769" s="417"/>
      <c r="AA769" s="186"/>
    </row>
    <row r="770">
      <c r="A770" s="185"/>
      <c r="B770" s="67"/>
      <c r="C770" s="67"/>
      <c r="D770" s="67"/>
      <c r="E770" s="186"/>
      <c r="F770" s="67"/>
      <c r="G770" s="67"/>
      <c r="H770" s="67"/>
      <c r="I770" s="187"/>
      <c r="J770" s="186"/>
      <c r="K770" s="187"/>
      <c r="L770" s="186"/>
      <c r="M770" s="67"/>
      <c r="N770" s="67"/>
      <c r="Q770" s="417"/>
      <c r="S770" s="417"/>
      <c r="AA770" s="186"/>
    </row>
    <row r="771">
      <c r="A771" s="185"/>
      <c r="B771" s="67"/>
      <c r="C771" s="67"/>
      <c r="D771" s="67"/>
      <c r="E771" s="186"/>
      <c r="F771" s="67"/>
      <c r="G771" s="67"/>
      <c r="H771" s="67"/>
      <c r="I771" s="187"/>
      <c r="J771" s="186"/>
      <c r="K771" s="187"/>
      <c r="L771" s="186"/>
      <c r="M771" s="67"/>
      <c r="N771" s="67"/>
      <c r="Q771" s="417"/>
      <c r="S771" s="417"/>
      <c r="AA771" s="186"/>
    </row>
    <row r="772">
      <c r="A772" s="185"/>
      <c r="B772" s="67"/>
      <c r="C772" s="67"/>
      <c r="D772" s="67"/>
      <c r="E772" s="186"/>
      <c r="F772" s="67"/>
      <c r="G772" s="67"/>
      <c r="H772" s="67"/>
      <c r="I772" s="187"/>
      <c r="J772" s="186"/>
      <c r="K772" s="187"/>
      <c r="L772" s="186"/>
      <c r="M772" s="67"/>
      <c r="N772" s="67"/>
      <c r="Q772" s="417"/>
      <c r="S772" s="417"/>
      <c r="AA772" s="186"/>
    </row>
    <row r="773">
      <c r="A773" s="185"/>
      <c r="B773" s="67"/>
      <c r="C773" s="67"/>
      <c r="D773" s="67"/>
      <c r="E773" s="186"/>
      <c r="F773" s="67"/>
      <c r="G773" s="67"/>
      <c r="H773" s="67"/>
      <c r="I773" s="187"/>
      <c r="J773" s="186"/>
      <c r="K773" s="187"/>
      <c r="L773" s="186"/>
      <c r="M773" s="67"/>
      <c r="N773" s="67"/>
      <c r="Q773" s="417"/>
      <c r="S773" s="417"/>
      <c r="AA773" s="186"/>
    </row>
    <row r="774">
      <c r="A774" s="185"/>
      <c r="B774" s="67"/>
      <c r="C774" s="67"/>
      <c r="D774" s="67"/>
      <c r="E774" s="186"/>
      <c r="F774" s="67"/>
      <c r="G774" s="67"/>
      <c r="H774" s="67"/>
      <c r="I774" s="187"/>
      <c r="J774" s="186"/>
      <c r="K774" s="187"/>
      <c r="L774" s="186"/>
      <c r="M774" s="67"/>
      <c r="N774" s="67"/>
      <c r="Q774" s="417"/>
      <c r="S774" s="417"/>
      <c r="AA774" s="186"/>
    </row>
    <row r="775">
      <c r="A775" s="185"/>
      <c r="B775" s="67"/>
      <c r="C775" s="67"/>
      <c r="D775" s="67"/>
      <c r="E775" s="186"/>
      <c r="F775" s="67"/>
      <c r="G775" s="67"/>
      <c r="H775" s="67"/>
      <c r="I775" s="187"/>
      <c r="J775" s="186"/>
      <c r="K775" s="187"/>
      <c r="L775" s="186"/>
      <c r="M775" s="67"/>
      <c r="N775" s="67"/>
      <c r="Q775" s="417"/>
      <c r="S775" s="417"/>
      <c r="AA775" s="186"/>
    </row>
    <row r="776">
      <c r="A776" s="185"/>
      <c r="B776" s="67"/>
      <c r="C776" s="67"/>
      <c r="D776" s="67"/>
      <c r="E776" s="186"/>
      <c r="F776" s="67"/>
      <c r="G776" s="67"/>
      <c r="H776" s="67"/>
      <c r="I776" s="187"/>
      <c r="J776" s="186"/>
      <c r="K776" s="187"/>
      <c r="L776" s="186"/>
      <c r="M776" s="67"/>
      <c r="N776" s="67"/>
      <c r="Q776" s="417"/>
      <c r="S776" s="417"/>
      <c r="AA776" s="186"/>
    </row>
    <row r="777">
      <c r="A777" s="185"/>
      <c r="B777" s="67"/>
      <c r="C777" s="67"/>
      <c r="D777" s="67"/>
      <c r="E777" s="186"/>
      <c r="F777" s="67"/>
      <c r="G777" s="67"/>
      <c r="H777" s="67"/>
      <c r="I777" s="187"/>
      <c r="J777" s="186"/>
      <c r="K777" s="187"/>
      <c r="L777" s="186"/>
      <c r="M777" s="67"/>
      <c r="N777" s="67"/>
      <c r="Q777" s="417"/>
      <c r="S777" s="417"/>
      <c r="AA777" s="186"/>
    </row>
    <row r="778">
      <c r="A778" s="185"/>
      <c r="B778" s="67"/>
      <c r="C778" s="67"/>
      <c r="D778" s="67"/>
      <c r="E778" s="186"/>
      <c r="F778" s="67"/>
      <c r="G778" s="67"/>
      <c r="H778" s="67"/>
      <c r="I778" s="187"/>
      <c r="J778" s="186"/>
      <c r="K778" s="187"/>
      <c r="L778" s="186"/>
      <c r="M778" s="67"/>
      <c r="N778" s="67"/>
      <c r="Q778" s="417"/>
      <c r="S778" s="417"/>
      <c r="AA778" s="186"/>
    </row>
    <row r="779">
      <c r="A779" s="185"/>
      <c r="B779" s="67"/>
      <c r="C779" s="67"/>
      <c r="D779" s="67"/>
      <c r="E779" s="186"/>
      <c r="F779" s="67"/>
      <c r="G779" s="67"/>
      <c r="H779" s="67"/>
      <c r="I779" s="187"/>
      <c r="J779" s="186"/>
      <c r="K779" s="187"/>
      <c r="L779" s="186"/>
      <c r="M779" s="67"/>
      <c r="N779" s="67"/>
      <c r="Q779" s="417"/>
      <c r="S779" s="417"/>
      <c r="AA779" s="186"/>
    </row>
    <row r="780">
      <c r="A780" s="185"/>
      <c r="B780" s="67"/>
      <c r="C780" s="67"/>
      <c r="D780" s="67"/>
      <c r="E780" s="186"/>
      <c r="F780" s="67"/>
      <c r="G780" s="67"/>
      <c r="H780" s="67"/>
      <c r="I780" s="187"/>
      <c r="J780" s="186"/>
      <c r="K780" s="187"/>
      <c r="L780" s="186"/>
      <c r="M780" s="67"/>
      <c r="N780" s="67"/>
      <c r="Q780" s="417"/>
      <c r="S780" s="417"/>
      <c r="AA780" s="186"/>
    </row>
    <row r="781">
      <c r="A781" s="185"/>
      <c r="B781" s="67"/>
      <c r="C781" s="67"/>
      <c r="D781" s="67"/>
      <c r="E781" s="186"/>
      <c r="F781" s="67"/>
      <c r="G781" s="67"/>
      <c r="H781" s="67"/>
      <c r="I781" s="187"/>
      <c r="J781" s="186"/>
      <c r="K781" s="187"/>
      <c r="L781" s="186"/>
      <c r="M781" s="67"/>
      <c r="N781" s="67"/>
      <c r="Q781" s="417"/>
      <c r="S781" s="417"/>
      <c r="AA781" s="186"/>
    </row>
    <row r="782">
      <c r="A782" s="185"/>
      <c r="B782" s="67"/>
      <c r="C782" s="67"/>
      <c r="D782" s="67"/>
      <c r="E782" s="186"/>
      <c r="F782" s="67"/>
      <c r="G782" s="67"/>
      <c r="H782" s="67"/>
      <c r="I782" s="187"/>
      <c r="J782" s="186"/>
      <c r="K782" s="187"/>
      <c r="L782" s="186"/>
      <c r="M782" s="67"/>
      <c r="N782" s="67"/>
      <c r="Q782" s="417"/>
      <c r="S782" s="417"/>
      <c r="AA782" s="186"/>
    </row>
    <row r="783">
      <c r="A783" s="185"/>
      <c r="B783" s="67"/>
      <c r="C783" s="67"/>
      <c r="D783" s="67"/>
      <c r="E783" s="186"/>
      <c r="F783" s="67"/>
      <c r="G783" s="67"/>
      <c r="H783" s="67"/>
      <c r="I783" s="187"/>
      <c r="J783" s="186"/>
      <c r="K783" s="187"/>
      <c r="L783" s="186"/>
      <c r="M783" s="67"/>
      <c r="N783" s="67"/>
      <c r="Q783" s="417"/>
      <c r="S783" s="417"/>
      <c r="AA783" s="186"/>
    </row>
    <row r="784">
      <c r="A784" s="185"/>
      <c r="B784" s="67"/>
      <c r="C784" s="67"/>
      <c r="D784" s="67"/>
      <c r="E784" s="186"/>
      <c r="F784" s="67"/>
      <c r="G784" s="67"/>
      <c r="H784" s="67"/>
      <c r="I784" s="187"/>
      <c r="J784" s="186"/>
      <c r="K784" s="187"/>
      <c r="L784" s="186"/>
      <c r="M784" s="67"/>
      <c r="N784" s="67"/>
      <c r="Q784" s="417"/>
      <c r="S784" s="417"/>
      <c r="AA784" s="186"/>
    </row>
    <row r="785">
      <c r="A785" s="185"/>
      <c r="B785" s="67"/>
      <c r="C785" s="67"/>
      <c r="D785" s="67"/>
      <c r="E785" s="186"/>
      <c r="F785" s="67"/>
      <c r="G785" s="67"/>
      <c r="H785" s="67"/>
      <c r="I785" s="187"/>
      <c r="J785" s="186"/>
      <c r="K785" s="187"/>
      <c r="L785" s="186"/>
      <c r="M785" s="67"/>
      <c r="N785" s="67"/>
      <c r="Q785" s="417"/>
      <c r="S785" s="417"/>
      <c r="AA785" s="186"/>
    </row>
    <row r="786">
      <c r="A786" s="185"/>
      <c r="B786" s="67"/>
      <c r="C786" s="67"/>
      <c r="D786" s="67"/>
      <c r="E786" s="186"/>
      <c r="F786" s="67"/>
      <c r="G786" s="67"/>
      <c r="H786" s="67"/>
      <c r="I786" s="187"/>
      <c r="J786" s="186"/>
      <c r="K786" s="187"/>
      <c r="L786" s="186"/>
      <c r="M786" s="67"/>
      <c r="N786" s="67"/>
      <c r="Q786" s="417"/>
      <c r="S786" s="417"/>
      <c r="AA786" s="186"/>
    </row>
    <row r="787">
      <c r="A787" s="185"/>
      <c r="B787" s="67"/>
      <c r="C787" s="67"/>
      <c r="D787" s="67"/>
      <c r="E787" s="186"/>
      <c r="F787" s="67"/>
      <c r="G787" s="67"/>
      <c r="H787" s="67"/>
      <c r="I787" s="187"/>
      <c r="J787" s="186"/>
      <c r="K787" s="187"/>
      <c r="L787" s="186"/>
      <c r="M787" s="67"/>
      <c r="N787" s="67"/>
      <c r="Q787" s="417"/>
      <c r="S787" s="417"/>
      <c r="AA787" s="186"/>
    </row>
    <row r="788">
      <c r="A788" s="185"/>
      <c r="B788" s="67"/>
      <c r="C788" s="67"/>
      <c r="D788" s="67"/>
      <c r="E788" s="186"/>
      <c r="F788" s="67"/>
      <c r="G788" s="67"/>
      <c r="H788" s="67"/>
      <c r="I788" s="187"/>
      <c r="J788" s="186"/>
      <c r="K788" s="187"/>
      <c r="L788" s="186"/>
      <c r="M788" s="67"/>
      <c r="N788" s="67"/>
      <c r="Q788" s="417"/>
      <c r="S788" s="417"/>
      <c r="AA788" s="186"/>
    </row>
    <row r="789">
      <c r="A789" s="185"/>
      <c r="B789" s="67"/>
      <c r="C789" s="67"/>
      <c r="D789" s="67"/>
      <c r="E789" s="186"/>
      <c r="F789" s="67"/>
      <c r="G789" s="67"/>
      <c r="H789" s="67"/>
      <c r="I789" s="187"/>
      <c r="J789" s="186"/>
      <c r="K789" s="187"/>
      <c r="L789" s="186"/>
      <c r="M789" s="67"/>
      <c r="N789" s="67"/>
      <c r="Q789" s="417"/>
      <c r="S789" s="417"/>
      <c r="AA789" s="186"/>
    </row>
    <row r="790">
      <c r="A790" s="185"/>
      <c r="B790" s="67"/>
      <c r="C790" s="67"/>
      <c r="D790" s="67"/>
      <c r="E790" s="186"/>
      <c r="F790" s="67"/>
      <c r="G790" s="67"/>
      <c r="H790" s="67"/>
      <c r="I790" s="187"/>
      <c r="J790" s="186"/>
      <c r="K790" s="187"/>
      <c r="L790" s="186"/>
      <c r="M790" s="67"/>
      <c r="N790" s="67"/>
      <c r="Q790" s="417"/>
      <c r="S790" s="417"/>
      <c r="AA790" s="186"/>
    </row>
    <row r="791">
      <c r="A791" s="185"/>
      <c r="B791" s="67"/>
      <c r="C791" s="67"/>
      <c r="D791" s="67"/>
      <c r="E791" s="186"/>
      <c r="F791" s="67"/>
      <c r="G791" s="67"/>
      <c r="H791" s="67"/>
      <c r="I791" s="187"/>
      <c r="J791" s="186"/>
      <c r="K791" s="187"/>
      <c r="L791" s="186"/>
      <c r="M791" s="67"/>
      <c r="N791" s="67"/>
      <c r="Q791" s="417"/>
      <c r="S791" s="417"/>
      <c r="AA791" s="186"/>
    </row>
    <row r="792">
      <c r="A792" s="185"/>
      <c r="B792" s="67"/>
      <c r="C792" s="67"/>
      <c r="D792" s="67"/>
      <c r="E792" s="186"/>
      <c r="F792" s="67"/>
      <c r="G792" s="67"/>
      <c r="H792" s="67"/>
      <c r="I792" s="187"/>
      <c r="J792" s="186"/>
      <c r="K792" s="187"/>
      <c r="L792" s="186"/>
      <c r="M792" s="67"/>
      <c r="N792" s="67"/>
      <c r="Q792" s="417"/>
      <c r="S792" s="417"/>
      <c r="AA792" s="186"/>
    </row>
    <row r="793">
      <c r="A793" s="185"/>
      <c r="B793" s="67"/>
      <c r="C793" s="67"/>
      <c r="D793" s="67"/>
      <c r="E793" s="186"/>
      <c r="F793" s="67"/>
      <c r="G793" s="67"/>
      <c r="H793" s="67"/>
      <c r="I793" s="187"/>
      <c r="J793" s="186"/>
      <c r="K793" s="187"/>
      <c r="L793" s="186"/>
      <c r="M793" s="67"/>
      <c r="N793" s="67"/>
      <c r="Q793" s="417"/>
      <c r="S793" s="417"/>
      <c r="AA793" s="186"/>
    </row>
    <row r="794">
      <c r="A794" s="185"/>
      <c r="B794" s="67"/>
      <c r="C794" s="67"/>
      <c r="D794" s="67"/>
      <c r="E794" s="186"/>
      <c r="F794" s="67"/>
      <c r="G794" s="67"/>
      <c r="H794" s="67"/>
      <c r="I794" s="187"/>
      <c r="J794" s="186"/>
      <c r="K794" s="187"/>
      <c r="L794" s="186"/>
      <c r="M794" s="67"/>
      <c r="N794" s="67"/>
      <c r="Q794" s="417"/>
      <c r="S794" s="417"/>
      <c r="AA794" s="186"/>
    </row>
    <row r="795">
      <c r="A795" s="185"/>
      <c r="B795" s="67"/>
      <c r="C795" s="67"/>
      <c r="D795" s="67"/>
      <c r="E795" s="186"/>
      <c r="F795" s="67"/>
      <c r="G795" s="67"/>
      <c r="H795" s="67"/>
      <c r="I795" s="187"/>
      <c r="J795" s="186"/>
      <c r="K795" s="187"/>
      <c r="L795" s="186"/>
      <c r="M795" s="67"/>
      <c r="N795" s="67"/>
      <c r="Q795" s="417"/>
      <c r="S795" s="417"/>
      <c r="AA795" s="186"/>
    </row>
    <row r="796">
      <c r="A796" s="185"/>
      <c r="B796" s="67"/>
      <c r="C796" s="67"/>
      <c r="D796" s="67"/>
      <c r="E796" s="186"/>
      <c r="F796" s="67"/>
      <c r="G796" s="67"/>
      <c r="H796" s="67"/>
      <c r="I796" s="187"/>
      <c r="J796" s="186"/>
      <c r="K796" s="187"/>
      <c r="L796" s="186"/>
      <c r="M796" s="67"/>
      <c r="N796" s="67"/>
      <c r="Q796" s="417"/>
      <c r="S796" s="417"/>
      <c r="AA796" s="186"/>
    </row>
    <row r="797">
      <c r="A797" s="185"/>
      <c r="B797" s="67"/>
      <c r="C797" s="67"/>
      <c r="D797" s="67"/>
      <c r="E797" s="186"/>
      <c r="F797" s="67"/>
      <c r="G797" s="67"/>
      <c r="H797" s="67"/>
      <c r="I797" s="187"/>
      <c r="J797" s="186"/>
      <c r="K797" s="187"/>
      <c r="L797" s="186"/>
      <c r="M797" s="67"/>
      <c r="N797" s="67"/>
      <c r="Q797" s="417"/>
      <c r="S797" s="417"/>
      <c r="AA797" s="186"/>
    </row>
    <row r="798">
      <c r="A798" s="185"/>
      <c r="B798" s="67"/>
      <c r="C798" s="67"/>
      <c r="D798" s="67"/>
      <c r="E798" s="186"/>
      <c r="F798" s="67"/>
      <c r="G798" s="67"/>
      <c r="H798" s="67"/>
      <c r="I798" s="187"/>
      <c r="J798" s="186"/>
      <c r="K798" s="187"/>
      <c r="L798" s="186"/>
      <c r="M798" s="67"/>
      <c r="N798" s="67"/>
      <c r="Q798" s="417"/>
      <c r="S798" s="417"/>
      <c r="AA798" s="186"/>
    </row>
    <row r="799">
      <c r="A799" s="185"/>
      <c r="B799" s="67"/>
      <c r="C799" s="67"/>
      <c r="D799" s="67"/>
      <c r="E799" s="186"/>
      <c r="F799" s="67"/>
      <c r="G799" s="67"/>
      <c r="H799" s="67"/>
      <c r="I799" s="187"/>
      <c r="J799" s="186"/>
      <c r="K799" s="187"/>
      <c r="L799" s="186"/>
      <c r="M799" s="67"/>
      <c r="N799" s="67"/>
      <c r="Q799" s="417"/>
      <c r="S799" s="417"/>
      <c r="AA799" s="186"/>
    </row>
    <row r="800">
      <c r="A800" s="185"/>
      <c r="B800" s="67"/>
      <c r="C800" s="67"/>
      <c r="D800" s="67"/>
      <c r="E800" s="186"/>
      <c r="F800" s="67"/>
      <c r="G800" s="67"/>
      <c r="H800" s="67"/>
      <c r="I800" s="187"/>
      <c r="J800" s="186"/>
      <c r="K800" s="187"/>
      <c r="L800" s="186"/>
      <c r="M800" s="67"/>
      <c r="N800" s="67"/>
      <c r="Q800" s="417"/>
      <c r="S800" s="417"/>
      <c r="AA800" s="186"/>
    </row>
    <row r="801">
      <c r="A801" s="185"/>
      <c r="B801" s="67"/>
      <c r="C801" s="67"/>
      <c r="D801" s="67"/>
      <c r="E801" s="186"/>
      <c r="F801" s="67"/>
      <c r="G801" s="67"/>
      <c r="H801" s="67"/>
      <c r="I801" s="187"/>
      <c r="J801" s="186"/>
      <c r="K801" s="187"/>
      <c r="L801" s="186"/>
      <c r="M801" s="67"/>
      <c r="N801" s="67"/>
      <c r="Q801" s="417"/>
      <c r="S801" s="417"/>
      <c r="AA801" s="186"/>
    </row>
    <row r="802">
      <c r="A802" s="185"/>
      <c r="B802" s="67"/>
      <c r="C802" s="67"/>
      <c r="D802" s="67"/>
      <c r="E802" s="186"/>
      <c r="F802" s="67"/>
      <c r="G802" s="67"/>
      <c r="H802" s="67"/>
      <c r="I802" s="187"/>
      <c r="J802" s="186"/>
      <c r="K802" s="187"/>
      <c r="L802" s="186"/>
      <c r="M802" s="67"/>
      <c r="N802" s="67"/>
      <c r="Q802" s="417"/>
      <c r="S802" s="417"/>
      <c r="AA802" s="186"/>
    </row>
    <row r="803">
      <c r="A803" s="185"/>
      <c r="B803" s="67"/>
      <c r="C803" s="67"/>
      <c r="D803" s="67"/>
      <c r="E803" s="186"/>
      <c r="F803" s="67"/>
      <c r="G803" s="67"/>
      <c r="H803" s="67"/>
      <c r="I803" s="187"/>
      <c r="J803" s="186"/>
      <c r="K803" s="187"/>
      <c r="L803" s="186"/>
      <c r="M803" s="67"/>
      <c r="N803" s="67"/>
      <c r="Q803" s="417"/>
      <c r="S803" s="417"/>
      <c r="AA803" s="186"/>
    </row>
    <row r="804">
      <c r="A804" s="185"/>
      <c r="B804" s="67"/>
      <c r="C804" s="67"/>
      <c r="D804" s="67"/>
      <c r="E804" s="186"/>
      <c r="F804" s="67"/>
      <c r="G804" s="67"/>
      <c r="H804" s="67"/>
      <c r="I804" s="187"/>
      <c r="J804" s="186"/>
      <c r="K804" s="187"/>
      <c r="L804" s="186"/>
      <c r="M804" s="67"/>
      <c r="N804" s="67"/>
      <c r="Q804" s="417"/>
      <c r="S804" s="417"/>
      <c r="AA804" s="186"/>
    </row>
    <row r="805">
      <c r="A805" s="185"/>
      <c r="B805" s="67"/>
      <c r="C805" s="67"/>
      <c r="D805" s="67"/>
      <c r="E805" s="186"/>
      <c r="F805" s="67"/>
      <c r="G805" s="67"/>
      <c r="H805" s="67"/>
      <c r="I805" s="187"/>
      <c r="J805" s="186"/>
      <c r="K805" s="187"/>
      <c r="L805" s="186"/>
      <c r="M805" s="67"/>
      <c r="N805" s="67"/>
      <c r="Q805" s="417"/>
      <c r="S805" s="417"/>
      <c r="AA805" s="186"/>
    </row>
    <row r="806">
      <c r="A806" s="185"/>
      <c r="B806" s="67"/>
      <c r="C806" s="67"/>
      <c r="D806" s="67"/>
      <c r="E806" s="186"/>
      <c r="F806" s="67"/>
      <c r="G806" s="67"/>
      <c r="H806" s="67"/>
      <c r="I806" s="187"/>
      <c r="J806" s="186"/>
      <c r="K806" s="187"/>
      <c r="L806" s="186"/>
      <c r="M806" s="67"/>
      <c r="N806" s="67"/>
      <c r="Q806" s="417"/>
      <c r="S806" s="417"/>
      <c r="AA806" s="186"/>
    </row>
    <row r="807">
      <c r="A807" s="185"/>
      <c r="B807" s="67"/>
      <c r="C807" s="67"/>
      <c r="D807" s="67"/>
      <c r="E807" s="186"/>
      <c r="F807" s="67"/>
      <c r="G807" s="67"/>
      <c r="H807" s="67"/>
      <c r="I807" s="187"/>
      <c r="J807" s="186"/>
      <c r="K807" s="187"/>
      <c r="L807" s="186"/>
      <c r="M807" s="67"/>
      <c r="N807" s="67"/>
      <c r="Q807" s="417"/>
      <c r="S807" s="417"/>
      <c r="AA807" s="186"/>
    </row>
    <row r="808">
      <c r="A808" s="185"/>
      <c r="B808" s="67"/>
      <c r="C808" s="67"/>
      <c r="D808" s="67"/>
      <c r="E808" s="186"/>
      <c r="F808" s="67"/>
      <c r="G808" s="67"/>
      <c r="H808" s="67"/>
      <c r="I808" s="187"/>
      <c r="J808" s="186"/>
      <c r="K808" s="187"/>
      <c r="L808" s="186"/>
      <c r="M808" s="67"/>
      <c r="N808" s="67"/>
      <c r="Q808" s="417"/>
      <c r="S808" s="417"/>
      <c r="AA808" s="186"/>
    </row>
    <row r="809">
      <c r="A809" s="185"/>
      <c r="B809" s="67"/>
      <c r="C809" s="67"/>
      <c r="D809" s="67"/>
      <c r="E809" s="186"/>
      <c r="F809" s="67"/>
      <c r="G809" s="67"/>
      <c r="H809" s="67"/>
      <c r="I809" s="187"/>
      <c r="J809" s="186"/>
      <c r="K809" s="187"/>
      <c r="L809" s="186"/>
      <c r="M809" s="67"/>
      <c r="N809" s="67"/>
      <c r="Q809" s="417"/>
      <c r="S809" s="417"/>
      <c r="AA809" s="186"/>
    </row>
    <row r="810">
      <c r="A810" s="185"/>
      <c r="B810" s="67"/>
      <c r="C810" s="67"/>
      <c r="D810" s="67"/>
      <c r="E810" s="186"/>
      <c r="F810" s="67"/>
      <c r="G810" s="67"/>
      <c r="H810" s="67"/>
      <c r="I810" s="187"/>
      <c r="J810" s="186"/>
      <c r="K810" s="187"/>
      <c r="L810" s="186"/>
      <c r="M810" s="67"/>
      <c r="N810" s="67"/>
      <c r="Q810" s="417"/>
      <c r="S810" s="417"/>
      <c r="AA810" s="186"/>
    </row>
    <row r="811">
      <c r="A811" s="185"/>
      <c r="B811" s="67"/>
      <c r="C811" s="67"/>
      <c r="D811" s="67"/>
      <c r="E811" s="186"/>
      <c r="F811" s="67"/>
      <c r="G811" s="67"/>
      <c r="H811" s="67"/>
      <c r="I811" s="187"/>
      <c r="J811" s="186"/>
      <c r="K811" s="187"/>
      <c r="L811" s="186"/>
      <c r="M811" s="67"/>
      <c r="N811" s="67"/>
      <c r="Q811" s="417"/>
      <c r="S811" s="417"/>
      <c r="AA811" s="186"/>
    </row>
    <row r="812">
      <c r="A812" s="185"/>
      <c r="B812" s="67"/>
      <c r="C812" s="67"/>
      <c r="D812" s="67"/>
      <c r="E812" s="186"/>
      <c r="F812" s="67"/>
      <c r="G812" s="67"/>
      <c r="H812" s="67"/>
      <c r="I812" s="187"/>
      <c r="J812" s="186"/>
      <c r="K812" s="187"/>
      <c r="L812" s="186"/>
      <c r="M812" s="67"/>
      <c r="N812" s="67"/>
      <c r="Q812" s="417"/>
      <c r="S812" s="417"/>
      <c r="AA812" s="186"/>
    </row>
    <row r="813">
      <c r="A813" s="185"/>
      <c r="B813" s="67"/>
      <c r="C813" s="67"/>
      <c r="D813" s="67"/>
      <c r="E813" s="186"/>
      <c r="F813" s="67"/>
      <c r="G813" s="67"/>
      <c r="H813" s="67"/>
      <c r="I813" s="187"/>
      <c r="J813" s="186"/>
      <c r="K813" s="187"/>
      <c r="L813" s="186"/>
      <c r="M813" s="67"/>
      <c r="N813" s="67"/>
      <c r="Q813" s="417"/>
      <c r="S813" s="417"/>
      <c r="AA813" s="186"/>
    </row>
    <row r="814">
      <c r="A814" s="185"/>
      <c r="B814" s="67"/>
      <c r="C814" s="67"/>
      <c r="D814" s="67"/>
      <c r="E814" s="186"/>
      <c r="F814" s="67"/>
      <c r="G814" s="67"/>
      <c r="H814" s="67"/>
      <c r="I814" s="187"/>
      <c r="J814" s="186"/>
      <c r="K814" s="187"/>
      <c r="L814" s="186"/>
      <c r="M814" s="67"/>
      <c r="N814" s="67"/>
      <c r="Q814" s="417"/>
      <c r="S814" s="417"/>
      <c r="AA814" s="186"/>
    </row>
    <row r="815">
      <c r="A815" s="185"/>
      <c r="B815" s="67"/>
      <c r="C815" s="67"/>
      <c r="D815" s="67"/>
      <c r="E815" s="186"/>
      <c r="F815" s="67"/>
      <c r="G815" s="67"/>
      <c r="H815" s="67"/>
      <c r="I815" s="187"/>
      <c r="J815" s="186"/>
      <c r="K815" s="187"/>
      <c r="L815" s="186"/>
      <c r="M815" s="67"/>
      <c r="N815" s="67"/>
      <c r="Q815" s="417"/>
      <c r="S815" s="417"/>
      <c r="AA815" s="186"/>
    </row>
    <row r="816">
      <c r="A816" s="185"/>
      <c r="B816" s="67"/>
      <c r="C816" s="67"/>
      <c r="D816" s="67"/>
      <c r="E816" s="186"/>
      <c r="F816" s="67"/>
      <c r="G816" s="67"/>
      <c r="H816" s="67"/>
      <c r="I816" s="187"/>
      <c r="J816" s="186"/>
      <c r="K816" s="187"/>
      <c r="L816" s="186"/>
      <c r="M816" s="67"/>
      <c r="N816" s="67"/>
      <c r="Q816" s="417"/>
      <c r="S816" s="417"/>
      <c r="AA816" s="186"/>
    </row>
    <row r="817">
      <c r="A817" s="185"/>
      <c r="B817" s="67"/>
      <c r="C817" s="67"/>
      <c r="D817" s="67"/>
      <c r="E817" s="186"/>
      <c r="F817" s="67"/>
      <c r="G817" s="67"/>
      <c r="H817" s="67"/>
      <c r="I817" s="187"/>
      <c r="J817" s="186"/>
      <c r="K817" s="187"/>
      <c r="L817" s="186"/>
      <c r="M817" s="67"/>
      <c r="N817" s="67"/>
      <c r="Q817" s="417"/>
      <c r="S817" s="417"/>
      <c r="AA817" s="186"/>
    </row>
    <row r="818">
      <c r="A818" s="185"/>
      <c r="B818" s="67"/>
      <c r="C818" s="67"/>
      <c r="D818" s="67"/>
      <c r="E818" s="186"/>
      <c r="F818" s="67"/>
      <c r="G818" s="67"/>
      <c r="H818" s="67"/>
      <c r="I818" s="187"/>
      <c r="J818" s="186"/>
      <c r="K818" s="187"/>
      <c r="L818" s="186"/>
      <c r="M818" s="67"/>
      <c r="N818" s="67"/>
      <c r="Q818" s="417"/>
      <c r="S818" s="417"/>
      <c r="AA818" s="186"/>
    </row>
    <row r="819">
      <c r="A819" s="185"/>
      <c r="B819" s="67"/>
      <c r="C819" s="67"/>
      <c r="D819" s="67"/>
      <c r="E819" s="186"/>
      <c r="F819" s="67"/>
      <c r="G819" s="67"/>
      <c r="H819" s="67"/>
      <c r="I819" s="187"/>
      <c r="J819" s="186"/>
      <c r="K819" s="187"/>
      <c r="L819" s="186"/>
      <c r="M819" s="67"/>
      <c r="N819" s="67"/>
      <c r="Q819" s="417"/>
      <c r="S819" s="417"/>
      <c r="AA819" s="186"/>
    </row>
    <row r="820">
      <c r="A820" s="185"/>
      <c r="B820" s="67"/>
      <c r="C820" s="67"/>
      <c r="D820" s="67"/>
      <c r="E820" s="186"/>
      <c r="F820" s="67"/>
      <c r="G820" s="67"/>
      <c r="H820" s="67"/>
      <c r="I820" s="187"/>
      <c r="J820" s="186"/>
      <c r="K820" s="187"/>
      <c r="L820" s="186"/>
      <c r="M820" s="67"/>
      <c r="N820" s="67"/>
      <c r="Q820" s="417"/>
      <c r="S820" s="417"/>
      <c r="AA820" s="186"/>
    </row>
    <row r="821">
      <c r="A821" s="185"/>
      <c r="B821" s="67"/>
      <c r="C821" s="67"/>
      <c r="D821" s="67"/>
      <c r="E821" s="186"/>
      <c r="F821" s="67"/>
      <c r="G821" s="67"/>
      <c r="H821" s="67"/>
      <c r="I821" s="187"/>
      <c r="J821" s="186"/>
      <c r="K821" s="187"/>
      <c r="L821" s="186"/>
      <c r="M821" s="67"/>
      <c r="N821" s="67"/>
      <c r="Q821" s="417"/>
      <c r="S821" s="417"/>
      <c r="AA821" s="186"/>
    </row>
    <row r="822">
      <c r="A822" s="185"/>
      <c r="B822" s="67"/>
      <c r="C822" s="67"/>
      <c r="D822" s="67"/>
      <c r="E822" s="186"/>
      <c r="F822" s="67"/>
      <c r="G822" s="67"/>
      <c r="H822" s="67"/>
      <c r="I822" s="187"/>
      <c r="J822" s="186"/>
      <c r="K822" s="187"/>
      <c r="L822" s="186"/>
      <c r="M822" s="67"/>
      <c r="N822" s="67"/>
      <c r="Q822" s="417"/>
      <c r="S822" s="417"/>
      <c r="AA822" s="186"/>
    </row>
    <row r="823">
      <c r="A823" s="185"/>
      <c r="B823" s="67"/>
      <c r="C823" s="67"/>
      <c r="D823" s="67"/>
      <c r="E823" s="186"/>
      <c r="F823" s="67"/>
      <c r="G823" s="67"/>
      <c r="H823" s="67"/>
      <c r="I823" s="187"/>
      <c r="J823" s="186"/>
      <c r="K823" s="187"/>
      <c r="L823" s="186"/>
      <c r="M823" s="67"/>
      <c r="N823" s="67"/>
      <c r="Q823" s="417"/>
      <c r="S823" s="417"/>
      <c r="AA823" s="186"/>
    </row>
    <row r="824">
      <c r="A824" s="185"/>
      <c r="B824" s="67"/>
      <c r="C824" s="67"/>
      <c r="D824" s="67"/>
      <c r="E824" s="186"/>
      <c r="F824" s="67"/>
      <c r="G824" s="67"/>
      <c r="H824" s="67"/>
      <c r="I824" s="187"/>
      <c r="J824" s="186"/>
      <c r="K824" s="187"/>
      <c r="L824" s="186"/>
      <c r="M824" s="67"/>
      <c r="N824" s="67"/>
      <c r="Q824" s="417"/>
      <c r="S824" s="417"/>
      <c r="AA824" s="186"/>
    </row>
    <row r="825">
      <c r="A825" s="185"/>
      <c r="B825" s="67"/>
      <c r="C825" s="67"/>
      <c r="D825" s="67"/>
      <c r="E825" s="186"/>
      <c r="F825" s="67"/>
      <c r="G825" s="67"/>
      <c r="H825" s="67"/>
      <c r="I825" s="187"/>
      <c r="J825" s="186"/>
      <c r="K825" s="187"/>
      <c r="L825" s="186"/>
      <c r="M825" s="67"/>
      <c r="N825" s="67"/>
      <c r="Q825" s="417"/>
      <c r="S825" s="417"/>
      <c r="AA825" s="186"/>
    </row>
    <row r="826">
      <c r="A826" s="185"/>
      <c r="B826" s="67"/>
      <c r="C826" s="67"/>
      <c r="D826" s="67"/>
      <c r="E826" s="186"/>
      <c r="F826" s="67"/>
      <c r="G826" s="67"/>
      <c r="H826" s="67"/>
      <c r="I826" s="187"/>
      <c r="J826" s="186"/>
      <c r="K826" s="187"/>
      <c r="L826" s="186"/>
      <c r="M826" s="67"/>
      <c r="N826" s="67"/>
      <c r="Q826" s="417"/>
      <c r="S826" s="417"/>
      <c r="AA826" s="186"/>
    </row>
    <row r="827">
      <c r="A827" s="185"/>
      <c r="B827" s="67"/>
      <c r="C827" s="67"/>
      <c r="D827" s="67"/>
      <c r="E827" s="186"/>
      <c r="F827" s="67"/>
      <c r="G827" s="67"/>
      <c r="H827" s="67"/>
      <c r="I827" s="187"/>
      <c r="J827" s="186"/>
      <c r="K827" s="187"/>
      <c r="L827" s="186"/>
      <c r="M827" s="67"/>
      <c r="N827" s="67"/>
      <c r="Q827" s="417"/>
      <c r="S827" s="417"/>
      <c r="AA827" s="186"/>
    </row>
    <row r="828">
      <c r="A828" s="185"/>
      <c r="B828" s="67"/>
      <c r="C828" s="67"/>
      <c r="D828" s="67"/>
      <c r="E828" s="186"/>
      <c r="F828" s="67"/>
      <c r="G828" s="67"/>
      <c r="H828" s="67"/>
      <c r="I828" s="187"/>
      <c r="J828" s="186"/>
      <c r="K828" s="187"/>
      <c r="L828" s="186"/>
      <c r="M828" s="67"/>
      <c r="N828" s="67"/>
      <c r="Q828" s="417"/>
      <c r="S828" s="417"/>
      <c r="AA828" s="186"/>
    </row>
    <row r="829">
      <c r="A829" s="185"/>
      <c r="B829" s="67"/>
      <c r="C829" s="67"/>
      <c r="D829" s="67"/>
      <c r="E829" s="186"/>
      <c r="F829" s="67"/>
      <c r="G829" s="67"/>
      <c r="H829" s="67"/>
      <c r="I829" s="187"/>
      <c r="J829" s="186"/>
      <c r="K829" s="187"/>
      <c r="L829" s="186"/>
      <c r="M829" s="67"/>
      <c r="N829" s="67"/>
      <c r="Q829" s="417"/>
      <c r="S829" s="417"/>
      <c r="AA829" s="186"/>
    </row>
    <row r="830">
      <c r="A830" s="185"/>
      <c r="B830" s="67"/>
      <c r="C830" s="67"/>
      <c r="D830" s="67"/>
      <c r="E830" s="186"/>
      <c r="F830" s="67"/>
      <c r="G830" s="67"/>
      <c r="H830" s="67"/>
      <c r="I830" s="187"/>
      <c r="J830" s="186"/>
      <c r="K830" s="187"/>
      <c r="L830" s="186"/>
      <c r="M830" s="67"/>
      <c r="N830" s="67"/>
      <c r="Q830" s="417"/>
      <c r="S830" s="417"/>
      <c r="AA830" s="186"/>
    </row>
    <row r="831">
      <c r="A831" s="185"/>
      <c r="B831" s="67"/>
      <c r="C831" s="67"/>
      <c r="D831" s="67"/>
      <c r="E831" s="186"/>
      <c r="F831" s="67"/>
      <c r="G831" s="67"/>
      <c r="H831" s="67"/>
      <c r="I831" s="187"/>
      <c r="J831" s="186"/>
      <c r="K831" s="187"/>
      <c r="L831" s="186"/>
      <c r="M831" s="67"/>
      <c r="N831" s="67"/>
      <c r="Q831" s="417"/>
      <c r="S831" s="417"/>
      <c r="AA831" s="186"/>
    </row>
    <row r="832">
      <c r="A832" s="185"/>
      <c r="B832" s="67"/>
      <c r="C832" s="67"/>
      <c r="D832" s="67"/>
      <c r="E832" s="186"/>
      <c r="F832" s="67"/>
      <c r="G832" s="67"/>
      <c r="H832" s="67"/>
      <c r="I832" s="187"/>
      <c r="J832" s="186"/>
      <c r="K832" s="187"/>
      <c r="L832" s="186"/>
      <c r="M832" s="67"/>
      <c r="N832" s="67"/>
      <c r="Q832" s="417"/>
      <c r="S832" s="417"/>
      <c r="AA832" s="186"/>
    </row>
    <row r="833">
      <c r="A833" s="185"/>
      <c r="B833" s="67"/>
      <c r="C833" s="67"/>
      <c r="D833" s="67"/>
      <c r="E833" s="186"/>
      <c r="F833" s="67"/>
      <c r="G833" s="67"/>
      <c r="H833" s="67"/>
      <c r="I833" s="187"/>
      <c r="J833" s="186"/>
      <c r="K833" s="187"/>
      <c r="L833" s="186"/>
      <c r="M833" s="67"/>
      <c r="N833" s="67"/>
      <c r="Q833" s="417"/>
      <c r="S833" s="417"/>
      <c r="AA833" s="186"/>
    </row>
    <row r="834">
      <c r="A834" s="185"/>
      <c r="B834" s="67"/>
      <c r="C834" s="67"/>
      <c r="D834" s="67"/>
      <c r="E834" s="186"/>
      <c r="F834" s="67"/>
      <c r="G834" s="67"/>
      <c r="H834" s="67"/>
      <c r="I834" s="187"/>
      <c r="J834" s="186"/>
      <c r="K834" s="187"/>
      <c r="L834" s="186"/>
      <c r="M834" s="67"/>
      <c r="N834" s="67"/>
      <c r="Q834" s="417"/>
      <c r="S834" s="417"/>
      <c r="AA834" s="186"/>
    </row>
    <row r="835">
      <c r="A835" s="185"/>
      <c r="B835" s="67"/>
      <c r="C835" s="67"/>
      <c r="D835" s="67"/>
      <c r="E835" s="186"/>
      <c r="F835" s="67"/>
      <c r="G835" s="67"/>
      <c r="H835" s="67"/>
      <c r="I835" s="187"/>
      <c r="J835" s="186"/>
      <c r="K835" s="187"/>
      <c r="L835" s="186"/>
      <c r="M835" s="67"/>
      <c r="N835" s="67"/>
      <c r="Q835" s="417"/>
      <c r="S835" s="417"/>
      <c r="AA835" s="186"/>
    </row>
    <row r="836">
      <c r="A836" s="185"/>
      <c r="B836" s="67"/>
      <c r="C836" s="67"/>
      <c r="D836" s="67"/>
      <c r="E836" s="186"/>
      <c r="F836" s="67"/>
      <c r="G836" s="67"/>
      <c r="H836" s="67"/>
      <c r="I836" s="187"/>
      <c r="J836" s="186"/>
      <c r="K836" s="187"/>
      <c r="L836" s="186"/>
      <c r="M836" s="67"/>
      <c r="N836" s="67"/>
      <c r="Q836" s="417"/>
      <c r="S836" s="417"/>
      <c r="AA836" s="186"/>
    </row>
    <row r="837">
      <c r="A837" s="185"/>
      <c r="B837" s="67"/>
      <c r="C837" s="67"/>
      <c r="D837" s="67"/>
      <c r="E837" s="186"/>
      <c r="F837" s="67"/>
      <c r="G837" s="67"/>
      <c r="H837" s="67"/>
      <c r="I837" s="187"/>
      <c r="J837" s="186"/>
      <c r="K837" s="187"/>
      <c r="L837" s="186"/>
      <c r="M837" s="67"/>
      <c r="N837" s="67"/>
      <c r="Q837" s="417"/>
      <c r="S837" s="417"/>
      <c r="AA837" s="186"/>
    </row>
    <row r="838">
      <c r="A838" s="185"/>
      <c r="B838" s="67"/>
      <c r="C838" s="67"/>
      <c r="D838" s="67"/>
      <c r="E838" s="186"/>
      <c r="F838" s="67"/>
      <c r="G838" s="67"/>
      <c r="H838" s="67"/>
      <c r="I838" s="187"/>
      <c r="J838" s="186"/>
      <c r="K838" s="187"/>
      <c r="L838" s="186"/>
      <c r="M838" s="67"/>
      <c r="N838" s="67"/>
      <c r="Q838" s="417"/>
      <c r="S838" s="417"/>
      <c r="AA838" s="186"/>
    </row>
    <row r="839">
      <c r="A839" s="185"/>
      <c r="B839" s="67"/>
      <c r="C839" s="67"/>
      <c r="D839" s="67"/>
      <c r="E839" s="186"/>
      <c r="F839" s="67"/>
      <c r="G839" s="67"/>
      <c r="H839" s="67"/>
      <c r="I839" s="187"/>
      <c r="J839" s="186"/>
      <c r="K839" s="187"/>
      <c r="L839" s="186"/>
      <c r="M839" s="67"/>
      <c r="N839" s="67"/>
      <c r="Q839" s="417"/>
      <c r="S839" s="417"/>
      <c r="AA839" s="186"/>
    </row>
    <row r="840">
      <c r="A840" s="185"/>
      <c r="B840" s="67"/>
      <c r="C840" s="67"/>
      <c r="D840" s="67"/>
      <c r="E840" s="186"/>
      <c r="F840" s="67"/>
      <c r="G840" s="67"/>
      <c r="H840" s="67"/>
      <c r="I840" s="187"/>
      <c r="J840" s="186"/>
      <c r="K840" s="187"/>
      <c r="L840" s="186"/>
      <c r="M840" s="67"/>
      <c r="N840" s="67"/>
      <c r="Q840" s="417"/>
      <c r="S840" s="417"/>
      <c r="AA840" s="186"/>
    </row>
    <row r="841">
      <c r="A841" s="185"/>
      <c r="B841" s="67"/>
      <c r="C841" s="67"/>
      <c r="D841" s="67"/>
      <c r="E841" s="186"/>
      <c r="F841" s="67"/>
      <c r="G841" s="67"/>
      <c r="H841" s="67"/>
      <c r="I841" s="187"/>
      <c r="J841" s="186"/>
      <c r="K841" s="187"/>
      <c r="L841" s="186"/>
      <c r="M841" s="67"/>
      <c r="N841" s="67"/>
      <c r="Q841" s="417"/>
      <c r="S841" s="417"/>
      <c r="AA841" s="186"/>
    </row>
    <row r="842">
      <c r="A842" s="185"/>
      <c r="B842" s="67"/>
      <c r="C842" s="67"/>
      <c r="D842" s="67"/>
      <c r="E842" s="186"/>
      <c r="F842" s="67"/>
      <c r="G842" s="67"/>
      <c r="H842" s="67"/>
      <c r="I842" s="187"/>
      <c r="J842" s="186"/>
      <c r="K842" s="187"/>
      <c r="L842" s="186"/>
      <c r="M842" s="67"/>
      <c r="N842" s="67"/>
      <c r="Q842" s="417"/>
      <c r="S842" s="417"/>
      <c r="AA842" s="186"/>
    </row>
    <row r="843">
      <c r="A843" s="185"/>
      <c r="B843" s="67"/>
      <c r="C843" s="67"/>
      <c r="D843" s="67"/>
      <c r="E843" s="186"/>
      <c r="F843" s="67"/>
      <c r="G843" s="67"/>
      <c r="H843" s="67"/>
      <c r="I843" s="187"/>
      <c r="J843" s="186"/>
      <c r="K843" s="187"/>
      <c r="L843" s="186"/>
      <c r="M843" s="67"/>
      <c r="N843" s="67"/>
      <c r="Q843" s="417"/>
      <c r="S843" s="417"/>
      <c r="AA843" s="186"/>
    </row>
    <row r="844">
      <c r="A844" s="185"/>
      <c r="B844" s="67"/>
      <c r="C844" s="67"/>
      <c r="D844" s="67"/>
      <c r="E844" s="186"/>
      <c r="F844" s="67"/>
      <c r="G844" s="67"/>
      <c r="H844" s="67"/>
      <c r="I844" s="187"/>
      <c r="J844" s="186"/>
      <c r="K844" s="187"/>
      <c r="L844" s="186"/>
      <c r="M844" s="67"/>
      <c r="N844" s="67"/>
      <c r="Q844" s="417"/>
      <c r="S844" s="417"/>
      <c r="AA844" s="186"/>
    </row>
    <row r="845">
      <c r="A845" s="185"/>
      <c r="B845" s="67"/>
      <c r="C845" s="67"/>
      <c r="D845" s="67"/>
      <c r="E845" s="186"/>
      <c r="F845" s="67"/>
      <c r="G845" s="67"/>
      <c r="H845" s="67"/>
      <c r="I845" s="187"/>
      <c r="J845" s="186"/>
      <c r="K845" s="187"/>
      <c r="L845" s="186"/>
      <c r="M845" s="67"/>
      <c r="N845" s="67"/>
      <c r="Q845" s="417"/>
      <c r="S845" s="417"/>
      <c r="AA845" s="186"/>
    </row>
    <row r="846">
      <c r="A846" s="185"/>
      <c r="B846" s="67"/>
      <c r="C846" s="67"/>
      <c r="D846" s="67"/>
      <c r="E846" s="186"/>
      <c r="F846" s="67"/>
      <c r="G846" s="67"/>
      <c r="H846" s="67"/>
      <c r="I846" s="187"/>
      <c r="J846" s="186"/>
      <c r="K846" s="187"/>
      <c r="L846" s="186"/>
      <c r="M846" s="67"/>
      <c r="N846" s="67"/>
      <c r="Q846" s="417"/>
      <c r="S846" s="417"/>
      <c r="AA846" s="186"/>
    </row>
    <row r="847">
      <c r="A847" s="185"/>
      <c r="B847" s="67"/>
      <c r="C847" s="67"/>
      <c r="D847" s="67"/>
      <c r="E847" s="186"/>
      <c r="F847" s="67"/>
      <c r="G847" s="67"/>
      <c r="H847" s="67"/>
      <c r="I847" s="187"/>
      <c r="J847" s="186"/>
      <c r="K847" s="187"/>
      <c r="L847" s="186"/>
      <c r="M847" s="67"/>
      <c r="N847" s="67"/>
      <c r="Q847" s="417"/>
      <c r="S847" s="417"/>
      <c r="AA847" s="186"/>
    </row>
    <row r="848">
      <c r="A848" s="185"/>
      <c r="B848" s="67"/>
      <c r="C848" s="67"/>
      <c r="D848" s="67"/>
      <c r="E848" s="186"/>
      <c r="F848" s="67"/>
      <c r="G848" s="67"/>
      <c r="H848" s="67"/>
      <c r="I848" s="187"/>
      <c r="J848" s="186"/>
      <c r="K848" s="187"/>
      <c r="L848" s="186"/>
      <c r="M848" s="67"/>
      <c r="N848" s="67"/>
      <c r="Q848" s="417"/>
      <c r="S848" s="417"/>
      <c r="AA848" s="186"/>
    </row>
    <row r="849">
      <c r="A849" s="185"/>
      <c r="B849" s="67"/>
      <c r="C849" s="67"/>
      <c r="D849" s="67"/>
      <c r="E849" s="186"/>
      <c r="F849" s="67"/>
      <c r="G849" s="67"/>
      <c r="H849" s="67"/>
      <c r="I849" s="187"/>
      <c r="J849" s="186"/>
      <c r="K849" s="187"/>
      <c r="L849" s="186"/>
      <c r="M849" s="67"/>
      <c r="N849" s="67"/>
      <c r="Q849" s="417"/>
      <c r="S849" s="417"/>
      <c r="AA849" s="186"/>
    </row>
    <row r="850">
      <c r="A850" s="185"/>
      <c r="B850" s="67"/>
      <c r="C850" s="67"/>
      <c r="D850" s="67"/>
      <c r="E850" s="186"/>
      <c r="F850" s="67"/>
      <c r="G850" s="67"/>
      <c r="H850" s="67"/>
      <c r="I850" s="187"/>
      <c r="J850" s="186"/>
      <c r="K850" s="187"/>
      <c r="L850" s="186"/>
      <c r="M850" s="67"/>
      <c r="N850" s="67"/>
      <c r="Q850" s="417"/>
      <c r="S850" s="417"/>
      <c r="AA850" s="186"/>
    </row>
    <row r="851">
      <c r="A851" s="185"/>
      <c r="B851" s="67"/>
      <c r="C851" s="67"/>
      <c r="D851" s="67"/>
      <c r="E851" s="186"/>
      <c r="F851" s="67"/>
      <c r="G851" s="67"/>
      <c r="H851" s="67"/>
      <c r="I851" s="187"/>
      <c r="J851" s="186"/>
      <c r="K851" s="187"/>
      <c r="L851" s="186"/>
      <c r="M851" s="67"/>
      <c r="N851" s="67"/>
      <c r="Q851" s="417"/>
      <c r="S851" s="417"/>
      <c r="AA851" s="186"/>
    </row>
    <row r="852">
      <c r="A852" s="185"/>
      <c r="B852" s="67"/>
      <c r="C852" s="67"/>
      <c r="D852" s="67"/>
      <c r="E852" s="186"/>
      <c r="F852" s="67"/>
      <c r="G852" s="67"/>
      <c r="H852" s="67"/>
      <c r="I852" s="187"/>
      <c r="J852" s="186"/>
      <c r="K852" s="187"/>
      <c r="L852" s="186"/>
      <c r="M852" s="67"/>
      <c r="N852" s="67"/>
      <c r="Q852" s="417"/>
      <c r="S852" s="417"/>
      <c r="AA852" s="186"/>
    </row>
    <row r="853">
      <c r="A853" s="185"/>
      <c r="B853" s="67"/>
      <c r="C853" s="67"/>
      <c r="D853" s="67"/>
      <c r="E853" s="186"/>
      <c r="F853" s="67"/>
      <c r="G853" s="67"/>
      <c r="H853" s="67"/>
      <c r="I853" s="187"/>
      <c r="J853" s="186"/>
      <c r="K853" s="187"/>
      <c r="L853" s="186"/>
      <c r="M853" s="67"/>
      <c r="N853" s="67"/>
      <c r="Q853" s="417"/>
      <c r="S853" s="417"/>
      <c r="AA853" s="186"/>
    </row>
    <row r="854">
      <c r="A854" s="185"/>
      <c r="B854" s="67"/>
      <c r="C854" s="67"/>
      <c r="D854" s="67"/>
      <c r="E854" s="186"/>
      <c r="F854" s="67"/>
      <c r="G854" s="67"/>
      <c r="H854" s="67"/>
      <c r="I854" s="187"/>
      <c r="J854" s="186"/>
      <c r="K854" s="187"/>
      <c r="L854" s="186"/>
      <c r="M854" s="67"/>
      <c r="N854" s="67"/>
      <c r="Q854" s="417"/>
      <c r="S854" s="417"/>
      <c r="AA854" s="186"/>
    </row>
    <row r="855">
      <c r="A855" s="185"/>
      <c r="B855" s="67"/>
      <c r="C855" s="67"/>
      <c r="D855" s="67"/>
      <c r="E855" s="186"/>
      <c r="F855" s="67"/>
      <c r="G855" s="67"/>
      <c r="H855" s="67"/>
      <c r="I855" s="187"/>
      <c r="J855" s="186"/>
      <c r="K855" s="187"/>
      <c r="L855" s="186"/>
      <c r="M855" s="67"/>
      <c r="N855" s="67"/>
      <c r="Q855" s="417"/>
      <c r="S855" s="417"/>
      <c r="AA855" s="186"/>
    </row>
    <row r="856">
      <c r="A856" s="185"/>
      <c r="B856" s="67"/>
      <c r="C856" s="67"/>
      <c r="D856" s="67"/>
      <c r="E856" s="186"/>
      <c r="F856" s="67"/>
      <c r="G856" s="67"/>
      <c r="H856" s="67"/>
      <c r="I856" s="187"/>
      <c r="J856" s="186"/>
      <c r="K856" s="187"/>
      <c r="L856" s="186"/>
      <c r="M856" s="67"/>
      <c r="N856" s="67"/>
      <c r="Q856" s="417"/>
      <c r="S856" s="417"/>
      <c r="AA856" s="186"/>
    </row>
    <row r="857">
      <c r="A857" s="185"/>
      <c r="B857" s="67"/>
      <c r="C857" s="67"/>
      <c r="D857" s="67"/>
      <c r="E857" s="186"/>
      <c r="F857" s="67"/>
      <c r="G857" s="67"/>
      <c r="H857" s="67"/>
      <c r="I857" s="187"/>
      <c r="J857" s="186"/>
      <c r="K857" s="187"/>
      <c r="L857" s="186"/>
      <c r="M857" s="67"/>
      <c r="N857" s="67"/>
      <c r="Q857" s="417"/>
      <c r="S857" s="417"/>
      <c r="AA857" s="186"/>
    </row>
    <row r="858">
      <c r="A858" s="185"/>
      <c r="B858" s="67"/>
      <c r="C858" s="67"/>
      <c r="D858" s="67"/>
      <c r="E858" s="186"/>
      <c r="F858" s="67"/>
      <c r="G858" s="67"/>
      <c r="H858" s="67"/>
      <c r="I858" s="187"/>
      <c r="J858" s="186"/>
      <c r="K858" s="187"/>
      <c r="L858" s="186"/>
      <c r="M858" s="67"/>
      <c r="N858" s="67"/>
      <c r="Q858" s="417"/>
      <c r="S858" s="417"/>
      <c r="AA858" s="186"/>
    </row>
    <row r="859">
      <c r="A859" s="185"/>
      <c r="B859" s="67"/>
      <c r="C859" s="67"/>
      <c r="D859" s="67"/>
      <c r="E859" s="186"/>
      <c r="F859" s="67"/>
      <c r="G859" s="67"/>
      <c r="H859" s="67"/>
      <c r="I859" s="187"/>
      <c r="J859" s="186"/>
      <c r="K859" s="187"/>
      <c r="L859" s="186"/>
      <c r="M859" s="67"/>
      <c r="N859" s="67"/>
      <c r="Q859" s="417"/>
      <c r="S859" s="417"/>
      <c r="AA859" s="186"/>
    </row>
    <row r="860">
      <c r="A860" s="185"/>
      <c r="B860" s="67"/>
      <c r="C860" s="67"/>
      <c r="D860" s="67"/>
      <c r="E860" s="186"/>
      <c r="F860" s="67"/>
      <c r="G860" s="67"/>
      <c r="H860" s="67"/>
      <c r="I860" s="187"/>
      <c r="J860" s="186"/>
      <c r="K860" s="187"/>
      <c r="L860" s="186"/>
      <c r="M860" s="67"/>
      <c r="N860" s="67"/>
      <c r="Q860" s="417"/>
      <c r="S860" s="417"/>
      <c r="AA860" s="186"/>
    </row>
    <row r="861">
      <c r="A861" s="185"/>
      <c r="B861" s="67"/>
      <c r="C861" s="67"/>
      <c r="D861" s="67"/>
      <c r="E861" s="186"/>
      <c r="F861" s="67"/>
      <c r="G861" s="67"/>
      <c r="H861" s="67"/>
      <c r="I861" s="187"/>
      <c r="J861" s="186"/>
      <c r="K861" s="187"/>
      <c r="L861" s="186"/>
      <c r="M861" s="67"/>
      <c r="N861" s="67"/>
      <c r="Q861" s="417"/>
      <c r="S861" s="417"/>
      <c r="AA861" s="186"/>
    </row>
    <row r="862">
      <c r="A862" s="185"/>
      <c r="B862" s="67"/>
      <c r="C862" s="67"/>
      <c r="D862" s="67"/>
      <c r="E862" s="186"/>
      <c r="F862" s="67"/>
      <c r="G862" s="67"/>
      <c r="H862" s="67"/>
      <c r="I862" s="187"/>
      <c r="J862" s="186"/>
      <c r="K862" s="187"/>
      <c r="L862" s="186"/>
      <c r="M862" s="67"/>
      <c r="N862" s="67"/>
      <c r="Q862" s="417"/>
      <c r="S862" s="417"/>
      <c r="AA862" s="186"/>
    </row>
    <row r="863">
      <c r="A863" s="185"/>
      <c r="B863" s="67"/>
      <c r="C863" s="67"/>
      <c r="D863" s="67"/>
      <c r="E863" s="186"/>
      <c r="F863" s="67"/>
      <c r="G863" s="67"/>
      <c r="H863" s="67"/>
      <c r="I863" s="187"/>
      <c r="J863" s="186"/>
      <c r="K863" s="187"/>
      <c r="L863" s="186"/>
      <c r="M863" s="67"/>
      <c r="N863" s="67"/>
      <c r="Q863" s="417"/>
      <c r="S863" s="417"/>
      <c r="AA863" s="186"/>
    </row>
    <row r="864">
      <c r="A864" s="185"/>
      <c r="B864" s="67"/>
      <c r="C864" s="67"/>
      <c r="D864" s="67"/>
      <c r="E864" s="186"/>
      <c r="F864" s="67"/>
      <c r="G864" s="67"/>
      <c r="H864" s="67"/>
      <c r="I864" s="187"/>
      <c r="J864" s="186"/>
      <c r="K864" s="187"/>
      <c r="L864" s="186"/>
      <c r="M864" s="67"/>
      <c r="N864" s="67"/>
      <c r="Q864" s="417"/>
      <c r="S864" s="417"/>
      <c r="AA864" s="186"/>
    </row>
    <row r="865">
      <c r="A865" s="185"/>
      <c r="B865" s="67"/>
      <c r="C865" s="67"/>
      <c r="D865" s="67"/>
      <c r="E865" s="186"/>
      <c r="F865" s="67"/>
      <c r="G865" s="67"/>
      <c r="H865" s="67"/>
      <c r="I865" s="187"/>
      <c r="J865" s="186"/>
      <c r="K865" s="187"/>
      <c r="L865" s="186"/>
      <c r="M865" s="67"/>
      <c r="N865" s="67"/>
      <c r="Q865" s="417"/>
      <c r="S865" s="417"/>
      <c r="AA865" s="186"/>
    </row>
    <row r="866">
      <c r="A866" s="185"/>
      <c r="B866" s="67"/>
      <c r="C866" s="67"/>
      <c r="D866" s="67"/>
      <c r="E866" s="186"/>
      <c r="F866" s="67"/>
      <c r="G866" s="67"/>
      <c r="H866" s="67"/>
      <c r="I866" s="187"/>
      <c r="J866" s="186"/>
      <c r="K866" s="187"/>
      <c r="L866" s="186"/>
      <c r="M866" s="67"/>
      <c r="N866" s="67"/>
      <c r="Q866" s="417"/>
      <c r="S866" s="417"/>
      <c r="AA866" s="186"/>
    </row>
    <row r="867">
      <c r="A867" s="185"/>
      <c r="B867" s="67"/>
      <c r="C867" s="67"/>
      <c r="D867" s="67"/>
      <c r="E867" s="186"/>
      <c r="F867" s="67"/>
      <c r="G867" s="67"/>
      <c r="H867" s="67"/>
      <c r="I867" s="187"/>
      <c r="J867" s="186"/>
      <c r="K867" s="187"/>
      <c r="L867" s="186"/>
      <c r="M867" s="67"/>
      <c r="N867" s="67"/>
      <c r="Q867" s="417"/>
      <c r="S867" s="417"/>
      <c r="AA867" s="186"/>
    </row>
    <row r="868">
      <c r="A868" s="185"/>
      <c r="B868" s="67"/>
      <c r="C868" s="67"/>
      <c r="D868" s="67"/>
      <c r="E868" s="186"/>
      <c r="F868" s="67"/>
      <c r="G868" s="67"/>
      <c r="H868" s="67"/>
      <c r="I868" s="187"/>
      <c r="J868" s="186"/>
      <c r="K868" s="187"/>
      <c r="L868" s="186"/>
      <c r="M868" s="67"/>
      <c r="N868" s="67"/>
      <c r="Q868" s="417"/>
      <c r="S868" s="417"/>
      <c r="AA868" s="186"/>
    </row>
    <row r="869">
      <c r="A869" s="185"/>
      <c r="B869" s="67"/>
      <c r="C869" s="67"/>
      <c r="D869" s="67"/>
      <c r="E869" s="186"/>
      <c r="F869" s="67"/>
      <c r="G869" s="67"/>
      <c r="H869" s="67"/>
      <c r="I869" s="187"/>
      <c r="J869" s="186"/>
      <c r="K869" s="187"/>
      <c r="L869" s="186"/>
      <c r="M869" s="67"/>
      <c r="N869" s="67"/>
      <c r="Q869" s="417"/>
      <c r="S869" s="417"/>
      <c r="AA869" s="186"/>
    </row>
    <row r="870">
      <c r="A870" s="185"/>
      <c r="B870" s="67"/>
      <c r="C870" s="67"/>
      <c r="D870" s="67"/>
      <c r="E870" s="186"/>
      <c r="F870" s="67"/>
      <c r="G870" s="67"/>
      <c r="H870" s="67"/>
      <c r="I870" s="187"/>
      <c r="J870" s="186"/>
      <c r="K870" s="187"/>
      <c r="L870" s="186"/>
      <c r="M870" s="67"/>
      <c r="N870" s="67"/>
      <c r="Q870" s="417"/>
      <c r="S870" s="417"/>
      <c r="AA870" s="186"/>
    </row>
    <row r="871">
      <c r="A871" s="185"/>
      <c r="B871" s="67"/>
      <c r="C871" s="67"/>
      <c r="D871" s="67"/>
      <c r="E871" s="186"/>
      <c r="F871" s="67"/>
      <c r="G871" s="67"/>
      <c r="H871" s="67"/>
      <c r="I871" s="187"/>
      <c r="J871" s="186"/>
      <c r="K871" s="187"/>
      <c r="L871" s="186"/>
      <c r="M871" s="67"/>
      <c r="N871" s="67"/>
      <c r="Q871" s="417"/>
      <c r="S871" s="417"/>
      <c r="AA871" s="186"/>
    </row>
    <row r="872">
      <c r="A872" s="185"/>
      <c r="B872" s="67"/>
      <c r="C872" s="67"/>
      <c r="D872" s="67"/>
      <c r="E872" s="186"/>
      <c r="F872" s="67"/>
      <c r="G872" s="67"/>
      <c r="H872" s="67"/>
      <c r="I872" s="187"/>
      <c r="J872" s="186"/>
      <c r="K872" s="187"/>
      <c r="L872" s="186"/>
      <c r="M872" s="67"/>
      <c r="N872" s="67"/>
      <c r="Q872" s="417"/>
      <c r="S872" s="417"/>
      <c r="AA872" s="186"/>
    </row>
    <row r="873">
      <c r="A873" s="185"/>
      <c r="B873" s="67"/>
      <c r="C873" s="67"/>
      <c r="D873" s="67"/>
      <c r="E873" s="186"/>
      <c r="F873" s="67"/>
      <c r="G873" s="67"/>
      <c r="H873" s="67"/>
      <c r="I873" s="187"/>
      <c r="J873" s="186"/>
      <c r="K873" s="187"/>
      <c r="L873" s="186"/>
      <c r="M873" s="67"/>
      <c r="N873" s="67"/>
      <c r="Q873" s="417"/>
      <c r="S873" s="417"/>
      <c r="AA873" s="186"/>
    </row>
    <row r="874">
      <c r="A874" s="185"/>
      <c r="B874" s="67"/>
      <c r="C874" s="67"/>
      <c r="D874" s="67"/>
      <c r="E874" s="186"/>
      <c r="F874" s="67"/>
      <c r="G874" s="67"/>
      <c r="H874" s="67"/>
      <c r="I874" s="187"/>
      <c r="J874" s="186"/>
      <c r="K874" s="187"/>
      <c r="L874" s="186"/>
      <c r="M874" s="67"/>
      <c r="N874" s="67"/>
      <c r="Q874" s="417"/>
      <c r="S874" s="417"/>
      <c r="AA874" s="186"/>
    </row>
    <row r="875">
      <c r="A875" s="185"/>
      <c r="B875" s="67"/>
      <c r="C875" s="67"/>
      <c r="D875" s="67"/>
      <c r="E875" s="186"/>
      <c r="F875" s="67"/>
      <c r="G875" s="67"/>
      <c r="H875" s="67"/>
      <c r="I875" s="187"/>
      <c r="J875" s="186"/>
      <c r="K875" s="187"/>
      <c r="L875" s="186"/>
      <c r="M875" s="67"/>
      <c r="N875" s="67"/>
      <c r="Q875" s="417"/>
      <c r="S875" s="417"/>
      <c r="AA875" s="186"/>
    </row>
    <row r="876">
      <c r="A876" s="185"/>
      <c r="B876" s="67"/>
      <c r="C876" s="67"/>
      <c r="D876" s="67"/>
      <c r="E876" s="186"/>
      <c r="F876" s="67"/>
      <c r="G876" s="67"/>
      <c r="H876" s="67"/>
      <c r="I876" s="187"/>
      <c r="J876" s="186"/>
      <c r="K876" s="187"/>
      <c r="L876" s="186"/>
      <c r="M876" s="67"/>
      <c r="N876" s="67"/>
      <c r="Q876" s="417"/>
      <c r="S876" s="417"/>
      <c r="AA876" s="186"/>
    </row>
    <row r="877">
      <c r="A877" s="185"/>
      <c r="B877" s="67"/>
      <c r="C877" s="67"/>
      <c r="D877" s="67"/>
      <c r="E877" s="186"/>
      <c r="F877" s="67"/>
      <c r="G877" s="67"/>
      <c r="H877" s="67"/>
      <c r="I877" s="187"/>
      <c r="J877" s="186"/>
      <c r="K877" s="187"/>
      <c r="L877" s="186"/>
      <c r="M877" s="67"/>
      <c r="N877" s="67"/>
      <c r="Q877" s="417"/>
      <c r="S877" s="417"/>
      <c r="AA877" s="186"/>
    </row>
    <row r="878">
      <c r="A878" s="185"/>
      <c r="B878" s="67"/>
      <c r="C878" s="67"/>
      <c r="D878" s="67"/>
      <c r="E878" s="186"/>
      <c r="F878" s="67"/>
      <c r="G878" s="67"/>
      <c r="H878" s="67"/>
      <c r="I878" s="187"/>
      <c r="J878" s="186"/>
      <c r="K878" s="187"/>
      <c r="L878" s="186"/>
      <c r="M878" s="67"/>
      <c r="N878" s="67"/>
      <c r="Q878" s="417"/>
      <c r="S878" s="417"/>
      <c r="AA878" s="186"/>
    </row>
    <row r="879">
      <c r="A879" s="185"/>
      <c r="B879" s="67"/>
      <c r="C879" s="67"/>
      <c r="D879" s="67"/>
      <c r="E879" s="186"/>
      <c r="F879" s="67"/>
      <c r="G879" s="67"/>
      <c r="H879" s="67"/>
      <c r="I879" s="187"/>
      <c r="J879" s="186"/>
      <c r="K879" s="187"/>
      <c r="L879" s="186"/>
      <c r="M879" s="67"/>
      <c r="N879" s="67"/>
      <c r="Q879" s="417"/>
      <c r="S879" s="417"/>
      <c r="AA879" s="186"/>
    </row>
    <row r="880">
      <c r="A880" s="185"/>
      <c r="B880" s="67"/>
      <c r="C880" s="67"/>
      <c r="D880" s="67"/>
      <c r="E880" s="186"/>
      <c r="F880" s="67"/>
      <c r="G880" s="67"/>
      <c r="H880" s="67"/>
      <c r="I880" s="187"/>
      <c r="J880" s="186"/>
      <c r="K880" s="187"/>
      <c r="L880" s="186"/>
      <c r="M880" s="67"/>
      <c r="N880" s="67"/>
      <c r="Q880" s="417"/>
      <c r="S880" s="417"/>
      <c r="AA880" s="186"/>
    </row>
    <row r="881">
      <c r="A881" s="185"/>
      <c r="B881" s="67"/>
      <c r="C881" s="67"/>
      <c r="D881" s="67"/>
      <c r="E881" s="186"/>
      <c r="F881" s="67"/>
      <c r="G881" s="67"/>
      <c r="H881" s="67"/>
      <c r="I881" s="187"/>
      <c r="J881" s="186"/>
      <c r="K881" s="187"/>
      <c r="L881" s="186"/>
      <c r="M881" s="67"/>
      <c r="N881" s="67"/>
      <c r="Q881" s="417"/>
      <c r="S881" s="417"/>
      <c r="AA881" s="186"/>
    </row>
    <row r="882">
      <c r="A882" s="185"/>
      <c r="B882" s="67"/>
      <c r="C882" s="67"/>
      <c r="D882" s="67"/>
      <c r="E882" s="186"/>
      <c r="F882" s="67"/>
      <c r="G882" s="67"/>
      <c r="H882" s="67"/>
      <c r="I882" s="187"/>
      <c r="J882" s="186"/>
      <c r="K882" s="187"/>
      <c r="L882" s="186"/>
      <c r="M882" s="67"/>
      <c r="N882" s="67"/>
      <c r="Q882" s="417"/>
      <c r="S882" s="417"/>
      <c r="AA882" s="186"/>
    </row>
    <row r="883">
      <c r="A883" s="185"/>
      <c r="B883" s="67"/>
      <c r="C883" s="67"/>
      <c r="D883" s="67"/>
      <c r="E883" s="186"/>
      <c r="F883" s="67"/>
      <c r="G883" s="67"/>
      <c r="H883" s="67"/>
      <c r="I883" s="187"/>
      <c r="J883" s="186"/>
      <c r="K883" s="187"/>
      <c r="L883" s="186"/>
      <c r="M883" s="67"/>
      <c r="N883" s="67"/>
      <c r="Q883" s="417"/>
      <c r="S883" s="417"/>
      <c r="AA883" s="186"/>
    </row>
    <row r="884">
      <c r="A884" s="185"/>
      <c r="B884" s="67"/>
      <c r="C884" s="67"/>
      <c r="D884" s="67"/>
      <c r="E884" s="186"/>
      <c r="F884" s="67"/>
      <c r="G884" s="67"/>
      <c r="H884" s="67"/>
      <c r="I884" s="187"/>
      <c r="J884" s="186"/>
      <c r="K884" s="187"/>
      <c r="L884" s="186"/>
      <c r="M884" s="67"/>
      <c r="N884" s="67"/>
      <c r="Q884" s="417"/>
      <c r="S884" s="417"/>
      <c r="AA884" s="186"/>
    </row>
    <row r="885">
      <c r="A885" s="185"/>
      <c r="B885" s="67"/>
      <c r="C885" s="67"/>
      <c r="D885" s="67"/>
      <c r="E885" s="186"/>
      <c r="F885" s="67"/>
      <c r="G885" s="67"/>
      <c r="H885" s="67"/>
      <c r="I885" s="187"/>
      <c r="J885" s="186"/>
      <c r="K885" s="187"/>
      <c r="L885" s="186"/>
      <c r="M885" s="67"/>
      <c r="N885" s="67"/>
      <c r="Q885" s="417"/>
      <c r="S885" s="417"/>
      <c r="AA885" s="186"/>
    </row>
    <row r="886">
      <c r="A886" s="185"/>
      <c r="B886" s="67"/>
      <c r="C886" s="67"/>
      <c r="D886" s="67"/>
      <c r="E886" s="186"/>
      <c r="F886" s="67"/>
      <c r="G886" s="67"/>
      <c r="H886" s="67"/>
      <c r="I886" s="187"/>
      <c r="J886" s="186"/>
      <c r="K886" s="187"/>
      <c r="L886" s="186"/>
      <c r="M886" s="67"/>
      <c r="N886" s="67"/>
      <c r="Q886" s="417"/>
      <c r="S886" s="417"/>
      <c r="AA886" s="186"/>
    </row>
    <row r="887">
      <c r="A887" s="185"/>
      <c r="B887" s="67"/>
      <c r="C887" s="67"/>
      <c r="D887" s="67"/>
      <c r="E887" s="186"/>
      <c r="F887" s="67"/>
      <c r="G887" s="67"/>
      <c r="H887" s="67"/>
      <c r="I887" s="187"/>
      <c r="J887" s="186"/>
      <c r="K887" s="187"/>
      <c r="L887" s="186"/>
      <c r="M887" s="67"/>
      <c r="N887" s="67"/>
      <c r="Q887" s="417"/>
      <c r="S887" s="417"/>
      <c r="AA887" s="186"/>
    </row>
    <row r="888">
      <c r="A888" s="185"/>
      <c r="B888" s="67"/>
      <c r="C888" s="67"/>
      <c r="D888" s="67"/>
      <c r="E888" s="186"/>
      <c r="F888" s="67"/>
      <c r="G888" s="67"/>
      <c r="H888" s="67"/>
      <c r="I888" s="187"/>
      <c r="J888" s="186"/>
      <c r="K888" s="187"/>
      <c r="L888" s="186"/>
      <c r="M888" s="67"/>
      <c r="N888" s="67"/>
      <c r="Q888" s="417"/>
      <c r="S888" s="417"/>
      <c r="AA888" s="186"/>
    </row>
    <row r="889">
      <c r="A889" s="185"/>
      <c r="B889" s="67"/>
      <c r="C889" s="67"/>
      <c r="D889" s="67"/>
      <c r="E889" s="186"/>
      <c r="F889" s="67"/>
      <c r="G889" s="67"/>
      <c r="H889" s="67"/>
      <c r="I889" s="187"/>
      <c r="J889" s="186"/>
      <c r="K889" s="187"/>
      <c r="L889" s="186"/>
      <c r="M889" s="67"/>
      <c r="N889" s="67"/>
      <c r="Q889" s="417"/>
      <c r="S889" s="417"/>
      <c r="AA889" s="186"/>
    </row>
    <row r="890">
      <c r="A890" s="185"/>
      <c r="B890" s="67"/>
      <c r="C890" s="67"/>
      <c r="D890" s="67"/>
      <c r="E890" s="186"/>
      <c r="F890" s="67"/>
      <c r="G890" s="67"/>
      <c r="H890" s="67"/>
      <c r="I890" s="187"/>
      <c r="J890" s="186"/>
      <c r="K890" s="187"/>
      <c r="L890" s="186"/>
      <c r="M890" s="67"/>
      <c r="N890" s="67"/>
      <c r="Q890" s="417"/>
      <c r="S890" s="417"/>
      <c r="AA890" s="186"/>
    </row>
    <row r="891">
      <c r="A891" s="185"/>
      <c r="B891" s="67"/>
      <c r="C891" s="67"/>
      <c r="D891" s="67"/>
      <c r="E891" s="186"/>
      <c r="F891" s="67"/>
      <c r="G891" s="67"/>
      <c r="H891" s="67"/>
      <c r="I891" s="187"/>
      <c r="J891" s="186"/>
      <c r="K891" s="187"/>
      <c r="L891" s="186"/>
      <c r="M891" s="67"/>
      <c r="N891" s="67"/>
      <c r="Q891" s="417"/>
      <c r="S891" s="417"/>
      <c r="AA891" s="186"/>
    </row>
    <row r="892">
      <c r="A892" s="185"/>
      <c r="B892" s="67"/>
      <c r="C892" s="67"/>
      <c r="D892" s="67"/>
      <c r="E892" s="186"/>
      <c r="F892" s="67"/>
      <c r="G892" s="67"/>
      <c r="H892" s="67"/>
      <c r="I892" s="187"/>
      <c r="J892" s="186"/>
      <c r="K892" s="187"/>
      <c r="L892" s="186"/>
      <c r="M892" s="67"/>
      <c r="N892" s="67"/>
      <c r="Q892" s="417"/>
      <c r="S892" s="417"/>
      <c r="AA892" s="186"/>
    </row>
    <row r="893">
      <c r="A893" s="185"/>
      <c r="B893" s="67"/>
      <c r="C893" s="67"/>
      <c r="D893" s="67"/>
      <c r="E893" s="186"/>
      <c r="F893" s="67"/>
      <c r="G893" s="67"/>
      <c r="H893" s="67"/>
      <c r="I893" s="187"/>
      <c r="J893" s="186"/>
      <c r="K893" s="187"/>
      <c r="L893" s="186"/>
      <c r="M893" s="67"/>
      <c r="N893" s="67"/>
      <c r="Q893" s="417"/>
      <c r="S893" s="417"/>
      <c r="AA893" s="186"/>
    </row>
    <row r="894">
      <c r="A894" s="185"/>
      <c r="B894" s="67"/>
      <c r="C894" s="67"/>
      <c r="D894" s="67"/>
      <c r="E894" s="186"/>
      <c r="F894" s="67"/>
      <c r="G894" s="67"/>
      <c r="H894" s="67"/>
      <c r="I894" s="187"/>
      <c r="J894" s="186"/>
      <c r="K894" s="187"/>
      <c r="L894" s="186"/>
      <c r="M894" s="67"/>
      <c r="N894" s="67"/>
      <c r="Q894" s="417"/>
      <c r="S894" s="417"/>
      <c r="AA894" s="186"/>
    </row>
    <row r="895">
      <c r="A895" s="185"/>
      <c r="B895" s="67"/>
      <c r="C895" s="67"/>
      <c r="D895" s="67"/>
      <c r="E895" s="186"/>
      <c r="F895" s="67"/>
      <c r="G895" s="67"/>
      <c r="H895" s="67"/>
      <c r="I895" s="187"/>
      <c r="J895" s="186"/>
      <c r="K895" s="187"/>
      <c r="L895" s="186"/>
      <c r="M895" s="67"/>
      <c r="N895" s="67"/>
      <c r="Q895" s="417"/>
      <c r="S895" s="417"/>
      <c r="AA895" s="186"/>
    </row>
    <row r="896">
      <c r="A896" s="185"/>
      <c r="B896" s="67"/>
      <c r="C896" s="67"/>
      <c r="D896" s="67"/>
      <c r="E896" s="186"/>
      <c r="F896" s="67"/>
      <c r="G896" s="67"/>
      <c r="H896" s="67"/>
      <c r="I896" s="187"/>
      <c r="J896" s="186"/>
      <c r="K896" s="187"/>
      <c r="L896" s="186"/>
      <c r="M896" s="67"/>
      <c r="N896" s="67"/>
      <c r="Q896" s="417"/>
      <c r="S896" s="417"/>
      <c r="AA896" s="186"/>
    </row>
    <row r="897">
      <c r="A897" s="185"/>
      <c r="B897" s="67"/>
      <c r="C897" s="67"/>
      <c r="D897" s="67"/>
      <c r="E897" s="186"/>
      <c r="F897" s="67"/>
      <c r="G897" s="67"/>
      <c r="H897" s="67"/>
      <c r="I897" s="187"/>
      <c r="J897" s="186"/>
      <c r="K897" s="187"/>
      <c r="L897" s="186"/>
      <c r="M897" s="67"/>
      <c r="N897" s="67"/>
      <c r="Q897" s="417"/>
      <c r="S897" s="417"/>
      <c r="AA897" s="186"/>
    </row>
    <row r="898">
      <c r="A898" s="185"/>
      <c r="B898" s="67"/>
      <c r="C898" s="67"/>
      <c r="D898" s="67"/>
      <c r="E898" s="186"/>
      <c r="F898" s="67"/>
      <c r="G898" s="67"/>
      <c r="H898" s="67"/>
      <c r="I898" s="187"/>
      <c r="J898" s="186"/>
      <c r="K898" s="187"/>
      <c r="L898" s="186"/>
      <c r="M898" s="67"/>
      <c r="N898" s="67"/>
      <c r="Q898" s="417"/>
      <c r="S898" s="417"/>
      <c r="AA898" s="186"/>
    </row>
    <row r="899">
      <c r="A899" s="185"/>
      <c r="B899" s="67"/>
      <c r="C899" s="67"/>
      <c r="D899" s="67"/>
      <c r="E899" s="186"/>
      <c r="F899" s="67"/>
      <c r="G899" s="67"/>
      <c r="H899" s="67"/>
      <c r="I899" s="187"/>
      <c r="J899" s="186"/>
      <c r="K899" s="187"/>
      <c r="L899" s="186"/>
      <c r="M899" s="67"/>
      <c r="N899" s="67"/>
      <c r="Q899" s="417"/>
      <c r="S899" s="417"/>
      <c r="AA899" s="186"/>
    </row>
    <row r="900">
      <c r="A900" s="185"/>
      <c r="B900" s="67"/>
      <c r="C900" s="67"/>
      <c r="D900" s="67"/>
      <c r="E900" s="186"/>
      <c r="F900" s="67"/>
      <c r="G900" s="67"/>
      <c r="H900" s="67"/>
      <c r="I900" s="187"/>
      <c r="J900" s="186"/>
      <c r="K900" s="187"/>
      <c r="L900" s="186"/>
      <c r="M900" s="67"/>
      <c r="N900" s="67"/>
      <c r="Q900" s="417"/>
      <c r="S900" s="417"/>
      <c r="AA900" s="186"/>
    </row>
    <row r="901">
      <c r="A901" s="185"/>
      <c r="B901" s="67"/>
      <c r="C901" s="67"/>
      <c r="D901" s="67"/>
      <c r="E901" s="186"/>
      <c r="F901" s="67"/>
      <c r="G901" s="67"/>
      <c r="H901" s="67"/>
      <c r="I901" s="187"/>
      <c r="J901" s="186"/>
      <c r="K901" s="187"/>
      <c r="L901" s="186"/>
      <c r="M901" s="67"/>
      <c r="N901" s="67"/>
      <c r="Q901" s="417"/>
      <c r="S901" s="417"/>
      <c r="AA901" s="186"/>
    </row>
    <row r="902">
      <c r="A902" s="185"/>
      <c r="B902" s="67"/>
      <c r="C902" s="67"/>
      <c r="D902" s="67"/>
      <c r="E902" s="186"/>
      <c r="F902" s="67"/>
      <c r="G902" s="67"/>
      <c r="H902" s="67"/>
      <c r="I902" s="187"/>
      <c r="J902" s="186"/>
      <c r="K902" s="187"/>
      <c r="L902" s="186"/>
      <c r="M902" s="67"/>
      <c r="N902" s="67"/>
      <c r="Q902" s="417"/>
      <c r="S902" s="417"/>
      <c r="AA902" s="186"/>
    </row>
    <row r="903">
      <c r="A903" s="185"/>
      <c r="B903" s="67"/>
      <c r="C903" s="67"/>
      <c r="D903" s="67"/>
      <c r="E903" s="186"/>
      <c r="F903" s="67"/>
      <c r="G903" s="67"/>
      <c r="H903" s="67"/>
      <c r="I903" s="187"/>
      <c r="J903" s="186"/>
      <c r="K903" s="187"/>
      <c r="L903" s="186"/>
      <c r="M903" s="67"/>
      <c r="N903" s="67"/>
      <c r="Q903" s="417"/>
      <c r="S903" s="417"/>
      <c r="AA903" s="186"/>
    </row>
    <row r="904">
      <c r="A904" s="185"/>
      <c r="B904" s="67"/>
      <c r="C904" s="67"/>
      <c r="D904" s="67"/>
      <c r="E904" s="186"/>
      <c r="F904" s="67"/>
      <c r="G904" s="67"/>
      <c r="H904" s="67"/>
      <c r="I904" s="187"/>
      <c r="J904" s="186"/>
      <c r="K904" s="187"/>
      <c r="L904" s="186"/>
      <c r="M904" s="67"/>
      <c r="N904" s="67"/>
      <c r="Q904" s="417"/>
      <c r="S904" s="417"/>
      <c r="AA904" s="186"/>
    </row>
    <row r="905">
      <c r="A905" s="185"/>
      <c r="B905" s="67"/>
      <c r="C905" s="67"/>
      <c r="D905" s="67"/>
      <c r="E905" s="186"/>
      <c r="F905" s="67"/>
      <c r="G905" s="67"/>
      <c r="H905" s="67"/>
      <c r="I905" s="187"/>
      <c r="J905" s="186"/>
      <c r="K905" s="187"/>
      <c r="L905" s="186"/>
      <c r="M905" s="67"/>
      <c r="N905" s="67"/>
      <c r="Q905" s="417"/>
      <c r="S905" s="417"/>
      <c r="AA905" s="186"/>
    </row>
    <row r="906">
      <c r="A906" s="185"/>
      <c r="B906" s="67"/>
      <c r="C906" s="67"/>
      <c r="D906" s="67"/>
      <c r="E906" s="186"/>
      <c r="F906" s="67"/>
      <c r="G906" s="67"/>
      <c r="H906" s="67"/>
      <c r="I906" s="187"/>
      <c r="J906" s="186"/>
      <c r="K906" s="187"/>
      <c r="L906" s="186"/>
      <c r="M906" s="67"/>
      <c r="N906" s="67"/>
      <c r="Q906" s="417"/>
      <c r="S906" s="417"/>
      <c r="AA906" s="186"/>
    </row>
    <row r="907">
      <c r="A907" s="185"/>
      <c r="B907" s="67"/>
      <c r="C907" s="67"/>
      <c r="D907" s="67"/>
      <c r="E907" s="186"/>
      <c r="F907" s="67"/>
      <c r="G907" s="67"/>
      <c r="H907" s="67"/>
      <c r="I907" s="187"/>
      <c r="J907" s="186"/>
      <c r="K907" s="187"/>
      <c r="L907" s="186"/>
      <c r="M907" s="67"/>
      <c r="N907" s="67"/>
      <c r="Q907" s="417"/>
      <c r="S907" s="417"/>
      <c r="AA907" s="186"/>
    </row>
    <row r="908">
      <c r="A908" s="185"/>
      <c r="B908" s="67"/>
      <c r="C908" s="67"/>
      <c r="D908" s="67"/>
      <c r="E908" s="186"/>
      <c r="F908" s="67"/>
      <c r="G908" s="67"/>
      <c r="H908" s="67"/>
      <c r="I908" s="187"/>
      <c r="J908" s="186"/>
      <c r="K908" s="187"/>
      <c r="L908" s="186"/>
      <c r="M908" s="67"/>
      <c r="N908" s="67"/>
      <c r="Q908" s="417"/>
      <c r="S908" s="417"/>
      <c r="AA908" s="186"/>
    </row>
    <row r="909">
      <c r="A909" s="185"/>
      <c r="B909" s="67"/>
      <c r="C909" s="67"/>
      <c r="D909" s="67"/>
      <c r="E909" s="186"/>
      <c r="F909" s="67"/>
      <c r="G909" s="67"/>
      <c r="H909" s="67"/>
      <c r="I909" s="187"/>
      <c r="J909" s="186"/>
      <c r="K909" s="187"/>
      <c r="L909" s="186"/>
      <c r="M909" s="67"/>
      <c r="N909" s="67"/>
      <c r="Q909" s="417"/>
      <c r="S909" s="417"/>
      <c r="AA909" s="186"/>
    </row>
    <row r="910">
      <c r="A910" s="185"/>
      <c r="B910" s="67"/>
      <c r="C910" s="67"/>
      <c r="D910" s="67"/>
      <c r="E910" s="186"/>
      <c r="F910" s="67"/>
      <c r="G910" s="67"/>
      <c r="H910" s="67"/>
      <c r="I910" s="187"/>
      <c r="J910" s="186"/>
      <c r="K910" s="187"/>
      <c r="L910" s="186"/>
      <c r="M910" s="67"/>
      <c r="N910" s="67"/>
      <c r="Q910" s="417"/>
      <c r="S910" s="417"/>
      <c r="AA910" s="186"/>
    </row>
    <row r="911">
      <c r="A911" s="185"/>
      <c r="B911" s="67"/>
      <c r="C911" s="67"/>
      <c r="D911" s="67"/>
      <c r="E911" s="186"/>
      <c r="F911" s="67"/>
      <c r="G911" s="67"/>
      <c r="H911" s="67"/>
      <c r="I911" s="187"/>
      <c r="J911" s="186"/>
      <c r="K911" s="187"/>
      <c r="L911" s="186"/>
      <c r="M911" s="67"/>
      <c r="N911" s="67"/>
      <c r="Q911" s="417"/>
      <c r="S911" s="417"/>
      <c r="AA911" s="186"/>
    </row>
    <row r="912">
      <c r="A912" s="185"/>
      <c r="B912" s="67"/>
      <c r="C912" s="67"/>
      <c r="D912" s="67"/>
      <c r="E912" s="186"/>
      <c r="F912" s="67"/>
      <c r="G912" s="67"/>
      <c r="H912" s="67"/>
      <c r="I912" s="187"/>
      <c r="J912" s="186"/>
      <c r="K912" s="187"/>
      <c r="L912" s="186"/>
      <c r="M912" s="67"/>
      <c r="N912" s="67"/>
      <c r="Q912" s="417"/>
      <c r="S912" s="417"/>
      <c r="AA912" s="186"/>
    </row>
    <row r="913">
      <c r="A913" s="185"/>
      <c r="B913" s="67"/>
      <c r="C913" s="67"/>
      <c r="D913" s="67"/>
      <c r="E913" s="186"/>
      <c r="F913" s="67"/>
      <c r="G913" s="67"/>
      <c r="H913" s="67"/>
      <c r="I913" s="187"/>
      <c r="J913" s="186"/>
      <c r="K913" s="187"/>
      <c r="L913" s="186"/>
      <c r="M913" s="67"/>
      <c r="N913" s="67"/>
      <c r="Q913" s="417"/>
      <c r="S913" s="417"/>
      <c r="AA913" s="186"/>
    </row>
    <row r="914">
      <c r="A914" s="185"/>
      <c r="B914" s="67"/>
      <c r="C914" s="67"/>
      <c r="D914" s="67"/>
      <c r="E914" s="186"/>
      <c r="F914" s="67"/>
      <c r="G914" s="67"/>
      <c r="H914" s="67"/>
      <c r="I914" s="187"/>
      <c r="J914" s="186"/>
      <c r="K914" s="187"/>
      <c r="L914" s="186"/>
      <c r="M914" s="67"/>
      <c r="N914" s="67"/>
      <c r="Q914" s="417"/>
      <c r="S914" s="417"/>
      <c r="AA914" s="186"/>
    </row>
    <row r="915">
      <c r="A915" s="185"/>
      <c r="B915" s="67"/>
      <c r="C915" s="67"/>
      <c r="D915" s="67"/>
      <c r="E915" s="186"/>
      <c r="F915" s="67"/>
      <c r="G915" s="67"/>
      <c r="H915" s="67"/>
      <c r="I915" s="187"/>
      <c r="J915" s="186"/>
      <c r="K915" s="187"/>
      <c r="L915" s="186"/>
      <c r="M915" s="67"/>
      <c r="N915" s="67"/>
      <c r="Q915" s="417"/>
      <c r="S915" s="417"/>
      <c r="AA915" s="186"/>
    </row>
    <row r="916">
      <c r="A916" s="185"/>
      <c r="B916" s="67"/>
      <c r="C916" s="67"/>
      <c r="D916" s="67"/>
      <c r="E916" s="186"/>
      <c r="F916" s="67"/>
      <c r="G916" s="67"/>
      <c r="H916" s="67"/>
      <c r="I916" s="187"/>
      <c r="J916" s="186"/>
      <c r="K916" s="187"/>
      <c r="L916" s="186"/>
      <c r="M916" s="67"/>
      <c r="N916" s="67"/>
      <c r="Q916" s="417"/>
      <c r="S916" s="417"/>
      <c r="AA916" s="186"/>
    </row>
    <row r="917">
      <c r="A917" s="185"/>
      <c r="B917" s="67"/>
      <c r="C917" s="67"/>
      <c r="D917" s="67"/>
      <c r="E917" s="186"/>
      <c r="F917" s="67"/>
      <c r="G917" s="67"/>
      <c r="H917" s="67"/>
      <c r="I917" s="187"/>
      <c r="J917" s="186"/>
      <c r="K917" s="187"/>
      <c r="L917" s="186"/>
      <c r="M917" s="67"/>
      <c r="N917" s="67"/>
      <c r="Q917" s="417"/>
      <c r="S917" s="417"/>
      <c r="AA917" s="186"/>
    </row>
    <row r="918">
      <c r="A918" s="185"/>
      <c r="B918" s="67"/>
      <c r="C918" s="67"/>
      <c r="D918" s="67"/>
      <c r="E918" s="186"/>
      <c r="F918" s="67"/>
      <c r="G918" s="67"/>
      <c r="H918" s="67"/>
      <c r="I918" s="187"/>
      <c r="J918" s="186"/>
      <c r="K918" s="187"/>
      <c r="L918" s="186"/>
      <c r="M918" s="67"/>
      <c r="N918" s="67"/>
      <c r="Q918" s="417"/>
      <c r="S918" s="417"/>
      <c r="AA918" s="186"/>
    </row>
    <row r="919">
      <c r="A919" s="185"/>
      <c r="B919" s="67"/>
      <c r="C919" s="67"/>
      <c r="D919" s="67"/>
      <c r="E919" s="186"/>
      <c r="F919" s="67"/>
      <c r="G919" s="67"/>
      <c r="H919" s="67"/>
      <c r="I919" s="187"/>
      <c r="J919" s="186"/>
      <c r="K919" s="187"/>
      <c r="L919" s="186"/>
      <c r="M919" s="67"/>
      <c r="N919" s="67"/>
      <c r="Q919" s="417"/>
      <c r="S919" s="417"/>
      <c r="AA919" s="186"/>
    </row>
    <row r="920">
      <c r="A920" s="185"/>
      <c r="B920" s="67"/>
      <c r="C920" s="67"/>
      <c r="D920" s="67"/>
      <c r="E920" s="186"/>
      <c r="F920" s="67"/>
      <c r="G920" s="67"/>
      <c r="H920" s="67"/>
      <c r="I920" s="187"/>
      <c r="J920" s="186"/>
      <c r="K920" s="187"/>
      <c r="L920" s="186"/>
      <c r="M920" s="67"/>
      <c r="N920" s="67"/>
      <c r="Q920" s="417"/>
      <c r="S920" s="417"/>
      <c r="AA920" s="186"/>
    </row>
    <row r="921">
      <c r="A921" s="185"/>
      <c r="B921" s="67"/>
      <c r="C921" s="67"/>
      <c r="D921" s="67"/>
      <c r="E921" s="186"/>
      <c r="F921" s="67"/>
      <c r="G921" s="67"/>
      <c r="H921" s="67"/>
      <c r="I921" s="187"/>
      <c r="J921" s="186"/>
      <c r="K921" s="187"/>
      <c r="L921" s="186"/>
      <c r="M921" s="67"/>
      <c r="N921" s="67"/>
      <c r="Q921" s="417"/>
      <c r="S921" s="417"/>
      <c r="AA921" s="186"/>
    </row>
    <row r="922">
      <c r="A922" s="185"/>
      <c r="B922" s="67"/>
      <c r="C922" s="67"/>
      <c r="D922" s="67"/>
      <c r="E922" s="186"/>
      <c r="F922" s="67"/>
      <c r="G922" s="67"/>
      <c r="H922" s="67"/>
      <c r="I922" s="187"/>
      <c r="J922" s="186"/>
      <c r="K922" s="187"/>
      <c r="L922" s="186"/>
      <c r="M922" s="67"/>
      <c r="N922" s="67"/>
      <c r="Q922" s="417"/>
      <c r="S922" s="417"/>
      <c r="AA922" s="186"/>
    </row>
    <row r="923">
      <c r="A923" s="185"/>
      <c r="B923" s="67"/>
      <c r="C923" s="67"/>
      <c r="D923" s="67"/>
      <c r="E923" s="186"/>
      <c r="F923" s="67"/>
      <c r="G923" s="67"/>
      <c r="H923" s="67"/>
      <c r="I923" s="187"/>
      <c r="J923" s="186"/>
      <c r="K923" s="187"/>
      <c r="L923" s="186"/>
      <c r="M923" s="67"/>
      <c r="N923" s="67"/>
      <c r="Q923" s="417"/>
      <c r="S923" s="417"/>
      <c r="AA923" s="186"/>
    </row>
    <row r="924">
      <c r="A924" s="185"/>
      <c r="B924" s="67"/>
      <c r="C924" s="67"/>
      <c r="D924" s="67"/>
      <c r="E924" s="186"/>
      <c r="F924" s="67"/>
      <c r="G924" s="67"/>
      <c r="H924" s="67"/>
      <c r="I924" s="187"/>
      <c r="J924" s="186"/>
      <c r="K924" s="187"/>
      <c r="L924" s="186"/>
      <c r="M924" s="67"/>
      <c r="N924" s="67"/>
      <c r="Q924" s="417"/>
      <c r="S924" s="417"/>
      <c r="AA924" s="186"/>
    </row>
    <row r="925">
      <c r="A925" s="185"/>
      <c r="B925" s="67"/>
      <c r="C925" s="67"/>
      <c r="D925" s="67"/>
      <c r="E925" s="186"/>
      <c r="F925" s="67"/>
      <c r="G925" s="67"/>
      <c r="H925" s="67"/>
      <c r="I925" s="187"/>
      <c r="J925" s="186"/>
      <c r="K925" s="187"/>
      <c r="L925" s="186"/>
      <c r="M925" s="67"/>
      <c r="N925" s="67"/>
      <c r="Q925" s="417"/>
      <c r="S925" s="417"/>
      <c r="AA925" s="186"/>
    </row>
    <row r="926">
      <c r="A926" s="185"/>
      <c r="B926" s="67"/>
      <c r="C926" s="67"/>
      <c r="D926" s="67"/>
      <c r="E926" s="186"/>
      <c r="F926" s="67"/>
      <c r="G926" s="67"/>
      <c r="H926" s="67"/>
      <c r="I926" s="187"/>
      <c r="J926" s="186"/>
      <c r="K926" s="187"/>
      <c r="L926" s="186"/>
      <c r="M926" s="67"/>
      <c r="N926" s="67"/>
      <c r="Q926" s="417"/>
      <c r="S926" s="417"/>
      <c r="AA926" s="186"/>
    </row>
    <row r="927">
      <c r="A927" s="185"/>
      <c r="B927" s="67"/>
      <c r="C927" s="67"/>
      <c r="D927" s="67"/>
      <c r="E927" s="186"/>
      <c r="F927" s="67"/>
      <c r="G927" s="67"/>
      <c r="H927" s="67"/>
      <c r="I927" s="187"/>
      <c r="J927" s="186"/>
      <c r="K927" s="187"/>
      <c r="L927" s="186"/>
      <c r="M927" s="67"/>
      <c r="N927" s="67"/>
      <c r="Q927" s="417"/>
      <c r="S927" s="417"/>
      <c r="AA927" s="186"/>
    </row>
    <row r="928">
      <c r="A928" s="185"/>
      <c r="B928" s="67"/>
      <c r="C928" s="67"/>
      <c r="D928" s="67"/>
      <c r="E928" s="186"/>
      <c r="F928" s="67"/>
      <c r="G928" s="67"/>
      <c r="H928" s="67"/>
      <c r="I928" s="187"/>
      <c r="J928" s="186"/>
      <c r="K928" s="187"/>
      <c r="L928" s="186"/>
      <c r="M928" s="67"/>
      <c r="N928" s="67"/>
      <c r="Q928" s="417"/>
      <c r="S928" s="417"/>
      <c r="AA928" s="186"/>
    </row>
    <row r="929">
      <c r="A929" s="185"/>
      <c r="B929" s="67"/>
      <c r="C929" s="67"/>
      <c r="D929" s="67"/>
      <c r="E929" s="186"/>
      <c r="F929" s="67"/>
      <c r="G929" s="67"/>
      <c r="H929" s="67"/>
      <c r="I929" s="187"/>
      <c r="J929" s="186"/>
      <c r="K929" s="187"/>
      <c r="L929" s="186"/>
      <c r="M929" s="67"/>
      <c r="N929" s="67"/>
      <c r="Q929" s="417"/>
      <c r="S929" s="417"/>
      <c r="AA929" s="186"/>
    </row>
    <row r="930">
      <c r="A930" s="185"/>
      <c r="B930" s="67"/>
      <c r="C930" s="67"/>
      <c r="D930" s="67"/>
      <c r="E930" s="186"/>
      <c r="F930" s="67"/>
      <c r="G930" s="67"/>
      <c r="H930" s="67"/>
      <c r="I930" s="187"/>
      <c r="J930" s="186"/>
      <c r="K930" s="187"/>
      <c r="L930" s="186"/>
      <c r="M930" s="67"/>
      <c r="N930" s="67"/>
      <c r="Q930" s="417"/>
      <c r="S930" s="417"/>
      <c r="AA930" s="186"/>
    </row>
    <row r="931">
      <c r="A931" s="185"/>
      <c r="B931" s="67"/>
      <c r="C931" s="67"/>
      <c r="D931" s="67"/>
      <c r="E931" s="186"/>
      <c r="F931" s="67"/>
      <c r="G931" s="67"/>
      <c r="H931" s="67"/>
      <c r="I931" s="187"/>
      <c r="J931" s="186"/>
      <c r="K931" s="187"/>
      <c r="L931" s="186"/>
      <c r="M931" s="67"/>
      <c r="N931" s="67"/>
      <c r="Q931" s="417"/>
      <c r="S931" s="417"/>
      <c r="AA931" s="186"/>
    </row>
    <row r="932">
      <c r="A932" s="185"/>
      <c r="B932" s="67"/>
      <c r="C932" s="67"/>
      <c r="D932" s="67"/>
      <c r="E932" s="186"/>
      <c r="F932" s="67"/>
      <c r="G932" s="67"/>
      <c r="H932" s="67"/>
      <c r="I932" s="187"/>
      <c r="J932" s="186"/>
      <c r="K932" s="187"/>
      <c r="L932" s="186"/>
      <c r="M932" s="67"/>
      <c r="N932" s="67"/>
      <c r="Q932" s="417"/>
      <c r="S932" s="417"/>
      <c r="AA932" s="186"/>
    </row>
    <row r="933">
      <c r="A933" s="185"/>
      <c r="B933" s="67"/>
      <c r="C933" s="67"/>
      <c r="D933" s="67"/>
      <c r="E933" s="186"/>
      <c r="F933" s="67"/>
      <c r="G933" s="67"/>
      <c r="H933" s="67"/>
      <c r="I933" s="187"/>
      <c r="J933" s="186"/>
      <c r="K933" s="187"/>
      <c r="L933" s="186"/>
      <c r="M933" s="67"/>
      <c r="N933" s="67"/>
      <c r="Q933" s="417"/>
      <c r="S933" s="417"/>
      <c r="AA933" s="186"/>
    </row>
    <row r="934">
      <c r="A934" s="185"/>
      <c r="B934" s="67"/>
      <c r="C934" s="67"/>
      <c r="D934" s="67"/>
      <c r="E934" s="186"/>
      <c r="F934" s="67"/>
      <c r="G934" s="67"/>
      <c r="H934" s="67"/>
      <c r="I934" s="187"/>
      <c r="J934" s="186"/>
      <c r="K934" s="187"/>
      <c r="L934" s="186"/>
      <c r="M934" s="67"/>
      <c r="N934" s="67"/>
      <c r="Q934" s="417"/>
      <c r="S934" s="417"/>
      <c r="AA934" s="186"/>
    </row>
    <row r="935">
      <c r="A935" s="185"/>
      <c r="B935" s="67"/>
      <c r="C935" s="67"/>
      <c r="D935" s="67"/>
      <c r="E935" s="186"/>
      <c r="F935" s="67"/>
      <c r="G935" s="67"/>
      <c r="H935" s="67"/>
      <c r="I935" s="187"/>
      <c r="J935" s="186"/>
      <c r="K935" s="187"/>
      <c r="L935" s="186"/>
      <c r="M935" s="67"/>
      <c r="N935" s="67"/>
      <c r="Q935" s="417"/>
      <c r="S935" s="417"/>
      <c r="AA935" s="186"/>
    </row>
    <row r="936">
      <c r="A936" s="185"/>
      <c r="B936" s="67"/>
      <c r="C936" s="67"/>
      <c r="D936" s="67"/>
      <c r="E936" s="186"/>
      <c r="F936" s="67"/>
      <c r="G936" s="67"/>
      <c r="H936" s="67"/>
      <c r="I936" s="187"/>
      <c r="J936" s="186"/>
      <c r="K936" s="187"/>
      <c r="L936" s="186"/>
      <c r="M936" s="67"/>
      <c r="N936" s="67"/>
      <c r="Q936" s="417"/>
      <c r="S936" s="417"/>
      <c r="AA936" s="186"/>
    </row>
    <row r="937">
      <c r="A937" s="185"/>
      <c r="B937" s="67"/>
      <c r="C937" s="67"/>
      <c r="D937" s="67"/>
      <c r="E937" s="186"/>
      <c r="F937" s="67"/>
      <c r="G937" s="67"/>
      <c r="H937" s="67"/>
      <c r="I937" s="187"/>
      <c r="J937" s="186"/>
      <c r="K937" s="187"/>
      <c r="L937" s="186"/>
      <c r="M937" s="67"/>
      <c r="N937" s="67"/>
      <c r="Q937" s="417"/>
      <c r="S937" s="417"/>
      <c r="AA937" s="186"/>
    </row>
    <row r="938">
      <c r="A938" s="185"/>
      <c r="B938" s="67"/>
      <c r="C938" s="67"/>
      <c r="D938" s="67"/>
      <c r="E938" s="186"/>
      <c r="F938" s="67"/>
      <c r="G938" s="67"/>
      <c r="H938" s="67"/>
      <c r="I938" s="187"/>
      <c r="J938" s="186"/>
      <c r="K938" s="187"/>
      <c r="L938" s="186"/>
      <c r="M938" s="67"/>
      <c r="N938" s="67"/>
      <c r="Q938" s="417"/>
      <c r="S938" s="417"/>
      <c r="AA938" s="186"/>
    </row>
    <row r="939">
      <c r="A939" s="185"/>
      <c r="B939" s="67"/>
      <c r="C939" s="67"/>
      <c r="D939" s="67"/>
      <c r="E939" s="186"/>
      <c r="F939" s="67"/>
      <c r="G939" s="67"/>
      <c r="H939" s="67"/>
      <c r="I939" s="187"/>
      <c r="J939" s="186"/>
      <c r="K939" s="187"/>
      <c r="L939" s="186"/>
      <c r="M939" s="67"/>
      <c r="N939" s="67"/>
      <c r="Q939" s="417"/>
      <c r="S939" s="417"/>
      <c r="AA939" s="186"/>
    </row>
    <row r="940">
      <c r="A940" s="185"/>
      <c r="B940" s="67"/>
      <c r="C940" s="67"/>
      <c r="D940" s="67"/>
      <c r="E940" s="186"/>
      <c r="F940" s="67"/>
      <c r="G940" s="67"/>
      <c r="H940" s="67"/>
      <c r="I940" s="187"/>
      <c r="J940" s="186"/>
      <c r="K940" s="187"/>
      <c r="L940" s="186"/>
      <c r="M940" s="67"/>
      <c r="N940" s="67"/>
      <c r="Q940" s="417"/>
      <c r="S940" s="417"/>
      <c r="AA940" s="186"/>
    </row>
    <row r="941">
      <c r="A941" s="185"/>
      <c r="B941" s="67"/>
      <c r="C941" s="67"/>
      <c r="D941" s="67"/>
      <c r="E941" s="186"/>
      <c r="F941" s="67"/>
      <c r="G941" s="67"/>
      <c r="H941" s="67"/>
      <c r="I941" s="187"/>
      <c r="J941" s="186"/>
      <c r="K941" s="187"/>
      <c r="L941" s="186"/>
      <c r="M941" s="67"/>
      <c r="N941" s="67"/>
      <c r="Q941" s="417"/>
      <c r="S941" s="417"/>
      <c r="AA941" s="186"/>
    </row>
    <row r="942">
      <c r="A942" s="185"/>
      <c r="B942" s="67"/>
      <c r="C942" s="67"/>
      <c r="D942" s="67"/>
      <c r="E942" s="186"/>
      <c r="F942" s="67"/>
      <c r="G942" s="67"/>
      <c r="H942" s="67"/>
      <c r="I942" s="187"/>
      <c r="J942" s="186"/>
      <c r="K942" s="187"/>
      <c r="L942" s="186"/>
      <c r="M942" s="67"/>
      <c r="N942" s="67"/>
      <c r="Q942" s="417"/>
      <c r="S942" s="417"/>
      <c r="AA942" s="186"/>
    </row>
    <row r="943">
      <c r="A943" s="185"/>
      <c r="B943" s="67"/>
      <c r="C943" s="67"/>
      <c r="D943" s="67"/>
      <c r="E943" s="186"/>
      <c r="F943" s="67"/>
      <c r="G943" s="67"/>
      <c r="H943" s="67"/>
      <c r="I943" s="187"/>
      <c r="J943" s="186"/>
      <c r="K943" s="187"/>
      <c r="L943" s="186"/>
      <c r="M943" s="67"/>
      <c r="N943" s="67"/>
      <c r="Q943" s="417"/>
      <c r="S943" s="417"/>
      <c r="AA943" s="186"/>
    </row>
    <row r="944">
      <c r="A944" s="185"/>
      <c r="B944" s="67"/>
      <c r="C944" s="67"/>
      <c r="D944" s="67"/>
      <c r="E944" s="186"/>
      <c r="F944" s="67"/>
      <c r="G944" s="67"/>
      <c r="H944" s="67"/>
      <c r="I944" s="187"/>
      <c r="J944" s="186"/>
      <c r="K944" s="187"/>
      <c r="L944" s="186"/>
      <c r="M944" s="67"/>
      <c r="N944" s="67"/>
      <c r="Q944" s="417"/>
      <c r="S944" s="417"/>
      <c r="AA944" s="186"/>
    </row>
    <row r="945">
      <c r="A945" s="185"/>
      <c r="B945" s="67"/>
      <c r="C945" s="67"/>
      <c r="D945" s="67"/>
      <c r="E945" s="186"/>
      <c r="F945" s="67"/>
      <c r="G945" s="67"/>
      <c r="H945" s="67"/>
      <c r="I945" s="187"/>
      <c r="J945" s="186"/>
      <c r="K945" s="187"/>
      <c r="L945" s="186"/>
      <c r="M945" s="67"/>
      <c r="N945" s="67"/>
      <c r="Q945" s="417"/>
      <c r="S945" s="417"/>
      <c r="AA945" s="186"/>
    </row>
    <row r="946">
      <c r="A946" s="185"/>
      <c r="B946" s="67"/>
      <c r="C946" s="67"/>
      <c r="D946" s="67"/>
      <c r="E946" s="186"/>
      <c r="F946" s="67"/>
      <c r="G946" s="67"/>
      <c r="H946" s="67"/>
      <c r="I946" s="187"/>
      <c r="J946" s="186"/>
      <c r="K946" s="187"/>
      <c r="L946" s="186"/>
      <c r="M946" s="67"/>
      <c r="N946" s="67"/>
      <c r="Q946" s="417"/>
      <c r="S946" s="417"/>
      <c r="AA946" s="186"/>
    </row>
    <row r="947">
      <c r="A947" s="185"/>
      <c r="B947" s="67"/>
      <c r="C947" s="67"/>
      <c r="D947" s="67"/>
      <c r="E947" s="186"/>
      <c r="F947" s="67"/>
      <c r="G947" s="67"/>
      <c r="H947" s="67"/>
      <c r="I947" s="187"/>
      <c r="J947" s="186"/>
      <c r="K947" s="187"/>
      <c r="L947" s="186"/>
      <c r="M947" s="67"/>
      <c r="N947" s="67"/>
      <c r="Q947" s="417"/>
      <c r="S947" s="417"/>
      <c r="AA947" s="186"/>
    </row>
    <row r="948">
      <c r="A948" s="185"/>
      <c r="B948" s="67"/>
      <c r="C948" s="67"/>
      <c r="D948" s="67"/>
      <c r="E948" s="186"/>
      <c r="F948" s="67"/>
      <c r="G948" s="67"/>
      <c r="H948" s="67"/>
      <c r="I948" s="187"/>
      <c r="J948" s="186"/>
      <c r="K948" s="187"/>
      <c r="L948" s="186"/>
      <c r="M948" s="67"/>
      <c r="N948" s="67"/>
      <c r="Q948" s="417"/>
      <c r="S948" s="417"/>
      <c r="AA948" s="186"/>
    </row>
    <row r="949">
      <c r="A949" s="185"/>
      <c r="B949" s="67"/>
      <c r="C949" s="67"/>
      <c r="D949" s="67"/>
      <c r="E949" s="186"/>
      <c r="F949" s="67"/>
      <c r="G949" s="67"/>
      <c r="H949" s="67"/>
      <c r="I949" s="187"/>
      <c r="J949" s="186"/>
      <c r="K949" s="187"/>
      <c r="L949" s="186"/>
      <c r="M949" s="67"/>
      <c r="N949" s="67"/>
      <c r="Q949" s="417"/>
      <c r="S949" s="417"/>
      <c r="AA949" s="186"/>
    </row>
    <row r="950">
      <c r="A950" s="185"/>
      <c r="B950" s="67"/>
      <c r="C950" s="67"/>
      <c r="D950" s="67"/>
      <c r="E950" s="186"/>
      <c r="F950" s="67"/>
      <c r="G950" s="67"/>
      <c r="H950" s="67"/>
      <c r="I950" s="187"/>
      <c r="J950" s="186"/>
      <c r="K950" s="187"/>
      <c r="L950" s="186"/>
      <c r="M950" s="67"/>
      <c r="N950" s="67"/>
      <c r="Q950" s="417"/>
      <c r="S950" s="417"/>
      <c r="AA950" s="186"/>
    </row>
    <row r="951">
      <c r="A951" s="185"/>
      <c r="B951" s="67"/>
      <c r="C951" s="67"/>
      <c r="D951" s="67"/>
      <c r="E951" s="186"/>
      <c r="F951" s="67"/>
      <c r="G951" s="67"/>
      <c r="H951" s="67"/>
      <c r="I951" s="187"/>
      <c r="J951" s="186"/>
      <c r="K951" s="187"/>
      <c r="L951" s="186"/>
      <c r="M951" s="67"/>
      <c r="N951" s="67"/>
      <c r="Q951" s="417"/>
      <c r="S951" s="417"/>
      <c r="AA951" s="186"/>
    </row>
    <row r="952">
      <c r="A952" s="185"/>
      <c r="B952" s="67"/>
      <c r="C952" s="67"/>
      <c r="D952" s="67"/>
      <c r="E952" s="186"/>
      <c r="F952" s="67"/>
      <c r="G952" s="67"/>
      <c r="H952" s="67"/>
      <c r="I952" s="187"/>
      <c r="J952" s="186"/>
      <c r="K952" s="187"/>
      <c r="L952" s="186"/>
      <c r="M952" s="67"/>
      <c r="N952" s="67"/>
      <c r="Q952" s="417"/>
      <c r="S952" s="417"/>
      <c r="AA952" s="186"/>
    </row>
    <row r="953">
      <c r="A953" s="185"/>
      <c r="B953" s="67"/>
      <c r="C953" s="67"/>
      <c r="D953" s="67"/>
      <c r="E953" s="186"/>
      <c r="F953" s="67"/>
      <c r="G953" s="67"/>
      <c r="H953" s="67"/>
      <c r="I953" s="187"/>
      <c r="J953" s="186"/>
      <c r="K953" s="187"/>
      <c r="L953" s="186"/>
      <c r="M953" s="67"/>
      <c r="N953" s="67"/>
      <c r="Q953" s="417"/>
      <c r="S953" s="417"/>
      <c r="AA953" s="186"/>
    </row>
    <row r="954">
      <c r="A954" s="185"/>
      <c r="B954" s="67"/>
      <c r="C954" s="67"/>
      <c r="D954" s="67"/>
      <c r="E954" s="186"/>
      <c r="F954" s="67"/>
      <c r="G954" s="67"/>
      <c r="H954" s="67"/>
      <c r="I954" s="187"/>
      <c r="J954" s="186"/>
      <c r="K954" s="187"/>
      <c r="L954" s="186"/>
      <c r="M954" s="67"/>
      <c r="N954" s="67"/>
      <c r="Q954" s="417"/>
      <c r="S954" s="417"/>
      <c r="AA954" s="186"/>
    </row>
    <row r="955">
      <c r="A955" s="185"/>
      <c r="B955" s="67"/>
      <c r="C955" s="67"/>
      <c r="D955" s="67"/>
      <c r="E955" s="186"/>
      <c r="F955" s="67"/>
      <c r="G955" s="67"/>
      <c r="H955" s="67"/>
      <c r="I955" s="187"/>
      <c r="J955" s="186"/>
      <c r="K955" s="187"/>
      <c r="L955" s="186"/>
      <c r="M955" s="67"/>
      <c r="N955" s="67"/>
      <c r="Q955" s="417"/>
      <c r="S955" s="417"/>
      <c r="AA955" s="186"/>
    </row>
    <row r="956">
      <c r="A956" s="185"/>
      <c r="B956" s="67"/>
      <c r="C956" s="67"/>
      <c r="D956" s="67"/>
      <c r="E956" s="186"/>
      <c r="F956" s="67"/>
      <c r="G956" s="67"/>
      <c r="H956" s="67"/>
      <c r="I956" s="187"/>
      <c r="J956" s="186"/>
      <c r="K956" s="187"/>
      <c r="L956" s="186"/>
      <c r="M956" s="67"/>
      <c r="N956" s="67"/>
      <c r="Q956" s="417"/>
      <c r="S956" s="417"/>
      <c r="AA956" s="186"/>
    </row>
    <row r="957">
      <c r="A957" s="185"/>
      <c r="B957" s="67"/>
      <c r="C957" s="67"/>
      <c r="D957" s="67"/>
      <c r="E957" s="186"/>
      <c r="F957" s="67"/>
      <c r="G957" s="67"/>
      <c r="H957" s="67"/>
      <c r="I957" s="187"/>
      <c r="J957" s="186"/>
      <c r="K957" s="187"/>
      <c r="L957" s="186"/>
      <c r="M957" s="67"/>
      <c r="N957" s="67"/>
      <c r="Q957" s="417"/>
      <c r="S957" s="417"/>
      <c r="AA957" s="186"/>
    </row>
    <row r="958">
      <c r="A958" s="185"/>
      <c r="B958" s="67"/>
      <c r="C958" s="67"/>
      <c r="D958" s="67"/>
      <c r="E958" s="186"/>
      <c r="F958" s="67"/>
      <c r="G958" s="67"/>
      <c r="H958" s="67"/>
      <c r="I958" s="187"/>
      <c r="J958" s="186"/>
      <c r="K958" s="187"/>
      <c r="L958" s="186"/>
      <c r="M958" s="67"/>
      <c r="N958" s="67"/>
      <c r="Q958" s="417"/>
      <c r="S958" s="417"/>
      <c r="AA958" s="186"/>
    </row>
    <row r="959">
      <c r="A959" s="185"/>
      <c r="B959" s="67"/>
      <c r="C959" s="67"/>
      <c r="D959" s="67"/>
      <c r="E959" s="186"/>
      <c r="F959" s="67"/>
      <c r="G959" s="67"/>
      <c r="H959" s="67"/>
      <c r="I959" s="187"/>
      <c r="J959" s="186"/>
      <c r="K959" s="187"/>
      <c r="L959" s="186"/>
      <c r="M959" s="67"/>
      <c r="N959" s="67"/>
      <c r="Q959" s="417"/>
      <c r="S959" s="417"/>
      <c r="AA959" s="186"/>
    </row>
    <row r="960">
      <c r="A960" s="185"/>
      <c r="B960" s="67"/>
      <c r="C960" s="67"/>
      <c r="D960" s="67"/>
      <c r="E960" s="186"/>
      <c r="F960" s="67"/>
      <c r="G960" s="67"/>
      <c r="H960" s="67"/>
      <c r="I960" s="187"/>
      <c r="J960" s="186"/>
      <c r="K960" s="187"/>
      <c r="L960" s="186"/>
      <c r="M960" s="67"/>
      <c r="N960" s="67"/>
      <c r="Q960" s="417"/>
      <c r="S960" s="417"/>
      <c r="AA960" s="186"/>
    </row>
    <row r="961">
      <c r="A961" s="185"/>
      <c r="B961" s="67"/>
      <c r="C961" s="67"/>
      <c r="D961" s="67"/>
      <c r="E961" s="186"/>
      <c r="F961" s="67"/>
      <c r="G961" s="67"/>
      <c r="H961" s="67"/>
      <c r="I961" s="187"/>
      <c r="J961" s="186"/>
      <c r="K961" s="187"/>
      <c r="L961" s="186"/>
      <c r="M961" s="67"/>
      <c r="N961" s="67"/>
      <c r="Q961" s="417"/>
      <c r="S961" s="417"/>
      <c r="AA961" s="186"/>
    </row>
    <row r="962">
      <c r="A962" s="185"/>
      <c r="B962" s="67"/>
      <c r="C962" s="67"/>
      <c r="D962" s="67"/>
      <c r="E962" s="186"/>
      <c r="F962" s="67"/>
      <c r="G962" s="67"/>
      <c r="H962" s="67"/>
      <c r="I962" s="187"/>
      <c r="J962" s="186"/>
      <c r="K962" s="187"/>
      <c r="L962" s="186"/>
      <c r="M962" s="67"/>
      <c r="N962" s="67"/>
      <c r="Q962" s="417"/>
      <c r="S962" s="417"/>
      <c r="AA962" s="186"/>
    </row>
    <row r="963">
      <c r="A963" s="185"/>
      <c r="B963" s="67"/>
      <c r="C963" s="67"/>
      <c r="D963" s="67"/>
      <c r="E963" s="186"/>
      <c r="F963" s="67"/>
      <c r="G963" s="67"/>
      <c r="H963" s="67"/>
      <c r="I963" s="187"/>
      <c r="J963" s="186"/>
      <c r="K963" s="187"/>
      <c r="L963" s="186"/>
      <c r="M963" s="67"/>
      <c r="N963" s="67"/>
      <c r="Q963" s="417"/>
      <c r="S963" s="417"/>
      <c r="AA963" s="186"/>
    </row>
    <row r="964">
      <c r="A964" s="185"/>
      <c r="B964" s="67"/>
      <c r="C964" s="67"/>
      <c r="D964" s="67"/>
      <c r="E964" s="186"/>
      <c r="F964" s="67"/>
      <c r="G964" s="67"/>
      <c r="H964" s="67"/>
      <c r="I964" s="187"/>
      <c r="J964" s="186"/>
      <c r="K964" s="187"/>
      <c r="L964" s="186"/>
      <c r="M964" s="67"/>
      <c r="N964" s="67"/>
      <c r="Q964" s="417"/>
      <c r="S964" s="417"/>
      <c r="AA964" s="186"/>
    </row>
    <row r="965">
      <c r="A965" s="185"/>
      <c r="B965" s="67"/>
      <c r="C965" s="67"/>
      <c r="D965" s="67"/>
      <c r="E965" s="186"/>
      <c r="F965" s="67"/>
      <c r="G965" s="67"/>
      <c r="H965" s="67"/>
      <c r="I965" s="187"/>
      <c r="J965" s="186"/>
      <c r="K965" s="187"/>
      <c r="L965" s="186"/>
      <c r="M965" s="67"/>
      <c r="N965" s="67"/>
      <c r="Q965" s="417"/>
      <c r="S965" s="417"/>
      <c r="AA965" s="186"/>
    </row>
    <row r="966">
      <c r="A966" s="185"/>
      <c r="B966" s="67"/>
      <c r="C966" s="67"/>
      <c r="D966" s="67"/>
      <c r="E966" s="186"/>
      <c r="F966" s="67"/>
      <c r="G966" s="67"/>
      <c r="H966" s="67"/>
      <c r="I966" s="187"/>
      <c r="J966" s="186"/>
      <c r="K966" s="187"/>
      <c r="L966" s="186"/>
      <c r="M966" s="67"/>
      <c r="N966" s="67"/>
      <c r="Q966" s="417"/>
      <c r="S966" s="417"/>
      <c r="AA966" s="186"/>
    </row>
    <row r="967">
      <c r="A967" s="185"/>
      <c r="B967" s="67"/>
      <c r="C967" s="67"/>
      <c r="D967" s="67"/>
      <c r="E967" s="186"/>
      <c r="F967" s="67"/>
      <c r="G967" s="67"/>
      <c r="H967" s="67"/>
      <c r="I967" s="187"/>
      <c r="J967" s="186"/>
      <c r="K967" s="187"/>
      <c r="L967" s="186"/>
      <c r="M967" s="67"/>
      <c r="N967" s="67"/>
      <c r="Q967" s="417"/>
      <c r="S967" s="417"/>
      <c r="AA967" s="186"/>
    </row>
    <row r="968">
      <c r="A968" s="185"/>
      <c r="B968" s="67"/>
      <c r="C968" s="67"/>
      <c r="D968" s="67"/>
      <c r="E968" s="186"/>
      <c r="F968" s="67"/>
      <c r="G968" s="67"/>
      <c r="H968" s="67"/>
      <c r="I968" s="187"/>
      <c r="J968" s="186"/>
      <c r="K968" s="187"/>
      <c r="L968" s="186"/>
      <c r="M968" s="67"/>
      <c r="N968" s="67"/>
      <c r="Q968" s="417"/>
      <c r="S968" s="417"/>
      <c r="AA968" s="186"/>
    </row>
    <row r="969">
      <c r="A969" s="185"/>
      <c r="B969" s="67"/>
      <c r="C969" s="67"/>
      <c r="D969" s="67"/>
      <c r="E969" s="186"/>
      <c r="F969" s="67"/>
      <c r="G969" s="67"/>
      <c r="H969" s="67"/>
      <c r="I969" s="187"/>
      <c r="J969" s="186"/>
      <c r="K969" s="187"/>
      <c r="L969" s="186"/>
      <c r="M969" s="67"/>
      <c r="N969" s="67"/>
      <c r="Q969" s="417"/>
      <c r="S969" s="417"/>
      <c r="AA969" s="186"/>
    </row>
    <row r="970">
      <c r="A970" s="185"/>
      <c r="B970" s="67"/>
      <c r="C970" s="67"/>
      <c r="D970" s="67"/>
      <c r="E970" s="186"/>
      <c r="F970" s="67"/>
      <c r="G970" s="67"/>
      <c r="H970" s="67"/>
      <c r="I970" s="187"/>
      <c r="J970" s="186"/>
      <c r="K970" s="187"/>
      <c r="L970" s="186"/>
      <c r="M970" s="67"/>
      <c r="N970" s="67"/>
      <c r="Q970" s="417"/>
      <c r="S970" s="417"/>
      <c r="AA970" s="186"/>
    </row>
    <row r="971">
      <c r="A971" s="185"/>
      <c r="B971" s="67"/>
      <c r="C971" s="67"/>
      <c r="D971" s="67"/>
      <c r="E971" s="186"/>
      <c r="F971" s="67"/>
      <c r="G971" s="67"/>
      <c r="H971" s="67"/>
      <c r="I971" s="187"/>
      <c r="J971" s="186"/>
      <c r="K971" s="187"/>
      <c r="L971" s="186"/>
      <c r="M971" s="67"/>
      <c r="N971" s="67"/>
      <c r="Q971" s="417"/>
      <c r="S971" s="417"/>
      <c r="AA971" s="186"/>
    </row>
    <row r="972">
      <c r="A972" s="185"/>
      <c r="B972" s="67"/>
      <c r="C972" s="67"/>
      <c r="D972" s="67"/>
      <c r="E972" s="186"/>
      <c r="F972" s="67"/>
      <c r="G972" s="67"/>
      <c r="H972" s="67"/>
      <c r="I972" s="187"/>
      <c r="J972" s="186"/>
      <c r="K972" s="187"/>
      <c r="L972" s="186"/>
      <c r="M972" s="67"/>
      <c r="N972" s="67"/>
      <c r="Q972" s="417"/>
      <c r="S972" s="417"/>
      <c r="AA972" s="186"/>
    </row>
    <row r="973">
      <c r="A973" s="185"/>
      <c r="B973" s="67"/>
      <c r="C973" s="67"/>
      <c r="D973" s="67"/>
      <c r="E973" s="186"/>
      <c r="F973" s="67"/>
      <c r="G973" s="67"/>
      <c r="H973" s="67"/>
      <c r="I973" s="187"/>
      <c r="J973" s="186"/>
      <c r="K973" s="187"/>
      <c r="L973" s="186"/>
      <c r="M973" s="67"/>
      <c r="N973" s="67"/>
      <c r="Q973" s="417"/>
      <c r="S973" s="417"/>
      <c r="AA973" s="186"/>
    </row>
    <row r="974">
      <c r="A974" s="185"/>
      <c r="B974" s="67"/>
      <c r="C974" s="67"/>
      <c r="D974" s="67"/>
      <c r="E974" s="186"/>
      <c r="F974" s="67"/>
      <c r="G974" s="67"/>
      <c r="H974" s="67"/>
      <c r="I974" s="187"/>
      <c r="J974" s="186"/>
      <c r="K974" s="187"/>
      <c r="L974" s="186"/>
      <c r="M974" s="67"/>
      <c r="N974" s="67"/>
      <c r="Q974" s="417"/>
      <c r="S974" s="417"/>
      <c r="AA974" s="186"/>
    </row>
    <row r="975">
      <c r="A975" s="185"/>
      <c r="B975" s="67"/>
      <c r="C975" s="67"/>
      <c r="D975" s="67"/>
      <c r="E975" s="186"/>
      <c r="F975" s="67"/>
      <c r="G975" s="67"/>
      <c r="H975" s="67"/>
      <c r="I975" s="187"/>
      <c r="J975" s="186"/>
      <c r="K975" s="187"/>
      <c r="L975" s="186"/>
      <c r="M975" s="67"/>
      <c r="N975" s="67"/>
      <c r="Q975" s="417"/>
      <c r="S975" s="417"/>
      <c r="AA975" s="186"/>
    </row>
    <row r="976">
      <c r="A976" s="185"/>
      <c r="B976" s="67"/>
      <c r="C976" s="67"/>
      <c r="D976" s="67"/>
      <c r="E976" s="186"/>
      <c r="F976" s="67"/>
      <c r="G976" s="67"/>
      <c r="H976" s="67"/>
      <c r="I976" s="187"/>
      <c r="J976" s="186"/>
      <c r="K976" s="187"/>
      <c r="L976" s="186"/>
      <c r="M976" s="67"/>
      <c r="N976" s="67"/>
      <c r="Q976" s="417"/>
      <c r="S976" s="417"/>
      <c r="AA976" s="186"/>
    </row>
    <row r="977">
      <c r="A977" s="185"/>
      <c r="B977" s="67"/>
      <c r="C977" s="67"/>
      <c r="D977" s="67"/>
      <c r="E977" s="186"/>
      <c r="F977" s="67"/>
      <c r="G977" s="67"/>
      <c r="H977" s="67"/>
      <c r="I977" s="187"/>
      <c r="J977" s="186"/>
      <c r="K977" s="187"/>
      <c r="L977" s="186"/>
      <c r="M977" s="67"/>
      <c r="N977" s="67"/>
      <c r="Q977" s="417"/>
      <c r="S977" s="417"/>
      <c r="AA977" s="186"/>
    </row>
    <row r="978">
      <c r="A978" s="185"/>
      <c r="B978" s="67"/>
      <c r="C978" s="67"/>
      <c r="D978" s="67"/>
      <c r="E978" s="186"/>
      <c r="F978" s="67"/>
      <c r="G978" s="67"/>
      <c r="H978" s="67"/>
      <c r="I978" s="187"/>
      <c r="J978" s="186"/>
      <c r="K978" s="187"/>
      <c r="L978" s="186"/>
      <c r="M978" s="67"/>
      <c r="N978" s="67"/>
      <c r="Q978" s="417"/>
      <c r="S978" s="417"/>
      <c r="AA978" s="186"/>
    </row>
    <row r="979">
      <c r="A979" s="185"/>
      <c r="B979" s="67"/>
      <c r="C979" s="67"/>
      <c r="D979" s="67"/>
      <c r="E979" s="186"/>
      <c r="F979" s="67"/>
      <c r="G979" s="67"/>
      <c r="H979" s="67"/>
      <c r="I979" s="187"/>
      <c r="J979" s="186"/>
      <c r="K979" s="187"/>
      <c r="L979" s="186"/>
      <c r="M979" s="67"/>
      <c r="N979" s="67"/>
      <c r="Q979" s="417"/>
      <c r="S979" s="417"/>
      <c r="AA979" s="186"/>
    </row>
    <row r="980">
      <c r="A980" s="185"/>
      <c r="B980" s="67"/>
      <c r="C980" s="67"/>
      <c r="D980" s="67"/>
      <c r="E980" s="186"/>
      <c r="F980" s="67"/>
      <c r="G980" s="67"/>
      <c r="H980" s="67"/>
      <c r="I980" s="187"/>
      <c r="J980" s="186"/>
      <c r="K980" s="187"/>
      <c r="L980" s="186"/>
      <c r="M980" s="67"/>
      <c r="N980" s="67"/>
      <c r="Q980" s="417"/>
      <c r="S980" s="417"/>
      <c r="AA980" s="186"/>
    </row>
    <row r="981">
      <c r="A981" s="185"/>
      <c r="B981" s="67"/>
      <c r="C981" s="67"/>
      <c r="D981" s="67"/>
      <c r="E981" s="186"/>
      <c r="F981" s="67"/>
      <c r="G981" s="67"/>
      <c r="H981" s="67"/>
      <c r="I981" s="187"/>
      <c r="J981" s="186"/>
      <c r="K981" s="187"/>
      <c r="L981" s="186"/>
      <c r="M981" s="67"/>
      <c r="N981" s="67"/>
      <c r="Q981" s="417"/>
      <c r="S981" s="417"/>
      <c r="AA981" s="186"/>
    </row>
    <row r="982">
      <c r="A982" s="185"/>
      <c r="B982" s="67"/>
      <c r="C982" s="67"/>
      <c r="D982" s="67"/>
      <c r="E982" s="186"/>
      <c r="F982" s="67"/>
      <c r="G982" s="67"/>
      <c r="H982" s="67"/>
      <c r="I982" s="187"/>
      <c r="J982" s="186"/>
      <c r="K982" s="187"/>
      <c r="L982" s="186"/>
      <c r="M982" s="67"/>
      <c r="N982" s="67"/>
      <c r="Q982" s="417"/>
      <c r="S982" s="417"/>
      <c r="AA982" s="186"/>
    </row>
    <row r="983">
      <c r="A983" s="185"/>
      <c r="B983" s="67"/>
      <c r="C983" s="67"/>
      <c r="D983" s="67"/>
      <c r="E983" s="186"/>
      <c r="F983" s="67"/>
      <c r="G983" s="67"/>
      <c r="H983" s="67"/>
      <c r="I983" s="187"/>
      <c r="J983" s="186"/>
      <c r="K983" s="187"/>
      <c r="L983" s="186"/>
      <c r="M983" s="67"/>
      <c r="N983" s="67"/>
      <c r="Q983" s="417"/>
      <c r="S983" s="417"/>
      <c r="AA983" s="186"/>
    </row>
    <row r="984">
      <c r="A984" s="185"/>
      <c r="B984" s="67"/>
      <c r="C984" s="67"/>
      <c r="D984" s="67"/>
      <c r="E984" s="186"/>
      <c r="F984" s="67"/>
      <c r="G984" s="67"/>
      <c r="H984" s="67"/>
      <c r="I984" s="187"/>
      <c r="J984" s="186"/>
      <c r="K984" s="187"/>
      <c r="L984" s="186"/>
      <c r="M984" s="67"/>
      <c r="N984" s="67"/>
      <c r="Q984" s="417"/>
      <c r="S984" s="417"/>
      <c r="AA984" s="186"/>
    </row>
    <row r="985">
      <c r="A985" s="185"/>
      <c r="B985" s="67"/>
      <c r="C985" s="67"/>
      <c r="D985" s="67"/>
      <c r="E985" s="186"/>
      <c r="F985" s="67"/>
      <c r="G985" s="67"/>
      <c r="H985" s="67"/>
      <c r="I985" s="187"/>
      <c r="J985" s="186"/>
      <c r="K985" s="187"/>
      <c r="L985" s="186"/>
      <c r="M985" s="67"/>
      <c r="N985" s="67"/>
      <c r="Q985" s="417"/>
      <c r="S985" s="417"/>
      <c r="AA985" s="186"/>
    </row>
    <row r="986">
      <c r="A986" s="185"/>
      <c r="B986" s="67"/>
      <c r="C986" s="67"/>
      <c r="D986" s="67"/>
      <c r="E986" s="186"/>
      <c r="F986" s="67"/>
      <c r="G986" s="67"/>
      <c r="H986" s="67"/>
      <c r="I986" s="187"/>
      <c r="J986" s="186"/>
      <c r="K986" s="187"/>
      <c r="L986" s="186"/>
      <c r="M986" s="67"/>
      <c r="N986" s="67"/>
      <c r="Q986" s="417"/>
      <c r="S986" s="417"/>
      <c r="AA986" s="186"/>
    </row>
    <row r="987">
      <c r="A987" s="185"/>
      <c r="B987" s="67"/>
      <c r="C987" s="67"/>
      <c r="D987" s="67"/>
      <c r="E987" s="186"/>
      <c r="F987" s="67"/>
      <c r="G987" s="67"/>
      <c r="H987" s="67"/>
      <c r="I987" s="187"/>
      <c r="J987" s="186"/>
      <c r="K987" s="187"/>
      <c r="L987" s="186"/>
      <c r="M987" s="67"/>
      <c r="N987" s="67"/>
      <c r="Q987" s="417"/>
      <c r="S987" s="417"/>
      <c r="AA987" s="186"/>
    </row>
    <row r="988">
      <c r="A988" s="185"/>
      <c r="B988" s="67"/>
      <c r="C988" s="67"/>
      <c r="D988" s="67"/>
      <c r="E988" s="186"/>
      <c r="F988" s="67"/>
      <c r="G988" s="67"/>
      <c r="H988" s="67"/>
      <c r="I988" s="187"/>
      <c r="J988" s="186"/>
      <c r="K988" s="187"/>
      <c r="L988" s="186"/>
      <c r="M988" s="67"/>
      <c r="N988" s="67"/>
      <c r="Q988" s="417"/>
      <c r="S988" s="417"/>
      <c r="AA988" s="186"/>
    </row>
    <row r="989">
      <c r="A989" s="185"/>
      <c r="B989" s="67"/>
      <c r="C989" s="67"/>
      <c r="D989" s="67"/>
      <c r="E989" s="186"/>
      <c r="F989" s="67"/>
      <c r="G989" s="67"/>
      <c r="H989" s="67"/>
      <c r="I989" s="187"/>
      <c r="J989" s="186"/>
      <c r="K989" s="187"/>
      <c r="L989" s="186"/>
      <c r="M989" s="67"/>
      <c r="N989" s="67"/>
      <c r="Q989" s="417"/>
      <c r="S989" s="417"/>
      <c r="AA989" s="186"/>
    </row>
    <row r="990">
      <c r="A990" s="185"/>
      <c r="B990" s="67"/>
      <c r="C990" s="67"/>
      <c r="D990" s="67"/>
      <c r="E990" s="186"/>
      <c r="F990" s="67"/>
      <c r="G990" s="67"/>
      <c r="H990" s="67"/>
      <c r="I990" s="187"/>
      <c r="J990" s="186"/>
      <c r="K990" s="187"/>
      <c r="L990" s="186"/>
      <c r="M990" s="67"/>
      <c r="N990" s="67"/>
      <c r="Q990" s="417"/>
      <c r="S990" s="417"/>
      <c r="AA990" s="186"/>
    </row>
    <row r="991">
      <c r="A991" s="185"/>
      <c r="B991" s="67"/>
      <c r="C991" s="67"/>
      <c r="D991" s="67"/>
      <c r="E991" s="186"/>
      <c r="F991" s="67"/>
      <c r="G991" s="67"/>
      <c r="H991" s="67"/>
      <c r="I991" s="187"/>
      <c r="J991" s="186"/>
      <c r="K991" s="187"/>
      <c r="L991" s="186"/>
      <c r="M991" s="67"/>
      <c r="N991" s="67"/>
      <c r="Q991" s="417"/>
      <c r="S991" s="417"/>
      <c r="AA991" s="186"/>
    </row>
    <row r="992">
      <c r="A992" s="185"/>
      <c r="B992" s="67"/>
      <c r="C992" s="67"/>
      <c r="D992" s="67"/>
      <c r="E992" s="186"/>
      <c r="F992" s="67"/>
      <c r="G992" s="67"/>
      <c r="H992" s="67"/>
      <c r="I992" s="187"/>
      <c r="J992" s="186"/>
      <c r="K992" s="187"/>
      <c r="L992" s="186"/>
      <c r="M992" s="67"/>
      <c r="N992" s="67"/>
      <c r="Q992" s="417"/>
      <c r="S992" s="417"/>
      <c r="AA992" s="186"/>
    </row>
    <row r="993">
      <c r="A993" s="185"/>
      <c r="B993" s="67"/>
      <c r="C993" s="67"/>
      <c r="D993" s="67"/>
      <c r="E993" s="186"/>
      <c r="F993" s="67"/>
      <c r="G993" s="67"/>
      <c r="H993" s="67"/>
      <c r="I993" s="187"/>
      <c r="J993" s="186"/>
      <c r="K993" s="187"/>
      <c r="L993" s="186"/>
      <c r="M993" s="67"/>
      <c r="N993" s="67"/>
      <c r="Q993" s="417"/>
      <c r="S993" s="417"/>
      <c r="AA993" s="186"/>
    </row>
    <row r="994">
      <c r="A994" s="185"/>
      <c r="B994" s="67"/>
      <c r="C994" s="67"/>
      <c r="D994" s="67"/>
      <c r="E994" s="186"/>
      <c r="F994" s="67"/>
      <c r="G994" s="67"/>
      <c r="H994" s="67"/>
      <c r="I994" s="187"/>
      <c r="J994" s="186"/>
      <c r="K994" s="187"/>
      <c r="L994" s="186"/>
      <c r="M994" s="67"/>
      <c r="N994" s="67"/>
      <c r="Q994" s="417"/>
      <c r="S994" s="417"/>
      <c r="AA994" s="186"/>
    </row>
    <row r="995">
      <c r="A995" s="185"/>
      <c r="B995" s="67"/>
      <c r="C995" s="67"/>
      <c r="D995" s="67"/>
      <c r="E995" s="186"/>
      <c r="F995" s="67"/>
      <c r="G995" s="67"/>
      <c r="H995" s="67"/>
      <c r="I995" s="187"/>
      <c r="J995" s="186"/>
      <c r="K995" s="187"/>
      <c r="L995" s="186"/>
      <c r="M995" s="67"/>
      <c r="N995" s="67"/>
      <c r="Q995" s="417"/>
      <c r="S995" s="417"/>
      <c r="AA995" s="186"/>
    </row>
    <row r="996">
      <c r="A996" s="185"/>
      <c r="B996" s="67"/>
      <c r="C996" s="67"/>
      <c r="D996" s="67"/>
      <c r="E996" s="186"/>
      <c r="F996" s="67"/>
      <c r="G996" s="67"/>
      <c r="H996" s="67"/>
      <c r="I996" s="187"/>
      <c r="J996" s="186"/>
      <c r="K996" s="187"/>
      <c r="L996" s="186"/>
      <c r="M996" s="67"/>
      <c r="N996" s="67"/>
      <c r="Q996" s="417"/>
      <c r="S996" s="417"/>
      <c r="AA996" s="186"/>
    </row>
    <row r="997">
      <c r="A997" s="185"/>
      <c r="B997" s="67"/>
      <c r="C997" s="67"/>
      <c r="D997" s="67"/>
      <c r="E997" s="186"/>
      <c r="F997" s="67"/>
      <c r="G997" s="67"/>
      <c r="H997" s="67"/>
      <c r="I997" s="187"/>
      <c r="J997" s="186"/>
      <c r="K997" s="187"/>
      <c r="L997" s="186"/>
      <c r="M997" s="67"/>
      <c r="N997" s="67"/>
      <c r="Q997" s="417"/>
      <c r="S997" s="417"/>
      <c r="AA997" s="186"/>
    </row>
    <row r="998">
      <c r="A998" s="185"/>
      <c r="B998" s="67"/>
      <c r="C998" s="67"/>
      <c r="D998" s="67"/>
      <c r="E998" s="186"/>
      <c r="F998" s="67"/>
      <c r="G998" s="67"/>
      <c r="H998" s="67"/>
      <c r="I998" s="187"/>
      <c r="J998" s="186"/>
      <c r="K998" s="187"/>
      <c r="L998" s="186"/>
      <c r="M998" s="67"/>
      <c r="N998" s="67"/>
      <c r="Q998" s="417"/>
      <c r="S998" s="417"/>
      <c r="AA998" s="186"/>
    </row>
    <row r="999">
      <c r="A999" s="185"/>
      <c r="B999" s="67"/>
      <c r="C999" s="67"/>
      <c r="D999" s="67"/>
      <c r="E999" s="186"/>
      <c r="F999" s="67"/>
      <c r="G999" s="67"/>
      <c r="H999" s="67"/>
      <c r="I999" s="187"/>
      <c r="J999" s="186"/>
      <c r="K999" s="187"/>
      <c r="L999" s="186"/>
      <c r="M999" s="67"/>
      <c r="N999" s="67"/>
      <c r="Q999" s="417"/>
      <c r="S999" s="417"/>
      <c r="AA999" s="186"/>
    </row>
    <row r="1000">
      <c r="A1000" s="185"/>
      <c r="B1000" s="67"/>
      <c r="C1000" s="67"/>
      <c r="D1000" s="67"/>
      <c r="E1000" s="186"/>
      <c r="F1000" s="67"/>
      <c r="G1000" s="67"/>
      <c r="H1000" s="67"/>
      <c r="I1000" s="187"/>
      <c r="J1000" s="186"/>
      <c r="K1000" s="187"/>
      <c r="L1000" s="186"/>
      <c r="M1000" s="67"/>
      <c r="N1000" s="67"/>
      <c r="Q1000" s="417"/>
      <c r="S1000" s="417"/>
      <c r="AA1000" s="186"/>
    </row>
    <row r="1001">
      <c r="A1001" s="185"/>
      <c r="B1001" s="67"/>
      <c r="C1001" s="67"/>
      <c r="D1001" s="67"/>
      <c r="E1001" s="186"/>
      <c r="F1001" s="67"/>
      <c r="G1001" s="67"/>
      <c r="H1001" s="67"/>
      <c r="I1001" s="187"/>
      <c r="J1001" s="186"/>
      <c r="K1001" s="187"/>
      <c r="L1001" s="186"/>
      <c r="M1001" s="67"/>
      <c r="N1001" s="67"/>
      <c r="Q1001" s="417"/>
      <c r="S1001" s="417"/>
      <c r="AA1001" s="186"/>
    </row>
    <row r="1002">
      <c r="A1002" s="185"/>
      <c r="B1002" s="67"/>
      <c r="C1002" s="67"/>
      <c r="D1002" s="67"/>
      <c r="E1002" s="186"/>
      <c r="F1002" s="67"/>
      <c r="G1002" s="67"/>
      <c r="H1002" s="67"/>
      <c r="I1002" s="187"/>
      <c r="J1002" s="186"/>
      <c r="K1002" s="187"/>
      <c r="L1002" s="186"/>
      <c r="M1002" s="67"/>
      <c r="N1002" s="67"/>
      <c r="Q1002" s="417"/>
      <c r="S1002" s="417"/>
      <c r="AA1002" s="186"/>
    </row>
    <row r="1003">
      <c r="A1003" s="185"/>
      <c r="B1003" s="67"/>
      <c r="C1003" s="67"/>
      <c r="D1003" s="67"/>
      <c r="E1003" s="186"/>
      <c r="F1003" s="67"/>
      <c r="G1003" s="67"/>
      <c r="H1003" s="67"/>
      <c r="I1003" s="187"/>
      <c r="J1003" s="186"/>
      <c r="K1003" s="187"/>
      <c r="L1003" s="186"/>
      <c r="M1003" s="67"/>
      <c r="N1003" s="67"/>
      <c r="Q1003" s="417"/>
      <c r="S1003" s="417"/>
      <c r="AA1003" s="186"/>
    </row>
    <row r="1004">
      <c r="A1004" s="185"/>
      <c r="B1004" s="67"/>
      <c r="C1004" s="67"/>
      <c r="D1004" s="67"/>
      <c r="E1004" s="186"/>
      <c r="F1004" s="67"/>
      <c r="G1004" s="67"/>
      <c r="H1004" s="67"/>
      <c r="I1004" s="187"/>
      <c r="J1004" s="186"/>
      <c r="K1004" s="187"/>
      <c r="L1004" s="186"/>
      <c r="M1004" s="67"/>
      <c r="N1004" s="67"/>
      <c r="Q1004" s="417"/>
      <c r="S1004" s="417"/>
      <c r="AA1004" s="186"/>
    </row>
    <row r="1005">
      <c r="A1005" s="185"/>
      <c r="B1005" s="67"/>
      <c r="C1005" s="67"/>
      <c r="D1005" s="67"/>
      <c r="E1005" s="186"/>
      <c r="F1005" s="67"/>
      <c r="G1005" s="67"/>
      <c r="H1005" s="67"/>
      <c r="I1005" s="187"/>
      <c r="J1005" s="186"/>
      <c r="K1005" s="187"/>
      <c r="L1005" s="186"/>
      <c r="M1005" s="67"/>
      <c r="N1005" s="67"/>
      <c r="Q1005" s="417"/>
      <c r="S1005" s="417"/>
      <c r="AA1005" s="186"/>
    </row>
    <row r="1006">
      <c r="A1006" s="185"/>
      <c r="B1006" s="67"/>
      <c r="C1006" s="67"/>
      <c r="D1006" s="67"/>
      <c r="E1006" s="186"/>
      <c r="F1006" s="67"/>
      <c r="G1006" s="67"/>
      <c r="H1006" s="67"/>
      <c r="I1006" s="187"/>
      <c r="J1006" s="186"/>
      <c r="K1006" s="187"/>
      <c r="L1006" s="186"/>
      <c r="M1006" s="67"/>
      <c r="N1006" s="67"/>
      <c r="Q1006" s="417"/>
      <c r="S1006" s="417"/>
      <c r="AA1006" s="186"/>
    </row>
    <row r="1007">
      <c r="A1007" s="185"/>
      <c r="B1007" s="67"/>
      <c r="C1007" s="67"/>
      <c r="D1007" s="67"/>
      <c r="E1007" s="186"/>
      <c r="F1007" s="67"/>
      <c r="G1007" s="67"/>
      <c r="H1007" s="67"/>
      <c r="I1007" s="187"/>
      <c r="J1007" s="186"/>
      <c r="K1007" s="187"/>
      <c r="L1007" s="186"/>
      <c r="M1007" s="67"/>
      <c r="N1007" s="67"/>
      <c r="Q1007" s="417"/>
      <c r="S1007" s="417"/>
      <c r="AA1007" s="186"/>
    </row>
    <row r="1008">
      <c r="A1008" s="185"/>
      <c r="B1008" s="67"/>
      <c r="C1008" s="67"/>
      <c r="D1008" s="67"/>
      <c r="E1008" s="186"/>
      <c r="F1008" s="67"/>
      <c r="G1008" s="67"/>
      <c r="H1008" s="67"/>
      <c r="I1008" s="187"/>
      <c r="J1008" s="186"/>
      <c r="K1008" s="187"/>
      <c r="L1008" s="186"/>
      <c r="M1008" s="67"/>
      <c r="N1008" s="67"/>
      <c r="Q1008" s="417"/>
      <c r="S1008" s="417"/>
      <c r="AA1008" s="186"/>
    </row>
    <row r="1009">
      <c r="A1009" s="185"/>
      <c r="B1009" s="67"/>
      <c r="C1009" s="67"/>
      <c r="D1009" s="67"/>
      <c r="E1009" s="186"/>
      <c r="F1009" s="67"/>
      <c r="G1009" s="67"/>
      <c r="H1009" s="67"/>
      <c r="I1009" s="187"/>
      <c r="J1009" s="186"/>
      <c r="K1009" s="187"/>
      <c r="L1009" s="186"/>
      <c r="M1009" s="67"/>
      <c r="N1009" s="67"/>
      <c r="Q1009" s="417"/>
      <c r="S1009" s="417"/>
      <c r="AA1009" s="186"/>
    </row>
    <row r="1010">
      <c r="A1010" s="185"/>
      <c r="B1010" s="67"/>
      <c r="C1010" s="67"/>
      <c r="D1010" s="67"/>
      <c r="E1010" s="186"/>
      <c r="F1010" s="67"/>
      <c r="G1010" s="67"/>
      <c r="H1010" s="67"/>
      <c r="I1010" s="187"/>
      <c r="J1010" s="186"/>
      <c r="K1010" s="187"/>
      <c r="L1010" s="186"/>
      <c r="M1010" s="67"/>
      <c r="N1010" s="67"/>
      <c r="Q1010" s="417"/>
      <c r="S1010" s="417"/>
      <c r="AA1010" s="186"/>
    </row>
    <row r="1011">
      <c r="A1011" s="185"/>
      <c r="B1011" s="67"/>
      <c r="C1011" s="67"/>
      <c r="D1011" s="67"/>
      <c r="E1011" s="186"/>
      <c r="F1011" s="67"/>
      <c r="G1011" s="67"/>
      <c r="H1011" s="67"/>
      <c r="I1011" s="187"/>
      <c r="J1011" s="186"/>
      <c r="K1011" s="187"/>
      <c r="L1011" s="186"/>
      <c r="M1011" s="67"/>
      <c r="N1011" s="67"/>
      <c r="Q1011" s="417"/>
      <c r="S1011" s="417"/>
      <c r="AA1011" s="186"/>
    </row>
    <row r="1012">
      <c r="A1012" s="185"/>
      <c r="B1012" s="67"/>
      <c r="C1012" s="67"/>
      <c r="D1012" s="67"/>
      <c r="E1012" s="186"/>
      <c r="F1012" s="67"/>
      <c r="G1012" s="67"/>
      <c r="H1012" s="67"/>
      <c r="I1012" s="187"/>
      <c r="J1012" s="186"/>
      <c r="K1012" s="187"/>
      <c r="L1012" s="186"/>
      <c r="M1012" s="67"/>
      <c r="N1012" s="67"/>
      <c r="Q1012" s="417"/>
      <c r="S1012" s="417"/>
      <c r="AA1012" s="186"/>
    </row>
    <row r="1013">
      <c r="A1013" s="185"/>
      <c r="B1013" s="67"/>
      <c r="C1013" s="67"/>
      <c r="D1013" s="67"/>
      <c r="E1013" s="186"/>
      <c r="F1013" s="67"/>
      <c r="G1013" s="67"/>
      <c r="H1013" s="67"/>
      <c r="I1013" s="187"/>
      <c r="J1013" s="186"/>
      <c r="K1013" s="187"/>
      <c r="L1013" s="186"/>
      <c r="M1013" s="67"/>
      <c r="N1013" s="67"/>
      <c r="Q1013" s="417"/>
      <c r="S1013" s="417"/>
      <c r="AA1013" s="186"/>
    </row>
    <row r="1014">
      <c r="A1014" s="185"/>
      <c r="B1014" s="67"/>
      <c r="C1014" s="67"/>
      <c r="D1014" s="67"/>
      <c r="E1014" s="186"/>
      <c r="F1014" s="67"/>
      <c r="G1014" s="67"/>
      <c r="H1014" s="67"/>
      <c r="I1014" s="187"/>
      <c r="J1014" s="186"/>
      <c r="K1014" s="187"/>
      <c r="L1014" s="186"/>
      <c r="M1014" s="67"/>
      <c r="N1014" s="67"/>
      <c r="Q1014" s="417"/>
      <c r="S1014" s="417"/>
      <c r="AA1014" s="186"/>
    </row>
    <row r="1015">
      <c r="A1015" s="185"/>
      <c r="B1015" s="67"/>
      <c r="C1015" s="67"/>
      <c r="D1015" s="67"/>
      <c r="E1015" s="186"/>
      <c r="F1015" s="67"/>
      <c r="G1015" s="67"/>
      <c r="H1015" s="67"/>
      <c r="I1015" s="187"/>
      <c r="J1015" s="186"/>
      <c r="K1015" s="187"/>
      <c r="L1015" s="186"/>
      <c r="M1015" s="67"/>
      <c r="N1015" s="67"/>
      <c r="Q1015" s="417"/>
      <c r="S1015" s="417"/>
      <c r="AA1015" s="186"/>
    </row>
    <row r="1016">
      <c r="A1016" s="185"/>
      <c r="B1016" s="67"/>
      <c r="C1016" s="67"/>
      <c r="D1016" s="67"/>
      <c r="E1016" s="186"/>
      <c r="F1016" s="67"/>
      <c r="G1016" s="67"/>
      <c r="H1016" s="67"/>
      <c r="I1016" s="187"/>
      <c r="J1016" s="186"/>
      <c r="K1016" s="187"/>
      <c r="L1016" s="186"/>
      <c r="M1016" s="67"/>
      <c r="N1016" s="67"/>
      <c r="Q1016" s="417"/>
      <c r="S1016" s="417"/>
      <c r="AA1016" s="186"/>
    </row>
    <row r="1017">
      <c r="A1017" s="185"/>
      <c r="B1017" s="67"/>
      <c r="C1017" s="67"/>
      <c r="D1017" s="67"/>
      <c r="E1017" s="186"/>
      <c r="F1017" s="67"/>
      <c r="G1017" s="67"/>
      <c r="H1017" s="67"/>
      <c r="I1017" s="187"/>
      <c r="J1017" s="186"/>
      <c r="K1017" s="187"/>
      <c r="L1017" s="186"/>
      <c r="M1017" s="67"/>
      <c r="N1017" s="67"/>
      <c r="Q1017" s="417"/>
      <c r="S1017" s="417"/>
      <c r="AA1017" s="186"/>
    </row>
    <row r="1018">
      <c r="A1018" s="185"/>
      <c r="B1018" s="67"/>
      <c r="C1018" s="67"/>
      <c r="D1018" s="67"/>
      <c r="E1018" s="186"/>
      <c r="F1018" s="67"/>
      <c r="G1018" s="67"/>
      <c r="H1018" s="67"/>
      <c r="I1018" s="187"/>
      <c r="J1018" s="186"/>
      <c r="K1018" s="187"/>
      <c r="L1018" s="186"/>
      <c r="M1018" s="67"/>
      <c r="N1018" s="67"/>
      <c r="Q1018" s="417"/>
      <c r="S1018" s="417"/>
      <c r="AA1018" s="186"/>
    </row>
    <row r="1019">
      <c r="A1019" s="185"/>
      <c r="B1019" s="67"/>
      <c r="C1019" s="67"/>
      <c r="D1019" s="67"/>
      <c r="E1019" s="186"/>
      <c r="F1019" s="67"/>
      <c r="G1019" s="67"/>
      <c r="H1019" s="67"/>
      <c r="I1019" s="187"/>
      <c r="J1019" s="186"/>
      <c r="K1019" s="187"/>
      <c r="L1019" s="186"/>
      <c r="M1019" s="67"/>
      <c r="N1019" s="67"/>
      <c r="Q1019" s="417"/>
      <c r="S1019" s="417"/>
      <c r="AA1019" s="186"/>
    </row>
    <row r="1020">
      <c r="A1020" s="185"/>
      <c r="B1020" s="67"/>
      <c r="C1020" s="67"/>
      <c r="D1020" s="67"/>
      <c r="E1020" s="186"/>
      <c r="F1020" s="67"/>
      <c r="G1020" s="67"/>
      <c r="H1020" s="67"/>
      <c r="I1020" s="187"/>
      <c r="J1020" s="186"/>
      <c r="K1020" s="187"/>
      <c r="L1020" s="186"/>
      <c r="M1020" s="67"/>
      <c r="N1020" s="67"/>
      <c r="Q1020" s="417"/>
      <c r="S1020" s="417"/>
      <c r="AA1020" s="186"/>
    </row>
    <row r="1021">
      <c r="A1021" s="185"/>
      <c r="B1021" s="67"/>
      <c r="C1021" s="67"/>
      <c r="D1021" s="67"/>
      <c r="E1021" s="186"/>
      <c r="F1021" s="67"/>
      <c r="G1021" s="67"/>
      <c r="H1021" s="67"/>
      <c r="I1021" s="187"/>
      <c r="J1021" s="186"/>
      <c r="K1021" s="187"/>
      <c r="L1021" s="186"/>
      <c r="M1021" s="67"/>
      <c r="N1021" s="67"/>
      <c r="Q1021" s="417"/>
      <c r="S1021" s="417"/>
      <c r="AA1021" s="186"/>
    </row>
    <row r="1022">
      <c r="A1022" s="185"/>
      <c r="B1022" s="67"/>
      <c r="C1022" s="67"/>
      <c r="D1022" s="67"/>
      <c r="E1022" s="186"/>
      <c r="F1022" s="67"/>
      <c r="G1022" s="67"/>
      <c r="H1022" s="67"/>
      <c r="I1022" s="187"/>
      <c r="J1022" s="186"/>
      <c r="K1022" s="187"/>
      <c r="L1022" s="186"/>
      <c r="M1022" s="67"/>
      <c r="N1022" s="67"/>
      <c r="Q1022" s="417"/>
      <c r="S1022" s="417"/>
      <c r="AA1022" s="186"/>
    </row>
    <row r="1023">
      <c r="A1023" s="185"/>
      <c r="B1023" s="67"/>
      <c r="C1023" s="67"/>
      <c r="D1023" s="67"/>
      <c r="E1023" s="186"/>
      <c r="F1023" s="67"/>
      <c r="G1023" s="67"/>
      <c r="H1023" s="67"/>
      <c r="I1023" s="187"/>
      <c r="J1023" s="186"/>
      <c r="K1023" s="187"/>
      <c r="L1023" s="186"/>
      <c r="M1023" s="67"/>
      <c r="N1023" s="67"/>
      <c r="Q1023" s="417"/>
      <c r="S1023" s="417"/>
      <c r="AA1023" s="186"/>
    </row>
    <row r="1024">
      <c r="A1024" s="185"/>
      <c r="B1024" s="67"/>
      <c r="C1024" s="67"/>
      <c r="D1024" s="67"/>
      <c r="E1024" s="186"/>
      <c r="F1024" s="67"/>
      <c r="G1024" s="67"/>
      <c r="H1024" s="67"/>
      <c r="I1024" s="187"/>
      <c r="J1024" s="186"/>
      <c r="K1024" s="187"/>
      <c r="L1024" s="186"/>
      <c r="M1024" s="67"/>
      <c r="N1024" s="67"/>
      <c r="Q1024" s="417"/>
      <c r="S1024" s="417"/>
      <c r="AA1024" s="186"/>
    </row>
    <row r="1025">
      <c r="A1025" s="185"/>
      <c r="B1025" s="67"/>
      <c r="C1025" s="67"/>
      <c r="D1025" s="67"/>
      <c r="E1025" s="186"/>
      <c r="F1025" s="67"/>
      <c r="G1025" s="67"/>
      <c r="H1025" s="67"/>
      <c r="I1025" s="187"/>
      <c r="J1025" s="186"/>
      <c r="K1025" s="187"/>
      <c r="L1025" s="186"/>
      <c r="M1025" s="67"/>
      <c r="N1025" s="67"/>
      <c r="Q1025" s="417"/>
      <c r="S1025" s="417"/>
      <c r="AA1025" s="186"/>
    </row>
    <row r="1026">
      <c r="A1026" s="185"/>
      <c r="B1026" s="67"/>
      <c r="C1026" s="67"/>
      <c r="D1026" s="67"/>
      <c r="E1026" s="186"/>
      <c r="F1026" s="67"/>
      <c r="G1026" s="67"/>
      <c r="H1026" s="67"/>
      <c r="I1026" s="187"/>
      <c r="J1026" s="186"/>
      <c r="K1026" s="187"/>
      <c r="L1026" s="186"/>
      <c r="M1026" s="67"/>
      <c r="N1026" s="67"/>
      <c r="Q1026" s="417"/>
      <c r="S1026" s="417"/>
      <c r="AA1026" s="186"/>
    </row>
    <row r="1027">
      <c r="A1027" s="185"/>
      <c r="B1027" s="67"/>
      <c r="C1027" s="67"/>
      <c r="D1027" s="67"/>
      <c r="E1027" s="186"/>
      <c r="F1027" s="67"/>
      <c r="G1027" s="67"/>
      <c r="H1027" s="67"/>
      <c r="I1027" s="187"/>
      <c r="J1027" s="186"/>
      <c r="K1027" s="187"/>
      <c r="L1027" s="186"/>
      <c r="M1027" s="67"/>
      <c r="N1027" s="67"/>
      <c r="Q1027" s="417"/>
      <c r="S1027" s="417"/>
      <c r="AA1027" s="186"/>
    </row>
    <row r="1028">
      <c r="A1028" s="185"/>
      <c r="B1028" s="67"/>
      <c r="C1028" s="67"/>
      <c r="D1028" s="67"/>
      <c r="E1028" s="186"/>
      <c r="F1028" s="67"/>
      <c r="G1028" s="67"/>
      <c r="H1028" s="67"/>
      <c r="I1028" s="187"/>
      <c r="J1028" s="186"/>
      <c r="K1028" s="187"/>
      <c r="L1028" s="186"/>
      <c r="M1028" s="67"/>
      <c r="N1028" s="67"/>
      <c r="Q1028" s="417"/>
      <c r="S1028" s="417"/>
      <c r="AA1028" s="186"/>
    </row>
    <row r="1029">
      <c r="A1029" s="185"/>
      <c r="B1029" s="67"/>
      <c r="C1029" s="67"/>
      <c r="D1029" s="67"/>
      <c r="E1029" s="186"/>
      <c r="F1029" s="67"/>
      <c r="G1029" s="67"/>
      <c r="H1029" s="67"/>
      <c r="I1029" s="187"/>
      <c r="J1029" s="186"/>
      <c r="K1029" s="187"/>
      <c r="L1029" s="186"/>
      <c r="M1029" s="67"/>
      <c r="N1029" s="67"/>
      <c r="Q1029" s="417"/>
      <c r="S1029" s="417"/>
      <c r="AA1029" s="186"/>
    </row>
    <row r="1030">
      <c r="A1030" s="185"/>
      <c r="B1030" s="67"/>
      <c r="C1030" s="67"/>
      <c r="D1030" s="67"/>
      <c r="E1030" s="186"/>
      <c r="F1030" s="67"/>
      <c r="G1030" s="67"/>
      <c r="H1030" s="67"/>
      <c r="I1030" s="187"/>
      <c r="J1030" s="186"/>
      <c r="K1030" s="187"/>
      <c r="L1030" s="186"/>
      <c r="M1030" s="67"/>
      <c r="N1030" s="67"/>
      <c r="Q1030" s="417"/>
      <c r="S1030" s="417"/>
      <c r="AA1030" s="186"/>
    </row>
    <row r="1031">
      <c r="A1031" s="185"/>
      <c r="B1031" s="67"/>
      <c r="C1031" s="67"/>
      <c r="D1031" s="67"/>
      <c r="E1031" s="186"/>
      <c r="F1031" s="67"/>
      <c r="G1031" s="67"/>
      <c r="H1031" s="67"/>
      <c r="I1031" s="187"/>
      <c r="J1031" s="186"/>
      <c r="K1031" s="187"/>
      <c r="L1031" s="186"/>
      <c r="M1031" s="67"/>
      <c r="N1031" s="67"/>
      <c r="Q1031" s="417"/>
      <c r="S1031" s="417"/>
      <c r="AA1031" s="186"/>
    </row>
    <row r="1032">
      <c r="A1032" s="185"/>
      <c r="C1032" s="67"/>
      <c r="D1032" s="67"/>
      <c r="E1032" s="186"/>
      <c r="F1032" s="67"/>
      <c r="G1032" s="67"/>
      <c r="H1032" s="67"/>
      <c r="I1032" s="187"/>
      <c r="J1032" s="186"/>
      <c r="K1032" s="187"/>
      <c r="L1032" s="186"/>
      <c r="M1032" s="67"/>
      <c r="N1032" s="67"/>
      <c r="Q1032" s="417"/>
      <c r="S1032" s="417"/>
      <c r="AA1032" s="186"/>
    </row>
    <row r="1033">
      <c r="A1033" s="185"/>
      <c r="C1033" s="67"/>
      <c r="D1033" s="67"/>
      <c r="E1033" s="186"/>
      <c r="F1033" s="67"/>
      <c r="G1033" s="67"/>
      <c r="H1033" s="67"/>
      <c r="I1033" s="187"/>
      <c r="J1033" s="186"/>
      <c r="K1033" s="187"/>
      <c r="L1033" s="186"/>
      <c r="M1033" s="67"/>
      <c r="N1033" s="67"/>
      <c r="Q1033" s="417"/>
      <c r="S1033" s="417"/>
      <c r="AA1033" s="186"/>
    </row>
    <row r="1034">
      <c r="A1034" s="185"/>
      <c r="C1034" s="67"/>
      <c r="D1034" s="67"/>
      <c r="E1034" s="186"/>
      <c r="F1034" s="67"/>
      <c r="G1034" s="67"/>
      <c r="H1034" s="67"/>
      <c r="I1034" s="187"/>
      <c r="J1034" s="186"/>
      <c r="K1034" s="187"/>
      <c r="L1034" s="186"/>
      <c r="M1034" s="67"/>
      <c r="N1034" s="67"/>
      <c r="Q1034" s="417"/>
      <c r="S1034" s="417"/>
      <c r="AA1034" s="186"/>
    </row>
    <row r="1035">
      <c r="A1035" s="185"/>
      <c r="C1035" s="67"/>
      <c r="D1035" s="67"/>
      <c r="E1035" s="186"/>
      <c r="F1035" s="67"/>
      <c r="G1035" s="67"/>
      <c r="H1035" s="67"/>
      <c r="I1035" s="187"/>
      <c r="J1035" s="186"/>
      <c r="K1035" s="187"/>
      <c r="L1035" s="186"/>
      <c r="M1035" s="67"/>
      <c r="N1035" s="67"/>
      <c r="Q1035" s="417"/>
      <c r="S1035" s="417"/>
      <c r="AA1035" s="186"/>
    </row>
    <row r="1036">
      <c r="A1036" s="185"/>
      <c r="C1036" s="67"/>
      <c r="D1036" s="67"/>
      <c r="E1036" s="186"/>
      <c r="F1036" s="67"/>
      <c r="G1036" s="67"/>
      <c r="H1036" s="67"/>
      <c r="I1036" s="187"/>
      <c r="J1036" s="186"/>
      <c r="K1036" s="187"/>
      <c r="L1036" s="186"/>
      <c r="M1036" s="67"/>
      <c r="N1036" s="67"/>
      <c r="Q1036" s="417"/>
      <c r="S1036" s="417"/>
      <c r="AA1036" s="186"/>
    </row>
    <row r="1037">
      <c r="A1037" s="185"/>
      <c r="C1037" s="67"/>
      <c r="D1037" s="67"/>
      <c r="E1037" s="186"/>
      <c r="F1037" s="67"/>
      <c r="G1037" s="67"/>
      <c r="I1037" s="187"/>
      <c r="J1037" s="186"/>
      <c r="K1037" s="187"/>
      <c r="L1037" s="186"/>
      <c r="M1037" s="67"/>
      <c r="N1037" s="67"/>
      <c r="Q1037" s="417"/>
      <c r="S1037" s="417"/>
      <c r="AA1037" s="186"/>
    </row>
    <row r="1038">
      <c r="A1038" s="185"/>
      <c r="C1038" s="67"/>
      <c r="D1038" s="67"/>
      <c r="E1038" s="186"/>
      <c r="F1038" s="67"/>
      <c r="G1038" s="67"/>
      <c r="I1038" s="187"/>
      <c r="J1038" s="186"/>
      <c r="K1038" s="187"/>
      <c r="L1038" s="186"/>
      <c r="M1038" s="67"/>
      <c r="N1038" s="67"/>
      <c r="Q1038" s="417"/>
      <c r="S1038" s="417"/>
      <c r="AA1038" s="186"/>
    </row>
    <row r="1039">
      <c r="A1039" s="185"/>
      <c r="C1039" s="67"/>
      <c r="D1039" s="67"/>
      <c r="E1039" s="186"/>
      <c r="F1039" s="67"/>
      <c r="G1039" s="67"/>
      <c r="I1039" s="187"/>
      <c r="J1039" s="186"/>
      <c r="K1039" s="187"/>
      <c r="L1039" s="186"/>
      <c r="M1039" s="67"/>
      <c r="N1039" s="67"/>
      <c r="Q1039" s="417"/>
      <c r="S1039" s="417"/>
      <c r="AA1039" s="186"/>
    </row>
    <row r="1040">
      <c r="A1040" s="185"/>
      <c r="C1040" s="67"/>
      <c r="D1040" s="67"/>
      <c r="E1040" s="186"/>
      <c r="F1040" s="67"/>
      <c r="G1040" s="67"/>
      <c r="I1040" s="187"/>
      <c r="J1040" s="186"/>
      <c r="K1040" s="187"/>
      <c r="L1040" s="186"/>
      <c r="M1040" s="67"/>
      <c r="N1040" s="67"/>
      <c r="Q1040" s="417"/>
      <c r="S1040" s="417"/>
      <c r="AA1040" s="186"/>
    </row>
    <row r="1041">
      <c r="A1041" s="185"/>
      <c r="C1041" s="67"/>
      <c r="D1041" s="67"/>
      <c r="E1041" s="186"/>
      <c r="F1041" s="67"/>
      <c r="G1041" s="67"/>
      <c r="I1041" s="187"/>
      <c r="J1041" s="186"/>
      <c r="K1041" s="187"/>
      <c r="L1041" s="186"/>
      <c r="M1041" s="67"/>
      <c r="N1041" s="67"/>
      <c r="Q1041" s="417"/>
      <c r="S1041" s="417"/>
      <c r="AA1041" s="186"/>
    </row>
    <row r="1042">
      <c r="A1042" s="185"/>
      <c r="E1042" s="186"/>
      <c r="F1042" s="67"/>
      <c r="G1042" s="67"/>
      <c r="I1042" s="187"/>
      <c r="J1042" s="186"/>
      <c r="K1042" s="187"/>
      <c r="L1042" s="186"/>
      <c r="M1042" s="67"/>
      <c r="N1042" s="67"/>
      <c r="Q1042" s="417"/>
      <c r="S1042" s="417"/>
      <c r="AA1042" s="186"/>
    </row>
    <row r="1043">
      <c r="A1043" s="185"/>
      <c r="E1043" s="186"/>
      <c r="F1043" s="67"/>
      <c r="G1043" s="67"/>
      <c r="I1043" s="187"/>
      <c r="J1043" s="186"/>
      <c r="K1043" s="187"/>
      <c r="L1043" s="186"/>
      <c r="M1043" s="67"/>
      <c r="N1043" s="67"/>
      <c r="Q1043" s="417"/>
      <c r="S1043" s="417"/>
      <c r="AA1043" s="186"/>
    </row>
    <row r="1044">
      <c r="A1044" s="185"/>
      <c r="E1044" s="186"/>
      <c r="F1044" s="67"/>
      <c r="G1044" s="67"/>
      <c r="I1044" s="187"/>
      <c r="J1044" s="186"/>
      <c r="K1044" s="187"/>
      <c r="L1044" s="186"/>
      <c r="M1044" s="67"/>
      <c r="N1044" s="67"/>
      <c r="Q1044" s="417"/>
      <c r="S1044" s="417"/>
      <c r="AA1044" s="186"/>
    </row>
    <row r="1045">
      <c r="A1045" s="185"/>
      <c r="E1045" s="186"/>
      <c r="F1045" s="67"/>
      <c r="G1045" s="67"/>
      <c r="I1045" s="187"/>
      <c r="J1045" s="186"/>
      <c r="K1045" s="187"/>
      <c r="L1045" s="186"/>
      <c r="M1045" s="67"/>
      <c r="N1045" s="67"/>
      <c r="Q1045" s="417"/>
      <c r="S1045" s="417"/>
      <c r="AA1045" s="186"/>
    </row>
    <row r="1046">
      <c r="A1046" s="185"/>
      <c r="E1046" s="186"/>
      <c r="F1046" s="67"/>
      <c r="G1046" s="67"/>
      <c r="I1046" s="187"/>
      <c r="J1046" s="186"/>
      <c r="K1046" s="187"/>
      <c r="L1046" s="186"/>
      <c r="M1046" s="67"/>
      <c r="N1046" s="67"/>
      <c r="Q1046" s="417"/>
      <c r="S1046" s="417"/>
      <c r="AA1046" s="186"/>
    </row>
    <row r="1047">
      <c r="A1047" s="185"/>
      <c r="E1047" s="186"/>
      <c r="F1047" s="67"/>
      <c r="G1047" s="67"/>
      <c r="I1047" s="187"/>
      <c r="J1047" s="186"/>
      <c r="K1047" s="187"/>
      <c r="L1047" s="186"/>
      <c r="M1047" s="67"/>
      <c r="N1047" s="67"/>
      <c r="Q1047" s="417"/>
      <c r="S1047" s="417"/>
      <c r="AA1047" s="186"/>
    </row>
    <row r="1048">
      <c r="A1048" s="185"/>
      <c r="E1048" s="186"/>
      <c r="F1048" s="67"/>
      <c r="G1048" s="67"/>
      <c r="I1048" s="187"/>
      <c r="J1048" s="186"/>
      <c r="K1048" s="187"/>
      <c r="L1048" s="186"/>
      <c r="M1048" s="67"/>
      <c r="N1048" s="67"/>
      <c r="Q1048" s="417"/>
      <c r="S1048" s="417"/>
      <c r="AA1048" s="186"/>
    </row>
    <row r="1049">
      <c r="A1049" s="113"/>
      <c r="Q1049" s="417"/>
      <c r="S1049" s="417"/>
    </row>
    <row r="1050">
      <c r="A1050" s="113"/>
      <c r="Q1050" s="417"/>
      <c r="S1050" s="417"/>
    </row>
    <row r="1051">
      <c r="A1051" s="113"/>
      <c r="Q1051" s="417"/>
      <c r="S1051" s="417"/>
    </row>
    <row r="1052">
      <c r="A1052" s="113"/>
      <c r="Q1052" s="417"/>
      <c r="S1052" s="417"/>
    </row>
    <row r="1053">
      <c r="A1053" s="113"/>
      <c r="Q1053" s="417"/>
      <c r="S1053" s="417"/>
    </row>
    <row r="1054">
      <c r="A1054" s="113"/>
      <c r="Q1054" s="417"/>
      <c r="S1054" s="417"/>
    </row>
  </sheetData>
  <conditionalFormatting sqref="J32 J65:J66 J98:J99 J131:J132 J164 J197 J230 J263 J296 J329 J362 J436">
    <cfRule type="cellIs" dxfId="21" priority="1" operator="lessThan">
      <formula>0</formula>
    </cfRule>
  </conditionalFormatting>
  <dataValidations>
    <dataValidation type="list" allowBlank="1" sqref="G2:G31 G35:G64 G68:G97 G101:G130 G134:G163 G167:G196 G200:G229 G233:G262 G266:G295 G299:G328 G332:G361 G365:G435">
      <formula1>"(Select),Communication Services,Consumer Discretionary,Consumer Staples,Energy,ETF,Financials,Health Care,Industrials,Materials,Real Estate,Utilities,Information Technology"</formula1>
    </dataValidation>
    <dataValidation type="list" allowBlank="1" sqref="F2:F31 F35:F64 F68:F97 F101:F130 F134:F163 F167:F196 F200:F229 F233:F262 F266:F295 F299:F328 F332:F361 F365:F435">
      <formula1>"(Select Security),Stocks,ETFs,International,Crypto,Bonds,Index Fund"</formula1>
    </dataValidation>
    <dataValidation type="list" allowBlank="1" sqref="H2:H31 H35:H64 H68:H97 H101:H130 H134:H163 H167:H196 H200:H229 H233:H262 H266:H295 H299:H328 H332:H361 H365:H435">
      <formula1>"(Select),US Bonds,International Market,Value Stocks,Growth,Foundational"</formula1>
    </dataValidation>
  </dataValidations>
  <hyperlinks>
    <hyperlink r:id="rId1" ref="D32"/>
    <hyperlink r:id="rId2" ref="D65"/>
    <hyperlink r:id="rId3" ref="D98"/>
    <hyperlink r:id="rId4" ref="D131"/>
    <hyperlink r:id="rId5" ref="D164"/>
    <hyperlink r:id="rId6" ref="D197"/>
    <hyperlink r:id="rId7" ref="D230"/>
    <hyperlink r:id="rId8" ref="D263"/>
    <hyperlink r:id="rId9" ref="D296"/>
    <hyperlink r:id="rId10" ref="D329"/>
    <hyperlink r:id="rId11" ref="D362"/>
    <hyperlink r:id="rId12" ref="D436"/>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63"/>
    <col customWidth="1" min="2" max="2" width="27.75"/>
    <col customWidth="1" min="3" max="3" width="10.5"/>
    <col customWidth="1" min="4" max="5" width="11.75"/>
    <col customWidth="1" min="6" max="6" width="12.25"/>
    <col customWidth="1" min="7" max="7" width="9.5"/>
    <col customWidth="1" min="8" max="8" width="11.25"/>
    <col customWidth="1" min="9" max="9" width="11.5"/>
    <col customWidth="1" min="10" max="10" width="11.75"/>
    <col customWidth="1" min="11" max="11" width="13.5"/>
    <col customWidth="1" min="12" max="12" width="12.25"/>
    <col customWidth="1" min="13" max="13" width="16.13"/>
    <col customWidth="1" min="14" max="14" width="22.5"/>
    <col customWidth="1" min="15" max="15" width="18.25"/>
    <col customWidth="1" min="16" max="16" width="10.63"/>
    <col customWidth="1" min="17" max="19" width="10.88"/>
    <col customWidth="1" min="20" max="20" width="11.25"/>
    <col customWidth="1" min="21" max="21" width="11.88"/>
    <col customWidth="1" min="22" max="23" width="13.75"/>
    <col customWidth="1" min="24" max="24" width="13.63"/>
  </cols>
  <sheetData>
    <row r="1">
      <c r="A1" s="334" t="s">
        <v>71</v>
      </c>
      <c r="B1" s="335" t="s">
        <v>72</v>
      </c>
      <c r="C1" s="336" t="s">
        <v>76</v>
      </c>
      <c r="D1" s="336" t="s">
        <v>77</v>
      </c>
      <c r="E1" s="336" t="s">
        <v>497</v>
      </c>
      <c r="F1" s="336" t="s">
        <v>299</v>
      </c>
      <c r="G1" s="423" t="s">
        <v>78</v>
      </c>
      <c r="H1" s="336" t="s">
        <v>79</v>
      </c>
      <c r="I1" s="336" t="s">
        <v>80</v>
      </c>
      <c r="J1" s="336" t="s">
        <v>82</v>
      </c>
      <c r="K1" s="336" t="s">
        <v>83</v>
      </c>
      <c r="L1" s="336" t="s">
        <v>84</v>
      </c>
      <c r="M1" s="337" t="s">
        <v>85</v>
      </c>
      <c r="N1" s="337" t="s">
        <v>86</v>
      </c>
      <c r="O1" s="337" t="s">
        <v>87</v>
      </c>
      <c r="P1" s="335" t="s">
        <v>300</v>
      </c>
      <c r="Q1" s="335" t="s">
        <v>301</v>
      </c>
      <c r="R1" s="336" t="s">
        <v>89</v>
      </c>
      <c r="S1" s="338" t="s">
        <v>12</v>
      </c>
      <c r="T1" s="334" t="s">
        <v>302</v>
      </c>
      <c r="U1" s="336" t="s">
        <v>303</v>
      </c>
      <c r="V1" s="336" t="s">
        <v>304</v>
      </c>
      <c r="W1" s="339" t="s">
        <v>305</v>
      </c>
      <c r="X1" s="336" t="s">
        <v>498</v>
      </c>
    </row>
    <row r="2">
      <c r="A2" s="340" t="s">
        <v>306</v>
      </c>
      <c r="B2" s="341" t="str">
        <f>IFERROR(__xludf.DUMMYFUNCTION("IF(ISBLANK(A2),"""", googlefinance(A2, ""name""))"),"Apple Inc")</f>
        <v>Apple Inc</v>
      </c>
      <c r="C2" s="342">
        <f>IFERROR(__xludf.DUMMYFUNCTION("IF(ISBLANK(A2),"""", googlefinance(A2, ""price""))"),260.29)</f>
        <v>260.29</v>
      </c>
      <c r="D2" s="133">
        <v>173.95</v>
      </c>
      <c r="E2" s="133"/>
      <c r="F2" s="424">
        <f>IF(ISBLANK(D2),"", (C2-D2)/D2)</f>
        <v>0.4963495257</v>
      </c>
      <c r="G2" s="134">
        <v>8.1</v>
      </c>
      <c r="H2" s="345">
        <f>IFERROR(__xludf.DUMMYFUNCTION("IFERROR(googlefinance(A2,""change""),"""")"),-2.23)</f>
        <v>-2.23</v>
      </c>
      <c r="I2" s="148">
        <f>IFERROR(__xludf.DUMMYFUNCTION("iferror(GOOGLEFINANCE(A2,""changepct"")/100,"""")"),-0.0085)</f>
        <v>-0.0085</v>
      </c>
      <c r="J2" s="345">
        <f>IFERROR(__xludf.DUMMYFUNCTION("IF(ISBLANK(A2),"""", googlefinance(A2, ""low52""))"),169.21)</f>
        <v>169.21</v>
      </c>
      <c r="K2" s="344" t="str">
        <f>IFERROR(__xludf.DUMMYFUNCTION("IF(ISBLANK(A2),"""",IFERROR(SPARKLINE((C2-J2)/(L2-J2),{""charttype"",""bar"";""max"",1;""min"",0;""color1"",""2c79b5""}),""n/a""))"),"")</f>
        <v/>
      </c>
      <c r="L2" s="345">
        <f>IFERROR(__xludf.DUMMYFUNCTION("IF(ISBLANK(A2),"""", googlefinance(A2, ""high52""))"),288.61)</f>
        <v>288.61</v>
      </c>
      <c r="M2" s="343" t="s">
        <v>101</v>
      </c>
      <c r="N2" s="343" t="s">
        <v>102</v>
      </c>
      <c r="O2" s="343" t="s">
        <v>103</v>
      </c>
      <c r="P2" s="346">
        <f>IFERROR(__xludf.DUMMYFUNCTION("IF(ISBLANK(A2),"""", googlefinance(A2, ""PE""))"),32.93)</f>
        <v>32.93</v>
      </c>
      <c r="Q2" s="345">
        <f>IFERROR(__xludf.DUMMYFUNCTION("IF(ISBLANK(A2),"""", googlefinance(A2, ""eps""))"),7.9)</f>
        <v>7.9</v>
      </c>
      <c r="R2" s="347">
        <f>IFERROR(__xludf.DUMMYFUNCTION("IfError(IF(isblank(A2),"""",split(V2, ""()"")))"),0.0)</f>
        <v>0</v>
      </c>
      <c r="S2" s="148"/>
      <c r="T2" s="345">
        <f t="shared" ref="T2:T51" si="1">IF(ISBLANK(A2),"", (R2*100))</f>
        <v>0</v>
      </c>
      <c r="U2" s="345">
        <f t="shared" ref="U2:U51" si="2">IF(ISBLANK(A2),"", C2*100)</f>
        <v>26029</v>
      </c>
      <c r="V2" s="348">
        <f>IFERROR(__xludf.DUMMYFUNCTION("IfError(IF(isblank(A2),"""", substitute(index(IMPORTHTML(""http://finviz.com/quote.ashx?t=""&amp;A2,""table"", 10),8,2),""*"","""")),0)"),0.0)</f>
        <v>0</v>
      </c>
      <c r="W2" s="146" t="str">
        <f t="shared" ref="W2:W51" si="3">IF(A2="", "", IF(F2&lt;=-15%, "Strong Buy", IF(F2&lt;0%, "Buy", IF(F2&lt;=15%, "Expensive", "Overrated"))))
</f>
        <v>Overrated</v>
      </c>
      <c r="X2" s="425">
        <v>45627.0</v>
      </c>
    </row>
    <row r="3">
      <c r="A3" s="149" t="s">
        <v>104</v>
      </c>
      <c r="B3" s="349" t="str">
        <f>IFERROR(__xludf.DUMMYFUNCTION("IF(ISBLANK(A3),"""", googlefinance(A3, ""name""))"),"Microsoft Corp")</f>
        <v>Microsoft Corp</v>
      </c>
      <c r="C3" s="135">
        <f>IFERROR(__xludf.DUMMYFUNCTION("IF(ISBLANK(A3),"""", googlefinance(A3, ""price""))"),410.68)</f>
        <v>410.68</v>
      </c>
      <c r="D3" s="133">
        <v>334.0</v>
      </c>
      <c r="E3" s="133"/>
      <c r="F3" s="344">
        <f t="shared" ref="F3:F51" si="4">IF(ISBLANK(A3),"", (C3-D3)/D3)</f>
        <v>0.2295808383</v>
      </c>
      <c r="G3" s="134">
        <v>8.74</v>
      </c>
      <c r="H3" s="135">
        <f>IFERROR(__xludf.DUMMYFUNCTION("IFERROR(googlefinance(A3,""change""),"""")"),5.48)</f>
        <v>5.48</v>
      </c>
      <c r="I3" s="136">
        <f>IFERROR(__xludf.DUMMYFUNCTION("iferror(GOOGLEFINANCE(A3,""changepct"")/100,"""")"),0.013500000000000002)</f>
        <v>0.0135</v>
      </c>
      <c r="J3" s="132">
        <f>IFERROR(__xludf.DUMMYFUNCTION("IF(ISBLANK(A3),"""", googlefinance(A3, ""low52""))"),344.79)</f>
        <v>344.79</v>
      </c>
      <c r="K3" s="350" t="str">
        <f>IFERROR(__xludf.DUMMYFUNCTION("IF(ISBLANK(A3),"""",IFERROR(SPARKLINE((C3-J3)/(L3-J3),{""charttype"",""bar"";""max"",1;""min"",0;""color1"",""2c79b5""}),""n/a""))"),"")</f>
        <v/>
      </c>
      <c r="L3" s="132">
        <f>IFERROR(__xludf.DUMMYFUNCTION("IF(ISBLANK(A3),"""", googlefinance(A3, ""high52""))"),555.45)</f>
        <v>555.45</v>
      </c>
      <c r="M3" s="343" t="s">
        <v>101</v>
      </c>
      <c r="N3" s="343" t="s">
        <v>102</v>
      </c>
      <c r="O3" s="343" t="s">
        <v>103</v>
      </c>
      <c r="P3" s="351">
        <f>IFERROR(__xludf.DUMMYFUNCTION("IF(ISBLANK(A3),"""", googlefinance(A3, ""PE""))"),25.7)</f>
        <v>25.7</v>
      </c>
      <c r="Q3" s="345">
        <f>IFERROR(__xludf.DUMMYFUNCTION("IF(ISBLANK(A3),"""", googlefinance(A3, ""eps""))"),15.98)</f>
        <v>15.98</v>
      </c>
      <c r="R3" s="140">
        <f>IFERROR(__xludf.DUMMYFUNCTION("IfError(IF(isblank(A3),"""",split(V3, ""()"")))"),0.0)</f>
        <v>0</v>
      </c>
      <c r="S3" s="136"/>
      <c r="T3" s="345">
        <f t="shared" si="1"/>
        <v>0</v>
      </c>
      <c r="U3" s="132">
        <f t="shared" si="2"/>
        <v>41068</v>
      </c>
      <c r="V3" s="348">
        <f>IFERROR(__xludf.DUMMYFUNCTION("IfError(IF(isblank(A3),"""", substitute(index(IMPORTHTML(""http://finviz.com/quote.ashx?t=""&amp;A3,""table"", 10),8,2),""*"","""")),0)"),0.0)</f>
        <v>0</v>
      </c>
      <c r="W3" s="146" t="str">
        <f t="shared" si="3"/>
        <v>Overrated</v>
      </c>
      <c r="X3" s="425">
        <v>45598.0</v>
      </c>
    </row>
    <row r="4">
      <c r="A4" s="426" t="s">
        <v>100</v>
      </c>
      <c r="B4" s="349" t="str">
        <f>IFERROR(__xludf.DUMMYFUNCTION("IF(ISBLANK(A4),"""", googlefinance(A4, ""name""))"),"Alphabet Inc Class A")</f>
        <v>Alphabet Inc Class A</v>
      </c>
      <c r="C4" s="135">
        <f>IFERROR(__xludf.DUMMYFUNCTION("IF(ISBLANK(A4),"""", googlefinance(A4, ""price""))"),300.88)</f>
        <v>300.88</v>
      </c>
      <c r="D4" s="133">
        <v>187.26</v>
      </c>
      <c r="E4" s="133"/>
      <c r="F4" s="344">
        <f t="shared" si="4"/>
        <v>0.6067499733</v>
      </c>
      <c r="G4" s="134">
        <v>8.58</v>
      </c>
      <c r="H4" s="135">
        <f>IFERROR(__xludf.DUMMYFUNCTION("IFERROR(googlefinance(A4,""change""),"""")"),-2.25)</f>
        <v>-2.25</v>
      </c>
      <c r="I4" s="136">
        <f>IFERROR(__xludf.DUMMYFUNCTION("iferror(GOOGLEFINANCE(A4,""changepct"")/100,"""")"),-0.0074)</f>
        <v>-0.0074</v>
      </c>
      <c r="J4" s="132">
        <f>IFERROR(__xludf.DUMMYFUNCTION("IF(ISBLANK(A4),"""", googlefinance(A4, ""low52""))"),140.53)</f>
        <v>140.53</v>
      </c>
      <c r="K4" s="350" t="str">
        <f>IFERROR(__xludf.DUMMYFUNCTION("IF(ISBLANK(A4),"""",IFERROR(SPARKLINE((C4-J4)/(L4-J4),{""charttype"",""bar"";""max"",1;""min"",0;""color1"",""2c79b5""}),""n/a""))"),"")</f>
        <v/>
      </c>
      <c r="L4" s="132">
        <f>IFERROR(__xludf.DUMMYFUNCTION("IF(ISBLANK(A4),"""", googlefinance(A4, ""high52""))"),349.0)</f>
        <v>349</v>
      </c>
      <c r="M4" s="343" t="s">
        <v>101</v>
      </c>
      <c r="N4" s="343" t="s">
        <v>102</v>
      </c>
      <c r="O4" s="343" t="s">
        <v>103</v>
      </c>
      <c r="P4" s="351">
        <f>IFERROR(__xludf.DUMMYFUNCTION("IF(ISBLANK(A4),"""", googlefinance(A4, ""PE""))"),27.84)</f>
        <v>27.84</v>
      </c>
      <c r="Q4" s="345">
        <f>IFERROR(__xludf.DUMMYFUNCTION("IF(ISBLANK(A4),"""", googlefinance(A4, ""eps""))"),10.81)</f>
        <v>10.81</v>
      </c>
      <c r="R4" s="140">
        <f>IFERROR(__xludf.DUMMYFUNCTION("IfError(IF(isblank(A4),"""",split(V4, ""()"")))"),0.0)</f>
        <v>0</v>
      </c>
      <c r="S4" s="136"/>
      <c r="T4" s="345">
        <f t="shared" si="1"/>
        <v>0</v>
      </c>
      <c r="U4" s="132">
        <f t="shared" si="2"/>
        <v>30088</v>
      </c>
      <c r="V4" s="348">
        <f>IFERROR(__xludf.DUMMYFUNCTION("IfError(IF(isblank(A4),"""", substitute(index(IMPORTHTML(""http://finviz.com/quote.ashx?t=""&amp;A4,""table"", 10),8,2),""*"","""")),0)"),0.0)</f>
        <v>0</v>
      </c>
      <c r="W4" s="146" t="str">
        <f t="shared" si="3"/>
        <v>Overrated</v>
      </c>
      <c r="X4" s="425">
        <v>45627.0</v>
      </c>
    </row>
    <row r="5">
      <c r="A5" s="149" t="s">
        <v>345</v>
      </c>
      <c r="B5" s="349" t="str">
        <f>IFERROR(__xludf.DUMMYFUNCTION("IF(ISBLANK(A5),"""", googlefinance(A5, ""name""))"),"Amazon.com Inc")</f>
        <v>Amazon.com Inc</v>
      </c>
      <c r="C5" s="135">
        <f>IFERROR(__xludf.DUMMYFUNCTION("IF(ISBLANK(A5),"""", googlefinance(A5, ""price""))"),218.94)</f>
        <v>218.94</v>
      </c>
      <c r="D5" s="133">
        <v>225.2</v>
      </c>
      <c r="E5" s="133"/>
      <c r="F5" s="344">
        <f t="shared" si="4"/>
        <v>-0.02779751332</v>
      </c>
      <c r="G5" s="134">
        <v>6.02</v>
      </c>
      <c r="H5" s="135">
        <f>IFERROR(__xludf.DUMMYFUNCTION("IFERROR(googlefinance(A5,""change""),"""")"),2.12)</f>
        <v>2.12</v>
      </c>
      <c r="I5" s="136">
        <f>IFERROR(__xludf.DUMMYFUNCTION("iferror(GOOGLEFINANCE(A5,""changepct"")/100,"""")"),0.0098)</f>
        <v>0.0098</v>
      </c>
      <c r="J5" s="132">
        <f>IFERROR(__xludf.DUMMYFUNCTION("IF(ISBLANK(A5),"""", googlefinance(A5, ""low52""))"),161.43)</f>
        <v>161.43</v>
      </c>
      <c r="K5" s="350" t="str">
        <f>IFERROR(__xludf.DUMMYFUNCTION("IF(ISBLANK(A5),"""",IFERROR(SPARKLINE((C5-J5)/(L5-J5),{""charttype"",""bar"";""max"",1;""min"",0;""color1"",""2c79b5""}),""n/a""))"),"")</f>
        <v/>
      </c>
      <c r="L5" s="132">
        <f>IFERROR(__xludf.DUMMYFUNCTION("IF(ISBLANK(A5),"""", googlefinance(A5, ""high52""))"),258.6)</f>
        <v>258.6</v>
      </c>
      <c r="M5" s="343" t="s">
        <v>101</v>
      </c>
      <c r="N5" s="343" t="s">
        <v>110</v>
      </c>
      <c r="O5" s="343" t="s">
        <v>103</v>
      </c>
      <c r="P5" s="351">
        <f>IFERROR(__xludf.DUMMYFUNCTION("IF(ISBLANK(A5),"""", googlefinance(A5, ""PE""))"),30.52)</f>
        <v>30.52</v>
      </c>
      <c r="Q5" s="345">
        <f>IFERROR(__xludf.DUMMYFUNCTION("IF(ISBLANK(A5),"""", googlefinance(A5, ""eps""))"),7.17)</f>
        <v>7.17</v>
      </c>
      <c r="R5" s="140">
        <f>IFERROR(__xludf.DUMMYFUNCTION("IfError(IF(isblank(A5),"""",split(V5, ""()"")))"),0.0)</f>
        <v>0</v>
      </c>
      <c r="S5" s="136"/>
      <c r="T5" s="345">
        <f t="shared" si="1"/>
        <v>0</v>
      </c>
      <c r="U5" s="132">
        <f t="shared" si="2"/>
        <v>21894</v>
      </c>
      <c r="V5" s="348">
        <f>IFERROR(__xludf.DUMMYFUNCTION("IfError(IF(isblank(A5),"""", substitute(index(IMPORTHTML(""http://finviz.com/quote.ashx?t=""&amp;A5,""table"", 10),8,2),""*"","""")),0)"),0.0)</f>
        <v>0</v>
      </c>
      <c r="W5" s="146" t="str">
        <f t="shared" si="3"/>
        <v>Buy</v>
      </c>
      <c r="X5" s="425">
        <v>45628.0</v>
      </c>
    </row>
    <row r="6">
      <c r="A6" s="149" t="s">
        <v>344</v>
      </c>
      <c r="B6" s="349" t="str">
        <f>IFERROR(__xludf.DUMMYFUNCTION("IF(ISBLANK(A6),"""", googlefinance(A6, ""name""))"),"Meta Platforms Inc")</f>
        <v>Meta Platforms Inc</v>
      </c>
      <c r="C6" s="135">
        <f>IFERROR(__xludf.DUMMYFUNCTION("IF(ISBLANK(A6),"""", googlefinance(A6, ""price""))"),660.57)</f>
        <v>660.57</v>
      </c>
      <c r="D6" s="133">
        <v>764.52</v>
      </c>
      <c r="E6" s="133"/>
      <c r="F6" s="344">
        <f t="shared" si="4"/>
        <v>-0.135967666</v>
      </c>
      <c r="G6" s="134">
        <v>8.4</v>
      </c>
      <c r="H6" s="135">
        <f>IFERROR(__xludf.DUMMYFUNCTION("IFERROR(googlefinance(A6,""change""),"""")"),-7.16)</f>
        <v>-7.16</v>
      </c>
      <c r="I6" s="136">
        <f>IFERROR(__xludf.DUMMYFUNCTION("iferror(GOOGLEFINANCE(A6,""changepct"")/100,"""")"),-0.010700000000000001)</f>
        <v>-0.0107</v>
      </c>
      <c r="J6" s="132">
        <f>IFERROR(__xludf.DUMMYFUNCTION("IF(ISBLANK(A6),"""", googlefinance(A6, ""low52""))"),479.8)</f>
        <v>479.8</v>
      </c>
      <c r="K6" s="350" t="str">
        <f>IFERROR(__xludf.DUMMYFUNCTION("IF(ISBLANK(A6),"""",IFERROR(SPARKLINE((C6-J6)/(L6-J6),{""charttype"",""bar"";""max"",1;""min"",0;""color1"",""2c79b5""}),""n/a""))"),"")</f>
        <v/>
      </c>
      <c r="L6" s="132">
        <f>IFERROR(__xludf.DUMMYFUNCTION("IF(ISBLANK(A6),"""", googlefinance(A6, ""high52""))"),796.25)</f>
        <v>796.25</v>
      </c>
      <c r="M6" s="343" t="s">
        <v>101</v>
      </c>
      <c r="N6" s="343" t="s">
        <v>106</v>
      </c>
      <c r="O6" s="343" t="s">
        <v>103</v>
      </c>
      <c r="P6" s="351">
        <f>IFERROR(__xludf.DUMMYFUNCTION("IF(ISBLANK(A6),"""", googlefinance(A6, ""PE""))"),22.83)</f>
        <v>22.83</v>
      </c>
      <c r="Q6" s="345">
        <f>IFERROR(__xludf.DUMMYFUNCTION("IF(ISBLANK(A6),"""", googlefinance(A6, ""eps""))"),28.94)</f>
        <v>28.94</v>
      </c>
      <c r="R6" s="140">
        <f>IFERROR(__xludf.DUMMYFUNCTION("IfError(IF(isblank(A6),"""",split(V6, ""()"")))"),0.0)</f>
        <v>0</v>
      </c>
      <c r="S6" s="136"/>
      <c r="T6" s="345">
        <f t="shared" si="1"/>
        <v>0</v>
      </c>
      <c r="U6" s="132">
        <f t="shared" si="2"/>
        <v>66057</v>
      </c>
      <c r="V6" s="348">
        <f>IFERROR(__xludf.DUMMYFUNCTION("IfError(IF(isblank(A6),"""", substitute(index(IMPORTHTML(""http://finviz.com/quote.ashx?t=""&amp;A6,""table"", 10),8,2),""*"","""")),0)"),0.0)</f>
        <v>0</v>
      </c>
      <c r="W6" s="146" t="str">
        <f t="shared" si="3"/>
        <v>Buy</v>
      </c>
      <c r="X6" s="425">
        <v>45629.0</v>
      </c>
    </row>
    <row r="7">
      <c r="A7" s="149" t="s">
        <v>335</v>
      </c>
      <c r="B7" s="349" t="str">
        <f>IFERROR(__xludf.DUMMYFUNCTION("IF(ISBLANK(A7),"""", googlefinance(A7, ""name""))"),"NVIDIA Corp")</f>
        <v>NVIDIA Corp</v>
      </c>
      <c r="C7" s="135">
        <f>IFERROR(__xludf.DUMMYFUNCTION("IF(ISBLANK(A7),"""", googlefinance(A7, ""price""))"),183.34)</f>
        <v>183.34</v>
      </c>
      <c r="D7" s="133">
        <v>106.09</v>
      </c>
      <c r="E7" s="133"/>
      <c r="F7" s="344">
        <f t="shared" si="4"/>
        <v>0.7281553398</v>
      </c>
      <c r="G7" s="134">
        <v>9.11</v>
      </c>
      <c r="H7" s="135">
        <f>IFERROR(__xludf.DUMMYFUNCTION("IFERROR(googlefinance(A7,""change""),"""")"),0.3)</f>
        <v>0.3</v>
      </c>
      <c r="I7" s="136">
        <f>IFERROR(__xludf.DUMMYFUNCTION("iferror(GOOGLEFINANCE(A7,""changepct"")/100,"""")"),0.0016)</f>
        <v>0.0016</v>
      </c>
      <c r="J7" s="132">
        <f>IFERROR(__xludf.DUMMYFUNCTION("IF(ISBLANK(A7),"""", googlefinance(A7, ""low52""))"),86.63)</f>
        <v>86.63</v>
      </c>
      <c r="K7" s="350" t="str">
        <f>IFERROR(__xludf.DUMMYFUNCTION("IF(ISBLANK(A7),"""",IFERROR(SPARKLINE((C7-J7)/(L7-J7),{""charttype"",""bar"";""max"",1;""min"",0;""color1"",""2c79b5""}),""n/a""))"),"")</f>
        <v/>
      </c>
      <c r="L7" s="132">
        <f>IFERROR(__xludf.DUMMYFUNCTION("IF(ISBLANK(A7),"""", googlefinance(A7, ""high52""))"),212.19)</f>
        <v>212.19</v>
      </c>
      <c r="M7" s="343" t="s">
        <v>101</v>
      </c>
      <c r="N7" s="343" t="s">
        <v>102</v>
      </c>
      <c r="O7" s="343" t="s">
        <v>103</v>
      </c>
      <c r="P7" s="351">
        <f>IFERROR(__xludf.DUMMYFUNCTION("IF(ISBLANK(A7),"""", googlefinance(A7, ""PE""))"),37.43)</f>
        <v>37.43</v>
      </c>
      <c r="Q7" s="345">
        <f>IFERROR(__xludf.DUMMYFUNCTION("IF(ISBLANK(A7),"""", googlefinance(A7, ""eps""))"),4.9)</f>
        <v>4.9</v>
      </c>
      <c r="R7" s="140">
        <f>IFERROR(__xludf.DUMMYFUNCTION("IfError(IF(isblank(A7),"""",split(V7, ""()"")))"),0.0)</f>
        <v>0</v>
      </c>
      <c r="S7" s="136"/>
      <c r="T7" s="345">
        <f t="shared" si="1"/>
        <v>0</v>
      </c>
      <c r="U7" s="132">
        <f t="shared" si="2"/>
        <v>18334</v>
      </c>
      <c r="V7" s="348">
        <f>IFERROR(__xludf.DUMMYFUNCTION("IfError(IF(isblank(A7),"""", substitute(index(IMPORTHTML(""http://finviz.com/quote.ashx?t=""&amp;A7,""table"", 10),8,2),""*"","""")),0)"),0.0)</f>
        <v>0</v>
      </c>
      <c r="W7" s="146" t="str">
        <f t="shared" si="3"/>
        <v>Overrated</v>
      </c>
      <c r="X7" s="425">
        <v>45630.0</v>
      </c>
    </row>
    <row r="8">
      <c r="A8" s="427" t="s">
        <v>499</v>
      </c>
      <c r="B8" s="428" t="str">
        <f>IFERROR(__xludf.DUMMYFUNCTION("IF(ISBLANK(A8),"""", googlefinance(A8, ""name""))"),"Tesla Inc")</f>
        <v>Tesla Inc</v>
      </c>
      <c r="C8" s="429">
        <f>IFERROR(__xludf.DUMMYFUNCTION("IF(ISBLANK(A8),"""", googlefinance(A8, ""price""))"),405.55)</f>
        <v>405.55</v>
      </c>
      <c r="D8" s="430">
        <v>48.81</v>
      </c>
      <c r="E8" s="430"/>
      <c r="F8" s="431">
        <f t="shared" si="4"/>
        <v>7.308748207</v>
      </c>
      <c r="G8" s="134">
        <v>5.97</v>
      </c>
      <c r="H8" s="429">
        <f>IFERROR(__xludf.DUMMYFUNCTION("IFERROR(googlefinance(A8,""change""),"""")"),-0.39)</f>
        <v>-0.39</v>
      </c>
      <c r="I8" s="432">
        <f>IFERROR(__xludf.DUMMYFUNCTION("iferror(GOOGLEFINANCE(A8,""changepct"")/100,"""")"),-0.001)</f>
        <v>-0.001</v>
      </c>
      <c r="J8" s="433">
        <f>IFERROR(__xludf.DUMMYFUNCTION("IF(ISBLANK(A8),"""", googlefinance(A8, ""low52""))"),214.25)</f>
        <v>214.25</v>
      </c>
      <c r="K8" s="434" t="str">
        <f>IFERROR(__xludf.DUMMYFUNCTION("IF(ISBLANK(A8),"""",IFERROR(SPARKLINE((C8-J8)/(L8-J8),{""charttype"",""bar"";""max"",1;""min"",0;""color1"",""2c79b5""}),""n/a""))"),"")</f>
        <v/>
      </c>
      <c r="L8" s="433">
        <f>IFERROR(__xludf.DUMMYFUNCTION("IF(ISBLANK(A8),"""", googlefinance(A8, ""high52""))"),498.82)</f>
        <v>498.82</v>
      </c>
      <c r="M8" s="435" t="s">
        <v>101</v>
      </c>
      <c r="N8" s="435" t="s">
        <v>110</v>
      </c>
      <c r="O8" s="435" t="s">
        <v>103</v>
      </c>
      <c r="P8" s="436">
        <f>IFERROR(__xludf.DUMMYFUNCTION("IF(ISBLANK(A8),"""", googlefinance(A8, ""PE""))"),377.12)</f>
        <v>377.12</v>
      </c>
      <c r="Q8" s="437">
        <f>IFERROR(__xludf.DUMMYFUNCTION("IF(ISBLANK(A8),"""", googlefinance(A8, ""eps""))"),1.08)</f>
        <v>1.08</v>
      </c>
      <c r="R8" s="438">
        <f>IFERROR(__xludf.DUMMYFUNCTION("IfError(IF(isblank(A8),"""",split(V8, ""()"")))"),0.0)</f>
        <v>0</v>
      </c>
      <c r="S8" s="432"/>
      <c r="T8" s="437">
        <f t="shared" si="1"/>
        <v>0</v>
      </c>
      <c r="U8" s="433">
        <f t="shared" si="2"/>
        <v>40555</v>
      </c>
      <c r="V8" s="348">
        <f>IFERROR(__xludf.DUMMYFUNCTION("IfError(IF(isblank(A8),"""", substitute(index(IMPORTHTML(""http://finviz.com/quote.ashx?t=""&amp;A8,""table"", 10),8,2),""*"","""")),0)"),0.0)</f>
        <v>0</v>
      </c>
      <c r="W8" s="439" t="str">
        <f t="shared" si="3"/>
        <v>Overrated</v>
      </c>
      <c r="X8" s="440">
        <v>45633.0</v>
      </c>
    </row>
    <row r="9">
      <c r="A9" s="127" t="s">
        <v>105</v>
      </c>
      <c r="B9" s="349" t="str">
        <f>IFERROR(__xludf.DUMMYFUNCTION("IF(ISBLANK(A9),"""", googlefinance(A9, ""name""))"),"Walt Disney Co")</f>
        <v>Walt Disney Co</v>
      </c>
      <c r="C9" s="135">
        <f>IFERROR(__xludf.DUMMYFUNCTION("IF(ISBLANK(A9),"""", googlefinance(A9, ""price""))"),102.41)</f>
        <v>102.41</v>
      </c>
      <c r="D9" s="133">
        <v>89.15</v>
      </c>
      <c r="E9" s="133"/>
      <c r="F9" s="344">
        <f t="shared" si="4"/>
        <v>0.1487380819</v>
      </c>
      <c r="G9" s="134">
        <v>3.29</v>
      </c>
      <c r="H9" s="135">
        <f>IFERROR(__xludf.DUMMYFUNCTION("IFERROR(googlefinance(A9,""change""),"""")"),-0.63)</f>
        <v>-0.63</v>
      </c>
      <c r="I9" s="136">
        <f>IFERROR(__xludf.DUMMYFUNCTION("iferror(GOOGLEFINANCE(A9,""changepct"")/100,"""")"),-0.0060999999999999995)</f>
        <v>-0.0061</v>
      </c>
      <c r="J9" s="132">
        <f>IFERROR(__xludf.DUMMYFUNCTION("IF(ISBLANK(A9),"""", googlefinance(A9, ""low52""))"),80.1)</f>
        <v>80.1</v>
      </c>
      <c r="K9" s="350" t="str">
        <f>IFERROR(__xludf.DUMMYFUNCTION("IF(ISBLANK(A9),"""",IFERROR(SPARKLINE((C9-J9)/(L9-J9),{""charttype"",""bar"";""max"",1;""min"",0;""color1"",""2c79b5""}),""n/a""))"),"")</f>
        <v/>
      </c>
      <c r="L9" s="132">
        <f>IFERROR(__xludf.DUMMYFUNCTION("IF(ISBLANK(A9),"""", googlefinance(A9, ""high52""))"),124.69)</f>
        <v>124.69</v>
      </c>
      <c r="M9" s="343" t="s">
        <v>101</v>
      </c>
      <c r="N9" s="213" t="s">
        <v>106</v>
      </c>
      <c r="O9" s="213" t="s">
        <v>103</v>
      </c>
      <c r="P9" s="351">
        <f>IFERROR(__xludf.DUMMYFUNCTION("IF(ISBLANK(A9),"""", googlefinance(A9, ""PE""))"),15.09)</f>
        <v>15.09</v>
      </c>
      <c r="Q9" s="345">
        <f>IFERROR(__xludf.DUMMYFUNCTION("IF(ISBLANK(A9),"""", googlefinance(A9, ""eps""))"),6.79)</f>
        <v>6.79</v>
      </c>
      <c r="R9" s="140">
        <f>IFERROR(__xludf.DUMMYFUNCTION("IfError(IF(isblank(A9),"""",split(V9, ""()"")))"),0.0)</f>
        <v>0</v>
      </c>
      <c r="S9" s="136"/>
      <c r="T9" s="345">
        <f t="shared" si="1"/>
        <v>0</v>
      </c>
      <c r="U9" s="132">
        <f t="shared" si="2"/>
        <v>10241</v>
      </c>
      <c r="V9" s="348">
        <f>IFERROR(__xludf.DUMMYFUNCTION("IfError(IF(isblank(A9),"""", substitute(index(IMPORTHTML(""http://finviz.com/quote.ashx?t=""&amp;A9,""table"", 10),8,2),""*"","""")),0)"),0.0)</f>
        <v>0</v>
      </c>
      <c r="W9" s="146" t="str">
        <f t="shared" si="3"/>
        <v>Expensive</v>
      </c>
      <c r="X9" s="425">
        <v>45602.0</v>
      </c>
    </row>
    <row r="10">
      <c r="A10" s="149" t="s">
        <v>107</v>
      </c>
      <c r="B10" s="349" t="str">
        <f>IFERROR(__xludf.DUMMYFUNCTION("IF(ISBLANK(A10),"""", googlefinance(A10, ""name""))"),"Target Corp")</f>
        <v>Target Corp</v>
      </c>
      <c r="C10" s="135">
        <f>IFERROR(__xludf.DUMMYFUNCTION("IF(ISBLANK(A10),"""", googlefinance(A10, ""price""))"),120.36)</f>
        <v>120.36</v>
      </c>
      <c r="D10" s="133">
        <v>226.6</v>
      </c>
      <c r="E10" s="133"/>
      <c r="F10" s="344">
        <f t="shared" si="4"/>
        <v>-0.4688437776</v>
      </c>
      <c r="G10" s="134">
        <v>6.59</v>
      </c>
      <c r="H10" s="135">
        <f>IFERROR(__xludf.DUMMYFUNCTION("IFERROR(googlefinance(A10,""change""),"""")"),0.28)</f>
        <v>0.28</v>
      </c>
      <c r="I10" s="136">
        <f>IFERROR(__xludf.DUMMYFUNCTION("iferror(GOOGLEFINANCE(A10,""changepct"")/100,"""")"),0.0023)</f>
        <v>0.0023</v>
      </c>
      <c r="J10" s="132">
        <f>IFERROR(__xludf.DUMMYFUNCTION("IF(ISBLANK(A10),"""", googlefinance(A10, ""low52""))"),83.44)</f>
        <v>83.44</v>
      </c>
      <c r="K10" s="350" t="str">
        <f>IFERROR(__xludf.DUMMYFUNCTION("IF(ISBLANK(A10),"""",IFERROR(SPARKLINE((C10-J10)/(L10-J10),{""charttype"",""bar"";""max"",1;""min"",0;""color1"",""2c79b5""}),""n/a""))"),"")</f>
        <v/>
      </c>
      <c r="L10" s="132">
        <f>IFERROR(__xludf.DUMMYFUNCTION("IF(ISBLANK(A10),"""", googlefinance(A10, ""high52""))"),126.0)</f>
        <v>126</v>
      </c>
      <c r="M10" s="343" t="s">
        <v>101</v>
      </c>
      <c r="N10" s="213" t="s">
        <v>108</v>
      </c>
      <c r="O10" s="213" t="s">
        <v>103</v>
      </c>
      <c r="P10" s="351">
        <f>IFERROR(__xludf.DUMMYFUNCTION("IF(ISBLANK(A10),"""", googlefinance(A10, ""PE""))"),14.8)</f>
        <v>14.8</v>
      </c>
      <c r="Q10" s="345">
        <f>IFERROR(__xludf.DUMMYFUNCTION("IF(ISBLANK(A10),"""", googlefinance(A10, ""eps""))"),8.13)</f>
        <v>8.13</v>
      </c>
      <c r="R10" s="140">
        <f>IFERROR(__xludf.DUMMYFUNCTION("IfError(IF(isblank(A10),"""",split(V10, ""()"")))"),0.0)</f>
        <v>0</v>
      </c>
      <c r="S10" s="136"/>
      <c r="T10" s="345">
        <f t="shared" si="1"/>
        <v>0</v>
      </c>
      <c r="U10" s="132">
        <f t="shared" si="2"/>
        <v>12036</v>
      </c>
      <c r="V10" s="348">
        <f>IFERROR(__xludf.DUMMYFUNCTION("IfError(IF(isblank(A10),"""", substitute(index(IMPORTHTML(""http://finviz.com/quote.ashx?t=""&amp;A10,""table"", 10),8,2),""*"","""")),0)"),0.0)</f>
        <v>0</v>
      </c>
      <c r="W10" s="146" t="str">
        <f t="shared" si="3"/>
        <v>Strong Buy</v>
      </c>
      <c r="X10" s="425">
        <v>45603.0</v>
      </c>
    </row>
    <row r="11">
      <c r="A11" s="149" t="s">
        <v>111</v>
      </c>
      <c r="B11" s="349" t="str">
        <f>IFERROR(__xludf.DUMMYFUNCTION("IF(ISBLANK(A11),"""", googlefinance(A11, ""name""))"),"JPMorgan Chase &amp; Co")</f>
        <v>JPMorgan Chase &amp; Co</v>
      </c>
      <c r="C11" s="135">
        <f>IFERROR(__xludf.DUMMYFUNCTION("IF(ISBLANK(A11),"""", googlefinance(A11, ""price""))"),293.55)</f>
        <v>293.55</v>
      </c>
      <c r="D11" s="133">
        <v>287.74</v>
      </c>
      <c r="E11" s="133"/>
      <c r="F11" s="344">
        <f t="shared" si="4"/>
        <v>0.02019183986</v>
      </c>
      <c r="G11" s="134">
        <v>6.82</v>
      </c>
      <c r="H11" s="135">
        <f>IFERROR(__xludf.DUMMYFUNCTION("IFERROR(googlefinance(A11,""change""),"""")"),-5.84)</f>
        <v>-5.84</v>
      </c>
      <c r="I11" s="136">
        <f>IFERROR(__xludf.DUMMYFUNCTION("iferror(GOOGLEFINANCE(A11,""changepct"")/100,"""")"),-0.0195)</f>
        <v>-0.0195</v>
      </c>
      <c r="J11" s="132">
        <f>IFERROR(__xludf.DUMMYFUNCTION("IF(ISBLANK(A11),"""", googlefinance(A11, ""low52""))"),202.16)</f>
        <v>202.16</v>
      </c>
      <c r="K11" s="350" t="str">
        <f>IFERROR(__xludf.DUMMYFUNCTION("IF(ISBLANK(A11),"""",IFERROR(SPARKLINE((C11-J11)/(L11-J11),{""charttype"",""bar"";""max"",1;""min"",0;""color1"",""2c79b5""}),""n/a""))"),"")</f>
        <v/>
      </c>
      <c r="L11" s="132">
        <f>IFERROR(__xludf.DUMMYFUNCTION("IF(ISBLANK(A11),"""", googlefinance(A11, ""high52""))"),337.25)</f>
        <v>337.25</v>
      </c>
      <c r="M11" s="343" t="s">
        <v>101</v>
      </c>
      <c r="N11" s="213" t="s">
        <v>112</v>
      </c>
      <c r="O11" s="213" t="s">
        <v>113</v>
      </c>
      <c r="P11" s="351">
        <f>IFERROR(__xludf.DUMMYFUNCTION("IF(ISBLANK(A11),"""", googlefinance(A11, ""PE""))"),14.66)</f>
        <v>14.66</v>
      </c>
      <c r="Q11" s="345">
        <f>IFERROR(__xludf.DUMMYFUNCTION("IF(ISBLANK(A11),"""", googlefinance(A11, ""eps""))"),20.02)</f>
        <v>20.02</v>
      </c>
      <c r="R11" s="140">
        <f>IFERROR(__xludf.DUMMYFUNCTION("IfError(IF(isblank(A11),"""",split(V11, ""()"")))"),0.0)</f>
        <v>0</v>
      </c>
      <c r="S11" s="136"/>
      <c r="T11" s="345">
        <f t="shared" si="1"/>
        <v>0</v>
      </c>
      <c r="U11" s="132">
        <f t="shared" si="2"/>
        <v>29355</v>
      </c>
      <c r="V11" s="348">
        <f>IFERROR(__xludf.DUMMYFUNCTION("IfError(IF(isblank(A11),"""", substitute(index(IMPORTHTML(""http://finviz.com/quote.ashx?t=""&amp;A11,""table"", 10),8,2),""*"","""")),0)"),0.0)</f>
        <v>0</v>
      </c>
      <c r="W11" s="146" t="str">
        <f t="shared" si="3"/>
        <v>Expensive</v>
      </c>
      <c r="X11" s="425">
        <v>45604.0</v>
      </c>
    </row>
    <row r="12">
      <c r="A12" s="149" t="s">
        <v>114</v>
      </c>
      <c r="B12" s="349" t="str">
        <f>IFERROR(__xludf.DUMMYFUNCTION("IF(ISBLANK(A12),"""", googlefinance(A12, ""name""))"),"Coca-Cola Co")</f>
        <v>Coca-Cola Co</v>
      </c>
      <c r="C12" s="135">
        <f>IFERROR(__xludf.DUMMYFUNCTION("IF(ISBLANK(A12),"""", googlefinance(A12, ""price""))"),77.03)</f>
        <v>77.03</v>
      </c>
      <c r="D12" s="133">
        <v>40.7</v>
      </c>
      <c r="E12" s="133"/>
      <c r="F12" s="344">
        <f t="shared" si="4"/>
        <v>0.8926289926</v>
      </c>
      <c r="G12" s="134">
        <v>6.0</v>
      </c>
      <c r="H12" s="135">
        <f>IFERROR(__xludf.DUMMYFUNCTION("IFERROR(googlefinance(A12,""change""),"""")"),-1.07)</f>
        <v>-1.07</v>
      </c>
      <c r="I12" s="136">
        <f>IFERROR(__xludf.DUMMYFUNCTION("iferror(GOOGLEFINANCE(A12,""changepct"")/100,"""")"),-0.0137)</f>
        <v>-0.0137</v>
      </c>
      <c r="J12" s="132">
        <f>IFERROR(__xludf.DUMMYFUNCTION("IF(ISBLANK(A12),"""", googlefinance(A12, ""low52""))"),65.35)</f>
        <v>65.35</v>
      </c>
      <c r="K12" s="350" t="str">
        <f>IFERROR(__xludf.DUMMYFUNCTION("IF(ISBLANK(A12),"""",IFERROR(SPARKLINE((C12-J12)/(L12-J12),{""charttype"",""bar"";""max"",1;""min"",0;""color1"",""2c79b5""}),""n/a""))"),"")</f>
        <v/>
      </c>
      <c r="L12" s="132">
        <f>IFERROR(__xludf.DUMMYFUNCTION("IF(ISBLANK(A12),"""", googlefinance(A12, ""high52""))"),82.0)</f>
        <v>82</v>
      </c>
      <c r="M12" s="343" t="s">
        <v>101</v>
      </c>
      <c r="N12" s="213" t="s">
        <v>108</v>
      </c>
      <c r="O12" s="213" t="s">
        <v>113</v>
      </c>
      <c r="P12" s="351">
        <f>IFERROR(__xludf.DUMMYFUNCTION("IF(ISBLANK(A12),"""", googlefinance(A12, ""PE""))"),25.35)</f>
        <v>25.35</v>
      </c>
      <c r="Q12" s="345">
        <f>IFERROR(__xludf.DUMMYFUNCTION("IF(ISBLANK(A12),"""", googlefinance(A12, ""eps""))"),3.04)</f>
        <v>3.04</v>
      </c>
      <c r="R12" s="140">
        <f>IFERROR(__xludf.DUMMYFUNCTION("IfError(IF(isblank(A12),"""",split(V12, ""()"")))"),0.0)</f>
        <v>0</v>
      </c>
      <c r="S12" s="136"/>
      <c r="T12" s="345">
        <f t="shared" si="1"/>
        <v>0</v>
      </c>
      <c r="U12" s="132">
        <f t="shared" si="2"/>
        <v>7703</v>
      </c>
      <c r="V12" s="348">
        <f>IFERROR(__xludf.DUMMYFUNCTION("IfError(IF(isblank(A12),"""", substitute(index(IMPORTHTML(""http://finviz.com/quote.ashx?t=""&amp;A12,""table"", 10),8,2),""*"","""")),0)"),0.0)</f>
        <v>0</v>
      </c>
      <c r="W12" s="146" t="str">
        <f t="shared" si="3"/>
        <v>Overrated</v>
      </c>
      <c r="X12" s="425">
        <v>45605.0</v>
      </c>
    </row>
    <row r="13">
      <c r="A13" s="149" t="s">
        <v>115</v>
      </c>
      <c r="B13" s="349" t="str">
        <f>IFERROR(__xludf.DUMMYFUNCTION("IF(ISBLANK(A13),"""", googlefinance(A13, ""name""))"),"Realty Income Corp")</f>
        <v>Realty Income Corp</v>
      </c>
      <c r="C13" s="135">
        <f>IFERROR(__xludf.DUMMYFUNCTION("IF(ISBLANK(A13),"""", googlefinance(A13, ""price""))"),64.8)</f>
        <v>64.8</v>
      </c>
      <c r="D13" s="133">
        <v>33.62</v>
      </c>
      <c r="E13" s="133"/>
      <c r="F13" s="344">
        <f t="shared" si="4"/>
        <v>0.9274241523</v>
      </c>
      <c r="G13" s="134">
        <v>3.92</v>
      </c>
      <c r="H13" s="135">
        <f>IFERROR(__xludf.DUMMYFUNCTION("IFERROR(googlefinance(A13,""change""),"""")"),-1.2)</f>
        <v>-1.2</v>
      </c>
      <c r="I13" s="136">
        <f>IFERROR(__xludf.DUMMYFUNCTION("iferror(GOOGLEFINANCE(A13,""changepct"")/100,"""")"),-0.0182)</f>
        <v>-0.0182</v>
      </c>
      <c r="J13" s="132">
        <f>IFERROR(__xludf.DUMMYFUNCTION("IF(ISBLANK(A13),"""", googlefinance(A13, ""low52""))"),50.71)</f>
        <v>50.71</v>
      </c>
      <c r="K13" s="350" t="str">
        <f>IFERROR(__xludf.DUMMYFUNCTION("IF(ISBLANK(A13),"""",IFERROR(SPARKLINE((C13-J13)/(L13-J13),{""charttype"",""bar"";""max"",1;""min"",0;""color1"",""2c79b5""}),""n/a""))"),"")</f>
        <v/>
      </c>
      <c r="L13" s="132">
        <f>IFERROR(__xludf.DUMMYFUNCTION("IF(ISBLANK(A13),"""", googlefinance(A13, ""high52""))"),67.94)</f>
        <v>67.94</v>
      </c>
      <c r="M13" s="343" t="s">
        <v>101</v>
      </c>
      <c r="N13" s="213" t="s">
        <v>116</v>
      </c>
      <c r="O13" s="213" t="s">
        <v>113</v>
      </c>
      <c r="P13" s="351">
        <f>IFERROR(__xludf.DUMMYFUNCTION("IF(ISBLANK(A13),"""", googlefinance(A13, ""PE""))"),55.6)</f>
        <v>55.6</v>
      </c>
      <c r="Q13" s="345">
        <f>IFERROR(__xludf.DUMMYFUNCTION("IF(ISBLANK(A13),"""", googlefinance(A13, ""eps""))"),1.17)</f>
        <v>1.17</v>
      </c>
      <c r="R13" s="140">
        <f>IFERROR(__xludf.DUMMYFUNCTION("IfError(IF(isblank(A13),"""",split(V13, ""()"")))"),0.0)</f>
        <v>0</v>
      </c>
      <c r="S13" s="136"/>
      <c r="T13" s="345">
        <f t="shared" si="1"/>
        <v>0</v>
      </c>
      <c r="U13" s="132">
        <f t="shared" si="2"/>
        <v>6480</v>
      </c>
      <c r="V13" s="348">
        <f>IFERROR(__xludf.DUMMYFUNCTION("IfError(IF(isblank(A13),"""", substitute(index(IMPORTHTML(""http://finviz.com/quote.ashx?t=""&amp;A13,""table"", 10),8,2),""*"","""")),0)"),0.0)</f>
        <v>0</v>
      </c>
      <c r="W13" s="146" t="str">
        <f t="shared" si="3"/>
        <v>Overrated</v>
      </c>
      <c r="X13" s="425">
        <v>45606.0</v>
      </c>
    </row>
    <row r="14">
      <c r="A14" s="149" t="s">
        <v>109</v>
      </c>
      <c r="B14" s="349" t="str">
        <f>IFERROR(__xludf.DUMMYFUNCTION("IF(ISBLANK(A14),"""", googlefinance(A14, ""name""))"),"Starbucks Corp")</f>
        <v>Starbucks Corp</v>
      </c>
      <c r="C14" s="135">
        <f>IFERROR(__xludf.DUMMYFUNCTION("IF(ISBLANK(A14),"""", googlefinance(A14, ""price""))"),98.69)</f>
        <v>98.69</v>
      </c>
      <c r="D14" s="133">
        <v>89.57</v>
      </c>
      <c r="E14" s="133"/>
      <c r="F14" s="344">
        <f t="shared" si="4"/>
        <v>0.1018198057</v>
      </c>
      <c r="G14" s="134">
        <v>5.17</v>
      </c>
      <c r="H14" s="135">
        <f>IFERROR(__xludf.DUMMYFUNCTION("IFERROR(googlefinance(A14,""change""),"""")"),1.54)</f>
        <v>1.54</v>
      </c>
      <c r="I14" s="136">
        <f>IFERROR(__xludf.DUMMYFUNCTION("iferror(GOOGLEFINANCE(A14,""changepct"")/100,"""")"),0.0159)</f>
        <v>0.0159</v>
      </c>
      <c r="J14" s="132">
        <f>IFERROR(__xludf.DUMMYFUNCTION("IF(ISBLANK(A14),"""", googlefinance(A14, ""low52""))"),75.5)</f>
        <v>75.5</v>
      </c>
      <c r="K14" s="350" t="str">
        <f>IFERROR(__xludf.DUMMYFUNCTION("IF(ISBLANK(A14),"""",IFERROR(SPARKLINE((C14-J14)/(L14-J14),{""charttype"",""bar"";""max"",1;""min"",0;""color1"",""2c79b5""}),""n/a""))"),"")</f>
        <v/>
      </c>
      <c r="L14" s="132">
        <f>IFERROR(__xludf.DUMMYFUNCTION("IF(ISBLANK(A14),"""", googlefinance(A14, ""high52""))"),110.43)</f>
        <v>110.43</v>
      </c>
      <c r="M14" s="343" t="s">
        <v>101</v>
      </c>
      <c r="N14" s="343" t="s">
        <v>110</v>
      </c>
      <c r="O14" s="343" t="s">
        <v>103</v>
      </c>
      <c r="P14" s="351">
        <f>IFERROR(__xludf.DUMMYFUNCTION("IF(ISBLANK(A14),"""", googlefinance(A14, ""PE""))"),82.21)</f>
        <v>82.21</v>
      </c>
      <c r="Q14" s="345">
        <f>IFERROR(__xludf.DUMMYFUNCTION("IF(ISBLANK(A14),"""", googlefinance(A14, ""eps""))"),1.2)</f>
        <v>1.2</v>
      </c>
      <c r="R14" s="140">
        <f>IFERROR(__xludf.DUMMYFUNCTION("IfError(IF(isblank(A14),"""",split(V14, ""()"")))"),0.0)</f>
        <v>0</v>
      </c>
      <c r="S14" s="136"/>
      <c r="T14" s="345">
        <f t="shared" si="1"/>
        <v>0</v>
      </c>
      <c r="U14" s="132">
        <f t="shared" si="2"/>
        <v>9869</v>
      </c>
      <c r="V14" s="348">
        <f>IFERROR(__xludf.DUMMYFUNCTION("IfError(IF(isblank(A14),"""", substitute(index(IMPORTHTML(""http://finviz.com/quote.ashx?t=""&amp;A14,""table"", 10),8,2),""*"","""")),0)"),0.0)</f>
        <v>0</v>
      </c>
      <c r="W14" s="146" t="str">
        <f t="shared" si="3"/>
        <v>Expensive</v>
      </c>
      <c r="X14" s="425">
        <v>45637.0</v>
      </c>
    </row>
    <row r="15">
      <c r="A15" s="340" t="s">
        <v>308</v>
      </c>
      <c r="B15" s="349" t="str">
        <f>IFERROR(__xludf.DUMMYFUNCTION("IF(ISBLANK(A15),"""", googlefinance(A15, ""name""))"),"Visa Inc")</f>
        <v>Visa Inc</v>
      </c>
      <c r="C15" s="135">
        <f>IFERROR(__xludf.DUMMYFUNCTION("IF(ISBLANK(A15),"""", googlefinance(A15, ""price""))"),319.8)</f>
        <v>319.8</v>
      </c>
      <c r="D15" s="133">
        <v>207.57</v>
      </c>
      <c r="E15" s="133"/>
      <c r="F15" s="344">
        <f t="shared" si="4"/>
        <v>0.5406850701</v>
      </c>
      <c r="G15" s="134">
        <v>8.71</v>
      </c>
      <c r="H15" s="135">
        <f>IFERROR(__xludf.DUMMYFUNCTION("IFERROR(googlefinance(A15,""change""),"""")"),-0.67)</f>
        <v>-0.67</v>
      </c>
      <c r="I15" s="136">
        <f>IFERROR(__xludf.DUMMYFUNCTION("iferror(GOOGLEFINANCE(A15,""changepct"")/100,"""")"),-0.0021)</f>
        <v>-0.0021</v>
      </c>
      <c r="J15" s="132">
        <f>IFERROR(__xludf.DUMMYFUNCTION("IF(ISBLANK(A15),"""", googlefinance(A15, ""low52""))"),299.0)</f>
        <v>299</v>
      </c>
      <c r="K15" s="350" t="str">
        <f>IFERROR(__xludf.DUMMYFUNCTION("IF(ISBLANK(A15),"""",IFERROR(SPARKLINE((C15-J15)/(L15-J15),{""charttype"",""bar"";""max"",1;""min"",0;""color1"",""2c79b5""}),""n/a""))"),"")</f>
        <v/>
      </c>
      <c r="L15" s="132">
        <f>IFERROR(__xludf.DUMMYFUNCTION("IF(ISBLANK(A15),"""", googlefinance(A15, ""high52""))"),375.51)</f>
        <v>375.51</v>
      </c>
      <c r="M15" s="343" t="s">
        <v>101</v>
      </c>
      <c r="N15" s="343" t="s">
        <v>112</v>
      </c>
      <c r="O15" s="343" t="s">
        <v>103</v>
      </c>
      <c r="P15" s="351">
        <f>IFERROR(__xludf.DUMMYFUNCTION("IF(ISBLANK(A15),"""", googlefinance(A15, ""PE""))"),30.01)</f>
        <v>30.01</v>
      </c>
      <c r="Q15" s="345">
        <f>IFERROR(__xludf.DUMMYFUNCTION("IF(ISBLANK(A15),"""", googlefinance(A15, ""eps""))"),10.65)</f>
        <v>10.65</v>
      </c>
      <c r="R15" s="140">
        <f>IFERROR(__xludf.DUMMYFUNCTION("IfError(IF(isblank(A15),"""",split(V15, ""()"")))"),0.0)</f>
        <v>0</v>
      </c>
      <c r="S15" s="136"/>
      <c r="T15" s="345">
        <f t="shared" si="1"/>
        <v>0</v>
      </c>
      <c r="U15" s="132">
        <f t="shared" si="2"/>
        <v>31980</v>
      </c>
      <c r="V15" s="348">
        <f>IFERROR(__xludf.DUMMYFUNCTION("IfError(IF(isblank(A15),"""", substitute(index(IMPORTHTML(""http://finviz.com/quote.ashx?t=""&amp;A15,""table"", 10),8,2),""*"","""")),0)"),0.0)</f>
        <v>0</v>
      </c>
      <c r="W15" s="146" t="str">
        <f t="shared" si="3"/>
        <v>Overrated</v>
      </c>
      <c r="X15" s="425">
        <v>45637.0</v>
      </c>
    </row>
    <row r="16">
      <c r="A16" s="149" t="s">
        <v>117</v>
      </c>
      <c r="B16" s="349" t="str">
        <f>IFERROR(__xludf.DUMMYFUNCTION("IF(ISBLANK(A16),"""", googlefinance(A16, ""name""))"),"VICI Properties Inc")</f>
        <v>VICI Properties Inc</v>
      </c>
      <c r="C16" s="135">
        <f>IFERROR(__xludf.DUMMYFUNCTION("IF(ISBLANK(A16),"""", googlefinance(A16, ""price""))"),29.69)</f>
        <v>29.69</v>
      </c>
      <c r="D16" s="133">
        <v>86.13</v>
      </c>
      <c r="E16" s="133"/>
      <c r="F16" s="344">
        <f t="shared" si="4"/>
        <v>-0.6552885174</v>
      </c>
      <c r="G16" s="134">
        <v>5.78</v>
      </c>
      <c r="H16" s="135">
        <f>IFERROR(__xludf.DUMMYFUNCTION("IFERROR(googlefinance(A16,""change""),"""")"),-0.2)</f>
        <v>-0.2</v>
      </c>
      <c r="I16" s="136">
        <f>IFERROR(__xludf.DUMMYFUNCTION("iferror(GOOGLEFINANCE(A16,""changepct"")/100,"""")"),-0.0067)</f>
        <v>-0.0067</v>
      </c>
      <c r="J16" s="132">
        <f>IFERROR(__xludf.DUMMYFUNCTION("IF(ISBLANK(A16),"""", googlefinance(A16, ""low52""))"),27.48)</f>
        <v>27.48</v>
      </c>
      <c r="K16" s="350" t="str">
        <f>IFERROR(__xludf.DUMMYFUNCTION("IF(ISBLANK(A16),"""",IFERROR(SPARKLINE((C16-J16)/(L16-J16),{""charttype"",""bar"";""max"",1;""min"",0;""color1"",""2c79b5""}),""n/a""))"),"")</f>
        <v/>
      </c>
      <c r="L16" s="132">
        <f>IFERROR(__xludf.DUMMYFUNCTION("IF(ISBLANK(A16),"""", googlefinance(A16, ""high52""))"),34.03)</f>
        <v>34.03</v>
      </c>
      <c r="M16" s="343" t="s">
        <v>101</v>
      </c>
      <c r="N16" s="343" t="s">
        <v>116</v>
      </c>
      <c r="O16" s="343" t="s">
        <v>113</v>
      </c>
      <c r="P16" s="351">
        <f>IFERROR(__xludf.DUMMYFUNCTION("IF(ISBLANK(A16),"""", googlefinance(A16, ""PE""))"),11.37)</f>
        <v>11.37</v>
      </c>
      <c r="Q16" s="345">
        <f>IFERROR(__xludf.DUMMYFUNCTION("IF(ISBLANK(A16),"""", googlefinance(A16, ""eps""))"),2.61)</f>
        <v>2.61</v>
      </c>
      <c r="R16" s="140">
        <f>IFERROR(__xludf.DUMMYFUNCTION("IfError(IF(isblank(A16),"""",split(V16, ""()"")))"),0.0)</f>
        <v>0</v>
      </c>
      <c r="S16" s="136"/>
      <c r="T16" s="345">
        <f t="shared" si="1"/>
        <v>0</v>
      </c>
      <c r="U16" s="132">
        <f t="shared" si="2"/>
        <v>2969</v>
      </c>
      <c r="V16" s="348">
        <f>IFERROR(__xludf.DUMMYFUNCTION("IfError(IF(isblank(A16),"""", substitute(index(IMPORTHTML(""http://finviz.com/quote.ashx?t=""&amp;A16,""table"", 10),8,2),""*"","""")),0)"),0.0)</f>
        <v>0</v>
      </c>
      <c r="W16" s="146" t="str">
        <f t="shared" si="3"/>
        <v>Strong Buy</v>
      </c>
      <c r="X16" s="425">
        <v>45637.0</v>
      </c>
    </row>
    <row r="17">
      <c r="A17" s="149" t="s">
        <v>311</v>
      </c>
      <c r="B17" s="349" t="str">
        <f>IFERROR(__xludf.DUMMYFUNCTION("IF(ISBLANK(A17),"""", googlefinance(A17, ""name""))"),"Altria Group Inc")</f>
        <v>Altria Group Inc</v>
      </c>
      <c r="C17" s="135">
        <f>IFERROR(__xludf.DUMMYFUNCTION("IF(ISBLANK(A17),"""", googlefinance(A17, ""price""))"),66.98)</f>
        <v>66.98</v>
      </c>
      <c r="D17" s="133">
        <v>94.06</v>
      </c>
      <c r="E17" s="133"/>
      <c r="F17" s="344">
        <f t="shared" si="4"/>
        <v>-0.2879013396</v>
      </c>
      <c r="G17" s="134">
        <v>6.26</v>
      </c>
      <c r="H17" s="135">
        <f>IFERROR(__xludf.DUMMYFUNCTION("IFERROR(googlefinance(A17,""change""),"""")"),-1.14)</f>
        <v>-1.14</v>
      </c>
      <c r="I17" s="136">
        <f>IFERROR(__xludf.DUMMYFUNCTION("iferror(GOOGLEFINANCE(A17,""changepct"")/100,"""")"),-0.0166)</f>
        <v>-0.0166</v>
      </c>
      <c r="J17" s="132">
        <f>IFERROR(__xludf.DUMMYFUNCTION("IF(ISBLANK(A17),"""", googlefinance(A17, ""low52""))"),52.82)</f>
        <v>52.82</v>
      </c>
      <c r="K17" s="350" t="str">
        <f>IFERROR(__xludf.DUMMYFUNCTION("IF(ISBLANK(A17),"""",IFERROR(SPARKLINE((C17-J17)/(L17-J17),{""charttype"",""bar"";""max"",1;""min"",0;""color1"",""2c79b5""}),""n/a""))"),"")</f>
        <v/>
      </c>
      <c r="L17" s="132">
        <f>IFERROR(__xludf.DUMMYFUNCTION("IF(ISBLANK(A17),"""", googlefinance(A17, ""high52""))"),70.51)</f>
        <v>70.51</v>
      </c>
      <c r="M17" s="343" t="s">
        <v>101</v>
      </c>
      <c r="N17" s="343" t="s">
        <v>108</v>
      </c>
      <c r="O17" s="343" t="s">
        <v>113</v>
      </c>
      <c r="P17" s="351">
        <f>IFERROR(__xludf.DUMMYFUNCTION("IF(ISBLANK(A17),"""", googlefinance(A17, ""PE""))"),16.27)</f>
        <v>16.27</v>
      </c>
      <c r="Q17" s="345">
        <f>IFERROR(__xludf.DUMMYFUNCTION("IF(ISBLANK(A17),"""", googlefinance(A17, ""eps""))"),4.12)</f>
        <v>4.12</v>
      </c>
      <c r="R17" s="140">
        <f>IFERROR(__xludf.DUMMYFUNCTION("IfError(IF(isblank(A17),"""",split(V17, ""()"")))"),0.0)</f>
        <v>0</v>
      </c>
      <c r="S17" s="136"/>
      <c r="T17" s="345">
        <f t="shared" si="1"/>
        <v>0</v>
      </c>
      <c r="U17" s="132">
        <f t="shared" si="2"/>
        <v>6698</v>
      </c>
      <c r="V17" s="348">
        <f>IFERROR(__xludf.DUMMYFUNCTION("IfError(IF(isblank(A17),"""", substitute(index(IMPORTHTML(""http://finviz.com/quote.ashx?t=""&amp;A17,""table"", 10),8,2),""*"","""")),0)"),0.0)</f>
        <v>0</v>
      </c>
      <c r="W17" s="146" t="str">
        <f t="shared" si="3"/>
        <v>Strong Buy</v>
      </c>
      <c r="X17" s="425">
        <v>45638.0</v>
      </c>
    </row>
    <row r="18">
      <c r="A18" s="149" t="s">
        <v>310</v>
      </c>
      <c r="B18" s="349" t="str">
        <f>IFERROR(__xludf.DUMMYFUNCTION("IF(ISBLANK(A18),"""", googlefinance(A18, ""name""))"),"PepsiCo Inc")</f>
        <v>PepsiCo Inc</v>
      </c>
      <c r="C18" s="135">
        <f>IFERROR(__xludf.DUMMYFUNCTION("IF(ISBLANK(A18),"""", googlefinance(A18, ""price""))"),160.7)</f>
        <v>160.7</v>
      </c>
      <c r="D18" s="133">
        <v>120.16</v>
      </c>
      <c r="E18" s="133"/>
      <c r="F18" s="344">
        <f t="shared" si="4"/>
        <v>0.3373834887</v>
      </c>
      <c r="G18" s="134">
        <v>5.99</v>
      </c>
      <c r="H18" s="135">
        <f>IFERROR(__xludf.DUMMYFUNCTION("IFERROR(googlefinance(A18,""change""),"""")"),-3.22)</f>
        <v>-3.22</v>
      </c>
      <c r="I18" s="136">
        <f>IFERROR(__xludf.DUMMYFUNCTION("iferror(GOOGLEFINANCE(A18,""changepct"")/100,"""")"),-0.0196)</f>
        <v>-0.0196</v>
      </c>
      <c r="J18" s="132">
        <f>IFERROR(__xludf.DUMMYFUNCTION("IF(ISBLANK(A18),"""", googlefinance(A18, ""low52""))"),127.6)</f>
        <v>127.6</v>
      </c>
      <c r="K18" s="350" t="str">
        <f>IFERROR(__xludf.DUMMYFUNCTION("IF(ISBLANK(A18),"""",IFERROR(SPARKLINE((C18-J18)/(L18-J18),{""charttype"",""bar"";""max"",1;""min"",0;""color1"",""2c79b5""}),""n/a""))"),"")</f>
        <v/>
      </c>
      <c r="L18" s="132">
        <f>IFERROR(__xludf.DUMMYFUNCTION("IF(ISBLANK(A18),"""", googlefinance(A18, ""high52""))"),171.48)</f>
        <v>171.48</v>
      </c>
      <c r="M18" s="343" t="s">
        <v>101</v>
      </c>
      <c r="N18" s="343" t="s">
        <v>108</v>
      </c>
      <c r="O18" s="343" t="s">
        <v>113</v>
      </c>
      <c r="P18" s="351">
        <f>IFERROR(__xludf.DUMMYFUNCTION("IF(ISBLANK(A18),"""", googlefinance(A18, ""PE""))"),26.78)</f>
        <v>26.78</v>
      </c>
      <c r="Q18" s="345">
        <f>IFERROR(__xludf.DUMMYFUNCTION("IF(ISBLANK(A18),"""", googlefinance(A18, ""eps""))"),6.0)</f>
        <v>6</v>
      </c>
      <c r="R18" s="140">
        <f>IFERROR(__xludf.DUMMYFUNCTION("IfError(IF(isblank(A18),"""",split(V18, ""()"")))"),0.0)</f>
        <v>0</v>
      </c>
      <c r="S18" s="136"/>
      <c r="T18" s="345">
        <f t="shared" si="1"/>
        <v>0</v>
      </c>
      <c r="U18" s="132">
        <f t="shared" si="2"/>
        <v>16070</v>
      </c>
      <c r="V18" s="348">
        <f>IFERROR(__xludf.DUMMYFUNCTION("IfError(IF(isblank(A18),"""", substitute(index(IMPORTHTML(""http://finviz.com/quote.ashx?t=""&amp;A18,""table"", 10),8,2),""*"","""")),0)"),0.0)</f>
        <v>0</v>
      </c>
      <c r="W18" s="146" t="str">
        <f t="shared" si="3"/>
        <v>Overrated</v>
      </c>
      <c r="X18" s="425">
        <v>45639.0</v>
      </c>
    </row>
    <row r="19">
      <c r="A19" s="149" t="s">
        <v>312</v>
      </c>
      <c r="B19" s="349" t="str">
        <f>IFERROR(__xludf.DUMMYFUNCTION("IF(ISBLANK(A19),"""", googlefinance(A19, ""name""))"),"AbbVie Common Stock")</f>
        <v>AbbVie Common Stock</v>
      </c>
      <c r="C19" s="135">
        <f>IFERROR(__xludf.DUMMYFUNCTION("IF(ISBLANK(A19),"""", googlefinance(A19, ""price""))"),232.35)</f>
        <v>232.35</v>
      </c>
      <c r="D19" s="133">
        <v>124.34</v>
      </c>
      <c r="E19" s="133"/>
      <c r="F19" s="344">
        <f t="shared" si="4"/>
        <v>0.8686665594</v>
      </c>
      <c r="G19" s="134">
        <v>5.34</v>
      </c>
      <c r="H19" s="135">
        <f>IFERROR(__xludf.DUMMYFUNCTION("IFERROR(googlefinance(A19,""change""),"""")"),-3.84)</f>
        <v>-3.84</v>
      </c>
      <c r="I19" s="136">
        <f>IFERROR(__xludf.DUMMYFUNCTION("iferror(GOOGLEFINANCE(A19,""changepct"")/100,"""")"),-0.0163)</f>
        <v>-0.0163</v>
      </c>
      <c r="J19" s="132">
        <f>IFERROR(__xludf.DUMMYFUNCTION("IF(ISBLANK(A19),"""", googlefinance(A19, ""low52""))"),164.39)</f>
        <v>164.39</v>
      </c>
      <c r="K19" s="350" t="str">
        <f>IFERROR(__xludf.DUMMYFUNCTION("IF(ISBLANK(A19),"""",IFERROR(SPARKLINE((C19-J19)/(L19-J19),{""charttype"",""bar"";""max"",1;""min"",0;""color1"",""2c79b5""}),""n/a""))"),"")</f>
        <v/>
      </c>
      <c r="L19" s="132">
        <f>IFERROR(__xludf.DUMMYFUNCTION("IF(ISBLANK(A19),"""", googlefinance(A19, ""high52""))"),244.81)</f>
        <v>244.81</v>
      </c>
      <c r="M19" s="343" t="s">
        <v>101</v>
      </c>
      <c r="N19" s="343" t="s">
        <v>119</v>
      </c>
      <c r="O19" s="343" t="s">
        <v>113</v>
      </c>
      <c r="P19" s="351">
        <f>IFERROR(__xludf.DUMMYFUNCTION("IF(ISBLANK(A19),"""", googlefinance(A19, ""PE""))"),98.41)</f>
        <v>98.41</v>
      </c>
      <c r="Q19" s="345">
        <f>IFERROR(__xludf.DUMMYFUNCTION("IF(ISBLANK(A19),"""", googlefinance(A19, ""eps""))"),2.36)</f>
        <v>2.36</v>
      </c>
      <c r="R19" s="140">
        <f>IFERROR(__xludf.DUMMYFUNCTION("IfError(IF(isblank(A19),"""",split(V19, ""()"")))"),0.0)</f>
        <v>0</v>
      </c>
      <c r="S19" s="136"/>
      <c r="T19" s="345">
        <f t="shared" si="1"/>
        <v>0</v>
      </c>
      <c r="U19" s="132">
        <f t="shared" si="2"/>
        <v>23235</v>
      </c>
      <c r="V19" s="348">
        <f>IFERROR(__xludf.DUMMYFUNCTION("IfError(IF(isblank(A19),"""", substitute(index(IMPORTHTML(""http://finviz.com/quote.ashx?t=""&amp;A19,""table"", 10),8,2),""*"","""")),0)"),0.0)</f>
        <v>0</v>
      </c>
      <c r="W19" s="146" t="str">
        <f t="shared" si="3"/>
        <v>Overrated</v>
      </c>
      <c r="X19" s="425">
        <v>45640.0</v>
      </c>
    </row>
    <row r="20">
      <c r="A20" s="149" t="s">
        <v>319</v>
      </c>
      <c r="B20" s="349" t="str">
        <f>IFERROR(__xludf.DUMMYFUNCTION("IF(ISBLANK(A20),"""", googlefinance(A20, ""name""))"),"Chevron Corp")</f>
        <v>Chevron Corp</v>
      </c>
      <c r="C20" s="135">
        <f>IFERROR(__xludf.DUMMYFUNCTION("IF(ISBLANK(A20),"""", googlefinance(A20, ""price""))"),189.9)</f>
        <v>189.9</v>
      </c>
      <c r="D20" s="133">
        <v>214.15</v>
      </c>
      <c r="E20" s="133"/>
      <c r="F20" s="344">
        <f t="shared" si="4"/>
        <v>-0.1132383843</v>
      </c>
      <c r="G20" s="134">
        <v>5.26</v>
      </c>
      <c r="H20" s="135">
        <f>IFERROR(__xludf.DUMMYFUNCTION("IFERROR(googlefinance(A20,""change""),"""")"),3.87)</f>
        <v>3.87</v>
      </c>
      <c r="I20" s="136">
        <f>IFERROR(__xludf.DUMMYFUNCTION("iferror(GOOGLEFINANCE(A20,""changepct"")/100,"""")"),0.0208)</f>
        <v>0.0208</v>
      </c>
      <c r="J20" s="132">
        <f>IFERROR(__xludf.DUMMYFUNCTION("IF(ISBLANK(A20),"""", googlefinance(A20, ""low52""))"),132.04)</f>
        <v>132.04</v>
      </c>
      <c r="K20" s="350" t="str">
        <f>IFERROR(__xludf.DUMMYFUNCTION("IF(ISBLANK(A20),"""",IFERROR(SPARKLINE((C20-J20)/(L20-J20),{""charttype"",""bar"";""max"",1;""min"",0;""color1"",""2c79b5""}),""n/a""))"),"")</f>
        <v/>
      </c>
      <c r="L20" s="132">
        <f>IFERROR(__xludf.DUMMYFUNCTION("IF(ISBLANK(A20),"""", googlefinance(A20, ""high52""))"),191.56)</f>
        <v>191.56</v>
      </c>
      <c r="M20" s="343" t="s">
        <v>101</v>
      </c>
      <c r="N20" s="343" t="s">
        <v>320</v>
      </c>
      <c r="O20" s="343" t="s">
        <v>113</v>
      </c>
      <c r="P20" s="351">
        <f>IFERROR(__xludf.DUMMYFUNCTION("IF(ISBLANK(A20),"""", googlefinance(A20, ""PE""))"),28.66)</f>
        <v>28.66</v>
      </c>
      <c r="Q20" s="345">
        <f>IFERROR(__xludf.DUMMYFUNCTION("IF(ISBLANK(A20),"""", googlefinance(A20, ""eps""))"),6.63)</f>
        <v>6.63</v>
      </c>
      <c r="R20" s="140">
        <f>IFERROR(__xludf.DUMMYFUNCTION("IfError(IF(isblank(A20),"""",split(V20, ""()"")))"),0.0)</f>
        <v>0</v>
      </c>
      <c r="S20" s="136"/>
      <c r="T20" s="345">
        <f t="shared" si="1"/>
        <v>0</v>
      </c>
      <c r="U20" s="132">
        <f t="shared" si="2"/>
        <v>18990</v>
      </c>
      <c r="V20" s="348">
        <f>IFERROR(__xludf.DUMMYFUNCTION("IfError(IF(isblank(A20),"""", substitute(index(IMPORTHTML(""http://finviz.com/quote.ashx?t=""&amp;A20,""table"", 10),8,2),""*"","""")),0)"),0.0)</f>
        <v>0</v>
      </c>
      <c r="W20" s="146" t="str">
        <f t="shared" si="3"/>
        <v>Buy</v>
      </c>
      <c r="X20" s="425">
        <v>45641.0</v>
      </c>
    </row>
    <row r="21">
      <c r="A21" s="426" t="s">
        <v>366</v>
      </c>
      <c r="B21" s="349" t="str">
        <f>IFERROR(__xludf.DUMMYFUNCTION("IF(ISBLANK(A21),"""", googlefinance(A21, ""name""))"),"Enterprise Products Partners L.P")</f>
        <v>Enterprise Products Partners L.P</v>
      </c>
      <c r="C21" s="135">
        <f>IFERROR(__xludf.DUMMYFUNCTION("IF(ISBLANK(A21),"""", googlefinance(A21, ""price""))"),37.29)</f>
        <v>37.29</v>
      </c>
      <c r="D21" s="133">
        <v>46.79</v>
      </c>
      <c r="E21" s="133"/>
      <c r="F21" s="344">
        <f t="shared" si="4"/>
        <v>-0.2030348365</v>
      </c>
      <c r="G21" s="134">
        <v>4.61</v>
      </c>
      <c r="H21" s="135">
        <f>IFERROR(__xludf.DUMMYFUNCTION("IFERROR(googlefinance(A21,""change""),"""")"),0.12)</f>
        <v>0.12</v>
      </c>
      <c r="I21" s="136">
        <f>IFERROR(__xludf.DUMMYFUNCTION("iferror(GOOGLEFINANCE(A21,""changepct"")/100,"""")"),0.0032)</f>
        <v>0.0032</v>
      </c>
      <c r="J21" s="132">
        <f>IFERROR(__xludf.DUMMYFUNCTION("IF(ISBLANK(A21),"""", googlefinance(A21, ""low52""))"),27.77)</f>
        <v>27.77</v>
      </c>
      <c r="K21" s="350" t="str">
        <f>IFERROR(__xludf.DUMMYFUNCTION("IF(ISBLANK(A21),"""",IFERROR(SPARKLINE((C21-J21)/(L21-J21),{""charttype"",""bar"";""max"",1;""min"",0;""color1"",""2c79b5""}),""n/a""))"),"")</f>
        <v/>
      </c>
      <c r="L21" s="132">
        <f>IFERROR(__xludf.DUMMYFUNCTION("IF(ISBLANK(A21),"""", googlefinance(A21, ""high52""))"),37.74)</f>
        <v>37.74</v>
      </c>
      <c r="M21" s="343" t="s">
        <v>101</v>
      </c>
      <c r="N21" s="343" t="s">
        <v>320</v>
      </c>
      <c r="O21" s="343" t="s">
        <v>113</v>
      </c>
      <c r="P21" s="351">
        <f>IFERROR(__xludf.DUMMYFUNCTION("IF(ISBLANK(A21),"""", googlefinance(A21, ""PE""))"),14.04)</f>
        <v>14.04</v>
      </c>
      <c r="Q21" s="345">
        <f>IFERROR(__xludf.DUMMYFUNCTION("IF(ISBLANK(A21),"""", googlefinance(A21, ""eps""))"),2.66)</f>
        <v>2.66</v>
      </c>
      <c r="R21" s="140">
        <f>IFERROR(__xludf.DUMMYFUNCTION("IfError(IF(isblank(A21),"""",split(V21, ""()"")))"),0.0)</f>
        <v>0</v>
      </c>
      <c r="S21" s="136"/>
      <c r="T21" s="345">
        <f t="shared" si="1"/>
        <v>0</v>
      </c>
      <c r="U21" s="132">
        <f t="shared" si="2"/>
        <v>3729</v>
      </c>
      <c r="V21" s="348">
        <f>IFERROR(__xludf.DUMMYFUNCTION("IfError(IF(isblank(A21),"""", substitute(index(IMPORTHTML(""http://finviz.com/quote.ashx?t=""&amp;A21,""table"", 10),8,2),""*"","""")),0)"),0.0)</f>
        <v>0</v>
      </c>
      <c r="W21" s="146" t="str">
        <f t="shared" si="3"/>
        <v>Strong Buy</v>
      </c>
      <c r="X21" s="425">
        <v>45642.0</v>
      </c>
    </row>
    <row r="22">
      <c r="A22" s="426" t="s">
        <v>313</v>
      </c>
      <c r="B22" s="349" t="str">
        <f>IFERROR(__xludf.DUMMYFUNCTION("IF(ISBLANK(A22),"""", googlefinance(A22, ""name""))"),"Johnson &amp; Johnson")</f>
        <v>Johnson &amp; Johnson</v>
      </c>
      <c r="C22" s="135">
        <f>IFERROR(__xludf.DUMMYFUNCTION("IF(ISBLANK(A22),"""", googlefinance(A22, ""price""))"),239.63)</f>
        <v>239.63</v>
      </c>
      <c r="D22" s="133">
        <v>148.99</v>
      </c>
      <c r="E22" s="133"/>
      <c r="F22" s="344">
        <f t="shared" si="4"/>
        <v>0.6083629774</v>
      </c>
      <c r="G22" s="134">
        <v>7.25</v>
      </c>
      <c r="H22" s="135">
        <f>IFERROR(__xludf.DUMMYFUNCTION("IFERROR(googlefinance(A22,""change""),"""")"),-5.67)</f>
        <v>-5.67</v>
      </c>
      <c r="I22" s="136">
        <f>IFERROR(__xludf.DUMMYFUNCTION("iferror(GOOGLEFINANCE(A22,""changepct"")/100,"""")"),-0.023)</f>
        <v>-0.023</v>
      </c>
      <c r="J22" s="132">
        <f>IFERROR(__xludf.DUMMYFUNCTION("IF(ISBLANK(A22),"""", googlefinance(A22, ""low52""))"),141.5)</f>
        <v>141.5</v>
      </c>
      <c r="K22" s="350" t="str">
        <f>IFERROR(__xludf.DUMMYFUNCTION("IF(ISBLANK(A22),"""",IFERROR(SPARKLINE((C22-J22)/(L22-J22),{""charttype"",""bar"";""max"",1;""min"",0;""color1"",""2c79b5""}),""n/a""))"),"")</f>
        <v/>
      </c>
      <c r="L22" s="132">
        <f>IFERROR(__xludf.DUMMYFUNCTION("IF(ISBLANK(A22),"""", googlefinance(A22, ""high52""))"),251.71)</f>
        <v>251.71</v>
      </c>
      <c r="M22" s="343" t="s">
        <v>101</v>
      </c>
      <c r="N22" s="343" t="s">
        <v>119</v>
      </c>
      <c r="O22" s="343" t="s">
        <v>113</v>
      </c>
      <c r="P22" s="351">
        <f>IFERROR(__xludf.DUMMYFUNCTION("IF(ISBLANK(A22),"""", googlefinance(A22, ""PE""))"),20.94)</f>
        <v>20.94</v>
      </c>
      <c r="Q22" s="345">
        <f>IFERROR(__xludf.DUMMYFUNCTION("IF(ISBLANK(A22),"""", googlefinance(A22, ""eps""))"),11.44)</f>
        <v>11.44</v>
      </c>
      <c r="R22" s="140">
        <f>IFERROR(__xludf.DUMMYFUNCTION("IfError(IF(isblank(A22),"""",split(V22, ""()"")))"),0.0)</f>
        <v>0</v>
      </c>
      <c r="S22" s="136"/>
      <c r="T22" s="345">
        <f t="shared" si="1"/>
        <v>0</v>
      </c>
      <c r="U22" s="132">
        <f t="shared" si="2"/>
        <v>23963</v>
      </c>
      <c r="V22" s="348">
        <f>IFERROR(__xludf.DUMMYFUNCTION("IfError(IF(isblank(A22),"""", substitute(index(IMPORTHTML(""http://finviz.com/quote.ashx?t=""&amp;A22,""table"", 10),8,2),""*"","""")),0)"),0.0)</f>
        <v>0</v>
      </c>
      <c r="W22" s="146" t="str">
        <f t="shared" si="3"/>
        <v>Overrated</v>
      </c>
      <c r="X22" s="425">
        <v>45643.0</v>
      </c>
    </row>
    <row r="23">
      <c r="A23" s="340" t="s">
        <v>321</v>
      </c>
      <c r="B23" s="349" t="str">
        <f>IFERROR(__xludf.DUMMYFUNCTION("IF(ISBLANK(A23),"""", googlefinance(A23, ""name""))"),"Procter &amp; Gamble Co")</f>
        <v>Procter &amp; Gamble Co</v>
      </c>
      <c r="C23" s="135">
        <f>IFERROR(__xludf.DUMMYFUNCTION("IF(ISBLANK(A23),"""", googlefinance(A23, ""price""))"),153.99)</f>
        <v>153.99</v>
      </c>
      <c r="D23" s="133">
        <v>152.58</v>
      </c>
      <c r="E23" s="133"/>
      <c r="F23" s="344">
        <f t="shared" si="4"/>
        <v>0.009241053873</v>
      </c>
      <c r="G23" s="134">
        <v>7.22</v>
      </c>
      <c r="H23" s="135">
        <f>IFERROR(__xludf.DUMMYFUNCTION("IFERROR(googlefinance(A23,""change""),"""")"),-4.31)</f>
        <v>-4.31</v>
      </c>
      <c r="I23" s="136">
        <f>IFERROR(__xludf.DUMMYFUNCTION("iferror(GOOGLEFINANCE(A23,""changepct"")/100,"""")"),-0.027200000000000002)</f>
        <v>-0.0272</v>
      </c>
      <c r="J23" s="132">
        <f>IFERROR(__xludf.DUMMYFUNCTION("IF(ISBLANK(A23),"""", googlefinance(A23, ""low52""))"),137.62)</f>
        <v>137.62</v>
      </c>
      <c r="K23" s="350" t="str">
        <f>IFERROR(__xludf.DUMMYFUNCTION("IF(ISBLANK(A23),"""",IFERROR(SPARKLINE((C23-J23)/(L23-J23),{""charttype"",""bar"";""max"",1;""min"",0;""color1"",""2c79b5""}),""n/a""))"),"")</f>
        <v/>
      </c>
      <c r="L23" s="132">
        <f>IFERROR(__xludf.DUMMYFUNCTION("IF(ISBLANK(A23),"""", googlefinance(A23, ""high52""))"),179.99)</f>
        <v>179.99</v>
      </c>
      <c r="M23" s="343" t="s">
        <v>101</v>
      </c>
      <c r="N23" s="343" t="s">
        <v>108</v>
      </c>
      <c r="O23" s="343" t="s">
        <v>113</v>
      </c>
      <c r="P23" s="351">
        <f>IFERROR(__xludf.DUMMYFUNCTION("IF(ISBLANK(A23),"""", googlefinance(A23, ""PE""))"),22.82)</f>
        <v>22.82</v>
      </c>
      <c r="Q23" s="345">
        <f>IFERROR(__xludf.DUMMYFUNCTION("IF(ISBLANK(A23),"""", googlefinance(A23, ""eps""))"),6.75)</f>
        <v>6.75</v>
      </c>
      <c r="R23" s="140">
        <f>IFERROR(__xludf.DUMMYFUNCTION("IfError(IF(isblank(A23),"""",split(V23, ""()"")))"),0.0)</f>
        <v>0</v>
      </c>
      <c r="S23" s="136"/>
      <c r="T23" s="345">
        <f t="shared" si="1"/>
        <v>0</v>
      </c>
      <c r="U23" s="132">
        <f t="shared" si="2"/>
        <v>15399</v>
      </c>
      <c r="V23" s="348">
        <f>IFERROR(__xludf.DUMMYFUNCTION("IfError(IF(isblank(A23),"""", substitute(index(IMPORTHTML(""http://finviz.com/quote.ashx?t=""&amp;A23,""table"", 10),8,2),""*"","""")),0)"),0.0)</f>
        <v>0</v>
      </c>
      <c r="W23" s="146" t="str">
        <f t="shared" si="3"/>
        <v>Expensive</v>
      </c>
      <c r="X23" s="425">
        <v>45644.0</v>
      </c>
    </row>
    <row r="24">
      <c r="A24" s="426" t="s">
        <v>118</v>
      </c>
      <c r="B24" s="349" t="str">
        <f>IFERROR(__xludf.DUMMYFUNCTION("IF(ISBLANK(A24),"""", googlefinance(A24, ""name""))"),"UnitedHealth Group Inc")</f>
        <v>UnitedHealth Group Inc</v>
      </c>
      <c r="C24" s="135">
        <f>IFERROR(__xludf.DUMMYFUNCTION("IF(ISBLANK(A24),"""", googlefinance(A24, ""price""))"),288.77)</f>
        <v>288.77</v>
      </c>
      <c r="D24" s="133">
        <v>362.68</v>
      </c>
      <c r="E24" s="133"/>
      <c r="F24" s="344">
        <f t="shared" si="4"/>
        <v>-0.2037884637</v>
      </c>
      <c r="G24" s="134">
        <v>5.0</v>
      </c>
      <c r="H24" s="135">
        <f>IFERROR(__xludf.DUMMYFUNCTION("IFERROR(googlefinance(A24,""change""),"""")"),-3.19)</f>
        <v>-3.19</v>
      </c>
      <c r="I24" s="136">
        <f>IFERROR(__xludf.DUMMYFUNCTION("iferror(GOOGLEFINANCE(A24,""changepct"")/100,"""")"),-0.0109)</f>
        <v>-0.0109</v>
      </c>
      <c r="J24" s="132">
        <f>IFERROR(__xludf.DUMMYFUNCTION("IF(ISBLANK(A24),"""", googlefinance(A24, ""low52""))"),234.6)</f>
        <v>234.6</v>
      </c>
      <c r="K24" s="350" t="str">
        <f>IFERROR(__xludf.DUMMYFUNCTION("IF(ISBLANK(A24),"""",IFERROR(SPARKLINE((C24-J24)/(L24-J24),{""charttype"",""bar"";""max"",1;""min"",0;""color1"",""2c79b5""}),""n/a""))"),"")</f>
        <v/>
      </c>
      <c r="L24" s="132">
        <f>IFERROR(__xludf.DUMMYFUNCTION("IF(ISBLANK(A24),"""", googlefinance(A24, ""high52""))"),606.36)</f>
        <v>606.36</v>
      </c>
      <c r="M24" s="343" t="s">
        <v>101</v>
      </c>
      <c r="N24" s="343" t="s">
        <v>119</v>
      </c>
      <c r="O24" s="343" t="s">
        <v>113</v>
      </c>
      <c r="P24" s="351">
        <f>IFERROR(__xludf.DUMMYFUNCTION("IF(ISBLANK(A24),"""", googlefinance(A24, ""PE""))"),21.82)</f>
        <v>21.82</v>
      </c>
      <c r="Q24" s="345">
        <f>IFERROR(__xludf.DUMMYFUNCTION("IF(ISBLANK(A24),"""", googlefinance(A24, ""eps""))"),13.23)</f>
        <v>13.23</v>
      </c>
      <c r="R24" s="140">
        <f>IFERROR(__xludf.DUMMYFUNCTION("IfError(IF(isblank(A24),"""",split(V24, ""()"")))"),0.0)</f>
        <v>0</v>
      </c>
      <c r="S24" s="136"/>
      <c r="T24" s="345">
        <f t="shared" si="1"/>
        <v>0</v>
      </c>
      <c r="U24" s="132">
        <f t="shared" si="2"/>
        <v>28877</v>
      </c>
      <c r="V24" s="348">
        <f>IFERROR(__xludf.DUMMYFUNCTION("IfError(IF(isblank(A24),"""", substitute(index(IMPORTHTML(""http://finviz.com/quote.ashx?t=""&amp;A24,""table"", 10),8,2),""*"","""")),0)"),0.0)</f>
        <v>0</v>
      </c>
      <c r="W24" s="146" t="str">
        <f t="shared" si="3"/>
        <v>Strong Buy</v>
      </c>
      <c r="X24" s="425">
        <v>45645.0</v>
      </c>
    </row>
    <row r="25">
      <c r="A25" s="150" t="s">
        <v>314</v>
      </c>
      <c r="B25" s="349" t="str">
        <f>IFERROR(__xludf.DUMMYFUNCTION("IF(ISBLANK(A25),"""", googlefinance(A25, ""name""))"),"Costco Wholesale Corp")</f>
        <v>Costco Wholesale Corp</v>
      </c>
      <c r="C25" s="135">
        <f>IFERROR(__xludf.DUMMYFUNCTION("IF(ISBLANK(A25),"""", googlefinance(A25, ""price""))"),982.57)</f>
        <v>982.57</v>
      </c>
      <c r="D25" s="133">
        <v>426.65</v>
      </c>
      <c r="E25" s="133"/>
      <c r="F25" s="344">
        <f t="shared" si="4"/>
        <v>1.302988398</v>
      </c>
      <c r="G25" s="134">
        <v>6.36</v>
      </c>
      <c r="H25" s="135">
        <f>IFERROR(__xludf.DUMMYFUNCTION("IFERROR(googlefinance(A25,""change""),"""")"),-24.17)</f>
        <v>-24.17</v>
      </c>
      <c r="I25" s="136">
        <f>IFERROR(__xludf.DUMMYFUNCTION("iferror(GOOGLEFINANCE(A25,""changepct"")/100,"""")"),-0.024)</f>
        <v>-0.024</v>
      </c>
      <c r="J25" s="132">
        <f>IFERROR(__xludf.DUMMYFUNCTION("IF(ISBLANK(A25),"""", googlefinance(A25, ""low52""))"),844.06)</f>
        <v>844.06</v>
      </c>
      <c r="K25" s="350" t="str">
        <f>IFERROR(__xludf.DUMMYFUNCTION("IF(ISBLANK(A25),"""",IFERROR(SPARKLINE((C25-J25)/(L25-J25),{""charttype"",""bar"";""max"",1;""min"",0;""color1"",""2c79b5""}),""n/a""))"),"")</f>
        <v/>
      </c>
      <c r="L25" s="132">
        <f>IFERROR(__xludf.DUMMYFUNCTION("IF(ISBLANK(A25),"""", googlefinance(A25, ""high52""))"),1067.08)</f>
        <v>1067.08</v>
      </c>
      <c r="M25" s="343" t="s">
        <v>101</v>
      </c>
      <c r="N25" s="343" t="s">
        <v>108</v>
      </c>
      <c r="O25" s="343" t="s">
        <v>103</v>
      </c>
      <c r="P25" s="351">
        <f>IFERROR(__xludf.DUMMYFUNCTION("IF(ISBLANK(A25),"""", googlefinance(A25, ""PE""))"),52.63)</f>
        <v>52.63</v>
      </c>
      <c r="Q25" s="345">
        <f>IFERROR(__xludf.DUMMYFUNCTION("IF(ISBLANK(A25),"""", googlefinance(A25, ""eps""))"),18.67)</f>
        <v>18.67</v>
      </c>
      <c r="R25" s="140">
        <f>IFERROR(__xludf.DUMMYFUNCTION("IfError(IF(isblank(A25),"""",split(V25, ""()"")))"),0.0)</f>
        <v>0</v>
      </c>
      <c r="S25" s="136"/>
      <c r="T25" s="345">
        <f t="shared" si="1"/>
        <v>0</v>
      </c>
      <c r="U25" s="132">
        <f t="shared" si="2"/>
        <v>98257</v>
      </c>
      <c r="V25" s="348">
        <f>IFERROR(__xludf.DUMMYFUNCTION("IfError(IF(isblank(A25),"""", substitute(index(IMPORTHTML(""http://finviz.com/quote.ashx?t=""&amp;A25,""table"", 10),8,2),""*"","""")),0)"),0.0)</f>
        <v>0</v>
      </c>
      <c r="W25" s="146" t="str">
        <f t="shared" si="3"/>
        <v>Overrated</v>
      </c>
      <c r="X25" s="425">
        <v>45646.0</v>
      </c>
    </row>
    <row r="26">
      <c r="A26" s="150" t="s">
        <v>315</v>
      </c>
      <c r="B26" s="349" t="str">
        <f>IFERROR(__xludf.DUMMYFUNCTION("IF(ISBLANK(A26),"""", googlefinance(A26, ""name""))"),"Texas Roadhouse Inc")</f>
        <v>Texas Roadhouse Inc</v>
      </c>
      <c r="C26" s="135">
        <f>IFERROR(__xludf.DUMMYFUNCTION("IF(ISBLANK(A26),"""", googlefinance(A26, ""price""))"),175.04)</f>
        <v>175.04</v>
      </c>
      <c r="D26" s="133">
        <v>142.76</v>
      </c>
      <c r="E26" s="133"/>
      <c r="F26" s="344">
        <f t="shared" si="4"/>
        <v>0.2261137574</v>
      </c>
      <c r="G26" s="134">
        <v>7.16</v>
      </c>
      <c r="H26" s="135">
        <f>IFERROR(__xludf.DUMMYFUNCTION("IFERROR(googlefinance(A26,""change""),"""")"),-3.66)</f>
        <v>-3.66</v>
      </c>
      <c r="I26" s="136">
        <f>IFERROR(__xludf.DUMMYFUNCTION("iferror(GOOGLEFINANCE(A26,""changepct"")/100,"""")"),-0.020499999999999997)</f>
        <v>-0.0205</v>
      </c>
      <c r="J26" s="132">
        <f>IFERROR(__xludf.DUMMYFUNCTION("IF(ISBLANK(A26),"""", googlefinance(A26, ""low52""))"),148.73)</f>
        <v>148.73</v>
      </c>
      <c r="K26" s="350" t="str">
        <f>IFERROR(__xludf.DUMMYFUNCTION("IF(ISBLANK(A26),"""",IFERROR(SPARKLINE((C26-J26)/(L26-J26),{""charttype"",""bar"";""max"",1;""min"",0;""color1"",""2c79b5""}),""n/a""))"),"")</f>
        <v/>
      </c>
      <c r="L26" s="132">
        <f>IFERROR(__xludf.DUMMYFUNCTION("IF(ISBLANK(A26),"""", googlefinance(A26, ""high52""))"),199.99)</f>
        <v>199.99</v>
      </c>
      <c r="M26" s="343" t="s">
        <v>101</v>
      </c>
      <c r="N26" s="343" t="s">
        <v>110</v>
      </c>
      <c r="O26" s="343" t="s">
        <v>113</v>
      </c>
      <c r="P26" s="351">
        <f>IFERROR(__xludf.DUMMYFUNCTION("IF(ISBLANK(A26),"""", googlefinance(A26, ""PE""))"),28.71)</f>
        <v>28.71</v>
      </c>
      <c r="Q26" s="345">
        <f>IFERROR(__xludf.DUMMYFUNCTION("IF(ISBLANK(A26),"""", googlefinance(A26, ""eps""))"),6.1)</f>
        <v>6.1</v>
      </c>
      <c r="R26" s="140">
        <f>IFERROR(__xludf.DUMMYFUNCTION("IfError(IF(isblank(A26),"""",split(V26, ""()"")))"),0.0)</f>
        <v>0</v>
      </c>
      <c r="S26" s="136"/>
      <c r="T26" s="345">
        <f t="shared" si="1"/>
        <v>0</v>
      </c>
      <c r="U26" s="132">
        <f t="shared" si="2"/>
        <v>17504</v>
      </c>
      <c r="V26" s="348">
        <f>IFERROR(__xludf.DUMMYFUNCTION("IfError(IF(isblank(A26),"""", substitute(index(IMPORTHTML(""http://finviz.com/quote.ashx?t=""&amp;A26,""table"", 10),8,2),""*"","""")),0)"),0.0)</f>
        <v>0</v>
      </c>
      <c r="W26" s="146" t="str">
        <f t="shared" si="3"/>
        <v>Overrated</v>
      </c>
      <c r="X26" s="425">
        <v>45647.0</v>
      </c>
    </row>
    <row r="27">
      <c r="A27" s="150" t="s">
        <v>316</v>
      </c>
      <c r="B27" s="349" t="str">
        <f>IFERROR(__xludf.DUMMYFUNCTION("IF(ISBLANK(A27),"""", googlefinance(A27, ""name""))"),"Chipotle Mexican Grill Inc")</f>
        <v>Chipotle Mexican Grill Inc</v>
      </c>
      <c r="C27" s="135">
        <f>IFERROR(__xludf.DUMMYFUNCTION("IF(ISBLANK(A27),"""", googlefinance(A27, ""price""))"),37.06)</f>
        <v>37.06</v>
      </c>
      <c r="D27" s="133">
        <v>28.31</v>
      </c>
      <c r="E27" s="133"/>
      <c r="F27" s="344">
        <f t="shared" si="4"/>
        <v>0.3090780643</v>
      </c>
      <c r="G27" s="134">
        <v>5.91</v>
      </c>
      <c r="H27" s="135">
        <f>IFERROR(__xludf.DUMMYFUNCTION("IFERROR(googlefinance(A27,""change""),"""")"),0.35)</f>
        <v>0.35</v>
      </c>
      <c r="I27" s="136">
        <f>IFERROR(__xludf.DUMMYFUNCTION("iferror(GOOGLEFINANCE(A27,""changepct"")/100,"""")"),0.0095)</f>
        <v>0.0095</v>
      </c>
      <c r="J27" s="132">
        <f>IFERROR(__xludf.DUMMYFUNCTION("IF(ISBLANK(A27),"""", googlefinance(A27, ""low52""))"),29.75)</f>
        <v>29.75</v>
      </c>
      <c r="K27" s="350" t="str">
        <f>IFERROR(__xludf.DUMMYFUNCTION("IF(ISBLANK(A27),"""",IFERROR(SPARKLINE((C27-J27)/(L27-J27),{""charttype"",""bar"";""max"",1;""min"",0;""color1"",""2c79b5""}),""n/a""))"),"")</f>
        <v/>
      </c>
      <c r="L27" s="132">
        <f>IFERROR(__xludf.DUMMYFUNCTION("IF(ISBLANK(A27),"""", googlefinance(A27, ""high52""))"),58.42)</f>
        <v>58.42</v>
      </c>
      <c r="M27" s="343" t="s">
        <v>101</v>
      </c>
      <c r="N27" s="343" t="s">
        <v>110</v>
      </c>
      <c r="O27" s="343" t="s">
        <v>103</v>
      </c>
      <c r="P27" s="351">
        <f>IFERROR(__xludf.DUMMYFUNCTION("IF(ISBLANK(A27),"""", googlefinance(A27, ""PE""))"),32.4)</f>
        <v>32.4</v>
      </c>
      <c r="Q27" s="345">
        <f>IFERROR(__xludf.DUMMYFUNCTION("IF(ISBLANK(A27),"""", googlefinance(A27, ""eps""))"),1.14)</f>
        <v>1.14</v>
      </c>
      <c r="R27" s="140">
        <f>IFERROR(__xludf.DUMMYFUNCTION("IfError(IF(isblank(A27),"""",split(V27, ""()"")))"),0.0)</f>
        <v>0</v>
      </c>
      <c r="S27" s="136"/>
      <c r="T27" s="345">
        <f t="shared" si="1"/>
        <v>0</v>
      </c>
      <c r="U27" s="132">
        <f t="shared" si="2"/>
        <v>3706</v>
      </c>
      <c r="V27" s="348">
        <f>IFERROR(__xludf.DUMMYFUNCTION("IfError(IF(isblank(A27),"""", substitute(index(IMPORTHTML(""http://finviz.com/quote.ashx?t=""&amp;A27,""table"", 10),8,2),""*"","""")),0)"),0.0)</f>
        <v>0</v>
      </c>
      <c r="W27" s="146" t="str">
        <f t="shared" si="3"/>
        <v>Overrated</v>
      </c>
      <c r="X27" s="425">
        <v>45648.0</v>
      </c>
    </row>
    <row r="28">
      <c r="A28" s="149" t="s">
        <v>317</v>
      </c>
      <c r="B28" s="349" t="str">
        <f>IFERROR(__xludf.DUMMYFUNCTION("IF(ISBLANK(A28),"""", googlefinance(A28, ""name""))"),"Constellation Brands Inc")</f>
        <v>Constellation Brands Inc</v>
      </c>
      <c r="C28" s="135">
        <f>IFERROR(__xludf.DUMMYFUNCTION("IF(ISBLANK(A28),"""", googlefinance(A28, ""price""))"),147.3)</f>
        <v>147.3</v>
      </c>
      <c r="D28" s="177">
        <v>140.38782450421996</v>
      </c>
      <c r="E28" s="441"/>
      <c r="F28" s="344">
        <f t="shared" si="4"/>
        <v>0.04923628897</v>
      </c>
      <c r="G28" s="134">
        <v>4.75</v>
      </c>
      <c r="H28" s="135">
        <f>IFERROR(__xludf.DUMMYFUNCTION("IFERROR(googlefinance(A28,""change""),"""")"),-3.94)</f>
        <v>-3.94</v>
      </c>
      <c r="I28" s="136">
        <f>IFERROR(__xludf.DUMMYFUNCTION("iferror(GOOGLEFINANCE(A28,""changepct"")/100,"""")"),-0.026099999999999998)</f>
        <v>-0.0261</v>
      </c>
      <c r="J28" s="132">
        <f>IFERROR(__xludf.DUMMYFUNCTION("IF(ISBLANK(A28),"""", googlefinance(A28, ""low52""))"),126.45)</f>
        <v>126.45</v>
      </c>
      <c r="K28" s="350" t="str">
        <f>IFERROR(__xludf.DUMMYFUNCTION("IF(ISBLANK(A28),"""",IFERROR(SPARKLINE((C28-J28)/(L28-J28),{""charttype"",""bar"";""max"",1;""min"",0;""color1"",""2c79b5""}),""n/a""))"),"")</f>
        <v/>
      </c>
      <c r="L28" s="132">
        <f>IFERROR(__xludf.DUMMYFUNCTION("IF(ISBLANK(A28),"""", googlefinance(A28, ""high52""))"),196.91)</f>
        <v>196.91</v>
      </c>
      <c r="M28" s="343" t="s">
        <v>101</v>
      </c>
      <c r="N28" s="343" t="s">
        <v>108</v>
      </c>
      <c r="O28" s="343" t="s">
        <v>103</v>
      </c>
      <c r="P28" s="351">
        <f>IFERROR(__xludf.DUMMYFUNCTION("IF(ISBLANK(A28),"""", googlefinance(A28, ""PE""))"),23.23)</f>
        <v>23.23</v>
      </c>
      <c r="Q28" s="345">
        <f>IFERROR(__xludf.DUMMYFUNCTION("IF(ISBLANK(A28),"""", googlefinance(A28, ""eps""))"),6.34)</f>
        <v>6.34</v>
      </c>
      <c r="R28" s="140">
        <f>IFERROR(__xludf.DUMMYFUNCTION("IfError(IF(isblank(A28),"""",split(V28, ""()"")))"),0.0)</f>
        <v>0</v>
      </c>
      <c r="S28" s="136"/>
      <c r="T28" s="345">
        <f t="shared" si="1"/>
        <v>0</v>
      </c>
      <c r="U28" s="132">
        <f t="shared" si="2"/>
        <v>14730</v>
      </c>
      <c r="V28" s="348">
        <f>IFERROR(__xludf.DUMMYFUNCTION("IfError(IF(isblank(A28),"""", substitute(index(IMPORTHTML(""http://finviz.com/quote.ashx?t=""&amp;A28,""table"", 10),8,2),""*"","""")),0)"),0.0)</f>
        <v>0</v>
      </c>
      <c r="W28" s="146" t="str">
        <f t="shared" si="3"/>
        <v>Expensive</v>
      </c>
      <c r="X28" s="425">
        <v>45719.0</v>
      </c>
    </row>
    <row r="29">
      <c r="A29" s="149" t="s">
        <v>389</v>
      </c>
      <c r="B29" s="349" t="str">
        <f>IFERROR(__xludf.DUMMYFUNCTION("IF(ISBLANK(A29),"""", googlefinance(A29, ""name""))"),"ASML Holding NV")</f>
        <v>ASML Holding NV</v>
      </c>
      <c r="C29" s="135">
        <f>IFERROR(__xludf.DUMMYFUNCTION("IF(ISBLANK(A29),"""", googlefinance(A29, ""price""))"),1368.36)</f>
        <v>1368.36</v>
      </c>
      <c r="D29" s="133">
        <v>638.09</v>
      </c>
      <c r="E29" s="441"/>
      <c r="F29" s="344">
        <f t="shared" si="4"/>
        <v>1.14446238</v>
      </c>
      <c r="G29" s="134">
        <v>8.35</v>
      </c>
      <c r="H29" s="135">
        <f>IFERROR(__xludf.DUMMYFUNCTION("IFERROR(googlefinance(A29,""change""),"""")"),-31.01)</f>
        <v>-31.01</v>
      </c>
      <c r="I29" s="136">
        <f>IFERROR(__xludf.DUMMYFUNCTION("iferror(GOOGLEFINANCE(A29,""changepct"")/100,"""")"),-0.0222)</f>
        <v>-0.0222</v>
      </c>
      <c r="J29" s="132">
        <f>IFERROR(__xludf.DUMMYFUNCTION("IF(ISBLANK(A29),"""", googlefinance(A29, ""low52""))"),578.51)</f>
        <v>578.51</v>
      </c>
      <c r="K29" s="350" t="str">
        <f>IFERROR(__xludf.DUMMYFUNCTION("IF(ISBLANK(A29),"""",IFERROR(SPARKLINE((C29-J29)/(L29-J29),{""charttype"",""bar"";""max"",1;""min"",0;""color1"",""2c79b5""}),""n/a""))"),"")</f>
        <v/>
      </c>
      <c r="L29" s="132">
        <f>IFERROR(__xludf.DUMMYFUNCTION("IF(ISBLANK(A29),"""", googlefinance(A29, ""high52""))"),1547.22)</f>
        <v>1547.22</v>
      </c>
      <c r="M29" s="343" t="s">
        <v>101</v>
      </c>
      <c r="N29" s="343" t="s">
        <v>102</v>
      </c>
      <c r="O29" s="343" t="s">
        <v>103</v>
      </c>
      <c r="P29" s="351">
        <f>IFERROR(__xludf.DUMMYFUNCTION("IF(ISBLANK(A29),"""", googlefinance(A29, ""PE""))"),47.6)</f>
        <v>47.6</v>
      </c>
      <c r="Q29" s="345">
        <f>IFERROR(__xludf.DUMMYFUNCTION("IF(ISBLANK(A29),"""", googlefinance(A29, ""eps""))"),28.74)</f>
        <v>28.74</v>
      </c>
      <c r="R29" s="140">
        <f>IFERROR(__xludf.DUMMYFUNCTION("IfError(IF(isblank(A29),"""",split(V29, ""()"")))"),0.0)</f>
        <v>0</v>
      </c>
      <c r="S29" s="136"/>
      <c r="T29" s="345">
        <f t="shared" si="1"/>
        <v>0</v>
      </c>
      <c r="U29" s="132">
        <f t="shared" si="2"/>
        <v>136836</v>
      </c>
      <c r="V29" s="348">
        <f>IFERROR(__xludf.DUMMYFUNCTION("IfError(IF(isblank(A29),"""", substitute(index(IMPORTHTML(""http://finviz.com/quote.ashx?t=""&amp;A29,""table"", 10),8,2),""*"","""")),0)"),0.0)</f>
        <v>0</v>
      </c>
      <c r="W29" s="146" t="str">
        <f t="shared" si="3"/>
        <v>Overrated</v>
      </c>
      <c r="X29" s="442">
        <v>45748.0</v>
      </c>
    </row>
    <row r="30">
      <c r="A30" s="359" t="s">
        <v>318</v>
      </c>
      <c r="B30" s="349" t="str">
        <f>IFERROR(__xludf.DUMMYFUNCTION("IF(ISBLANK(A30),"""", googlefinance(A30, ""name""))"),"Comcast Corp")</f>
        <v>Comcast Corp</v>
      </c>
      <c r="C30" s="135">
        <f>IFERROR(__xludf.DUMMYFUNCTION("IF(ISBLANK(A30),"""", googlefinance(A30, ""price""))"),31.6)</f>
        <v>31.6</v>
      </c>
      <c r="D30" s="133">
        <v>60.23</v>
      </c>
      <c r="E30" s="441"/>
      <c r="F30" s="344">
        <f t="shared" si="4"/>
        <v>-0.4753445127</v>
      </c>
      <c r="G30" s="134">
        <v>6.33</v>
      </c>
      <c r="H30" s="135">
        <f>IFERROR(__xludf.DUMMYFUNCTION("IFERROR(googlefinance(A30,""change""),"""")"),-0.49)</f>
        <v>-0.49</v>
      </c>
      <c r="I30" s="136">
        <f>IFERROR(__xludf.DUMMYFUNCTION("iferror(GOOGLEFINANCE(A30,""changepct"")/100,"""")"),-0.015300000000000001)</f>
        <v>-0.0153</v>
      </c>
      <c r="J30" s="132">
        <f>IFERROR(__xludf.DUMMYFUNCTION("IF(ISBLANK(A30),"""", googlefinance(A30, ""low52""))"),24.12)</f>
        <v>24.12</v>
      </c>
      <c r="K30" s="350" t="str">
        <f>IFERROR(__xludf.DUMMYFUNCTION("IF(ISBLANK(A30),"""",IFERROR(SPARKLINE((C30-J30)/(L30-J30),{""charttype"",""bar"";""max"",1;""min"",0;""color1"",""2c79b5""}),""n/a""))"),"")</f>
        <v/>
      </c>
      <c r="L30" s="132">
        <f>IFERROR(__xludf.DUMMYFUNCTION("IF(ISBLANK(A30),"""", googlefinance(A30, ""high52""))"),35.58)</f>
        <v>35.58</v>
      </c>
      <c r="M30" s="355" t="s">
        <v>101</v>
      </c>
      <c r="N30" s="355" t="s">
        <v>106</v>
      </c>
      <c r="O30" s="355" t="s">
        <v>113</v>
      </c>
      <c r="P30" s="351">
        <f>IFERROR(__xludf.DUMMYFUNCTION("IF(ISBLANK(A30),"""", googlefinance(A30, ""PE""))"),5.86)</f>
        <v>5.86</v>
      </c>
      <c r="Q30" s="345">
        <f>IFERROR(__xludf.DUMMYFUNCTION("IF(ISBLANK(A30),"""", googlefinance(A30, ""eps""))"),5.39)</f>
        <v>5.39</v>
      </c>
      <c r="R30" s="140">
        <f>IFERROR(__xludf.DUMMYFUNCTION("IfError(IF(isblank(A30),"""",split(V30, ""()"")))"),0.0)</f>
        <v>0</v>
      </c>
      <c r="S30" s="136"/>
      <c r="T30" s="345">
        <f t="shared" si="1"/>
        <v>0</v>
      </c>
      <c r="U30" s="132">
        <f t="shared" si="2"/>
        <v>3160</v>
      </c>
      <c r="V30" s="348">
        <f>IFERROR(__xludf.DUMMYFUNCTION("IfError(IF(isblank(A30),"""", substitute(index(IMPORTHTML(""http://finviz.com/quote.ashx?t=""&amp;A30,""table"", 10),8,2),""*"","""")),0)"),0.0)</f>
        <v>0</v>
      </c>
      <c r="W30" s="146" t="str">
        <f t="shared" si="3"/>
        <v>Strong Buy</v>
      </c>
      <c r="X30" s="442">
        <v>45749.0</v>
      </c>
    </row>
    <row r="31">
      <c r="A31" s="443" t="s">
        <v>322</v>
      </c>
      <c r="B31" s="349" t="str">
        <f>IFERROR(__xludf.DUMMYFUNCTION("IF(ISBLANK(A31),"""", googlefinance(A31, ""name""))"),"Home Depot Inc")</f>
        <v>Home Depot Inc</v>
      </c>
      <c r="C31" s="135">
        <f>IFERROR(__xludf.DUMMYFUNCTION("IF(ISBLANK(A31),"""", googlefinance(A31, ""price""))"),361.68)</f>
        <v>361.68</v>
      </c>
      <c r="D31" s="133">
        <v>305.12</v>
      </c>
      <c r="E31" s="133"/>
      <c r="F31" s="344">
        <f t="shared" si="4"/>
        <v>0.1853696906</v>
      </c>
      <c r="G31" s="134">
        <v>6.96</v>
      </c>
      <c r="H31" s="135">
        <f>IFERROR(__xludf.DUMMYFUNCTION("IFERROR(googlefinance(A31,""change""),"""")"),-7.43)</f>
        <v>-7.43</v>
      </c>
      <c r="I31" s="136">
        <f>IFERROR(__xludf.DUMMYFUNCTION("iferror(GOOGLEFINANCE(A31,""changepct"")/100,"""")"),-0.020099999999999996)</f>
        <v>-0.0201</v>
      </c>
      <c r="J31" s="132">
        <f>IFERROR(__xludf.DUMMYFUNCTION("IF(ISBLANK(A31),"""", googlefinance(A31, ""low52""))"),326.31)</f>
        <v>326.31</v>
      </c>
      <c r="K31" s="350" t="str">
        <f>IFERROR(__xludf.DUMMYFUNCTION("IF(ISBLANK(A31),"""",IFERROR(SPARKLINE((C31-J31)/(L31-J31),{""charttype"",""bar"";""max"",1;""min"",0;""color1"",""2c79b5""}),""n/a""))"),"")</f>
        <v/>
      </c>
      <c r="L31" s="132">
        <f>IFERROR(__xludf.DUMMYFUNCTION("IF(ISBLANK(A31),"""", googlefinance(A31, ""high52""))"),426.75)</f>
        <v>426.75</v>
      </c>
      <c r="M31" s="355" t="s">
        <v>101</v>
      </c>
      <c r="N31" s="355" t="s">
        <v>110</v>
      </c>
      <c r="O31" s="353" t="s">
        <v>103</v>
      </c>
      <c r="P31" s="351">
        <f>IFERROR(__xludf.DUMMYFUNCTION("IF(ISBLANK(A31),"""", googlefinance(A31, ""PE""))"),25.42)</f>
        <v>25.42</v>
      </c>
      <c r="Q31" s="345">
        <f>IFERROR(__xludf.DUMMYFUNCTION("IF(ISBLANK(A31),"""", googlefinance(A31, ""eps""))"),14.23)</f>
        <v>14.23</v>
      </c>
      <c r="R31" s="140">
        <f>IFERROR(__xludf.DUMMYFUNCTION("IfError(IF(isblank(A31),"""",split(V31, ""()"")))"),0.0)</f>
        <v>0</v>
      </c>
      <c r="S31" s="136"/>
      <c r="T31" s="345">
        <f t="shared" si="1"/>
        <v>0</v>
      </c>
      <c r="U31" s="132">
        <f t="shared" si="2"/>
        <v>36168</v>
      </c>
      <c r="V31" s="348">
        <f>IFERROR(__xludf.DUMMYFUNCTION("IfError(IF(isblank(A31),"""", substitute(index(IMPORTHTML(""http://finviz.com/quote.ashx?t=""&amp;A31,""table"", 10),8,2),""*"","""")),0)"),0.0)</f>
        <v>0</v>
      </c>
      <c r="W31" s="146" t="str">
        <f t="shared" si="3"/>
        <v>Overrated</v>
      </c>
      <c r="X31" s="442">
        <v>45750.0</v>
      </c>
    </row>
    <row r="32">
      <c r="A32" s="368" t="s">
        <v>393</v>
      </c>
      <c r="B32" s="349" t="str">
        <f>IFERROR(__xludf.DUMMYFUNCTION("IF(ISBLANK(A32),"""", googlefinance(A32, ""name""))"),"American Express Co")</f>
        <v>American Express Co</v>
      </c>
      <c r="C32" s="135">
        <f>IFERROR(__xludf.DUMMYFUNCTION("IF(ISBLANK(A32),"""", googlefinance(A32, ""price""))"),307.21)</f>
        <v>307.21</v>
      </c>
      <c r="D32" s="133">
        <v>164.7</v>
      </c>
      <c r="E32" s="133"/>
      <c r="F32" s="344">
        <f t="shared" si="4"/>
        <v>0.8652701882</v>
      </c>
      <c r="G32" s="134">
        <v>6.61</v>
      </c>
      <c r="H32" s="135">
        <f>IFERROR(__xludf.DUMMYFUNCTION("IFERROR(googlefinance(A32,""change""),"""")"),-4.0)</f>
        <v>-4</v>
      </c>
      <c r="I32" s="136">
        <f>IFERROR(__xludf.DUMMYFUNCTION("iferror(GOOGLEFINANCE(A32,""changepct"")/100,"""")"),-0.0129)</f>
        <v>-0.0129</v>
      </c>
      <c r="J32" s="132">
        <f>IFERROR(__xludf.DUMMYFUNCTION("IF(ISBLANK(A32),"""", googlefinance(A32, ""low52""))"),220.43)</f>
        <v>220.43</v>
      </c>
      <c r="K32" s="350" t="str">
        <f>IFERROR(__xludf.DUMMYFUNCTION("IF(ISBLANK(A32),"""",IFERROR(SPARKLINE((C32-J32)/(L32-J32),{""charttype"",""bar"";""max"",1;""min"",0;""color1"",""2c79b5""}),""n/a""))"),"")</f>
        <v/>
      </c>
      <c r="L32" s="132">
        <f>IFERROR(__xludf.DUMMYFUNCTION("IF(ISBLANK(A32),"""", googlefinance(A32, ""high52""))"),387.49)</f>
        <v>387.49</v>
      </c>
      <c r="M32" s="355" t="s">
        <v>101</v>
      </c>
      <c r="N32" s="355" t="s">
        <v>112</v>
      </c>
      <c r="O32" s="353" t="s">
        <v>103</v>
      </c>
      <c r="P32" s="351">
        <f>IFERROR(__xludf.DUMMYFUNCTION("IF(ISBLANK(A32),"""", googlefinance(A32, ""PE""))"),19.98)</f>
        <v>19.98</v>
      </c>
      <c r="Q32" s="345">
        <f>IFERROR(__xludf.DUMMYFUNCTION("IF(ISBLANK(A32),"""", googlefinance(A32, ""eps""))"),15.38)</f>
        <v>15.38</v>
      </c>
      <c r="R32" s="140">
        <f>IFERROR(__xludf.DUMMYFUNCTION("IfError(IF(isblank(A32),"""",split(V32, ""()"")))"),0.0)</f>
        <v>0</v>
      </c>
      <c r="S32" s="136"/>
      <c r="T32" s="345">
        <f t="shared" si="1"/>
        <v>0</v>
      </c>
      <c r="U32" s="132">
        <f t="shared" si="2"/>
        <v>30721</v>
      </c>
      <c r="V32" s="348">
        <f>IFERROR(__xludf.DUMMYFUNCTION("IfError(IF(isblank(A32),"""", substitute(index(IMPORTHTML(""http://finviz.com/quote.ashx?t=""&amp;A32,""table"", 10),8,2),""*"","""")),0)"),0.0)</f>
        <v>0</v>
      </c>
      <c r="W32" s="146" t="str">
        <f t="shared" si="3"/>
        <v>Overrated</v>
      </c>
      <c r="X32" s="442">
        <v>45751.0</v>
      </c>
    </row>
    <row r="33">
      <c r="A33" s="149" t="s">
        <v>402</v>
      </c>
      <c r="B33" s="349" t="str">
        <f>IFERROR(__xludf.DUMMYFUNCTION("IF(ISBLANK(A33),"""", googlefinance(A33, ""name""))"),"Texas Pacific Land Corp")</f>
        <v>Texas Pacific Land Corp</v>
      </c>
      <c r="C33" s="135">
        <f>IFERROR(__xludf.DUMMYFUNCTION("IF(ISBLANK(A33),"""", googlefinance(A33, ""price""))"),523.31)</f>
        <v>523.31</v>
      </c>
      <c r="D33" s="133">
        <v>248.03</v>
      </c>
      <c r="E33" s="133"/>
      <c r="F33" s="344">
        <f t="shared" si="4"/>
        <v>1.109865742</v>
      </c>
      <c r="G33" s="134">
        <v>6.65</v>
      </c>
      <c r="H33" s="135">
        <f>IFERROR(__xludf.DUMMYFUNCTION("IFERROR(googlefinance(A33,""change""),"""")"),-12.8)</f>
        <v>-12.8</v>
      </c>
      <c r="I33" s="136">
        <f>IFERROR(__xludf.DUMMYFUNCTION("iferror(GOOGLEFINANCE(A33,""changepct"")/100,"""")"),-0.0239)</f>
        <v>-0.0239</v>
      </c>
      <c r="J33" s="132">
        <f>IFERROR(__xludf.DUMMYFUNCTION("IF(ISBLANK(A33),"""", googlefinance(A33, ""low52""))"),269.23)</f>
        <v>269.23</v>
      </c>
      <c r="K33" s="350" t="str">
        <f>IFERROR(__xludf.DUMMYFUNCTION("IF(ISBLANK(A33),"""",IFERROR(SPARKLINE((C33-J33)/(L33-J33),{""charttype"",""bar"";""max"",1;""min"",0;""color1"",""2c79b5""}),""n/a""))"),"")</f>
        <v/>
      </c>
      <c r="L33" s="132">
        <f>IFERROR(__xludf.DUMMYFUNCTION("IF(ISBLANK(A33),"""", googlefinance(A33, ""high52""))"),547.2)</f>
        <v>547.2</v>
      </c>
      <c r="M33" s="343" t="s">
        <v>101</v>
      </c>
      <c r="N33" s="343" t="s">
        <v>320</v>
      </c>
      <c r="O33" s="343" t="s">
        <v>103</v>
      </c>
      <c r="P33" s="351">
        <f>IFERROR(__xludf.DUMMYFUNCTION("IF(ISBLANK(A33),"""", googlefinance(A33, ""PE""))"),75.04)</f>
        <v>75.04</v>
      </c>
      <c r="Q33" s="345">
        <f>IFERROR(__xludf.DUMMYFUNCTION("IF(ISBLANK(A33),"""", googlefinance(A33, ""eps""))"),6.97)</f>
        <v>6.97</v>
      </c>
      <c r="R33" s="140">
        <f>IFERROR(__xludf.DUMMYFUNCTION("IfError(IF(isblank(A33),"""",split(V33, ""()"")))"),0.0)</f>
        <v>0</v>
      </c>
      <c r="S33" s="136"/>
      <c r="T33" s="345">
        <f t="shared" si="1"/>
        <v>0</v>
      </c>
      <c r="U33" s="132">
        <f t="shared" si="2"/>
        <v>52331</v>
      </c>
      <c r="V33" s="348">
        <f>IFERROR(__xludf.DUMMYFUNCTION("IfError(IF(isblank(A33),"""", substitute(index(IMPORTHTML(""http://finviz.com/quote.ashx?t=""&amp;A33,""table"", 10),8,2),""*"","""")),0)"),0.0)</f>
        <v>0</v>
      </c>
      <c r="W33" s="146" t="str">
        <f t="shared" si="3"/>
        <v>Overrated</v>
      </c>
      <c r="X33" s="442">
        <v>45752.0</v>
      </c>
    </row>
    <row r="34">
      <c r="A34" s="352" t="s">
        <v>382</v>
      </c>
      <c r="B34" s="349" t="str">
        <f>IFERROR(__xludf.DUMMYFUNCTION("IF(ISBLANK(A34),"""", googlefinance(A34, ""name""))"),"Caterpillar Inc")</f>
        <v>Caterpillar Inc</v>
      </c>
      <c r="C34" s="135">
        <f>IFERROR(__xludf.DUMMYFUNCTION("IF(ISBLANK(A34),"""", googlefinance(A34, ""price""))"),706.08)</f>
        <v>706.08</v>
      </c>
      <c r="D34" s="133">
        <v>296.47</v>
      </c>
      <c r="E34" s="133"/>
      <c r="F34" s="344">
        <f t="shared" si="4"/>
        <v>1.381623773</v>
      </c>
      <c r="G34" s="134">
        <v>7.65</v>
      </c>
      <c r="H34" s="135">
        <f>IFERROR(__xludf.DUMMYFUNCTION("IFERROR(googlefinance(A34,""change""),"""")"),-25.89)</f>
        <v>-25.89</v>
      </c>
      <c r="I34" s="136">
        <f>IFERROR(__xludf.DUMMYFUNCTION("iferror(GOOGLEFINANCE(A34,""changepct"")/100,"""")"),-0.0354)</f>
        <v>-0.0354</v>
      </c>
      <c r="J34" s="132">
        <f>IFERROR(__xludf.DUMMYFUNCTION("IF(ISBLANK(A34),"""", googlefinance(A34, ""low52""))"),267.3)</f>
        <v>267.3</v>
      </c>
      <c r="K34" s="350" t="str">
        <f>IFERROR(__xludf.DUMMYFUNCTION("IF(ISBLANK(A34),"""",IFERROR(SPARKLINE((C34-J34)/(L34-J34),{""charttype"",""bar"";""max"",1;""min"",0;""color1"",""2c79b5""}),""n/a""))"),"")</f>
        <v/>
      </c>
      <c r="L34" s="132">
        <f>IFERROR(__xludf.DUMMYFUNCTION("IF(ISBLANK(A34),"""", googlefinance(A34, ""high52""))"),789.81)</f>
        <v>789.81</v>
      </c>
      <c r="M34" s="343" t="s">
        <v>101</v>
      </c>
      <c r="N34" s="343" t="s">
        <v>500</v>
      </c>
      <c r="O34" s="343" t="s">
        <v>113</v>
      </c>
      <c r="P34" s="351">
        <f>IFERROR(__xludf.DUMMYFUNCTION("IF(ISBLANK(A34),"""", googlefinance(A34, ""PE""))"),37.54)</f>
        <v>37.54</v>
      </c>
      <c r="Q34" s="345">
        <f>IFERROR(__xludf.DUMMYFUNCTION("IF(ISBLANK(A34),"""", googlefinance(A34, ""eps""))"),18.81)</f>
        <v>18.81</v>
      </c>
      <c r="R34" s="140">
        <f>IFERROR(__xludf.DUMMYFUNCTION("IfError(IF(isblank(A34),"""",split(V34, ""()"")))"),0.0)</f>
        <v>0</v>
      </c>
      <c r="S34" s="136"/>
      <c r="T34" s="345">
        <f t="shared" si="1"/>
        <v>0</v>
      </c>
      <c r="U34" s="132">
        <f t="shared" si="2"/>
        <v>70608</v>
      </c>
      <c r="V34" s="348">
        <f>IFERROR(__xludf.DUMMYFUNCTION("IfError(IF(isblank(A34),"""", substitute(index(IMPORTHTML(""http://finviz.com/quote.ashx?t=""&amp;A34,""table"", 10),8,2),""*"","""")),0)"),0.0)</f>
        <v>0</v>
      </c>
      <c r="W34" s="146" t="str">
        <f t="shared" si="3"/>
        <v>Overrated</v>
      </c>
      <c r="X34" s="442">
        <v>45753.0</v>
      </c>
    </row>
    <row r="35">
      <c r="A35" s="352" t="s">
        <v>501</v>
      </c>
      <c r="B35" s="349" t="str">
        <f>IFERROR(__xludf.DUMMYFUNCTION("IF(ISBLANK(A35),"""", googlefinance(A35, ""name""))"),"Zoetis Inc")</f>
        <v>Zoetis Inc</v>
      </c>
      <c r="C35" s="135">
        <f>IFERROR(__xludf.DUMMYFUNCTION("IF(ISBLANK(A35),"""", googlefinance(A35, ""price""))"),122.23)</f>
        <v>122.23</v>
      </c>
      <c r="D35" s="133">
        <v>133.27</v>
      </c>
      <c r="E35" s="133"/>
      <c r="F35" s="344">
        <f t="shared" si="4"/>
        <v>-0.08283934869</v>
      </c>
      <c r="G35" s="134">
        <v>8.1</v>
      </c>
      <c r="H35" s="135">
        <f>IFERROR(__xludf.DUMMYFUNCTION("IFERROR(googlefinance(A35,""change""),"""")"),-3.73)</f>
        <v>-3.73</v>
      </c>
      <c r="I35" s="136">
        <f>IFERROR(__xludf.DUMMYFUNCTION("iferror(GOOGLEFINANCE(A35,""changepct"")/100,"""")"),-0.0296)</f>
        <v>-0.0296</v>
      </c>
      <c r="J35" s="132">
        <f>IFERROR(__xludf.DUMMYFUNCTION("IF(ISBLANK(A35),"""", googlefinance(A35, ""low52""))"),115.25)</f>
        <v>115.25</v>
      </c>
      <c r="K35" s="350" t="str">
        <f>IFERROR(__xludf.DUMMYFUNCTION("IF(ISBLANK(A35),"""",IFERROR(SPARKLINE((C35-J35)/(L35-J35),{""charttype"",""bar"";""max"",1;""min"",0;""color1"",""2c79b5""}),""n/a""))"),"")</f>
        <v/>
      </c>
      <c r="L35" s="132">
        <f>IFERROR(__xludf.DUMMYFUNCTION("IF(ISBLANK(A35),"""", googlefinance(A35, ""high52""))"),177.0)</f>
        <v>177</v>
      </c>
      <c r="M35" s="343" t="s">
        <v>101</v>
      </c>
      <c r="N35" s="343" t="s">
        <v>119</v>
      </c>
      <c r="O35" s="343" t="s">
        <v>103</v>
      </c>
      <c r="P35" s="351">
        <f>IFERROR(__xludf.DUMMYFUNCTION("IF(ISBLANK(A35),"""", googlefinance(A35, ""PE""))"),20.3)</f>
        <v>20.3</v>
      </c>
      <c r="Q35" s="345">
        <f>IFERROR(__xludf.DUMMYFUNCTION("IF(ISBLANK(A35),"""", googlefinance(A35, ""eps""))"),6.02)</f>
        <v>6.02</v>
      </c>
      <c r="R35" s="140">
        <f>IFERROR(__xludf.DUMMYFUNCTION("IfError(IF(isblank(A35),"""",split(V35, ""()"")))"),0.0)</f>
        <v>0</v>
      </c>
      <c r="S35" s="136"/>
      <c r="T35" s="345">
        <f t="shared" si="1"/>
        <v>0</v>
      </c>
      <c r="U35" s="132">
        <f t="shared" si="2"/>
        <v>12223</v>
      </c>
      <c r="V35" s="348">
        <f>IFERROR(__xludf.DUMMYFUNCTION("IfError(IF(isblank(A35),"""", substitute(index(IMPORTHTML(""http://finviz.com/quote.ashx?t=""&amp;A35,""table"", 10),8,2),""*"","""")),0)"),0.0)</f>
        <v>0</v>
      </c>
      <c r="W35" s="146" t="str">
        <f t="shared" si="3"/>
        <v>Buy</v>
      </c>
      <c r="X35" s="442">
        <v>45754.0</v>
      </c>
    </row>
    <row r="36">
      <c r="A36" s="352"/>
      <c r="B36" s="349" t="str">
        <f>IFERROR(__xludf.DUMMYFUNCTION("IF(ISBLANK(A36),"""", googlefinance(A36, ""name""))"),"")</f>
        <v/>
      </c>
      <c r="C36" s="135" t="str">
        <f>IFERROR(__xludf.DUMMYFUNCTION("IF(ISBLANK(A36),"""", googlefinance(A36, ""price""))"),"")</f>
        <v/>
      </c>
      <c r="D36" s="133"/>
      <c r="E36" s="133"/>
      <c r="F36" s="344" t="str">
        <f t="shared" si="4"/>
        <v/>
      </c>
      <c r="G36" s="134"/>
      <c r="H36" s="135" t="str">
        <f>IFERROR(__xludf.DUMMYFUNCTION("IFERROR(googlefinance(A36,""change""),"""")"),"")</f>
        <v/>
      </c>
      <c r="I36" s="136" t="str">
        <f>IFERROR(__xludf.DUMMYFUNCTION("iferror(GOOGLEFINANCE(A36,""changepct"")/100,"""")"),"")</f>
        <v/>
      </c>
      <c r="J36" s="132" t="str">
        <f>IFERROR(__xludf.DUMMYFUNCTION("IF(ISBLANK(A36),"""", googlefinance(A36, ""low52""))"),"")</f>
        <v/>
      </c>
      <c r="K36" s="350" t="str">
        <f>IFERROR(__xludf.DUMMYFUNCTION("IF(ISBLANK(A36),"""",IFERROR(SPARKLINE((C36-J36)/(L36-J36),{""charttype"",""bar"";""max"",1;""min"",0;""color1"",""2c79b5""}),""n/a""))"),"")</f>
        <v/>
      </c>
      <c r="L36" s="132" t="str">
        <f>IFERROR(__xludf.DUMMYFUNCTION("IF(ISBLANK(A36),"""", googlefinance(A36, ""high52""))"),"")</f>
        <v/>
      </c>
      <c r="M36" s="343" t="s">
        <v>101</v>
      </c>
      <c r="N36" s="343" t="s">
        <v>134</v>
      </c>
      <c r="O36" s="343" t="s">
        <v>134</v>
      </c>
      <c r="P36" s="351" t="str">
        <f>IFERROR(__xludf.DUMMYFUNCTION("IF(ISBLANK(A36),"""", googlefinance(A36, ""PE""))"),"")</f>
        <v/>
      </c>
      <c r="Q36" s="345" t="str">
        <f>IFERROR(__xludf.DUMMYFUNCTION("IF(ISBLANK(A36),"""", googlefinance(A36, ""eps""))"),"")</f>
        <v/>
      </c>
      <c r="R36" s="140" t="str">
        <f>IFERROR(__xludf.DUMMYFUNCTION("IfError(IF(isblank(A36),"""",split(V36, ""()"")))"),"")</f>
        <v/>
      </c>
      <c r="S36" s="136"/>
      <c r="T36" s="345" t="str">
        <f t="shared" si="1"/>
        <v/>
      </c>
      <c r="U36" s="132" t="str">
        <f t="shared" si="2"/>
        <v/>
      </c>
      <c r="V36" s="444" t="str">
        <f>IFERROR(__xludf.DUMMYFUNCTION("IfError(IF(isblank(A36),"""", substitute(index(IMPORTHTML(""http://finviz.com/quote.ashx?t=""&amp;A36,""table"", 10),8,2),""*"","""")),0)"),"")</f>
        <v/>
      </c>
      <c r="W36" s="146" t="str">
        <f t="shared" si="3"/>
        <v/>
      </c>
      <c r="X36" s="442"/>
    </row>
    <row r="37">
      <c r="A37" s="352"/>
      <c r="B37" s="349" t="str">
        <f>IFERROR(__xludf.DUMMYFUNCTION("IF(ISBLANK(A37),"""", googlefinance(A37, ""name""))"),"")</f>
        <v/>
      </c>
      <c r="C37" s="135" t="str">
        <f>IFERROR(__xludf.DUMMYFUNCTION("IF(ISBLANK(A37),"""", googlefinance(A37, ""price""))"),"")</f>
        <v/>
      </c>
      <c r="D37" s="133"/>
      <c r="E37" s="133"/>
      <c r="F37" s="344" t="str">
        <f t="shared" si="4"/>
        <v/>
      </c>
      <c r="G37" s="134"/>
      <c r="H37" s="135" t="str">
        <f>IFERROR(__xludf.DUMMYFUNCTION("IFERROR(googlefinance(A37,""change""),"""")"),"")</f>
        <v/>
      </c>
      <c r="I37" s="136" t="str">
        <f>IFERROR(__xludf.DUMMYFUNCTION("iferror(GOOGLEFINANCE(A37,""changepct"")/100,"""")"),"")</f>
        <v/>
      </c>
      <c r="J37" s="132" t="str">
        <f>IFERROR(__xludf.DUMMYFUNCTION("IF(ISBLANK(A37),"""", googlefinance(A37, ""low52""))"),"")</f>
        <v/>
      </c>
      <c r="K37" s="350" t="str">
        <f>IFERROR(__xludf.DUMMYFUNCTION("IF(ISBLANK(A37),"""",IFERROR(SPARKLINE((C37-J37)/(L37-J37),{""charttype"",""bar"";""max"",1;""min"",0;""color1"",""2c79b5""}),""n/a""))"),"")</f>
        <v/>
      </c>
      <c r="L37" s="132" t="str">
        <f>IFERROR(__xludf.DUMMYFUNCTION("IF(ISBLANK(A37),"""", googlefinance(A37, ""high52""))"),"")</f>
        <v/>
      </c>
      <c r="M37" s="343" t="s">
        <v>101</v>
      </c>
      <c r="N37" s="343" t="s">
        <v>134</v>
      </c>
      <c r="O37" s="343" t="s">
        <v>134</v>
      </c>
      <c r="P37" s="351" t="str">
        <f>IFERROR(__xludf.DUMMYFUNCTION("IF(ISBLANK(A37),"""", googlefinance(A37, ""PE""))"),"")</f>
        <v/>
      </c>
      <c r="Q37" s="345" t="str">
        <f>IFERROR(__xludf.DUMMYFUNCTION("IF(ISBLANK(A37),"""", googlefinance(A37, ""eps""))"),"")</f>
        <v/>
      </c>
      <c r="R37" s="140" t="str">
        <f>IFERROR(__xludf.DUMMYFUNCTION("IfError(IF(isblank(A37),"""",split(V37, ""()"")))"),"")</f>
        <v/>
      </c>
      <c r="S37" s="136"/>
      <c r="T37" s="345" t="str">
        <f t="shared" si="1"/>
        <v/>
      </c>
      <c r="U37" s="132" t="str">
        <f t="shared" si="2"/>
        <v/>
      </c>
      <c r="V37" s="444" t="str">
        <f>IFERROR(__xludf.DUMMYFUNCTION("IfError(IF(isblank(A37),"""", substitute(index(IMPORTHTML(""http://finviz.com/quote.ashx?t=""&amp;A37,""table"", 10),8,2),""*"","""")),0)"),"")</f>
        <v/>
      </c>
      <c r="W37" s="146" t="str">
        <f t="shared" si="3"/>
        <v/>
      </c>
      <c r="X37" s="442"/>
    </row>
    <row r="38">
      <c r="A38" s="352"/>
      <c r="B38" s="349" t="str">
        <f>IFERROR(__xludf.DUMMYFUNCTION("IF(ISBLANK(A38),"""", googlefinance(A38, ""name""))"),"")</f>
        <v/>
      </c>
      <c r="C38" s="135" t="str">
        <f>IFERROR(__xludf.DUMMYFUNCTION("IF(ISBLANK(A38),"""", googlefinance(A38, ""price""))"),"")</f>
        <v/>
      </c>
      <c r="D38" s="133"/>
      <c r="E38" s="133"/>
      <c r="F38" s="344" t="str">
        <f t="shared" si="4"/>
        <v/>
      </c>
      <c r="G38" s="134"/>
      <c r="H38" s="135" t="str">
        <f>IFERROR(__xludf.DUMMYFUNCTION("IFERROR(googlefinance(A38,""change""),"""")"),"")</f>
        <v/>
      </c>
      <c r="I38" s="136" t="str">
        <f>IFERROR(__xludf.DUMMYFUNCTION("iferror(GOOGLEFINANCE(A38,""changepct"")/100,"""")"),"")</f>
        <v/>
      </c>
      <c r="J38" s="132" t="str">
        <f>IFERROR(__xludf.DUMMYFUNCTION("IF(ISBLANK(A38),"""", googlefinance(A38, ""low52""))"),"")</f>
        <v/>
      </c>
      <c r="K38" s="350" t="str">
        <f>IFERROR(__xludf.DUMMYFUNCTION("IF(ISBLANK(A38),"""",IFERROR(SPARKLINE((C38-J38)/(L38-J38),{""charttype"",""bar"";""max"",1;""min"",0;""color1"",""2c79b5""}),""n/a""))"),"")</f>
        <v/>
      </c>
      <c r="L38" s="132" t="str">
        <f>IFERROR(__xludf.DUMMYFUNCTION("IF(ISBLANK(A38),"""", googlefinance(A38, ""high52""))"),"")</f>
        <v/>
      </c>
      <c r="M38" s="343" t="s">
        <v>101</v>
      </c>
      <c r="N38" s="343" t="s">
        <v>134</v>
      </c>
      <c r="O38" s="343" t="s">
        <v>134</v>
      </c>
      <c r="P38" s="351" t="str">
        <f>IFERROR(__xludf.DUMMYFUNCTION("IF(ISBLANK(A38),"""", googlefinance(A38, ""PE""))"),"")</f>
        <v/>
      </c>
      <c r="Q38" s="345" t="str">
        <f>IFERROR(__xludf.DUMMYFUNCTION("IF(ISBLANK(A38),"""", googlefinance(A38, ""eps""))"),"")</f>
        <v/>
      </c>
      <c r="R38" s="140" t="str">
        <f>IFERROR(__xludf.DUMMYFUNCTION("IfError(IF(isblank(A38),"""",split(V38, ""()"")))"),"")</f>
        <v/>
      </c>
      <c r="S38" s="136"/>
      <c r="T38" s="345" t="str">
        <f t="shared" si="1"/>
        <v/>
      </c>
      <c r="U38" s="132" t="str">
        <f t="shared" si="2"/>
        <v/>
      </c>
      <c r="V38" s="444" t="str">
        <f>IFERROR(__xludf.DUMMYFUNCTION("IfError(IF(isblank(A38),"""", substitute(index(IMPORTHTML(""http://finviz.com/quote.ashx?t=""&amp;A38,""table"", 10),8,2),""*"","""")),0)"),"")</f>
        <v/>
      </c>
      <c r="W38" s="146" t="str">
        <f t="shared" si="3"/>
        <v/>
      </c>
      <c r="X38" s="442"/>
    </row>
    <row r="39">
      <c r="A39" s="352"/>
      <c r="B39" s="349" t="str">
        <f>IFERROR(__xludf.DUMMYFUNCTION("IF(ISBLANK(A39),"""", googlefinance(A39, ""name""))"),"")</f>
        <v/>
      </c>
      <c r="C39" s="135" t="str">
        <f>IFERROR(__xludf.DUMMYFUNCTION("IF(ISBLANK(A39),"""", googlefinance(A39, ""price""))"),"")</f>
        <v/>
      </c>
      <c r="D39" s="133"/>
      <c r="E39" s="133"/>
      <c r="F39" s="344" t="str">
        <f t="shared" si="4"/>
        <v/>
      </c>
      <c r="G39" s="134"/>
      <c r="H39" s="135" t="str">
        <f>IFERROR(__xludf.DUMMYFUNCTION("IFERROR(googlefinance(A39,""change""),"""")"),"")</f>
        <v/>
      </c>
      <c r="I39" s="136" t="str">
        <f>IFERROR(__xludf.DUMMYFUNCTION("iferror(GOOGLEFINANCE(A39,""changepct"")/100,"""")"),"")</f>
        <v/>
      </c>
      <c r="J39" s="132" t="str">
        <f>IFERROR(__xludf.DUMMYFUNCTION("IF(ISBLANK(A39),"""", googlefinance(A39, ""low52""))"),"")</f>
        <v/>
      </c>
      <c r="K39" s="350" t="str">
        <f>IFERROR(__xludf.DUMMYFUNCTION("IF(ISBLANK(A39),"""",IFERROR(SPARKLINE((C39-J39)/(L39-J39),{""charttype"",""bar"";""max"",1;""min"",0;""color1"",""2c79b5""}),""n/a""))"),"")</f>
        <v/>
      </c>
      <c r="L39" s="132" t="str">
        <f>IFERROR(__xludf.DUMMYFUNCTION("IF(ISBLANK(A39),"""", googlefinance(A39, ""high52""))"),"")</f>
        <v/>
      </c>
      <c r="M39" s="343" t="s">
        <v>101</v>
      </c>
      <c r="N39" s="343" t="s">
        <v>134</v>
      </c>
      <c r="O39" s="343" t="s">
        <v>134</v>
      </c>
      <c r="P39" s="351" t="str">
        <f>IFERROR(__xludf.DUMMYFUNCTION("IF(ISBLANK(A39),"""", googlefinance(A39, ""PE""))"),"")</f>
        <v/>
      </c>
      <c r="Q39" s="345" t="str">
        <f>IFERROR(__xludf.DUMMYFUNCTION("IF(ISBLANK(A39),"""", googlefinance(A39, ""eps""))"),"")</f>
        <v/>
      </c>
      <c r="R39" s="140" t="str">
        <f>IFERROR(__xludf.DUMMYFUNCTION("IfError(IF(isblank(A39),"""",split(V39, ""()"")))"),"")</f>
        <v/>
      </c>
      <c r="S39" s="136"/>
      <c r="T39" s="345" t="str">
        <f t="shared" si="1"/>
        <v/>
      </c>
      <c r="U39" s="132" t="str">
        <f t="shared" si="2"/>
        <v/>
      </c>
      <c r="V39" s="444" t="str">
        <f>IFERROR(__xludf.DUMMYFUNCTION("IfError(IF(isblank(A39),"""", substitute(index(IMPORTHTML(""http://finviz.com/quote.ashx?t=""&amp;A39,""table"", 10),8,2),""*"","""")),0)"),"")</f>
        <v/>
      </c>
      <c r="W39" s="146" t="str">
        <f t="shared" si="3"/>
        <v/>
      </c>
      <c r="X39" s="442"/>
    </row>
    <row r="40">
      <c r="A40" s="352"/>
      <c r="B40" s="349" t="str">
        <f>IFERROR(__xludf.DUMMYFUNCTION("IF(ISBLANK(A40),"""", googlefinance(A40, ""name""))"),"")</f>
        <v/>
      </c>
      <c r="C40" s="135" t="str">
        <f>IFERROR(__xludf.DUMMYFUNCTION("IF(ISBLANK(A40),"""", googlefinance(A40, ""price""))"),"")</f>
        <v/>
      </c>
      <c r="D40" s="133"/>
      <c r="E40" s="133"/>
      <c r="F40" s="344" t="str">
        <f t="shared" si="4"/>
        <v/>
      </c>
      <c r="G40" s="134"/>
      <c r="H40" s="135" t="str">
        <f>IFERROR(__xludf.DUMMYFUNCTION("IFERROR(googlefinance(A40,""change""),"""")"),"")</f>
        <v/>
      </c>
      <c r="I40" s="136" t="str">
        <f>IFERROR(__xludf.DUMMYFUNCTION("iferror(GOOGLEFINANCE(A40,""changepct"")/100,"""")"),"")</f>
        <v/>
      </c>
      <c r="J40" s="132" t="str">
        <f>IFERROR(__xludf.DUMMYFUNCTION("IF(ISBLANK(A40),"""", googlefinance(A40, ""low52""))"),"")</f>
        <v/>
      </c>
      <c r="K40" s="350" t="str">
        <f>IFERROR(__xludf.DUMMYFUNCTION("IF(ISBLANK(A40),"""",IFERROR(SPARKLINE((C40-J40)/(L40-J40),{""charttype"",""bar"";""max"",1;""min"",0;""color1"",""2c79b5""}),""n/a""))"),"")</f>
        <v/>
      </c>
      <c r="L40" s="132" t="str">
        <f>IFERROR(__xludf.DUMMYFUNCTION("IF(ISBLANK(A40),"""", googlefinance(A40, ""high52""))"),"")</f>
        <v/>
      </c>
      <c r="M40" s="343" t="s">
        <v>101</v>
      </c>
      <c r="N40" s="343" t="s">
        <v>134</v>
      </c>
      <c r="O40" s="343" t="s">
        <v>134</v>
      </c>
      <c r="P40" s="351" t="str">
        <f>IFERROR(__xludf.DUMMYFUNCTION("IF(ISBLANK(A40),"""", googlefinance(A40, ""PE""))"),"")</f>
        <v/>
      </c>
      <c r="Q40" s="345" t="str">
        <f>IFERROR(__xludf.DUMMYFUNCTION("IF(ISBLANK(A40),"""", googlefinance(A40, ""eps""))"),"")</f>
        <v/>
      </c>
      <c r="R40" s="140" t="str">
        <f>IFERROR(__xludf.DUMMYFUNCTION("IfError(IF(isblank(A40),"""",split(V40, ""()"")))"),"")</f>
        <v/>
      </c>
      <c r="S40" s="136"/>
      <c r="T40" s="345" t="str">
        <f t="shared" si="1"/>
        <v/>
      </c>
      <c r="U40" s="132" t="str">
        <f t="shared" si="2"/>
        <v/>
      </c>
      <c r="V40" s="444" t="str">
        <f>IFERROR(__xludf.DUMMYFUNCTION("IfError(IF(isblank(A40),"""", substitute(index(IMPORTHTML(""http://finviz.com/quote.ashx?t=""&amp;A40,""table"", 10),8,2),""*"","""")),0)"),"")</f>
        <v/>
      </c>
      <c r="W40" s="146" t="str">
        <f t="shared" si="3"/>
        <v/>
      </c>
      <c r="X40" s="442"/>
    </row>
    <row r="41">
      <c r="A41" s="352"/>
      <c r="B41" s="349" t="str">
        <f>IFERROR(__xludf.DUMMYFUNCTION("IF(ISBLANK(A41),"""", googlefinance(A41, ""name""))"),"")</f>
        <v/>
      </c>
      <c r="C41" s="135" t="str">
        <f>IFERROR(__xludf.DUMMYFUNCTION("IF(ISBLANK(A41),"""", googlefinance(A41, ""price""))"),"")</f>
        <v/>
      </c>
      <c r="D41" s="133"/>
      <c r="E41" s="133"/>
      <c r="F41" s="344" t="str">
        <f t="shared" si="4"/>
        <v/>
      </c>
      <c r="G41" s="134"/>
      <c r="H41" s="135" t="str">
        <f>IFERROR(__xludf.DUMMYFUNCTION("IFERROR(googlefinance(A41,""change""),"""")"),"")</f>
        <v/>
      </c>
      <c r="I41" s="136" t="str">
        <f>IFERROR(__xludf.DUMMYFUNCTION("iferror(GOOGLEFINANCE(A41,""changepct"")/100,"""")"),"")</f>
        <v/>
      </c>
      <c r="J41" s="132" t="str">
        <f>IFERROR(__xludf.DUMMYFUNCTION("IF(ISBLANK(A41),"""", googlefinance(A41, ""low52""))"),"")</f>
        <v/>
      </c>
      <c r="K41" s="350" t="str">
        <f>IFERROR(__xludf.DUMMYFUNCTION("IF(ISBLANK(A41),"""",IFERROR(SPARKLINE((C41-J41)/(L41-J41),{""charttype"",""bar"";""max"",1;""min"",0;""color1"",""2c79b5""}),""n/a""))"),"")</f>
        <v/>
      </c>
      <c r="L41" s="132" t="str">
        <f>IFERROR(__xludf.DUMMYFUNCTION("IF(ISBLANK(A41),"""", googlefinance(A41, ""high52""))"),"")</f>
        <v/>
      </c>
      <c r="M41" s="343" t="s">
        <v>101</v>
      </c>
      <c r="N41" s="343" t="s">
        <v>134</v>
      </c>
      <c r="O41" s="343" t="s">
        <v>134</v>
      </c>
      <c r="P41" s="351" t="str">
        <f>IFERROR(__xludf.DUMMYFUNCTION("IF(ISBLANK(A41),"""", googlefinance(A41, ""PE""))"),"")</f>
        <v/>
      </c>
      <c r="Q41" s="345" t="str">
        <f>IFERROR(__xludf.DUMMYFUNCTION("IF(ISBLANK(A41),"""", googlefinance(A41, ""eps""))"),"")</f>
        <v/>
      </c>
      <c r="R41" s="140" t="str">
        <f>IFERROR(__xludf.DUMMYFUNCTION("IfError(IF(isblank(A41),"""",split(V41, ""()"")))"),"")</f>
        <v/>
      </c>
      <c r="S41" s="136"/>
      <c r="T41" s="345" t="str">
        <f t="shared" si="1"/>
        <v/>
      </c>
      <c r="U41" s="132" t="str">
        <f t="shared" si="2"/>
        <v/>
      </c>
      <c r="V41" s="444" t="str">
        <f>IFERROR(__xludf.DUMMYFUNCTION("IfError(IF(isblank(A41),"""", substitute(index(IMPORTHTML(""http://finviz.com/quote.ashx?t=""&amp;A41,""table"", 10),8,2),""*"","""")),0)"),"")</f>
        <v/>
      </c>
      <c r="W41" s="146" t="str">
        <f t="shared" si="3"/>
        <v/>
      </c>
      <c r="X41" s="442"/>
    </row>
    <row r="42">
      <c r="A42" s="352"/>
      <c r="B42" s="349" t="str">
        <f>IFERROR(__xludf.DUMMYFUNCTION("IF(ISBLANK(A42),"""", googlefinance(A42, ""name""))"),"")</f>
        <v/>
      </c>
      <c r="C42" s="135" t="str">
        <f>IFERROR(__xludf.DUMMYFUNCTION("IF(ISBLANK(A42),"""", googlefinance(A42, ""price""))"),"")</f>
        <v/>
      </c>
      <c r="D42" s="133"/>
      <c r="E42" s="133"/>
      <c r="F42" s="344" t="str">
        <f t="shared" si="4"/>
        <v/>
      </c>
      <c r="G42" s="134"/>
      <c r="H42" s="135" t="str">
        <f>IFERROR(__xludf.DUMMYFUNCTION("IFERROR(googlefinance(A42,""change""),"""")"),"")</f>
        <v/>
      </c>
      <c r="I42" s="136" t="str">
        <f>IFERROR(__xludf.DUMMYFUNCTION("iferror(GOOGLEFINANCE(A42,""changepct"")/100,"""")"),"")</f>
        <v/>
      </c>
      <c r="J42" s="132" t="str">
        <f>IFERROR(__xludf.DUMMYFUNCTION("IF(ISBLANK(A42),"""", googlefinance(A42, ""low52""))"),"")</f>
        <v/>
      </c>
      <c r="K42" s="350" t="str">
        <f>IFERROR(__xludf.DUMMYFUNCTION("IF(ISBLANK(A42),"""",IFERROR(SPARKLINE((C42-J42)/(L42-J42),{""charttype"",""bar"";""max"",1;""min"",0;""color1"",""2c79b5""}),""n/a""))"),"")</f>
        <v/>
      </c>
      <c r="L42" s="132" t="str">
        <f>IFERROR(__xludf.DUMMYFUNCTION("IF(ISBLANK(A42),"""", googlefinance(A42, ""high52""))"),"")</f>
        <v/>
      </c>
      <c r="M42" s="343" t="s">
        <v>101</v>
      </c>
      <c r="N42" s="343" t="s">
        <v>134</v>
      </c>
      <c r="O42" s="343" t="s">
        <v>134</v>
      </c>
      <c r="P42" s="351" t="str">
        <f>IFERROR(__xludf.DUMMYFUNCTION("IF(ISBLANK(A42),"""", googlefinance(A42, ""PE""))"),"")</f>
        <v/>
      </c>
      <c r="Q42" s="345" t="str">
        <f>IFERROR(__xludf.DUMMYFUNCTION("IF(ISBLANK(A42),"""", googlefinance(A42, ""eps""))"),"")</f>
        <v/>
      </c>
      <c r="R42" s="140" t="str">
        <f>IFERROR(__xludf.DUMMYFUNCTION("IfError(IF(isblank(A42),"""",split(V42, ""()"")))"),"")</f>
        <v/>
      </c>
      <c r="S42" s="136"/>
      <c r="T42" s="345" t="str">
        <f t="shared" si="1"/>
        <v/>
      </c>
      <c r="U42" s="132" t="str">
        <f t="shared" si="2"/>
        <v/>
      </c>
      <c r="V42" s="444" t="str">
        <f>IFERROR(__xludf.DUMMYFUNCTION("IfError(IF(isblank(A42),"""", substitute(index(IMPORTHTML(""http://finviz.com/quote.ashx?t=""&amp;A42,""table"", 10),8,2),""*"","""")),0)"),"")</f>
        <v/>
      </c>
      <c r="W42" s="146" t="str">
        <f t="shared" si="3"/>
        <v/>
      </c>
      <c r="X42" s="442"/>
    </row>
    <row r="43">
      <c r="A43" s="352"/>
      <c r="B43" s="349" t="str">
        <f>IFERROR(__xludf.DUMMYFUNCTION("IF(ISBLANK(A43),"""", googlefinance(A43, ""name""))"),"")</f>
        <v/>
      </c>
      <c r="C43" s="135" t="str">
        <f>IFERROR(__xludf.DUMMYFUNCTION("IF(ISBLANK(A43),"""", googlefinance(A43, ""price""))"),"")</f>
        <v/>
      </c>
      <c r="D43" s="133"/>
      <c r="E43" s="133"/>
      <c r="F43" s="344" t="str">
        <f t="shared" si="4"/>
        <v/>
      </c>
      <c r="G43" s="134"/>
      <c r="H43" s="135" t="str">
        <f>IFERROR(__xludf.DUMMYFUNCTION("IFERROR(googlefinance(A43,""change""),"""")"),"")</f>
        <v/>
      </c>
      <c r="I43" s="136" t="str">
        <f>IFERROR(__xludf.DUMMYFUNCTION("iferror(GOOGLEFINANCE(A43,""changepct"")/100,"""")"),"")</f>
        <v/>
      </c>
      <c r="J43" s="132" t="str">
        <f>IFERROR(__xludf.DUMMYFUNCTION("IF(ISBLANK(A43),"""", googlefinance(A43, ""low52""))"),"")</f>
        <v/>
      </c>
      <c r="K43" s="350" t="str">
        <f>IFERROR(__xludf.DUMMYFUNCTION("IF(ISBLANK(A43),"""",IFERROR(SPARKLINE((C43-J43)/(L43-J43),{""charttype"",""bar"";""max"",1;""min"",0;""color1"",""2c79b5""}),""n/a""))"),"")</f>
        <v/>
      </c>
      <c r="L43" s="132" t="str">
        <f>IFERROR(__xludf.DUMMYFUNCTION("IF(ISBLANK(A43),"""", googlefinance(A43, ""high52""))"),"")</f>
        <v/>
      </c>
      <c r="M43" s="343" t="s">
        <v>101</v>
      </c>
      <c r="N43" s="343" t="s">
        <v>134</v>
      </c>
      <c r="O43" s="343" t="s">
        <v>134</v>
      </c>
      <c r="P43" s="351" t="str">
        <f>IFERROR(__xludf.DUMMYFUNCTION("IF(ISBLANK(A43),"""", googlefinance(A43, ""PE""))"),"")</f>
        <v/>
      </c>
      <c r="Q43" s="345" t="str">
        <f>IFERROR(__xludf.DUMMYFUNCTION("IF(ISBLANK(A43),"""", googlefinance(A43, ""eps""))"),"")</f>
        <v/>
      </c>
      <c r="R43" s="140" t="str">
        <f>IFERROR(__xludf.DUMMYFUNCTION("IfError(IF(isblank(A43),"""",split(V43, ""()"")))"),"")</f>
        <v/>
      </c>
      <c r="S43" s="136"/>
      <c r="T43" s="345" t="str">
        <f t="shared" si="1"/>
        <v/>
      </c>
      <c r="U43" s="132" t="str">
        <f t="shared" si="2"/>
        <v/>
      </c>
      <c r="V43" s="444" t="str">
        <f>IFERROR(__xludf.DUMMYFUNCTION("IfError(IF(isblank(A43),"""", substitute(index(IMPORTHTML(""http://finviz.com/quote.ashx?t=""&amp;A43,""table"", 10),8,2),""*"","""")),0)"),"")</f>
        <v/>
      </c>
      <c r="W43" s="146" t="str">
        <f t="shared" si="3"/>
        <v/>
      </c>
      <c r="X43" s="442"/>
    </row>
    <row r="44">
      <c r="A44" s="352"/>
      <c r="B44" s="349" t="str">
        <f>IFERROR(__xludf.DUMMYFUNCTION("IF(ISBLANK(A44),"""", googlefinance(A44, ""name""))"),"")</f>
        <v/>
      </c>
      <c r="C44" s="135" t="str">
        <f>IFERROR(__xludf.DUMMYFUNCTION("IF(ISBLANK(A44),"""", googlefinance(A44, ""price""))"),"")</f>
        <v/>
      </c>
      <c r="D44" s="133"/>
      <c r="E44" s="133"/>
      <c r="F44" s="344" t="str">
        <f t="shared" si="4"/>
        <v/>
      </c>
      <c r="G44" s="134"/>
      <c r="H44" s="135" t="str">
        <f>IFERROR(__xludf.DUMMYFUNCTION("IFERROR(googlefinance(A44,""change""),"""")"),"")</f>
        <v/>
      </c>
      <c r="I44" s="136" t="str">
        <f>IFERROR(__xludf.DUMMYFUNCTION("iferror(GOOGLEFINANCE(A44,""changepct"")/100,"""")"),"")</f>
        <v/>
      </c>
      <c r="J44" s="132" t="str">
        <f>IFERROR(__xludf.DUMMYFUNCTION("IF(ISBLANK(A44),"""", googlefinance(A44, ""low52""))"),"")</f>
        <v/>
      </c>
      <c r="K44" s="350" t="str">
        <f>IFERROR(__xludf.DUMMYFUNCTION("IF(ISBLANK(A44),"""",IFERROR(SPARKLINE((C44-J44)/(L44-J44),{""charttype"",""bar"";""max"",1;""min"",0;""color1"",""2c79b5""}),""n/a""))"),"")</f>
        <v/>
      </c>
      <c r="L44" s="132" t="str">
        <f>IFERROR(__xludf.DUMMYFUNCTION("IF(ISBLANK(A44),"""", googlefinance(A44, ""high52""))"),"")</f>
        <v/>
      </c>
      <c r="M44" s="343" t="s">
        <v>101</v>
      </c>
      <c r="N44" s="343" t="s">
        <v>134</v>
      </c>
      <c r="O44" s="343" t="s">
        <v>134</v>
      </c>
      <c r="P44" s="351" t="str">
        <f>IFERROR(__xludf.DUMMYFUNCTION("IF(ISBLANK(A44),"""", googlefinance(A44, ""PE""))"),"")</f>
        <v/>
      </c>
      <c r="Q44" s="345" t="str">
        <f>IFERROR(__xludf.DUMMYFUNCTION("IF(ISBLANK(A44),"""", googlefinance(A44, ""eps""))"),"")</f>
        <v/>
      </c>
      <c r="R44" s="140" t="str">
        <f>IFERROR(__xludf.DUMMYFUNCTION("IfError(IF(isblank(A44),"""",split(V44, ""()"")))"),"")</f>
        <v/>
      </c>
      <c r="S44" s="136"/>
      <c r="T44" s="345" t="str">
        <f t="shared" si="1"/>
        <v/>
      </c>
      <c r="U44" s="132" t="str">
        <f t="shared" si="2"/>
        <v/>
      </c>
      <c r="V44" s="444" t="str">
        <f>IFERROR(__xludf.DUMMYFUNCTION("IfError(IF(isblank(A44),"""", substitute(index(IMPORTHTML(""http://finviz.com/quote.ashx?t=""&amp;A44,""table"", 10),8,2),""*"","""")),0)"),"")</f>
        <v/>
      </c>
      <c r="W44" s="146" t="str">
        <f t="shared" si="3"/>
        <v/>
      </c>
      <c r="X44" s="442"/>
    </row>
    <row r="45">
      <c r="A45" s="352"/>
      <c r="B45" s="349" t="str">
        <f>IFERROR(__xludf.DUMMYFUNCTION("IF(ISBLANK(A45),"""", googlefinance(A45, ""name""))"),"")</f>
        <v/>
      </c>
      <c r="C45" s="135" t="str">
        <f>IFERROR(__xludf.DUMMYFUNCTION("IF(ISBLANK(A45),"""", googlefinance(A45, ""price""))"),"")</f>
        <v/>
      </c>
      <c r="D45" s="133"/>
      <c r="E45" s="133"/>
      <c r="F45" s="344" t="str">
        <f t="shared" si="4"/>
        <v/>
      </c>
      <c r="G45" s="134"/>
      <c r="H45" s="135" t="str">
        <f>IFERROR(__xludf.DUMMYFUNCTION("IFERROR(googlefinance(A45,""change""),"""")"),"")</f>
        <v/>
      </c>
      <c r="I45" s="136" t="str">
        <f>IFERROR(__xludf.DUMMYFUNCTION("iferror(GOOGLEFINANCE(A45,""changepct"")/100,"""")"),"")</f>
        <v/>
      </c>
      <c r="J45" s="132" t="str">
        <f>IFERROR(__xludf.DUMMYFUNCTION("IF(ISBLANK(A45),"""", googlefinance(A45, ""low52""))"),"")</f>
        <v/>
      </c>
      <c r="K45" s="350" t="str">
        <f>IFERROR(__xludf.DUMMYFUNCTION("IF(ISBLANK(A45),"""",IFERROR(SPARKLINE((C45-J45)/(L45-J45),{""charttype"",""bar"";""max"",1;""min"",0;""color1"",""2c79b5""}),""n/a""))"),"")</f>
        <v/>
      </c>
      <c r="L45" s="132" t="str">
        <f>IFERROR(__xludf.DUMMYFUNCTION("IF(ISBLANK(A45),"""", googlefinance(A45, ""high52""))"),"")</f>
        <v/>
      </c>
      <c r="M45" s="343" t="s">
        <v>101</v>
      </c>
      <c r="N45" s="343" t="s">
        <v>134</v>
      </c>
      <c r="O45" s="343" t="s">
        <v>134</v>
      </c>
      <c r="P45" s="351" t="str">
        <f>IFERROR(__xludf.DUMMYFUNCTION("IF(ISBLANK(A45),"""", googlefinance(A45, ""PE""))"),"")</f>
        <v/>
      </c>
      <c r="Q45" s="345" t="str">
        <f>IFERROR(__xludf.DUMMYFUNCTION("IF(ISBLANK(A45),"""", googlefinance(A45, ""eps""))"),"")</f>
        <v/>
      </c>
      <c r="R45" s="140" t="str">
        <f>IFERROR(__xludf.DUMMYFUNCTION("IfError(IF(isblank(A45),"""",split(V45, ""()"")))"),"")</f>
        <v/>
      </c>
      <c r="S45" s="136"/>
      <c r="T45" s="345" t="str">
        <f t="shared" si="1"/>
        <v/>
      </c>
      <c r="U45" s="132" t="str">
        <f t="shared" si="2"/>
        <v/>
      </c>
      <c r="V45" s="444" t="str">
        <f>IFERROR(__xludf.DUMMYFUNCTION("IfError(IF(isblank(A45),"""", substitute(index(IMPORTHTML(""http://finviz.com/quote.ashx?t=""&amp;A45,""table"", 10),8,2),""*"","""")),0)"),"")</f>
        <v/>
      </c>
      <c r="W45" s="146" t="str">
        <f t="shared" si="3"/>
        <v/>
      </c>
      <c r="X45" s="442"/>
    </row>
    <row r="46">
      <c r="A46" s="352"/>
      <c r="B46" s="349" t="str">
        <f>IFERROR(__xludf.DUMMYFUNCTION("IF(ISBLANK(A46),"""", googlefinance(A46, ""name""))"),"")</f>
        <v/>
      </c>
      <c r="C46" s="135" t="str">
        <f>IFERROR(__xludf.DUMMYFUNCTION("IF(ISBLANK(A46),"""", googlefinance(A46, ""price""))"),"")</f>
        <v/>
      </c>
      <c r="D46" s="133"/>
      <c r="E46" s="133"/>
      <c r="F46" s="344" t="str">
        <f t="shared" si="4"/>
        <v/>
      </c>
      <c r="G46" s="134"/>
      <c r="H46" s="135" t="str">
        <f>IFERROR(__xludf.DUMMYFUNCTION("IFERROR(googlefinance(A46,""change""),"""")"),"")</f>
        <v/>
      </c>
      <c r="I46" s="136" t="str">
        <f>IFERROR(__xludf.DUMMYFUNCTION("iferror(GOOGLEFINANCE(A46,""changepct"")/100,"""")"),"")</f>
        <v/>
      </c>
      <c r="J46" s="132" t="str">
        <f>IFERROR(__xludf.DUMMYFUNCTION("IF(ISBLANK(A46),"""", googlefinance(A46, ""low52""))"),"")</f>
        <v/>
      </c>
      <c r="K46" s="350" t="str">
        <f>IFERROR(__xludf.DUMMYFUNCTION("IF(ISBLANK(A46),"""",IFERROR(SPARKLINE((C46-J46)/(L46-J46),{""charttype"",""bar"";""max"",1;""min"",0;""color1"",""2c79b5""}),""n/a""))"),"")</f>
        <v/>
      </c>
      <c r="L46" s="132" t="str">
        <f>IFERROR(__xludf.DUMMYFUNCTION("IF(ISBLANK(A46),"""", googlefinance(A46, ""high52""))"),"")</f>
        <v/>
      </c>
      <c r="M46" s="343" t="s">
        <v>101</v>
      </c>
      <c r="N46" s="343" t="s">
        <v>134</v>
      </c>
      <c r="O46" s="343" t="s">
        <v>134</v>
      </c>
      <c r="P46" s="351" t="str">
        <f>IFERROR(__xludf.DUMMYFUNCTION("IF(ISBLANK(A46),"""", googlefinance(A46, ""PE""))"),"")</f>
        <v/>
      </c>
      <c r="Q46" s="345" t="str">
        <f>IFERROR(__xludf.DUMMYFUNCTION("IF(ISBLANK(A46),"""", googlefinance(A46, ""eps""))"),"")</f>
        <v/>
      </c>
      <c r="R46" s="140" t="str">
        <f>IFERROR(__xludf.DUMMYFUNCTION("IfError(IF(isblank(A46),"""",split(V46, ""()"")))"),"")</f>
        <v/>
      </c>
      <c r="S46" s="136"/>
      <c r="T46" s="345" t="str">
        <f t="shared" si="1"/>
        <v/>
      </c>
      <c r="U46" s="132" t="str">
        <f t="shared" si="2"/>
        <v/>
      </c>
      <c r="V46" s="444" t="str">
        <f>IFERROR(__xludf.DUMMYFUNCTION("IfError(IF(isblank(A46),"""", substitute(index(IMPORTHTML(""http://finviz.com/quote.ashx?t=""&amp;A46,""table"", 10),8,2),""*"","""")),0)"),"")</f>
        <v/>
      </c>
      <c r="W46" s="146" t="str">
        <f t="shared" si="3"/>
        <v/>
      </c>
      <c r="X46" s="442"/>
    </row>
    <row r="47">
      <c r="A47" s="352"/>
      <c r="B47" s="349" t="str">
        <f>IFERROR(__xludf.DUMMYFUNCTION("IF(ISBLANK(A47),"""", googlefinance(A47, ""name""))"),"")</f>
        <v/>
      </c>
      <c r="C47" s="135" t="str">
        <f>IFERROR(__xludf.DUMMYFUNCTION("IF(ISBLANK(A47),"""", googlefinance(A47, ""price""))"),"")</f>
        <v/>
      </c>
      <c r="D47" s="133"/>
      <c r="E47" s="133"/>
      <c r="F47" s="344" t="str">
        <f t="shared" si="4"/>
        <v/>
      </c>
      <c r="G47" s="134"/>
      <c r="H47" s="135" t="str">
        <f>IFERROR(__xludf.DUMMYFUNCTION("IFERROR(googlefinance(A47,""change""),"""")"),"")</f>
        <v/>
      </c>
      <c r="I47" s="136" t="str">
        <f>IFERROR(__xludf.DUMMYFUNCTION("iferror(GOOGLEFINANCE(A47,""changepct"")/100,"""")"),"")</f>
        <v/>
      </c>
      <c r="J47" s="132" t="str">
        <f>IFERROR(__xludf.DUMMYFUNCTION("IF(ISBLANK(A47),"""", googlefinance(A47, ""low52""))"),"")</f>
        <v/>
      </c>
      <c r="K47" s="350" t="str">
        <f>IFERROR(__xludf.DUMMYFUNCTION("IF(ISBLANK(A47),"""",IFERROR(SPARKLINE((C47-J47)/(L47-J47),{""charttype"",""bar"";""max"",1;""min"",0;""color1"",""2c79b5""}),""n/a""))"),"")</f>
        <v/>
      </c>
      <c r="L47" s="132" t="str">
        <f>IFERROR(__xludf.DUMMYFUNCTION("IF(ISBLANK(A47),"""", googlefinance(A47, ""high52""))"),"")</f>
        <v/>
      </c>
      <c r="M47" s="343" t="s">
        <v>101</v>
      </c>
      <c r="N47" s="343" t="s">
        <v>134</v>
      </c>
      <c r="O47" s="343" t="s">
        <v>134</v>
      </c>
      <c r="P47" s="351" t="str">
        <f>IFERROR(__xludf.DUMMYFUNCTION("IF(ISBLANK(A47),"""", googlefinance(A47, ""PE""))"),"")</f>
        <v/>
      </c>
      <c r="Q47" s="345" t="str">
        <f>IFERROR(__xludf.DUMMYFUNCTION("IF(ISBLANK(A47),"""", googlefinance(A47, ""eps""))"),"")</f>
        <v/>
      </c>
      <c r="R47" s="140" t="str">
        <f>IFERROR(__xludf.DUMMYFUNCTION("IfError(IF(isblank(A47),"""",split(V47, ""()"")))"),"")</f>
        <v/>
      </c>
      <c r="S47" s="136"/>
      <c r="T47" s="345" t="str">
        <f t="shared" si="1"/>
        <v/>
      </c>
      <c r="U47" s="132" t="str">
        <f t="shared" si="2"/>
        <v/>
      </c>
      <c r="V47" s="444" t="str">
        <f>IFERROR(__xludf.DUMMYFUNCTION("IfError(IF(isblank(A47),"""", substitute(index(IMPORTHTML(""http://finviz.com/quote.ashx?t=""&amp;A47,""table"", 10),8,2),""*"","""")),0)"),"")</f>
        <v/>
      </c>
      <c r="W47" s="146" t="str">
        <f t="shared" si="3"/>
        <v/>
      </c>
      <c r="X47" s="442"/>
    </row>
    <row r="48">
      <c r="A48" s="352"/>
      <c r="B48" s="349" t="str">
        <f>IFERROR(__xludf.DUMMYFUNCTION("IF(ISBLANK(A48),"""", googlefinance(A48, ""name""))"),"")</f>
        <v/>
      </c>
      <c r="C48" s="135" t="str">
        <f>IFERROR(__xludf.DUMMYFUNCTION("IF(ISBLANK(A48),"""", googlefinance(A48, ""price""))"),"")</f>
        <v/>
      </c>
      <c r="D48" s="133"/>
      <c r="E48" s="133"/>
      <c r="F48" s="344" t="str">
        <f t="shared" si="4"/>
        <v/>
      </c>
      <c r="G48" s="134"/>
      <c r="H48" s="135" t="str">
        <f>IFERROR(__xludf.DUMMYFUNCTION("IFERROR(googlefinance(A48,""change""),"""")"),"")</f>
        <v/>
      </c>
      <c r="I48" s="136" t="str">
        <f>IFERROR(__xludf.DUMMYFUNCTION("iferror(GOOGLEFINANCE(A48,""changepct"")/100,"""")"),"")</f>
        <v/>
      </c>
      <c r="J48" s="132" t="str">
        <f>IFERROR(__xludf.DUMMYFUNCTION("IF(ISBLANK(A48),"""", googlefinance(A48, ""low52""))"),"")</f>
        <v/>
      </c>
      <c r="K48" s="350" t="str">
        <f>IFERROR(__xludf.DUMMYFUNCTION("IF(ISBLANK(A48),"""",IFERROR(SPARKLINE((C48-J48)/(L48-J48),{""charttype"",""bar"";""max"",1;""min"",0;""color1"",""2c79b5""}),""n/a""))"),"")</f>
        <v/>
      </c>
      <c r="L48" s="132" t="str">
        <f>IFERROR(__xludf.DUMMYFUNCTION("IF(ISBLANK(A48),"""", googlefinance(A48, ""high52""))"),"")</f>
        <v/>
      </c>
      <c r="M48" s="343" t="s">
        <v>101</v>
      </c>
      <c r="N48" s="343" t="s">
        <v>134</v>
      </c>
      <c r="O48" s="343" t="s">
        <v>134</v>
      </c>
      <c r="P48" s="351" t="str">
        <f>IFERROR(__xludf.DUMMYFUNCTION("IF(ISBLANK(A48),"""", googlefinance(A48, ""PE""))"),"")</f>
        <v/>
      </c>
      <c r="Q48" s="345" t="str">
        <f>IFERROR(__xludf.DUMMYFUNCTION("IF(ISBLANK(A48),"""", googlefinance(A48, ""eps""))"),"")</f>
        <v/>
      </c>
      <c r="R48" s="140" t="str">
        <f>IFERROR(__xludf.DUMMYFUNCTION("IfError(IF(isblank(A48),"""",split(V48, ""()"")))"),"")</f>
        <v/>
      </c>
      <c r="S48" s="136"/>
      <c r="T48" s="345" t="str">
        <f t="shared" si="1"/>
        <v/>
      </c>
      <c r="U48" s="132" t="str">
        <f t="shared" si="2"/>
        <v/>
      </c>
      <c r="V48" s="444" t="str">
        <f>IFERROR(__xludf.DUMMYFUNCTION("IfError(IF(isblank(A48),"""", substitute(index(IMPORTHTML(""http://finviz.com/quote.ashx?t=""&amp;A48,""table"", 10),8,2),""*"","""")),0)"),"")</f>
        <v/>
      </c>
      <c r="W48" s="146" t="str">
        <f t="shared" si="3"/>
        <v/>
      </c>
      <c r="X48" s="442"/>
    </row>
    <row r="49">
      <c r="A49" s="352"/>
      <c r="B49" s="349" t="str">
        <f>IFERROR(__xludf.DUMMYFUNCTION("IF(ISBLANK(A49),"""", googlefinance(A49, ""name""))"),"")</f>
        <v/>
      </c>
      <c r="C49" s="135" t="str">
        <f>IFERROR(__xludf.DUMMYFUNCTION("IF(ISBLANK(A49),"""", googlefinance(A49, ""price""))"),"")</f>
        <v/>
      </c>
      <c r="D49" s="133"/>
      <c r="E49" s="133"/>
      <c r="F49" s="344" t="str">
        <f t="shared" si="4"/>
        <v/>
      </c>
      <c r="G49" s="134"/>
      <c r="H49" s="135" t="str">
        <f>IFERROR(__xludf.DUMMYFUNCTION("IFERROR(googlefinance(A49,""change""),"""")"),"")</f>
        <v/>
      </c>
      <c r="I49" s="136" t="str">
        <f>IFERROR(__xludf.DUMMYFUNCTION("iferror(GOOGLEFINANCE(A49,""changepct"")/100,"""")"),"")</f>
        <v/>
      </c>
      <c r="J49" s="132" t="str">
        <f>IFERROR(__xludf.DUMMYFUNCTION("IF(ISBLANK(A49),"""", googlefinance(A49, ""low52""))"),"")</f>
        <v/>
      </c>
      <c r="K49" s="350" t="str">
        <f>IFERROR(__xludf.DUMMYFUNCTION("IF(ISBLANK(A49),"""",IFERROR(SPARKLINE((C49-J49)/(L49-J49),{""charttype"",""bar"";""max"",1;""min"",0;""color1"",""2c79b5""}),""n/a""))"),"")</f>
        <v/>
      </c>
      <c r="L49" s="132" t="str">
        <f>IFERROR(__xludf.DUMMYFUNCTION("IF(ISBLANK(A49),"""", googlefinance(A49, ""high52""))"),"")</f>
        <v/>
      </c>
      <c r="M49" s="343" t="s">
        <v>101</v>
      </c>
      <c r="N49" s="343" t="s">
        <v>134</v>
      </c>
      <c r="O49" s="343" t="s">
        <v>134</v>
      </c>
      <c r="P49" s="351" t="str">
        <f>IFERROR(__xludf.DUMMYFUNCTION("IF(ISBLANK(A49),"""", googlefinance(A49, ""PE""))"),"")</f>
        <v/>
      </c>
      <c r="Q49" s="345" t="str">
        <f>IFERROR(__xludf.DUMMYFUNCTION("IF(ISBLANK(A49),"""", googlefinance(A49, ""eps""))"),"")</f>
        <v/>
      </c>
      <c r="R49" s="140" t="str">
        <f>IFERROR(__xludf.DUMMYFUNCTION("IfError(IF(isblank(A49),"""",split(V49, ""()"")))"),"")</f>
        <v/>
      </c>
      <c r="S49" s="136"/>
      <c r="T49" s="345" t="str">
        <f t="shared" si="1"/>
        <v/>
      </c>
      <c r="U49" s="132" t="str">
        <f t="shared" si="2"/>
        <v/>
      </c>
      <c r="V49" s="444" t="str">
        <f>IFERROR(__xludf.DUMMYFUNCTION("IfError(IF(isblank(A49),"""", substitute(index(IMPORTHTML(""http://finviz.com/quote.ashx?t=""&amp;A49,""table"", 10),8,2),""*"","""")),0)"),"")</f>
        <v/>
      </c>
      <c r="W49" s="146" t="str">
        <f t="shared" si="3"/>
        <v/>
      </c>
      <c r="X49" s="442"/>
    </row>
    <row r="50">
      <c r="A50" s="352"/>
      <c r="B50" s="349" t="str">
        <f>IFERROR(__xludf.DUMMYFUNCTION("IF(ISBLANK(A50),"""", googlefinance(A50, ""name""))"),"")</f>
        <v/>
      </c>
      <c r="C50" s="135" t="str">
        <f>IFERROR(__xludf.DUMMYFUNCTION("IF(ISBLANK(A50),"""", googlefinance(A50, ""price""))"),"")</f>
        <v/>
      </c>
      <c r="D50" s="133"/>
      <c r="E50" s="133"/>
      <c r="F50" s="344" t="str">
        <f t="shared" si="4"/>
        <v/>
      </c>
      <c r="G50" s="134"/>
      <c r="H50" s="135" t="str">
        <f>IFERROR(__xludf.DUMMYFUNCTION("IFERROR(googlefinance(A50,""change""),"""")"),"")</f>
        <v/>
      </c>
      <c r="I50" s="136" t="str">
        <f>IFERROR(__xludf.DUMMYFUNCTION("iferror(GOOGLEFINANCE(A50,""changepct"")/100,"""")"),"")</f>
        <v/>
      </c>
      <c r="J50" s="132" t="str">
        <f>IFERROR(__xludf.DUMMYFUNCTION("IF(ISBLANK(A50),"""", googlefinance(A50, ""low52""))"),"")</f>
        <v/>
      </c>
      <c r="K50" s="350" t="str">
        <f>IFERROR(__xludf.DUMMYFUNCTION("IF(ISBLANK(A50),"""",IFERROR(SPARKLINE((C50-J50)/(L50-J50),{""charttype"",""bar"";""max"",1;""min"",0;""color1"",""2c79b5""}),""n/a""))"),"")</f>
        <v/>
      </c>
      <c r="L50" s="132" t="str">
        <f>IFERROR(__xludf.DUMMYFUNCTION("IF(ISBLANK(A50),"""", googlefinance(A50, ""high52""))"),"")</f>
        <v/>
      </c>
      <c r="M50" s="343" t="s">
        <v>101</v>
      </c>
      <c r="N50" s="343" t="s">
        <v>134</v>
      </c>
      <c r="O50" s="343" t="s">
        <v>134</v>
      </c>
      <c r="P50" s="351" t="str">
        <f>IFERROR(__xludf.DUMMYFUNCTION("IF(ISBLANK(A50),"""", googlefinance(A50, ""PE""))"),"")</f>
        <v/>
      </c>
      <c r="Q50" s="345" t="str">
        <f>IFERROR(__xludf.DUMMYFUNCTION("IF(ISBLANK(A50),"""", googlefinance(A50, ""eps""))"),"")</f>
        <v/>
      </c>
      <c r="R50" s="140" t="str">
        <f>IFERROR(__xludf.DUMMYFUNCTION("IfError(IF(isblank(A50),"""",split(V50, ""()"")))"),"")</f>
        <v/>
      </c>
      <c r="S50" s="136"/>
      <c r="T50" s="345" t="str">
        <f t="shared" si="1"/>
        <v/>
      </c>
      <c r="U50" s="132" t="str">
        <f t="shared" si="2"/>
        <v/>
      </c>
      <c r="V50" s="444" t="str">
        <f>IFERROR(__xludf.DUMMYFUNCTION("IfError(IF(isblank(A50),"""", substitute(index(IMPORTHTML(""http://finviz.com/quote.ashx?t=""&amp;A50,""table"", 10),8,2),""*"","""")),0)"),"")</f>
        <v/>
      </c>
      <c r="W50" s="146" t="str">
        <f t="shared" si="3"/>
        <v/>
      </c>
      <c r="X50" s="442"/>
    </row>
    <row r="51">
      <c r="A51" s="352"/>
      <c r="B51" s="349" t="str">
        <f>IFERROR(__xludf.DUMMYFUNCTION("IF(ISBLANK(A51),"""", googlefinance(A51, ""name""))"),"")</f>
        <v/>
      </c>
      <c r="C51" s="135" t="str">
        <f>IFERROR(__xludf.DUMMYFUNCTION("IF(ISBLANK(A51),"""", googlefinance(A51, ""price""))"),"")</f>
        <v/>
      </c>
      <c r="D51" s="133"/>
      <c r="E51" s="133"/>
      <c r="F51" s="344" t="str">
        <f t="shared" si="4"/>
        <v/>
      </c>
      <c r="G51" s="134"/>
      <c r="H51" s="135" t="str">
        <f>IFERROR(__xludf.DUMMYFUNCTION("IFERROR(googlefinance(A51,""change""),"""")"),"")</f>
        <v/>
      </c>
      <c r="I51" s="136" t="str">
        <f>IFERROR(__xludf.DUMMYFUNCTION("iferror(GOOGLEFINANCE(A51,""changepct"")/100,"""")"),"")</f>
        <v/>
      </c>
      <c r="J51" s="132" t="str">
        <f>IFERROR(__xludf.DUMMYFUNCTION("IF(ISBLANK(A51),"""", googlefinance(A51, ""low52""))"),"")</f>
        <v/>
      </c>
      <c r="K51" s="350" t="str">
        <f>IFERROR(__xludf.DUMMYFUNCTION("IF(ISBLANK(A51),"""",IFERROR(SPARKLINE((C51-J51)/(L51-J51),{""charttype"",""bar"";""max"",1;""min"",0;""color1"",""2c79b5""}),""n/a""))"),"")</f>
        <v/>
      </c>
      <c r="L51" s="132" t="str">
        <f>IFERROR(__xludf.DUMMYFUNCTION("IF(ISBLANK(A51),"""", googlefinance(A51, ""high52""))"),"")</f>
        <v/>
      </c>
      <c r="M51" s="343" t="s">
        <v>101</v>
      </c>
      <c r="N51" s="343" t="s">
        <v>134</v>
      </c>
      <c r="O51" s="343" t="s">
        <v>134</v>
      </c>
      <c r="P51" s="351" t="str">
        <f>IFERROR(__xludf.DUMMYFUNCTION("IF(ISBLANK(A51),"""", googlefinance(A51, ""PE""))"),"")</f>
        <v/>
      </c>
      <c r="Q51" s="345" t="str">
        <f>IFERROR(__xludf.DUMMYFUNCTION("IF(ISBLANK(A51),"""", googlefinance(A51, ""eps""))"),"")</f>
        <v/>
      </c>
      <c r="R51" s="140" t="str">
        <f>IFERROR(__xludf.DUMMYFUNCTION("IfError(IF(isblank(A51),"""",split(V51, ""()"")))"),"")</f>
        <v/>
      </c>
      <c r="S51" s="136"/>
      <c r="T51" s="345" t="str">
        <f t="shared" si="1"/>
        <v/>
      </c>
      <c r="U51" s="132" t="str">
        <f t="shared" si="2"/>
        <v/>
      </c>
      <c r="V51" s="444" t="str">
        <f>IFERROR(__xludf.DUMMYFUNCTION("IfError(IF(isblank(A51),"""", substitute(index(IMPORTHTML(""http://finviz.com/quote.ashx?t=""&amp;A51,""table"", 10),8,2),""*"","""")),0)"),"")</f>
        <v/>
      </c>
      <c r="W51" s="146" t="str">
        <f t="shared" si="3"/>
        <v/>
      </c>
      <c r="X51" s="442"/>
    </row>
    <row r="52">
      <c r="A52" s="370">
        <f>COUNTA(A2:A51)</f>
        <v>34</v>
      </c>
      <c r="B52" s="371" t="s">
        <v>135</v>
      </c>
      <c r="C52" s="372"/>
      <c r="D52" s="372"/>
      <c r="E52" s="372"/>
      <c r="F52" s="372"/>
      <c r="G52" s="372"/>
      <c r="H52" s="372"/>
      <c r="I52" s="373"/>
      <c r="J52" s="373"/>
      <c r="K52" s="373"/>
      <c r="L52" s="373"/>
      <c r="M52" s="374"/>
      <c r="N52" s="374"/>
      <c r="O52" s="374"/>
      <c r="P52" s="374"/>
      <c r="Q52" s="372"/>
      <c r="R52" s="372"/>
      <c r="S52" s="373"/>
      <c r="T52" s="375"/>
      <c r="U52" s="372"/>
      <c r="V52" s="376"/>
      <c r="W52" s="372"/>
      <c r="X52" s="372"/>
    </row>
    <row r="53">
      <c r="A53" s="185"/>
      <c r="B53" s="67"/>
      <c r="C53" s="186"/>
      <c r="D53" s="186"/>
      <c r="E53" s="186"/>
      <c r="F53" s="186"/>
      <c r="G53" s="186"/>
      <c r="H53" s="186"/>
      <c r="I53" s="186"/>
      <c r="J53" s="186"/>
      <c r="K53" s="186"/>
      <c r="L53" s="186"/>
      <c r="M53" s="67"/>
      <c r="N53" s="67"/>
      <c r="O53" s="67"/>
      <c r="P53" s="67"/>
      <c r="Q53" s="186"/>
      <c r="R53" s="186"/>
      <c r="S53" s="187"/>
      <c r="T53" s="187"/>
      <c r="U53" s="186"/>
      <c r="V53" s="186"/>
      <c r="W53" s="186"/>
      <c r="X53" s="186"/>
    </row>
    <row r="54">
      <c r="A54" s="185"/>
      <c r="B54" s="67"/>
      <c r="C54" s="186"/>
      <c r="D54" s="186"/>
      <c r="E54" s="186"/>
      <c r="F54" s="186"/>
      <c r="G54" s="186"/>
      <c r="H54" s="186"/>
      <c r="I54" s="186"/>
      <c r="J54" s="186"/>
      <c r="K54" s="186"/>
      <c r="L54" s="186"/>
      <c r="M54" s="67"/>
      <c r="N54" s="67"/>
      <c r="O54" s="67"/>
      <c r="P54" s="67"/>
      <c r="Q54" s="186"/>
      <c r="R54" s="186"/>
      <c r="S54" s="187"/>
      <c r="T54" s="187"/>
      <c r="U54" s="186"/>
      <c r="V54" s="186"/>
      <c r="W54" s="186"/>
      <c r="X54" s="186"/>
    </row>
    <row r="55">
      <c r="A55" s="185"/>
      <c r="B55" s="67"/>
      <c r="C55" s="186"/>
      <c r="D55" s="186"/>
      <c r="E55" s="186"/>
      <c r="F55" s="186"/>
      <c r="G55" s="186"/>
      <c r="H55" s="186"/>
      <c r="I55" s="186"/>
      <c r="J55" s="186"/>
      <c r="K55" s="186"/>
      <c r="L55" s="186"/>
      <c r="M55" s="67"/>
      <c r="N55" s="67"/>
      <c r="O55" s="67"/>
      <c r="P55" s="67"/>
      <c r="Q55" s="186"/>
      <c r="R55" s="186"/>
      <c r="S55" s="187"/>
      <c r="T55" s="187"/>
      <c r="U55" s="186"/>
      <c r="V55" s="186"/>
      <c r="W55" s="186"/>
      <c r="X55" s="186"/>
    </row>
    <row r="56">
      <c r="A56" s="185"/>
      <c r="B56" s="67"/>
      <c r="C56" s="186"/>
      <c r="D56" s="186"/>
      <c r="E56" s="186"/>
      <c r="F56" s="186"/>
      <c r="G56" s="186"/>
      <c r="H56" s="186"/>
      <c r="I56" s="186"/>
      <c r="J56" s="186"/>
      <c r="K56" s="186"/>
      <c r="L56" s="186"/>
      <c r="M56" s="67"/>
      <c r="N56" s="67"/>
      <c r="O56" s="67"/>
      <c r="P56" s="67"/>
      <c r="Q56" s="186"/>
      <c r="R56" s="186"/>
      <c r="S56" s="187"/>
      <c r="T56" s="187"/>
      <c r="U56" s="186"/>
      <c r="V56" s="186"/>
      <c r="W56" s="186"/>
      <c r="X56" s="186"/>
    </row>
    <row r="57">
      <c r="A57" s="185"/>
      <c r="B57" s="67"/>
      <c r="C57" s="186"/>
      <c r="D57" s="186"/>
      <c r="E57" s="186"/>
      <c r="F57" s="186"/>
      <c r="G57" s="186"/>
      <c r="H57" s="186"/>
      <c r="I57" s="186"/>
      <c r="J57" s="186"/>
      <c r="K57" s="186"/>
      <c r="L57" s="186"/>
      <c r="M57" s="67"/>
      <c r="N57" s="67"/>
      <c r="O57" s="67"/>
      <c r="P57" s="67"/>
      <c r="Q57" s="186"/>
      <c r="R57" s="186"/>
      <c r="S57" s="187"/>
      <c r="T57" s="187"/>
      <c r="U57" s="186"/>
      <c r="V57" s="186"/>
      <c r="W57" s="186"/>
      <c r="X57" s="186"/>
    </row>
    <row r="58">
      <c r="A58" s="185"/>
      <c r="B58" s="67"/>
      <c r="C58" s="186"/>
      <c r="D58" s="186"/>
      <c r="E58" s="186"/>
      <c r="F58" s="186"/>
      <c r="G58" s="186"/>
      <c r="H58" s="186"/>
      <c r="I58" s="186"/>
      <c r="J58" s="186"/>
      <c r="K58" s="186"/>
      <c r="L58" s="186"/>
      <c r="M58" s="67"/>
      <c r="N58" s="67"/>
      <c r="O58" s="67"/>
      <c r="P58" s="67"/>
      <c r="Q58" s="186"/>
      <c r="R58" s="186"/>
      <c r="S58" s="187"/>
      <c r="T58" s="187"/>
      <c r="U58" s="186"/>
      <c r="V58" s="186"/>
      <c r="W58" s="186"/>
      <c r="X58" s="186"/>
    </row>
    <row r="59">
      <c r="A59" s="185"/>
      <c r="B59" s="67"/>
      <c r="C59" s="186"/>
      <c r="D59" s="186"/>
      <c r="E59" s="186"/>
      <c r="F59" s="186"/>
      <c r="G59" s="186"/>
      <c r="H59" s="186"/>
      <c r="I59" s="186"/>
      <c r="J59" s="186"/>
      <c r="K59" s="186"/>
      <c r="L59" s="186"/>
      <c r="M59" s="67"/>
      <c r="N59" s="67"/>
      <c r="O59" s="67"/>
      <c r="P59" s="67"/>
      <c r="Q59" s="186"/>
      <c r="R59" s="186"/>
      <c r="S59" s="187"/>
      <c r="T59" s="187"/>
      <c r="U59" s="186"/>
      <c r="V59" s="186"/>
      <c r="W59" s="186"/>
      <c r="X59" s="186"/>
    </row>
    <row r="60">
      <c r="A60" s="185"/>
      <c r="B60" s="67"/>
      <c r="C60" s="186"/>
      <c r="D60" s="186"/>
      <c r="E60" s="186"/>
      <c r="F60" s="186"/>
      <c r="G60" s="186"/>
      <c r="H60" s="186"/>
      <c r="I60" s="186"/>
      <c r="J60" s="186"/>
      <c r="K60" s="186"/>
      <c r="L60" s="186"/>
      <c r="M60" s="67"/>
      <c r="N60" s="67"/>
      <c r="O60" s="67"/>
      <c r="P60" s="67"/>
      <c r="Q60" s="186"/>
      <c r="R60" s="186"/>
      <c r="S60" s="187"/>
      <c r="T60" s="187"/>
      <c r="U60" s="186"/>
      <c r="V60" s="186"/>
      <c r="W60" s="186"/>
      <c r="X60" s="186"/>
    </row>
    <row r="61">
      <c r="A61" s="185"/>
      <c r="B61" s="67"/>
      <c r="C61" s="186"/>
      <c r="D61" s="186"/>
      <c r="E61" s="186"/>
      <c r="F61" s="186"/>
      <c r="G61" s="186"/>
      <c r="H61" s="186"/>
      <c r="I61" s="186"/>
      <c r="J61" s="186"/>
      <c r="K61" s="186"/>
      <c r="L61" s="186"/>
      <c r="M61" s="67"/>
      <c r="N61" s="67"/>
      <c r="O61" s="67"/>
      <c r="P61" s="67"/>
      <c r="Q61" s="186"/>
      <c r="R61" s="186"/>
      <c r="S61" s="187"/>
      <c r="T61" s="187"/>
      <c r="U61" s="186"/>
      <c r="V61" s="186"/>
      <c r="W61" s="186"/>
      <c r="X61" s="186"/>
    </row>
    <row r="62">
      <c r="A62" s="185"/>
      <c r="B62" s="67"/>
      <c r="C62" s="186"/>
      <c r="D62" s="186"/>
      <c r="E62" s="186"/>
      <c r="F62" s="186"/>
      <c r="G62" s="186"/>
      <c r="H62" s="186"/>
      <c r="I62" s="186"/>
      <c r="J62" s="186"/>
      <c r="K62" s="186"/>
      <c r="L62" s="186"/>
      <c r="M62" s="67"/>
      <c r="N62" s="67"/>
      <c r="O62" s="67"/>
      <c r="P62" s="67"/>
      <c r="Q62" s="186"/>
      <c r="R62" s="186"/>
      <c r="S62" s="187"/>
      <c r="T62" s="187"/>
      <c r="U62" s="186"/>
      <c r="V62" s="186"/>
      <c r="W62" s="186"/>
      <c r="X62" s="186"/>
    </row>
    <row r="63">
      <c r="A63" s="185"/>
      <c r="B63" s="67"/>
      <c r="C63" s="186"/>
      <c r="D63" s="186"/>
      <c r="E63" s="186"/>
      <c r="F63" s="186"/>
      <c r="G63" s="186"/>
      <c r="H63" s="186"/>
      <c r="I63" s="186"/>
      <c r="J63" s="186"/>
      <c r="K63" s="186"/>
      <c r="L63" s="186"/>
      <c r="M63" s="67"/>
      <c r="N63" s="67"/>
      <c r="O63" s="67"/>
      <c r="P63" s="67"/>
      <c r="Q63" s="186"/>
      <c r="R63" s="186"/>
      <c r="S63" s="187"/>
      <c r="T63" s="187"/>
      <c r="U63" s="186"/>
      <c r="V63" s="186"/>
      <c r="W63" s="186"/>
      <c r="X63" s="186"/>
    </row>
    <row r="64">
      <c r="A64" s="185"/>
      <c r="B64" s="67"/>
      <c r="C64" s="186"/>
      <c r="D64" s="186"/>
      <c r="E64" s="186"/>
      <c r="F64" s="186"/>
      <c r="G64" s="186"/>
      <c r="H64" s="186"/>
      <c r="I64" s="186"/>
      <c r="J64" s="186"/>
      <c r="K64" s="186"/>
      <c r="L64" s="186"/>
      <c r="M64" s="67"/>
      <c r="N64" s="67"/>
      <c r="O64" s="67"/>
      <c r="P64" s="67"/>
      <c r="Q64" s="186"/>
      <c r="R64" s="186"/>
      <c r="S64" s="187"/>
      <c r="T64" s="187"/>
      <c r="U64" s="186"/>
      <c r="V64" s="186"/>
      <c r="W64" s="186"/>
      <c r="X64" s="186"/>
    </row>
    <row r="65">
      <c r="A65" s="185"/>
      <c r="B65" s="67"/>
      <c r="C65" s="186"/>
      <c r="D65" s="186"/>
      <c r="E65" s="186"/>
      <c r="F65" s="186"/>
      <c r="G65" s="186"/>
      <c r="H65" s="186"/>
      <c r="I65" s="186"/>
      <c r="J65" s="186"/>
      <c r="K65" s="186"/>
      <c r="L65" s="186"/>
      <c r="M65" s="67"/>
      <c r="N65" s="67"/>
      <c r="O65" s="67"/>
      <c r="P65" s="67"/>
      <c r="Q65" s="186"/>
      <c r="R65" s="186"/>
      <c r="S65" s="187"/>
      <c r="T65" s="187"/>
      <c r="U65" s="186"/>
      <c r="V65" s="186"/>
      <c r="W65" s="186"/>
      <c r="X65" s="186"/>
    </row>
    <row r="66">
      <c r="A66" s="185"/>
      <c r="B66" s="67"/>
      <c r="C66" s="186"/>
      <c r="D66" s="186"/>
      <c r="E66" s="186"/>
      <c r="F66" s="186"/>
      <c r="G66" s="186"/>
      <c r="H66" s="186"/>
      <c r="I66" s="186"/>
      <c r="J66" s="186"/>
      <c r="K66" s="186"/>
      <c r="L66" s="186"/>
      <c r="M66" s="67"/>
      <c r="N66" s="67"/>
      <c r="O66" s="67"/>
      <c r="P66" s="67"/>
      <c r="Q66" s="186"/>
      <c r="R66" s="186"/>
      <c r="S66" s="187"/>
      <c r="T66" s="187"/>
      <c r="U66" s="186"/>
      <c r="V66" s="186"/>
      <c r="W66" s="186"/>
      <c r="X66" s="186"/>
    </row>
    <row r="67">
      <c r="A67" s="185"/>
      <c r="B67" s="67"/>
      <c r="C67" s="186"/>
      <c r="D67" s="186"/>
      <c r="E67" s="186"/>
      <c r="F67" s="186"/>
      <c r="G67" s="186"/>
      <c r="H67" s="186"/>
      <c r="I67" s="186"/>
      <c r="J67" s="186"/>
      <c r="K67" s="186"/>
      <c r="L67" s="186"/>
      <c r="M67" s="67"/>
      <c r="N67" s="67"/>
      <c r="O67" s="67"/>
      <c r="P67" s="67"/>
      <c r="Q67" s="186"/>
      <c r="R67" s="186"/>
      <c r="S67" s="187"/>
      <c r="T67" s="187"/>
      <c r="U67" s="186"/>
      <c r="V67" s="186"/>
      <c r="W67" s="186"/>
      <c r="X67" s="186"/>
    </row>
    <row r="68">
      <c r="A68" s="185"/>
      <c r="B68" s="67"/>
      <c r="C68" s="186"/>
      <c r="D68" s="186"/>
      <c r="E68" s="186"/>
      <c r="F68" s="186"/>
      <c r="G68" s="186"/>
      <c r="H68" s="186"/>
      <c r="I68" s="186"/>
      <c r="J68" s="186"/>
      <c r="K68" s="186"/>
      <c r="L68" s="186"/>
      <c r="M68" s="67"/>
      <c r="N68" s="67"/>
      <c r="O68" s="67"/>
      <c r="P68" s="67"/>
      <c r="Q68" s="186"/>
      <c r="R68" s="186"/>
      <c r="S68" s="187"/>
      <c r="T68" s="187"/>
      <c r="U68" s="186"/>
      <c r="V68" s="186"/>
      <c r="W68" s="186"/>
      <c r="X68" s="186"/>
    </row>
    <row r="69">
      <c r="A69" s="185"/>
      <c r="B69" s="67"/>
      <c r="C69" s="186"/>
      <c r="D69" s="186"/>
      <c r="E69" s="186"/>
      <c r="F69" s="186"/>
      <c r="G69" s="186"/>
      <c r="H69" s="186"/>
      <c r="I69" s="186"/>
      <c r="J69" s="186"/>
      <c r="K69" s="186"/>
      <c r="L69" s="186"/>
      <c r="M69" s="67"/>
      <c r="N69" s="67"/>
      <c r="O69" s="67"/>
      <c r="P69" s="67"/>
      <c r="Q69" s="186"/>
      <c r="R69" s="186"/>
      <c r="S69" s="187"/>
      <c r="T69" s="187"/>
      <c r="U69" s="186"/>
      <c r="V69" s="186"/>
      <c r="W69" s="186"/>
      <c r="X69" s="186"/>
    </row>
    <row r="70">
      <c r="A70" s="185"/>
      <c r="B70" s="67"/>
      <c r="C70" s="186"/>
      <c r="D70" s="186"/>
      <c r="E70" s="186"/>
      <c r="F70" s="186"/>
      <c r="G70" s="186"/>
      <c r="H70" s="186"/>
      <c r="I70" s="186"/>
      <c r="J70" s="186"/>
      <c r="K70" s="186"/>
      <c r="L70" s="186"/>
      <c r="M70" s="67"/>
      <c r="N70" s="67"/>
      <c r="O70" s="67"/>
      <c r="P70" s="67"/>
      <c r="Q70" s="186"/>
      <c r="R70" s="186"/>
      <c r="S70" s="187"/>
      <c r="T70" s="187"/>
      <c r="U70" s="186"/>
      <c r="V70" s="186"/>
      <c r="W70" s="186"/>
      <c r="X70" s="186"/>
    </row>
    <row r="71">
      <c r="A71" s="185"/>
      <c r="B71" s="67"/>
      <c r="C71" s="186"/>
      <c r="D71" s="186"/>
      <c r="E71" s="186"/>
      <c r="F71" s="186"/>
      <c r="G71" s="186"/>
      <c r="H71" s="186"/>
      <c r="I71" s="186"/>
      <c r="J71" s="186"/>
      <c r="K71" s="186"/>
      <c r="L71" s="186"/>
      <c r="M71" s="67"/>
      <c r="N71" s="67"/>
      <c r="O71" s="67"/>
      <c r="P71" s="67"/>
      <c r="Q71" s="186"/>
      <c r="R71" s="186"/>
      <c r="S71" s="187"/>
      <c r="T71" s="187"/>
      <c r="U71" s="186"/>
      <c r="V71" s="186"/>
      <c r="W71" s="186"/>
      <c r="X71" s="186"/>
    </row>
    <row r="72">
      <c r="A72" s="185"/>
      <c r="B72" s="67"/>
      <c r="C72" s="186"/>
      <c r="D72" s="186"/>
      <c r="E72" s="186"/>
      <c r="F72" s="186"/>
      <c r="G72" s="186"/>
      <c r="H72" s="186"/>
      <c r="I72" s="186"/>
      <c r="J72" s="186"/>
      <c r="K72" s="186"/>
      <c r="L72" s="186"/>
      <c r="M72" s="67"/>
      <c r="N72" s="67"/>
      <c r="O72" s="67"/>
      <c r="P72" s="67"/>
      <c r="Q72" s="186"/>
      <c r="R72" s="186"/>
      <c r="S72" s="187"/>
      <c r="T72" s="187"/>
      <c r="U72" s="186"/>
      <c r="V72" s="186"/>
      <c r="W72" s="186"/>
      <c r="X72" s="186"/>
    </row>
    <row r="73">
      <c r="A73" s="185"/>
      <c r="B73" s="67"/>
      <c r="C73" s="186"/>
      <c r="D73" s="186"/>
      <c r="E73" s="186"/>
      <c r="F73" s="186"/>
      <c r="G73" s="186"/>
      <c r="H73" s="186"/>
      <c r="I73" s="186"/>
      <c r="J73" s="186"/>
      <c r="K73" s="186"/>
      <c r="L73" s="186"/>
      <c r="M73" s="67"/>
      <c r="N73" s="67"/>
      <c r="O73" s="67"/>
      <c r="P73" s="67"/>
      <c r="Q73" s="186"/>
      <c r="R73" s="186"/>
      <c r="S73" s="187"/>
      <c r="T73" s="187"/>
      <c r="U73" s="186"/>
      <c r="V73" s="186"/>
      <c r="W73" s="186"/>
      <c r="X73" s="186"/>
    </row>
    <row r="74">
      <c r="A74" s="185"/>
      <c r="B74" s="67"/>
      <c r="C74" s="186"/>
      <c r="D74" s="186"/>
      <c r="E74" s="186"/>
      <c r="F74" s="186"/>
      <c r="G74" s="186"/>
      <c r="H74" s="186"/>
      <c r="I74" s="186"/>
      <c r="J74" s="186"/>
      <c r="K74" s="186"/>
      <c r="L74" s="186"/>
      <c r="M74" s="67"/>
      <c r="N74" s="67"/>
      <c r="O74" s="67"/>
      <c r="P74" s="67"/>
      <c r="Q74" s="186"/>
      <c r="R74" s="186"/>
      <c r="S74" s="187"/>
      <c r="T74" s="187"/>
      <c r="U74" s="186"/>
      <c r="V74" s="186"/>
      <c r="W74" s="186"/>
      <c r="X74" s="186"/>
    </row>
    <row r="75">
      <c r="A75" s="185"/>
      <c r="B75" s="67"/>
      <c r="C75" s="186"/>
      <c r="D75" s="186"/>
      <c r="E75" s="186"/>
      <c r="F75" s="186"/>
      <c r="G75" s="186"/>
      <c r="H75" s="186"/>
      <c r="I75" s="186"/>
      <c r="J75" s="186"/>
      <c r="K75" s="186"/>
      <c r="L75" s="186"/>
      <c r="M75" s="67"/>
      <c r="N75" s="67"/>
      <c r="O75" s="67"/>
      <c r="P75" s="67"/>
      <c r="Q75" s="186"/>
      <c r="R75" s="186"/>
      <c r="S75" s="187"/>
      <c r="T75" s="187"/>
      <c r="U75" s="186"/>
      <c r="V75" s="186"/>
      <c r="W75" s="186"/>
      <c r="X75" s="186"/>
    </row>
    <row r="76">
      <c r="A76" s="185"/>
      <c r="B76" s="67"/>
      <c r="C76" s="186"/>
      <c r="D76" s="186"/>
      <c r="E76" s="186"/>
      <c r="F76" s="186"/>
      <c r="G76" s="186"/>
      <c r="H76" s="186"/>
      <c r="I76" s="186"/>
      <c r="J76" s="186"/>
      <c r="K76" s="186"/>
      <c r="L76" s="186"/>
      <c r="M76" s="67"/>
      <c r="N76" s="67"/>
      <c r="O76" s="67"/>
      <c r="P76" s="67"/>
      <c r="Q76" s="186"/>
      <c r="R76" s="186"/>
      <c r="S76" s="187"/>
      <c r="T76" s="187"/>
      <c r="U76" s="186"/>
      <c r="V76" s="186"/>
      <c r="W76" s="186"/>
      <c r="X76" s="186"/>
    </row>
    <row r="77">
      <c r="A77" s="185"/>
      <c r="B77" s="67"/>
      <c r="C77" s="186"/>
      <c r="D77" s="186"/>
      <c r="E77" s="186"/>
      <c r="F77" s="186"/>
      <c r="G77" s="186"/>
      <c r="H77" s="186"/>
      <c r="I77" s="186"/>
      <c r="J77" s="186"/>
      <c r="K77" s="186"/>
      <c r="L77" s="186"/>
      <c r="M77" s="67"/>
      <c r="N77" s="67"/>
      <c r="O77" s="67"/>
      <c r="P77" s="67"/>
      <c r="Q77" s="186"/>
      <c r="R77" s="186"/>
      <c r="S77" s="187"/>
      <c r="T77" s="187"/>
      <c r="U77" s="186"/>
      <c r="V77" s="186"/>
      <c r="W77" s="186"/>
      <c r="X77" s="186"/>
    </row>
    <row r="78">
      <c r="A78" s="185"/>
      <c r="B78" s="67"/>
      <c r="C78" s="186"/>
      <c r="D78" s="186"/>
      <c r="E78" s="186"/>
      <c r="F78" s="186"/>
      <c r="G78" s="186"/>
      <c r="H78" s="186"/>
      <c r="I78" s="186"/>
      <c r="J78" s="186"/>
      <c r="K78" s="186"/>
      <c r="L78" s="186"/>
      <c r="M78" s="67"/>
      <c r="N78" s="67"/>
      <c r="O78" s="67"/>
      <c r="P78" s="67"/>
      <c r="Q78" s="186"/>
      <c r="R78" s="186"/>
      <c r="S78" s="187"/>
      <c r="T78" s="187"/>
      <c r="U78" s="186"/>
      <c r="V78" s="186"/>
      <c r="W78" s="186"/>
      <c r="X78" s="186"/>
    </row>
    <row r="79">
      <c r="A79" s="185"/>
      <c r="B79" s="67"/>
      <c r="C79" s="186"/>
      <c r="D79" s="186"/>
      <c r="E79" s="186"/>
      <c r="F79" s="186"/>
      <c r="G79" s="186"/>
      <c r="H79" s="186"/>
      <c r="I79" s="186"/>
      <c r="J79" s="186"/>
      <c r="K79" s="186"/>
      <c r="L79" s="186"/>
      <c r="M79" s="67"/>
      <c r="N79" s="67"/>
      <c r="O79" s="67"/>
      <c r="P79" s="67"/>
      <c r="Q79" s="186"/>
      <c r="R79" s="186"/>
      <c r="S79" s="187"/>
      <c r="T79" s="187"/>
      <c r="U79" s="186"/>
      <c r="V79" s="186"/>
      <c r="W79" s="186"/>
      <c r="X79" s="186"/>
    </row>
    <row r="80">
      <c r="A80" s="185"/>
      <c r="B80" s="67"/>
      <c r="C80" s="186"/>
      <c r="D80" s="186"/>
      <c r="E80" s="186"/>
      <c r="F80" s="186"/>
      <c r="G80" s="186"/>
      <c r="H80" s="186"/>
      <c r="I80" s="186"/>
      <c r="J80" s="186"/>
      <c r="K80" s="186"/>
      <c r="L80" s="186"/>
      <c r="M80" s="67"/>
      <c r="N80" s="67"/>
      <c r="O80" s="67"/>
      <c r="P80" s="67"/>
      <c r="Q80" s="186"/>
      <c r="R80" s="186"/>
      <c r="S80" s="187"/>
      <c r="T80" s="187"/>
      <c r="U80" s="186"/>
      <c r="V80" s="186"/>
      <c r="W80" s="186"/>
      <c r="X80" s="186"/>
    </row>
    <row r="81">
      <c r="A81" s="185"/>
      <c r="B81" s="67"/>
      <c r="C81" s="186"/>
      <c r="D81" s="186"/>
      <c r="E81" s="186"/>
      <c r="F81" s="186"/>
      <c r="G81" s="186"/>
      <c r="H81" s="186"/>
      <c r="I81" s="186"/>
      <c r="J81" s="186"/>
      <c r="K81" s="186"/>
      <c r="L81" s="186"/>
      <c r="M81" s="67"/>
      <c r="N81" s="67"/>
      <c r="O81" s="67"/>
      <c r="P81" s="67"/>
      <c r="Q81" s="186"/>
      <c r="R81" s="186"/>
      <c r="S81" s="187"/>
      <c r="T81" s="187"/>
      <c r="U81" s="186"/>
      <c r="V81" s="186"/>
      <c r="W81" s="186"/>
      <c r="X81" s="186"/>
    </row>
    <row r="82">
      <c r="A82" s="185"/>
      <c r="B82" s="67"/>
      <c r="C82" s="186"/>
      <c r="D82" s="186"/>
      <c r="E82" s="186"/>
      <c r="F82" s="186"/>
      <c r="G82" s="186"/>
      <c r="H82" s="186"/>
      <c r="I82" s="186"/>
      <c r="J82" s="186"/>
      <c r="K82" s="186"/>
      <c r="L82" s="186"/>
      <c r="M82" s="67"/>
      <c r="N82" s="67"/>
      <c r="O82" s="67"/>
      <c r="P82" s="67"/>
      <c r="Q82" s="186"/>
      <c r="R82" s="186"/>
      <c r="S82" s="187"/>
      <c r="T82" s="187"/>
      <c r="U82" s="186"/>
      <c r="V82" s="186"/>
      <c r="W82" s="186"/>
      <c r="X82" s="186"/>
    </row>
    <row r="83">
      <c r="A83" s="185"/>
      <c r="B83" s="67"/>
      <c r="C83" s="186"/>
      <c r="D83" s="186"/>
      <c r="E83" s="186"/>
      <c r="F83" s="186"/>
      <c r="G83" s="186"/>
      <c r="H83" s="186"/>
      <c r="I83" s="186"/>
      <c r="J83" s="186"/>
      <c r="K83" s="186"/>
      <c r="L83" s="186"/>
      <c r="M83" s="67"/>
      <c r="N83" s="67"/>
      <c r="O83" s="67"/>
      <c r="P83" s="67"/>
      <c r="Q83" s="186"/>
      <c r="R83" s="186"/>
      <c r="S83" s="187"/>
      <c r="T83" s="187"/>
      <c r="U83" s="186"/>
      <c r="V83" s="186"/>
      <c r="W83" s="186"/>
      <c r="X83" s="186"/>
    </row>
    <row r="84">
      <c r="A84" s="185"/>
      <c r="B84" s="67"/>
      <c r="C84" s="186"/>
      <c r="D84" s="186"/>
      <c r="E84" s="186"/>
      <c r="F84" s="186"/>
      <c r="G84" s="186"/>
      <c r="H84" s="186"/>
      <c r="I84" s="186"/>
      <c r="J84" s="186"/>
      <c r="K84" s="186"/>
      <c r="L84" s="186"/>
      <c r="M84" s="67"/>
      <c r="N84" s="67"/>
      <c r="O84" s="67"/>
      <c r="P84" s="67"/>
      <c r="Q84" s="186"/>
      <c r="R84" s="186"/>
      <c r="S84" s="187"/>
      <c r="T84" s="187"/>
      <c r="U84" s="186"/>
      <c r="V84" s="186"/>
      <c r="W84" s="186"/>
      <c r="X84" s="186"/>
    </row>
    <row r="85">
      <c r="A85" s="185"/>
      <c r="B85" s="67"/>
      <c r="C85" s="186"/>
      <c r="D85" s="186"/>
      <c r="E85" s="186"/>
      <c r="F85" s="186"/>
      <c r="G85" s="186"/>
      <c r="H85" s="186"/>
      <c r="I85" s="186"/>
      <c r="J85" s="186"/>
      <c r="K85" s="186"/>
      <c r="L85" s="186"/>
      <c r="M85" s="67"/>
      <c r="N85" s="67"/>
      <c r="O85" s="67"/>
      <c r="P85" s="67"/>
      <c r="Q85" s="186"/>
      <c r="R85" s="186"/>
      <c r="S85" s="187"/>
      <c r="T85" s="187"/>
      <c r="U85" s="186"/>
      <c r="V85" s="186"/>
      <c r="W85" s="186"/>
      <c r="X85" s="186"/>
    </row>
    <row r="86">
      <c r="A86" s="185"/>
      <c r="B86" s="67"/>
      <c r="C86" s="186"/>
      <c r="D86" s="186"/>
      <c r="E86" s="186"/>
      <c r="F86" s="186"/>
      <c r="G86" s="186"/>
      <c r="H86" s="186"/>
      <c r="I86" s="186"/>
      <c r="J86" s="186"/>
      <c r="K86" s="186"/>
      <c r="L86" s="186"/>
      <c r="M86" s="67"/>
      <c r="N86" s="67"/>
      <c r="O86" s="67"/>
      <c r="P86" s="67"/>
      <c r="Q86" s="186"/>
      <c r="R86" s="186"/>
      <c r="S86" s="187"/>
      <c r="T86" s="187"/>
      <c r="U86" s="186"/>
      <c r="V86" s="186"/>
      <c r="W86" s="186"/>
      <c r="X86" s="186"/>
    </row>
    <row r="87">
      <c r="A87" s="185"/>
      <c r="B87" s="67"/>
      <c r="C87" s="186"/>
      <c r="D87" s="186"/>
      <c r="E87" s="186"/>
      <c r="F87" s="186"/>
      <c r="G87" s="186"/>
      <c r="H87" s="186"/>
      <c r="I87" s="186"/>
      <c r="J87" s="186"/>
      <c r="K87" s="186"/>
      <c r="L87" s="186"/>
      <c r="M87" s="67"/>
      <c r="N87" s="67"/>
      <c r="O87" s="67"/>
      <c r="P87" s="67"/>
      <c r="Q87" s="186"/>
      <c r="R87" s="186"/>
      <c r="S87" s="187"/>
      <c r="T87" s="187"/>
      <c r="U87" s="186"/>
      <c r="V87" s="186"/>
      <c r="W87" s="186"/>
      <c r="X87" s="186"/>
    </row>
    <row r="88">
      <c r="A88" s="185"/>
      <c r="B88" s="67"/>
      <c r="C88" s="186"/>
      <c r="D88" s="186"/>
      <c r="E88" s="186"/>
      <c r="F88" s="186"/>
      <c r="G88" s="186"/>
      <c r="H88" s="186"/>
      <c r="I88" s="186"/>
      <c r="J88" s="186"/>
      <c r="K88" s="186"/>
      <c r="L88" s="186"/>
      <c r="M88" s="67"/>
      <c r="N88" s="67"/>
      <c r="O88" s="67"/>
      <c r="P88" s="67"/>
      <c r="Q88" s="186"/>
      <c r="R88" s="186"/>
      <c r="S88" s="187"/>
      <c r="T88" s="187"/>
      <c r="U88" s="186"/>
      <c r="V88" s="186"/>
      <c r="W88" s="186"/>
      <c r="X88" s="186"/>
    </row>
    <row r="89">
      <c r="A89" s="185"/>
      <c r="B89" s="67"/>
      <c r="C89" s="186"/>
      <c r="D89" s="186"/>
      <c r="E89" s="186"/>
      <c r="F89" s="186"/>
      <c r="G89" s="186"/>
      <c r="H89" s="186"/>
      <c r="I89" s="186"/>
      <c r="J89" s="186"/>
      <c r="K89" s="186"/>
      <c r="L89" s="186"/>
      <c r="M89" s="67"/>
      <c r="N89" s="67"/>
      <c r="O89" s="67"/>
      <c r="P89" s="67"/>
      <c r="Q89" s="186"/>
      <c r="R89" s="186"/>
      <c r="S89" s="187"/>
      <c r="T89" s="187"/>
      <c r="U89" s="186"/>
      <c r="V89" s="186"/>
      <c r="W89" s="186"/>
      <c r="X89" s="186"/>
    </row>
    <row r="90">
      <c r="A90" s="185"/>
      <c r="B90" s="67"/>
      <c r="C90" s="186"/>
      <c r="D90" s="186"/>
      <c r="E90" s="186"/>
      <c r="F90" s="186"/>
      <c r="G90" s="186"/>
      <c r="H90" s="186"/>
      <c r="I90" s="186"/>
      <c r="J90" s="186"/>
      <c r="K90" s="186"/>
      <c r="L90" s="186"/>
      <c r="M90" s="67"/>
      <c r="N90" s="67"/>
      <c r="O90" s="67"/>
      <c r="P90" s="67"/>
      <c r="Q90" s="186"/>
      <c r="R90" s="186"/>
      <c r="S90" s="187"/>
      <c r="T90" s="187"/>
      <c r="U90" s="186"/>
      <c r="V90" s="186"/>
      <c r="W90" s="186"/>
      <c r="X90" s="186"/>
    </row>
    <row r="91">
      <c r="A91" s="185"/>
      <c r="B91" s="67"/>
      <c r="C91" s="186"/>
      <c r="D91" s="186"/>
      <c r="E91" s="186"/>
      <c r="F91" s="186"/>
      <c r="G91" s="186"/>
      <c r="H91" s="186"/>
      <c r="I91" s="186"/>
      <c r="J91" s="186"/>
      <c r="K91" s="186"/>
      <c r="L91" s="186"/>
      <c r="M91" s="67"/>
      <c r="N91" s="67"/>
      <c r="O91" s="67"/>
      <c r="P91" s="67"/>
      <c r="Q91" s="186"/>
      <c r="R91" s="186"/>
      <c r="S91" s="187"/>
      <c r="T91" s="187"/>
      <c r="U91" s="186"/>
      <c r="V91" s="186"/>
      <c r="W91" s="186"/>
      <c r="X91" s="186"/>
    </row>
    <row r="92">
      <c r="A92" s="185"/>
      <c r="B92" s="67"/>
      <c r="C92" s="186"/>
      <c r="D92" s="186"/>
      <c r="E92" s="186"/>
      <c r="F92" s="186"/>
      <c r="G92" s="186"/>
      <c r="H92" s="186"/>
      <c r="I92" s="186"/>
      <c r="J92" s="186"/>
      <c r="K92" s="186"/>
      <c r="L92" s="186"/>
      <c r="M92" s="67"/>
      <c r="N92" s="67"/>
      <c r="O92" s="67"/>
      <c r="P92" s="67"/>
      <c r="Q92" s="186"/>
      <c r="R92" s="186"/>
      <c r="S92" s="187"/>
      <c r="T92" s="187"/>
      <c r="U92" s="186"/>
      <c r="V92" s="186"/>
      <c r="W92" s="186"/>
      <c r="X92" s="186"/>
    </row>
    <row r="93">
      <c r="A93" s="185"/>
      <c r="B93" s="67"/>
      <c r="C93" s="186"/>
      <c r="D93" s="186"/>
      <c r="E93" s="186"/>
      <c r="F93" s="186"/>
      <c r="G93" s="186"/>
      <c r="H93" s="186"/>
      <c r="I93" s="186"/>
      <c r="J93" s="186"/>
      <c r="K93" s="186"/>
      <c r="L93" s="186"/>
      <c r="M93" s="67"/>
      <c r="N93" s="67"/>
      <c r="O93" s="67"/>
      <c r="P93" s="67"/>
      <c r="Q93" s="186"/>
      <c r="R93" s="186"/>
      <c r="S93" s="187"/>
      <c r="T93" s="187"/>
      <c r="U93" s="186"/>
      <c r="V93" s="186"/>
      <c r="W93" s="186"/>
      <c r="X93" s="186"/>
    </row>
    <row r="94">
      <c r="A94" s="185"/>
      <c r="B94" s="67"/>
      <c r="C94" s="186"/>
      <c r="D94" s="186"/>
      <c r="E94" s="186"/>
      <c r="F94" s="186"/>
      <c r="G94" s="186"/>
      <c r="H94" s="186"/>
      <c r="I94" s="186"/>
      <c r="J94" s="186"/>
      <c r="K94" s="186"/>
      <c r="L94" s="186"/>
      <c r="M94" s="67"/>
      <c r="N94" s="67"/>
      <c r="O94" s="67"/>
      <c r="P94" s="67"/>
      <c r="Q94" s="186"/>
      <c r="R94" s="186"/>
      <c r="S94" s="187"/>
      <c r="T94" s="187"/>
      <c r="U94" s="186"/>
      <c r="V94" s="186"/>
      <c r="W94" s="186"/>
      <c r="X94" s="186"/>
    </row>
    <row r="95">
      <c r="A95" s="185"/>
      <c r="B95" s="67"/>
      <c r="C95" s="186"/>
      <c r="D95" s="186"/>
      <c r="E95" s="186"/>
      <c r="F95" s="186"/>
      <c r="G95" s="186"/>
      <c r="H95" s="186"/>
      <c r="I95" s="186"/>
      <c r="J95" s="186"/>
      <c r="K95" s="186"/>
      <c r="L95" s="186"/>
      <c r="M95" s="67"/>
      <c r="N95" s="67"/>
      <c r="O95" s="67"/>
      <c r="P95" s="67"/>
      <c r="Q95" s="186"/>
      <c r="R95" s="186"/>
      <c r="S95" s="187"/>
      <c r="T95" s="187"/>
      <c r="U95" s="186"/>
      <c r="V95" s="186"/>
      <c r="W95" s="186"/>
      <c r="X95" s="186"/>
    </row>
    <row r="96">
      <c r="A96" s="185"/>
      <c r="B96" s="67"/>
      <c r="C96" s="186"/>
      <c r="D96" s="186"/>
      <c r="E96" s="186"/>
      <c r="F96" s="186"/>
      <c r="G96" s="186"/>
      <c r="H96" s="186"/>
      <c r="I96" s="186"/>
      <c r="J96" s="186"/>
      <c r="K96" s="186"/>
      <c r="L96" s="186"/>
      <c r="M96" s="67"/>
      <c r="N96" s="67"/>
      <c r="O96" s="67"/>
      <c r="P96" s="67"/>
      <c r="Q96" s="186"/>
      <c r="R96" s="186"/>
      <c r="S96" s="187"/>
      <c r="T96" s="187"/>
      <c r="U96" s="186"/>
      <c r="V96" s="186"/>
      <c r="W96" s="186"/>
      <c r="X96" s="186"/>
    </row>
    <row r="97">
      <c r="A97" s="185"/>
      <c r="B97" s="67"/>
      <c r="C97" s="186"/>
      <c r="D97" s="186"/>
      <c r="E97" s="186"/>
      <c r="F97" s="186"/>
      <c r="G97" s="186"/>
      <c r="H97" s="186"/>
      <c r="I97" s="186"/>
      <c r="J97" s="186"/>
      <c r="K97" s="186"/>
      <c r="L97" s="186"/>
      <c r="M97" s="67"/>
      <c r="N97" s="67"/>
      <c r="O97" s="67"/>
      <c r="P97" s="67"/>
      <c r="Q97" s="186"/>
      <c r="R97" s="186"/>
      <c r="S97" s="187"/>
      <c r="T97" s="187"/>
      <c r="U97" s="186"/>
      <c r="V97" s="186"/>
      <c r="W97" s="186"/>
      <c r="X97" s="186"/>
    </row>
    <row r="98">
      <c r="A98" s="185"/>
      <c r="B98" s="67"/>
      <c r="C98" s="186"/>
      <c r="D98" s="186"/>
      <c r="E98" s="186"/>
      <c r="F98" s="186"/>
      <c r="G98" s="186"/>
      <c r="H98" s="186"/>
      <c r="I98" s="186"/>
      <c r="J98" s="186"/>
      <c r="K98" s="186"/>
      <c r="L98" s="186"/>
      <c r="M98" s="67"/>
      <c r="N98" s="67"/>
      <c r="O98" s="67"/>
      <c r="P98" s="67"/>
      <c r="Q98" s="186"/>
      <c r="R98" s="186"/>
      <c r="S98" s="187"/>
      <c r="T98" s="187"/>
      <c r="U98" s="186"/>
      <c r="V98" s="186"/>
      <c r="W98" s="186"/>
      <c r="X98" s="186"/>
    </row>
    <row r="99">
      <c r="A99" s="185"/>
      <c r="B99" s="67"/>
      <c r="C99" s="186"/>
      <c r="D99" s="186"/>
      <c r="E99" s="186"/>
      <c r="F99" s="186"/>
      <c r="G99" s="186"/>
      <c r="H99" s="186"/>
      <c r="I99" s="186"/>
      <c r="J99" s="186"/>
      <c r="K99" s="186"/>
      <c r="L99" s="186"/>
      <c r="M99" s="67"/>
      <c r="N99" s="67"/>
      <c r="O99" s="67"/>
      <c r="P99" s="67"/>
      <c r="Q99" s="186"/>
      <c r="R99" s="186"/>
      <c r="S99" s="187"/>
      <c r="T99" s="187"/>
      <c r="U99" s="186"/>
      <c r="V99" s="186"/>
      <c r="W99" s="186"/>
      <c r="X99" s="186"/>
    </row>
    <row r="100">
      <c r="A100" s="185"/>
      <c r="B100" s="67"/>
      <c r="C100" s="186"/>
      <c r="D100" s="186"/>
      <c r="E100" s="186"/>
      <c r="F100" s="186"/>
      <c r="G100" s="186"/>
      <c r="H100" s="186"/>
      <c r="I100" s="186"/>
      <c r="J100" s="186"/>
      <c r="K100" s="186"/>
      <c r="L100" s="186"/>
      <c r="M100" s="67"/>
      <c r="N100" s="67"/>
      <c r="O100" s="67"/>
      <c r="P100" s="67"/>
      <c r="Q100" s="186"/>
      <c r="R100" s="186"/>
      <c r="S100" s="187"/>
      <c r="T100" s="187"/>
      <c r="U100" s="186"/>
      <c r="V100" s="186"/>
      <c r="W100" s="186"/>
      <c r="X100" s="186"/>
    </row>
    <row r="101">
      <c r="A101" s="185"/>
      <c r="B101" s="67"/>
      <c r="C101" s="186"/>
      <c r="D101" s="186"/>
      <c r="E101" s="186"/>
      <c r="F101" s="186"/>
      <c r="G101" s="186"/>
      <c r="H101" s="186"/>
      <c r="I101" s="186"/>
      <c r="J101" s="186"/>
      <c r="K101" s="186"/>
      <c r="L101" s="186"/>
      <c r="M101" s="67"/>
      <c r="N101" s="67"/>
      <c r="O101" s="67"/>
      <c r="P101" s="67"/>
      <c r="Q101" s="186"/>
      <c r="R101" s="186"/>
      <c r="S101" s="187"/>
      <c r="T101" s="187"/>
      <c r="U101" s="186"/>
      <c r="V101" s="186"/>
      <c r="W101" s="186"/>
      <c r="X101" s="186"/>
    </row>
    <row r="102">
      <c r="A102" s="185"/>
      <c r="B102" s="67"/>
      <c r="C102" s="186"/>
      <c r="D102" s="186"/>
      <c r="E102" s="186"/>
      <c r="F102" s="186"/>
      <c r="G102" s="186"/>
      <c r="H102" s="186"/>
      <c r="I102" s="186"/>
      <c r="J102" s="186"/>
      <c r="K102" s="186"/>
      <c r="L102" s="186"/>
      <c r="M102" s="67"/>
      <c r="N102" s="67"/>
      <c r="O102" s="67"/>
      <c r="P102" s="67"/>
      <c r="Q102" s="186"/>
      <c r="R102" s="186"/>
      <c r="S102" s="187"/>
      <c r="T102" s="187"/>
      <c r="U102" s="186"/>
      <c r="V102" s="186"/>
      <c r="W102" s="186"/>
      <c r="X102" s="186"/>
    </row>
    <row r="103">
      <c r="A103" s="185"/>
      <c r="B103" s="67"/>
      <c r="C103" s="186"/>
      <c r="D103" s="186"/>
      <c r="E103" s="186"/>
      <c r="F103" s="186"/>
      <c r="G103" s="186"/>
      <c r="H103" s="186"/>
      <c r="I103" s="186"/>
      <c r="J103" s="186"/>
      <c r="K103" s="186"/>
      <c r="L103" s="186"/>
      <c r="M103" s="67"/>
      <c r="N103" s="67"/>
      <c r="O103" s="67"/>
      <c r="P103" s="67"/>
      <c r="Q103" s="186"/>
      <c r="R103" s="186"/>
      <c r="S103" s="187"/>
      <c r="T103" s="187"/>
      <c r="U103" s="186"/>
      <c r="V103" s="186"/>
      <c r="W103" s="186"/>
      <c r="X103" s="186"/>
    </row>
    <row r="104">
      <c r="A104" s="185"/>
      <c r="B104" s="67"/>
      <c r="C104" s="186"/>
      <c r="D104" s="186"/>
      <c r="E104" s="186"/>
      <c r="F104" s="186"/>
      <c r="G104" s="186"/>
      <c r="H104" s="186"/>
      <c r="I104" s="186"/>
      <c r="J104" s="186"/>
      <c r="K104" s="186"/>
      <c r="L104" s="186"/>
      <c r="M104" s="67"/>
      <c r="N104" s="67"/>
      <c r="O104" s="67"/>
      <c r="P104" s="67"/>
      <c r="Q104" s="186"/>
      <c r="R104" s="186"/>
      <c r="S104" s="187"/>
      <c r="T104" s="187"/>
      <c r="U104" s="186"/>
      <c r="V104" s="186"/>
      <c r="W104" s="186"/>
      <c r="X104" s="186"/>
    </row>
    <row r="105">
      <c r="A105" s="185"/>
      <c r="B105" s="67"/>
      <c r="C105" s="186"/>
      <c r="D105" s="186"/>
      <c r="E105" s="186"/>
      <c r="F105" s="186"/>
      <c r="G105" s="186"/>
      <c r="H105" s="186"/>
      <c r="I105" s="186"/>
      <c r="J105" s="186"/>
      <c r="K105" s="186"/>
      <c r="L105" s="186"/>
      <c r="M105" s="67"/>
      <c r="N105" s="67"/>
      <c r="O105" s="67"/>
      <c r="P105" s="67"/>
      <c r="Q105" s="186"/>
      <c r="R105" s="186"/>
      <c r="S105" s="187"/>
      <c r="T105" s="187"/>
      <c r="U105" s="186"/>
      <c r="V105" s="186"/>
      <c r="W105" s="186"/>
      <c r="X105" s="186"/>
    </row>
    <row r="106">
      <c r="A106" s="185"/>
      <c r="B106" s="67"/>
      <c r="C106" s="186"/>
      <c r="D106" s="186"/>
      <c r="E106" s="186"/>
      <c r="F106" s="186"/>
      <c r="G106" s="186"/>
      <c r="H106" s="186"/>
      <c r="I106" s="186"/>
      <c r="J106" s="186"/>
      <c r="K106" s="186"/>
      <c r="L106" s="186"/>
      <c r="M106" s="67"/>
      <c r="N106" s="67"/>
      <c r="O106" s="67"/>
      <c r="P106" s="67"/>
      <c r="Q106" s="186"/>
      <c r="R106" s="186"/>
      <c r="S106" s="187"/>
      <c r="T106" s="187"/>
      <c r="U106" s="186"/>
      <c r="V106" s="186"/>
      <c r="W106" s="186"/>
      <c r="X106" s="186"/>
    </row>
    <row r="107">
      <c r="A107" s="185"/>
      <c r="B107" s="67"/>
      <c r="C107" s="186"/>
      <c r="D107" s="186"/>
      <c r="E107" s="186"/>
      <c r="F107" s="186"/>
      <c r="G107" s="186"/>
      <c r="H107" s="186"/>
      <c r="I107" s="186"/>
      <c r="J107" s="186"/>
      <c r="K107" s="186"/>
      <c r="L107" s="186"/>
      <c r="M107" s="67"/>
      <c r="N107" s="67"/>
      <c r="O107" s="67"/>
      <c r="P107" s="67"/>
      <c r="Q107" s="186"/>
      <c r="R107" s="186"/>
      <c r="S107" s="187"/>
      <c r="T107" s="187"/>
      <c r="U107" s="186"/>
      <c r="V107" s="186"/>
      <c r="W107" s="186"/>
      <c r="X107" s="186"/>
    </row>
    <row r="108">
      <c r="A108" s="185"/>
      <c r="B108" s="67"/>
      <c r="C108" s="186"/>
      <c r="D108" s="186"/>
      <c r="E108" s="186"/>
      <c r="F108" s="186"/>
      <c r="G108" s="186"/>
      <c r="H108" s="186"/>
      <c r="I108" s="186"/>
      <c r="J108" s="186"/>
      <c r="K108" s="186"/>
      <c r="L108" s="186"/>
      <c r="M108" s="67"/>
      <c r="N108" s="67"/>
      <c r="O108" s="67"/>
      <c r="P108" s="67"/>
      <c r="Q108" s="186"/>
      <c r="R108" s="186"/>
      <c r="S108" s="187"/>
      <c r="T108" s="187"/>
      <c r="U108" s="186"/>
      <c r="V108" s="186"/>
      <c r="W108" s="186"/>
      <c r="X108" s="186"/>
    </row>
    <row r="109">
      <c r="A109" s="185"/>
      <c r="B109" s="67"/>
      <c r="C109" s="186"/>
      <c r="D109" s="186"/>
      <c r="E109" s="186"/>
      <c r="F109" s="186"/>
      <c r="G109" s="186"/>
      <c r="H109" s="186"/>
      <c r="I109" s="186"/>
      <c r="J109" s="186"/>
      <c r="K109" s="186"/>
      <c r="L109" s="186"/>
      <c r="M109" s="67"/>
      <c r="N109" s="67"/>
      <c r="O109" s="67"/>
      <c r="P109" s="67"/>
      <c r="Q109" s="186"/>
      <c r="R109" s="186"/>
      <c r="S109" s="187"/>
      <c r="T109" s="187"/>
      <c r="U109" s="186"/>
      <c r="V109" s="186"/>
      <c r="W109" s="186"/>
      <c r="X109" s="186"/>
    </row>
    <row r="110">
      <c r="A110" s="185"/>
      <c r="B110" s="67"/>
      <c r="C110" s="186"/>
      <c r="D110" s="186"/>
      <c r="E110" s="186"/>
      <c r="F110" s="186"/>
      <c r="G110" s="186"/>
      <c r="H110" s="186"/>
      <c r="I110" s="186"/>
      <c r="J110" s="186"/>
      <c r="K110" s="186"/>
      <c r="L110" s="186"/>
      <c r="M110" s="67"/>
      <c r="N110" s="67"/>
      <c r="O110" s="67"/>
      <c r="P110" s="67"/>
      <c r="Q110" s="186"/>
      <c r="R110" s="186"/>
      <c r="S110" s="187"/>
      <c r="T110" s="187"/>
      <c r="U110" s="186"/>
      <c r="V110" s="186"/>
      <c r="W110" s="186"/>
      <c r="X110" s="186"/>
    </row>
    <row r="111">
      <c r="A111" s="185"/>
      <c r="B111" s="67"/>
      <c r="C111" s="186"/>
      <c r="D111" s="186"/>
      <c r="E111" s="186"/>
      <c r="F111" s="186"/>
      <c r="G111" s="186"/>
      <c r="H111" s="186"/>
      <c r="I111" s="186"/>
      <c r="J111" s="186"/>
      <c r="K111" s="186"/>
      <c r="L111" s="186"/>
      <c r="M111" s="67"/>
      <c r="N111" s="67"/>
      <c r="O111" s="67"/>
      <c r="P111" s="67"/>
      <c r="Q111" s="186"/>
      <c r="R111" s="186"/>
      <c r="S111" s="187"/>
      <c r="T111" s="187"/>
      <c r="U111" s="186"/>
      <c r="V111" s="186"/>
      <c r="W111" s="186"/>
      <c r="X111" s="186"/>
    </row>
    <row r="112">
      <c r="A112" s="185"/>
      <c r="B112" s="67"/>
      <c r="C112" s="186"/>
      <c r="D112" s="186"/>
      <c r="E112" s="186"/>
      <c r="F112" s="186"/>
      <c r="G112" s="186"/>
      <c r="H112" s="186"/>
      <c r="I112" s="186"/>
      <c r="J112" s="186"/>
      <c r="K112" s="186"/>
      <c r="L112" s="186"/>
      <c r="M112" s="67"/>
      <c r="N112" s="67"/>
      <c r="O112" s="67"/>
      <c r="P112" s="67"/>
      <c r="Q112" s="186"/>
      <c r="R112" s="186"/>
      <c r="S112" s="187"/>
      <c r="T112" s="187"/>
      <c r="U112" s="186"/>
      <c r="V112" s="186"/>
      <c r="W112" s="186"/>
      <c r="X112" s="186"/>
    </row>
    <row r="113">
      <c r="A113" s="185"/>
      <c r="B113" s="67"/>
      <c r="C113" s="186"/>
      <c r="D113" s="186"/>
      <c r="E113" s="186"/>
      <c r="F113" s="186"/>
      <c r="G113" s="186"/>
      <c r="H113" s="186"/>
      <c r="I113" s="186"/>
      <c r="J113" s="186"/>
      <c r="K113" s="186"/>
      <c r="L113" s="186"/>
      <c r="M113" s="67"/>
      <c r="N113" s="67"/>
      <c r="O113" s="67"/>
      <c r="P113" s="67"/>
      <c r="Q113" s="186"/>
      <c r="R113" s="186"/>
      <c r="S113" s="187"/>
      <c r="T113" s="187"/>
      <c r="U113" s="186"/>
      <c r="V113" s="186"/>
      <c r="W113" s="186"/>
      <c r="X113" s="186"/>
    </row>
    <row r="114">
      <c r="A114" s="185"/>
      <c r="B114" s="67"/>
      <c r="C114" s="186"/>
      <c r="D114" s="186"/>
      <c r="E114" s="186"/>
      <c r="F114" s="186"/>
      <c r="G114" s="186"/>
      <c r="H114" s="186"/>
      <c r="I114" s="186"/>
      <c r="J114" s="186"/>
      <c r="K114" s="186"/>
      <c r="L114" s="186"/>
      <c r="M114" s="67"/>
      <c r="N114" s="67"/>
      <c r="O114" s="67"/>
      <c r="P114" s="67"/>
      <c r="Q114" s="186"/>
      <c r="R114" s="186"/>
      <c r="S114" s="187"/>
      <c r="T114" s="187"/>
      <c r="U114" s="186"/>
      <c r="V114" s="186"/>
      <c r="W114" s="186"/>
      <c r="X114" s="186"/>
    </row>
    <row r="115">
      <c r="A115" s="185"/>
      <c r="B115" s="67"/>
      <c r="C115" s="186"/>
      <c r="D115" s="186"/>
      <c r="E115" s="186"/>
      <c r="F115" s="186"/>
      <c r="G115" s="186"/>
      <c r="H115" s="186"/>
      <c r="I115" s="186"/>
      <c r="J115" s="186"/>
      <c r="K115" s="186"/>
      <c r="L115" s="186"/>
      <c r="M115" s="67"/>
      <c r="N115" s="67"/>
      <c r="O115" s="67"/>
      <c r="P115" s="67"/>
      <c r="Q115" s="186"/>
      <c r="R115" s="186"/>
      <c r="S115" s="187"/>
      <c r="T115" s="187"/>
      <c r="U115" s="186"/>
      <c r="V115" s="186"/>
      <c r="W115" s="186"/>
      <c r="X115" s="186"/>
    </row>
    <row r="116">
      <c r="A116" s="185"/>
      <c r="B116" s="67"/>
      <c r="C116" s="186"/>
      <c r="D116" s="186"/>
      <c r="E116" s="186"/>
      <c r="F116" s="186"/>
      <c r="G116" s="186"/>
      <c r="H116" s="186"/>
      <c r="I116" s="186"/>
      <c r="J116" s="186"/>
      <c r="K116" s="186"/>
      <c r="L116" s="186"/>
      <c r="M116" s="67"/>
      <c r="N116" s="67"/>
      <c r="O116" s="67"/>
      <c r="P116" s="67"/>
      <c r="Q116" s="186"/>
      <c r="R116" s="186"/>
      <c r="S116" s="187"/>
      <c r="T116" s="187"/>
      <c r="U116" s="186"/>
      <c r="V116" s="186"/>
      <c r="W116" s="186"/>
      <c r="X116" s="186"/>
    </row>
    <row r="117">
      <c r="A117" s="185"/>
      <c r="B117" s="67"/>
      <c r="C117" s="186"/>
      <c r="D117" s="186"/>
      <c r="E117" s="186"/>
      <c r="F117" s="186"/>
      <c r="G117" s="186"/>
      <c r="H117" s="186"/>
      <c r="I117" s="186"/>
      <c r="J117" s="186"/>
      <c r="K117" s="186"/>
      <c r="L117" s="186"/>
      <c r="M117" s="67"/>
      <c r="N117" s="67"/>
      <c r="O117" s="67"/>
      <c r="P117" s="67"/>
      <c r="Q117" s="186"/>
      <c r="R117" s="186"/>
      <c r="S117" s="187"/>
      <c r="T117" s="187"/>
      <c r="U117" s="186"/>
      <c r="V117" s="186"/>
      <c r="W117" s="186"/>
      <c r="X117" s="186"/>
    </row>
    <row r="118">
      <c r="A118" s="185"/>
      <c r="B118" s="67"/>
      <c r="C118" s="186"/>
      <c r="D118" s="186"/>
      <c r="E118" s="186"/>
      <c r="F118" s="186"/>
      <c r="G118" s="186"/>
      <c r="H118" s="186"/>
      <c r="I118" s="186"/>
      <c r="J118" s="186"/>
      <c r="K118" s="186"/>
      <c r="L118" s="186"/>
      <c r="M118" s="67"/>
      <c r="N118" s="67"/>
      <c r="O118" s="67"/>
      <c r="P118" s="67"/>
      <c r="Q118" s="186"/>
      <c r="R118" s="186"/>
      <c r="S118" s="187"/>
      <c r="T118" s="187"/>
      <c r="U118" s="186"/>
      <c r="V118" s="186"/>
      <c r="W118" s="186"/>
      <c r="X118" s="186"/>
    </row>
    <row r="119">
      <c r="A119" s="185"/>
      <c r="B119" s="67"/>
      <c r="C119" s="186"/>
      <c r="D119" s="186"/>
      <c r="E119" s="186"/>
      <c r="F119" s="186"/>
      <c r="G119" s="186"/>
      <c r="H119" s="186"/>
      <c r="I119" s="186"/>
      <c r="J119" s="186"/>
      <c r="K119" s="186"/>
      <c r="L119" s="186"/>
      <c r="M119" s="67"/>
      <c r="N119" s="67"/>
      <c r="O119" s="67"/>
      <c r="P119" s="67"/>
      <c r="Q119" s="186"/>
      <c r="R119" s="186"/>
      <c r="S119" s="187"/>
      <c r="T119" s="187"/>
      <c r="U119" s="186"/>
      <c r="V119" s="186"/>
      <c r="W119" s="186"/>
      <c r="X119" s="186"/>
    </row>
    <row r="120">
      <c r="A120" s="185"/>
      <c r="B120" s="67"/>
      <c r="C120" s="186"/>
      <c r="D120" s="186"/>
      <c r="E120" s="186"/>
      <c r="F120" s="186"/>
      <c r="G120" s="186"/>
      <c r="H120" s="186"/>
      <c r="I120" s="186"/>
      <c r="J120" s="186"/>
      <c r="K120" s="186"/>
      <c r="L120" s="186"/>
      <c r="M120" s="67"/>
      <c r="N120" s="67"/>
      <c r="O120" s="67"/>
      <c r="P120" s="67"/>
      <c r="Q120" s="186"/>
      <c r="R120" s="186"/>
      <c r="S120" s="187"/>
      <c r="T120" s="187"/>
      <c r="U120" s="186"/>
      <c r="V120" s="186"/>
      <c r="W120" s="186"/>
      <c r="X120" s="186"/>
    </row>
    <row r="121">
      <c r="A121" s="185"/>
      <c r="B121" s="67"/>
      <c r="C121" s="186"/>
      <c r="D121" s="186"/>
      <c r="E121" s="186"/>
      <c r="F121" s="186"/>
      <c r="G121" s="186"/>
      <c r="H121" s="186"/>
      <c r="I121" s="186"/>
      <c r="J121" s="186"/>
      <c r="K121" s="186"/>
      <c r="L121" s="186"/>
      <c r="M121" s="67"/>
      <c r="N121" s="67"/>
      <c r="O121" s="67"/>
      <c r="P121" s="67"/>
      <c r="Q121" s="186"/>
      <c r="R121" s="186"/>
      <c r="S121" s="187"/>
      <c r="T121" s="187"/>
      <c r="U121" s="186"/>
      <c r="V121" s="186"/>
      <c r="W121" s="186"/>
      <c r="X121" s="186"/>
    </row>
    <row r="122">
      <c r="A122" s="185"/>
      <c r="B122" s="67"/>
      <c r="C122" s="186"/>
      <c r="D122" s="186"/>
      <c r="E122" s="186"/>
      <c r="F122" s="186"/>
      <c r="G122" s="186"/>
      <c r="H122" s="186"/>
      <c r="I122" s="186"/>
      <c r="J122" s="186"/>
      <c r="K122" s="186"/>
      <c r="L122" s="186"/>
      <c r="M122" s="67"/>
      <c r="N122" s="67"/>
      <c r="O122" s="67"/>
      <c r="P122" s="67"/>
      <c r="Q122" s="186"/>
      <c r="R122" s="186"/>
      <c r="S122" s="187"/>
      <c r="T122" s="187"/>
      <c r="U122" s="186"/>
      <c r="V122" s="186"/>
      <c r="W122" s="186"/>
      <c r="X122" s="186"/>
    </row>
    <row r="123">
      <c r="A123" s="185"/>
      <c r="B123" s="67"/>
      <c r="C123" s="186"/>
      <c r="D123" s="186"/>
      <c r="E123" s="186"/>
      <c r="F123" s="186"/>
      <c r="G123" s="186"/>
      <c r="H123" s="186"/>
      <c r="I123" s="186"/>
      <c r="J123" s="186"/>
      <c r="K123" s="186"/>
      <c r="L123" s="186"/>
      <c r="M123" s="67"/>
      <c r="N123" s="67"/>
      <c r="O123" s="67"/>
      <c r="P123" s="67"/>
      <c r="Q123" s="186"/>
      <c r="R123" s="186"/>
      <c r="S123" s="187"/>
      <c r="T123" s="187"/>
      <c r="U123" s="186"/>
      <c r="V123" s="186"/>
      <c r="W123" s="186"/>
      <c r="X123" s="186"/>
    </row>
    <row r="124">
      <c r="A124" s="185"/>
      <c r="B124" s="67"/>
      <c r="C124" s="186"/>
      <c r="D124" s="186"/>
      <c r="E124" s="186"/>
      <c r="F124" s="186"/>
      <c r="G124" s="186"/>
      <c r="H124" s="186"/>
      <c r="I124" s="186"/>
      <c r="J124" s="186"/>
      <c r="K124" s="186"/>
      <c r="L124" s="186"/>
      <c r="M124" s="67"/>
      <c r="N124" s="67"/>
      <c r="O124" s="67"/>
      <c r="P124" s="67"/>
      <c r="Q124" s="186"/>
      <c r="R124" s="186"/>
      <c r="S124" s="187"/>
      <c r="T124" s="187"/>
      <c r="U124" s="186"/>
      <c r="V124" s="186"/>
      <c r="W124" s="186"/>
      <c r="X124" s="186"/>
    </row>
    <row r="125">
      <c r="A125" s="185"/>
      <c r="B125" s="67"/>
      <c r="C125" s="186"/>
      <c r="D125" s="186"/>
      <c r="E125" s="186"/>
      <c r="F125" s="186"/>
      <c r="G125" s="186"/>
      <c r="H125" s="186"/>
      <c r="I125" s="186"/>
      <c r="J125" s="186"/>
      <c r="K125" s="186"/>
      <c r="L125" s="186"/>
      <c r="M125" s="67"/>
      <c r="N125" s="67"/>
      <c r="O125" s="67"/>
      <c r="P125" s="67"/>
      <c r="Q125" s="186"/>
      <c r="R125" s="186"/>
      <c r="S125" s="187"/>
      <c r="T125" s="187"/>
      <c r="U125" s="186"/>
      <c r="V125" s="186"/>
      <c r="W125" s="186"/>
      <c r="X125" s="186"/>
    </row>
    <row r="126">
      <c r="A126" s="185"/>
      <c r="B126" s="67"/>
      <c r="C126" s="186"/>
      <c r="D126" s="186"/>
      <c r="E126" s="186"/>
      <c r="F126" s="186"/>
      <c r="G126" s="186"/>
      <c r="H126" s="186"/>
      <c r="I126" s="186"/>
      <c r="J126" s="186"/>
      <c r="K126" s="186"/>
      <c r="L126" s="186"/>
      <c r="M126" s="67"/>
      <c r="N126" s="67"/>
      <c r="O126" s="67"/>
      <c r="P126" s="67"/>
      <c r="Q126" s="186"/>
      <c r="R126" s="186"/>
      <c r="S126" s="187"/>
      <c r="T126" s="187"/>
      <c r="U126" s="186"/>
      <c r="V126" s="186"/>
      <c r="W126" s="186"/>
      <c r="X126" s="186"/>
    </row>
    <row r="127">
      <c r="A127" s="185"/>
      <c r="B127" s="67"/>
      <c r="C127" s="186"/>
      <c r="D127" s="186"/>
      <c r="E127" s="186"/>
      <c r="F127" s="186"/>
      <c r="G127" s="186"/>
      <c r="H127" s="186"/>
      <c r="I127" s="186"/>
      <c r="J127" s="186"/>
      <c r="K127" s="186"/>
      <c r="L127" s="186"/>
      <c r="M127" s="67"/>
      <c r="N127" s="67"/>
      <c r="O127" s="67"/>
      <c r="P127" s="67"/>
      <c r="Q127" s="186"/>
      <c r="R127" s="186"/>
      <c r="S127" s="187"/>
      <c r="T127" s="187"/>
      <c r="U127" s="186"/>
      <c r="V127" s="186"/>
      <c r="W127" s="186"/>
      <c r="X127" s="186"/>
    </row>
    <row r="128">
      <c r="A128" s="185"/>
      <c r="B128" s="67"/>
      <c r="C128" s="186"/>
      <c r="D128" s="186"/>
      <c r="E128" s="186"/>
      <c r="F128" s="186"/>
      <c r="G128" s="186"/>
      <c r="H128" s="186"/>
      <c r="I128" s="186"/>
      <c r="J128" s="186"/>
      <c r="K128" s="186"/>
      <c r="L128" s="186"/>
      <c r="M128" s="67"/>
      <c r="N128" s="67"/>
      <c r="O128" s="67"/>
      <c r="P128" s="67"/>
      <c r="Q128" s="186"/>
      <c r="R128" s="186"/>
      <c r="S128" s="187"/>
      <c r="T128" s="187"/>
      <c r="U128" s="186"/>
      <c r="V128" s="186"/>
      <c r="W128" s="186"/>
      <c r="X128" s="186"/>
    </row>
    <row r="129">
      <c r="A129" s="185"/>
      <c r="B129" s="67"/>
      <c r="C129" s="186"/>
      <c r="D129" s="186"/>
      <c r="E129" s="186"/>
      <c r="F129" s="186"/>
      <c r="G129" s="186"/>
      <c r="H129" s="186"/>
      <c r="I129" s="186"/>
      <c r="J129" s="186"/>
      <c r="K129" s="186"/>
      <c r="L129" s="186"/>
      <c r="M129" s="67"/>
      <c r="N129" s="67"/>
      <c r="O129" s="67"/>
      <c r="P129" s="67"/>
      <c r="Q129" s="186"/>
      <c r="R129" s="186"/>
      <c r="S129" s="187"/>
      <c r="T129" s="187"/>
      <c r="U129" s="186"/>
      <c r="V129" s="186"/>
      <c r="W129" s="186"/>
      <c r="X129" s="186"/>
    </row>
    <row r="130">
      <c r="A130" s="185"/>
      <c r="B130" s="67"/>
      <c r="C130" s="186"/>
      <c r="D130" s="186"/>
      <c r="E130" s="186"/>
      <c r="F130" s="186"/>
      <c r="G130" s="186"/>
      <c r="H130" s="186"/>
      <c r="I130" s="186"/>
      <c r="J130" s="186"/>
      <c r="K130" s="186"/>
      <c r="L130" s="186"/>
      <c r="M130" s="67"/>
      <c r="N130" s="67"/>
      <c r="O130" s="67"/>
      <c r="P130" s="67"/>
      <c r="Q130" s="186"/>
      <c r="R130" s="186"/>
      <c r="S130" s="187"/>
      <c r="T130" s="187"/>
      <c r="U130" s="186"/>
      <c r="V130" s="186"/>
      <c r="W130" s="186"/>
      <c r="X130" s="186"/>
    </row>
    <row r="131">
      <c r="A131" s="185"/>
      <c r="B131" s="67"/>
      <c r="C131" s="186"/>
      <c r="D131" s="186"/>
      <c r="E131" s="186"/>
      <c r="F131" s="186"/>
      <c r="G131" s="186"/>
      <c r="H131" s="186"/>
      <c r="I131" s="186"/>
      <c r="J131" s="186"/>
      <c r="K131" s="186"/>
      <c r="L131" s="186"/>
      <c r="M131" s="67"/>
      <c r="N131" s="67"/>
      <c r="O131" s="67"/>
      <c r="P131" s="67"/>
      <c r="Q131" s="186"/>
      <c r="R131" s="186"/>
      <c r="S131" s="187"/>
      <c r="T131" s="187"/>
      <c r="U131" s="186"/>
      <c r="V131" s="186"/>
      <c r="W131" s="186"/>
      <c r="X131" s="186"/>
    </row>
    <row r="132">
      <c r="A132" s="185"/>
      <c r="B132" s="67"/>
      <c r="C132" s="186"/>
      <c r="D132" s="186"/>
      <c r="E132" s="186"/>
      <c r="F132" s="186"/>
      <c r="G132" s="186"/>
      <c r="H132" s="186"/>
      <c r="I132" s="186"/>
      <c r="J132" s="186"/>
      <c r="K132" s="186"/>
      <c r="L132" s="186"/>
      <c r="M132" s="67"/>
      <c r="N132" s="67"/>
      <c r="O132" s="67"/>
      <c r="P132" s="67"/>
      <c r="Q132" s="186"/>
      <c r="R132" s="186"/>
      <c r="S132" s="187"/>
      <c r="T132" s="187"/>
      <c r="U132" s="186"/>
      <c r="V132" s="186"/>
      <c r="W132" s="186"/>
      <c r="X132" s="186"/>
    </row>
    <row r="133">
      <c r="A133" s="185"/>
      <c r="B133" s="67"/>
      <c r="C133" s="186"/>
      <c r="D133" s="186"/>
      <c r="E133" s="186"/>
      <c r="F133" s="186"/>
      <c r="G133" s="186"/>
      <c r="H133" s="186"/>
      <c r="I133" s="186"/>
      <c r="J133" s="186"/>
      <c r="K133" s="186"/>
      <c r="L133" s="186"/>
      <c r="M133" s="67"/>
      <c r="N133" s="67"/>
      <c r="O133" s="67"/>
      <c r="P133" s="67"/>
      <c r="Q133" s="186"/>
      <c r="R133" s="186"/>
      <c r="S133" s="187"/>
      <c r="T133" s="187"/>
      <c r="U133" s="186"/>
      <c r="V133" s="186"/>
      <c r="W133" s="186"/>
      <c r="X133" s="186"/>
    </row>
    <row r="134">
      <c r="A134" s="185"/>
      <c r="B134" s="67"/>
      <c r="C134" s="186"/>
      <c r="D134" s="186"/>
      <c r="E134" s="186"/>
      <c r="F134" s="186"/>
      <c r="G134" s="186"/>
      <c r="H134" s="186"/>
      <c r="I134" s="186"/>
      <c r="J134" s="186"/>
      <c r="K134" s="186"/>
      <c r="L134" s="186"/>
      <c r="M134" s="67"/>
      <c r="N134" s="67"/>
      <c r="O134" s="67"/>
      <c r="P134" s="67"/>
      <c r="Q134" s="186"/>
      <c r="R134" s="186"/>
      <c r="S134" s="187"/>
      <c r="T134" s="187"/>
      <c r="U134" s="186"/>
      <c r="V134" s="186"/>
      <c r="W134" s="186"/>
      <c r="X134" s="186"/>
    </row>
    <row r="135">
      <c r="A135" s="185"/>
      <c r="B135" s="67"/>
      <c r="C135" s="186"/>
      <c r="D135" s="186"/>
      <c r="E135" s="186"/>
      <c r="F135" s="186"/>
      <c r="G135" s="186"/>
      <c r="H135" s="186"/>
      <c r="I135" s="186"/>
      <c r="J135" s="186"/>
      <c r="K135" s="186"/>
      <c r="L135" s="186"/>
      <c r="M135" s="67"/>
      <c r="N135" s="67"/>
      <c r="O135" s="67"/>
      <c r="P135" s="67"/>
      <c r="Q135" s="186"/>
      <c r="R135" s="186"/>
      <c r="S135" s="187"/>
      <c r="T135" s="187"/>
      <c r="U135" s="186"/>
      <c r="V135" s="186"/>
      <c r="W135" s="186"/>
      <c r="X135" s="186"/>
    </row>
    <row r="136">
      <c r="A136" s="185"/>
      <c r="B136" s="67"/>
      <c r="C136" s="186"/>
      <c r="D136" s="186"/>
      <c r="E136" s="186"/>
      <c r="F136" s="186"/>
      <c r="G136" s="186"/>
      <c r="H136" s="186"/>
      <c r="I136" s="186"/>
      <c r="J136" s="186"/>
      <c r="K136" s="186"/>
      <c r="L136" s="186"/>
      <c r="M136" s="67"/>
      <c r="N136" s="67"/>
      <c r="O136" s="67"/>
      <c r="P136" s="67"/>
      <c r="Q136" s="186"/>
      <c r="R136" s="186"/>
      <c r="S136" s="187"/>
      <c r="T136" s="187"/>
      <c r="U136" s="186"/>
      <c r="V136" s="186"/>
      <c r="W136" s="186"/>
      <c r="X136" s="186"/>
    </row>
    <row r="137">
      <c r="A137" s="185"/>
      <c r="B137" s="67"/>
      <c r="C137" s="186"/>
      <c r="D137" s="186"/>
      <c r="E137" s="186"/>
      <c r="F137" s="186"/>
      <c r="G137" s="186"/>
      <c r="H137" s="186"/>
      <c r="I137" s="186"/>
      <c r="J137" s="186"/>
      <c r="K137" s="186"/>
      <c r="L137" s="186"/>
      <c r="M137" s="67"/>
      <c r="N137" s="67"/>
      <c r="O137" s="67"/>
      <c r="P137" s="67"/>
      <c r="Q137" s="186"/>
      <c r="R137" s="186"/>
      <c r="S137" s="187"/>
      <c r="T137" s="187"/>
      <c r="U137" s="186"/>
      <c r="V137" s="186"/>
      <c r="W137" s="186"/>
      <c r="X137" s="186"/>
    </row>
    <row r="138">
      <c r="A138" s="185"/>
      <c r="B138" s="67"/>
      <c r="C138" s="186"/>
      <c r="D138" s="186"/>
      <c r="E138" s="186"/>
      <c r="F138" s="186"/>
      <c r="G138" s="186"/>
      <c r="H138" s="186"/>
      <c r="I138" s="186"/>
      <c r="J138" s="186"/>
      <c r="K138" s="186"/>
      <c r="L138" s="186"/>
      <c r="M138" s="67"/>
      <c r="N138" s="67"/>
      <c r="O138" s="67"/>
      <c r="P138" s="67"/>
      <c r="Q138" s="186"/>
      <c r="R138" s="186"/>
      <c r="S138" s="187"/>
      <c r="T138" s="187"/>
      <c r="U138" s="186"/>
      <c r="V138" s="186"/>
      <c r="W138" s="186"/>
      <c r="X138" s="186"/>
    </row>
    <row r="139">
      <c r="A139" s="185"/>
      <c r="B139" s="67"/>
      <c r="C139" s="186"/>
      <c r="D139" s="186"/>
      <c r="E139" s="186"/>
      <c r="F139" s="186"/>
      <c r="G139" s="186"/>
      <c r="H139" s="186"/>
      <c r="I139" s="186"/>
      <c r="J139" s="186"/>
      <c r="K139" s="186"/>
      <c r="L139" s="186"/>
      <c r="M139" s="67"/>
      <c r="N139" s="67"/>
      <c r="O139" s="67"/>
      <c r="P139" s="67"/>
      <c r="Q139" s="186"/>
      <c r="R139" s="186"/>
      <c r="S139" s="187"/>
      <c r="T139" s="187"/>
      <c r="U139" s="186"/>
      <c r="V139" s="186"/>
      <c r="W139" s="186"/>
      <c r="X139" s="186"/>
    </row>
    <row r="140">
      <c r="A140" s="185"/>
      <c r="B140" s="67"/>
      <c r="C140" s="186"/>
      <c r="D140" s="186"/>
      <c r="E140" s="186"/>
      <c r="F140" s="186"/>
      <c r="G140" s="186"/>
      <c r="H140" s="186"/>
      <c r="I140" s="186"/>
      <c r="J140" s="186"/>
      <c r="K140" s="186"/>
      <c r="L140" s="186"/>
      <c r="M140" s="67"/>
      <c r="N140" s="67"/>
      <c r="O140" s="67"/>
      <c r="P140" s="67"/>
      <c r="Q140" s="186"/>
      <c r="R140" s="186"/>
      <c r="S140" s="187"/>
      <c r="T140" s="187"/>
      <c r="U140" s="186"/>
      <c r="V140" s="186"/>
      <c r="W140" s="186"/>
      <c r="X140" s="186"/>
    </row>
    <row r="141">
      <c r="A141" s="185"/>
      <c r="B141" s="67"/>
      <c r="C141" s="186"/>
      <c r="D141" s="186"/>
      <c r="E141" s="186"/>
      <c r="F141" s="186"/>
      <c r="G141" s="186"/>
      <c r="H141" s="186"/>
      <c r="I141" s="186"/>
      <c r="J141" s="186"/>
      <c r="K141" s="186"/>
      <c r="L141" s="186"/>
      <c r="M141" s="67"/>
      <c r="N141" s="67"/>
      <c r="O141" s="67"/>
      <c r="P141" s="67"/>
      <c r="Q141" s="186"/>
      <c r="R141" s="186"/>
      <c r="S141" s="187"/>
      <c r="T141" s="187"/>
      <c r="U141" s="186"/>
      <c r="V141" s="186"/>
      <c r="W141" s="186"/>
      <c r="X141" s="186"/>
    </row>
    <row r="142">
      <c r="A142" s="185"/>
      <c r="B142" s="67"/>
      <c r="C142" s="186"/>
      <c r="D142" s="186"/>
      <c r="E142" s="186"/>
      <c r="F142" s="186"/>
      <c r="G142" s="186"/>
      <c r="H142" s="186"/>
      <c r="I142" s="186"/>
      <c r="J142" s="186"/>
      <c r="K142" s="186"/>
      <c r="L142" s="186"/>
      <c r="M142" s="67"/>
      <c r="N142" s="67"/>
      <c r="O142" s="67"/>
      <c r="P142" s="67"/>
      <c r="Q142" s="186"/>
      <c r="R142" s="186"/>
      <c r="S142" s="187"/>
      <c r="T142" s="187"/>
      <c r="U142" s="186"/>
      <c r="V142" s="186"/>
      <c r="W142" s="186"/>
      <c r="X142" s="186"/>
    </row>
    <row r="143">
      <c r="A143" s="185"/>
      <c r="B143" s="67"/>
      <c r="C143" s="186"/>
      <c r="D143" s="186"/>
      <c r="E143" s="186"/>
      <c r="F143" s="186"/>
      <c r="G143" s="186"/>
      <c r="H143" s="186"/>
      <c r="I143" s="186"/>
      <c r="J143" s="186"/>
      <c r="K143" s="186"/>
      <c r="L143" s="186"/>
      <c r="M143" s="67"/>
      <c r="N143" s="67"/>
      <c r="O143" s="67"/>
      <c r="P143" s="67"/>
      <c r="Q143" s="186"/>
      <c r="R143" s="186"/>
      <c r="S143" s="187"/>
      <c r="T143" s="187"/>
      <c r="U143" s="186"/>
      <c r="V143" s="186"/>
      <c r="W143" s="186"/>
      <c r="X143" s="186"/>
    </row>
    <row r="144">
      <c r="A144" s="185"/>
      <c r="B144" s="67"/>
      <c r="C144" s="186"/>
      <c r="D144" s="186"/>
      <c r="E144" s="186"/>
      <c r="F144" s="186"/>
      <c r="G144" s="186"/>
      <c r="H144" s="186"/>
      <c r="I144" s="186"/>
      <c r="J144" s="186"/>
      <c r="K144" s="186"/>
      <c r="L144" s="186"/>
      <c r="M144" s="67"/>
      <c r="N144" s="67"/>
      <c r="O144" s="67"/>
      <c r="P144" s="67"/>
      <c r="Q144" s="186"/>
      <c r="R144" s="186"/>
      <c r="S144" s="187"/>
      <c r="T144" s="187"/>
      <c r="U144" s="186"/>
      <c r="V144" s="186"/>
      <c r="W144" s="186"/>
      <c r="X144" s="186"/>
    </row>
    <row r="145">
      <c r="A145" s="185"/>
      <c r="B145" s="67"/>
      <c r="C145" s="186"/>
      <c r="D145" s="186"/>
      <c r="E145" s="186"/>
      <c r="F145" s="186"/>
      <c r="G145" s="186"/>
      <c r="H145" s="186"/>
      <c r="I145" s="186"/>
      <c r="J145" s="186"/>
      <c r="K145" s="186"/>
      <c r="L145" s="186"/>
      <c r="M145" s="67"/>
      <c r="N145" s="67"/>
      <c r="O145" s="67"/>
      <c r="P145" s="67"/>
      <c r="Q145" s="186"/>
      <c r="R145" s="186"/>
      <c r="S145" s="187"/>
      <c r="T145" s="187"/>
      <c r="U145" s="186"/>
      <c r="V145" s="186"/>
      <c r="W145" s="186"/>
      <c r="X145" s="186"/>
    </row>
    <row r="146">
      <c r="A146" s="185"/>
      <c r="B146" s="67"/>
      <c r="C146" s="186"/>
      <c r="D146" s="186"/>
      <c r="E146" s="186"/>
      <c r="F146" s="186"/>
      <c r="G146" s="186"/>
      <c r="H146" s="186"/>
      <c r="I146" s="186"/>
      <c r="J146" s="186"/>
      <c r="K146" s="186"/>
      <c r="L146" s="186"/>
      <c r="M146" s="67"/>
      <c r="N146" s="67"/>
      <c r="O146" s="67"/>
      <c r="P146" s="67"/>
      <c r="Q146" s="186"/>
      <c r="R146" s="186"/>
      <c r="S146" s="187"/>
      <c r="T146" s="187"/>
      <c r="U146" s="186"/>
      <c r="V146" s="186"/>
      <c r="W146" s="186"/>
      <c r="X146" s="186"/>
    </row>
    <row r="147">
      <c r="A147" s="185"/>
      <c r="B147" s="67"/>
      <c r="C147" s="186"/>
      <c r="D147" s="186"/>
      <c r="E147" s="186"/>
      <c r="F147" s="186"/>
      <c r="G147" s="186"/>
      <c r="H147" s="186"/>
      <c r="I147" s="186"/>
      <c r="J147" s="186"/>
      <c r="K147" s="186"/>
      <c r="L147" s="186"/>
      <c r="M147" s="67"/>
      <c r="N147" s="67"/>
      <c r="O147" s="67"/>
      <c r="P147" s="67"/>
      <c r="Q147" s="186"/>
      <c r="R147" s="186"/>
      <c r="S147" s="187"/>
      <c r="T147" s="187"/>
      <c r="U147" s="186"/>
      <c r="V147" s="186"/>
      <c r="W147" s="186"/>
      <c r="X147" s="186"/>
    </row>
    <row r="148">
      <c r="A148" s="185"/>
      <c r="B148" s="67"/>
      <c r="C148" s="186"/>
      <c r="D148" s="186"/>
      <c r="E148" s="186"/>
      <c r="F148" s="186"/>
      <c r="G148" s="186"/>
      <c r="H148" s="186"/>
      <c r="I148" s="186"/>
      <c r="J148" s="186"/>
      <c r="K148" s="186"/>
      <c r="L148" s="186"/>
      <c r="M148" s="67"/>
      <c r="N148" s="67"/>
      <c r="O148" s="67"/>
      <c r="P148" s="67"/>
      <c r="Q148" s="186"/>
      <c r="R148" s="186"/>
      <c r="S148" s="187"/>
      <c r="T148" s="187"/>
      <c r="U148" s="186"/>
      <c r="V148" s="186"/>
      <c r="W148" s="186"/>
      <c r="X148" s="186"/>
    </row>
    <row r="149">
      <c r="A149" s="185"/>
      <c r="B149" s="67"/>
      <c r="C149" s="186"/>
      <c r="D149" s="186"/>
      <c r="E149" s="186"/>
      <c r="F149" s="186"/>
      <c r="G149" s="186"/>
      <c r="H149" s="186"/>
      <c r="I149" s="186"/>
      <c r="J149" s="186"/>
      <c r="K149" s="186"/>
      <c r="L149" s="186"/>
      <c r="M149" s="67"/>
      <c r="N149" s="67"/>
      <c r="O149" s="67"/>
      <c r="P149" s="67"/>
      <c r="Q149" s="186"/>
      <c r="R149" s="186"/>
      <c r="S149" s="187"/>
      <c r="T149" s="187"/>
      <c r="U149" s="186"/>
      <c r="V149" s="186"/>
      <c r="W149" s="186"/>
      <c r="X149" s="186"/>
    </row>
    <row r="150">
      <c r="A150" s="185"/>
      <c r="B150" s="67"/>
      <c r="C150" s="186"/>
      <c r="D150" s="186"/>
      <c r="E150" s="186"/>
      <c r="F150" s="186"/>
      <c r="G150" s="186"/>
      <c r="H150" s="186"/>
      <c r="I150" s="186"/>
      <c r="J150" s="186"/>
      <c r="K150" s="186"/>
      <c r="L150" s="186"/>
      <c r="M150" s="67"/>
      <c r="N150" s="67"/>
      <c r="O150" s="67"/>
      <c r="P150" s="67"/>
      <c r="Q150" s="186"/>
      <c r="R150" s="186"/>
      <c r="S150" s="187"/>
      <c r="T150" s="187"/>
      <c r="U150" s="186"/>
      <c r="V150" s="186"/>
      <c r="W150" s="186"/>
      <c r="X150" s="186"/>
    </row>
    <row r="151">
      <c r="A151" s="185"/>
      <c r="B151" s="67"/>
      <c r="C151" s="186"/>
      <c r="D151" s="186"/>
      <c r="E151" s="186"/>
      <c r="F151" s="186"/>
      <c r="G151" s="186"/>
      <c r="H151" s="186"/>
      <c r="I151" s="186"/>
      <c r="J151" s="186"/>
      <c r="K151" s="186"/>
      <c r="L151" s="186"/>
      <c r="M151" s="67"/>
      <c r="N151" s="67"/>
      <c r="O151" s="67"/>
      <c r="P151" s="67"/>
      <c r="Q151" s="186"/>
      <c r="R151" s="186"/>
      <c r="S151" s="187"/>
      <c r="T151" s="187"/>
      <c r="U151" s="186"/>
      <c r="V151" s="186"/>
      <c r="W151" s="186"/>
      <c r="X151" s="186"/>
    </row>
    <row r="152">
      <c r="A152" s="185"/>
      <c r="B152" s="67"/>
      <c r="C152" s="186"/>
      <c r="D152" s="186"/>
      <c r="E152" s="186"/>
      <c r="F152" s="186"/>
      <c r="G152" s="186"/>
      <c r="H152" s="186"/>
      <c r="I152" s="186"/>
      <c r="J152" s="186"/>
      <c r="K152" s="186"/>
      <c r="L152" s="186"/>
      <c r="M152" s="67"/>
      <c r="N152" s="67"/>
      <c r="O152" s="67"/>
      <c r="P152" s="67"/>
      <c r="Q152" s="186"/>
      <c r="R152" s="186"/>
      <c r="S152" s="187"/>
      <c r="T152" s="187"/>
      <c r="U152" s="186"/>
      <c r="V152" s="186"/>
      <c r="W152" s="186"/>
      <c r="X152" s="186"/>
    </row>
    <row r="153">
      <c r="A153" s="185"/>
      <c r="B153" s="67"/>
      <c r="C153" s="186"/>
      <c r="D153" s="186"/>
      <c r="E153" s="186"/>
      <c r="F153" s="186"/>
      <c r="G153" s="186"/>
      <c r="H153" s="186"/>
      <c r="I153" s="186"/>
      <c r="J153" s="186"/>
      <c r="K153" s="186"/>
      <c r="L153" s="186"/>
      <c r="M153" s="67"/>
      <c r="N153" s="67"/>
      <c r="O153" s="67"/>
      <c r="P153" s="67"/>
      <c r="Q153" s="186"/>
      <c r="R153" s="186"/>
      <c r="S153" s="187"/>
      <c r="T153" s="187"/>
      <c r="U153" s="186"/>
      <c r="V153" s="186"/>
      <c r="W153" s="186"/>
      <c r="X153" s="186"/>
    </row>
    <row r="154">
      <c r="A154" s="185"/>
      <c r="B154" s="67"/>
      <c r="C154" s="186"/>
      <c r="D154" s="186"/>
      <c r="E154" s="186"/>
      <c r="F154" s="186"/>
      <c r="G154" s="186"/>
      <c r="H154" s="186"/>
      <c r="I154" s="186"/>
      <c r="J154" s="186"/>
      <c r="K154" s="186"/>
      <c r="L154" s="186"/>
      <c r="M154" s="67"/>
      <c r="N154" s="67"/>
      <c r="O154" s="67"/>
      <c r="P154" s="67"/>
      <c r="Q154" s="186"/>
      <c r="R154" s="186"/>
      <c r="S154" s="187"/>
      <c r="T154" s="187"/>
      <c r="U154" s="186"/>
      <c r="V154" s="186"/>
      <c r="W154" s="186"/>
      <c r="X154" s="186"/>
    </row>
    <row r="155">
      <c r="A155" s="185"/>
      <c r="B155" s="67"/>
      <c r="C155" s="186"/>
      <c r="D155" s="186"/>
      <c r="E155" s="186"/>
      <c r="F155" s="186"/>
      <c r="G155" s="186"/>
      <c r="H155" s="186"/>
      <c r="I155" s="186"/>
      <c r="J155" s="186"/>
      <c r="K155" s="186"/>
      <c r="L155" s="186"/>
      <c r="M155" s="67"/>
      <c r="N155" s="67"/>
      <c r="O155" s="67"/>
      <c r="P155" s="67"/>
      <c r="Q155" s="186"/>
      <c r="R155" s="186"/>
      <c r="S155" s="187"/>
      <c r="T155" s="187"/>
      <c r="U155" s="186"/>
      <c r="V155" s="186"/>
      <c r="W155" s="186"/>
      <c r="X155" s="186"/>
    </row>
    <row r="156">
      <c r="A156" s="185"/>
      <c r="B156" s="67"/>
      <c r="C156" s="186"/>
      <c r="D156" s="186"/>
      <c r="E156" s="186"/>
      <c r="F156" s="186"/>
      <c r="G156" s="186"/>
      <c r="H156" s="186"/>
      <c r="I156" s="186"/>
      <c r="J156" s="186"/>
      <c r="K156" s="186"/>
      <c r="L156" s="186"/>
      <c r="M156" s="67"/>
      <c r="N156" s="67"/>
      <c r="O156" s="67"/>
      <c r="P156" s="67"/>
      <c r="Q156" s="186"/>
      <c r="R156" s="186"/>
      <c r="S156" s="187"/>
      <c r="T156" s="187"/>
      <c r="U156" s="186"/>
      <c r="V156" s="186"/>
      <c r="W156" s="186"/>
      <c r="X156" s="186"/>
    </row>
    <row r="157">
      <c r="A157" s="185"/>
      <c r="B157" s="67"/>
      <c r="C157" s="186"/>
      <c r="D157" s="186"/>
      <c r="E157" s="186"/>
      <c r="F157" s="186"/>
      <c r="G157" s="186"/>
      <c r="H157" s="186"/>
      <c r="I157" s="186"/>
      <c r="J157" s="186"/>
      <c r="K157" s="186"/>
      <c r="L157" s="186"/>
      <c r="M157" s="67"/>
      <c r="N157" s="67"/>
      <c r="O157" s="67"/>
      <c r="P157" s="67"/>
      <c r="Q157" s="186"/>
      <c r="R157" s="186"/>
      <c r="S157" s="187"/>
      <c r="T157" s="187"/>
      <c r="U157" s="186"/>
      <c r="V157" s="186"/>
      <c r="W157" s="186"/>
      <c r="X157" s="186"/>
    </row>
    <row r="158">
      <c r="A158" s="185"/>
      <c r="B158" s="67"/>
      <c r="C158" s="186"/>
      <c r="D158" s="186"/>
      <c r="E158" s="186"/>
      <c r="F158" s="186"/>
      <c r="G158" s="186"/>
      <c r="H158" s="186"/>
      <c r="I158" s="186"/>
      <c r="J158" s="186"/>
      <c r="K158" s="186"/>
      <c r="L158" s="186"/>
      <c r="M158" s="67"/>
      <c r="N158" s="67"/>
      <c r="O158" s="67"/>
      <c r="P158" s="67"/>
      <c r="Q158" s="186"/>
      <c r="R158" s="186"/>
      <c r="S158" s="187"/>
      <c r="T158" s="187"/>
      <c r="U158" s="186"/>
      <c r="V158" s="186"/>
      <c r="W158" s="186"/>
      <c r="X158" s="186"/>
    </row>
    <row r="159">
      <c r="A159" s="185"/>
      <c r="B159" s="67"/>
      <c r="C159" s="186"/>
      <c r="D159" s="186"/>
      <c r="E159" s="186"/>
      <c r="F159" s="186"/>
      <c r="G159" s="186"/>
      <c r="H159" s="186"/>
      <c r="I159" s="186"/>
      <c r="J159" s="186"/>
      <c r="K159" s="186"/>
      <c r="L159" s="186"/>
      <c r="M159" s="67"/>
      <c r="N159" s="67"/>
      <c r="O159" s="67"/>
      <c r="P159" s="67"/>
      <c r="Q159" s="186"/>
      <c r="R159" s="186"/>
      <c r="S159" s="187"/>
      <c r="T159" s="187"/>
      <c r="U159" s="186"/>
      <c r="V159" s="186"/>
      <c r="W159" s="186"/>
      <c r="X159" s="186"/>
    </row>
    <row r="160">
      <c r="A160" s="185"/>
      <c r="B160" s="67"/>
      <c r="C160" s="186"/>
      <c r="D160" s="186"/>
      <c r="E160" s="186"/>
      <c r="F160" s="186"/>
      <c r="G160" s="186"/>
      <c r="H160" s="186"/>
      <c r="I160" s="186"/>
      <c r="J160" s="186"/>
      <c r="K160" s="186"/>
      <c r="L160" s="186"/>
      <c r="M160" s="67"/>
      <c r="N160" s="67"/>
      <c r="O160" s="67"/>
      <c r="P160" s="67"/>
      <c r="Q160" s="186"/>
      <c r="R160" s="186"/>
      <c r="S160" s="187"/>
      <c r="T160" s="187"/>
      <c r="U160" s="186"/>
      <c r="V160" s="186"/>
      <c r="W160" s="186"/>
      <c r="X160" s="186"/>
    </row>
    <row r="161">
      <c r="A161" s="185"/>
      <c r="B161" s="67"/>
      <c r="C161" s="186"/>
      <c r="D161" s="186"/>
      <c r="E161" s="186"/>
      <c r="F161" s="186"/>
      <c r="G161" s="186"/>
      <c r="H161" s="186"/>
      <c r="I161" s="186"/>
      <c r="J161" s="186"/>
      <c r="K161" s="186"/>
      <c r="L161" s="186"/>
      <c r="M161" s="67"/>
      <c r="N161" s="67"/>
      <c r="O161" s="67"/>
      <c r="P161" s="67"/>
      <c r="Q161" s="186"/>
      <c r="R161" s="186"/>
      <c r="S161" s="187"/>
      <c r="T161" s="187"/>
      <c r="U161" s="186"/>
      <c r="V161" s="186"/>
      <c r="W161" s="186"/>
      <c r="X161" s="186"/>
    </row>
    <row r="162">
      <c r="A162" s="185"/>
      <c r="B162" s="67"/>
      <c r="C162" s="186"/>
      <c r="D162" s="186"/>
      <c r="E162" s="186"/>
      <c r="F162" s="186"/>
      <c r="G162" s="186"/>
      <c r="H162" s="186"/>
      <c r="I162" s="186"/>
      <c r="J162" s="186"/>
      <c r="K162" s="186"/>
      <c r="L162" s="186"/>
      <c r="M162" s="67"/>
      <c r="N162" s="67"/>
      <c r="O162" s="67"/>
      <c r="P162" s="67"/>
      <c r="Q162" s="186"/>
      <c r="R162" s="186"/>
      <c r="S162" s="187"/>
      <c r="T162" s="187"/>
      <c r="U162" s="186"/>
      <c r="V162" s="186"/>
      <c r="W162" s="186"/>
      <c r="X162" s="186"/>
    </row>
    <row r="163">
      <c r="A163" s="185"/>
      <c r="B163" s="67"/>
      <c r="C163" s="186"/>
      <c r="D163" s="186"/>
      <c r="E163" s="186"/>
      <c r="F163" s="186"/>
      <c r="G163" s="186"/>
      <c r="H163" s="186"/>
      <c r="I163" s="186"/>
      <c r="J163" s="186"/>
      <c r="K163" s="186"/>
      <c r="L163" s="186"/>
      <c r="M163" s="67"/>
      <c r="N163" s="67"/>
      <c r="O163" s="67"/>
      <c r="P163" s="67"/>
      <c r="Q163" s="186"/>
      <c r="R163" s="186"/>
      <c r="S163" s="187"/>
      <c r="T163" s="187"/>
      <c r="U163" s="186"/>
      <c r="V163" s="186"/>
      <c r="W163" s="186"/>
      <c r="X163" s="186"/>
    </row>
    <row r="164">
      <c r="A164" s="185"/>
      <c r="B164" s="67"/>
      <c r="C164" s="186"/>
      <c r="D164" s="186"/>
      <c r="E164" s="186"/>
      <c r="F164" s="186"/>
      <c r="G164" s="186"/>
      <c r="H164" s="186"/>
      <c r="I164" s="186"/>
      <c r="J164" s="186"/>
      <c r="K164" s="186"/>
      <c r="L164" s="186"/>
      <c r="M164" s="67"/>
      <c r="N164" s="67"/>
      <c r="O164" s="67"/>
      <c r="P164" s="67"/>
      <c r="Q164" s="186"/>
      <c r="R164" s="186"/>
      <c r="S164" s="187"/>
      <c r="T164" s="187"/>
      <c r="U164" s="186"/>
      <c r="V164" s="186"/>
      <c r="W164" s="186"/>
      <c r="X164" s="186"/>
    </row>
    <row r="165">
      <c r="A165" s="185"/>
      <c r="B165" s="67"/>
      <c r="C165" s="186"/>
      <c r="D165" s="186"/>
      <c r="E165" s="186"/>
      <c r="F165" s="186"/>
      <c r="G165" s="186"/>
      <c r="H165" s="186"/>
      <c r="I165" s="186"/>
      <c r="J165" s="186"/>
      <c r="K165" s="186"/>
      <c r="L165" s="186"/>
      <c r="M165" s="67"/>
      <c r="N165" s="67"/>
      <c r="O165" s="67"/>
      <c r="P165" s="67"/>
      <c r="Q165" s="186"/>
      <c r="R165" s="186"/>
      <c r="S165" s="187"/>
      <c r="T165" s="187"/>
      <c r="U165" s="186"/>
      <c r="V165" s="186"/>
      <c r="W165" s="186"/>
      <c r="X165" s="186"/>
    </row>
    <row r="166">
      <c r="A166" s="185"/>
      <c r="B166" s="67"/>
      <c r="C166" s="186"/>
      <c r="D166" s="186"/>
      <c r="E166" s="186"/>
      <c r="F166" s="186"/>
      <c r="G166" s="186"/>
      <c r="H166" s="186"/>
      <c r="I166" s="186"/>
      <c r="J166" s="186"/>
      <c r="K166" s="186"/>
      <c r="L166" s="186"/>
      <c r="M166" s="67"/>
      <c r="N166" s="67"/>
      <c r="O166" s="67"/>
      <c r="P166" s="67"/>
      <c r="Q166" s="186"/>
      <c r="R166" s="186"/>
      <c r="S166" s="187"/>
      <c r="T166" s="187"/>
      <c r="U166" s="186"/>
      <c r="V166" s="186"/>
      <c r="W166" s="186"/>
      <c r="X166" s="186"/>
    </row>
    <row r="167">
      <c r="A167" s="185"/>
      <c r="B167" s="67"/>
      <c r="C167" s="186"/>
      <c r="D167" s="186"/>
      <c r="E167" s="186"/>
      <c r="F167" s="186"/>
      <c r="G167" s="186"/>
      <c r="H167" s="186"/>
      <c r="I167" s="186"/>
      <c r="J167" s="186"/>
      <c r="K167" s="186"/>
      <c r="L167" s="186"/>
      <c r="M167" s="67"/>
      <c r="N167" s="67"/>
      <c r="O167" s="67"/>
      <c r="P167" s="67"/>
      <c r="Q167" s="186"/>
      <c r="R167" s="186"/>
      <c r="S167" s="187"/>
      <c r="T167" s="187"/>
      <c r="U167" s="186"/>
      <c r="V167" s="186"/>
      <c r="W167" s="186"/>
      <c r="X167" s="186"/>
    </row>
    <row r="168">
      <c r="A168" s="185"/>
      <c r="B168" s="67"/>
      <c r="C168" s="186"/>
      <c r="D168" s="186"/>
      <c r="E168" s="186"/>
      <c r="F168" s="186"/>
      <c r="G168" s="186"/>
      <c r="H168" s="186"/>
      <c r="I168" s="186"/>
      <c r="J168" s="186"/>
      <c r="K168" s="186"/>
      <c r="L168" s="186"/>
      <c r="M168" s="67"/>
      <c r="N168" s="67"/>
      <c r="O168" s="67"/>
      <c r="P168" s="67"/>
      <c r="Q168" s="186"/>
      <c r="R168" s="186"/>
      <c r="S168" s="187"/>
      <c r="T168" s="187"/>
      <c r="U168" s="186"/>
      <c r="V168" s="186"/>
      <c r="W168" s="186"/>
      <c r="X168" s="186"/>
    </row>
    <row r="169">
      <c r="A169" s="185"/>
      <c r="B169" s="67"/>
      <c r="C169" s="186"/>
      <c r="D169" s="186"/>
      <c r="E169" s="186"/>
      <c r="F169" s="186"/>
      <c r="G169" s="186"/>
      <c r="H169" s="186"/>
      <c r="I169" s="186"/>
      <c r="J169" s="186"/>
      <c r="K169" s="186"/>
      <c r="L169" s="186"/>
      <c r="M169" s="67"/>
      <c r="N169" s="67"/>
      <c r="O169" s="67"/>
      <c r="P169" s="67"/>
      <c r="Q169" s="186"/>
      <c r="R169" s="186"/>
      <c r="S169" s="187"/>
      <c r="T169" s="187"/>
      <c r="U169" s="186"/>
      <c r="V169" s="186"/>
      <c r="W169" s="186"/>
      <c r="X169" s="186"/>
    </row>
    <row r="170">
      <c r="A170" s="185"/>
      <c r="B170" s="67"/>
      <c r="C170" s="186"/>
      <c r="D170" s="186"/>
      <c r="E170" s="186"/>
      <c r="F170" s="186"/>
      <c r="G170" s="186"/>
      <c r="H170" s="186"/>
      <c r="I170" s="186"/>
      <c r="J170" s="186"/>
      <c r="K170" s="186"/>
      <c r="L170" s="186"/>
      <c r="M170" s="67"/>
      <c r="N170" s="67"/>
      <c r="O170" s="67"/>
      <c r="P170" s="67"/>
      <c r="Q170" s="186"/>
      <c r="R170" s="186"/>
      <c r="S170" s="187"/>
      <c r="T170" s="187"/>
      <c r="U170" s="186"/>
      <c r="V170" s="186"/>
      <c r="W170" s="186"/>
      <c r="X170" s="186"/>
    </row>
    <row r="171">
      <c r="A171" s="185"/>
      <c r="B171" s="67"/>
      <c r="C171" s="186"/>
      <c r="D171" s="186"/>
      <c r="E171" s="186"/>
      <c r="F171" s="186"/>
      <c r="G171" s="186"/>
      <c r="H171" s="186"/>
      <c r="I171" s="186"/>
      <c r="J171" s="186"/>
      <c r="K171" s="186"/>
      <c r="L171" s="186"/>
      <c r="M171" s="67"/>
      <c r="N171" s="67"/>
      <c r="O171" s="67"/>
      <c r="P171" s="67"/>
      <c r="Q171" s="186"/>
      <c r="R171" s="186"/>
      <c r="S171" s="187"/>
      <c r="T171" s="187"/>
      <c r="U171" s="186"/>
      <c r="V171" s="186"/>
      <c r="W171" s="186"/>
      <c r="X171" s="186"/>
    </row>
    <row r="172">
      <c r="A172" s="185"/>
      <c r="B172" s="67"/>
      <c r="C172" s="186"/>
      <c r="D172" s="186"/>
      <c r="E172" s="186"/>
      <c r="F172" s="186"/>
      <c r="G172" s="186"/>
      <c r="H172" s="186"/>
      <c r="I172" s="186"/>
      <c r="J172" s="186"/>
      <c r="K172" s="186"/>
      <c r="L172" s="186"/>
      <c r="M172" s="67"/>
      <c r="N172" s="67"/>
      <c r="O172" s="67"/>
      <c r="P172" s="67"/>
      <c r="Q172" s="186"/>
      <c r="R172" s="186"/>
      <c r="S172" s="187"/>
      <c r="T172" s="187"/>
      <c r="U172" s="186"/>
      <c r="V172" s="186"/>
      <c r="W172" s="186"/>
      <c r="X172" s="186"/>
    </row>
    <row r="173">
      <c r="A173" s="185"/>
      <c r="B173" s="67"/>
      <c r="C173" s="186"/>
      <c r="D173" s="186"/>
      <c r="E173" s="186"/>
      <c r="F173" s="186"/>
      <c r="G173" s="186"/>
      <c r="H173" s="186"/>
      <c r="I173" s="186"/>
      <c r="J173" s="186"/>
      <c r="K173" s="186"/>
      <c r="L173" s="186"/>
      <c r="M173" s="67"/>
      <c r="N173" s="67"/>
      <c r="O173" s="67"/>
      <c r="P173" s="67"/>
      <c r="Q173" s="186"/>
      <c r="R173" s="186"/>
      <c r="S173" s="187"/>
      <c r="T173" s="187"/>
      <c r="U173" s="186"/>
      <c r="V173" s="186"/>
      <c r="W173" s="186"/>
      <c r="X173" s="186"/>
    </row>
    <row r="174">
      <c r="A174" s="185"/>
      <c r="B174" s="67"/>
      <c r="C174" s="186"/>
      <c r="D174" s="186"/>
      <c r="E174" s="186"/>
      <c r="F174" s="186"/>
      <c r="G174" s="186"/>
      <c r="H174" s="186"/>
      <c r="I174" s="186"/>
      <c r="J174" s="186"/>
      <c r="K174" s="186"/>
      <c r="L174" s="186"/>
      <c r="M174" s="67"/>
      <c r="N174" s="67"/>
      <c r="O174" s="67"/>
      <c r="P174" s="67"/>
      <c r="Q174" s="186"/>
      <c r="R174" s="186"/>
      <c r="S174" s="187"/>
      <c r="T174" s="187"/>
      <c r="U174" s="186"/>
      <c r="V174" s="186"/>
      <c r="W174" s="186"/>
      <c r="X174" s="186"/>
    </row>
    <row r="175">
      <c r="A175" s="185"/>
      <c r="B175" s="67"/>
      <c r="C175" s="186"/>
      <c r="D175" s="186"/>
      <c r="E175" s="186"/>
      <c r="F175" s="186"/>
      <c r="G175" s="186"/>
      <c r="H175" s="186"/>
      <c r="I175" s="186"/>
      <c r="J175" s="186"/>
      <c r="K175" s="186"/>
      <c r="L175" s="186"/>
      <c r="M175" s="67"/>
      <c r="N175" s="67"/>
      <c r="O175" s="67"/>
      <c r="P175" s="67"/>
      <c r="Q175" s="186"/>
      <c r="R175" s="186"/>
      <c r="S175" s="187"/>
      <c r="T175" s="187"/>
      <c r="U175" s="186"/>
      <c r="V175" s="186"/>
      <c r="W175" s="186"/>
      <c r="X175" s="186"/>
    </row>
    <row r="176">
      <c r="A176" s="185"/>
      <c r="B176" s="67"/>
      <c r="C176" s="186"/>
      <c r="D176" s="186"/>
      <c r="E176" s="186"/>
      <c r="F176" s="186"/>
      <c r="G176" s="186"/>
      <c r="H176" s="186"/>
      <c r="I176" s="186"/>
      <c r="J176" s="186"/>
      <c r="K176" s="186"/>
      <c r="L176" s="186"/>
      <c r="M176" s="67"/>
      <c r="N176" s="67"/>
      <c r="O176" s="67"/>
      <c r="P176" s="67"/>
      <c r="Q176" s="186"/>
      <c r="R176" s="186"/>
      <c r="S176" s="187"/>
      <c r="T176" s="187"/>
      <c r="U176" s="186"/>
      <c r="V176" s="186"/>
      <c r="W176" s="186"/>
      <c r="X176" s="186"/>
    </row>
    <row r="177">
      <c r="A177" s="185"/>
      <c r="B177" s="67"/>
      <c r="C177" s="186"/>
      <c r="D177" s="186"/>
      <c r="E177" s="186"/>
      <c r="F177" s="186"/>
      <c r="G177" s="186"/>
      <c r="H177" s="186"/>
      <c r="I177" s="186"/>
      <c r="J177" s="186"/>
      <c r="K177" s="186"/>
      <c r="L177" s="186"/>
      <c r="M177" s="67"/>
      <c r="N177" s="67"/>
      <c r="O177" s="67"/>
      <c r="P177" s="67"/>
      <c r="Q177" s="186"/>
      <c r="R177" s="186"/>
      <c r="S177" s="187"/>
      <c r="T177" s="187"/>
      <c r="U177" s="186"/>
      <c r="V177" s="186"/>
      <c r="W177" s="186"/>
      <c r="X177" s="186"/>
    </row>
    <row r="178">
      <c r="A178" s="185"/>
      <c r="B178" s="67"/>
      <c r="C178" s="186"/>
      <c r="D178" s="186"/>
      <c r="E178" s="186"/>
      <c r="F178" s="186"/>
      <c r="G178" s="186"/>
      <c r="H178" s="186"/>
      <c r="I178" s="186"/>
      <c r="J178" s="186"/>
      <c r="K178" s="186"/>
      <c r="L178" s="186"/>
      <c r="M178" s="67"/>
      <c r="N178" s="67"/>
      <c r="O178" s="67"/>
      <c r="P178" s="67"/>
      <c r="Q178" s="186"/>
      <c r="R178" s="186"/>
      <c r="S178" s="187"/>
      <c r="T178" s="187"/>
      <c r="U178" s="186"/>
      <c r="V178" s="186"/>
      <c r="W178" s="186"/>
      <c r="X178" s="186"/>
    </row>
    <row r="179">
      <c r="A179" s="185"/>
      <c r="B179" s="67"/>
      <c r="C179" s="186"/>
      <c r="D179" s="186"/>
      <c r="E179" s="186"/>
      <c r="F179" s="186"/>
      <c r="G179" s="186"/>
      <c r="H179" s="186"/>
      <c r="I179" s="186"/>
      <c r="J179" s="186"/>
      <c r="K179" s="186"/>
      <c r="L179" s="186"/>
      <c r="M179" s="67"/>
      <c r="N179" s="67"/>
      <c r="O179" s="67"/>
      <c r="P179" s="67"/>
      <c r="Q179" s="186"/>
      <c r="R179" s="186"/>
      <c r="S179" s="187"/>
      <c r="T179" s="187"/>
      <c r="U179" s="186"/>
      <c r="V179" s="186"/>
      <c r="W179" s="186"/>
      <c r="X179" s="186"/>
    </row>
    <row r="180">
      <c r="A180" s="185"/>
      <c r="B180" s="67"/>
      <c r="C180" s="186"/>
      <c r="D180" s="186"/>
      <c r="E180" s="186"/>
      <c r="F180" s="186"/>
      <c r="G180" s="186"/>
      <c r="H180" s="186"/>
      <c r="I180" s="186"/>
      <c r="J180" s="186"/>
      <c r="K180" s="186"/>
      <c r="L180" s="186"/>
      <c r="M180" s="67"/>
      <c r="N180" s="67"/>
      <c r="O180" s="67"/>
      <c r="P180" s="67"/>
      <c r="Q180" s="186"/>
      <c r="R180" s="186"/>
      <c r="S180" s="187"/>
      <c r="T180" s="187"/>
      <c r="U180" s="186"/>
      <c r="V180" s="186"/>
      <c r="W180" s="186"/>
      <c r="X180" s="186"/>
    </row>
    <row r="181">
      <c r="A181" s="185"/>
      <c r="B181" s="67"/>
      <c r="C181" s="186"/>
      <c r="D181" s="186"/>
      <c r="E181" s="186"/>
      <c r="F181" s="186"/>
      <c r="G181" s="186"/>
      <c r="H181" s="186"/>
      <c r="I181" s="186"/>
      <c r="J181" s="186"/>
      <c r="K181" s="186"/>
      <c r="L181" s="186"/>
      <c r="M181" s="67"/>
      <c r="N181" s="67"/>
      <c r="O181" s="67"/>
      <c r="P181" s="67"/>
      <c r="Q181" s="186"/>
      <c r="R181" s="186"/>
      <c r="S181" s="187"/>
      <c r="T181" s="187"/>
      <c r="U181" s="186"/>
      <c r="V181" s="186"/>
      <c r="W181" s="186"/>
      <c r="X181" s="186"/>
    </row>
    <row r="182">
      <c r="A182" s="185"/>
      <c r="B182" s="67"/>
      <c r="C182" s="186"/>
      <c r="D182" s="186"/>
      <c r="E182" s="186"/>
      <c r="F182" s="186"/>
      <c r="G182" s="186"/>
      <c r="H182" s="186"/>
      <c r="I182" s="186"/>
      <c r="J182" s="186"/>
      <c r="K182" s="186"/>
      <c r="L182" s="186"/>
      <c r="M182" s="67"/>
      <c r="N182" s="67"/>
      <c r="O182" s="67"/>
      <c r="P182" s="67"/>
      <c r="Q182" s="186"/>
      <c r="R182" s="186"/>
      <c r="S182" s="187"/>
      <c r="T182" s="187"/>
      <c r="U182" s="186"/>
      <c r="V182" s="186"/>
      <c r="W182" s="186"/>
      <c r="X182" s="186"/>
    </row>
    <row r="183">
      <c r="A183" s="185"/>
      <c r="B183" s="67"/>
      <c r="C183" s="186"/>
      <c r="D183" s="186"/>
      <c r="E183" s="186"/>
      <c r="F183" s="186"/>
      <c r="G183" s="186"/>
      <c r="H183" s="186"/>
      <c r="I183" s="186"/>
      <c r="J183" s="186"/>
      <c r="K183" s="186"/>
      <c r="L183" s="186"/>
      <c r="M183" s="67"/>
      <c r="N183" s="67"/>
      <c r="O183" s="67"/>
      <c r="P183" s="67"/>
      <c r="Q183" s="186"/>
      <c r="R183" s="186"/>
      <c r="S183" s="187"/>
      <c r="T183" s="187"/>
      <c r="U183" s="186"/>
      <c r="V183" s="186"/>
      <c r="W183" s="186"/>
      <c r="X183" s="186"/>
    </row>
    <row r="184">
      <c r="A184" s="185"/>
      <c r="B184" s="67"/>
      <c r="C184" s="186"/>
      <c r="D184" s="186"/>
      <c r="E184" s="186"/>
      <c r="F184" s="186"/>
      <c r="G184" s="186"/>
      <c r="H184" s="186"/>
      <c r="I184" s="186"/>
      <c r="J184" s="186"/>
      <c r="K184" s="186"/>
      <c r="L184" s="186"/>
      <c r="M184" s="67"/>
      <c r="N184" s="67"/>
      <c r="O184" s="67"/>
      <c r="P184" s="67"/>
      <c r="Q184" s="186"/>
      <c r="R184" s="186"/>
      <c r="S184" s="187"/>
      <c r="T184" s="187"/>
      <c r="U184" s="186"/>
      <c r="V184" s="186"/>
      <c r="W184" s="186"/>
      <c r="X184" s="186"/>
    </row>
    <row r="185">
      <c r="A185" s="185"/>
      <c r="B185" s="67"/>
      <c r="C185" s="186"/>
      <c r="D185" s="186"/>
      <c r="E185" s="186"/>
      <c r="F185" s="186"/>
      <c r="G185" s="186"/>
      <c r="H185" s="186"/>
      <c r="I185" s="186"/>
      <c r="J185" s="186"/>
      <c r="K185" s="186"/>
      <c r="L185" s="186"/>
      <c r="M185" s="67"/>
      <c r="N185" s="67"/>
      <c r="O185" s="67"/>
      <c r="P185" s="67"/>
      <c r="Q185" s="186"/>
      <c r="R185" s="186"/>
      <c r="S185" s="187"/>
      <c r="T185" s="187"/>
      <c r="U185" s="186"/>
      <c r="V185" s="186"/>
      <c r="W185" s="186"/>
      <c r="X185" s="186"/>
    </row>
    <row r="186">
      <c r="A186" s="185"/>
      <c r="B186" s="67"/>
      <c r="C186" s="186"/>
      <c r="D186" s="186"/>
      <c r="E186" s="186"/>
      <c r="F186" s="186"/>
      <c r="G186" s="186"/>
      <c r="H186" s="186"/>
      <c r="I186" s="186"/>
      <c r="J186" s="186"/>
      <c r="K186" s="186"/>
      <c r="L186" s="186"/>
      <c r="M186" s="67"/>
      <c r="N186" s="67"/>
      <c r="O186" s="67"/>
      <c r="P186" s="67"/>
      <c r="Q186" s="186"/>
      <c r="R186" s="186"/>
      <c r="S186" s="187"/>
      <c r="T186" s="187"/>
      <c r="U186" s="186"/>
      <c r="V186" s="186"/>
      <c r="W186" s="186"/>
      <c r="X186" s="186"/>
    </row>
    <row r="187">
      <c r="A187" s="185"/>
      <c r="B187" s="67"/>
      <c r="C187" s="186"/>
      <c r="D187" s="186"/>
      <c r="E187" s="186"/>
      <c r="F187" s="186"/>
      <c r="G187" s="186"/>
      <c r="H187" s="186"/>
      <c r="I187" s="186"/>
      <c r="J187" s="186"/>
      <c r="K187" s="186"/>
      <c r="L187" s="186"/>
      <c r="M187" s="67"/>
      <c r="N187" s="67"/>
      <c r="O187" s="67"/>
      <c r="P187" s="67"/>
      <c r="Q187" s="186"/>
      <c r="R187" s="186"/>
      <c r="S187" s="187"/>
      <c r="T187" s="187"/>
      <c r="U187" s="186"/>
      <c r="V187" s="186"/>
      <c r="W187" s="186"/>
      <c r="X187" s="186"/>
    </row>
    <row r="188">
      <c r="A188" s="185"/>
      <c r="B188" s="67"/>
      <c r="C188" s="186"/>
      <c r="D188" s="186"/>
      <c r="E188" s="186"/>
      <c r="F188" s="186"/>
      <c r="G188" s="186"/>
      <c r="H188" s="186"/>
      <c r="I188" s="186"/>
      <c r="J188" s="186"/>
      <c r="K188" s="186"/>
      <c r="L188" s="186"/>
      <c r="M188" s="67"/>
      <c r="N188" s="67"/>
      <c r="O188" s="67"/>
      <c r="P188" s="67"/>
      <c r="Q188" s="186"/>
      <c r="R188" s="186"/>
      <c r="S188" s="187"/>
      <c r="T188" s="187"/>
      <c r="U188" s="186"/>
      <c r="V188" s="186"/>
      <c r="W188" s="186"/>
      <c r="X188" s="186"/>
    </row>
    <row r="189">
      <c r="A189" s="185"/>
      <c r="B189" s="67"/>
      <c r="C189" s="186"/>
      <c r="D189" s="186"/>
      <c r="E189" s="186"/>
      <c r="F189" s="186"/>
      <c r="G189" s="186"/>
      <c r="H189" s="186"/>
      <c r="I189" s="186"/>
      <c r="J189" s="186"/>
      <c r="K189" s="186"/>
      <c r="L189" s="186"/>
      <c r="M189" s="67"/>
      <c r="N189" s="67"/>
      <c r="O189" s="67"/>
      <c r="P189" s="67"/>
      <c r="Q189" s="186"/>
      <c r="R189" s="186"/>
      <c r="S189" s="187"/>
      <c r="T189" s="187"/>
      <c r="U189" s="186"/>
      <c r="V189" s="186"/>
      <c r="W189" s="186"/>
      <c r="X189" s="186"/>
    </row>
    <row r="190">
      <c r="A190" s="185"/>
      <c r="B190" s="67"/>
      <c r="C190" s="186"/>
      <c r="D190" s="186"/>
      <c r="E190" s="186"/>
      <c r="F190" s="186"/>
      <c r="G190" s="186"/>
      <c r="H190" s="186"/>
      <c r="I190" s="186"/>
      <c r="J190" s="186"/>
      <c r="K190" s="186"/>
      <c r="L190" s="186"/>
      <c r="M190" s="67"/>
      <c r="N190" s="67"/>
      <c r="O190" s="67"/>
      <c r="P190" s="67"/>
      <c r="Q190" s="186"/>
      <c r="R190" s="186"/>
      <c r="S190" s="187"/>
      <c r="T190" s="187"/>
      <c r="U190" s="186"/>
      <c r="V190" s="186"/>
      <c r="W190" s="186"/>
      <c r="X190" s="186"/>
    </row>
    <row r="191">
      <c r="A191" s="185"/>
      <c r="B191" s="67"/>
      <c r="C191" s="186"/>
      <c r="D191" s="186"/>
      <c r="E191" s="186"/>
      <c r="F191" s="186"/>
      <c r="G191" s="186"/>
      <c r="H191" s="186"/>
      <c r="I191" s="186"/>
      <c r="J191" s="186"/>
      <c r="K191" s="186"/>
      <c r="L191" s="186"/>
      <c r="M191" s="67"/>
      <c r="N191" s="67"/>
      <c r="O191" s="67"/>
      <c r="P191" s="67"/>
      <c r="Q191" s="186"/>
      <c r="R191" s="186"/>
      <c r="S191" s="187"/>
      <c r="T191" s="187"/>
      <c r="U191" s="186"/>
      <c r="V191" s="186"/>
      <c r="W191" s="186"/>
      <c r="X191" s="186"/>
    </row>
    <row r="192">
      <c r="A192" s="185"/>
      <c r="B192" s="67"/>
      <c r="C192" s="186"/>
      <c r="D192" s="186"/>
      <c r="E192" s="186"/>
      <c r="F192" s="186"/>
      <c r="G192" s="186"/>
      <c r="H192" s="186"/>
      <c r="I192" s="186"/>
      <c r="J192" s="186"/>
      <c r="K192" s="186"/>
      <c r="L192" s="186"/>
      <c r="M192" s="67"/>
      <c r="N192" s="67"/>
      <c r="O192" s="67"/>
      <c r="P192" s="67"/>
      <c r="Q192" s="186"/>
      <c r="R192" s="186"/>
      <c r="S192" s="187"/>
      <c r="T192" s="187"/>
      <c r="U192" s="186"/>
      <c r="V192" s="186"/>
      <c r="W192" s="186"/>
      <c r="X192" s="186"/>
    </row>
    <row r="193">
      <c r="A193" s="185"/>
      <c r="B193" s="67"/>
      <c r="C193" s="186"/>
      <c r="D193" s="186"/>
      <c r="E193" s="186"/>
      <c r="F193" s="186"/>
      <c r="G193" s="186"/>
      <c r="H193" s="186"/>
      <c r="I193" s="186"/>
      <c r="J193" s="186"/>
      <c r="K193" s="186"/>
      <c r="L193" s="186"/>
      <c r="M193" s="67"/>
      <c r="N193" s="67"/>
      <c r="O193" s="67"/>
      <c r="P193" s="67"/>
      <c r="Q193" s="186"/>
      <c r="R193" s="186"/>
      <c r="S193" s="187"/>
      <c r="T193" s="187"/>
      <c r="U193" s="186"/>
      <c r="V193" s="186"/>
      <c r="W193" s="186"/>
      <c r="X193" s="186"/>
    </row>
    <row r="194">
      <c r="A194" s="185"/>
      <c r="B194" s="67"/>
      <c r="C194" s="186"/>
      <c r="D194" s="186"/>
      <c r="E194" s="186"/>
      <c r="F194" s="186"/>
      <c r="G194" s="186"/>
      <c r="H194" s="186"/>
      <c r="I194" s="186"/>
      <c r="J194" s="186"/>
      <c r="K194" s="186"/>
      <c r="L194" s="186"/>
      <c r="M194" s="67"/>
      <c r="N194" s="67"/>
      <c r="O194" s="67"/>
      <c r="P194" s="67"/>
      <c r="Q194" s="186"/>
      <c r="R194" s="186"/>
      <c r="S194" s="187"/>
      <c r="T194" s="187"/>
      <c r="U194" s="186"/>
      <c r="V194" s="186"/>
      <c r="W194" s="186"/>
      <c r="X194" s="186"/>
    </row>
    <row r="195">
      <c r="A195" s="185"/>
      <c r="B195" s="67"/>
      <c r="C195" s="186"/>
      <c r="D195" s="186"/>
      <c r="E195" s="186"/>
      <c r="F195" s="186"/>
      <c r="G195" s="186"/>
      <c r="H195" s="186"/>
      <c r="I195" s="186"/>
      <c r="J195" s="186"/>
      <c r="K195" s="186"/>
      <c r="L195" s="186"/>
      <c r="M195" s="67"/>
      <c r="N195" s="67"/>
      <c r="O195" s="67"/>
      <c r="P195" s="67"/>
      <c r="Q195" s="186"/>
      <c r="R195" s="186"/>
      <c r="S195" s="187"/>
      <c r="T195" s="187"/>
      <c r="U195" s="186"/>
      <c r="V195" s="186"/>
      <c r="W195" s="186"/>
      <c r="X195" s="186"/>
    </row>
    <row r="196">
      <c r="A196" s="185"/>
      <c r="B196" s="67"/>
      <c r="C196" s="186"/>
      <c r="D196" s="186"/>
      <c r="E196" s="186"/>
      <c r="F196" s="186"/>
      <c r="G196" s="186"/>
      <c r="H196" s="186"/>
      <c r="I196" s="186"/>
      <c r="J196" s="186"/>
      <c r="K196" s="186"/>
      <c r="L196" s="186"/>
      <c r="M196" s="67"/>
      <c r="N196" s="67"/>
      <c r="O196" s="67"/>
      <c r="P196" s="67"/>
      <c r="Q196" s="186"/>
      <c r="R196" s="186"/>
      <c r="S196" s="187"/>
      <c r="T196" s="187"/>
      <c r="U196" s="186"/>
      <c r="V196" s="186"/>
      <c r="W196" s="186"/>
      <c r="X196" s="186"/>
    </row>
    <row r="197">
      <c r="A197" s="185"/>
      <c r="B197" s="67"/>
      <c r="C197" s="186"/>
      <c r="D197" s="186"/>
      <c r="E197" s="186"/>
      <c r="F197" s="186"/>
      <c r="G197" s="186"/>
      <c r="H197" s="186"/>
      <c r="I197" s="186"/>
      <c r="J197" s="186"/>
      <c r="K197" s="186"/>
      <c r="L197" s="186"/>
      <c r="M197" s="67"/>
      <c r="N197" s="67"/>
      <c r="O197" s="67"/>
      <c r="P197" s="67"/>
      <c r="Q197" s="186"/>
      <c r="R197" s="186"/>
      <c r="S197" s="187"/>
      <c r="T197" s="187"/>
      <c r="U197" s="186"/>
      <c r="V197" s="186"/>
      <c r="W197" s="186"/>
      <c r="X197" s="186"/>
    </row>
    <row r="198">
      <c r="A198" s="185"/>
      <c r="B198" s="67"/>
      <c r="C198" s="186"/>
      <c r="D198" s="186"/>
      <c r="E198" s="186"/>
      <c r="F198" s="186"/>
      <c r="G198" s="186"/>
      <c r="H198" s="186"/>
      <c r="I198" s="186"/>
      <c r="J198" s="186"/>
      <c r="K198" s="186"/>
      <c r="L198" s="186"/>
      <c r="M198" s="67"/>
      <c r="N198" s="67"/>
      <c r="O198" s="67"/>
      <c r="P198" s="67"/>
      <c r="Q198" s="186"/>
      <c r="R198" s="186"/>
      <c r="S198" s="187"/>
      <c r="T198" s="187"/>
      <c r="U198" s="186"/>
      <c r="V198" s="186"/>
      <c r="W198" s="186"/>
      <c r="X198" s="186"/>
    </row>
    <row r="199">
      <c r="A199" s="185"/>
      <c r="B199" s="67"/>
      <c r="C199" s="186"/>
      <c r="D199" s="186"/>
      <c r="E199" s="186"/>
      <c r="F199" s="186"/>
      <c r="G199" s="186"/>
      <c r="H199" s="186"/>
      <c r="I199" s="186"/>
      <c r="J199" s="186"/>
      <c r="K199" s="186"/>
      <c r="L199" s="186"/>
      <c r="M199" s="67"/>
      <c r="N199" s="67"/>
      <c r="O199" s="67"/>
      <c r="P199" s="67"/>
      <c r="Q199" s="186"/>
      <c r="R199" s="186"/>
      <c r="S199" s="187"/>
      <c r="T199" s="187"/>
      <c r="U199" s="186"/>
      <c r="V199" s="186"/>
      <c r="W199" s="186"/>
      <c r="X199" s="186"/>
    </row>
    <row r="200">
      <c r="A200" s="185"/>
      <c r="B200" s="67"/>
      <c r="C200" s="186"/>
      <c r="D200" s="186"/>
      <c r="E200" s="186"/>
      <c r="F200" s="186"/>
      <c r="G200" s="186"/>
      <c r="H200" s="186"/>
      <c r="I200" s="186"/>
      <c r="J200" s="186"/>
      <c r="K200" s="186"/>
      <c r="L200" s="186"/>
      <c r="M200" s="67"/>
      <c r="N200" s="67"/>
      <c r="O200" s="67"/>
      <c r="P200" s="67"/>
      <c r="Q200" s="186"/>
      <c r="R200" s="186"/>
      <c r="S200" s="187"/>
      <c r="T200" s="187"/>
      <c r="U200" s="186"/>
      <c r="V200" s="186"/>
      <c r="W200" s="186"/>
      <c r="X200" s="186"/>
    </row>
    <row r="201">
      <c r="A201" s="185"/>
      <c r="B201" s="67"/>
      <c r="C201" s="186"/>
      <c r="D201" s="186"/>
      <c r="E201" s="186"/>
      <c r="F201" s="186"/>
      <c r="G201" s="186"/>
      <c r="H201" s="186"/>
      <c r="I201" s="186"/>
      <c r="J201" s="186"/>
      <c r="K201" s="186"/>
      <c r="L201" s="186"/>
      <c r="M201" s="67"/>
      <c r="N201" s="67"/>
      <c r="O201" s="67"/>
      <c r="P201" s="67"/>
      <c r="Q201" s="186"/>
      <c r="R201" s="186"/>
      <c r="S201" s="187"/>
      <c r="T201" s="187"/>
      <c r="U201" s="186"/>
      <c r="V201" s="186"/>
      <c r="W201" s="186"/>
      <c r="X201" s="186"/>
    </row>
    <row r="202">
      <c r="A202" s="185"/>
      <c r="B202" s="67"/>
      <c r="C202" s="186"/>
      <c r="D202" s="186"/>
      <c r="E202" s="186"/>
      <c r="F202" s="186"/>
      <c r="G202" s="186"/>
      <c r="H202" s="186"/>
      <c r="I202" s="186"/>
      <c r="J202" s="186"/>
      <c r="K202" s="186"/>
      <c r="L202" s="186"/>
      <c r="M202" s="67"/>
      <c r="N202" s="67"/>
      <c r="O202" s="67"/>
      <c r="P202" s="67"/>
      <c r="Q202" s="186"/>
      <c r="R202" s="186"/>
      <c r="S202" s="187"/>
      <c r="T202" s="187"/>
      <c r="U202" s="186"/>
      <c r="V202" s="186"/>
      <c r="W202" s="186"/>
      <c r="X202" s="186"/>
    </row>
    <row r="203">
      <c r="A203" s="185"/>
      <c r="B203" s="67"/>
      <c r="C203" s="186"/>
      <c r="D203" s="186"/>
      <c r="E203" s="186"/>
      <c r="F203" s="186"/>
      <c r="G203" s="186"/>
      <c r="H203" s="186"/>
      <c r="I203" s="186"/>
      <c r="J203" s="186"/>
      <c r="K203" s="186"/>
      <c r="L203" s="186"/>
      <c r="M203" s="67"/>
      <c r="N203" s="67"/>
      <c r="O203" s="67"/>
      <c r="P203" s="67"/>
      <c r="Q203" s="186"/>
      <c r="R203" s="186"/>
      <c r="S203" s="187"/>
      <c r="T203" s="187"/>
      <c r="U203" s="186"/>
      <c r="V203" s="186"/>
      <c r="W203" s="186"/>
      <c r="X203" s="186"/>
    </row>
    <row r="204">
      <c r="A204" s="185"/>
      <c r="B204" s="67"/>
      <c r="C204" s="186"/>
      <c r="D204" s="186"/>
      <c r="E204" s="186"/>
      <c r="F204" s="186"/>
      <c r="G204" s="186"/>
      <c r="H204" s="186"/>
      <c r="I204" s="186"/>
      <c r="J204" s="186"/>
      <c r="K204" s="186"/>
      <c r="L204" s="186"/>
      <c r="M204" s="67"/>
      <c r="N204" s="67"/>
      <c r="O204" s="67"/>
      <c r="P204" s="67"/>
      <c r="Q204" s="186"/>
      <c r="R204" s="186"/>
      <c r="S204" s="187"/>
      <c r="T204" s="187"/>
      <c r="U204" s="186"/>
      <c r="V204" s="186"/>
      <c r="W204" s="186"/>
      <c r="X204" s="186"/>
    </row>
    <row r="205">
      <c r="A205" s="185"/>
      <c r="B205" s="67"/>
      <c r="C205" s="186"/>
      <c r="D205" s="186"/>
      <c r="E205" s="186"/>
      <c r="F205" s="186"/>
      <c r="G205" s="186"/>
      <c r="H205" s="186"/>
      <c r="I205" s="186"/>
      <c r="J205" s="186"/>
      <c r="K205" s="186"/>
      <c r="L205" s="186"/>
      <c r="M205" s="67"/>
      <c r="N205" s="67"/>
      <c r="O205" s="67"/>
      <c r="P205" s="67"/>
      <c r="Q205" s="186"/>
      <c r="R205" s="186"/>
      <c r="S205" s="187"/>
      <c r="T205" s="187"/>
      <c r="U205" s="186"/>
      <c r="V205" s="186"/>
      <c r="W205" s="186"/>
      <c r="X205" s="186"/>
    </row>
    <row r="206">
      <c r="A206" s="185"/>
      <c r="B206" s="67"/>
      <c r="C206" s="186"/>
      <c r="D206" s="186"/>
      <c r="E206" s="186"/>
      <c r="F206" s="186"/>
      <c r="G206" s="186"/>
      <c r="H206" s="186"/>
      <c r="I206" s="186"/>
      <c r="J206" s="186"/>
      <c r="K206" s="186"/>
      <c r="L206" s="186"/>
      <c r="M206" s="67"/>
      <c r="N206" s="67"/>
      <c r="O206" s="67"/>
      <c r="P206" s="67"/>
      <c r="Q206" s="186"/>
      <c r="R206" s="186"/>
      <c r="S206" s="187"/>
      <c r="T206" s="187"/>
      <c r="U206" s="186"/>
      <c r="V206" s="186"/>
      <c r="W206" s="186"/>
      <c r="X206" s="186"/>
    </row>
    <row r="207">
      <c r="A207" s="185"/>
      <c r="B207" s="67"/>
      <c r="C207" s="186"/>
      <c r="D207" s="186"/>
      <c r="E207" s="186"/>
      <c r="F207" s="186"/>
      <c r="G207" s="186"/>
      <c r="H207" s="186"/>
      <c r="I207" s="186"/>
      <c r="J207" s="186"/>
      <c r="K207" s="186"/>
      <c r="L207" s="186"/>
      <c r="M207" s="67"/>
      <c r="N207" s="67"/>
      <c r="O207" s="67"/>
      <c r="P207" s="67"/>
      <c r="Q207" s="186"/>
      <c r="R207" s="186"/>
      <c r="S207" s="187"/>
      <c r="T207" s="187"/>
      <c r="U207" s="186"/>
      <c r="V207" s="186"/>
      <c r="W207" s="186"/>
      <c r="X207" s="186"/>
    </row>
    <row r="208">
      <c r="A208" s="185"/>
      <c r="B208" s="67"/>
      <c r="C208" s="186"/>
      <c r="D208" s="186"/>
      <c r="E208" s="186"/>
      <c r="F208" s="186"/>
      <c r="G208" s="186"/>
      <c r="H208" s="186"/>
      <c r="I208" s="186"/>
      <c r="J208" s="186"/>
      <c r="K208" s="186"/>
      <c r="L208" s="186"/>
      <c r="M208" s="67"/>
      <c r="N208" s="67"/>
      <c r="O208" s="67"/>
      <c r="P208" s="67"/>
      <c r="Q208" s="186"/>
      <c r="R208" s="186"/>
      <c r="S208" s="187"/>
      <c r="T208" s="187"/>
      <c r="U208" s="186"/>
      <c r="V208" s="186"/>
      <c r="W208" s="186"/>
      <c r="X208" s="186"/>
    </row>
    <row r="209">
      <c r="A209" s="185"/>
      <c r="B209" s="67"/>
      <c r="C209" s="186"/>
      <c r="D209" s="186"/>
      <c r="E209" s="186"/>
      <c r="F209" s="186"/>
      <c r="G209" s="186"/>
      <c r="H209" s="186"/>
      <c r="I209" s="186"/>
      <c r="J209" s="186"/>
      <c r="K209" s="186"/>
      <c r="L209" s="186"/>
      <c r="M209" s="67"/>
      <c r="N209" s="67"/>
      <c r="O209" s="67"/>
      <c r="P209" s="67"/>
      <c r="Q209" s="186"/>
      <c r="R209" s="186"/>
      <c r="S209" s="187"/>
      <c r="T209" s="187"/>
      <c r="U209" s="186"/>
      <c r="V209" s="186"/>
      <c r="W209" s="186"/>
      <c r="X209" s="186"/>
    </row>
    <row r="210">
      <c r="A210" s="185"/>
      <c r="B210" s="67"/>
      <c r="C210" s="186"/>
      <c r="D210" s="186"/>
      <c r="E210" s="186"/>
      <c r="F210" s="186"/>
      <c r="G210" s="186"/>
      <c r="H210" s="186"/>
      <c r="I210" s="186"/>
      <c r="J210" s="186"/>
      <c r="K210" s="186"/>
      <c r="L210" s="186"/>
      <c r="M210" s="67"/>
      <c r="N210" s="67"/>
      <c r="O210" s="67"/>
      <c r="P210" s="67"/>
      <c r="Q210" s="186"/>
      <c r="R210" s="186"/>
      <c r="S210" s="187"/>
      <c r="T210" s="187"/>
      <c r="U210" s="186"/>
      <c r="V210" s="186"/>
      <c r="W210" s="186"/>
      <c r="X210" s="186"/>
    </row>
    <row r="211">
      <c r="A211" s="185"/>
      <c r="B211" s="67"/>
      <c r="C211" s="186"/>
      <c r="D211" s="186"/>
      <c r="E211" s="186"/>
      <c r="F211" s="186"/>
      <c r="G211" s="186"/>
      <c r="H211" s="186"/>
      <c r="I211" s="186"/>
      <c r="J211" s="186"/>
      <c r="K211" s="186"/>
      <c r="L211" s="186"/>
      <c r="M211" s="67"/>
      <c r="N211" s="67"/>
      <c r="O211" s="67"/>
      <c r="P211" s="67"/>
      <c r="Q211" s="186"/>
      <c r="R211" s="186"/>
      <c r="S211" s="187"/>
      <c r="T211" s="187"/>
      <c r="U211" s="186"/>
      <c r="V211" s="186"/>
      <c r="W211" s="186"/>
      <c r="X211" s="186"/>
    </row>
    <row r="212">
      <c r="A212" s="185"/>
      <c r="B212" s="67"/>
      <c r="C212" s="186"/>
      <c r="D212" s="186"/>
      <c r="E212" s="186"/>
      <c r="F212" s="186"/>
      <c r="G212" s="186"/>
      <c r="H212" s="186"/>
      <c r="I212" s="186"/>
      <c r="J212" s="186"/>
      <c r="K212" s="186"/>
      <c r="L212" s="186"/>
      <c r="M212" s="67"/>
      <c r="N212" s="67"/>
      <c r="O212" s="67"/>
      <c r="P212" s="67"/>
      <c r="Q212" s="186"/>
      <c r="R212" s="186"/>
      <c r="S212" s="187"/>
      <c r="T212" s="187"/>
      <c r="U212" s="186"/>
      <c r="V212" s="186"/>
      <c r="W212" s="186"/>
      <c r="X212" s="186"/>
    </row>
    <row r="213">
      <c r="A213" s="185"/>
      <c r="B213" s="67"/>
      <c r="C213" s="186"/>
      <c r="D213" s="186"/>
      <c r="E213" s="186"/>
      <c r="F213" s="186"/>
      <c r="G213" s="186"/>
      <c r="H213" s="186"/>
      <c r="I213" s="186"/>
      <c r="J213" s="186"/>
      <c r="K213" s="186"/>
      <c r="L213" s="186"/>
      <c r="M213" s="67"/>
      <c r="N213" s="67"/>
      <c r="O213" s="67"/>
      <c r="P213" s="67"/>
      <c r="Q213" s="186"/>
      <c r="R213" s="186"/>
      <c r="S213" s="187"/>
      <c r="T213" s="187"/>
      <c r="U213" s="186"/>
      <c r="V213" s="186"/>
      <c r="W213" s="186"/>
      <c r="X213" s="186"/>
    </row>
    <row r="214">
      <c r="A214" s="185"/>
      <c r="B214" s="67"/>
      <c r="C214" s="186"/>
      <c r="D214" s="186"/>
      <c r="E214" s="186"/>
      <c r="F214" s="186"/>
      <c r="G214" s="186"/>
      <c r="H214" s="186"/>
      <c r="I214" s="186"/>
      <c r="J214" s="186"/>
      <c r="K214" s="186"/>
      <c r="L214" s="186"/>
      <c r="M214" s="67"/>
      <c r="N214" s="67"/>
      <c r="O214" s="67"/>
      <c r="P214" s="67"/>
      <c r="Q214" s="186"/>
      <c r="R214" s="186"/>
      <c r="S214" s="187"/>
      <c r="T214" s="187"/>
      <c r="U214" s="186"/>
      <c r="V214" s="186"/>
      <c r="W214" s="186"/>
      <c r="X214" s="186"/>
    </row>
    <row r="215">
      <c r="A215" s="185"/>
      <c r="B215" s="67"/>
      <c r="C215" s="186"/>
      <c r="D215" s="186"/>
      <c r="E215" s="186"/>
      <c r="F215" s="186"/>
      <c r="G215" s="186"/>
      <c r="H215" s="186"/>
      <c r="I215" s="186"/>
      <c r="J215" s="186"/>
      <c r="K215" s="186"/>
      <c r="L215" s="186"/>
      <c r="M215" s="67"/>
      <c r="N215" s="67"/>
      <c r="O215" s="67"/>
      <c r="P215" s="67"/>
      <c r="Q215" s="186"/>
      <c r="R215" s="186"/>
      <c r="S215" s="187"/>
      <c r="T215" s="187"/>
      <c r="U215" s="186"/>
      <c r="V215" s="186"/>
      <c r="W215" s="186"/>
      <c r="X215" s="186"/>
    </row>
    <row r="216">
      <c r="A216" s="185"/>
      <c r="B216" s="67"/>
      <c r="C216" s="186"/>
      <c r="D216" s="186"/>
      <c r="E216" s="186"/>
      <c r="F216" s="186"/>
      <c r="G216" s="186"/>
      <c r="H216" s="186"/>
      <c r="I216" s="186"/>
      <c r="J216" s="186"/>
      <c r="K216" s="186"/>
      <c r="L216" s="186"/>
      <c r="M216" s="67"/>
      <c r="N216" s="67"/>
      <c r="O216" s="67"/>
      <c r="P216" s="67"/>
      <c r="Q216" s="186"/>
      <c r="R216" s="186"/>
      <c r="S216" s="187"/>
      <c r="T216" s="187"/>
      <c r="U216" s="186"/>
      <c r="V216" s="186"/>
      <c r="W216" s="186"/>
      <c r="X216" s="186"/>
    </row>
    <row r="217">
      <c r="A217" s="185"/>
      <c r="B217" s="67"/>
      <c r="C217" s="186"/>
      <c r="D217" s="186"/>
      <c r="E217" s="186"/>
      <c r="F217" s="186"/>
      <c r="G217" s="186"/>
      <c r="H217" s="186"/>
      <c r="I217" s="186"/>
      <c r="J217" s="186"/>
      <c r="K217" s="186"/>
      <c r="L217" s="186"/>
      <c r="M217" s="67"/>
      <c r="N217" s="67"/>
      <c r="O217" s="67"/>
      <c r="P217" s="67"/>
      <c r="Q217" s="186"/>
      <c r="R217" s="186"/>
      <c r="S217" s="187"/>
      <c r="T217" s="187"/>
      <c r="U217" s="186"/>
      <c r="V217" s="186"/>
      <c r="W217" s="186"/>
      <c r="X217" s="186"/>
    </row>
    <row r="218">
      <c r="A218" s="185"/>
      <c r="B218" s="67"/>
      <c r="C218" s="186"/>
      <c r="D218" s="186"/>
      <c r="E218" s="186"/>
      <c r="F218" s="186"/>
      <c r="G218" s="186"/>
      <c r="H218" s="186"/>
      <c r="I218" s="186"/>
      <c r="J218" s="186"/>
      <c r="K218" s="186"/>
      <c r="L218" s="186"/>
      <c r="M218" s="67"/>
      <c r="N218" s="67"/>
      <c r="O218" s="67"/>
      <c r="P218" s="67"/>
      <c r="Q218" s="186"/>
      <c r="R218" s="186"/>
      <c r="S218" s="187"/>
      <c r="T218" s="187"/>
      <c r="U218" s="186"/>
      <c r="V218" s="186"/>
      <c r="W218" s="186"/>
      <c r="X218" s="186"/>
    </row>
    <row r="219">
      <c r="A219" s="185"/>
      <c r="B219" s="67"/>
      <c r="C219" s="186"/>
      <c r="D219" s="186"/>
      <c r="E219" s="186"/>
      <c r="F219" s="186"/>
      <c r="G219" s="186"/>
      <c r="H219" s="186"/>
      <c r="I219" s="186"/>
      <c r="J219" s="186"/>
      <c r="K219" s="186"/>
      <c r="L219" s="186"/>
      <c r="M219" s="67"/>
      <c r="N219" s="67"/>
      <c r="O219" s="67"/>
      <c r="P219" s="67"/>
      <c r="Q219" s="186"/>
      <c r="R219" s="186"/>
      <c r="S219" s="187"/>
      <c r="T219" s="187"/>
      <c r="U219" s="186"/>
      <c r="V219" s="186"/>
      <c r="W219" s="186"/>
      <c r="X219" s="186"/>
    </row>
    <row r="220">
      <c r="A220" s="185"/>
      <c r="B220" s="67"/>
      <c r="C220" s="186"/>
      <c r="D220" s="186"/>
      <c r="E220" s="186"/>
      <c r="F220" s="186"/>
      <c r="G220" s="186"/>
      <c r="H220" s="186"/>
      <c r="I220" s="186"/>
      <c r="J220" s="186"/>
      <c r="K220" s="186"/>
      <c r="L220" s="186"/>
      <c r="M220" s="67"/>
      <c r="N220" s="67"/>
      <c r="O220" s="67"/>
      <c r="P220" s="67"/>
      <c r="Q220" s="186"/>
      <c r="R220" s="186"/>
      <c r="S220" s="187"/>
      <c r="T220" s="187"/>
      <c r="U220" s="186"/>
      <c r="V220" s="186"/>
      <c r="W220" s="186"/>
      <c r="X220" s="186"/>
    </row>
    <row r="221">
      <c r="A221" s="185"/>
      <c r="B221" s="67"/>
      <c r="C221" s="186"/>
      <c r="D221" s="186"/>
      <c r="E221" s="186"/>
      <c r="F221" s="186"/>
      <c r="G221" s="186"/>
      <c r="H221" s="186"/>
      <c r="I221" s="186"/>
      <c r="J221" s="186"/>
      <c r="K221" s="186"/>
      <c r="L221" s="186"/>
      <c r="M221" s="67"/>
      <c r="N221" s="67"/>
      <c r="O221" s="67"/>
      <c r="P221" s="67"/>
      <c r="Q221" s="186"/>
      <c r="R221" s="186"/>
      <c r="S221" s="187"/>
      <c r="T221" s="187"/>
      <c r="U221" s="186"/>
      <c r="V221" s="186"/>
      <c r="W221" s="186"/>
      <c r="X221" s="186"/>
    </row>
    <row r="222">
      <c r="A222" s="185"/>
      <c r="B222" s="67"/>
      <c r="C222" s="186"/>
      <c r="D222" s="186"/>
      <c r="E222" s="186"/>
      <c r="F222" s="186"/>
      <c r="G222" s="186"/>
      <c r="H222" s="186"/>
      <c r="I222" s="186"/>
      <c r="J222" s="186"/>
      <c r="K222" s="186"/>
      <c r="L222" s="186"/>
      <c r="M222" s="67"/>
      <c r="N222" s="67"/>
      <c r="O222" s="67"/>
      <c r="P222" s="67"/>
      <c r="Q222" s="186"/>
      <c r="R222" s="186"/>
      <c r="S222" s="187"/>
      <c r="T222" s="187"/>
      <c r="U222" s="186"/>
      <c r="V222" s="186"/>
      <c r="W222" s="186"/>
      <c r="X222" s="186"/>
    </row>
    <row r="223">
      <c r="A223" s="185"/>
      <c r="B223" s="67"/>
      <c r="C223" s="186"/>
      <c r="D223" s="186"/>
      <c r="E223" s="186"/>
      <c r="F223" s="186"/>
      <c r="G223" s="186"/>
      <c r="H223" s="186"/>
      <c r="I223" s="186"/>
      <c r="J223" s="186"/>
      <c r="K223" s="186"/>
      <c r="L223" s="186"/>
      <c r="M223" s="67"/>
      <c r="N223" s="67"/>
      <c r="O223" s="67"/>
      <c r="P223" s="67"/>
      <c r="Q223" s="186"/>
      <c r="R223" s="186"/>
      <c r="S223" s="187"/>
      <c r="T223" s="187"/>
      <c r="U223" s="186"/>
      <c r="V223" s="186"/>
      <c r="W223" s="186"/>
      <c r="X223" s="186"/>
    </row>
    <row r="224">
      <c r="A224" s="185"/>
      <c r="B224" s="67"/>
      <c r="C224" s="186"/>
      <c r="D224" s="186"/>
      <c r="E224" s="186"/>
      <c r="F224" s="186"/>
      <c r="G224" s="186"/>
      <c r="H224" s="186"/>
      <c r="I224" s="186"/>
      <c r="J224" s="186"/>
      <c r="K224" s="186"/>
      <c r="L224" s="186"/>
      <c r="M224" s="67"/>
      <c r="N224" s="67"/>
      <c r="O224" s="67"/>
      <c r="P224" s="67"/>
      <c r="Q224" s="186"/>
      <c r="R224" s="186"/>
      <c r="S224" s="187"/>
      <c r="T224" s="187"/>
      <c r="U224" s="186"/>
      <c r="V224" s="186"/>
      <c r="W224" s="186"/>
      <c r="X224" s="186"/>
    </row>
    <row r="225">
      <c r="A225" s="185"/>
      <c r="B225" s="67"/>
      <c r="C225" s="186"/>
      <c r="D225" s="186"/>
      <c r="E225" s="186"/>
      <c r="F225" s="186"/>
      <c r="G225" s="186"/>
      <c r="H225" s="186"/>
      <c r="I225" s="186"/>
      <c r="J225" s="186"/>
      <c r="K225" s="186"/>
      <c r="L225" s="186"/>
      <c r="M225" s="67"/>
      <c r="N225" s="67"/>
      <c r="O225" s="67"/>
      <c r="P225" s="67"/>
      <c r="Q225" s="186"/>
      <c r="R225" s="186"/>
      <c r="S225" s="187"/>
      <c r="T225" s="187"/>
      <c r="U225" s="186"/>
      <c r="V225" s="186"/>
      <c r="W225" s="186"/>
      <c r="X225" s="186"/>
    </row>
    <row r="226">
      <c r="A226" s="185"/>
      <c r="B226" s="67"/>
      <c r="C226" s="186"/>
      <c r="D226" s="186"/>
      <c r="E226" s="186"/>
      <c r="F226" s="186"/>
      <c r="G226" s="186"/>
      <c r="H226" s="186"/>
      <c r="I226" s="186"/>
      <c r="J226" s="186"/>
      <c r="K226" s="186"/>
      <c r="L226" s="186"/>
      <c r="M226" s="67"/>
      <c r="N226" s="67"/>
      <c r="O226" s="67"/>
      <c r="P226" s="67"/>
      <c r="Q226" s="186"/>
      <c r="R226" s="186"/>
      <c r="S226" s="187"/>
      <c r="T226" s="187"/>
      <c r="U226" s="186"/>
      <c r="V226" s="186"/>
      <c r="W226" s="186"/>
      <c r="X226" s="186"/>
    </row>
    <row r="227">
      <c r="A227" s="185"/>
      <c r="B227" s="67"/>
      <c r="C227" s="186"/>
      <c r="D227" s="186"/>
      <c r="E227" s="186"/>
      <c r="F227" s="186"/>
      <c r="G227" s="186"/>
      <c r="H227" s="186"/>
      <c r="I227" s="186"/>
      <c r="J227" s="186"/>
      <c r="K227" s="186"/>
      <c r="L227" s="186"/>
      <c r="M227" s="67"/>
      <c r="N227" s="67"/>
      <c r="O227" s="67"/>
      <c r="P227" s="67"/>
      <c r="Q227" s="186"/>
      <c r="R227" s="186"/>
      <c r="S227" s="187"/>
      <c r="T227" s="187"/>
      <c r="U227" s="186"/>
      <c r="V227" s="186"/>
      <c r="W227" s="186"/>
      <c r="X227" s="186"/>
    </row>
    <row r="228">
      <c r="A228" s="185"/>
      <c r="B228" s="67"/>
      <c r="C228" s="186"/>
      <c r="D228" s="186"/>
      <c r="E228" s="186"/>
      <c r="F228" s="186"/>
      <c r="G228" s="186"/>
      <c r="H228" s="186"/>
      <c r="I228" s="186"/>
      <c r="J228" s="186"/>
      <c r="K228" s="186"/>
      <c r="L228" s="186"/>
      <c r="M228" s="67"/>
      <c r="N228" s="67"/>
      <c r="O228" s="67"/>
      <c r="P228" s="67"/>
      <c r="Q228" s="186"/>
      <c r="R228" s="186"/>
      <c r="S228" s="187"/>
      <c r="T228" s="187"/>
      <c r="U228" s="186"/>
      <c r="V228" s="186"/>
      <c r="W228" s="186"/>
      <c r="X228" s="186"/>
    </row>
    <row r="229">
      <c r="A229" s="185"/>
      <c r="B229" s="67"/>
      <c r="C229" s="186"/>
      <c r="D229" s="186"/>
      <c r="E229" s="186"/>
      <c r="F229" s="186"/>
      <c r="G229" s="186"/>
      <c r="H229" s="186"/>
      <c r="I229" s="186"/>
      <c r="J229" s="186"/>
      <c r="K229" s="186"/>
      <c r="L229" s="186"/>
      <c r="M229" s="67"/>
      <c r="N229" s="67"/>
      <c r="O229" s="67"/>
      <c r="P229" s="67"/>
      <c r="Q229" s="186"/>
      <c r="R229" s="186"/>
      <c r="S229" s="187"/>
      <c r="T229" s="187"/>
      <c r="U229" s="186"/>
      <c r="V229" s="186"/>
      <c r="W229" s="186"/>
      <c r="X229" s="186"/>
    </row>
    <row r="230">
      <c r="A230" s="185"/>
      <c r="B230" s="67"/>
      <c r="C230" s="186"/>
      <c r="D230" s="186"/>
      <c r="E230" s="186"/>
      <c r="F230" s="186"/>
      <c r="G230" s="186"/>
      <c r="H230" s="186"/>
      <c r="I230" s="186"/>
      <c r="J230" s="186"/>
      <c r="K230" s="186"/>
      <c r="L230" s="186"/>
      <c r="M230" s="67"/>
      <c r="N230" s="67"/>
      <c r="O230" s="67"/>
      <c r="P230" s="67"/>
      <c r="Q230" s="186"/>
      <c r="R230" s="186"/>
      <c r="S230" s="187"/>
      <c r="T230" s="187"/>
      <c r="U230" s="186"/>
      <c r="V230" s="186"/>
      <c r="W230" s="186"/>
      <c r="X230" s="186"/>
    </row>
    <row r="231">
      <c r="A231" s="185"/>
      <c r="B231" s="67"/>
      <c r="C231" s="186"/>
      <c r="D231" s="186"/>
      <c r="E231" s="186"/>
      <c r="F231" s="186"/>
      <c r="G231" s="186"/>
      <c r="H231" s="186"/>
      <c r="I231" s="186"/>
      <c r="J231" s="186"/>
      <c r="K231" s="186"/>
      <c r="L231" s="186"/>
      <c r="M231" s="67"/>
      <c r="N231" s="67"/>
      <c r="O231" s="67"/>
      <c r="P231" s="67"/>
      <c r="Q231" s="186"/>
      <c r="R231" s="186"/>
      <c r="S231" s="187"/>
      <c r="T231" s="187"/>
      <c r="U231" s="186"/>
      <c r="V231" s="186"/>
      <c r="W231" s="186"/>
      <c r="X231" s="186"/>
    </row>
    <row r="232">
      <c r="A232" s="185"/>
      <c r="B232" s="67"/>
      <c r="C232" s="186"/>
      <c r="D232" s="186"/>
      <c r="E232" s="186"/>
      <c r="F232" s="186"/>
      <c r="G232" s="186"/>
      <c r="H232" s="186"/>
      <c r="I232" s="186"/>
      <c r="J232" s="186"/>
      <c r="K232" s="186"/>
      <c r="L232" s="186"/>
      <c r="M232" s="67"/>
      <c r="N232" s="67"/>
      <c r="O232" s="67"/>
      <c r="P232" s="67"/>
      <c r="Q232" s="186"/>
      <c r="R232" s="186"/>
      <c r="S232" s="187"/>
      <c r="T232" s="187"/>
      <c r="U232" s="186"/>
      <c r="V232" s="186"/>
      <c r="W232" s="186"/>
      <c r="X232" s="186"/>
    </row>
    <row r="233">
      <c r="A233" s="185"/>
      <c r="B233" s="67"/>
      <c r="C233" s="186"/>
      <c r="D233" s="186"/>
      <c r="E233" s="186"/>
      <c r="F233" s="186"/>
      <c r="G233" s="186"/>
      <c r="H233" s="186"/>
      <c r="I233" s="186"/>
      <c r="J233" s="186"/>
      <c r="K233" s="186"/>
      <c r="L233" s="186"/>
      <c r="M233" s="67"/>
      <c r="N233" s="67"/>
      <c r="O233" s="67"/>
      <c r="P233" s="67"/>
      <c r="Q233" s="186"/>
      <c r="R233" s="186"/>
      <c r="S233" s="187"/>
      <c r="T233" s="187"/>
      <c r="U233" s="186"/>
      <c r="V233" s="186"/>
      <c r="W233" s="186"/>
      <c r="X233" s="186"/>
    </row>
    <row r="234">
      <c r="A234" s="185"/>
      <c r="B234" s="67"/>
      <c r="C234" s="186"/>
      <c r="D234" s="186"/>
      <c r="E234" s="186"/>
      <c r="F234" s="186"/>
      <c r="G234" s="186"/>
      <c r="H234" s="186"/>
      <c r="I234" s="186"/>
      <c r="J234" s="186"/>
      <c r="K234" s="186"/>
      <c r="L234" s="186"/>
      <c r="M234" s="67"/>
      <c r="N234" s="67"/>
      <c r="O234" s="67"/>
      <c r="P234" s="67"/>
      <c r="Q234" s="186"/>
      <c r="R234" s="186"/>
      <c r="S234" s="187"/>
      <c r="T234" s="187"/>
      <c r="U234" s="186"/>
      <c r="V234" s="186"/>
      <c r="W234" s="186"/>
      <c r="X234" s="186"/>
    </row>
    <row r="235">
      <c r="A235" s="185"/>
      <c r="B235" s="67"/>
      <c r="C235" s="186"/>
      <c r="D235" s="186"/>
      <c r="E235" s="186"/>
      <c r="F235" s="186"/>
      <c r="G235" s="186"/>
      <c r="H235" s="186"/>
      <c r="I235" s="186"/>
      <c r="J235" s="186"/>
      <c r="K235" s="186"/>
      <c r="L235" s="186"/>
      <c r="M235" s="67"/>
      <c r="N235" s="67"/>
      <c r="O235" s="67"/>
      <c r="P235" s="67"/>
      <c r="Q235" s="186"/>
      <c r="R235" s="186"/>
      <c r="S235" s="187"/>
      <c r="T235" s="187"/>
      <c r="U235" s="186"/>
      <c r="V235" s="186"/>
      <c r="W235" s="186"/>
      <c r="X235" s="186"/>
    </row>
    <row r="236">
      <c r="A236" s="185"/>
      <c r="B236" s="67"/>
      <c r="C236" s="186"/>
      <c r="D236" s="186"/>
      <c r="E236" s="186"/>
      <c r="F236" s="186"/>
      <c r="G236" s="186"/>
      <c r="H236" s="186"/>
      <c r="I236" s="186"/>
      <c r="J236" s="186"/>
      <c r="K236" s="186"/>
      <c r="L236" s="186"/>
      <c r="M236" s="67"/>
      <c r="N236" s="67"/>
      <c r="O236" s="67"/>
      <c r="P236" s="67"/>
      <c r="Q236" s="186"/>
      <c r="R236" s="186"/>
      <c r="S236" s="187"/>
      <c r="T236" s="187"/>
      <c r="U236" s="186"/>
      <c r="V236" s="186"/>
      <c r="W236" s="186"/>
      <c r="X236" s="186"/>
    </row>
    <row r="237">
      <c r="A237" s="185"/>
      <c r="B237" s="67"/>
      <c r="C237" s="186"/>
      <c r="D237" s="186"/>
      <c r="E237" s="186"/>
      <c r="F237" s="186"/>
      <c r="G237" s="186"/>
      <c r="H237" s="186"/>
      <c r="I237" s="186"/>
      <c r="J237" s="186"/>
      <c r="K237" s="186"/>
      <c r="L237" s="186"/>
      <c r="M237" s="67"/>
      <c r="N237" s="67"/>
      <c r="O237" s="67"/>
      <c r="P237" s="67"/>
      <c r="Q237" s="186"/>
      <c r="R237" s="186"/>
      <c r="S237" s="187"/>
      <c r="T237" s="187"/>
      <c r="U237" s="186"/>
      <c r="V237" s="186"/>
      <c r="W237" s="186"/>
      <c r="X237" s="186"/>
    </row>
    <row r="238">
      <c r="A238" s="185"/>
      <c r="B238" s="67"/>
      <c r="C238" s="186"/>
      <c r="D238" s="186"/>
      <c r="E238" s="186"/>
      <c r="F238" s="186"/>
      <c r="G238" s="186"/>
      <c r="H238" s="186"/>
      <c r="I238" s="186"/>
      <c r="J238" s="186"/>
      <c r="K238" s="186"/>
      <c r="L238" s="186"/>
      <c r="M238" s="67"/>
      <c r="N238" s="67"/>
      <c r="O238" s="67"/>
      <c r="P238" s="67"/>
      <c r="Q238" s="186"/>
      <c r="R238" s="186"/>
      <c r="S238" s="187"/>
      <c r="T238" s="187"/>
      <c r="U238" s="186"/>
      <c r="V238" s="186"/>
      <c r="W238" s="186"/>
      <c r="X238" s="186"/>
    </row>
    <row r="239">
      <c r="A239" s="185"/>
      <c r="B239" s="67"/>
      <c r="C239" s="186"/>
      <c r="D239" s="186"/>
      <c r="E239" s="186"/>
      <c r="F239" s="186"/>
      <c r="G239" s="186"/>
      <c r="H239" s="186"/>
      <c r="I239" s="186"/>
      <c r="J239" s="186"/>
      <c r="K239" s="186"/>
      <c r="L239" s="186"/>
      <c r="M239" s="67"/>
      <c r="N239" s="67"/>
      <c r="O239" s="67"/>
      <c r="P239" s="67"/>
      <c r="Q239" s="186"/>
      <c r="R239" s="186"/>
      <c r="S239" s="187"/>
      <c r="T239" s="187"/>
      <c r="U239" s="186"/>
      <c r="V239" s="186"/>
      <c r="W239" s="186"/>
      <c r="X239" s="186"/>
    </row>
    <row r="240">
      <c r="A240" s="185"/>
      <c r="B240" s="67"/>
      <c r="C240" s="186"/>
      <c r="D240" s="186"/>
      <c r="E240" s="186"/>
      <c r="F240" s="186"/>
      <c r="G240" s="186"/>
      <c r="H240" s="186"/>
      <c r="I240" s="186"/>
      <c r="J240" s="186"/>
      <c r="K240" s="186"/>
      <c r="L240" s="186"/>
      <c r="M240" s="67"/>
      <c r="N240" s="67"/>
      <c r="O240" s="67"/>
      <c r="P240" s="67"/>
      <c r="Q240" s="186"/>
      <c r="R240" s="186"/>
      <c r="S240" s="187"/>
      <c r="T240" s="187"/>
      <c r="U240" s="186"/>
      <c r="V240" s="186"/>
      <c r="W240" s="186"/>
      <c r="X240" s="186"/>
    </row>
    <row r="241">
      <c r="A241" s="185"/>
      <c r="B241" s="67"/>
      <c r="C241" s="186"/>
      <c r="D241" s="186"/>
      <c r="E241" s="186"/>
      <c r="F241" s="186"/>
      <c r="G241" s="186"/>
      <c r="H241" s="186"/>
      <c r="I241" s="186"/>
      <c r="J241" s="186"/>
      <c r="K241" s="186"/>
      <c r="L241" s="186"/>
      <c r="M241" s="67"/>
      <c r="N241" s="67"/>
      <c r="O241" s="67"/>
      <c r="P241" s="67"/>
      <c r="Q241" s="186"/>
      <c r="R241" s="186"/>
      <c r="S241" s="187"/>
      <c r="T241" s="187"/>
      <c r="U241" s="186"/>
      <c r="V241" s="186"/>
      <c r="W241" s="186"/>
      <c r="X241" s="186"/>
    </row>
    <row r="242">
      <c r="A242" s="185"/>
      <c r="B242" s="67"/>
      <c r="C242" s="186"/>
      <c r="D242" s="186"/>
      <c r="E242" s="186"/>
      <c r="F242" s="186"/>
      <c r="G242" s="186"/>
      <c r="H242" s="186"/>
      <c r="I242" s="186"/>
      <c r="J242" s="186"/>
      <c r="K242" s="186"/>
      <c r="L242" s="186"/>
      <c r="M242" s="67"/>
      <c r="N242" s="67"/>
      <c r="O242" s="67"/>
      <c r="P242" s="67"/>
      <c r="Q242" s="186"/>
      <c r="R242" s="186"/>
      <c r="S242" s="187"/>
      <c r="T242" s="187"/>
      <c r="U242" s="186"/>
      <c r="V242" s="186"/>
      <c r="W242" s="186"/>
      <c r="X242" s="186"/>
    </row>
    <row r="243">
      <c r="A243" s="185"/>
      <c r="B243" s="67"/>
      <c r="C243" s="186"/>
      <c r="D243" s="186"/>
      <c r="E243" s="186"/>
      <c r="F243" s="186"/>
      <c r="G243" s="186"/>
      <c r="H243" s="186"/>
      <c r="I243" s="186"/>
      <c r="J243" s="186"/>
      <c r="K243" s="186"/>
      <c r="L243" s="186"/>
      <c r="M243" s="67"/>
      <c r="N243" s="67"/>
      <c r="O243" s="67"/>
      <c r="P243" s="67"/>
      <c r="Q243" s="186"/>
      <c r="R243" s="186"/>
      <c r="S243" s="187"/>
      <c r="T243" s="187"/>
      <c r="U243" s="186"/>
      <c r="V243" s="186"/>
      <c r="W243" s="186"/>
      <c r="X243" s="186"/>
    </row>
    <row r="244">
      <c r="A244" s="185"/>
      <c r="B244" s="67"/>
      <c r="C244" s="186"/>
      <c r="D244" s="186"/>
      <c r="E244" s="186"/>
      <c r="F244" s="186"/>
      <c r="G244" s="186"/>
      <c r="H244" s="186"/>
      <c r="I244" s="186"/>
      <c r="J244" s="186"/>
      <c r="K244" s="186"/>
      <c r="L244" s="186"/>
      <c r="M244" s="67"/>
      <c r="N244" s="67"/>
      <c r="O244" s="67"/>
      <c r="P244" s="67"/>
      <c r="Q244" s="186"/>
      <c r="R244" s="186"/>
      <c r="S244" s="187"/>
      <c r="T244" s="187"/>
      <c r="U244" s="186"/>
      <c r="V244" s="186"/>
      <c r="W244" s="186"/>
      <c r="X244" s="186"/>
    </row>
    <row r="245">
      <c r="A245" s="185"/>
      <c r="B245" s="67"/>
      <c r="C245" s="186"/>
      <c r="D245" s="186"/>
      <c r="E245" s="186"/>
      <c r="F245" s="186"/>
      <c r="G245" s="186"/>
      <c r="H245" s="186"/>
      <c r="I245" s="186"/>
      <c r="J245" s="186"/>
      <c r="K245" s="186"/>
      <c r="L245" s="186"/>
      <c r="M245" s="67"/>
      <c r="N245" s="67"/>
      <c r="O245" s="67"/>
      <c r="P245" s="67"/>
      <c r="Q245" s="186"/>
      <c r="R245" s="186"/>
      <c r="S245" s="187"/>
      <c r="T245" s="187"/>
      <c r="U245" s="186"/>
      <c r="V245" s="186"/>
      <c r="W245" s="186"/>
      <c r="X245" s="186"/>
    </row>
    <row r="246">
      <c r="A246" s="185"/>
      <c r="B246" s="67"/>
      <c r="C246" s="186"/>
      <c r="D246" s="186"/>
      <c r="E246" s="186"/>
      <c r="F246" s="186"/>
      <c r="G246" s="186"/>
      <c r="H246" s="186"/>
      <c r="I246" s="186"/>
      <c r="J246" s="186"/>
      <c r="K246" s="186"/>
      <c r="L246" s="186"/>
      <c r="M246" s="67"/>
      <c r="N246" s="67"/>
      <c r="O246" s="67"/>
      <c r="P246" s="67"/>
      <c r="Q246" s="186"/>
      <c r="R246" s="186"/>
      <c r="S246" s="187"/>
      <c r="T246" s="187"/>
      <c r="U246" s="186"/>
      <c r="V246" s="186"/>
      <c r="W246" s="186"/>
      <c r="X246" s="186"/>
    </row>
    <row r="247">
      <c r="A247" s="185"/>
      <c r="B247" s="67"/>
      <c r="C247" s="186"/>
      <c r="D247" s="186"/>
      <c r="E247" s="186"/>
      <c r="F247" s="186"/>
      <c r="G247" s="186"/>
      <c r="H247" s="186"/>
      <c r="I247" s="186"/>
      <c r="J247" s="186"/>
      <c r="K247" s="186"/>
      <c r="L247" s="186"/>
      <c r="M247" s="67"/>
      <c r="N247" s="67"/>
      <c r="O247" s="67"/>
      <c r="P247" s="67"/>
      <c r="Q247" s="186"/>
      <c r="R247" s="186"/>
      <c r="S247" s="187"/>
      <c r="T247" s="187"/>
      <c r="U247" s="186"/>
      <c r="V247" s="186"/>
      <c r="W247" s="186"/>
      <c r="X247" s="186"/>
    </row>
    <row r="248">
      <c r="A248" s="185"/>
      <c r="B248" s="67"/>
      <c r="C248" s="186"/>
      <c r="D248" s="186"/>
      <c r="E248" s="186"/>
      <c r="F248" s="186"/>
      <c r="G248" s="186"/>
      <c r="H248" s="186"/>
      <c r="I248" s="186"/>
      <c r="J248" s="186"/>
      <c r="K248" s="186"/>
      <c r="L248" s="186"/>
      <c r="M248" s="67"/>
      <c r="N248" s="67"/>
      <c r="O248" s="67"/>
      <c r="P248" s="67"/>
      <c r="Q248" s="186"/>
      <c r="R248" s="186"/>
      <c r="S248" s="187"/>
      <c r="T248" s="187"/>
      <c r="U248" s="186"/>
      <c r="V248" s="186"/>
      <c r="W248" s="186"/>
      <c r="X248" s="186"/>
    </row>
    <row r="249">
      <c r="A249" s="185"/>
      <c r="B249" s="67"/>
      <c r="C249" s="186"/>
      <c r="D249" s="186"/>
      <c r="E249" s="186"/>
      <c r="F249" s="186"/>
      <c r="G249" s="186"/>
      <c r="H249" s="186"/>
      <c r="I249" s="186"/>
      <c r="J249" s="186"/>
      <c r="K249" s="186"/>
      <c r="L249" s="186"/>
      <c r="M249" s="67"/>
      <c r="N249" s="67"/>
      <c r="O249" s="67"/>
      <c r="P249" s="67"/>
      <c r="Q249" s="186"/>
      <c r="R249" s="186"/>
      <c r="S249" s="187"/>
      <c r="T249" s="187"/>
      <c r="U249" s="186"/>
      <c r="V249" s="186"/>
      <c r="W249" s="186"/>
      <c r="X249" s="186"/>
    </row>
    <row r="250">
      <c r="A250" s="185"/>
      <c r="B250" s="67"/>
      <c r="C250" s="186"/>
      <c r="D250" s="186"/>
      <c r="E250" s="186"/>
      <c r="F250" s="186"/>
      <c r="G250" s="186"/>
      <c r="H250" s="186"/>
      <c r="I250" s="186"/>
      <c r="J250" s="186"/>
      <c r="K250" s="186"/>
      <c r="L250" s="186"/>
      <c r="M250" s="67"/>
      <c r="N250" s="67"/>
      <c r="O250" s="67"/>
      <c r="P250" s="67"/>
      <c r="Q250" s="186"/>
      <c r="R250" s="186"/>
      <c r="S250" s="187"/>
      <c r="T250" s="187"/>
      <c r="U250" s="186"/>
      <c r="V250" s="186"/>
      <c r="W250" s="186"/>
      <c r="X250" s="186"/>
    </row>
    <row r="251">
      <c r="A251" s="185"/>
      <c r="B251" s="67"/>
      <c r="C251" s="186"/>
      <c r="D251" s="186"/>
      <c r="E251" s="186"/>
      <c r="F251" s="186"/>
      <c r="G251" s="186"/>
      <c r="H251" s="186"/>
      <c r="I251" s="186"/>
      <c r="J251" s="186"/>
      <c r="K251" s="186"/>
      <c r="L251" s="186"/>
      <c r="M251" s="67"/>
      <c r="N251" s="67"/>
      <c r="O251" s="67"/>
      <c r="P251" s="67"/>
      <c r="Q251" s="186"/>
      <c r="R251" s="186"/>
      <c r="S251" s="187"/>
      <c r="T251" s="187"/>
      <c r="U251" s="186"/>
      <c r="V251" s="186"/>
      <c r="W251" s="186"/>
      <c r="X251" s="186"/>
    </row>
    <row r="252">
      <c r="A252" s="185"/>
      <c r="B252" s="67"/>
      <c r="C252" s="186"/>
      <c r="D252" s="186"/>
      <c r="E252" s="186"/>
      <c r="F252" s="186"/>
      <c r="G252" s="186"/>
      <c r="H252" s="186"/>
      <c r="I252" s="186"/>
      <c r="J252" s="186"/>
      <c r="K252" s="186"/>
      <c r="L252" s="186"/>
      <c r="M252" s="67"/>
      <c r="N252" s="67"/>
      <c r="O252" s="67"/>
      <c r="P252" s="67"/>
      <c r="Q252" s="186"/>
      <c r="R252" s="186"/>
      <c r="S252" s="187"/>
      <c r="T252" s="187"/>
      <c r="U252" s="186"/>
      <c r="V252" s="186"/>
      <c r="W252" s="186"/>
      <c r="X252" s="186"/>
    </row>
    <row r="253">
      <c r="A253" s="185"/>
      <c r="B253" s="67"/>
      <c r="C253" s="186"/>
      <c r="D253" s="186"/>
      <c r="E253" s="186"/>
      <c r="F253" s="186"/>
      <c r="G253" s="186"/>
      <c r="H253" s="186"/>
      <c r="I253" s="186"/>
      <c r="J253" s="186"/>
      <c r="K253" s="186"/>
      <c r="L253" s="186"/>
      <c r="M253" s="67"/>
      <c r="N253" s="67"/>
      <c r="O253" s="67"/>
      <c r="P253" s="67"/>
      <c r="Q253" s="186"/>
      <c r="R253" s="186"/>
      <c r="S253" s="187"/>
      <c r="T253" s="187"/>
      <c r="U253" s="186"/>
      <c r="V253" s="186"/>
      <c r="W253" s="186"/>
      <c r="X253" s="186"/>
    </row>
    <row r="254">
      <c r="A254" s="185"/>
      <c r="B254" s="67"/>
      <c r="C254" s="186"/>
      <c r="D254" s="186"/>
      <c r="E254" s="186"/>
      <c r="F254" s="186"/>
      <c r="G254" s="186"/>
      <c r="H254" s="186"/>
      <c r="I254" s="186"/>
      <c r="J254" s="186"/>
      <c r="K254" s="186"/>
      <c r="L254" s="186"/>
      <c r="M254" s="67"/>
      <c r="N254" s="67"/>
      <c r="O254" s="67"/>
      <c r="P254" s="67"/>
      <c r="Q254" s="186"/>
      <c r="R254" s="186"/>
      <c r="S254" s="187"/>
      <c r="T254" s="187"/>
      <c r="U254" s="186"/>
      <c r="V254" s="186"/>
      <c r="W254" s="186"/>
      <c r="X254" s="186"/>
    </row>
    <row r="255">
      <c r="A255" s="185"/>
      <c r="B255" s="67"/>
      <c r="C255" s="186"/>
      <c r="D255" s="186"/>
      <c r="E255" s="186"/>
      <c r="F255" s="186"/>
      <c r="G255" s="186"/>
      <c r="H255" s="186"/>
      <c r="I255" s="186"/>
      <c r="J255" s="186"/>
      <c r="K255" s="186"/>
      <c r="L255" s="186"/>
      <c r="M255" s="67"/>
      <c r="N255" s="67"/>
      <c r="O255" s="67"/>
      <c r="P255" s="67"/>
      <c r="Q255" s="186"/>
      <c r="R255" s="186"/>
      <c r="S255" s="187"/>
      <c r="T255" s="187"/>
      <c r="U255" s="186"/>
      <c r="V255" s="186"/>
      <c r="W255" s="186"/>
      <c r="X255" s="186"/>
    </row>
    <row r="256">
      <c r="A256" s="185"/>
      <c r="B256" s="67"/>
      <c r="C256" s="186"/>
      <c r="D256" s="186"/>
      <c r="E256" s="186"/>
      <c r="F256" s="186"/>
      <c r="G256" s="186"/>
      <c r="H256" s="186"/>
      <c r="I256" s="186"/>
      <c r="J256" s="186"/>
      <c r="K256" s="186"/>
      <c r="L256" s="186"/>
      <c r="M256" s="67"/>
      <c r="N256" s="67"/>
      <c r="O256" s="67"/>
      <c r="P256" s="67"/>
      <c r="Q256" s="186"/>
      <c r="R256" s="186"/>
      <c r="S256" s="187"/>
      <c r="T256" s="187"/>
      <c r="U256" s="186"/>
      <c r="V256" s="186"/>
      <c r="W256" s="186"/>
      <c r="X256" s="186"/>
    </row>
    <row r="257">
      <c r="A257" s="185"/>
      <c r="B257" s="67"/>
      <c r="C257" s="186"/>
      <c r="D257" s="186"/>
      <c r="E257" s="186"/>
      <c r="F257" s="186"/>
      <c r="G257" s="186"/>
      <c r="H257" s="186"/>
      <c r="I257" s="186"/>
      <c r="J257" s="186"/>
      <c r="K257" s="186"/>
      <c r="L257" s="186"/>
      <c r="M257" s="67"/>
      <c r="N257" s="67"/>
      <c r="O257" s="67"/>
      <c r="P257" s="67"/>
      <c r="Q257" s="186"/>
      <c r="R257" s="186"/>
      <c r="S257" s="187"/>
      <c r="T257" s="187"/>
      <c r="U257" s="186"/>
      <c r="V257" s="186"/>
      <c r="W257" s="186"/>
      <c r="X257" s="186"/>
    </row>
    <row r="258">
      <c r="A258" s="185"/>
      <c r="B258" s="67"/>
      <c r="C258" s="186"/>
      <c r="D258" s="186"/>
      <c r="E258" s="186"/>
      <c r="F258" s="186"/>
      <c r="G258" s="186"/>
      <c r="H258" s="186"/>
      <c r="I258" s="186"/>
      <c r="J258" s="186"/>
      <c r="K258" s="186"/>
      <c r="L258" s="186"/>
      <c r="M258" s="67"/>
      <c r="N258" s="67"/>
      <c r="O258" s="67"/>
      <c r="P258" s="67"/>
      <c r="Q258" s="186"/>
      <c r="R258" s="186"/>
      <c r="S258" s="187"/>
      <c r="T258" s="187"/>
      <c r="U258" s="186"/>
      <c r="V258" s="186"/>
      <c r="W258" s="186"/>
      <c r="X258" s="186"/>
    </row>
    <row r="259">
      <c r="A259" s="185"/>
      <c r="B259" s="67"/>
      <c r="C259" s="186"/>
      <c r="D259" s="186"/>
      <c r="E259" s="186"/>
      <c r="F259" s="186"/>
      <c r="G259" s="186"/>
      <c r="H259" s="186"/>
      <c r="I259" s="186"/>
      <c r="J259" s="186"/>
      <c r="K259" s="186"/>
      <c r="L259" s="186"/>
      <c r="M259" s="67"/>
      <c r="N259" s="67"/>
      <c r="O259" s="67"/>
      <c r="P259" s="67"/>
      <c r="Q259" s="186"/>
      <c r="R259" s="186"/>
      <c r="S259" s="187"/>
      <c r="T259" s="187"/>
      <c r="U259" s="186"/>
      <c r="V259" s="186"/>
      <c r="W259" s="186"/>
      <c r="X259" s="186"/>
    </row>
    <row r="260">
      <c r="A260" s="185"/>
      <c r="B260" s="67"/>
      <c r="C260" s="186"/>
      <c r="D260" s="186"/>
      <c r="E260" s="186"/>
      <c r="F260" s="186"/>
      <c r="G260" s="186"/>
      <c r="H260" s="186"/>
      <c r="I260" s="186"/>
      <c r="J260" s="186"/>
      <c r="K260" s="186"/>
      <c r="L260" s="186"/>
      <c r="M260" s="67"/>
      <c r="N260" s="67"/>
      <c r="O260" s="67"/>
      <c r="P260" s="67"/>
      <c r="Q260" s="186"/>
      <c r="R260" s="186"/>
      <c r="S260" s="187"/>
      <c r="T260" s="187"/>
      <c r="U260" s="186"/>
      <c r="V260" s="186"/>
      <c r="W260" s="186"/>
      <c r="X260" s="186"/>
    </row>
    <row r="261">
      <c r="A261" s="185"/>
      <c r="B261" s="67"/>
      <c r="C261" s="186"/>
      <c r="D261" s="186"/>
      <c r="E261" s="186"/>
      <c r="F261" s="186"/>
      <c r="G261" s="186"/>
      <c r="H261" s="186"/>
      <c r="I261" s="186"/>
      <c r="J261" s="186"/>
      <c r="K261" s="186"/>
      <c r="L261" s="186"/>
      <c r="M261" s="67"/>
      <c r="N261" s="67"/>
      <c r="O261" s="67"/>
      <c r="P261" s="67"/>
      <c r="Q261" s="186"/>
      <c r="R261" s="186"/>
      <c r="S261" s="187"/>
      <c r="T261" s="187"/>
      <c r="U261" s="186"/>
      <c r="V261" s="186"/>
      <c r="W261" s="186"/>
      <c r="X261" s="186"/>
    </row>
    <row r="262">
      <c r="A262" s="185"/>
      <c r="B262" s="67"/>
      <c r="C262" s="186"/>
      <c r="D262" s="186"/>
      <c r="E262" s="186"/>
      <c r="F262" s="186"/>
      <c r="G262" s="186"/>
      <c r="H262" s="186"/>
      <c r="I262" s="186"/>
      <c r="J262" s="186"/>
      <c r="K262" s="186"/>
      <c r="L262" s="186"/>
      <c r="M262" s="67"/>
      <c r="N262" s="67"/>
      <c r="O262" s="67"/>
      <c r="P262" s="67"/>
      <c r="Q262" s="186"/>
      <c r="R262" s="186"/>
      <c r="S262" s="187"/>
      <c r="T262" s="187"/>
      <c r="U262" s="186"/>
      <c r="V262" s="186"/>
      <c r="W262" s="186"/>
      <c r="X262" s="186"/>
    </row>
    <row r="263">
      <c r="A263" s="185"/>
      <c r="B263" s="67"/>
      <c r="C263" s="186"/>
      <c r="D263" s="186"/>
      <c r="E263" s="186"/>
      <c r="F263" s="186"/>
      <c r="G263" s="186"/>
      <c r="H263" s="186"/>
      <c r="I263" s="186"/>
      <c r="J263" s="186"/>
      <c r="K263" s="186"/>
      <c r="L263" s="186"/>
      <c r="M263" s="67"/>
      <c r="N263" s="67"/>
      <c r="O263" s="67"/>
      <c r="P263" s="67"/>
      <c r="Q263" s="186"/>
      <c r="R263" s="186"/>
      <c r="S263" s="187"/>
      <c r="T263" s="187"/>
      <c r="U263" s="186"/>
      <c r="V263" s="186"/>
      <c r="W263" s="186"/>
      <c r="X263" s="186"/>
    </row>
    <row r="264">
      <c r="A264" s="185"/>
      <c r="B264" s="67"/>
      <c r="C264" s="186"/>
      <c r="D264" s="186"/>
      <c r="E264" s="186"/>
      <c r="F264" s="186"/>
      <c r="G264" s="186"/>
      <c r="H264" s="186"/>
      <c r="I264" s="186"/>
      <c r="J264" s="186"/>
      <c r="K264" s="186"/>
      <c r="L264" s="186"/>
      <c r="M264" s="67"/>
      <c r="N264" s="67"/>
      <c r="O264" s="67"/>
      <c r="P264" s="67"/>
      <c r="Q264" s="186"/>
      <c r="R264" s="186"/>
      <c r="S264" s="187"/>
      <c r="T264" s="187"/>
      <c r="U264" s="186"/>
      <c r="V264" s="186"/>
      <c r="W264" s="186"/>
      <c r="X264" s="186"/>
    </row>
    <row r="265">
      <c r="A265" s="185"/>
      <c r="B265" s="67"/>
      <c r="C265" s="186"/>
      <c r="D265" s="186"/>
      <c r="E265" s="186"/>
      <c r="F265" s="186"/>
      <c r="G265" s="186"/>
      <c r="H265" s="186"/>
      <c r="I265" s="186"/>
      <c r="J265" s="186"/>
      <c r="K265" s="186"/>
      <c r="L265" s="186"/>
      <c r="M265" s="67"/>
      <c r="N265" s="67"/>
      <c r="O265" s="67"/>
      <c r="P265" s="67"/>
      <c r="Q265" s="186"/>
      <c r="R265" s="186"/>
      <c r="S265" s="187"/>
      <c r="T265" s="187"/>
      <c r="U265" s="186"/>
      <c r="V265" s="186"/>
      <c r="W265" s="186"/>
      <c r="X265" s="186"/>
    </row>
    <row r="266">
      <c r="A266" s="185"/>
      <c r="B266" s="67"/>
      <c r="C266" s="186"/>
      <c r="D266" s="186"/>
      <c r="E266" s="186"/>
      <c r="F266" s="186"/>
      <c r="G266" s="186"/>
      <c r="H266" s="186"/>
      <c r="I266" s="186"/>
      <c r="J266" s="186"/>
      <c r="K266" s="186"/>
      <c r="L266" s="186"/>
      <c r="M266" s="67"/>
      <c r="N266" s="67"/>
      <c r="O266" s="67"/>
      <c r="P266" s="67"/>
      <c r="Q266" s="186"/>
      <c r="R266" s="186"/>
      <c r="S266" s="187"/>
      <c r="T266" s="187"/>
      <c r="U266" s="186"/>
      <c r="V266" s="186"/>
      <c r="W266" s="186"/>
      <c r="X266" s="186"/>
    </row>
    <row r="267">
      <c r="A267" s="185"/>
      <c r="B267" s="67"/>
      <c r="C267" s="186"/>
      <c r="D267" s="186"/>
      <c r="E267" s="186"/>
      <c r="F267" s="186"/>
      <c r="G267" s="186"/>
      <c r="H267" s="186"/>
      <c r="I267" s="186"/>
      <c r="J267" s="186"/>
      <c r="K267" s="186"/>
      <c r="L267" s="186"/>
      <c r="M267" s="67"/>
      <c r="N267" s="67"/>
      <c r="O267" s="67"/>
      <c r="P267" s="67"/>
      <c r="Q267" s="186"/>
      <c r="R267" s="186"/>
      <c r="S267" s="187"/>
      <c r="T267" s="187"/>
      <c r="U267" s="186"/>
      <c r="V267" s="186"/>
      <c r="W267" s="186"/>
      <c r="X267" s="186"/>
    </row>
    <row r="268">
      <c r="A268" s="185"/>
      <c r="B268" s="67"/>
      <c r="C268" s="186"/>
      <c r="D268" s="186"/>
      <c r="E268" s="186"/>
      <c r="F268" s="186"/>
      <c r="G268" s="186"/>
      <c r="H268" s="186"/>
      <c r="I268" s="186"/>
      <c r="J268" s="186"/>
      <c r="K268" s="186"/>
      <c r="L268" s="186"/>
      <c r="M268" s="67"/>
      <c r="N268" s="67"/>
      <c r="O268" s="67"/>
      <c r="P268" s="67"/>
      <c r="Q268" s="186"/>
      <c r="R268" s="186"/>
      <c r="S268" s="187"/>
      <c r="T268" s="187"/>
      <c r="U268" s="186"/>
      <c r="V268" s="186"/>
      <c r="W268" s="186"/>
      <c r="X268" s="186"/>
    </row>
    <row r="269">
      <c r="A269" s="185"/>
      <c r="B269" s="67"/>
      <c r="C269" s="186"/>
      <c r="D269" s="186"/>
      <c r="E269" s="186"/>
      <c r="F269" s="186"/>
      <c r="G269" s="186"/>
      <c r="H269" s="186"/>
      <c r="I269" s="186"/>
      <c r="J269" s="186"/>
      <c r="K269" s="186"/>
      <c r="L269" s="186"/>
      <c r="M269" s="67"/>
      <c r="N269" s="67"/>
      <c r="O269" s="67"/>
      <c r="P269" s="67"/>
      <c r="Q269" s="186"/>
      <c r="R269" s="186"/>
      <c r="S269" s="187"/>
      <c r="T269" s="187"/>
      <c r="U269" s="186"/>
      <c r="V269" s="186"/>
      <c r="W269" s="186"/>
      <c r="X269" s="186"/>
    </row>
    <row r="270">
      <c r="A270" s="185"/>
      <c r="B270" s="67"/>
      <c r="C270" s="186"/>
      <c r="D270" s="186"/>
      <c r="E270" s="186"/>
      <c r="F270" s="186"/>
      <c r="G270" s="186"/>
      <c r="H270" s="186"/>
      <c r="I270" s="186"/>
      <c r="J270" s="186"/>
      <c r="K270" s="186"/>
      <c r="L270" s="186"/>
      <c r="M270" s="67"/>
      <c r="N270" s="67"/>
      <c r="O270" s="67"/>
      <c r="P270" s="67"/>
      <c r="Q270" s="186"/>
      <c r="R270" s="186"/>
      <c r="S270" s="187"/>
      <c r="T270" s="187"/>
      <c r="U270" s="186"/>
      <c r="V270" s="186"/>
      <c r="W270" s="186"/>
      <c r="X270" s="186"/>
    </row>
    <row r="271">
      <c r="A271" s="185"/>
      <c r="B271" s="67"/>
      <c r="C271" s="186"/>
      <c r="D271" s="186"/>
      <c r="E271" s="186"/>
      <c r="F271" s="186"/>
      <c r="G271" s="186"/>
      <c r="H271" s="186"/>
      <c r="I271" s="186"/>
      <c r="J271" s="186"/>
      <c r="K271" s="186"/>
      <c r="L271" s="186"/>
      <c r="M271" s="67"/>
      <c r="N271" s="67"/>
      <c r="O271" s="67"/>
      <c r="P271" s="67"/>
      <c r="Q271" s="186"/>
      <c r="R271" s="186"/>
      <c r="S271" s="187"/>
      <c r="T271" s="187"/>
      <c r="U271" s="186"/>
      <c r="V271" s="186"/>
      <c r="W271" s="186"/>
      <c r="X271" s="186"/>
    </row>
    <row r="272">
      <c r="A272" s="185"/>
      <c r="B272" s="67"/>
      <c r="C272" s="186"/>
      <c r="D272" s="186"/>
      <c r="E272" s="186"/>
      <c r="F272" s="186"/>
      <c r="G272" s="186"/>
      <c r="H272" s="186"/>
      <c r="I272" s="186"/>
      <c r="J272" s="186"/>
      <c r="K272" s="186"/>
      <c r="L272" s="186"/>
      <c r="M272" s="67"/>
      <c r="N272" s="67"/>
      <c r="O272" s="67"/>
      <c r="P272" s="67"/>
      <c r="Q272" s="186"/>
      <c r="R272" s="186"/>
      <c r="S272" s="187"/>
      <c r="T272" s="187"/>
      <c r="U272" s="186"/>
      <c r="V272" s="186"/>
      <c r="W272" s="186"/>
      <c r="X272" s="186"/>
    </row>
    <row r="273">
      <c r="A273" s="185"/>
      <c r="B273" s="67"/>
      <c r="C273" s="186"/>
      <c r="D273" s="186"/>
      <c r="E273" s="186"/>
      <c r="F273" s="186"/>
      <c r="G273" s="186"/>
      <c r="H273" s="186"/>
      <c r="I273" s="186"/>
      <c r="J273" s="186"/>
      <c r="K273" s="186"/>
      <c r="L273" s="186"/>
      <c r="M273" s="67"/>
      <c r="N273" s="67"/>
      <c r="O273" s="67"/>
      <c r="P273" s="67"/>
      <c r="Q273" s="186"/>
      <c r="R273" s="186"/>
      <c r="S273" s="187"/>
      <c r="T273" s="187"/>
      <c r="U273" s="186"/>
      <c r="V273" s="186"/>
      <c r="W273" s="186"/>
      <c r="X273" s="186"/>
    </row>
    <row r="274">
      <c r="A274" s="185"/>
      <c r="B274" s="67"/>
      <c r="C274" s="186"/>
      <c r="D274" s="186"/>
      <c r="E274" s="186"/>
      <c r="F274" s="186"/>
      <c r="G274" s="186"/>
      <c r="H274" s="186"/>
      <c r="I274" s="186"/>
      <c r="J274" s="186"/>
      <c r="K274" s="186"/>
      <c r="L274" s="186"/>
      <c r="M274" s="67"/>
      <c r="N274" s="67"/>
      <c r="O274" s="67"/>
      <c r="P274" s="67"/>
      <c r="Q274" s="186"/>
      <c r="R274" s="186"/>
      <c r="S274" s="187"/>
      <c r="T274" s="187"/>
      <c r="U274" s="186"/>
      <c r="V274" s="186"/>
      <c r="W274" s="186"/>
      <c r="X274" s="186"/>
    </row>
    <row r="275">
      <c r="A275" s="185"/>
      <c r="B275" s="67"/>
      <c r="C275" s="186"/>
      <c r="D275" s="186"/>
      <c r="E275" s="186"/>
      <c r="F275" s="186"/>
      <c r="G275" s="186"/>
      <c r="H275" s="186"/>
      <c r="I275" s="186"/>
      <c r="J275" s="186"/>
      <c r="K275" s="186"/>
      <c r="L275" s="186"/>
      <c r="M275" s="67"/>
      <c r="N275" s="67"/>
      <c r="O275" s="67"/>
      <c r="P275" s="67"/>
      <c r="Q275" s="186"/>
      <c r="R275" s="186"/>
      <c r="S275" s="187"/>
      <c r="T275" s="187"/>
      <c r="U275" s="186"/>
      <c r="V275" s="186"/>
      <c r="W275" s="186"/>
      <c r="X275" s="186"/>
    </row>
    <row r="276">
      <c r="A276" s="185"/>
      <c r="B276" s="67"/>
      <c r="C276" s="186"/>
      <c r="D276" s="186"/>
      <c r="E276" s="186"/>
      <c r="F276" s="186"/>
      <c r="G276" s="186"/>
      <c r="H276" s="186"/>
      <c r="I276" s="186"/>
      <c r="J276" s="186"/>
      <c r="K276" s="186"/>
      <c r="L276" s="186"/>
      <c r="M276" s="67"/>
      <c r="N276" s="67"/>
      <c r="O276" s="67"/>
      <c r="P276" s="67"/>
      <c r="Q276" s="186"/>
      <c r="R276" s="186"/>
      <c r="S276" s="187"/>
      <c r="T276" s="187"/>
      <c r="U276" s="186"/>
      <c r="V276" s="186"/>
      <c r="W276" s="186"/>
      <c r="X276" s="186"/>
    </row>
    <row r="277">
      <c r="A277" s="185"/>
      <c r="B277" s="67"/>
      <c r="C277" s="186"/>
      <c r="D277" s="186"/>
      <c r="E277" s="186"/>
      <c r="F277" s="186"/>
      <c r="G277" s="186"/>
      <c r="H277" s="186"/>
      <c r="I277" s="186"/>
      <c r="J277" s="186"/>
      <c r="K277" s="186"/>
      <c r="L277" s="186"/>
      <c r="M277" s="67"/>
      <c r="N277" s="67"/>
      <c r="O277" s="67"/>
      <c r="P277" s="67"/>
      <c r="Q277" s="186"/>
      <c r="R277" s="186"/>
      <c r="S277" s="187"/>
      <c r="T277" s="187"/>
      <c r="U277" s="186"/>
      <c r="V277" s="186"/>
      <c r="W277" s="186"/>
      <c r="X277" s="186"/>
    </row>
    <row r="278">
      <c r="A278" s="185"/>
      <c r="B278" s="67"/>
      <c r="C278" s="186"/>
      <c r="D278" s="186"/>
      <c r="E278" s="186"/>
      <c r="F278" s="186"/>
      <c r="G278" s="186"/>
      <c r="H278" s="186"/>
      <c r="I278" s="186"/>
      <c r="J278" s="186"/>
      <c r="K278" s="186"/>
      <c r="L278" s="186"/>
      <c r="M278" s="67"/>
      <c r="N278" s="67"/>
      <c r="O278" s="67"/>
      <c r="P278" s="67"/>
      <c r="Q278" s="186"/>
      <c r="R278" s="186"/>
      <c r="S278" s="187"/>
      <c r="T278" s="187"/>
      <c r="U278" s="186"/>
      <c r="V278" s="186"/>
      <c r="W278" s="186"/>
      <c r="X278" s="186"/>
    </row>
    <row r="279">
      <c r="A279" s="185"/>
      <c r="B279" s="67"/>
      <c r="C279" s="186"/>
      <c r="D279" s="186"/>
      <c r="E279" s="186"/>
      <c r="F279" s="186"/>
      <c r="G279" s="186"/>
      <c r="H279" s="186"/>
      <c r="I279" s="186"/>
      <c r="J279" s="186"/>
      <c r="K279" s="186"/>
      <c r="L279" s="186"/>
      <c r="M279" s="67"/>
      <c r="N279" s="67"/>
      <c r="O279" s="67"/>
      <c r="P279" s="67"/>
      <c r="Q279" s="186"/>
      <c r="R279" s="186"/>
      <c r="S279" s="187"/>
      <c r="T279" s="187"/>
      <c r="U279" s="186"/>
      <c r="V279" s="186"/>
      <c r="W279" s="186"/>
      <c r="X279" s="186"/>
    </row>
    <row r="280">
      <c r="A280" s="185"/>
      <c r="B280" s="67"/>
      <c r="C280" s="186"/>
      <c r="D280" s="186"/>
      <c r="E280" s="186"/>
      <c r="F280" s="186"/>
      <c r="G280" s="186"/>
      <c r="H280" s="186"/>
      <c r="I280" s="186"/>
      <c r="J280" s="186"/>
      <c r="K280" s="186"/>
      <c r="L280" s="186"/>
      <c r="M280" s="67"/>
      <c r="N280" s="67"/>
      <c r="O280" s="67"/>
      <c r="P280" s="67"/>
      <c r="Q280" s="186"/>
      <c r="R280" s="186"/>
      <c r="S280" s="187"/>
      <c r="T280" s="187"/>
      <c r="U280" s="186"/>
      <c r="V280" s="186"/>
      <c r="W280" s="186"/>
      <c r="X280" s="186"/>
    </row>
    <row r="281">
      <c r="A281" s="185"/>
      <c r="B281" s="67"/>
      <c r="C281" s="186"/>
      <c r="D281" s="186"/>
      <c r="E281" s="186"/>
      <c r="F281" s="186"/>
      <c r="G281" s="186"/>
      <c r="H281" s="186"/>
      <c r="I281" s="186"/>
      <c r="J281" s="186"/>
      <c r="K281" s="186"/>
      <c r="L281" s="186"/>
      <c r="M281" s="67"/>
      <c r="N281" s="67"/>
      <c r="O281" s="67"/>
      <c r="P281" s="67"/>
      <c r="Q281" s="186"/>
      <c r="R281" s="186"/>
      <c r="S281" s="187"/>
      <c r="T281" s="187"/>
      <c r="U281" s="186"/>
      <c r="V281" s="186"/>
      <c r="W281" s="186"/>
      <c r="X281" s="186"/>
    </row>
    <row r="282">
      <c r="A282" s="185"/>
      <c r="B282" s="67"/>
      <c r="C282" s="186"/>
      <c r="D282" s="186"/>
      <c r="E282" s="186"/>
      <c r="F282" s="186"/>
      <c r="G282" s="186"/>
      <c r="H282" s="186"/>
      <c r="I282" s="186"/>
      <c r="J282" s="186"/>
      <c r="K282" s="186"/>
      <c r="L282" s="186"/>
      <c r="M282" s="67"/>
      <c r="N282" s="67"/>
      <c r="O282" s="67"/>
      <c r="P282" s="67"/>
      <c r="Q282" s="186"/>
      <c r="R282" s="186"/>
      <c r="S282" s="187"/>
      <c r="T282" s="187"/>
      <c r="U282" s="186"/>
      <c r="V282" s="186"/>
      <c r="W282" s="186"/>
      <c r="X282" s="186"/>
    </row>
    <row r="283">
      <c r="A283" s="185"/>
      <c r="B283" s="67"/>
      <c r="C283" s="186"/>
      <c r="D283" s="186"/>
      <c r="E283" s="186"/>
      <c r="F283" s="186"/>
      <c r="G283" s="186"/>
      <c r="H283" s="186"/>
      <c r="I283" s="186"/>
      <c r="J283" s="186"/>
      <c r="K283" s="186"/>
      <c r="L283" s="186"/>
      <c r="M283" s="67"/>
      <c r="N283" s="67"/>
      <c r="O283" s="67"/>
      <c r="P283" s="67"/>
      <c r="Q283" s="186"/>
      <c r="R283" s="186"/>
      <c r="S283" s="187"/>
      <c r="T283" s="187"/>
      <c r="U283" s="186"/>
      <c r="V283" s="186"/>
      <c r="W283" s="186"/>
      <c r="X283" s="186"/>
    </row>
    <row r="284">
      <c r="A284" s="185"/>
      <c r="B284" s="67"/>
      <c r="C284" s="186"/>
      <c r="D284" s="186"/>
      <c r="E284" s="186"/>
      <c r="F284" s="186"/>
      <c r="G284" s="186"/>
      <c r="H284" s="186"/>
      <c r="I284" s="186"/>
      <c r="J284" s="186"/>
      <c r="K284" s="186"/>
      <c r="L284" s="186"/>
      <c r="M284" s="67"/>
      <c r="N284" s="67"/>
      <c r="O284" s="67"/>
      <c r="P284" s="67"/>
      <c r="Q284" s="186"/>
      <c r="R284" s="186"/>
      <c r="S284" s="187"/>
      <c r="T284" s="187"/>
      <c r="U284" s="186"/>
      <c r="V284" s="186"/>
      <c r="W284" s="186"/>
      <c r="X284" s="186"/>
    </row>
    <row r="285">
      <c r="A285" s="185"/>
      <c r="B285" s="67"/>
      <c r="C285" s="186"/>
      <c r="D285" s="186"/>
      <c r="E285" s="186"/>
      <c r="F285" s="186"/>
      <c r="G285" s="186"/>
      <c r="H285" s="186"/>
      <c r="I285" s="186"/>
      <c r="J285" s="186"/>
      <c r="K285" s="186"/>
      <c r="L285" s="186"/>
      <c r="M285" s="67"/>
      <c r="N285" s="67"/>
      <c r="O285" s="67"/>
      <c r="P285" s="67"/>
      <c r="Q285" s="186"/>
      <c r="R285" s="186"/>
      <c r="S285" s="187"/>
      <c r="T285" s="187"/>
      <c r="U285" s="186"/>
      <c r="V285" s="186"/>
      <c r="W285" s="186"/>
      <c r="X285" s="186"/>
    </row>
    <row r="286">
      <c r="A286" s="185"/>
      <c r="B286" s="67"/>
      <c r="C286" s="186"/>
      <c r="D286" s="186"/>
      <c r="E286" s="186"/>
      <c r="F286" s="186"/>
      <c r="G286" s="186"/>
      <c r="H286" s="186"/>
      <c r="I286" s="186"/>
      <c r="J286" s="186"/>
      <c r="K286" s="186"/>
      <c r="L286" s="186"/>
      <c r="M286" s="67"/>
      <c r="N286" s="67"/>
      <c r="O286" s="67"/>
      <c r="P286" s="67"/>
      <c r="Q286" s="186"/>
      <c r="R286" s="186"/>
      <c r="S286" s="187"/>
      <c r="T286" s="187"/>
      <c r="U286" s="186"/>
      <c r="V286" s="186"/>
      <c r="W286" s="186"/>
      <c r="X286" s="186"/>
    </row>
    <row r="287">
      <c r="A287" s="185"/>
      <c r="B287" s="67"/>
      <c r="C287" s="186"/>
      <c r="D287" s="186"/>
      <c r="E287" s="186"/>
      <c r="F287" s="186"/>
      <c r="G287" s="186"/>
      <c r="H287" s="186"/>
      <c r="I287" s="186"/>
      <c r="J287" s="186"/>
      <c r="K287" s="186"/>
      <c r="L287" s="186"/>
      <c r="M287" s="67"/>
      <c r="N287" s="67"/>
      <c r="O287" s="67"/>
      <c r="P287" s="67"/>
      <c r="Q287" s="186"/>
      <c r="R287" s="186"/>
      <c r="S287" s="187"/>
      <c r="T287" s="187"/>
      <c r="U287" s="186"/>
      <c r="V287" s="186"/>
      <c r="W287" s="186"/>
      <c r="X287" s="186"/>
    </row>
    <row r="288">
      <c r="A288" s="185"/>
      <c r="B288" s="67"/>
      <c r="C288" s="186"/>
      <c r="D288" s="186"/>
      <c r="E288" s="186"/>
      <c r="F288" s="186"/>
      <c r="G288" s="186"/>
      <c r="H288" s="186"/>
      <c r="I288" s="186"/>
      <c r="J288" s="186"/>
      <c r="K288" s="186"/>
      <c r="L288" s="186"/>
      <c r="M288" s="67"/>
      <c r="N288" s="67"/>
      <c r="O288" s="67"/>
      <c r="P288" s="67"/>
      <c r="Q288" s="186"/>
      <c r="R288" s="186"/>
      <c r="S288" s="187"/>
      <c r="T288" s="187"/>
      <c r="U288" s="186"/>
      <c r="V288" s="186"/>
      <c r="W288" s="186"/>
      <c r="X288" s="186"/>
    </row>
    <row r="289">
      <c r="A289" s="185"/>
      <c r="B289" s="67"/>
      <c r="C289" s="186"/>
      <c r="D289" s="186"/>
      <c r="E289" s="186"/>
      <c r="F289" s="186"/>
      <c r="G289" s="186"/>
      <c r="H289" s="186"/>
      <c r="I289" s="186"/>
      <c r="J289" s="186"/>
      <c r="K289" s="186"/>
      <c r="L289" s="186"/>
      <c r="M289" s="67"/>
      <c r="N289" s="67"/>
      <c r="O289" s="67"/>
      <c r="P289" s="67"/>
      <c r="Q289" s="186"/>
      <c r="R289" s="186"/>
      <c r="S289" s="187"/>
      <c r="T289" s="187"/>
      <c r="U289" s="186"/>
      <c r="V289" s="186"/>
      <c r="W289" s="186"/>
      <c r="X289" s="186"/>
    </row>
    <row r="290">
      <c r="A290" s="185"/>
      <c r="B290" s="67"/>
      <c r="C290" s="186"/>
      <c r="D290" s="186"/>
      <c r="E290" s="186"/>
      <c r="F290" s="186"/>
      <c r="G290" s="186"/>
      <c r="H290" s="186"/>
      <c r="I290" s="186"/>
      <c r="J290" s="186"/>
      <c r="K290" s="186"/>
      <c r="L290" s="186"/>
      <c r="M290" s="67"/>
      <c r="N290" s="67"/>
      <c r="O290" s="67"/>
      <c r="P290" s="67"/>
      <c r="Q290" s="186"/>
      <c r="R290" s="186"/>
      <c r="S290" s="187"/>
      <c r="T290" s="187"/>
      <c r="U290" s="186"/>
      <c r="V290" s="186"/>
      <c r="W290" s="186"/>
      <c r="X290" s="186"/>
    </row>
    <row r="291">
      <c r="A291" s="185"/>
      <c r="B291" s="67"/>
      <c r="C291" s="186"/>
      <c r="D291" s="186"/>
      <c r="E291" s="186"/>
      <c r="F291" s="186"/>
      <c r="G291" s="186"/>
      <c r="H291" s="186"/>
      <c r="I291" s="186"/>
      <c r="J291" s="186"/>
      <c r="K291" s="186"/>
      <c r="L291" s="186"/>
      <c r="M291" s="67"/>
      <c r="N291" s="67"/>
      <c r="O291" s="67"/>
      <c r="P291" s="67"/>
      <c r="Q291" s="186"/>
      <c r="R291" s="186"/>
      <c r="S291" s="187"/>
      <c r="T291" s="187"/>
      <c r="U291" s="186"/>
      <c r="V291" s="186"/>
      <c r="W291" s="186"/>
      <c r="X291" s="186"/>
    </row>
    <row r="292">
      <c r="A292" s="185"/>
      <c r="B292" s="67"/>
      <c r="C292" s="186"/>
      <c r="D292" s="186"/>
      <c r="E292" s="186"/>
      <c r="F292" s="186"/>
      <c r="G292" s="186"/>
      <c r="H292" s="186"/>
      <c r="I292" s="186"/>
      <c r="J292" s="186"/>
      <c r="K292" s="186"/>
      <c r="L292" s="186"/>
      <c r="M292" s="67"/>
      <c r="N292" s="67"/>
      <c r="O292" s="67"/>
      <c r="P292" s="67"/>
      <c r="Q292" s="186"/>
      <c r="R292" s="186"/>
      <c r="S292" s="187"/>
      <c r="T292" s="187"/>
      <c r="U292" s="186"/>
      <c r="V292" s="186"/>
      <c r="W292" s="186"/>
      <c r="X292" s="186"/>
    </row>
    <row r="293">
      <c r="A293" s="185"/>
      <c r="B293" s="67"/>
      <c r="C293" s="186"/>
      <c r="D293" s="186"/>
      <c r="E293" s="186"/>
      <c r="F293" s="186"/>
      <c r="G293" s="186"/>
      <c r="H293" s="186"/>
      <c r="I293" s="186"/>
      <c r="J293" s="186"/>
      <c r="K293" s="186"/>
      <c r="L293" s="186"/>
      <c r="M293" s="67"/>
      <c r="N293" s="67"/>
      <c r="O293" s="67"/>
      <c r="P293" s="67"/>
      <c r="Q293" s="186"/>
      <c r="R293" s="186"/>
      <c r="S293" s="187"/>
      <c r="T293" s="187"/>
      <c r="U293" s="186"/>
      <c r="V293" s="186"/>
      <c r="W293" s="186"/>
      <c r="X293" s="186"/>
    </row>
    <row r="294">
      <c r="A294" s="185"/>
      <c r="B294" s="67"/>
      <c r="C294" s="186"/>
      <c r="D294" s="186"/>
      <c r="E294" s="186"/>
      <c r="F294" s="186"/>
      <c r="G294" s="186"/>
      <c r="H294" s="186"/>
      <c r="I294" s="186"/>
      <c r="J294" s="186"/>
      <c r="K294" s="186"/>
      <c r="L294" s="186"/>
      <c r="M294" s="67"/>
      <c r="N294" s="67"/>
      <c r="O294" s="67"/>
      <c r="P294" s="67"/>
      <c r="Q294" s="186"/>
      <c r="R294" s="186"/>
      <c r="S294" s="187"/>
      <c r="T294" s="187"/>
      <c r="U294" s="186"/>
      <c r="V294" s="186"/>
      <c r="W294" s="186"/>
      <c r="X294" s="186"/>
    </row>
    <row r="295">
      <c r="A295" s="185"/>
      <c r="B295" s="67"/>
      <c r="C295" s="186"/>
      <c r="D295" s="186"/>
      <c r="E295" s="186"/>
      <c r="F295" s="186"/>
      <c r="G295" s="186"/>
      <c r="H295" s="186"/>
      <c r="I295" s="186"/>
      <c r="J295" s="186"/>
      <c r="K295" s="186"/>
      <c r="L295" s="186"/>
      <c r="M295" s="67"/>
      <c r="N295" s="67"/>
      <c r="O295" s="67"/>
      <c r="P295" s="67"/>
      <c r="Q295" s="186"/>
      <c r="R295" s="186"/>
      <c r="S295" s="187"/>
      <c r="T295" s="187"/>
      <c r="U295" s="186"/>
      <c r="V295" s="186"/>
      <c r="W295" s="186"/>
      <c r="X295" s="186"/>
    </row>
    <row r="296">
      <c r="A296" s="185"/>
      <c r="B296" s="67"/>
      <c r="C296" s="186"/>
      <c r="D296" s="186"/>
      <c r="E296" s="186"/>
      <c r="F296" s="186"/>
      <c r="G296" s="186"/>
      <c r="H296" s="186"/>
      <c r="I296" s="186"/>
      <c r="J296" s="186"/>
      <c r="K296" s="186"/>
      <c r="L296" s="186"/>
      <c r="M296" s="67"/>
      <c r="N296" s="67"/>
      <c r="O296" s="67"/>
      <c r="P296" s="67"/>
      <c r="Q296" s="186"/>
      <c r="R296" s="186"/>
      <c r="S296" s="187"/>
      <c r="T296" s="187"/>
      <c r="U296" s="186"/>
      <c r="V296" s="186"/>
      <c r="W296" s="186"/>
      <c r="X296" s="186"/>
    </row>
    <row r="297">
      <c r="A297" s="185"/>
      <c r="B297" s="67"/>
      <c r="C297" s="186"/>
      <c r="D297" s="186"/>
      <c r="E297" s="186"/>
      <c r="F297" s="186"/>
      <c r="G297" s="186"/>
      <c r="H297" s="186"/>
      <c r="I297" s="186"/>
      <c r="J297" s="186"/>
      <c r="K297" s="186"/>
      <c r="L297" s="186"/>
      <c r="M297" s="67"/>
      <c r="N297" s="67"/>
      <c r="O297" s="67"/>
      <c r="P297" s="67"/>
      <c r="Q297" s="186"/>
      <c r="R297" s="186"/>
      <c r="S297" s="187"/>
      <c r="T297" s="187"/>
      <c r="U297" s="186"/>
      <c r="V297" s="186"/>
      <c r="W297" s="186"/>
      <c r="X297" s="186"/>
    </row>
    <row r="298">
      <c r="A298" s="185"/>
      <c r="B298" s="67"/>
      <c r="C298" s="186"/>
      <c r="D298" s="186"/>
      <c r="E298" s="186"/>
      <c r="F298" s="186"/>
      <c r="G298" s="186"/>
      <c r="H298" s="186"/>
      <c r="I298" s="186"/>
      <c r="J298" s="186"/>
      <c r="K298" s="186"/>
      <c r="L298" s="186"/>
      <c r="M298" s="67"/>
      <c r="N298" s="67"/>
      <c r="O298" s="67"/>
      <c r="P298" s="67"/>
      <c r="Q298" s="186"/>
      <c r="R298" s="186"/>
      <c r="S298" s="187"/>
      <c r="T298" s="187"/>
      <c r="U298" s="186"/>
      <c r="V298" s="186"/>
      <c r="W298" s="186"/>
      <c r="X298" s="186"/>
    </row>
    <row r="299">
      <c r="A299" s="185"/>
      <c r="B299" s="67"/>
      <c r="C299" s="186"/>
      <c r="D299" s="186"/>
      <c r="E299" s="186"/>
      <c r="F299" s="186"/>
      <c r="G299" s="186"/>
      <c r="H299" s="186"/>
      <c r="I299" s="186"/>
      <c r="J299" s="186"/>
      <c r="K299" s="186"/>
      <c r="L299" s="186"/>
      <c r="M299" s="67"/>
      <c r="N299" s="67"/>
      <c r="O299" s="67"/>
      <c r="P299" s="67"/>
      <c r="Q299" s="186"/>
      <c r="R299" s="186"/>
      <c r="S299" s="187"/>
      <c r="T299" s="187"/>
      <c r="U299" s="186"/>
      <c r="V299" s="186"/>
      <c r="W299" s="186"/>
      <c r="X299" s="186"/>
    </row>
    <row r="300">
      <c r="A300" s="185"/>
      <c r="B300" s="67"/>
      <c r="C300" s="186"/>
      <c r="D300" s="186"/>
      <c r="E300" s="186"/>
      <c r="F300" s="186"/>
      <c r="G300" s="186"/>
      <c r="H300" s="186"/>
      <c r="I300" s="186"/>
      <c r="J300" s="186"/>
      <c r="K300" s="186"/>
      <c r="L300" s="186"/>
      <c r="M300" s="67"/>
      <c r="N300" s="67"/>
      <c r="O300" s="67"/>
      <c r="P300" s="67"/>
      <c r="Q300" s="186"/>
      <c r="R300" s="186"/>
      <c r="S300" s="187"/>
      <c r="T300" s="187"/>
      <c r="U300" s="186"/>
      <c r="V300" s="186"/>
      <c r="W300" s="186"/>
      <c r="X300" s="186"/>
    </row>
    <row r="301">
      <c r="A301" s="185"/>
      <c r="B301" s="67"/>
      <c r="C301" s="186"/>
      <c r="D301" s="186"/>
      <c r="E301" s="186"/>
      <c r="F301" s="186"/>
      <c r="G301" s="186"/>
      <c r="H301" s="186"/>
      <c r="I301" s="186"/>
      <c r="J301" s="186"/>
      <c r="K301" s="186"/>
      <c r="L301" s="186"/>
      <c r="M301" s="67"/>
      <c r="N301" s="67"/>
      <c r="O301" s="67"/>
      <c r="P301" s="67"/>
      <c r="Q301" s="186"/>
      <c r="R301" s="186"/>
      <c r="S301" s="187"/>
      <c r="T301" s="187"/>
      <c r="U301" s="186"/>
      <c r="V301" s="186"/>
      <c r="W301" s="186"/>
      <c r="X301" s="186"/>
    </row>
    <row r="302">
      <c r="A302" s="185"/>
      <c r="B302" s="67"/>
      <c r="C302" s="186"/>
      <c r="D302" s="186"/>
      <c r="E302" s="186"/>
      <c r="F302" s="186"/>
      <c r="G302" s="186"/>
      <c r="H302" s="186"/>
      <c r="I302" s="186"/>
      <c r="J302" s="186"/>
      <c r="K302" s="186"/>
      <c r="L302" s="186"/>
      <c r="M302" s="67"/>
      <c r="N302" s="67"/>
      <c r="O302" s="67"/>
      <c r="P302" s="67"/>
      <c r="Q302" s="186"/>
      <c r="R302" s="186"/>
      <c r="S302" s="187"/>
      <c r="T302" s="187"/>
      <c r="U302" s="186"/>
      <c r="V302" s="186"/>
      <c r="W302" s="186"/>
      <c r="X302" s="186"/>
    </row>
    <row r="303">
      <c r="A303" s="185"/>
      <c r="B303" s="67"/>
      <c r="C303" s="186"/>
      <c r="D303" s="186"/>
      <c r="E303" s="186"/>
      <c r="F303" s="186"/>
      <c r="G303" s="186"/>
      <c r="H303" s="186"/>
      <c r="I303" s="186"/>
      <c r="J303" s="186"/>
      <c r="K303" s="186"/>
      <c r="L303" s="186"/>
      <c r="M303" s="67"/>
      <c r="N303" s="67"/>
      <c r="O303" s="67"/>
      <c r="P303" s="67"/>
      <c r="Q303" s="186"/>
      <c r="R303" s="186"/>
      <c r="S303" s="187"/>
      <c r="T303" s="187"/>
      <c r="U303" s="186"/>
      <c r="V303" s="186"/>
      <c r="W303" s="186"/>
      <c r="X303" s="186"/>
    </row>
    <row r="304">
      <c r="A304" s="185"/>
      <c r="B304" s="67"/>
      <c r="C304" s="186"/>
      <c r="D304" s="186"/>
      <c r="E304" s="186"/>
      <c r="F304" s="186"/>
      <c r="G304" s="186"/>
      <c r="H304" s="186"/>
      <c r="I304" s="186"/>
      <c r="J304" s="186"/>
      <c r="K304" s="186"/>
      <c r="L304" s="186"/>
      <c r="M304" s="67"/>
      <c r="N304" s="67"/>
      <c r="O304" s="67"/>
      <c r="P304" s="67"/>
      <c r="Q304" s="186"/>
      <c r="R304" s="186"/>
      <c r="S304" s="187"/>
      <c r="T304" s="187"/>
      <c r="U304" s="186"/>
      <c r="V304" s="186"/>
      <c r="W304" s="186"/>
      <c r="X304" s="186"/>
    </row>
    <row r="305">
      <c r="A305" s="185"/>
      <c r="B305" s="67"/>
      <c r="C305" s="186"/>
      <c r="D305" s="186"/>
      <c r="E305" s="186"/>
      <c r="F305" s="186"/>
      <c r="G305" s="186"/>
      <c r="H305" s="186"/>
      <c r="I305" s="186"/>
      <c r="J305" s="186"/>
      <c r="K305" s="186"/>
      <c r="L305" s="186"/>
      <c r="M305" s="67"/>
      <c r="N305" s="67"/>
      <c r="O305" s="67"/>
      <c r="P305" s="67"/>
      <c r="Q305" s="186"/>
      <c r="R305" s="186"/>
      <c r="S305" s="187"/>
      <c r="T305" s="187"/>
      <c r="U305" s="186"/>
      <c r="V305" s="186"/>
      <c r="W305" s="186"/>
      <c r="X305" s="186"/>
    </row>
    <row r="306">
      <c r="A306" s="185"/>
      <c r="B306" s="67"/>
      <c r="C306" s="186"/>
      <c r="D306" s="186"/>
      <c r="E306" s="186"/>
      <c r="F306" s="186"/>
      <c r="G306" s="186"/>
      <c r="H306" s="186"/>
      <c r="I306" s="186"/>
      <c r="J306" s="186"/>
      <c r="K306" s="186"/>
      <c r="L306" s="186"/>
      <c r="M306" s="67"/>
      <c r="N306" s="67"/>
      <c r="O306" s="67"/>
      <c r="P306" s="67"/>
      <c r="Q306" s="186"/>
      <c r="R306" s="186"/>
      <c r="S306" s="187"/>
      <c r="T306" s="187"/>
      <c r="U306" s="186"/>
      <c r="V306" s="186"/>
      <c r="W306" s="186"/>
      <c r="X306" s="186"/>
    </row>
    <row r="307">
      <c r="A307" s="185"/>
      <c r="B307" s="67"/>
      <c r="C307" s="186"/>
      <c r="D307" s="186"/>
      <c r="E307" s="186"/>
      <c r="F307" s="186"/>
      <c r="G307" s="186"/>
      <c r="H307" s="186"/>
      <c r="I307" s="186"/>
      <c r="J307" s="186"/>
      <c r="K307" s="186"/>
      <c r="L307" s="186"/>
      <c r="M307" s="67"/>
      <c r="N307" s="67"/>
      <c r="O307" s="67"/>
      <c r="P307" s="67"/>
      <c r="Q307" s="186"/>
      <c r="R307" s="186"/>
      <c r="S307" s="187"/>
      <c r="T307" s="187"/>
      <c r="U307" s="186"/>
      <c r="V307" s="186"/>
      <c r="W307" s="186"/>
      <c r="X307" s="186"/>
    </row>
    <row r="308">
      <c r="A308" s="185"/>
      <c r="B308" s="67"/>
      <c r="C308" s="186"/>
      <c r="D308" s="186"/>
      <c r="E308" s="186"/>
      <c r="F308" s="186"/>
      <c r="G308" s="186"/>
      <c r="H308" s="186"/>
      <c r="I308" s="186"/>
      <c r="J308" s="186"/>
      <c r="K308" s="186"/>
      <c r="L308" s="186"/>
      <c r="M308" s="67"/>
      <c r="N308" s="67"/>
      <c r="O308" s="67"/>
      <c r="P308" s="67"/>
      <c r="Q308" s="186"/>
      <c r="R308" s="186"/>
      <c r="S308" s="187"/>
      <c r="T308" s="187"/>
      <c r="U308" s="186"/>
      <c r="V308" s="186"/>
      <c r="W308" s="186"/>
      <c r="X308" s="186"/>
    </row>
    <row r="309">
      <c r="A309" s="185"/>
      <c r="B309" s="67"/>
      <c r="C309" s="186"/>
      <c r="D309" s="186"/>
      <c r="E309" s="186"/>
      <c r="F309" s="186"/>
      <c r="G309" s="186"/>
      <c r="H309" s="186"/>
      <c r="I309" s="186"/>
      <c r="J309" s="186"/>
      <c r="K309" s="186"/>
      <c r="L309" s="186"/>
      <c r="M309" s="67"/>
      <c r="N309" s="67"/>
      <c r="O309" s="67"/>
      <c r="P309" s="67"/>
      <c r="Q309" s="186"/>
      <c r="R309" s="186"/>
      <c r="S309" s="187"/>
      <c r="T309" s="187"/>
      <c r="U309" s="186"/>
      <c r="V309" s="186"/>
      <c r="W309" s="186"/>
      <c r="X309" s="186"/>
    </row>
    <row r="310">
      <c r="A310" s="185"/>
      <c r="B310" s="67"/>
      <c r="C310" s="186"/>
      <c r="D310" s="186"/>
      <c r="E310" s="186"/>
      <c r="F310" s="186"/>
      <c r="G310" s="186"/>
      <c r="H310" s="186"/>
      <c r="I310" s="186"/>
      <c r="J310" s="186"/>
      <c r="K310" s="186"/>
      <c r="L310" s="186"/>
      <c r="M310" s="67"/>
      <c r="N310" s="67"/>
      <c r="O310" s="67"/>
      <c r="P310" s="67"/>
      <c r="Q310" s="186"/>
      <c r="R310" s="186"/>
      <c r="S310" s="187"/>
      <c r="T310" s="187"/>
      <c r="U310" s="186"/>
      <c r="V310" s="186"/>
      <c r="W310" s="186"/>
      <c r="X310" s="186"/>
    </row>
    <row r="311">
      <c r="A311" s="185"/>
      <c r="B311" s="67"/>
      <c r="C311" s="186"/>
      <c r="D311" s="186"/>
      <c r="E311" s="186"/>
      <c r="F311" s="186"/>
      <c r="G311" s="186"/>
      <c r="H311" s="186"/>
      <c r="I311" s="186"/>
      <c r="J311" s="186"/>
      <c r="K311" s="186"/>
      <c r="L311" s="186"/>
      <c r="M311" s="67"/>
      <c r="N311" s="67"/>
      <c r="O311" s="67"/>
      <c r="P311" s="67"/>
      <c r="Q311" s="186"/>
      <c r="R311" s="186"/>
      <c r="S311" s="187"/>
      <c r="T311" s="187"/>
      <c r="U311" s="186"/>
      <c r="V311" s="186"/>
      <c r="W311" s="186"/>
      <c r="X311" s="186"/>
    </row>
    <row r="312">
      <c r="A312" s="185"/>
      <c r="B312" s="67"/>
      <c r="C312" s="186"/>
      <c r="D312" s="186"/>
      <c r="E312" s="186"/>
      <c r="F312" s="186"/>
      <c r="G312" s="186"/>
      <c r="H312" s="186"/>
      <c r="I312" s="186"/>
      <c r="J312" s="186"/>
      <c r="K312" s="186"/>
      <c r="L312" s="186"/>
      <c r="M312" s="67"/>
      <c r="N312" s="67"/>
      <c r="O312" s="67"/>
      <c r="P312" s="67"/>
      <c r="Q312" s="186"/>
      <c r="R312" s="186"/>
      <c r="S312" s="187"/>
      <c r="T312" s="187"/>
      <c r="U312" s="186"/>
      <c r="V312" s="186"/>
      <c r="W312" s="186"/>
      <c r="X312" s="186"/>
    </row>
    <row r="313">
      <c r="A313" s="185"/>
      <c r="B313" s="67"/>
      <c r="C313" s="186"/>
      <c r="D313" s="186"/>
      <c r="E313" s="186"/>
      <c r="F313" s="186"/>
      <c r="G313" s="186"/>
      <c r="H313" s="186"/>
      <c r="I313" s="186"/>
      <c r="J313" s="186"/>
      <c r="K313" s="186"/>
      <c r="L313" s="186"/>
      <c r="M313" s="67"/>
      <c r="N313" s="67"/>
      <c r="O313" s="67"/>
      <c r="P313" s="67"/>
      <c r="Q313" s="186"/>
      <c r="R313" s="186"/>
      <c r="S313" s="187"/>
      <c r="T313" s="187"/>
      <c r="U313" s="186"/>
      <c r="V313" s="186"/>
      <c r="W313" s="186"/>
      <c r="X313" s="186"/>
    </row>
    <row r="314">
      <c r="A314" s="185"/>
      <c r="B314" s="67"/>
      <c r="C314" s="186"/>
      <c r="D314" s="186"/>
      <c r="E314" s="186"/>
      <c r="F314" s="186"/>
      <c r="G314" s="186"/>
      <c r="H314" s="186"/>
      <c r="I314" s="186"/>
      <c r="J314" s="186"/>
      <c r="K314" s="186"/>
      <c r="L314" s="186"/>
      <c r="M314" s="67"/>
      <c r="N314" s="67"/>
      <c r="O314" s="67"/>
      <c r="P314" s="67"/>
      <c r="Q314" s="186"/>
      <c r="R314" s="186"/>
      <c r="S314" s="187"/>
      <c r="T314" s="187"/>
      <c r="U314" s="186"/>
      <c r="V314" s="186"/>
      <c r="W314" s="186"/>
      <c r="X314" s="186"/>
    </row>
    <row r="315">
      <c r="A315" s="185"/>
      <c r="B315" s="67"/>
      <c r="C315" s="186"/>
      <c r="D315" s="186"/>
      <c r="E315" s="186"/>
      <c r="F315" s="186"/>
      <c r="G315" s="186"/>
      <c r="H315" s="186"/>
      <c r="I315" s="186"/>
      <c r="J315" s="186"/>
      <c r="K315" s="186"/>
      <c r="L315" s="186"/>
      <c r="M315" s="67"/>
      <c r="N315" s="67"/>
      <c r="O315" s="67"/>
      <c r="P315" s="67"/>
      <c r="Q315" s="186"/>
      <c r="R315" s="186"/>
      <c r="S315" s="187"/>
      <c r="T315" s="187"/>
      <c r="U315" s="186"/>
      <c r="V315" s="186"/>
      <c r="W315" s="186"/>
      <c r="X315" s="186"/>
    </row>
    <row r="316">
      <c r="A316" s="185"/>
      <c r="B316" s="67"/>
      <c r="C316" s="186"/>
      <c r="D316" s="186"/>
      <c r="E316" s="186"/>
      <c r="F316" s="186"/>
      <c r="G316" s="186"/>
      <c r="H316" s="186"/>
      <c r="I316" s="186"/>
      <c r="J316" s="186"/>
      <c r="K316" s="186"/>
      <c r="L316" s="186"/>
      <c r="M316" s="67"/>
      <c r="N316" s="67"/>
      <c r="O316" s="67"/>
      <c r="P316" s="67"/>
      <c r="Q316" s="186"/>
      <c r="R316" s="186"/>
      <c r="S316" s="187"/>
      <c r="T316" s="187"/>
      <c r="U316" s="186"/>
      <c r="V316" s="186"/>
      <c r="W316" s="186"/>
      <c r="X316" s="186"/>
    </row>
    <row r="317">
      <c r="A317" s="185"/>
      <c r="B317" s="67"/>
      <c r="C317" s="186"/>
      <c r="D317" s="186"/>
      <c r="E317" s="186"/>
      <c r="F317" s="186"/>
      <c r="G317" s="186"/>
      <c r="H317" s="186"/>
      <c r="I317" s="186"/>
      <c r="J317" s="186"/>
      <c r="K317" s="186"/>
      <c r="L317" s="186"/>
      <c r="M317" s="67"/>
      <c r="N317" s="67"/>
      <c r="O317" s="67"/>
      <c r="P317" s="67"/>
      <c r="Q317" s="186"/>
      <c r="R317" s="186"/>
      <c r="S317" s="187"/>
      <c r="T317" s="187"/>
      <c r="U317" s="186"/>
      <c r="V317" s="186"/>
      <c r="W317" s="186"/>
      <c r="X317" s="186"/>
    </row>
    <row r="318">
      <c r="A318" s="185"/>
      <c r="B318" s="67"/>
      <c r="C318" s="186"/>
      <c r="D318" s="186"/>
      <c r="E318" s="186"/>
      <c r="F318" s="186"/>
      <c r="G318" s="186"/>
      <c r="H318" s="186"/>
      <c r="I318" s="186"/>
      <c r="J318" s="186"/>
      <c r="K318" s="186"/>
      <c r="L318" s="186"/>
      <c r="M318" s="67"/>
      <c r="N318" s="67"/>
      <c r="O318" s="67"/>
      <c r="P318" s="67"/>
      <c r="Q318" s="186"/>
      <c r="R318" s="186"/>
      <c r="S318" s="187"/>
      <c r="T318" s="187"/>
      <c r="U318" s="186"/>
      <c r="V318" s="186"/>
      <c r="W318" s="186"/>
      <c r="X318" s="186"/>
    </row>
    <row r="319">
      <c r="A319" s="185"/>
      <c r="B319" s="67"/>
      <c r="C319" s="186"/>
      <c r="D319" s="186"/>
      <c r="E319" s="186"/>
      <c r="F319" s="186"/>
      <c r="G319" s="186"/>
      <c r="H319" s="186"/>
      <c r="I319" s="186"/>
      <c r="J319" s="186"/>
      <c r="K319" s="186"/>
      <c r="L319" s="186"/>
      <c r="M319" s="67"/>
      <c r="N319" s="67"/>
      <c r="O319" s="67"/>
      <c r="P319" s="67"/>
      <c r="Q319" s="186"/>
      <c r="R319" s="186"/>
      <c r="S319" s="187"/>
      <c r="T319" s="187"/>
      <c r="U319" s="186"/>
      <c r="V319" s="186"/>
      <c r="W319" s="186"/>
      <c r="X319" s="186"/>
    </row>
    <row r="320">
      <c r="A320" s="185"/>
      <c r="B320" s="67"/>
      <c r="C320" s="186"/>
      <c r="D320" s="186"/>
      <c r="E320" s="186"/>
      <c r="F320" s="186"/>
      <c r="G320" s="186"/>
      <c r="H320" s="186"/>
      <c r="I320" s="186"/>
      <c r="J320" s="186"/>
      <c r="K320" s="186"/>
      <c r="L320" s="186"/>
      <c r="M320" s="67"/>
      <c r="N320" s="67"/>
      <c r="O320" s="67"/>
      <c r="P320" s="67"/>
      <c r="Q320" s="186"/>
      <c r="R320" s="186"/>
      <c r="S320" s="187"/>
      <c r="T320" s="187"/>
      <c r="U320" s="186"/>
      <c r="V320" s="186"/>
      <c r="W320" s="186"/>
      <c r="X320" s="186"/>
    </row>
    <row r="321">
      <c r="A321" s="185"/>
      <c r="B321" s="67"/>
      <c r="C321" s="186"/>
      <c r="D321" s="186"/>
      <c r="E321" s="186"/>
      <c r="F321" s="186"/>
      <c r="G321" s="186"/>
      <c r="H321" s="186"/>
      <c r="I321" s="186"/>
      <c r="J321" s="186"/>
      <c r="K321" s="186"/>
      <c r="L321" s="186"/>
      <c r="M321" s="67"/>
      <c r="N321" s="67"/>
      <c r="O321" s="67"/>
      <c r="P321" s="67"/>
      <c r="Q321" s="186"/>
      <c r="R321" s="186"/>
      <c r="S321" s="187"/>
      <c r="T321" s="187"/>
      <c r="U321" s="186"/>
      <c r="V321" s="186"/>
      <c r="W321" s="186"/>
      <c r="X321" s="186"/>
    </row>
    <row r="322">
      <c r="A322" s="185"/>
      <c r="B322" s="67"/>
      <c r="C322" s="186"/>
      <c r="D322" s="186"/>
      <c r="E322" s="186"/>
      <c r="F322" s="186"/>
      <c r="G322" s="186"/>
      <c r="H322" s="186"/>
      <c r="I322" s="186"/>
      <c r="J322" s="186"/>
      <c r="K322" s="186"/>
      <c r="L322" s="186"/>
      <c r="M322" s="67"/>
      <c r="N322" s="67"/>
      <c r="O322" s="67"/>
      <c r="P322" s="67"/>
      <c r="Q322" s="186"/>
      <c r="R322" s="186"/>
      <c r="S322" s="187"/>
      <c r="T322" s="187"/>
      <c r="U322" s="186"/>
      <c r="V322" s="186"/>
      <c r="W322" s="186"/>
      <c r="X322" s="186"/>
    </row>
    <row r="323">
      <c r="A323" s="185"/>
      <c r="B323" s="67"/>
      <c r="C323" s="186"/>
      <c r="D323" s="186"/>
      <c r="E323" s="186"/>
      <c r="F323" s="186"/>
      <c r="G323" s="186"/>
      <c r="H323" s="186"/>
      <c r="I323" s="186"/>
      <c r="J323" s="186"/>
      <c r="K323" s="186"/>
      <c r="L323" s="186"/>
      <c r="M323" s="67"/>
      <c r="N323" s="67"/>
      <c r="O323" s="67"/>
      <c r="P323" s="67"/>
      <c r="Q323" s="186"/>
      <c r="R323" s="186"/>
      <c r="S323" s="187"/>
      <c r="T323" s="187"/>
      <c r="U323" s="186"/>
      <c r="V323" s="186"/>
      <c r="W323" s="186"/>
      <c r="X323" s="186"/>
    </row>
    <row r="324">
      <c r="A324" s="185"/>
      <c r="B324" s="67"/>
      <c r="C324" s="186"/>
      <c r="D324" s="186"/>
      <c r="E324" s="186"/>
      <c r="F324" s="186"/>
      <c r="G324" s="186"/>
      <c r="H324" s="186"/>
      <c r="I324" s="186"/>
      <c r="J324" s="186"/>
      <c r="K324" s="186"/>
      <c r="L324" s="186"/>
      <c r="M324" s="67"/>
      <c r="N324" s="67"/>
      <c r="O324" s="67"/>
      <c r="P324" s="67"/>
      <c r="Q324" s="186"/>
      <c r="R324" s="186"/>
      <c r="S324" s="187"/>
      <c r="T324" s="187"/>
      <c r="U324" s="186"/>
      <c r="V324" s="186"/>
      <c r="W324" s="186"/>
      <c r="X324" s="186"/>
    </row>
    <row r="325">
      <c r="A325" s="185"/>
      <c r="B325" s="67"/>
      <c r="C325" s="186"/>
      <c r="D325" s="186"/>
      <c r="E325" s="186"/>
      <c r="F325" s="186"/>
      <c r="G325" s="186"/>
      <c r="H325" s="186"/>
      <c r="I325" s="186"/>
      <c r="J325" s="186"/>
      <c r="K325" s="186"/>
      <c r="L325" s="186"/>
      <c r="M325" s="67"/>
      <c r="N325" s="67"/>
      <c r="O325" s="67"/>
      <c r="P325" s="67"/>
      <c r="Q325" s="186"/>
      <c r="R325" s="186"/>
      <c r="S325" s="187"/>
      <c r="T325" s="187"/>
      <c r="U325" s="186"/>
      <c r="V325" s="186"/>
      <c r="W325" s="186"/>
      <c r="X325" s="186"/>
    </row>
    <row r="326">
      <c r="A326" s="185"/>
      <c r="B326" s="67"/>
      <c r="C326" s="186"/>
      <c r="D326" s="186"/>
      <c r="E326" s="186"/>
      <c r="F326" s="186"/>
      <c r="G326" s="186"/>
      <c r="H326" s="186"/>
      <c r="I326" s="186"/>
      <c r="J326" s="186"/>
      <c r="K326" s="186"/>
      <c r="L326" s="186"/>
      <c r="M326" s="67"/>
      <c r="N326" s="67"/>
      <c r="O326" s="67"/>
      <c r="P326" s="67"/>
      <c r="Q326" s="186"/>
      <c r="R326" s="186"/>
      <c r="S326" s="187"/>
      <c r="T326" s="187"/>
      <c r="U326" s="186"/>
      <c r="V326" s="186"/>
      <c r="W326" s="186"/>
      <c r="X326" s="186"/>
    </row>
    <row r="327">
      <c r="A327" s="185"/>
      <c r="B327" s="67"/>
      <c r="C327" s="186"/>
      <c r="D327" s="186"/>
      <c r="E327" s="186"/>
      <c r="F327" s="186"/>
      <c r="G327" s="186"/>
      <c r="H327" s="186"/>
      <c r="I327" s="186"/>
      <c r="J327" s="186"/>
      <c r="K327" s="186"/>
      <c r="L327" s="186"/>
      <c r="M327" s="67"/>
      <c r="N327" s="67"/>
      <c r="O327" s="67"/>
      <c r="P327" s="67"/>
      <c r="Q327" s="186"/>
      <c r="R327" s="186"/>
      <c r="S327" s="187"/>
      <c r="T327" s="187"/>
      <c r="U327" s="186"/>
      <c r="V327" s="186"/>
      <c r="W327" s="186"/>
      <c r="X327" s="186"/>
    </row>
    <row r="328">
      <c r="A328" s="185"/>
      <c r="B328" s="67"/>
      <c r="C328" s="186"/>
      <c r="D328" s="186"/>
      <c r="E328" s="186"/>
      <c r="F328" s="186"/>
      <c r="G328" s="186"/>
      <c r="H328" s="186"/>
      <c r="I328" s="186"/>
      <c r="J328" s="186"/>
      <c r="K328" s="186"/>
      <c r="L328" s="186"/>
      <c r="M328" s="67"/>
      <c r="N328" s="67"/>
      <c r="O328" s="67"/>
      <c r="P328" s="67"/>
      <c r="Q328" s="186"/>
      <c r="R328" s="186"/>
      <c r="S328" s="187"/>
      <c r="T328" s="187"/>
      <c r="U328" s="186"/>
      <c r="V328" s="186"/>
      <c r="W328" s="186"/>
      <c r="X328" s="186"/>
    </row>
    <row r="329">
      <c r="A329" s="185"/>
      <c r="B329" s="67"/>
      <c r="C329" s="186"/>
      <c r="D329" s="186"/>
      <c r="E329" s="186"/>
      <c r="F329" s="186"/>
      <c r="G329" s="186"/>
      <c r="H329" s="186"/>
      <c r="I329" s="186"/>
      <c r="J329" s="186"/>
      <c r="K329" s="186"/>
      <c r="L329" s="186"/>
      <c r="M329" s="67"/>
      <c r="N329" s="67"/>
      <c r="O329" s="67"/>
      <c r="P329" s="67"/>
      <c r="Q329" s="186"/>
      <c r="R329" s="186"/>
      <c r="S329" s="187"/>
      <c r="T329" s="187"/>
      <c r="U329" s="186"/>
      <c r="V329" s="186"/>
      <c r="W329" s="186"/>
      <c r="X329" s="186"/>
    </row>
    <row r="330">
      <c r="A330" s="185"/>
      <c r="B330" s="67"/>
      <c r="C330" s="186"/>
      <c r="D330" s="186"/>
      <c r="E330" s="186"/>
      <c r="F330" s="186"/>
      <c r="G330" s="186"/>
      <c r="H330" s="186"/>
      <c r="I330" s="186"/>
      <c r="J330" s="186"/>
      <c r="K330" s="186"/>
      <c r="L330" s="186"/>
      <c r="M330" s="67"/>
      <c r="N330" s="67"/>
      <c r="O330" s="67"/>
      <c r="P330" s="67"/>
      <c r="Q330" s="186"/>
      <c r="R330" s="186"/>
      <c r="S330" s="187"/>
      <c r="T330" s="187"/>
      <c r="U330" s="186"/>
      <c r="V330" s="186"/>
      <c r="W330" s="186"/>
      <c r="X330" s="186"/>
    </row>
    <row r="331">
      <c r="A331" s="185"/>
      <c r="B331" s="67"/>
      <c r="C331" s="186"/>
      <c r="D331" s="186"/>
      <c r="E331" s="186"/>
      <c r="F331" s="186"/>
      <c r="G331" s="186"/>
      <c r="H331" s="186"/>
      <c r="I331" s="186"/>
      <c r="J331" s="186"/>
      <c r="K331" s="186"/>
      <c r="L331" s="186"/>
      <c r="M331" s="67"/>
      <c r="N331" s="67"/>
      <c r="O331" s="67"/>
      <c r="P331" s="67"/>
      <c r="Q331" s="186"/>
      <c r="R331" s="186"/>
      <c r="S331" s="187"/>
      <c r="T331" s="187"/>
      <c r="U331" s="186"/>
      <c r="V331" s="186"/>
      <c r="W331" s="186"/>
      <c r="X331" s="186"/>
    </row>
    <row r="332">
      <c r="A332" s="185"/>
      <c r="B332" s="67"/>
      <c r="C332" s="186"/>
      <c r="D332" s="186"/>
      <c r="E332" s="186"/>
      <c r="F332" s="186"/>
      <c r="G332" s="186"/>
      <c r="H332" s="186"/>
      <c r="I332" s="186"/>
      <c r="J332" s="186"/>
      <c r="K332" s="186"/>
      <c r="L332" s="186"/>
      <c r="M332" s="67"/>
      <c r="N332" s="67"/>
      <c r="O332" s="67"/>
      <c r="P332" s="67"/>
      <c r="Q332" s="186"/>
      <c r="R332" s="186"/>
      <c r="S332" s="187"/>
      <c r="T332" s="187"/>
      <c r="U332" s="186"/>
      <c r="V332" s="186"/>
      <c r="W332" s="186"/>
      <c r="X332" s="186"/>
    </row>
    <row r="333">
      <c r="A333" s="185"/>
      <c r="B333" s="67"/>
      <c r="C333" s="186"/>
      <c r="D333" s="186"/>
      <c r="E333" s="186"/>
      <c r="F333" s="186"/>
      <c r="G333" s="186"/>
      <c r="H333" s="186"/>
      <c r="I333" s="186"/>
      <c r="J333" s="186"/>
      <c r="K333" s="186"/>
      <c r="L333" s="186"/>
      <c r="M333" s="67"/>
      <c r="N333" s="67"/>
      <c r="O333" s="67"/>
      <c r="P333" s="67"/>
      <c r="Q333" s="186"/>
      <c r="R333" s="186"/>
      <c r="S333" s="187"/>
      <c r="T333" s="187"/>
      <c r="U333" s="186"/>
      <c r="V333" s="186"/>
      <c r="W333" s="186"/>
      <c r="X333" s="186"/>
    </row>
    <row r="334">
      <c r="A334" s="185"/>
      <c r="B334" s="67"/>
      <c r="C334" s="186"/>
      <c r="D334" s="186"/>
      <c r="E334" s="186"/>
      <c r="F334" s="186"/>
      <c r="G334" s="186"/>
      <c r="H334" s="186"/>
      <c r="I334" s="186"/>
      <c r="J334" s="186"/>
      <c r="K334" s="186"/>
      <c r="L334" s="186"/>
      <c r="M334" s="67"/>
      <c r="N334" s="67"/>
      <c r="O334" s="67"/>
      <c r="P334" s="67"/>
      <c r="Q334" s="186"/>
      <c r="R334" s="186"/>
      <c r="S334" s="187"/>
      <c r="T334" s="187"/>
      <c r="U334" s="186"/>
      <c r="V334" s="186"/>
      <c r="W334" s="186"/>
      <c r="X334" s="186"/>
    </row>
    <row r="335">
      <c r="A335" s="185"/>
      <c r="B335" s="67"/>
      <c r="C335" s="186"/>
      <c r="D335" s="186"/>
      <c r="E335" s="186"/>
      <c r="F335" s="186"/>
      <c r="G335" s="186"/>
      <c r="H335" s="186"/>
      <c r="I335" s="186"/>
      <c r="J335" s="186"/>
      <c r="K335" s="186"/>
      <c r="L335" s="186"/>
      <c r="M335" s="67"/>
      <c r="N335" s="67"/>
      <c r="O335" s="67"/>
      <c r="P335" s="67"/>
      <c r="Q335" s="186"/>
      <c r="R335" s="186"/>
      <c r="S335" s="187"/>
      <c r="T335" s="187"/>
      <c r="U335" s="186"/>
      <c r="V335" s="186"/>
      <c r="W335" s="186"/>
      <c r="X335" s="186"/>
    </row>
    <row r="336">
      <c r="A336" s="185"/>
      <c r="B336" s="67"/>
      <c r="C336" s="186"/>
      <c r="D336" s="186"/>
      <c r="E336" s="186"/>
      <c r="F336" s="186"/>
      <c r="G336" s="186"/>
      <c r="H336" s="186"/>
      <c r="I336" s="186"/>
      <c r="J336" s="186"/>
      <c r="K336" s="186"/>
      <c r="L336" s="186"/>
      <c r="M336" s="67"/>
      <c r="N336" s="67"/>
      <c r="O336" s="67"/>
      <c r="P336" s="67"/>
      <c r="Q336" s="186"/>
      <c r="R336" s="186"/>
      <c r="S336" s="187"/>
      <c r="T336" s="187"/>
      <c r="U336" s="186"/>
      <c r="V336" s="186"/>
      <c r="W336" s="186"/>
      <c r="X336" s="186"/>
    </row>
    <row r="337">
      <c r="A337" s="185"/>
      <c r="B337" s="67"/>
      <c r="C337" s="186"/>
      <c r="D337" s="186"/>
      <c r="E337" s="186"/>
      <c r="F337" s="186"/>
      <c r="G337" s="186"/>
      <c r="H337" s="186"/>
      <c r="I337" s="186"/>
      <c r="J337" s="186"/>
      <c r="K337" s="186"/>
      <c r="L337" s="186"/>
      <c r="M337" s="67"/>
      <c r="N337" s="67"/>
      <c r="O337" s="67"/>
      <c r="P337" s="67"/>
      <c r="Q337" s="186"/>
      <c r="R337" s="186"/>
      <c r="S337" s="187"/>
      <c r="T337" s="187"/>
      <c r="U337" s="186"/>
      <c r="V337" s="186"/>
      <c r="W337" s="186"/>
      <c r="X337" s="186"/>
    </row>
    <row r="338">
      <c r="A338" s="185"/>
      <c r="B338" s="67"/>
      <c r="C338" s="186"/>
      <c r="D338" s="186"/>
      <c r="E338" s="186"/>
      <c r="F338" s="186"/>
      <c r="G338" s="186"/>
      <c r="H338" s="186"/>
      <c r="I338" s="186"/>
      <c r="J338" s="186"/>
      <c r="K338" s="186"/>
      <c r="L338" s="186"/>
      <c r="M338" s="67"/>
      <c r="N338" s="67"/>
      <c r="O338" s="67"/>
      <c r="P338" s="67"/>
      <c r="Q338" s="186"/>
      <c r="R338" s="186"/>
      <c r="S338" s="187"/>
      <c r="T338" s="187"/>
      <c r="U338" s="186"/>
      <c r="V338" s="186"/>
      <c r="W338" s="186"/>
      <c r="X338" s="186"/>
    </row>
    <row r="339">
      <c r="A339" s="185"/>
      <c r="B339" s="67"/>
      <c r="C339" s="186"/>
      <c r="D339" s="186"/>
      <c r="E339" s="186"/>
      <c r="F339" s="186"/>
      <c r="G339" s="186"/>
      <c r="H339" s="186"/>
      <c r="I339" s="186"/>
      <c r="J339" s="186"/>
      <c r="K339" s="186"/>
      <c r="L339" s="186"/>
      <c r="M339" s="67"/>
      <c r="N339" s="67"/>
      <c r="O339" s="67"/>
      <c r="P339" s="67"/>
      <c r="Q339" s="186"/>
      <c r="R339" s="186"/>
      <c r="S339" s="187"/>
      <c r="T339" s="187"/>
      <c r="U339" s="186"/>
      <c r="V339" s="186"/>
      <c r="W339" s="186"/>
      <c r="X339" s="186"/>
    </row>
    <row r="340">
      <c r="A340" s="185"/>
      <c r="B340" s="67"/>
      <c r="C340" s="186"/>
      <c r="D340" s="186"/>
      <c r="E340" s="186"/>
      <c r="F340" s="186"/>
      <c r="G340" s="186"/>
      <c r="H340" s="186"/>
      <c r="I340" s="186"/>
      <c r="J340" s="186"/>
      <c r="K340" s="186"/>
      <c r="L340" s="186"/>
      <c r="M340" s="67"/>
      <c r="N340" s="67"/>
      <c r="O340" s="67"/>
      <c r="P340" s="67"/>
      <c r="Q340" s="186"/>
      <c r="R340" s="186"/>
      <c r="S340" s="187"/>
      <c r="T340" s="187"/>
      <c r="U340" s="186"/>
      <c r="V340" s="186"/>
      <c r="W340" s="186"/>
      <c r="X340" s="186"/>
    </row>
    <row r="341">
      <c r="A341" s="185"/>
      <c r="B341" s="67"/>
      <c r="C341" s="186"/>
      <c r="D341" s="186"/>
      <c r="E341" s="186"/>
      <c r="F341" s="186"/>
      <c r="G341" s="186"/>
      <c r="H341" s="186"/>
      <c r="I341" s="186"/>
      <c r="J341" s="186"/>
      <c r="K341" s="186"/>
      <c r="L341" s="186"/>
      <c r="M341" s="67"/>
      <c r="N341" s="67"/>
      <c r="O341" s="67"/>
      <c r="P341" s="67"/>
      <c r="Q341" s="186"/>
      <c r="R341" s="186"/>
      <c r="S341" s="187"/>
      <c r="T341" s="187"/>
      <c r="U341" s="186"/>
      <c r="V341" s="186"/>
      <c r="W341" s="186"/>
      <c r="X341" s="186"/>
    </row>
    <row r="342">
      <c r="A342" s="185"/>
      <c r="B342" s="67"/>
      <c r="C342" s="186"/>
      <c r="D342" s="186"/>
      <c r="E342" s="186"/>
      <c r="F342" s="186"/>
      <c r="G342" s="186"/>
      <c r="H342" s="186"/>
      <c r="I342" s="186"/>
      <c r="J342" s="186"/>
      <c r="K342" s="186"/>
      <c r="L342" s="186"/>
      <c r="M342" s="67"/>
      <c r="N342" s="67"/>
      <c r="O342" s="67"/>
      <c r="P342" s="67"/>
      <c r="Q342" s="186"/>
      <c r="R342" s="186"/>
      <c r="S342" s="187"/>
      <c r="T342" s="187"/>
      <c r="U342" s="186"/>
      <c r="V342" s="186"/>
      <c r="W342" s="186"/>
      <c r="X342" s="186"/>
    </row>
    <row r="343">
      <c r="A343" s="185"/>
      <c r="B343" s="67"/>
      <c r="C343" s="186"/>
      <c r="D343" s="186"/>
      <c r="E343" s="186"/>
      <c r="F343" s="186"/>
      <c r="G343" s="186"/>
      <c r="H343" s="186"/>
      <c r="I343" s="186"/>
      <c r="J343" s="186"/>
      <c r="K343" s="186"/>
      <c r="L343" s="186"/>
      <c r="M343" s="67"/>
      <c r="N343" s="67"/>
      <c r="O343" s="67"/>
      <c r="P343" s="67"/>
      <c r="Q343" s="186"/>
      <c r="R343" s="186"/>
      <c r="S343" s="187"/>
      <c r="T343" s="187"/>
      <c r="U343" s="186"/>
      <c r="V343" s="186"/>
      <c r="W343" s="186"/>
      <c r="X343" s="186"/>
    </row>
    <row r="344">
      <c r="A344" s="185"/>
      <c r="B344" s="67"/>
      <c r="C344" s="186"/>
      <c r="D344" s="186"/>
      <c r="E344" s="186"/>
      <c r="F344" s="186"/>
      <c r="G344" s="186"/>
      <c r="H344" s="186"/>
      <c r="I344" s="186"/>
      <c r="J344" s="186"/>
      <c r="K344" s="186"/>
      <c r="L344" s="186"/>
      <c r="M344" s="67"/>
      <c r="N344" s="67"/>
      <c r="O344" s="67"/>
      <c r="P344" s="67"/>
      <c r="Q344" s="186"/>
      <c r="R344" s="186"/>
      <c r="S344" s="187"/>
      <c r="T344" s="187"/>
      <c r="U344" s="186"/>
      <c r="V344" s="186"/>
      <c r="W344" s="186"/>
      <c r="X344" s="186"/>
    </row>
    <row r="345">
      <c r="A345" s="185"/>
      <c r="B345" s="67"/>
      <c r="C345" s="186"/>
      <c r="D345" s="186"/>
      <c r="E345" s="186"/>
      <c r="F345" s="186"/>
      <c r="G345" s="186"/>
      <c r="H345" s="186"/>
      <c r="I345" s="186"/>
      <c r="J345" s="186"/>
      <c r="K345" s="186"/>
      <c r="L345" s="186"/>
      <c r="M345" s="67"/>
      <c r="N345" s="67"/>
      <c r="O345" s="67"/>
      <c r="P345" s="67"/>
      <c r="Q345" s="186"/>
      <c r="R345" s="186"/>
      <c r="S345" s="187"/>
      <c r="T345" s="187"/>
      <c r="U345" s="186"/>
      <c r="V345" s="186"/>
      <c r="W345" s="186"/>
      <c r="X345" s="186"/>
    </row>
    <row r="346">
      <c r="A346" s="185"/>
      <c r="B346" s="67"/>
      <c r="C346" s="186"/>
      <c r="D346" s="186"/>
      <c r="E346" s="186"/>
      <c r="F346" s="186"/>
      <c r="G346" s="186"/>
      <c r="H346" s="186"/>
      <c r="I346" s="186"/>
      <c r="J346" s="186"/>
      <c r="K346" s="186"/>
      <c r="L346" s="186"/>
      <c r="M346" s="67"/>
      <c r="N346" s="67"/>
      <c r="O346" s="67"/>
      <c r="P346" s="67"/>
      <c r="Q346" s="186"/>
      <c r="R346" s="186"/>
      <c r="S346" s="187"/>
      <c r="T346" s="187"/>
      <c r="U346" s="186"/>
      <c r="V346" s="186"/>
      <c r="W346" s="186"/>
      <c r="X346" s="186"/>
    </row>
    <row r="347">
      <c r="A347" s="185"/>
      <c r="B347" s="67"/>
      <c r="C347" s="186"/>
      <c r="D347" s="186"/>
      <c r="E347" s="186"/>
      <c r="F347" s="186"/>
      <c r="G347" s="186"/>
      <c r="H347" s="186"/>
      <c r="I347" s="186"/>
      <c r="J347" s="186"/>
      <c r="K347" s="186"/>
      <c r="L347" s="186"/>
      <c r="M347" s="67"/>
      <c r="N347" s="67"/>
      <c r="O347" s="67"/>
      <c r="P347" s="67"/>
      <c r="Q347" s="186"/>
      <c r="R347" s="186"/>
      <c r="S347" s="187"/>
      <c r="T347" s="187"/>
      <c r="U347" s="186"/>
      <c r="V347" s="186"/>
      <c r="W347" s="186"/>
      <c r="X347" s="186"/>
    </row>
    <row r="348">
      <c r="A348" s="185"/>
      <c r="B348" s="67"/>
      <c r="C348" s="186"/>
      <c r="D348" s="186"/>
      <c r="E348" s="186"/>
      <c r="F348" s="186"/>
      <c r="G348" s="186"/>
      <c r="H348" s="186"/>
      <c r="I348" s="186"/>
      <c r="J348" s="186"/>
      <c r="K348" s="186"/>
      <c r="L348" s="186"/>
      <c r="M348" s="67"/>
      <c r="N348" s="67"/>
      <c r="O348" s="67"/>
      <c r="P348" s="67"/>
      <c r="Q348" s="186"/>
      <c r="R348" s="186"/>
      <c r="S348" s="187"/>
      <c r="T348" s="187"/>
      <c r="U348" s="186"/>
      <c r="V348" s="186"/>
      <c r="W348" s="186"/>
      <c r="X348" s="186"/>
    </row>
    <row r="349">
      <c r="A349" s="185"/>
      <c r="B349" s="67"/>
      <c r="C349" s="186"/>
      <c r="D349" s="186"/>
      <c r="E349" s="186"/>
      <c r="F349" s="186"/>
      <c r="G349" s="186"/>
      <c r="H349" s="186"/>
      <c r="I349" s="186"/>
      <c r="J349" s="186"/>
      <c r="K349" s="186"/>
      <c r="L349" s="186"/>
      <c r="M349" s="67"/>
      <c r="N349" s="67"/>
      <c r="O349" s="67"/>
      <c r="P349" s="67"/>
      <c r="Q349" s="186"/>
      <c r="R349" s="186"/>
      <c r="S349" s="187"/>
      <c r="T349" s="187"/>
      <c r="U349" s="186"/>
      <c r="V349" s="186"/>
      <c r="W349" s="186"/>
      <c r="X349" s="186"/>
    </row>
    <row r="350">
      <c r="A350" s="185"/>
      <c r="B350" s="67"/>
      <c r="C350" s="186"/>
      <c r="D350" s="186"/>
      <c r="E350" s="186"/>
      <c r="F350" s="186"/>
      <c r="G350" s="186"/>
      <c r="H350" s="186"/>
      <c r="I350" s="186"/>
      <c r="J350" s="186"/>
      <c r="K350" s="186"/>
      <c r="L350" s="186"/>
      <c r="M350" s="67"/>
      <c r="N350" s="67"/>
      <c r="O350" s="67"/>
      <c r="P350" s="67"/>
      <c r="Q350" s="186"/>
      <c r="R350" s="186"/>
      <c r="S350" s="187"/>
      <c r="T350" s="187"/>
      <c r="U350" s="186"/>
      <c r="V350" s="186"/>
      <c r="W350" s="186"/>
      <c r="X350" s="186"/>
    </row>
    <row r="351">
      <c r="A351" s="185"/>
      <c r="B351" s="67"/>
      <c r="C351" s="186"/>
      <c r="D351" s="186"/>
      <c r="E351" s="186"/>
      <c r="F351" s="186"/>
      <c r="G351" s="186"/>
      <c r="H351" s="186"/>
      <c r="I351" s="186"/>
      <c r="J351" s="186"/>
      <c r="K351" s="186"/>
      <c r="L351" s="186"/>
      <c r="M351" s="67"/>
      <c r="N351" s="67"/>
      <c r="O351" s="67"/>
      <c r="P351" s="67"/>
      <c r="Q351" s="186"/>
      <c r="R351" s="186"/>
      <c r="S351" s="187"/>
      <c r="T351" s="187"/>
      <c r="U351" s="186"/>
      <c r="V351" s="186"/>
      <c r="W351" s="186"/>
      <c r="X351" s="186"/>
    </row>
    <row r="352">
      <c r="A352" s="185"/>
      <c r="B352" s="67"/>
      <c r="C352" s="186"/>
      <c r="D352" s="186"/>
      <c r="E352" s="186"/>
      <c r="F352" s="186"/>
      <c r="G352" s="186"/>
      <c r="H352" s="186"/>
      <c r="I352" s="186"/>
      <c r="J352" s="186"/>
      <c r="K352" s="186"/>
      <c r="L352" s="186"/>
      <c r="M352" s="67"/>
      <c r="N352" s="67"/>
      <c r="O352" s="67"/>
      <c r="P352" s="67"/>
      <c r="Q352" s="186"/>
      <c r="R352" s="186"/>
      <c r="S352" s="187"/>
      <c r="T352" s="187"/>
      <c r="U352" s="186"/>
      <c r="V352" s="186"/>
      <c r="W352" s="186"/>
      <c r="X352" s="186"/>
    </row>
    <row r="353">
      <c r="A353" s="185"/>
      <c r="B353" s="67"/>
      <c r="C353" s="186"/>
      <c r="D353" s="186"/>
      <c r="E353" s="186"/>
      <c r="F353" s="186"/>
      <c r="G353" s="186"/>
      <c r="H353" s="186"/>
      <c r="I353" s="186"/>
      <c r="J353" s="186"/>
      <c r="K353" s="186"/>
      <c r="L353" s="186"/>
      <c r="M353" s="67"/>
      <c r="N353" s="67"/>
      <c r="O353" s="67"/>
      <c r="P353" s="67"/>
      <c r="Q353" s="186"/>
      <c r="R353" s="186"/>
      <c r="S353" s="187"/>
      <c r="T353" s="187"/>
      <c r="U353" s="186"/>
      <c r="V353" s="186"/>
      <c r="W353" s="186"/>
      <c r="X353" s="186"/>
    </row>
    <row r="354">
      <c r="A354" s="185"/>
      <c r="B354" s="67"/>
      <c r="C354" s="186"/>
      <c r="D354" s="186"/>
      <c r="E354" s="186"/>
      <c r="F354" s="186"/>
      <c r="G354" s="186"/>
      <c r="H354" s="186"/>
      <c r="I354" s="186"/>
      <c r="J354" s="186"/>
      <c r="K354" s="186"/>
      <c r="L354" s="186"/>
      <c r="M354" s="67"/>
      <c r="N354" s="67"/>
      <c r="O354" s="67"/>
      <c r="P354" s="67"/>
      <c r="Q354" s="186"/>
      <c r="R354" s="186"/>
      <c r="S354" s="187"/>
      <c r="T354" s="187"/>
      <c r="U354" s="186"/>
      <c r="V354" s="186"/>
      <c r="W354" s="186"/>
      <c r="X354" s="186"/>
    </row>
    <row r="355">
      <c r="A355" s="185"/>
      <c r="B355" s="67"/>
      <c r="C355" s="186"/>
      <c r="D355" s="186"/>
      <c r="E355" s="186"/>
      <c r="F355" s="186"/>
      <c r="G355" s="186"/>
      <c r="H355" s="186"/>
      <c r="I355" s="186"/>
      <c r="J355" s="186"/>
      <c r="K355" s="186"/>
      <c r="L355" s="186"/>
      <c r="M355" s="67"/>
      <c r="N355" s="67"/>
      <c r="O355" s="67"/>
      <c r="P355" s="67"/>
      <c r="Q355" s="186"/>
      <c r="R355" s="186"/>
      <c r="S355" s="187"/>
      <c r="T355" s="187"/>
      <c r="U355" s="186"/>
      <c r="V355" s="186"/>
      <c r="W355" s="186"/>
      <c r="X355" s="186"/>
    </row>
    <row r="356">
      <c r="A356" s="185"/>
      <c r="B356" s="67"/>
      <c r="C356" s="186"/>
      <c r="D356" s="186"/>
      <c r="E356" s="186"/>
      <c r="F356" s="186"/>
      <c r="G356" s="186"/>
      <c r="H356" s="186"/>
      <c r="I356" s="186"/>
      <c r="J356" s="186"/>
      <c r="K356" s="186"/>
      <c r="L356" s="186"/>
      <c r="M356" s="67"/>
      <c r="N356" s="67"/>
      <c r="O356" s="67"/>
      <c r="P356" s="67"/>
      <c r="Q356" s="186"/>
      <c r="R356" s="186"/>
      <c r="S356" s="187"/>
      <c r="T356" s="187"/>
      <c r="U356" s="186"/>
      <c r="V356" s="186"/>
      <c r="W356" s="186"/>
      <c r="X356" s="186"/>
    </row>
    <row r="357">
      <c r="A357" s="185"/>
      <c r="B357" s="67"/>
      <c r="C357" s="186"/>
      <c r="D357" s="186"/>
      <c r="E357" s="186"/>
      <c r="F357" s="186"/>
      <c r="G357" s="186"/>
      <c r="H357" s="186"/>
      <c r="I357" s="186"/>
      <c r="J357" s="186"/>
      <c r="K357" s="186"/>
      <c r="L357" s="186"/>
      <c r="M357" s="67"/>
      <c r="N357" s="67"/>
      <c r="O357" s="67"/>
      <c r="P357" s="67"/>
      <c r="Q357" s="186"/>
      <c r="R357" s="186"/>
      <c r="S357" s="187"/>
      <c r="T357" s="187"/>
      <c r="U357" s="186"/>
      <c r="V357" s="186"/>
      <c r="W357" s="186"/>
      <c r="X357" s="186"/>
    </row>
    <row r="358">
      <c r="A358" s="185"/>
      <c r="B358" s="67"/>
      <c r="C358" s="186"/>
      <c r="D358" s="186"/>
      <c r="E358" s="186"/>
      <c r="F358" s="186"/>
      <c r="G358" s="186"/>
      <c r="H358" s="186"/>
      <c r="I358" s="186"/>
      <c r="J358" s="186"/>
      <c r="K358" s="186"/>
      <c r="L358" s="186"/>
      <c r="M358" s="67"/>
      <c r="N358" s="67"/>
      <c r="O358" s="67"/>
      <c r="P358" s="67"/>
      <c r="Q358" s="186"/>
      <c r="R358" s="186"/>
      <c r="S358" s="187"/>
      <c r="T358" s="187"/>
      <c r="U358" s="186"/>
      <c r="V358" s="186"/>
      <c r="W358" s="186"/>
      <c r="X358" s="186"/>
    </row>
    <row r="359">
      <c r="A359" s="185"/>
      <c r="B359" s="67"/>
      <c r="C359" s="186"/>
      <c r="D359" s="186"/>
      <c r="E359" s="186"/>
      <c r="F359" s="186"/>
      <c r="G359" s="186"/>
      <c r="H359" s="186"/>
      <c r="I359" s="186"/>
      <c r="J359" s="186"/>
      <c r="K359" s="186"/>
      <c r="L359" s="186"/>
      <c r="M359" s="67"/>
      <c r="N359" s="67"/>
      <c r="O359" s="67"/>
      <c r="P359" s="67"/>
      <c r="Q359" s="186"/>
      <c r="R359" s="186"/>
      <c r="S359" s="187"/>
      <c r="T359" s="187"/>
      <c r="U359" s="186"/>
      <c r="V359" s="186"/>
      <c r="W359" s="186"/>
      <c r="X359" s="186"/>
    </row>
    <row r="360">
      <c r="A360" s="185"/>
      <c r="B360" s="67"/>
      <c r="C360" s="186"/>
      <c r="D360" s="186"/>
      <c r="E360" s="186"/>
      <c r="F360" s="186"/>
      <c r="G360" s="186"/>
      <c r="H360" s="186"/>
      <c r="I360" s="186"/>
      <c r="J360" s="186"/>
      <c r="K360" s="186"/>
      <c r="L360" s="186"/>
      <c r="M360" s="67"/>
      <c r="N360" s="67"/>
      <c r="O360" s="67"/>
      <c r="P360" s="67"/>
      <c r="Q360" s="186"/>
      <c r="R360" s="186"/>
      <c r="S360" s="187"/>
      <c r="T360" s="187"/>
      <c r="U360" s="186"/>
      <c r="V360" s="186"/>
      <c r="W360" s="186"/>
      <c r="X360" s="186"/>
    </row>
    <row r="361">
      <c r="A361" s="185"/>
      <c r="B361" s="67"/>
      <c r="C361" s="186"/>
      <c r="D361" s="186"/>
      <c r="E361" s="186"/>
      <c r="F361" s="186"/>
      <c r="G361" s="186"/>
      <c r="H361" s="186"/>
      <c r="I361" s="186"/>
      <c r="J361" s="186"/>
      <c r="K361" s="186"/>
      <c r="L361" s="186"/>
      <c r="M361" s="67"/>
      <c r="N361" s="67"/>
      <c r="O361" s="67"/>
      <c r="P361" s="67"/>
      <c r="Q361" s="186"/>
      <c r="R361" s="186"/>
      <c r="S361" s="187"/>
      <c r="T361" s="187"/>
      <c r="U361" s="186"/>
      <c r="V361" s="186"/>
      <c r="W361" s="186"/>
      <c r="X361" s="186"/>
    </row>
    <row r="362">
      <c r="A362" s="185"/>
      <c r="B362" s="67"/>
      <c r="C362" s="186"/>
      <c r="D362" s="186"/>
      <c r="E362" s="186"/>
      <c r="F362" s="186"/>
      <c r="G362" s="186"/>
      <c r="H362" s="186"/>
      <c r="I362" s="186"/>
      <c r="J362" s="186"/>
      <c r="K362" s="186"/>
      <c r="L362" s="186"/>
      <c r="M362" s="67"/>
      <c r="N362" s="67"/>
      <c r="O362" s="67"/>
      <c r="P362" s="67"/>
      <c r="Q362" s="186"/>
      <c r="R362" s="186"/>
      <c r="S362" s="187"/>
      <c r="T362" s="187"/>
      <c r="U362" s="186"/>
      <c r="V362" s="186"/>
      <c r="W362" s="186"/>
      <c r="X362" s="186"/>
    </row>
    <row r="363">
      <c r="A363" s="185"/>
      <c r="B363" s="67"/>
      <c r="C363" s="186"/>
      <c r="D363" s="186"/>
      <c r="E363" s="186"/>
      <c r="F363" s="186"/>
      <c r="G363" s="186"/>
      <c r="H363" s="186"/>
      <c r="I363" s="186"/>
      <c r="J363" s="186"/>
      <c r="K363" s="186"/>
      <c r="L363" s="186"/>
      <c r="M363" s="67"/>
      <c r="N363" s="67"/>
      <c r="O363" s="67"/>
      <c r="P363" s="67"/>
      <c r="Q363" s="186"/>
      <c r="R363" s="186"/>
      <c r="S363" s="187"/>
      <c r="T363" s="187"/>
      <c r="U363" s="186"/>
      <c r="V363" s="186"/>
      <c r="W363" s="186"/>
      <c r="X363" s="186"/>
    </row>
    <row r="364">
      <c r="A364" s="185"/>
      <c r="B364" s="67"/>
      <c r="C364" s="186"/>
      <c r="D364" s="186"/>
      <c r="E364" s="186"/>
      <c r="F364" s="186"/>
      <c r="G364" s="186"/>
      <c r="H364" s="186"/>
      <c r="I364" s="186"/>
      <c r="J364" s="186"/>
      <c r="K364" s="186"/>
      <c r="L364" s="186"/>
      <c r="M364" s="67"/>
      <c r="N364" s="67"/>
      <c r="O364" s="67"/>
      <c r="P364" s="67"/>
      <c r="Q364" s="186"/>
      <c r="R364" s="186"/>
      <c r="S364" s="187"/>
      <c r="T364" s="187"/>
      <c r="U364" s="186"/>
      <c r="V364" s="186"/>
      <c r="W364" s="186"/>
      <c r="X364" s="186"/>
    </row>
    <row r="365">
      <c r="A365" s="185"/>
      <c r="B365" s="67"/>
      <c r="C365" s="186"/>
      <c r="D365" s="186"/>
      <c r="E365" s="186"/>
      <c r="F365" s="186"/>
      <c r="G365" s="186"/>
      <c r="H365" s="186"/>
      <c r="I365" s="186"/>
      <c r="J365" s="186"/>
      <c r="K365" s="186"/>
      <c r="L365" s="186"/>
      <c r="M365" s="67"/>
      <c r="N365" s="67"/>
      <c r="O365" s="67"/>
      <c r="P365" s="67"/>
      <c r="Q365" s="186"/>
      <c r="R365" s="186"/>
      <c r="S365" s="187"/>
      <c r="T365" s="187"/>
      <c r="U365" s="186"/>
      <c r="V365" s="186"/>
      <c r="W365" s="186"/>
      <c r="X365" s="186"/>
    </row>
    <row r="366">
      <c r="A366" s="185"/>
      <c r="B366" s="67"/>
      <c r="C366" s="186"/>
      <c r="D366" s="186"/>
      <c r="E366" s="186"/>
      <c r="F366" s="186"/>
      <c r="G366" s="186"/>
      <c r="H366" s="186"/>
      <c r="I366" s="186"/>
      <c r="J366" s="186"/>
      <c r="K366" s="186"/>
      <c r="L366" s="186"/>
      <c r="M366" s="67"/>
      <c r="N366" s="67"/>
      <c r="O366" s="67"/>
      <c r="P366" s="67"/>
      <c r="Q366" s="186"/>
      <c r="R366" s="186"/>
      <c r="S366" s="187"/>
      <c r="T366" s="187"/>
      <c r="U366" s="186"/>
      <c r="V366" s="186"/>
      <c r="W366" s="186"/>
      <c r="X366" s="186"/>
    </row>
    <row r="367">
      <c r="A367" s="185"/>
      <c r="B367" s="67"/>
      <c r="C367" s="186"/>
      <c r="D367" s="186"/>
      <c r="E367" s="186"/>
      <c r="F367" s="186"/>
      <c r="G367" s="186"/>
      <c r="H367" s="186"/>
      <c r="I367" s="186"/>
      <c r="J367" s="186"/>
      <c r="K367" s="186"/>
      <c r="L367" s="186"/>
      <c r="M367" s="67"/>
      <c r="N367" s="67"/>
      <c r="O367" s="67"/>
      <c r="P367" s="67"/>
      <c r="Q367" s="186"/>
      <c r="R367" s="186"/>
      <c r="S367" s="187"/>
      <c r="T367" s="187"/>
      <c r="U367" s="186"/>
      <c r="V367" s="186"/>
      <c r="W367" s="186"/>
      <c r="X367" s="186"/>
    </row>
    <row r="368">
      <c r="A368" s="185"/>
      <c r="B368" s="67"/>
      <c r="C368" s="186"/>
      <c r="D368" s="186"/>
      <c r="E368" s="186"/>
      <c r="F368" s="186"/>
      <c r="G368" s="186"/>
      <c r="H368" s="186"/>
      <c r="I368" s="186"/>
      <c r="J368" s="186"/>
      <c r="K368" s="186"/>
      <c r="L368" s="186"/>
      <c r="M368" s="67"/>
      <c r="N368" s="67"/>
      <c r="O368" s="67"/>
      <c r="P368" s="67"/>
      <c r="Q368" s="186"/>
      <c r="R368" s="186"/>
      <c r="S368" s="187"/>
      <c r="T368" s="187"/>
      <c r="U368" s="186"/>
      <c r="V368" s="186"/>
      <c r="W368" s="186"/>
      <c r="X368" s="186"/>
    </row>
    <row r="369">
      <c r="A369" s="185"/>
      <c r="B369" s="67"/>
      <c r="C369" s="186"/>
      <c r="D369" s="186"/>
      <c r="E369" s="186"/>
      <c r="F369" s="186"/>
      <c r="G369" s="186"/>
      <c r="H369" s="186"/>
      <c r="I369" s="186"/>
      <c r="J369" s="186"/>
      <c r="K369" s="186"/>
      <c r="L369" s="186"/>
      <c r="M369" s="67"/>
      <c r="N369" s="67"/>
      <c r="O369" s="67"/>
      <c r="P369" s="67"/>
      <c r="Q369" s="186"/>
      <c r="R369" s="186"/>
      <c r="S369" s="187"/>
      <c r="T369" s="187"/>
      <c r="U369" s="186"/>
      <c r="V369" s="186"/>
      <c r="W369" s="186"/>
      <c r="X369" s="186"/>
    </row>
    <row r="370">
      <c r="A370" s="185"/>
      <c r="B370" s="67"/>
      <c r="C370" s="186"/>
      <c r="D370" s="186"/>
      <c r="E370" s="186"/>
      <c r="F370" s="186"/>
      <c r="G370" s="186"/>
      <c r="H370" s="186"/>
      <c r="I370" s="186"/>
      <c r="J370" s="186"/>
      <c r="K370" s="186"/>
      <c r="L370" s="186"/>
      <c r="M370" s="67"/>
      <c r="N370" s="67"/>
      <c r="O370" s="67"/>
      <c r="P370" s="67"/>
      <c r="Q370" s="186"/>
      <c r="R370" s="186"/>
      <c r="S370" s="187"/>
      <c r="T370" s="187"/>
      <c r="U370" s="186"/>
      <c r="V370" s="186"/>
      <c r="W370" s="186"/>
      <c r="X370" s="186"/>
    </row>
    <row r="371">
      <c r="A371" s="185"/>
      <c r="B371" s="67"/>
      <c r="C371" s="186"/>
      <c r="D371" s="186"/>
      <c r="E371" s="186"/>
      <c r="F371" s="186"/>
      <c r="G371" s="186"/>
      <c r="H371" s="186"/>
      <c r="I371" s="186"/>
      <c r="J371" s="186"/>
      <c r="K371" s="186"/>
      <c r="L371" s="186"/>
      <c r="M371" s="67"/>
      <c r="N371" s="67"/>
      <c r="O371" s="67"/>
      <c r="P371" s="67"/>
      <c r="Q371" s="186"/>
      <c r="R371" s="186"/>
      <c r="S371" s="187"/>
      <c r="T371" s="187"/>
      <c r="U371" s="186"/>
      <c r="V371" s="186"/>
      <c r="W371" s="186"/>
      <c r="X371" s="186"/>
    </row>
    <row r="372">
      <c r="A372" s="185"/>
      <c r="B372" s="67"/>
      <c r="C372" s="186"/>
      <c r="D372" s="186"/>
      <c r="E372" s="186"/>
      <c r="F372" s="186"/>
      <c r="G372" s="186"/>
      <c r="H372" s="186"/>
      <c r="I372" s="186"/>
      <c r="J372" s="186"/>
      <c r="K372" s="186"/>
      <c r="L372" s="186"/>
      <c r="M372" s="67"/>
      <c r="N372" s="67"/>
      <c r="O372" s="67"/>
      <c r="P372" s="67"/>
      <c r="Q372" s="186"/>
      <c r="R372" s="186"/>
      <c r="S372" s="187"/>
      <c r="T372" s="187"/>
      <c r="U372" s="186"/>
      <c r="V372" s="186"/>
      <c r="W372" s="186"/>
      <c r="X372" s="186"/>
    </row>
    <row r="373">
      <c r="A373" s="185"/>
      <c r="B373" s="67"/>
      <c r="C373" s="186"/>
      <c r="D373" s="186"/>
      <c r="E373" s="186"/>
      <c r="F373" s="186"/>
      <c r="G373" s="186"/>
      <c r="H373" s="186"/>
      <c r="I373" s="186"/>
      <c r="J373" s="186"/>
      <c r="K373" s="186"/>
      <c r="L373" s="186"/>
      <c r="M373" s="67"/>
      <c r="N373" s="67"/>
      <c r="O373" s="67"/>
      <c r="P373" s="67"/>
      <c r="Q373" s="186"/>
      <c r="R373" s="186"/>
      <c r="S373" s="187"/>
      <c r="T373" s="187"/>
      <c r="U373" s="186"/>
      <c r="V373" s="186"/>
      <c r="W373" s="186"/>
      <c r="X373" s="186"/>
    </row>
    <row r="374">
      <c r="A374" s="185"/>
      <c r="B374" s="67"/>
      <c r="C374" s="186"/>
      <c r="D374" s="186"/>
      <c r="E374" s="186"/>
      <c r="F374" s="186"/>
      <c r="G374" s="186"/>
      <c r="H374" s="186"/>
      <c r="I374" s="186"/>
      <c r="J374" s="186"/>
      <c r="K374" s="186"/>
      <c r="L374" s="186"/>
      <c r="M374" s="67"/>
      <c r="N374" s="67"/>
      <c r="O374" s="67"/>
      <c r="P374" s="67"/>
      <c r="Q374" s="186"/>
      <c r="R374" s="186"/>
      <c r="S374" s="187"/>
      <c r="T374" s="187"/>
      <c r="U374" s="186"/>
      <c r="V374" s="186"/>
      <c r="W374" s="186"/>
      <c r="X374" s="186"/>
    </row>
    <row r="375">
      <c r="A375" s="185"/>
      <c r="B375" s="67"/>
      <c r="C375" s="186"/>
      <c r="D375" s="186"/>
      <c r="E375" s="186"/>
      <c r="F375" s="186"/>
      <c r="G375" s="186"/>
      <c r="H375" s="186"/>
      <c r="I375" s="186"/>
      <c r="J375" s="186"/>
      <c r="K375" s="186"/>
      <c r="L375" s="186"/>
      <c r="M375" s="67"/>
      <c r="N375" s="67"/>
      <c r="O375" s="67"/>
      <c r="P375" s="67"/>
      <c r="Q375" s="186"/>
      <c r="R375" s="186"/>
      <c r="S375" s="187"/>
      <c r="T375" s="187"/>
      <c r="U375" s="186"/>
      <c r="V375" s="186"/>
      <c r="W375" s="186"/>
      <c r="X375" s="186"/>
    </row>
    <row r="376">
      <c r="A376" s="185"/>
      <c r="B376" s="67"/>
      <c r="C376" s="186"/>
      <c r="D376" s="186"/>
      <c r="E376" s="186"/>
      <c r="F376" s="186"/>
      <c r="G376" s="186"/>
      <c r="H376" s="186"/>
      <c r="I376" s="186"/>
      <c r="J376" s="186"/>
      <c r="K376" s="186"/>
      <c r="L376" s="186"/>
      <c r="M376" s="67"/>
      <c r="N376" s="67"/>
      <c r="O376" s="67"/>
      <c r="P376" s="67"/>
      <c r="Q376" s="186"/>
      <c r="R376" s="186"/>
      <c r="S376" s="187"/>
      <c r="T376" s="187"/>
      <c r="U376" s="186"/>
      <c r="V376" s="186"/>
      <c r="W376" s="186"/>
      <c r="X376" s="186"/>
    </row>
    <row r="377">
      <c r="A377" s="185"/>
      <c r="B377" s="67"/>
      <c r="C377" s="186"/>
      <c r="D377" s="186"/>
      <c r="E377" s="186"/>
      <c r="F377" s="186"/>
      <c r="G377" s="186"/>
      <c r="H377" s="186"/>
      <c r="I377" s="186"/>
      <c r="J377" s="186"/>
      <c r="K377" s="186"/>
      <c r="L377" s="186"/>
      <c r="M377" s="67"/>
      <c r="N377" s="67"/>
      <c r="O377" s="67"/>
      <c r="P377" s="67"/>
      <c r="Q377" s="186"/>
      <c r="R377" s="186"/>
      <c r="S377" s="187"/>
      <c r="T377" s="187"/>
      <c r="U377" s="186"/>
      <c r="V377" s="186"/>
      <c r="W377" s="186"/>
      <c r="X377" s="186"/>
    </row>
    <row r="378">
      <c r="A378" s="185"/>
      <c r="B378" s="67"/>
      <c r="C378" s="186"/>
      <c r="D378" s="186"/>
      <c r="E378" s="186"/>
      <c r="F378" s="186"/>
      <c r="G378" s="186"/>
      <c r="H378" s="186"/>
      <c r="I378" s="186"/>
      <c r="J378" s="186"/>
      <c r="K378" s="186"/>
      <c r="L378" s="186"/>
      <c r="M378" s="67"/>
      <c r="N378" s="67"/>
      <c r="O378" s="67"/>
      <c r="P378" s="67"/>
      <c r="Q378" s="186"/>
      <c r="R378" s="186"/>
      <c r="S378" s="187"/>
      <c r="T378" s="187"/>
      <c r="U378" s="186"/>
      <c r="V378" s="186"/>
      <c r="W378" s="186"/>
      <c r="X378" s="186"/>
    </row>
    <row r="379">
      <c r="A379" s="185"/>
      <c r="B379" s="67"/>
      <c r="C379" s="186"/>
      <c r="D379" s="186"/>
      <c r="E379" s="186"/>
      <c r="F379" s="186"/>
      <c r="G379" s="186"/>
      <c r="H379" s="186"/>
      <c r="I379" s="186"/>
      <c r="J379" s="186"/>
      <c r="K379" s="186"/>
      <c r="L379" s="186"/>
      <c r="M379" s="67"/>
      <c r="N379" s="67"/>
      <c r="O379" s="67"/>
      <c r="P379" s="67"/>
      <c r="Q379" s="186"/>
      <c r="R379" s="186"/>
      <c r="S379" s="187"/>
      <c r="T379" s="187"/>
      <c r="U379" s="186"/>
      <c r="V379" s="186"/>
      <c r="W379" s="186"/>
      <c r="X379" s="186"/>
    </row>
    <row r="380">
      <c r="A380" s="185"/>
      <c r="B380" s="67"/>
      <c r="C380" s="186"/>
      <c r="D380" s="186"/>
      <c r="E380" s="186"/>
      <c r="F380" s="186"/>
      <c r="G380" s="186"/>
      <c r="H380" s="186"/>
      <c r="I380" s="186"/>
      <c r="J380" s="186"/>
      <c r="K380" s="186"/>
      <c r="L380" s="186"/>
      <c r="M380" s="67"/>
      <c r="N380" s="67"/>
      <c r="O380" s="67"/>
      <c r="P380" s="67"/>
      <c r="Q380" s="186"/>
      <c r="R380" s="186"/>
      <c r="S380" s="187"/>
      <c r="T380" s="187"/>
      <c r="U380" s="186"/>
      <c r="V380" s="186"/>
      <c r="W380" s="186"/>
      <c r="X380" s="186"/>
    </row>
    <row r="381">
      <c r="A381" s="185"/>
      <c r="B381" s="67"/>
      <c r="C381" s="186"/>
      <c r="D381" s="186"/>
      <c r="E381" s="186"/>
      <c r="F381" s="186"/>
      <c r="G381" s="186"/>
      <c r="H381" s="186"/>
      <c r="I381" s="186"/>
      <c r="J381" s="186"/>
      <c r="K381" s="186"/>
      <c r="L381" s="186"/>
      <c r="M381" s="67"/>
      <c r="N381" s="67"/>
      <c r="O381" s="67"/>
      <c r="P381" s="67"/>
      <c r="Q381" s="186"/>
      <c r="R381" s="186"/>
      <c r="S381" s="187"/>
      <c r="T381" s="187"/>
      <c r="U381" s="186"/>
      <c r="V381" s="186"/>
      <c r="W381" s="186"/>
      <c r="X381" s="186"/>
    </row>
    <row r="382">
      <c r="A382" s="185"/>
      <c r="B382" s="67"/>
      <c r="C382" s="186"/>
      <c r="D382" s="186"/>
      <c r="E382" s="186"/>
      <c r="F382" s="186"/>
      <c r="G382" s="186"/>
      <c r="H382" s="186"/>
      <c r="I382" s="186"/>
      <c r="J382" s="186"/>
      <c r="K382" s="186"/>
      <c r="L382" s="186"/>
      <c r="M382" s="67"/>
      <c r="N382" s="67"/>
      <c r="O382" s="67"/>
      <c r="P382" s="67"/>
      <c r="Q382" s="186"/>
      <c r="R382" s="186"/>
      <c r="S382" s="187"/>
      <c r="T382" s="187"/>
      <c r="U382" s="186"/>
      <c r="V382" s="186"/>
      <c r="W382" s="186"/>
      <c r="X382" s="186"/>
    </row>
    <row r="383">
      <c r="A383" s="185"/>
      <c r="B383" s="67"/>
      <c r="C383" s="186"/>
      <c r="D383" s="186"/>
      <c r="E383" s="186"/>
      <c r="F383" s="186"/>
      <c r="G383" s="186"/>
      <c r="H383" s="186"/>
      <c r="I383" s="186"/>
      <c r="J383" s="186"/>
      <c r="K383" s="186"/>
      <c r="L383" s="186"/>
      <c r="M383" s="67"/>
      <c r="N383" s="67"/>
      <c r="O383" s="67"/>
      <c r="P383" s="67"/>
      <c r="Q383" s="186"/>
      <c r="R383" s="186"/>
      <c r="S383" s="187"/>
      <c r="T383" s="187"/>
      <c r="U383" s="186"/>
      <c r="V383" s="186"/>
      <c r="W383" s="186"/>
      <c r="X383" s="186"/>
    </row>
    <row r="384">
      <c r="A384" s="185"/>
      <c r="B384" s="67"/>
      <c r="C384" s="186"/>
      <c r="D384" s="186"/>
      <c r="E384" s="186"/>
      <c r="F384" s="186"/>
      <c r="G384" s="186"/>
      <c r="H384" s="186"/>
      <c r="I384" s="186"/>
      <c r="J384" s="186"/>
      <c r="K384" s="186"/>
      <c r="L384" s="186"/>
      <c r="M384" s="67"/>
      <c r="N384" s="67"/>
      <c r="O384" s="67"/>
      <c r="P384" s="67"/>
      <c r="Q384" s="186"/>
      <c r="R384" s="186"/>
      <c r="S384" s="187"/>
      <c r="T384" s="187"/>
      <c r="U384" s="186"/>
      <c r="V384" s="186"/>
      <c r="W384" s="186"/>
      <c r="X384" s="186"/>
    </row>
    <row r="385">
      <c r="A385" s="185"/>
      <c r="B385" s="67"/>
      <c r="C385" s="186"/>
      <c r="D385" s="186"/>
      <c r="E385" s="186"/>
      <c r="F385" s="186"/>
      <c r="G385" s="186"/>
      <c r="H385" s="186"/>
      <c r="I385" s="186"/>
      <c r="J385" s="186"/>
      <c r="K385" s="186"/>
      <c r="L385" s="186"/>
      <c r="M385" s="67"/>
      <c r="N385" s="67"/>
      <c r="O385" s="67"/>
      <c r="P385" s="67"/>
      <c r="Q385" s="186"/>
      <c r="R385" s="186"/>
      <c r="S385" s="187"/>
      <c r="T385" s="187"/>
      <c r="U385" s="186"/>
      <c r="V385" s="186"/>
      <c r="W385" s="186"/>
      <c r="X385" s="186"/>
    </row>
    <row r="386">
      <c r="A386" s="185"/>
      <c r="B386" s="67"/>
      <c r="C386" s="186"/>
      <c r="D386" s="186"/>
      <c r="E386" s="186"/>
      <c r="F386" s="186"/>
      <c r="G386" s="186"/>
      <c r="H386" s="186"/>
      <c r="I386" s="186"/>
      <c r="J386" s="186"/>
      <c r="K386" s="186"/>
      <c r="L386" s="186"/>
      <c r="M386" s="67"/>
      <c r="N386" s="67"/>
      <c r="O386" s="67"/>
      <c r="P386" s="67"/>
      <c r="Q386" s="186"/>
      <c r="R386" s="186"/>
      <c r="S386" s="187"/>
      <c r="T386" s="187"/>
      <c r="U386" s="186"/>
      <c r="V386" s="186"/>
      <c r="W386" s="186"/>
      <c r="X386" s="186"/>
    </row>
    <row r="387">
      <c r="A387" s="185"/>
      <c r="B387" s="67"/>
      <c r="C387" s="186"/>
      <c r="D387" s="186"/>
      <c r="E387" s="186"/>
      <c r="F387" s="186"/>
      <c r="G387" s="186"/>
      <c r="H387" s="186"/>
      <c r="I387" s="186"/>
      <c r="J387" s="186"/>
      <c r="K387" s="186"/>
      <c r="L387" s="186"/>
      <c r="M387" s="67"/>
      <c r="N387" s="67"/>
      <c r="O387" s="67"/>
      <c r="P387" s="67"/>
      <c r="Q387" s="186"/>
      <c r="R387" s="186"/>
      <c r="S387" s="187"/>
      <c r="T387" s="187"/>
      <c r="U387" s="186"/>
      <c r="V387" s="186"/>
      <c r="W387" s="186"/>
      <c r="X387" s="186"/>
    </row>
    <row r="388">
      <c r="A388" s="185"/>
      <c r="B388" s="67"/>
      <c r="C388" s="186"/>
      <c r="D388" s="186"/>
      <c r="E388" s="186"/>
      <c r="F388" s="186"/>
      <c r="G388" s="186"/>
      <c r="H388" s="186"/>
      <c r="I388" s="186"/>
      <c r="J388" s="186"/>
      <c r="K388" s="186"/>
      <c r="L388" s="186"/>
      <c r="M388" s="67"/>
      <c r="N388" s="67"/>
      <c r="O388" s="67"/>
      <c r="P388" s="67"/>
      <c r="Q388" s="186"/>
      <c r="R388" s="186"/>
      <c r="S388" s="187"/>
      <c r="T388" s="187"/>
      <c r="U388" s="186"/>
      <c r="V388" s="186"/>
      <c r="W388" s="186"/>
      <c r="X388" s="186"/>
    </row>
    <row r="389">
      <c r="A389" s="185"/>
      <c r="B389" s="67"/>
      <c r="C389" s="186"/>
      <c r="D389" s="186"/>
      <c r="E389" s="186"/>
      <c r="F389" s="186"/>
      <c r="G389" s="186"/>
      <c r="H389" s="186"/>
      <c r="I389" s="186"/>
      <c r="J389" s="186"/>
      <c r="K389" s="186"/>
      <c r="L389" s="186"/>
      <c r="M389" s="67"/>
      <c r="N389" s="67"/>
      <c r="O389" s="67"/>
      <c r="P389" s="67"/>
      <c r="Q389" s="186"/>
      <c r="R389" s="186"/>
      <c r="S389" s="187"/>
      <c r="T389" s="187"/>
      <c r="U389" s="186"/>
      <c r="V389" s="186"/>
      <c r="W389" s="186"/>
      <c r="X389" s="186"/>
    </row>
    <row r="390">
      <c r="A390" s="185"/>
      <c r="B390" s="67"/>
      <c r="C390" s="186"/>
      <c r="D390" s="186"/>
      <c r="E390" s="186"/>
      <c r="F390" s="186"/>
      <c r="G390" s="186"/>
      <c r="H390" s="186"/>
      <c r="I390" s="186"/>
      <c r="J390" s="186"/>
      <c r="K390" s="186"/>
      <c r="L390" s="186"/>
      <c r="M390" s="67"/>
      <c r="N390" s="67"/>
      <c r="O390" s="67"/>
      <c r="P390" s="67"/>
      <c r="Q390" s="186"/>
      <c r="R390" s="186"/>
      <c r="S390" s="187"/>
      <c r="T390" s="187"/>
      <c r="U390" s="186"/>
      <c r="V390" s="186"/>
      <c r="W390" s="186"/>
      <c r="X390" s="186"/>
    </row>
    <row r="391">
      <c r="A391" s="185"/>
      <c r="B391" s="67"/>
      <c r="C391" s="186"/>
      <c r="D391" s="186"/>
      <c r="E391" s="186"/>
      <c r="F391" s="186"/>
      <c r="G391" s="186"/>
      <c r="H391" s="186"/>
      <c r="I391" s="186"/>
      <c r="J391" s="186"/>
      <c r="K391" s="186"/>
      <c r="L391" s="186"/>
      <c r="M391" s="67"/>
      <c r="N391" s="67"/>
      <c r="O391" s="67"/>
      <c r="P391" s="67"/>
      <c r="Q391" s="186"/>
      <c r="R391" s="186"/>
      <c r="S391" s="187"/>
      <c r="T391" s="187"/>
      <c r="U391" s="186"/>
      <c r="V391" s="186"/>
      <c r="W391" s="186"/>
      <c r="X391" s="186"/>
    </row>
    <row r="392">
      <c r="A392" s="185"/>
      <c r="B392" s="67"/>
      <c r="C392" s="186"/>
      <c r="D392" s="186"/>
      <c r="E392" s="186"/>
      <c r="F392" s="186"/>
      <c r="G392" s="186"/>
      <c r="H392" s="186"/>
      <c r="I392" s="186"/>
      <c r="J392" s="186"/>
      <c r="K392" s="186"/>
      <c r="L392" s="186"/>
      <c r="M392" s="67"/>
      <c r="N392" s="67"/>
      <c r="O392" s="67"/>
      <c r="P392" s="67"/>
      <c r="Q392" s="186"/>
      <c r="R392" s="186"/>
      <c r="S392" s="187"/>
      <c r="T392" s="187"/>
      <c r="U392" s="186"/>
      <c r="V392" s="186"/>
      <c r="W392" s="186"/>
      <c r="X392" s="186"/>
    </row>
    <row r="393">
      <c r="A393" s="185"/>
      <c r="B393" s="67"/>
      <c r="C393" s="186"/>
      <c r="D393" s="186"/>
      <c r="E393" s="186"/>
      <c r="F393" s="186"/>
      <c r="G393" s="186"/>
      <c r="H393" s="186"/>
      <c r="I393" s="186"/>
      <c r="J393" s="186"/>
      <c r="K393" s="186"/>
      <c r="L393" s="186"/>
      <c r="M393" s="67"/>
      <c r="N393" s="67"/>
      <c r="O393" s="67"/>
      <c r="P393" s="67"/>
      <c r="Q393" s="186"/>
      <c r="R393" s="186"/>
      <c r="S393" s="187"/>
      <c r="T393" s="187"/>
      <c r="U393" s="186"/>
      <c r="V393" s="186"/>
      <c r="W393" s="186"/>
      <c r="X393" s="186"/>
    </row>
    <row r="394">
      <c r="A394" s="185"/>
      <c r="B394" s="67"/>
      <c r="C394" s="186"/>
      <c r="D394" s="186"/>
      <c r="E394" s="186"/>
      <c r="F394" s="186"/>
      <c r="G394" s="186"/>
      <c r="H394" s="186"/>
      <c r="I394" s="186"/>
      <c r="J394" s="186"/>
      <c r="K394" s="186"/>
      <c r="L394" s="186"/>
      <c r="M394" s="67"/>
      <c r="N394" s="67"/>
      <c r="O394" s="67"/>
      <c r="P394" s="67"/>
      <c r="Q394" s="186"/>
      <c r="R394" s="186"/>
      <c r="S394" s="187"/>
      <c r="T394" s="187"/>
      <c r="U394" s="186"/>
      <c r="V394" s="186"/>
      <c r="W394" s="186"/>
      <c r="X394" s="186"/>
    </row>
    <row r="395">
      <c r="A395" s="185"/>
      <c r="B395" s="67"/>
      <c r="C395" s="186"/>
      <c r="D395" s="186"/>
      <c r="E395" s="186"/>
      <c r="F395" s="186"/>
      <c r="G395" s="186"/>
      <c r="H395" s="186"/>
      <c r="I395" s="186"/>
      <c r="J395" s="186"/>
      <c r="K395" s="186"/>
      <c r="L395" s="186"/>
      <c r="M395" s="67"/>
      <c r="N395" s="67"/>
      <c r="O395" s="67"/>
      <c r="P395" s="67"/>
      <c r="Q395" s="186"/>
      <c r="R395" s="186"/>
      <c r="S395" s="187"/>
      <c r="T395" s="187"/>
      <c r="U395" s="186"/>
      <c r="V395" s="186"/>
      <c r="W395" s="186"/>
      <c r="X395" s="186"/>
    </row>
    <row r="396">
      <c r="A396" s="185"/>
      <c r="B396" s="67"/>
      <c r="C396" s="186"/>
      <c r="D396" s="186"/>
      <c r="E396" s="186"/>
      <c r="F396" s="186"/>
      <c r="G396" s="186"/>
      <c r="H396" s="186"/>
      <c r="I396" s="186"/>
      <c r="J396" s="186"/>
      <c r="K396" s="186"/>
      <c r="L396" s="186"/>
      <c r="M396" s="67"/>
      <c r="N396" s="67"/>
      <c r="O396" s="67"/>
      <c r="P396" s="67"/>
      <c r="Q396" s="186"/>
      <c r="R396" s="186"/>
      <c r="S396" s="187"/>
      <c r="T396" s="187"/>
      <c r="U396" s="186"/>
      <c r="V396" s="186"/>
      <c r="W396" s="186"/>
      <c r="X396" s="186"/>
    </row>
    <row r="397">
      <c r="A397" s="185"/>
      <c r="B397" s="67"/>
      <c r="C397" s="186"/>
      <c r="D397" s="186"/>
      <c r="E397" s="186"/>
      <c r="F397" s="186"/>
      <c r="G397" s="186"/>
      <c r="H397" s="186"/>
      <c r="I397" s="186"/>
      <c r="J397" s="186"/>
      <c r="K397" s="186"/>
      <c r="L397" s="186"/>
      <c r="M397" s="67"/>
      <c r="N397" s="67"/>
      <c r="O397" s="67"/>
      <c r="P397" s="67"/>
      <c r="Q397" s="186"/>
      <c r="R397" s="186"/>
      <c r="S397" s="187"/>
      <c r="T397" s="187"/>
      <c r="U397" s="186"/>
      <c r="V397" s="186"/>
      <c r="W397" s="186"/>
      <c r="X397" s="186"/>
    </row>
    <row r="398">
      <c r="A398" s="185"/>
      <c r="B398" s="67"/>
      <c r="C398" s="186"/>
      <c r="D398" s="186"/>
      <c r="E398" s="186"/>
      <c r="F398" s="186"/>
      <c r="G398" s="186"/>
      <c r="H398" s="186"/>
      <c r="I398" s="186"/>
      <c r="J398" s="186"/>
      <c r="K398" s="186"/>
      <c r="L398" s="186"/>
      <c r="M398" s="67"/>
      <c r="N398" s="67"/>
      <c r="O398" s="67"/>
      <c r="P398" s="67"/>
      <c r="Q398" s="186"/>
      <c r="R398" s="186"/>
      <c r="S398" s="187"/>
      <c r="T398" s="187"/>
      <c r="U398" s="186"/>
      <c r="V398" s="186"/>
      <c r="W398" s="186"/>
      <c r="X398" s="186"/>
    </row>
    <row r="399">
      <c r="A399" s="185"/>
      <c r="B399" s="67"/>
      <c r="C399" s="186"/>
      <c r="D399" s="186"/>
      <c r="E399" s="186"/>
      <c r="F399" s="186"/>
      <c r="G399" s="186"/>
      <c r="H399" s="186"/>
      <c r="I399" s="186"/>
      <c r="J399" s="186"/>
      <c r="K399" s="186"/>
      <c r="L399" s="186"/>
      <c r="M399" s="67"/>
      <c r="N399" s="67"/>
      <c r="O399" s="67"/>
      <c r="P399" s="67"/>
      <c r="Q399" s="186"/>
      <c r="R399" s="186"/>
      <c r="S399" s="187"/>
      <c r="T399" s="187"/>
      <c r="U399" s="186"/>
      <c r="V399" s="186"/>
      <c r="W399" s="186"/>
      <c r="X399" s="186"/>
    </row>
    <row r="400">
      <c r="A400" s="185"/>
      <c r="B400" s="67"/>
      <c r="C400" s="186"/>
      <c r="D400" s="186"/>
      <c r="E400" s="186"/>
      <c r="F400" s="186"/>
      <c r="G400" s="186"/>
      <c r="H400" s="186"/>
      <c r="I400" s="186"/>
      <c r="J400" s="186"/>
      <c r="K400" s="186"/>
      <c r="L400" s="186"/>
      <c r="M400" s="67"/>
      <c r="N400" s="67"/>
      <c r="O400" s="67"/>
      <c r="P400" s="67"/>
      <c r="Q400" s="186"/>
      <c r="R400" s="186"/>
      <c r="S400" s="187"/>
      <c r="T400" s="187"/>
      <c r="U400" s="186"/>
      <c r="V400" s="186"/>
      <c r="W400" s="186"/>
      <c r="X400" s="186"/>
    </row>
    <row r="401">
      <c r="A401" s="185"/>
      <c r="B401" s="67"/>
      <c r="C401" s="186"/>
      <c r="D401" s="186"/>
      <c r="E401" s="186"/>
      <c r="F401" s="186"/>
      <c r="G401" s="186"/>
      <c r="H401" s="186"/>
      <c r="I401" s="186"/>
      <c r="J401" s="186"/>
      <c r="K401" s="186"/>
      <c r="L401" s="186"/>
      <c r="M401" s="67"/>
      <c r="N401" s="67"/>
      <c r="O401" s="67"/>
      <c r="P401" s="67"/>
      <c r="Q401" s="186"/>
      <c r="R401" s="186"/>
      <c r="S401" s="187"/>
      <c r="T401" s="187"/>
      <c r="U401" s="186"/>
      <c r="V401" s="186"/>
      <c r="W401" s="186"/>
      <c r="X401" s="186"/>
    </row>
    <row r="402">
      <c r="A402" s="185"/>
      <c r="B402" s="67"/>
      <c r="C402" s="186"/>
      <c r="D402" s="186"/>
      <c r="E402" s="186"/>
      <c r="F402" s="186"/>
      <c r="G402" s="186"/>
      <c r="H402" s="186"/>
      <c r="I402" s="186"/>
      <c r="J402" s="186"/>
      <c r="K402" s="186"/>
      <c r="L402" s="186"/>
      <c r="M402" s="67"/>
      <c r="N402" s="67"/>
      <c r="O402" s="67"/>
      <c r="P402" s="67"/>
      <c r="Q402" s="186"/>
      <c r="R402" s="186"/>
      <c r="S402" s="187"/>
      <c r="T402" s="187"/>
      <c r="U402" s="186"/>
      <c r="V402" s="186"/>
      <c r="W402" s="186"/>
      <c r="X402" s="186"/>
    </row>
    <row r="403">
      <c r="A403" s="185"/>
      <c r="B403" s="67"/>
      <c r="C403" s="186"/>
      <c r="D403" s="186"/>
      <c r="E403" s="186"/>
      <c r="F403" s="186"/>
      <c r="G403" s="186"/>
      <c r="H403" s="186"/>
      <c r="I403" s="186"/>
      <c r="J403" s="186"/>
      <c r="K403" s="186"/>
      <c r="L403" s="186"/>
      <c r="M403" s="67"/>
      <c r="N403" s="67"/>
      <c r="O403" s="67"/>
      <c r="P403" s="67"/>
      <c r="Q403" s="186"/>
      <c r="R403" s="186"/>
      <c r="S403" s="187"/>
      <c r="T403" s="187"/>
      <c r="U403" s="186"/>
      <c r="V403" s="186"/>
      <c r="W403" s="186"/>
      <c r="X403" s="186"/>
    </row>
    <row r="404">
      <c r="A404" s="185"/>
      <c r="B404" s="67"/>
      <c r="C404" s="186"/>
      <c r="D404" s="186"/>
      <c r="E404" s="186"/>
      <c r="F404" s="186"/>
      <c r="G404" s="186"/>
      <c r="H404" s="186"/>
      <c r="I404" s="186"/>
      <c r="J404" s="186"/>
      <c r="K404" s="186"/>
      <c r="L404" s="186"/>
      <c r="M404" s="67"/>
      <c r="N404" s="67"/>
      <c r="O404" s="67"/>
      <c r="P404" s="67"/>
      <c r="Q404" s="186"/>
      <c r="R404" s="186"/>
      <c r="S404" s="187"/>
      <c r="T404" s="187"/>
      <c r="U404" s="186"/>
      <c r="V404" s="186"/>
      <c r="W404" s="186"/>
      <c r="X404" s="186"/>
    </row>
    <row r="405">
      <c r="A405" s="185"/>
      <c r="B405" s="67"/>
      <c r="C405" s="186"/>
      <c r="D405" s="186"/>
      <c r="E405" s="186"/>
      <c r="F405" s="186"/>
      <c r="G405" s="186"/>
      <c r="H405" s="186"/>
      <c r="I405" s="186"/>
      <c r="J405" s="186"/>
      <c r="K405" s="186"/>
      <c r="L405" s="186"/>
      <c r="M405" s="67"/>
      <c r="N405" s="67"/>
      <c r="O405" s="67"/>
      <c r="P405" s="67"/>
      <c r="Q405" s="186"/>
      <c r="R405" s="186"/>
      <c r="S405" s="187"/>
      <c r="T405" s="187"/>
      <c r="U405" s="186"/>
      <c r="V405" s="186"/>
      <c r="W405" s="186"/>
      <c r="X405" s="186"/>
    </row>
    <row r="406">
      <c r="A406" s="185"/>
      <c r="B406" s="67"/>
      <c r="C406" s="186"/>
      <c r="D406" s="186"/>
      <c r="E406" s="186"/>
      <c r="F406" s="186"/>
      <c r="G406" s="186"/>
      <c r="H406" s="186"/>
      <c r="I406" s="186"/>
      <c r="J406" s="186"/>
      <c r="K406" s="186"/>
      <c r="L406" s="186"/>
      <c r="M406" s="67"/>
      <c r="N406" s="67"/>
      <c r="O406" s="67"/>
      <c r="P406" s="67"/>
      <c r="Q406" s="186"/>
      <c r="R406" s="186"/>
      <c r="S406" s="187"/>
      <c r="T406" s="187"/>
      <c r="U406" s="186"/>
      <c r="V406" s="186"/>
      <c r="W406" s="186"/>
      <c r="X406" s="186"/>
    </row>
    <row r="407">
      <c r="A407" s="185"/>
      <c r="B407" s="67"/>
      <c r="C407" s="186"/>
      <c r="D407" s="186"/>
      <c r="E407" s="186"/>
      <c r="F407" s="186"/>
      <c r="G407" s="186"/>
      <c r="H407" s="186"/>
      <c r="I407" s="186"/>
      <c r="J407" s="186"/>
      <c r="K407" s="186"/>
      <c r="L407" s="186"/>
      <c r="M407" s="67"/>
      <c r="N407" s="67"/>
      <c r="O407" s="67"/>
      <c r="P407" s="67"/>
      <c r="Q407" s="186"/>
      <c r="R407" s="186"/>
      <c r="S407" s="187"/>
      <c r="T407" s="187"/>
      <c r="U407" s="186"/>
      <c r="V407" s="186"/>
      <c r="W407" s="186"/>
      <c r="X407" s="186"/>
    </row>
    <row r="408">
      <c r="A408" s="185"/>
      <c r="B408" s="67"/>
      <c r="C408" s="186"/>
      <c r="D408" s="186"/>
      <c r="E408" s="186"/>
      <c r="F408" s="186"/>
      <c r="G408" s="186"/>
      <c r="H408" s="186"/>
      <c r="I408" s="186"/>
      <c r="J408" s="186"/>
      <c r="K408" s="186"/>
      <c r="L408" s="186"/>
      <c r="M408" s="67"/>
      <c r="N408" s="67"/>
      <c r="O408" s="67"/>
      <c r="P408" s="67"/>
      <c r="Q408" s="186"/>
      <c r="R408" s="186"/>
      <c r="S408" s="187"/>
      <c r="T408" s="187"/>
      <c r="U408" s="186"/>
      <c r="V408" s="186"/>
      <c r="W408" s="186"/>
      <c r="X408" s="186"/>
    </row>
    <row r="409">
      <c r="A409" s="185"/>
      <c r="B409" s="67"/>
      <c r="C409" s="186"/>
      <c r="D409" s="186"/>
      <c r="E409" s="186"/>
      <c r="F409" s="186"/>
      <c r="G409" s="186"/>
      <c r="H409" s="186"/>
      <c r="I409" s="186"/>
      <c r="J409" s="186"/>
      <c r="K409" s="186"/>
      <c r="L409" s="186"/>
      <c r="M409" s="67"/>
      <c r="N409" s="67"/>
      <c r="O409" s="67"/>
      <c r="P409" s="67"/>
      <c r="Q409" s="186"/>
      <c r="R409" s="186"/>
      <c r="S409" s="187"/>
      <c r="T409" s="187"/>
      <c r="U409" s="186"/>
      <c r="V409" s="186"/>
      <c r="W409" s="186"/>
      <c r="X409" s="186"/>
    </row>
    <row r="410">
      <c r="A410" s="185"/>
      <c r="B410" s="67"/>
      <c r="C410" s="186"/>
      <c r="D410" s="186"/>
      <c r="E410" s="186"/>
      <c r="F410" s="186"/>
      <c r="G410" s="186"/>
      <c r="H410" s="186"/>
      <c r="I410" s="186"/>
      <c r="J410" s="186"/>
      <c r="K410" s="186"/>
      <c r="L410" s="186"/>
      <c r="M410" s="67"/>
      <c r="N410" s="67"/>
      <c r="O410" s="67"/>
      <c r="P410" s="67"/>
      <c r="Q410" s="186"/>
      <c r="R410" s="186"/>
      <c r="S410" s="187"/>
      <c r="T410" s="187"/>
      <c r="U410" s="186"/>
      <c r="V410" s="186"/>
      <c r="W410" s="186"/>
      <c r="X410" s="186"/>
    </row>
    <row r="411">
      <c r="A411" s="185"/>
      <c r="B411" s="67"/>
      <c r="C411" s="186"/>
      <c r="D411" s="186"/>
      <c r="E411" s="186"/>
      <c r="F411" s="186"/>
      <c r="G411" s="186"/>
      <c r="H411" s="186"/>
      <c r="I411" s="186"/>
      <c r="J411" s="186"/>
      <c r="K411" s="186"/>
      <c r="L411" s="186"/>
      <c r="M411" s="67"/>
      <c r="N411" s="67"/>
      <c r="O411" s="67"/>
      <c r="P411" s="67"/>
      <c r="Q411" s="186"/>
      <c r="R411" s="186"/>
      <c r="S411" s="187"/>
      <c r="T411" s="187"/>
      <c r="U411" s="186"/>
      <c r="V411" s="186"/>
      <c r="W411" s="186"/>
      <c r="X411" s="186"/>
    </row>
    <row r="412">
      <c r="A412" s="185"/>
      <c r="B412" s="67"/>
      <c r="C412" s="186"/>
      <c r="D412" s="186"/>
      <c r="E412" s="186"/>
      <c r="F412" s="186"/>
      <c r="G412" s="186"/>
      <c r="H412" s="186"/>
      <c r="I412" s="186"/>
      <c r="J412" s="186"/>
      <c r="K412" s="186"/>
      <c r="L412" s="186"/>
      <c r="M412" s="67"/>
      <c r="N412" s="67"/>
      <c r="O412" s="67"/>
      <c r="P412" s="67"/>
      <c r="Q412" s="186"/>
      <c r="R412" s="186"/>
      <c r="S412" s="187"/>
      <c r="T412" s="187"/>
      <c r="U412" s="186"/>
      <c r="V412" s="186"/>
      <c r="W412" s="186"/>
      <c r="X412" s="186"/>
    </row>
    <row r="413">
      <c r="A413" s="185"/>
      <c r="B413" s="67"/>
      <c r="C413" s="186"/>
      <c r="D413" s="186"/>
      <c r="E413" s="186"/>
      <c r="F413" s="186"/>
      <c r="G413" s="186"/>
      <c r="H413" s="186"/>
      <c r="I413" s="186"/>
      <c r="J413" s="186"/>
      <c r="K413" s="186"/>
      <c r="L413" s="186"/>
      <c r="M413" s="67"/>
      <c r="N413" s="67"/>
      <c r="O413" s="67"/>
      <c r="P413" s="67"/>
      <c r="Q413" s="186"/>
      <c r="R413" s="186"/>
      <c r="S413" s="187"/>
      <c r="T413" s="187"/>
      <c r="U413" s="186"/>
      <c r="V413" s="186"/>
      <c r="W413" s="186"/>
      <c r="X413" s="186"/>
    </row>
    <row r="414">
      <c r="A414" s="185"/>
      <c r="B414" s="67"/>
      <c r="C414" s="186"/>
      <c r="D414" s="186"/>
      <c r="E414" s="186"/>
      <c r="F414" s="186"/>
      <c r="G414" s="186"/>
      <c r="H414" s="186"/>
      <c r="I414" s="186"/>
      <c r="J414" s="186"/>
      <c r="K414" s="186"/>
      <c r="L414" s="186"/>
      <c r="M414" s="67"/>
      <c r="N414" s="67"/>
      <c r="O414" s="67"/>
      <c r="P414" s="67"/>
      <c r="Q414" s="186"/>
      <c r="R414" s="186"/>
      <c r="S414" s="187"/>
      <c r="T414" s="187"/>
      <c r="U414" s="186"/>
      <c r="V414" s="186"/>
      <c r="W414" s="186"/>
      <c r="X414" s="186"/>
    </row>
    <row r="415">
      <c r="A415" s="185"/>
      <c r="B415" s="67"/>
      <c r="C415" s="186"/>
      <c r="D415" s="186"/>
      <c r="E415" s="186"/>
      <c r="F415" s="186"/>
      <c r="G415" s="186"/>
      <c r="H415" s="186"/>
      <c r="I415" s="186"/>
      <c r="J415" s="186"/>
      <c r="K415" s="186"/>
      <c r="L415" s="186"/>
      <c r="M415" s="67"/>
      <c r="N415" s="67"/>
      <c r="O415" s="67"/>
      <c r="P415" s="67"/>
      <c r="Q415" s="186"/>
      <c r="R415" s="186"/>
      <c r="S415" s="187"/>
      <c r="T415" s="187"/>
      <c r="U415" s="186"/>
      <c r="V415" s="186"/>
      <c r="W415" s="186"/>
      <c r="X415" s="186"/>
    </row>
    <row r="416">
      <c r="A416" s="185"/>
      <c r="B416" s="67"/>
      <c r="C416" s="186"/>
      <c r="D416" s="186"/>
      <c r="E416" s="186"/>
      <c r="F416" s="186"/>
      <c r="G416" s="186"/>
      <c r="H416" s="186"/>
      <c r="I416" s="186"/>
      <c r="J416" s="186"/>
      <c r="K416" s="186"/>
      <c r="L416" s="186"/>
      <c r="M416" s="67"/>
      <c r="N416" s="67"/>
      <c r="O416" s="67"/>
      <c r="P416" s="67"/>
      <c r="Q416" s="186"/>
      <c r="R416" s="186"/>
      <c r="S416" s="187"/>
      <c r="T416" s="187"/>
      <c r="U416" s="186"/>
      <c r="V416" s="186"/>
      <c r="W416" s="186"/>
      <c r="X416" s="186"/>
    </row>
    <row r="417">
      <c r="A417" s="185"/>
      <c r="B417" s="67"/>
      <c r="C417" s="186"/>
      <c r="D417" s="186"/>
      <c r="E417" s="186"/>
      <c r="F417" s="186"/>
      <c r="G417" s="186"/>
      <c r="H417" s="186"/>
      <c r="I417" s="186"/>
      <c r="J417" s="186"/>
      <c r="K417" s="186"/>
      <c r="L417" s="186"/>
      <c r="M417" s="67"/>
      <c r="N417" s="67"/>
      <c r="O417" s="67"/>
      <c r="P417" s="67"/>
      <c r="Q417" s="186"/>
      <c r="R417" s="186"/>
      <c r="S417" s="187"/>
      <c r="T417" s="187"/>
      <c r="U417" s="186"/>
      <c r="V417" s="186"/>
      <c r="W417" s="186"/>
      <c r="X417" s="186"/>
    </row>
    <row r="418">
      <c r="A418" s="185"/>
      <c r="B418" s="67"/>
      <c r="C418" s="186"/>
      <c r="D418" s="186"/>
      <c r="E418" s="186"/>
      <c r="F418" s="186"/>
      <c r="G418" s="186"/>
      <c r="H418" s="186"/>
      <c r="I418" s="186"/>
      <c r="J418" s="186"/>
      <c r="K418" s="186"/>
      <c r="L418" s="186"/>
      <c r="M418" s="67"/>
      <c r="N418" s="67"/>
      <c r="O418" s="67"/>
      <c r="P418" s="67"/>
      <c r="Q418" s="186"/>
      <c r="R418" s="186"/>
      <c r="S418" s="187"/>
      <c r="T418" s="187"/>
      <c r="U418" s="186"/>
      <c r="V418" s="186"/>
      <c r="W418" s="186"/>
      <c r="X418" s="186"/>
    </row>
    <row r="419">
      <c r="A419" s="185"/>
      <c r="B419" s="67"/>
      <c r="C419" s="186"/>
      <c r="D419" s="186"/>
      <c r="E419" s="186"/>
      <c r="F419" s="186"/>
      <c r="G419" s="186"/>
      <c r="H419" s="186"/>
      <c r="I419" s="186"/>
      <c r="J419" s="186"/>
      <c r="K419" s="186"/>
      <c r="L419" s="186"/>
      <c r="M419" s="67"/>
      <c r="N419" s="67"/>
      <c r="O419" s="67"/>
      <c r="P419" s="67"/>
      <c r="Q419" s="186"/>
      <c r="R419" s="186"/>
      <c r="S419" s="187"/>
      <c r="T419" s="187"/>
      <c r="U419" s="186"/>
      <c r="V419" s="186"/>
      <c r="W419" s="186"/>
      <c r="X419" s="186"/>
    </row>
    <row r="420">
      <c r="A420" s="185"/>
      <c r="B420" s="67"/>
      <c r="C420" s="186"/>
      <c r="D420" s="186"/>
      <c r="E420" s="186"/>
      <c r="F420" s="186"/>
      <c r="G420" s="186"/>
      <c r="H420" s="186"/>
      <c r="I420" s="186"/>
      <c r="J420" s="186"/>
      <c r="K420" s="186"/>
      <c r="L420" s="186"/>
      <c r="M420" s="67"/>
      <c r="N420" s="67"/>
      <c r="O420" s="67"/>
      <c r="P420" s="67"/>
      <c r="Q420" s="186"/>
      <c r="R420" s="186"/>
      <c r="S420" s="187"/>
      <c r="T420" s="187"/>
      <c r="U420" s="186"/>
      <c r="V420" s="186"/>
      <c r="W420" s="186"/>
      <c r="X420" s="186"/>
    </row>
    <row r="421">
      <c r="A421" s="185"/>
      <c r="B421" s="67"/>
      <c r="C421" s="186"/>
      <c r="D421" s="186"/>
      <c r="E421" s="186"/>
      <c r="F421" s="186"/>
      <c r="G421" s="186"/>
      <c r="H421" s="186"/>
      <c r="I421" s="186"/>
      <c r="J421" s="186"/>
      <c r="K421" s="186"/>
      <c r="L421" s="186"/>
      <c r="M421" s="67"/>
      <c r="N421" s="67"/>
      <c r="O421" s="67"/>
      <c r="P421" s="67"/>
      <c r="Q421" s="186"/>
      <c r="R421" s="186"/>
      <c r="S421" s="187"/>
      <c r="T421" s="187"/>
      <c r="U421" s="186"/>
      <c r="V421" s="186"/>
      <c r="W421" s="186"/>
      <c r="X421" s="186"/>
    </row>
    <row r="422">
      <c r="A422" s="185"/>
      <c r="B422" s="67"/>
      <c r="C422" s="186"/>
      <c r="D422" s="186"/>
      <c r="E422" s="186"/>
      <c r="F422" s="186"/>
      <c r="G422" s="186"/>
      <c r="H422" s="186"/>
      <c r="I422" s="186"/>
      <c r="J422" s="186"/>
      <c r="K422" s="186"/>
      <c r="L422" s="186"/>
      <c r="M422" s="67"/>
      <c r="N422" s="67"/>
      <c r="O422" s="67"/>
      <c r="P422" s="67"/>
      <c r="Q422" s="186"/>
      <c r="R422" s="186"/>
      <c r="S422" s="187"/>
      <c r="T422" s="187"/>
      <c r="U422" s="186"/>
      <c r="V422" s="186"/>
      <c r="W422" s="186"/>
      <c r="X422" s="186"/>
    </row>
    <row r="423">
      <c r="A423" s="185"/>
      <c r="B423" s="67"/>
      <c r="C423" s="186"/>
      <c r="D423" s="186"/>
      <c r="E423" s="186"/>
      <c r="F423" s="186"/>
      <c r="G423" s="186"/>
      <c r="H423" s="186"/>
      <c r="I423" s="186"/>
      <c r="J423" s="186"/>
      <c r="K423" s="186"/>
      <c r="L423" s="186"/>
      <c r="M423" s="67"/>
      <c r="N423" s="67"/>
      <c r="O423" s="67"/>
      <c r="P423" s="67"/>
      <c r="Q423" s="186"/>
      <c r="R423" s="186"/>
      <c r="S423" s="187"/>
      <c r="T423" s="187"/>
      <c r="U423" s="186"/>
      <c r="V423" s="186"/>
      <c r="W423" s="186"/>
      <c r="X423" s="186"/>
    </row>
    <row r="424">
      <c r="A424" s="185"/>
      <c r="B424" s="67"/>
      <c r="C424" s="186"/>
      <c r="D424" s="186"/>
      <c r="E424" s="186"/>
      <c r="F424" s="186"/>
      <c r="G424" s="186"/>
      <c r="H424" s="186"/>
      <c r="I424" s="186"/>
      <c r="J424" s="186"/>
      <c r="K424" s="186"/>
      <c r="L424" s="186"/>
      <c r="M424" s="67"/>
      <c r="N424" s="67"/>
      <c r="O424" s="67"/>
      <c r="P424" s="67"/>
      <c r="Q424" s="186"/>
      <c r="R424" s="186"/>
      <c r="S424" s="187"/>
      <c r="T424" s="187"/>
      <c r="U424" s="186"/>
      <c r="V424" s="186"/>
      <c r="W424" s="186"/>
      <c r="X424" s="186"/>
    </row>
    <row r="425">
      <c r="A425" s="185"/>
      <c r="B425" s="67"/>
      <c r="C425" s="186"/>
      <c r="D425" s="186"/>
      <c r="E425" s="186"/>
      <c r="F425" s="186"/>
      <c r="G425" s="186"/>
      <c r="H425" s="186"/>
      <c r="I425" s="186"/>
      <c r="J425" s="186"/>
      <c r="K425" s="186"/>
      <c r="L425" s="186"/>
      <c r="M425" s="67"/>
      <c r="N425" s="67"/>
      <c r="O425" s="67"/>
      <c r="P425" s="67"/>
      <c r="Q425" s="186"/>
      <c r="R425" s="186"/>
      <c r="S425" s="187"/>
      <c r="T425" s="187"/>
      <c r="U425" s="186"/>
      <c r="V425" s="186"/>
      <c r="W425" s="186"/>
      <c r="X425" s="186"/>
    </row>
    <row r="426">
      <c r="A426" s="185"/>
      <c r="B426" s="67"/>
      <c r="C426" s="186"/>
      <c r="D426" s="186"/>
      <c r="E426" s="186"/>
      <c r="F426" s="186"/>
      <c r="G426" s="186"/>
      <c r="H426" s="186"/>
      <c r="I426" s="186"/>
      <c r="J426" s="186"/>
      <c r="K426" s="186"/>
      <c r="L426" s="186"/>
      <c r="M426" s="67"/>
      <c r="N426" s="67"/>
      <c r="O426" s="67"/>
      <c r="P426" s="67"/>
      <c r="Q426" s="186"/>
      <c r="R426" s="186"/>
      <c r="S426" s="187"/>
      <c r="T426" s="187"/>
      <c r="U426" s="186"/>
      <c r="V426" s="186"/>
      <c r="W426" s="186"/>
      <c r="X426" s="186"/>
    </row>
    <row r="427">
      <c r="A427" s="185"/>
      <c r="B427" s="67"/>
      <c r="C427" s="186"/>
      <c r="D427" s="186"/>
      <c r="E427" s="186"/>
      <c r="F427" s="186"/>
      <c r="G427" s="186"/>
      <c r="H427" s="186"/>
      <c r="I427" s="186"/>
      <c r="J427" s="186"/>
      <c r="K427" s="186"/>
      <c r="L427" s="186"/>
      <c r="M427" s="67"/>
      <c r="N427" s="67"/>
      <c r="O427" s="67"/>
      <c r="P427" s="67"/>
      <c r="Q427" s="186"/>
      <c r="R427" s="186"/>
      <c r="S427" s="187"/>
      <c r="T427" s="187"/>
      <c r="U427" s="186"/>
      <c r="V427" s="186"/>
      <c r="W427" s="186"/>
      <c r="X427" s="186"/>
    </row>
    <row r="428">
      <c r="A428" s="185"/>
      <c r="B428" s="67"/>
      <c r="C428" s="186"/>
      <c r="D428" s="186"/>
      <c r="E428" s="186"/>
      <c r="F428" s="186"/>
      <c r="G428" s="186"/>
      <c r="H428" s="186"/>
      <c r="I428" s="186"/>
      <c r="J428" s="186"/>
      <c r="K428" s="186"/>
      <c r="L428" s="186"/>
      <c r="M428" s="67"/>
      <c r="N428" s="67"/>
      <c r="O428" s="67"/>
      <c r="P428" s="67"/>
      <c r="Q428" s="186"/>
      <c r="R428" s="186"/>
      <c r="S428" s="187"/>
      <c r="T428" s="187"/>
      <c r="U428" s="186"/>
      <c r="V428" s="186"/>
      <c r="W428" s="186"/>
      <c r="X428" s="186"/>
    </row>
    <row r="429">
      <c r="A429" s="185"/>
      <c r="B429" s="67"/>
      <c r="C429" s="186"/>
      <c r="D429" s="186"/>
      <c r="E429" s="186"/>
      <c r="F429" s="186"/>
      <c r="G429" s="186"/>
      <c r="H429" s="186"/>
      <c r="I429" s="186"/>
      <c r="J429" s="186"/>
      <c r="K429" s="186"/>
      <c r="L429" s="186"/>
      <c r="M429" s="67"/>
      <c r="N429" s="67"/>
      <c r="O429" s="67"/>
      <c r="P429" s="67"/>
      <c r="Q429" s="186"/>
      <c r="R429" s="186"/>
      <c r="S429" s="187"/>
      <c r="T429" s="187"/>
      <c r="U429" s="186"/>
      <c r="V429" s="186"/>
      <c r="W429" s="186"/>
      <c r="X429" s="186"/>
    </row>
    <row r="430">
      <c r="A430" s="185"/>
      <c r="B430" s="67"/>
      <c r="C430" s="186"/>
      <c r="D430" s="186"/>
      <c r="E430" s="186"/>
      <c r="F430" s="186"/>
      <c r="G430" s="186"/>
      <c r="H430" s="186"/>
      <c r="I430" s="186"/>
      <c r="J430" s="186"/>
      <c r="K430" s="186"/>
      <c r="L430" s="186"/>
      <c r="M430" s="67"/>
      <c r="N430" s="67"/>
      <c r="O430" s="67"/>
      <c r="P430" s="67"/>
      <c r="Q430" s="186"/>
      <c r="R430" s="186"/>
      <c r="S430" s="187"/>
      <c r="T430" s="187"/>
      <c r="U430" s="186"/>
      <c r="V430" s="186"/>
      <c r="W430" s="186"/>
      <c r="X430" s="186"/>
    </row>
    <row r="431">
      <c r="A431" s="185"/>
      <c r="B431" s="67"/>
      <c r="C431" s="186"/>
      <c r="D431" s="186"/>
      <c r="E431" s="186"/>
      <c r="F431" s="186"/>
      <c r="G431" s="186"/>
      <c r="H431" s="186"/>
      <c r="I431" s="186"/>
      <c r="J431" s="186"/>
      <c r="K431" s="186"/>
      <c r="L431" s="186"/>
      <c r="M431" s="67"/>
      <c r="N431" s="67"/>
      <c r="O431" s="67"/>
      <c r="P431" s="67"/>
      <c r="Q431" s="186"/>
      <c r="R431" s="186"/>
      <c r="S431" s="187"/>
      <c r="T431" s="187"/>
      <c r="U431" s="186"/>
      <c r="V431" s="186"/>
      <c r="W431" s="186"/>
      <c r="X431" s="186"/>
    </row>
    <row r="432">
      <c r="A432" s="185"/>
      <c r="B432" s="67"/>
      <c r="C432" s="186"/>
      <c r="D432" s="186"/>
      <c r="E432" s="186"/>
      <c r="F432" s="186"/>
      <c r="G432" s="186"/>
      <c r="H432" s="186"/>
      <c r="I432" s="186"/>
      <c r="J432" s="186"/>
      <c r="K432" s="186"/>
      <c r="L432" s="186"/>
      <c r="M432" s="67"/>
      <c r="N432" s="67"/>
      <c r="O432" s="67"/>
      <c r="P432" s="67"/>
      <c r="Q432" s="186"/>
      <c r="R432" s="186"/>
      <c r="S432" s="187"/>
      <c r="T432" s="187"/>
      <c r="U432" s="186"/>
      <c r="V432" s="186"/>
      <c r="W432" s="186"/>
      <c r="X432" s="186"/>
    </row>
    <row r="433">
      <c r="A433" s="185"/>
      <c r="B433" s="67"/>
      <c r="C433" s="186"/>
      <c r="D433" s="186"/>
      <c r="E433" s="186"/>
      <c r="F433" s="186"/>
      <c r="G433" s="186"/>
      <c r="H433" s="186"/>
      <c r="I433" s="186"/>
      <c r="J433" s="186"/>
      <c r="K433" s="186"/>
      <c r="L433" s="186"/>
      <c r="M433" s="67"/>
      <c r="N433" s="67"/>
      <c r="O433" s="67"/>
      <c r="P433" s="67"/>
      <c r="Q433" s="186"/>
      <c r="R433" s="186"/>
      <c r="S433" s="187"/>
      <c r="T433" s="187"/>
      <c r="U433" s="186"/>
      <c r="V433" s="186"/>
      <c r="W433" s="186"/>
      <c r="X433" s="186"/>
    </row>
    <row r="434">
      <c r="A434" s="185"/>
      <c r="B434" s="67"/>
      <c r="C434" s="186"/>
      <c r="D434" s="186"/>
      <c r="E434" s="186"/>
      <c r="F434" s="186"/>
      <c r="G434" s="186"/>
      <c r="H434" s="186"/>
      <c r="I434" s="186"/>
      <c r="J434" s="186"/>
      <c r="K434" s="186"/>
      <c r="L434" s="186"/>
      <c r="M434" s="67"/>
      <c r="N434" s="67"/>
      <c r="O434" s="67"/>
      <c r="P434" s="67"/>
      <c r="Q434" s="186"/>
      <c r="R434" s="186"/>
      <c r="S434" s="187"/>
      <c r="T434" s="187"/>
      <c r="U434" s="186"/>
      <c r="V434" s="186"/>
      <c r="W434" s="186"/>
      <c r="X434" s="186"/>
    </row>
    <row r="435">
      <c r="A435" s="185"/>
      <c r="B435" s="67"/>
      <c r="C435" s="186"/>
      <c r="D435" s="186"/>
      <c r="E435" s="186"/>
      <c r="F435" s="186"/>
      <c r="G435" s="186"/>
      <c r="H435" s="186"/>
      <c r="I435" s="186"/>
      <c r="J435" s="186"/>
      <c r="K435" s="186"/>
      <c r="L435" s="186"/>
      <c r="M435" s="67"/>
      <c r="N435" s="67"/>
      <c r="O435" s="67"/>
      <c r="P435" s="67"/>
      <c r="Q435" s="186"/>
      <c r="R435" s="186"/>
      <c r="S435" s="187"/>
      <c r="T435" s="187"/>
      <c r="U435" s="186"/>
      <c r="V435" s="186"/>
      <c r="W435" s="186"/>
      <c r="X435" s="186"/>
    </row>
    <row r="436">
      <c r="A436" s="185"/>
      <c r="B436" s="67"/>
      <c r="C436" s="186"/>
      <c r="D436" s="186"/>
      <c r="E436" s="186"/>
      <c r="F436" s="186"/>
      <c r="G436" s="186"/>
      <c r="H436" s="186"/>
      <c r="I436" s="186"/>
      <c r="J436" s="186"/>
      <c r="K436" s="186"/>
      <c r="L436" s="186"/>
      <c r="M436" s="67"/>
      <c r="N436" s="67"/>
      <c r="O436" s="67"/>
      <c r="P436" s="67"/>
      <c r="Q436" s="186"/>
      <c r="R436" s="186"/>
      <c r="S436" s="187"/>
      <c r="T436" s="187"/>
      <c r="U436" s="186"/>
      <c r="V436" s="186"/>
      <c r="W436" s="186"/>
      <c r="X436" s="186"/>
    </row>
    <row r="437">
      <c r="A437" s="185"/>
      <c r="B437" s="67"/>
      <c r="C437" s="186"/>
      <c r="D437" s="186"/>
      <c r="E437" s="186"/>
      <c r="F437" s="186"/>
      <c r="G437" s="186"/>
      <c r="H437" s="186"/>
      <c r="I437" s="186"/>
      <c r="J437" s="186"/>
      <c r="K437" s="186"/>
      <c r="L437" s="186"/>
      <c r="M437" s="67"/>
      <c r="N437" s="67"/>
      <c r="O437" s="67"/>
      <c r="P437" s="67"/>
      <c r="Q437" s="186"/>
      <c r="R437" s="186"/>
      <c r="S437" s="187"/>
      <c r="T437" s="187"/>
      <c r="U437" s="186"/>
      <c r="V437" s="186"/>
      <c r="W437" s="186"/>
      <c r="X437" s="186"/>
    </row>
    <row r="438">
      <c r="A438" s="185"/>
      <c r="B438" s="67"/>
      <c r="C438" s="186"/>
      <c r="D438" s="186"/>
      <c r="E438" s="186"/>
      <c r="F438" s="186"/>
      <c r="G438" s="186"/>
      <c r="H438" s="186"/>
      <c r="I438" s="186"/>
      <c r="J438" s="186"/>
      <c r="K438" s="186"/>
      <c r="L438" s="186"/>
      <c r="M438" s="67"/>
      <c r="N438" s="67"/>
      <c r="O438" s="67"/>
      <c r="P438" s="67"/>
      <c r="Q438" s="186"/>
      <c r="R438" s="186"/>
      <c r="S438" s="187"/>
      <c r="T438" s="187"/>
      <c r="U438" s="186"/>
      <c r="V438" s="186"/>
      <c r="W438" s="186"/>
      <c r="X438" s="186"/>
    </row>
    <row r="439">
      <c r="A439" s="185"/>
      <c r="B439" s="67"/>
      <c r="C439" s="186"/>
      <c r="D439" s="186"/>
      <c r="E439" s="186"/>
      <c r="F439" s="186"/>
      <c r="G439" s="186"/>
      <c r="H439" s="186"/>
      <c r="I439" s="186"/>
      <c r="J439" s="186"/>
      <c r="K439" s="186"/>
      <c r="L439" s="186"/>
      <c r="M439" s="67"/>
      <c r="N439" s="67"/>
      <c r="O439" s="67"/>
      <c r="P439" s="67"/>
      <c r="Q439" s="186"/>
      <c r="R439" s="186"/>
      <c r="S439" s="187"/>
      <c r="T439" s="187"/>
      <c r="U439" s="186"/>
      <c r="V439" s="186"/>
      <c r="W439" s="186"/>
      <c r="X439" s="186"/>
    </row>
    <row r="440">
      <c r="A440" s="185"/>
      <c r="B440" s="67"/>
      <c r="C440" s="186"/>
      <c r="D440" s="186"/>
      <c r="E440" s="186"/>
      <c r="F440" s="186"/>
      <c r="G440" s="186"/>
      <c r="H440" s="186"/>
      <c r="I440" s="186"/>
      <c r="J440" s="186"/>
      <c r="K440" s="186"/>
      <c r="L440" s="186"/>
      <c r="M440" s="67"/>
      <c r="N440" s="67"/>
      <c r="O440" s="67"/>
      <c r="P440" s="67"/>
      <c r="Q440" s="186"/>
      <c r="R440" s="186"/>
      <c r="S440" s="187"/>
      <c r="T440" s="187"/>
      <c r="U440" s="186"/>
      <c r="V440" s="186"/>
      <c r="W440" s="186"/>
      <c r="X440" s="186"/>
    </row>
    <row r="441">
      <c r="A441" s="185"/>
      <c r="B441" s="67"/>
      <c r="C441" s="186"/>
      <c r="D441" s="186"/>
      <c r="E441" s="186"/>
      <c r="F441" s="186"/>
      <c r="G441" s="186"/>
      <c r="H441" s="186"/>
      <c r="I441" s="186"/>
      <c r="J441" s="186"/>
      <c r="K441" s="186"/>
      <c r="L441" s="186"/>
      <c r="M441" s="67"/>
      <c r="N441" s="67"/>
      <c r="O441" s="67"/>
      <c r="P441" s="67"/>
      <c r="Q441" s="186"/>
      <c r="R441" s="186"/>
      <c r="S441" s="187"/>
      <c r="T441" s="187"/>
      <c r="U441" s="186"/>
      <c r="V441" s="186"/>
      <c r="W441" s="186"/>
      <c r="X441" s="186"/>
    </row>
    <row r="442">
      <c r="A442" s="185"/>
      <c r="B442" s="67"/>
      <c r="C442" s="186"/>
      <c r="D442" s="186"/>
      <c r="E442" s="186"/>
      <c r="F442" s="186"/>
      <c r="G442" s="186"/>
      <c r="H442" s="186"/>
      <c r="I442" s="186"/>
      <c r="J442" s="186"/>
      <c r="K442" s="186"/>
      <c r="L442" s="186"/>
      <c r="M442" s="67"/>
      <c r="N442" s="67"/>
      <c r="O442" s="67"/>
      <c r="P442" s="67"/>
      <c r="Q442" s="186"/>
      <c r="R442" s="186"/>
      <c r="S442" s="187"/>
      <c r="T442" s="187"/>
      <c r="U442" s="186"/>
      <c r="V442" s="186"/>
      <c r="W442" s="186"/>
      <c r="X442" s="186"/>
    </row>
    <row r="443">
      <c r="A443" s="185"/>
      <c r="B443" s="67"/>
      <c r="C443" s="186"/>
      <c r="D443" s="186"/>
      <c r="E443" s="186"/>
      <c r="F443" s="186"/>
      <c r="G443" s="186"/>
      <c r="H443" s="186"/>
      <c r="I443" s="186"/>
      <c r="J443" s="186"/>
      <c r="K443" s="186"/>
      <c r="L443" s="186"/>
      <c r="M443" s="67"/>
      <c r="N443" s="67"/>
      <c r="O443" s="67"/>
      <c r="P443" s="67"/>
      <c r="Q443" s="186"/>
      <c r="R443" s="186"/>
      <c r="S443" s="187"/>
      <c r="T443" s="187"/>
      <c r="U443" s="186"/>
      <c r="V443" s="186"/>
      <c r="W443" s="186"/>
      <c r="X443" s="186"/>
    </row>
    <row r="444">
      <c r="A444" s="185"/>
      <c r="B444" s="67"/>
      <c r="C444" s="186"/>
      <c r="D444" s="186"/>
      <c r="E444" s="186"/>
      <c r="F444" s="186"/>
      <c r="G444" s="186"/>
      <c r="H444" s="186"/>
      <c r="I444" s="186"/>
      <c r="J444" s="186"/>
      <c r="K444" s="186"/>
      <c r="L444" s="186"/>
      <c r="M444" s="67"/>
      <c r="N444" s="67"/>
      <c r="O444" s="67"/>
      <c r="P444" s="67"/>
      <c r="Q444" s="186"/>
      <c r="R444" s="186"/>
      <c r="S444" s="187"/>
      <c r="T444" s="187"/>
      <c r="U444" s="186"/>
      <c r="V444" s="186"/>
      <c r="W444" s="186"/>
      <c r="X444" s="186"/>
    </row>
    <row r="445">
      <c r="A445" s="185"/>
      <c r="B445" s="67"/>
      <c r="C445" s="186"/>
      <c r="D445" s="186"/>
      <c r="E445" s="186"/>
      <c r="F445" s="186"/>
      <c r="G445" s="186"/>
      <c r="H445" s="186"/>
      <c r="I445" s="186"/>
      <c r="J445" s="186"/>
      <c r="K445" s="186"/>
      <c r="L445" s="186"/>
      <c r="M445" s="67"/>
      <c r="N445" s="67"/>
      <c r="O445" s="67"/>
      <c r="P445" s="67"/>
      <c r="Q445" s="186"/>
      <c r="R445" s="186"/>
      <c r="S445" s="187"/>
      <c r="T445" s="187"/>
      <c r="U445" s="186"/>
      <c r="V445" s="186"/>
      <c r="W445" s="186"/>
      <c r="X445" s="186"/>
    </row>
    <row r="446">
      <c r="A446" s="185"/>
      <c r="B446" s="67"/>
      <c r="C446" s="186"/>
      <c r="D446" s="186"/>
      <c r="E446" s="186"/>
      <c r="F446" s="186"/>
      <c r="G446" s="186"/>
      <c r="H446" s="186"/>
      <c r="I446" s="186"/>
      <c r="J446" s="186"/>
      <c r="K446" s="186"/>
      <c r="L446" s="186"/>
      <c r="M446" s="67"/>
      <c r="N446" s="67"/>
      <c r="O446" s="67"/>
      <c r="P446" s="67"/>
      <c r="Q446" s="186"/>
      <c r="R446" s="186"/>
      <c r="S446" s="187"/>
      <c r="T446" s="187"/>
      <c r="U446" s="186"/>
      <c r="V446" s="186"/>
      <c r="W446" s="186"/>
      <c r="X446" s="186"/>
    </row>
    <row r="447">
      <c r="A447" s="185"/>
      <c r="B447" s="67"/>
      <c r="C447" s="186"/>
      <c r="D447" s="186"/>
      <c r="E447" s="186"/>
      <c r="F447" s="186"/>
      <c r="G447" s="186"/>
      <c r="H447" s="186"/>
      <c r="I447" s="186"/>
      <c r="J447" s="186"/>
      <c r="K447" s="186"/>
      <c r="L447" s="186"/>
      <c r="M447" s="67"/>
      <c r="N447" s="67"/>
      <c r="O447" s="67"/>
      <c r="P447" s="67"/>
      <c r="Q447" s="186"/>
      <c r="R447" s="186"/>
      <c r="S447" s="187"/>
      <c r="T447" s="187"/>
      <c r="U447" s="186"/>
      <c r="V447" s="186"/>
      <c r="W447" s="186"/>
      <c r="X447" s="186"/>
    </row>
    <row r="448">
      <c r="A448" s="185"/>
      <c r="B448" s="67"/>
      <c r="C448" s="186"/>
      <c r="D448" s="186"/>
      <c r="E448" s="186"/>
      <c r="F448" s="186"/>
      <c r="G448" s="186"/>
      <c r="H448" s="186"/>
      <c r="I448" s="186"/>
      <c r="J448" s="186"/>
      <c r="K448" s="186"/>
      <c r="L448" s="186"/>
      <c r="M448" s="67"/>
      <c r="N448" s="67"/>
      <c r="O448" s="67"/>
      <c r="P448" s="67"/>
      <c r="Q448" s="186"/>
      <c r="R448" s="186"/>
      <c r="S448" s="187"/>
      <c r="T448" s="187"/>
      <c r="U448" s="186"/>
      <c r="V448" s="186"/>
      <c r="W448" s="186"/>
      <c r="X448" s="186"/>
    </row>
    <row r="449">
      <c r="A449" s="185"/>
      <c r="B449" s="67"/>
      <c r="C449" s="186"/>
      <c r="D449" s="186"/>
      <c r="E449" s="186"/>
      <c r="F449" s="186"/>
      <c r="G449" s="186"/>
      <c r="H449" s="186"/>
      <c r="I449" s="186"/>
      <c r="J449" s="186"/>
      <c r="K449" s="186"/>
      <c r="L449" s="186"/>
      <c r="M449" s="67"/>
      <c r="N449" s="67"/>
      <c r="O449" s="67"/>
      <c r="P449" s="67"/>
      <c r="Q449" s="186"/>
      <c r="R449" s="186"/>
      <c r="S449" s="187"/>
      <c r="T449" s="187"/>
      <c r="U449" s="186"/>
      <c r="V449" s="186"/>
      <c r="W449" s="186"/>
      <c r="X449" s="186"/>
    </row>
    <row r="450">
      <c r="A450" s="185"/>
      <c r="B450" s="67"/>
      <c r="C450" s="186"/>
      <c r="D450" s="186"/>
      <c r="E450" s="186"/>
      <c r="F450" s="186"/>
      <c r="G450" s="186"/>
      <c r="H450" s="186"/>
      <c r="I450" s="186"/>
      <c r="J450" s="186"/>
      <c r="K450" s="186"/>
      <c r="L450" s="186"/>
      <c r="M450" s="67"/>
      <c r="N450" s="67"/>
      <c r="O450" s="67"/>
      <c r="P450" s="67"/>
      <c r="Q450" s="186"/>
      <c r="R450" s="186"/>
      <c r="S450" s="187"/>
      <c r="T450" s="187"/>
      <c r="U450" s="186"/>
      <c r="V450" s="186"/>
      <c r="W450" s="186"/>
      <c r="X450" s="186"/>
    </row>
    <row r="451">
      <c r="A451" s="185"/>
      <c r="B451" s="67"/>
      <c r="C451" s="186"/>
      <c r="D451" s="186"/>
      <c r="E451" s="186"/>
      <c r="F451" s="186"/>
      <c r="G451" s="186"/>
      <c r="H451" s="186"/>
      <c r="I451" s="186"/>
      <c r="J451" s="186"/>
      <c r="K451" s="186"/>
      <c r="L451" s="186"/>
      <c r="M451" s="67"/>
      <c r="N451" s="67"/>
      <c r="O451" s="67"/>
      <c r="P451" s="67"/>
      <c r="Q451" s="186"/>
      <c r="R451" s="186"/>
      <c r="S451" s="187"/>
      <c r="T451" s="187"/>
      <c r="U451" s="186"/>
      <c r="V451" s="186"/>
      <c r="W451" s="186"/>
      <c r="X451" s="186"/>
    </row>
    <row r="452">
      <c r="A452" s="185"/>
      <c r="B452" s="67"/>
      <c r="C452" s="186"/>
      <c r="D452" s="186"/>
      <c r="E452" s="186"/>
      <c r="F452" s="186"/>
      <c r="G452" s="186"/>
      <c r="H452" s="186"/>
      <c r="I452" s="186"/>
      <c r="J452" s="186"/>
      <c r="K452" s="186"/>
      <c r="L452" s="186"/>
      <c r="M452" s="67"/>
      <c r="N452" s="67"/>
      <c r="O452" s="67"/>
      <c r="P452" s="67"/>
      <c r="Q452" s="186"/>
      <c r="R452" s="186"/>
      <c r="S452" s="187"/>
      <c r="T452" s="187"/>
      <c r="U452" s="186"/>
      <c r="V452" s="186"/>
      <c r="W452" s="186"/>
      <c r="X452" s="186"/>
    </row>
    <row r="453">
      <c r="A453" s="185"/>
      <c r="B453" s="67"/>
      <c r="C453" s="186"/>
      <c r="D453" s="186"/>
      <c r="E453" s="186"/>
      <c r="F453" s="186"/>
      <c r="G453" s="186"/>
      <c r="H453" s="186"/>
      <c r="I453" s="186"/>
      <c r="J453" s="186"/>
      <c r="K453" s="186"/>
      <c r="L453" s="186"/>
      <c r="M453" s="67"/>
      <c r="N453" s="67"/>
      <c r="O453" s="67"/>
      <c r="P453" s="67"/>
      <c r="Q453" s="186"/>
      <c r="R453" s="186"/>
      <c r="S453" s="187"/>
      <c r="T453" s="187"/>
      <c r="U453" s="186"/>
      <c r="V453" s="186"/>
      <c r="W453" s="186"/>
      <c r="X453" s="186"/>
    </row>
    <row r="454">
      <c r="A454" s="185"/>
      <c r="B454" s="67"/>
      <c r="C454" s="186"/>
      <c r="D454" s="186"/>
      <c r="E454" s="186"/>
      <c r="F454" s="186"/>
      <c r="G454" s="186"/>
      <c r="H454" s="186"/>
      <c r="I454" s="186"/>
      <c r="J454" s="186"/>
      <c r="K454" s="186"/>
      <c r="L454" s="186"/>
      <c r="M454" s="67"/>
      <c r="N454" s="67"/>
      <c r="O454" s="67"/>
      <c r="P454" s="67"/>
      <c r="Q454" s="186"/>
      <c r="R454" s="186"/>
      <c r="S454" s="187"/>
      <c r="T454" s="187"/>
      <c r="U454" s="186"/>
      <c r="V454" s="186"/>
      <c r="W454" s="186"/>
      <c r="X454" s="186"/>
    </row>
    <row r="455">
      <c r="A455" s="185"/>
      <c r="B455" s="67"/>
      <c r="C455" s="186"/>
      <c r="D455" s="186"/>
      <c r="E455" s="186"/>
      <c r="F455" s="186"/>
      <c r="G455" s="186"/>
      <c r="H455" s="186"/>
      <c r="I455" s="186"/>
      <c r="J455" s="186"/>
      <c r="K455" s="186"/>
      <c r="L455" s="186"/>
      <c r="M455" s="67"/>
      <c r="N455" s="67"/>
      <c r="O455" s="67"/>
      <c r="P455" s="67"/>
      <c r="Q455" s="186"/>
      <c r="R455" s="186"/>
      <c r="S455" s="187"/>
      <c r="T455" s="187"/>
      <c r="U455" s="186"/>
      <c r="V455" s="186"/>
      <c r="W455" s="186"/>
      <c r="X455" s="186"/>
    </row>
    <row r="456">
      <c r="A456" s="185"/>
      <c r="B456" s="67"/>
      <c r="C456" s="186"/>
      <c r="D456" s="186"/>
      <c r="E456" s="186"/>
      <c r="F456" s="186"/>
      <c r="G456" s="186"/>
      <c r="H456" s="186"/>
      <c r="I456" s="186"/>
      <c r="J456" s="186"/>
      <c r="K456" s="186"/>
      <c r="L456" s="186"/>
      <c r="M456" s="67"/>
      <c r="N456" s="67"/>
      <c r="O456" s="67"/>
      <c r="P456" s="67"/>
      <c r="Q456" s="186"/>
      <c r="R456" s="186"/>
      <c r="S456" s="187"/>
      <c r="T456" s="187"/>
      <c r="U456" s="186"/>
      <c r="V456" s="186"/>
      <c r="W456" s="186"/>
      <c r="X456" s="186"/>
    </row>
    <row r="457">
      <c r="A457" s="185"/>
      <c r="B457" s="67"/>
      <c r="C457" s="186"/>
      <c r="D457" s="186"/>
      <c r="E457" s="186"/>
      <c r="F457" s="186"/>
      <c r="G457" s="186"/>
      <c r="H457" s="186"/>
      <c r="I457" s="186"/>
      <c r="J457" s="186"/>
      <c r="K457" s="186"/>
      <c r="L457" s="186"/>
      <c r="M457" s="67"/>
      <c r="N457" s="67"/>
      <c r="O457" s="67"/>
      <c r="P457" s="67"/>
      <c r="Q457" s="186"/>
      <c r="R457" s="186"/>
      <c r="S457" s="187"/>
      <c r="T457" s="187"/>
      <c r="U457" s="186"/>
      <c r="V457" s="186"/>
      <c r="W457" s="186"/>
      <c r="X457" s="186"/>
    </row>
    <row r="458">
      <c r="A458" s="185"/>
      <c r="B458" s="67"/>
      <c r="C458" s="186"/>
      <c r="D458" s="186"/>
      <c r="E458" s="186"/>
      <c r="F458" s="186"/>
      <c r="G458" s="186"/>
      <c r="H458" s="186"/>
      <c r="I458" s="186"/>
      <c r="J458" s="186"/>
      <c r="K458" s="186"/>
      <c r="L458" s="186"/>
      <c r="M458" s="67"/>
      <c r="N458" s="67"/>
      <c r="O458" s="67"/>
      <c r="P458" s="67"/>
      <c r="Q458" s="186"/>
      <c r="R458" s="186"/>
      <c r="S458" s="187"/>
      <c r="T458" s="187"/>
      <c r="U458" s="186"/>
      <c r="V458" s="186"/>
      <c r="W458" s="186"/>
      <c r="X458" s="186"/>
    </row>
    <row r="459">
      <c r="A459" s="185"/>
      <c r="B459" s="67"/>
      <c r="C459" s="186"/>
      <c r="D459" s="186"/>
      <c r="E459" s="186"/>
      <c r="F459" s="186"/>
      <c r="G459" s="186"/>
      <c r="H459" s="186"/>
      <c r="I459" s="186"/>
      <c r="J459" s="186"/>
      <c r="K459" s="186"/>
      <c r="L459" s="186"/>
      <c r="M459" s="67"/>
      <c r="N459" s="67"/>
      <c r="O459" s="67"/>
      <c r="P459" s="67"/>
      <c r="Q459" s="186"/>
      <c r="R459" s="186"/>
      <c r="S459" s="187"/>
      <c r="T459" s="187"/>
      <c r="U459" s="186"/>
      <c r="V459" s="186"/>
      <c r="W459" s="186"/>
      <c r="X459" s="186"/>
    </row>
    <row r="460">
      <c r="A460" s="185"/>
      <c r="B460" s="67"/>
      <c r="C460" s="186"/>
      <c r="D460" s="186"/>
      <c r="E460" s="186"/>
      <c r="F460" s="186"/>
      <c r="G460" s="186"/>
      <c r="H460" s="186"/>
      <c r="I460" s="186"/>
      <c r="J460" s="186"/>
      <c r="K460" s="186"/>
      <c r="L460" s="186"/>
      <c r="M460" s="67"/>
      <c r="N460" s="67"/>
      <c r="O460" s="67"/>
      <c r="P460" s="67"/>
      <c r="Q460" s="186"/>
      <c r="R460" s="186"/>
      <c r="S460" s="187"/>
      <c r="T460" s="187"/>
      <c r="U460" s="186"/>
      <c r="V460" s="186"/>
      <c r="W460" s="186"/>
      <c r="X460" s="186"/>
    </row>
    <row r="461">
      <c r="A461" s="185"/>
      <c r="B461" s="67"/>
      <c r="C461" s="186"/>
      <c r="D461" s="186"/>
      <c r="E461" s="186"/>
      <c r="F461" s="186"/>
      <c r="G461" s="186"/>
      <c r="H461" s="186"/>
      <c r="I461" s="186"/>
      <c r="J461" s="186"/>
      <c r="K461" s="186"/>
      <c r="L461" s="186"/>
      <c r="M461" s="67"/>
      <c r="N461" s="67"/>
      <c r="O461" s="67"/>
      <c r="P461" s="67"/>
      <c r="Q461" s="186"/>
      <c r="R461" s="186"/>
      <c r="S461" s="187"/>
      <c r="T461" s="187"/>
      <c r="U461" s="186"/>
      <c r="V461" s="186"/>
      <c r="W461" s="186"/>
      <c r="X461" s="186"/>
    </row>
    <row r="462">
      <c r="A462" s="185"/>
      <c r="B462" s="67"/>
      <c r="C462" s="186"/>
      <c r="D462" s="186"/>
      <c r="E462" s="186"/>
      <c r="F462" s="186"/>
      <c r="G462" s="186"/>
      <c r="H462" s="186"/>
      <c r="I462" s="186"/>
      <c r="J462" s="186"/>
      <c r="K462" s="186"/>
      <c r="L462" s="186"/>
      <c r="M462" s="67"/>
      <c r="N462" s="67"/>
      <c r="O462" s="67"/>
      <c r="P462" s="67"/>
      <c r="Q462" s="186"/>
      <c r="R462" s="186"/>
      <c r="S462" s="187"/>
      <c r="T462" s="187"/>
      <c r="U462" s="186"/>
      <c r="V462" s="186"/>
      <c r="W462" s="186"/>
      <c r="X462" s="186"/>
    </row>
    <row r="463">
      <c r="A463" s="185"/>
      <c r="B463" s="67"/>
      <c r="C463" s="186"/>
      <c r="D463" s="186"/>
      <c r="E463" s="186"/>
      <c r="F463" s="186"/>
      <c r="G463" s="186"/>
      <c r="H463" s="186"/>
      <c r="I463" s="186"/>
      <c r="J463" s="186"/>
      <c r="K463" s="186"/>
      <c r="L463" s="186"/>
      <c r="M463" s="67"/>
      <c r="N463" s="67"/>
      <c r="O463" s="67"/>
      <c r="P463" s="67"/>
      <c r="Q463" s="186"/>
      <c r="R463" s="186"/>
      <c r="S463" s="187"/>
      <c r="T463" s="187"/>
      <c r="U463" s="186"/>
      <c r="V463" s="186"/>
      <c r="W463" s="186"/>
      <c r="X463" s="186"/>
    </row>
    <row r="464">
      <c r="A464" s="185"/>
      <c r="B464" s="67"/>
      <c r="C464" s="186"/>
      <c r="D464" s="186"/>
      <c r="E464" s="186"/>
      <c r="F464" s="186"/>
      <c r="G464" s="186"/>
      <c r="H464" s="186"/>
      <c r="I464" s="186"/>
      <c r="J464" s="186"/>
      <c r="K464" s="186"/>
      <c r="L464" s="186"/>
      <c r="M464" s="67"/>
      <c r="N464" s="67"/>
      <c r="O464" s="67"/>
      <c r="P464" s="67"/>
      <c r="Q464" s="186"/>
      <c r="R464" s="186"/>
      <c r="S464" s="187"/>
      <c r="T464" s="187"/>
      <c r="U464" s="186"/>
      <c r="V464" s="186"/>
      <c r="W464" s="186"/>
      <c r="X464" s="186"/>
    </row>
    <row r="465">
      <c r="A465" s="185"/>
      <c r="B465" s="67"/>
      <c r="C465" s="186"/>
      <c r="D465" s="186"/>
      <c r="E465" s="186"/>
      <c r="F465" s="186"/>
      <c r="G465" s="186"/>
      <c r="H465" s="186"/>
      <c r="I465" s="186"/>
      <c r="J465" s="186"/>
      <c r="K465" s="186"/>
      <c r="L465" s="186"/>
      <c r="M465" s="67"/>
      <c r="N465" s="67"/>
      <c r="O465" s="67"/>
      <c r="P465" s="67"/>
      <c r="Q465" s="186"/>
      <c r="R465" s="186"/>
      <c r="S465" s="187"/>
      <c r="T465" s="187"/>
      <c r="U465" s="186"/>
      <c r="V465" s="186"/>
      <c r="W465" s="186"/>
      <c r="X465" s="186"/>
    </row>
    <row r="466">
      <c r="A466" s="185"/>
      <c r="B466" s="67"/>
      <c r="C466" s="186"/>
      <c r="D466" s="186"/>
      <c r="E466" s="186"/>
      <c r="F466" s="186"/>
      <c r="G466" s="186"/>
      <c r="H466" s="186"/>
      <c r="I466" s="186"/>
      <c r="J466" s="186"/>
      <c r="K466" s="186"/>
      <c r="L466" s="186"/>
      <c r="M466" s="67"/>
      <c r="N466" s="67"/>
      <c r="O466" s="67"/>
      <c r="P466" s="67"/>
      <c r="Q466" s="186"/>
      <c r="R466" s="186"/>
      <c r="S466" s="187"/>
      <c r="T466" s="187"/>
      <c r="U466" s="186"/>
      <c r="V466" s="186"/>
      <c r="W466" s="186"/>
      <c r="X466" s="186"/>
    </row>
    <row r="467">
      <c r="A467" s="185"/>
      <c r="B467" s="67"/>
      <c r="C467" s="186"/>
      <c r="D467" s="186"/>
      <c r="E467" s="186"/>
      <c r="F467" s="186"/>
      <c r="G467" s="186"/>
      <c r="H467" s="186"/>
      <c r="I467" s="186"/>
      <c r="J467" s="186"/>
      <c r="K467" s="186"/>
      <c r="L467" s="186"/>
      <c r="M467" s="67"/>
      <c r="N467" s="67"/>
      <c r="O467" s="67"/>
      <c r="P467" s="67"/>
      <c r="Q467" s="186"/>
      <c r="R467" s="186"/>
      <c r="S467" s="187"/>
      <c r="T467" s="187"/>
      <c r="U467" s="186"/>
      <c r="V467" s="186"/>
      <c r="W467" s="186"/>
      <c r="X467" s="186"/>
    </row>
    <row r="468">
      <c r="A468" s="185"/>
      <c r="B468" s="67"/>
      <c r="C468" s="186"/>
      <c r="D468" s="186"/>
      <c r="E468" s="186"/>
      <c r="F468" s="186"/>
      <c r="G468" s="186"/>
      <c r="H468" s="186"/>
      <c r="I468" s="186"/>
      <c r="J468" s="186"/>
      <c r="K468" s="186"/>
      <c r="L468" s="186"/>
      <c r="M468" s="67"/>
      <c r="N468" s="67"/>
      <c r="O468" s="67"/>
      <c r="P468" s="67"/>
      <c r="Q468" s="186"/>
      <c r="R468" s="186"/>
      <c r="S468" s="187"/>
      <c r="T468" s="187"/>
      <c r="U468" s="186"/>
      <c r="V468" s="186"/>
      <c r="W468" s="186"/>
      <c r="X468" s="186"/>
    </row>
    <row r="469">
      <c r="A469" s="185"/>
      <c r="B469" s="67"/>
      <c r="C469" s="186"/>
      <c r="D469" s="186"/>
      <c r="E469" s="186"/>
      <c r="F469" s="186"/>
      <c r="G469" s="186"/>
      <c r="H469" s="186"/>
      <c r="I469" s="186"/>
      <c r="J469" s="186"/>
      <c r="K469" s="186"/>
      <c r="L469" s="186"/>
      <c r="M469" s="67"/>
      <c r="N469" s="67"/>
      <c r="O469" s="67"/>
      <c r="P469" s="67"/>
      <c r="Q469" s="186"/>
      <c r="R469" s="186"/>
      <c r="S469" s="187"/>
      <c r="T469" s="187"/>
      <c r="U469" s="186"/>
      <c r="V469" s="186"/>
      <c r="W469" s="186"/>
      <c r="X469" s="186"/>
    </row>
    <row r="470">
      <c r="A470" s="185"/>
      <c r="B470" s="67"/>
      <c r="C470" s="186"/>
      <c r="D470" s="186"/>
      <c r="E470" s="186"/>
      <c r="F470" s="186"/>
      <c r="G470" s="186"/>
      <c r="H470" s="186"/>
      <c r="I470" s="186"/>
      <c r="J470" s="186"/>
      <c r="K470" s="186"/>
      <c r="L470" s="186"/>
      <c r="M470" s="67"/>
      <c r="N470" s="67"/>
      <c r="O470" s="67"/>
      <c r="P470" s="67"/>
      <c r="Q470" s="186"/>
      <c r="R470" s="186"/>
      <c r="S470" s="187"/>
      <c r="T470" s="187"/>
      <c r="U470" s="186"/>
      <c r="V470" s="186"/>
      <c r="W470" s="186"/>
      <c r="X470" s="186"/>
    </row>
    <row r="471">
      <c r="A471" s="185"/>
      <c r="B471" s="67"/>
      <c r="C471" s="186"/>
      <c r="D471" s="186"/>
      <c r="E471" s="186"/>
      <c r="F471" s="186"/>
      <c r="G471" s="186"/>
      <c r="H471" s="186"/>
      <c r="I471" s="186"/>
      <c r="J471" s="186"/>
      <c r="K471" s="186"/>
      <c r="L471" s="186"/>
      <c r="M471" s="67"/>
      <c r="N471" s="67"/>
      <c r="O471" s="67"/>
      <c r="P471" s="67"/>
      <c r="Q471" s="186"/>
      <c r="R471" s="186"/>
      <c r="S471" s="187"/>
      <c r="T471" s="187"/>
      <c r="U471" s="186"/>
      <c r="V471" s="186"/>
      <c r="W471" s="186"/>
      <c r="X471" s="186"/>
    </row>
    <row r="472">
      <c r="A472" s="185"/>
      <c r="B472" s="67"/>
      <c r="C472" s="186"/>
      <c r="D472" s="186"/>
      <c r="E472" s="186"/>
      <c r="F472" s="186"/>
      <c r="G472" s="186"/>
      <c r="H472" s="186"/>
      <c r="I472" s="186"/>
      <c r="J472" s="186"/>
      <c r="K472" s="186"/>
      <c r="L472" s="186"/>
      <c r="M472" s="67"/>
      <c r="N472" s="67"/>
      <c r="O472" s="67"/>
      <c r="P472" s="67"/>
      <c r="Q472" s="186"/>
      <c r="R472" s="186"/>
      <c r="S472" s="187"/>
      <c r="T472" s="187"/>
      <c r="U472" s="186"/>
      <c r="V472" s="186"/>
      <c r="W472" s="186"/>
      <c r="X472" s="186"/>
    </row>
    <row r="473">
      <c r="A473" s="185"/>
      <c r="B473" s="67"/>
      <c r="C473" s="186"/>
      <c r="D473" s="186"/>
      <c r="E473" s="186"/>
      <c r="F473" s="186"/>
      <c r="G473" s="186"/>
      <c r="H473" s="186"/>
      <c r="I473" s="186"/>
      <c r="J473" s="186"/>
      <c r="K473" s="186"/>
      <c r="L473" s="186"/>
      <c r="M473" s="67"/>
      <c r="N473" s="67"/>
      <c r="O473" s="67"/>
      <c r="P473" s="67"/>
      <c r="Q473" s="186"/>
      <c r="R473" s="186"/>
      <c r="S473" s="187"/>
      <c r="T473" s="187"/>
      <c r="U473" s="186"/>
      <c r="V473" s="186"/>
      <c r="W473" s="186"/>
      <c r="X473" s="186"/>
    </row>
    <row r="474">
      <c r="A474" s="185"/>
      <c r="B474" s="67"/>
      <c r="C474" s="186"/>
      <c r="D474" s="186"/>
      <c r="E474" s="186"/>
      <c r="F474" s="186"/>
      <c r="G474" s="186"/>
      <c r="H474" s="186"/>
      <c r="I474" s="186"/>
      <c r="J474" s="186"/>
      <c r="K474" s="186"/>
      <c r="L474" s="186"/>
      <c r="M474" s="67"/>
      <c r="N474" s="67"/>
      <c r="O474" s="67"/>
      <c r="P474" s="67"/>
      <c r="Q474" s="186"/>
      <c r="R474" s="186"/>
      <c r="S474" s="187"/>
      <c r="T474" s="187"/>
      <c r="U474" s="186"/>
      <c r="V474" s="186"/>
      <c r="W474" s="186"/>
      <c r="X474" s="186"/>
    </row>
    <row r="475">
      <c r="A475" s="185"/>
      <c r="B475" s="67"/>
      <c r="C475" s="186"/>
      <c r="D475" s="186"/>
      <c r="E475" s="186"/>
      <c r="F475" s="186"/>
      <c r="G475" s="186"/>
      <c r="H475" s="186"/>
      <c r="I475" s="186"/>
      <c r="J475" s="186"/>
      <c r="K475" s="186"/>
      <c r="L475" s="186"/>
      <c r="M475" s="67"/>
      <c r="N475" s="67"/>
      <c r="O475" s="67"/>
      <c r="P475" s="67"/>
      <c r="Q475" s="186"/>
      <c r="R475" s="186"/>
      <c r="S475" s="187"/>
      <c r="T475" s="187"/>
      <c r="U475" s="186"/>
      <c r="V475" s="186"/>
      <c r="W475" s="186"/>
      <c r="X475" s="186"/>
    </row>
    <row r="476">
      <c r="A476" s="185"/>
      <c r="B476" s="67"/>
      <c r="C476" s="186"/>
      <c r="D476" s="186"/>
      <c r="E476" s="186"/>
      <c r="F476" s="186"/>
      <c r="G476" s="186"/>
      <c r="H476" s="186"/>
      <c r="I476" s="186"/>
      <c r="J476" s="186"/>
      <c r="K476" s="186"/>
      <c r="L476" s="186"/>
      <c r="M476" s="67"/>
      <c r="N476" s="67"/>
      <c r="O476" s="67"/>
      <c r="P476" s="67"/>
      <c r="Q476" s="186"/>
      <c r="R476" s="186"/>
      <c r="S476" s="187"/>
      <c r="T476" s="187"/>
      <c r="U476" s="186"/>
      <c r="V476" s="186"/>
      <c r="W476" s="186"/>
      <c r="X476" s="186"/>
    </row>
    <row r="477">
      <c r="A477" s="185"/>
      <c r="B477" s="67"/>
      <c r="C477" s="186"/>
      <c r="D477" s="186"/>
      <c r="E477" s="186"/>
      <c r="F477" s="186"/>
      <c r="G477" s="186"/>
      <c r="H477" s="186"/>
      <c r="I477" s="186"/>
      <c r="J477" s="186"/>
      <c r="K477" s="186"/>
      <c r="L477" s="186"/>
      <c r="M477" s="67"/>
      <c r="N477" s="67"/>
      <c r="O477" s="67"/>
      <c r="P477" s="67"/>
      <c r="Q477" s="186"/>
      <c r="R477" s="186"/>
      <c r="S477" s="187"/>
      <c r="T477" s="187"/>
      <c r="U477" s="186"/>
      <c r="V477" s="186"/>
      <c r="W477" s="186"/>
      <c r="X477" s="186"/>
    </row>
    <row r="478">
      <c r="A478" s="185"/>
      <c r="B478" s="67"/>
      <c r="C478" s="186"/>
      <c r="D478" s="186"/>
      <c r="E478" s="186"/>
      <c r="F478" s="186"/>
      <c r="G478" s="186"/>
      <c r="H478" s="186"/>
      <c r="I478" s="186"/>
      <c r="J478" s="186"/>
      <c r="K478" s="186"/>
      <c r="L478" s="186"/>
      <c r="M478" s="67"/>
      <c r="N478" s="67"/>
      <c r="O478" s="67"/>
      <c r="P478" s="67"/>
      <c r="Q478" s="186"/>
      <c r="R478" s="186"/>
      <c r="S478" s="187"/>
      <c r="T478" s="187"/>
      <c r="U478" s="186"/>
      <c r="V478" s="186"/>
      <c r="W478" s="186"/>
      <c r="X478" s="186"/>
    </row>
    <row r="479">
      <c r="A479" s="185"/>
      <c r="B479" s="67"/>
      <c r="C479" s="186"/>
      <c r="D479" s="186"/>
      <c r="E479" s="186"/>
      <c r="F479" s="186"/>
      <c r="G479" s="186"/>
      <c r="H479" s="186"/>
      <c r="I479" s="186"/>
      <c r="J479" s="186"/>
      <c r="K479" s="186"/>
      <c r="L479" s="186"/>
      <c r="M479" s="67"/>
      <c r="N479" s="67"/>
      <c r="O479" s="67"/>
      <c r="P479" s="67"/>
      <c r="Q479" s="186"/>
      <c r="R479" s="186"/>
      <c r="S479" s="187"/>
      <c r="T479" s="187"/>
      <c r="U479" s="186"/>
      <c r="V479" s="186"/>
      <c r="W479" s="186"/>
      <c r="X479" s="186"/>
    </row>
    <row r="480">
      <c r="A480" s="185"/>
      <c r="B480" s="67"/>
      <c r="C480" s="186"/>
      <c r="D480" s="186"/>
      <c r="E480" s="186"/>
      <c r="F480" s="186"/>
      <c r="G480" s="186"/>
      <c r="H480" s="186"/>
      <c r="I480" s="186"/>
      <c r="J480" s="186"/>
      <c r="K480" s="186"/>
      <c r="L480" s="186"/>
      <c r="M480" s="67"/>
      <c r="N480" s="67"/>
      <c r="O480" s="67"/>
      <c r="P480" s="67"/>
      <c r="Q480" s="186"/>
      <c r="R480" s="186"/>
      <c r="S480" s="187"/>
      <c r="T480" s="187"/>
      <c r="U480" s="186"/>
      <c r="V480" s="186"/>
      <c r="W480" s="186"/>
      <c r="X480" s="186"/>
    </row>
    <row r="481">
      <c r="A481" s="185"/>
      <c r="B481" s="67"/>
      <c r="C481" s="186"/>
      <c r="D481" s="186"/>
      <c r="E481" s="186"/>
      <c r="F481" s="186"/>
      <c r="G481" s="186"/>
      <c r="H481" s="186"/>
      <c r="I481" s="186"/>
      <c r="J481" s="186"/>
      <c r="K481" s="186"/>
      <c r="L481" s="186"/>
      <c r="M481" s="67"/>
      <c r="N481" s="67"/>
      <c r="O481" s="67"/>
      <c r="P481" s="67"/>
      <c r="Q481" s="186"/>
      <c r="R481" s="186"/>
      <c r="S481" s="187"/>
      <c r="T481" s="187"/>
      <c r="U481" s="186"/>
      <c r="V481" s="186"/>
      <c r="W481" s="186"/>
      <c r="X481" s="186"/>
    </row>
    <row r="482">
      <c r="A482" s="185"/>
      <c r="B482" s="67"/>
      <c r="C482" s="186"/>
      <c r="D482" s="186"/>
      <c r="E482" s="186"/>
      <c r="F482" s="186"/>
      <c r="G482" s="186"/>
      <c r="H482" s="186"/>
      <c r="I482" s="186"/>
      <c r="J482" s="186"/>
      <c r="K482" s="186"/>
      <c r="L482" s="186"/>
      <c r="M482" s="67"/>
      <c r="N482" s="67"/>
      <c r="O482" s="67"/>
      <c r="P482" s="67"/>
      <c r="Q482" s="186"/>
      <c r="R482" s="186"/>
      <c r="S482" s="187"/>
      <c r="T482" s="187"/>
      <c r="U482" s="186"/>
      <c r="V482" s="186"/>
      <c r="W482" s="186"/>
      <c r="X482" s="186"/>
    </row>
    <row r="483">
      <c r="A483" s="185"/>
      <c r="B483" s="67"/>
      <c r="C483" s="186"/>
      <c r="D483" s="186"/>
      <c r="E483" s="186"/>
      <c r="F483" s="186"/>
      <c r="G483" s="186"/>
      <c r="H483" s="186"/>
      <c r="I483" s="186"/>
      <c r="J483" s="186"/>
      <c r="K483" s="186"/>
      <c r="L483" s="186"/>
      <c r="M483" s="67"/>
      <c r="N483" s="67"/>
      <c r="O483" s="67"/>
      <c r="P483" s="67"/>
      <c r="Q483" s="186"/>
      <c r="R483" s="186"/>
      <c r="S483" s="187"/>
      <c r="T483" s="187"/>
      <c r="U483" s="186"/>
      <c r="V483" s="186"/>
      <c r="W483" s="186"/>
      <c r="X483" s="186"/>
    </row>
    <row r="484">
      <c r="A484" s="185"/>
      <c r="B484" s="67"/>
      <c r="C484" s="186"/>
      <c r="D484" s="186"/>
      <c r="E484" s="186"/>
      <c r="F484" s="186"/>
      <c r="G484" s="186"/>
      <c r="H484" s="186"/>
      <c r="I484" s="186"/>
      <c r="J484" s="186"/>
      <c r="K484" s="186"/>
      <c r="L484" s="186"/>
      <c r="M484" s="67"/>
      <c r="N484" s="67"/>
      <c r="O484" s="67"/>
      <c r="P484" s="67"/>
      <c r="Q484" s="186"/>
      <c r="R484" s="186"/>
      <c r="S484" s="187"/>
      <c r="T484" s="187"/>
      <c r="U484" s="186"/>
      <c r="V484" s="186"/>
      <c r="W484" s="186"/>
      <c r="X484" s="186"/>
    </row>
    <row r="485">
      <c r="A485" s="185"/>
      <c r="B485" s="67"/>
      <c r="C485" s="186"/>
      <c r="D485" s="186"/>
      <c r="E485" s="186"/>
      <c r="F485" s="186"/>
      <c r="G485" s="186"/>
      <c r="H485" s="186"/>
      <c r="I485" s="186"/>
      <c r="J485" s="186"/>
      <c r="K485" s="186"/>
      <c r="L485" s="186"/>
      <c r="M485" s="67"/>
      <c r="N485" s="67"/>
      <c r="O485" s="67"/>
      <c r="P485" s="67"/>
      <c r="Q485" s="186"/>
      <c r="R485" s="186"/>
      <c r="S485" s="187"/>
      <c r="T485" s="187"/>
      <c r="U485" s="186"/>
      <c r="V485" s="186"/>
      <c r="W485" s="186"/>
      <c r="X485" s="186"/>
    </row>
    <row r="486">
      <c r="A486" s="185"/>
      <c r="B486" s="67"/>
      <c r="C486" s="186"/>
      <c r="D486" s="186"/>
      <c r="E486" s="186"/>
      <c r="F486" s="186"/>
      <c r="G486" s="186"/>
      <c r="H486" s="186"/>
      <c r="I486" s="186"/>
      <c r="J486" s="186"/>
      <c r="K486" s="186"/>
      <c r="L486" s="186"/>
      <c r="M486" s="67"/>
      <c r="N486" s="67"/>
      <c r="O486" s="67"/>
      <c r="P486" s="67"/>
      <c r="Q486" s="186"/>
      <c r="R486" s="186"/>
      <c r="S486" s="187"/>
      <c r="T486" s="187"/>
      <c r="U486" s="186"/>
      <c r="V486" s="186"/>
      <c r="W486" s="186"/>
      <c r="X486" s="186"/>
    </row>
    <row r="487">
      <c r="A487" s="185"/>
      <c r="B487" s="67"/>
      <c r="C487" s="186"/>
      <c r="D487" s="186"/>
      <c r="E487" s="186"/>
      <c r="F487" s="186"/>
      <c r="G487" s="186"/>
      <c r="H487" s="186"/>
      <c r="I487" s="186"/>
      <c r="J487" s="186"/>
      <c r="K487" s="186"/>
      <c r="L487" s="186"/>
      <c r="M487" s="67"/>
      <c r="N487" s="67"/>
      <c r="O487" s="67"/>
      <c r="P487" s="67"/>
      <c r="Q487" s="186"/>
      <c r="R487" s="186"/>
      <c r="S487" s="187"/>
      <c r="T487" s="187"/>
      <c r="U487" s="186"/>
      <c r="V487" s="186"/>
      <c r="W487" s="186"/>
      <c r="X487" s="186"/>
    </row>
    <row r="488">
      <c r="A488" s="185"/>
      <c r="B488" s="67"/>
      <c r="C488" s="186"/>
      <c r="D488" s="186"/>
      <c r="E488" s="186"/>
      <c r="F488" s="186"/>
      <c r="G488" s="186"/>
      <c r="H488" s="186"/>
      <c r="I488" s="186"/>
      <c r="J488" s="186"/>
      <c r="K488" s="186"/>
      <c r="L488" s="186"/>
      <c r="M488" s="67"/>
      <c r="N488" s="67"/>
      <c r="O488" s="67"/>
      <c r="P488" s="67"/>
      <c r="Q488" s="186"/>
      <c r="R488" s="186"/>
      <c r="S488" s="187"/>
      <c r="T488" s="187"/>
      <c r="U488" s="186"/>
      <c r="V488" s="186"/>
      <c r="W488" s="186"/>
      <c r="X488" s="186"/>
    </row>
    <row r="489">
      <c r="A489" s="185"/>
      <c r="B489" s="67"/>
      <c r="C489" s="186"/>
      <c r="D489" s="186"/>
      <c r="E489" s="186"/>
      <c r="F489" s="186"/>
      <c r="G489" s="186"/>
      <c r="H489" s="186"/>
      <c r="I489" s="186"/>
      <c r="J489" s="186"/>
      <c r="K489" s="186"/>
      <c r="L489" s="186"/>
      <c r="M489" s="67"/>
      <c r="N489" s="67"/>
      <c r="O489" s="67"/>
      <c r="P489" s="67"/>
      <c r="Q489" s="186"/>
      <c r="R489" s="186"/>
      <c r="S489" s="187"/>
      <c r="T489" s="187"/>
      <c r="U489" s="186"/>
      <c r="V489" s="186"/>
      <c r="W489" s="186"/>
      <c r="X489" s="186"/>
    </row>
    <row r="490">
      <c r="A490" s="185"/>
      <c r="B490" s="67"/>
      <c r="C490" s="186"/>
      <c r="D490" s="186"/>
      <c r="E490" s="186"/>
      <c r="F490" s="186"/>
      <c r="G490" s="186"/>
      <c r="H490" s="186"/>
      <c r="I490" s="186"/>
      <c r="J490" s="186"/>
      <c r="K490" s="186"/>
      <c r="L490" s="186"/>
      <c r="M490" s="67"/>
      <c r="N490" s="67"/>
      <c r="O490" s="67"/>
      <c r="P490" s="67"/>
      <c r="Q490" s="186"/>
      <c r="R490" s="186"/>
      <c r="S490" s="187"/>
      <c r="T490" s="187"/>
      <c r="U490" s="186"/>
      <c r="V490" s="186"/>
      <c r="W490" s="186"/>
      <c r="X490" s="186"/>
    </row>
    <row r="491">
      <c r="A491" s="185"/>
      <c r="B491" s="67"/>
      <c r="C491" s="186"/>
      <c r="D491" s="186"/>
      <c r="E491" s="186"/>
      <c r="F491" s="186"/>
      <c r="G491" s="186"/>
      <c r="H491" s="186"/>
      <c r="I491" s="186"/>
      <c r="J491" s="186"/>
      <c r="K491" s="186"/>
      <c r="L491" s="186"/>
      <c r="M491" s="67"/>
      <c r="N491" s="67"/>
      <c r="O491" s="67"/>
      <c r="P491" s="67"/>
      <c r="Q491" s="186"/>
      <c r="R491" s="186"/>
      <c r="S491" s="187"/>
      <c r="T491" s="187"/>
      <c r="U491" s="186"/>
      <c r="V491" s="186"/>
      <c r="W491" s="186"/>
      <c r="X491" s="186"/>
    </row>
    <row r="492">
      <c r="A492" s="185"/>
      <c r="B492" s="67"/>
      <c r="C492" s="186"/>
      <c r="D492" s="186"/>
      <c r="E492" s="186"/>
      <c r="F492" s="186"/>
      <c r="G492" s="186"/>
      <c r="H492" s="186"/>
      <c r="I492" s="186"/>
      <c r="J492" s="186"/>
      <c r="K492" s="186"/>
      <c r="L492" s="186"/>
      <c r="M492" s="67"/>
      <c r="N492" s="67"/>
      <c r="O492" s="67"/>
      <c r="P492" s="67"/>
      <c r="Q492" s="186"/>
      <c r="R492" s="186"/>
      <c r="S492" s="187"/>
      <c r="T492" s="187"/>
      <c r="U492" s="186"/>
      <c r="V492" s="186"/>
      <c r="W492" s="186"/>
      <c r="X492" s="186"/>
    </row>
    <row r="493">
      <c r="A493" s="185"/>
      <c r="B493" s="67"/>
      <c r="C493" s="186"/>
      <c r="D493" s="186"/>
      <c r="E493" s="186"/>
      <c r="F493" s="186"/>
      <c r="G493" s="186"/>
      <c r="H493" s="186"/>
      <c r="I493" s="186"/>
      <c r="J493" s="186"/>
      <c r="K493" s="186"/>
      <c r="L493" s="186"/>
      <c r="M493" s="67"/>
      <c r="N493" s="67"/>
      <c r="O493" s="67"/>
      <c r="P493" s="67"/>
      <c r="Q493" s="186"/>
      <c r="R493" s="186"/>
      <c r="S493" s="187"/>
      <c r="T493" s="187"/>
      <c r="U493" s="186"/>
      <c r="V493" s="186"/>
      <c r="W493" s="186"/>
      <c r="X493" s="186"/>
    </row>
    <row r="494">
      <c r="A494" s="185"/>
      <c r="B494" s="67"/>
      <c r="C494" s="186"/>
      <c r="D494" s="186"/>
      <c r="E494" s="186"/>
      <c r="F494" s="186"/>
      <c r="G494" s="186"/>
      <c r="H494" s="186"/>
      <c r="I494" s="186"/>
      <c r="J494" s="186"/>
      <c r="K494" s="186"/>
      <c r="L494" s="186"/>
      <c r="M494" s="67"/>
      <c r="N494" s="67"/>
      <c r="O494" s="67"/>
      <c r="P494" s="67"/>
      <c r="Q494" s="186"/>
      <c r="R494" s="186"/>
      <c r="S494" s="187"/>
      <c r="T494" s="187"/>
      <c r="U494" s="186"/>
      <c r="V494" s="186"/>
      <c r="W494" s="186"/>
      <c r="X494" s="186"/>
    </row>
    <row r="495">
      <c r="A495" s="185"/>
      <c r="B495" s="67"/>
      <c r="C495" s="186"/>
      <c r="D495" s="186"/>
      <c r="E495" s="186"/>
      <c r="F495" s="186"/>
      <c r="G495" s="186"/>
      <c r="H495" s="186"/>
      <c r="I495" s="186"/>
      <c r="J495" s="186"/>
      <c r="K495" s="186"/>
      <c r="L495" s="186"/>
      <c r="M495" s="67"/>
      <c r="N495" s="67"/>
      <c r="O495" s="67"/>
      <c r="P495" s="67"/>
      <c r="Q495" s="186"/>
      <c r="R495" s="186"/>
      <c r="S495" s="187"/>
      <c r="T495" s="187"/>
      <c r="U495" s="186"/>
      <c r="V495" s="186"/>
      <c r="W495" s="186"/>
      <c r="X495" s="186"/>
    </row>
    <row r="496">
      <c r="A496" s="185"/>
      <c r="B496" s="67"/>
      <c r="C496" s="186"/>
      <c r="D496" s="186"/>
      <c r="E496" s="186"/>
      <c r="F496" s="186"/>
      <c r="G496" s="186"/>
      <c r="H496" s="186"/>
      <c r="I496" s="186"/>
      <c r="J496" s="186"/>
      <c r="K496" s="186"/>
      <c r="L496" s="186"/>
      <c r="M496" s="67"/>
      <c r="N496" s="67"/>
      <c r="O496" s="67"/>
      <c r="P496" s="67"/>
      <c r="Q496" s="186"/>
      <c r="R496" s="186"/>
      <c r="S496" s="187"/>
      <c r="T496" s="187"/>
      <c r="U496" s="186"/>
      <c r="V496" s="186"/>
      <c r="W496" s="186"/>
      <c r="X496" s="186"/>
    </row>
    <row r="497">
      <c r="A497" s="185"/>
      <c r="B497" s="67"/>
      <c r="C497" s="186"/>
      <c r="D497" s="186"/>
      <c r="E497" s="186"/>
      <c r="F497" s="186"/>
      <c r="G497" s="186"/>
      <c r="H497" s="186"/>
      <c r="I497" s="186"/>
      <c r="J497" s="186"/>
      <c r="K497" s="186"/>
      <c r="L497" s="186"/>
      <c r="M497" s="67"/>
      <c r="N497" s="67"/>
      <c r="O497" s="67"/>
      <c r="P497" s="67"/>
      <c r="Q497" s="186"/>
      <c r="R497" s="186"/>
      <c r="S497" s="187"/>
      <c r="T497" s="187"/>
      <c r="U497" s="186"/>
      <c r="V497" s="186"/>
      <c r="W497" s="186"/>
      <c r="X497" s="186"/>
    </row>
    <row r="498">
      <c r="A498" s="185"/>
      <c r="B498" s="67"/>
      <c r="C498" s="186"/>
      <c r="D498" s="186"/>
      <c r="E498" s="186"/>
      <c r="F498" s="186"/>
      <c r="G498" s="186"/>
      <c r="H498" s="186"/>
      <c r="I498" s="186"/>
      <c r="J498" s="186"/>
      <c r="K498" s="186"/>
      <c r="L498" s="186"/>
      <c r="M498" s="67"/>
      <c r="N498" s="67"/>
      <c r="O498" s="67"/>
      <c r="P498" s="67"/>
      <c r="Q498" s="186"/>
      <c r="R498" s="186"/>
      <c r="S498" s="187"/>
      <c r="T498" s="187"/>
      <c r="U498" s="186"/>
      <c r="V498" s="186"/>
      <c r="W498" s="186"/>
      <c r="X498" s="186"/>
    </row>
    <row r="499">
      <c r="A499" s="185"/>
      <c r="B499" s="67"/>
      <c r="C499" s="186"/>
      <c r="D499" s="186"/>
      <c r="E499" s="186"/>
      <c r="F499" s="186"/>
      <c r="G499" s="186"/>
      <c r="H499" s="186"/>
      <c r="I499" s="186"/>
      <c r="J499" s="186"/>
      <c r="K499" s="186"/>
      <c r="L499" s="186"/>
      <c r="M499" s="67"/>
      <c r="N499" s="67"/>
      <c r="O499" s="67"/>
      <c r="P499" s="67"/>
      <c r="Q499" s="186"/>
      <c r="R499" s="186"/>
      <c r="S499" s="187"/>
      <c r="T499" s="187"/>
      <c r="U499" s="186"/>
      <c r="V499" s="186"/>
      <c r="W499" s="186"/>
      <c r="X499" s="186"/>
    </row>
    <row r="500">
      <c r="A500" s="185"/>
      <c r="B500" s="67"/>
      <c r="C500" s="186"/>
      <c r="D500" s="186"/>
      <c r="E500" s="186"/>
      <c r="F500" s="186"/>
      <c r="G500" s="186"/>
      <c r="H500" s="186"/>
      <c r="I500" s="186"/>
      <c r="J500" s="186"/>
      <c r="K500" s="186"/>
      <c r="L500" s="186"/>
      <c r="M500" s="67"/>
      <c r="N500" s="67"/>
      <c r="O500" s="67"/>
      <c r="P500" s="67"/>
      <c r="Q500" s="186"/>
      <c r="R500" s="186"/>
      <c r="S500" s="187"/>
      <c r="T500" s="187"/>
      <c r="U500" s="186"/>
      <c r="V500" s="186"/>
      <c r="W500" s="186"/>
      <c r="X500" s="186"/>
    </row>
    <row r="501">
      <c r="A501" s="185"/>
      <c r="B501" s="67"/>
      <c r="C501" s="186"/>
      <c r="D501" s="186"/>
      <c r="E501" s="186"/>
      <c r="F501" s="186"/>
      <c r="G501" s="186"/>
      <c r="H501" s="186"/>
      <c r="I501" s="186"/>
      <c r="J501" s="186"/>
      <c r="K501" s="186"/>
      <c r="L501" s="186"/>
      <c r="M501" s="67"/>
      <c r="N501" s="67"/>
      <c r="O501" s="67"/>
      <c r="P501" s="67"/>
      <c r="Q501" s="186"/>
      <c r="R501" s="186"/>
      <c r="S501" s="187"/>
      <c r="T501" s="187"/>
      <c r="U501" s="186"/>
      <c r="V501" s="186"/>
      <c r="W501" s="186"/>
      <c r="X501" s="186"/>
    </row>
    <row r="502">
      <c r="A502" s="185"/>
      <c r="B502" s="67"/>
      <c r="C502" s="186"/>
      <c r="D502" s="186"/>
      <c r="E502" s="186"/>
      <c r="F502" s="186"/>
      <c r="G502" s="186"/>
      <c r="H502" s="186"/>
      <c r="I502" s="186"/>
      <c r="J502" s="186"/>
      <c r="K502" s="186"/>
      <c r="L502" s="186"/>
      <c r="M502" s="67"/>
      <c r="N502" s="67"/>
      <c r="O502" s="67"/>
      <c r="P502" s="67"/>
      <c r="Q502" s="186"/>
      <c r="R502" s="186"/>
      <c r="S502" s="187"/>
      <c r="T502" s="187"/>
      <c r="U502" s="186"/>
      <c r="V502" s="186"/>
      <c r="W502" s="186"/>
      <c r="X502" s="186"/>
    </row>
    <row r="503">
      <c r="A503" s="185"/>
      <c r="B503" s="67"/>
      <c r="C503" s="186"/>
      <c r="D503" s="186"/>
      <c r="E503" s="186"/>
      <c r="F503" s="186"/>
      <c r="G503" s="186"/>
      <c r="H503" s="186"/>
      <c r="I503" s="186"/>
      <c r="J503" s="186"/>
      <c r="K503" s="186"/>
      <c r="L503" s="186"/>
      <c r="M503" s="67"/>
      <c r="N503" s="67"/>
      <c r="O503" s="67"/>
      <c r="P503" s="67"/>
      <c r="Q503" s="186"/>
      <c r="R503" s="186"/>
      <c r="S503" s="187"/>
      <c r="T503" s="187"/>
      <c r="U503" s="186"/>
      <c r="V503" s="186"/>
      <c r="W503" s="186"/>
      <c r="X503" s="186"/>
    </row>
    <row r="504">
      <c r="A504" s="185"/>
      <c r="B504" s="67"/>
      <c r="C504" s="186"/>
      <c r="D504" s="186"/>
      <c r="E504" s="186"/>
      <c r="F504" s="186"/>
      <c r="G504" s="186"/>
      <c r="H504" s="186"/>
      <c r="I504" s="186"/>
      <c r="J504" s="186"/>
      <c r="K504" s="186"/>
      <c r="L504" s="186"/>
      <c r="M504" s="67"/>
      <c r="N504" s="67"/>
      <c r="O504" s="67"/>
      <c r="P504" s="67"/>
      <c r="Q504" s="186"/>
      <c r="R504" s="186"/>
      <c r="S504" s="187"/>
      <c r="T504" s="187"/>
      <c r="U504" s="186"/>
      <c r="V504" s="186"/>
      <c r="W504" s="186"/>
      <c r="X504" s="186"/>
    </row>
    <row r="505">
      <c r="A505" s="185"/>
      <c r="B505" s="67"/>
      <c r="C505" s="186"/>
      <c r="D505" s="186"/>
      <c r="E505" s="186"/>
      <c r="F505" s="186"/>
      <c r="G505" s="186"/>
      <c r="H505" s="186"/>
      <c r="I505" s="186"/>
      <c r="J505" s="186"/>
      <c r="K505" s="186"/>
      <c r="L505" s="186"/>
      <c r="M505" s="67"/>
      <c r="N505" s="67"/>
      <c r="O505" s="67"/>
      <c r="P505" s="67"/>
      <c r="Q505" s="186"/>
      <c r="R505" s="186"/>
      <c r="S505" s="187"/>
      <c r="T505" s="187"/>
      <c r="U505" s="186"/>
      <c r="V505" s="186"/>
      <c r="W505" s="186"/>
      <c r="X505" s="186"/>
    </row>
    <row r="506">
      <c r="A506" s="185"/>
      <c r="B506" s="67"/>
      <c r="C506" s="186"/>
      <c r="D506" s="186"/>
      <c r="E506" s="186"/>
      <c r="F506" s="186"/>
      <c r="G506" s="186"/>
      <c r="H506" s="186"/>
      <c r="I506" s="186"/>
      <c r="J506" s="186"/>
      <c r="K506" s="186"/>
      <c r="L506" s="186"/>
      <c r="M506" s="67"/>
      <c r="N506" s="67"/>
      <c r="O506" s="67"/>
      <c r="P506" s="67"/>
      <c r="Q506" s="186"/>
      <c r="R506" s="186"/>
      <c r="S506" s="187"/>
      <c r="T506" s="187"/>
      <c r="U506" s="186"/>
      <c r="V506" s="186"/>
      <c r="W506" s="186"/>
      <c r="X506" s="186"/>
    </row>
    <row r="507">
      <c r="A507" s="185"/>
      <c r="B507" s="67"/>
      <c r="C507" s="186"/>
      <c r="D507" s="186"/>
      <c r="E507" s="186"/>
      <c r="F507" s="186"/>
      <c r="G507" s="186"/>
      <c r="H507" s="186"/>
      <c r="I507" s="186"/>
      <c r="J507" s="186"/>
      <c r="K507" s="186"/>
      <c r="L507" s="186"/>
      <c r="M507" s="67"/>
      <c r="N507" s="67"/>
      <c r="O507" s="67"/>
      <c r="P507" s="67"/>
      <c r="Q507" s="186"/>
      <c r="R507" s="186"/>
      <c r="S507" s="187"/>
      <c r="T507" s="187"/>
      <c r="U507" s="186"/>
      <c r="V507" s="186"/>
      <c r="W507" s="186"/>
      <c r="X507" s="186"/>
    </row>
    <row r="508">
      <c r="A508" s="185"/>
      <c r="B508" s="67"/>
      <c r="C508" s="186"/>
      <c r="D508" s="186"/>
      <c r="E508" s="186"/>
      <c r="F508" s="186"/>
      <c r="G508" s="186"/>
      <c r="H508" s="186"/>
      <c r="I508" s="186"/>
      <c r="J508" s="186"/>
      <c r="K508" s="186"/>
      <c r="L508" s="186"/>
      <c r="M508" s="67"/>
      <c r="N508" s="67"/>
      <c r="O508" s="67"/>
      <c r="P508" s="67"/>
      <c r="Q508" s="186"/>
      <c r="R508" s="186"/>
      <c r="S508" s="187"/>
      <c r="T508" s="187"/>
      <c r="U508" s="186"/>
      <c r="V508" s="186"/>
      <c r="W508" s="186"/>
      <c r="X508" s="186"/>
    </row>
    <row r="509">
      <c r="A509" s="185"/>
      <c r="B509" s="67"/>
      <c r="C509" s="186"/>
      <c r="D509" s="186"/>
      <c r="E509" s="186"/>
      <c r="F509" s="186"/>
      <c r="G509" s="186"/>
      <c r="H509" s="186"/>
      <c r="I509" s="186"/>
      <c r="J509" s="186"/>
      <c r="K509" s="186"/>
      <c r="L509" s="186"/>
      <c r="M509" s="67"/>
      <c r="N509" s="67"/>
      <c r="O509" s="67"/>
      <c r="P509" s="67"/>
      <c r="Q509" s="186"/>
      <c r="R509" s="186"/>
      <c r="S509" s="187"/>
      <c r="T509" s="187"/>
      <c r="U509" s="186"/>
      <c r="V509" s="186"/>
      <c r="W509" s="186"/>
      <c r="X509" s="186"/>
    </row>
    <row r="510">
      <c r="A510" s="185"/>
      <c r="B510" s="67"/>
      <c r="C510" s="186"/>
      <c r="D510" s="186"/>
      <c r="E510" s="186"/>
      <c r="F510" s="186"/>
      <c r="G510" s="186"/>
      <c r="H510" s="186"/>
      <c r="I510" s="186"/>
      <c r="J510" s="186"/>
      <c r="K510" s="186"/>
      <c r="L510" s="186"/>
      <c r="M510" s="67"/>
      <c r="N510" s="67"/>
      <c r="O510" s="67"/>
      <c r="P510" s="67"/>
      <c r="Q510" s="186"/>
      <c r="R510" s="186"/>
      <c r="S510" s="187"/>
      <c r="T510" s="187"/>
      <c r="U510" s="186"/>
      <c r="V510" s="186"/>
      <c r="W510" s="186"/>
      <c r="X510" s="186"/>
    </row>
    <row r="511">
      <c r="A511" s="185"/>
      <c r="B511" s="67"/>
      <c r="C511" s="186"/>
      <c r="D511" s="186"/>
      <c r="E511" s="186"/>
      <c r="F511" s="186"/>
      <c r="G511" s="186"/>
      <c r="H511" s="186"/>
      <c r="I511" s="186"/>
      <c r="J511" s="186"/>
      <c r="K511" s="186"/>
      <c r="L511" s="186"/>
      <c r="M511" s="67"/>
      <c r="N511" s="67"/>
      <c r="O511" s="67"/>
      <c r="P511" s="67"/>
      <c r="Q511" s="186"/>
      <c r="R511" s="186"/>
      <c r="S511" s="187"/>
      <c r="T511" s="187"/>
      <c r="U511" s="186"/>
      <c r="V511" s="186"/>
      <c r="W511" s="186"/>
      <c r="X511" s="186"/>
    </row>
    <row r="512">
      <c r="A512" s="185"/>
      <c r="B512" s="67"/>
      <c r="C512" s="186"/>
      <c r="D512" s="186"/>
      <c r="E512" s="186"/>
      <c r="F512" s="186"/>
      <c r="G512" s="186"/>
      <c r="H512" s="186"/>
      <c r="I512" s="186"/>
      <c r="J512" s="186"/>
      <c r="K512" s="186"/>
      <c r="L512" s="186"/>
      <c r="M512" s="67"/>
      <c r="N512" s="67"/>
      <c r="O512" s="67"/>
      <c r="P512" s="67"/>
      <c r="Q512" s="186"/>
      <c r="R512" s="186"/>
      <c r="S512" s="187"/>
      <c r="T512" s="187"/>
      <c r="U512" s="186"/>
      <c r="V512" s="186"/>
      <c r="W512" s="186"/>
      <c r="X512" s="186"/>
    </row>
    <row r="513">
      <c r="A513" s="185"/>
      <c r="B513" s="67"/>
      <c r="C513" s="186"/>
      <c r="D513" s="186"/>
      <c r="E513" s="186"/>
      <c r="F513" s="186"/>
      <c r="G513" s="186"/>
      <c r="H513" s="186"/>
      <c r="I513" s="186"/>
      <c r="J513" s="186"/>
      <c r="K513" s="186"/>
      <c r="L513" s="186"/>
      <c r="M513" s="67"/>
      <c r="N513" s="67"/>
      <c r="O513" s="67"/>
      <c r="P513" s="67"/>
      <c r="Q513" s="186"/>
      <c r="R513" s="186"/>
      <c r="S513" s="187"/>
      <c r="T513" s="187"/>
      <c r="U513" s="186"/>
      <c r="V513" s="186"/>
      <c r="W513" s="186"/>
      <c r="X513" s="186"/>
    </row>
    <row r="514">
      <c r="A514" s="185"/>
      <c r="B514" s="67"/>
      <c r="C514" s="186"/>
      <c r="D514" s="186"/>
      <c r="E514" s="186"/>
      <c r="F514" s="186"/>
      <c r="G514" s="186"/>
      <c r="H514" s="186"/>
      <c r="I514" s="186"/>
      <c r="J514" s="186"/>
      <c r="K514" s="186"/>
      <c r="L514" s="186"/>
      <c r="M514" s="67"/>
      <c r="N514" s="67"/>
      <c r="O514" s="67"/>
      <c r="P514" s="67"/>
      <c r="Q514" s="186"/>
      <c r="R514" s="186"/>
      <c r="S514" s="187"/>
      <c r="T514" s="187"/>
      <c r="U514" s="186"/>
      <c r="V514" s="186"/>
      <c r="W514" s="186"/>
      <c r="X514" s="186"/>
    </row>
    <row r="515">
      <c r="A515" s="185"/>
      <c r="B515" s="67"/>
      <c r="C515" s="186"/>
      <c r="D515" s="186"/>
      <c r="E515" s="186"/>
      <c r="F515" s="186"/>
      <c r="G515" s="186"/>
      <c r="H515" s="186"/>
      <c r="I515" s="186"/>
      <c r="J515" s="186"/>
      <c r="K515" s="186"/>
      <c r="L515" s="186"/>
      <c r="M515" s="67"/>
      <c r="N515" s="67"/>
      <c r="O515" s="67"/>
      <c r="P515" s="67"/>
      <c r="Q515" s="186"/>
      <c r="R515" s="186"/>
      <c r="S515" s="187"/>
      <c r="T515" s="187"/>
      <c r="U515" s="186"/>
      <c r="V515" s="186"/>
      <c r="W515" s="186"/>
      <c r="X515" s="186"/>
    </row>
    <row r="516">
      <c r="A516" s="185"/>
      <c r="B516" s="67"/>
      <c r="C516" s="186"/>
      <c r="D516" s="186"/>
      <c r="E516" s="186"/>
      <c r="F516" s="186"/>
      <c r="G516" s="186"/>
      <c r="H516" s="186"/>
      <c r="I516" s="186"/>
      <c r="J516" s="186"/>
      <c r="K516" s="186"/>
      <c r="L516" s="186"/>
      <c r="M516" s="67"/>
      <c r="N516" s="67"/>
      <c r="O516" s="67"/>
      <c r="P516" s="67"/>
      <c r="Q516" s="186"/>
      <c r="R516" s="186"/>
      <c r="S516" s="187"/>
      <c r="T516" s="187"/>
      <c r="U516" s="186"/>
      <c r="V516" s="186"/>
      <c r="W516" s="186"/>
      <c r="X516" s="186"/>
    </row>
    <row r="517">
      <c r="A517" s="185"/>
      <c r="B517" s="67"/>
      <c r="C517" s="186"/>
      <c r="D517" s="186"/>
      <c r="E517" s="186"/>
      <c r="F517" s="186"/>
      <c r="G517" s="186"/>
      <c r="H517" s="186"/>
      <c r="I517" s="186"/>
      <c r="J517" s="186"/>
      <c r="K517" s="186"/>
      <c r="L517" s="186"/>
      <c r="M517" s="67"/>
      <c r="N517" s="67"/>
      <c r="O517" s="67"/>
      <c r="P517" s="67"/>
      <c r="Q517" s="186"/>
      <c r="R517" s="186"/>
      <c r="S517" s="187"/>
      <c r="T517" s="187"/>
      <c r="U517" s="186"/>
      <c r="V517" s="186"/>
      <c r="W517" s="186"/>
      <c r="X517" s="186"/>
    </row>
    <row r="518">
      <c r="A518" s="185"/>
      <c r="B518" s="67"/>
      <c r="C518" s="186"/>
      <c r="D518" s="186"/>
      <c r="E518" s="186"/>
      <c r="F518" s="186"/>
      <c r="G518" s="186"/>
      <c r="H518" s="186"/>
      <c r="I518" s="186"/>
      <c r="J518" s="186"/>
      <c r="K518" s="186"/>
      <c r="L518" s="186"/>
      <c r="M518" s="67"/>
      <c r="N518" s="67"/>
      <c r="O518" s="67"/>
      <c r="P518" s="67"/>
      <c r="Q518" s="186"/>
      <c r="R518" s="186"/>
      <c r="S518" s="187"/>
      <c r="T518" s="187"/>
      <c r="U518" s="186"/>
      <c r="V518" s="186"/>
      <c r="W518" s="186"/>
      <c r="X518" s="186"/>
    </row>
    <row r="519">
      <c r="A519" s="185"/>
      <c r="B519" s="67"/>
      <c r="C519" s="186"/>
      <c r="D519" s="186"/>
      <c r="E519" s="186"/>
      <c r="F519" s="186"/>
      <c r="G519" s="186"/>
      <c r="H519" s="186"/>
      <c r="I519" s="186"/>
      <c r="J519" s="186"/>
      <c r="K519" s="186"/>
      <c r="L519" s="186"/>
      <c r="M519" s="67"/>
      <c r="N519" s="67"/>
      <c r="O519" s="67"/>
      <c r="P519" s="67"/>
      <c r="Q519" s="186"/>
      <c r="R519" s="186"/>
      <c r="S519" s="187"/>
      <c r="T519" s="187"/>
      <c r="U519" s="186"/>
      <c r="V519" s="186"/>
      <c r="W519" s="186"/>
      <c r="X519" s="186"/>
    </row>
    <row r="520">
      <c r="A520" s="185"/>
      <c r="B520" s="67"/>
      <c r="C520" s="186"/>
      <c r="D520" s="186"/>
      <c r="E520" s="186"/>
      <c r="F520" s="186"/>
      <c r="G520" s="186"/>
      <c r="H520" s="186"/>
      <c r="I520" s="186"/>
      <c r="J520" s="186"/>
      <c r="K520" s="186"/>
      <c r="L520" s="186"/>
      <c r="M520" s="67"/>
      <c r="N520" s="67"/>
      <c r="O520" s="67"/>
      <c r="P520" s="67"/>
      <c r="Q520" s="186"/>
      <c r="R520" s="186"/>
      <c r="S520" s="187"/>
      <c r="T520" s="187"/>
      <c r="U520" s="186"/>
      <c r="V520" s="186"/>
      <c r="W520" s="186"/>
      <c r="X520" s="186"/>
    </row>
    <row r="521">
      <c r="A521" s="185"/>
      <c r="B521" s="67"/>
      <c r="C521" s="186"/>
      <c r="D521" s="186"/>
      <c r="E521" s="186"/>
      <c r="F521" s="186"/>
      <c r="G521" s="186"/>
      <c r="H521" s="186"/>
      <c r="I521" s="186"/>
      <c r="J521" s="186"/>
      <c r="K521" s="186"/>
      <c r="L521" s="186"/>
      <c r="M521" s="67"/>
      <c r="N521" s="67"/>
      <c r="O521" s="67"/>
      <c r="P521" s="67"/>
      <c r="Q521" s="186"/>
      <c r="R521" s="186"/>
      <c r="S521" s="187"/>
      <c r="T521" s="187"/>
      <c r="U521" s="186"/>
      <c r="V521" s="186"/>
      <c r="W521" s="186"/>
      <c r="X521" s="186"/>
    </row>
    <row r="522">
      <c r="A522" s="185"/>
      <c r="B522" s="67"/>
      <c r="C522" s="186"/>
      <c r="D522" s="186"/>
      <c r="E522" s="186"/>
      <c r="F522" s="186"/>
      <c r="G522" s="186"/>
      <c r="H522" s="186"/>
      <c r="I522" s="186"/>
      <c r="J522" s="186"/>
      <c r="K522" s="186"/>
      <c r="L522" s="186"/>
      <c r="M522" s="67"/>
      <c r="N522" s="67"/>
      <c r="O522" s="67"/>
      <c r="P522" s="67"/>
      <c r="Q522" s="186"/>
      <c r="R522" s="186"/>
      <c r="S522" s="187"/>
      <c r="T522" s="187"/>
      <c r="U522" s="186"/>
      <c r="V522" s="186"/>
      <c r="W522" s="186"/>
      <c r="X522" s="186"/>
    </row>
    <row r="523">
      <c r="A523" s="185"/>
      <c r="B523" s="67"/>
      <c r="C523" s="186"/>
      <c r="D523" s="186"/>
      <c r="E523" s="186"/>
      <c r="F523" s="186"/>
      <c r="G523" s="186"/>
      <c r="H523" s="186"/>
      <c r="I523" s="186"/>
      <c r="J523" s="186"/>
      <c r="K523" s="186"/>
      <c r="L523" s="186"/>
      <c r="M523" s="67"/>
      <c r="N523" s="67"/>
      <c r="O523" s="67"/>
      <c r="P523" s="67"/>
      <c r="Q523" s="186"/>
      <c r="R523" s="186"/>
      <c r="S523" s="187"/>
      <c r="T523" s="187"/>
      <c r="U523" s="186"/>
      <c r="V523" s="186"/>
      <c r="W523" s="186"/>
      <c r="X523" s="186"/>
    </row>
    <row r="524">
      <c r="A524" s="185"/>
      <c r="B524" s="67"/>
      <c r="C524" s="186"/>
      <c r="D524" s="186"/>
      <c r="E524" s="186"/>
      <c r="F524" s="186"/>
      <c r="G524" s="186"/>
      <c r="H524" s="186"/>
      <c r="I524" s="186"/>
      <c r="J524" s="186"/>
      <c r="K524" s="186"/>
      <c r="L524" s="186"/>
      <c r="M524" s="67"/>
      <c r="N524" s="67"/>
      <c r="O524" s="67"/>
      <c r="P524" s="67"/>
      <c r="Q524" s="186"/>
      <c r="R524" s="186"/>
      <c r="S524" s="187"/>
      <c r="T524" s="187"/>
      <c r="U524" s="186"/>
      <c r="V524" s="186"/>
      <c r="W524" s="186"/>
      <c r="X524" s="186"/>
    </row>
    <row r="525">
      <c r="A525" s="185"/>
      <c r="B525" s="67"/>
      <c r="C525" s="186"/>
      <c r="D525" s="186"/>
      <c r="E525" s="186"/>
      <c r="F525" s="186"/>
      <c r="G525" s="186"/>
      <c r="H525" s="186"/>
      <c r="I525" s="186"/>
      <c r="J525" s="186"/>
      <c r="K525" s="186"/>
      <c r="L525" s="186"/>
      <c r="M525" s="67"/>
      <c r="N525" s="67"/>
      <c r="O525" s="67"/>
      <c r="P525" s="67"/>
      <c r="Q525" s="186"/>
      <c r="R525" s="186"/>
      <c r="S525" s="187"/>
      <c r="T525" s="187"/>
      <c r="U525" s="186"/>
      <c r="V525" s="186"/>
      <c r="W525" s="186"/>
      <c r="X525" s="186"/>
    </row>
    <row r="526">
      <c r="A526" s="185"/>
      <c r="B526" s="67"/>
      <c r="C526" s="186"/>
      <c r="D526" s="186"/>
      <c r="E526" s="186"/>
      <c r="F526" s="186"/>
      <c r="G526" s="186"/>
      <c r="H526" s="186"/>
      <c r="I526" s="186"/>
      <c r="J526" s="186"/>
      <c r="K526" s="186"/>
      <c r="L526" s="186"/>
      <c r="M526" s="67"/>
      <c r="N526" s="67"/>
      <c r="O526" s="67"/>
      <c r="P526" s="67"/>
      <c r="Q526" s="186"/>
      <c r="R526" s="186"/>
      <c r="S526" s="187"/>
      <c r="T526" s="187"/>
      <c r="U526" s="186"/>
      <c r="V526" s="186"/>
      <c r="W526" s="186"/>
      <c r="X526" s="186"/>
    </row>
    <row r="527">
      <c r="A527" s="185"/>
      <c r="B527" s="67"/>
      <c r="C527" s="186"/>
      <c r="D527" s="186"/>
      <c r="E527" s="186"/>
      <c r="F527" s="186"/>
      <c r="G527" s="186"/>
      <c r="H527" s="186"/>
      <c r="I527" s="186"/>
      <c r="J527" s="186"/>
      <c r="K527" s="186"/>
      <c r="L527" s="186"/>
      <c r="M527" s="67"/>
      <c r="N527" s="67"/>
      <c r="O527" s="67"/>
      <c r="P527" s="67"/>
      <c r="Q527" s="186"/>
      <c r="R527" s="186"/>
      <c r="S527" s="187"/>
      <c r="T527" s="187"/>
      <c r="U527" s="186"/>
      <c r="V527" s="186"/>
      <c r="W527" s="186"/>
      <c r="X527" s="186"/>
    </row>
    <row r="528">
      <c r="A528" s="185"/>
      <c r="B528" s="67"/>
      <c r="C528" s="186"/>
      <c r="D528" s="186"/>
      <c r="E528" s="186"/>
      <c r="F528" s="186"/>
      <c r="G528" s="186"/>
      <c r="H528" s="186"/>
      <c r="I528" s="186"/>
      <c r="J528" s="186"/>
      <c r="K528" s="186"/>
      <c r="L528" s="186"/>
      <c r="M528" s="67"/>
      <c r="N528" s="67"/>
      <c r="O528" s="67"/>
      <c r="P528" s="67"/>
      <c r="Q528" s="186"/>
      <c r="R528" s="186"/>
      <c r="S528" s="187"/>
      <c r="T528" s="187"/>
      <c r="U528" s="186"/>
      <c r="V528" s="186"/>
      <c r="W528" s="186"/>
      <c r="X528" s="186"/>
    </row>
    <row r="529">
      <c r="A529" s="185"/>
      <c r="B529" s="67"/>
      <c r="C529" s="186"/>
      <c r="D529" s="186"/>
      <c r="E529" s="186"/>
      <c r="F529" s="186"/>
      <c r="G529" s="186"/>
      <c r="H529" s="186"/>
      <c r="I529" s="186"/>
      <c r="J529" s="186"/>
      <c r="K529" s="186"/>
      <c r="L529" s="186"/>
      <c r="M529" s="67"/>
      <c r="N529" s="67"/>
      <c r="O529" s="67"/>
      <c r="P529" s="67"/>
      <c r="Q529" s="186"/>
      <c r="R529" s="186"/>
      <c r="S529" s="187"/>
      <c r="T529" s="187"/>
      <c r="U529" s="186"/>
      <c r="V529" s="186"/>
      <c r="W529" s="186"/>
      <c r="X529" s="186"/>
    </row>
    <row r="530">
      <c r="A530" s="185"/>
      <c r="B530" s="67"/>
      <c r="C530" s="186"/>
      <c r="D530" s="186"/>
      <c r="E530" s="186"/>
      <c r="F530" s="186"/>
      <c r="G530" s="186"/>
      <c r="H530" s="186"/>
      <c r="I530" s="186"/>
      <c r="J530" s="186"/>
      <c r="K530" s="186"/>
      <c r="L530" s="186"/>
      <c r="M530" s="67"/>
      <c r="N530" s="67"/>
      <c r="O530" s="67"/>
      <c r="P530" s="67"/>
      <c r="Q530" s="186"/>
      <c r="R530" s="186"/>
      <c r="S530" s="187"/>
      <c r="T530" s="187"/>
      <c r="U530" s="186"/>
      <c r="V530" s="186"/>
      <c r="W530" s="186"/>
      <c r="X530" s="186"/>
    </row>
    <row r="531">
      <c r="A531" s="185"/>
      <c r="B531" s="67"/>
      <c r="C531" s="186"/>
      <c r="D531" s="186"/>
      <c r="E531" s="186"/>
      <c r="F531" s="186"/>
      <c r="G531" s="186"/>
      <c r="H531" s="186"/>
      <c r="I531" s="186"/>
      <c r="J531" s="186"/>
      <c r="K531" s="186"/>
      <c r="L531" s="186"/>
      <c r="M531" s="67"/>
      <c r="N531" s="67"/>
      <c r="O531" s="67"/>
      <c r="P531" s="67"/>
      <c r="Q531" s="186"/>
      <c r="R531" s="186"/>
      <c r="S531" s="187"/>
      <c r="T531" s="187"/>
      <c r="U531" s="186"/>
      <c r="V531" s="186"/>
      <c r="W531" s="186"/>
      <c r="X531" s="186"/>
    </row>
    <row r="532">
      <c r="A532" s="185"/>
      <c r="B532" s="67"/>
      <c r="C532" s="186"/>
      <c r="D532" s="186"/>
      <c r="E532" s="186"/>
      <c r="F532" s="186"/>
      <c r="G532" s="186"/>
      <c r="H532" s="186"/>
      <c r="I532" s="186"/>
      <c r="J532" s="186"/>
      <c r="K532" s="186"/>
      <c r="L532" s="186"/>
      <c r="M532" s="67"/>
      <c r="N532" s="67"/>
      <c r="O532" s="67"/>
      <c r="P532" s="67"/>
      <c r="Q532" s="186"/>
      <c r="R532" s="186"/>
      <c r="S532" s="187"/>
      <c r="T532" s="187"/>
      <c r="U532" s="186"/>
      <c r="V532" s="186"/>
      <c r="W532" s="186"/>
      <c r="X532" s="186"/>
    </row>
    <row r="533">
      <c r="A533" s="185"/>
      <c r="B533" s="67"/>
      <c r="C533" s="186"/>
      <c r="D533" s="186"/>
      <c r="E533" s="186"/>
      <c r="F533" s="186"/>
      <c r="G533" s="186"/>
      <c r="H533" s="186"/>
      <c r="I533" s="186"/>
      <c r="J533" s="186"/>
      <c r="K533" s="186"/>
      <c r="L533" s="186"/>
      <c r="M533" s="67"/>
      <c r="N533" s="67"/>
      <c r="O533" s="67"/>
      <c r="P533" s="67"/>
      <c r="Q533" s="186"/>
      <c r="R533" s="186"/>
      <c r="S533" s="187"/>
      <c r="T533" s="187"/>
      <c r="U533" s="186"/>
      <c r="V533" s="186"/>
      <c r="W533" s="186"/>
      <c r="X533" s="186"/>
    </row>
    <row r="534">
      <c r="A534" s="185"/>
      <c r="B534" s="67"/>
      <c r="C534" s="186"/>
      <c r="D534" s="186"/>
      <c r="E534" s="186"/>
      <c r="F534" s="186"/>
      <c r="G534" s="186"/>
      <c r="H534" s="186"/>
      <c r="I534" s="186"/>
      <c r="J534" s="186"/>
      <c r="K534" s="186"/>
      <c r="L534" s="186"/>
      <c r="M534" s="67"/>
      <c r="N534" s="67"/>
      <c r="O534" s="67"/>
      <c r="P534" s="67"/>
      <c r="Q534" s="186"/>
      <c r="R534" s="186"/>
      <c r="S534" s="187"/>
      <c r="T534" s="187"/>
      <c r="U534" s="186"/>
      <c r="V534" s="186"/>
      <c r="W534" s="186"/>
      <c r="X534" s="186"/>
    </row>
    <row r="535">
      <c r="A535" s="185"/>
      <c r="B535" s="67"/>
      <c r="C535" s="186"/>
      <c r="D535" s="186"/>
      <c r="E535" s="186"/>
      <c r="F535" s="186"/>
      <c r="G535" s="186"/>
      <c r="H535" s="186"/>
      <c r="I535" s="186"/>
      <c r="J535" s="186"/>
      <c r="K535" s="186"/>
      <c r="L535" s="186"/>
      <c r="M535" s="67"/>
      <c r="N535" s="67"/>
      <c r="O535" s="67"/>
      <c r="P535" s="67"/>
      <c r="Q535" s="186"/>
      <c r="R535" s="186"/>
      <c r="S535" s="187"/>
      <c r="T535" s="187"/>
      <c r="U535" s="186"/>
      <c r="V535" s="186"/>
      <c r="W535" s="186"/>
      <c r="X535" s="186"/>
    </row>
    <row r="536">
      <c r="A536" s="185"/>
      <c r="B536" s="67"/>
      <c r="C536" s="186"/>
      <c r="D536" s="186"/>
      <c r="E536" s="186"/>
      <c r="F536" s="186"/>
      <c r="G536" s="186"/>
      <c r="H536" s="186"/>
      <c r="I536" s="186"/>
      <c r="J536" s="186"/>
      <c r="K536" s="186"/>
      <c r="L536" s="186"/>
      <c r="M536" s="67"/>
      <c r="N536" s="67"/>
      <c r="O536" s="67"/>
      <c r="P536" s="67"/>
      <c r="Q536" s="186"/>
      <c r="R536" s="186"/>
      <c r="S536" s="187"/>
      <c r="T536" s="187"/>
      <c r="U536" s="186"/>
      <c r="V536" s="186"/>
      <c r="W536" s="186"/>
      <c r="X536" s="186"/>
    </row>
    <row r="537">
      <c r="A537" s="185"/>
      <c r="B537" s="67"/>
      <c r="C537" s="186"/>
      <c r="D537" s="186"/>
      <c r="E537" s="186"/>
      <c r="F537" s="186"/>
      <c r="G537" s="186"/>
      <c r="H537" s="186"/>
      <c r="I537" s="186"/>
      <c r="J537" s="186"/>
      <c r="K537" s="186"/>
      <c r="L537" s="186"/>
      <c r="M537" s="67"/>
      <c r="N537" s="67"/>
      <c r="O537" s="67"/>
      <c r="P537" s="67"/>
      <c r="Q537" s="186"/>
      <c r="R537" s="186"/>
      <c r="S537" s="187"/>
      <c r="T537" s="187"/>
      <c r="U537" s="186"/>
      <c r="V537" s="186"/>
      <c r="W537" s="186"/>
      <c r="X537" s="186"/>
    </row>
    <row r="538">
      <c r="A538" s="185"/>
      <c r="B538" s="67"/>
      <c r="C538" s="186"/>
      <c r="D538" s="186"/>
      <c r="E538" s="186"/>
      <c r="F538" s="186"/>
      <c r="G538" s="186"/>
      <c r="H538" s="186"/>
      <c r="I538" s="186"/>
      <c r="J538" s="186"/>
      <c r="K538" s="186"/>
      <c r="L538" s="186"/>
      <c r="M538" s="67"/>
      <c r="N538" s="67"/>
      <c r="O538" s="67"/>
      <c r="P538" s="67"/>
      <c r="Q538" s="186"/>
      <c r="R538" s="186"/>
      <c r="S538" s="187"/>
      <c r="T538" s="187"/>
      <c r="U538" s="186"/>
      <c r="V538" s="186"/>
      <c r="W538" s="186"/>
      <c r="X538" s="186"/>
    </row>
    <row r="539">
      <c r="A539" s="185"/>
      <c r="B539" s="67"/>
      <c r="C539" s="186"/>
      <c r="D539" s="186"/>
      <c r="E539" s="186"/>
      <c r="F539" s="186"/>
      <c r="G539" s="186"/>
      <c r="H539" s="186"/>
      <c r="I539" s="186"/>
      <c r="J539" s="186"/>
      <c r="K539" s="186"/>
      <c r="L539" s="186"/>
      <c r="M539" s="67"/>
      <c r="N539" s="67"/>
      <c r="O539" s="67"/>
      <c r="P539" s="67"/>
      <c r="Q539" s="186"/>
      <c r="R539" s="186"/>
      <c r="S539" s="187"/>
      <c r="T539" s="187"/>
      <c r="U539" s="186"/>
      <c r="V539" s="186"/>
      <c r="W539" s="186"/>
      <c r="X539" s="186"/>
    </row>
    <row r="540">
      <c r="A540" s="185"/>
      <c r="B540" s="67"/>
      <c r="C540" s="186"/>
      <c r="D540" s="186"/>
      <c r="E540" s="186"/>
      <c r="F540" s="186"/>
      <c r="G540" s="186"/>
      <c r="H540" s="186"/>
      <c r="I540" s="186"/>
      <c r="J540" s="186"/>
      <c r="K540" s="186"/>
      <c r="L540" s="186"/>
      <c r="M540" s="67"/>
      <c r="N540" s="67"/>
      <c r="O540" s="67"/>
      <c r="P540" s="67"/>
      <c r="Q540" s="186"/>
      <c r="R540" s="186"/>
      <c r="S540" s="187"/>
      <c r="T540" s="187"/>
      <c r="U540" s="186"/>
      <c r="V540" s="186"/>
      <c r="W540" s="186"/>
      <c r="X540" s="186"/>
    </row>
    <row r="541">
      <c r="A541" s="185"/>
      <c r="B541" s="67"/>
      <c r="C541" s="186"/>
      <c r="D541" s="186"/>
      <c r="E541" s="186"/>
      <c r="F541" s="186"/>
      <c r="G541" s="186"/>
      <c r="H541" s="186"/>
      <c r="I541" s="186"/>
      <c r="J541" s="186"/>
      <c r="K541" s="186"/>
      <c r="L541" s="186"/>
      <c r="M541" s="67"/>
      <c r="N541" s="67"/>
      <c r="O541" s="67"/>
      <c r="P541" s="67"/>
      <c r="Q541" s="186"/>
      <c r="R541" s="186"/>
      <c r="S541" s="187"/>
      <c r="T541" s="187"/>
      <c r="U541" s="186"/>
      <c r="V541" s="186"/>
      <c r="W541" s="186"/>
      <c r="X541" s="186"/>
    </row>
    <row r="542">
      <c r="A542" s="185"/>
      <c r="B542" s="67"/>
      <c r="C542" s="186"/>
      <c r="D542" s="186"/>
      <c r="E542" s="186"/>
      <c r="F542" s="186"/>
      <c r="G542" s="186"/>
      <c r="H542" s="186"/>
      <c r="I542" s="186"/>
      <c r="J542" s="186"/>
      <c r="K542" s="186"/>
      <c r="L542" s="186"/>
      <c r="M542" s="67"/>
      <c r="N542" s="67"/>
      <c r="O542" s="67"/>
      <c r="P542" s="67"/>
      <c r="Q542" s="186"/>
      <c r="R542" s="186"/>
      <c r="S542" s="187"/>
      <c r="T542" s="187"/>
      <c r="U542" s="186"/>
      <c r="V542" s="186"/>
      <c r="W542" s="186"/>
      <c r="X542" s="186"/>
    </row>
    <row r="543">
      <c r="A543" s="185"/>
      <c r="B543" s="67"/>
      <c r="C543" s="186"/>
      <c r="D543" s="186"/>
      <c r="E543" s="186"/>
      <c r="F543" s="186"/>
      <c r="G543" s="186"/>
      <c r="H543" s="186"/>
      <c r="I543" s="186"/>
      <c r="J543" s="186"/>
      <c r="K543" s="186"/>
      <c r="L543" s="186"/>
      <c r="M543" s="67"/>
      <c r="N543" s="67"/>
      <c r="O543" s="67"/>
      <c r="P543" s="67"/>
      <c r="Q543" s="186"/>
      <c r="R543" s="186"/>
      <c r="S543" s="187"/>
      <c r="T543" s="187"/>
      <c r="U543" s="186"/>
      <c r="V543" s="186"/>
      <c r="W543" s="186"/>
      <c r="X543" s="186"/>
    </row>
    <row r="544">
      <c r="A544" s="185"/>
      <c r="B544" s="67"/>
      <c r="C544" s="186"/>
      <c r="D544" s="186"/>
      <c r="E544" s="186"/>
      <c r="F544" s="186"/>
      <c r="G544" s="186"/>
      <c r="H544" s="186"/>
      <c r="I544" s="186"/>
      <c r="J544" s="186"/>
      <c r="K544" s="186"/>
      <c r="L544" s="186"/>
      <c r="M544" s="67"/>
      <c r="N544" s="67"/>
      <c r="O544" s="67"/>
      <c r="P544" s="67"/>
      <c r="Q544" s="186"/>
      <c r="R544" s="186"/>
      <c r="S544" s="187"/>
      <c r="T544" s="187"/>
      <c r="U544" s="186"/>
      <c r="V544" s="186"/>
      <c r="W544" s="186"/>
      <c r="X544" s="186"/>
    </row>
    <row r="545">
      <c r="A545" s="185"/>
      <c r="B545" s="67"/>
      <c r="C545" s="186"/>
      <c r="D545" s="186"/>
      <c r="E545" s="186"/>
      <c r="F545" s="186"/>
      <c r="G545" s="186"/>
      <c r="H545" s="186"/>
      <c r="I545" s="186"/>
      <c r="J545" s="186"/>
      <c r="K545" s="186"/>
      <c r="L545" s="186"/>
      <c r="M545" s="67"/>
      <c r="N545" s="67"/>
      <c r="O545" s="67"/>
      <c r="P545" s="67"/>
      <c r="Q545" s="186"/>
      <c r="R545" s="186"/>
      <c r="S545" s="187"/>
      <c r="T545" s="187"/>
      <c r="U545" s="186"/>
      <c r="V545" s="186"/>
      <c r="W545" s="186"/>
      <c r="X545" s="186"/>
    </row>
    <row r="546">
      <c r="A546" s="185"/>
      <c r="B546" s="67"/>
      <c r="C546" s="186"/>
      <c r="D546" s="186"/>
      <c r="E546" s="186"/>
      <c r="F546" s="186"/>
      <c r="G546" s="186"/>
      <c r="H546" s="186"/>
      <c r="I546" s="186"/>
      <c r="J546" s="186"/>
      <c r="K546" s="186"/>
      <c r="L546" s="186"/>
      <c r="M546" s="67"/>
      <c r="N546" s="67"/>
      <c r="O546" s="67"/>
      <c r="P546" s="67"/>
      <c r="Q546" s="186"/>
      <c r="R546" s="186"/>
      <c r="S546" s="187"/>
      <c r="T546" s="187"/>
      <c r="U546" s="186"/>
      <c r="V546" s="186"/>
      <c r="W546" s="186"/>
      <c r="X546" s="186"/>
    </row>
    <row r="547">
      <c r="A547" s="185"/>
      <c r="B547" s="67"/>
      <c r="C547" s="186"/>
      <c r="D547" s="186"/>
      <c r="E547" s="186"/>
      <c r="F547" s="186"/>
      <c r="G547" s="186"/>
      <c r="H547" s="186"/>
      <c r="I547" s="186"/>
      <c r="J547" s="186"/>
      <c r="K547" s="186"/>
      <c r="L547" s="186"/>
      <c r="M547" s="67"/>
      <c r="N547" s="67"/>
      <c r="O547" s="67"/>
      <c r="P547" s="67"/>
      <c r="Q547" s="186"/>
      <c r="R547" s="186"/>
      <c r="S547" s="187"/>
      <c r="T547" s="187"/>
      <c r="U547" s="186"/>
      <c r="V547" s="186"/>
      <c r="W547" s="186"/>
      <c r="X547" s="186"/>
    </row>
    <row r="548">
      <c r="A548" s="185"/>
      <c r="B548" s="67"/>
      <c r="C548" s="186"/>
      <c r="D548" s="186"/>
      <c r="E548" s="186"/>
      <c r="F548" s="186"/>
      <c r="G548" s="186"/>
      <c r="H548" s="186"/>
      <c r="I548" s="186"/>
      <c r="J548" s="186"/>
      <c r="K548" s="186"/>
      <c r="L548" s="186"/>
      <c r="M548" s="67"/>
      <c r="N548" s="67"/>
      <c r="O548" s="67"/>
      <c r="P548" s="67"/>
      <c r="Q548" s="186"/>
      <c r="R548" s="186"/>
      <c r="S548" s="187"/>
      <c r="T548" s="187"/>
      <c r="U548" s="186"/>
      <c r="V548" s="186"/>
      <c r="W548" s="186"/>
      <c r="X548" s="186"/>
    </row>
    <row r="549">
      <c r="A549" s="185"/>
      <c r="B549" s="67"/>
      <c r="C549" s="186"/>
      <c r="D549" s="186"/>
      <c r="E549" s="186"/>
      <c r="F549" s="186"/>
      <c r="G549" s="186"/>
      <c r="H549" s="186"/>
      <c r="I549" s="186"/>
      <c r="J549" s="186"/>
      <c r="K549" s="186"/>
      <c r="L549" s="186"/>
      <c r="M549" s="67"/>
      <c r="N549" s="67"/>
      <c r="O549" s="67"/>
      <c r="P549" s="67"/>
      <c r="Q549" s="186"/>
      <c r="R549" s="186"/>
      <c r="S549" s="187"/>
      <c r="T549" s="187"/>
      <c r="U549" s="186"/>
      <c r="V549" s="186"/>
      <c r="W549" s="186"/>
      <c r="X549" s="186"/>
    </row>
    <row r="550">
      <c r="A550" s="185"/>
      <c r="B550" s="67"/>
      <c r="C550" s="186"/>
      <c r="D550" s="186"/>
      <c r="E550" s="186"/>
      <c r="F550" s="186"/>
      <c r="G550" s="186"/>
      <c r="H550" s="186"/>
      <c r="I550" s="186"/>
      <c r="J550" s="186"/>
      <c r="K550" s="186"/>
      <c r="L550" s="186"/>
      <c r="M550" s="67"/>
      <c r="N550" s="67"/>
      <c r="O550" s="67"/>
      <c r="P550" s="67"/>
      <c r="Q550" s="186"/>
      <c r="R550" s="186"/>
      <c r="S550" s="187"/>
      <c r="T550" s="187"/>
      <c r="U550" s="186"/>
      <c r="V550" s="186"/>
      <c r="W550" s="186"/>
      <c r="X550" s="186"/>
    </row>
    <row r="551">
      <c r="A551" s="185"/>
      <c r="B551" s="67"/>
      <c r="C551" s="186"/>
      <c r="D551" s="186"/>
      <c r="E551" s="186"/>
      <c r="F551" s="186"/>
      <c r="G551" s="186"/>
      <c r="H551" s="186"/>
      <c r="I551" s="186"/>
      <c r="J551" s="186"/>
      <c r="K551" s="186"/>
      <c r="L551" s="186"/>
      <c r="M551" s="67"/>
      <c r="N551" s="67"/>
      <c r="O551" s="67"/>
      <c r="P551" s="67"/>
      <c r="Q551" s="186"/>
      <c r="R551" s="186"/>
      <c r="S551" s="187"/>
      <c r="T551" s="187"/>
      <c r="U551" s="186"/>
      <c r="V551" s="186"/>
      <c r="W551" s="186"/>
      <c r="X551" s="186"/>
    </row>
    <row r="552">
      <c r="A552" s="185"/>
      <c r="B552" s="67"/>
      <c r="C552" s="186"/>
      <c r="D552" s="186"/>
      <c r="E552" s="186"/>
      <c r="F552" s="186"/>
      <c r="G552" s="186"/>
      <c r="H552" s="186"/>
      <c r="I552" s="186"/>
      <c r="J552" s="186"/>
      <c r="K552" s="186"/>
      <c r="L552" s="186"/>
      <c r="M552" s="67"/>
      <c r="N552" s="67"/>
      <c r="O552" s="67"/>
      <c r="P552" s="67"/>
      <c r="Q552" s="186"/>
      <c r="R552" s="186"/>
      <c r="S552" s="187"/>
      <c r="T552" s="187"/>
      <c r="U552" s="186"/>
      <c r="V552" s="186"/>
      <c r="W552" s="186"/>
      <c r="X552" s="186"/>
    </row>
    <row r="553">
      <c r="A553" s="185"/>
      <c r="B553" s="67"/>
      <c r="C553" s="186"/>
      <c r="D553" s="186"/>
      <c r="E553" s="186"/>
      <c r="F553" s="186"/>
      <c r="G553" s="186"/>
      <c r="H553" s="186"/>
      <c r="I553" s="186"/>
      <c r="J553" s="186"/>
      <c r="K553" s="186"/>
      <c r="L553" s="186"/>
      <c r="M553" s="67"/>
      <c r="N553" s="67"/>
      <c r="O553" s="67"/>
      <c r="P553" s="67"/>
      <c r="Q553" s="186"/>
      <c r="R553" s="186"/>
      <c r="S553" s="187"/>
      <c r="T553" s="187"/>
      <c r="U553" s="186"/>
      <c r="V553" s="186"/>
      <c r="W553" s="186"/>
      <c r="X553" s="186"/>
    </row>
    <row r="554">
      <c r="A554" s="185"/>
      <c r="B554" s="67"/>
      <c r="C554" s="186"/>
      <c r="D554" s="186"/>
      <c r="E554" s="186"/>
      <c r="F554" s="186"/>
      <c r="G554" s="186"/>
      <c r="H554" s="186"/>
      <c r="I554" s="186"/>
      <c r="J554" s="186"/>
      <c r="K554" s="186"/>
      <c r="L554" s="186"/>
      <c r="M554" s="67"/>
      <c r="N554" s="67"/>
      <c r="O554" s="67"/>
      <c r="P554" s="67"/>
      <c r="Q554" s="186"/>
      <c r="R554" s="186"/>
      <c r="S554" s="187"/>
      <c r="T554" s="187"/>
      <c r="U554" s="186"/>
      <c r="V554" s="186"/>
      <c r="W554" s="186"/>
      <c r="X554" s="186"/>
    </row>
    <row r="555">
      <c r="A555" s="185"/>
      <c r="B555" s="67"/>
      <c r="C555" s="186"/>
      <c r="D555" s="186"/>
      <c r="E555" s="186"/>
      <c r="F555" s="186"/>
      <c r="G555" s="186"/>
      <c r="H555" s="186"/>
      <c r="I555" s="186"/>
      <c r="J555" s="186"/>
      <c r="K555" s="186"/>
      <c r="L555" s="186"/>
      <c r="M555" s="67"/>
      <c r="N555" s="67"/>
      <c r="O555" s="67"/>
      <c r="P555" s="67"/>
      <c r="Q555" s="186"/>
      <c r="R555" s="186"/>
      <c r="S555" s="187"/>
      <c r="T555" s="187"/>
      <c r="U555" s="186"/>
      <c r="V555" s="186"/>
      <c r="W555" s="186"/>
      <c r="X555" s="186"/>
    </row>
    <row r="556">
      <c r="A556" s="185"/>
      <c r="B556" s="67"/>
      <c r="C556" s="186"/>
      <c r="D556" s="186"/>
      <c r="E556" s="186"/>
      <c r="F556" s="186"/>
      <c r="G556" s="186"/>
      <c r="H556" s="186"/>
      <c r="I556" s="186"/>
      <c r="J556" s="186"/>
      <c r="K556" s="186"/>
      <c r="L556" s="186"/>
      <c r="M556" s="67"/>
      <c r="N556" s="67"/>
      <c r="O556" s="67"/>
      <c r="P556" s="67"/>
      <c r="Q556" s="186"/>
      <c r="R556" s="186"/>
      <c r="S556" s="187"/>
      <c r="T556" s="187"/>
      <c r="U556" s="186"/>
      <c r="V556" s="186"/>
      <c r="W556" s="186"/>
      <c r="X556" s="186"/>
    </row>
    <row r="557">
      <c r="A557" s="185"/>
      <c r="B557" s="67"/>
      <c r="C557" s="186"/>
      <c r="D557" s="186"/>
      <c r="E557" s="186"/>
      <c r="F557" s="186"/>
      <c r="G557" s="186"/>
      <c r="H557" s="186"/>
      <c r="I557" s="186"/>
      <c r="J557" s="186"/>
      <c r="K557" s="186"/>
      <c r="L557" s="186"/>
      <c r="M557" s="67"/>
      <c r="N557" s="67"/>
      <c r="O557" s="67"/>
      <c r="P557" s="67"/>
      <c r="Q557" s="186"/>
      <c r="R557" s="186"/>
      <c r="S557" s="187"/>
      <c r="T557" s="187"/>
      <c r="U557" s="186"/>
      <c r="V557" s="186"/>
      <c r="W557" s="186"/>
      <c r="X557" s="186"/>
    </row>
    <row r="558">
      <c r="A558" s="185"/>
      <c r="B558" s="67"/>
      <c r="C558" s="186"/>
      <c r="D558" s="186"/>
      <c r="E558" s="186"/>
      <c r="F558" s="186"/>
      <c r="G558" s="186"/>
      <c r="H558" s="186"/>
      <c r="I558" s="186"/>
      <c r="J558" s="186"/>
      <c r="K558" s="186"/>
      <c r="L558" s="186"/>
      <c r="M558" s="67"/>
      <c r="N558" s="67"/>
      <c r="O558" s="67"/>
      <c r="P558" s="67"/>
      <c r="Q558" s="186"/>
      <c r="R558" s="186"/>
      <c r="S558" s="187"/>
      <c r="T558" s="187"/>
      <c r="U558" s="186"/>
      <c r="V558" s="186"/>
      <c r="W558" s="186"/>
      <c r="X558" s="186"/>
    </row>
    <row r="559">
      <c r="A559" s="185"/>
      <c r="B559" s="67"/>
      <c r="C559" s="186"/>
      <c r="D559" s="186"/>
      <c r="E559" s="186"/>
      <c r="F559" s="186"/>
      <c r="G559" s="186"/>
      <c r="H559" s="186"/>
      <c r="I559" s="186"/>
      <c r="J559" s="186"/>
      <c r="K559" s="186"/>
      <c r="L559" s="186"/>
      <c r="M559" s="67"/>
      <c r="N559" s="67"/>
      <c r="O559" s="67"/>
      <c r="P559" s="67"/>
      <c r="Q559" s="186"/>
      <c r="R559" s="186"/>
      <c r="S559" s="187"/>
      <c r="T559" s="187"/>
      <c r="U559" s="186"/>
      <c r="V559" s="186"/>
      <c r="W559" s="186"/>
      <c r="X559" s="186"/>
    </row>
    <row r="560">
      <c r="A560" s="185"/>
      <c r="B560" s="67"/>
      <c r="C560" s="186"/>
      <c r="D560" s="186"/>
      <c r="E560" s="186"/>
      <c r="F560" s="186"/>
      <c r="G560" s="186"/>
      <c r="H560" s="186"/>
      <c r="I560" s="186"/>
      <c r="J560" s="186"/>
      <c r="K560" s="186"/>
      <c r="L560" s="186"/>
      <c r="M560" s="67"/>
      <c r="N560" s="67"/>
      <c r="O560" s="67"/>
      <c r="P560" s="67"/>
      <c r="Q560" s="186"/>
      <c r="R560" s="186"/>
      <c r="S560" s="187"/>
      <c r="T560" s="187"/>
      <c r="U560" s="186"/>
      <c r="V560" s="186"/>
      <c r="W560" s="186"/>
      <c r="X560" s="186"/>
    </row>
    <row r="561">
      <c r="A561" s="185"/>
      <c r="B561" s="67"/>
      <c r="C561" s="186"/>
      <c r="D561" s="186"/>
      <c r="E561" s="186"/>
      <c r="F561" s="186"/>
      <c r="G561" s="186"/>
      <c r="H561" s="186"/>
      <c r="I561" s="186"/>
      <c r="J561" s="186"/>
      <c r="K561" s="186"/>
      <c r="L561" s="186"/>
      <c r="M561" s="67"/>
      <c r="N561" s="67"/>
      <c r="O561" s="67"/>
      <c r="P561" s="67"/>
      <c r="Q561" s="186"/>
      <c r="R561" s="186"/>
      <c r="S561" s="187"/>
      <c r="T561" s="187"/>
      <c r="U561" s="186"/>
      <c r="V561" s="186"/>
      <c r="W561" s="186"/>
      <c r="X561" s="186"/>
    </row>
    <row r="562">
      <c r="A562" s="185"/>
      <c r="B562" s="67"/>
      <c r="C562" s="186"/>
      <c r="D562" s="186"/>
      <c r="E562" s="186"/>
      <c r="F562" s="186"/>
      <c r="G562" s="186"/>
      <c r="H562" s="186"/>
      <c r="I562" s="186"/>
      <c r="J562" s="186"/>
      <c r="K562" s="186"/>
      <c r="L562" s="186"/>
      <c r="M562" s="67"/>
      <c r="N562" s="67"/>
      <c r="O562" s="67"/>
      <c r="P562" s="67"/>
      <c r="Q562" s="186"/>
      <c r="R562" s="186"/>
      <c r="S562" s="187"/>
      <c r="T562" s="187"/>
      <c r="U562" s="186"/>
      <c r="V562" s="186"/>
      <c r="W562" s="186"/>
      <c r="X562" s="186"/>
    </row>
    <row r="563">
      <c r="A563" s="185"/>
      <c r="B563" s="67"/>
      <c r="C563" s="186"/>
      <c r="D563" s="186"/>
      <c r="E563" s="186"/>
      <c r="F563" s="186"/>
      <c r="G563" s="186"/>
      <c r="H563" s="186"/>
      <c r="I563" s="186"/>
      <c r="J563" s="186"/>
      <c r="K563" s="186"/>
      <c r="L563" s="186"/>
      <c r="M563" s="67"/>
      <c r="N563" s="67"/>
      <c r="O563" s="67"/>
      <c r="P563" s="67"/>
      <c r="Q563" s="186"/>
      <c r="R563" s="186"/>
      <c r="S563" s="187"/>
      <c r="T563" s="187"/>
      <c r="U563" s="186"/>
      <c r="V563" s="186"/>
      <c r="W563" s="186"/>
      <c r="X563" s="186"/>
    </row>
    <row r="564">
      <c r="A564" s="185"/>
      <c r="B564" s="67"/>
      <c r="C564" s="186"/>
      <c r="D564" s="186"/>
      <c r="E564" s="186"/>
      <c r="F564" s="186"/>
      <c r="G564" s="186"/>
      <c r="H564" s="186"/>
      <c r="I564" s="186"/>
      <c r="J564" s="186"/>
      <c r="K564" s="186"/>
      <c r="L564" s="186"/>
      <c r="M564" s="67"/>
      <c r="N564" s="67"/>
      <c r="O564" s="67"/>
      <c r="P564" s="67"/>
      <c r="Q564" s="186"/>
      <c r="R564" s="186"/>
      <c r="S564" s="187"/>
      <c r="T564" s="187"/>
      <c r="U564" s="186"/>
      <c r="V564" s="186"/>
      <c r="W564" s="186"/>
      <c r="X564" s="186"/>
    </row>
    <row r="565">
      <c r="A565" s="185"/>
      <c r="B565" s="67"/>
      <c r="C565" s="186"/>
      <c r="D565" s="186"/>
      <c r="E565" s="186"/>
      <c r="F565" s="186"/>
      <c r="G565" s="186"/>
      <c r="H565" s="186"/>
      <c r="I565" s="186"/>
      <c r="J565" s="186"/>
      <c r="K565" s="186"/>
      <c r="L565" s="186"/>
      <c r="M565" s="67"/>
      <c r="N565" s="67"/>
      <c r="O565" s="67"/>
      <c r="P565" s="67"/>
      <c r="Q565" s="186"/>
      <c r="R565" s="186"/>
      <c r="S565" s="187"/>
      <c r="T565" s="187"/>
      <c r="U565" s="186"/>
      <c r="V565" s="186"/>
      <c r="W565" s="186"/>
      <c r="X565" s="186"/>
    </row>
    <row r="566">
      <c r="A566" s="185"/>
      <c r="B566" s="67"/>
      <c r="C566" s="186"/>
      <c r="D566" s="186"/>
      <c r="E566" s="186"/>
      <c r="F566" s="186"/>
      <c r="G566" s="186"/>
      <c r="H566" s="186"/>
      <c r="I566" s="186"/>
      <c r="J566" s="186"/>
      <c r="K566" s="186"/>
      <c r="L566" s="186"/>
      <c r="M566" s="67"/>
      <c r="N566" s="67"/>
      <c r="O566" s="67"/>
      <c r="P566" s="67"/>
      <c r="Q566" s="186"/>
      <c r="R566" s="186"/>
      <c r="S566" s="187"/>
      <c r="T566" s="187"/>
      <c r="U566" s="186"/>
      <c r="V566" s="186"/>
      <c r="W566" s="186"/>
      <c r="X566" s="186"/>
    </row>
    <row r="567">
      <c r="A567" s="185"/>
      <c r="B567" s="67"/>
      <c r="C567" s="186"/>
      <c r="D567" s="186"/>
      <c r="E567" s="186"/>
      <c r="F567" s="186"/>
      <c r="G567" s="186"/>
      <c r="H567" s="186"/>
      <c r="I567" s="186"/>
      <c r="J567" s="186"/>
      <c r="K567" s="186"/>
      <c r="L567" s="186"/>
      <c r="M567" s="67"/>
      <c r="N567" s="67"/>
      <c r="O567" s="67"/>
      <c r="P567" s="67"/>
      <c r="Q567" s="186"/>
      <c r="R567" s="186"/>
      <c r="S567" s="187"/>
      <c r="T567" s="187"/>
      <c r="U567" s="186"/>
      <c r="V567" s="186"/>
      <c r="W567" s="186"/>
      <c r="X567" s="186"/>
    </row>
    <row r="568">
      <c r="A568" s="185"/>
      <c r="B568" s="67"/>
      <c r="C568" s="186"/>
      <c r="D568" s="186"/>
      <c r="E568" s="186"/>
      <c r="F568" s="186"/>
      <c r="G568" s="186"/>
      <c r="H568" s="186"/>
      <c r="I568" s="186"/>
      <c r="J568" s="186"/>
      <c r="K568" s="186"/>
      <c r="L568" s="186"/>
      <c r="M568" s="67"/>
      <c r="N568" s="67"/>
      <c r="O568" s="67"/>
      <c r="P568" s="67"/>
      <c r="Q568" s="186"/>
      <c r="R568" s="186"/>
      <c r="S568" s="187"/>
      <c r="T568" s="187"/>
      <c r="U568" s="186"/>
      <c r="V568" s="186"/>
      <c r="W568" s="186"/>
      <c r="X568" s="186"/>
    </row>
    <row r="569">
      <c r="A569" s="185"/>
      <c r="B569" s="67"/>
      <c r="C569" s="186"/>
      <c r="D569" s="186"/>
      <c r="E569" s="186"/>
      <c r="F569" s="186"/>
      <c r="G569" s="186"/>
      <c r="H569" s="186"/>
      <c r="I569" s="186"/>
      <c r="J569" s="186"/>
      <c r="K569" s="186"/>
      <c r="L569" s="186"/>
      <c r="M569" s="67"/>
      <c r="N569" s="67"/>
      <c r="O569" s="67"/>
      <c r="P569" s="67"/>
      <c r="Q569" s="186"/>
      <c r="R569" s="186"/>
      <c r="S569" s="187"/>
      <c r="T569" s="187"/>
      <c r="U569" s="186"/>
      <c r="V569" s="186"/>
      <c r="W569" s="186"/>
      <c r="X569" s="186"/>
    </row>
    <row r="570">
      <c r="A570" s="185"/>
      <c r="B570" s="67"/>
      <c r="C570" s="186"/>
      <c r="D570" s="186"/>
      <c r="E570" s="186"/>
      <c r="F570" s="186"/>
      <c r="G570" s="186"/>
      <c r="H570" s="186"/>
      <c r="I570" s="186"/>
      <c r="J570" s="186"/>
      <c r="K570" s="186"/>
      <c r="L570" s="186"/>
      <c r="M570" s="67"/>
      <c r="N570" s="67"/>
      <c r="O570" s="67"/>
      <c r="P570" s="67"/>
      <c r="Q570" s="186"/>
      <c r="R570" s="186"/>
      <c r="S570" s="187"/>
      <c r="T570" s="187"/>
      <c r="U570" s="186"/>
      <c r="V570" s="186"/>
      <c r="W570" s="186"/>
      <c r="X570" s="186"/>
    </row>
    <row r="571">
      <c r="A571" s="185"/>
      <c r="B571" s="67"/>
      <c r="C571" s="186"/>
      <c r="D571" s="186"/>
      <c r="E571" s="186"/>
      <c r="F571" s="186"/>
      <c r="G571" s="186"/>
      <c r="H571" s="186"/>
      <c r="I571" s="186"/>
      <c r="J571" s="186"/>
      <c r="K571" s="186"/>
      <c r="L571" s="186"/>
      <c r="M571" s="67"/>
      <c r="N571" s="67"/>
      <c r="O571" s="67"/>
      <c r="P571" s="67"/>
      <c r="Q571" s="186"/>
      <c r="R571" s="186"/>
      <c r="S571" s="187"/>
      <c r="T571" s="187"/>
      <c r="U571" s="186"/>
      <c r="V571" s="186"/>
      <c r="W571" s="186"/>
      <c r="X571" s="186"/>
    </row>
    <row r="572">
      <c r="A572" s="185"/>
      <c r="B572" s="67"/>
      <c r="C572" s="186"/>
      <c r="D572" s="186"/>
      <c r="E572" s="186"/>
      <c r="F572" s="186"/>
      <c r="G572" s="186"/>
      <c r="H572" s="186"/>
      <c r="I572" s="186"/>
      <c r="J572" s="186"/>
      <c r="K572" s="186"/>
      <c r="L572" s="186"/>
      <c r="M572" s="67"/>
      <c r="N572" s="67"/>
      <c r="O572" s="67"/>
      <c r="P572" s="67"/>
      <c r="Q572" s="186"/>
      <c r="R572" s="186"/>
      <c r="S572" s="187"/>
      <c r="T572" s="187"/>
      <c r="U572" s="186"/>
      <c r="V572" s="186"/>
      <c r="W572" s="186"/>
      <c r="X572" s="186"/>
    </row>
    <row r="573">
      <c r="A573" s="185"/>
      <c r="B573" s="67"/>
      <c r="C573" s="186"/>
      <c r="D573" s="186"/>
      <c r="E573" s="186"/>
      <c r="F573" s="186"/>
      <c r="G573" s="186"/>
      <c r="H573" s="186"/>
      <c r="I573" s="186"/>
      <c r="J573" s="186"/>
      <c r="K573" s="186"/>
      <c r="L573" s="186"/>
      <c r="M573" s="67"/>
      <c r="N573" s="67"/>
      <c r="O573" s="67"/>
      <c r="P573" s="67"/>
      <c r="Q573" s="186"/>
      <c r="R573" s="186"/>
      <c r="S573" s="187"/>
      <c r="T573" s="187"/>
      <c r="U573" s="186"/>
      <c r="V573" s="186"/>
      <c r="W573" s="186"/>
      <c r="X573" s="186"/>
    </row>
    <row r="574">
      <c r="A574" s="185"/>
      <c r="B574" s="67"/>
      <c r="C574" s="186"/>
      <c r="D574" s="186"/>
      <c r="E574" s="186"/>
      <c r="F574" s="186"/>
      <c r="G574" s="186"/>
      <c r="H574" s="186"/>
      <c r="I574" s="186"/>
      <c r="J574" s="186"/>
      <c r="K574" s="186"/>
      <c r="L574" s="186"/>
      <c r="M574" s="67"/>
      <c r="N574" s="67"/>
      <c r="O574" s="67"/>
      <c r="P574" s="67"/>
      <c r="Q574" s="186"/>
      <c r="R574" s="186"/>
      <c r="S574" s="187"/>
      <c r="T574" s="187"/>
      <c r="U574" s="186"/>
      <c r="V574" s="186"/>
      <c r="W574" s="186"/>
      <c r="X574" s="186"/>
    </row>
    <row r="575">
      <c r="A575" s="185"/>
      <c r="B575" s="67"/>
      <c r="C575" s="186"/>
      <c r="D575" s="186"/>
      <c r="E575" s="186"/>
      <c r="F575" s="186"/>
      <c r="G575" s="186"/>
      <c r="H575" s="186"/>
      <c r="I575" s="186"/>
      <c r="J575" s="186"/>
      <c r="K575" s="186"/>
      <c r="L575" s="186"/>
      <c r="M575" s="67"/>
      <c r="N575" s="67"/>
      <c r="O575" s="67"/>
      <c r="P575" s="67"/>
      <c r="Q575" s="186"/>
      <c r="R575" s="186"/>
      <c r="S575" s="187"/>
      <c r="T575" s="187"/>
      <c r="U575" s="186"/>
      <c r="V575" s="186"/>
      <c r="W575" s="186"/>
      <c r="X575" s="186"/>
    </row>
    <row r="576">
      <c r="A576" s="185"/>
      <c r="B576" s="67"/>
      <c r="C576" s="186"/>
      <c r="D576" s="186"/>
      <c r="E576" s="186"/>
      <c r="F576" s="186"/>
      <c r="G576" s="186"/>
      <c r="H576" s="186"/>
      <c r="I576" s="186"/>
      <c r="J576" s="186"/>
      <c r="K576" s="186"/>
      <c r="L576" s="186"/>
      <c r="M576" s="67"/>
      <c r="N576" s="67"/>
      <c r="O576" s="67"/>
      <c r="P576" s="67"/>
      <c r="Q576" s="186"/>
      <c r="R576" s="186"/>
      <c r="S576" s="187"/>
      <c r="T576" s="187"/>
      <c r="U576" s="186"/>
      <c r="V576" s="186"/>
      <c r="W576" s="186"/>
      <c r="X576" s="186"/>
    </row>
    <row r="577">
      <c r="A577" s="185"/>
      <c r="B577" s="67"/>
      <c r="C577" s="186"/>
      <c r="D577" s="186"/>
      <c r="E577" s="186"/>
      <c r="F577" s="186"/>
      <c r="G577" s="186"/>
      <c r="H577" s="186"/>
      <c r="I577" s="186"/>
      <c r="J577" s="186"/>
      <c r="K577" s="186"/>
      <c r="L577" s="186"/>
      <c r="M577" s="67"/>
      <c r="N577" s="67"/>
      <c r="O577" s="67"/>
      <c r="P577" s="67"/>
      <c r="Q577" s="186"/>
      <c r="R577" s="186"/>
      <c r="S577" s="187"/>
      <c r="T577" s="187"/>
      <c r="U577" s="186"/>
      <c r="V577" s="186"/>
      <c r="W577" s="186"/>
      <c r="X577" s="186"/>
    </row>
    <row r="578">
      <c r="A578" s="185"/>
      <c r="B578" s="67"/>
      <c r="C578" s="186"/>
      <c r="D578" s="186"/>
      <c r="E578" s="186"/>
      <c r="F578" s="186"/>
      <c r="G578" s="186"/>
      <c r="H578" s="186"/>
      <c r="I578" s="186"/>
      <c r="J578" s="186"/>
      <c r="K578" s="186"/>
      <c r="L578" s="186"/>
      <c r="M578" s="67"/>
      <c r="N578" s="67"/>
      <c r="O578" s="67"/>
      <c r="P578" s="67"/>
      <c r="Q578" s="186"/>
      <c r="R578" s="186"/>
      <c r="S578" s="187"/>
      <c r="T578" s="187"/>
      <c r="U578" s="186"/>
      <c r="V578" s="186"/>
      <c r="W578" s="186"/>
      <c r="X578" s="186"/>
    </row>
    <row r="579">
      <c r="A579" s="185"/>
      <c r="B579" s="67"/>
      <c r="C579" s="186"/>
      <c r="D579" s="186"/>
      <c r="E579" s="186"/>
      <c r="F579" s="186"/>
      <c r="G579" s="186"/>
      <c r="H579" s="186"/>
      <c r="I579" s="186"/>
      <c r="J579" s="186"/>
      <c r="K579" s="186"/>
      <c r="L579" s="186"/>
      <c r="M579" s="67"/>
      <c r="N579" s="67"/>
      <c r="O579" s="67"/>
      <c r="P579" s="67"/>
      <c r="Q579" s="186"/>
      <c r="R579" s="186"/>
      <c r="S579" s="187"/>
      <c r="T579" s="187"/>
      <c r="U579" s="186"/>
      <c r="V579" s="186"/>
      <c r="W579" s="186"/>
      <c r="X579" s="186"/>
    </row>
    <row r="580">
      <c r="A580" s="185"/>
      <c r="B580" s="67"/>
      <c r="C580" s="186"/>
      <c r="D580" s="186"/>
      <c r="E580" s="186"/>
      <c r="F580" s="186"/>
      <c r="G580" s="186"/>
      <c r="H580" s="186"/>
      <c r="I580" s="186"/>
      <c r="J580" s="186"/>
      <c r="K580" s="186"/>
      <c r="L580" s="186"/>
      <c r="M580" s="67"/>
      <c r="N580" s="67"/>
      <c r="O580" s="67"/>
      <c r="P580" s="67"/>
      <c r="Q580" s="186"/>
      <c r="R580" s="186"/>
      <c r="S580" s="187"/>
      <c r="T580" s="187"/>
      <c r="U580" s="186"/>
      <c r="V580" s="186"/>
      <c r="W580" s="186"/>
      <c r="X580" s="186"/>
    </row>
    <row r="581">
      <c r="A581" s="185"/>
      <c r="B581" s="67"/>
      <c r="C581" s="186"/>
      <c r="D581" s="186"/>
      <c r="E581" s="186"/>
      <c r="F581" s="186"/>
      <c r="G581" s="186"/>
      <c r="H581" s="186"/>
      <c r="I581" s="186"/>
      <c r="J581" s="186"/>
      <c r="K581" s="186"/>
      <c r="L581" s="186"/>
      <c r="M581" s="67"/>
      <c r="N581" s="67"/>
      <c r="O581" s="67"/>
      <c r="P581" s="67"/>
      <c r="Q581" s="186"/>
      <c r="R581" s="186"/>
      <c r="S581" s="187"/>
      <c r="T581" s="187"/>
      <c r="U581" s="186"/>
      <c r="V581" s="186"/>
      <c r="W581" s="186"/>
      <c r="X581" s="186"/>
    </row>
    <row r="582">
      <c r="A582" s="185"/>
      <c r="B582" s="67"/>
      <c r="C582" s="186"/>
      <c r="D582" s="186"/>
      <c r="E582" s="186"/>
      <c r="F582" s="186"/>
      <c r="G582" s="186"/>
      <c r="H582" s="186"/>
      <c r="I582" s="186"/>
      <c r="J582" s="186"/>
      <c r="K582" s="186"/>
      <c r="L582" s="186"/>
      <c r="M582" s="67"/>
      <c r="N582" s="67"/>
      <c r="O582" s="67"/>
      <c r="P582" s="67"/>
      <c r="Q582" s="186"/>
      <c r="R582" s="186"/>
      <c r="S582" s="187"/>
      <c r="T582" s="187"/>
      <c r="U582" s="186"/>
      <c r="V582" s="186"/>
      <c r="W582" s="186"/>
      <c r="X582" s="186"/>
    </row>
    <row r="583">
      <c r="A583" s="185"/>
      <c r="B583" s="67"/>
      <c r="C583" s="186"/>
      <c r="D583" s="186"/>
      <c r="E583" s="186"/>
      <c r="F583" s="186"/>
      <c r="G583" s="186"/>
      <c r="H583" s="186"/>
      <c r="I583" s="186"/>
      <c r="J583" s="186"/>
      <c r="K583" s="186"/>
      <c r="L583" s="186"/>
      <c r="M583" s="67"/>
      <c r="N583" s="67"/>
      <c r="O583" s="67"/>
      <c r="P583" s="67"/>
      <c r="Q583" s="186"/>
      <c r="R583" s="186"/>
      <c r="S583" s="187"/>
      <c r="T583" s="187"/>
      <c r="U583" s="186"/>
      <c r="V583" s="186"/>
      <c r="W583" s="186"/>
      <c r="X583" s="186"/>
    </row>
    <row r="584">
      <c r="A584" s="185"/>
      <c r="B584" s="67"/>
      <c r="C584" s="186"/>
      <c r="D584" s="186"/>
      <c r="E584" s="186"/>
      <c r="F584" s="186"/>
      <c r="G584" s="186"/>
      <c r="H584" s="186"/>
      <c r="I584" s="186"/>
      <c r="J584" s="186"/>
      <c r="K584" s="186"/>
      <c r="L584" s="186"/>
      <c r="M584" s="67"/>
      <c r="N584" s="67"/>
      <c r="O584" s="67"/>
      <c r="P584" s="67"/>
      <c r="Q584" s="186"/>
      <c r="R584" s="186"/>
      <c r="S584" s="187"/>
      <c r="T584" s="187"/>
      <c r="U584" s="186"/>
      <c r="V584" s="186"/>
      <c r="W584" s="186"/>
      <c r="X584" s="186"/>
    </row>
    <row r="585">
      <c r="A585" s="185"/>
      <c r="B585" s="67"/>
      <c r="C585" s="186"/>
      <c r="D585" s="186"/>
      <c r="E585" s="186"/>
      <c r="F585" s="186"/>
      <c r="G585" s="186"/>
      <c r="H585" s="186"/>
      <c r="I585" s="186"/>
      <c r="J585" s="186"/>
      <c r="K585" s="186"/>
      <c r="L585" s="186"/>
      <c r="M585" s="67"/>
      <c r="N585" s="67"/>
      <c r="O585" s="67"/>
      <c r="P585" s="67"/>
      <c r="Q585" s="186"/>
      <c r="R585" s="186"/>
      <c r="S585" s="187"/>
      <c r="T585" s="187"/>
      <c r="U585" s="186"/>
      <c r="V585" s="186"/>
      <c r="W585" s="186"/>
      <c r="X585" s="186"/>
    </row>
    <row r="586">
      <c r="A586" s="185"/>
      <c r="B586" s="67"/>
      <c r="C586" s="186"/>
      <c r="D586" s="186"/>
      <c r="E586" s="186"/>
      <c r="F586" s="186"/>
      <c r="G586" s="186"/>
      <c r="H586" s="186"/>
      <c r="I586" s="186"/>
      <c r="J586" s="186"/>
      <c r="K586" s="186"/>
      <c r="L586" s="186"/>
      <c r="M586" s="67"/>
      <c r="N586" s="67"/>
      <c r="O586" s="67"/>
      <c r="P586" s="67"/>
      <c r="Q586" s="186"/>
      <c r="R586" s="186"/>
      <c r="S586" s="187"/>
      <c r="T586" s="187"/>
      <c r="U586" s="186"/>
      <c r="V586" s="186"/>
      <c r="W586" s="186"/>
      <c r="X586" s="186"/>
    </row>
    <row r="587">
      <c r="A587" s="185"/>
      <c r="B587" s="67"/>
      <c r="C587" s="186"/>
      <c r="D587" s="186"/>
      <c r="E587" s="186"/>
      <c r="F587" s="186"/>
      <c r="G587" s="186"/>
      <c r="H587" s="186"/>
      <c r="I587" s="186"/>
      <c r="J587" s="186"/>
      <c r="K587" s="186"/>
      <c r="L587" s="186"/>
      <c r="M587" s="67"/>
      <c r="N587" s="67"/>
      <c r="O587" s="67"/>
      <c r="P587" s="67"/>
      <c r="Q587" s="186"/>
      <c r="R587" s="186"/>
      <c r="S587" s="187"/>
      <c r="T587" s="187"/>
      <c r="U587" s="186"/>
      <c r="V587" s="186"/>
      <c r="W587" s="186"/>
      <c r="X587" s="186"/>
    </row>
    <row r="588">
      <c r="A588" s="185"/>
      <c r="B588" s="67"/>
      <c r="C588" s="186"/>
      <c r="D588" s="186"/>
      <c r="E588" s="186"/>
      <c r="F588" s="186"/>
      <c r="G588" s="186"/>
      <c r="H588" s="186"/>
      <c r="I588" s="186"/>
      <c r="J588" s="186"/>
      <c r="K588" s="186"/>
      <c r="L588" s="186"/>
      <c r="M588" s="67"/>
      <c r="N588" s="67"/>
      <c r="O588" s="67"/>
      <c r="P588" s="67"/>
      <c r="Q588" s="186"/>
      <c r="R588" s="186"/>
      <c r="S588" s="187"/>
      <c r="T588" s="187"/>
      <c r="U588" s="186"/>
      <c r="V588" s="186"/>
      <c r="W588" s="186"/>
      <c r="X588" s="186"/>
    </row>
    <row r="589">
      <c r="A589" s="185"/>
      <c r="B589" s="67"/>
      <c r="C589" s="186"/>
      <c r="D589" s="186"/>
      <c r="E589" s="186"/>
      <c r="F589" s="186"/>
      <c r="G589" s="186"/>
      <c r="H589" s="186"/>
      <c r="I589" s="186"/>
      <c r="J589" s="186"/>
      <c r="K589" s="186"/>
      <c r="L589" s="186"/>
      <c r="M589" s="67"/>
      <c r="N589" s="67"/>
      <c r="O589" s="67"/>
      <c r="P589" s="67"/>
      <c r="Q589" s="186"/>
      <c r="R589" s="186"/>
      <c r="S589" s="187"/>
      <c r="T589" s="187"/>
      <c r="U589" s="186"/>
      <c r="V589" s="186"/>
      <c r="W589" s="186"/>
      <c r="X589" s="186"/>
    </row>
    <row r="590">
      <c r="A590" s="185"/>
      <c r="B590" s="67"/>
      <c r="C590" s="186"/>
      <c r="D590" s="186"/>
      <c r="E590" s="186"/>
      <c r="F590" s="186"/>
      <c r="G590" s="186"/>
      <c r="H590" s="186"/>
      <c r="I590" s="186"/>
      <c r="J590" s="186"/>
      <c r="K590" s="186"/>
      <c r="L590" s="186"/>
      <c r="M590" s="67"/>
      <c r="N590" s="67"/>
      <c r="O590" s="67"/>
      <c r="P590" s="67"/>
      <c r="Q590" s="186"/>
      <c r="R590" s="186"/>
      <c r="S590" s="187"/>
      <c r="T590" s="187"/>
      <c r="U590" s="186"/>
      <c r="V590" s="186"/>
      <c r="W590" s="186"/>
      <c r="X590" s="186"/>
    </row>
    <row r="591">
      <c r="A591" s="185"/>
      <c r="B591" s="67"/>
      <c r="C591" s="186"/>
      <c r="D591" s="186"/>
      <c r="E591" s="186"/>
      <c r="F591" s="186"/>
      <c r="G591" s="186"/>
      <c r="H591" s="186"/>
      <c r="I591" s="186"/>
      <c r="J591" s="186"/>
      <c r="K591" s="186"/>
      <c r="L591" s="186"/>
      <c r="M591" s="67"/>
      <c r="N591" s="67"/>
      <c r="O591" s="67"/>
      <c r="P591" s="67"/>
      <c r="Q591" s="186"/>
      <c r="R591" s="186"/>
      <c r="S591" s="187"/>
      <c r="T591" s="187"/>
      <c r="U591" s="186"/>
      <c r="V591" s="186"/>
      <c r="W591" s="186"/>
      <c r="X591" s="186"/>
    </row>
    <row r="592">
      <c r="A592" s="185"/>
      <c r="B592" s="67"/>
      <c r="C592" s="186"/>
      <c r="D592" s="186"/>
      <c r="E592" s="186"/>
      <c r="F592" s="186"/>
      <c r="G592" s="186"/>
      <c r="H592" s="186"/>
      <c r="I592" s="186"/>
      <c r="J592" s="186"/>
      <c r="K592" s="186"/>
      <c r="L592" s="186"/>
      <c r="M592" s="67"/>
      <c r="N592" s="67"/>
      <c r="O592" s="67"/>
      <c r="P592" s="67"/>
      <c r="Q592" s="186"/>
      <c r="R592" s="186"/>
      <c r="S592" s="187"/>
      <c r="T592" s="187"/>
      <c r="U592" s="186"/>
      <c r="V592" s="186"/>
      <c r="W592" s="186"/>
      <c r="X592" s="186"/>
    </row>
    <row r="593">
      <c r="A593" s="185"/>
      <c r="B593" s="67"/>
      <c r="C593" s="186"/>
      <c r="D593" s="186"/>
      <c r="E593" s="186"/>
      <c r="F593" s="186"/>
      <c r="G593" s="186"/>
      <c r="H593" s="186"/>
      <c r="I593" s="186"/>
      <c r="J593" s="186"/>
      <c r="K593" s="186"/>
      <c r="L593" s="186"/>
      <c r="M593" s="67"/>
      <c r="N593" s="67"/>
      <c r="O593" s="67"/>
      <c r="P593" s="67"/>
      <c r="Q593" s="186"/>
      <c r="R593" s="186"/>
      <c r="S593" s="187"/>
      <c r="T593" s="187"/>
      <c r="U593" s="186"/>
      <c r="V593" s="186"/>
      <c r="W593" s="186"/>
      <c r="X593" s="186"/>
    </row>
    <row r="594">
      <c r="A594" s="185"/>
      <c r="B594" s="67"/>
      <c r="C594" s="186"/>
      <c r="D594" s="186"/>
      <c r="E594" s="186"/>
      <c r="F594" s="186"/>
      <c r="G594" s="186"/>
      <c r="H594" s="186"/>
      <c r="I594" s="186"/>
      <c r="J594" s="186"/>
      <c r="K594" s="186"/>
      <c r="L594" s="186"/>
      <c r="M594" s="67"/>
      <c r="N594" s="67"/>
      <c r="O594" s="67"/>
      <c r="P594" s="67"/>
      <c r="Q594" s="186"/>
      <c r="R594" s="186"/>
      <c r="S594" s="187"/>
      <c r="T594" s="187"/>
      <c r="U594" s="186"/>
      <c r="V594" s="186"/>
      <c r="W594" s="186"/>
      <c r="X594" s="186"/>
    </row>
    <row r="595">
      <c r="A595" s="185"/>
      <c r="B595" s="67"/>
      <c r="C595" s="186"/>
      <c r="D595" s="186"/>
      <c r="E595" s="186"/>
      <c r="F595" s="186"/>
      <c r="G595" s="186"/>
      <c r="H595" s="186"/>
      <c r="I595" s="186"/>
      <c r="J595" s="186"/>
      <c r="K595" s="186"/>
      <c r="L595" s="186"/>
      <c r="M595" s="67"/>
      <c r="N595" s="67"/>
      <c r="O595" s="67"/>
      <c r="P595" s="67"/>
      <c r="Q595" s="186"/>
      <c r="R595" s="186"/>
      <c r="S595" s="187"/>
      <c r="T595" s="187"/>
      <c r="U595" s="186"/>
      <c r="V595" s="186"/>
      <c r="W595" s="186"/>
      <c r="X595" s="186"/>
    </row>
    <row r="596">
      <c r="A596" s="185"/>
      <c r="B596" s="67"/>
      <c r="C596" s="186"/>
      <c r="D596" s="186"/>
      <c r="E596" s="186"/>
      <c r="F596" s="186"/>
      <c r="G596" s="186"/>
      <c r="H596" s="186"/>
      <c r="I596" s="186"/>
      <c r="J596" s="186"/>
      <c r="K596" s="186"/>
      <c r="L596" s="186"/>
      <c r="M596" s="67"/>
      <c r="N596" s="67"/>
      <c r="O596" s="67"/>
      <c r="P596" s="67"/>
      <c r="Q596" s="186"/>
      <c r="R596" s="186"/>
      <c r="S596" s="187"/>
      <c r="T596" s="187"/>
      <c r="U596" s="186"/>
      <c r="V596" s="186"/>
      <c r="W596" s="186"/>
      <c r="X596" s="186"/>
    </row>
    <row r="597">
      <c r="A597" s="185"/>
      <c r="B597" s="67"/>
      <c r="C597" s="186"/>
      <c r="D597" s="186"/>
      <c r="E597" s="186"/>
      <c r="F597" s="186"/>
      <c r="G597" s="186"/>
      <c r="H597" s="186"/>
      <c r="I597" s="186"/>
      <c r="J597" s="186"/>
      <c r="K597" s="186"/>
      <c r="L597" s="186"/>
      <c r="M597" s="67"/>
      <c r="N597" s="67"/>
      <c r="O597" s="67"/>
      <c r="P597" s="67"/>
      <c r="Q597" s="186"/>
      <c r="R597" s="186"/>
      <c r="S597" s="187"/>
      <c r="T597" s="187"/>
      <c r="U597" s="186"/>
      <c r="V597" s="186"/>
      <c r="W597" s="186"/>
      <c r="X597" s="186"/>
    </row>
    <row r="598">
      <c r="A598" s="185"/>
      <c r="B598" s="67"/>
      <c r="C598" s="186"/>
      <c r="D598" s="186"/>
      <c r="E598" s="186"/>
      <c r="F598" s="186"/>
      <c r="G598" s="186"/>
      <c r="H598" s="186"/>
      <c r="I598" s="186"/>
      <c r="J598" s="186"/>
      <c r="K598" s="186"/>
      <c r="L598" s="186"/>
      <c r="M598" s="67"/>
      <c r="N598" s="67"/>
      <c r="O598" s="67"/>
      <c r="P598" s="67"/>
      <c r="Q598" s="186"/>
      <c r="R598" s="186"/>
      <c r="S598" s="187"/>
      <c r="T598" s="187"/>
      <c r="U598" s="186"/>
      <c r="V598" s="186"/>
      <c r="W598" s="186"/>
      <c r="X598" s="186"/>
    </row>
    <row r="599">
      <c r="A599" s="185"/>
      <c r="B599" s="67"/>
      <c r="C599" s="186"/>
      <c r="D599" s="186"/>
      <c r="E599" s="186"/>
      <c r="F599" s="186"/>
      <c r="G599" s="186"/>
      <c r="H599" s="186"/>
      <c r="I599" s="186"/>
      <c r="J599" s="186"/>
      <c r="K599" s="186"/>
      <c r="L599" s="186"/>
      <c r="M599" s="67"/>
      <c r="N599" s="67"/>
      <c r="O599" s="67"/>
      <c r="P599" s="67"/>
      <c r="Q599" s="186"/>
      <c r="R599" s="186"/>
      <c r="S599" s="187"/>
      <c r="T599" s="187"/>
      <c r="U599" s="186"/>
      <c r="V599" s="186"/>
      <c r="W599" s="186"/>
      <c r="X599" s="186"/>
    </row>
    <row r="600">
      <c r="A600" s="185"/>
      <c r="B600" s="67"/>
      <c r="C600" s="186"/>
      <c r="D600" s="186"/>
      <c r="E600" s="186"/>
      <c r="F600" s="186"/>
      <c r="G600" s="186"/>
      <c r="H600" s="186"/>
      <c r="I600" s="186"/>
      <c r="J600" s="186"/>
      <c r="K600" s="186"/>
      <c r="L600" s="186"/>
      <c r="M600" s="67"/>
      <c r="N600" s="67"/>
      <c r="O600" s="67"/>
      <c r="P600" s="67"/>
      <c r="Q600" s="186"/>
      <c r="R600" s="186"/>
      <c r="S600" s="187"/>
      <c r="T600" s="187"/>
      <c r="U600" s="186"/>
      <c r="V600" s="186"/>
      <c r="W600" s="186"/>
      <c r="X600" s="186"/>
    </row>
    <row r="601">
      <c r="A601" s="185"/>
      <c r="B601" s="67"/>
      <c r="C601" s="186"/>
      <c r="D601" s="186"/>
      <c r="E601" s="186"/>
      <c r="F601" s="186"/>
      <c r="G601" s="186"/>
      <c r="H601" s="186"/>
      <c r="I601" s="186"/>
      <c r="J601" s="186"/>
      <c r="K601" s="186"/>
      <c r="L601" s="186"/>
      <c r="M601" s="67"/>
      <c r="N601" s="67"/>
      <c r="O601" s="67"/>
      <c r="P601" s="67"/>
      <c r="Q601" s="186"/>
      <c r="R601" s="186"/>
      <c r="S601" s="187"/>
      <c r="T601" s="187"/>
      <c r="U601" s="186"/>
      <c r="V601" s="186"/>
      <c r="W601" s="186"/>
      <c r="X601" s="186"/>
    </row>
    <row r="602">
      <c r="A602" s="185"/>
      <c r="B602" s="67"/>
      <c r="C602" s="186"/>
      <c r="D602" s="186"/>
      <c r="E602" s="186"/>
      <c r="F602" s="186"/>
      <c r="G602" s="186"/>
      <c r="H602" s="186"/>
      <c r="I602" s="186"/>
      <c r="J602" s="186"/>
      <c r="K602" s="186"/>
      <c r="L602" s="186"/>
      <c r="M602" s="67"/>
      <c r="N602" s="67"/>
      <c r="O602" s="67"/>
      <c r="P602" s="67"/>
      <c r="Q602" s="186"/>
      <c r="R602" s="186"/>
      <c r="S602" s="187"/>
      <c r="T602" s="187"/>
      <c r="U602" s="186"/>
      <c r="V602" s="186"/>
      <c r="W602" s="186"/>
      <c r="X602" s="186"/>
    </row>
    <row r="603">
      <c r="A603" s="185"/>
      <c r="B603" s="67"/>
      <c r="C603" s="186"/>
      <c r="D603" s="186"/>
      <c r="E603" s="186"/>
      <c r="F603" s="186"/>
      <c r="G603" s="186"/>
      <c r="H603" s="186"/>
      <c r="I603" s="186"/>
      <c r="J603" s="186"/>
      <c r="K603" s="186"/>
      <c r="L603" s="186"/>
      <c r="M603" s="67"/>
      <c r="N603" s="67"/>
      <c r="O603" s="67"/>
      <c r="P603" s="67"/>
      <c r="Q603" s="186"/>
      <c r="R603" s="186"/>
      <c r="S603" s="187"/>
      <c r="T603" s="187"/>
      <c r="U603" s="186"/>
      <c r="V603" s="186"/>
      <c r="W603" s="186"/>
      <c r="X603" s="186"/>
    </row>
    <row r="604">
      <c r="A604" s="185"/>
      <c r="B604" s="67"/>
      <c r="C604" s="186"/>
      <c r="D604" s="186"/>
      <c r="E604" s="186"/>
      <c r="F604" s="186"/>
      <c r="G604" s="186"/>
      <c r="H604" s="186"/>
      <c r="I604" s="186"/>
      <c r="J604" s="186"/>
      <c r="K604" s="186"/>
      <c r="L604" s="186"/>
      <c r="M604" s="67"/>
      <c r="N604" s="67"/>
      <c r="O604" s="67"/>
      <c r="P604" s="67"/>
      <c r="Q604" s="186"/>
      <c r="R604" s="186"/>
      <c r="S604" s="187"/>
      <c r="T604" s="187"/>
      <c r="U604" s="186"/>
      <c r="V604" s="186"/>
      <c r="W604" s="186"/>
      <c r="X604" s="186"/>
    </row>
    <row r="605">
      <c r="A605" s="185"/>
      <c r="B605" s="67"/>
      <c r="C605" s="186"/>
      <c r="D605" s="186"/>
      <c r="E605" s="186"/>
      <c r="F605" s="186"/>
      <c r="G605" s="186"/>
      <c r="H605" s="186"/>
      <c r="I605" s="186"/>
      <c r="J605" s="186"/>
      <c r="K605" s="186"/>
      <c r="L605" s="186"/>
      <c r="M605" s="67"/>
      <c r="N605" s="67"/>
      <c r="O605" s="67"/>
      <c r="P605" s="67"/>
      <c r="Q605" s="186"/>
      <c r="R605" s="186"/>
      <c r="S605" s="187"/>
      <c r="T605" s="187"/>
      <c r="U605" s="186"/>
      <c r="V605" s="186"/>
      <c r="W605" s="186"/>
      <c r="X605" s="186"/>
    </row>
    <row r="606">
      <c r="A606" s="185"/>
      <c r="B606" s="67"/>
      <c r="C606" s="186"/>
      <c r="D606" s="186"/>
      <c r="E606" s="186"/>
      <c r="F606" s="186"/>
      <c r="G606" s="186"/>
      <c r="H606" s="186"/>
      <c r="I606" s="186"/>
      <c r="J606" s="186"/>
      <c r="K606" s="186"/>
      <c r="L606" s="186"/>
      <c r="M606" s="67"/>
      <c r="N606" s="67"/>
      <c r="O606" s="67"/>
      <c r="P606" s="67"/>
      <c r="Q606" s="186"/>
      <c r="R606" s="186"/>
      <c r="S606" s="187"/>
      <c r="T606" s="187"/>
      <c r="U606" s="186"/>
      <c r="V606" s="186"/>
      <c r="W606" s="186"/>
      <c r="X606" s="186"/>
    </row>
    <row r="607">
      <c r="A607" s="185"/>
      <c r="B607" s="67"/>
      <c r="C607" s="186"/>
      <c r="D607" s="186"/>
      <c r="E607" s="186"/>
      <c r="F607" s="186"/>
      <c r="G607" s="186"/>
      <c r="H607" s="186"/>
      <c r="I607" s="186"/>
      <c r="J607" s="186"/>
      <c r="K607" s="186"/>
      <c r="L607" s="186"/>
      <c r="M607" s="67"/>
      <c r="N607" s="67"/>
      <c r="O607" s="67"/>
      <c r="P607" s="67"/>
      <c r="Q607" s="186"/>
      <c r="R607" s="186"/>
      <c r="S607" s="187"/>
      <c r="T607" s="187"/>
      <c r="U607" s="186"/>
      <c r="V607" s="186"/>
      <c r="W607" s="186"/>
      <c r="X607" s="186"/>
    </row>
    <row r="608">
      <c r="A608" s="185"/>
      <c r="B608" s="67"/>
      <c r="C608" s="186"/>
      <c r="D608" s="186"/>
      <c r="E608" s="186"/>
      <c r="F608" s="186"/>
      <c r="G608" s="186"/>
      <c r="H608" s="186"/>
      <c r="I608" s="186"/>
      <c r="J608" s="186"/>
      <c r="K608" s="186"/>
      <c r="L608" s="186"/>
      <c r="M608" s="67"/>
      <c r="N608" s="67"/>
      <c r="O608" s="67"/>
      <c r="P608" s="67"/>
      <c r="Q608" s="186"/>
      <c r="R608" s="186"/>
      <c r="S608" s="187"/>
      <c r="T608" s="187"/>
      <c r="U608" s="186"/>
      <c r="V608" s="186"/>
      <c r="W608" s="186"/>
      <c r="X608" s="186"/>
    </row>
    <row r="609">
      <c r="A609" s="185"/>
      <c r="B609" s="67"/>
      <c r="C609" s="186"/>
      <c r="D609" s="186"/>
      <c r="E609" s="186"/>
      <c r="F609" s="186"/>
      <c r="G609" s="186"/>
      <c r="H609" s="186"/>
      <c r="I609" s="186"/>
      <c r="J609" s="186"/>
      <c r="K609" s="186"/>
      <c r="L609" s="186"/>
      <c r="M609" s="67"/>
      <c r="N609" s="67"/>
      <c r="O609" s="67"/>
      <c r="P609" s="67"/>
      <c r="Q609" s="186"/>
      <c r="R609" s="186"/>
      <c r="S609" s="187"/>
      <c r="T609" s="187"/>
      <c r="U609" s="186"/>
      <c r="V609" s="186"/>
      <c r="W609" s="186"/>
      <c r="X609" s="186"/>
    </row>
    <row r="610">
      <c r="A610" s="185"/>
      <c r="B610" s="67"/>
      <c r="C610" s="186"/>
      <c r="D610" s="186"/>
      <c r="E610" s="186"/>
      <c r="F610" s="186"/>
      <c r="G610" s="186"/>
      <c r="H610" s="186"/>
      <c r="I610" s="186"/>
      <c r="J610" s="186"/>
      <c r="K610" s="186"/>
      <c r="L610" s="186"/>
      <c r="M610" s="67"/>
      <c r="N610" s="67"/>
      <c r="O610" s="67"/>
      <c r="P610" s="67"/>
      <c r="Q610" s="186"/>
      <c r="R610" s="186"/>
      <c r="S610" s="187"/>
      <c r="T610" s="187"/>
      <c r="U610" s="186"/>
      <c r="V610" s="186"/>
      <c r="W610" s="186"/>
      <c r="X610" s="186"/>
    </row>
    <row r="611">
      <c r="A611" s="185"/>
      <c r="B611" s="67"/>
      <c r="C611" s="186"/>
      <c r="D611" s="186"/>
      <c r="E611" s="186"/>
      <c r="F611" s="186"/>
      <c r="G611" s="186"/>
      <c r="H611" s="186"/>
      <c r="I611" s="186"/>
      <c r="J611" s="186"/>
      <c r="K611" s="186"/>
      <c r="L611" s="186"/>
      <c r="M611" s="67"/>
      <c r="N611" s="67"/>
      <c r="O611" s="67"/>
      <c r="P611" s="67"/>
      <c r="Q611" s="186"/>
      <c r="R611" s="186"/>
      <c r="S611" s="187"/>
      <c r="T611" s="187"/>
      <c r="U611" s="186"/>
      <c r="V611" s="186"/>
      <c r="W611" s="186"/>
      <c r="X611" s="186"/>
    </row>
    <row r="612">
      <c r="A612" s="185"/>
      <c r="B612" s="67"/>
      <c r="C612" s="186"/>
      <c r="D612" s="186"/>
      <c r="E612" s="186"/>
      <c r="F612" s="186"/>
      <c r="G612" s="186"/>
      <c r="H612" s="186"/>
      <c r="I612" s="186"/>
      <c r="J612" s="186"/>
      <c r="K612" s="186"/>
      <c r="L612" s="186"/>
      <c r="M612" s="67"/>
      <c r="N612" s="67"/>
      <c r="O612" s="67"/>
      <c r="P612" s="67"/>
      <c r="Q612" s="186"/>
      <c r="R612" s="186"/>
      <c r="S612" s="187"/>
      <c r="T612" s="187"/>
      <c r="U612" s="186"/>
      <c r="V612" s="186"/>
      <c r="W612" s="186"/>
      <c r="X612" s="186"/>
    </row>
    <row r="613">
      <c r="A613" s="185"/>
      <c r="B613" s="67"/>
      <c r="C613" s="186"/>
      <c r="D613" s="186"/>
      <c r="E613" s="186"/>
      <c r="F613" s="186"/>
      <c r="G613" s="186"/>
      <c r="H613" s="186"/>
      <c r="I613" s="186"/>
      <c r="J613" s="186"/>
      <c r="K613" s="186"/>
      <c r="L613" s="186"/>
      <c r="M613" s="67"/>
      <c r="N613" s="67"/>
      <c r="O613" s="67"/>
      <c r="P613" s="67"/>
      <c r="Q613" s="186"/>
      <c r="R613" s="186"/>
      <c r="S613" s="187"/>
      <c r="T613" s="187"/>
      <c r="U613" s="186"/>
      <c r="V613" s="186"/>
      <c r="W613" s="186"/>
      <c r="X613" s="186"/>
    </row>
    <row r="614">
      <c r="A614" s="185"/>
      <c r="B614" s="67"/>
      <c r="C614" s="186"/>
      <c r="D614" s="186"/>
      <c r="E614" s="186"/>
      <c r="F614" s="186"/>
      <c r="G614" s="186"/>
      <c r="H614" s="186"/>
      <c r="I614" s="186"/>
      <c r="J614" s="186"/>
      <c r="K614" s="186"/>
      <c r="L614" s="186"/>
      <c r="M614" s="67"/>
      <c r="N614" s="67"/>
      <c r="O614" s="67"/>
      <c r="P614" s="67"/>
      <c r="Q614" s="186"/>
      <c r="R614" s="186"/>
      <c r="S614" s="187"/>
      <c r="T614" s="187"/>
      <c r="U614" s="186"/>
      <c r="V614" s="186"/>
      <c r="W614" s="186"/>
      <c r="X614" s="186"/>
    </row>
    <row r="615">
      <c r="A615" s="185"/>
      <c r="B615" s="67"/>
      <c r="C615" s="186"/>
      <c r="D615" s="186"/>
      <c r="E615" s="186"/>
      <c r="F615" s="186"/>
      <c r="G615" s="186"/>
      <c r="H615" s="186"/>
      <c r="I615" s="186"/>
      <c r="J615" s="186"/>
      <c r="K615" s="186"/>
      <c r="L615" s="186"/>
      <c r="M615" s="67"/>
      <c r="N615" s="67"/>
      <c r="O615" s="67"/>
      <c r="P615" s="67"/>
      <c r="Q615" s="186"/>
      <c r="R615" s="186"/>
      <c r="S615" s="187"/>
      <c r="T615" s="187"/>
      <c r="U615" s="186"/>
      <c r="V615" s="186"/>
      <c r="W615" s="186"/>
      <c r="X615" s="186"/>
    </row>
    <row r="616">
      <c r="A616" s="185"/>
      <c r="B616" s="67"/>
      <c r="C616" s="186"/>
      <c r="D616" s="186"/>
      <c r="E616" s="186"/>
      <c r="F616" s="186"/>
      <c r="G616" s="186"/>
      <c r="H616" s="186"/>
      <c r="I616" s="186"/>
      <c r="J616" s="186"/>
      <c r="K616" s="186"/>
      <c r="L616" s="186"/>
      <c r="M616" s="67"/>
      <c r="N616" s="67"/>
      <c r="O616" s="67"/>
      <c r="P616" s="67"/>
      <c r="Q616" s="186"/>
      <c r="R616" s="186"/>
      <c r="S616" s="187"/>
      <c r="T616" s="187"/>
      <c r="U616" s="186"/>
      <c r="V616" s="186"/>
      <c r="W616" s="186"/>
      <c r="X616" s="186"/>
    </row>
    <row r="617">
      <c r="A617" s="185"/>
      <c r="B617" s="67"/>
      <c r="C617" s="186"/>
      <c r="D617" s="186"/>
      <c r="E617" s="186"/>
      <c r="F617" s="186"/>
      <c r="G617" s="186"/>
      <c r="H617" s="186"/>
      <c r="I617" s="186"/>
      <c r="J617" s="186"/>
      <c r="K617" s="186"/>
      <c r="L617" s="186"/>
      <c r="M617" s="67"/>
      <c r="N617" s="67"/>
      <c r="O617" s="67"/>
      <c r="P617" s="67"/>
      <c r="Q617" s="186"/>
      <c r="R617" s="186"/>
      <c r="S617" s="187"/>
      <c r="T617" s="187"/>
      <c r="U617" s="186"/>
      <c r="V617" s="186"/>
      <c r="W617" s="186"/>
      <c r="X617" s="186"/>
    </row>
    <row r="618">
      <c r="A618" s="185"/>
      <c r="B618" s="67"/>
      <c r="C618" s="186"/>
      <c r="D618" s="186"/>
      <c r="E618" s="186"/>
      <c r="F618" s="186"/>
      <c r="G618" s="186"/>
      <c r="H618" s="186"/>
      <c r="I618" s="186"/>
      <c r="J618" s="186"/>
      <c r="K618" s="186"/>
      <c r="L618" s="186"/>
      <c r="M618" s="67"/>
      <c r="N618" s="67"/>
      <c r="O618" s="67"/>
      <c r="P618" s="67"/>
      <c r="Q618" s="186"/>
      <c r="R618" s="186"/>
      <c r="S618" s="187"/>
      <c r="T618" s="187"/>
      <c r="U618" s="186"/>
      <c r="V618" s="186"/>
      <c r="W618" s="186"/>
      <c r="X618" s="186"/>
    </row>
    <row r="619">
      <c r="A619" s="185"/>
      <c r="B619" s="67"/>
      <c r="C619" s="186"/>
      <c r="D619" s="186"/>
      <c r="E619" s="186"/>
      <c r="F619" s="186"/>
      <c r="G619" s="186"/>
      <c r="H619" s="186"/>
      <c r="I619" s="186"/>
      <c r="J619" s="186"/>
      <c r="K619" s="186"/>
      <c r="L619" s="186"/>
      <c r="M619" s="67"/>
      <c r="N619" s="67"/>
      <c r="O619" s="67"/>
      <c r="P619" s="67"/>
      <c r="Q619" s="186"/>
      <c r="R619" s="186"/>
      <c r="S619" s="187"/>
      <c r="T619" s="187"/>
      <c r="U619" s="186"/>
      <c r="V619" s="186"/>
      <c r="W619" s="186"/>
      <c r="X619" s="186"/>
    </row>
    <row r="620">
      <c r="A620" s="185"/>
      <c r="B620" s="67"/>
      <c r="C620" s="186"/>
      <c r="D620" s="186"/>
      <c r="E620" s="186"/>
      <c r="F620" s="186"/>
      <c r="G620" s="186"/>
      <c r="H620" s="186"/>
      <c r="I620" s="186"/>
      <c r="J620" s="186"/>
      <c r="K620" s="186"/>
      <c r="L620" s="186"/>
      <c r="M620" s="67"/>
      <c r="N620" s="67"/>
      <c r="O620" s="67"/>
      <c r="P620" s="67"/>
      <c r="Q620" s="186"/>
      <c r="R620" s="186"/>
      <c r="S620" s="187"/>
      <c r="T620" s="187"/>
      <c r="U620" s="186"/>
      <c r="V620" s="186"/>
      <c r="W620" s="186"/>
      <c r="X620" s="186"/>
    </row>
    <row r="621">
      <c r="A621" s="185"/>
      <c r="B621" s="67"/>
      <c r="C621" s="186"/>
      <c r="D621" s="186"/>
      <c r="E621" s="186"/>
      <c r="F621" s="186"/>
      <c r="G621" s="186"/>
      <c r="H621" s="186"/>
      <c r="I621" s="186"/>
      <c r="J621" s="186"/>
      <c r="K621" s="186"/>
      <c r="L621" s="186"/>
      <c r="M621" s="67"/>
      <c r="N621" s="67"/>
      <c r="O621" s="67"/>
      <c r="P621" s="67"/>
      <c r="Q621" s="186"/>
      <c r="R621" s="186"/>
      <c r="S621" s="187"/>
      <c r="T621" s="187"/>
      <c r="U621" s="186"/>
      <c r="V621" s="186"/>
      <c r="W621" s="186"/>
      <c r="X621" s="186"/>
    </row>
    <row r="622">
      <c r="A622" s="185"/>
      <c r="B622" s="67"/>
      <c r="C622" s="186"/>
      <c r="D622" s="186"/>
      <c r="E622" s="186"/>
      <c r="F622" s="186"/>
      <c r="G622" s="186"/>
      <c r="H622" s="186"/>
      <c r="I622" s="186"/>
      <c r="J622" s="186"/>
      <c r="K622" s="186"/>
      <c r="L622" s="186"/>
      <c r="M622" s="67"/>
      <c r="N622" s="67"/>
      <c r="O622" s="67"/>
      <c r="P622" s="67"/>
      <c r="Q622" s="186"/>
      <c r="R622" s="186"/>
      <c r="S622" s="187"/>
      <c r="T622" s="187"/>
      <c r="U622" s="186"/>
      <c r="V622" s="186"/>
      <c r="W622" s="186"/>
      <c r="X622" s="186"/>
    </row>
    <row r="623">
      <c r="A623" s="185"/>
      <c r="B623" s="67"/>
      <c r="C623" s="186"/>
      <c r="D623" s="186"/>
      <c r="E623" s="186"/>
      <c r="F623" s="186"/>
      <c r="G623" s="186"/>
      <c r="H623" s="186"/>
      <c r="I623" s="186"/>
      <c r="J623" s="186"/>
      <c r="K623" s="186"/>
      <c r="L623" s="186"/>
      <c r="M623" s="67"/>
      <c r="N623" s="67"/>
      <c r="O623" s="67"/>
      <c r="P623" s="67"/>
      <c r="Q623" s="186"/>
      <c r="R623" s="186"/>
      <c r="S623" s="187"/>
      <c r="T623" s="187"/>
      <c r="U623" s="186"/>
      <c r="V623" s="186"/>
      <c r="W623" s="186"/>
      <c r="X623" s="186"/>
    </row>
    <row r="624">
      <c r="A624" s="185"/>
      <c r="B624" s="67"/>
      <c r="C624" s="186"/>
      <c r="D624" s="186"/>
      <c r="E624" s="186"/>
      <c r="F624" s="186"/>
      <c r="G624" s="186"/>
      <c r="H624" s="186"/>
      <c r="I624" s="186"/>
      <c r="J624" s="186"/>
      <c r="K624" s="186"/>
      <c r="L624" s="186"/>
      <c r="M624" s="67"/>
      <c r="N624" s="67"/>
      <c r="O624" s="67"/>
      <c r="P624" s="67"/>
      <c r="Q624" s="186"/>
      <c r="R624" s="186"/>
      <c r="S624" s="187"/>
      <c r="T624" s="187"/>
      <c r="U624" s="186"/>
      <c r="V624" s="186"/>
      <c r="W624" s="186"/>
      <c r="X624" s="186"/>
    </row>
    <row r="625">
      <c r="A625" s="185"/>
      <c r="B625" s="67"/>
      <c r="C625" s="186"/>
      <c r="D625" s="186"/>
      <c r="E625" s="186"/>
      <c r="F625" s="186"/>
      <c r="G625" s="186"/>
      <c r="H625" s="186"/>
      <c r="I625" s="186"/>
      <c r="J625" s="186"/>
      <c r="K625" s="186"/>
      <c r="L625" s="186"/>
      <c r="M625" s="67"/>
      <c r="N625" s="67"/>
      <c r="O625" s="67"/>
      <c r="P625" s="67"/>
      <c r="Q625" s="186"/>
      <c r="R625" s="186"/>
      <c r="S625" s="187"/>
      <c r="T625" s="187"/>
      <c r="U625" s="186"/>
      <c r="V625" s="186"/>
      <c r="W625" s="186"/>
      <c r="X625" s="186"/>
    </row>
    <row r="626">
      <c r="A626" s="185"/>
      <c r="B626" s="67"/>
      <c r="C626" s="186"/>
      <c r="D626" s="186"/>
      <c r="E626" s="186"/>
      <c r="F626" s="186"/>
      <c r="G626" s="186"/>
      <c r="H626" s="186"/>
      <c r="I626" s="186"/>
      <c r="J626" s="186"/>
      <c r="K626" s="186"/>
      <c r="L626" s="186"/>
      <c r="M626" s="67"/>
      <c r="N626" s="67"/>
      <c r="O626" s="67"/>
      <c r="P626" s="67"/>
      <c r="Q626" s="186"/>
      <c r="R626" s="186"/>
      <c r="S626" s="187"/>
      <c r="T626" s="187"/>
      <c r="U626" s="186"/>
      <c r="V626" s="186"/>
      <c r="W626" s="186"/>
      <c r="X626" s="186"/>
    </row>
    <row r="627">
      <c r="A627" s="185"/>
      <c r="B627" s="67"/>
      <c r="C627" s="186"/>
      <c r="D627" s="186"/>
      <c r="E627" s="186"/>
      <c r="F627" s="186"/>
      <c r="G627" s="186"/>
      <c r="H627" s="186"/>
      <c r="I627" s="186"/>
      <c r="J627" s="186"/>
      <c r="K627" s="186"/>
      <c r="L627" s="186"/>
      <c r="M627" s="67"/>
      <c r="N627" s="67"/>
      <c r="O627" s="67"/>
      <c r="P627" s="67"/>
      <c r="Q627" s="186"/>
      <c r="R627" s="186"/>
      <c r="S627" s="187"/>
      <c r="T627" s="187"/>
      <c r="U627" s="186"/>
      <c r="V627" s="186"/>
      <c r="W627" s="186"/>
      <c r="X627" s="186"/>
    </row>
    <row r="628">
      <c r="A628" s="185"/>
      <c r="B628" s="67"/>
      <c r="C628" s="186"/>
      <c r="D628" s="186"/>
      <c r="E628" s="186"/>
      <c r="F628" s="186"/>
      <c r="G628" s="186"/>
      <c r="H628" s="186"/>
      <c r="I628" s="186"/>
      <c r="J628" s="186"/>
      <c r="K628" s="186"/>
      <c r="L628" s="186"/>
      <c r="M628" s="67"/>
      <c r="N628" s="67"/>
      <c r="O628" s="67"/>
      <c r="P628" s="67"/>
      <c r="Q628" s="186"/>
      <c r="R628" s="186"/>
      <c r="S628" s="187"/>
      <c r="T628" s="187"/>
      <c r="U628" s="186"/>
      <c r="V628" s="186"/>
      <c r="W628" s="186"/>
      <c r="X628" s="186"/>
    </row>
    <row r="629">
      <c r="A629" s="185"/>
      <c r="B629" s="67"/>
      <c r="C629" s="186"/>
      <c r="D629" s="186"/>
      <c r="E629" s="186"/>
      <c r="F629" s="186"/>
      <c r="G629" s="186"/>
      <c r="H629" s="186"/>
      <c r="I629" s="186"/>
      <c r="J629" s="186"/>
      <c r="K629" s="186"/>
      <c r="L629" s="186"/>
      <c r="M629" s="67"/>
      <c r="N629" s="67"/>
      <c r="O629" s="67"/>
      <c r="P629" s="67"/>
      <c r="Q629" s="186"/>
      <c r="R629" s="186"/>
      <c r="S629" s="187"/>
      <c r="T629" s="187"/>
      <c r="U629" s="186"/>
      <c r="V629" s="186"/>
      <c r="W629" s="186"/>
      <c r="X629" s="186"/>
    </row>
    <row r="630">
      <c r="A630" s="185"/>
      <c r="B630" s="67"/>
      <c r="C630" s="186"/>
      <c r="D630" s="186"/>
      <c r="E630" s="186"/>
      <c r="F630" s="186"/>
      <c r="G630" s="186"/>
      <c r="H630" s="186"/>
      <c r="I630" s="186"/>
      <c r="J630" s="186"/>
      <c r="K630" s="186"/>
      <c r="L630" s="186"/>
      <c r="M630" s="67"/>
      <c r="N630" s="67"/>
      <c r="O630" s="67"/>
      <c r="P630" s="67"/>
      <c r="Q630" s="186"/>
      <c r="R630" s="186"/>
      <c r="S630" s="187"/>
      <c r="T630" s="187"/>
      <c r="U630" s="186"/>
      <c r="V630" s="186"/>
      <c r="W630" s="186"/>
      <c r="X630" s="186"/>
    </row>
    <row r="631">
      <c r="A631" s="185"/>
      <c r="B631" s="67"/>
      <c r="C631" s="186"/>
      <c r="D631" s="186"/>
      <c r="E631" s="186"/>
      <c r="F631" s="186"/>
      <c r="G631" s="186"/>
      <c r="H631" s="186"/>
      <c r="I631" s="186"/>
      <c r="J631" s="186"/>
      <c r="K631" s="186"/>
      <c r="L631" s="186"/>
      <c r="M631" s="67"/>
      <c r="N631" s="67"/>
      <c r="O631" s="67"/>
      <c r="P631" s="67"/>
      <c r="Q631" s="186"/>
      <c r="R631" s="186"/>
      <c r="S631" s="187"/>
      <c r="T631" s="187"/>
      <c r="U631" s="186"/>
      <c r="V631" s="186"/>
      <c r="W631" s="186"/>
      <c r="X631" s="186"/>
    </row>
    <row r="632">
      <c r="A632" s="185"/>
      <c r="B632" s="67"/>
      <c r="C632" s="186"/>
      <c r="D632" s="186"/>
      <c r="E632" s="186"/>
      <c r="F632" s="186"/>
      <c r="G632" s="186"/>
      <c r="H632" s="186"/>
      <c r="I632" s="186"/>
      <c r="J632" s="186"/>
      <c r="K632" s="186"/>
      <c r="L632" s="186"/>
      <c r="M632" s="67"/>
      <c r="N632" s="67"/>
      <c r="O632" s="67"/>
      <c r="P632" s="67"/>
      <c r="Q632" s="186"/>
      <c r="R632" s="186"/>
      <c r="S632" s="187"/>
      <c r="T632" s="187"/>
      <c r="U632" s="186"/>
      <c r="V632" s="186"/>
      <c r="W632" s="186"/>
      <c r="X632" s="186"/>
    </row>
    <row r="633">
      <c r="A633" s="185"/>
      <c r="B633" s="67"/>
      <c r="C633" s="186"/>
      <c r="D633" s="186"/>
      <c r="E633" s="186"/>
      <c r="F633" s="186"/>
      <c r="G633" s="186"/>
      <c r="H633" s="186"/>
      <c r="I633" s="186"/>
      <c r="J633" s="186"/>
      <c r="K633" s="186"/>
      <c r="L633" s="186"/>
      <c r="M633" s="67"/>
      <c r="N633" s="67"/>
      <c r="O633" s="67"/>
      <c r="P633" s="67"/>
      <c r="Q633" s="186"/>
      <c r="R633" s="186"/>
      <c r="S633" s="187"/>
      <c r="T633" s="187"/>
      <c r="U633" s="186"/>
      <c r="V633" s="186"/>
      <c r="W633" s="186"/>
      <c r="X633" s="186"/>
    </row>
    <row r="634">
      <c r="A634" s="185"/>
      <c r="B634" s="67"/>
      <c r="C634" s="186"/>
      <c r="D634" s="186"/>
      <c r="E634" s="186"/>
      <c r="F634" s="186"/>
      <c r="G634" s="186"/>
      <c r="H634" s="186"/>
      <c r="I634" s="186"/>
      <c r="J634" s="186"/>
      <c r="K634" s="186"/>
      <c r="L634" s="186"/>
      <c r="M634" s="67"/>
      <c r="N634" s="67"/>
      <c r="O634" s="67"/>
      <c r="P634" s="67"/>
      <c r="Q634" s="186"/>
      <c r="R634" s="186"/>
      <c r="S634" s="187"/>
      <c r="T634" s="187"/>
      <c r="U634" s="186"/>
      <c r="V634" s="186"/>
      <c r="W634" s="186"/>
      <c r="X634" s="186"/>
    </row>
    <row r="635">
      <c r="A635" s="185"/>
      <c r="B635" s="67"/>
      <c r="C635" s="186"/>
      <c r="D635" s="186"/>
      <c r="E635" s="186"/>
      <c r="F635" s="186"/>
      <c r="G635" s="186"/>
      <c r="H635" s="186"/>
      <c r="I635" s="186"/>
      <c r="J635" s="186"/>
      <c r="K635" s="186"/>
      <c r="L635" s="186"/>
      <c r="M635" s="67"/>
      <c r="N635" s="67"/>
      <c r="O635" s="67"/>
      <c r="P635" s="67"/>
      <c r="Q635" s="186"/>
      <c r="R635" s="186"/>
      <c r="S635" s="187"/>
      <c r="T635" s="187"/>
      <c r="U635" s="186"/>
      <c r="V635" s="186"/>
      <c r="W635" s="186"/>
      <c r="X635" s="186"/>
    </row>
    <row r="636">
      <c r="A636" s="185"/>
      <c r="B636" s="67"/>
      <c r="C636" s="186"/>
      <c r="D636" s="186"/>
      <c r="E636" s="186"/>
      <c r="F636" s="186"/>
      <c r="G636" s="186"/>
      <c r="H636" s="186"/>
      <c r="I636" s="186"/>
      <c r="J636" s="186"/>
      <c r="K636" s="186"/>
      <c r="L636" s="186"/>
      <c r="M636" s="67"/>
      <c r="N636" s="67"/>
      <c r="O636" s="67"/>
      <c r="P636" s="67"/>
      <c r="Q636" s="186"/>
      <c r="R636" s="186"/>
      <c r="S636" s="187"/>
      <c r="T636" s="187"/>
      <c r="U636" s="186"/>
      <c r="V636" s="186"/>
      <c r="W636" s="186"/>
      <c r="X636" s="186"/>
    </row>
    <row r="637">
      <c r="A637" s="185"/>
      <c r="B637" s="67"/>
      <c r="C637" s="186"/>
      <c r="D637" s="186"/>
      <c r="E637" s="186"/>
      <c r="F637" s="186"/>
      <c r="G637" s="186"/>
      <c r="H637" s="186"/>
      <c r="I637" s="186"/>
      <c r="J637" s="186"/>
      <c r="K637" s="186"/>
      <c r="L637" s="186"/>
      <c r="M637" s="67"/>
      <c r="N637" s="67"/>
      <c r="O637" s="67"/>
      <c r="P637" s="67"/>
      <c r="Q637" s="186"/>
      <c r="R637" s="186"/>
      <c r="S637" s="187"/>
      <c r="T637" s="187"/>
      <c r="U637" s="186"/>
      <c r="V637" s="186"/>
      <c r="W637" s="186"/>
      <c r="X637" s="186"/>
    </row>
    <row r="638">
      <c r="A638" s="185"/>
      <c r="B638" s="67"/>
      <c r="C638" s="186"/>
      <c r="D638" s="186"/>
      <c r="E638" s="186"/>
      <c r="F638" s="186"/>
      <c r="G638" s="186"/>
      <c r="H638" s="186"/>
      <c r="I638" s="186"/>
      <c r="J638" s="186"/>
      <c r="K638" s="186"/>
      <c r="L638" s="186"/>
      <c r="M638" s="67"/>
      <c r="N638" s="67"/>
      <c r="O638" s="67"/>
      <c r="P638" s="67"/>
      <c r="Q638" s="186"/>
      <c r="R638" s="186"/>
      <c r="S638" s="187"/>
      <c r="T638" s="187"/>
      <c r="U638" s="186"/>
      <c r="V638" s="186"/>
      <c r="W638" s="186"/>
      <c r="X638" s="186"/>
    </row>
    <row r="639">
      <c r="A639" s="185"/>
      <c r="B639" s="67"/>
      <c r="C639" s="186"/>
      <c r="D639" s="186"/>
      <c r="E639" s="186"/>
      <c r="F639" s="186"/>
      <c r="G639" s="186"/>
      <c r="H639" s="186"/>
      <c r="I639" s="186"/>
      <c r="J639" s="186"/>
      <c r="K639" s="186"/>
      <c r="L639" s="186"/>
      <c r="M639" s="67"/>
      <c r="N639" s="67"/>
      <c r="O639" s="67"/>
      <c r="P639" s="67"/>
      <c r="Q639" s="186"/>
      <c r="R639" s="186"/>
      <c r="S639" s="187"/>
      <c r="T639" s="187"/>
      <c r="U639" s="186"/>
      <c r="V639" s="186"/>
      <c r="W639" s="186"/>
      <c r="X639" s="186"/>
    </row>
    <row r="640">
      <c r="A640" s="185"/>
      <c r="B640" s="67"/>
      <c r="C640" s="186"/>
      <c r="D640" s="186"/>
      <c r="E640" s="186"/>
      <c r="F640" s="186"/>
      <c r="G640" s="186"/>
      <c r="H640" s="186"/>
      <c r="I640" s="186"/>
      <c r="J640" s="186"/>
      <c r="K640" s="186"/>
      <c r="L640" s="186"/>
      <c r="M640" s="67"/>
      <c r="N640" s="67"/>
      <c r="O640" s="67"/>
      <c r="P640" s="67"/>
      <c r="Q640" s="186"/>
      <c r="R640" s="186"/>
      <c r="S640" s="187"/>
      <c r="T640" s="187"/>
      <c r="U640" s="186"/>
      <c r="V640" s="186"/>
      <c r="W640" s="186"/>
      <c r="X640" s="186"/>
    </row>
    <row r="641">
      <c r="A641" s="185"/>
      <c r="B641" s="67"/>
      <c r="C641" s="186"/>
      <c r="D641" s="186"/>
      <c r="E641" s="186"/>
      <c r="F641" s="186"/>
      <c r="G641" s="186"/>
      <c r="H641" s="186"/>
      <c r="I641" s="186"/>
      <c r="J641" s="186"/>
      <c r="K641" s="186"/>
      <c r="L641" s="186"/>
      <c r="M641" s="67"/>
      <c r="N641" s="67"/>
      <c r="O641" s="67"/>
      <c r="P641" s="67"/>
      <c r="Q641" s="186"/>
      <c r="R641" s="186"/>
      <c r="S641" s="187"/>
      <c r="T641" s="187"/>
      <c r="U641" s="186"/>
      <c r="V641" s="186"/>
      <c r="W641" s="186"/>
      <c r="X641" s="186"/>
    </row>
    <row r="642">
      <c r="A642" s="185"/>
      <c r="B642" s="67"/>
      <c r="C642" s="186"/>
      <c r="D642" s="186"/>
      <c r="E642" s="186"/>
      <c r="F642" s="186"/>
      <c r="G642" s="186"/>
      <c r="H642" s="186"/>
      <c r="I642" s="186"/>
      <c r="J642" s="186"/>
      <c r="K642" s="186"/>
      <c r="L642" s="186"/>
      <c r="M642" s="67"/>
      <c r="N642" s="67"/>
      <c r="O642" s="67"/>
      <c r="P642" s="67"/>
      <c r="Q642" s="186"/>
      <c r="R642" s="186"/>
      <c r="S642" s="187"/>
      <c r="T642" s="187"/>
      <c r="U642" s="186"/>
      <c r="V642" s="186"/>
      <c r="W642" s="186"/>
      <c r="X642" s="186"/>
    </row>
    <row r="643">
      <c r="A643" s="185"/>
      <c r="B643" s="67"/>
      <c r="C643" s="186"/>
      <c r="D643" s="186"/>
      <c r="E643" s="186"/>
      <c r="F643" s="186"/>
      <c r="G643" s="186"/>
      <c r="H643" s="186"/>
      <c r="I643" s="186"/>
      <c r="J643" s="186"/>
      <c r="K643" s="186"/>
      <c r="L643" s="186"/>
      <c r="M643" s="67"/>
      <c r="N643" s="67"/>
      <c r="O643" s="67"/>
      <c r="P643" s="67"/>
      <c r="Q643" s="186"/>
      <c r="R643" s="186"/>
      <c r="S643" s="187"/>
      <c r="T643" s="187"/>
      <c r="U643" s="186"/>
      <c r="V643" s="186"/>
      <c r="W643" s="186"/>
      <c r="X643" s="186"/>
    </row>
    <row r="644">
      <c r="A644" s="185"/>
      <c r="B644" s="67"/>
      <c r="C644" s="186"/>
      <c r="D644" s="186"/>
      <c r="E644" s="186"/>
      <c r="F644" s="186"/>
      <c r="G644" s="186"/>
      <c r="H644" s="186"/>
      <c r="I644" s="186"/>
      <c r="J644" s="186"/>
      <c r="K644" s="186"/>
      <c r="L644" s="186"/>
      <c r="M644" s="67"/>
      <c r="N644" s="67"/>
      <c r="O644" s="67"/>
      <c r="P644" s="67"/>
      <c r="Q644" s="186"/>
      <c r="R644" s="186"/>
      <c r="S644" s="187"/>
      <c r="T644" s="187"/>
      <c r="U644" s="186"/>
      <c r="V644" s="186"/>
      <c r="W644" s="186"/>
      <c r="X644" s="186"/>
    </row>
    <row r="645">
      <c r="A645" s="185"/>
      <c r="B645" s="67"/>
      <c r="C645" s="186"/>
      <c r="D645" s="186"/>
      <c r="E645" s="186"/>
      <c r="F645" s="186"/>
      <c r="G645" s="186"/>
      <c r="H645" s="186"/>
      <c r="I645" s="186"/>
      <c r="J645" s="186"/>
      <c r="K645" s="186"/>
      <c r="L645" s="186"/>
      <c r="M645" s="67"/>
      <c r="N645" s="67"/>
      <c r="O645" s="67"/>
      <c r="P645" s="67"/>
      <c r="Q645" s="186"/>
      <c r="R645" s="186"/>
      <c r="S645" s="187"/>
      <c r="T645" s="187"/>
      <c r="U645" s="186"/>
      <c r="V645" s="186"/>
      <c r="W645" s="186"/>
      <c r="X645" s="186"/>
    </row>
    <row r="646">
      <c r="A646" s="185"/>
      <c r="B646" s="67"/>
      <c r="C646" s="186"/>
      <c r="D646" s="186"/>
      <c r="E646" s="186"/>
      <c r="F646" s="186"/>
      <c r="G646" s="186"/>
      <c r="H646" s="186"/>
      <c r="I646" s="186"/>
      <c r="J646" s="186"/>
      <c r="K646" s="186"/>
      <c r="L646" s="186"/>
      <c r="M646" s="67"/>
      <c r="N646" s="67"/>
      <c r="O646" s="67"/>
      <c r="P646" s="67"/>
      <c r="Q646" s="186"/>
      <c r="R646" s="186"/>
      <c r="S646" s="187"/>
      <c r="T646" s="187"/>
      <c r="U646" s="186"/>
      <c r="V646" s="186"/>
      <c r="W646" s="186"/>
      <c r="X646" s="186"/>
    </row>
    <row r="647">
      <c r="A647" s="185"/>
      <c r="B647" s="67"/>
      <c r="C647" s="186"/>
      <c r="D647" s="186"/>
      <c r="E647" s="186"/>
      <c r="F647" s="186"/>
      <c r="G647" s="186"/>
      <c r="H647" s="186"/>
      <c r="I647" s="186"/>
      <c r="J647" s="186"/>
      <c r="K647" s="186"/>
      <c r="L647" s="186"/>
      <c r="M647" s="67"/>
      <c r="N647" s="67"/>
      <c r="O647" s="67"/>
      <c r="P647" s="67"/>
      <c r="Q647" s="186"/>
      <c r="R647" s="186"/>
      <c r="S647" s="187"/>
      <c r="T647" s="187"/>
      <c r="U647" s="186"/>
      <c r="V647" s="186"/>
      <c r="W647" s="186"/>
      <c r="X647" s="186"/>
    </row>
    <row r="648">
      <c r="A648" s="185"/>
      <c r="B648" s="67"/>
      <c r="C648" s="186"/>
      <c r="D648" s="186"/>
      <c r="E648" s="186"/>
      <c r="F648" s="186"/>
      <c r="G648" s="186"/>
      <c r="H648" s="186"/>
      <c r="I648" s="186"/>
      <c r="J648" s="186"/>
      <c r="K648" s="186"/>
      <c r="L648" s="186"/>
      <c r="M648" s="67"/>
      <c r="N648" s="67"/>
      <c r="O648" s="67"/>
      <c r="P648" s="67"/>
      <c r="Q648" s="186"/>
      <c r="R648" s="186"/>
      <c r="S648" s="187"/>
      <c r="T648" s="187"/>
      <c r="U648" s="186"/>
      <c r="V648" s="186"/>
      <c r="W648" s="186"/>
      <c r="X648" s="186"/>
    </row>
    <row r="649">
      <c r="A649" s="185"/>
      <c r="B649" s="67"/>
      <c r="C649" s="186"/>
      <c r="D649" s="186"/>
      <c r="E649" s="186"/>
      <c r="F649" s="186"/>
      <c r="G649" s="186"/>
      <c r="H649" s="186"/>
      <c r="I649" s="186"/>
      <c r="J649" s="186"/>
      <c r="K649" s="186"/>
      <c r="L649" s="186"/>
      <c r="M649" s="67"/>
      <c r="N649" s="67"/>
      <c r="O649" s="67"/>
      <c r="P649" s="67"/>
      <c r="Q649" s="186"/>
      <c r="R649" s="186"/>
      <c r="S649" s="187"/>
      <c r="T649" s="187"/>
      <c r="U649" s="186"/>
      <c r="V649" s="186"/>
      <c r="W649" s="186"/>
      <c r="X649" s="186"/>
    </row>
    <row r="650">
      <c r="A650" s="185"/>
      <c r="B650" s="67"/>
      <c r="C650" s="186"/>
      <c r="D650" s="186"/>
      <c r="E650" s="186"/>
      <c r="F650" s="186"/>
      <c r="G650" s="186"/>
      <c r="H650" s="186"/>
      <c r="I650" s="186"/>
      <c r="J650" s="186"/>
      <c r="K650" s="186"/>
      <c r="L650" s="186"/>
      <c r="M650" s="67"/>
      <c r="N650" s="67"/>
      <c r="O650" s="67"/>
      <c r="P650" s="67"/>
      <c r="Q650" s="186"/>
      <c r="R650" s="186"/>
      <c r="S650" s="187"/>
      <c r="T650" s="187"/>
      <c r="U650" s="186"/>
      <c r="V650" s="186"/>
      <c r="W650" s="186"/>
      <c r="X650" s="186"/>
    </row>
    <row r="651">
      <c r="A651" s="185"/>
      <c r="B651" s="67"/>
      <c r="C651" s="186"/>
      <c r="D651" s="186"/>
      <c r="E651" s="186"/>
      <c r="F651" s="186"/>
      <c r="G651" s="186"/>
      <c r="H651" s="186"/>
      <c r="I651" s="186"/>
      <c r="J651" s="186"/>
      <c r="K651" s="186"/>
      <c r="L651" s="186"/>
      <c r="M651" s="67"/>
      <c r="N651" s="67"/>
      <c r="O651" s="67"/>
      <c r="P651" s="67"/>
      <c r="Q651" s="186"/>
      <c r="R651" s="186"/>
      <c r="S651" s="187"/>
      <c r="T651" s="187"/>
      <c r="U651" s="186"/>
      <c r="V651" s="186"/>
      <c r="W651" s="186"/>
      <c r="X651" s="186"/>
    </row>
    <row r="652">
      <c r="A652" s="185"/>
      <c r="B652" s="67"/>
      <c r="C652" s="186"/>
      <c r="D652" s="186"/>
      <c r="E652" s="186"/>
      <c r="F652" s="186"/>
      <c r="G652" s="186"/>
      <c r="H652" s="186"/>
      <c r="I652" s="186"/>
      <c r="J652" s="186"/>
      <c r="K652" s="186"/>
      <c r="L652" s="186"/>
      <c r="M652" s="67"/>
      <c r="N652" s="67"/>
      <c r="O652" s="67"/>
      <c r="P652" s="67"/>
      <c r="Q652" s="186"/>
      <c r="R652" s="186"/>
      <c r="S652" s="187"/>
      <c r="T652" s="187"/>
      <c r="U652" s="186"/>
      <c r="V652" s="186"/>
      <c r="W652" s="186"/>
      <c r="X652" s="186"/>
    </row>
    <row r="653">
      <c r="A653" s="185"/>
      <c r="B653" s="67"/>
      <c r="C653" s="186"/>
      <c r="D653" s="186"/>
      <c r="E653" s="186"/>
      <c r="F653" s="186"/>
      <c r="G653" s="186"/>
      <c r="H653" s="186"/>
      <c r="I653" s="186"/>
      <c r="J653" s="186"/>
      <c r="K653" s="186"/>
      <c r="L653" s="186"/>
      <c r="M653" s="67"/>
      <c r="N653" s="67"/>
      <c r="O653" s="67"/>
      <c r="P653" s="67"/>
      <c r="Q653" s="186"/>
      <c r="R653" s="186"/>
      <c r="S653" s="187"/>
      <c r="T653" s="187"/>
      <c r="U653" s="186"/>
      <c r="V653" s="186"/>
      <c r="W653" s="186"/>
      <c r="X653" s="186"/>
    </row>
    <row r="654">
      <c r="A654" s="185"/>
      <c r="B654" s="67"/>
      <c r="C654" s="186"/>
      <c r="D654" s="186"/>
      <c r="E654" s="186"/>
      <c r="F654" s="186"/>
      <c r="G654" s="186"/>
      <c r="H654" s="186"/>
      <c r="I654" s="186"/>
      <c r="J654" s="186"/>
      <c r="K654" s="186"/>
      <c r="L654" s="186"/>
      <c r="M654" s="67"/>
      <c r="N654" s="67"/>
      <c r="O654" s="67"/>
      <c r="P654" s="67"/>
      <c r="Q654" s="186"/>
      <c r="R654" s="186"/>
      <c r="S654" s="187"/>
      <c r="T654" s="187"/>
      <c r="U654" s="186"/>
      <c r="V654" s="186"/>
      <c r="W654" s="186"/>
      <c r="X654" s="186"/>
    </row>
    <row r="655">
      <c r="A655" s="185"/>
      <c r="B655" s="67"/>
      <c r="C655" s="186"/>
      <c r="D655" s="186"/>
      <c r="E655" s="186"/>
      <c r="F655" s="186"/>
      <c r="G655" s="186"/>
      <c r="H655" s="186"/>
      <c r="I655" s="186"/>
      <c r="J655" s="186"/>
      <c r="K655" s="186"/>
      <c r="L655" s="186"/>
      <c r="M655" s="67"/>
      <c r="N655" s="67"/>
      <c r="O655" s="67"/>
      <c r="P655" s="67"/>
      <c r="Q655" s="186"/>
      <c r="R655" s="186"/>
      <c r="S655" s="187"/>
      <c r="T655" s="187"/>
      <c r="U655" s="186"/>
      <c r="V655" s="186"/>
      <c r="W655" s="186"/>
      <c r="X655" s="186"/>
    </row>
    <row r="656">
      <c r="A656" s="185"/>
      <c r="B656" s="67"/>
      <c r="C656" s="186"/>
      <c r="D656" s="186"/>
      <c r="E656" s="186"/>
      <c r="F656" s="186"/>
      <c r="G656" s="186"/>
      <c r="H656" s="186"/>
      <c r="I656" s="186"/>
      <c r="J656" s="186"/>
      <c r="K656" s="186"/>
      <c r="L656" s="186"/>
      <c r="M656" s="67"/>
      <c r="N656" s="67"/>
      <c r="O656" s="67"/>
      <c r="P656" s="67"/>
      <c r="Q656" s="186"/>
      <c r="R656" s="186"/>
      <c r="S656" s="187"/>
      <c r="T656" s="187"/>
      <c r="U656" s="186"/>
      <c r="V656" s="186"/>
      <c r="W656" s="186"/>
      <c r="X656" s="186"/>
    </row>
    <row r="657">
      <c r="A657" s="185"/>
      <c r="B657" s="67"/>
      <c r="C657" s="186"/>
      <c r="D657" s="186"/>
      <c r="E657" s="186"/>
      <c r="F657" s="186"/>
      <c r="G657" s="186"/>
      <c r="H657" s="186"/>
      <c r="I657" s="186"/>
      <c r="J657" s="186"/>
      <c r="K657" s="186"/>
      <c r="L657" s="186"/>
      <c r="M657" s="67"/>
      <c r="N657" s="67"/>
      <c r="O657" s="67"/>
      <c r="P657" s="67"/>
      <c r="Q657" s="186"/>
      <c r="R657" s="186"/>
      <c r="S657" s="187"/>
      <c r="T657" s="187"/>
      <c r="U657" s="186"/>
      <c r="V657" s="186"/>
      <c r="W657" s="186"/>
      <c r="X657" s="186"/>
    </row>
    <row r="658">
      <c r="A658" s="185"/>
      <c r="B658" s="67"/>
      <c r="C658" s="186"/>
      <c r="D658" s="186"/>
      <c r="E658" s="186"/>
      <c r="F658" s="186"/>
      <c r="G658" s="186"/>
      <c r="H658" s="186"/>
      <c r="I658" s="186"/>
      <c r="J658" s="186"/>
      <c r="K658" s="186"/>
      <c r="L658" s="186"/>
      <c r="M658" s="67"/>
      <c r="N658" s="67"/>
      <c r="O658" s="67"/>
      <c r="P658" s="67"/>
      <c r="Q658" s="186"/>
      <c r="R658" s="186"/>
      <c r="S658" s="187"/>
      <c r="T658" s="187"/>
      <c r="U658" s="186"/>
      <c r="V658" s="186"/>
      <c r="W658" s="186"/>
      <c r="X658" s="186"/>
    </row>
    <row r="659">
      <c r="A659" s="185"/>
      <c r="B659" s="67"/>
      <c r="C659" s="186"/>
      <c r="D659" s="186"/>
      <c r="E659" s="186"/>
      <c r="F659" s="186"/>
      <c r="G659" s="186"/>
      <c r="H659" s="186"/>
      <c r="I659" s="186"/>
      <c r="J659" s="186"/>
      <c r="K659" s="186"/>
      <c r="L659" s="186"/>
      <c r="M659" s="67"/>
      <c r="N659" s="67"/>
      <c r="O659" s="67"/>
      <c r="P659" s="67"/>
      <c r="Q659" s="186"/>
      <c r="R659" s="186"/>
      <c r="S659" s="187"/>
      <c r="T659" s="187"/>
      <c r="U659" s="186"/>
      <c r="V659" s="186"/>
      <c r="W659" s="186"/>
      <c r="X659" s="186"/>
    </row>
    <row r="660">
      <c r="A660" s="185"/>
      <c r="B660" s="67"/>
      <c r="C660" s="186"/>
      <c r="D660" s="186"/>
      <c r="E660" s="186"/>
      <c r="F660" s="186"/>
      <c r="G660" s="186"/>
      <c r="H660" s="186"/>
      <c r="I660" s="186"/>
      <c r="J660" s="186"/>
      <c r="K660" s="186"/>
      <c r="L660" s="186"/>
      <c r="M660" s="67"/>
      <c r="N660" s="67"/>
      <c r="O660" s="67"/>
      <c r="P660" s="67"/>
      <c r="Q660" s="186"/>
      <c r="R660" s="186"/>
      <c r="S660" s="187"/>
      <c r="T660" s="187"/>
      <c r="U660" s="186"/>
      <c r="V660" s="186"/>
      <c r="W660" s="186"/>
      <c r="X660" s="186"/>
    </row>
    <row r="661">
      <c r="A661" s="185"/>
      <c r="B661" s="67"/>
      <c r="C661" s="186"/>
      <c r="D661" s="186"/>
      <c r="E661" s="186"/>
      <c r="F661" s="186"/>
      <c r="G661" s="186"/>
      <c r="H661" s="186"/>
      <c r="I661" s="186"/>
      <c r="J661" s="186"/>
      <c r="K661" s="186"/>
      <c r="L661" s="186"/>
      <c r="M661" s="67"/>
      <c r="N661" s="67"/>
      <c r="O661" s="67"/>
      <c r="P661" s="67"/>
      <c r="Q661" s="186"/>
      <c r="R661" s="186"/>
      <c r="S661" s="187"/>
      <c r="T661" s="187"/>
      <c r="U661" s="186"/>
      <c r="V661" s="186"/>
      <c r="W661" s="186"/>
      <c r="X661" s="186"/>
    </row>
    <row r="662">
      <c r="A662" s="185"/>
      <c r="B662" s="67"/>
      <c r="C662" s="186"/>
      <c r="D662" s="186"/>
      <c r="E662" s="186"/>
      <c r="F662" s="186"/>
      <c r="G662" s="186"/>
      <c r="H662" s="186"/>
      <c r="I662" s="186"/>
      <c r="J662" s="186"/>
      <c r="K662" s="186"/>
      <c r="L662" s="186"/>
      <c r="M662" s="67"/>
      <c r="N662" s="67"/>
      <c r="O662" s="67"/>
      <c r="P662" s="67"/>
      <c r="Q662" s="186"/>
      <c r="R662" s="186"/>
      <c r="S662" s="187"/>
      <c r="T662" s="187"/>
      <c r="U662" s="186"/>
      <c r="V662" s="186"/>
      <c r="W662" s="186"/>
      <c r="X662" s="186"/>
    </row>
    <row r="663">
      <c r="A663" s="185"/>
      <c r="B663" s="67"/>
      <c r="C663" s="186"/>
      <c r="D663" s="186"/>
      <c r="E663" s="186"/>
      <c r="F663" s="186"/>
      <c r="G663" s="186"/>
      <c r="H663" s="186"/>
      <c r="I663" s="186"/>
      <c r="J663" s="186"/>
      <c r="K663" s="186"/>
      <c r="L663" s="186"/>
      <c r="M663" s="67"/>
      <c r="N663" s="67"/>
      <c r="O663" s="67"/>
      <c r="P663" s="67"/>
      <c r="Q663" s="186"/>
      <c r="R663" s="186"/>
      <c r="S663" s="187"/>
      <c r="T663" s="187"/>
      <c r="U663" s="186"/>
      <c r="V663" s="186"/>
      <c r="W663" s="186"/>
      <c r="X663" s="186"/>
    </row>
    <row r="664">
      <c r="A664" s="185"/>
      <c r="B664" s="67"/>
      <c r="C664" s="186"/>
      <c r="D664" s="186"/>
      <c r="E664" s="186"/>
      <c r="F664" s="186"/>
      <c r="G664" s="186"/>
      <c r="H664" s="186"/>
      <c r="I664" s="186"/>
      <c r="J664" s="186"/>
      <c r="K664" s="186"/>
      <c r="L664" s="186"/>
      <c r="M664" s="67"/>
      <c r="N664" s="67"/>
      <c r="O664" s="67"/>
      <c r="P664" s="67"/>
      <c r="Q664" s="186"/>
      <c r="R664" s="186"/>
      <c r="S664" s="187"/>
      <c r="T664" s="187"/>
      <c r="U664" s="186"/>
      <c r="V664" s="186"/>
      <c r="W664" s="186"/>
      <c r="X664" s="186"/>
    </row>
    <row r="665">
      <c r="A665" s="185"/>
      <c r="B665" s="67"/>
      <c r="C665" s="186"/>
      <c r="D665" s="186"/>
      <c r="E665" s="186"/>
      <c r="F665" s="186"/>
      <c r="G665" s="186"/>
      <c r="H665" s="186"/>
      <c r="I665" s="186"/>
      <c r="J665" s="186"/>
      <c r="K665" s="186"/>
      <c r="L665" s="186"/>
      <c r="M665" s="67"/>
      <c r="N665" s="67"/>
      <c r="O665" s="67"/>
      <c r="P665" s="67"/>
      <c r="Q665" s="186"/>
      <c r="R665" s="186"/>
      <c r="S665" s="187"/>
      <c r="T665" s="187"/>
      <c r="U665" s="186"/>
      <c r="V665" s="186"/>
      <c r="W665" s="186"/>
      <c r="X665" s="186"/>
    </row>
    <row r="666">
      <c r="A666" s="185"/>
      <c r="B666" s="67"/>
      <c r="C666" s="186"/>
      <c r="D666" s="186"/>
      <c r="E666" s="186"/>
      <c r="F666" s="186"/>
      <c r="G666" s="186"/>
      <c r="H666" s="186"/>
      <c r="I666" s="186"/>
      <c r="J666" s="186"/>
      <c r="K666" s="186"/>
      <c r="L666" s="186"/>
      <c r="M666" s="67"/>
      <c r="N666" s="67"/>
      <c r="O666" s="67"/>
      <c r="P666" s="67"/>
      <c r="Q666" s="186"/>
      <c r="R666" s="186"/>
      <c r="S666" s="187"/>
      <c r="T666" s="187"/>
      <c r="U666" s="186"/>
      <c r="V666" s="186"/>
      <c r="W666" s="186"/>
      <c r="X666" s="186"/>
    </row>
    <row r="667">
      <c r="A667" s="185"/>
      <c r="B667" s="67"/>
      <c r="C667" s="186"/>
      <c r="D667" s="186"/>
      <c r="E667" s="186"/>
      <c r="F667" s="186"/>
      <c r="G667" s="186"/>
      <c r="H667" s="186"/>
      <c r="I667" s="186"/>
      <c r="J667" s="186"/>
      <c r="K667" s="186"/>
      <c r="L667" s="186"/>
      <c r="M667" s="67"/>
      <c r="N667" s="67"/>
      <c r="O667" s="67"/>
      <c r="P667" s="67"/>
      <c r="Q667" s="186"/>
      <c r="R667" s="186"/>
      <c r="S667" s="187"/>
      <c r="T667" s="187"/>
      <c r="U667" s="186"/>
      <c r="V667" s="186"/>
      <c r="W667" s="186"/>
      <c r="X667" s="186"/>
    </row>
    <row r="668">
      <c r="A668" s="185"/>
      <c r="B668" s="67"/>
      <c r="C668" s="186"/>
      <c r="D668" s="186"/>
      <c r="E668" s="186"/>
      <c r="F668" s="186"/>
      <c r="G668" s="186"/>
      <c r="H668" s="186"/>
      <c r="I668" s="186"/>
      <c r="J668" s="186"/>
      <c r="K668" s="186"/>
      <c r="L668" s="186"/>
      <c r="M668" s="67"/>
      <c r="N668" s="67"/>
      <c r="O668" s="67"/>
      <c r="P668" s="67"/>
      <c r="Q668" s="186"/>
      <c r="R668" s="186"/>
      <c r="S668" s="187"/>
      <c r="T668" s="187"/>
      <c r="U668" s="186"/>
      <c r="V668" s="186"/>
      <c r="W668" s="186"/>
      <c r="X668" s="186"/>
    </row>
    <row r="669">
      <c r="A669" s="185"/>
      <c r="B669" s="67"/>
      <c r="C669" s="186"/>
      <c r="D669" s="186"/>
      <c r="E669" s="186"/>
      <c r="F669" s="186"/>
      <c r="G669" s="186"/>
      <c r="H669" s="186"/>
      <c r="I669" s="186"/>
      <c r="J669" s="186"/>
      <c r="K669" s="186"/>
      <c r="L669" s="186"/>
      <c r="M669" s="67"/>
      <c r="N669" s="67"/>
      <c r="O669" s="67"/>
      <c r="P669" s="67"/>
      <c r="Q669" s="186"/>
      <c r="R669" s="186"/>
      <c r="S669" s="187"/>
      <c r="T669" s="187"/>
      <c r="U669" s="186"/>
      <c r="V669" s="186"/>
      <c r="W669" s="186"/>
      <c r="X669" s="186"/>
    </row>
    <row r="670">
      <c r="A670" s="185"/>
      <c r="B670" s="67"/>
      <c r="C670" s="186"/>
      <c r="D670" s="186"/>
      <c r="E670" s="186"/>
      <c r="F670" s="186"/>
      <c r="G670" s="186"/>
      <c r="H670" s="186"/>
      <c r="I670" s="186"/>
      <c r="J670" s="186"/>
      <c r="K670" s="186"/>
      <c r="L670" s="186"/>
      <c r="M670" s="67"/>
      <c r="N670" s="67"/>
      <c r="O670" s="67"/>
      <c r="P670" s="67"/>
      <c r="Q670" s="186"/>
      <c r="R670" s="186"/>
      <c r="S670" s="187"/>
      <c r="T670" s="187"/>
      <c r="U670" s="186"/>
      <c r="V670" s="186"/>
      <c r="W670" s="186"/>
      <c r="X670" s="186"/>
    </row>
    <row r="671">
      <c r="A671" s="185"/>
      <c r="B671" s="67"/>
      <c r="C671" s="186"/>
      <c r="D671" s="186"/>
      <c r="E671" s="186"/>
      <c r="F671" s="186"/>
      <c r="G671" s="186"/>
      <c r="H671" s="186"/>
      <c r="I671" s="186"/>
      <c r="J671" s="186"/>
      <c r="K671" s="186"/>
      <c r="L671" s="186"/>
      <c r="M671" s="67"/>
      <c r="N671" s="67"/>
      <c r="O671" s="67"/>
      <c r="P671" s="67"/>
      <c r="Q671" s="186"/>
      <c r="R671" s="186"/>
      <c r="S671" s="187"/>
      <c r="T671" s="187"/>
      <c r="U671" s="186"/>
      <c r="V671" s="186"/>
      <c r="W671" s="186"/>
      <c r="X671" s="186"/>
    </row>
    <row r="672">
      <c r="A672" s="185"/>
      <c r="B672" s="67"/>
      <c r="C672" s="186"/>
      <c r="D672" s="186"/>
      <c r="E672" s="186"/>
      <c r="F672" s="186"/>
      <c r="G672" s="186"/>
      <c r="H672" s="186"/>
      <c r="I672" s="186"/>
      <c r="J672" s="186"/>
      <c r="K672" s="186"/>
      <c r="L672" s="186"/>
      <c r="M672" s="67"/>
      <c r="N672" s="67"/>
      <c r="O672" s="67"/>
      <c r="P672" s="67"/>
      <c r="Q672" s="186"/>
      <c r="R672" s="186"/>
      <c r="S672" s="187"/>
      <c r="T672" s="187"/>
      <c r="U672" s="186"/>
      <c r="V672" s="186"/>
      <c r="W672" s="186"/>
      <c r="X672" s="186"/>
    </row>
    <row r="673">
      <c r="A673" s="185"/>
      <c r="B673" s="67"/>
      <c r="C673" s="186"/>
      <c r="D673" s="186"/>
      <c r="E673" s="186"/>
      <c r="F673" s="186"/>
      <c r="G673" s="186"/>
      <c r="H673" s="186"/>
      <c r="I673" s="186"/>
      <c r="J673" s="186"/>
      <c r="K673" s="186"/>
      <c r="L673" s="186"/>
      <c r="M673" s="67"/>
      <c r="N673" s="67"/>
      <c r="O673" s="67"/>
      <c r="P673" s="67"/>
      <c r="Q673" s="186"/>
      <c r="R673" s="186"/>
      <c r="S673" s="187"/>
      <c r="T673" s="187"/>
      <c r="U673" s="186"/>
      <c r="V673" s="186"/>
      <c r="W673" s="186"/>
      <c r="X673" s="186"/>
    </row>
    <row r="674">
      <c r="A674" s="185"/>
      <c r="B674" s="67"/>
      <c r="C674" s="186"/>
      <c r="D674" s="186"/>
      <c r="E674" s="186"/>
      <c r="F674" s="186"/>
      <c r="G674" s="186"/>
      <c r="H674" s="186"/>
      <c r="I674" s="186"/>
      <c r="J674" s="186"/>
      <c r="K674" s="186"/>
      <c r="L674" s="186"/>
      <c r="M674" s="67"/>
      <c r="N674" s="67"/>
      <c r="O674" s="67"/>
      <c r="P674" s="67"/>
      <c r="Q674" s="186"/>
      <c r="R674" s="186"/>
      <c r="S674" s="187"/>
      <c r="T674" s="187"/>
      <c r="U674" s="186"/>
      <c r="V674" s="186"/>
      <c r="W674" s="186"/>
      <c r="X674" s="186"/>
    </row>
    <row r="675">
      <c r="A675" s="185"/>
      <c r="B675" s="67"/>
      <c r="C675" s="186"/>
      <c r="D675" s="186"/>
      <c r="E675" s="186"/>
      <c r="F675" s="186"/>
      <c r="G675" s="186"/>
      <c r="H675" s="186"/>
      <c r="I675" s="186"/>
      <c r="J675" s="186"/>
      <c r="K675" s="186"/>
      <c r="L675" s="186"/>
      <c r="M675" s="67"/>
      <c r="N675" s="67"/>
      <c r="O675" s="67"/>
      <c r="P675" s="67"/>
      <c r="Q675" s="186"/>
      <c r="R675" s="186"/>
      <c r="S675" s="187"/>
      <c r="T675" s="187"/>
      <c r="U675" s="186"/>
      <c r="V675" s="186"/>
      <c r="W675" s="186"/>
      <c r="X675" s="186"/>
    </row>
    <row r="676">
      <c r="A676" s="185"/>
      <c r="B676" s="67"/>
      <c r="C676" s="186"/>
      <c r="D676" s="186"/>
      <c r="E676" s="186"/>
      <c r="F676" s="186"/>
      <c r="G676" s="186"/>
      <c r="H676" s="186"/>
      <c r="I676" s="186"/>
      <c r="J676" s="186"/>
      <c r="K676" s="186"/>
      <c r="L676" s="186"/>
      <c r="M676" s="67"/>
      <c r="N676" s="67"/>
      <c r="O676" s="67"/>
      <c r="P676" s="67"/>
      <c r="Q676" s="186"/>
      <c r="R676" s="186"/>
      <c r="S676" s="187"/>
      <c r="T676" s="187"/>
      <c r="U676" s="186"/>
      <c r="V676" s="186"/>
      <c r="W676" s="186"/>
      <c r="X676" s="186"/>
    </row>
    <row r="677">
      <c r="A677" s="185"/>
      <c r="B677" s="67"/>
      <c r="C677" s="186"/>
      <c r="D677" s="186"/>
      <c r="E677" s="186"/>
      <c r="F677" s="186"/>
      <c r="G677" s="186"/>
      <c r="H677" s="186"/>
      <c r="I677" s="186"/>
      <c r="J677" s="186"/>
      <c r="K677" s="186"/>
      <c r="L677" s="186"/>
      <c r="M677" s="67"/>
      <c r="N677" s="67"/>
      <c r="O677" s="67"/>
      <c r="P677" s="67"/>
      <c r="Q677" s="186"/>
      <c r="R677" s="186"/>
      <c r="S677" s="187"/>
      <c r="T677" s="187"/>
      <c r="U677" s="186"/>
      <c r="V677" s="186"/>
      <c r="W677" s="186"/>
      <c r="X677" s="186"/>
    </row>
    <row r="678">
      <c r="A678" s="185"/>
      <c r="B678" s="67"/>
      <c r="C678" s="186"/>
      <c r="D678" s="186"/>
      <c r="E678" s="186"/>
      <c r="F678" s="186"/>
      <c r="G678" s="186"/>
      <c r="H678" s="186"/>
      <c r="I678" s="186"/>
      <c r="J678" s="186"/>
      <c r="K678" s="186"/>
      <c r="L678" s="186"/>
      <c r="M678" s="67"/>
      <c r="N678" s="67"/>
      <c r="O678" s="67"/>
      <c r="P678" s="67"/>
      <c r="Q678" s="186"/>
      <c r="R678" s="186"/>
      <c r="S678" s="187"/>
      <c r="T678" s="187"/>
      <c r="U678" s="186"/>
      <c r="V678" s="186"/>
      <c r="W678" s="186"/>
      <c r="X678" s="186"/>
    </row>
    <row r="679">
      <c r="A679" s="185"/>
      <c r="B679" s="67"/>
      <c r="C679" s="186"/>
      <c r="D679" s="186"/>
      <c r="E679" s="186"/>
      <c r="F679" s="186"/>
      <c r="G679" s="186"/>
      <c r="H679" s="186"/>
      <c r="I679" s="186"/>
      <c r="J679" s="186"/>
      <c r="K679" s="186"/>
      <c r="L679" s="186"/>
      <c r="M679" s="67"/>
      <c r="N679" s="67"/>
      <c r="O679" s="67"/>
      <c r="P679" s="67"/>
      <c r="Q679" s="186"/>
      <c r="R679" s="186"/>
      <c r="S679" s="187"/>
      <c r="T679" s="187"/>
      <c r="U679" s="186"/>
      <c r="V679" s="186"/>
      <c r="W679" s="186"/>
      <c r="X679" s="186"/>
    </row>
    <row r="680">
      <c r="A680" s="185"/>
      <c r="B680" s="67"/>
      <c r="C680" s="186"/>
      <c r="D680" s="186"/>
      <c r="E680" s="186"/>
      <c r="F680" s="186"/>
      <c r="G680" s="186"/>
      <c r="H680" s="186"/>
      <c r="I680" s="186"/>
      <c r="J680" s="186"/>
      <c r="K680" s="186"/>
      <c r="L680" s="186"/>
      <c r="M680" s="67"/>
      <c r="N680" s="67"/>
      <c r="O680" s="67"/>
      <c r="P680" s="67"/>
      <c r="Q680" s="186"/>
      <c r="R680" s="186"/>
      <c r="S680" s="187"/>
      <c r="T680" s="187"/>
      <c r="U680" s="186"/>
      <c r="V680" s="186"/>
      <c r="W680" s="186"/>
      <c r="X680" s="186"/>
    </row>
    <row r="681">
      <c r="A681" s="185"/>
      <c r="B681" s="67"/>
      <c r="C681" s="186"/>
      <c r="D681" s="186"/>
      <c r="E681" s="186"/>
      <c r="F681" s="186"/>
      <c r="G681" s="186"/>
      <c r="H681" s="186"/>
      <c r="I681" s="186"/>
      <c r="J681" s="186"/>
      <c r="K681" s="186"/>
      <c r="L681" s="186"/>
      <c r="M681" s="67"/>
      <c r="N681" s="67"/>
      <c r="O681" s="67"/>
      <c r="P681" s="67"/>
      <c r="Q681" s="186"/>
      <c r="R681" s="186"/>
      <c r="S681" s="187"/>
      <c r="T681" s="187"/>
      <c r="U681" s="186"/>
      <c r="V681" s="186"/>
      <c r="W681" s="186"/>
      <c r="X681" s="186"/>
    </row>
    <row r="682">
      <c r="A682" s="185"/>
      <c r="B682" s="67"/>
      <c r="C682" s="186"/>
      <c r="D682" s="186"/>
      <c r="E682" s="186"/>
      <c r="F682" s="186"/>
      <c r="G682" s="186"/>
      <c r="H682" s="186"/>
      <c r="I682" s="186"/>
      <c r="J682" s="186"/>
      <c r="K682" s="186"/>
      <c r="L682" s="186"/>
      <c r="M682" s="67"/>
      <c r="N682" s="67"/>
      <c r="O682" s="67"/>
      <c r="P682" s="67"/>
      <c r="Q682" s="186"/>
      <c r="R682" s="186"/>
      <c r="S682" s="187"/>
      <c r="T682" s="187"/>
      <c r="U682" s="186"/>
      <c r="V682" s="186"/>
      <c r="W682" s="186"/>
      <c r="X682" s="186"/>
    </row>
    <row r="683">
      <c r="A683" s="185"/>
      <c r="B683" s="67"/>
      <c r="C683" s="186"/>
      <c r="D683" s="186"/>
      <c r="E683" s="186"/>
      <c r="F683" s="186"/>
      <c r="G683" s="186"/>
      <c r="H683" s="186"/>
      <c r="I683" s="186"/>
      <c r="J683" s="186"/>
      <c r="K683" s="186"/>
      <c r="L683" s="186"/>
      <c r="M683" s="67"/>
      <c r="N683" s="67"/>
      <c r="O683" s="67"/>
      <c r="P683" s="67"/>
      <c r="Q683" s="186"/>
      <c r="R683" s="186"/>
      <c r="S683" s="187"/>
      <c r="T683" s="187"/>
      <c r="U683" s="186"/>
      <c r="V683" s="186"/>
      <c r="W683" s="186"/>
      <c r="X683" s="186"/>
    </row>
    <row r="684">
      <c r="A684" s="185"/>
      <c r="B684" s="67"/>
      <c r="C684" s="186"/>
      <c r="D684" s="186"/>
      <c r="E684" s="186"/>
      <c r="F684" s="186"/>
      <c r="G684" s="186"/>
      <c r="H684" s="186"/>
      <c r="I684" s="186"/>
      <c r="J684" s="186"/>
      <c r="K684" s="186"/>
      <c r="L684" s="186"/>
      <c r="M684" s="67"/>
      <c r="N684" s="67"/>
      <c r="O684" s="67"/>
      <c r="P684" s="67"/>
      <c r="Q684" s="186"/>
      <c r="R684" s="186"/>
      <c r="S684" s="187"/>
      <c r="T684" s="187"/>
      <c r="U684" s="186"/>
      <c r="V684" s="186"/>
      <c r="W684" s="186"/>
      <c r="X684" s="186"/>
    </row>
    <row r="685">
      <c r="A685" s="185"/>
      <c r="B685" s="67"/>
      <c r="C685" s="186"/>
      <c r="D685" s="186"/>
      <c r="E685" s="186"/>
      <c r="F685" s="186"/>
      <c r="G685" s="186"/>
      <c r="H685" s="186"/>
      <c r="I685" s="186"/>
      <c r="J685" s="186"/>
      <c r="K685" s="186"/>
      <c r="L685" s="186"/>
      <c r="M685" s="67"/>
      <c r="N685" s="67"/>
      <c r="O685" s="67"/>
      <c r="P685" s="67"/>
      <c r="Q685" s="186"/>
      <c r="R685" s="186"/>
      <c r="S685" s="187"/>
      <c r="T685" s="187"/>
      <c r="U685" s="186"/>
      <c r="V685" s="186"/>
      <c r="W685" s="186"/>
      <c r="X685" s="186"/>
    </row>
    <row r="686">
      <c r="A686" s="185"/>
      <c r="B686" s="67"/>
      <c r="C686" s="186"/>
      <c r="D686" s="186"/>
      <c r="E686" s="186"/>
      <c r="F686" s="186"/>
      <c r="G686" s="186"/>
      <c r="H686" s="186"/>
      <c r="I686" s="186"/>
      <c r="J686" s="186"/>
      <c r="K686" s="186"/>
      <c r="L686" s="186"/>
      <c r="M686" s="67"/>
      <c r="N686" s="67"/>
      <c r="O686" s="67"/>
      <c r="P686" s="67"/>
      <c r="Q686" s="186"/>
      <c r="R686" s="186"/>
      <c r="S686" s="187"/>
      <c r="T686" s="187"/>
      <c r="U686" s="186"/>
      <c r="V686" s="186"/>
      <c r="W686" s="186"/>
      <c r="X686" s="186"/>
    </row>
    <row r="687">
      <c r="A687" s="185"/>
      <c r="B687" s="67"/>
      <c r="C687" s="186"/>
      <c r="D687" s="186"/>
      <c r="E687" s="186"/>
      <c r="F687" s="186"/>
      <c r="G687" s="186"/>
      <c r="H687" s="186"/>
      <c r="I687" s="186"/>
      <c r="J687" s="186"/>
      <c r="K687" s="186"/>
      <c r="L687" s="186"/>
      <c r="M687" s="67"/>
      <c r="N687" s="67"/>
      <c r="O687" s="67"/>
      <c r="P687" s="67"/>
      <c r="Q687" s="186"/>
      <c r="R687" s="186"/>
      <c r="S687" s="187"/>
      <c r="T687" s="187"/>
      <c r="U687" s="186"/>
      <c r="V687" s="186"/>
      <c r="W687" s="186"/>
      <c r="X687" s="186"/>
    </row>
    <row r="688">
      <c r="A688" s="185"/>
      <c r="B688" s="67"/>
      <c r="C688" s="186"/>
      <c r="D688" s="186"/>
      <c r="E688" s="186"/>
      <c r="F688" s="186"/>
      <c r="G688" s="186"/>
      <c r="H688" s="186"/>
      <c r="I688" s="186"/>
      <c r="J688" s="186"/>
      <c r="K688" s="186"/>
      <c r="L688" s="186"/>
      <c r="M688" s="67"/>
      <c r="N688" s="67"/>
      <c r="O688" s="67"/>
      <c r="P688" s="67"/>
      <c r="Q688" s="186"/>
      <c r="R688" s="186"/>
      <c r="S688" s="187"/>
      <c r="T688" s="187"/>
      <c r="U688" s="186"/>
      <c r="V688" s="186"/>
      <c r="W688" s="186"/>
      <c r="X688" s="186"/>
    </row>
    <row r="689">
      <c r="A689" s="185"/>
      <c r="B689" s="67"/>
      <c r="C689" s="186"/>
      <c r="D689" s="186"/>
      <c r="E689" s="186"/>
      <c r="F689" s="186"/>
      <c r="G689" s="186"/>
      <c r="H689" s="186"/>
      <c r="I689" s="186"/>
      <c r="J689" s="186"/>
      <c r="K689" s="186"/>
      <c r="L689" s="186"/>
      <c r="M689" s="67"/>
      <c r="N689" s="67"/>
      <c r="O689" s="67"/>
      <c r="P689" s="67"/>
      <c r="Q689" s="186"/>
      <c r="R689" s="186"/>
      <c r="S689" s="187"/>
      <c r="T689" s="187"/>
      <c r="U689" s="186"/>
      <c r="V689" s="186"/>
      <c r="W689" s="186"/>
      <c r="X689" s="186"/>
    </row>
    <row r="690">
      <c r="A690" s="185"/>
      <c r="B690" s="67"/>
      <c r="C690" s="186"/>
      <c r="D690" s="186"/>
      <c r="E690" s="186"/>
      <c r="F690" s="186"/>
      <c r="G690" s="186"/>
      <c r="H690" s="186"/>
      <c r="I690" s="186"/>
      <c r="J690" s="186"/>
      <c r="K690" s="186"/>
      <c r="L690" s="186"/>
      <c r="M690" s="67"/>
      <c r="N690" s="67"/>
      <c r="O690" s="67"/>
      <c r="P690" s="67"/>
      <c r="Q690" s="186"/>
      <c r="R690" s="186"/>
      <c r="S690" s="187"/>
      <c r="T690" s="187"/>
      <c r="U690" s="186"/>
      <c r="V690" s="186"/>
      <c r="W690" s="186"/>
      <c r="X690" s="186"/>
    </row>
    <row r="691">
      <c r="A691" s="185"/>
      <c r="B691" s="67"/>
      <c r="C691" s="186"/>
      <c r="D691" s="186"/>
      <c r="E691" s="186"/>
      <c r="F691" s="186"/>
      <c r="G691" s="186"/>
      <c r="H691" s="186"/>
      <c r="I691" s="186"/>
      <c r="J691" s="186"/>
      <c r="K691" s="186"/>
      <c r="L691" s="186"/>
      <c r="M691" s="67"/>
      <c r="N691" s="67"/>
      <c r="O691" s="67"/>
      <c r="P691" s="67"/>
      <c r="Q691" s="186"/>
      <c r="R691" s="186"/>
      <c r="S691" s="187"/>
      <c r="T691" s="187"/>
      <c r="U691" s="186"/>
      <c r="V691" s="186"/>
      <c r="W691" s="186"/>
      <c r="X691" s="186"/>
    </row>
    <row r="692">
      <c r="A692" s="185"/>
      <c r="B692" s="67"/>
      <c r="C692" s="186"/>
      <c r="D692" s="186"/>
      <c r="E692" s="186"/>
      <c r="F692" s="186"/>
      <c r="G692" s="186"/>
      <c r="H692" s="186"/>
      <c r="I692" s="186"/>
      <c r="J692" s="186"/>
      <c r="K692" s="186"/>
      <c r="L692" s="186"/>
      <c r="M692" s="67"/>
      <c r="N692" s="67"/>
      <c r="O692" s="67"/>
      <c r="P692" s="67"/>
      <c r="Q692" s="186"/>
      <c r="R692" s="186"/>
      <c r="S692" s="187"/>
      <c r="T692" s="187"/>
      <c r="U692" s="186"/>
      <c r="V692" s="186"/>
      <c r="W692" s="186"/>
      <c r="X692" s="186"/>
    </row>
    <row r="693">
      <c r="A693" s="185"/>
      <c r="B693" s="67"/>
      <c r="C693" s="186"/>
      <c r="D693" s="186"/>
      <c r="E693" s="186"/>
      <c r="F693" s="186"/>
      <c r="G693" s="186"/>
      <c r="H693" s="186"/>
      <c r="I693" s="186"/>
      <c r="J693" s="186"/>
      <c r="K693" s="186"/>
      <c r="L693" s="186"/>
      <c r="M693" s="67"/>
      <c r="N693" s="67"/>
      <c r="O693" s="67"/>
      <c r="P693" s="67"/>
      <c r="Q693" s="186"/>
      <c r="R693" s="186"/>
      <c r="S693" s="187"/>
      <c r="T693" s="187"/>
      <c r="U693" s="186"/>
      <c r="V693" s="186"/>
      <c r="W693" s="186"/>
      <c r="X693" s="186"/>
    </row>
    <row r="694">
      <c r="A694" s="185"/>
      <c r="B694" s="67"/>
      <c r="C694" s="186"/>
      <c r="D694" s="186"/>
      <c r="E694" s="186"/>
      <c r="F694" s="186"/>
      <c r="G694" s="186"/>
      <c r="H694" s="186"/>
      <c r="I694" s="186"/>
      <c r="J694" s="186"/>
      <c r="K694" s="186"/>
      <c r="L694" s="186"/>
      <c r="M694" s="67"/>
      <c r="N694" s="67"/>
      <c r="O694" s="67"/>
      <c r="P694" s="67"/>
      <c r="Q694" s="186"/>
      <c r="R694" s="186"/>
      <c r="S694" s="187"/>
      <c r="T694" s="187"/>
      <c r="U694" s="186"/>
      <c r="V694" s="186"/>
      <c r="W694" s="186"/>
      <c r="X694" s="186"/>
    </row>
    <row r="695">
      <c r="A695" s="185"/>
      <c r="B695" s="67"/>
      <c r="C695" s="186"/>
      <c r="D695" s="186"/>
      <c r="E695" s="186"/>
      <c r="F695" s="186"/>
      <c r="G695" s="186"/>
      <c r="H695" s="186"/>
      <c r="I695" s="186"/>
      <c r="J695" s="186"/>
      <c r="K695" s="186"/>
      <c r="L695" s="186"/>
      <c r="M695" s="67"/>
      <c r="N695" s="67"/>
      <c r="O695" s="67"/>
      <c r="P695" s="67"/>
      <c r="Q695" s="186"/>
      <c r="R695" s="186"/>
      <c r="S695" s="187"/>
      <c r="T695" s="187"/>
      <c r="U695" s="186"/>
      <c r="V695" s="186"/>
      <c r="W695" s="186"/>
      <c r="X695" s="186"/>
    </row>
    <row r="696">
      <c r="A696" s="185"/>
      <c r="B696" s="67"/>
      <c r="C696" s="186"/>
      <c r="D696" s="186"/>
      <c r="E696" s="186"/>
      <c r="F696" s="186"/>
      <c r="G696" s="186"/>
      <c r="H696" s="186"/>
      <c r="I696" s="186"/>
      <c r="J696" s="186"/>
      <c r="K696" s="186"/>
      <c r="L696" s="186"/>
      <c r="M696" s="67"/>
      <c r="N696" s="67"/>
      <c r="O696" s="67"/>
      <c r="P696" s="67"/>
      <c r="Q696" s="186"/>
      <c r="R696" s="186"/>
      <c r="S696" s="187"/>
      <c r="T696" s="187"/>
      <c r="U696" s="186"/>
      <c r="V696" s="186"/>
      <c r="W696" s="186"/>
      <c r="X696" s="186"/>
    </row>
    <row r="697">
      <c r="A697" s="185"/>
      <c r="B697" s="67"/>
      <c r="C697" s="186"/>
      <c r="D697" s="186"/>
      <c r="E697" s="186"/>
      <c r="F697" s="186"/>
      <c r="G697" s="186"/>
      <c r="H697" s="186"/>
      <c r="I697" s="186"/>
      <c r="J697" s="186"/>
      <c r="K697" s="186"/>
      <c r="L697" s="186"/>
      <c r="M697" s="67"/>
      <c r="N697" s="67"/>
      <c r="O697" s="67"/>
      <c r="P697" s="67"/>
      <c r="Q697" s="186"/>
      <c r="R697" s="186"/>
      <c r="S697" s="187"/>
      <c r="T697" s="187"/>
      <c r="U697" s="186"/>
      <c r="V697" s="186"/>
      <c r="W697" s="186"/>
      <c r="X697" s="186"/>
    </row>
    <row r="698">
      <c r="A698" s="185"/>
      <c r="B698" s="67"/>
      <c r="C698" s="186"/>
      <c r="D698" s="186"/>
      <c r="E698" s="186"/>
      <c r="F698" s="186"/>
      <c r="G698" s="186"/>
      <c r="H698" s="186"/>
      <c r="I698" s="186"/>
      <c r="J698" s="186"/>
      <c r="K698" s="186"/>
      <c r="L698" s="186"/>
      <c r="M698" s="67"/>
      <c r="N698" s="67"/>
      <c r="O698" s="67"/>
      <c r="P698" s="67"/>
      <c r="Q698" s="186"/>
      <c r="R698" s="186"/>
      <c r="S698" s="187"/>
      <c r="T698" s="187"/>
      <c r="U698" s="186"/>
      <c r="V698" s="186"/>
      <c r="W698" s="186"/>
      <c r="X698" s="186"/>
    </row>
    <row r="699">
      <c r="A699" s="185"/>
      <c r="B699" s="67"/>
      <c r="C699" s="186"/>
      <c r="D699" s="186"/>
      <c r="E699" s="186"/>
      <c r="F699" s="186"/>
      <c r="G699" s="186"/>
      <c r="H699" s="186"/>
      <c r="I699" s="186"/>
      <c r="J699" s="186"/>
      <c r="K699" s="186"/>
      <c r="L699" s="186"/>
      <c r="M699" s="67"/>
      <c r="N699" s="67"/>
      <c r="O699" s="67"/>
      <c r="P699" s="67"/>
      <c r="Q699" s="186"/>
      <c r="R699" s="186"/>
      <c r="S699" s="187"/>
      <c r="T699" s="187"/>
      <c r="U699" s="186"/>
      <c r="V699" s="186"/>
      <c r="W699" s="186"/>
      <c r="X699" s="186"/>
    </row>
    <row r="700">
      <c r="A700" s="185"/>
      <c r="B700" s="67"/>
      <c r="C700" s="186"/>
      <c r="D700" s="186"/>
      <c r="E700" s="186"/>
      <c r="F700" s="186"/>
      <c r="G700" s="186"/>
      <c r="H700" s="186"/>
      <c r="I700" s="186"/>
      <c r="J700" s="186"/>
      <c r="K700" s="186"/>
      <c r="L700" s="186"/>
      <c r="M700" s="67"/>
      <c r="N700" s="67"/>
      <c r="O700" s="67"/>
      <c r="P700" s="67"/>
      <c r="Q700" s="186"/>
      <c r="R700" s="186"/>
      <c r="S700" s="187"/>
      <c r="T700" s="187"/>
      <c r="U700" s="186"/>
      <c r="V700" s="186"/>
      <c r="W700" s="186"/>
      <c r="X700" s="186"/>
    </row>
    <row r="701">
      <c r="A701" s="185"/>
      <c r="B701" s="67"/>
      <c r="C701" s="186"/>
      <c r="D701" s="186"/>
      <c r="E701" s="186"/>
      <c r="F701" s="186"/>
      <c r="G701" s="186"/>
      <c r="H701" s="186"/>
      <c r="I701" s="186"/>
      <c r="J701" s="186"/>
      <c r="K701" s="186"/>
      <c r="L701" s="186"/>
      <c r="M701" s="67"/>
      <c r="N701" s="67"/>
      <c r="O701" s="67"/>
      <c r="P701" s="67"/>
      <c r="Q701" s="186"/>
      <c r="R701" s="186"/>
      <c r="S701" s="187"/>
      <c r="T701" s="187"/>
      <c r="U701" s="186"/>
      <c r="V701" s="186"/>
      <c r="W701" s="186"/>
      <c r="X701" s="186"/>
    </row>
    <row r="702">
      <c r="A702" s="185"/>
      <c r="B702" s="67"/>
      <c r="C702" s="186"/>
      <c r="D702" s="186"/>
      <c r="E702" s="186"/>
      <c r="F702" s="186"/>
      <c r="G702" s="186"/>
      <c r="H702" s="186"/>
      <c r="I702" s="186"/>
      <c r="J702" s="186"/>
      <c r="K702" s="186"/>
      <c r="L702" s="186"/>
      <c r="M702" s="67"/>
      <c r="N702" s="67"/>
      <c r="O702" s="67"/>
      <c r="P702" s="67"/>
      <c r="Q702" s="186"/>
      <c r="R702" s="186"/>
      <c r="S702" s="187"/>
      <c r="T702" s="187"/>
      <c r="U702" s="186"/>
      <c r="V702" s="186"/>
      <c r="W702" s="186"/>
      <c r="X702" s="186"/>
    </row>
    <row r="703">
      <c r="A703" s="185"/>
      <c r="B703" s="67"/>
      <c r="C703" s="186"/>
      <c r="D703" s="186"/>
      <c r="E703" s="186"/>
      <c r="F703" s="186"/>
      <c r="G703" s="186"/>
      <c r="H703" s="186"/>
      <c r="I703" s="186"/>
      <c r="J703" s="186"/>
      <c r="K703" s="186"/>
      <c r="L703" s="186"/>
      <c r="M703" s="67"/>
      <c r="N703" s="67"/>
      <c r="O703" s="67"/>
      <c r="P703" s="67"/>
      <c r="Q703" s="186"/>
      <c r="R703" s="186"/>
      <c r="S703" s="187"/>
      <c r="T703" s="187"/>
      <c r="U703" s="186"/>
      <c r="V703" s="186"/>
      <c r="W703" s="186"/>
      <c r="X703" s="186"/>
    </row>
    <row r="704">
      <c r="A704" s="185"/>
      <c r="B704" s="67"/>
      <c r="C704" s="186"/>
      <c r="D704" s="186"/>
      <c r="E704" s="186"/>
      <c r="F704" s="186"/>
      <c r="G704" s="186"/>
      <c r="H704" s="186"/>
      <c r="I704" s="186"/>
      <c r="J704" s="186"/>
      <c r="K704" s="186"/>
      <c r="L704" s="186"/>
      <c r="M704" s="67"/>
      <c r="N704" s="67"/>
      <c r="O704" s="67"/>
      <c r="P704" s="67"/>
      <c r="Q704" s="186"/>
      <c r="R704" s="186"/>
      <c r="S704" s="187"/>
      <c r="T704" s="187"/>
      <c r="U704" s="186"/>
      <c r="V704" s="186"/>
      <c r="W704" s="186"/>
      <c r="X704" s="186"/>
    </row>
    <row r="705">
      <c r="A705" s="185"/>
      <c r="B705" s="67"/>
      <c r="C705" s="186"/>
      <c r="D705" s="186"/>
      <c r="E705" s="186"/>
      <c r="F705" s="186"/>
      <c r="G705" s="186"/>
      <c r="H705" s="186"/>
      <c r="I705" s="186"/>
      <c r="J705" s="186"/>
      <c r="K705" s="186"/>
      <c r="L705" s="186"/>
      <c r="M705" s="67"/>
      <c r="N705" s="67"/>
      <c r="O705" s="67"/>
      <c r="P705" s="67"/>
      <c r="Q705" s="186"/>
      <c r="R705" s="186"/>
      <c r="S705" s="187"/>
      <c r="T705" s="187"/>
      <c r="U705" s="186"/>
      <c r="V705" s="186"/>
      <c r="W705" s="186"/>
      <c r="X705" s="186"/>
    </row>
    <row r="706">
      <c r="A706" s="185"/>
      <c r="B706" s="67"/>
      <c r="C706" s="186"/>
      <c r="D706" s="186"/>
      <c r="E706" s="186"/>
      <c r="F706" s="186"/>
      <c r="G706" s="186"/>
      <c r="H706" s="186"/>
      <c r="I706" s="186"/>
      <c r="J706" s="186"/>
      <c r="K706" s="186"/>
      <c r="L706" s="186"/>
      <c r="M706" s="67"/>
      <c r="N706" s="67"/>
      <c r="O706" s="67"/>
      <c r="P706" s="67"/>
      <c r="Q706" s="186"/>
      <c r="R706" s="186"/>
      <c r="S706" s="187"/>
      <c r="T706" s="187"/>
      <c r="U706" s="186"/>
      <c r="V706" s="186"/>
      <c r="W706" s="186"/>
      <c r="X706" s="186"/>
    </row>
    <row r="707">
      <c r="A707" s="185"/>
      <c r="B707" s="67"/>
      <c r="C707" s="186"/>
      <c r="D707" s="186"/>
      <c r="E707" s="186"/>
      <c r="F707" s="186"/>
      <c r="G707" s="186"/>
      <c r="H707" s="186"/>
      <c r="I707" s="186"/>
      <c r="J707" s="186"/>
      <c r="K707" s="186"/>
      <c r="L707" s="186"/>
      <c r="M707" s="67"/>
      <c r="N707" s="67"/>
      <c r="O707" s="67"/>
      <c r="P707" s="67"/>
      <c r="Q707" s="186"/>
      <c r="R707" s="186"/>
      <c r="S707" s="187"/>
      <c r="T707" s="187"/>
      <c r="U707" s="186"/>
      <c r="V707" s="186"/>
      <c r="W707" s="186"/>
      <c r="X707" s="186"/>
    </row>
    <row r="708">
      <c r="A708" s="185"/>
      <c r="B708" s="67"/>
      <c r="C708" s="186"/>
      <c r="D708" s="186"/>
      <c r="E708" s="186"/>
      <c r="F708" s="186"/>
      <c r="G708" s="186"/>
      <c r="H708" s="186"/>
      <c r="I708" s="186"/>
      <c r="J708" s="186"/>
      <c r="K708" s="186"/>
      <c r="L708" s="186"/>
      <c r="M708" s="67"/>
      <c r="N708" s="67"/>
      <c r="O708" s="67"/>
      <c r="P708" s="67"/>
      <c r="Q708" s="186"/>
      <c r="R708" s="186"/>
      <c r="S708" s="187"/>
      <c r="T708" s="187"/>
      <c r="U708" s="186"/>
      <c r="V708" s="186"/>
      <c r="W708" s="186"/>
      <c r="X708" s="186"/>
    </row>
    <row r="709">
      <c r="A709" s="185"/>
      <c r="B709" s="67"/>
      <c r="C709" s="186"/>
      <c r="D709" s="186"/>
      <c r="E709" s="186"/>
      <c r="F709" s="186"/>
      <c r="G709" s="186"/>
      <c r="H709" s="186"/>
      <c r="I709" s="186"/>
      <c r="J709" s="186"/>
      <c r="K709" s="186"/>
      <c r="L709" s="186"/>
      <c r="M709" s="67"/>
      <c r="N709" s="67"/>
      <c r="O709" s="67"/>
      <c r="P709" s="67"/>
      <c r="Q709" s="186"/>
      <c r="R709" s="186"/>
      <c r="S709" s="187"/>
      <c r="T709" s="187"/>
      <c r="U709" s="186"/>
      <c r="V709" s="186"/>
      <c r="W709" s="186"/>
      <c r="X709" s="186"/>
    </row>
    <row r="710">
      <c r="A710" s="185"/>
      <c r="B710" s="67"/>
      <c r="C710" s="186"/>
      <c r="D710" s="186"/>
      <c r="E710" s="186"/>
      <c r="F710" s="186"/>
      <c r="G710" s="186"/>
      <c r="H710" s="186"/>
      <c r="I710" s="186"/>
      <c r="J710" s="186"/>
      <c r="K710" s="186"/>
      <c r="L710" s="186"/>
      <c r="M710" s="67"/>
      <c r="N710" s="67"/>
      <c r="O710" s="67"/>
      <c r="P710" s="67"/>
      <c r="Q710" s="186"/>
      <c r="R710" s="186"/>
      <c r="S710" s="187"/>
      <c r="T710" s="187"/>
      <c r="U710" s="186"/>
      <c r="V710" s="186"/>
      <c r="W710" s="186"/>
      <c r="X710" s="186"/>
    </row>
    <row r="711">
      <c r="A711" s="185"/>
      <c r="B711" s="67"/>
      <c r="C711" s="186"/>
      <c r="D711" s="186"/>
      <c r="E711" s="186"/>
      <c r="F711" s="186"/>
      <c r="G711" s="186"/>
      <c r="H711" s="186"/>
      <c r="I711" s="186"/>
      <c r="J711" s="186"/>
      <c r="K711" s="186"/>
      <c r="L711" s="186"/>
      <c r="M711" s="67"/>
      <c r="N711" s="67"/>
      <c r="O711" s="67"/>
      <c r="P711" s="67"/>
      <c r="Q711" s="186"/>
      <c r="R711" s="186"/>
      <c r="S711" s="187"/>
      <c r="T711" s="187"/>
      <c r="U711" s="186"/>
      <c r="V711" s="186"/>
      <c r="W711" s="186"/>
      <c r="X711" s="186"/>
    </row>
    <row r="712">
      <c r="A712" s="185"/>
      <c r="B712" s="67"/>
      <c r="C712" s="186"/>
      <c r="D712" s="186"/>
      <c r="E712" s="186"/>
      <c r="F712" s="186"/>
      <c r="G712" s="186"/>
      <c r="H712" s="186"/>
      <c r="I712" s="186"/>
      <c r="J712" s="186"/>
      <c r="K712" s="186"/>
      <c r="L712" s="186"/>
      <c r="M712" s="67"/>
      <c r="N712" s="67"/>
      <c r="O712" s="67"/>
      <c r="P712" s="67"/>
      <c r="Q712" s="186"/>
      <c r="R712" s="186"/>
      <c r="S712" s="187"/>
      <c r="T712" s="187"/>
      <c r="U712" s="186"/>
      <c r="V712" s="186"/>
      <c r="W712" s="186"/>
      <c r="X712" s="186"/>
    </row>
    <row r="713">
      <c r="A713" s="185"/>
      <c r="B713" s="67"/>
      <c r="C713" s="186"/>
      <c r="D713" s="186"/>
      <c r="E713" s="186"/>
      <c r="F713" s="186"/>
      <c r="G713" s="186"/>
      <c r="H713" s="186"/>
      <c r="I713" s="186"/>
      <c r="J713" s="186"/>
      <c r="K713" s="186"/>
      <c r="L713" s="186"/>
      <c r="M713" s="67"/>
      <c r="N713" s="67"/>
      <c r="O713" s="67"/>
      <c r="P713" s="67"/>
      <c r="Q713" s="186"/>
      <c r="R713" s="186"/>
      <c r="S713" s="187"/>
      <c r="T713" s="187"/>
      <c r="U713" s="186"/>
      <c r="V713" s="186"/>
      <c r="W713" s="186"/>
      <c r="X713" s="186"/>
    </row>
    <row r="714">
      <c r="A714" s="185"/>
      <c r="B714" s="67"/>
      <c r="C714" s="186"/>
      <c r="D714" s="186"/>
      <c r="E714" s="186"/>
      <c r="F714" s="186"/>
      <c r="G714" s="186"/>
      <c r="H714" s="186"/>
      <c r="I714" s="186"/>
      <c r="J714" s="186"/>
      <c r="K714" s="186"/>
      <c r="L714" s="186"/>
      <c r="M714" s="67"/>
      <c r="N714" s="67"/>
      <c r="O714" s="67"/>
      <c r="P714" s="67"/>
      <c r="Q714" s="186"/>
      <c r="R714" s="186"/>
      <c r="S714" s="187"/>
      <c r="T714" s="187"/>
      <c r="U714" s="186"/>
      <c r="V714" s="186"/>
      <c r="W714" s="186"/>
      <c r="X714" s="186"/>
    </row>
    <row r="715">
      <c r="A715" s="185"/>
      <c r="B715" s="67"/>
      <c r="C715" s="186"/>
      <c r="D715" s="186"/>
      <c r="E715" s="186"/>
      <c r="F715" s="186"/>
      <c r="G715" s="186"/>
      <c r="H715" s="186"/>
      <c r="I715" s="186"/>
      <c r="J715" s="186"/>
      <c r="K715" s="186"/>
      <c r="L715" s="186"/>
      <c r="M715" s="67"/>
      <c r="N715" s="67"/>
      <c r="O715" s="67"/>
      <c r="P715" s="67"/>
      <c r="Q715" s="186"/>
      <c r="R715" s="186"/>
      <c r="S715" s="187"/>
      <c r="T715" s="187"/>
      <c r="U715" s="186"/>
      <c r="V715" s="186"/>
      <c r="W715" s="186"/>
      <c r="X715" s="186"/>
    </row>
    <row r="716">
      <c r="A716" s="185"/>
      <c r="B716" s="67"/>
      <c r="C716" s="186"/>
      <c r="D716" s="186"/>
      <c r="E716" s="186"/>
      <c r="F716" s="186"/>
      <c r="G716" s="186"/>
      <c r="H716" s="186"/>
      <c r="I716" s="186"/>
      <c r="J716" s="186"/>
      <c r="K716" s="186"/>
      <c r="L716" s="186"/>
      <c r="M716" s="67"/>
      <c r="N716" s="67"/>
      <c r="O716" s="67"/>
      <c r="P716" s="67"/>
      <c r="Q716" s="186"/>
      <c r="R716" s="186"/>
      <c r="S716" s="187"/>
      <c r="T716" s="187"/>
      <c r="U716" s="186"/>
      <c r="V716" s="186"/>
      <c r="W716" s="186"/>
      <c r="X716" s="186"/>
    </row>
    <row r="717">
      <c r="A717" s="185"/>
      <c r="B717" s="67"/>
      <c r="C717" s="186"/>
      <c r="D717" s="186"/>
      <c r="E717" s="186"/>
      <c r="F717" s="186"/>
      <c r="G717" s="186"/>
      <c r="H717" s="186"/>
      <c r="I717" s="186"/>
      <c r="J717" s="186"/>
      <c r="K717" s="186"/>
      <c r="L717" s="186"/>
      <c r="M717" s="67"/>
      <c r="N717" s="67"/>
      <c r="O717" s="67"/>
      <c r="P717" s="67"/>
      <c r="Q717" s="186"/>
      <c r="R717" s="186"/>
      <c r="S717" s="187"/>
      <c r="T717" s="187"/>
      <c r="U717" s="186"/>
      <c r="V717" s="186"/>
      <c r="W717" s="186"/>
      <c r="X717" s="186"/>
    </row>
    <row r="718">
      <c r="A718" s="185"/>
      <c r="B718" s="67"/>
      <c r="C718" s="186"/>
      <c r="D718" s="186"/>
      <c r="E718" s="186"/>
      <c r="F718" s="186"/>
      <c r="G718" s="186"/>
      <c r="H718" s="186"/>
      <c r="I718" s="186"/>
      <c r="J718" s="186"/>
      <c r="K718" s="186"/>
      <c r="L718" s="186"/>
      <c r="M718" s="67"/>
      <c r="N718" s="67"/>
      <c r="O718" s="67"/>
      <c r="P718" s="67"/>
      <c r="Q718" s="186"/>
      <c r="R718" s="186"/>
      <c r="S718" s="187"/>
      <c r="T718" s="187"/>
      <c r="U718" s="186"/>
      <c r="V718" s="186"/>
      <c r="W718" s="186"/>
      <c r="X718" s="186"/>
    </row>
    <row r="719">
      <c r="A719" s="185"/>
      <c r="B719" s="67"/>
      <c r="C719" s="186"/>
      <c r="D719" s="186"/>
      <c r="E719" s="186"/>
      <c r="F719" s="186"/>
      <c r="G719" s="186"/>
      <c r="H719" s="186"/>
      <c r="I719" s="186"/>
      <c r="J719" s="186"/>
      <c r="K719" s="186"/>
      <c r="L719" s="186"/>
      <c r="M719" s="67"/>
      <c r="N719" s="67"/>
      <c r="O719" s="67"/>
      <c r="P719" s="67"/>
      <c r="Q719" s="186"/>
      <c r="R719" s="186"/>
      <c r="S719" s="187"/>
      <c r="T719" s="187"/>
      <c r="U719" s="186"/>
      <c r="V719" s="186"/>
      <c r="W719" s="186"/>
      <c r="X719" s="186"/>
    </row>
    <row r="720">
      <c r="A720" s="185"/>
      <c r="B720" s="67"/>
      <c r="C720" s="186"/>
      <c r="D720" s="186"/>
      <c r="E720" s="186"/>
      <c r="F720" s="186"/>
      <c r="G720" s="186"/>
      <c r="H720" s="186"/>
      <c r="I720" s="186"/>
      <c r="J720" s="186"/>
      <c r="K720" s="186"/>
      <c r="L720" s="186"/>
      <c r="M720" s="67"/>
      <c r="N720" s="67"/>
      <c r="O720" s="67"/>
      <c r="P720" s="67"/>
      <c r="Q720" s="186"/>
      <c r="R720" s="186"/>
      <c r="S720" s="187"/>
      <c r="T720" s="187"/>
      <c r="U720" s="186"/>
      <c r="V720" s="186"/>
      <c r="W720" s="186"/>
      <c r="X720" s="186"/>
    </row>
    <row r="721">
      <c r="A721" s="185"/>
      <c r="B721" s="67"/>
      <c r="C721" s="186"/>
      <c r="D721" s="186"/>
      <c r="E721" s="186"/>
      <c r="F721" s="186"/>
      <c r="G721" s="186"/>
      <c r="H721" s="186"/>
      <c r="I721" s="186"/>
      <c r="J721" s="186"/>
      <c r="K721" s="186"/>
      <c r="L721" s="186"/>
      <c r="M721" s="67"/>
      <c r="N721" s="67"/>
      <c r="O721" s="67"/>
      <c r="P721" s="67"/>
      <c r="Q721" s="186"/>
      <c r="R721" s="186"/>
      <c r="S721" s="187"/>
      <c r="T721" s="187"/>
      <c r="U721" s="186"/>
      <c r="V721" s="186"/>
      <c r="W721" s="186"/>
      <c r="X721" s="186"/>
    </row>
    <row r="722">
      <c r="A722" s="185"/>
      <c r="B722" s="67"/>
      <c r="C722" s="186"/>
      <c r="D722" s="186"/>
      <c r="E722" s="186"/>
      <c r="F722" s="186"/>
      <c r="G722" s="186"/>
      <c r="H722" s="186"/>
      <c r="I722" s="186"/>
      <c r="J722" s="186"/>
      <c r="K722" s="186"/>
      <c r="L722" s="186"/>
      <c r="M722" s="67"/>
      <c r="N722" s="67"/>
      <c r="O722" s="67"/>
      <c r="P722" s="67"/>
      <c r="Q722" s="186"/>
      <c r="R722" s="186"/>
      <c r="S722" s="187"/>
      <c r="T722" s="187"/>
      <c r="U722" s="186"/>
      <c r="V722" s="186"/>
      <c r="W722" s="186"/>
      <c r="X722" s="186"/>
    </row>
    <row r="723">
      <c r="A723" s="185"/>
      <c r="B723" s="67"/>
      <c r="C723" s="186"/>
      <c r="D723" s="186"/>
      <c r="E723" s="186"/>
      <c r="F723" s="186"/>
      <c r="G723" s="186"/>
      <c r="H723" s="186"/>
      <c r="I723" s="186"/>
      <c r="J723" s="186"/>
      <c r="K723" s="186"/>
      <c r="L723" s="186"/>
      <c r="M723" s="67"/>
      <c r="N723" s="67"/>
      <c r="O723" s="67"/>
      <c r="P723" s="67"/>
      <c r="Q723" s="186"/>
      <c r="R723" s="186"/>
      <c r="S723" s="187"/>
      <c r="T723" s="187"/>
      <c r="U723" s="186"/>
      <c r="V723" s="186"/>
      <c r="W723" s="186"/>
      <c r="X723" s="186"/>
    </row>
    <row r="724">
      <c r="A724" s="185"/>
      <c r="B724" s="67"/>
      <c r="C724" s="186"/>
      <c r="D724" s="186"/>
      <c r="E724" s="186"/>
      <c r="F724" s="186"/>
      <c r="G724" s="186"/>
      <c r="H724" s="186"/>
      <c r="I724" s="186"/>
      <c r="J724" s="186"/>
      <c r="K724" s="186"/>
      <c r="L724" s="186"/>
      <c r="M724" s="67"/>
      <c r="N724" s="67"/>
      <c r="O724" s="67"/>
      <c r="P724" s="67"/>
      <c r="Q724" s="186"/>
      <c r="R724" s="186"/>
      <c r="S724" s="187"/>
      <c r="T724" s="187"/>
      <c r="U724" s="186"/>
      <c r="V724" s="186"/>
      <c r="W724" s="186"/>
      <c r="X724" s="186"/>
    </row>
    <row r="725">
      <c r="A725" s="185"/>
      <c r="B725" s="67"/>
      <c r="C725" s="186"/>
      <c r="D725" s="186"/>
      <c r="E725" s="186"/>
      <c r="F725" s="186"/>
      <c r="G725" s="186"/>
      <c r="H725" s="186"/>
      <c r="I725" s="186"/>
      <c r="J725" s="186"/>
      <c r="K725" s="186"/>
      <c r="L725" s="186"/>
      <c r="M725" s="67"/>
      <c r="N725" s="67"/>
      <c r="O725" s="67"/>
      <c r="P725" s="67"/>
      <c r="Q725" s="186"/>
      <c r="R725" s="186"/>
      <c r="S725" s="187"/>
      <c r="T725" s="187"/>
      <c r="U725" s="186"/>
      <c r="V725" s="186"/>
      <c r="W725" s="186"/>
      <c r="X725" s="186"/>
    </row>
    <row r="726">
      <c r="A726" s="185"/>
      <c r="B726" s="67"/>
      <c r="C726" s="186"/>
      <c r="D726" s="186"/>
      <c r="E726" s="186"/>
      <c r="F726" s="186"/>
      <c r="G726" s="186"/>
      <c r="H726" s="186"/>
      <c r="I726" s="186"/>
      <c r="J726" s="186"/>
      <c r="K726" s="186"/>
      <c r="L726" s="186"/>
      <c r="M726" s="67"/>
      <c r="N726" s="67"/>
      <c r="O726" s="67"/>
      <c r="P726" s="67"/>
      <c r="Q726" s="186"/>
      <c r="R726" s="186"/>
      <c r="S726" s="187"/>
      <c r="T726" s="187"/>
      <c r="U726" s="186"/>
      <c r="V726" s="186"/>
      <c r="W726" s="186"/>
      <c r="X726" s="186"/>
    </row>
    <row r="727">
      <c r="A727" s="185"/>
      <c r="B727" s="67"/>
      <c r="C727" s="186"/>
      <c r="D727" s="186"/>
      <c r="E727" s="186"/>
      <c r="F727" s="186"/>
      <c r="G727" s="186"/>
      <c r="H727" s="186"/>
      <c r="I727" s="186"/>
      <c r="J727" s="186"/>
      <c r="K727" s="186"/>
      <c r="L727" s="186"/>
      <c r="M727" s="67"/>
      <c r="N727" s="67"/>
      <c r="O727" s="67"/>
      <c r="P727" s="67"/>
      <c r="Q727" s="186"/>
      <c r="R727" s="186"/>
      <c r="S727" s="187"/>
      <c r="T727" s="187"/>
      <c r="U727" s="186"/>
      <c r="V727" s="186"/>
      <c r="W727" s="186"/>
      <c r="X727" s="186"/>
    </row>
    <row r="728">
      <c r="A728" s="185"/>
      <c r="B728" s="67"/>
      <c r="C728" s="186"/>
      <c r="D728" s="186"/>
      <c r="E728" s="186"/>
      <c r="F728" s="186"/>
      <c r="G728" s="186"/>
      <c r="H728" s="186"/>
      <c r="I728" s="186"/>
      <c r="J728" s="186"/>
      <c r="K728" s="186"/>
      <c r="L728" s="186"/>
      <c r="M728" s="67"/>
      <c r="N728" s="67"/>
      <c r="O728" s="67"/>
      <c r="P728" s="67"/>
      <c r="Q728" s="186"/>
      <c r="R728" s="186"/>
      <c r="S728" s="187"/>
      <c r="T728" s="187"/>
      <c r="U728" s="186"/>
      <c r="V728" s="186"/>
      <c r="W728" s="186"/>
      <c r="X728" s="186"/>
    </row>
    <row r="729">
      <c r="A729" s="185"/>
      <c r="B729" s="67"/>
      <c r="C729" s="186"/>
      <c r="D729" s="186"/>
      <c r="E729" s="186"/>
      <c r="F729" s="186"/>
      <c r="G729" s="186"/>
      <c r="H729" s="186"/>
      <c r="I729" s="186"/>
      <c r="J729" s="186"/>
      <c r="K729" s="186"/>
      <c r="L729" s="186"/>
      <c r="M729" s="67"/>
      <c r="N729" s="67"/>
      <c r="O729" s="67"/>
      <c r="P729" s="67"/>
      <c r="Q729" s="186"/>
      <c r="R729" s="186"/>
      <c r="S729" s="187"/>
      <c r="T729" s="187"/>
      <c r="U729" s="186"/>
      <c r="V729" s="186"/>
      <c r="W729" s="186"/>
      <c r="X729" s="186"/>
    </row>
    <row r="730">
      <c r="A730" s="185"/>
      <c r="B730" s="67"/>
      <c r="C730" s="186"/>
      <c r="D730" s="186"/>
      <c r="E730" s="186"/>
      <c r="F730" s="186"/>
      <c r="G730" s="186"/>
      <c r="H730" s="186"/>
      <c r="I730" s="186"/>
      <c r="J730" s="186"/>
      <c r="K730" s="186"/>
      <c r="L730" s="186"/>
      <c r="M730" s="67"/>
      <c r="N730" s="67"/>
      <c r="O730" s="67"/>
      <c r="P730" s="67"/>
      <c r="Q730" s="186"/>
      <c r="R730" s="186"/>
      <c r="S730" s="187"/>
      <c r="T730" s="187"/>
      <c r="U730" s="186"/>
      <c r="V730" s="186"/>
      <c r="W730" s="186"/>
      <c r="X730" s="186"/>
    </row>
    <row r="731">
      <c r="A731" s="185"/>
      <c r="B731" s="67"/>
      <c r="C731" s="186"/>
      <c r="D731" s="186"/>
      <c r="E731" s="186"/>
      <c r="F731" s="186"/>
      <c r="G731" s="186"/>
      <c r="H731" s="186"/>
      <c r="I731" s="186"/>
      <c r="J731" s="186"/>
      <c r="K731" s="186"/>
      <c r="L731" s="186"/>
      <c r="M731" s="67"/>
      <c r="N731" s="67"/>
      <c r="O731" s="67"/>
      <c r="P731" s="67"/>
      <c r="Q731" s="186"/>
      <c r="R731" s="186"/>
      <c r="S731" s="187"/>
      <c r="T731" s="187"/>
      <c r="U731" s="186"/>
      <c r="V731" s="186"/>
      <c r="W731" s="186"/>
      <c r="X731" s="186"/>
    </row>
    <row r="732">
      <c r="A732" s="185"/>
      <c r="B732" s="67"/>
      <c r="C732" s="186"/>
      <c r="D732" s="186"/>
      <c r="E732" s="186"/>
      <c r="F732" s="186"/>
      <c r="G732" s="186"/>
      <c r="H732" s="186"/>
      <c r="I732" s="186"/>
      <c r="J732" s="186"/>
      <c r="K732" s="186"/>
      <c r="L732" s="186"/>
      <c r="M732" s="67"/>
      <c r="N732" s="67"/>
      <c r="O732" s="67"/>
      <c r="P732" s="67"/>
      <c r="Q732" s="186"/>
      <c r="R732" s="186"/>
      <c r="S732" s="187"/>
      <c r="T732" s="187"/>
      <c r="U732" s="186"/>
      <c r="V732" s="186"/>
      <c r="W732" s="186"/>
      <c r="X732" s="186"/>
    </row>
    <row r="733">
      <c r="A733" s="185"/>
      <c r="B733" s="67"/>
      <c r="C733" s="186"/>
      <c r="D733" s="186"/>
      <c r="E733" s="186"/>
      <c r="F733" s="186"/>
      <c r="G733" s="186"/>
      <c r="H733" s="186"/>
      <c r="I733" s="186"/>
      <c r="J733" s="186"/>
      <c r="K733" s="186"/>
      <c r="L733" s="186"/>
      <c r="M733" s="67"/>
      <c r="N733" s="67"/>
      <c r="O733" s="67"/>
      <c r="P733" s="67"/>
      <c r="Q733" s="186"/>
      <c r="R733" s="186"/>
      <c r="S733" s="187"/>
      <c r="T733" s="187"/>
      <c r="U733" s="186"/>
      <c r="V733" s="186"/>
      <c r="W733" s="186"/>
      <c r="X733" s="186"/>
    </row>
    <row r="734">
      <c r="A734" s="185"/>
      <c r="B734" s="67"/>
      <c r="C734" s="186"/>
      <c r="D734" s="186"/>
      <c r="E734" s="186"/>
      <c r="F734" s="186"/>
      <c r="G734" s="186"/>
      <c r="H734" s="186"/>
      <c r="I734" s="186"/>
      <c r="J734" s="186"/>
      <c r="K734" s="186"/>
      <c r="L734" s="186"/>
      <c r="M734" s="67"/>
      <c r="N734" s="67"/>
      <c r="O734" s="67"/>
      <c r="P734" s="67"/>
      <c r="Q734" s="186"/>
      <c r="R734" s="186"/>
      <c r="S734" s="187"/>
      <c r="T734" s="187"/>
      <c r="U734" s="186"/>
      <c r="V734" s="186"/>
      <c r="W734" s="186"/>
      <c r="X734" s="186"/>
    </row>
    <row r="735">
      <c r="A735" s="185"/>
      <c r="B735" s="67"/>
      <c r="C735" s="186"/>
      <c r="D735" s="186"/>
      <c r="E735" s="186"/>
      <c r="F735" s="186"/>
      <c r="G735" s="186"/>
      <c r="H735" s="186"/>
      <c r="I735" s="186"/>
      <c r="J735" s="186"/>
      <c r="K735" s="186"/>
      <c r="L735" s="186"/>
      <c r="M735" s="67"/>
      <c r="N735" s="67"/>
      <c r="O735" s="67"/>
      <c r="P735" s="67"/>
      <c r="Q735" s="186"/>
      <c r="R735" s="186"/>
      <c r="S735" s="187"/>
      <c r="T735" s="187"/>
      <c r="U735" s="186"/>
      <c r="V735" s="186"/>
      <c r="W735" s="186"/>
      <c r="X735" s="186"/>
    </row>
    <row r="736">
      <c r="A736" s="185"/>
      <c r="B736" s="67"/>
      <c r="C736" s="186"/>
      <c r="D736" s="186"/>
      <c r="E736" s="186"/>
      <c r="F736" s="186"/>
      <c r="G736" s="186"/>
      <c r="H736" s="186"/>
      <c r="I736" s="186"/>
      <c r="J736" s="186"/>
      <c r="K736" s="186"/>
      <c r="L736" s="186"/>
      <c r="M736" s="67"/>
      <c r="N736" s="67"/>
      <c r="O736" s="67"/>
      <c r="P736" s="67"/>
      <c r="Q736" s="186"/>
      <c r="R736" s="186"/>
      <c r="S736" s="187"/>
      <c r="T736" s="187"/>
      <c r="U736" s="186"/>
      <c r="V736" s="186"/>
      <c r="W736" s="186"/>
      <c r="X736" s="186"/>
    </row>
    <row r="737">
      <c r="A737" s="185"/>
      <c r="B737" s="67"/>
      <c r="C737" s="186"/>
      <c r="D737" s="186"/>
      <c r="E737" s="186"/>
      <c r="F737" s="186"/>
      <c r="G737" s="186"/>
      <c r="H737" s="186"/>
      <c r="I737" s="186"/>
      <c r="J737" s="186"/>
      <c r="K737" s="186"/>
      <c r="L737" s="186"/>
      <c r="M737" s="67"/>
      <c r="N737" s="67"/>
      <c r="O737" s="67"/>
      <c r="P737" s="67"/>
      <c r="Q737" s="186"/>
      <c r="R737" s="186"/>
      <c r="S737" s="187"/>
      <c r="T737" s="187"/>
      <c r="U737" s="186"/>
      <c r="V737" s="186"/>
      <c r="W737" s="186"/>
      <c r="X737" s="186"/>
    </row>
    <row r="738">
      <c r="A738" s="185"/>
      <c r="B738" s="67"/>
      <c r="C738" s="186"/>
      <c r="D738" s="186"/>
      <c r="E738" s="186"/>
      <c r="F738" s="186"/>
      <c r="G738" s="186"/>
      <c r="H738" s="186"/>
      <c r="I738" s="186"/>
      <c r="J738" s="186"/>
      <c r="K738" s="186"/>
      <c r="L738" s="186"/>
      <c r="M738" s="67"/>
      <c r="N738" s="67"/>
      <c r="O738" s="67"/>
      <c r="P738" s="67"/>
      <c r="Q738" s="186"/>
      <c r="R738" s="186"/>
      <c r="S738" s="187"/>
      <c r="T738" s="187"/>
      <c r="U738" s="186"/>
      <c r="V738" s="186"/>
      <c r="W738" s="186"/>
      <c r="X738" s="186"/>
    </row>
    <row r="739">
      <c r="A739" s="185"/>
      <c r="B739" s="67"/>
      <c r="C739" s="186"/>
      <c r="D739" s="186"/>
      <c r="E739" s="186"/>
      <c r="F739" s="186"/>
      <c r="G739" s="186"/>
      <c r="H739" s="186"/>
      <c r="I739" s="186"/>
      <c r="J739" s="186"/>
      <c r="K739" s="186"/>
      <c r="L739" s="186"/>
      <c r="M739" s="67"/>
      <c r="N739" s="67"/>
      <c r="O739" s="67"/>
      <c r="P739" s="67"/>
      <c r="Q739" s="186"/>
      <c r="R739" s="186"/>
      <c r="S739" s="187"/>
      <c r="T739" s="187"/>
      <c r="U739" s="186"/>
      <c r="V739" s="186"/>
      <c r="W739" s="186"/>
      <c r="X739" s="186"/>
    </row>
    <row r="740">
      <c r="A740" s="185"/>
      <c r="B740" s="67"/>
      <c r="C740" s="186"/>
      <c r="D740" s="186"/>
      <c r="E740" s="186"/>
      <c r="F740" s="186"/>
      <c r="G740" s="186"/>
      <c r="H740" s="186"/>
      <c r="I740" s="186"/>
      <c r="J740" s="186"/>
      <c r="K740" s="186"/>
      <c r="L740" s="186"/>
      <c r="M740" s="67"/>
      <c r="N740" s="67"/>
      <c r="O740" s="67"/>
      <c r="P740" s="67"/>
      <c r="Q740" s="186"/>
      <c r="R740" s="186"/>
      <c r="S740" s="187"/>
      <c r="T740" s="187"/>
      <c r="U740" s="186"/>
      <c r="V740" s="186"/>
      <c r="W740" s="186"/>
      <c r="X740" s="186"/>
    </row>
    <row r="741">
      <c r="A741" s="185"/>
      <c r="B741" s="67"/>
      <c r="C741" s="186"/>
      <c r="D741" s="186"/>
      <c r="E741" s="186"/>
      <c r="F741" s="186"/>
      <c r="G741" s="186"/>
      <c r="H741" s="186"/>
      <c r="I741" s="186"/>
      <c r="J741" s="186"/>
      <c r="K741" s="186"/>
      <c r="L741" s="186"/>
      <c r="M741" s="67"/>
      <c r="N741" s="67"/>
      <c r="O741" s="67"/>
      <c r="P741" s="67"/>
      <c r="Q741" s="186"/>
      <c r="R741" s="186"/>
      <c r="S741" s="187"/>
      <c r="T741" s="187"/>
      <c r="U741" s="186"/>
      <c r="V741" s="186"/>
      <c r="W741" s="186"/>
      <c r="X741" s="186"/>
    </row>
    <row r="742">
      <c r="A742" s="185"/>
      <c r="B742" s="67"/>
      <c r="C742" s="186"/>
      <c r="D742" s="186"/>
      <c r="E742" s="186"/>
      <c r="F742" s="186"/>
      <c r="G742" s="186"/>
      <c r="H742" s="186"/>
      <c r="I742" s="186"/>
      <c r="J742" s="186"/>
      <c r="K742" s="186"/>
      <c r="L742" s="186"/>
      <c r="M742" s="67"/>
      <c r="N742" s="67"/>
      <c r="O742" s="67"/>
      <c r="P742" s="67"/>
      <c r="Q742" s="186"/>
      <c r="R742" s="186"/>
      <c r="S742" s="187"/>
      <c r="T742" s="187"/>
      <c r="U742" s="186"/>
      <c r="V742" s="186"/>
      <c r="W742" s="186"/>
      <c r="X742" s="186"/>
    </row>
    <row r="743">
      <c r="A743" s="185"/>
      <c r="B743" s="67"/>
      <c r="C743" s="186"/>
      <c r="D743" s="186"/>
      <c r="E743" s="186"/>
      <c r="F743" s="186"/>
      <c r="G743" s="186"/>
      <c r="H743" s="186"/>
      <c r="I743" s="186"/>
      <c r="J743" s="186"/>
      <c r="K743" s="186"/>
      <c r="L743" s="186"/>
      <c r="M743" s="67"/>
      <c r="N743" s="67"/>
      <c r="O743" s="67"/>
      <c r="P743" s="67"/>
      <c r="Q743" s="186"/>
      <c r="R743" s="186"/>
      <c r="S743" s="187"/>
      <c r="T743" s="187"/>
      <c r="U743" s="186"/>
      <c r="V743" s="186"/>
      <c r="W743" s="186"/>
      <c r="X743" s="186"/>
    </row>
    <row r="744">
      <c r="A744" s="185"/>
      <c r="B744" s="67"/>
      <c r="C744" s="186"/>
      <c r="D744" s="186"/>
      <c r="E744" s="186"/>
      <c r="F744" s="186"/>
      <c r="G744" s="186"/>
      <c r="H744" s="186"/>
      <c r="I744" s="186"/>
      <c r="J744" s="186"/>
      <c r="K744" s="186"/>
      <c r="L744" s="186"/>
      <c r="M744" s="67"/>
      <c r="N744" s="67"/>
      <c r="O744" s="67"/>
      <c r="P744" s="67"/>
      <c r="Q744" s="186"/>
      <c r="R744" s="186"/>
      <c r="S744" s="187"/>
      <c r="T744" s="187"/>
      <c r="U744" s="186"/>
      <c r="V744" s="186"/>
      <c r="W744" s="186"/>
      <c r="X744" s="186"/>
    </row>
    <row r="745">
      <c r="A745" s="185"/>
      <c r="B745" s="67"/>
      <c r="C745" s="186"/>
      <c r="D745" s="186"/>
      <c r="E745" s="186"/>
      <c r="F745" s="186"/>
      <c r="G745" s="186"/>
      <c r="H745" s="186"/>
      <c r="I745" s="186"/>
      <c r="J745" s="186"/>
      <c r="K745" s="186"/>
      <c r="L745" s="186"/>
      <c r="M745" s="67"/>
      <c r="N745" s="67"/>
      <c r="O745" s="67"/>
      <c r="P745" s="67"/>
      <c r="Q745" s="186"/>
      <c r="R745" s="186"/>
      <c r="S745" s="187"/>
      <c r="T745" s="187"/>
      <c r="U745" s="186"/>
      <c r="V745" s="186"/>
      <c r="W745" s="186"/>
      <c r="X745" s="186"/>
    </row>
    <row r="746">
      <c r="A746" s="185"/>
      <c r="B746" s="67"/>
      <c r="C746" s="186"/>
      <c r="D746" s="186"/>
      <c r="E746" s="186"/>
      <c r="F746" s="186"/>
      <c r="G746" s="186"/>
      <c r="H746" s="186"/>
      <c r="I746" s="186"/>
      <c r="J746" s="186"/>
      <c r="K746" s="186"/>
      <c r="L746" s="186"/>
      <c r="M746" s="67"/>
      <c r="N746" s="67"/>
      <c r="O746" s="67"/>
      <c r="P746" s="67"/>
      <c r="Q746" s="186"/>
      <c r="R746" s="186"/>
      <c r="S746" s="187"/>
      <c r="T746" s="187"/>
      <c r="U746" s="186"/>
      <c r="V746" s="186"/>
      <c r="W746" s="186"/>
      <c r="X746" s="186"/>
    </row>
    <row r="747">
      <c r="A747" s="185"/>
      <c r="B747" s="67"/>
      <c r="C747" s="186"/>
      <c r="D747" s="186"/>
      <c r="E747" s="186"/>
      <c r="F747" s="186"/>
      <c r="G747" s="186"/>
      <c r="H747" s="186"/>
      <c r="I747" s="186"/>
      <c r="J747" s="186"/>
      <c r="K747" s="186"/>
      <c r="L747" s="186"/>
      <c r="M747" s="67"/>
      <c r="N747" s="67"/>
      <c r="O747" s="67"/>
      <c r="P747" s="67"/>
      <c r="Q747" s="186"/>
      <c r="R747" s="186"/>
      <c r="S747" s="187"/>
      <c r="T747" s="187"/>
      <c r="U747" s="186"/>
      <c r="V747" s="186"/>
      <c r="W747" s="186"/>
      <c r="X747" s="186"/>
    </row>
    <row r="748">
      <c r="A748" s="185"/>
      <c r="B748" s="67"/>
      <c r="C748" s="186"/>
      <c r="D748" s="186"/>
      <c r="E748" s="186"/>
      <c r="F748" s="186"/>
      <c r="G748" s="186"/>
      <c r="H748" s="186"/>
      <c r="I748" s="186"/>
      <c r="J748" s="186"/>
      <c r="K748" s="186"/>
      <c r="L748" s="186"/>
      <c r="M748" s="67"/>
      <c r="N748" s="67"/>
      <c r="O748" s="67"/>
      <c r="P748" s="67"/>
      <c r="Q748" s="186"/>
      <c r="R748" s="186"/>
      <c r="S748" s="187"/>
      <c r="T748" s="187"/>
      <c r="U748" s="186"/>
      <c r="V748" s="186"/>
      <c r="W748" s="186"/>
      <c r="X748" s="186"/>
    </row>
    <row r="749">
      <c r="A749" s="185"/>
      <c r="B749" s="67"/>
      <c r="C749" s="186"/>
      <c r="D749" s="186"/>
      <c r="E749" s="186"/>
      <c r="F749" s="186"/>
      <c r="G749" s="186"/>
      <c r="H749" s="186"/>
      <c r="I749" s="186"/>
      <c r="J749" s="186"/>
      <c r="K749" s="186"/>
      <c r="L749" s="186"/>
      <c r="M749" s="67"/>
      <c r="N749" s="67"/>
      <c r="O749" s="67"/>
      <c r="P749" s="67"/>
      <c r="Q749" s="186"/>
      <c r="R749" s="186"/>
      <c r="S749" s="187"/>
      <c r="T749" s="187"/>
      <c r="U749" s="186"/>
      <c r="V749" s="186"/>
      <c r="W749" s="186"/>
      <c r="X749" s="186"/>
    </row>
    <row r="750">
      <c r="A750" s="185"/>
      <c r="B750" s="67"/>
      <c r="C750" s="186"/>
      <c r="D750" s="186"/>
      <c r="E750" s="186"/>
      <c r="F750" s="186"/>
      <c r="G750" s="186"/>
      <c r="H750" s="186"/>
      <c r="I750" s="186"/>
      <c r="J750" s="186"/>
      <c r="K750" s="186"/>
      <c r="L750" s="186"/>
      <c r="M750" s="67"/>
      <c r="N750" s="67"/>
      <c r="O750" s="67"/>
      <c r="P750" s="67"/>
      <c r="Q750" s="186"/>
      <c r="R750" s="186"/>
      <c r="S750" s="187"/>
      <c r="T750" s="187"/>
      <c r="U750" s="186"/>
      <c r="V750" s="186"/>
      <c r="W750" s="186"/>
      <c r="X750" s="186"/>
    </row>
    <row r="751">
      <c r="A751" s="185"/>
      <c r="B751" s="67"/>
      <c r="C751" s="186"/>
      <c r="D751" s="186"/>
      <c r="E751" s="186"/>
      <c r="F751" s="186"/>
      <c r="G751" s="186"/>
      <c r="H751" s="186"/>
      <c r="I751" s="186"/>
      <c r="J751" s="186"/>
      <c r="K751" s="186"/>
      <c r="L751" s="186"/>
      <c r="M751" s="67"/>
      <c r="N751" s="67"/>
      <c r="O751" s="67"/>
      <c r="P751" s="67"/>
      <c r="Q751" s="186"/>
      <c r="R751" s="186"/>
      <c r="S751" s="187"/>
      <c r="T751" s="187"/>
      <c r="U751" s="186"/>
      <c r="V751" s="186"/>
      <c r="W751" s="186"/>
      <c r="X751" s="186"/>
    </row>
    <row r="752">
      <c r="A752" s="185"/>
      <c r="B752" s="67"/>
      <c r="C752" s="186"/>
      <c r="D752" s="186"/>
      <c r="E752" s="186"/>
      <c r="F752" s="186"/>
      <c r="G752" s="186"/>
      <c r="H752" s="186"/>
      <c r="I752" s="186"/>
      <c r="J752" s="186"/>
      <c r="K752" s="186"/>
      <c r="L752" s="186"/>
      <c r="M752" s="67"/>
      <c r="N752" s="67"/>
      <c r="O752" s="67"/>
      <c r="P752" s="67"/>
      <c r="Q752" s="186"/>
      <c r="R752" s="186"/>
      <c r="S752" s="187"/>
      <c r="T752" s="187"/>
      <c r="U752" s="186"/>
      <c r="V752" s="186"/>
      <c r="W752" s="186"/>
      <c r="X752" s="186"/>
    </row>
    <row r="753">
      <c r="A753" s="185"/>
      <c r="B753" s="67"/>
      <c r="C753" s="186"/>
      <c r="D753" s="186"/>
      <c r="E753" s="186"/>
      <c r="F753" s="186"/>
      <c r="G753" s="186"/>
      <c r="H753" s="186"/>
      <c r="I753" s="186"/>
      <c r="J753" s="186"/>
      <c r="K753" s="186"/>
      <c r="L753" s="186"/>
      <c r="M753" s="67"/>
      <c r="N753" s="67"/>
      <c r="O753" s="67"/>
      <c r="P753" s="67"/>
      <c r="Q753" s="186"/>
      <c r="R753" s="186"/>
      <c r="S753" s="187"/>
      <c r="T753" s="187"/>
      <c r="U753" s="186"/>
      <c r="V753" s="186"/>
      <c r="W753" s="186"/>
      <c r="X753" s="186"/>
    </row>
    <row r="754">
      <c r="A754" s="185"/>
      <c r="B754" s="67"/>
      <c r="C754" s="186"/>
      <c r="D754" s="186"/>
      <c r="E754" s="186"/>
      <c r="F754" s="186"/>
      <c r="G754" s="186"/>
      <c r="H754" s="186"/>
      <c r="I754" s="186"/>
      <c r="J754" s="186"/>
      <c r="K754" s="186"/>
      <c r="L754" s="186"/>
      <c r="M754" s="67"/>
      <c r="N754" s="67"/>
      <c r="O754" s="67"/>
      <c r="P754" s="67"/>
      <c r="Q754" s="186"/>
      <c r="R754" s="186"/>
      <c r="S754" s="187"/>
      <c r="T754" s="187"/>
      <c r="U754" s="186"/>
      <c r="V754" s="186"/>
      <c r="W754" s="186"/>
      <c r="X754" s="186"/>
    </row>
    <row r="755">
      <c r="A755" s="185"/>
      <c r="B755" s="67"/>
      <c r="C755" s="186"/>
      <c r="D755" s="186"/>
      <c r="E755" s="186"/>
      <c r="F755" s="186"/>
      <c r="G755" s="186"/>
      <c r="H755" s="186"/>
      <c r="I755" s="186"/>
      <c r="J755" s="186"/>
      <c r="K755" s="186"/>
      <c r="L755" s="186"/>
      <c r="M755" s="67"/>
      <c r="N755" s="67"/>
      <c r="O755" s="67"/>
      <c r="P755" s="67"/>
      <c r="Q755" s="186"/>
      <c r="R755" s="186"/>
      <c r="S755" s="187"/>
      <c r="T755" s="187"/>
      <c r="U755" s="186"/>
      <c r="V755" s="186"/>
      <c r="W755" s="186"/>
      <c r="X755" s="186"/>
    </row>
    <row r="756">
      <c r="A756" s="185"/>
      <c r="B756" s="67"/>
      <c r="C756" s="186"/>
      <c r="D756" s="186"/>
      <c r="E756" s="186"/>
      <c r="F756" s="186"/>
      <c r="G756" s="186"/>
      <c r="H756" s="186"/>
      <c r="I756" s="186"/>
      <c r="J756" s="186"/>
      <c r="K756" s="186"/>
      <c r="L756" s="186"/>
      <c r="M756" s="67"/>
      <c r="N756" s="67"/>
      <c r="O756" s="67"/>
      <c r="P756" s="67"/>
      <c r="Q756" s="186"/>
      <c r="R756" s="186"/>
      <c r="S756" s="187"/>
      <c r="T756" s="187"/>
      <c r="U756" s="186"/>
      <c r="V756" s="186"/>
      <c r="W756" s="186"/>
      <c r="X756" s="186"/>
    </row>
    <row r="757">
      <c r="A757" s="185"/>
      <c r="B757" s="67"/>
      <c r="C757" s="186"/>
      <c r="D757" s="186"/>
      <c r="E757" s="186"/>
      <c r="F757" s="186"/>
      <c r="G757" s="186"/>
      <c r="H757" s="186"/>
      <c r="I757" s="186"/>
      <c r="J757" s="186"/>
      <c r="K757" s="186"/>
      <c r="L757" s="186"/>
      <c r="M757" s="67"/>
      <c r="N757" s="67"/>
      <c r="O757" s="67"/>
      <c r="P757" s="67"/>
      <c r="Q757" s="186"/>
      <c r="R757" s="186"/>
      <c r="S757" s="187"/>
      <c r="T757" s="187"/>
      <c r="U757" s="186"/>
      <c r="V757" s="186"/>
      <c r="W757" s="186"/>
      <c r="X757" s="186"/>
    </row>
    <row r="758">
      <c r="A758" s="185"/>
      <c r="B758" s="67"/>
      <c r="C758" s="186"/>
      <c r="D758" s="186"/>
      <c r="E758" s="186"/>
      <c r="F758" s="186"/>
      <c r="G758" s="186"/>
      <c r="H758" s="186"/>
      <c r="I758" s="186"/>
      <c r="J758" s="186"/>
      <c r="K758" s="186"/>
      <c r="L758" s="186"/>
      <c r="M758" s="67"/>
      <c r="N758" s="67"/>
      <c r="O758" s="67"/>
      <c r="P758" s="67"/>
      <c r="Q758" s="186"/>
      <c r="R758" s="186"/>
      <c r="S758" s="187"/>
      <c r="T758" s="187"/>
      <c r="U758" s="186"/>
      <c r="V758" s="186"/>
      <c r="W758" s="186"/>
      <c r="X758" s="186"/>
    </row>
    <row r="759">
      <c r="A759" s="185"/>
      <c r="B759" s="67"/>
      <c r="C759" s="186"/>
      <c r="D759" s="186"/>
      <c r="E759" s="186"/>
      <c r="F759" s="186"/>
      <c r="G759" s="186"/>
      <c r="H759" s="186"/>
      <c r="I759" s="186"/>
      <c r="J759" s="186"/>
      <c r="K759" s="186"/>
      <c r="L759" s="186"/>
      <c r="M759" s="67"/>
      <c r="N759" s="67"/>
      <c r="O759" s="67"/>
      <c r="P759" s="67"/>
      <c r="Q759" s="186"/>
      <c r="R759" s="186"/>
      <c r="S759" s="187"/>
      <c r="T759" s="187"/>
      <c r="U759" s="186"/>
      <c r="V759" s="186"/>
      <c r="W759" s="186"/>
      <c r="X759" s="186"/>
    </row>
    <row r="760">
      <c r="A760" s="185"/>
      <c r="B760" s="67"/>
      <c r="C760" s="186"/>
      <c r="D760" s="186"/>
      <c r="E760" s="186"/>
      <c r="F760" s="186"/>
      <c r="G760" s="186"/>
      <c r="H760" s="186"/>
      <c r="I760" s="186"/>
      <c r="J760" s="186"/>
      <c r="K760" s="186"/>
      <c r="L760" s="186"/>
      <c r="M760" s="67"/>
      <c r="N760" s="67"/>
      <c r="O760" s="67"/>
      <c r="P760" s="67"/>
      <c r="Q760" s="186"/>
      <c r="R760" s="186"/>
      <c r="S760" s="187"/>
      <c r="T760" s="187"/>
      <c r="U760" s="186"/>
      <c r="V760" s="186"/>
      <c r="W760" s="186"/>
      <c r="X760" s="186"/>
    </row>
    <row r="761">
      <c r="A761" s="185"/>
      <c r="B761" s="67"/>
      <c r="C761" s="186"/>
      <c r="D761" s="186"/>
      <c r="E761" s="186"/>
      <c r="F761" s="186"/>
      <c r="G761" s="186"/>
      <c r="H761" s="186"/>
      <c r="I761" s="186"/>
      <c r="J761" s="186"/>
      <c r="K761" s="186"/>
      <c r="L761" s="186"/>
      <c r="M761" s="67"/>
      <c r="N761" s="67"/>
      <c r="O761" s="67"/>
      <c r="P761" s="67"/>
      <c r="Q761" s="186"/>
      <c r="R761" s="186"/>
      <c r="S761" s="187"/>
      <c r="T761" s="187"/>
      <c r="U761" s="186"/>
      <c r="V761" s="186"/>
      <c r="W761" s="186"/>
      <c r="X761" s="186"/>
    </row>
    <row r="762">
      <c r="A762" s="185"/>
      <c r="B762" s="67"/>
      <c r="C762" s="186"/>
      <c r="D762" s="186"/>
      <c r="E762" s="186"/>
      <c r="F762" s="186"/>
      <c r="G762" s="186"/>
      <c r="H762" s="186"/>
      <c r="I762" s="186"/>
      <c r="J762" s="186"/>
      <c r="K762" s="186"/>
      <c r="L762" s="186"/>
      <c r="M762" s="67"/>
      <c r="N762" s="67"/>
      <c r="O762" s="67"/>
      <c r="P762" s="67"/>
      <c r="Q762" s="186"/>
      <c r="R762" s="186"/>
      <c r="S762" s="187"/>
      <c r="T762" s="187"/>
      <c r="U762" s="186"/>
      <c r="V762" s="186"/>
      <c r="W762" s="186"/>
      <c r="X762" s="186"/>
    </row>
    <row r="763">
      <c r="A763" s="185"/>
      <c r="B763" s="67"/>
      <c r="C763" s="186"/>
      <c r="D763" s="186"/>
      <c r="E763" s="186"/>
      <c r="F763" s="186"/>
      <c r="G763" s="186"/>
      <c r="H763" s="186"/>
      <c r="I763" s="186"/>
      <c r="J763" s="186"/>
      <c r="K763" s="186"/>
      <c r="L763" s="186"/>
      <c r="M763" s="67"/>
      <c r="N763" s="67"/>
      <c r="O763" s="67"/>
      <c r="P763" s="67"/>
      <c r="Q763" s="186"/>
      <c r="R763" s="186"/>
      <c r="S763" s="187"/>
      <c r="T763" s="187"/>
      <c r="U763" s="186"/>
      <c r="V763" s="186"/>
      <c r="W763" s="186"/>
      <c r="X763" s="186"/>
    </row>
    <row r="764">
      <c r="A764" s="185"/>
      <c r="B764" s="67"/>
      <c r="C764" s="186"/>
      <c r="D764" s="186"/>
      <c r="E764" s="186"/>
      <c r="F764" s="186"/>
      <c r="G764" s="186"/>
      <c r="H764" s="186"/>
      <c r="I764" s="186"/>
      <c r="J764" s="186"/>
      <c r="K764" s="186"/>
      <c r="L764" s="186"/>
      <c r="M764" s="67"/>
      <c r="N764" s="67"/>
      <c r="O764" s="67"/>
      <c r="P764" s="67"/>
      <c r="Q764" s="186"/>
      <c r="R764" s="186"/>
      <c r="S764" s="187"/>
      <c r="T764" s="187"/>
      <c r="U764" s="186"/>
      <c r="V764" s="186"/>
      <c r="W764" s="186"/>
      <c r="X764" s="186"/>
    </row>
    <row r="765">
      <c r="A765" s="185"/>
      <c r="B765" s="67"/>
      <c r="C765" s="186"/>
      <c r="D765" s="186"/>
      <c r="E765" s="186"/>
      <c r="F765" s="186"/>
      <c r="G765" s="186"/>
      <c r="H765" s="186"/>
      <c r="I765" s="186"/>
      <c r="J765" s="186"/>
      <c r="K765" s="186"/>
      <c r="L765" s="186"/>
      <c r="M765" s="67"/>
      <c r="N765" s="67"/>
      <c r="O765" s="67"/>
      <c r="P765" s="67"/>
      <c r="Q765" s="186"/>
      <c r="R765" s="186"/>
      <c r="S765" s="187"/>
      <c r="T765" s="187"/>
      <c r="U765" s="186"/>
      <c r="V765" s="186"/>
      <c r="W765" s="186"/>
      <c r="X765" s="186"/>
    </row>
    <row r="766">
      <c r="A766" s="185"/>
      <c r="B766" s="67"/>
      <c r="C766" s="186"/>
      <c r="D766" s="186"/>
      <c r="E766" s="186"/>
      <c r="F766" s="186"/>
      <c r="G766" s="186"/>
      <c r="H766" s="186"/>
      <c r="I766" s="186"/>
      <c r="J766" s="186"/>
      <c r="K766" s="186"/>
      <c r="L766" s="186"/>
      <c r="M766" s="67"/>
      <c r="N766" s="67"/>
      <c r="O766" s="67"/>
      <c r="P766" s="67"/>
      <c r="Q766" s="186"/>
      <c r="R766" s="186"/>
      <c r="S766" s="187"/>
      <c r="T766" s="187"/>
      <c r="U766" s="186"/>
      <c r="V766" s="186"/>
      <c r="W766" s="186"/>
      <c r="X766" s="186"/>
    </row>
    <row r="767">
      <c r="A767" s="185"/>
      <c r="B767" s="67"/>
      <c r="C767" s="186"/>
      <c r="D767" s="186"/>
      <c r="E767" s="186"/>
      <c r="F767" s="186"/>
      <c r="G767" s="186"/>
      <c r="H767" s="186"/>
      <c r="I767" s="186"/>
      <c r="J767" s="186"/>
      <c r="K767" s="186"/>
      <c r="L767" s="186"/>
      <c r="M767" s="67"/>
      <c r="N767" s="67"/>
      <c r="O767" s="67"/>
      <c r="P767" s="67"/>
      <c r="Q767" s="186"/>
      <c r="R767" s="186"/>
      <c r="S767" s="187"/>
      <c r="T767" s="187"/>
      <c r="U767" s="186"/>
      <c r="V767" s="186"/>
      <c r="W767" s="186"/>
      <c r="X767" s="186"/>
    </row>
    <row r="768">
      <c r="A768" s="185"/>
      <c r="B768" s="67"/>
      <c r="C768" s="186"/>
      <c r="D768" s="186"/>
      <c r="E768" s="186"/>
      <c r="F768" s="186"/>
      <c r="G768" s="186"/>
      <c r="H768" s="186"/>
      <c r="I768" s="186"/>
      <c r="J768" s="186"/>
      <c r="K768" s="186"/>
      <c r="L768" s="186"/>
      <c r="M768" s="67"/>
      <c r="N768" s="67"/>
      <c r="O768" s="67"/>
      <c r="P768" s="67"/>
      <c r="Q768" s="186"/>
      <c r="R768" s="186"/>
      <c r="S768" s="187"/>
      <c r="T768" s="187"/>
      <c r="U768" s="186"/>
      <c r="V768" s="186"/>
      <c r="W768" s="186"/>
      <c r="X768" s="186"/>
    </row>
    <row r="769">
      <c r="A769" s="185"/>
      <c r="B769" s="67"/>
      <c r="C769" s="186"/>
      <c r="D769" s="186"/>
      <c r="E769" s="186"/>
      <c r="F769" s="186"/>
      <c r="G769" s="186"/>
      <c r="H769" s="186"/>
      <c r="I769" s="186"/>
      <c r="J769" s="186"/>
      <c r="K769" s="186"/>
      <c r="L769" s="186"/>
      <c r="M769" s="67"/>
      <c r="N769" s="67"/>
      <c r="O769" s="67"/>
      <c r="P769" s="67"/>
      <c r="Q769" s="186"/>
      <c r="R769" s="186"/>
      <c r="S769" s="187"/>
      <c r="T769" s="187"/>
      <c r="U769" s="186"/>
      <c r="V769" s="186"/>
      <c r="W769" s="186"/>
      <c r="X769" s="186"/>
    </row>
    <row r="770">
      <c r="A770" s="185"/>
      <c r="B770" s="67"/>
      <c r="C770" s="186"/>
      <c r="D770" s="186"/>
      <c r="E770" s="186"/>
      <c r="F770" s="186"/>
      <c r="G770" s="186"/>
      <c r="H770" s="186"/>
      <c r="I770" s="186"/>
      <c r="J770" s="186"/>
      <c r="K770" s="186"/>
      <c r="L770" s="186"/>
      <c r="M770" s="67"/>
      <c r="N770" s="67"/>
      <c r="O770" s="67"/>
      <c r="P770" s="67"/>
      <c r="Q770" s="186"/>
      <c r="R770" s="186"/>
      <c r="S770" s="187"/>
      <c r="T770" s="187"/>
      <c r="U770" s="186"/>
      <c r="V770" s="186"/>
      <c r="W770" s="186"/>
      <c r="X770" s="186"/>
    </row>
    <row r="771">
      <c r="A771" s="185"/>
      <c r="B771" s="67"/>
      <c r="C771" s="186"/>
      <c r="D771" s="186"/>
      <c r="E771" s="186"/>
      <c r="F771" s="186"/>
      <c r="G771" s="186"/>
      <c r="H771" s="186"/>
      <c r="I771" s="186"/>
      <c r="J771" s="186"/>
      <c r="K771" s="186"/>
      <c r="L771" s="186"/>
      <c r="M771" s="67"/>
      <c r="N771" s="67"/>
      <c r="O771" s="67"/>
      <c r="P771" s="67"/>
      <c r="Q771" s="186"/>
      <c r="R771" s="186"/>
      <c r="S771" s="187"/>
      <c r="T771" s="187"/>
      <c r="U771" s="186"/>
      <c r="V771" s="186"/>
      <c r="W771" s="186"/>
      <c r="X771" s="186"/>
    </row>
    <row r="772">
      <c r="A772" s="185"/>
      <c r="B772" s="67"/>
      <c r="C772" s="186"/>
      <c r="D772" s="186"/>
      <c r="E772" s="186"/>
      <c r="F772" s="186"/>
      <c r="G772" s="186"/>
      <c r="H772" s="186"/>
      <c r="I772" s="186"/>
      <c r="J772" s="186"/>
      <c r="K772" s="186"/>
      <c r="L772" s="186"/>
      <c r="M772" s="67"/>
      <c r="N772" s="67"/>
      <c r="O772" s="67"/>
      <c r="P772" s="67"/>
      <c r="Q772" s="186"/>
      <c r="R772" s="186"/>
      <c r="S772" s="187"/>
      <c r="T772" s="187"/>
      <c r="U772" s="186"/>
      <c r="V772" s="186"/>
      <c r="W772" s="186"/>
      <c r="X772" s="186"/>
    </row>
    <row r="773">
      <c r="A773" s="185"/>
      <c r="B773" s="67"/>
      <c r="C773" s="186"/>
      <c r="D773" s="186"/>
      <c r="E773" s="186"/>
      <c r="F773" s="186"/>
      <c r="G773" s="186"/>
      <c r="H773" s="186"/>
      <c r="I773" s="186"/>
      <c r="J773" s="186"/>
      <c r="K773" s="186"/>
      <c r="L773" s="186"/>
      <c r="M773" s="67"/>
      <c r="N773" s="67"/>
      <c r="O773" s="67"/>
      <c r="P773" s="67"/>
      <c r="Q773" s="186"/>
      <c r="R773" s="186"/>
      <c r="S773" s="187"/>
      <c r="T773" s="187"/>
      <c r="U773" s="186"/>
      <c r="V773" s="186"/>
      <c r="W773" s="186"/>
      <c r="X773" s="186"/>
    </row>
    <row r="774">
      <c r="A774" s="185"/>
      <c r="B774" s="67"/>
      <c r="C774" s="186"/>
      <c r="D774" s="186"/>
      <c r="E774" s="186"/>
      <c r="F774" s="186"/>
      <c r="G774" s="186"/>
      <c r="H774" s="186"/>
      <c r="I774" s="186"/>
      <c r="J774" s="186"/>
      <c r="K774" s="186"/>
      <c r="L774" s="186"/>
      <c r="M774" s="67"/>
      <c r="N774" s="67"/>
      <c r="O774" s="67"/>
      <c r="P774" s="67"/>
      <c r="Q774" s="186"/>
      <c r="R774" s="186"/>
      <c r="S774" s="187"/>
      <c r="T774" s="187"/>
      <c r="U774" s="186"/>
      <c r="V774" s="186"/>
      <c r="W774" s="186"/>
      <c r="X774" s="186"/>
    </row>
    <row r="775">
      <c r="A775" s="185"/>
      <c r="B775" s="67"/>
      <c r="C775" s="186"/>
      <c r="D775" s="186"/>
      <c r="E775" s="186"/>
      <c r="F775" s="186"/>
      <c r="G775" s="186"/>
      <c r="H775" s="186"/>
      <c r="I775" s="186"/>
      <c r="J775" s="186"/>
      <c r="K775" s="186"/>
      <c r="L775" s="186"/>
      <c r="M775" s="67"/>
      <c r="N775" s="67"/>
      <c r="O775" s="67"/>
      <c r="P775" s="67"/>
      <c r="Q775" s="186"/>
      <c r="R775" s="186"/>
      <c r="S775" s="187"/>
      <c r="T775" s="187"/>
      <c r="U775" s="186"/>
      <c r="V775" s="186"/>
      <c r="W775" s="186"/>
      <c r="X775" s="186"/>
    </row>
    <row r="776">
      <c r="A776" s="185"/>
      <c r="B776" s="67"/>
      <c r="C776" s="186"/>
      <c r="D776" s="186"/>
      <c r="E776" s="186"/>
      <c r="F776" s="186"/>
      <c r="G776" s="186"/>
      <c r="H776" s="186"/>
      <c r="I776" s="186"/>
      <c r="J776" s="186"/>
      <c r="K776" s="186"/>
      <c r="L776" s="186"/>
      <c r="M776" s="67"/>
      <c r="N776" s="67"/>
      <c r="O776" s="67"/>
      <c r="P776" s="67"/>
      <c r="Q776" s="186"/>
      <c r="R776" s="186"/>
      <c r="S776" s="187"/>
      <c r="T776" s="187"/>
      <c r="U776" s="186"/>
      <c r="V776" s="186"/>
      <c r="W776" s="186"/>
      <c r="X776" s="186"/>
    </row>
    <row r="777">
      <c r="A777" s="185"/>
      <c r="B777" s="67"/>
      <c r="C777" s="186"/>
      <c r="D777" s="186"/>
      <c r="E777" s="186"/>
      <c r="F777" s="186"/>
      <c r="G777" s="186"/>
      <c r="H777" s="186"/>
      <c r="I777" s="186"/>
      <c r="J777" s="186"/>
      <c r="K777" s="186"/>
      <c r="L777" s="186"/>
      <c r="M777" s="67"/>
      <c r="N777" s="67"/>
      <c r="O777" s="67"/>
      <c r="P777" s="67"/>
      <c r="Q777" s="186"/>
      <c r="R777" s="186"/>
      <c r="S777" s="187"/>
      <c r="T777" s="187"/>
      <c r="U777" s="186"/>
      <c r="V777" s="186"/>
      <c r="W777" s="186"/>
      <c r="X777" s="186"/>
    </row>
    <row r="778">
      <c r="A778" s="185"/>
      <c r="B778" s="67"/>
      <c r="C778" s="186"/>
      <c r="D778" s="186"/>
      <c r="E778" s="186"/>
      <c r="F778" s="186"/>
      <c r="G778" s="186"/>
      <c r="H778" s="186"/>
      <c r="I778" s="186"/>
      <c r="J778" s="186"/>
      <c r="K778" s="186"/>
      <c r="L778" s="186"/>
      <c r="M778" s="67"/>
      <c r="N778" s="67"/>
      <c r="O778" s="67"/>
      <c r="P778" s="67"/>
      <c r="Q778" s="186"/>
      <c r="R778" s="186"/>
      <c r="S778" s="187"/>
      <c r="T778" s="187"/>
      <c r="U778" s="186"/>
      <c r="V778" s="186"/>
      <c r="W778" s="186"/>
      <c r="X778" s="186"/>
    </row>
    <row r="779">
      <c r="A779" s="185"/>
      <c r="B779" s="67"/>
      <c r="C779" s="186"/>
      <c r="D779" s="186"/>
      <c r="E779" s="186"/>
      <c r="F779" s="186"/>
      <c r="G779" s="186"/>
      <c r="H779" s="186"/>
      <c r="I779" s="186"/>
      <c r="J779" s="186"/>
      <c r="K779" s="186"/>
      <c r="L779" s="186"/>
      <c r="M779" s="67"/>
      <c r="N779" s="67"/>
      <c r="O779" s="67"/>
      <c r="P779" s="67"/>
      <c r="Q779" s="186"/>
      <c r="R779" s="186"/>
      <c r="S779" s="187"/>
      <c r="T779" s="187"/>
      <c r="U779" s="186"/>
      <c r="V779" s="186"/>
      <c r="W779" s="186"/>
      <c r="X779" s="186"/>
    </row>
    <row r="780">
      <c r="A780" s="185"/>
      <c r="B780" s="67"/>
      <c r="C780" s="186"/>
      <c r="D780" s="186"/>
      <c r="E780" s="186"/>
      <c r="F780" s="186"/>
      <c r="G780" s="186"/>
      <c r="H780" s="186"/>
      <c r="I780" s="186"/>
      <c r="J780" s="186"/>
      <c r="K780" s="186"/>
      <c r="L780" s="186"/>
      <c r="M780" s="67"/>
      <c r="N780" s="67"/>
      <c r="O780" s="67"/>
      <c r="P780" s="67"/>
      <c r="Q780" s="186"/>
      <c r="R780" s="186"/>
      <c r="S780" s="187"/>
      <c r="T780" s="187"/>
      <c r="U780" s="186"/>
      <c r="V780" s="186"/>
      <c r="W780" s="186"/>
      <c r="X780" s="186"/>
    </row>
    <row r="781">
      <c r="A781" s="185"/>
      <c r="B781" s="67"/>
      <c r="C781" s="186"/>
      <c r="D781" s="186"/>
      <c r="E781" s="186"/>
      <c r="F781" s="186"/>
      <c r="G781" s="186"/>
      <c r="H781" s="186"/>
      <c r="I781" s="186"/>
      <c r="J781" s="186"/>
      <c r="K781" s="186"/>
      <c r="L781" s="186"/>
      <c r="M781" s="67"/>
      <c r="N781" s="67"/>
      <c r="O781" s="67"/>
      <c r="P781" s="67"/>
      <c r="Q781" s="186"/>
      <c r="R781" s="186"/>
      <c r="S781" s="187"/>
      <c r="T781" s="187"/>
      <c r="U781" s="186"/>
      <c r="V781" s="186"/>
      <c r="W781" s="186"/>
      <c r="X781" s="186"/>
    </row>
    <row r="782">
      <c r="A782" s="185"/>
      <c r="B782" s="67"/>
      <c r="C782" s="186"/>
      <c r="D782" s="186"/>
      <c r="E782" s="186"/>
      <c r="F782" s="186"/>
      <c r="G782" s="186"/>
      <c r="H782" s="186"/>
      <c r="I782" s="186"/>
      <c r="J782" s="186"/>
      <c r="K782" s="186"/>
      <c r="L782" s="186"/>
      <c r="M782" s="67"/>
      <c r="N782" s="67"/>
      <c r="O782" s="67"/>
      <c r="P782" s="67"/>
      <c r="Q782" s="186"/>
      <c r="R782" s="186"/>
      <c r="S782" s="187"/>
      <c r="T782" s="187"/>
      <c r="U782" s="186"/>
      <c r="V782" s="186"/>
      <c r="W782" s="186"/>
      <c r="X782" s="186"/>
    </row>
    <row r="783">
      <c r="A783" s="185"/>
      <c r="B783" s="67"/>
      <c r="C783" s="186"/>
      <c r="D783" s="186"/>
      <c r="E783" s="186"/>
      <c r="F783" s="186"/>
      <c r="G783" s="186"/>
      <c r="H783" s="186"/>
      <c r="I783" s="186"/>
      <c r="J783" s="186"/>
      <c r="K783" s="186"/>
      <c r="L783" s="186"/>
      <c r="M783" s="67"/>
      <c r="N783" s="67"/>
      <c r="O783" s="67"/>
      <c r="P783" s="67"/>
      <c r="Q783" s="186"/>
      <c r="R783" s="186"/>
      <c r="S783" s="187"/>
      <c r="T783" s="187"/>
      <c r="U783" s="186"/>
      <c r="V783" s="186"/>
      <c r="W783" s="186"/>
      <c r="X783" s="186"/>
    </row>
    <row r="784">
      <c r="A784" s="185"/>
      <c r="B784" s="67"/>
      <c r="C784" s="186"/>
      <c r="D784" s="186"/>
      <c r="E784" s="186"/>
      <c r="F784" s="186"/>
      <c r="G784" s="186"/>
      <c r="H784" s="186"/>
      <c r="I784" s="186"/>
      <c r="J784" s="186"/>
      <c r="K784" s="186"/>
      <c r="L784" s="186"/>
      <c r="M784" s="67"/>
      <c r="N784" s="67"/>
      <c r="O784" s="67"/>
      <c r="P784" s="67"/>
      <c r="Q784" s="186"/>
      <c r="R784" s="186"/>
      <c r="S784" s="187"/>
      <c r="T784" s="187"/>
      <c r="U784" s="186"/>
      <c r="V784" s="186"/>
      <c r="W784" s="186"/>
      <c r="X784" s="186"/>
    </row>
    <row r="785">
      <c r="A785" s="185"/>
      <c r="B785" s="67"/>
      <c r="C785" s="186"/>
      <c r="D785" s="186"/>
      <c r="E785" s="186"/>
      <c r="F785" s="186"/>
      <c r="G785" s="186"/>
      <c r="H785" s="186"/>
      <c r="I785" s="186"/>
      <c r="J785" s="186"/>
      <c r="K785" s="186"/>
      <c r="L785" s="186"/>
      <c r="M785" s="67"/>
      <c r="N785" s="67"/>
      <c r="O785" s="67"/>
      <c r="P785" s="67"/>
      <c r="Q785" s="186"/>
      <c r="R785" s="186"/>
      <c r="S785" s="187"/>
      <c r="T785" s="187"/>
      <c r="U785" s="186"/>
      <c r="V785" s="186"/>
      <c r="W785" s="186"/>
      <c r="X785" s="186"/>
    </row>
    <row r="786">
      <c r="A786" s="185"/>
      <c r="B786" s="67"/>
      <c r="C786" s="186"/>
      <c r="D786" s="186"/>
      <c r="E786" s="186"/>
      <c r="F786" s="186"/>
      <c r="G786" s="186"/>
      <c r="H786" s="186"/>
      <c r="I786" s="186"/>
      <c r="J786" s="186"/>
      <c r="K786" s="186"/>
      <c r="L786" s="186"/>
      <c r="M786" s="67"/>
      <c r="N786" s="67"/>
      <c r="O786" s="67"/>
      <c r="P786" s="67"/>
      <c r="Q786" s="186"/>
      <c r="R786" s="186"/>
      <c r="S786" s="187"/>
      <c r="T786" s="187"/>
      <c r="U786" s="186"/>
      <c r="V786" s="186"/>
      <c r="W786" s="186"/>
      <c r="X786" s="186"/>
    </row>
    <row r="787">
      <c r="A787" s="185"/>
      <c r="B787" s="67"/>
      <c r="C787" s="186"/>
      <c r="D787" s="186"/>
      <c r="E787" s="186"/>
      <c r="F787" s="186"/>
      <c r="G787" s="186"/>
      <c r="H787" s="186"/>
      <c r="I787" s="186"/>
      <c r="J787" s="186"/>
      <c r="K787" s="186"/>
      <c r="L787" s="186"/>
      <c r="M787" s="67"/>
      <c r="N787" s="67"/>
      <c r="O787" s="67"/>
      <c r="P787" s="67"/>
      <c r="Q787" s="186"/>
      <c r="R787" s="186"/>
      <c r="S787" s="187"/>
      <c r="T787" s="187"/>
      <c r="U787" s="186"/>
      <c r="V787" s="186"/>
      <c r="W787" s="186"/>
      <c r="X787" s="186"/>
    </row>
    <row r="788">
      <c r="A788" s="185"/>
      <c r="B788" s="67"/>
      <c r="C788" s="186"/>
      <c r="D788" s="186"/>
      <c r="E788" s="186"/>
      <c r="F788" s="186"/>
      <c r="G788" s="186"/>
      <c r="H788" s="186"/>
      <c r="I788" s="186"/>
      <c r="J788" s="186"/>
      <c r="K788" s="186"/>
      <c r="L788" s="186"/>
      <c r="M788" s="67"/>
      <c r="N788" s="67"/>
      <c r="O788" s="67"/>
      <c r="P788" s="67"/>
      <c r="Q788" s="186"/>
      <c r="R788" s="186"/>
      <c r="S788" s="187"/>
      <c r="T788" s="187"/>
      <c r="U788" s="186"/>
      <c r="V788" s="186"/>
      <c r="W788" s="186"/>
      <c r="X788" s="186"/>
    </row>
    <row r="789">
      <c r="A789" s="185"/>
      <c r="B789" s="67"/>
      <c r="C789" s="186"/>
      <c r="D789" s="186"/>
      <c r="E789" s="186"/>
      <c r="F789" s="186"/>
      <c r="G789" s="186"/>
      <c r="H789" s="186"/>
      <c r="I789" s="186"/>
      <c r="J789" s="186"/>
      <c r="K789" s="186"/>
      <c r="L789" s="186"/>
      <c r="M789" s="67"/>
      <c r="N789" s="67"/>
      <c r="O789" s="67"/>
      <c r="P789" s="67"/>
      <c r="Q789" s="186"/>
      <c r="R789" s="186"/>
      <c r="S789" s="187"/>
      <c r="T789" s="187"/>
      <c r="U789" s="186"/>
      <c r="V789" s="186"/>
      <c r="W789" s="186"/>
      <c r="X789" s="186"/>
    </row>
    <row r="790">
      <c r="A790" s="185"/>
      <c r="B790" s="67"/>
      <c r="C790" s="186"/>
      <c r="D790" s="186"/>
      <c r="E790" s="186"/>
      <c r="F790" s="186"/>
      <c r="G790" s="186"/>
      <c r="H790" s="186"/>
      <c r="I790" s="186"/>
      <c r="J790" s="186"/>
      <c r="K790" s="186"/>
      <c r="L790" s="186"/>
      <c r="M790" s="67"/>
      <c r="N790" s="67"/>
      <c r="O790" s="67"/>
      <c r="P790" s="67"/>
      <c r="Q790" s="186"/>
      <c r="R790" s="186"/>
      <c r="S790" s="187"/>
      <c r="T790" s="187"/>
      <c r="U790" s="186"/>
      <c r="V790" s="186"/>
      <c r="W790" s="186"/>
      <c r="X790" s="186"/>
    </row>
    <row r="791">
      <c r="A791" s="185"/>
      <c r="B791" s="67"/>
      <c r="C791" s="186"/>
      <c r="D791" s="186"/>
      <c r="E791" s="186"/>
      <c r="F791" s="186"/>
      <c r="G791" s="186"/>
      <c r="H791" s="186"/>
      <c r="I791" s="186"/>
      <c r="J791" s="186"/>
      <c r="K791" s="186"/>
      <c r="L791" s="186"/>
      <c r="M791" s="67"/>
      <c r="N791" s="67"/>
      <c r="O791" s="67"/>
      <c r="P791" s="67"/>
      <c r="Q791" s="186"/>
      <c r="R791" s="186"/>
      <c r="S791" s="187"/>
      <c r="T791" s="187"/>
      <c r="U791" s="186"/>
      <c r="V791" s="186"/>
      <c r="W791" s="186"/>
      <c r="X791" s="186"/>
    </row>
    <row r="792">
      <c r="A792" s="185"/>
      <c r="B792" s="67"/>
      <c r="C792" s="186"/>
      <c r="D792" s="186"/>
      <c r="E792" s="186"/>
      <c r="F792" s="186"/>
      <c r="G792" s="186"/>
      <c r="H792" s="186"/>
      <c r="I792" s="186"/>
      <c r="J792" s="186"/>
      <c r="K792" s="186"/>
      <c r="L792" s="186"/>
      <c r="M792" s="67"/>
      <c r="N792" s="67"/>
      <c r="O792" s="67"/>
      <c r="P792" s="67"/>
      <c r="Q792" s="186"/>
      <c r="R792" s="186"/>
      <c r="S792" s="187"/>
      <c r="T792" s="187"/>
      <c r="U792" s="186"/>
      <c r="V792" s="186"/>
      <c r="W792" s="186"/>
      <c r="X792" s="186"/>
    </row>
    <row r="793">
      <c r="A793" s="185"/>
      <c r="B793" s="67"/>
      <c r="C793" s="186"/>
      <c r="D793" s="186"/>
      <c r="E793" s="186"/>
      <c r="F793" s="186"/>
      <c r="G793" s="186"/>
      <c r="H793" s="186"/>
      <c r="I793" s="186"/>
      <c r="J793" s="186"/>
      <c r="K793" s="186"/>
      <c r="L793" s="186"/>
      <c r="M793" s="67"/>
      <c r="N793" s="67"/>
      <c r="O793" s="67"/>
      <c r="P793" s="67"/>
      <c r="Q793" s="186"/>
      <c r="R793" s="186"/>
      <c r="S793" s="187"/>
      <c r="T793" s="187"/>
      <c r="U793" s="186"/>
      <c r="V793" s="186"/>
      <c r="W793" s="186"/>
      <c r="X793" s="186"/>
    </row>
    <row r="794">
      <c r="A794" s="185"/>
      <c r="B794" s="67"/>
      <c r="C794" s="186"/>
      <c r="D794" s="186"/>
      <c r="E794" s="186"/>
      <c r="F794" s="186"/>
      <c r="G794" s="186"/>
      <c r="H794" s="186"/>
      <c r="I794" s="186"/>
      <c r="J794" s="186"/>
      <c r="K794" s="186"/>
      <c r="L794" s="186"/>
      <c r="M794" s="67"/>
      <c r="N794" s="67"/>
      <c r="O794" s="67"/>
      <c r="P794" s="67"/>
      <c r="Q794" s="186"/>
      <c r="R794" s="186"/>
      <c r="S794" s="187"/>
      <c r="T794" s="187"/>
      <c r="U794" s="186"/>
      <c r="V794" s="186"/>
      <c r="W794" s="186"/>
      <c r="X794" s="186"/>
    </row>
    <row r="795">
      <c r="A795" s="185"/>
      <c r="B795" s="67"/>
      <c r="C795" s="186"/>
      <c r="D795" s="186"/>
      <c r="E795" s="186"/>
      <c r="F795" s="186"/>
      <c r="G795" s="186"/>
      <c r="H795" s="186"/>
      <c r="I795" s="186"/>
      <c r="J795" s="186"/>
      <c r="K795" s="186"/>
      <c r="L795" s="186"/>
      <c r="M795" s="67"/>
      <c r="N795" s="67"/>
      <c r="O795" s="67"/>
      <c r="P795" s="67"/>
      <c r="Q795" s="186"/>
      <c r="R795" s="186"/>
      <c r="S795" s="187"/>
      <c r="T795" s="187"/>
      <c r="U795" s="186"/>
      <c r="V795" s="186"/>
      <c r="W795" s="186"/>
      <c r="X795" s="186"/>
    </row>
    <row r="796">
      <c r="A796" s="185"/>
      <c r="B796" s="67"/>
      <c r="C796" s="186"/>
      <c r="D796" s="186"/>
      <c r="E796" s="186"/>
      <c r="F796" s="186"/>
      <c r="G796" s="186"/>
      <c r="H796" s="186"/>
      <c r="I796" s="186"/>
      <c r="J796" s="186"/>
      <c r="K796" s="186"/>
      <c r="L796" s="186"/>
      <c r="M796" s="67"/>
      <c r="N796" s="67"/>
      <c r="O796" s="67"/>
      <c r="P796" s="67"/>
      <c r="Q796" s="186"/>
      <c r="R796" s="186"/>
      <c r="S796" s="187"/>
      <c r="T796" s="187"/>
      <c r="U796" s="186"/>
      <c r="V796" s="186"/>
      <c r="W796" s="186"/>
      <c r="X796" s="186"/>
    </row>
    <row r="797">
      <c r="A797" s="185"/>
      <c r="B797" s="67"/>
      <c r="C797" s="186"/>
      <c r="D797" s="186"/>
      <c r="E797" s="186"/>
      <c r="F797" s="186"/>
      <c r="G797" s="186"/>
      <c r="H797" s="186"/>
      <c r="I797" s="186"/>
      <c r="J797" s="186"/>
      <c r="K797" s="186"/>
      <c r="L797" s="186"/>
      <c r="M797" s="67"/>
      <c r="N797" s="67"/>
      <c r="O797" s="67"/>
      <c r="P797" s="67"/>
      <c r="Q797" s="186"/>
      <c r="R797" s="186"/>
      <c r="S797" s="187"/>
      <c r="T797" s="187"/>
      <c r="U797" s="186"/>
      <c r="V797" s="186"/>
      <c r="W797" s="186"/>
      <c r="X797" s="186"/>
    </row>
    <row r="798">
      <c r="A798" s="185"/>
      <c r="B798" s="67"/>
      <c r="C798" s="186"/>
      <c r="D798" s="186"/>
      <c r="E798" s="186"/>
      <c r="F798" s="186"/>
      <c r="G798" s="186"/>
      <c r="H798" s="186"/>
      <c r="I798" s="186"/>
      <c r="J798" s="186"/>
      <c r="K798" s="186"/>
      <c r="L798" s="186"/>
      <c r="M798" s="67"/>
      <c r="N798" s="67"/>
      <c r="O798" s="67"/>
      <c r="P798" s="67"/>
      <c r="Q798" s="186"/>
      <c r="R798" s="186"/>
      <c r="S798" s="187"/>
      <c r="T798" s="187"/>
      <c r="U798" s="186"/>
      <c r="V798" s="186"/>
      <c r="W798" s="186"/>
      <c r="X798" s="186"/>
    </row>
    <row r="799">
      <c r="A799" s="185"/>
      <c r="B799" s="67"/>
      <c r="C799" s="186"/>
      <c r="D799" s="186"/>
      <c r="E799" s="186"/>
      <c r="F799" s="186"/>
      <c r="G799" s="186"/>
      <c r="H799" s="186"/>
      <c r="I799" s="186"/>
      <c r="J799" s="186"/>
      <c r="K799" s="186"/>
      <c r="L799" s="186"/>
      <c r="M799" s="67"/>
      <c r="N799" s="67"/>
      <c r="O799" s="67"/>
      <c r="P799" s="67"/>
      <c r="Q799" s="186"/>
      <c r="R799" s="186"/>
      <c r="S799" s="187"/>
      <c r="T799" s="187"/>
      <c r="U799" s="186"/>
      <c r="V799" s="186"/>
      <c r="W799" s="186"/>
      <c r="X799" s="186"/>
    </row>
    <row r="800">
      <c r="A800" s="185"/>
      <c r="B800" s="67"/>
      <c r="C800" s="186"/>
      <c r="D800" s="186"/>
      <c r="E800" s="186"/>
      <c r="F800" s="186"/>
      <c r="G800" s="186"/>
      <c r="H800" s="186"/>
      <c r="I800" s="186"/>
      <c r="J800" s="186"/>
      <c r="K800" s="186"/>
      <c r="L800" s="186"/>
      <c r="M800" s="67"/>
      <c r="N800" s="67"/>
      <c r="O800" s="67"/>
      <c r="P800" s="67"/>
      <c r="Q800" s="186"/>
      <c r="R800" s="186"/>
      <c r="S800" s="187"/>
      <c r="T800" s="187"/>
      <c r="U800" s="186"/>
      <c r="V800" s="186"/>
      <c r="W800" s="186"/>
      <c r="X800" s="186"/>
    </row>
    <row r="801">
      <c r="A801" s="185"/>
      <c r="B801" s="67"/>
      <c r="C801" s="186"/>
      <c r="D801" s="186"/>
      <c r="E801" s="186"/>
      <c r="F801" s="186"/>
      <c r="G801" s="186"/>
      <c r="H801" s="186"/>
      <c r="I801" s="186"/>
      <c r="J801" s="186"/>
      <c r="K801" s="186"/>
      <c r="L801" s="186"/>
      <c r="M801" s="67"/>
      <c r="N801" s="67"/>
      <c r="O801" s="67"/>
      <c r="P801" s="67"/>
      <c r="Q801" s="186"/>
      <c r="R801" s="186"/>
      <c r="S801" s="187"/>
      <c r="T801" s="187"/>
      <c r="U801" s="186"/>
      <c r="V801" s="186"/>
      <c r="W801" s="186"/>
      <c r="X801" s="186"/>
    </row>
    <row r="802">
      <c r="A802" s="185"/>
      <c r="B802" s="67"/>
      <c r="C802" s="186"/>
      <c r="D802" s="186"/>
      <c r="E802" s="186"/>
      <c r="F802" s="186"/>
      <c r="G802" s="186"/>
      <c r="H802" s="186"/>
      <c r="I802" s="186"/>
      <c r="J802" s="186"/>
      <c r="K802" s="186"/>
      <c r="L802" s="186"/>
      <c r="M802" s="67"/>
      <c r="N802" s="67"/>
      <c r="O802" s="67"/>
      <c r="P802" s="67"/>
      <c r="Q802" s="186"/>
      <c r="R802" s="186"/>
      <c r="S802" s="187"/>
      <c r="T802" s="187"/>
      <c r="U802" s="186"/>
      <c r="V802" s="186"/>
      <c r="W802" s="186"/>
      <c r="X802" s="186"/>
    </row>
    <row r="803">
      <c r="A803" s="185"/>
      <c r="B803" s="67"/>
      <c r="C803" s="186"/>
      <c r="D803" s="186"/>
      <c r="E803" s="186"/>
      <c r="F803" s="186"/>
      <c r="G803" s="186"/>
      <c r="H803" s="186"/>
      <c r="I803" s="186"/>
      <c r="J803" s="186"/>
      <c r="K803" s="186"/>
      <c r="L803" s="186"/>
      <c r="M803" s="67"/>
      <c r="N803" s="67"/>
      <c r="O803" s="67"/>
      <c r="P803" s="67"/>
      <c r="Q803" s="186"/>
      <c r="R803" s="186"/>
      <c r="S803" s="187"/>
      <c r="T803" s="187"/>
      <c r="U803" s="186"/>
      <c r="V803" s="186"/>
      <c r="W803" s="186"/>
      <c r="X803" s="186"/>
    </row>
    <row r="804">
      <c r="A804" s="185"/>
      <c r="B804" s="67"/>
      <c r="C804" s="186"/>
      <c r="D804" s="186"/>
      <c r="E804" s="186"/>
      <c r="F804" s="186"/>
      <c r="G804" s="186"/>
      <c r="H804" s="186"/>
      <c r="I804" s="186"/>
      <c r="J804" s="186"/>
      <c r="K804" s="186"/>
      <c r="L804" s="186"/>
      <c r="M804" s="67"/>
      <c r="N804" s="67"/>
      <c r="O804" s="67"/>
      <c r="P804" s="67"/>
      <c r="Q804" s="186"/>
      <c r="R804" s="186"/>
      <c r="S804" s="187"/>
      <c r="T804" s="187"/>
      <c r="U804" s="186"/>
      <c r="V804" s="186"/>
      <c r="W804" s="186"/>
      <c r="X804" s="186"/>
    </row>
    <row r="805">
      <c r="A805" s="185"/>
      <c r="B805" s="67"/>
      <c r="C805" s="186"/>
      <c r="D805" s="186"/>
      <c r="E805" s="186"/>
      <c r="F805" s="186"/>
      <c r="G805" s="186"/>
      <c r="H805" s="186"/>
      <c r="I805" s="186"/>
      <c r="J805" s="186"/>
      <c r="K805" s="186"/>
      <c r="L805" s="186"/>
      <c r="M805" s="67"/>
      <c r="N805" s="67"/>
      <c r="O805" s="67"/>
      <c r="P805" s="67"/>
      <c r="Q805" s="186"/>
      <c r="R805" s="186"/>
      <c r="S805" s="187"/>
      <c r="T805" s="187"/>
      <c r="U805" s="186"/>
      <c r="V805" s="186"/>
      <c r="W805" s="186"/>
      <c r="X805" s="186"/>
    </row>
    <row r="806">
      <c r="A806" s="185"/>
      <c r="B806" s="67"/>
      <c r="C806" s="186"/>
      <c r="D806" s="186"/>
      <c r="E806" s="186"/>
      <c r="F806" s="186"/>
      <c r="G806" s="186"/>
      <c r="H806" s="186"/>
      <c r="I806" s="186"/>
      <c r="J806" s="186"/>
      <c r="K806" s="186"/>
      <c r="L806" s="186"/>
      <c r="M806" s="67"/>
      <c r="N806" s="67"/>
      <c r="O806" s="67"/>
      <c r="P806" s="67"/>
      <c r="Q806" s="186"/>
      <c r="R806" s="186"/>
      <c r="S806" s="187"/>
      <c r="T806" s="187"/>
      <c r="U806" s="186"/>
      <c r="V806" s="186"/>
      <c r="W806" s="186"/>
      <c r="X806" s="186"/>
    </row>
    <row r="807">
      <c r="A807" s="185"/>
      <c r="B807" s="67"/>
      <c r="C807" s="186"/>
      <c r="D807" s="186"/>
      <c r="E807" s="186"/>
      <c r="F807" s="186"/>
      <c r="G807" s="186"/>
      <c r="H807" s="186"/>
      <c r="I807" s="186"/>
      <c r="J807" s="186"/>
      <c r="K807" s="186"/>
      <c r="L807" s="186"/>
      <c r="M807" s="67"/>
      <c r="N807" s="67"/>
      <c r="O807" s="67"/>
      <c r="P807" s="67"/>
      <c r="Q807" s="186"/>
      <c r="R807" s="186"/>
      <c r="S807" s="187"/>
      <c r="T807" s="187"/>
      <c r="U807" s="186"/>
      <c r="V807" s="186"/>
      <c r="W807" s="186"/>
      <c r="X807" s="186"/>
    </row>
    <row r="808">
      <c r="A808" s="185"/>
      <c r="B808" s="67"/>
      <c r="C808" s="186"/>
      <c r="D808" s="186"/>
      <c r="E808" s="186"/>
      <c r="F808" s="186"/>
      <c r="G808" s="186"/>
      <c r="H808" s="186"/>
      <c r="I808" s="186"/>
      <c r="J808" s="186"/>
      <c r="K808" s="186"/>
      <c r="L808" s="186"/>
      <c r="M808" s="67"/>
      <c r="N808" s="67"/>
      <c r="O808" s="67"/>
      <c r="P808" s="67"/>
      <c r="Q808" s="186"/>
      <c r="R808" s="186"/>
      <c r="S808" s="187"/>
      <c r="T808" s="187"/>
      <c r="U808" s="186"/>
      <c r="V808" s="186"/>
      <c r="W808" s="186"/>
      <c r="X808" s="186"/>
    </row>
    <row r="809">
      <c r="A809" s="185"/>
      <c r="B809" s="67"/>
      <c r="C809" s="186"/>
      <c r="D809" s="186"/>
      <c r="E809" s="186"/>
      <c r="F809" s="186"/>
      <c r="G809" s="186"/>
      <c r="H809" s="186"/>
      <c r="I809" s="186"/>
      <c r="J809" s="186"/>
      <c r="K809" s="186"/>
      <c r="L809" s="186"/>
      <c r="M809" s="67"/>
      <c r="N809" s="67"/>
      <c r="O809" s="67"/>
      <c r="P809" s="67"/>
      <c r="Q809" s="186"/>
      <c r="R809" s="186"/>
      <c r="S809" s="187"/>
      <c r="T809" s="187"/>
      <c r="U809" s="186"/>
      <c r="V809" s="186"/>
      <c r="W809" s="186"/>
      <c r="X809" s="186"/>
    </row>
    <row r="810">
      <c r="A810" s="185"/>
      <c r="B810" s="67"/>
      <c r="C810" s="186"/>
      <c r="D810" s="186"/>
      <c r="E810" s="186"/>
      <c r="F810" s="186"/>
      <c r="G810" s="186"/>
      <c r="H810" s="186"/>
      <c r="I810" s="186"/>
      <c r="J810" s="186"/>
      <c r="K810" s="186"/>
      <c r="L810" s="186"/>
      <c r="M810" s="67"/>
      <c r="N810" s="67"/>
      <c r="O810" s="67"/>
      <c r="P810" s="67"/>
      <c r="Q810" s="186"/>
      <c r="R810" s="186"/>
      <c r="S810" s="187"/>
      <c r="T810" s="187"/>
      <c r="U810" s="186"/>
      <c r="V810" s="186"/>
      <c r="W810" s="186"/>
      <c r="X810" s="186"/>
    </row>
    <row r="811">
      <c r="A811" s="185"/>
      <c r="B811" s="67"/>
      <c r="C811" s="186"/>
      <c r="D811" s="186"/>
      <c r="E811" s="186"/>
      <c r="F811" s="186"/>
      <c r="G811" s="186"/>
      <c r="H811" s="186"/>
      <c r="I811" s="186"/>
      <c r="J811" s="186"/>
      <c r="K811" s="186"/>
      <c r="L811" s="186"/>
      <c r="M811" s="67"/>
      <c r="N811" s="67"/>
      <c r="O811" s="67"/>
      <c r="P811" s="67"/>
      <c r="Q811" s="186"/>
      <c r="R811" s="186"/>
      <c r="S811" s="187"/>
      <c r="T811" s="187"/>
      <c r="U811" s="186"/>
      <c r="V811" s="186"/>
      <c r="W811" s="186"/>
      <c r="X811" s="186"/>
    </row>
    <row r="812">
      <c r="A812" s="185"/>
      <c r="B812" s="67"/>
      <c r="C812" s="186"/>
      <c r="D812" s="186"/>
      <c r="E812" s="186"/>
      <c r="F812" s="186"/>
      <c r="G812" s="186"/>
      <c r="H812" s="186"/>
      <c r="I812" s="186"/>
      <c r="J812" s="186"/>
      <c r="K812" s="186"/>
      <c r="L812" s="186"/>
      <c r="M812" s="67"/>
      <c r="N812" s="67"/>
      <c r="O812" s="67"/>
      <c r="P812" s="67"/>
      <c r="Q812" s="186"/>
      <c r="R812" s="186"/>
      <c r="S812" s="187"/>
      <c r="T812" s="187"/>
      <c r="U812" s="186"/>
      <c r="V812" s="186"/>
      <c r="W812" s="186"/>
      <c r="X812" s="186"/>
    </row>
    <row r="813">
      <c r="A813" s="185"/>
      <c r="B813" s="67"/>
      <c r="C813" s="186"/>
      <c r="D813" s="186"/>
      <c r="E813" s="186"/>
      <c r="F813" s="186"/>
      <c r="G813" s="186"/>
      <c r="H813" s="186"/>
      <c r="I813" s="186"/>
      <c r="J813" s="186"/>
      <c r="K813" s="186"/>
      <c r="L813" s="186"/>
      <c r="M813" s="67"/>
      <c r="N813" s="67"/>
      <c r="O813" s="67"/>
      <c r="P813" s="67"/>
      <c r="Q813" s="186"/>
      <c r="R813" s="186"/>
      <c r="S813" s="187"/>
      <c r="T813" s="187"/>
      <c r="U813" s="186"/>
      <c r="V813" s="186"/>
      <c r="W813" s="186"/>
      <c r="X813" s="186"/>
    </row>
    <row r="814">
      <c r="A814" s="185"/>
      <c r="B814" s="67"/>
      <c r="C814" s="186"/>
      <c r="D814" s="186"/>
      <c r="E814" s="186"/>
      <c r="F814" s="186"/>
      <c r="G814" s="186"/>
      <c r="H814" s="186"/>
      <c r="I814" s="186"/>
      <c r="J814" s="186"/>
      <c r="K814" s="186"/>
      <c r="L814" s="186"/>
      <c r="M814" s="67"/>
      <c r="N814" s="67"/>
      <c r="O814" s="67"/>
      <c r="P814" s="67"/>
      <c r="Q814" s="186"/>
      <c r="R814" s="186"/>
      <c r="S814" s="187"/>
      <c r="T814" s="187"/>
      <c r="U814" s="186"/>
      <c r="V814" s="186"/>
      <c r="W814" s="186"/>
      <c r="X814" s="186"/>
    </row>
    <row r="815">
      <c r="A815" s="185"/>
      <c r="B815" s="67"/>
      <c r="C815" s="186"/>
      <c r="D815" s="186"/>
      <c r="E815" s="186"/>
      <c r="F815" s="186"/>
      <c r="G815" s="186"/>
      <c r="H815" s="186"/>
      <c r="I815" s="186"/>
      <c r="J815" s="186"/>
      <c r="K815" s="186"/>
      <c r="L815" s="186"/>
      <c r="M815" s="67"/>
      <c r="N815" s="67"/>
      <c r="O815" s="67"/>
      <c r="P815" s="67"/>
      <c r="Q815" s="186"/>
      <c r="R815" s="186"/>
      <c r="S815" s="187"/>
      <c r="T815" s="187"/>
      <c r="U815" s="186"/>
      <c r="V815" s="186"/>
      <c r="W815" s="186"/>
      <c r="X815" s="186"/>
    </row>
    <row r="816">
      <c r="A816" s="185"/>
      <c r="B816" s="67"/>
      <c r="C816" s="186"/>
      <c r="D816" s="186"/>
      <c r="E816" s="186"/>
      <c r="F816" s="186"/>
      <c r="G816" s="186"/>
      <c r="H816" s="186"/>
      <c r="I816" s="186"/>
      <c r="J816" s="186"/>
      <c r="K816" s="186"/>
      <c r="L816" s="186"/>
      <c r="M816" s="67"/>
      <c r="N816" s="67"/>
      <c r="O816" s="67"/>
      <c r="P816" s="67"/>
      <c r="Q816" s="186"/>
      <c r="R816" s="186"/>
      <c r="S816" s="187"/>
      <c r="T816" s="187"/>
      <c r="U816" s="186"/>
      <c r="V816" s="186"/>
      <c r="W816" s="186"/>
      <c r="X816" s="186"/>
    </row>
    <row r="817">
      <c r="A817" s="185"/>
      <c r="B817" s="67"/>
      <c r="C817" s="186"/>
      <c r="D817" s="186"/>
      <c r="E817" s="186"/>
      <c r="F817" s="186"/>
      <c r="G817" s="186"/>
      <c r="H817" s="186"/>
      <c r="I817" s="186"/>
      <c r="J817" s="186"/>
      <c r="K817" s="186"/>
      <c r="L817" s="186"/>
      <c r="M817" s="67"/>
      <c r="N817" s="67"/>
      <c r="O817" s="67"/>
      <c r="P817" s="67"/>
      <c r="Q817" s="186"/>
      <c r="R817" s="186"/>
      <c r="S817" s="187"/>
      <c r="T817" s="187"/>
      <c r="U817" s="186"/>
      <c r="V817" s="186"/>
      <c r="W817" s="186"/>
      <c r="X817" s="186"/>
    </row>
    <row r="818">
      <c r="A818" s="185"/>
      <c r="B818" s="67"/>
      <c r="C818" s="186"/>
      <c r="D818" s="186"/>
      <c r="E818" s="186"/>
      <c r="F818" s="186"/>
      <c r="G818" s="186"/>
      <c r="H818" s="186"/>
      <c r="I818" s="186"/>
      <c r="J818" s="186"/>
      <c r="K818" s="186"/>
      <c r="L818" s="186"/>
      <c r="M818" s="67"/>
      <c r="N818" s="67"/>
      <c r="O818" s="67"/>
      <c r="P818" s="67"/>
      <c r="Q818" s="186"/>
      <c r="R818" s="186"/>
      <c r="S818" s="187"/>
      <c r="T818" s="187"/>
      <c r="U818" s="186"/>
      <c r="V818" s="186"/>
      <c r="W818" s="186"/>
      <c r="X818" s="186"/>
    </row>
    <row r="819">
      <c r="A819" s="185"/>
      <c r="B819" s="67"/>
      <c r="C819" s="186"/>
      <c r="D819" s="186"/>
      <c r="E819" s="186"/>
      <c r="F819" s="186"/>
      <c r="G819" s="186"/>
      <c r="H819" s="186"/>
      <c r="I819" s="186"/>
      <c r="J819" s="186"/>
      <c r="K819" s="186"/>
      <c r="L819" s="186"/>
      <c r="M819" s="67"/>
      <c r="N819" s="67"/>
      <c r="O819" s="67"/>
      <c r="P819" s="67"/>
      <c r="Q819" s="186"/>
      <c r="R819" s="186"/>
      <c r="S819" s="187"/>
      <c r="T819" s="187"/>
      <c r="U819" s="186"/>
      <c r="V819" s="186"/>
      <c r="W819" s="186"/>
      <c r="X819" s="186"/>
    </row>
    <row r="820">
      <c r="A820" s="185"/>
      <c r="B820" s="67"/>
      <c r="C820" s="186"/>
      <c r="D820" s="186"/>
      <c r="E820" s="186"/>
      <c r="F820" s="186"/>
      <c r="G820" s="186"/>
      <c r="H820" s="186"/>
      <c r="I820" s="186"/>
      <c r="J820" s="186"/>
      <c r="K820" s="186"/>
      <c r="L820" s="186"/>
      <c r="M820" s="67"/>
      <c r="N820" s="67"/>
      <c r="O820" s="67"/>
      <c r="P820" s="67"/>
      <c r="Q820" s="186"/>
      <c r="R820" s="186"/>
      <c r="S820" s="187"/>
      <c r="T820" s="187"/>
      <c r="U820" s="186"/>
      <c r="V820" s="186"/>
      <c r="W820" s="186"/>
      <c r="X820" s="186"/>
    </row>
    <row r="821">
      <c r="A821" s="185"/>
      <c r="B821" s="67"/>
      <c r="C821" s="186"/>
      <c r="D821" s="186"/>
      <c r="E821" s="186"/>
      <c r="F821" s="186"/>
      <c r="G821" s="186"/>
      <c r="H821" s="186"/>
      <c r="I821" s="186"/>
      <c r="J821" s="186"/>
      <c r="K821" s="186"/>
      <c r="L821" s="186"/>
      <c r="M821" s="67"/>
      <c r="N821" s="67"/>
      <c r="O821" s="67"/>
      <c r="P821" s="67"/>
      <c r="Q821" s="186"/>
      <c r="R821" s="186"/>
      <c r="S821" s="187"/>
      <c r="T821" s="187"/>
      <c r="U821" s="186"/>
      <c r="V821" s="186"/>
      <c r="W821" s="186"/>
      <c r="X821" s="186"/>
    </row>
    <row r="822">
      <c r="A822" s="185"/>
      <c r="B822" s="67"/>
      <c r="C822" s="186"/>
      <c r="D822" s="186"/>
      <c r="E822" s="186"/>
      <c r="F822" s="186"/>
      <c r="G822" s="186"/>
      <c r="H822" s="186"/>
      <c r="I822" s="186"/>
      <c r="J822" s="186"/>
      <c r="K822" s="186"/>
      <c r="L822" s="186"/>
      <c r="M822" s="67"/>
      <c r="N822" s="67"/>
      <c r="O822" s="67"/>
      <c r="P822" s="67"/>
      <c r="Q822" s="186"/>
      <c r="R822" s="186"/>
      <c r="S822" s="187"/>
      <c r="T822" s="187"/>
      <c r="U822" s="186"/>
      <c r="V822" s="186"/>
      <c r="W822" s="186"/>
      <c r="X822" s="186"/>
    </row>
    <row r="823">
      <c r="A823" s="185"/>
      <c r="B823" s="67"/>
      <c r="C823" s="186"/>
      <c r="D823" s="186"/>
      <c r="E823" s="186"/>
      <c r="F823" s="186"/>
      <c r="G823" s="186"/>
      <c r="H823" s="186"/>
      <c r="I823" s="186"/>
      <c r="J823" s="186"/>
      <c r="K823" s="186"/>
      <c r="L823" s="186"/>
      <c r="M823" s="67"/>
      <c r="N823" s="67"/>
      <c r="O823" s="67"/>
      <c r="P823" s="67"/>
      <c r="Q823" s="186"/>
      <c r="R823" s="186"/>
      <c r="S823" s="187"/>
      <c r="T823" s="187"/>
      <c r="U823" s="186"/>
      <c r="V823" s="186"/>
      <c r="W823" s="186"/>
      <c r="X823" s="186"/>
    </row>
    <row r="824">
      <c r="A824" s="185"/>
      <c r="B824" s="67"/>
      <c r="C824" s="186"/>
      <c r="D824" s="186"/>
      <c r="E824" s="186"/>
      <c r="F824" s="186"/>
      <c r="G824" s="186"/>
      <c r="H824" s="186"/>
      <c r="I824" s="186"/>
      <c r="J824" s="186"/>
      <c r="K824" s="186"/>
      <c r="L824" s="186"/>
      <c r="M824" s="67"/>
      <c r="N824" s="67"/>
      <c r="O824" s="67"/>
      <c r="P824" s="67"/>
      <c r="Q824" s="186"/>
      <c r="R824" s="186"/>
      <c r="S824" s="187"/>
      <c r="T824" s="187"/>
      <c r="U824" s="186"/>
      <c r="V824" s="186"/>
      <c r="W824" s="186"/>
      <c r="X824" s="186"/>
    </row>
    <row r="825">
      <c r="A825" s="185"/>
      <c r="B825" s="67"/>
      <c r="C825" s="186"/>
      <c r="D825" s="186"/>
      <c r="E825" s="186"/>
      <c r="F825" s="186"/>
      <c r="G825" s="186"/>
      <c r="H825" s="186"/>
      <c r="I825" s="186"/>
      <c r="J825" s="186"/>
      <c r="K825" s="186"/>
      <c r="L825" s="186"/>
      <c r="M825" s="67"/>
      <c r="N825" s="67"/>
      <c r="O825" s="67"/>
      <c r="P825" s="67"/>
      <c r="Q825" s="186"/>
      <c r="R825" s="186"/>
      <c r="S825" s="187"/>
      <c r="T825" s="187"/>
      <c r="U825" s="186"/>
      <c r="V825" s="186"/>
      <c r="W825" s="186"/>
      <c r="X825" s="186"/>
    </row>
    <row r="826">
      <c r="A826" s="185"/>
      <c r="B826" s="67"/>
      <c r="C826" s="186"/>
      <c r="D826" s="186"/>
      <c r="E826" s="186"/>
      <c r="F826" s="186"/>
      <c r="G826" s="186"/>
      <c r="H826" s="186"/>
      <c r="I826" s="186"/>
      <c r="J826" s="186"/>
      <c r="K826" s="186"/>
      <c r="L826" s="186"/>
      <c r="M826" s="67"/>
      <c r="N826" s="67"/>
      <c r="O826" s="67"/>
      <c r="P826" s="67"/>
      <c r="Q826" s="186"/>
      <c r="R826" s="186"/>
      <c r="S826" s="187"/>
      <c r="T826" s="187"/>
      <c r="U826" s="186"/>
      <c r="V826" s="186"/>
      <c r="W826" s="186"/>
      <c r="X826" s="186"/>
    </row>
    <row r="827">
      <c r="A827" s="185"/>
      <c r="B827" s="67"/>
      <c r="C827" s="186"/>
      <c r="D827" s="186"/>
      <c r="E827" s="186"/>
      <c r="F827" s="186"/>
      <c r="G827" s="186"/>
      <c r="H827" s="186"/>
      <c r="I827" s="186"/>
      <c r="J827" s="186"/>
      <c r="K827" s="186"/>
      <c r="L827" s="186"/>
      <c r="M827" s="67"/>
      <c r="N827" s="67"/>
      <c r="O827" s="67"/>
      <c r="P827" s="67"/>
      <c r="Q827" s="186"/>
      <c r="R827" s="186"/>
      <c r="S827" s="187"/>
      <c r="T827" s="187"/>
      <c r="U827" s="186"/>
      <c r="V827" s="186"/>
      <c r="W827" s="186"/>
      <c r="X827" s="186"/>
    </row>
    <row r="828">
      <c r="A828" s="185"/>
      <c r="B828" s="67"/>
      <c r="C828" s="186"/>
      <c r="D828" s="186"/>
      <c r="E828" s="186"/>
      <c r="F828" s="186"/>
      <c r="G828" s="186"/>
      <c r="H828" s="186"/>
      <c r="I828" s="186"/>
      <c r="J828" s="186"/>
      <c r="K828" s="186"/>
      <c r="L828" s="186"/>
      <c r="M828" s="67"/>
      <c r="N828" s="67"/>
      <c r="O828" s="67"/>
      <c r="P828" s="67"/>
      <c r="Q828" s="186"/>
      <c r="R828" s="186"/>
      <c r="S828" s="187"/>
      <c r="T828" s="187"/>
      <c r="U828" s="186"/>
      <c r="V828" s="186"/>
      <c r="W828" s="186"/>
      <c r="X828" s="186"/>
    </row>
    <row r="829">
      <c r="A829" s="185"/>
      <c r="B829" s="67"/>
      <c r="C829" s="186"/>
      <c r="D829" s="186"/>
      <c r="E829" s="186"/>
      <c r="F829" s="186"/>
      <c r="G829" s="186"/>
      <c r="H829" s="186"/>
      <c r="I829" s="186"/>
      <c r="J829" s="186"/>
      <c r="K829" s="186"/>
      <c r="L829" s="186"/>
      <c r="M829" s="67"/>
      <c r="N829" s="67"/>
      <c r="O829" s="67"/>
      <c r="P829" s="67"/>
      <c r="Q829" s="186"/>
      <c r="R829" s="186"/>
      <c r="S829" s="187"/>
      <c r="T829" s="187"/>
      <c r="U829" s="186"/>
      <c r="V829" s="186"/>
      <c r="W829" s="186"/>
      <c r="X829" s="186"/>
    </row>
    <row r="830">
      <c r="A830" s="185"/>
      <c r="B830" s="67"/>
      <c r="C830" s="186"/>
      <c r="D830" s="186"/>
      <c r="E830" s="186"/>
      <c r="F830" s="186"/>
      <c r="G830" s="186"/>
      <c r="H830" s="186"/>
      <c r="I830" s="186"/>
      <c r="J830" s="186"/>
      <c r="K830" s="186"/>
      <c r="L830" s="186"/>
      <c r="M830" s="67"/>
      <c r="N830" s="67"/>
      <c r="O830" s="67"/>
      <c r="P830" s="67"/>
      <c r="Q830" s="186"/>
      <c r="R830" s="186"/>
      <c r="S830" s="187"/>
      <c r="T830" s="187"/>
      <c r="U830" s="186"/>
      <c r="V830" s="186"/>
      <c r="W830" s="186"/>
      <c r="X830" s="186"/>
    </row>
    <row r="831">
      <c r="A831" s="185"/>
      <c r="B831" s="67"/>
      <c r="C831" s="186"/>
      <c r="D831" s="186"/>
      <c r="E831" s="186"/>
      <c r="F831" s="186"/>
      <c r="G831" s="186"/>
      <c r="H831" s="186"/>
      <c r="I831" s="186"/>
      <c r="J831" s="186"/>
      <c r="K831" s="186"/>
      <c r="L831" s="186"/>
      <c r="M831" s="67"/>
      <c r="N831" s="67"/>
      <c r="O831" s="67"/>
      <c r="P831" s="67"/>
      <c r="Q831" s="186"/>
      <c r="R831" s="186"/>
      <c r="S831" s="187"/>
      <c r="T831" s="187"/>
      <c r="U831" s="186"/>
      <c r="V831" s="186"/>
      <c r="W831" s="186"/>
      <c r="X831" s="186"/>
    </row>
    <row r="832">
      <c r="A832" s="185"/>
      <c r="B832" s="67"/>
      <c r="C832" s="186"/>
      <c r="D832" s="186"/>
      <c r="E832" s="186"/>
      <c r="F832" s="186"/>
      <c r="G832" s="186"/>
      <c r="H832" s="186"/>
      <c r="I832" s="186"/>
      <c r="J832" s="186"/>
      <c r="K832" s="186"/>
      <c r="L832" s="186"/>
      <c r="M832" s="67"/>
      <c r="N832" s="67"/>
      <c r="O832" s="67"/>
      <c r="P832" s="67"/>
      <c r="Q832" s="186"/>
      <c r="R832" s="186"/>
      <c r="S832" s="187"/>
      <c r="T832" s="187"/>
      <c r="U832" s="186"/>
      <c r="V832" s="186"/>
      <c r="W832" s="186"/>
      <c r="X832" s="186"/>
    </row>
    <row r="833">
      <c r="A833" s="185"/>
      <c r="B833" s="67"/>
      <c r="C833" s="186"/>
      <c r="D833" s="186"/>
      <c r="E833" s="186"/>
      <c r="F833" s="186"/>
      <c r="G833" s="186"/>
      <c r="H833" s="186"/>
      <c r="I833" s="186"/>
      <c r="J833" s="186"/>
      <c r="K833" s="186"/>
      <c r="L833" s="186"/>
      <c r="M833" s="67"/>
      <c r="N833" s="67"/>
      <c r="O833" s="67"/>
      <c r="P833" s="67"/>
      <c r="Q833" s="186"/>
      <c r="R833" s="186"/>
      <c r="S833" s="187"/>
      <c r="T833" s="187"/>
      <c r="U833" s="186"/>
      <c r="V833" s="186"/>
      <c r="W833" s="186"/>
      <c r="X833" s="186"/>
    </row>
    <row r="834">
      <c r="A834" s="185"/>
      <c r="B834" s="67"/>
      <c r="C834" s="186"/>
      <c r="D834" s="186"/>
      <c r="E834" s="186"/>
      <c r="F834" s="186"/>
      <c r="G834" s="186"/>
      <c r="H834" s="186"/>
      <c r="I834" s="186"/>
      <c r="J834" s="186"/>
      <c r="K834" s="186"/>
      <c r="L834" s="186"/>
      <c r="M834" s="67"/>
      <c r="N834" s="67"/>
      <c r="O834" s="67"/>
      <c r="P834" s="67"/>
      <c r="Q834" s="186"/>
      <c r="R834" s="186"/>
      <c r="S834" s="187"/>
      <c r="T834" s="187"/>
      <c r="U834" s="186"/>
      <c r="V834" s="186"/>
      <c r="W834" s="186"/>
      <c r="X834" s="186"/>
    </row>
    <row r="835">
      <c r="A835" s="185"/>
      <c r="B835" s="67"/>
      <c r="C835" s="186"/>
      <c r="D835" s="186"/>
      <c r="E835" s="186"/>
      <c r="F835" s="186"/>
      <c r="G835" s="186"/>
      <c r="H835" s="186"/>
      <c r="I835" s="186"/>
      <c r="J835" s="186"/>
      <c r="K835" s="186"/>
      <c r="L835" s="186"/>
      <c r="M835" s="67"/>
      <c r="N835" s="67"/>
      <c r="O835" s="67"/>
      <c r="P835" s="67"/>
      <c r="Q835" s="186"/>
      <c r="R835" s="186"/>
      <c r="S835" s="187"/>
      <c r="T835" s="187"/>
      <c r="U835" s="186"/>
      <c r="V835" s="186"/>
      <c r="W835" s="186"/>
      <c r="X835" s="186"/>
    </row>
    <row r="836">
      <c r="A836" s="185"/>
      <c r="B836" s="67"/>
      <c r="C836" s="186"/>
      <c r="D836" s="186"/>
      <c r="E836" s="186"/>
      <c r="F836" s="186"/>
      <c r="G836" s="186"/>
      <c r="H836" s="186"/>
      <c r="I836" s="186"/>
      <c r="J836" s="186"/>
      <c r="K836" s="186"/>
      <c r="L836" s="186"/>
      <c r="M836" s="67"/>
      <c r="N836" s="67"/>
      <c r="O836" s="67"/>
      <c r="P836" s="67"/>
      <c r="Q836" s="186"/>
      <c r="R836" s="186"/>
      <c r="S836" s="187"/>
      <c r="T836" s="187"/>
      <c r="U836" s="186"/>
      <c r="V836" s="186"/>
      <c r="W836" s="186"/>
      <c r="X836" s="186"/>
    </row>
    <row r="837">
      <c r="A837" s="185"/>
      <c r="B837" s="67"/>
      <c r="C837" s="186"/>
      <c r="D837" s="186"/>
      <c r="E837" s="186"/>
      <c r="F837" s="186"/>
      <c r="G837" s="186"/>
      <c r="H837" s="186"/>
      <c r="I837" s="186"/>
      <c r="J837" s="186"/>
      <c r="K837" s="186"/>
      <c r="L837" s="186"/>
      <c r="M837" s="67"/>
      <c r="N837" s="67"/>
      <c r="O837" s="67"/>
      <c r="P837" s="67"/>
      <c r="Q837" s="186"/>
      <c r="R837" s="186"/>
      <c r="S837" s="187"/>
      <c r="T837" s="187"/>
      <c r="U837" s="186"/>
      <c r="V837" s="186"/>
      <c r="W837" s="186"/>
      <c r="X837" s="186"/>
    </row>
    <row r="838">
      <c r="A838" s="185"/>
      <c r="B838" s="67"/>
      <c r="C838" s="186"/>
      <c r="D838" s="186"/>
      <c r="E838" s="186"/>
      <c r="F838" s="186"/>
      <c r="G838" s="186"/>
      <c r="H838" s="186"/>
      <c r="I838" s="186"/>
      <c r="J838" s="186"/>
      <c r="K838" s="186"/>
      <c r="L838" s="186"/>
      <c r="M838" s="67"/>
      <c r="N838" s="67"/>
      <c r="O838" s="67"/>
      <c r="P838" s="67"/>
      <c r="Q838" s="186"/>
      <c r="R838" s="186"/>
      <c r="S838" s="187"/>
      <c r="T838" s="187"/>
      <c r="U838" s="186"/>
      <c r="V838" s="186"/>
      <c r="W838" s="186"/>
      <c r="X838" s="186"/>
    </row>
    <row r="839">
      <c r="A839" s="185"/>
      <c r="B839" s="67"/>
      <c r="C839" s="186"/>
      <c r="D839" s="186"/>
      <c r="E839" s="186"/>
      <c r="F839" s="186"/>
      <c r="G839" s="186"/>
      <c r="H839" s="186"/>
      <c r="I839" s="186"/>
      <c r="J839" s="186"/>
      <c r="K839" s="186"/>
      <c r="L839" s="186"/>
      <c r="M839" s="67"/>
      <c r="N839" s="67"/>
      <c r="O839" s="67"/>
      <c r="P839" s="67"/>
      <c r="Q839" s="186"/>
      <c r="R839" s="186"/>
      <c r="S839" s="187"/>
      <c r="T839" s="187"/>
      <c r="U839" s="186"/>
      <c r="V839" s="186"/>
      <c r="W839" s="186"/>
      <c r="X839" s="186"/>
    </row>
    <row r="840">
      <c r="A840" s="185"/>
      <c r="B840" s="67"/>
      <c r="C840" s="186"/>
      <c r="D840" s="186"/>
      <c r="E840" s="186"/>
      <c r="F840" s="186"/>
      <c r="G840" s="186"/>
      <c r="H840" s="186"/>
      <c r="I840" s="186"/>
      <c r="J840" s="186"/>
      <c r="K840" s="186"/>
      <c r="L840" s="186"/>
      <c r="M840" s="67"/>
      <c r="N840" s="67"/>
      <c r="O840" s="67"/>
      <c r="P840" s="67"/>
      <c r="Q840" s="186"/>
      <c r="R840" s="186"/>
      <c r="S840" s="187"/>
      <c r="T840" s="187"/>
      <c r="U840" s="186"/>
      <c r="V840" s="186"/>
      <c r="W840" s="186"/>
      <c r="X840" s="186"/>
    </row>
    <row r="841">
      <c r="A841" s="185"/>
      <c r="B841" s="67"/>
      <c r="C841" s="186"/>
      <c r="D841" s="186"/>
      <c r="E841" s="186"/>
      <c r="F841" s="186"/>
      <c r="G841" s="186"/>
      <c r="H841" s="186"/>
      <c r="I841" s="186"/>
      <c r="J841" s="186"/>
      <c r="K841" s="186"/>
      <c r="L841" s="186"/>
      <c r="M841" s="67"/>
      <c r="N841" s="67"/>
      <c r="O841" s="67"/>
      <c r="P841" s="67"/>
      <c r="Q841" s="186"/>
      <c r="R841" s="186"/>
      <c r="S841" s="187"/>
      <c r="T841" s="187"/>
      <c r="U841" s="186"/>
      <c r="V841" s="186"/>
      <c r="W841" s="186"/>
      <c r="X841" s="186"/>
    </row>
    <row r="842">
      <c r="A842" s="185"/>
      <c r="B842" s="67"/>
      <c r="C842" s="186"/>
      <c r="D842" s="186"/>
      <c r="E842" s="186"/>
      <c r="F842" s="186"/>
      <c r="G842" s="186"/>
      <c r="H842" s="186"/>
      <c r="I842" s="186"/>
      <c r="J842" s="186"/>
      <c r="K842" s="186"/>
      <c r="L842" s="186"/>
      <c r="M842" s="67"/>
      <c r="N842" s="67"/>
      <c r="O842" s="67"/>
      <c r="P842" s="67"/>
      <c r="Q842" s="186"/>
      <c r="R842" s="186"/>
      <c r="S842" s="187"/>
      <c r="T842" s="187"/>
      <c r="U842" s="186"/>
      <c r="V842" s="186"/>
      <c r="W842" s="186"/>
      <c r="X842" s="186"/>
    </row>
    <row r="843">
      <c r="A843" s="185"/>
      <c r="B843" s="67"/>
      <c r="C843" s="186"/>
      <c r="D843" s="186"/>
      <c r="E843" s="186"/>
      <c r="F843" s="186"/>
      <c r="G843" s="186"/>
      <c r="H843" s="186"/>
      <c r="I843" s="186"/>
      <c r="J843" s="186"/>
      <c r="K843" s="186"/>
      <c r="L843" s="186"/>
      <c r="M843" s="67"/>
      <c r="N843" s="67"/>
      <c r="O843" s="67"/>
      <c r="P843" s="67"/>
      <c r="Q843" s="186"/>
      <c r="R843" s="186"/>
      <c r="S843" s="187"/>
      <c r="T843" s="187"/>
      <c r="U843" s="186"/>
      <c r="V843" s="186"/>
      <c r="W843" s="186"/>
      <c r="X843" s="186"/>
    </row>
    <row r="844">
      <c r="A844" s="185"/>
      <c r="B844" s="67"/>
      <c r="C844" s="186"/>
      <c r="D844" s="186"/>
      <c r="E844" s="186"/>
      <c r="F844" s="186"/>
      <c r="G844" s="186"/>
      <c r="H844" s="186"/>
      <c r="I844" s="186"/>
      <c r="J844" s="186"/>
      <c r="K844" s="186"/>
      <c r="L844" s="186"/>
      <c r="M844" s="67"/>
      <c r="N844" s="67"/>
      <c r="O844" s="67"/>
      <c r="P844" s="67"/>
      <c r="Q844" s="186"/>
      <c r="R844" s="186"/>
      <c r="S844" s="187"/>
      <c r="T844" s="187"/>
      <c r="U844" s="186"/>
      <c r="V844" s="186"/>
      <c r="W844" s="186"/>
      <c r="X844" s="186"/>
    </row>
    <row r="845">
      <c r="A845" s="185"/>
      <c r="B845" s="67"/>
      <c r="C845" s="186"/>
      <c r="D845" s="186"/>
      <c r="E845" s="186"/>
      <c r="F845" s="186"/>
      <c r="G845" s="186"/>
      <c r="H845" s="186"/>
      <c r="I845" s="186"/>
      <c r="J845" s="186"/>
      <c r="K845" s="186"/>
      <c r="L845" s="186"/>
      <c r="M845" s="67"/>
      <c r="N845" s="67"/>
      <c r="O845" s="67"/>
      <c r="P845" s="67"/>
      <c r="Q845" s="186"/>
      <c r="R845" s="186"/>
      <c r="S845" s="187"/>
      <c r="T845" s="187"/>
      <c r="U845" s="186"/>
      <c r="V845" s="186"/>
      <c r="W845" s="186"/>
      <c r="X845" s="186"/>
    </row>
    <row r="846">
      <c r="A846" s="185"/>
      <c r="B846" s="67"/>
      <c r="C846" s="186"/>
      <c r="D846" s="186"/>
      <c r="E846" s="186"/>
      <c r="F846" s="186"/>
      <c r="G846" s="186"/>
      <c r="H846" s="186"/>
      <c r="I846" s="186"/>
      <c r="J846" s="186"/>
      <c r="K846" s="186"/>
      <c r="L846" s="186"/>
      <c r="M846" s="67"/>
      <c r="N846" s="67"/>
      <c r="O846" s="67"/>
      <c r="P846" s="67"/>
      <c r="Q846" s="186"/>
      <c r="R846" s="186"/>
      <c r="S846" s="187"/>
      <c r="T846" s="187"/>
      <c r="U846" s="186"/>
      <c r="V846" s="186"/>
      <c r="W846" s="186"/>
      <c r="X846" s="186"/>
    </row>
    <row r="847">
      <c r="A847" s="185"/>
      <c r="B847" s="67"/>
      <c r="C847" s="186"/>
      <c r="D847" s="186"/>
      <c r="E847" s="186"/>
      <c r="F847" s="186"/>
      <c r="G847" s="186"/>
      <c r="H847" s="186"/>
      <c r="I847" s="186"/>
      <c r="J847" s="186"/>
      <c r="K847" s="186"/>
      <c r="L847" s="186"/>
      <c r="M847" s="67"/>
      <c r="N847" s="67"/>
      <c r="O847" s="67"/>
      <c r="P847" s="67"/>
      <c r="Q847" s="186"/>
      <c r="R847" s="186"/>
      <c r="S847" s="187"/>
      <c r="T847" s="187"/>
      <c r="U847" s="186"/>
      <c r="V847" s="186"/>
      <c r="W847" s="186"/>
      <c r="X847" s="186"/>
    </row>
    <row r="848">
      <c r="A848" s="185"/>
      <c r="B848" s="67"/>
      <c r="C848" s="186"/>
      <c r="D848" s="186"/>
      <c r="E848" s="186"/>
      <c r="F848" s="186"/>
      <c r="G848" s="186"/>
      <c r="H848" s="186"/>
      <c r="I848" s="186"/>
      <c r="J848" s="186"/>
      <c r="K848" s="186"/>
      <c r="L848" s="186"/>
      <c r="M848" s="67"/>
      <c r="N848" s="67"/>
      <c r="O848" s="67"/>
      <c r="P848" s="67"/>
      <c r="Q848" s="186"/>
      <c r="R848" s="186"/>
      <c r="S848" s="187"/>
      <c r="T848" s="187"/>
      <c r="U848" s="186"/>
      <c r="V848" s="186"/>
      <c r="W848" s="186"/>
      <c r="X848" s="186"/>
    </row>
    <row r="849">
      <c r="A849" s="185"/>
      <c r="B849" s="67"/>
      <c r="C849" s="186"/>
      <c r="D849" s="186"/>
      <c r="E849" s="186"/>
      <c r="F849" s="186"/>
      <c r="G849" s="186"/>
      <c r="H849" s="186"/>
      <c r="I849" s="186"/>
      <c r="J849" s="186"/>
      <c r="K849" s="186"/>
      <c r="L849" s="186"/>
      <c r="M849" s="67"/>
      <c r="N849" s="67"/>
      <c r="O849" s="67"/>
      <c r="P849" s="67"/>
      <c r="Q849" s="186"/>
      <c r="R849" s="186"/>
      <c r="S849" s="187"/>
      <c r="T849" s="187"/>
      <c r="U849" s="186"/>
      <c r="V849" s="186"/>
      <c r="W849" s="186"/>
      <c r="X849" s="186"/>
    </row>
    <row r="850">
      <c r="A850" s="185"/>
      <c r="B850" s="67"/>
      <c r="C850" s="186"/>
      <c r="D850" s="186"/>
      <c r="E850" s="186"/>
      <c r="F850" s="186"/>
      <c r="G850" s="186"/>
      <c r="H850" s="186"/>
      <c r="I850" s="186"/>
      <c r="J850" s="186"/>
      <c r="K850" s="186"/>
      <c r="L850" s="186"/>
      <c r="M850" s="67"/>
      <c r="N850" s="67"/>
      <c r="O850" s="67"/>
      <c r="P850" s="67"/>
      <c r="Q850" s="186"/>
      <c r="R850" s="186"/>
      <c r="S850" s="187"/>
      <c r="T850" s="187"/>
      <c r="U850" s="186"/>
      <c r="V850" s="186"/>
      <c r="W850" s="186"/>
      <c r="X850" s="186"/>
    </row>
    <row r="851">
      <c r="A851" s="185"/>
      <c r="B851" s="67"/>
      <c r="C851" s="186"/>
      <c r="D851" s="186"/>
      <c r="E851" s="186"/>
      <c r="F851" s="186"/>
      <c r="G851" s="186"/>
      <c r="H851" s="186"/>
      <c r="I851" s="186"/>
      <c r="J851" s="186"/>
      <c r="K851" s="186"/>
      <c r="L851" s="186"/>
      <c r="M851" s="67"/>
      <c r="N851" s="67"/>
      <c r="O851" s="67"/>
      <c r="P851" s="67"/>
      <c r="Q851" s="186"/>
      <c r="R851" s="186"/>
      <c r="S851" s="187"/>
      <c r="T851" s="187"/>
      <c r="U851" s="186"/>
      <c r="V851" s="186"/>
      <c r="W851" s="186"/>
      <c r="X851" s="186"/>
    </row>
    <row r="852">
      <c r="A852" s="185"/>
      <c r="B852" s="67"/>
      <c r="C852" s="186"/>
      <c r="D852" s="186"/>
      <c r="E852" s="186"/>
      <c r="F852" s="186"/>
      <c r="G852" s="186"/>
      <c r="H852" s="186"/>
      <c r="I852" s="186"/>
      <c r="J852" s="186"/>
      <c r="K852" s="186"/>
      <c r="L852" s="186"/>
      <c r="M852" s="67"/>
      <c r="N852" s="67"/>
      <c r="O852" s="67"/>
      <c r="P852" s="67"/>
      <c r="Q852" s="186"/>
      <c r="R852" s="186"/>
      <c r="S852" s="187"/>
      <c r="T852" s="187"/>
      <c r="U852" s="186"/>
      <c r="V852" s="186"/>
      <c r="W852" s="186"/>
      <c r="X852" s="186"/>
    </row>
    <row r="853">
      <c r="A853" s="185"/>
      <c r="B853" s="67"/>
      <c r="C853" s="186"/>
      <c r="D853" s="186"/>
      <c r="E853" s="186"/>
      <c r="F853" s="186"/>
      <c r="G853" s="186"/>
      <c r="H853" s="186"/>
      <c r="I853" s="186"/>
      <c r="J853" s="186"/>
      <c r="K853" s="186"/>
      <c r="L853" s="186"/>
      <c r="M853" s="67"/>
      <c r="N853" s="67"/>
      <c r="O853" s="67"/>
      <c r="P853" s="67"/>
      <c r="Q853" s="186"/>
      <c r="R853" s="186"/>
      <c r="S853" s="187"/>
      <c r="T853" s="187"/>
      <c r="U853" s="186"/>
      <c r="V853" s="186"/>
      <c r="W853" s="186"/>
      <c r="X853" s="186"/>
    </row>
    <row r="854">
      <c r="A854" s="185"/>
      <c r="B854" s="67"/>
      <c r="C854" s="186"/>
      <c r="D854" s="186"/>
      <c r="E854" s="186"/>
      <c r="F854" s="186"/>
      <c r="G854" s="186"/>
      <c r="H854" s="186"/>
      <c r="I854" s="186"/>
      <c r="J854" s="186"/>
      <c r="K854" s="186"/>
      <c r="L854" s="186"/>
      <c r="M854" s="67"/>
      <c r="N854" s="67"/>
      <c r="O854" s="67"/>
      <c r="P854" s="67"/>
      <c r="Q854" s="186"/>
      <c r="R854" s="186"/>
      <c r="S854" s="187"/>
      <c r="T854" s="187"/>
      <c r="U854" s="186"/>
      <c r="V854" s="186"/>
      <c r="W854" s="186"/>
      <c r="X854" s="186"/>
    </row>
    <row r="855">
      <c r="A855" s="185"/>
      <c r="B855" s="67"/>
      <c r="C855" s="186"/>
      <c r="D855" s="186"/>
      <c r="E855" s="186"/>
      <c r="F855" s="186"/>
      <c r="G855" s="186"/>
      <c r="H855" s="186"/>
      <c r="I855" s="186"/>
      <c r="J855" s="186"/>
      <c r="K855" s="186"/>
      <c r="L855" s="186"/>
      <c r="M855" s="67"/>
      <c r="N855" s="67"/>
      <c r="O855" s="67"/>
      <c r="P855" s="67"/>
      <c r="Q855" s="186"/>
      <c r="R855" s="186"/>
      <c r="S855" s="187"/>
      <c r="T855" s="187"/>
      <c r="U855" s="186"/>
      <c r="V855" s="186"/>
      <c r="W855" s="186"/>
      <c r="X855" s="186"/>
    </row>
    <row r="856">
      <c r="A856" s="185"/>
      <c r="B856" s="67"/>
      <c r="C856" s="186"/>
      <c r="D856" s="186"/>
      <c r="E856" s="186"/>
      <c r="F856" s="186"/>
      <c r="G856" s="186"/>
      <c r="H856" s="186"/>
      <c r="I856" s="186"/>
      <c r="J856" s="186"/>
      <c r="K856" s="186"/>
      <c r="L856" s="186"/>
      <c r="M856" s="67"/>
      <c r="N856" s="67"/>
      <c r="O856" s="67"/>
      <c r="P856" s="67"/>
      <c r="Q856" s="186"/>
      <c r="R856" s="186"/>
      <c r="S856" s="187"/>
      <c r="T856" s="187"/>
      <c r="U856" s="186"/>
      <c r="V856" s="186"/>
      <c r="W856" s="186"/>
      <c r="X856" s="186"/>
    </row>
    <row r="857">
      <c r="A857" s="185"/>
      <c r="B857" s="67"/>
      <c r="C857" s="186"/>
      <c r="D857" s="186"/>
      <c r="E857" s="186"/>
      <c r="F857" s="186"/>
      <c r="G857" s="186"/>
      <c r="H857" s="186"/>
      <c r="I857" s="186"/>
      <c r="J857" s="186"/>
      <c r="K857" s="186"/>
      <c r="L857" s="186"/>
      <c r="M857" s="67"/>
      <c r="N857" s="67"/>
      <c r="O857" s="67"/>
      <c r="P857" s="67"/>
      <c r="Q857" s="186"/>
      <c r="R857" s="186"/>
      <c r="S857" s="187"/>
      <c r="T857" s="187"/>
      <c r="U857" s="186"/>
      <c r="V857" s="186"/>
      <c r="W857" s="186"/>
      <c r="X857" s="186"/>
    </row>
    <row r="858">
      <c r="A858" s="185"/>
      <c r="B858" s="67"/>
      <c r="C858" s="186"/>
      <c r="D858" s="186"/>
      <c r="E858" s="186"/>
      <c r="F858" s="186"/>
      <c r="G858" s="186"/>
      <c r="H858" s="186"/>
      <c r="I858" s="186"/>
      <c r="J858" s="186"/>
      <c r="K858" s="186"/>
      <c r="L858" s="186"/>
      <c r="M858" s="67"/>
      <c r="N858" s="67"/>
      <c r="O858" s="67"/>
      <c r="P858" s="67"/>
      <c r="Q858" s="186"/>
      <c r="R858" s="186"/>
      <c r="S858" s="187"/>
      <c r="T858" s="187"/>
      <c r="U858" s="186"/>
      <c r="V858" s="186"/>
      <c r="W858" s="186"/>
      <c r="X858" s="186"/>
    </row>
    <row r="859">
      <c r="A859" s="185"/>
      <c r="B859" s="67"/>
      <c r="C859" s="186"/>
      <c r="D859" s="186"/>
      <c r="E859" s="186"/>
      <c r="F859" s="186"/>
      <c r="G859" s="186"/>
      <c r="H859" s="186"/>
      <c r="I859" s="186"/>
      <c r="J859" s="186"/>
      <c r="K859" s="186"/>
      <c r="L859" s="186"/>
      <c r="M859" s="67"/>
      <c r="N859" s="67"/>
      <c r="O859" s="67"/>
      <c r="P859" s="67"/>
      <c r="Q859" s="186"/>
      <c r="R859" s="186"/>
      <c r="S859" s="187"/>
      <c r="T859" s="187"/>
      <c r="U859" s="186"/>
      <c r="V859" s="186"/>
      <c r="W859" s="186"/>
      <c r="X859" s="186"/>
    </row>
    <row r="860">
      <c r="A860" s="185"/>
      <c r="B860" s="67"/>
      <c r="C860" s="186"/>
      <c r="D860" s="186"/>
      <c r="E860" s="186"/>
      <c r="F860" s="186"/>
      <c r="G860" s="186"/>
      <c r="H860" s="186"/>
      <c r="I860" s="186"/>
      <c r="J860" s="186"/>
      <c r="K860" s="186"/>
      <c r="L860" s="186"/>
      <c r="M860" s="67"/>
      <c r="N860" s="67"/>
      <c r="O860" s="67"/>
      <c r="P860" s="67"/>
      <c r="Q860" s="186"/>
      <c r="R860" s="186"/>
      <c r="S860" s="187"/>
      <c r="T860" s="187"/>
      <c r="U860" s="186"/>
      <c r="V860" s="186"/>
      <c r="W860" s="186"/>
      <c r="X860" s="186"/>
    </row>
    <row r="861">
      <c r="A861" s="185"/>
      <c r="B861" s="67"/>
      <c r="C861" s="186"/>
      <c r="D861" s="186"/>
      <c r="E861" s="186"/>
      <c r="F861" s="186"/>
      <c r="G861" s="186"/>
      <c r="H861" s="186"/>
      <c r="I861" s="186"/>
      <c r="J861" s="186"/>
      <c r="K861" s="186"/>
      <c r="L861" s="186"/>
      <c r="M861" s="67"/>
      <c r="N861" s="67"/>
      <c r="O861" s="67"/>
      <c r="P861" s="67"/>
      <c r="Q861" s="186"/>
      <c r="R861" s="186"/>
      <c r="S861" s="187"/>
      <c r="T861" s="187"/>
      <c r="U861" s="186"/>
      <c r="V861" s="186"/>
      <c r="W861" s="186"/>
      <c r="X861" s="186"/>
    </row>
    <row r="862">
      <c r="A862" s="185"/>
      <c r="B862" s="67"/>
      <c r="C862" s="186"/>
      <c r="D862" s="186"/>
      <c r="E862" s="186"/>
      <c r="F862" s="186"/>
      <c r="G862" s="186"/>
      <c r="H862" s="186"/>
      <c r="I862" s="186"/>
      <c r="J862" s="186"/>
      <c r="K862" s="186"/>
      <c r="L862" s="186"/>
      <c r="M862" s="67"/>
      <c r="N862" s="67"/>
      <c r="O862" s="67"/>
      <c r="P862" s="67"/>
      <c r="Q862" s="186"/>
      <c r="R862" s="186"/>
      <c r="S862" s="187"/>
      <c r="T862" s="187"/>
      <c r="U862" s="186"/>
      <c r="V862" s="186"/>
      <c r="W862" s="186"/>
      <c r="X862" s="186"/>
    </row>
    <row r="863">
      <c r="A863" s="185"/>
      <c r="B863" s="67"/>
      <c r="C863" s="186"/>
      <c r="D863" s="186"/>
      <c r="E863" s="186"/>
      <c r="F863" s="186"/>
      <c r="G863" s="186"/>
      <c r="H863" s="186"/>
      <c r="I863" s="186"/>
      <c r="J863" s="186"/>
      <c r="K863" s="186"/>
      <c r="L863" s="186"/>
      <c r="M863" s="67"/>
      <c r="N863" s="67"/>
      <c r="O863" s="67"/>
      <c r="P863" s="67"/>
      <c r="Q863" s="186"/>
      <c r="R863" s="186"/>
      <c r="S863" s="187"/>
      <c r="T863" s="187"/>
      <c r="U863" s="186"/>
      <c r="V863" s="186"/>
      <c r="W863" s="186"/>
      <c r="X863" s="186"/>
    </row>
    <row r="864">
      <c r="A864" s="185"/>
      <c r="B864" s="67"/>
      <c r="C864" s="186"/>
      <c r="D864" s="186"/>
      <c r="E864" s="186"/>
      <c r="F864" s="186"/>
      <c r="G864" s="186"/>
      <c r="H864" s="186"/>
      <c r="I864" s="186"/>
      <c r="J864" s="186"/>
      <c r="K864" s="186"/>
      <c r="L864" s="186"/>
      <c r="M864" s="67"/>
      <c r="N864" s="67"/>
      <c r="O864" s="67"/>
      <c r="P864" s="67"/>
      <c r="Q864" s="186"/>
      <c r="R864" s="186"/>
      <c r="S864" s="187"/>
      <c r="T864" s="187"/>
      <c r="U864" s="186"/>
      <c r="V864" s="186"/>
      <c r="W864" s="186"/>
      <c r="X864" s="186"/>
    </row>
    <row r="865">
      <c r="A865" s="185"/>
      <c r="B865" s="67"/>
      <c r="C865" s="186"/>
      <c r="D865" s="186"/>
      <c r="E865" s="186"/>
      <c r="F865" s="186"/>
      <c r="G865" s="186"/>
      <c r="H865" s="186"/>
      <c r="I865" s="186"/>
      <c r="J865" s="186"/>
      <c r="K865" s="186"/>
      <c r="L865" s="186"/>
      <c r="M865" s="67"/>
      <c r="N865" s="67"/>
      <c r="O865" s="67"/>
      <c r="P865" s="67"/>
      <c r="Q865" s="186"/>
      <c r="R865" s="186"/>
      <c r="S865" s="187"/>
      <c r="T865" s="187"/>
      <c r="U865" s="186"/>
      <c r="V865" s="186"/>
      <c r="W865" s="186"/>
      <c r="X865" s="186"/>
    </row>
    <row r="866">
      <c r="A866" s="185"/>
      <c r="B866" s="67"/>
      <c r="C866" s="186"/>
      <c r="D866" s="186"/>
      <c r="E866" s="186"/>
      <c r="F866" s="186"/>
      <c r="G866" s="186"/>
      <c r="H866" s="186"/>
      <c r="I866" s="186"/>
      <c r="J866" s="186"/>
      <c r="K866" s="186"/>
      <c r="L866" s="186"/>
      <c r="M866" s="67"/>
      <c r="N866" s="67"/>
      <c r="O866" s="67"/>
      <c r="P866" s="67"/>
      <c r="Q866" s="186"/>
      <c r="R866" s="186"/>
      <c r="S866" s="187"/>
      <c r="T866" s="187"/>
      <c r="U866" s="186"/>
      <c r="V866" s="186"/>
      <c r="W866" s="186"/>
      <c r="X866" s="186"/>
    </row>
    <row r="867">
      <c r="A867" s="185"/>
      <c r="B867" s="67"/>
      <c r="C867" s="186"/>
      <c r="D867" s="186"/>
      <c r="E867" s="186"/>
      <c r="F867" s="186"/>
      <c r="G867" s="186"/>
      <c r="H867" s="186"/>
      <c r="I867" s="186"/>
      <c r="J867" s="186"/>
      <c r="K867" s="186"/>
      <c r="L867" s="186"/>
      <c r="M867" s="67"/>
      <c r="N867" s="67"/>
      <c r="O867" s="67"/>
      <c r="P867" s="67"/>
      <c r="Q867" s="186"/>
      <c r="R867" s="186"/>
      <c r="S867" s="187"/>
      <c r="T867" s="187"/>
      <c r="U867" s="186"/>
      <c r="V867" s="186"/>
      <c r="W867" s="186"/>
      <c r="X867" s="186"/>
    </row>
    <row r="868">
      <c r="A868" s="185"/>
      <c r="B868" s="67"/>
      <c r="C868" s="186"/>
      <c r="D868" s="186"/>
      <c r="E868" s="186"/>
      <c r="F868" s="186"/>
      <c r="G868" s="186"/>
      <c r="H868" s="186"/>
      <c r="I868" s="186"/>
      <c r="J868" s="186"/>
      <c r="K868" s="186"/>
      <c r="L868" s="186"/>
      <c r="M868" s="67"/>
      <c r="N868" s="67"/>
      <c r="O868" s="67"/>
      <c r="P868" s="67"/>
      <c r="Q868" s="186"/>
      <c r="R868" s="186"/>
      <c r="S868" s="187"/>
      <c r="T868" s="187"/>
      <c r="U868" s="186"/>
      <c r="V868" s="186"/>
      <c r="W868" s="186"/>
      <c r="X868" s="186"/>
    </row>
    <row r="869">
      <c r="A869" s="185"/>
      <c r="B869" s="67"/>
      <c r="C869" s="186"/>
      <c r="D869" s="186"/>
      <c r="E869" s="186"/>
      <c r="F869" s="186"/>
      <c r="G869" s="186"/>
      <c r="H869" s="186"/>
      <c r="I869" s="186"/>
      <c r="J869" s="186"/>
      <c r="K869" s="186"/>
      <c r="L869" s="186"/>
      <c r="M869" s="67"/>
      <c r="N869" s="67"/>
      <c r="O869" s="67"/>
      <c r="P869" s="67"/>
      <c r="Q869" s="186"/>
      <c r="R869" s="186"/>
      <c r="S869" s="187"/>
      <c r="T869" s="187"/>
      <c r="U869" s="186"/>
      <c r="V869" s="186"/>
      <c r="W869" s="186"/>
      <c r="X869" s="186"/>
    </row>
    <row r="870">
      <c r="A870" s="185"/>
      <c r="B870" s="67"/>
      <c r="C870" s="186"/>
      <c r="D870" s="186"/>
      <c r="E870" s="186"/>
      <c r="F870" s="186"/>
      <c r="G870" s="186"/>
      <c r="H870" s="186"/>
      <c r="I870" s="186"/>
      <c r="J870" s="186"/>
      <c r="K870" s="186"/>
      <c r="L870" s="186"/>
      <c r="M870" s="67"/>
      <c r="N870" s="67"/>
      <c r="O870" s="67"/>
      <c r="P870" s="67"/>
      <c r="Q870" s="186"/>
      <c r="R870" s="186"/>
      <c r="S870" s="187"/>
      <c r="T870" s="187"/>
      <c r="U870" s="186"/>
      <c r="V870" s="186"/>
      <c r="W870" s="186"/>
      <c r="X870" s="186"/>
    </row>
    <row r="871">
      <c r="A871" s="185"/>
      <c r="B871" s="67"/>
      <c r="C871" s="186"/>
      <c r="D871" s="186"/>
      <c r="E871" s="186"/>
      <c r="F871" s="186"/>
      <c r="G871" s="186"/>
      <c r="H871" s="186"/>
      <c r="I871" s="186"/>
      <c r="J871" s="186"/>
      <c r="K871" s="186"/>
      <c r="L871" s="186"/>
      <c r="M871" s="67"/>
      <c r="N871" s="67"/>
      <c r="O871" s="67"/>
      <c r="P871" s="67"/>
      <c r="Q871" s="186"/>
      <c r="R871" s="186"/>
      <c r="S871" s="187"/>
      <c r="T871" s="187"/>
      <c r="U871" s="186"/>
      <c r="V871" s="186"/>
      <c r="W871" s="186"/>
      <c r="X871" s="186"/>
    </row>
    <row r="872">
      <c r="A872" s="185"/>
      <c r="B872" s="67"/>
      <c r="C872" s="186"/>
      <c r="D872" s="186"/>
      <c r="E872" s="186"/>
      <c r="F872" s="186"/>
      <c r="G872" s="186"/>
      <c r="H872" s="186"/>
      <c r="I872" s="186"/>
      <c r="J872" s="186"/>
      <c r="K872" s="186"/>
      <c r="L872" s="186"/>
      <c r="M872" s="67"/>
      <c r="N872" s="67"/>
      <c r="O872" s="67"/>
      <c r="P872" s="67"/>
      <c r="Q872" s="186"/>
      <c r="R872" s="186"/>
      <c r="S872" s="187"/>
      <c r="T872" s="187"/>
      <c r="U872" s="186"/>
      <c r="V872" s="186"/>
      <c r="W872" s="186"/>
      <c r="X872" s="186"/>
    </row>
    <row r="873">
      <c r="A873" s="185"/>
      <c r="B873" s="67"/>
      <c r="C873" s="186"/>
      <c r="D873" s="186"/>
      <c r="E873" s="186"/>
      <c r="F873" s="186"/>
      <c r="G873" s="186"/>
      <c r="H873" s="186"/>
      <c r="I873" s="186"/>
      <c r="J873" s="186"/>
      <c r="K873" s="186"/>
      <c r="L873" s="186"/>
      <c r="M873" s="67"/>
      <c r="N873" s="67"/>
      <c r="O873" s="67"/>
      <c r="P873" s="67"/>
      <c r="Q873" s="186"/>
      <c r="R873" s="186"/>
      <c r="S873" s="187"/>
      <c r="T873" s="187"/>
      <c r="U873" s="186"/>
      <c r="V873" s="186"/>
      <c r="W873" s="186"/>
      <c r="X873" s="186"/>
    </row>
    <row r="874">
      <c r="A874" s="185"/>
      <c r="B874" s="67"/>
      <c r="C874" s="186"/>
      <c r="D874" s="186"/>
      <c r="E874" s="186"/>
      <c r="F874" s="186"/>
      <c r="G874" s="186"/>
      <c r="H874" s="186"/>
      <c r="I874" s="186"/>
      <c r="J874" s="186"/>
      <c r="K874" s="186"/>
      <c r="L874" s="186"/>
      <c r="M874" s="67"/>
      <c r="N874" s="67"/>
      <c r="O874" s="67"/>
      <c r="P874" s="67"/>
      <c r="Q874" s="186"/>
      <c r="R874" s="186"/>
      <c r="S874" s="187"/>
      <c r="T874" s="187"/>
      <c r="U874" s="186"/>
      <c r="V874" s="186"/>
      <c r="W874" s="186"/>
      <c r="X874" s="186"/>
    </row>
    <row r="875">
      <c r="A875" s="185"/>
      <c r="B875" s="67"/>
      <c r="C875" s="186"/>
      <c r="D875" s="186"/>
      <c r="E875" s="186"/>
      <c r="F875" s="186"/>
      <c r="G875" s="186"/>
      <c r="H875" s="186"/>
      <c r="I875" s="186"/>
      <c r="J875" s="186"/>
      <c r="K875" s="186"/>
      <c r="L875" s="186"/>
      <c r="M875" s="67"/>
      <c r="N875" s="67"/>
      <c r="O875" s="67"/>
      <c r="P875" s="67"/>
      <c r="Q875" s="186"/>
      <c r="R875" s="186"/>
      <c r="S875" s="187"/>
      <c r="T875" s="187"/>
      <c r="U875" s="186"/>
      <c r="V875" s="186"/>
      <c r="W875" s="186"/>
      <c r="X875" s="186"/>
    </row>
    <row r="876">
      <c r="A876" s="185"/>
      <c r="B876" s="67"/>
      <c r="C876" s="186"/>
      <c r="D876" s="186"/>
      <c r="E876" s="186"/>
      <c r="F876" s="186"/>
      <c r="G876" s="186"/>
      <c r="H876" s="186"/>
      <c r="I876" s="186"/>
      <c r="J876" s="186"/>
      <c r="K876" s="186"/>
      <c r="L876" s="186"/>
      <c r="M876" s="67"/>
      <c r="N876" s="67"/>
      <c r="O876" s="67"/>
      <c r="P876" s="67"/>
      <c r="Q876" s="186"/>
      <c r="R876" s="186"/>
      <c r="S876" s="187"/>
      <c r="T876" s="187"/>
      <c r="U876" s="186"/>
      <c r="V876" s="186"/>
      <c r="W876" s="186"/>
      <c r="X876" s="186"/>
    </row>
    <row r="877">
      <c r="A877" s="185"/>
      <c r="B877" s="67"/>
      <c r="C877" s="186"/>
      <c r="D877" s="186"/>
      <c r="E877" s="186"/>
      <c r="F877" s="186"/>
      <c r="G877" s="186"/>
      <c r="H877" s="186"/>
      <c r="I877" s="186"/>
      <c r="J877" s="186"/>
      <c r="K877" s="186"/>
      <c r="L877" s="186"/>
      <c r="M877" s="67"/>
      <c r="N877" s="67"/>
      <c r="O877" s="67"/>
      <c r="P877" s="67"/>
      <c r="Q877" s="186"/>
      <c r="R877" s="186"/>
      <c r="S877" s="187"/>
      <c r="T877" s="187"/>
      <c r="U877" s="186"/>
      <c r="V877" s="186"/>
      <c r="W877" s="186"/>
      <c r="X877" s="186"/>
    </row>
    <row r="878">
      <c r="A878" s="185"/>
      <c r="B878" s="67"/>
      <c r="C878" s="186"/>
      <c r="D878" s="186"/>
      <c r="E878" s="186"/>
      <c r="F878" s="186"/>
      <c r="G878" s="186"/>
      <c r="H878" s="186"/>
      <c r="I878" s="186"/>
      <c r="J878" s="186"/>
      <c r="K878" s="186"/>
      <c r="L878" s="186"/>
      <c r="M878" s="67"/>
      <c r="N878" s="67"/>
      <c r="O878" s="67"/>
      <c r="P878" s="67"/>
      <c r="Q878" s="186"/>
      <c r="R878" s="186"/>
      <c r="S878" s="187"/>
      <c r="T878" s="187"/>
      <c r="U878" s="186"/>
      <c r="V878" s="186"/>
      <c r="W878" s="186"/>
      <c r="X878" s="186"/>
    </row>
    <row r="879">
      <c r="A879" s="185"/>
      <c r="B879" s="67"/>
      <c r="C879" s="186"/>
      <c r="D879" s="186"/>
      <c r="E879" s="186"/>
      <c r="F879" s="186"/>
      <c r="G879" s="186"/>
      <c r="H879" s="186"/>
      <c r="I879" s="186"/>
      <c r="J879" s="186"/>
      <c r="K879" s="186"/>
      <c r="L879" s="186"/>
      <c r="M879" s="67"/>
      <c r="N879" s="67"/>
      <c r="O879" s="67"/>
      <c r="P879" s="67"/>
      <c r="Q879" s="186"/>
      <c r="R879" s="186"/>
      <c r="S879" s="187"/>
      <c r="T879" s="187"/>
      <c r="U879" s="186"/>
      <c r="V879" s="186"/>
      <c r="W879" s="186"/>
      <c r="X879" s="186"/>
    </row>
    <row r="880">
      <c r="A880" s="185"/>
      <c r="B880" s="67"/>
      <c r="C880" s="186"/>
      <c r="D880" s="186"/>
      <c r="E880" s="186"/>
      <c r="F880" s="186"/>
      <c r="G880" s="186"/>
      <c r="H880" s="186"/>
      <c r="I880" s="186"/>
      <c r="J880" s="186"/>
      <c r="K880" s="186"/>
      <c r="L880" s="186"/>
      <c r="M880" s="67"/>
      <c r="N880" s="67"/>
      <c r="O880" s="67"/>
      <c r="P880" s="67"/>
      <c r="Q880" s="186"/>
      <c r="R880" s="186"/>
      <c r="S880" s="187"/>
      <c r="T880" s="187"/>
      <c r="U880" s="186"/>
      <c r="V880" s="186"/>
      <c r="W880" s="186"/>
      <c r="X880" s="186"/>
    </row>
    <row r="881">
      <c r="A881" s="185"/>
      <c r="B881" s="67"/>
      <c r="C881" s="186"/>
      <c r="D881" s="186"/>
      <c r="E881" s="186"/>
      <c r="F881" s="186"/>
      <c r="G881" s="186"/>
      <c r="H881" s="186"/>
      <c r="I881" s="186"/>
      <c r="J881" s="186"/>
      <c r="K881" s="186"/>
      <c r="L881" s="186"/>
      <c r="M881" s="67"/>
      <c r="N881" s="67"/>
      <c r="O881" s="67"/>
      <c r="P881" s="67"/>
      <c r="Q881" s="186"/>
      <c r="R881" s="186"/>
      <c r="S881" s="187"/>
      <c r="T881" s="187"/>
      <c r="U881" s="186"/>
      <c r="V881" s="186"/>
      <c r="W881" s="186"/>
      <c r="X881" s="186"/>
    </row>
    <row r="882">
      <c r="A882" s="185"/>
      <c r="B882" s="67"/>
      <c r="C882" s="186"/>
      <c r="D882" s="186"/>
      <c r="E882" s="186"/>
      <c r="F882" s="186"/>
      <c r="G882" s="186"/>
      <c r="H882" s="186"/>
      <c r="I882" s="186"/>
      <c r="J882" s="186"/>
      <c r="K882" s="186"/>
      <c r="L882" s="186"/>
      <c r="M882" s="67"/>
      <c r="N882" s="67"/>
      <c r="O882" s="67"/>
      <c r="P882" s="67"/>
      <c r="Q882" s="186"/>
      <c r="R882" s="186"/>
      <c r="S882" s="187"/>
      <c r="T882" s="187"/>
      <c r="U882" s="186"/>
      <c r="V882" s="186"/>
      <c r="W882" s="186"/>
      <c r="X882" s="186"/>
    </row>
    <row r="883">
      <c r="A883" s="185"/>
      <c r="B883" s="67"/>
      <c r="C883" s="186"/>
      <c r="D883" s="186"/>
      <c r="E883" s="186"/>
      <c r="F883" s="186"/>
      <c r="G883" s="186"/>
      <c r="H883" s="186"/>
      <c r="I883" s="186"/>
      <c r="J883" s="186"/>
      <c r="K883" s="186"/>
      <c r="L883" s="186"/>
      <c r="M883" s="67"/>
      <c r="N883" s="67"/>
      <c r="O883" s="67"/>
      <c r="P883" s="67"/>
      <c r="Q883" s="186"/>
      <c r="R883" s="186"/>
      <c r="S883" s="187"/>
      <c r="T883" s="187"/>
      <c r="U883" s="186"/>
      <c r="V883" s="186"/>
      <c r="W883" s="186"/>
      <c r="X883" s="186"/>
    </row>
    <row r="884">
      <c r="A884" s="185"/>
      <c r="B884" s="67"/>
      <c r="C884" s="186"/>
      <c r="D884" s="186"/>
      <c r="E884" s="186"/>
      <c r="F884" s="186"/>
      <c r="G884" s="186"/>
      <c r="H884" s="186"/>
      <c r="I884" s="186"/>
      <c r="J884" s="186"/>
      <c r="K884" s="186"/>
      <c r="L884" s="186"/>
      <c r="M884" s="67"/>
      <c r="N884" s="67"/>
      <c r="O884" s="67"/>
      <c r="P884" s="67"/>
      <c r="Q884" s="186"/>
      <c r="R884" s="186"/>
      <c r="S884" s="187"/>
      <c r="T884" s="187"/>
      <c r="U884" s="186"/>
      <c r="V884" s="186"/>
      <c r="W884" s="186"/>
      <c r="X884" s="186"/>
    </row>
    <row r="885">
      <c r="A885" s="185"/>
      <c r="B885" s="67"/>
      <c r="C885" s="186"/>
      <c r="D885" s="186"/>
      <c r="E885" s="186"/>
      <c r="F885" s="186"/>
      <c r="G885" s="186"/>
      <c r="H885" s="186"/>
      <c r="I885" s="186"/>
      <c r="J885" s="186"/>
      <c r="K885" s="186"/>
      <c r="L885" s="186"/>
      <c r="M885" s="67"/>
      <c r="N885" s="67"/>
      <c r="O885" s="67"/>
      <c r="P885" s="67"/>
      <c r="Q885" s="186"/>
      <c r="R885" s="186"/>
      <c r="S885" s="187"/>
      <c r="T885" s="187"/>
      <c r="U885" s="186"/>
      <c r="V885" s="186"/>
      <c r="W885" s="186"/>
      <c r="X885" s="186"/>
    </row>
    <row r="886">
      <c r="A886" s="185"/>
      <c r="B886" s="67"/>
      <c r="C886" s="186"/>
      <c r="D886" s="186"/>
      <c r="E886" s="186"/>
      <c r="F886" s="186"/>
      <c r="G886" s="186"/>
      <c r="H886" s="186"/>
      <c r="I886" s="186"/>
      <c r="J886" s="186"/>
      <c r="K886" s="186"/>
      <c r="L886" s="186"/>
      <c r="M886" s="67"/>
      <c r="N886" s="67"/>
      <c r="O886" s="67"/>
      <c r="P886" s="67"/>
      <c r="Q886" s="186"/>
      <c r="R886" s="186"/>
      <c r="S886" s="187"/>
      <c r="T886" s="187"/>
      <c r="U886" s="186"/>
      <c r="V886" s="186"/>
      <c r="W886" s="186"/>
      <c r="X886" s="186"/>
    </row>
    <row r="887">
      <c r="A887" s="185"/>
      <c r="B887" s="67"/>
      <c r="C887" s="186"/>
      <c r="D887" s="186"/>
      <c r="E887" s="186"/>
      <c r="F887" s="186"/>
      <c r="G887" s="186"/>
      <c r="H887" s="186"/>
      <c r="I887" s="186"/>
      <c r="J887" s="186"/>
      <c r="K887" s="186"/>
      <c r="L887" s="186"/>
      <c r="M887" s="67"/>
      <c r="N887" s="67"/>
      <c r="O887" s="67"/>
      <c r="P887" s="67"/>
      <c r="Q887" s="186"/>
      <c r="R887" s="186"/>
      <c r="S887" s="187"/>
      <c r="T887" s="187"/>
      <c r="U887" s="186"/>
      <c r="V887" s="186"/>
      <c r="W887" s="186"/>
      <c r="X887" s="186"/>
    </row>
    <row r="888">
      <c r="A888" s="185"/>
      <c r="B888" s="67"/>
      <c r="C888" s="186"/>
      <c r="D888" s="186"/>
      <c r="E888" s="186"/>
      <c r="F888" s="186"/>
      <c r="G888" s="186"/>
      <c r="H888" s="186"/>
      <c r="I888" s="186"/>
      <c r="J888" s="186"/>
      <c r="K888" s="186"/>
      <c r="L888" s="186"/>
      <c r="M888" s="67"/>
      <c r="N888" s="67"/>
      <c r="O888" s="67"/>
      <c r="P888" s="67"/>
      <c r="Q888" s="186"/>
      <c r="R888" s="186"/>
      <c r="S888" s="187"/>
      <c r="T888" s="187"/>
      <c r="U888" s="186"/>
      <c r="V888" s="186"/>
      <c r="W888" s="186"/>
      <c r="X888" s="186"/>
    </row>
    <row r="889">
      <c r="A889" s="185"/>
      <c r="B889" s="67"/>
      <c r="C889" s="186"/>
      <c r="D889" s="186"/>
      <c r="E889" s="186"/>
      <c r="F889" s="186"/>
      <c r="G889" s="186"/>
      <c r="H889" s="186"/>
      <c r="I889" s="186"/>
      <c r="J889" s="186"/>
      <c r="K889" s="186"/>
      <c r="L889" s="186"/>
      <c r="M889" s="67"/>
      <c r="N889" s="67"/>
      <c r="O889" s="67"/>
      <c r="P889" s="67"/>
      <c r="Q889" s="186"/>
      <c r="R889" s="186"/>
      <c r="S889" s="187"/>
      <c r="T889" s="187"/>
      <c r="U889" s="186"/>
      <c r="V889" s="186"/>
      <c r="W889" s="186"/>
      <c r="X889" s="186"/>
    </row>
    <row r="890">
      <c r="A890" s="185"/>
      <c r="B890" s="67"/>
      <c r="C890" s="186"/>
      <c r="D890" s="186"/>
      <c r="E890" s="186"/>
      <c r="F890" s="186"/>
      <c r="G890" s="186"/>
      <c r="H890" s="186"/>
      <c r="I890" s="186"/>
      <c r="J890" s="186"/>
      <c r="K890" s="186"/>
      <c r="L890" s="186"/>
      <c r="M890" s="67"/>
      <c r="N890" s="67"/>
      <c r="O890" s="67"/>
      <c r="P890" s="67"/>
      <c r="Q890" s="186"/>
      <c r="R890" s="186"/>
      <c r="S890" s="187"/>
      <c r="T890" s="187"/>
      <c r="U890" s="186"/>
      <c r="V890" s="186"/>
      <c r="W890" s="186"/>
      <c r="X890" s="186"/>
    </row>
    <row r="891">
      <c r="A891" s="185"/>
      <c r="B891" s="67"/>
      <c r="C891" s="186"/>
      <c r="D891" s="186"/>
      <c r="E891" s="186"/>
      <c r="F891" s="186"/>
      <c r="G891" s="186"/>
      <c r="H891" s="186"/>
      <c r="I891" s="186"/>
      <c r="J891" s="186"/>
      <c r="K891" s="186"/>
      <c r="L891" s="186"/>
      <c r="M891" s="67"/>
      <c r="N891" s="67"/>
      <c r="O891" s="67"/>
      <c r="P891" s="67"/>
      <c r="Q891" s="186"/>
      <c r="R891" s="186"/>
      <c r="S891" s="187"/>
      <c r="T891" s="187"/>
      <c r="U891" s="186"/>
      <c r="V891" s="186"/>
      <c r="W891" s="186"/>
      <c r="X891" s="186"/>
    </row>
    <row r="892">
      <c r="A892" s="185"/>
      <c r="B892" s="67"/>
      <c r="C892" s="186"/>
      <c r="D892" s="186"/>
      <c r="E892" s="186"/>
      <c r="F892" s="186"/>
      <c r="G892" s="186"/>
      <c r="H892" s="186"/>
      <c r="I892" s="186"/>
      <c r="J892" s="186"/>
      <c r="K892" s="186"/>
      <c r="L892" s="186"/>
      <c r="M892" s="67"/>
      <c r="N892" s="67"/>
      <c r="O892" s="67"/>
      <c r="P892" s="67"/>
      <c r="Q892" s="186"/>
      <c r="R892" s="186"/>
      <c r="S892" s="187"/>
      <c r="T892" s="187"/>
      <c r="U892" s="186"/>
      <c r="V892" s="186"/>
      <c r="W892" s="186"/>
      <c r="X892" s="186"/>
    </row>
    <row r="893">
      <c r="A893" s="185"/>
      <c r="B893" s="67"/>
      <c r="C893" s="186"/>
      <c r="D893" s="186"/>
      <c r="E893" s="186"/>
      <c r="F893" s="186"/>
      <c r="G893" s="186"/>
      <c r="H893" s="186"/>
      <c r="I893" s="186"/>
      <c r="J893" s="186"/>
      <c r="K893" s="186"/>
      <c r="L893" s="186"/>
      <c r="M893" s="67"/>
      <c r="N893" s="67"/>
      <c r="O893" s="67"/>
      <c r="P893" s="67"/>
      <c r="Q893" s="186"/>
      <c r="R893" s="186"/>
      <c r="S893" s="187"/>
      <c r="T893" s="187"/>
      <c r="U893" s="186"/>
      <c r="V893" s="186"/>
      <c r="W893" s="186"/>
      <c r="X893" s="186"/>
    </row>
    <row r="894">
      <c r="A894" s="185"/>
      <c r="B894" s="67"/>
      <c r="C894" s="186"/>
      <c r="D894" s="186"/>
      <c r="E894" s="186"/>
      <c r="F894" s="186"/>
      <c r="G894" s="186"/>
      <c r="H894" s="186"/>
      <c r="I894" s="186"/>
      <c r="J894" s="186"/>
      <c r="K894" s="186"/>
      <c r="L894" s="186"/>
      <c r="M894" s="67"/>
      <c r="N894" s="67"/>
      <c r="O894" s="67"/>
      <c r="P894" s="67"/>
      <c r="Q894" s="186"/>
      <c r="R894" s="186"/>
      <c r="S894" s="187"/>
      <c r="T894" s="187"/>
      <c r="U894" s="186"/>
      <c r="V894" s="186"/>
      <c r="W894" s="186"/>
      <c r="X894" s="186"/>
    </row>
    <row r="895">
      <c r="A895" s="185"/>
      <c r="B895" s="67"/>
      <c r="C895" s="186"/>
      <c r="D895" s="186"/>
      <c r="E895" s="186"/>
      <c r="F895" s="186"/>
      <c r="G895" s="186"/>
      <c r="H895" s="186"/>
      <c r="I895" s="186"/>
      <c r="J895" s="186"/>
      <c r="K895" s="186"/>
      <c r="L895" s="186"/>
      <c r="M895" s="67"/>
      <c r="N895" s="67"/>
      <c r="O895" s="67"/>
      <c r="P895" s="67"/>
      <c r="Q895" s="186"/>
      <c r="R895" s="186"/>
      <c r="S895" s="187"/>
      <c r="T895" s="187"/>
      <c r="U895" s="186"/>
      <c r="V895" s="186"/>
      <c r="W895" s="186"/>
      <c r="X895" s="186"/>
    </row>
    <row r="896">
      <c r="A896" s="185"/>
      <c r="B896" s="67"/>
      <c r="C896" s="186"/>
      <c r="D896" s="186"/>
      <c r="E896" s="186"/>
      <c r="F896" s="186"/>
      <c r="G896" s="186"/>
      <c r="H896" s="186"/>
      <c r="I896" s="186"/>
      <c r="J896" s="186"/>
      <c r="K896" s="186"/>
      <c r="L896" s="186"/>
      <c r="M896" s="67"/>
      <c r="N896" s="67"/>
      <c r="O896" s="67"/>
      <c r="P896" s="67"/>
      <c r="Q896" s="186"/>
      <c r="R896" s="186"/>
      <c r="S896" s="187"/>
      <c r="T896" s="187"/>
      <c r="U896" s="186"/>
      <c r="V896" s="186"/>
      <c r="W896" s="186"/>
      <c r="X896" s="186"/>
    </row>
    <row r="897">
      <c r="A897" s="185"/>
      <c r="B897" s="67"/>
      <c r="C897" s="186"/>
      <c r="D897" s="186"/>
      <c r="E897" s="186"/>
      <c r="F897" s="186"/>
      <c r="G897" s="186"/>
      <c r="H897" s="186"/>
      <c r="I897" s="186"/>
      <c r="J897" s="186"/>
      <c r="K897" s="186"/>
      <c r="L897" s="186"/>
      <c r="M897" s="67"/>
      <c r="N897" s="67"/>
      <c r="O897" s="67"/>
      <c r="P897" s="67"/>
      <c r="Q897" s="186"/>
      <c r="R897" s="186"/>
      <c r="S897" s="187"/>
      <c r="T897" s="187"/>
      <c r="U897" s="186"/>
      <c r="V897" s="186"/>
      <c r="W897" s="186"/>
      <c r="X897" s="186"/>
    </row>
    <row r="898">
      <c r="A898" s="185"/>
      <c r="B898" s="67"/>
      <c r="C898" s="186"/>
      <c r="D898" s="186"/>
      <c r="E898" s="186"/>
      <c r="F898" s="186"/>
      <c r="G898" s="186"/>
      <c r="H898" s="186"/>
      <c r="I898" s="186"/>
      <c r="J898" s="186"/>
      <c r="K898" s="186"/>
      <c r="L898" s="186"/>
      <c r="M898" s="67"/>
      <c r="N898" s="67"/>
      <c r="O898" s="67"/>
      <c r="P898" s="67"/>
      <c r="Q898" s="186"/>
      <c r="R898" s="186"/>
      <c r="S898" s="187"/>
      <c r="T898" s="187"/>
      <c r="U898" s="186"/>
      <c r="V898" s="186"/>
      <c r="W898" s="186"/>
      <c r="X898" s="186"/>
    </row>
    <row r="899">
      <c r="A899" s="185"/>
      <c r="B899" s="67"/>
      <c r="C899" s="186"/>
      <c r="D899" s="186"/>
      <c r="E899" s="186"/>
      <c r="F899" s="186"/>
      <c r="G899" s="186"/>
      <c r="H899" s="186"/>
      <c r="I899" s="186"/>
      <c r="J899" s="186"/>
      <c r="K899" s="186"/>
      <c r="L899" s="186"/>
      <c r="M899" s="67"/>
      <c r="N899" s="67"/>
      <c r="O899" s="67"/>
      <c r="P899" s="67"/>
      <c r="Q899" s="186"/>
      <c r="R899" s="186"/>
      <c r="S899" s="187"/>
      <c r="T899" s="187"/>
      <c r="U899" s="186"/>
      <c r="V899" s="186"/>
      <c r="W899" s="186"/>
      <c r="X899" s="186"/>
    </row>
    <row r="900">
      <c r="A900" s="185"/>
      <c r="B900" s="67"/>
      <c r="C900" s="186"/>
      <c r="D900" s="186"/>
      <c r="E900" s="186"/>
      <c r="F900" s="186"/>
      <c r="G900" s="186"/>
      <c r="H900" s="186"/>
      <c r="I900" s="186"/>
      <c r="J900" s="186"/>
      <c r="K900" s="186"/>
      <c r="L900" s="186"/>
      <c r="M900" s="67"/>
      <c r="N900" s="67"/>
      <c r="O900" s="67"/>
      <c r="P900" s="67"/>
      <c r="Q900" s="186"/>
      <c r="R900" s="186"/>
      <c r="S900" s="187"/>
      <c r="T900" s="187"/>
      <c r="U900" s="186"/>
      <c r="V900" s="186"/>
      <c r="W900" s="186"/>
      <c r="X900" s="186"/>
    </row>
    <row r="901">
      <c r="A901" s="185"/>
      <c r="B901" s="67"/>
      <c r="C901" s="186"/>
      <c r="D901" s="186"/>
      <c r="E901" s="186"/>
      <c r="F901" s="186"/>
      <c r="G901" s="186"/>
      <c r="H901" s="186"/>
      <c r="I901" s="186"/>
      <c r="J901" s="186"/>
      <c r="K901" s="186"/>
      <c r="L901" s="186"/>
      <c r="M901" s="67"/>
      <c r="N901" s="67"/>
      <c r="O901" s="67"/>
      <c r="P901" s="67"/>
      <c r="Q901" s="186"/>
      <c r="R901" s="186"/>
      <c r="S901" s="187"/>
      <c r="T901" s="187"/>
      <c r="U901" s="186"/>
      <c r="V901" s="186"/>
      <c r="W901" s="186"/>
      <c r="X901" s="186"/>
    </row>
    <row r="902">
      <c r="A902" s="185"/>
      <c r="B902" s="67"/>
      <c r="C902" s="186"/>
      <c r="D902" s="186"/>
      <c r="E902" s="186"/>
      <c r="F902" s="186"/>
      <c r="G902" s="186"/>
      <c r="H902" s="186"/>
      <c r="I902" s="186"/>
      <c r="J902" s="186"/>
      <c r="K902" s="186"/>
      <c r="L902" s="186"/>
      <c r="M902" s="67"/>
      <c r="N902" s="67"/>
      <c r="O902" s="67"/>
      <c r="P902" s="67"/>
      <c r="Q902" s="186"/>
      <c r="R902" s="186"/>
      <c r="S902" s="187"/>
      <c r="T902" s="187"/>
      <c r="U902" s="186"/>
      <c r="V902" s="186"/>
      <c r="W902" s="186"/>
      <c r="X902" s="186"/>
    </row>
    <row r="903">
      <c r="A903" s="185"/>
      <c r="B903" s="67"/>
      <c r="C903" s="186"/>
      <c r="D903" s="186"/>
      <c r="E903" s="186"/>
      <c r="F903" s="186"/>
      <c r="G903" s="186"/>
      <c r="H903" s="186"/>
      <c r="I903" s="186"/>
      <c r="J903" s="186"/>
      <c r="K903" s="186"/>
      <c r="L903" s="186"/>
      <c r="M903" s="67"/>
      <c r="N903" s="67"/>
      <c r="O903" s="67"/>
      <c r="P903" s="67"/>
      <c r="Q903" s="186"/>
      <c r="R903" s="186"/>
      <c r="S903" s="187"/>
      <c r="T903" s="187"/>
      <c r="U903" s="186"/>
      <c r="V903" s="186"/>
      <c r="W903" s="186"/>
      <c r="X903" s="186"/>
    </row>
    <row r="904">
      <c r="A904" s="185"/>
      <c r="B904" s="67"/>
      <c r="C904" s="186"/>
      <c r="D904" s="186"/>
      <c r="E904" s="186"/>
      <c r="F904" s="186"/>
      <c r="G904" s="186"/>
      <c r="H904" s="186"/>
      <c r="I904" s="186"/>
      <c r="J904" s="186"/>
      <c r="K904" s="186"/>
      <c r="L904" s="186"/>
      <c r="M904" s="67"/>
      <c r="N904" s="67"/>
      <c r="O904" s="67"/>
      <c r="P904" s="67"/>
      <c r="Q904" s="186"/>
      <c r="R904" s="186"/>
      <c r="S904" s="187"/>
      <c r="T904" s="187"/>
      <c r="U904" s="186"/>
      <c r="V904" s="186"/>
      <c r="W904" s="186"/>
      <c r="X904" s="186"/>
    </row>
    <row r="905">
      <c r="A905" s="185"/>
      <c r="B905" s="67"/>
      <c r="C905" s="186"/>
      <c r="D905" s="186"/>
      <c r="E905" s="186"/>
      <c r="F905" s="186"/>
      <c r="G905" s="186"/>
      <c r="H905" s="186"/>
      <c r="I905" s="186"/>
      <c r="J905" s="186"/>
      <c r="K905" s="186"/>
      <c r="L905" s="186"/>
      <c r="M905" s="67"/>
      <c r="N905" s="67"/>
      <c r="O905" s="67"/>
      <c r="P905" s="67"/>
      <c r="Q905" s="186"/>
      <c r="R905" s="186"/>
      <c r="S905" s="187"/>
      <c r="T905" s="187"/>
      <c r="U905" s="186"/>
      <c r="V905" s="186"/>
      <c r="W905" s="186"/>
      <c r="X905" s="186"/>
    </row>
    <row r="906">
      <c r="A906" s="185"/>
      <c r="B906" s="67"/>
      <c r="C906" s="186"/>
      <c r="D906" s="186"/>
      <c r="E906" s="186"/>
      <c r="F906" s="186"/>
      <c r="G906" s="186"/>
      <c r="H906" s="186"/>
      <c r="I906" s="186"/>
      <c r="J906" s="186"/>
      <c r="K906" s="186"/>
      <c r="L906" s="186"/>
      <c r="M906" s="67"/>
      <c r="N906" s="67"/>
      <c r="O906" s="67"/>
      <c r="P906" s="67"/>
      <c r="Q906" s="186"/>
      <c r="R906" s="186"/>
      <c r="S906" s="187"/>
      <c r="T906" s="187"/>
      <c r="U906" s="186"/>
      <c r="V906" s="186"/>
      <c r="W906" s="186"/>
      <c r="X906" s="186"/>
    </row>
    <row r="907">
      <c r="A907" s="185"/>
      <c r="B907" s="67"/>
      <c r="C907" s="186"/>
      <c r="D907" s="186"/>
      <c r="E907" s="186"/>
      <c r="F907" s="186"/>
      <c r="G907" s="186"/>
      <c r="H907" s="186"/>
      <c r="I907" s="186"/>
      <c r="J907" s="186"/>
      <c r="K907" s="186"/>
      <c r="L907" s="186"/>
      <c r="M907" s="67"/>
      <c r="N907" s="67"/>
      <c r="O907" s="67"/>
      <c r="P907" s="67"/>
      <c r="Q907" s="186"/>
      <c r="R907" s="186"/>
      <c r="S907" s="187"/>
      <c r="T907" s="187"/>
      <c r="U907" s="186"/>
      <c r="V907" s="186"/>
      <c r="W907" s="186"/>
      <c r="X907" s="186"/>
    </row>
    <row r="908">
      <c r="A908" s="185"/>
      <c r="B908" s="67"/>
      <c r="C908" s="186"/>
      <c r="D908" s="186"/>
      <c r="E908" s="186"/>
      <c r="F908" s="186"/>
      <c r="G908" s="186"/>
      <c r="H908" s="186"/>
      <c r="I908" s="186"/>
      <c r="J908" s="186"/>
      <c r="K908" s="186"/>
      <c r="L908" s="186"/>
      <c r="M908" s="67"/>
      <c r="N908" s="67"/>
      <c r="O908" s="67"/>
      <c r="P908" s="67"/>
      <c r="Q908" s="186"/>
      <c r="R908" s="186"/>
      <c r="S908" s="187"/>
      <c r="T908" s="187"/>
      <c r="U908" s="186"/>
      <c r="V908" s="186"/>
      <c r="W908" s="186"/>
      <c r="X908" s="186"/>
    </row>
    <row r="909">
      <c r="A909" s="185"/>
      <c r="B909" s="67"/>
      <c r="C909" s="186"/>
      <c r="D909" s="186"/>
      <c r="E909" s="186"/>
      <c r="F909" s="186"/>
      <c r="G909" s="186"/>
      <c r="H909" s="186"/>
      <c r="I909" s="186"/>
      <c r="J909" s="186"/>
      <c r="K909" s="186"/>
      <c r="L909" s="186"/>
      <c r="M909" s="67"/>
      <c r="N909" s="67"/>
      <c r="O909" s="67"/>
      <c r="P909" s="67"/>
      <c r="Q909" s="186"/>
      <c r="R909" s="186"/>
      <c r="S909" s="187"/>
      <c r="T909" s="187"/>
      <c r="U909" s="186"/>
      <c r="V909" s="186"/>
      <c r="W909" s="186"/>
      <c r="X909" s="186"/>
    </row>
    <row r="910">
      <c r="A910" s="185"/>
      <c r="B910" s="67"/>
      <c r="C910" s="186"/>
      <c r="D910" s="186"/>
      <c r="E910" s="186"/>
      <c r="F910" s="186"/>
      <c r="G910" s="186"/>
      <c r="H910" s="186"/>
      <c r="I910" s="186"/>
      <c r="J910" s="186"/>
      <c r="K910" s="186"/>
      <c r="L910" s="186"/>
      <c r="M910" s="67"/>
      <c r="N910" s="67"/>
      <c r="O910" s="67"/>
      <c r="P910" s="67"/>
      <c r="Q910" s="186"/>
      <c r="R910" s="186"/>
      <c r="S910" s="187"/>
      <c r="T910" s="187"/>
      <c r="U910" s="186"/>
      <c r="V910" s="186"/>
      <c r="W910" s="186"/>
      <c r="X910" s="186"/>
    </row>
    <row r="911">
      <c r="A911" s="185"/>
      <c r="B911" s="67"/>
      <c r="C911" s="186"/>
      <c r="D911" s="186"/>
      <c r="E911" s="186"/>
      <c r="F911" s="186"/>
      <c r="G911" s="186"/>
      <c r="H911" s="186"/>
      <c r="I911" s="186"/>
      <c r="J911" s="186"/>
      <c r="K911" s="186"/>
      <c r="L911" s="186"/>
      <c r="M911" s="67"/>
      <c r="N911" s="67"/>
      <c r="O911" s="67"/>
      <c r="P911" s="67"/>
      <c r="Q911" s="186"/>
      <c r="R911" s="186"/>
      <c r="S911" s="187"/>
      <c r="T911" s="187"/>
      <c r="U911" s="186"/>
      <c r="V911" s="186"/>
      <c r="W911" s="186"/>
      <c r="X911" s="186"/>
    </row>
    <row r="912">
      <c r="A912" s="185"/>
      <c r="B912" s="67"/>
      <c r="C912" s="186"/>
      <c r="D912" s="186"/>
      <c r="E912" s="186"/>
      <c r="F912" s="186"/>
      <c r="G912" s="186"/>
      <c r="H912" s="186"/>
      <c r="I912" s="186"/>
      <c r="J912" s="186"/>
      <c r="K912" s="186"/>
      <c r="L912" s="186"/>
      <c r="M912" s="67"/>
      <c r="N912" s="67"/>
      <c r="O912" s="67"/>
      <c r="P912" s="67"/>
      <c r="Q912" s="186"/>
      <c r="R912" s="186"/>
      <c r="S912" s="187"/>
      <c r="T912" s="187"/>
      <c r="U912" s="186"/>
      <c r="V912" s="186"/>
      <c r="W912" s="186"/>
      <c r="X912" s="186"/>
    </row>
    <row r="913">
      <c r="A913" s="185"/>
      <c r="B913" s="67"/>
      <c r="C913" s="186"/>
      <c r="D913" s="186"/>
      <c r="E913" s="186"/>
      <c r="F913" s="186"/>
      <c r="G913" s="186"/>
      <c r="H913" s="186"/>
      <c r="I913" s="186"/>
      <c r="J913" s="186"/>
      <c r="K913" s="186"/>
      <c r="L913" s="186"/>
      <c r="M913" s="67"/>
      <c r="N913" s="67"/>
      <c r="O913" s="67"/>
      <c r="P913" s="67"/>
      <c r="Q913" s="186"/>
      <c r="R913" s="186"/>
      <c r="S913" s="187"/>
      <c r="T913" s="187"/>
      <c r="U913" s="186"/>
      <c r="V913" s="186"/>
      <c r="W913" s="186"/>
      <c r="X913" s="186"/>
    </row>
    <row r="914">
      <c r="A914" s="185"/>
      <c r="B914" s="67"/>
      <c r="C914" s="186"/>
      <c r="D914" s="186"/>
      <c r="E914" s="186"/>
      <c r="F914" s="186"/>
      <c r="G914" s="186"/>
      <c r="H914" s="186"/>
      <c r="I914" s="186"/>
      <c r="J914" s="186"/>
      <c r="K914" s="186"/>
      <c r="L914" s="186"/>
      <c r="M914" s="67"/>
      <c r="N914" s="67"/>
      <c r="O914" s="67"/>
      <c r="P914" s="67"/>
      <c r="Q914" s="186"/>
      <c r="R914" s="186"/>
      <c r="S914" s="187"/>
      <c r="T914" s="187"/>
      <c r="U914" s="186"/>
      <c r="V914" s="186"/>
      <c r="W914" s="186"/>
      <c r="X914" s="186"/>
    </row>
    <row r="915">
      <c r="A915" s="185"/>
      <c r="B915" s="67"/>
      <c r="C915" s="186"/>
      <c r="D915" s="186"/>
      <c r="E915" s="186"/>
      <c r="F915" s="186"/>
      <c r="G915" s="186"/>
      <c r="H915" s="186"/>
      <c r="I915" s="186"/>
      <c r="J915" s="186"/>
      <c r="K915" s="186"/>
      <c r="L915" s="186"/>
      <c r="M915" s="67"/>
      <c r="N915" s="67"/>
      <c r="O915" s="67"/>
      <c r="P915" s="67"/>
      <c r="Q915" s="186"/>
      <c r="R915" s="186"/>
      <c r="S915" s="187"/>
      <c r="T915" s="187"/>
      <c r="U915" s="186"/>
      <c r="V915" s="186"/>
      <c r="W915" s="186"/>
      <c r="X915" s="186"/>
    </row>
    <row r="916">
      <c r="A916" s="185"/>
      <c r="B916" s="67"/>
      <c r="C916" s="186"/>
      <c r="D916" s="186"/>
      <c r="E916" s="186"/>
      <c r="F916" s="186"/>
      <c r="G916" s="186"/>
      <c r="H916" s="186"/>
      <c r="I916" s="186"/>
      <c r="J916" s="186"/>
      <c r="K916" s="186"/>
      <c r="L916" s="186"/>
      <c r="M916" s="67"/>
      <c r="N916" s="67"/>
      <c r="O916" s="67"/>
      <c r="P916" s="67"/>
      <c r="Q916" s="186"/>
      <c r="R916" s="186"/>
      <c r="S916" s="187"/>
      <c r="T916" s="187"/>
      <c r="U916" s="186"/>
      <c r="V916" s="186"/>
      <c r="W916" s="186"/>
      <c r="X916" s="186"/>
    </row>
    <row r="917">
      <c r="A917" s="185"/>
      <c r="B917" s="67"/>
      <c r="C917" s="186"/>
      <c r="D917" s="186"/>
      <c r="E917" s="186"/>
      <c r="F917" s="186"/>
      <c r="G917" s="186"/>
      <c r="H917" s="186"/>
      <c r="I917" s="186"/>
      <c r="J917" s="186"/>
      <c r="K917" s="186"/>
      <c r="L917" s="186"/>
      <c r="M917" s="67"/>
      <c r="N917" s="67"/>
      <c r="O917" s="67"/>
      <c r="P917" s="67"/>
      <c r="Q917" s="186"/>
      <c r="R917" s="186"/>
      <c r="S917" s="187"/>
      <c r="T917" s="187"/>
      <c r="U917" s="186"/>
      <c r="V917" s="186"/>
      <c r="W917" s="186"/>
      <c r="X917" s="186"/>
    </row>
    <row r="918">
      <c r="A918" s="185"/>
      <c r="B918" s="67"/>
      <c r="C918" s="186"/>
      <c r="D918" s="186"/>
      <c r="E918" s="186"/>
      <c r="F918" s="186"/>
      <c r="G918" s="186"/>
      <c r="H918" s="186"/>
      <c r="I918" s="186"/>
      <c r="J918" s="186"/>
      <c r="K918" s="186"/>
      <c r="L918" s="186"/>
      <c r="M918" s="67"/>
      <c r="N918" s="67"/>
      <c r="O918" s="67"/>
      <c r="P918" s="67"/>
      <c r="Q918" s="186"/>
      <c r="R918" s="186"/>
      <c r="S918" s="187"/>
      <c r="T918" s="187"/>
      <c r="U918" s="186"/>
      <c r="V918" s="186"/>
      <c r="W918" s="186"/>
      <c r="X918" s="186"/>
    </row>
    <row r="919">
      <c r="A919" s="185"/>
      <c r="B919" s="67"/>
      <c r="C919" s="186"/>
      <c r="D919" s="186"/>
      <c r="E919" s="186"/>
      <c r="F919" s="186"/>
      <c r="G919" s="186"/>
      <c r="H919" s="186"/>
      <c r="I919" s="186"/>
      <c r="J919" s="186"/>
      <c r="K919" s="186"/>
      <c r="L919" s="186"/>
      <c r="M919" s="67"/>
      <c r="N919" s="67"/>
      <c r="O919" s="67"/>
      <c r="P919" s="67"/>
      <c r="Q919" s="186"/>
      <c r="R919" s="186"/>
      <c r="S919" s="187"/>
      <c r="T919" s="187"/>
      <c r="U919" s="186"/>
      <c r="V919" s="186"/>
      <c r="W919" s="186"/>
      <c r="X919" s="186"/>
    </row>
    <row r="920">
      <c r="A920" s="185"/>
      <c r="B920" s="67"/>
      <c r="C920" s="186"/>
      <c r="D920" s="186"/>
      <c r="E920" s="186"/>
      <c r="F920" s="186"/>
      <c r="G920" s="186"/>
      <c r="H920" s="186"/>
      <c r="I920" s="186"/>
      <c r="J920" s="186"/>
      <c r="K920" s="186"/>
      <c r="L920" s="186"/>
      <c r="M920" s="67"/>
      <c r="N920" s="67"/>
      <c r="O920" s="67"/>
      <c r="P920" s="67"/>
      <c r="Q920" s="186"/>
      <c r="R920" s="186"/>
      <c r="S920" s="187"/>
      <c r="T920" s="187"/>
      <c r="U920" s="186"/>
      <c r="V920" s="186"/>
      <c r="W920" s="186"/>
      <c r="X920" s="186"/>
    </row>
    <row r="921">
      <c r="A921" s="185"/>
      <c r="B921" s="67"/>
      <c r="C921" s="186"/>
      <c r="D921" s="186"/>
      <c r="E921" s="186"/>
      <c r="F921" s="186"/>
      <c r="G921" s="186"/>
      <c r="H921" s="186"/>
      <c r="I921" s="186"/>
      <c r="J921" s="186"/>
      <c r="K921" s="186"/>
      <c r="L921" s="186"/>
      <c r="M921" s="67"/>
      <c r="N921" s="67"/>
      <c r="O921" s="67"/>
      <c r="P921" s="67"/>
      <c r="Q921" s="186"/>
      <c r="R921" s="186"/>
      <c r="S921" s="187"/>
      <c r="T921" s="187"/>
      <c r="U921" s="186"/>
      <c r="V921" s="186"/>
      <c r="W921" s="186"/>
      <c r="X921" s="186"/>
    </row>
    <row r="922">
      <c r="A922" s="185"/>
      <c r="B922" s="67"/>
      <c r="C922" s="186"/>
      <c r="D922" s="186"/>
      <c r="E922" s="186"/>
      <c r="F922" s="186"/>
      <c r="G922" s="186"/>
      <c r="H922" s="186"/>
      <c r="I922" s="186"/>
      <c r="J922" s="186"/>
      <c r="K922" s="186"/>
      <c r="L922" s="186"/>
      <c r="M922" s="67"/>
      <c r="N922" s="67"/>
      <c r="O922" s="67"/>
      <c r="P922" s="67"/>
      <c r="Q922" s="186"/>
      <c r="R922" s="186"/>
      <c r="S922" s="187"/>
      <c r="T922" s="187"/>
      <c r="U922" s="186"/>
      <c r="V922" s="186"/>
      <c r="W922" s="186"/>
      <c r="X922" s="186"/>
    </row>
    <row r="923">
      <c r="A923" s="185"/>
      <c r="B923" s="67"/>
      <c r="C923" s="186"/>
      <c r="D923" s="186"/>
      <c r="E923" s="186"/>
      <c r="F923" s="186"/>
      <c r="G923" s="186"/>
      <c r="H923" s="186"/>
      <c r="I923" s="186"/>
      <c r="J923" s="186"/>
      <c r="K923" s="186"/>
      <c r="L923" s="186"/>
      <c r="M923" s="67"/>
      <c r="N923" s="67"/>
      <c r="O923" s="67"/>
      <c r="P923" s="67"/>
      <c r="Q923" s="186"/>
      <c r="R923" s="186"/>
      <c r="S923" s="187"/>
      <c r="T923" s="187"/>
      <c r="U923" s="186"/>
      <c r="V923" s="186"/>
      <c r="W923" s="186"/>
      <c r="X923" s="186"/>
    </row>
    <row r="924">
      <c r="A924" s="185"/>
      <c r="B924" s="67"/>
      <c r="C924" s="186"/>
      <c r="D924" s="186"/>
      <c r="E924" s="186"/>
      <c r="F924" s="186"/>
      <c r="G924" s="186"/>
      <c r="H924" s="186"/>
      <c r="I924" s="186"/>
      <c r="J924" s="186"/>
      <c r="K924" s="186"/>
      <c r="L924" s="186"/>
      <c r="M924" s="67"/>
      <c r="N924" s="67"/>
      <c r="O924" s="67"/>
      <c r="P924" s="67"/>
      <c r="Q924" s="186"/>
      <c r="R924" s="186"/>
      <c r="S924" s="187"/>
      <c r="T924" s="187"/>
      <c r="U924" s="186"/>
      <c r="V924" s="186"/>
      <c r="W924" s="186"/>
      <c r="X924" s="186"/>
    </row>
    <row r="925">
      <c r="A925" s="185"/>
      <c r="B925" s="67"/>
      <c r="C925" s="186"/>
      <c r="D925" s="186"/>
      <c r="E925" s="186"/>
      <c r="F925" s="186"/>
      <c r="G925" s="186"/>
      <c r="H925" s="186"/>
      <c r="I925" s="186"/>
      <c r="J925" s="186"/>
      <c r="K925" s="186"/>
      <c r="L925" s="186"/>
      <c r="M925" s="67"/>
      <c r="N925" s="67"/>
      <c r="O925" s="67"/>
      <c r="P925" s="67"/>
      <c r="Q925" s="186"/>
      <c r="R925" s="186"/>
      <c r="S925" s="187"/>
      <c r="T925" s="187"/>
      <c r="U925" s="186"/>
      <c r="V925" s="186"/>
      <c r="W925" s="186"/>
      <c r="X925" s="186"/>
    </row>
    <row r="926">
      <c r="A926" s="185"/>
      <c r="B926" s="67"/>
      <c r="C926" s="186"/>
      <c r="D926" s="186"/>
      <c r="E926" s="186"/>
      <c r="F926" s="186"/>
      <c r="G926" s="186"/>
      <c r="H926" s="186"/>
      <c r="I926" s="186"/>
      <c r="J926" s="186"/>
      <c r="K926" s="186"/>
      <c r="L926" s="186"/>
      <c r="M926" s="67"/>
      <c r="N926" s="67"/>
      <c r="O926" s="67"/>
      <c r="P926" s="67"/>
      <c r="Q926" s="186"/>
      <c r="R926" s="186"/>
      <c r="S926" s="187"/>
      <c r="T926" s="187"/>
      <c r="U926" s="186"/>
      <c r="V926" s="186"/>
      <c r="W926" s="186"/>
      <c r="X926" s="186"/>
    </row>
    <row r="927">
      <c r="A927" s="185"/>
      <c r="B927" s="67"/>
      <c r="C927" s="186"/>
      <c r="D927" s="186"/>
      <c r="E927" s="186"/>
      <c r="F927" s="186"/>
      <c r="G927" s="186"/>
      <c r="H927" s="186"/>
      <c r="I927" s="186"/>
      <c r="J927" s="186"/>
      <c r="K927" s="186"/>
      <c r="L927" s="186"/>
      <c r="M927" s="67"/>
      <c r="N927" s="67"/>
      <c r="O927" s="67"/>
      <c r="P927" s="67"/>
      <c r="Q927" s="186"/>
      <c r="R927" s="186"/>
      <c r="S927" s="187"/>
      <c r="T927" s="187"/>
      <c r="U927" s="186"/>
      <c r="V927" s="186"/>
      <c r="W927" s="186"/>
      <c r="X927" s="186"/>
    </row>
    <row r="928">
      <c r="A928" s="185"/>
      <c r="B928" s="67"/>
      <c r="C928" s="186"/>
      <c r="D928" s="186"/>
      <c r="E928" s="186"/>
      <c r="F928" s="186"/>
      <c r="G928" s="186"/>
      <c r="H928" s="186"/>
      <c r="I928" s="186"/>
      <c r="J928" s="186"/>
      <c r="K928" s="186"/>
      <c r="L928" s="186"/>
      <c r="M928" s="67"/>
      <c r="N928" s="67"/>
      <c r="O928" s="67"/>
      <c r="P928" s="67"/>
      <c r="Q928" s="186"/>
      <c r="R928" s="186"/>
      <c r="S928" s="187"/>
      <c r="T928" s="187"/>
      <c r="U928" s="186"/>
      <c r="V928" s="186"/>
      <c r="W928" s="186"/>
      <c r="X928" s="186"/>
    </row>
    <row r="929">
      <c r="A929" s="185"/>
      <c r="B929" s="67"/>
      <c r="C929" s="186"/>
      <c r="D929" s="186"/>
      <c r="E929" s="186"/>
      <c r="F929" s="186"/>
      <c r="G929" s="186"/>
      <c r="H929" s="186"/>
      <c r="I929" s="186"/>
      <c r="J929" s="186"/>
      <c r="K929" s="186"/>
      <c r="L929" s="186"/>
      <c r="M929" s="67"/>
      <c r="N929" s="67"/>
      <c r="O929" s="67"/>
      <c r="P929" s="67"/>
      <c r="Q929" s="186"/>
      <c r="R929" s="186"/>
      <c r="S929" s="187"/>
      <c r="T929" s="187"/>
      <c r="U929" s="186"/>
      <c r="V929" s="186"/>
      <c r="W929" s="186"/>
      <c r="X929" s="186"/>
    </row>
    <row r="930">
      <c r="A930" s="185"/>
      <c r="B930" s="67"/>
      <c r="C930" s="186"/>
      <c r="D930" s="186"/>
      <c r="E930" s="186"/>
      <c r="F930" s="186"/>
      <c r="G930" s="186"/>
      <c r="H930" s="186"/>
      <c r="I930" s="186"/>
      <c r="J930" s="186"/>
      <c r="K930" s="186"/>
      <c r="L930" s="186"/>
      <c r="M930" s="67"/>
      <c r="N930" s="67"/>
      <c r="O930" s="67"/>
      <c r="P930" s="67"/>
      <c r="Q930" s="186"/>
      <c r="R930" s="186"/>
      <c r="S930" s="187"/>
      <c r="T930" s="187"/>
      <c r="U930" s="186"/>
      <c r="V930" s="186"/>
      <c r="W930" s="186"/>
      <c r="X930" s="186"/>
    </row>
    <row r="931">
      <c r="A931" s="185"/>
      <c r="B931" s="67"/>
      <c r="C931" s="186"/>
      <c r="D931" s="186"/>
      <c r="E931" s="186"/>
      <c r="F931" s="186"/>
      <c r="G931" s="186"/>
      <c r="H931" s="186"/>
      <c r="I931" s="186"/>
      <c r="J931" s="186"/>
      <c r="K931" s="186"/>
      <c r="L931" s="186"/>
      <c r="M931" s="67"/>
      <c r="N931" s="67"/>
      <c r="O931" s="67"/>
      <c r="P931" s="67"/>
      <c r="Q931" s="186"/>
      <c r="R931" s="186"/>
      <c r="S931" s="187"/>
      <c r="T931" s="187"/>
      <c r="U931" s="186"/>
      <c r="V931" s="186"/>
      <c r="W931" s="186"/>
      <c r="X931" s="186"/>
    </row>
    <row r="932">
      <c r="A932" s="185"/>
      <c r="B932" s="67"/>
      <c r="C932" s="186"/>
      <c r="D932" s="186"/>
      <c r="E932" s="186"/>
      <c r="F932" s="186"/>
      <c r="G932" s="186"/>
      <c r="H932" s="186"/>
      <c r="I932" s="186"/>
      <c r="J932" s="186"/>
      <c r="K932" s="186"/>
      <c r="L932" s="186"/>
      <c r="M932" s="67"/>
      <c r="N932" s="67"/>
      <c r="O932" s="67"/>
      <c r="P932" s="67"/>
      <c r="Q932" s="186"/>
      <c r="R932" s="186"/>
      <c r="S932" s="187"/>
      <c r="T932" s="187"/>
      <c r="U932" s="186"/>
      <c r="V932" s="186"/>
      <c r="W932" s="186"/>
      <c r="X932" s="186"/>
    </row>
    <row r="933">
      <c r="A933" s="185"/>
      <c r="B933" s="67"/>
      <c r="C933" s="186"/>
      <c r="D933" s="186"/>
      <c r="E933" s="186"/>
      <c r="F933" s="186"/>
      <c r="G933" s="186"/>
      <c r="H933" s="186"/>
      <c r="I933" s="186"/>
      <c r="J933" s="186"/>
      <c r="K933" s="186"/>
      <c r="L933" s="186"/>
      <c r="M933" s="67"/>
      <c r="N933" s="67"/>
      <c r="O933" s="67"/>
      <c r="P933" s="67"/>
      <c r="Q933" s="186"/>
      <c r="R933" s="186"/>
      <c r="S933" s="187"/>
      <c r="T933" s="187"/>
      <c r="U933" s="186"/>
      <c r="V933" s="186"/>
      <c r="W933" s="186"/>
      <c r="X933" s="186"/>
    </row>
    <row r="934">
      <c r="A934" s="185"/>
      <c r="B934" s="67"/>
      <c r="C934" s="186"/>
      <c r="D934" s="186"/>
      <c r="E934" s="186"/>
      <c r="F934" s="186"/>
      <c r="G934" s="186"/>
      <c r="H934" s="186"/>
      <c r="I934" s="186"/>
      <c r="J934" s="186"/>
      <c r="K934" s="186"/>
      <c r="L934" s="186"/>
      <c r="M934" s="67"/>
      <c r="N934" s="67"/>
      <c r="O934" s="67"/>
      <c r="P934" s="67"/>
      <c r="Q934" s="186"/>
      <c r="R934" s="186"/>
      <c r="S934" s="187"/>
      <c r="T934" s="187"/>
      <c r="U934" s="186"/>
      <c r="V934" s="186"/>
      <c r="W934" s="186"/>
      <c r="X934" s="186"/>
    </row>
    <row r="935">
      <c r="A935" s="185"/>
      <c r="B935" s="67"/>
      <c r="C935" s="186"/>
      <c r="D935" s="186"/>
      <c r="E935" s="186"/>
      <c r="F935" s="186"/>
      <c r="G935" s="186"/>
      <c r="H935" s="186"/>
      <c r="I935" s="186"/>
      <c r="J935" s="186"/>
      <c r="K935" s="186"/>
      <c r="L935" s="186"/>
      <c r="M935" s="67"/>
      <c r="N935" s="67"/>
      <c r="O935" s="67"/>
      <c r="P935" s="67"/>
      <c r="Q935" s="186"/>
      <c r="R935" s="186"/>
      <c r="S935" s="187"/>
      <c r="T935" s="187"/>
      <c r="U935" s="186"/>
      <c r="V935" s="186"/>
      <c r="W935" s="186"/>
      <c r="X935" s="186"/>
    </row>
    <row r="936">
      <c r="A936" s="185"/>
      <c r="B936" s="67"/>
      <c r="C936" s="186"/>
      <c r="D936" s="186"/>
      <c r="E936" s="186"/>
      <c r="F936" s="186"/>
      <c r="G936" s="186"/>
      <c r="H936" s="186"/>
      <c r="I936" s="186"/>
      <c r="J936" s="186"/>
      <c r="K936" s="186"/>
      <c r="L936" s="186"/>
      <c r="M936" s="67"/>
      <c r="N936" s="67"/>
      <c r="O936" s="67"/>
      <c r="P936" s="67"/>
      <c r="Q936" s="186"/>
      <c r="R936" s="186"/>
      <c r="S936" s="187"/>
      <c r="T936" s="187"/>
      <c r="U936" s="186"/>
      <c r="V936" s="186"/>
      <c r="W936" s="186"/>
      <c r="X936" s="186"/>
    </row>
    <row r="937">
      <c r="A937" s="185"/>
      <c r="B937" s="67"/>
      <c r="C937" s="186"/>
      <c r="D937" s="186"/>
      <c r="E937" s="186"/>
      <c r="F937" s="186"/>
      <c r="G937" s="186"/>
      <c r="H937" s="186"/>
      <c r="I937" s="186"/>
      <c r="J937" s="186"/>
      <c r="K937" s="186"/>
      <c r="L937" s="186"/>
      <c r="M937" s="67"/>
      <c r="N937" s="67"/>
      <c r="O937" s="67"/>
      <c r="P937" s="67"/>
      <c r="Q937" s="186"/>
      <c r="R937" s="186"/>
      <c r="S937" s="187"/>
      <c r="T937" s="187"/>
      <c r="U937" s="186"/>
      <c r="V937" s="186"/>
      <c r="W937" s="186"/>
      <c r="X937" s="186"/>
    </row>
    <row r="938">
      <c r="A938" s="185"/>
      <c r="B938" s="67"/>
      <c r="C938" s="186"/>
      <c r="D938" s="186"/>
      <c r="E938" s="186"/>
      <c r="F938" s="186"/>
      <c r="G938" s="186"/>
      <c r="H938" s="186"/>
      <c r="I938" s="186"/>
      <c r="J938" s="186"/>
      <c r="K938" s="186"/>
      <c r="L938" s="186"/>
      <c r="M938" s="67"/>
      <c r="N938" s="67"/>
      <c r="O938" s="67"/>
      <c r="P938" s="67"/>
      <c r="Q938" s="186"/>
      <c r="R938" s="186"/>
      <c r="S938" s="187"/>
      <c r="T938" s="187"/>
      <c r="U938" s="186"/>
      <c r="V938" s="186"/>
      <c r="W938" s="186"/>
      <c r="X938" s="186"/>
    </row>
    <row r="939">
      <c r="A939" s="185"/>
      <c r="B939" s="67"/>
      <c r="C939" s="186"/>
      <c r="D939" s="186"/>
      <c r="E939" s="186"/>
      <c r="F939" s="186"/>
      <c r="G939" s="186"/>
      <c r="H939" s="186"/>
      <c r="I939" s="186"/>
      <c r="J939" s="186"/>
      <c r="K939" s="186"/>
      <c r="L939" s="186"/>
      <c r="M939" s="67"/>
      <c r="N939" s="67"/>
      <c r="O939" s="67"/>
      <c r="P939" s="67"/>
      <c r="Q939" s="186"/>
      <c r="R939" s="186"/>
      <c r="S939" s="187"/>
      <c r="T939" s="187"/>
      <c r="U939" s="186"/>
      <c r="V939" s="186"/>
      <c r="W939" s="186"/>
      <c r="X939" s="186"/>
    </row>
    <row r="940">
      <c r="A940" s="185"/>
      <c r="B940" s="67"/>
      <c r="C940" s="186"/>
      <c r="D940" s="186"/>
      <c r="E940" s="186"/>
      <c r="F940" s="186"/>
      <c r="G940" s="186"/>
      <c r="H940" s="186"/>
      <c r="I940" s="186"/>
      <c r="J940" s="186"/>
      <c r="K940" s="186"/>
      <c r="L940" s="186"/>
      <c r="M940" s="67"/>
      <c r="N940" s="67"/>
      <c r="O940" s="67"/>
      <c r="P940" s="67"/>
      <c r="Q940" s="186"/>
      <c r="R940" s="186"/>
      <c r="S940" s="187"/>
      <c r="T940" s="187"/>
      <c r="U940" s="186"/>
      <c r="V940" s="186"/>
      <c r="W940" s="186"/>
      <c r="X940" s="186"/>
    </row>
    <row r="941">
      <c r="A941" s="185"/>
      <c r="B941" s="67"/>
      <c r="C941" s="186"/>
      <c r="D941" s="186"/>
      <c r="E941" s="186"/>
      <c r="F941" s="186"/>
      <c r="G941" s="186"/>
      <c r="H941" s="186"/>
      <c r="I941" s="186"/>
      <c r="J941" s="186"/>
      <c r="K941" s="186"/>
      <c r="L941" s="186"/>
      <c r="M941" s="67"/>
      <c r="N941" s="67"/>
      <c r="O941" s="67"/>
      <c r="P941" s="67"/>
      <c r="Q941" s="186"/>
      <c r="R941" s="186"/>
      <c r="S941" s="187"/>
      <c r="T941" s="187"/>
      <c r="U941" s="186"/>
      <c r="V941" s="186"/>
      <c r="W941" s="186"/>
      <c r="X941" s="186"/>
    </row>
    <row r="942">
      <c r="A942" s="185"/>
      <c r="B942" s="67"/>
      <c r="C942" s="186"/>
      <c r="D942" s="186"/>
      <c r="E942" s="186"/>
      <c r="F942" s="186"/>
      <c r="G942" s="186"/>
      <c r="H942" s="186"/>
      <c r="I942" s="186"/>
      <c r="J942" s="186"/>
      <c r="K942" s="186"/>
      <c r="L942" s="186"/>
      <c r="M942" s="67"/>
      <c r="N942" s="67"/>
      <c r="O942" s="67"/>
      <c r="P942" s="67"/>
      <c r="Q942" s="186"/>
      <c r="R942" s="186"/>
      <c r="S942" s="187"/>
      <c r="T942" s="187"/>
      <c r="U942" s="186"/>
      <c r="V942" s="186"/>
      <c r="W942" s="186"/>
      <c r="X942" s="186"/>
    </row>
    <row r="943">
      <c r="A943" s="185"/>
      <c r="B943" s="67"/>
      <c r="C943" s="186"/>
      <c r="D943" s="186"/>
      <c r="E943" s="186"/>
      <c r="F943" s="186"/>
      <c r="G943" s="186"/>
      <c r="H943" s="186"/>
      <c r="I943" s="186"/>
      <c r="J943" s="186"/>
      <c r="K943" s="186"/>
      <c r="L943" s="186"/>
      <c r="M943" s="67"/>
      <c r="N943" s="67"/>
      <c r="O943" s="67"/>
      <c r="P943" s="67"/>
      <c r="Q943" s="186"/>
      <c r="R943" s="186"/>
      <c r="S943" s="187"/>
      <c r="T943" s="187"/>
      <c r="U943" s="186"/>
      <c r="V943" s="186"/>
      <c r="W943" s="186"/>
      <c r="X943" s="186"/>
    </row>
    <row r="944">
      <c r="A944" s="185"/>
      <c r="B944" s="67"/>
      <c r="C944" s="186"/>
      <c r="D944" s="186"/>
      <c r="E944" s="186"/>
      <c r="F944" s="186"/>
      <c r="G944" s="186"/>
      <c r="H944" s="186"/>
      <c r="I944" s="186"/>
      <c r="J944" s="186"/>
      <c r="K944" s="186"/>
      <c r="L944" s="186"/>
      <c r="M944" s="67"/>
      <c r="N944" s="67"/>
      <c r="O944" s="67"/>
      <c r="P944" s="67"/>
      <c r="Q944" s="186"/>
      <c r="R944" s="186"/>
      <c r="S944" s="187"/>
      <c r="T944" s="187"/>
      <c r="U944" s="186"/>
      <c r="V944" s="186"/>
      <c r="W944" s="186"/>
      <c r="X944" s="186"/>
    </row>
    <row r="945">
      <c r="A945" s="185"/>
      <c r="B945" s="67"/>
      <c r="C945" s="186"/>
      <c r="D945" s="186"/>
      <c r="E945" s="186"/>
      <c r="F945" s="186"/>
      <c r="G945" s="186"/>
      <c r="H945" s="186"/>
      <c r="I945" s="186"/>
      <c r="J945" s="186"/>
      <c r="K945" s="186"/>
      <c r="L945" s="186"/>
      <c r="M945" s="67"/>
      <c r="N945" s="67"/>
      <c r="O945" s="67"/>
      <c r="P945" s="67"/>
      <c r="Q945" s="186"/>
      <c r="R945" s="186"/>
      <c r="S945" s="187"/>
      <c r="T945" s="187"/>
      <c r="U945" s="186"/>
      <c r="V945" s="186"/>
      <c r="W945" s="186"/>
      <c r="X945" s="186"/>
    </row>
    <row r="946">
      <c r="A946" s="185"/>
      <c r="B946" s="67"/>
      <c r="C946" s="186"/>
      <c r="D946" s="186"/>
      <c r="E946" s="186"/>
      <c r="F946" s="186"/>
      <c r="G946" s="186"/>
      <c r="H946" s="186"/>
      <c r="I946" s="186"/>
      <c r="J946" s="186"/>
      <c r="K946" s="186"/>
      <c r="L946" s="186"/>
      <c r="M946" s="67"/>
      <c r="N946" s="67"/>
      <c r="O946" s="67"/>
      <c r="P946" s="67"/>
      <c r="Q946" s="186"/>
      <c r="R946" s="186"/>
      <c r="S946" s="187"/>
      <c r="T946" s="187"/>
      <c r="U946" s="186"/>
      <c r="V946" s="186"/>
      <c r="W946" s="186"/>
      <c r="X946" s="186"/>
    </row>
    <row r="947">
      <c r="A947" s="185"/>
      <c r="B947" s="67"/>
      <c r="C947" s="186"/>
      <c r="D947" s="186"/>
      <c r="E947" s="186"/>
      <c r="F947" s="186"/>
      <c r="G947" s="186"/>
      <c r="H947" s="186"/>
      <c r="I947" s="186"/>
      <c r="J947" s="186"/>
      <c r="K947" s="186"/>
      <c r="L947" s="186"/>
      <c r="M947" s="67"/>
      <c r="N947" s="67"/>
      <c r="O947" s="67"/>
      <c r="P947" s="67"/>
      <c r="Q947" s="186"/>
      <c r="R947" s="186"/>
      <c r="S947" s="187"/>
      <c r="T947" s="187"/>
      <c r="U947" s="186"/>
      <c r="V947" s="186"/>
      <c r="W947" s="186"/>
      <c r="X947" s="186"/>
    </row>
    <row r="948">
      <c r="A948" s="185"/>
      <c r="B948" s="67"/>
      <c r="C948" s="186"/>
      <c r="D948" s="186"/>
      <c r="E948" s="186"/>
      <c r="F948" s="186"/>
      <c r="G948" s="186"/>
      <c r="H948" s="186"/>
      <c r="I948" s="186"/>
      <c r="J948" s="186"/>
      <c r="K948" s="186"/>
      <c r="L948" s="186"/>
      <c r="M948" s="67"/>
      <c r="N948" s="67"/>
      <c r="O948" s="67"/>
      <c r="P948" s="67"/>
      <c r="Q948" s="186"/>
      <c r="R948" s="186"/>
      <c r="S948" s="187"/>
      <c r="T948" s="187"/>
      <c r="U948" s="186"/>
      <c r="V948" s="186"/>
      <c r="W948" s="186"/>
      <c r="X948" s="186"/>
    </row>
    <row r="949">
      <c r="A949" s="185"/>
      <c r="B949" s="67"/>
      <c r="C949" s="186"/>
      <c r="D949" s="186"/>
      <c r="E949" s="186"/>
      <c r="F949" s="186"/>
      <c r="G949" s="186"/>
      <c r="H949" s="186"/>
      <c r="I949" s="186"/>
      <c r="J949" s="186"/>
      <c r="K949" s="186"/>
      <c r="L949" s="186"/>
      <c r="M949" s="67"/>
      <c r="N949" s="67"/>
      <c r="O949" s="67"/>
      <c r="P949" s="67"/>
      <c r="Q949" s="186"/>
      <c r="R949" s="186"/>
      <c r="S949" s="187"/>
      <c r="T949" s="187"/>
      <c r="U949" s="186"/>
      <c r="V949" s="186"/>
      <c r="W949" s="186"/>
      <c r="X949" s="186"/>
    </row>
    <row r="950">
      <c r="A950" s="113"/>
    </row>
    <row r="951">
      <c r="A951" s="113"/>
    </row>
    <row r="952">
      <c r="A952" s="113"/>
    </row>
    <row r="953">
      <c r="A953" s="113"/>
    </row>
    <row r="954">
      <c r="A954" s="113"/>
    </row>
    <row r="955">
      <c r="A955" s="113"/>
    </row>
  </sheetData>
  <conditionalFormatting sqref="G2:G51">
    <cfRule type="expression" dxfId="15" priority="1">
      <formula>AND(ISNUMBER(G2), G2&gt;=9)</formula>
    </cfRule>
  </conditionalFormatting>
  <conditionalFormatting sqref="G2:G51">
    <cfRule type="expression" dxfId="16" priority="2">
      <formula>AND(ISNUMBER(G2), G2&gt;=8)</formula>
    </cfRule>
  </conditionalFormatting>
  <conditionalFormatting sqref="G2:G51">
    <cfRule type="expression" dxfId="17" priority="3">
      <formula>AND(ISNUMBER(G2), G2&gt;=6)</formula>
    </cfRule>
  </conditionalFormatting>
  <conditionalFormatting sqref="G2:G51">
    <cfRule type="expression" dxfId="18" priority="4">
      <formula>AND(ISNUMBER(G2), G2&gt;=4)</formula>
    </cfRule>
  </conditionalFormatting>
  <conditionalFormatting sqref="G2:G51">
    <cfRule type="expression" dxfId="19" priority="5">
      <formula>AND(ISNUMBER(G2), G2&lt;4)</formula>
    </cfRule>
  </conditionalFormatting>
  <conditionalFormatting sqref="W2:W51">
    <cfRule type="containsText" dxfId="6" priority="6" operator="containsText" text="Strong Buy">
      <formula>NOT(ISERROR(SEARCH(("Strong Buy"),(W2))))</formula>
    </cfRule>
  </conditionalFormatting>
  <conditionalFormatting sqref="W2:W51">
    <cfRule type="containsText" dxfId="12" priority="7" operator="containsText" text="Buy">
      <formula>NOT(ISERROR(SEARCH(("Buy"),(W2))))</formula>
    </cfRule>
  </conditionalFormatting>
  <conditionalFormatting sqref="I52:L52">
    <cfRule type="cellIs" dxfId="21" priority="8" operator="lessThan">
      <formula>0</formula>
    </cfRule>
  </conditionalFormatting>
  <conditionalFormatting sqref="F2:F51">
    <cfRule type="cellIs" dxfId="11" priority="9" operator="greaterThan">
      <formula>0</formula>
    </cfRule>
  </conditionalFormatting>
  <conditionalFormatting sqref="F2:F51">
    <cfRule type="cellIs" dxfId="12" priority="10" operator="lessThanOrEqual">
      <formula>0</formula>
    </cfRule>
  </conditionalFormatting>
  <conditionalFormatting sqref="W2:W51">
    <cfRule type="containsText" dxfId="3" priority="11" operator="containsText" text="Expensive">
      <formula>NOT(ISERROR(SEARCH(("Expensive"),(W2))))</formula>
    </cfRule>
  </conditionalFormatting>
  <conditionalFormatting sqref="W2:W51">
    <cfRule type="containsText" dxfId="4" priority="12" operator="containsText" text="Overrated">
      <formula>NOT(ISERROR(SEARCH(("Overrated"),(W2))))</formula>
    </cfRule>
  </conditionalFormatting>
  <conditionalFormatting sqref="G2:G51">
    <cfRule type="expression" dxfId="14" priority="13">
      <formula>G2="N/A"</formula>
    </cfRule>
  </conditionalFormatting>
  <dataValidations>
    <dataValidation type="list" allowBlank="1" sqref="N2:N14 N16:N29 N33:N51">
      <formula1>"(Select),Communication Services,Consumer Discretionary,Consumer Staples,Energy,ETF,Financials,Health Care,Industrials,Materials,Real Estate,Utilities,Information Technology"</formula1>
    </dataValidation>
    <dataValidation type="list" allowBlank="1" sqref="N30:N32">
      <formula1>"(Select),Communication Services,Consumer Discretionary,Consumer Staples,Energy,ETF,Financials,Health Care,Industrials,Materials,Real Estate,Utilities,Information Technology,Bonds"</formula1>
    </dataValidation>
    <dataValidation type="list" allowBlank="1" sqref="M2:M51">
      <formula1>"(Select Security),Stocks,ETFs,International,Crypto,Bonds,Index Fund"</formula1>
    </dataValidation>
    <dataValidation type="list" allowBlank="1" sqref="O2:O51">
      <formula1>"(Select),US Bonds,International Market,Value Stocks,Growth,Foundational"</formula1>
    </dataValidation>
    <dataValidation type="list" allowBlank="1" sqref="N15">
      <formula1>"(Select),Communication Services,Consumer Discretionary (Cyclical),Consumer Staples (Defensive),Energy,ETF,Financials,Health Care,Industrials,Materials,Real Estate,Utilities,Information Technology"</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sheetViews>
  <sheetFormatPr customHeight="1" defaultColWidth="12.63" defaultRowHeight="15.75"/>
  <cols>
    <col customWidth="1" min="1" max="1" width="1.75"/>
    <col customWidth="1" min="2" max="2" width="5.13"/>
    <col customWidth="1" min="3" max="3" width="11.38"/>
    <col customWidth="1" min="4" max="4" width="42.75"/>
    <col customWidth="1" min="5" max="5" width="23.63"/>
    <col customWidth="1" min="9" max="9" width="20.13"/>
    <col customWidth="1" min="10" max="10" width="7.88"/>
    <col customWidth="1" min="11" max="11" width="5.5"/>
  </cols>
  <sheetData>
    <row r="1" ht="8.25" customHeight="1"/>
    <row r="2">
      <c r="C2" s="445" t="s">
        <v>502</v>
      </c>
      <c r="D2" s="13"/>
      <c r="E2" s="13"/>
      <c r="F2" s="13"/>
      <c r="G2" s="13"/>
      <c r="H2" s="13"/>
      <c r="I2" s="14"/>
    </row>
    <row r="3">
      <c r="C3" s="34"/>
      <c r="I3" s="17"/>
      <c r="L3" s="446" t="s">
        <v>503</v>
      </c>
      <c r="M3" s="13"/>
      <c r="N3" s="14"/>
      <c r="P3" s="447" t="s">
        <v>504</v>
      </c>
      <c r="Q3" s="73"/>
      <c r="R3" s="73"/>
      <c r="S3" s="73"/>
      <c r="T3" s="73"/>
      <c r="U3" s="73"/>
      <c r="V3" s="74"/>
    </row>
    <row r="4">
      <c r="C4" s="29"/>
      <c r="D4" s="30"/>
      <c r="E4" s="30"/>
      <c r="F4" s="30"/>
      <c r="G4" s="30"/>
      <c r="H4" s="30"/>
      <c r="I4" s="31"/>
      <c r="L4" s="34"/>
      <c r="N4" s="17"/>
      <c r="P4" s="448"/>
      <c r="V4" s="449"/>
    </row>
    <row r="5">
      <c r="L5" s="34"/>
      <c r="N5" s="17"/>
      <c r="P5" s="77"/>
      <c r="Q5" s="78"/>
      <c r="R5" s="78"/>
      <c r="S5" s="78"/>
      <c r="T5" s="78"/>
      <c r="U5" s="78"/>
      <c r="V5" s="79"/>
    </row>
    <row r="6">
      <c r="B6" s="450" t="s">
        <v>505</v>
      </c>
      <c r="C6" s="451" t="s">
        <v>71</v>
      </c>
      <c r="D6" s="452" t="s">
        <v>506</v>
      </c>
      <c r="E6" s="452" t="s">
        <v>86</v>
      </c>
      <c r="F6" s="452" t="s">
        <v>33</v>
      </c>
      <c r="G6" s="452" t="s">
        <v>12</v>
      </c>
      <c r="H6" s="452" t="s">
        <v>507</v>
      </c>
      <c r="I6" s="452" t="s">
        <v>508</v>
      </c>
      <c r="J6" s="450" t="s">
        <v>509</v>
      </c>
      <c r="L6" s="34"/>
      <c r="N6" s="17"/>
      <c r="P6" s="453"/>
      <c r="Q6" s="453"/>
      <c r="R6" s="453"/>
      <c r="S6" s="453"/>
      <c r="T6" s="453"/>
      <c r="U6" s="453"/>
      <c r="V6" s="453"/>
    </row>
    <row r="7">
      <c r="B7" s="454">
        <v>1.0</v>
      </c>
      <c r="C7" s="455" t="s">
        <v>104</v>
      </c>
      <c r="D7" s="455" t="s">
        <v>510</v>
      </c>
      <c r="E7" s="455" t="s">
        <v>511</v>
      </c>
      <c r="F7" s="456">
        <v>3.24</v>
      </c>
      <c r="G7" s="457">
        <v>0.006821627084386054</v>
      </c>
      <c r="H7" s="457">
        <v>0.24701597531088318</v>
      </c>
      <c r="I7" s="457">
        <v>0.6276881039543964</v>
      </c>
      <c r="J7" s="457">
        <v>0.2260677541103377</v>
      </c>
      <c r="L7" s="34"/>
      <c r="N7" s="17"/>
      <c r="P7" s="458" t="s">
        <v>512</v>
      </c>
      <c r="Q7" s="74"/>
      <c r="R7" s="459">
        <f>COUNTIF(G7:G56,"&gt;0.01")</f>
        <v>29</v>
      </c>
      <c r="S7" s="453"/>
      <c r="T7" s="460" t="s">
        <v>513</v>
      </c>
      <c r="U7" s="73"/>
      <c r="V7" s="74"/>
    </row>
    <row r="8">
      <c r="B8" s="461">
        <v>2.0</v>
      </c>
      <c r="C8" s="462" t="s">
        <v>344</v>
      </c>
      <c r="D8" s="462" t="s">
        <v>514</v>
      </c>
      <c r="E8" s="462" t="s">
        <v>106</v>
      </c>
      <c r="F8" s="463">
        <v>2.025</v>
      </c>
      <c r="G8" s="464">
        <v>0.0029654253371798438</v>
      </c>
      <c r="H8" s="464">
        <v>0.08133418858242464</v>
      </c>
      <c r="I8" s="464">
        <v>0.0</v>
      </c>
      <c r="J8" s="464">
        <v>0.19338992531074825</v>
      </c>
      <c r="L8" s="29"/>
      <c r="M8" s="30"/>
      <c r="N8" s="31"/>
      <c r="P8" s="77"/>
      <c r="Q8" s="79"/>
      <c r="R8" s="106"/>
      <c r="S8" s="453"/>
      <c r="T8" s="77"/>
      <c r="U8" s="78"/>
      <c r="V8" s="79"/>
    </row>
    <row r="9">
      <c r="B9" s="454">
        <v>3.0</v>
      </c>
      <c r="C9" s="454" t="s">
        <v>515</v>
      </c>
      <c r="D9" s="455" t="s">
        <v>516</v>
      </c>
      <c r="E9" s="455" t="s">
        <v>511</v>
      </c>
      <c r="F9" s="456">
        <v>2.46967</v>
      </c>
      <c r="G9" s="457">
        <v>0.011699052581714827</v>
      </c>
      <c r="H9" s="457">
        <v>0.3094391051319903</v>
      </c>
      <c r="I9" s="457">
        <v>0.40633844456685037</v>
      </c>
      <c r="J9" s="457">
        <v>0.17035056195557732</v>
      </c>
      <c r="L9" s="465"/>
      <c r="M9" s="465"/>
      <c r="N9" s="465"/>
      <c r="P9" s="453"/>
      <c r="Q9" s="453"/>
      <c r="R9" s="453"/>
      <c r="S9" s="453"/>
      <c r="T9" s="466" t="str">
        <f t="array" ref="T9:T18">UNIQUE(E7:E56)</f>
        <v>Technology</v>
      </c>
      <c r="U9" s="467"/>
      <c r="V9" s="468">
        <f t="shared" ref="V9:V19" si="1">COUNTIF($E$7:$E$56,T9)</f>
        <v>8</v>
      </c>
    </row>
    <row r="10">
      <c r="B10" s="461">
        <v>4.0</v>
      </c>
      <c r="C10" s="461" t="s">
        <v>100</v>
      </c>
      <c r="D10" s="462" t="s">
        <v>517</v>
      </c>
      <c r="E10" s="462" t="s">
        <v>106</v>
      </c>
      <c r="F10" s="463">
        <v>0.81</v>
      </c>
      <c r="G10" s="464">
        <v>0.004637316081754166</v>
      </c>
      <c r="H10" s="464">
        <v>0.07354321900157813</v>
      </c>
      <c r="I10" s="464">
        <v>0.0</v>
      </c>
      <c r="J10" s="464">
        <v>0.2244156300949283</v>
      </c>
      <c r="L10" s="469" t="s">
        <v>518</v>
      </c>
      <c r="N10" s="17"/>
      <c r="P10" s="470" t="s">
        <v>519</v>
      </c>
      <c r="Q10" s="74"/>
      <c r="R10" s="459">
        <f>COUNTIF(G7:G56,"&gt;0.02")</f>
        <v>15</v>
      </c>
      <c r="S10" s="453"/>
      <c r="T10" s="466" t="s">
        <v>106</v>
      </c>
      <c r="U10" s="467"/>
      <c r="V10" s="468">
        <f t="shared" si="1"/>
        <v>5</v>
      </c>
    </row>
    <row r="11">
      <c r="B11" s="454">
        <v>5.0</v>
      </c>
      <c r="C11" s="454" t="s">
        <v>520</v>
      </c>
      <c r="D11" s="455" t="s">
        <v>521</v>
      </c>
      <c r="E11" s="455" t="s">
        <v>500</v>
      </c>
      <c r="F11" s="456">
        <v>1.69125</v>
      </c>
      <c r="G11" s="457">
        <v>0.009760777976568361</v>
      </c>
      <c r="H11" s="457">
        <v>0.193561872909699</v>
      </c>
      <c r="I11" s="457">
        <v>0.0</v>
      </c>
      <c r="J11" s="457">
        <v>0.09298200484322483</v>
      </c>
      <c r="L11" s="29"/>
      <c r="M11" s="30"/>
      <c r="N11" s="31"/>
      <c r="P11" s="77"/>
      <c r="Q11" s="79"/>
      <c r="R11" s="106"/>
      <c r="S11" s="453"/>
      <c r="T11" s="466" t="s">
        <v>500</v>
      </c>
      <c r="U11" s="467"/>
      <c r="V11" s="468">
        <f t="shared" si="1"/>
        <v>7</v>
      </c>
    </row>
    <row r="12">
      <c r="B12" s="461">
        <v>6.0</v>
      </c>
      <c r="C12" s="461" t="s">
        <v>381</v>
      </c>
      <c r="D12" s="462" t="s">
        <v>522</v>
      </c>
      <c r="E12" s="462" t="s">
        <v>511</v>
      </c>
      <c r="F12" s="463">
        <v>5.38</v>
      </c>
      <c r="G12" s="464">
        <v>0.02758974358974359</v>
      </c>
      <c r="H12" s="464">
        <v>0.999166493019379</v>
      </c>
      <c r="I12" s="464">
        <v>0.9053466900006035</v>
      </c>
      <c r="J12" s="464">
        <v>0.21715493406685837</v>
      </c>
      <c r="P12" s="453"/>
      <c r="Q12" s="453"/>
      <c r="R12" s="453"/>
      <c r="S12" s="453"/>
      <c r="T12" s="471" t="s">
        <v>523</v>
      </c>
      <c r="U12" s="467"/>
      <c r="V12" s="468">
        <f t="shared" si="1"/>
        <v>5</v>
      </c>
    </row>
    <row r="13">
      <c r="B13" s="454">
        <v>7.0</v>
      </c>
      <c r="C13" s="454" t="s">
        <v>524</v>
      </c>
      <c r="D13" s="455" t="s">
        <v>525</v>
      </c>
      <c r="E13" s="455" t="s">
        <v>523</v>
      </c>
      <c r="F13" s="456">
        <v>2.0</v>
      </c>
      <c r="G13" s="457">
        <v>0.01841451063437989</v>
      </c>
      <c r="H13" s="457">
        <v>0.13955966803075778</v>
      </c>
      <c r="I13" s="457">
        <v>8.52051700331579</v>
      </c>
      <c r="J13" s="457">
        <v>0.11015146947061497</v>
      </c>
      <c r="P13" s="472" t="s">
        <v>526</v>
      </c>
      <c r="Q13" s="74"/>
      <c r="R13" s="459">
        <f>COUNTIF(G7:G56,"&gt;0.03")</f>
        <v>9</v>
      </c>
      <c r="S13" s="453"/>
      <c r="T13" s="471" t="s">
        <v>527</v>
      </c>
      <c r="U13" s="467"/>
      <c r="V13" s="468">
        <f t="shared" si="1"/>
        <v>5</v>
      </c>
    </row>
    <row r="14">
      <c r="B14" s="461">
        <v>8.0</v>
      </c>
      <c r="C14" s="461" t="s">
        <v>528</v>
      </c>
      <c r="D14" s="462" t="s">
        <v>529</v>
      </c>
      <c r="E14" s="462" t="s">
        <v>527</v>
      </c>
      <c r="F14" s="463">
        <v>2.4</v>
      </c>
      <c r="G14" s="464">
        <v>0.012446196131307367</v>
      </c>
      <c r="H14" s="464">
        <v>0.24421052631578946</v>
      </c>
      <c r="I14" s="464">
        <v>0.4012607222611879</v>
      </c>
      <c r="J14" s="464">
        <v>-6.8834027579679975E-6</v>
      </c>
      <c r="P14" s="77"/>
      <c r="Q14" s="79"/>
      <c r="R14" s="106"/>
      <c r="S14" s="453"/>
      <c r="T14" s="471" t="s">
        <v>530</v>
      </c>
      <c r="U14" s="467"/>
      <c r="V14" s="468">
        <f t="shared" si="1"/>
        <v>5</v>
      </c>
    </row>
    <row r="15">
      <c r="B15" s="454">
        <v>9.0</v>
      </c>
      <c r="C15" s="454" t="s">
        <v>531</v>
      </c>
      <c r="D15" s="455" t="s">
        <v>532</v>
      </c>
      <c r="E15" s="455" t="s">
        <v>530</v>
      </c>
      <c r="F15" s="456">
        <v>2.36</v>
      </c>
      <c r="G15" s="457">
        <v>0.02113180515759312</v>
      </c>
      <c r="H15" s="457">
        <v>0.4612145002057315</v>
      </c>
      <c r="I15" s="457">
        <v>1.0421262857349745</v>
      </c>
      <c r="J15" s="457">
        <v>0.07311187778750423</v>
      </c>
      <c r="P15" s="453"/>
      <c r="Q15" s="453"/>
      <c r="R15" s="453"/>
      <c r="S15" s="453"/>
      <c r="T15" s="471" t="s">
        <v>533</v>
      </c>
      <c r="U15" s="467"/>
      <c r="V15" s="468">
        <f t="shared" si="1"/>
        <v>9</v>
      </c>
    </row>
    <row r="16">
      <c r="B16" s="461">
        <v>10.0</v>
      </c>
      <c r="C16" s="461" t="s">
        <v>392</v>
      </c>
      <c r="D16" s="462" t="s">
        <v>517</v>
      </c>
      <c r="E16" s="462" t="s">
        <v>106</v>
      </c>
      <c r="F16" s="463">
        <v>0.81</v>
      </c>
      <c r="G16" s="464">
        <v>0.004605412781441893</v>
      </c>
      <c r="H16" s="464">
        <v>0.07354321900157813</v>
      </c>
      <c r="I16" s="464">
        <v>0.0</v>
      </c>
      <c r="J16" s="464">
        <v>0.2244156300949283</v>
      </c>
      <c r="P16" s="473" t="s">
        <v>534</v>
      </c>
      <c r="Q16" s="74"/>
      <c r="R16" s="459">
        <f>COUNTIF(G7:G56,"&gt;0.04")</f>
        <v>6</v>
      </c>
      <c r="S16" s="453"/>
      <c r="T16" s="471" t="s">
        <v>320</v>
      </c>
      <c r="U16" s="467"/>
      <c r="V16" s="468">
        <f t="shared" si="1"/>
        <v>3</v>
      </c>
    </row>
    <row r="17">
      <c r="B17" s="454">
        <v>11.0</v>
      </c>
      <c r="C17" s="454" t="s">
        <v>485</v>
      </c>
      <c r="D17" s="455" t="s">
        <v>535</v>
      </c>
      <c r="E17" s="455" t="s">
        <v>533</v>
      </c>
      <c r="F17" s="456">
        <v>6.0</v>
      </c>
      <c r="G17" s="457">
        <v>0.007322788517867604</v>
      </c>
      <c r="H17" s="457">
        <v>0.44196411709159583</v>
      </c>
      <c r="I17" s="457">
        <v>1.0022035893530619</v>
      </c>
      <c r="J17" s="457">
        <v>0.18926197330241196</v>
      </c>
      <c r="P17" s="77"/>
      <c r="Q17" s="79"/>
      <c r="R17" s="106"/>
      <c r="S17" s="453"/>
      <c r="T17" s="471" t="s">
        <v>116</v>
      </c>
      <c r="U17" s="467"/>
      <c r="V17" s="468">
        <f t="shared" si="1"/>
        <v>2</v>
      </c>
    </row>
    <row r="18">
      <c r="B18" s="461">
        <v>12.0</v>
      </c>
      <c r="C18" s="461" t="s">
        <v>536</v>
      </c>
      <c r="D18" s="462" t="s">
        <v>537</v>
      </c>
      <c r="E18" s="462" t="s">
        <v>320</v>
      </c>
      <c r="F18" s="463">
        <v>0.4</v>
      </c>
      <c r="G18" s="464">
        <v>0.005420054200542006</v>
      </c>
      <c r="H18" s="464">
        <v>0.0553761282100522</v>
      </c>
      <c r="I18" s="464">
        <v>0.0</v>
      </c>
      <c r="J18" s="464">
        <v>0.28054796464455933</v>
      </c>
      <c r="P18" s="453"/>
      <c r="Q18" s="453"/>
      <c r="R18" s="453"/>
      <c r="S18" s="453"/>
      <c r="T18" s="471" t="s">
        <v>538</v>
      </c>
      <c r="U18" s="467"/>
      <c r="V18" s="468">
        <f t="shared" si="1"/>
        <v>1</v>
      </c>
    </row>
    <row r="19">
      <c r="B19" s="454">
        <v>13.0</v>
      </c>
      <c r="C19" s="454" t="s">
        <v>539</v>
      </c>
      <c r="D19" s="455" t="s">
        <v>540</v>
      </c>
      <c r="E19" s="455" t="s">
        <v>527</v>
      </c>
      <c r="F19" s="456">
        <v>1.04</v>
      </c>
      <c r="G19" s="457">
        <v>0.011904761904761906</v>
      </c>
      <c r="H19" s="457">
        <v>0.3828677213059576</v>
      </c>
      <c r="I19" s="457">
        <v>1.1372857174702955</v>
      </c>
      <c r="J19" s="457">
        <v>0.045325652333372095</v>
      </c>
      <c r="P19" s="474" t="s">
        <v>541</v>
      </c>
      <c r="Q19" s="74"/>
      <c r="R19" s="475">
        <f>AVERAGEIF(H7:H56,"&gt;0")</f>
        <v>0.4512043779</v>
      </c>
      <c r="S19" s="453"/>
      <c r="T19" s="476"/>
      <c r="U19" s="78"/>
      <c r="V19" s="468">
        <f t="shared" si="1"/>
        <v>0</v>
      </c>
    </row>
    <row r="20">
      <c r="B20" s="461">
        <v>14.0</v>
      </c>
      <c r="C20" s="461" t="s">
        <v>542</v>
      </c>
      <c r="D20" s="462" t="s">
        <v>543</v>
      </c>
      <c r="E20" s="462" t="s">
        <v>320</v>
      </c>
      <c r="F20" s="463">
        <v>0.92</v>
      </c>
      <c r="G20" s="464">
        <v>0.019806243272335846</v>
      </c>
      <c r="H20" s="464">
        <v>0.4731675392670157</v>
      </c>
      <c r="I20" s="464">
        <v>-0.507465747350685</v>
      </c>
      <c r="J20" s="464">
        <v>0.07044330602494225</v>
      </c>
      <c r="P20" s="77"/>
      <c r="Q20" s="79"/>
      <c r="R20" s="106"/>
      <c r="S20" s="453"/>
      <c r="U20" s="477" t="s">
        <v>36</v>
      </c>
      <c r="V20" s="478">
        <f>SUM(V8:V19)</f>
        <v>50</v>
      </c>
    </row>
    <row r="21">
      <c r="B21" s="454">
        <v>15.0</v>
      </c>
      <c r="C21" s="454" t="s">
        <v>118</v>
      </c>
      <c r="D21" s="455" t="s">
        <v>544</v>
      </c>
      <c r="E21" s="455" t="s">
        <v>533</v>
      </c>
      <c r="F21" s="456">
        <v>8.4</v>
      </c>
      <c r="G21" s="457">
        <v>0.026791694574681852</v>
      </c>
      <c r="H21" s="457">
        <v>0.5229434224227699</v>
      </c>
      <c r="I21" s="457">
        <v>1.1132513891773992</v>
      </c>
      <c r="J21" s="457">
        <v>0.14376084464056954</v>
      </c>
      <c r="P21" s="453"/>
      <c r="Q21" s="453"/>
      <c r="R21" s="453"/>
      <c r="S21" s="453"/>
    </row>
    <row r="22">
      <c r="B22" s="461">
        <v>16.0</v>
      </c>
      <c r="C22" s="461" t="s">
        <v>545</v>
      </c>
      <c r="D22" s="462" t="s">
        <v>546</v>
      </c>
      <c r="E22" s="462" t="s">
        <v>527</v>
      </c>
      <c r="F22" s="463">
        <v>1.99</v>
      </c>
      <c r="G22" s="464">
        <v>0.04628983484531286</v>
      </c>
      <c r="H22" s="464">
        <v>0.5473884743610097</v>
      </c>
      <c r="I22" s="464">
        <v>0.48193981600432567</v>
      </c>
      <c r="J22" s="464">
        <v>0.04126195729630171</v>
      </c>
      <c r="P22" s="460" t="s">
        <v>547</v>
      </c>
      <c r="Q22" s="74"/>
      <c r="R22" s="475">
        <f>AVERAGE(I7:I56)</f>
        <v>0.8346077311</v>
      </c>
      <c r="S22" s="453"/>
    </row>
    <row r="23">
      <c r="B23" s="454">
        <v>17.0</v>
      </c>
      <c r="C23" s="454" t="s">
        <v>548</v>
      </c>
      <c r="D23" s="455" t="s">
        <v>549</v>
      </c>
      <c r="E23" s="455" t="s">
        <v>533</v>
      </c>
      <c r="F23" s="456">
        <v>1.13</v>
      </c>
      <c r="G23" s="457">
        <v>0.005631135695420342</v>
      </c>
      <c r="H23" s="457">
        <v>0.19697358296999232</v>
      </c>
      <c r="I23" s="457">
        <v>0.8019869103640956</v>
      </c>
      <c r="J23" s="457">
        <v>0.05574690498587142</v>
      </c>
      <c r="P23" s="77"/>
      <c r="Q23" s="79"/>
      <c r="R23" s="106"/>
      <c r="S23" s="453"/>
    </row>
    <row r="24">
      <c r="B24" s="461">
        <v>18.0</v>
      </c>
      <c r="C24" s="461" t="s">
        <v>550</v>
      </c>
      <c r="D24" s="462" t="s">
        <v>551</v>
      </c>
      <c r="E24" s="462" t="s">
        <v>511</v>
      </c>
      <c r="F24" s="463">
        <v>1.48</v>
      </c>
      <c r="G24" s="464">
        <v>0.01865154379332073</v>
      </c>
      <c r="H24" s="464">
        <v>-0.1850015028554253</v>
      </c>
      <c r="I24" s="464">
        <v>0.622789989188581</v>
      </c>
      <c r="J24" s="464">
        <v>0.026049577936912677</v>
      </c>
    </row>
    <row r="25">
      <c r="B25" s="454">
        <v>19.0</v>
      </c>
      <c r="C25" s="454" t="s">
        <v>308</v>
      </c>
      <c r="D25" s="455" t="s">
        <v>552</v>
      </c>
      <c r="E25" s="455" t="s">
        <v>527</v>
      </c>
      <c r="F25" s="456">
        <v>2.36</v>
      </c>
      <c r="G25" s="457">
        <v>0.006688394501912993</v>
      </c>
      <c r="H25" s="457">
        <v>0.213594691789495</v>
      </c>
      <c r="I25" s="457">
        <v>1.7066519805859781</v>
      </c>
      <c r="J25" s="457">
        <v>0.2558214291398941</v>
      </c>
      <c r="P25" s="470" t="s">
        <v>553</v>
      </c>
      <c r="Q25" s="74"/>
      <c r="R25" s="475">
        <f>AVERAGE(J7:J56)</f>
        <v>0.1545046948</v>
      </c>
    </row>
    <row r="26">
      <c r="B26" s="461">
        <v>20.0</v>
      </c>
      <c r="C26" s="461" t="s">
        <v>554</v>
      </c>
      <c r="D26" s="462" t="s">
        <v>555</v>
      </c>
      <c r="E26" s="462" t="s">
        <v>523</v>
      </c>
      <c r="F26" s="463">
        <v>0.51</v>
      </c>
      <c r="G26" s="464">
        <v>0.010483042137718397</v>
      </c>
      <c r="H26" s="464">
        <v>0.1086884154460719</v>
      </c>
      <c r="I26" s="464">
        <v>-0.7245445520207398</v>
      </c>
      <c r="J26" s="464">
        <v>0.040419701083095186</v>
      </c>
      <c r="P26" s="77"/>
      <c r="Q26" s="79"/>
      <c r="R26" s="106"/>
    </row>
    <row r="27">
      <c r="B27" s="454">
        <v>21.0</v>
      </c>
      <c r="C27" s="454" t="s">
        <v>400</v>
      </c>
      <c r="D27" s="455" t="s">
        <v>556</v>
      </c>
      <c r="E27" s="455" t="s">
        <v>511</v>
      </c>
      <c r="F27" s="456">
        <v>1.616</v>
      </c>
      <c r="G27" s="457">
        <v>0.006253869969040249</v>
      </c>
      <c r="H27" s="457">
        <v>0.0</v>
      </c>
      <c r="I27" s="457">
        <v>0.0</v>
      </c>
      <c r="J27" s="457">
        <v>0.004343718193577688</v>
      </c>
      <c r="P27" s="458" t="s">
        <v>557</v>
      </c>
      <c r="Q27" s="74"/>
      <c r="R27" s="475">
        <f>MEDIAN(J7:J56)</f>
        <v>0.1152621479</v>
      </c>
    </row>
    <row r="28">
      <c r="B28" s="461">
        <v>22.0</v>
      </c>
      <c r="C28" s="461" t="s">
        <v>558</v>
      </c>
      <c r="D28" s="462" t="s">
        <v>559</v>
      </c>
      <c r="E28" s="462" t="s">
        <v>500</v>
      </c>
      <c r="F28" s="463">
        <v>1.67</v>
      </c>
      <c r="G28" s="464">
        <v>0.006318816451625108</v>
      </c>
      <c r="H28" s="464">
        <v>0.31981460023174973</v>
      </c>
      <c r="I28" s="464">
        <v>-8.227633503076677E-6</v>
      </c>
      <c r="J28" s="464">
        <v>0.06391999591719866</v>
      </c>
      <c r="P28" s="77"/>
      <c r="Q28" s="79"/>
      <c r="R28" s="106"/>
    </row>
    <row r="29">
      <c r="B29" s="454">
        <v>23.0</v>
      </c>
      <c r="C29" s="454" t="s">
        <v>350</v>
      </c>
      <c r="D29" s="455" t="s">
        <v>560</v>
      </c>
      <c r="E29" s="455" t="s">
        <v>523</v>
      </c>
      <c r="F29" s="456">
        <v>1.57</v>
      </c>
      <c r="G29" s="457">
        <v>0.025937551627292253</v>
      </c>
      <c r="H29" s="457">
        <v>0.38052631578947366</v>
      </c>
      <c r="I29" s="457">
        <v>0.6939852086352303</v>
      </c>
      <c r="J29" s="457">
        <v>0.14400600842985514</v>
      </c>
    </row>
    <row r="30">
      <c r="B30" s="461">
        <v>24.0</v>
      </c>
      <c r="C30" s="461" t="s">
        <v>318</v>
      </c>
      <c r="D30" s="462" t="s">
        <v>561</v>
      </c>
      <c r="E30" s="462" t="s">
        <v>106</v>
      </c>
      <c r="F30" s="463">
        <v>1.26</v>
      </c>
      <c r="G30" s="464">
        <v>0.03598971722365039</v>
      </c>
      <c r="H30" s="464">
        <v>0.2973073122529644</v>
      </c>
      <c r="I30" s="464">
        <v>0.5611800539867572</v>
      </c>
      <c r="J30" s="464">
        <v>0.07588527420675754</v>
      </c>
    </row>
    <row r="31">
      <c r="B31" s="454">
        <v>25.0</v>
      </c>
      <c r="C31" s="454" t="s">
        <v>389</v>
      </c>
      <c r="D31" s="455" t="s">
        <v>562</v>
      </c>
      <c r="E31" s="455" t="s">
        <v>511</v>
      </c>
      <c r="F31" s="456">
        <v>6.73896</v>
      </c>
      <c r="G31" s="457">
        <v>0.008855400788436267</v>
      </c>
      <c r="H31" s="457">
        <v>0.3239605895715569</v>
      </c>
      <c r="I31" s="457">
        <v>3.2400146460458665</v>
      </c>
      <c r="J31" s="457">
        <v>0.3214560865927666</v>
      </c>
    </row>
    <row r="32">
      <c r="B32" s="461">
        <v>26.0</v>
      </c>
      <c r="C32" s="461" t="s">
        <v>409</v>
      </c>
      <c r="D32" s="462" t="s">
        <v>563</v>
      </c>
      <c r="E32" s="462" t="s">
        <v>511</v>
      </c>
      <c r="F32" s="463">
        <v>4.16</v>
      </c>
      <c r="G32" s="464">
        <v>0.005517387729117483</v>
      </c>
      <c r="H32" s="464">
        <v>0.34897063786702665</v>
      </c>
      <c r="I32" s="464">
        <v>0.9899446518663602</v>
      </c>
      <c r="J32" s="464">
        <v>0.10404227158426085</v>
      </c>
    </row>
    <row r="33">
      <c r="B33" s="454">
        <v>27.0</v>
      </c>
      <c r="C33" s="454" t="s">
        <v>564</v>
      </c>
      <c r="D33" s="455" t="s">
        <v>565</v>
      </c>
      <c r="E33" s="455" t="s">
        <v>116</v>
      </c>
      <c r="F33" s="456">
        <v>0.38</v>
      </c>
      <c r="G33" s="457">
        <v>0.013970588235294118</v>
      </c>
      <c r="H33" s="457">
        <v>0.0</v>
      </c>
      <c r="I33" s="457">
        <v>0.0</v>
      </c>
      <c r="J33" s="457"/>
    </row>
    <row r="34">
      <c r="B34" s="461">
        <v>28.0</v>
      </c>
      <c r="C34" s="461" t="s">
        <v>566</v>
      </c>
      <c r="D34" s="462" t="s">
        <v>567</v>
      </c>
      <c r="E34" s="462" t="s">
        <v>320</v>
      </c>
      <c r="F34" s="463">
        <v>1.12</v>
      </c>
      <c r="G34" s="464">
        <v>0.030853994490358132</v>
      </c>
      <c r="H34" s="464">
        <v>0.34364492266308005</v>
      </c>
      <c r="I34" s="464">
        <v>-0.5378947368421052</v>
      </c>
      <c r="J34" s="464">
        <v>0.1247198962141762</v>
      </c>
    </row>
    <row r="35">
      <c r="B35" s="454">
        <v>29.0</v>
      </c>
      <c r="C35" s="454" t="s">
        <v>568</v>
      </c>
      <c r="D35" s="455" t="s">
        <v>569</v>
      </c>
      <c r="E35" s="455" t="s">
        <v>500</v>
      </c>
      <c r="F35" s="456">
        <v>6.84</v>
      </c>
      <c r="G35" s="457">
        <v>0.009843992861665995</v>
      </c>
      <c r="H35" s="457">
        <v>0.16854368932038835</v>
      </c>
      <c r="I35" s="457">
        <v>0.0</v>
      </c>
      <c r="J35" s="457">
        <v>0.12207476923150615</v>
      </c>
    </row>
    <row r="36">
      <c r="B36" s="461">
        <v>30.0</v>
      </c>
      <c r="C36" s="461" t="s">
        <v>570</v>
      </c>
      <c r="D36" s="462" t="s">
        <v>571</v>
      </c>
      <c r="E36" s="462" t="s">
        <v>533</v>
      </c>
      <c r="F36" s="463">
        <v>6.6</v>
      </c>
      <c r="G36" s="464">
        <v>0.01716291769600832</v>
      </c>
      <c r="H36" s="464">
        <v>0.25217391304347825</v>
      </c>
      <c r="I36" s="464">
        <v>0.9614192939536944</v>
      </c>
      <c r="J36" s="464">
        <v>0.08036016076696578</v>
      </c>
    </row>
    <row r="37">
      <c r="B37" s="454">
        <v>31.0</v>
      </c>
      <c r="C37" s="454" t="s">
        <v>354</v>
      </c>
      <c r="D37" s="455" t="s">
        <v>572</v>
      </c>
      <c r="E37" s="455" t="s">
        <v>530</v>
      </c>
      <c r="F37" s="456">
        <v>5.48</v>
      </c>
      <c r="G37" s="457">
        <v>0.03240302743614002</v>
      </c>
      <c r="H37" s="457">
        <v>0.488376982395861</v>
      </c>
      <c r="I37" s="457">
        <v>0.6210785746024298</v>
      </c>
      <c r="J37" s="457">
        <v>0.22054013026545013</v>
      </c>
    </row>
    <row r="38">
      <c r="B38" s="461">
        <v>32.0</v>
      </c>
      <c r="C38" s="461" t="s">
        <v>573</v>
      </c>
      <c r="D38" s="462" t="s">
        <v>574</v>
      </c>
      <c r="E38" s="462" t="s">
        <v>533</v>
      </c>
      <c r="F38" s="463">
        <v>0.32</v>
      </c>
      <c r="G38" s="464">
        <v>0.006334125098970704</v>
      </c>
      <c r="H38" s="464">
        <v>0.29992564171202524</v>
      </c>
      <c r="I38" s="464">
        <v>-3.216730774601053E-4</v>
      </c>
      <c r="J38" s="464">
        <v>0.09949053148879697</v>
      </c>
    </row>
    <row r="39">
      <c r="B39" s="454">
        <v>33.0</v>
      </c>
      <c r="C39" s="454" t="s">
        <v>501</v>
      </c>
      <c r="D39" s="455" t="s">
        <v>575</v>
      </c>
      <c r="E39" s="455" t="s">
        <v>533</v>
      </c>
      <c r="F39" s="456">
        <v>2.0</v>
      </c>
      <c r="G39" s="457">
        <v>0.012170632264346132</v>
      </c>
      <c r="H39" s="457">
        <v>0.3161705551086082</v>
      </c>
      <c r="I39" s="457">
        <v>1.9829135279914312</v>
      </c>
      <c r="J39" s="457">
        <v>0.197258174386921</v>
      </c>
    </row>
    <row r="40">
      <c r="B40" s="461">
        <v>34.0</v>
      </c>
      <c r="C40" s="461" t="s">
        <v>576</v>
      </c>
      <c r="D40" s="462" t="s">
        <v>577</v>
      </c>
      <c r="E40" s="462" t="s">
        <v>511</v>
      </c>
      <c r="F40" s="463">
        <v>0.89</v>
      </c>
      <c r="G40" s="464">
        <v>0.009941912421805183</v>
      </c>
      <c r="H40" s="464">
        <v>0.2661900970068228</v>
      </c>
      <c r="I40" s="464">
        <v>2.9382947208927885</v>
      </c>
      <c r="J40" s="464">
        <v>0.31282899980459744</v>
      </c>
    </row>
    <row r="41">
      <c r="B41" s="454">
        <v>35.0</v>
      </c>
      <c r="C41" s="454" t="s">
        <v>578</v>
      </c>
      <c r="D41" s="455" t="s">
        <v>579</v>
      </c>
      <c r="E41" s="455" t="s">
        <v>500</v>
      </c>
      <c r="F41" s="456">
        <v>1.24932</v>
      </c>
      <c r="G41" s="457">
        <v>0.021544643242078033</v>
      </c>
      <c r="H41" s="457">
        <v>0.2728353353353353</v>
      </c>
      <c r="I41" s="457">
        <v>3.0870146895236883</v>
      </c>
      <c r="J41" s="457">
        <v>0.11064177607525635</v>
      </c>
    </row>
    <row r="42">
      <c r="B42" s="461">
        <v>36.0</v>
      </c>
      <c r="C42" s="461" t="s">
        <v>580</v>
      </c>
      <c r="D42" s="462" t="s">
        <v>581</v>
      </c>
      <c r="E42" s="462" t="s">
        <v>530</v>
      </c>
      <c r="F42" s="463">
        <v>1.2</v>
      </c>
      <c r="G42" s="464">
        <v>0.04051316677920324</v>
      </c>
      <c r="H42" s="464">
        <v>-37.548780487804876</v>
      </c>
      <c r="I42" s="464">
        <v>-0.4517023509982256</v>
      </c>
      <c r="J42" s="464">
        <v>0.07138421910617283</v>
      </c>
    </row>
    <row r="43">
      <c r="B43" s="454">
        <v>37.0</v>
      </c>
      <c r="C43" s="454" t="s">
        <v>310</v>
      </c>
      <c r="D43" s="455" t="s">
        <v>582</v>
      </c>
      <c r="E43" s="455" t="s">
        <v>530</v>
      </c>
      <c r="F43" s="456">
        <v>5.4875</v>
      </c>
      <c r="G43" s="457">
        <v>0.0419373328238441</v>
      </c>
      <c r="H43" s="457">
        <v>0.7547504698266861</v>
      </c>
      <c r="I43" s="457">
        <v>0.39379068588140953</v>
      </c>
      <c r="J43" s="457">
        <v>0.12660729947524857</v>
      </c>
    </row>
    <row r="44">
      <c r="B44" s="461">
        <v>38.0</v>
      </c>
      <c r="C44" s="461" t="s">
        <v>583</v>
      </c>
      <c r="D44" s="462" t="s">
        <v>584</v>
      </c>
      <c r="E44" s="462" t="s">
        <v>523</v>
      </c>
      <c r="F44" s="463">
        <v>1.6</v>
      </c>
      <c r="G44" s="464">
        <v>0.012999675008124798</v>
      </c>
      <c r="H44" s="464">
        <v>0.08308804978555209</v>
      </c>
      <c r="I44" s="464">
        <v>1.001872004496799</v>
      </c>
      <c r="J44" s="464">
        <v>0.14627624993945082</v>
      </c>
    </row>
    <row r="45">
      <c r="B45" s="454">
        <v>39.0</v>
      </c>
      <c r="C45" s="454" t="s">
        <v>585</v>
      </c>
      <c r="D45" s="455" t="s">
        <v>586</v>
      </c>
      <c r="E45" s="455" t="s">
        <v>500</v>
      </c>
      <c r="F45" s="456">
        <v>1.4</v>
      </c>
      <c r="G45" s="457">
        <v>0.010167768174885612</v>
      </c>
      <c r="H45" s="457">
        <v>0.4740061162079511</v>
      </c>
      <c r="I45" s="457">
        <v>0.29294168775724105</v>
      </c>
      <c r="J45" s="457">
        <v>1.4439191745273012</v>
      </c>
    </row>
    <row r="46">
      <c r="B46" s="461">
        <v>40.0</v>
      </c>
      <c r="C46" s="461" t="s">
        <v>109</v>
      </c>
      <c r="D46" s="462" t="s">
        <v>587</v>
      </c>
      <c r="E46" s="462" t="s">
        <v>523</v>
      </c>
      <c r="F46" s="463">
        <v>2.4</v>
      </c>
      <c r="G46" s="464">
        <v>0.02573450568303667</v>
      </c>
      <c r="H46" s="464">
        <v>0.687335478210003</v>
      </c>
      <c r="I46" s="464">
        <v>0.6817873869736992</v>
      </c>
      <c r="J46" s="464">
        <v>0.18294713991222464</v>
      </c>
    </row>
    <row r="47">
      <c r="B47" s="454">
        <v>41.0</v>
      </c>
      <c r="C47" s="454" t="s">
        <v>588</v>
      </c>
      <c r="D47" s="455" t="s">
        <v>589</v>
      </c>
      <c r="E47" s="455" t="s">
        <v>530</v>
      </c>
      <c r="F47" s="456">
        <v>4.32</v>
      </c>
      <c r="G47" s="457">
        <v>0.04513163393230255</v>
      </c>
      <c r="H47" s="457">
        <v>0.5880376344086021</v>
      </c>
      <c r="I47" s="457">
        <v>0.31366334909060983</v>
      </c>
      <c r="J47" s="457">
        <v>0.11988251975761635</v>
      </c>
    </row>
    <row r="48">
      <c r="B48" s="461">
        <v>42.0</v>
      </c>
      <c r="C48" s="461" t="s">
        <v>590</v>
      </c>
      <c r="D48" s="462" t="s">
        <v>591</v>
      </c>
      <c r="E48" s="462" t="s">
        <v>116</v>
      </c>
      <c r="F48" s="463">
        <v>7.76</v>
      </c>
      <c r="G48" s="464">
        <v>0.0627780923873473</v>
      </c>
      <c r="H48" s="464">
        <v>5.535955056179775</v>
      </c>
      <c r="I48" s="464">
        <v>0.29401615603222053</v>
      </c>
      <c r="J48" s="464">
        <v>0.0333097720610985</v>
      </c>
    </row>
    <row r="49">
      <c r="B49" s="454">
        <v>43.0</v>
      </c>
      <c r="C49" s="454" t="s">
        <v>443</v>
      </c>
      <c r="D49" s="455" t="s">
        <v>592</v>
      </c>
      <c r="E49" s="455" t="s">
        <v>533</v>
      </c>
      <c r="F49" s="456">
        <v>1.6</v>
      </c>
      <c r="G49" s="457">
        <v>0.003972589134968716</v>
      </c>
      <c r="H49" s="457">
        <v>0.0920284135753749</v>
      </c>
      <c r="I49" s="457">
        <v>1.0476644980326464</v>
      </c>
      <c r="J49" s="457">
        <v>0.07416044798592251</v>
      </c>
    </row>
    <row r="50">
      <c r="B50" s="461">
        <v>44.0</v>
      </c>
      <c r="C50" s="461" t="s">
        <v>593</v>
      </c>
      <c r="D50" s="462" t="s">
        <v>594</v>
      </c>
      <c r="E50" s="462" t="s">
        <v>500</v>
      </c>
      <c r="F50" s="463">
        <v>4.72</v>
      </c>
      <c r="G50" s="464">
        <v>0.01836647340363438</v>
      </c>
      <c r="H50" s="464">
        <v>0.5898801597869507</v>
      </c>
      <c r="I50" s="464">
        <v>0.6621876014281076</v>
      </c>
      <c r="J50" s="464">
        <v>0.03911704347848387</v>
      </c>
    </row>
    <row r="51">
      <c r="B51" s="454">
        <v>45.0</v>
      </c>
      <c r="C51" s="454" t="s">
        <v>595</v>
      </c>
      <c r="D51" s="455" t="s">
        <v>596</v>
      </c>
      <c r="E51" s="455" t="s">
        <v>500</v>
      </c>
      <c r="F51" s="456">
        <v>1.08</v>
      </c>
      <c r="G51" s="457">
        <v>0.006742414783368711</v>
      </c>
      <c r="H51" s="457">
        <v>0.1885364560191489</v>
      </c>
      <c r="I51" s="457">
        <v>3.6276880092957713</v>
      </c>
      <c r="J51" s="457">
        <v>0.24743875323818523</v>
      </c>
    </row>
    <row r="52">
      <c r="B52" s="461">
        <v>46.0</v>
      </c>
      <c r="C52" s="461" t="s">
        <v>597</v>
      </c>
      <c r="D52" s="462" t="s">
        <v>598</v>
      </c>
      <c r="E52" s="462" t="s">
        <v>533</v>
      </c>
      <c r="F52" s="463">
        <v>0.0</v>
      </c>
      <c r="G52" s="464">
        <v>0.0</v>
      </c>
      <c r="H52" s="464">
        <v>0.0</v>
      </c>
      <c r="I52" s="464">
        <v>0.0</v>
      </c>
      <c r="J52" s="464">
        <v>0.05469295546273192</v>
      </c>
    </row>
    <row r="53">
      <c r="B53" s="454">
        <v>47.0</v>
      </c>
      <c r="C53" s="454" t="s">
        <v>599</v>
      </c>
      <c r="D53" s="455" t="s">
        <v>600</v>
      </c>
      <c r="E53" s="455" t="s">
        <v>106</v>
      </c>
      <c r="F53" s="456">
        <v>0.2</v>
      </c>
      <c r="G53" s="457">
        <v>0.01682085786375105</v>
      </c>
      <c r="H53" s="457">
        <v>-0.027140549273021</v>
      </c>
      <c r="I53" s="457">
        <v>-0.5685063039626371</v>
      </c>
      <c r="J53" s="457"/>
    </row>
    <row r="54">
      <c r="B54" s="461">
        <v>48.0</v>
      </c>
      <c r="C54" s="461" t="s">
        <v>405</v>
      </c>
      <c r="D54" s="462" t="s">
        <v>601</v>
      </c>
      <c r="E54" s="462" t="s">
        <v>527</v>
      </c>
      <c r="F54" s="463">
        <v>3.74</v>
      </c>
      <c r="G54" s="464">
        <v>0.007457775828032464</v>
      </c>
      <c r="H54" s="464">
        <v>0.29439252336448596</v>
      </c>
      <c r="I54" s="464">
        <v>0.7968963855060589</v>
      </c>
      <c r="J54" s="464">
        <v>0.05787741303879947</v>
      </c>
    </row>
    <row r="55">
      <c r="B55" s="454">
        <v>49.0</v>
      </c>
      <c r="C55" s="454" t="s">
        <v>602</v>
      </c>
      <c r="D55" s="455" t="s">
        <v>603</v>
      </c>
      <c r="E55" s="455" t="s">
        <v>538</v>
      </c>
      <c r="F55" s="456">
        <v>3.01</v>
      </c>
      <c r="G55" s="457">
        <v>0.008961533881148028</v>
      </c>
      <c r="H55" s="457">
        <v>0.2697844409636757</v>
      </c>
      <c r="I55" s="457">
        <v>1.1096482827642864</v>
      </c>
      <c r="J55" s="457">
        <v>0.14803769731373956</v>
      </c>
    </row>
    <row r="56">
      <c r="B56" s="461">
        <v>50.0</v>
      </c>
      <c r="C56" s="461" t="s">
        <v>604</v>
      </c>
      <c r="D56" s="462" t="s">
        <v>605</v>
      </c>
      <c r="E56" s="462" t="s">
        <v>533</v>
      </c>
      <c r="F56" s="463">
        <v>1.132</v>
      </c>
      <c r="G56" s="464">
        <v>0.0424765478424015</v>
      </c>
      <c r="H56" s="464">
        <v>-0.8876600698486612</v>
      </c>
      <c r="I56" s="464">
        <v>0.45344209140158825</v>
      </c>
      <c r="J56" s="464">
        <v>0.00833465830407486</v>
      </c>
    </row>
  </sheetData>
  <mergeCells count="32">
    <mergeCell ref="C2:I4"/>
    <mergeCell ref="L3:N8"/>
    <mergeCell ref="P3:V5"/>
    <mergeCell ref="P7:Q8"/>
    <mergeCell ref="R7:R8"/>
    <mergeCell ref="T7:V8"/>
    <mergeCell ref="T9:U9"/>
    <mergeCell ref="L10:N11"/>
    <mergeCell ref="P10:Q11"/>
    <mergeCell ref="R10:R11"/>
    <mergeCell ref="T10:U10"/>
    <mergeCell ref="T11:U11"/>
    <mergeCell ref="P13:Q14"/>
    <mergeCell ref="R13:R14"/>
    <mergeCell ref="T14:U14"/>
    <mergeCell ref="T12:U12"/>
    <mergeCell ref="T13:U13"/>
    <mergeCell ref="T15:U15"/>
    <mergeCell ref="R16:R17"/>
    <mergeCell ref="T16:U16"/>
    <mergeCell ref="T17:U17"/>
    <mergeCell ref="T18:U18"/>
    <mergeCell ref="T19:U19"/>
    <mergeCell ref="P27:Q28"/>
    <mergeCell ref="R27:R28"/>
    <mergeCell ref="P16:Q17"/>
    <mergeCell ref="P19:Q20"/>
    <mergeCell ref="R19:R20"/>
    <mergeCell ref="P22:Q23"/>
    <mergeCell ref="R22:R23"/>
    <mergeCell ref="P25:Q26"/>
    <mergeCell ref="R25:R26"/>
  </mergeCells>
  <hyperlinks>
    <hyperlink r:id="rId1" ref="L10"/>
  </hyperlinks>
  <drawing r:id="rId2"/>
  <tableParts count="2">
    <tablePart r:id="rId5"/>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sheetViews>
  <sheetFormatPr customHeight="1" defaultColWidth="12.63" defaultRowHeight="15.75"/>
  <cols>
    <col customWidth="1" hidden="1" min="18" max="18" width="18.63"/>
    <col customWidth="1" min="28" max="28" width="13.63"/>
  </cols>
  <sheetData>
    <row r="1">
      <c r="B1" s="479" t="s">
        <v>1</v>
      </c>
      <c r="AB1" s="480"/>
      <c r="AC1" s="480"/>
      <c r="AD1" s="480"/>
      <c r="AE1" s="480"/>
      <c r="AF1" s="480"/>
      <c r="AG1" s="480"/>
      <c r="AH1" s="480"/>
    </row>
    <row r="2">
      <c r="B2" s="4" t="s">
        <v>606</v>
      </c>
      <c r="C2" s="5"/>
      <c r="D2" s="5"/>
      <c r="E2" s="6"/>
      <c r="F2" s="7" t="s">
        <v>607</v>
      </c>
      <c r="G2" s="5"/>
      <c r="H2" s="5"/>
      <c r="I2" s="6"/>
      <c r="J2" s="8" t="s">
        <v>608</v>
      </c>
      <c r="K2" s="5"/>
      <c r="L2" s="5"/>
      <c r="M2" s="6"/>
      <c r="N2" s="9" t="s">
        <v>44</v>
      </c>
      <c r="O2" s="5"/>
      <c r="P2" s="5"/>
      <c r="Q2" s="6"/>
      <c r="R2" s="481" t="s">
        <v>609</v>
      </c>
      <c r="T2" s="482" t="s">
        <v>610</v>
      </c>
      <c r="U2" s="482" t="s">
        <v>611</v>
      </c>
      <c r="V2" s="482" t="s">
        <v>612</v>
      </c>
      <c r="W2" s="482" t="s">
        <v>613</v>
      </c>
      <c r="X2" s="482" t="s">
        <v>614</v>
      </c>
      <c r="Y2" s="482" t="s">
        <v>615</v>
      </c>
      <c r="Z2" s="482" t="s">
        <v>616</v>
      </c>
      <c r="AA2" s="1"/>
      <c r="AB2" s="482" t="s">
        <v>610</v>
      </c>
      <c r="AC2" s="482" t="s">
        <v>611</v>
      </c>
      <c r="AD2" s="482" t="s">
        <v>612</v>
      </c>
      <c r="AE2" s="482" t="s">
        <v>613</v>
      </c>
      <c r="AF2" s="482" t="s">
        <v>614</v>
      </c>
      <c r="AG2" s="482" t="s">
        <v>615</v>
      </c>
      <c r="AH2" s="482" t="s">
        <v>616</v>
      </c>
    </row>
    <row r="3">
      <c r="B3" s="483">
        <f>Dashboard!D4</f>
        <v>40306.35125</v>
      </c>
      <c r="E3" s="17"/>
      <c r="F3" s="484" t="s">
        <v>15</v>
      </c>
      <c r="I3" s="17"/>
      <c r="J3" s="485">
        <f>Dashboard!J6</f>
        <v>0.04559989485</v>
      </c>
      <c r="N3" s="486">
        <v>20.0</v>
      </c>
      <c r="O3" s="13"/>
      <c r="P3" s="13"/>
      <c r="Q3" s="14"/>
      <c r="R3" s="487">
        <f>if(F3="Annual",1, IF(F3="Semiannual",2, IF(F3="Quaterly",4, IF(F3="Monthly",12, IF(F3="Weekly",52, IF(F3="Diary",365,))))))</f>
        <v>12</v>
      </c>
      <c r="T3" s="1">
        <f t="array" ref="T3:T1998">IF(ISBLANK(U3:U1998), "", 2024 + ROW(U3:U1998) - ROW(U3))
</f>
        <v>2024</v>
      </c>
      <c r="U3" s="488">
        <f>IFERROR(__xludf.DUMMYFUNCTION("FILTER(AC3:AH1998, MOD(ROW(AC3:AC1998)-ROW(AC3)+1, $R$3) = 0, (ROW(AC3:AC1998)-ROW(AC3)+1) &lt;= $N$3 * $R$3)
"),61780.32785908164)</f>
        <v>61780.32786</v>
      </c>
      <c r="V3" s="312">
        <f>IFERROR(__xludf.DUMMYFUNCTION("""COMPUTED_VALUE"""),1500.0)</f>
        <v>1500</v>
      </c>
      <c r="W3" s="197">
        <f>IFERROR(__xludf.DUMMYFUNCTION("""COMPUTED_VALUE"""),0.009063325885099087)</f>
        <v>0.009063325885</v>
      </c>
      <c r="X3" s="488">
        <f>IFERROR(__xludf.DUMMYFUNCTION("""COMPUTED_VALUE"""),63840.26310375677)</f>
        <v>63840.2631</v>
      </c>
      <c r="Y3" s="488">
        <f>IFERROR(__xludf.DUMMYFUNCTION("""COMPUTED_VALUE"""),58306.35125)</f>
        <v>58306.35125</v>
      </c>
      <c r="Z3" s="488">
        <f>IFERROR(__xludf.DUMMYFUNCTION("""COMPUTED_VALUE"""),5533.91185375677)</f>
        <v>5533.911854</v>
      </c>
      <c r="AB3" s="489">
        <v>1.0</v>
      </c>
      <c r="AC3" s="490">
        <f>B3</f>
        <v>40306.35125</v>
      </c>
      <c r="AD3" s="491">
        <f t="shared" ref="AD3:AD1998" si="1">$B$6*$R$6/$R$3</f>
        <v>1500</v>
      </c>
      <c r="AE3" s="492">
        <f t="shared" ref="AE3:AE1998" si="2">$N$6/$R$3</f>
        <v>0.009063325885</v>
      </c>
      <c r="AF3" s="490">
        <f t="shared" ref="AF3:AF1998" si="3">AC3*(1+AE3)+AD3</f>
        <v>42171.66085</v>
      </c>
      <c r="AG3" s="493">
        <f>AC3+AD3</f>
        <v>41806.35125</v>
      </c>
      <c r="AH3" s="493">
        <f t="shared" ref="AH3:AH1998" si="4">AF3-AG3</f>
        <v>365.3095966</v>
      </c>
    </row>
    <row r="4" ht="24.75" customHeight="1">
      <c r="B4" s="34"/>
      <c r="E4" s="17"/>
      <c r="F4" s="34"/>
      <c r="I4" s="17"/>
      <c r="J4" s="34"/>
      <c r="N4" s="29"/>
      <c r="O4" s="30"/>
      <c r="P4" s="30"/>
      <c r="Q4" s="31"/>
      <c r="R4" s="17"/>
      <c r="T4" s="494">
        <v>2025.0</v>
      </c>
      <c r="U4" s="488">
        <f>IFERROR(__xludf.DUMMYFUNCTION("""COMPUTED_VALUE"""),87769.75854690258)</f>
        <v>87769.75855</v>
      </c>
      <c r="V4" s="312">
        <f>IFERROR(__xludf.DUMMYFUNCTION("""COMPUTED_VALUE"""),1500.0)</f>
        <v>1500</v>
      </c>
      <c r="W4" s="197">
        <f>IFERROR(__xludf.DUMMYFUNCTION("""COMPUTED_VALUE"""),0.009063325885099087)</f>
        <v>0.009063325885</v>
      </c>
      <c r="X4" s="488">
        <f>IFERROR(__xludf.DUMMYFUNCTION("""COMPUTED_VALUE"""),90065.24447146963)</f>
        <v>90065.24447</v>
      </c>
      <c r="Y4" s="488">
        <f>IFERROR(__xludf.DUMMYFUNCTION("""COMPUTED_VALUE"""),76306.35125)</f>
        <v>76306.35125</v>
      </c>
      <c r="Z4" s="488">
        <f>IFERROR(__xludf.DUMMYFUNCTION("""COMPUTED_VALUE"""),13758.893221469625)</f>
        <v>13758.89322</v>
      </c>
      <c r="AB4" s="489">
        <v>2.0</v>
      </c>
      <c r="AC4" s="490">
        <f t="shared" ref="AC4:AC1998" si="5">AF3</f>
        <v>42171.66085</v>
      </c>
      <c r="AD4" s="491">
        <f t="shared" si="1"/>
        <v>1500</v>
      </c>
      <c r="AE4" s="492">
        <f t="shared" si="2"/>
        <v>0.009063325885</v>
      </c>
      <c r="AF4" s="490">
        <f t="shared" si="3"/>
        <v>44053.87635</v>
      </c>
      <c r="AG4" s="493">
        <f t="shared" ref="AG4:AG1998" si="6">AG3+AD4</f>
        <v>43306.35125</v>
      </c>
      <c r="AH4" s="493">
        <f t="shared" si="4"/>
        <v>747.525102</v>
      </c>
    </row>
    <row r="5">
      <c r="B5" s="4" t="s">
        <v>617</v>
      </c>
      <c r="C5" s="5"/>
      <c r="D5" s="5"/>
      <c r="E5" s="6"/>
      <c r="F5" s="7" t="s">
        <v>618</v>
      </c>
      <c r="G5" s="5"/>
      <c r="H5" s="5"/>
      <c r="I5" s="6"/>
      <c r="J5" s="8" t="s">
        <v>619</v>
      </c>
      <c r="K5" s="5"/>
      <c r="L5" s="5"/>
      <c r="M5" s="6"/>
      <c r="N5" s="9" t="s">
        <v>620</v>
      </c>
      <c r="O5" s="5"/>
      <c r="P5" s="5"/>
      <c r="Q5" s="6"/>
      <c r="R5" s="481" t="s">
        <v>609</v>
      </c>
      <c r="T5" s="494">
        <v>2026.0</v>
      </c>
      <c r="U5" s="488">
        <f>IFERROR(__xludf.DUMMYFUNCTION("""COMPUTED_VALUE"""),116731.04385216595)</f>
        <v>116731.0439</v>
      </c>
      <c r="V5" s="312">
        <f>IFERROR(__xludf.DUMMYFUNCTION("""COMPUTED_VALUE"""),1500.0)</f>
        <v>1500</v>
      </c>
      <c r="W5" s="197">
        <f>IFERROR(__xludf.DUMMYFUNCTION("""COMPUTED_VALUE"""),0.009063325885099087)</f>
        <v>0.009063325885</v>
      </c>
      <c r="X5" s="488">
        <f>IFERROR(__xludf.DUMMYFUNCTION("""COMPUTED_VALUE"""),119289.01534350593)</f>
        <v>119289.0153</v>
      </c>
      <c r="Y5" s="488">
        <f>IFERROR(__xludf.DUMMYFUNCTION("""COMPUTED_VALUE"""),94306.35125)</f>
        <v>94306.35125</v>
      </c>
      <c r="Z5" s="488">
        <f>IFERROR(__xludf.DUMMYFUNCTION("""COMPUTED_VALUE"""),24982.664093505926)</f>
        <v>24982.66409</v>
      </c>
      <c r="AB5" s="489">
        <v>3.0</v>
      </c>
      <c r="AC5" s="490">
        <f t="shared" si="5"/>
        <v>44053.87635</v>
      </c>
      <c r="AD5" s="491">
        <f t="shared" si="1"/>
        <v>1500</v>
      </c>
      <c r="AE5" s="492">
        <f t="shared" si="2"/>
        <v>0.009063325885</v>
      </c>
      <c r="AF5" s="490">
        <f t="shared" si="3"/>
        <v>45953.15099</v>
      </c>
      <c r="AG5" s="493">
        <f t="shared" si="6"/>
        <v>44806.35125</v>
      </c>
      <c r="AH5" s="493">
        <f t="shared" si="4"/>
        <v>1146.79974</v>
      </c>
    </row>
    <row r="6">
      <c r="B6" s="495">
        <v>1500.0</v>
      </c>
      <c r="C6" s="13"/>
      <c r="D6" s="13"/>
      <c r="E6" s="14"/>
      <c r="F6" s="496" t="s">
        <v>15</v>
      </c>
      <c r="G6" s="13"/>
      <c r="H6" s="13"/>
      <c r="I6" s="14"/>
      <c r="J6" s="497">
        <v>0.07</v>
      </c>
      <c r="K6" s="13"/>
      <c r="L6" s="13"/>
      <c r="M6" s="13"/>
      <c r="N6" s="498">
        <f>J3*0.85+J6</f>
        <v>0.1087599106</v>
      </c>
      <c r="O6" s="13"/>
      <c r="P6" s="13"/>
      <c r="Q6" s="14"/>
      <c r="R6" s="487">
        <f>if(F6="Annual",1, IF(F6="Semiannual",2, IF(F6="Quaterly",4, IF(F6="Monthly",12, IF(F6="Weekly",52, IF(F6="Diary",365,))))))</f>
        <v>12</v>
      </c>
      <c r="T6" s="494">
        <v>2027.0</v>
      </c>
      <c r="U6" s="488">
        <f>IFERROR(__xludf.DUMMYFUNCTION("""COMPUTED_VALUE"""),149004.01114443972)</f>
        <v>149004.0111</v>
      </c>
      <c r="V6" s="312">
        <f>IFERROR(__xludf.DUMMYFUNCTION("""COMPUTED_VALUE"""),1500.0)</f>
        <v>1500</v>
      </c>
      <c r="W6" s="197">
        <f>IFERROR(__xludf.DUMMYFUNCTION("""COMPUTED_VALUE"""),0.009063325885099087)</f>
        <v>0.009063325885</v>
      </c>
      <c r="X6" s="488">
        <f>IFERROR(__xludf.DUMMYFUNCTION("""COMPUTED_VALUE"""),151854.48305562872)</f>
        <v>151854.4831</v>
      </c>
      <c r="Y6" s="488">
        <f>IFERROR(__xludf.DUMMYFUNCTION("""COMPUTED_VALUE"""),112306.35125)</f>
        <v>112306.3513</v>
      </c>
      <c r="Z6" s="488">
        <f>IFERROR(__xludf.DUMMYFUNCTION("""COMPUTED_VALUE"""),39548.13180562871)</f>
        <v>39548.13181</v>
      </c>
      <c r="AB6" s="489">
        <v>4.0</v>
      </c>
      <c r="AC6" s="490">
        <f t="shared" si="5"/>
        <v>45953.15099</v>
      </c>
      <c r="AD6" s="491">
        <f t="shared" si="1"/>
        <v>1500</v>
      </c>
      <c r="AE6" s="492">
        <f t="shared" si="2"/>
        <v>0.009063325885</v>
      </c>
      <c r="AF6" s="490">
        <f t="shared" si="3"/>
        <v>47869.63937</v>
      </c>
      <c r="AG6" s="493">
        <f t="shared" si="6"/>
        <v>46306.35125</v>
      </c>
      <c r="AH6" s="493">
        <f t="shared" si="4"/>
        <v>1563.288123</v>
      </c>
    </row>
    <row r="7">
      <c r="B7" s="29"/>
      <c r="C7" s="30"/>
      <c r="D7" s="30"/>
      <c r="E7" s="31"/>
      <c r="F7" s="29"/>
      <c r="G7" s="30"/>
      <c r="H7" s="30"/>
      <c r="I7" s="31"/>
      <c r="J7" s="29"/>
      <c r="K7" s="30"/>
      <c r="L7" s="30"/>
      <c r="M7" s="30"/>
      <c r="N7" s="29"/>
      <c r="O7" s="30"/>
      <c r="P7" s="30"/>
      <c r="Q7" s="31"/>
      <c r="R7" s="17"/>
      <c r="T7" s="494">
        <v>2028.0</v>
      </c>
      <c r="U7" s="488">
        <f>IFERROR(__xludf.DUMMYFUNCTION("""COMPUTED_VALUE"""),184967.34657205924)</f>
        <v>184967.3466</v>
      </c>
      <c r="V7" s="312">
        <f>IFERROR(__xludf.DUMMYFUNCTION("""COMPUTED_VALUE"""),1500.0)</f>
        <v>1500</v>
      </c>
      <c r="W7" s="197">
        <f>IFERROR(__xludf.DUMMYFUNCTION("""COMPUTED_VALUE"""),0.009063325885099087)</f>
        <v>0.009063325885</v>
      </c>
      <c r="X7" s="488">
        <f>IFERROR(__xludf.DUMMYFUNCTION("""COMPUTED_VALUE"""),188143.7659121439)</f>
        <v>188143.7659</v>
      </c>
      <c r="Y7" s="488">
        <f>IFERROR(__xludf.DUMMYFUNCTION("""COMPUTED_VALUE"""),130306.35125)</f>
        <v>130306.3513</v>
      </c>
      <c r="Z7" s="488">
        <f>IFERROR(__xludf.DUMMYFUNCTION("""COMPUTED_VALUE"""),57837.414662143885)</f>
        <v>57837.41466</v>
      </c>
      <c r="AB7" s="489">
        <v>5.0</v>
      </c>
      <c r="AC7" s="490">
        <f t="shared" si="5"/>
        <v>47869.63937</v>
      </c>
      <c r="AD7" s="491">
        <f t="shared" si="1"/>
        <v>1500</v>
      </c>
      <c r="AE7" s="492">
        <f t="shared" si="2"/>
        <v>0.009063325885</v>
      </c>
      <c r="AF7" s="490">
        <f t="shared" si="3"/>
        <v>49803.49751</v>
      </c>
      <c r="AG7" s="493">
        <f t="shared" si="6"/>
        <v>47806.35125</v>
      </c>
      <c r="AH7" s="493">
        <f t="shared" si="4"/>
        <v>1997.146264</v>
      </c>
    </row>
    <row r="8">
      <c r="T8" s="494">
        <v>2029.0</v>
      </c>
      <c r="U8" s="488">
        <f>IFERROR(__xludf.DUMMYFUNCTION("""COMPUTED_VALUE"""),225043.0385084839)</f>
        <v>225043.0385</v>
      </c>
      <c r="V8" s="312">
        <f>IFERROR(__xludf.DUMMYFUNCTION("""COMPUTED_VALUE"""),1500.0)</f>
        <v>1500</v>
      </c>
      <c r="W8" s="197">
        <f>IFERROR(__xludf.DUMMYFUNCTION("""COMPUTED_VALUE"""),0.009063325885099087)</f>
        <v>0.009063325885</v>
      </c>
      <c r="X8" s="488">
        <f>IFERROR(__xludf.DUMMYFUNCTION("""COMPUTED_VALUE"""),228582.67690465922)</f>
        <v>228582.6769</v>
      </c>
      <c r="Y8" s="488">
        <f>IFERROR(__xludf.DUMMYFUNCTION("""COMPUTED_VALUE"""),148306.35125)</f>
        <v>148306.3513</v>
      </c>
      <c r="Z8" s="488">
        <f>IFERROR(__xludf.DUMMYFUNCTION("""COMPUTED_VALUE"""),80276.32565465922)</f>
        <v>80276.32565</v>
      </c>
      <c r="AB8" s="489">
        <v>6.0</v>
      </c>
      <c r="AC8" s="490">
        <f t="shared" si="5"/>
        <v>49803.49751</v>
      </c>
      <c r="AD8" s="491">
        <f t="shared" si="1"/>
        <v>1500</v>
      </c>
      <c r="AE8" s="492">
        <f t="shared" si="2"/>
        <v>0.009063325885</v>
      </c>
      <c r="AF8" s="490">
        <f t="shared" si="3"/>
        <v>51754.88284</v>
      </c>
      <c r="AG8" s="493">
        <f t="shared" si="6"/>
        <v>49306.35125</v>
      </c>
      <c r="AH8" s="493">
        <f t="shared" si="4"/>
        <v>2448.531593</v>
      </c>
    </row>
    <row r="9">
      <c r="B9" s="499" t="s">
        <v>621</v>
      </c>
      <c r="C9" s="13"/>
      <c r="D9" s="13"/>
      <c r="E9" s="13"/>
      <c r="F9" s="13"/>
      <c r="G9" s="13"/>
      <c r="H9" s="13"/>
      <c r="I9" s="13"/>
      <c r="J9" s="13"/>
      <c r="K9" s="13"/>
      <c r="L9" s="13"/>
      <c r="M9" s="13"/>
      <c r="N9" s="13"/>
      <c r="O9" s="13"/>
      <c r="P9" s="13"/>
      <c r="Q9" s="14"/>
      <c r="T9" s="494">
        <v>2030.0</v>
      </c>
      <c r="U9" s="488">
        <f>IFERROR(__xludf.DUMMYFUNCTION("""COMPUTED_VALUE"""),269701.32910045644)</f>
        <v>269701.3291</v>
      </c>
      <c r="V9" s="312">
        <f>IFERROR(__xludf.DUMMYFUNCTION("""COMPUTED_VALUE"""),1500.0)</f>
        <v>1500</v>
      </c>
      <c r="W9" s="197">
        <f>IFERROR(__xludf.DUMMYFUNCTION("""COMPUTED_VALUE"""),0.009063325885099087)</f>
        <v>0.009063325885</v>
      </c>
      <c r="X9" s="488">
        <f>IFERROR(__xludf.DUMMYFUNCTION("""COMPUTED_VALUE"""),273645.7201377383)</f>
        <v>273645.7201</v>
      </c>
      <c r="Y9" s="488">
        <f>IFERROR(__xludf.DUMMYFUNCTION("""COMPUTED_VALUE"""),166306.35125)</f>
        <v>166306.3513</v>
      </c>
      <c r="Z9" s="488">
        <f>IFERROR(__xludf.DUMMYFUNCTION("""COMPUTED_VALUE"""),107339.36888773827)</f>
        <v>107339.3689</v>
      </c>
      <c r="AB9" s="489">
        <v>7.0</v>
      </c>
      <c r="AC9" s="490">
        <f t="shared" si="5"/>
        <v>51754.88284</v>
      </c>
      <c r="AD9" s="491">
        <f t="shared" si="1"/>
        <v>1500</v>
      </c>
      <c r="AE9" s="492">
        <f t="shared" si="2"/>
        <v>0.009063325885</v>
      </c>
      <c r="AF9" s="490">
        <f t="shared" si="3"/>
        <v>53723.95421</v>
      </c>
      <c r="AG9" s="493">
        <f t="shared" si="6"/>
        <v>50806.35125</v>
      </c>
      <c r="AH9" s="493">
        <f t="shared" si="4"/>
        <v>2917.602962</v>
      </c>
    </row>
    <row r="10">
      <c r="B10" s="34"/>
      <c r="Q10" s="17"/>
      <c r="R10" s="500"/>
      <c r="T10" s="494">
        <v>2031.0</v>
      </c>
      <c r="U10" s="488">
        <f>IFERROR(__xludf.DUMMYFUNCTION("""COMPUTED_VALUE"""),319466.23201868637)</f>
        <v>319466.232</v>
      </c>
      <c r="V10" s="312">
        <f>IFERROR(__xludf.DUMMYFUNCTION("""COMPUTED_VALUE"""),1500.0)</f>
        <v>1500</v>
      </c>
      <c r="W10" s="197">
        <f>IFERROR(__xludf.DUMMYFUNCTION("""COMPUTED_VALUE"""),0.009063325885099087)</f>
        <v>0.009063325885</v>
      </c>
      <c r="X10" s="488">
        <f>IFERROR(__xludf.DUMMYFUNCTION("""COMPUTED_VALUE"""),323861.6585887564)</f>
        <v>323861.6586</v>
      </c>
      <c r="Y10" s="488">
        <f>IFERROR(__xludf.DUMMYFUNCTION("""COMPUTED_VALUE"""),184306.35125)</f>
        <v>184306.3513</v>
      </c>
      <c r="Z10" s="488">
        <f>IFERROR(__xludf.DUMMYFUNCTION("""COMPUTED_VALUE"""),139555.3073387564)</f>
        <v>139555.3073</v>
      </c>
      <c r="AB10" s="489">
        <v>8.0</v>
      </c>
      <c r="AC10" s="490">
        <f t="shared" si="5"/>
        <v>53723.95421</v>
      </c>
      <c r="AD10" s="491">
        <f t="shared" si="1"/>
        <v>1500</v>
      </c>
      <c r="AE10" s="492">
        <f t="shared" si="2"/>
        <v>0.009063325885</v>
      </c>
      <c r="AF10" s="490">
        <f t="shared" si="3"/>
        <v>55710.87192</v>
      </c>
      <c r="AG10" s="493">
        <f t="shared" si="6"/>
        <v>52306.35125</v>
      </c>
      <c r="AH10" s="493">
        <f t="shared" si="4"/>
        <v>3404.520667</v>
      </c>
    </row>
    <row r="11">
      <c r="B11" s="29"/>
      <c r="C11" s="30"/>
      <c r="D11" s="30"/>
      <c r="E11" s="30"/>
      <c r="F11" s="30"/>
      <c r="G11" s="30"/>
      <c r="H11" s="30"/>
      <c r="I11" s="30"/>
      <c r="J11" s="30"/>
      <c r="K11" s="30"/>
      <c r="L11" s="30"/>
      <c r="M11" s="30"/>
      <c r="N11" s="30"/>
      <c r="O11" s="30"/>
      <c r="P11" s="30"/>
      <c r="Q11" s="31"/>
      <c r="R11" s="501"/>
      <c r="T11" s="494">
        <v>2032.0</v>
      </c>
      <c r="U11" s="488">
        <f>IFERROR(__xludf.DUMMYFUNCTION("""COMPUTED_VALUE"""),374921.6811555151)</f>
        <v>374921.6812</v>
      </c>
      <c r="V11" s="312">
        <f>IFERROR(__xludf.DUMMYFUNCTION("""COMPUTED_VALUE"""),1500.0)</f>
        <v>1500</v>
      </c>
      <c r="W11" s="197">
        <f>IFERROR(__xludf.DUMMYFUNCTION("""COMPUTED_VALUE"""),0.009063325885099087)</f>
        <v>0.009063325885</v>
      </c>
      <c r="X11" s="488">
        <f>IFERROR(__xludf.DUMMYFUNCTION("""COMPUTED_VALUE"""),379819.71853321674)</f>
        <v>379819.7185</v>
      </c>
      <c r="Y11" s="488">
        <f>IFERROR(__xludf.DUMMYFUNCTION("""COMPUTED_VALUE"""),202306.35125)</f>
        <v>202306.3513</v>
      </c>
      <c r="Z11" s="488">
        <f>IFERROR(__xludf.DUMMYFUNCTION("""COMPUTED_VALUE"""),177513.36728321674)</f>
        <v>177513.3673</v>
      </c>
      <c r="AB11" s="489">
        <v>9.0</v>
      </c>
      <c r="AC11" s="490">
        <f t="shared" si="5"/>
        <v>55710.87192</v>
      </c>
      <c r="AD11" s="491">
        <f t="shared" si="1"/>
        <v>1500</v>
      </c>
      <c r="AE11" s="492">
        <f t="shared" si="2"/>
        <v>0.009063325885</v>
      </c>
      <c r="AF11" s="490">
        <f t="shared" si="3"/>
        <v>57715.7977</v>
      </c>
      <c r="AG11" s="493">
        <f t="shared" si="6"/>
        <v>53806.35125</v>
      </c>
      <c r="AH11" s="493">
        <f t="shared" si="4"/>
        <v>3909.446454</v>
      </c>
    </row>
    <row r="12">
      <c r="T12" s="494">
        <v>2033.0</v>
      </c>
      <c r="U12" s="488">
        <f>IFERROR(__xludf.DUMMYFUNCTION("""COMPUTED_VALUE"""),436718.382417457)</f>
        <v>436718.3824</v>
      </c>
      <c r="V12" s="312">
        <f>IFERROR(__xludf.DUMMYFUNCTION("""COMPUTED_VALUE"""),1500.0)</f>
        <v>1500</v>
      </c>
      <c r="W12" s="197">
        <f>IFERROR(__xludf.DUMMYFUNCTION("""COMPUTED_VALUE"""),0.009063325885099087)</f>
        <v>0.009063325885</v>
      </c>
      <c r="X12" s="488">
        <f>IFERROR(__xludf.DUMMYFUNCTION("""COMPUTED_VALUE"""),442176.50343731977)</f>
        <v>442176.5034</v>
      </c>
      <c r="Y12" s="488">
        <f>IFERROR(__xludf.DUMMYFUNCTION("""COMPUTED_VALUE"""),220306.35125)</f>
        <v>220306.3513</v>
      </c>
      <c r="Z12" s="488">
        <f>IFERROR(__xludf.DUMMYFUNCTION("""COMPUTED_VALUE"""),221870.15218731976)</f>
        <v>221870.1522</v>
      </c>
      <c r="AB12" s="489">
        <v>10.0</v>
      </c>
      <c r="AC12" s="490">
        <f t="shared" si="5"/>
        <v>57715.7977</v>
      </c>
      <c r="AD12" s="491">
        <f t="shared" si="1"/>
        <v>1500</v>
      </c>
      <c r="AE12" s="492">
        <f t="shared" si="2"/>
        <v>0.009063325885</v>
      </c>
      <c r="AF12" s="490">
        <f t="shared" si="3"/>
        <v>59738.89479</v>
      </c>
      <c r="AG12" s="493">
        <f t="shared" si="6"/>
        <v>55306.35125</v>
      </c>
      <c r="AH12" s="493">
        <f t="shared" si="4"/>
        <v>4432.543538</v>
      </c>
    </row>
    <row r="13">
      <c r="T13" s="494">
        <v>2034.0</v>
      </c>
      <c r="U13" s="488">
        <f>IFERROR(__xludf.DUMMYFUNCTION("""COMPUTED_VALUE"""),505581.4490105207)</f>
        <v>505581.449</v>
      </c>
      <c r="V13" s="312">
        <f>IFERROR(__xludf.DUMMYFUNCTION("""COMPUTED_VALUE"""),1500.0)</f>
        <v>1500</v>
      </c>
      <c r="W13" s="197">
        <f>IFERROR(__xludf.DUMMYFUNCTION("""COMPUTED_VALUE"""),0.009063325885099087)</f>
        <v>0.009063325885</v>
      </c>
      <c r="X13" s="488">
        <f>IFERROR(__xludf.DUMMYFUNCTION("""COMPUTED_VALUE"""),511663.6984443637)</f>
        <v>511663.6984</v>
      </c>
      <c r="Y13" s="488">
        <f>IFERROR(__xludf.DUMMYFUNCTION("""COMPUTED_VALUE"""),238306.35125)</f>
        <v>238306.3513</v>
      </c>
      <c r="Z13" s="488">
        <f>IFERROR(__xludf.DUMMYFUNCTION("""COMPUTED_VALUE"""),273357.3471943637)</f>
        <v>273357.3472</v>
      </c>
      <c r="AB13" s="489">
        <v>11.0</v>
      </c>
      <c r="AC13" s="490">
        <f t="shared" si="5"/>
        <v>59738.89479</v>
      </c>
      <c r="AD13" s="491">
        <f t="shared" si="1"/>
        <v>1500</v>
      </c>
      <c r="AE13" s="492">
        <f t="shared" si="2"/>
        <v>0.009063325885</v>
      </c>
      <c r="AF13" s="490">
        <f t="shared" si="3"/>
        <v>61780.32786</v>
      </c>
      <c r="AG13" s="493">
        <f t="shared" si="6"/>
        <v>56806.35125</v>
      </c>
      <c r="AH13" s="493">
        <f t="shared" si="4"/>
        <v>4973.976609</v>
      </c>
    </row>
    <row r="14">
      <c r="L14" s="4" t="s">
        <v>614</v>
      </c>
      <c r="M14" s="5"/>
      <c r="N14" s="5"/>
      <c r="O14" s="6"/>
      <c r="T14" s="494">
        <v>2035.0</v>
      </c>
      <c r="U14" s="488">
        <f>IFERROR(__xludf.DUMMYFUNCTION("""COMPUTED_VALUE"""),582318.9098096007)</f>
        <v>582318.9098</v>
      </c>
      <c r="V14" s="312">
        <f>IFERROR(__xludf.DUMMYFUNCTION("""COMPUTED_VALUE"""),1500.0)</f>
        <v>1500</v>
      </c>
      <c r="W14" s="197">
        <f>IFERROR(__xludf.DUMMYFUNCTION("""COMPUTED_VALUE"""),0.009063325885099087)</f>
        <v>0.009063325885</v>
      </c>
      <c r="X14" s="488">
        <f>IFERROR(__xludf.DUMMYFUNCTION("""COMPUTED_VALUE"""),589096.6558582608)</f>
        <v>589096.6559</v>
      </c>
      <c r="Y14" s="488">
        <f>IFERROR(__xludf.DUMMYFUNCTION("""COMPUTED_VALUE"""),256306.35125)</f>
        <v>256306.3513</v>
      </c>
      <c r="Z14" s="488">
        <f>IFERROR(__xludf.DUMMYFUNCTION("""COMPUTED_VALUE"""),332790.3046082608)</f>
        <v>332790.3046</v>
      </c>
      <c r="AB14" s="502">
        <v>12.0</v>
      </c>
      <c r="AC14" s="503">
        <f t="shared" si="5"/>
        <v>61780.32786</v>
      </c>
      <c r="AD14" s="504">
        <f t="shared" si="1"/>
        <v>1500</v>
      </c>
      <c r="AE14" s="505">
        <f t="shared" si="2"/>
        <v>0.009063325885</v>
      </c>
      <c r="AF14" s="503">
        <f t="shared" si="3"/>
        <v>63840.2631</v>
      </c>
      <c r="AG14" s="506">
        <f t="shared" si="6"/>
        <v>58306.35125</v>
      </c>
      <c r="AH14" s="506">
        <f t="shared" si="4"/>
        <v>5533.911854</v>
      </c>
    </row>
    <row r="15">
      <c r="L15" s="507">
        <f>FV(N6/R3,N3*R3,-B6*R6/R3,-B3,0)</f>
        <v>1628754.825</v>
      </c>
      <c r="O15" s="17"/>
      <c r="T15" s="494">
        <v>2036.0</v>
      </c>
      <c r="U15" s="488">
        <f>IFERROR(__xludf.DUMMYFUNCTION("""COMPUTED_VALUE"""),667831.1906478676)</f>
        <v>667831.1906</v>
      </c>
      <c r="V15" s="312">
        <f>IFERROR(__xludf.DUMMYFUNCTION("""COMPUTED_VALUE"""),1500.0)</f>
        <v>1500</v>
      </c>
      <c r="W15" s="197">
        <f>IFERROR(__xludf.DUMMYFUNCTION("""COMPUTED_VALUE"""),0.009063325885099087)</f>
        <v>0.009063325885</v>
      </c>
      <c r="X15" s="488">
        <f>IFERROR(__xludf.DUMMYFUNCTION("""COMPUTED_VALUE"""),675383.962364943)</f>
        <v>675383.9624</v>
      </c>
      <c r="Y15" s="488">
        <f>IFERROR(__xludf.DUMMYFUNCTION("""COMPUTED_VALUE"""),274306.35125)</f>
        <v>274306.3513</v>
      </c>
      <c r="Z15" s="488">
        <f>IFERROR(__xludf.DUMMYFUNCTION("""COMPUTED_VALUE"""),401077.611114943)</f>
        <v>401077.6111</v>
      </c>
      <c r="AB15" s="489">
        <v>13.0</v>
      </c>
      <c r="AC15" s="490">
        <f t="shared" si="5"/>
        <v>63840.2631</v>
      </c>
      <c r="AD15" s="491">
        <f t="shared" si="1"/>
        <v>1500</v>
      </c>
      <c r="AE15" s="492">
        <f t="shared" si="2"/>
        <v>0.009063325885</v>
      </c>
      <c r="AF15" s="490">
        <f t="shared" si="3"/>
        <v>65918.86821</v>
      </c>
      <c r="AG15" s="493">
        <f t="shared" si="6"/>
        <v>59806.35125</v>
      </c>
      <c r="AH15" s="493">
        <f t="shared" si="4"/>
        <v>6112.516963</v>
      </c>
    </row>
    <row r="16" ht="21.0" customHeight="1">
      <c r="L16" s="34"/>
      <c r="O16" s="17"/>
      <c r="T16" s="494">
        <v>2037.0</v>
      </c>
      <c r="U16" s="488">
        <f>IFERROR(__xludf.DUMMYFUNCTION("""COMPUTED_VALUE"""),763121.6797781815)</f>
        <v>763121.6798</v>
      </c>
      <c r="V16" s="312">
        <f>IFERROR(__xludf.DUMMYFUNCTION("""COMPUTED_VALUE"""),1500.0)</f>
        <v>1500</v>
      </c>
      <c r="W16" s="197">
        <f>IFERROR(__xludf.DUMMYFUNCTION("""COMPUTED_VALUE"""),0.009063325885099087)</f>
        <v>0.009063325885</v>
      </c>
      <c r="X16" s="488">
        <f>IFERROR(__xludf.DUMMYFUNCTION("""COMPUTED_VALUE"""),771538.1002519955)</f>
        <v>771538.1003</v>
      </c>
      <c r="Y16" s="488">
        <f>IFERROR(__xludf.DUMMYFUNCTION("""COMPUTED_VALUE"""),292306.35125)</f>
        <v>292306.3513</v>
      </c>
      <c r="Z16" s="488">
        <f>IFERROR(__xludf.DUMMYFUNCTION("""COMPUTED_VALUE"""),479231.7490019955)</f>
        <v>479231.749</v>
      </c>
      <c r="AB16" s="489">
        <v>14.0</v>
      </c>
      <c r="AC16" s="490">
        <f t="shared" si="5"/>
        <v>65918.86821</v>
      </c>
      <c r="AD16" s="491">
        <f t="shared" si="1"/>
        <v>1500</v>
      </c>
      <c r="AE16" s="492">
        <f t="shared" si="2"/>
        <v>0.009063325885</v>
      </c>
      <c r="AF16" s="490">
        <f t="shared" si="3"/>
        <v>68016.3124</v>
      </c>
      <c r="AG16" s="493">
        <f t="shared" si="6"/>
        <v>61306.35125</v>
      </c>
      <c r="AH16" s="493">
        <f t="shared" si="4"/>
        <v>6709.961147</v>
      </c>
    </row>
    <row r="17">
      <c r="L17" s="4" t="s">
        <v>615</v>
      </c>
      <c r="M17" s="5"/>
      <c r="N17" s="5"/>
      <c r="O17" s="6"/>
      <c r="T17" s="494">
        <v>2038.0</v>
      </c>
      <c r="U17" s="488">
        <f>IFERROR(__xludf.DUMMYFUNCTION("""COMPUTED_VALUE"""),869308.5014800658)</f>
        <v>869308.5015</v>
      </c>
      <c r="V17" s="312">
        <f>IFERROR(__xludf.DUMMYFUNCTION("""COMPUTED_VALUE"""),1500.0)</f>
        <v>1500</v>
      </c>
      <c r="W17" s="197">
        <f>IFERROR(__xludf.DUMMYFUNCTION("""COMPUTED_VALUE"""),0.009063325885099087)</f>
        <v>0.009063325885</v>
      </c>
      <c r="X17" s="488">
        <f>IFERROR(__xludf.DUMMYFUNCTION("""COMPUTED_VALUE"""),878687.3277236668)</f>
        <v>878687.3277</v>
      </c>
      <c r="Y17" s="488">
        <f>IFERROR(__xludf.DUMMYFUNCTION("""COMPUTED_VALUE"""),310306.35125)</f>
        <v>310306.3513</v>
      </c>
      <c r="Z17" s="488">
        <f>IFERROR(__xludf.DUMMYFUNCTION("""COMPUTED_VALUE"""),568380.9764736667)</f>
        <v>568380.9765</v>
      </c>
      <c r="AB17" s="489">
        <v>15.0</v>
      </c>
      <c r="AC17" s="490">
        <f t="shared" si="5"/>
        <v>68016.3124</v>
      </c>
      <c r="AD17" s="491">
        <f t="shared" si="1"/>
        <v>1500</v>
      </c>
      <c r="AE17" s="492">
        <f t="shared" si="2"/>
        <v>0.009063325885</v>
      </c>
      <c r="AF17" s="490">
        <f t="shared" si="3"/>
        <v>70132.7664</v>
      </c>
      <c r="AG17" s="493">
        <f t="shared" si="6"/>
        <v>62806.35125</v>
      </c>
      <c r="AH17" s="493">
        <f t="shared" si="4"/>
        <v>7326.415152</v>
      </c>
    </row>
    <row r="18">
      <c r="L18" s="508">
        <f>B3+B6*R6*N3</f>
        <v>400306.3513</v>
      </c>
      <c r="M18" s="13"/>
      <c r="N18" s="13"/>
      <c r="O18" s="14"/>
      <c r="T18" s="494">
        <v>2039.0</v>
      </c>
      <c r="U18" s="488">
        <f>IFERROR(__xludf.DUMMYFUNCTION("""COMPUTED_VALUE"""),987637.6359619739)</f>
        <v>987637.636</v>
      </c>
      <c r="V18" s="312">
        <f>IFERROR(__xludf.DUMMYFUNCTION("""COMPUTED_VALUE"""),1500.0)</f>
        <v>1500</v>
      </c>
      <c r="W18" s="197">
        <f>IFERROR(__xludf.DUMMYFUNCTION("""COMPUTED_VALUE"""),0.009063325885099087)</f>
        <v>0.009063325885</v>
      </c>
      <c r="X18" s="488">
        <f>IFERROR(__xludf.DUMMYFUNCTION("""COMPUTED_VALUE"""),998088.9177130862)</f>
        <v>998088.9177</v>
      </c>
      <c r="Y18" s="488">
        <f>IFERROR(__xludf.DUMMYFUNCTION("""COMPUTED_VALUE"""),328306.35125)</f>
        <v>328306.3513</v>
      </c>
      <c r="Z18" s="488">
        <f>IFERROR(__xludf.DUMMYFUNCTION("""COMPUTED_VALUE"""),669782.5664630863)</f>
        <v>669782.5665</v>
      </c>
      <c r="AB18" s="489">
        <v>16.0</v>
      </c>
      <c r="AC18" s="490">
        <f t="shared" si="5"/>
        <v>70132.7664</v>
      </c>
      <c r="AD18" s="491">
        <f t="shared" si="1"/>
        <v>1500</v>
      </c>
      <c r="AE18" s="492">
        <f t="shared" si="2"/>
        <v>0.009063325885</v>
      </c>
      <c r="AF18" s="490">
        <f t="shared" si="3"/>
        <v>72268.40252</v>
      </c>
      <c r="AG18" s="493">
        <f t="shared" si="6"/>
        <v>64306.35125</v>
      </c>
      <c r="AH18" s="493">
        <f t="shared" si="4"/>
        <v>7962.051269</v>
      </c>
    </row>
    <row r="19">
      <c r="L19" s="29"/>
      <c r="M19" s="30"/>
      <c r="N19" s="30"/>
      <c r="O19" s="31"/>
      <c r="T19" s="494">
        <v>2040.0</v>
      </c>
      <c r="U19" s="488">
        <f>IFERROR(__xludf.DUMMYFUNCTION("""COMPUTED_VALUE"""),1119497.5395058147)</f>
        <v>1119497.54</v>
      </c>
      <c r="V19" s="312">
        <f>IFERROR(__xludf.DUMMYFUNCTION("""COMPUTED_VALUE"""),1500.0)</f>
        <v>1500</v>
      </c>
      <c r="W19" s="197">
        <f>IFERROR(__xludf.DUMMYFUNCTION("""COMPUTED_VALUE"""),0.009063325885099087)</f>
        <v>0.009063325885</v>
      </c>
      <c r="X19" s="488">
        <f>IFERROR(__xludf.DUMMYFUNCTION("""COMPUTED_VALUE"""),1131143.9105339225)</f>
        <v>1131143.911</v>
      </c>
      <c r="Y19" s="488">
        <f>IFERROR(__xludf.DUMMYFUNCTION("""COMPUTED_VALUE"""),346306.35125)</f>
        <v>346306.3513</v>
      </c>
      <c r="Z19" s="488">
        <f>IFERROR(__xludf.DUMMYFUNCTION("""COMPUTED_VALUE"""),784837.5592839224)</f>
        <v>784837.5593</v>
      </c>
      <c r="AB19" s="489">
        <v>17.0</v>
      </c>
      <c r="AC19" s="490">
        <f t="shared" si="5"/>
        <v>72268.40252</v>
      </c>
      <c r="AD19" s="491">
        <f t="shared" si="1"/>
        <v>1500</v>
      </c>
      <c r="AE19" s="492">
        <f t="shared" si="2"/>
        <v>0.009063325885</v>
      </c>
      <c r="AF19" s="490">
        <f t="shared" si="3"/>
        <v>74423.3946</v>
      </c>
      <c r="AG19" s="493">
        <f t="shared" si="6"/>
        <v>65806.35125</v>
      </c>
      <c r="AH19" s="493">
        <f t="shared" si="4"/>
        <v>8617.043353</v>
      </c>
    </row>
    <row r="20">
      <c r="T20" s="494">
        <v>2041.0</v>
      </c>
      <c r="U20" s="488">
        <f>IFERROR(__xludf.DUMMYFUNCTION("""COMPUTED_VALUE"""),1266435.4364043123)</f>
        <v>1266435.436</v>
      </c>
      <c r="V20" s="312">
        <f>IFERROR(__xludf.DUMMYFUNCTION("""COMPUTED_VALUE"""),1500.0)</f>
        <v>1500</v>
      </c>
      <c r="W20" s="197">
        <f>IFERROR(__xludf.DUMMYFUNCTION("""COMPUTED_VALUE"""),0.009063325885099087)</f>
        <v>0.009063325885</v>
      </c>
      <c r="X20" s="488">
        <f>IFERROR(__xludf.DUMMYFUNCTION("""COMPUTED_VALUE"""),1279413.5534768824)</f>
        <v>1279413.553</v>
      </c>
      <c r="Y20" s="488">
        <f>IFERROR(__xludf.DUMMYFUNCTION("""COMPUTED_VALUE"""),364306.35125)</f>
        <v>364306.3513</v>
      </c>
      <c r="Z20" s="488">
        <f>IFERROR(__xludf.DUMMYFUNCTION("""COMPUTED_VALUE"""),915107.2022268823)</f>
        <v>915107.2022</v>
      </c>
      <c r="AB20" s="489">
        <v>18.0</v>
      </c>
      <c r="AC20" s="490">
        <f t="shared" si="5"/>
        <v>74423.3946</v>
      </c>
      <c r="AD20" s="491">
        <f t="shared" si="1"/>
        <v>1500</v>
      </c>
      <c r="AE20" s="492">
        <f t="shared" si="2"/>
        <v>0.009063325885</v>
      </c>
      <c r="AF20" s="490">
        <f t="shared" si="3"/>
        <v>76597.91808</v>
      </c>
      <c r="AG20" s="493">
        <f t="shared" si="6"/>
        <v>67306.35125</v>
      </c>
      <c r="AH20" s="493">
        <f t="shared" si="4"/>
        <v>9291.566831</v>
      </c>
    </row>
    <row r="21">
      <c r="L21" s="7" t="s">
        <v>616</v>
      </c>
      <c r="M21" s="5"/>
      <c r="N21" s="5"/>
      <c r="O21" s="6"/>
      <c r="T21" s="494">
        <v>2042.0</v>
      </c>
      <c r="U21" s="488">
        <f>IFERROR(__xludf.DUMMYFUNCTION("""COMPUTED_VALUE"""),1430175.4738583441)</f>
        <v>1430175.474</v>
      </c>
      <c r="V21" s="312">
        <f>IFERROR(__xludf.DUMMYFUNCTION("""COMPUTED_VALUE"""),1500.0)</f>
        <v>1500</v>
      </c>
      <c r="W21" s="197">
        <f>IFERROR(__xludf.DUMMYFUNCTION("""COMPUTED_VALUE"""),0.009063325885099087)</f>
        <v>0.009063325885</v>
      </c>
      <c r="X21" s="488">
        <f>IFERROR(__xludf.DUMMYFUNCTION("""COMPUTED_VALUE"""),1444637.6202507985)</f>
        <v>1444637.62</v>
      </c>
      <c r="Y21" s="488">
        <f>IFERROR(__xludf.DUMMYFUNCTION("""COMPUTED_VALUE"""),382306.35125)</f>
        <v>382306.3513</v>
      </c>
      <c r="Z21" s="488">
        <f>IFERROR(__xludf.DUMMYFUNCTION("""COMPUTED_VALUE"""),1062331.2690007985)</f>
        <v>1062331.269</v>
      </c>
      <c r="AB21" s="489">
        <v>19.0</v>
      </c>
      <c r="AC21" s="490">
        <f t="shared" si="5"/>
        <v>76597.91808</v>
      </c>
      <c r="AD21" s="491">
        <f t="shared" si="1"/>
        <v>1500</v>
      </c>
      <c r="AE21" s="492">
        <f t="shared" si="2"/>
        <v>0.009063325885</v>
      </c>
      <c r="AF21" s="490">
        <f t="shared" si="3"/>
        <v>78792.14998</v>
      </c>
      <c r="AG21" s="493">
        <f t="shared" si="6"/>
        <v>68806.35125</v>
      </c>
      <c r="AH21" s="493">
        <f t="shared" si="4"/>
        <v>9985.798725</v>
      </c>
    </row>
    <row r="22">
      <c r="L22" s="509">
        <f>L15-L18</f>
        <v>1228448.474</v>
      </c>
      <c r="O22" s="17"/>
      <c r="P22" s="113"/>
      <c r="T22" s="494">
        <v>2043.0</v>
      </c>
      <c r="U22" s="488">
        <f>IFERROR(__xludf.DUMMYFUNCTION("""COMPUTED_VALUE"""),1612638.952861097)</f>
        <v>1612638.953</v>
      </c>
      <c r="V22" s="312">
        <f>IFERROR(__xludf.DUMMYFUNCTION("""COMPUTED_VALUE"""),1500.0)</f>
        <v>1500</v>
      </c>
      <c r="W22" s="197">
        <f>IFERROR(__xludf.DUMMYFUNCTION("""COMPUTED_VALUE"""),0.009063325885099087)</f>
        <v>0.009063325885</v>
      </c>
      <c r="X22" s="488">
        <f>IFERROR(__xludf.DUMMYFUNCTION("""COMPUTED_VALUE"""),1628754.8252258822)</f>
        <v>1628754.825</v>
      </c>
      <c r="Y22" s="488">
        <f>IFERROR(__xludf.DUMMYFUNCTION("""COMPUTED_VALUE"""),400306.35125)</f>
        <v>400306.3513</v>
      </c>
      <c r="Z22" s="488">
        <f>IFERROR(__xludf.DUMMYFUNCTION("""COMPUTED_VALUE"""),1228448.4739758822)</f>
        <v>1228448.474</v>
      </c>
      <c r="AB22" s="489">
        <v>20.0</v>
      </c>
      <c r="AC22" s="490">
        <f t="shared" si="5"/>
        <v>78792.14998</v>
      </c>
      <c r="AD22" s="491">
        <f t="shared" si="1"/>
        <v>1500</v>
      </c>
      <c r="AE22" s="492">
        <f t="shared" si="2"/>
        <v>0.009063325885</v>
      </c>
      <c r="AF22" s="490">
        <f t="shared" si="3"/>
        <v>81006.26891</v>
      </c>
      <c r="AG22" s="493">
        <f t="shared" si="6"/>
        <v>70306.35125</v>
      </c>
      <c r="AH22" s="493">
        <f t="shared" si="4"/>
        <v>10699.91766</v>
      </c>
    </row>
    <row r="23">
      <c r="L23" s="34"/>
      <c r="O23" s="17"/>
      <c r="T23" s="494" t="s">
        <v>622</v>
      </c>
      <c r="AB23" s="489">
        <v>21.0</v>
      </c>
      <c r="AC23" s="490">
        <f t="shared" si="5"/>
        <v>81006.26891</v>
      </c>
      <c r="AD23" s="491">
        <f t="shared" si="1"/>
        <v>1500</v>
      </c>
      <c r="AE23" s="492">
        <f t="shared" si="2"/>
        <v>0.009063325885</v>
      </c>
      <c r="AF23" s="490">
        <f t="shared" si="3"/>
        <v>83240.45512</v>
      </c>
      <c r="AG23" s="493">
        <f t="shared" si="6"/>
        <v>71806.35125</v>
      </c>
      <c r="AH23" s="493">
        <f t="shared" si="4"/>
        <v>11434.10387</v>
      </c>
    </row>
    <row r="24">
      <c r="L24" s="7" t="s">
        <v>623</v>
      </c>
      <c r="M24" s="5"/>
      <c r="N24" s="5"/>
      <c r="O24" s="6"/>
      <c r="T24" s="494" t="s">
        <v>622</v>
      </c>
      <c r="AB24" s="489">
        <v>22.0</v>
      </c>
      <c r="AC24" s="490">
        <f t="shared" si="5"/>
        <v>83240.45512</v>
      </c>
      <c r="AD24" s="491">
        <f t="shared" si="1"/>
        <v>1500</v>
      </c>
      <c r="AE24" s="492">
        <f t="shared" si="2"/>
        <v>0.009063325885</v>
      </c>
      <c r="AF24" s="490">
        <f t="shared" si="3"/>
        <v>85494.89049</v>
      </c>
      <c r="AG24" s="493">
        <f t="shared" si="6"/>
        <v>73306.35125</v>
      </c>
      <c r="AH24" s="493">
        <f t="shared" si="4"/>
        <v>12188.53924</v>
      </c>
    </row>
    <row r="25">
      <c r="L25" s="510">
        <f>B6*R6/R3*N3</f>
        <v>30000</v>
      </c>
      <c r="M25" s="13"/>
      <c r="N25" s="13"/>
      <c r="O25" s="14"/>
      <c r="T25" s="494" t="s">
        <v>622</v>
      </c>
      <c r="AB25" s="489">
        <v>23.0</v>
      </c>
      <c r="AC25" s="490">
        <f t="shared" si="5"/>
        <v>85494.89049</v>
      </c>
      <c r="AD25" s="491">
        <f t="shared" si="1"/>
        <v>1500</v>
      </c>
      <c r="AE25" s="492">
        <f t="shared" si="2"/>
        <v>0.009063325885</v>
      </c>
      <c r="AF25" s="490">
        <f t="shared" si="3"/>
        <v>87769.75855</v>
      </c>
      <c r="AG25" s="493">
        <f t="shared" si="6"/>
        <v>74806.35125</v>
      </c>
      <c r="AH25" s="493">
        <f t="shared" si="4"/>
        <v>12963.4073</v>
      </c>
    </row>
    <row r="26">
      <c r="L26" s="29"/>
      <c r="M26" s="30"/>
      <c r="N26" s="30"/>
      <c r="O26" s="31"/>
      <c r="T26" s="494" t="s">
        <v>622</v>
      </c>
      <c r="AB26" s="502">
        <v>24.0</v>
      </c>
      <c r="AC26" s="503">
        <f t="shared" si="5"/>
        <v>87769.75855</v>
      </c>
      <c r="AD26" s="504">
        <f t="shared" si="1"/>
        <v>1500</v>
      </c>
      <c r="AE26" s="505">
        <f t="shared" si="2"/>
        <v>0.009063325885</v>
      </c>
      <c r="AF26" s="503">
        <f t="shared" si="3"/>
        <v>90065.24447</v>
      </c>
      <c r="AG26" s="506">
        <f t="shared" si="6"/>
        <v>76306.35125</v>
      </c>
      <c r="AH26" s="506">
        <f t="shared" si="4"/>
        <v>13758.89322</v>
      </c>
    </row>
    <row r="27">
      <c r="T27" s="494" t="s">
        <v>622</v>
      </c>
      <c r="AB27" s="489">
        <v>25.0</v>
      </c>
      <c r="AC27" s="490">
        <f t="shared" si="5"/>
        <v>90065.24447</v>
      </c>
      <c r="AD27" s="491">
        <f t="shared" si="1"/>
        <v>1500</v>
      </c>
      <c r="AE27" s="492">
        <f t="shared" si="2"/>
        <v>0.009063325885</v>
      </c>
      <c r="AF27" s="490">
        <f t="shared" si="3"/>
        <v>92381.53513</v>
      </c>
      <c r="AG27" s="493">
        <f t="shared" si="6"/>
        <v>77806.35125</v>
      </c>
      <c r="AH27" s="493">
        <f t="shared" si="4"/>
        <v>14575.18388</v>
      </c>
    </row>
    <row r="28">
      <c r="L28" s="8" t="s">
        <v>624</v>
      </c>
      <c r="M28" s="5"/>
      <c r="N28" s="5"/>
      <c r="O28" s="6"/>
      <c r="T28" s="494" t="s">
        <v>622</v>
      </c>
      <c r="AB28" s="489">
        <v>26.0</v>
      </c>
      <c r="AC28" s="490">
        <f t="shared" si="5"/>
        <v>92381.53513</v>
      </c>
      <c r="AD28" s="491">
        <f t="shared" si="1"/>
        <v>1500</v>
      </c>
      <c r="AE28" s="492">
        <f t="shared" si="2"/>
        <v>0.009063325885</v>
      </c>
      <c r="AF28" s="490">
        <f t="shared" si="3"/>
        <v>94718.81909</v>
      </c>
      <c r="AG28" s="493">
        <f t="shared" si="6"/>
        <v>79306.35125</v>
      </c>
      <c r="AH28" s="493">
        <f t="shared" si="4"/>
        <v>15412.46784</v>
      </c>
    </row>
    <row r="29">
      <c r="L29" s="511" t="s">
        <v>625</v>
      </c>
      <c r="N29" s="511" t="s">
        <v>69</v>
      </c>
      <c r="T29" s="494" t="s">
        <v>622</v>
      </c>
      <c r="AB29" s="489">
        <v>27.0</v>
      </c>
      <c r="AC29" s="490">
        <f t="shared" si="5"/>
        <v>94718.81909</v>
      </c>
      <c r="AD29" s="491">
        <f t="shared" si="1"/>
        <v>1500</v>
      </c>
      <c r="AE29" s="492">
        <f t="shared" si="2"/>
        <v>0.009063325885</v>
      </c>
      <c r="AF29" s="490">
        <f t="shared" si="3"/>
        <v>97077.28662</v>
      </c>
      <c r="AG29" s="493">
        <f t="shared" si="6"/>
        <v>80806.35125</v>
      </c>
      <c r="AH29" s="493">
        <f t="shared" si="4"/>
        <v>16270.93537</v>
      </c>
    </row>
    <row r="30">
      <c r="L30" s="512">
        <v>2027.0</v>
      </c>
      <c r="M30" s="14"/>
      <c r="N30" s="513">
        <v>100000.0</v>
      </c>
      <c r="O30" s="14"/>
      <c r="T30" s="494" t="s">
        <v>622</v>
      </c>
      <c r="AB30" s="489">
        <v>28.0</v>
      </c>
      <c r="AC30" s="490">
        <f t="shared" si="5"/>
        <v>97077.28662</v>
      </c>
      <c r="AD30" s="491">
        <f t="shared" si="1"/>
        <v>1500</v>
      </c>
      <c r="AE30" s="492">
        <f t="shared" si="2"/>
        <v>0.009063325885</v>
      </c>
      <c r="AF30" s="490">
        <f t="shared" si="3"/>
        <v>99457.1297</v>
      </c>
      <c r="AG30" s="493">
        <f t="shared" si="6"/>
        <v>82306.35125</v>
      </c>
      <c r="AH30" s="493">
        <f t="shared" si="4"/>
        <v>17150.77845</v>
      </c>
    </row>
    <row r="31">
      <c r="L31" s="29"/>
      <c r="M31" s="31"/>
      <c r="N31" s="30"/>
      <c r="O31" s="31"/>
      <c r="T31" s="494" t="s">
        <v>622</v>
      </c>
      <c r="AB31" s="489">
        <v>29.0</v>
      </c>
      <c r="AC31" s="490">
        <f t="shared" si="5"/>
        <v>99457.1297</v>
      </c>
      <c r="AD31" s="491">
        <f t="shared" si="1"/>
        <v>1500</v>
      </c>
      <c r="AE31" s="492">
        <f t="shared" si="2"/>
        <v>0.009063325885</v>
      </c>
      <c r="AF31" s="490">
        <f t="shared" si="3"/>
        <v>101858.5421</v>
      </c>
      <c r="AG31" s="493">
        <f t="shared" si="6"/>
        <v>83806.35125</v>
      </c>
      <c r="AH31" s="493">
        <f t="shared" si="4"/>
        <v>18052.19083</v>
      </c>
    </row>
    <row r="32">
      <c r="L32" s="8" t="s">
        <v>626</v>
      </c>
      <c r="M32" s="5"/>
      <c r="N32" s="514" t="s">
        <v>627</v>
      </c>
      <c r="O32" s="6"/>
      <c r="T32" s="494" t="s">
        <v>622</v>
      </c>
      <c r="AB32" s="489">
        <v>30.0</v>
      </c>
      <c r="AC32" s="490">
        <f t="shared" si="5"/>
        <v>101858.5421</v>
      </c>
      <c r="AD32" s="491">
        <f t="shared" si="1"/>
        <v>1500</v>
      </c>
      <c r="AE32" s="492">
        <f t="shared" si="2"/>
        <v>0.009063325885</v>
      </c>
      <c r="AF32" s="490">
        <f t="shared" si="3"/>
        <v>104281.7192</v>
      </c>
      <c r="AG32" s="493">
        <f t="shared" si="6"/>
        <v>85306.35125</v>
      </c>
      <c r="AH32" s="493">
        <f t="shared" si="4"/>
        <v>18975.36799</v>
      </c>
    </row>
    <row r="33">
      <c r="E33" s="197"/>
      <c r="L33" s="515" t="str">
        <f>IF(
  L30="",
  "No year chosen",
  IFERROR(
    IF(
      VLOOKUP(L30, $T$2:$X$37, 5, FALSE) &gt;= $N$30,
      "Goal Achieved",
      IF(
        VLOOKUP(L30, $T$2:$X$37, 5, FALSE) &gt;= (0.8*$N$30),
        "On Track",
        "Behind Schedule"
      )
    ),
    "No year found"
  )
)
</f>
        <v>Goal Achieved</v>
      </c>
      <c r="M33" s="13"/>
      <c r="N33" s="515" t="str">
        <f>IF(
  OR(
    L30="",
    ISERROR(VLOOKUP(L30, $T$2:$X$37, 5, FALSE))
  ),
  "",
  TEXT( VLOOKUP(L30, $T$2:$X$37, 5, FALSE)/$N$30, "0.0%" )
)
</f>
        <v>151.9%</v>
      </c>
      <c r="O33" s="14"/>
      <c r="T33" s="494" t="s">
        <v>622</v>
      </c>
      <c r="AB33" s="489">
        <v>31.0</v>
      </c>
      <c r="AC33" s="490">
        <f t="shared" si="5"/>
        <v>104281.7192</v>
      </c>
      <c r="AD33" s="491">
        <f t="shared" si="1"/>
        <v>1500</v>
      </c>
      <c r="AE33" s="492">
        <f t="shared" si="2"/>
        <v>0.009063325885</v>
      </c>
      <c r="AF33" s="490">
        <f t="shared" si="3"/>
        <v>106726.8584</v>
      </c>
      <c r="AG33" s="493">
        <f t="shared" si="6"/>
        <v>86806.35125</v>
      </c>
      <c r="AH33" s="493">
        <f t="shared" si="4"/>
        <v>19920.5072</v>
      </c>
    </row>
    <row r="34">
      <c r="E34" s="197"/>
      <c r="L34" s="29"/>
      <c r="M34" s="30"/>
      <c r="N34" s="29"/>
      <c r="O34" s="31"/>
      <c r="T34" s="494" t="s">
        <v>622</v>
      </c>
      <c r="AB34" s="489">
        <v>32.0</v>
      </c>
      <c r="AC34" s="490">
        <f t="shared" si="5"/>
        <v>106726.8584</v>
      </c>
      <c r="AD34" s="491">
        <f t="shared" si="1"/>
        <v>1500</v>
      </c>
      <c r="AE34" s="492">
        <f t="shared" si="2"/>
        <v>0.009063325885</v>
      </c>
      <c r="AF34" s="490">
        <f t="shared" si="3"/>
        <v>109194.1587</v>
      </c>
      <c r="AG34" s="493">
        <f t="shared" si="6"/>
        <v>88306.35125</v>
      </c>
      <c r="AH34" s="493">
        <f t="shared" si="4"/>
        <v>20887.80749</v>
      </c>
    </row>
    <row r="35">
      <c r="L35" s="516" t="str">
        <f>IFERROR(__xludf.DUMMYFUNCTION("IFNA(
  IF(
    MIN(FILTER($T$3:$T$22, $X$3:$X$22 &gt;= $N$30)) &lt;= $L$30,
    $L$30 - MIN(FILTER($T$3:$T$22, $X$3:$X$22 &gt;= $N$30)) &amp; "" years early"",
    MIN(FILTER($T$3:$T$22, $X$3:$X$22 &gt;= $N$30)) - $L$30 &amp; "" years late""
  ),
  ""Goal not reached in giv"&amp;"en range""
)
"),"1 years early")</f>
        <v>1 years early</v>
      </c>
      <c r="M35" s="13"/>
      <c r="N35" s="13"/>
      <c r="O35" s="14"/>
      <c r="T35" s="494" t="s">
        <v>622</v>
      </c>
      <c r="AB35" s="489">
        <v>33.0</v>
      </c>
      <c r="AC35" s="490">
        <f t="shared" si="5"/>
        <v>109194.1587</v>
      </c>
      <c r="AD35" s="491">
        <f t="shared" si="1"/>
        <v>1500</v>
      </c>
      <c r="AE35" s="492">
        <f t="shared" si="2"/>
        <v>0.009063325885</v>
      </c>
      <c r="AF35" s="490">
        <f t="shared" si="3"/>
        <v>111683.821</v>
      </c>
      <c r="AG35" s="493">
        <f t="shared" si="6"/>
        <v>89806.35125</v>
      </c>
      <c r="AH35" s="493">
        <f t="shared" si="4"/>
        <v>21877.46974</v>
      </c>
    </row>
    <row r="36">
      <c r="L36" s="29"/>
      <c r="M36" s="30"/>
      <c r="N36" s="30"/>
      <c r="O36" s="31"/>
      <c r="T36" s="494" t="s">
        <v>622</v>
      </c>
      <c r="AB36" s="489">
        <v>34.0</v>
      </c>
      <c r="AC36" s="490">
        <f t="shared" si="5"/>
        <v>111683.821</v>
      </c>
      <c r="AD36" s="491">
        <f t="shared" si="1"/>
        <v>1500</v>
      </c>
      <c r="AE36" s="492">
        <f t="shared" si="2"/>
        <v>0.009063325885</v>
      </c>
      <c r="AF36" s="490">
        <f t="shared" si="3"/>
        <v>114196.0479</v>
      </c>
      <c r="AG36" s="493">
        <f t="shared" si="6"/>
        <v>91306.35125</v>
      </c>
      <c r="AH36" s="493">
        <f t="shared" si="4"/>
        <v>22889.69661</v>
      </c>
    </row>
    <row r="37">
      <c r="T37" s="494" t="s">
        <v>622</v>
      </c>
      <c r="AB37" s="489">
        <v>35.0</v>
      </c>
      <c r="AC37" s="490">
        <f t="shared" si="5"/>
        <v>114196.0479</v>
      </c>
      <c r="AD37" s="491">
        <f t="shared" si="1"/>
        <v>1500</v>
      </c>
      <c r="AE37" s="492">
        <f t="shared" si="2"/>
        <v>0.009063325885</v>
      </c>
      <c r="AF37" s="490">
        <f t="shared" si="3"/>
        <v>116731.0439</v>
      </c>
      <c r="AG37" s="493">
        <f t="shared" si="6"/>
        <v>92806.35125</v>
      </c>
      <c r="AH37" s="493">
        <f t="shared" si="4"/>
        <v>23924.6926</v>
      </c>
    </row>
    <row r="38">
      <c r="T38" s="494" t="s">
        <v>622</v>
      </c>
      <c r="AB38" s="502">
        <v>36.0</v>
      </c>
      <c r="AC38" s="503">
        <f t="shared" si="5"/>
        <v>116731.0439</v>
      </c>
      <c r="AD38" s="504">
        <f t="shared" si="1"/>
        <v>1500</v>
      </c>
      <c r="AE38" s="505">
        <f t="shared" si="2"/>
        <v>0.009063325885</v>
      </c>
      <c r="AF38" s="503">
        <f t="shared" si="3"/>
        <v>119289.0153</v>
      </c>
      <c r="AG38" s="506">
        <f t="shared" si="6"/>
        <v>94306.35125</v>
      </c>
      <c r="AH38" s="506">
        <f t="shared" si="4"/>
        <v>24982.66409</v>
      </c>
    </row>
    <row r="39">
      <c r="T39" s="494" t="s">
        <v>622</v>
      </c>
      <c r="AB39" s="489">
        <v>37.0</v>
      </c>
      <c r="AC39" s="490">
        <f t="shared" si="5"/>
        <v>119289.0153</v>
      </c>
      <c r="AD39" s="491">
        <f t="shared" si="1"/>
        <v>1500</v>
      </c>
      <c r="AE39" s="492">
        <f t="shared" si="2"/>
        <v>0.009063325885</v>
      </c>
      <c r="AF39" s="490">
        <f t="shared" si="3"/>
        <v>121870.1706</v>
      </c>
      <c r="AG39" s="493">
        <f t="shared" si="6"/>
        <v>95806.35125</v>
      </c>
      <c r="AH39" s="493">
        <f t="shared" si="4"/>
        <v>26063.81931</v>
      </c>
    </row>
    <row r="40">
      <c r="T40" s="494" t="s">
        <v>622</v>
      </c>
      <c r="AB40" s="489">
        <v>38.0</v>
      </c>
      <c r="AC40" s="490">
        <f t="shared" si="5"/>
        <v>121870.1706</v>
      </c>
      <c r="AD40" s="491">
        <f t="shared" si="1"/>
        <v>1500</v>
      </c>
      <c r="AE40" s="492">
        <f t="shared" si="2"/>
        <v>0.009063325885</v>
      </c>
      <c r="AF40" s="490">
        <f t="shared" si="3"/>
        <v>124474.7196</v>
      </c>
      <c r="AG40" s="493">
        <f t="shared" si="6"/>
        <v>97306.35125</v>
      </c>
      <c r="AH40" s="493">
        <f t="shared" si="4"/>
        <v>27168.36839</v>
      </c>
    </row>
    <row r="41">
      <c r="T41" s="494" t="s">
        <v>622</v>
      </c>
      <c r="AB41" s="489">
        <v>39.0</v>
      </c>
      <c r="AC41" s="490">
        <f t="shared" si="5"/>
        <v>124474.7196</v>
      </c>
      <c r="AD41" s="491">
        <f t="shared" si="1"/>
        <v>1500</v>
      </c>
      <c r="AE41" s="492">
        <f t="shared" si="2"/>
        <v>0.009063325885</v>
      </c>
      <c r="AF41" s="490">
        <f t="shared" si="3"/>
        <v>127102.8746</v>
      </c>
      <c r="AG41" s="493">
        <f t="shared" si="6"/>
        <v>98806.35125</v>
      </c>
      <c r="AH41" s="493">
        <f t="shared" si="4"/>
        <v>28296.52333</v>
      </c>
    </row>
    <row r="42">
      <c r="T42" s="494" t="s">
        <v>622</v>
      </c>
      <c r="AB42" s="489">
        <v>40.0</v>
      </c>
      <c r="AC42" s="490">
        <f t="shared" si="5"/>
        <v>127102.8746</v>
      </c>
      <c r="AD42" s="491">
        <f t="shared" si="1"/>
        <v>1500</v>
      </c>
      <c r="AE42" s="492">
        <f t="shared" si="2"/>
        <v>0.009063325885</v>
      </c>
      <c r="AF42" s="490">
        <f t="shared" si="3"/>
        <v>129754.8494</v>
      </c>
      <c r="AG42" s="493">
        <f t="shared" si="6"/>
        <v>100306.3513</v>
      </c>
      <c r="AH42" s="493">
        <f t="shared" si="4"/>
        <v>29448.49811</v>
      </c>
    </row>
    <row r="43">
      <c r="B43" s="517" t="s">
        <v>628</v>
      </c>
      <c r="T43" s="494" t="s">
        <v>622</v>
      </c>
      <c r="AB43" s="489">
        <v>41.0</v>
      </c>
      <c r="AC43" s="490">
        <f t="shared" si="5"/>
        <v>129754.8494</v>
      </c>
      <c r="AD43" s="491">
        <f t="shared" si="1"/>
        <v>1500</v>
      </c>
      <c r="AE43" s="492">
        <f t="shared" si="2"/>
        <v>0.009063325885</v>
      </c>
      <c r="AF43" s="490">
        <f t="shared" si="3"/>
        <v>132430.8598</v>
      </c>
      <c r="AG43" s="493">
        <f t="shared" si="6"/>
        <v>101806.3513</v>
      </c>
      <c r="AH43" s="493">
        <f t="shared" si="4"/>
        <v>30624.50859</v>
      </c>
    </row>
    <row r="44">
      <c r="T44" s="494" t="s">
        <v>622</v>
      </c>
      <c r="AB44" s="489">
        <v>42.0</v>
      </c>
      <c r="AC44" s="490">
        <f t="shared" si="5"/>
        <v>132430.8598</v>
      </c>
      <c r="AD44" s="491">
        <f t="shared" si="1"/>
        <v>1500</v>
      </c>
      <c r="AE44" s="492">
        <f t="shared" si="2"/>
        <v>0.009063325885</v>
      </c>
      <c r="AF44" s="490">
        <f t="shared" si="3"/>
        <v>135131.1239</v>
      </c>
      <c r="AG44" s="493">
        <f t="shared" si="6"/>
        <v>103306.3513</v>
      </c>
      <c r="AH44" s="493">
        <f t="shared" si="4"/>
        <v>31824.77263</v>
      </c>
    </row>
    <row r="45">
      <c r="T45" s="494" t="s">
        <v>622</v>
      </c>
      <c r="AB45" s="489">
        <v>43.0</v>
      </c>
      <c r="AC45" s="490">
        <f t="shared" si="5"/>
        <v>135131.1239</v>
      </c>
      <c r="AD45" s="491">
        <f t="shared" si="1"/>
        <v>1500</v>
      </c>
      <c r="AE45" s="492">
        <f t="shared" si="2"/>
        <v>0.009063325885</v>
      </c>
      <c r="AF45" s="490">
        <f t="shared" si="3"/>
        <v>137855.8613</v>
      </c>
      <c r="AG45" s="493">
        <f t="shared" si="6"/>
        <v>104806.3513</v>
      </c>
      <c r="AH45" s="493">
        <f t="shared" si="4"/>
        <v>33049.51005</v>
      </c>
    </row>
    <row r="46">
      <c r="B46" s="518" t="s">
        <v>71</v>
      </c>
      <c r="C46" s="124" t="s">
        <v>9</v>
      </c>
      <c r="D46" s="119" t="s">
        <v>87</v>
      </c>
      <c r="E46" s="124" t="s">
        <v>629</v>
      </c>
      <c r="F46" s="124" t="s">
        <v>630</v>
      </c>
      <c r="G46" s="124" t="s">
        <v>631</v>
      </c>
      <c r="H46" s="519" t="s">
        <v>632</v>
      </c>
      <c r="I46" s="519" t="s">
        <v>633</v>
      </c>
      <c r="J46" s="124" t="s">
        <v>634</v>
      </c>
      <c r="L46" s="520" t="s">
        <v>635</v>
      </c>
      <c r="M46" s="74"/>
      <c r="N46" s="521" t="s">
        <v>636</v>
      </c>
      <c r="O46" s="522" t="s">
        <v>637</v>
      </c>
      <c r="P46" s="522" t="s">
        <v>638</v>
      </c>
      <c r="S46" s="523"/>
      <c r="T46" s="494" t="s">
        <v>622</v>
      </c>
      <c r="AB46" s="489">
        <v>44.0</v>
      </c>
      <c r="AC46" s="490">
        <f t="shared" si="5"/>
        <v>137855.8613</v>
      </c>
      <c r="AD46" s="491">
        <f t="shared" si="1"/>
        <v>1500</v>
      </c>
      <c r="AE46" s="492">
        <f t="shared" si="2"/>
        <v>0.009063325885</v>
      </c>
      <c r="AF46" s="490">
        <f t="shared" si="3"/>
        <v>140605.2939</v>
      </c>
      <c r="AG46" s="493">
        <f t="shared" si="6"/>
        <v>106306.3513</v>
      </c>
      <c r="AH46" s="493">
        <f t="shared" si="4"/>
        <v>34298.94264</v>
      </c>
    </row>
    <row r="47">
      <c r="B47" s="524" t="str">
        <f>Positions!A2</f>
        <v>GOOGL</v>
      </c>
      <c r="C47" s="135">
        <f>Positions!AB2</f>
        <v>2715.442</v>
      </c>
      <c r="D47" s="138" t="s">
        <v>103</v>
      </c>
      <c r="E47" s="494">
        <f>IFERROR(__xludf.DUMMYFUNCTION("if(isblank(B47),"""", GOOGLEFINANCE(B47, ""beta""))"),1.1)</f>
        <v>1.1</v>
      </c>
      <c r="F47" s="197">
        <f t="shared" ref="F47:F76" si="7">if(isblank(B47),"", E47*$L$58)</f>
        <v>-0.22</v>
      </c>
      <c r="G47" s="525">
        <f t="shared" ref="G47:G76" si="8">if(isblank(B47),"",C47+(C47*F47))</f>
        <v>2118.04476</v>
      </c>
      <c r="H47" s="197">
        <f t="shared" ref="H47:H76" si="9">if(isblank(B47),"", E47*$L$58*$N$58)</f>
        <v>-0.264</v>
      </c>
      <c r="I47" s="525">
        <f t="shared" ref="I47:I76" si="10">if(isblank(B47),"",C47+(C47*H47))</f>
        <v>1998.565312</v>
      </c>
      <c r="J47" s="526">
        <f t="shared" ref="J47:J76" si="11">if(isblank(B47),"", $P$58*(1+E47)/2)</f>
        <v>1.05</v>
      </c>
      <c r="L47" s="527" t="s">
        <v>639</v>
      </c>
      <c r="N47" s="528">
        <v>-0.86</v>
      </c>
      <c r="O47" s="529">
        <v>2.0</v>
      </c>
      <c r="P47" s="530">
        <v>25.0</v>
      </c>
      <c r="S47" s="197"/>
      <c r="T47" s="494" t="s">
        <v>622</v>
      </c>
      <c r="AB47" s="489">
        <v>45.0</v>
      </c>
      <c r="AC47" s="490">
        <f t="shared" si="5"/>
        <v>140605.2939</v>
      </c>
      <c r="AD47" s="491">
        <f t="shared" si="1"/>
        <v>1500</v>
      </c>
      <c r="AE47" s="492">
        <f t="shared" si="2"/>
        <v>0.009063325885</v>
      </c>
      <c r="AF47" s="490">
        <f t="shared" si="3"/>
        <v>143379.6455</v>
      </c>
      <c r="AG47" s="493">
        <f t="shared" si="6"/>
        <v>107806.3513</v>
      </c>
      <c r="AH47" s="493">
        <f t="shared" si="4"/>
        <v>35573.29424</v>
      </c>
    </row>
    <row r="48">
      <c r="B48" s="524" t="str">
        <f>Positions!A3</f>
        <v>MSFT</v>
      </c>
      <c r="C48" s="135">
        <f>Positions!AB3</f>
        <v>3922.81536</v>
      </c>
      <c r="D48" s="138" t="s">
        <v>103</v>
      </c>
      <c r="E48" s="494">
        <f>IFERROR(__xludf.DUMMYFUNCTION("if(isblank(B48),"""", GOOGLEFINANCE(B48, ""beta""))"),1.1)</f>
        <v>1.1</v>
      </c>
      <c r="F48" s="197">
        <f t="shared" si="7"/>
        <v>-0.22</v>
      </c>
      <c r="G48" s="525">
        <f t="shared" si="8"/>
        <v>3059.795981</v>
      </c>
      <c r="H48" s="197">
        <f t="shared" si="9"/>
        <v>-0.264</v>
      </c>
      <c r="I48" s="525">
        <f t="shared" si="10"/>
        <v>2887.192105</v>
      </c>
      <c r="J48" s="526">
        <f t="shared" si="11"/>
        <v>1.05</v>
      </c>
      <c r="L48" s="527" t="s">
        <v>640</v>
      </c>
      <c r="N48" s="528">
        <v>-0.49</v>
      </c>
      <c r="O48" s="529">
        <v>1.42</v>
      </c>
      <c r="P48" s="530">
        <v>7.0</v>
      </c>
      <c r="S48" s="197"/>
      <c r="T48" s="494" t="s">
        <v>622</v>
      </c>
      <c r="AB48" s="489">
        <v>46.0</v>
      </c>
      <c r="AC48" s="490">
        <f t="shared" si="5"/>
        <v>143379.6455</v>
      </c>
      <c r="AD48" s="491">
        <f t="shared" si="1"/>
        <v>1500</v>
      </c>
      <c r="AE48" s="492">
        <f t="shared" si="2"/>
        <v>0.009063325885</v>
      </c>
      <c r="AF48" s="490">
        <f t="shared" si="3"/>
        <v>146179.1419</v>
      </c>
      <c r="AG48" s="493">
        <f t="shared" si="6"/>
        <v>109306.3513</v>
      </c>
      <c r="AH48" s="493">
        <f t="shared" si="4"/>
        <v>36872.79069</v>
      </c>
    </row>
    <row r="49">
      <c r="B49" s="531" t="str">
        <f>Positions!A4</f>
        <v>DIS</v>
      </c>
      <c r="C49" s="135">
        <f>Positions!AB4</f>
        <v>1768.00624</v>
      </c>
      <c r="D49" s="138" t="s">
        <v>103</v>
      </c>
      <c r="E49" s="494">
        <f>IFERROR(__xludf.DUMMYFUNCTION("if(isblank(B49),"""", GOOGLEFINANCE(B49, ""beta""))"),1.42)</f>
        <v>1.42</v>
      </c>
      <c r="F49" s="197">
        <f t="shared" si="7"/>
        <v>-0.284</v>
      </c>
      <c r="G49" s="525">
        <f t="shared" si="8"/>
        <v>1265.892468</v>
      </c>
      <c r="H49" s="197">
        <f t="shared" si="9"/>
        <v>-0.3408</v>
      </c>
      <c r="I49" s="525">
        <f t="shared" si="10"/>
        <v>1165.469713</v>
      </c>
      <c r="J49" s="526">
        <f t="shared" si="11"/>
        <v>1.21</v>
      </c>
      <c r="L49" s="527" t="s">
        <v>641</v>
      </c>
      <c r="N49" s="528">
        <v>-0.57</v>
      </c>
      <c r="O49" s="529">
        <v>1.8</v>
      </c>
      <c r="P49" s="530">
        <v>5.5</v>
      </c>
      <c r="S49" s="197"/>
      <c r="T49" s="494" t="s">
        <v>622</v>
      </c>
      <c r="AB49" s="489">
        <v>47.0</v>
      </c>
      <c r="AC49" s="490">
        <f t="shared" si="5"/>
        <v>146179.1419</v>
      </c>
      <c r="AD49" s="491">
        <f t="shared" si="1"/>
        <v>1500</v>
      </c>
      <c r="AE49" s="492">
        <f t="shared" si="2"/>
        <v>0.009063325885</v>
      </c>
      <c r="AF49" s="490">
        <f t="shared" si="3"/>
        <v>149004.0111</v>
      </c>
      <c r="AG49" s="493">
        <f t="shared" si="6"/>
        <v>110806.3513</v>
      </c>
      <c r="AH49" s="493">
        <f t="shared" si="4"/>
        <v>38197.65989</v>
      </c>
    </row>
    <row r="50">
      <c r="B50" s="531" t="str">
        <f>Positions!A5</f>
        <v>TGT</v>
      </c>
      <c r="C50" s="135">
        <f>Positions!AB5</f>
        <v>3774.24888</v>
      </c>
      <c r="D50" s="138" t="s">
        <v>103</v>
      </c>
      <c r="E50" s="494">
        <f>IFERROR(__xludf.DUMMYFUNCTION("if(isblank(B50),"""", GOOGLEFINANCE(B50, ""beta""))"),1.12)</f>
        <v>1.12</v>
      </c>
      <c r="F50" s="197">
        <f t="shared" si="7"/>
        <v>-0.224</v>
      </c>
      <c r="G50" s="525">
        <f t="shared" si="8"/>
        <v>2928.817131</v>
      </c>
      <c r="H50" s="197">
        <f t="shared" si="9"/>
        <v>-0.2688</v>
      </c>
      <c r="I50" s="525">
        <f t="shared" si="10"/>
        <v>2759.730781</v>
      </c>
      <c r="J50" s="526">
        <f t="shared" si="11"/>
        <v>1.06</v>
      </c>
      <c r="L50" s="527" t="s">
        <v>642</v>
      </c>
      <c r="N50" s="528">
        <v>-0.34</v>
      </c>
      <c r="O50" s="529">
        <v>1.82</v>
      </c>
      <c r="P50" s="530">
        <v>0.5</v>
      </c>
      <c r="S50" s="197"/>
      <c r="T50" s="494" t="s">
        <v>622</v>
      </c>
      <c r="AB50" s="502">
        <v>48.0</v>
      </c>
      <c r="AC50" s="503">
        <f t="shared" si="5"/>
        <v>149004.0111</v>
      </c>
      <c r="AD50" s="504">
        <f t="shared" si="1"/>
        <v>1500</v>
      </c>
      <c r="AE50" s="505">
        <f t="shared" si="2"/>
        <v>0.009063325885</v>
      </c>
      <c r="AF50" s="503">
        <f t="shared" si="3"/>
        <v>151854.4831</v>
      </c>
      <c r="AG50" s="506">
        <f t="shared" si="6"/>
        <v>112306.3513</v>
      </c>
      <c r="AH50" s="506">
        <f t="shared" si="4"/>
        <v>39548.13181</v>
      </c>
    </row>
    <row r="51">
      <c r="B51" s="531" t="str">
        <f>Positions!A6</f>
        <v>SBUX</v>
      </c>
      <c r="C51" s="135">
        <f>Positions!AB6</f>
        <v>500.45699</v>
      </c>
      <c r="D51" s="138" t="s">
        <v>103</v>
      </c>
      <c r="E51" s="494">
        <f>IFERROR(__xludf.DUMMYFUNCTION("if(isblank(B51),"""", GOOGLEFINANCE(B51, ""beta""))"),0.93)</f>
        <v>0.93</v>
      </c>
      <c r="F51" s="197">
        <f t="shared" si="7"/>
        <v>-0.186</v>
      </c>
      <c r="G51" s="525">
        <f t="shared" si="8"/>
        <v>407.3719899</v>
      </c>
      <c r="H51" s="197">
        <f t="shared" si="9"/>
        <v>-0.2232</v>
      </c>
      <c r="I51" s="525">
        <f t="shared" si="10"/>
        <v>388.7549898</v>
      </c>
      <c r="J51" s="526">
        <f t="shared" si="11"/>
        <v>0.965</v>
      </c>
      <c r="L51" s="532" t="s">
        <v>643</v>
      </c>
      <c r="M51" s="78"/>
      <c r="N51" s="533">
        <v>-0.2</v>
      </c>
      <c r="O51" s="534">
        <v>1.2</v>
      </c>
      <c r="P51" s="535">
        <v>1.0</v>
      </c>
      <c r="S51" s="197"/>
      <c r="T51" s="494" t="s">
        <v>622</v>
      </c>
      <c r="AB51" s="489">
        <v>49.0</v>
      </c>
      <c r="AC51" s="490">
        <f t="shared" si="5"/>
        <v>151854.4831</v>
      </c>
      <c r="AD51" s="491">
        <f t="shared" si="1"/>
        <v>1500</v>
      </c>
      <c r="AE51" s="492">
        <f t="shared" si="2"/>
        <v>0.009063325885</v>
      </c>
      <c r="AF51" s="490">
        <f t="shared" si="3"/>
        <v>154730.7897</v>
      </c>
      <c r="AG51" s="493">
        <f t="shared" si="6"/>
        <v>113806.3513</v>
      </c>
      <c r="AH51" s="493">
        <f t="shared" si="4"/>
        <v>40924.43847</v>
      </c>
    </row>
    <row r="52">
      <c r="B52" s="531" t="str">
        <f>Positions!A7</f>
        <v>JPM</v>
      </c>
      <c r="C52" s="135">
        <f>Positions!AB7</f>
        <v>603.83235</v>
      </c>
      <c r="D52" s="138" t="s">
        <v>103</v>
      </c>
      <c r="E52" s="494">
        <f>IFERROR(__xludf.DUMMYFUNCTION("if(isblank(B52),"""", GOOGLEFINANCE(B52, ""beta""))"),1.06)</f>
        <v>1.06</v>
      </c>
      <c r="F52" s="197">
        <f t="shared" si="7"/>
        <v>-0.212</v>
      </c>
      <c r="G52" s="525">
        <f t="shared" si="8"/>
        <v>475.8198918</v>
      </c>
      <c r="H52" s="197">
        <f t="shared" si="9"/>
        <v>-0.2544</v>
      </c>
      <c r="I52" s="525">
        <f t="shared" si="10"/>
        <v>450.2174002</v>
      </c>
      <c r="J52" s="526">
        <f t="shared" si="11"/>
        <v>1.03</v>
      </c>
      <c r="S52" s="197"/>
      <c r="T52" s="494" t="s">
        <v>622</v>
      </c>
      <c r="AB52" s="489">
        <v>50.0</v>
      </c>
      <c r="AC52" s="490">
        <f t="shared" si="5"/>
        <v>154730.7897</v>
      </c>
      <c r="AD52" s="491">
        <f t="shared" si="1"/>
        <v>1500</v>
      </c>
      <c r="AE52" s="492">
        <f t="shared" si="2"/>
        <v>0.009063325885</v>
      </c>
      <c r="AF52" s="490">
        <f t="shared" si="3"/>
        <v>157633.1653</v>
      </c>
      <c r="AG52" s="493">
        <f t="shared" si="6"/>
        <v>115306.3513</v>
      </c>
      <c r="AH52" s="493">
        <f t="shared" si="4"/>
        <v>42326.81404</v>
      </c>
    </row>
    <row r="53">
      <c r="B53" s="531" t="str">
        <f>Positions!A8</f>
        <v>KO</v>
      </c>
      <c r="C53" s="135">
        <f>Positions!AB8</f>
        <v>879.52854</v>
      </c>
      <c r="D53" s="138" t="s">
        <v>113</v>
      </c>
      <c r="E53" s="494">
        <f>IFERROR(__xludf.DUMMYFUNCTION("if(isblank(B53),"""", GOOGLEFINANCE(B53, ""beta""))"),0.35)</f>
        <v>0.35</v>
      </c>
      <c r="F53" s="197">
        <f t="shared" si="7"/>
        <v>-0.07</v>
      </c>
      <c r="G53" s="525">
        <f t="shared" si="8"/>
        <v>817.9615422</v>
      </c>
      <c r="H53" s="197">
        <f t="shared" si="9"/>
        <v>-0.084</v>
      </c>
      <c r="I53" s="525">
        <f t="shared" si="10"/>
        <v>805.6481426</v>
      </c>
      <c r="J53" s="526">
        <f t="shared" si="11"/>
        <v>0.675</v>
      </c>
      <c r="S53" s="197"/>
      <c r="T53" s="494" t="s">
        <v>622</v>
      </c>
      <c r="AB53" s="489">
        <v>51.0</v>
      </c>
      <c r="AC53" s="490">
        <f t="shared" si="5"/>
        <v>157633.1653</v>
      </c>
      <c r="AD53" s="491">
        <f t="shared" si="1"/>
        <v>1500</v>
      </c>
      <c r="AE53" s="492">
        <f t="shared" si="2"/>
        <v>0.009063325885</v>
      </c>
      <c r="AF53" s="490">
        <f t="shared" si="3"/>
        <v>160561.846</v>
      </c>
      <c r="AG53" s="493">
        <f t="shared" si="6"/>
        <v>116806.3513</v>
      </c>
      <c r="AH53" s="493">
        <f t="shared" si="4"/>
        <v>43755.49479</v>
      </c>
    </row>
    <row r="54">
      <c r="B54" s="531" t="str">
        <f>Positions!A9</f>
        <v>O</v>
      </c>
      <c r="C54" s="135">
        <f>Positions!AB9</f>
        <v>2008.8648</v>
      </c>
      <c r="D54" s="138" t="s">
        <v>113</v>
      </c>
      <c r="E54" s="494">
        <f>IFERROR(__xludf.DUMMYFUNCTION("if(isblank(B54),"""", GOOGLEFINANCE(B54, ""beta""))"),0.78)</f>
        <v>0.78</v>
      </c>
      <c r="F54" s="197">
        <f t="shared" si="7"/>
        <v>-0.156</v>
      </c>
      <c r="G54" s="525">
        <f t="shared" si="8"/>
        <v>1695.481891</v>
      </c>
      <c r="H54" s="197">
        <f t="shared" si="9"/>
        <v>-0.1872</v>
      </c>
      <c r="I54" s="525">
        <f t="shared" si="10"/>
        <v>1632.805309</v>
      </c>
      <c r="J54" s="526">
        <f t="shared" si="11"/>
        <v>0.89</v>
      </c>
      <c r="L54" s="536" t="s">
        <v>644</v>
      </c>
      <c r="M54" s="74"/>
      <c r="N54" s="537" t="s">
        <v>643</v>
      </c>
      <c r="O54" s="73"/>
      <c r="P54" s="74"/>
      <c r="S54" s="197"/>
      <c r="T54" s="494" t="s">
        <v>622</v>
      </c>
      <c r="AB54" s="489">
        <v>52.0</v>
      </c>
      <c r="AC54" s="490">
        <f t="shared" si="5"/>
        <v>160561.846</v>
      </c>
      <c r="AD54" s="491">
        <f t="shared" si="1"/>
        <v>1500</v>
      </c>
      <c r="AE54" s="492">
        <f t="shared" si="2"/>
        <v>0.009063325885</v>
      </c>
      <c r="AF54" s="490">
        <f t="shared" si="3"/>
        <v>163517.0704</v>
      </c>
      <c r="AG54" s="493">
        <f t="shared" si="6"/>
        <v>118306.3513</v>
      </c>
      <c r="AH54" s="493">
        <f t="shared" si="4"/>
        <v>45210.71913</v>
      </c>
    </row>
    <row r="55">
      <c r="B55" s="531" t="str">
        <f>Positions!A10</f>
        <v>VICI</v>
      </c>
      <c r="C55" s="135">
        <f>Positions!AB10</f>
        <v>471.29906</v>
      </c>
      <c r="D55" s="138" t="s">
        <v>113</v>
      </c>
      <c r="E55" s="1">
        <v>1.24</v>
      </c>
      <c r="F55" s="197">
        <f t="shared" si="7"/>
        <v>-0.248</v>
      </c>
      <c r="G55" s="525">
        <f t="shared" si="8"/>
        <v>354.4168931</v>
      </c>
      <c r="H55" s="197">
        <f t="shared" si="9"/>
        <v>-0.2976</v>
      </c>
      <c r="I55" s="525">
        <f t="shared" si="10"/>
        <v>331.0404597</v>
      </c>
      <c r="J55" s="526">
        <f t="shared" si="11"/>
        <v>1.12</v>
      </c>
      <c r="S55" s="197"/>
      <c r="T55" s="494" t="s">
        <v>622</v>
      </c>
      <c r="AB55" s="489">
        <v>53.0</v>
      </c>
      <c r="AC55" s="490">
        <f t="shared" si="5"/>
        <v>163517.0704</v>
      </c>
      <c r="AD55" s="491">
        <f t="shared" si="1"/>
        <v>1500</v>
      </c>
      <c r="AE55" s="492">
        <f t="shared" si="2"/>
        <v>0.009063325885</v>
      </c>
      <c r="AF55" s="490">
        <f t="shared" si="3"/>
        <v>166499.0789</v>
      </c>
      <c r="AG55" s="493">
        <f t="shared" si="6"/>
        <v>119806.3513</v>
      </c>
      <c r="AH55" s="493">
        <f t="shared" si="4"/>
        <v>46692.72762</v>
      </c>
    </row>
    <row r="56">
      <c r="B56" s="531" t="str">
        <f>Positions!A11</f>
        <v>UNH</v>
      </c>
      <c r="C56" s="135">
        <f>Positions!AB11</f>
        <v>1462.90882</v>
      </c>
      <c r="D56" s="138" t="s">
        <v>103</v>
      </c>
      <c r="E56" s="1">
        <v>1.27</v>
      </c>
      <c r="F56" s="197">
        <f t="shared" si="7"/>
        <v>-0.254</v>
      </c>
      <c r="G56" s="525">
        <f t="shared" si="8"/>
        <v>1091.32998</v>
      </c>
      <c r="H56" s="197">
        <f t="shared" si="9"/>
        <v>-0.3048</v>
      </c>
      <c r="I56" s="525">
        <f t="shared" si="10"/>
        <v>1017.014212</v>
      </c>
      <c r="J56" s="526">
        <f t="shared" si="11"/>
        <v>1.135</v>
      </c>
      <c r="L56" s="538" t="s">
        <v>645</v>
      </c>
      <c r="M56" s="73"/>
      <c r="N56" s="73"/>
      <c r="O56" s="73"/>
      <c r="P56" s="74"/>
      <c r="S56" s="197"/>
      <c r="T56" s="494" t="s">
        <v>622</v>
      </c>
      <c r="AB56" s="489">
        <v>54.0</v>
      </c>
      <c r="AC56" s="490">
        <f t="shared" si="5"/>
        <v>166499.0789</v>
      </c>
      <c r="AD56" s="491">
        <f t="shared" si="1"/>
        <v>1500</v>
      </c>
      <c r="AE56" s="492">
        <f t="shared" si="2"/>
        <v>0.009063325885</v>
      </c>
      <c r="AF56" s="490">
        <f t="shared" si="3"/>
        <v>169508.1143</v>
      </c>
      <c r="AG56" s="493">
        <f t="shared" si="6"/>
        <v>121306.3513</v>
      </c>
      <c r="AH56" s="493">
        <f t="shared" si="4"/>
        <v>48201.76304</v>
      </c>
    </row>
    <row r="57">
      <c r="B57" s="531" t="str">
        <f>Positions!A12</f>
        <v>VGT</v>
      </c>
      <c r="C57" s="135">
        <f>Positions!AB12</f>
        <v>2210.80905</v>
      </c>
      <c r="D57" s="138" t="s">
        <v>124</v>
      </c>
      <c r="E57" s="1">
        <v>1.0</v>
      </c>
      <c r="F57" s="197">
        <f t="shared" si="7"/>
        <v>-0.2</v>
      </c>
      <c r="G57" s="525">
        <f t="shared" si="8"/>
        <v>1768.64724</v>
      </c>
      <c r="H57" s="197">
        <f t="shared" si="9"/>
        <v>-0.24</v>
      </c>
      <c r="I57" s="525">
        <f t="shared" si="10"/>
        <v>1680.214878</v>
      </c>
      <c r="J57" s="526">
        <f t="shared" si="11"/>
        <v>1</v>
      </c>
      <c r="L57" s="539" t="s">
        <v>646</v>
      </c>
      <c r="N57" s="540" t="s">
        <v>647</v>
      </c>
      <c r="P57" s="540" t="s">
        <v>648</v>
      </c>
      <c r="S57" s="197"/>
      <c r="T57" s="494" t="s">
        <v>622</v>
      </c>
      <c r="AB57" s="489">
        <v>55.0</v>
      </c>
      <c r="AC57" s="490">
        <f t="shared" si="5"/>
        <v>169508.1143</v>
      </c>
      <c r="AD57" s="491">
        <f t="shared" si="1"/>
        <v>1500</v>
      </c>
      <c r="AE57" s="492">
        <f t="shared" si="2"/>
        <v>0.009063325885</v>
      </c>
      <c r="AF57" s="490">
        <f t="shared" si="3"/>
        <v>172544.4216</v>
      </c>
      <c r="AG57" s="493">
        <f t="shared" si="6"/>
        <v>122806.3513</v>
      </c>
      <c r="AH57" s="493">
        <f t="shared" si="4"/>
        <v>49738.07032</v>
      </c>
    </row>
    <row r="58">
      <c r="B58" s="531" t="str">
        <f>Positions!A13</f>
        <v>VOO</v>
      </c>
      <c r="C58" s="135">
        <f>Positions!AB13</f>
        <v>1920.54584</v>
      </c>
      <c r="D58" s="138" t="s">
        <v>124</v>
      </c>
      <c r="E58" s="1">
        <v>1.03</v>
      </c>
      <c r="F58" s="197">
        <f t="shared" si="7"/>
        <v>-0.206</v>
      </c>
      <c r="G58" s="525">
        <f t="shared" si="8"/>
        <v>1524.913397</v>
      </c>
      <c r="H58" s="197">
        <f t="shared" si="9"/>
        <v>-0.2472</v>
      </c>
      <c r="I58" s="525">
        <f t="shared" si="10"/>
        <v>1445.786908</v>
      </c>
      <c r="J58" s="526">
        <f t="shared" si="11"/>
        <v>1.015</v>
      </c>
      <c r="L58" s="541">
        <f>if(N54 = L47, N47, if(N54 =L48,N48, if(N54 =L49 ,N49,if(N54 =L50 ,N50,if(N54 =L51 ,N51,"")))))</f>
        <v>-0.2</v>
      </c>
      <c r="M58" s="78"/>
      <c r="N58" s="542">
        <f>if(N54 = L47, O47, if(N54 =L48,O48, if(N54 =L49 ,O49,if(N54 =L50 ,O50,if(N54 =L51 ,O51,"")))))</f>
        <v>1.2</v>
      </c>
      <c r="O58" s="78"/>
      <c r="P58" s="543">
        <f>if(N54 = L47, P47, if(N54 =L48,P48, if(N54 =L49 ,P49,if(N54 =L50 ,P50,if(N54 =L51 ,P51,"")))))</f>
        <v>1</v>
      </c>
      <c r="S58" s="197"/>
      <c r="T58" s="494" t="s">
        <v>622</v>
      </c>
      <c r="AB58" s="489">
        <v>56.0</v>
      </c>
      <c r="AC58" s="490">
        <f t="shared" si="5"/>
        <v>172544.4216</v>
      </c>
      <c r="AD58" s="491">
        <f t="shared" si="1"/>
        <v>1500</v>
      </c>
      <c r="AE58" s="492">
        <f t="shared" si="2"/>
        <v>0.009063325885</v>
      </c>
      <c r="AF58" s="490">
        <f t="shared" si="3"/>
        <v>175608.2479</v>
      </c>
      <c r="AG58" s="493">
        <f t="shared" si="6"/>
        <v>124306.3513</v>
      </c>
      <c r="AH58" s="493">
        <f t="shared" si="4"/>
        <v>51301.89664</v>
      </c>
    </row>
    <row r="59">
      <c r="B59" s="531" t="str">
        <f>Positions!A14</f>
        <v>VTI</v>
      </c>
      <c r="C59" s="135">
        <f>Positions!AB14</f>
        <v>2737.392</v>
      </c>
      <c r="D59" s="138" t="s">
        <v>113</v>
      </c>
      <c r="E59" s="1">
        <v>0.75</v>
      </c>
      <c r="F59" s="197">
        <f t="shared" si="7"/>
        <v>-0.15</v>
      </c>
      <c r="G59" s="525">
        <f t="shared" si="8"/>
        <v>2326.7832</v>
      </c>
      <c r="H59" s="197">
        <f t="shared" si="9"/>
        <v>-0.18</v>
      </c>
      <c r="I59" s="525">
        <f t="shared" si="10"/>
        <v>2244.66144</v>
      </c>
      <c r="J59" s="526">
        <f t="shared" si="11"/>
        <v>0.875</v>
      </c>
      <c r="S59" s="197"/>
      <c r="T59" s="494" t="s">
        <v>622</v>
      </c>
      <c r="AB59" s="489">
        <v>57.0</v>
      </c>
      <c r="AC59" s="490">
        <f t="shared" si="5"/>
        <v>175608.2479</v>
      </c>
      <c r="AD59" s="491">
        <f t="shared" si="1"/>
        <v>1500</v>
      </c>
      <c r="AE59" s="492">
        <f t="shared" si="2"/>
        <v>0.009063325885</v>
      </c>
      <c r="AF59" s="490">
        <f t="shared" si="3"/>
        <v>178699.8427</v>
      </c>
      <c r="AG59" s="493">
        <f t="shared" si="6"/>
        <v>125806.3513</v>
      </c>
      <c r="AH59" s="493">
        <f t="shared" si="4"/>
        <v>52893.49142</v>
      </c>
    </row>
    <row r="60">
      <c r="B60" s="531" t="str">
        <f>Positions!A15</f>
        <v>SCHD</v>
      </c>
      <c r="C60" s="135">
        <f>Positions!AB15</f>
        <v>5820.7683</v>
      </c>
      <c r="D60" s="138" t="s">
        <v>113</v>
      </c>
      <c r="E60" s="1">
        <v>0.82</v>
      </c>
      <c r="F60" s="197">
        <f t="shared" si="7"/>
        <v>-0.164</v>
      </c>
      <c r="G60" s="525">
        <f t="shared" si="8"/>
        <v>4866.162299</v>
      </c>
      <c r="H60" s="197">
        <f t="shared" si="9"/>
        <v>-0.1968</v>
      </c>
      <c r="I60" s="525">
        <f t="shared" si="10"/>
        <v>4675.241099</v>
      </c>
      <c r="J60" s="526">
        <f t="shared" si="11"/>
        <v>0.91</v>
      </c>
      <c r="L60" s="544" t="s">
        <v>649</v>
      </c>
      <c r="M60" s="545"/>
      <c r="N60" s="545"/>
      <c r="O60" s="545"/>
      <c r="P60" s="467"/>
      <c r="S60" s="197"/>
      <c r="T60" s="494" t="s">
        <v>622</v>
      </c>
      <c r="AB60" s="489">
        <v>58.0</v>
      </c>
      <c r="AC60" s="490">
        <f t="shared" si="5"/>
        <v>178699.8427</v>
      </c>
      <c r="AD60" s="491">
        <f t="shared" si="1"/>
        <v>1500</v>
      </c>
      <c r="AE60" s="492">
        <f t="shared" si="2"/>
        <v>0.009063325885</v>
      </c>
      <c r="AF60" s="490">
        <f t="shared" si="3"/>
        <v>181819.4576</v>
      </c>
      <c r="AG60" s="493">
        <f t="shared" si="6"/>
        <v>127306.3513</v>
      </c>
      <c r="AH60" s="493">
        <f t="shared" si="4"/>
        <v>54513.10633</v>
      </c>
    </row>
    <row r="61">
      <c r="B61" s="531" t="str">
        <f>Positions!A16</f>
        <v>VIG</v>
      </c>
      <c r="C61" s="135">
        <f>Positions!AB16</f>
        <v>230.1535</v>
      </c>
      <c r="D61" s="138" t="s">
        <v>129</v>
      </c>
      <c r="E61" s="1">
        <v>1.03</v>
      </c>
      <c r="F61" s="197">
        <f t="shared" si="7"/>
        <v>-0.206</v>
      </c>
      <c r="G61" s="525">
        <f t="shared" si="8"/>
        <v>182.741879</v>
      </c>
      <c r="H61" s="197">
        <f t="shared" si="9"/>
        <v>-0.2472</v>
      </c>
      <c r="I61" s="525">
        <f t="shared" si="10"/>
        <v>173.2595548</v>
      </c>
      <c r="J61" s="526">
        <f t="shared" si="11"/>
        <v>1.015</v>
      </c>
      <c r="L61" s="546" t="s">
        <v>650</v>
      </c>
      <c r="N61" s="547" t="s">
        <v>651</v>
      </c>
      <c r="P61" s="546" t="s">
        <v>648</v>
      </c>
      <c r="S61" s="197"/>
      <c r="T61" s="494" t="s">
        <v>622</v>
      </c>
      <c r="AB61" s="489">
        <v>59.0</v>
      </c>
      <c r="AC61" s="490">
        <f t="shared" si="5"/>
        <v>181819.4576</v>
      </c>
      <c r="AD61" s="491">
        <f t="shared" si="1"/>
        <v>1500</v>
      </c>
      <c r="AE61" s="492">
        <f t="shared" si="2"/>
        <v>0.009063325885</v>
      </c>
      <c r="AF61" s="490">
        <f t="shared" si="3"/>
        <v>184967.3466</v>
      </c>
      <c r="AG61" s="493">
        <f t="shared" si="6"/>
        <v>128806.3513</v>
      </c>
      <c r="AH61" s="493">
        <f t="shared" si="4"/>
        <v>56160.99532</v>
      </c>
    </row>
    <row r="62">
      <c r="B62" s="531" t="str">
        <f>Positions!A17</f>
        <v>VXUS</v>
      </c>
      <c r="C62" s="135">
        <f>Positions!AB17</f>
        <v>1162.3008</v>
      </c>
      <c r="D62" s="138" t="s">
        <v>132</v>
      </c>
      <c r="E62" s="1">
        <v>0.99</v>
      </c>
      <c r="F62" s="197">
        <f t="shared" si="7"/>
        <v>-0.198</v>
      </c>
      <c r="G62" s="525">
        <f t="shared" si="8"/>
        <v>932.1652416</v>
      </c>
      <c r="H62" s="197">
        <f t="shared" si="9"/>
        <v>-0.2376</v>
      </c>
      <c r="I62" s="525">
        <f t="shared" si="10"/>
        <v>886.1381299</v>
      </c>
      <c r="J62" s="526">
        <f t="shared" si="11"/>
        <v>0.995</v>
      </c>
      <c r="L62" s="541">
        <f>$G$77/$C$77-1</f>
        <v>-0.1972781664</v>
      </c>
      <c r="M62" s="78"/>
      <c r="N62" s="541">
        <f>$I$77/$C$77-1</f>
        <v>-0.2367337997</v>
      </c>
      <c r="O62" s="78"/>
      <c r="P62" s="548">
        <f>J77</f>
        <v>0.9779411765</v>
      </c>
      <c r="S62" s="197"/>
      <c r="T62" s="494" t="s">
        <v>622</v>
      </c>
      <c r="AB62" s="502">
        <v>60.0</v>
      </c>
      <c r="AC62" s="503">
        <f t="shared" si="5"/>
        <v>184967.3466</v>
      </c>
      <c r="AD62" s="504">
        <f t="shared" si="1"/>
        <v>1500</v>
      </c>
      <c r="AE62" s="505">
        <f t="shared" si="2"/>
        <v>0.009063325885</v>
      </c>
      <c r="AF62" s="503">
        <f t="shared" si="3"/>
        <v>188143.7659</v>
      </c>
      <c r="AG62" s="506">
        <f t="shared" si="6"/>
        <v>130306.3513</v>
      </c>
      <c r="AH62" s="506">
        <f t="shared" si="4"/>
        <v>57837.41466</v>
      </c>
    </row>
    <row r="63">
      <c r="B63" s="531" t="str">
        <f>Positions!A18</f>
        <v>BND</v>
      </c>
      <c r="C63" s="135">
        <f>Positions!AB18</f>
        <v>156.70872</v>
      </c>
      <c r="D63" s="138" t="s">
        <v>134</v>
      </c>
      <c r="E63" s="494">
        <f>IFERROR(__xludf.DUMMYFUNCTION("if(isblank(B63),"""", GOOGLEFINANCE(B63, ""beta""))"),0.26)</f>
        <v>0.26</v>
      </c>
      <c r="F63" s="197">
        <f t="shared" si="7"/>
        <v>-0.052</v>
      </c>
      <c r="G63" s="525">
        <f t="shared" si="8"/>
        <v>148.5598666</v>
      </c>
      <c r="H63" s="197">
        <f t="shared" si="9"/>
        <v>-0.0624</v>
      </c>
      <c r="I63" s="525">
        <f t="shared" si="10"/>
        <v>146.9300959</v>
      </c>
      <c r="J63" s="526">
        <f t="shared" si="11"/>
        <v>0.63</v>
      </c>
      <c r="S63" s="197"/>
      <c r="T63" s="494" t="s">
        <v>622</v>
      </c>
      <c r="AB63" s="489">
        <v>61.0</v>
      </c>
      <c r="AC63" s="490">
        <f t="shared" si="5"/>
        <v>188143.7659</v>
      </c>
      <c r="AD63" s="491">
        <f t="shared" si="1"/>
        <v>1500</v>
      </c>
      <c r="AE63" s="492">
        <f t="shared" si="2"/>
        <v>0.009063325885</v>
      </c>
      <c r="AF63" s="490">
        <f t="shared" si="3"/>
        <v>191348.9742</v>
      </c>
      <c r="AG63" s="493">
        <f t="shared" si="6"/>
        <v>131806.3513</v>
      </c>
      <c r="AH63" s="493">
        <f t="shared" si="4"/>
        <v>59542.62293</v>
      </c>
    </row>
    <row r="64">
      <c r="B64" s="531" t="str">
        <f>Positions!A19</f>
        <v/>
      </c>
      <c r="C64" s="135" t="str">
        <f>Positions!AB19</f>
        <v/>
      </c>
      <c r="D64" s="138" t="s">
        <v>134</v>
      </c>
      <c r="E64" s="494" t="str">
        <f>IFERROR(__xludf.DUMMYFUNCTION("if(isblank(B64),"""", GOOGLEFINANCE(B64, ""beta""))"),"")</f>
        <v/>
      </c>
      <c r="F64" s="197" t="str">
        <f t="shared" si="7"/>
        <v/>
      </c>
      <c r="G64" s="526" t="str">
        <f t="shared" si="8"/>
        <v/>
      </c>
      <c r="H64" s="197" t="str">
        <f t="shared" si="9"/>
        <v/>
      </c>
      <c r="I64" s="525" t="str">
        <f t="shared" si="10"/>
        <v/>
      </c>
      <c r="J64" s="526" t="str">
        <f t="shared" si="11"/>
        <v/>
      </c>
      <c r="S64" s="197"/>
      <c r="T64" s="494" t="s">
        <v>622</v>
      </c>
      <c r="AB64" s="489">
        <v>62.0</v>
      </c>
      <c r="AC64" s="490">
        <f t="shared" si="5"/>
        <v>191348.9742</v>
      </c>
      <c r="AD64" s="491">
        <f t="shared" si="1"/>
        <v>1500</v>
      </c>
      <c r="AE64" s="492">
        <f t="shared" si="2"/>
        <v>0.009063325885</v>
      </c>
      <c r="AF64" s="490">
        <f t="shared" si="3"/>
        <v>194583.2323</v>
      </c>
      <c r="AG64" s="493">
        <f t="shared" si="6"/>
        <v>133306.3513</v>
      </c>
      <c r="AH64" s="493">
        <f t="shared" si="4"/>
        <v>61276.88104</v>
      </c>
    </row>
    <row r="65">
      <c r="B65" s="531" t="str">
        <f>Positions!A20</f>
        <v/>
      </c>
      <c r="C65" s="135" t="str">
        <f>Positions!AB20</f>
        <v/>
      </c>
      <c r="D65" s="138" t="s">
        <v>134</v>
      </c>
      <c r="E65" s="494" t="str">
        <f>IFERROR(__xludf.DUMMYFUNCTION("if(isblank(B65),"""", GOOGLEFINANCE(B65, ""beta""))"),"")</f>
        <v/>
      </c>
      <c r="F65" s="197" t="str">
        <f t="shared" si="7"/>
        <v/>
      </c>
      <c r="G65" s="526" t="str">
        <f t="shared" si="8"/>
        <v/>
      </c>
      <c r="H65" s="197" t="str">
        <f t="shared" si="9"/>
        <v/>
      </c>
      <c r="I65" s="525" t="str">
        <f t="shared" si="10"/>
        <v/>
      </c>
      <c r="J65" s="526" t="str">
        <f t="shared" si="11"/>
        <v/>
      </c>
      <c r="S65" s="197"/>
      <c r="T65" s="494" t="s">
        <v>622</v>
      </c>
      <c r="AB65" s="489">
        <v>63.0</v>
      </c>
      <c r="AC65" s="490">
        <f t="shared" si="5"/>
        <v>194583.2323</v>
      </c>
      <c r="AD65" s="491">
        <f t="shared" si="1"/>
        <v>1500</v>
      </c>
      <c r="AE65" s="492">
        <f t="shared" si="2"/>
        <v>0.009063325885</v>
      </c>
      <c r="AF65" s="490">
        <f t="shared" si="3"/>
        <v>197846.8035</v>
      </c>
      <c r="AG65" s="493">
        <f t="shared" si="6"/>
        <v>134806.3513</v>
      </c>
      <c r="AH65" s="493">
        <f t="shared" si="4"/>
        <v>63040.45228</v>
      </c>
    </row>
    <row r="66">
      <c r="B66" s="531" t="str">
        <f>Positions!A21</f>
        <v/>
      </c>
      <c r="C66" s="135"/>
      <c r="D66" s="138" t="s">
        <v>134</v>
      </c>
      <c r="E66" s="494" t="str">
        <f>IFERROR(__xludf.DUMMYFUNCTION("if(isblank(B66),"""", GOOGLEFINANCE(B66, ""beta""))"),"")</f>
        <v/>
      </c>
      <c r="F66" s="197" t="str">
        <f t="shared" si="7"/>
        <v/>
      </c>
      <c r="G66" s="526" t="str">
        <f t="shared" si="8"/>
        <v/>
      </c>
      <c r="H66" s="197" t="str">
        <f t="shared" si="9"/>
        <v/>
      </c>
      <c r="I66" s="525" t="str">
        <f t="shared" si="10"/>
        <v/>
      </c>
      <c r="J66" s="526" t="str">
        <f t="shared" si="11"/>
        <v/>
      </c>
      <c r="L66" s="1" t="s">
        <v>122</v>
      </c>
      <c r="M66" s="1" t="s">
        <v>629</v>
      </c>
      <c r="S66" s="197"/>
      <c r="T66" s="494" t="s">
        <v>622</v>
      </c>
      <c r="AB66" s="489">
        <v>64.0</v>
      </c>
      <c r="AC66" s="490">
        <f t="shared" si="5"/>
        <v>197846.8035</v>
      </c>
      <c r="AD66" s="491">
        <f t="shared" si="1"/>
        <v>1500</v>
      </c>
      <c r="AE66" s="492">
        <f t="shared" si="2"/>
        <v>0.009063325885</v>
      </c>
      <c r="AF66" s="490">
        <f t="shared" si="3"/>
        <v>201139.9536</v>
      </c>
      <c r="AG66" s="493">
        <f t="shared" si="6"/>
        <v>136306.3513</v>
      </c>
      <c r="AH66" s="493">
        <f t="shared" si="4"/>
        <v>64833.60234</v>
      </c>
    </row>
    <row r="67">
      <c r="B67" s="531" t="str">
        <f>Positions!A22</f>
        <v/>
      </c>
      <c r="C67" s="135"/>
      <c r="D67" s="138" t="s">
        <v>134</v>
      </c>
      <c r="E67" s="494" t="str">
        <f>IFERROR(__xludf.DUMMYFUNCTION("if(isblank(B67),"""", GOOGLEFINANCE(B67, ""beta""))"),"")</f>
        <v/>
      </c>
      <c r="F67" s="197" t="str">
        <f t="shared" si="7"/>
        <v/>
      </c>
      <c r="G67" s="526" t="str">
        <f t="shared" si="8"/>
        <v/>
      </c>
      <c r="H67" s="197" t="str">
        <f t="shared" si="9"/>
        <v/>
      </c>
      <c r="I67" s="525" t="str">
        <f t="shared" si="10"/>
        <v/>
      </c>
      <c r="J67" s="526" t="str">
        <f t="shared" si="11"/>
        <v/>
      </c>
      <c r="L67" s="1" t="s">
        <v>120</v>
      </c>
      <c r="M67" s="1">
        <v>1.27</v>
      </c>
      <c r="S67" s="197"/>
      <c r="T67" s="494" t="s">
        <v>622</v>
      </c>
      <c r="AB67" s="489">
        <v>65.0</v>
      </c>
      <c r="AC67" s="490">
        <f t="shared" si="5"/>
        <v>201139.9536</v>
      </c>
      <c r="AD67" s="491">
        <f t="shared" si="1"/>
        <v>1500</v>
      </c>
      <c r="AE67" s="492">
        <f t="shared" si="2"/>
        <v>0.009063325885</v>
      </c>
      <c r="AF67" s="490">
        <f t="shared" si="3"/>
        <v>204462.9505</v>
      </c>
      <c r="AG67" s="493">
        <f t="shared" si="6"/>
        <v>137806.3513</v>
      </c>
      <c r="AH67" s="493">
        <f t="shared" si="4"/>
        <v>66656.59929</v>
      </c>
    </row>
    <row r="68">
      <c r="B68" s="531" t="str">
        <f>Positions!A23</f>
        <v/>
      </c>
      <c r="C68" s="135"/>
      <c r="D68" s="138" t="s">
        <v>134</v>
      </c>
      <c r="E68" s="494" t="str">
        <f>IFERROR(__xludf.DUMMYFUNCTION("if(isblank(B68),"""", GOOGLEFINANCE(B68, ""beta""))"),"")</f>
        <v/>
      </c>
      <c r="F68" s="197" t="str">
        <f t="shared" si="7"/>
        <v/>
      </c>
      <c r="G68" s="526" t="str">
        <f t="shared" si="8"/>
        <v/>
      </c>
      <c r="H68" s="197" t="str">
        <f t="shared" si="9"/>
        <v/>
      </c>
      <c r="I68" s="525" t="str">
        <f t="shared" si="10"/>
        <v/>
      </c>
      <c r="J68" s="526" t="str">
        <f t="shared" si="11"/>
        <v/>
      </c>
      <c r="L68" s="1" t="s">
        <v>123</v>
      </c>
      <c r="M68" s="1">
        <v>1.0</v>
      </c>
      <c r="S68" s="197"/>
      <c r="T68" s="494" t="s">
        <v>622</v>
      </c>
      <c r="AB68" s="489">
        <v>66.0</v>
      </c>
      <c r="AC68" s="490">
        <f t="shared" si="5"/>
        <v>204462.9505</v>
      </c>
      <c r="AD68" s="491">
        <f t="shared" si="1"/>
        <v>1500</v>
      </c>
      <c r="AE68" s="492">
        <f t="shared" si="2"/>
        <v>0.009063325885</v>
      </c>
      <c r="AF68" s="490">
        <f t="shared" si="3"/>
        <v>207816.0649</v>
      </c>
      <c r="AG68" s="493">
        <f t="shared" si="6"/>
        <v>139306.3513</v>
      </c>
      <c r="AH68" s="493">
        <f t="shared" si="4"/>
        <v>68509.71364</v>
      </c>
    </row>
    <row r="69">
      <c r="B69" s="531" t="str">
        <f>Positions!A24</f>
        <v/>
      </c>
      <c r="C69" s="135"/>
      <c r="D69" s="138" t="s">
        <v>134</v>
      </c>
      <c r="E69" s="494" t="str">
        <f>IFERROR(__xludf.DUMMYFUNCTION("if(isblank(B69),"""", GOOGLEFINANCE(B69, ""beta""))"),"")</f>
        <v/>
      </c>
      <c r="F69" s="197" t="str">
        <f t="shared" si="7"/>
        <v/>
      </c>
      <c r="G69" s="526" t="str">
        <f t="shared" si="8"/>
        <v/>
      </c>
      <c r="H69" s="197" t="str">
        <f t="shared" si="9"/>
        <v/>
      </c>
      <c r="I69" s="525" t="str">
        <f t="shared" si="10"/>
        <v/>
      </c>
      <c r="J69" s="526" t="str">
        <f t="shared" si="11"/>
        <v/>
      </c>
      <c r="L69" s="1" t="s">
        <v>125</v>
      </c>
      <c r="M69" s="1">
        <v>1.03</v>
      </c>
      <c r="S69" s="197"/>
      <c r="T69" s="494" t="s">
        <v>622</v>
      </c>
      <c r="AB69" s="489">
        <v>67.0</v>
      </c>
      <c r="AC69" s="490">
        <f t="shared" si="5"/>
        <v>207816.0649</v>
      </c>
      <c r="AD69" s="491">
        <f t="shared" si="1"/>
        <v>1500</v>
      </c>
      <c r="AE69" s="492">
        <f t="shared" si="2"/>
        <v>0.009063325885</v>
      </c>
      <c r="AF69" s="490">
        <f t="shared" si="3"/>
        <v>211199.5696</v>
      </c>
      <c r="AG69" s="493">
        <f t="shared" si="6"/>
        <v>140806.3513</v>
      </c>
      <c r="AH69" s="493">
        <f t="shared" si="4"/>
        <v>70393.21836</v>
      </c>
    </row>
    <row r="70">
      <c r="B70" s="531" t="str">
        <f>Positions!A25</f>
        <v/>
      </c>
      <c r="C70" s="135"/>
      <c r="D70" s="138" t="s">
        <v>134</v>
      </c>
      <c r="E70" s="494" t="str">
        <f>IFERROR(__xludf.DUMMYFUNCTION("if(isblank(B70),"""", GOOGLEFINANCE(B70, ""beta""))"),"")</f>
        <v/>
      </c>
      <c r="F70" s="197" t="str">
        <f t="shared" si="7"/>
        <v/>
      </c>
      <c r="G70" s="526" t="str">
        <f t="shared" si="8"/>
        <v/>
      </c>
      <c r="H70" s="197" t="str">
        <f t="shared" si="9"/>
        <v/>
      </c>
      <c r="I70" s="525" t="str">
        <f t="shared" si="10"/>
        <v/>
      </c>
      <c r="J70" s="526" t="str">
        <f t="shared" si="11"/>
        <v/>
      </c>
      <c r="L70" s="1" t="s">
        <v>126</v>
      </c>
      <c r="M70" s="1">
        <v>0.75</v>
      </c>
      <c r="S70" s="197"/>
      <c r="T70" s="494" t="s">
        <v>622</v>
      </c>
      <c r="AB70" s="489">
        <v>68.0</v>
      </c>
      <c r="AC70" s="490">
        <f t="shared" si="5"/>
        <v>211199.5696</v>
      </c>
      <c r="AD70" s="491">
        <f t="shared" si="1"/>
        <v>1500</v>
      </c>
      <c r="AE70" s="492">
        <f t="shared" si="2"/>
        <v>0.009063325885</v>
      </c>
      <c r="AF70" s="490">
        <f t="shared" si="3"/>
        <v>214613.7401</v>
      </c>
      <c r="AG70" s="493">
        <f t="shared" si="6"/>
        <v>142306.3513</v>
      </c>
      <c r="AH70" s="493">
        <f t="shared" si="4"/>
        <v>72307.38888</v>
      </c>
    </row>
    <row r="71">
      <c r="B71" s="531" t="str">
        <f>Positions!A26</f>
        <v/>
      </c>
      <c r="C71" s="135"/>
      <c r="D71" s="138" t="s">
        <v>134</v>
      </c>
      <c r="E71" s="494" t="str">
        <f>IFERROR(__xludf.DUMMYFUNCTION("if(isblank(B71),"""", GOOGLEFINANCE(B71, ""beta""))"),"")</f>
        <v/>
      </c>
      <c r="F71" s="197" t="str">
        <f t="shared" si="7"/>
        <v/>
      </c>
      <c r="G71" s="526" t="str">
        <f t="shared" si="8"/>
        <v/>
      </c>
      <c r="H71" s="197" t="str">
        <f t="shared" si="9"/>
        <v/>
      </c>
      <c r="I71" s="525" t="str">
        <f t="shared" si="10"/>
        <v/>
      </c>
      <c r="J71" s="526" t="str">
        <f t="shared" si="11"/>
        <v/>
      </c>
      <c r="L71" s="1" t="s">
        <v>127</v>
      </c>
      <c r="M71" s="1">
        <v>0.82</v>
      </c>
      <c r="S71" s="197"/>
      <c r="T71" s="494" t="s">
        <v>622</v>
      </c>
      <c r="AB71" s="489">
        <v>69.0</v>
      </c>
      <c r="AC71" s="490">
        <f t="shared" si="5"/>
        <v>214613.7401</v>
      </c>
      <c r="AD71" s="491">
        <f t="shared" si="1"/>
        <v>1500</v>
      </c>
      <c r="AE71" s="492">
        <f t="shared" si="2"/>
        <v>0.009063325885</v>
      </c>
      <c r="AF71" s="490">
        <f t="shared" si="3"/>
        <v>218058.8544</v>
      </c>
      <c r="AG71" s="493">
        <f t="shared" si="6"/>
        <v>143806.3513</v>
      </c>
      <c r="AH71" s="493">
        <f t="shared" si="4"/>
        <v>74252.50315</v>
      </c>
    </row>
    <row r="72">
      <c r="B72" s="531" t="str">
        <f>Positions!A27</f>
        <v/>
      </c>
      <c r="C72" s="135"/>
      <c r="D72" s="138" t="s">
        <v>134</v>
      </c>
      <c r="E72" s="494" t="str">
        <f>IFERROR(__xludf.DUMMYFUNCTION("if(isblank(B72),"""", GOOGLEFINANCE(B72, ""beta""))"),"")</f>
        <v/>
      </c>
      <c r="F72" s="197" t="str">
        <f t="shared" si="7"/>
        <v/>
      </c>
      <c r="G72" s="526" t="str">
        <f t="shared" si="8"/>
        <v/>
      </c>
      <c r="H72" s="197" t="str">
        <f t="shared" si="9"/>
        <v/>
      </c>
      <c r="I72" s="525" t="str">
        <f t="shared" si="10"/>
        <v/>
      </c>
      <c r="J72" s="526" t="str">
        <f t="shared" si="11"/>
        <v/>
      </c>
      <c r="L72" s="1" t="s">
        <v>128</v>
      </c>
      <c r="M72" s="1">
        <v>1.03</v>
      </c>
      <c r="S72" s="197"/>
      <c r="T72" s="494" t="s">
        <v>622</v>
      </c>
      <c r="AB72" s="489">
        <v>70.0</v>
      </c>
      <c r="AC72" s="490">
        <f t="shared" si="5"/>
        <v>218058.8544</v>
      </c>
      <c r="AD72" s="491">
        <f t="shared" si="1"/>
        <v>1500</v>
      </c>
      <c r="AE72" s="492">
        <f t="shared" si="2"/>
        <v>0.009063325885</v>
      </c>
      <c r="AF72" s="490">
        <f t="shared" si="3"/>
        <v>221535.1929</v>
      </c>
      <c r="AG72" s="493">
        <f t="shared" si="6"/>
        <v>145306.3513</v>
      </c>
      <c r="AH72" s="493">
        <f t="shared" si="4"/>
        <v>76228.84161</v>
      </c>
    </row>
    <row r="73">
      <c r="B73" s="531" t="str">
        <f>Positions!A28</f>
        <v/>
      </c>
      <c r="C73" s="135"/>
      <c r="D73" s="138" t="s">
        <v>134</v>
      </c>
      <c r="E73" s="494" t="str">
        <f>IFERROR(__xludf.DUMMYFUNCTION("if(isblank(B73),"""", GOOGLEFINANCE(B73, ""beta""))"),"")</f>
        <v/>
      </c>
      <c r="F73" s="197" t="str">
        <f t="shared" si="7"/>
        <v/>
      </c>
      <c r="G73" s="526" t="str">
        <f t="shared" si="8"/>
        <v/>
      </c>
      <c r="H73" s="197" t="str">
        <f t="shared" si="9"/>
        <v/>
      </c>
      <c r="I73" s="525" t="str">
        <f t="shared" si="10"/>
        <v/>
      </c>
      <c r="J73" s="526" t="str">
        <f t="shared" si="11"/>
        <v/>
      </c>
      <c r="L73" s="1" t="s">
        <v>130</v>
      </c>
      <c r="M73" s="1">
        <v>0.99</v>
      </c>
      <c r="S73" s="197"/>
      <c r="T73" s="494" t="s">
        <v>622</v>
      </c>
      <c r="AB73" s="489">
        <v>71.0</v>
      </c>
      <c r="AC73" s="490">
        <f t="shared" si="5"/>
        <v>221535.1929</v>
      </c>
      <c r="AD73" s="491">
        <f t="shared" si="1"/>
        <v>1500</v>
      </c>
      <c r="AE73" s="492">
        <f t="shared" si="2"/>
        <v>0.009063325885</v>
      </c>
      <c r="AF73" s="490">
        <f t="shared" si="3"/>
        <v>225043.0385</v>
      </c>
      <c r="AG73" s="493">
        <f t="shared" si="6"/>
        <v>146806.3513</v>
      </c>
      <c r="AH73" s="493">
        <f t="shared" si="4"/>
        <v>78236.68726</v>
      </c>
    </row>
    <row r="74">
      <c r="B74" s="531" t="str">
        <f>Positions!A29</f>
        <v/>
      </c>
      <c r="C74" s="135"/>
      <c r="D74" s="138" t="s">
        <v>134</v>
      </c>
      <c r="E74" s="494" t="str">
        <f>IFERROR(__xludf.DUMMYFUNCTION("if(isblank(B74),"""", GOOGLEFINANCE(B74, ""beta""))"),"")</f>
        <v/>
      </c>
      <c r="F74" s="197" t="str">
        <f t="shared" si="7"/>
        <v/>
      </c>
      <c r="G74" s="526" t="str">
        <f t="shared" si="8"/>
        <v/>
      </c>
      <c r="H74" s="197" t="str">
        <f t="shared" si="9"/>
        <v/>
      </c>
      <c r="I74" s="525" t="str">
        <f t="shared" si="10"/>
        <v/>
      </c>
      <c r="J74" s="526" t="str">
        <f t="shared" si="11"/>
        <v/>
      </c>
      <c r="S74" s="197"/>
      <c r="T74" s="494" t="s">
        <v>622</v>
      </c>
      <c r="AB74" s="502">
        <v>72.0</v>
      </c>
      <c r="AC74" s="503">
        <f t="shared" si="5"/>
        <v>225043.0385</v>
      </c>
      <c r="AD74" s="504">
        <f t="shared" si="1"/>
        <v>1500</v>
      </c>
      <c r="AE74" s="505">
        <f t="shared" si="2"/>
        <v>0.009063325885</v>
      </c>
      <c r="AF74" s="503">
        <f t="shared" si="3"/>
        <v>228582.6769</v>
      </c>
      <c r="AG74" s="506">
        <f t="shared" si="6"/>
        <v>148306.3513</v>
      </c>
      <c r="AH74" s="506">
        <f t="shared" si="4"/>
        <v>80276.32565</v>
      </c>
    </row>
    <row r="75">
      <c r="B75" s="531" t="str">
        <f>Positions!A30</f>
        <v/>
      </c>
      <c r="C75" s="135"/>
      <c r="D75" s="138" t="s">
        <v>134</v>
      </c>
      <c r="E75" s="494" t="str">
        <f>IFERROR(__xludf.DUMMYFUNCTION("if(isblank(B75),"""", GOOGLEFINANCE(B75, ""beta""))"),"")</f>
        <v/>
      </c>
      <c r="F75" s="197" t="str">
        <f t="shared" si="7"/>
        <v/>
      </c>
      <c r="G75" s="526" t="str">
        <f t="shared" si="8"/>
        <v/>
      </c>
      <c r="H75" s="197" t="str">
        <f t="shared" si="9"/>
        <v/>
      </c>
      <c r="I75" s="525" t="str">
        <f t="shared" si="10"/>
        <v/>
      </c>
      <c r="J75" s="526" t="str">
        <f t="shared" si="11"/>
        <v/>
      </c>
      <c r="S75" s="197"/>
      <c r="T75" s="494" t="s">
        <v>622</v>
      </c>
      <c r="AB75" s="489">
        <v>73.0</v>
      </c>
      <c r="AC75" s="490">
        <f t="shared" si="5"/>
        <v>228582.6769</v>
      </c>
      <c r="AD75" s="491">
        <f t="shared" si="1"/>
        <v>1500</v>
      </c>
      <c r="AE75" s="492">
        <f t="shared" si="2"/>
        <v>0.009063325885</v>
      </c>
      <c r="AF75" s="490">
        <f t="shared" si="3"/>
        <v>232154.3962</v>
      </c>
      <c r="AG75" s="493">
        <f t="shared" si="6"/>
        <v>149806.3513</v>
      </c>
      <c r="AH75" s="493">
        <f t="shared" si="4"/>
        <v>82348.04495</v>
      </c>
    </row>
    <row r="76">
      <c r="B76" s="531" t="str">
        <f>Positions!A31</f>
        <v/>
      </c>
      <c r="C76" s="135"/>
      <c r="D76" s="138" t="s">
        <v>134</v>
      </c>
      <c r="E76" s="494" t="str">
        <f>IFERROR(__xludf.DUMMYFUNCTION("if(isblank(B76),"""", GOOGLEFINANCE(B76, ""beta""))"),"")</f>
        <v/>
      </c>
      <c r="F76" s="197" t="str">
        <f t="shared" si="7"/>
        <v/>
      </c>
      <c r="G76" s="526" t="str">
        <f t="shared" si="8"/>
        <v/>
      </c>
      <c r="H76" s="197" t="str">
        <f t="shared" si="9"/>
        <v/>
      </c>
      <c r="I76" s="525" t="str">
        <f t="shared" si="10"/>
        <v/>
      </c>
      <c r="J76" s="526" t="str">
        <f t="shared" si="11"/>
        <v/>
      </c>
      <c r="S76" s="197"/>
      <c r="T76" s="494" t="s">
        <v>622</v>
      </c>
      <c r="AB76" s="489">
        <v>74.0</v>
      </c>
      <c r="AC76" s="490">
        <f t="shared" si="5"/>
        <v>232154.3962</v>
      </c>
      <c r="AD76" s="491">
        <f t="shared" si="1"/>
        <v>1500</v>
      </c>
      <c r="AE76" s="492">
        <f t="shared" si="2"/>
        <v>0.009063325885</v>
      </c>
      <c r="AF76" s="490">
        <f t="shared" si="3"/>
        <v>235758.4871</v>
      </c>
      <c r="AG76" s="493">
        <f t="shared" si="6"/>
        <v>151306.3513</v>
      </c>
      <c r="AH76" s="493">
        <f t="shared" si="4"/>
        <v>84452.1359</v>
      </c>
    </row>
    <row r="77">
      <c r="B77" s="549">
        <f>Positions!A32</f>
        <v>17</v>
      </c>
      <c r="C77" s="550">
        <f>SUM(C47:C76)</f>
        <v>32346.08125</v>
      </c>
      <c r="D77" s="550"/>
      <c r="E77" s="551">
        <f>AVERAGE(E47:E76)</f>
        <v>0.9558823529</v>
      </c>
      <c r="F77" s="550"/>
      <c r="G77" s="550">
        <f>SUM(G47:G76)</f>
        <v>25964.90565</v>
      </c>
      <c r="H77" s="550"/>
      <c r="I77" s="550">
        <f>SUM(I47:I76)</f>
        <v>24688.67053</v>
      </c>
      <c r="J77" s="551">
        <f>AVERAGE(J47:J76)</f>
        <v>0.9779411765</v>
      </c>
      <c r="S77" s="552"/>
      <c r="T77" s="494" t="s">
        <v>622</v>
      </c>
      <c r="AB77" s="489">
        <v>75.0</v>
      </c>
      <c r="AC77" s="490">
        <f t="shared" si="5"/>
        <v>235758.4871</v>
      </c>
      <c r="AD77" s="491">
        <f t="shared" si="1"/>
        <v>1500</v>
      </c>
      <c r="AE77" s="492">
        <f t="shared" si="2"/>
        <v>0.009063325885</v>
      </c>
      <c r="AF77" s="490">
        <f t="shared" si="3"/>
        <v>239395.2431</v>
      </c>
      <c r="AG77" s="493">
        <f t="shared" si="6"/>
        <v>152806.3513</v>
      </c>
      <c r="AH77" s="493">
        <f t="shared" si="4"/>
        <v>86588.89189</v>
      </c>
    </row>
    <row r="78">
      <c r="T78" s="494" t="s">
        <v>622</v>
      </c>
      <c r="AB78" s="489">
        <v>76.0</v>
      </c>
      <c r="AC78" s="490">
        <f t="shared" si="5"/>
        <v>239395.2431</v>
      </c>
      <c r="AD78" s="491">
        <f t="shared" si="1"/>
        <v>1500</v>
      </c>
      <c r="AE78" s="492">
        <f t="shared" si="2"/>
        <v>0.009063325885</v>
      </c>
      <c r="AF78" s="490">
        <f t="shared" si="3"/>
        <v>243064.9602</v>
      </c>
      <c r="AG78" s="493">
        <f t="shared" si="6"/>
        <v>154306.3513</v>
      </c>
      <c r="AH78" s="493">
        <f t="shared" si="4"/>
        <v>88758.609</v>
      </c>
    </row>
    <row r="79">
      <c r="T79" s="494" t="s">
        <v>622</v>
      </c>
      <c r="AB79" s="489">
        <v>77.0</v>
      </c>
      <c r="AC79" s="490">
        <f t="shared" si="5"/>
        <v>243064.9602</v>
      </c>
      <c r="AD79" s="491">
        <f t="shared" si="1"/>
        <v>1500</v>
      </c>
      <c r="AE79" s="492">
        <f t="shared" si="2"/>
        <v>0.009063325885</v>
      </c>
      <c r="AF79" s="490">
        <f t="shared" si="3"/>
        <v>246767.9372</v>
      </c>
      <c r="AG79" s="493">
        <f t="shared" si="6"/>
        <v>155806.3513</v>
      </c>
      <c r="AH79" s="493">
        <f t="shared" si="4"/>
        <v>90961.58594</v>
      </c>
    </row>
    <row r="80">
      <c r="T80" s="494" t="s">
        <v>622</v>
      </c>
      <c r="AB80" s="489">
        <v>78.0</v>
      </c>
      <c r="AC80" s="490">
        <f t="shared" si="5"/>
        <v>246767.9372</v>
      </c>
      <c r="AD80" s="491">
        <f t="shared" si="1"/>
        <v>1500</v>
      </c>
      <c r="AE80" s="492">
        <f t="shared" si="2"/>
        <v>0.009063325885</v>
      </c>
      <c r="AF80" s="490">
        <f t="shared" si="3"/>
        <v>250504.4754</v>
      </c>
      <c r="AG80" s="493">
        <f t="shared" si="6"/>
        <v>157306.3513</v>
      </c>
      <c r="AH80" s="493">
        <f t="shared" si="4"/>
        <v>93198.12418</v>
      </c>
    </row>
    <row r="81">
      <c r="T81" s="494" t="s">
        <v>622</v>
      </c>
      <c r="AB81" s="489">
        <v>79.0</v>
      </c>
      <c r="AC81" s="490">
        <f t="shared" si="5"/>
        <v>250504.4754</v>
      </c>
      <c r="AD81" s="491">
        <f t="shared" si="1"/>
        <v>1500</v>
      </c>
      <c r="AE81" s="492">
        <f t="shared" si="2"/>
        <v>0.009063325885</v>
      </c>
      <c r="AF81" s="490">
        <f t="shared" si="3"/>
        <v>254274.8791</v>
      </c>
      <c r="AG81" s="493">
        <f t="shared" si="6"/>
        <v>158806.3513</v>
      </c>
      <c r="AH81" s="493">
        <f t="shared" si="4"/>
        <v>95468.52787</v>
      </c>
    </row>
    <row r="82">
      <c r="T82" s="494" t="s">
        <v>622</v>
      </c>
      <c r="AB82" s="489">
        <v>80.0</v>
      </c>
      <c r="AC82" s="490">
        <f t="shared" si="5"/>
        <v>254274.8791</v>
      </c>
      <c r="AD82" s="491">
        <f t="shared" si="1"/>
        <v>1500</v>
      </c>
      <c r="AE82" s="492">
        <f t="shared" si="2"/>
        <v>0.009063325885</v>
      </c>
      <c r="AF82" s="490">
        <f t="shared" si="3"/>
        <v>258079.4552</v>
      </c>
      <c r="AG82" s="493">
        <f t="shared" si="6"/>
        <v>160306.3513</v>
      </c>
      <c r="AH82" s="493">
        <f t="shared" si="4"/>
        <v>97773.10397</v>
      </c>
    </row>
    <row r="83">
      <c r="T83" s="494" t="s">
        <v>622</v>
      </c>
      <c r="AB83" s="489">
        <v>81.0</v>
      </c>
      <c r="AC83" s="490">
        <f t="shared" si="5"/>
        <v>258079.4552</v>
      </c>
      <c r="AD83" s="491">
        <f t="shared" si="1"/>
        <v>1500</v>
      </c>
      <c r="AE83" s="492">
        <f t="shared" si="2"/>
        <v>0.009063325885</v>
      </c>
      <c r="AF83" s="490">
        <f t="shared" si="3"/>
        <v>261918.5134</v>
      </c>
      <c r="AG83" s="493">
        <f t="shared" si="6"/>
        <v>161806.3513</v>
      </c>
      <c r="AH83" s="493">
        <f t="shared" si="4"/>
        <v>100112.1622</v>
      </c>
    </row>
    <row r="84">
      <c r="T84" s="494" t="s">
        <v>622</v>
      </c>
      <c r="AB84" s="489">
        <v>82.0</v>
      </c>
      <c r="AC84" s="490">
        <f t="shared" si="5"/>
        <v>261918.5134</v>
      </c>
      <c r="AD84" s="491">
        <f t="shared" si="1"/>
        <v>1500</v>
      </c>
      <c r="AE84" s="492">
        <f t="shared" si="2"/>
        <v>0.009063325885</v>
      </c>
      <c r="AF84" s="490">
        <f t="shared" si="3"/>
        <v>265792.3663</v>
      </c>
      <c r="AG84" s="493">
        <f t="shared" si="6"/>
        <v>163306.3513</v>
      </c>
      <c r="AH84" s="493">
        <f t="shared" si="4"/>
        <v>102486.015</v>
      </c>
    </row>
    <row r="85">
      <c r="T85" s="494" t="s">
        <v>622</v>
      </c>
      <c r="AB85" s="489">
        <v>83.0</v>
      </c>
      <c r="AC85" s="490">
        <f t="shared" si="5"/>
        <v>265792.3663</v>
      </c>
      <c r="AD85" s="491">
        <f t="shared" si="1"/>
        <v>1500</v>
      </c>
      <c r="AE85" s="492">
        <f t="shared" si="2"/>
        <v>0.009063325885</v>
      </c>
      <c r="AF85" s="490">
        <f t="shared" si="3"/>
        <v>269701.3291</v>
      </c>
      <c r="AG85" s="493">
        <f t="shared" si="6"/>
        <v>164806.3513</v>
      </c>
      <c r="AH85" s="493">
        <f t="shared" si="4"/>
        <v>104894.9779</v>
      </c>
    </row>
    <row r="86">
      <c r="T86" s="494" t="s">
        <v>622</v>
      </c>
      <c r="AB86" s="502">
        <v>84.0</v>
      </c>
      <c r="AC86" s="503">
        <f t="shared" si="5"/>
        <v>269701.3291</v>
      </c>
      <c r="AD86" s="504">
        <f t="shared" si="1"/>
        <v>1500</v>
      </c>
      <c r="AE86" s="505">
        <f t="shared" si="2"/>
        <v>0.009063325885</v>
      </c>
      <c r="AF86" s="503">
        <f t="shared" si="3"/>
        <v>273645.7201</v>
      </c>
      <c r="AG86" s="506">
        <f t="shared" si="6"/>
        <v>166306.3513</v>
      </c>
      <c r="AH86" s="506">
        <f t="shared" si="4"/>
        <v>107339.3689</v>
      </c>
    </row>
    <row r="87">
      <c r="T87" s="494" t="s">
        <v>622</v>
      </c>
      <c r="AB87" s="489">
        <v>85.0</v>
      </c>
      <c r="AC87" s="490">
        <f t="shared" si="5"/>
        <v>273645.7201</v>
      </c>
      <c r="AD87" s="491">
        <f t="shared" si="1"/>
        <v>1500</v>
      </c>
      <c r="AE87" s="492">
        <f t="shared" si="2"/>
        <v>0.009063325885</v>
      </c>
      <c r="AF87" s="490">
        <f t="shared" si="3"/>
        <v>277625.8605</v>
      </c>
      <c r="AG87" s="493">
        <f t="shared" si="6"/>
        <v>167806.3513</v>
      </c>
      <c r="AH87" s="493">
        <f t="shared" si="4"/>
        <v>109819.5092</v>
      </c>
    </row>
    <row r="88">
      <c r="T88" s="494" t="s">
        <v>622</v>
      </c>
      <c r="AB88" s="489">
        <v>86.0</v>
      </c>
      <c r="AC88" s="490">
        <f t="shared" si="5"/>
        <v>277625.8605</v>
      </c>
      <c r="AD88" s="491">
        <f t="shared" si="1"/>
        <v>1500</v>
      </c>
      <c r="AE88" s="492">
        <f t="shared" si="2"/>
        <v>0.009063325885</v>
      </c>
      <c r="AF88" s="490">
        <f t="shared" si="3"/>
        <v>281642.0741</v>
      </c>
      <c r="AG88" s="493">
        <f t="shared" si="6"/>
        <v>169306.3513</v>
      </c>
      <c r="AH88" s="493">
        <f t="shared" si="4"/>
        <v>112335.7229</v>
      </c>
    </row>
    <row r="89">
      <c r="T89" s="494" t="s">
        <v>622</v>
      </c>
      <c r="AB89" s="489">
        <v>87.0</v>
      </c>
      <c r="AC89" s="490">
        <f t="shared" si="5"/>
        <v>281642.0741</v>
      </c>
      <c r="AD89" s="491">
        <f t="shared" si="1"/>
        <v>1500</v>
      </c>
      <c r="AE89" s="492">
        <f t="shared" si="2"/>
        <v>0.009063325885</v>
      </c>
      <c r="AF89" s="490">
        <f t="shared" si="3"/>
        <v>285694.688</v>
      </c>
      <c r="AG89" s="493">
        <f t="shared" si="6"/>
        <v>170806.3513</v>
      </c>
      <c r="AH89" s="493">
        <f t="shared" si="4"/>
        <v>114888.3368</v>
      </c>
    </row>
    <row r="90">
      <c r="T90" s="494" t="s">
        <v>622</v>
      </c>
      <c r="AB90" s="489">
        <v>88.0</v>
      </c>
      <c r="AC90" s="490">
        <f t="shared" si="5"/>
        <v>285694.688</v>
      </c>
      <c r="AD90" s="491">
        <f t="shared" si="1"/>
        <v>1500</v>
      </c>
      <c r="AE90" s="492">
        <f t="shared" si="2"/>
        <v>0.009063325885</v>
      </c>
      <c r="AF90" s="490">
        <f t="shared" si="3"/>
        <v>289784.0321</v>
      </c>
      <c r="AG90" s="493">
        <f t="shared" si="6"/>
        <v>172306.3513</v>
      </c>
      <c r="AH90" s="493">
        <f t="shared" si="4"/>
        <v>117477.6808</v>
      </c>
    </row>
    <row r="91">
      <c r="T91" s="494" t="s">
        <v>622</v>
      </c>
      <c r="AB91" s="489">
        <v>89.0</v>
      </c>
      <c r="AC91" s="490">
        <f t="shared" si="5"/>
        <v>289784.0321</v>
      </c>
      <c r="AD91" s="491">
        <f t="shared" si="1"/>
        <v>1500</v>
      </c>
      <c r="AE91" s="492">
        <f t="shared" si="2"/>
        <v>0.009063325885</v>
      </c>
      <c r="AF91" s="490">
        <f t="shared" si="3"/>
        <v>293910.4392</v>
      </c>
      <c r="AG91" s="493">
        <f t="shared" si="6"/>
        <v>173806.3513</v>
      </c>
      <c r="AH91" s="493">
        <f t="shared" si="4"/>
        <v>120104.088</v>
      </c>
    </row>
    <row r="92">
      <c r="T92" s="494" t="s">
        <v>622</v>
      </c>
      <c r="AB92" s="489">
        <v>90.0</v>
      </c>
      <c r="AC92" s="490">
        <f t="shared" si="5"/>
        <v>293910.4392</v>
      </c>
      <c r="AD92" s="491">
        <f t="shared" si="1"/>
        <v>1500</v>
      </c>
      <c r="AE92" s="492">
        <f t="shared" si="2"/>
        <v>0.009063325885</v>
      </c>
      <c r="AF92" s="490">
        <f t="shared" si="3"/>
        <v>298074.2453</v>
      </c>
      <c r="AG92" s="493">
        <f t="shared" si="6"/>
        <v>175306.3513</v>
      </c>
      <c r="AH92" s="493">
        <f t="shared" si="4"/>
        <v>122767.894</v>
      </c>
    </row>
    <row r="93">
      <c r="T93" s="494" t="s">
        <v>622</v>
      </c>
      <c r="AB93" s="489">
        <v>91.0</v>
      </c>
      <c r="AC93" s="490">
        <f t="shared" si="5"/>
        <v>298074.2453</v>
      </c>
      <c r="AD93" s="491">
        <f t="shared" si="1"/>
        <v>1500</v>
      </c>
      <c r="AE93" s="492">
        <f t="shared" si="2"/>
        <v>0.009063325885</v>
      </c>
      <c r="AF93" s="490">
        <f t="shared" si="3"/>
        <v>302275.7893</v>
      </c>
      <c r="AG93" s="493">
        <f t="shared" si="6"/>
        <v>176806.3513</v>
      </c>
      <c r="AH93" s="493">
        <f t="shared" si="4"/>
        <v>125469.4381</v>
      </c>
    </row>
    <row r="94">
      <c r="T94" s="494" t="s">
        <v>622</v>
      </c>
      <c r="AB94" s="489">
        <v>92.0</v>
      </c>
      <c r="AC94" s="490">
        <f t="shared" si="5"/>
        <v>302275.7893</v>
      </c>
      <c r="AD94" s="491">
        <f t="shared" si="1"/>
        <v>1500</v>
      </c>
      <c r="AE94" s="492">
        <f t="shared" si="2"/>
        <v>0.009063325885</v>
      </c>
      <c r="AF94" s="490">
        <f t="shared" si="3"/>
        <v>306515.4133</v>
      </c>
      <c r="AG94" s="493">
        <f t="shared" si="6"/>
        <v>178306.3513</v>
      </c>
      <c r="AH94" s="493">
        <f t="shared" si="4"/>
        <v>128209.0621</v>
      </c>
    </row>
    <row r="95">
      <c r="T95" s="494" t="s">
        <v>622</v>
      </c>
      <c r="AB95" s="489">
        <v>93.0</v>
      </c>
      <c r="AC95" s="490">
        <f t="shared" si="5"/>
        <v>306515.4133</v>
      </c>
      <c r="AD95" s="491">
        <f t="shared" si="1"/>
        <v>1500</v>
      </c>
      <c r="AE95" s="492">
        <f t="shared" si="2"/>
        <v>0.009063325885</v>
      </c>
      <c r="AF95" s="490">
        <f t="shared" si="3"/>
        <v>310793.4624</v>
      </c>
      <c r="AG95" s="493">
        <f t="shared" si="6"/>
        <v>179806.3513</v>
      </c>
      <c r="AH95" s="493">
        <f t="shared" si="4"/>
        <v>130987.1111</v>
      </c>
    </row>
    <row r="96">
      <c r="T96" s="494" t="s">
        <v>622</v>
      </c>
      <c r="AB96" s="489">
        <v>94.0</v>
      </c>
      <c r="AC96" s="490">
        <f t="shared" si="5"/>
        <v>310793.4624</v>
      </c>
      <c r="AD96" s="491">
        <f t="shared" si="1"/>
        <v>1500</v>
      </c>
      <c r="AE96" s="492">
        <f t="shared" si="2"/>
        <v>0.009063325885</v>
      </c>
      <c r="AF96" s="490">
        <f t="shared" si="3"/>
        <v>315110.2848</v>
      </c>
      <c r="AG96" s="493">
        <f t="shared" si="6"/>
        <v>181306.3513</v>
      </c>
      <c r="AH96" s="493">
        <f t="shared" si="4"/>
        <v>133803.9336</v>
      </c>
    </row>
    <row r="97">
      <c r="T97" s="494" t="s">
        <v>622</v>
      </c>
      <c r="AB97" s="489">
        <v>95.0</v>
      </c>
      <c r="AC97" s="490">
        <f t="shared" si="5"/>
        <v>315110.2848</v>
      </c>
      <c r="AD97" s="491">
        <f t="shared" si="1"/>
        <v>1500</v>
      </c>
      <c r="AE97" s="492">
        <f t="shared" si="2"/>
        <v>0.009063325885</v>
      </c>
      <c r="AF97" s="490">
        <f t="shared" si="3"/>
        <v>319466.232</v>
      </c>
      <c r="AG97" s="493">
        <f t="shared" si="6"/>
        <v>182806.3513</v>
      </c>
      <c r="AH97" s="493">
        <f t="shared" si="4"/>
        <v>136659.8808</v>
      </c>
    </row>
    <row r="98">
      <c r="T98" s="494" t="s">
        <v>622</v>
      </c>
      <c r="AB98" s="502">
        <v>96.0</v>
      </c>
      <c r="AC98" s="503">
        <f t="shared" si="5"/>
        <v>319466.232</v>
      </c>
      <c r="AD98" s="504">
        <f t="shared" si="1"/>
        <v>1500</v>
      </c>
      <c r="AE98" s="505">
        <f t="shared" si="2"/>
        <v>0.009063325885</v>
      </c>
      <c r="AF98" s="503">
        <f t="shared" si="3"/>
        <v>323861.6586</v>
      </c>
      <c r="AG98" s="506">
        <f t="shared" si="6"/>
        <v>184306.3513</v>
      </c>
      <c r="AH98" s="506">
        <f t="shared" si="4"/>
        <v>139555.3073</v>
      </c>
    </row>
    <row r="99">
      <c r="T99" s="494" t="s">
        <v>622</v>
      </c>
      <c r="AB99" s="489">
        <v>97.0</v>
      </c>
      <c r="AC99" s="490">
        <f t="shared" si="5"/>
        <v>323861.6586</v>
      </c>
      <c r="AD99" s="491">
        <f t="shared" si="1"/>
        <v>1500</v>
      </c>
      <c r="AE99" s="492">
        <f t="shared" si="2"/>
        <v>0.009063325885</v>
      </c>
      <c r="AF99" s="490">
        <f t="shared" si="3"/>
        <v>328296.9223</v>
      </c>
      <c r="AG99" s="493">
        <f t="shared" si="6"/>
        <v>185806.3513</v>
      </c>
      <c r="AH99" s="493">
        <f t="shared" si="4"/>
        <v>142490.5711</v>
      </c>
    </row>
    <row r="100">
      <c r="T100" s="494" t="s">
        <v>622</v>
      </c>
      <c r="AB100" s="489">
        <v>98.0</v>
      </c>
      <c r="AC100" s="490">
        <f t="shared" si="5"/>
        <v>328296.9223</v>
      </c>
      <c r="AD100" s="491">
        <f t="shared" si="1"/>
        <v>1500</v>
      </c>
      <c r="AE100" s="492">
        <f t="shared" si="2"/>
        <v>0.009063325885</v>
      </c>
      <c r="AF100" s="490">
        <f t="shared" si="3"/>
        <v>332772.3843</v>
      </c>
      <c r="AG100" s="493">
        <f t="shared" si="6"/>
        <v>187306.3513</v>
      </c>
      <c r="AH100" s="493">
        <f t="shared" si="4"/>
        <v>145466.0331</v>
      </c>
    </row>
    <row r="101">
      <c r="T101" s="494" t="s">
        <v>622</v>
      </c>
      <c r="AB101" s="489">
        <v>99.0</v>
      </c>
      <c r="AC101" s="490">
        <f t="shared" si="5"/>
        <v>332772.3843</v>
      </c>
      <c r="AD101" s="491">
        <f t="shared" si="1"/>
        <v>1500</v>
      </c>
      <c r="AE101" s="492">
        <f t="shared" si="2"/>
        <v>0.009063325885</v>
      </c>
      <c r="AF101" s="490">
        <f t="shared" si="3"/>
        <v>337288.4089</v>
      </c>
      <c r="AG101" s="493">
        <f t="shared" si="6"/>
        <v>188806.3513</v>
      </c>
      <c r="AH101" s="493">
        <f t="shared" si="4"/>
        <v>148482.0577</v>
      </c>
    </row>
    <row r="102">
      <c r="T102" s="494" t="s">
        <v>622</v>
      </c>
      <c r="AB102" s="489">
        <v>100.0</v>
      </c>
      <c r="AC102" s="490">
        <f t="shared" si="5"/>
        <v>337288.4089</v>
      </c>
      <c r="AD102" s="491">
        <f t="shared" si="1"/>
        <v>1500</v>
      </c>
      <c r="AE102" s="492">
        <f t="shared" si="2"/>
        <v>0.009063325885</v>
      </c>
      <c r="AF102" s="490">
        <f t="shared" si="3"/>
        <v>341845.3637</v>
      </c>
      <c r="AG102" s="493">
        <f t="shared" si="6"/>
        <v>190306.3513</v>
      </c>
      <c r="AH102" s="493">
        <f t="shared" si="4"/>
        <v>151539.0124</v>
      </c>
    </row>
    <row r="103">
      <c r="T103" s="494" t="s">
        <v>622</v>
      </c>
      <c r="AB103" s="489">
        <v>101.0</v>
      </c>
      <c r="AC103" s="490">
        <f t="shared" si="5"/>
        <v>341845.3637</v>
      </c>
      <c r="AD103" s="491">
        <f t="shared" si="1"/>
        <v>1500</v>
      </c>
      <c r="AE103" s="492">
        <f t="shared" si="2"/>
        <v>0.009063325885</v>
      </c>
      <c r="AF103" s="490">
        <f t="shared" si="3"/>
        <v>346443.6196</v>
      </c>
      <c r="AG103" s="493">
        <f t="shared" si="6"/>
        <v>191806.3513</v>
      </c>
      <c r="AH103" s="493">
        <f t="shared" si="4"/>
        <v>154637.2684</v>
      </c>
    </row>
    <row r="104">
      <c r="T104" s="494" t="s">
        <v>622</v>
      </c>
      <c r="AB104" s="489">
        <v>102.0</v>
      </c>
      <c r="AC104" s="490">
        <f t="shared" si="5"/>
        <v>346443.6196</v>
      </c>
      <c r="AD104" s="491">
        <f t="shared" si="1"/>
        <v>1500</v>
      </c>
      <c r="AE104" s="492">
        <f t="shared" si="2"/>
        <v>0.009063325885</v>
      </c>
      <c r="AF104" s="490">
        <f t="shared" si="3"/>
        <v>351083.551</v>
      </c>
      <c r="AG104" s="493">
        <f t="shared" si="6"/>
        <v>193306.3513</v>
      </c>
      <c r="AH104" s="493">
        <f t="shared" si="4"/>
        <v>157777.1998</v>
      </c>
    </row>
    <row r="105">
      <c r="T105" s="494" t="s">
        <v>622</v>
      </c>
      <c r="AB105" s="489">
        <v>103.0</v>
      </c>
      <c r="AC105" s="490">
        <f t="shared" si="5"/>
        <v>351083.551</v>
      </c>
      <c r="AD105" s="491">
        <f t="shared" si="1"/>
        <v>1500</v>
      </c>
      <c r="AE105" s="492">
        <f t="shared" si="2"/>
        <v>0.009063325885</v>
      </c>
      <c r="AF105" s="490">
        <f t="shared" si="3"/>
        <v>355765.5357</v>
      </c>
      <c r="AG105" s="493">
        <f t="shared" si="6"/>
        <v>194806.3513</v>
      </c>
      <c r="AH105" s="493">
        <f t="shared" si="4"/>
        <v>160959.1844</v>
      </c>
    </row>
    <row r="106">
      <c r="T106" s="494" t="s">
        <v>622</v>
      </c>
      <c r="AB106" s="489">
        <v>104.0</v>
      </c>
      <c r="AC106" s="490">
        <f t="shared" si="5"/>
        <v>355765.5357</v>
      </c>
      <c r="AD106" s="491">
        <f t="shared" si="1"/>
        <v>1500</v>
      </c>
      <c r="AE106" s="492">
        <f t="shared" si="2"/>
        <v>0.009063325885</v>
      </c>
      <c r="AF106" s="490">
        <f t="shared" si="3"/>
        <v>360489.9547</v>
      </c>
      <c r="AG106" s="493">
        <f t="shared" si="6"/>
        <v>196306.3513</v>
      </c>
      <c r="AH106" s="493">
        <f t="shared" si="4"/>
        <v>164183.6034</v>
      </c>
    </row>
    <row r="107">
      <c r="T107" s="494" t="s">
        <v>622</v>
      </c>
      <c r="AB107" s="489">
        <v>105.0</v>
      </c>
      <c r="AC107" s="490">
        <f t="shared" si="5"/>
        <v>360489.9547</v>
      </c>
      <c r="AD107" s="491">
        <f t="shared" si="1"/>
        <v>1500</v>
      </c>
      <c r="AE107" s="492">
        <f t="shared" si="2"/>
        <v>0.009063325885</v>
      </c>
      <c r="AF107" s="490">
        <f t="shared" si="3"/>
        <v>365257.1926</v>
      </c>
      <c r="AG107" s="493">
        <f t="shared" si="6"/>
        <v>197806.3513</v>
      </c>
      <c r="AH107" s="493">
        <f t="shared" si="4"/>
        <v>167450.8413</v>
      </c>
    </row>
    <row r="108">
      <c r="T108" s="494" t="s">
        <v>622</v>
      </c>
      <c r="AB108" s="489">
        <v>106.0</v>
      </c>
      <c r="AC108" s="490">
        <f t="shared" si="5"/>
        <v>365257.1926</v>
      </c>
      <c r="AD108" s="491">
        <f t="shared" si="1"/>
        <v>1500</v>
      </c>
      <c r="AE108" s="492">
        <f t="shared" si="2"/>
        <v>0.009063325885</v>
      </c>
      <c r="AF108" s="490">
        <f t="shared" si="3"/>
        <v>370067.6376</v>
      </c>
      <c r="AG108" s="493">
        <f t="shared" si="6"/>
        <v>199306.3513</v>
      </c>
      <c r="AH108" s="493">
        <f t="shared" si="4"/>
        <v>170761.2863</v>
      </c>
    </row>
    <row r="109">
      <c r="T109" s="494" t="s">
        <v>622</v>
      </c>
      <c r="AB109" s="489">
        <v>107.0</v>
      </c>
      <c r="AC109" s="490">
        <f t="shared" si="5"/>
        <v>370067.6376</v>
      </c>
      <c r="AD109" s="491">
        <f t="shared" si="1"/>
        <v>1500</v>
      </c>
      <c r="AE109" s="492">
        <f t="shared" si="2"/>
        <v>0.009063325885</v>
      </c>
      <c r="AF109" s="490">
        <f t="shared" si="3"/>
        <v>374921.6812</v>
      </c>
      <c r="AG109" s="493">
        <f t="shared" si="6"/>
        <v>200806.3513</v>
      </c>
      <c r="AH109" s="493">
        <f t="shared" si="4"/>
        <v>174115.3299</v>
      </c>
    </row>
    <row r="110">
      <c r="T110" s="494" t="s">
        <v>622</v>
      </c>
      <c r="AB110" s="502">
        <v>108.0</v>
      </c>
      <c r="AC110" s="503">
        <f t="shared" si="5"/>
        <v>374921.6812</v>
      </c>
      <c r="AD110" s="504">
        <f t="shared" si="1"/>
        <v>1500</v>
      </c>
      <c r="AE110" s="505">
        <f t="shared" si="2"/>
        <v>0.009063325885</v>
      </c>
      <c r="AF110" s="503">
        <f t="shared" si="3"/>
        <v>379819.7185</v>
      </c>
      <c r="AG110" s="506">
        <f t="shared" si="6"/>
        <v>202306.3513</v>
      </c>
      <c r="AH110" s="506">
        <f t="shared" si="4"/>
        <v>177513.3673</v>
      </c>
    </row>
    <row r="111">
      <c r="T111" s="494" t="s">
        <v>622</v>
      </c>
      <c r="AB111" s="489">
        <v>109.0</v>
      </c>
      <c r="AC111" s="490">
        <f t="shared" si="5"/>
        <v>379819.7185</v>
      </c>
      <c r="AD111" s="491">
        <f t="shared" si="1"/>
        <v>1500</v>
      </c>
      <c r="AE111" s="492">
        <f t="shared" si="2"/>
        <v>0.009063325885</v>
      </c>
      <c r="AF111" s="490">
        <f t="shared" si="3"/>
        <v>384762.1484</v>
      </c>
      <c r="AG111" s="493">
        <f t="shared" si="6"/>
        <v>203806.3513</v>
      </c>
      <c r="AH111" s="493">
        <f t="shared" si="4"/>
        <v>180955.7972</v>
      </c>
    </row>
    <row r="112">
      <c r="T112" s="494" t="s">
        <v>622</v>
      </c>
      <c r="AB112" s="489">
        <v>110.0</v>
      </c>
      <c r="AC112" s="490">
        <f t="shared" si="5"/>
        <v>384762.1484</v>
      </c>
      <c r="AD112" s="491">
        <f t="shared" si="1"/>
        <v>1500</v>
      </c>
      <c r="AE112" s="492">
        <f t="shared" si="2"/>
        <v>0.009063325885</v>
      </c>
      <c r="AF112" s="490">
        <f t="shared" si="3"/>
        <v>389749.3732</v>
      </c>
      <c r="AG112" s="493">
        <f t="shared" si="6"/>
        <v>205306.3513</v>
      </c>
      <c r="AH112" s="493">
        <f t="shared" si="4"/>
        <v>184443.0219</v>
      </c>
    </row>
    <row r="113">
      <c r="T113" s="494" t="s">
        <v>622</v>
      </c>
      <c r="AB113" s="489">
        <v>111.0</v>
      </c>
      <c r="AC113" s="490">
        <f t="shared" si="5"/>
        <v>389749.3732</v>
      </c>
      <c r="AD113" s="491">
        <f t="shared" si="1"/>
        <v>1500</v>
      </c>
      <c r="AE113" s="492">
        <f t="shared" si="2"/>
        <v>0.009063325885</v>
      </c>
      <c r="AF113" s="490">
        <f t="shared" si="3"/>
        <v>394781.7987</v>
      </c>
      <c r="AG113" s="493">
        <f t="shared" si="6"/>
        <v>206806.3513</v>
      </c>
      <c r="AH113" s="493">
        <f t="shared" si="4"/>
        <v>187975.4475</v>
      </c>
    </row>
    <row r="114">
      <c r="T114" s="494" t="s">
        <v>622</v>
      </c>
      <c r="AB114" s="489">
        <v>112.0</v>
      </c>
      <c r="AC114" s="490">
        <f t="shared" si="5"/>
        <v>394781.7987</v>
      </c>
      <c r="AD114" s="491">
        <f t="shared" si="1"/>
        <v>1500</v>
      </c>
      <c r="AE114" s="492">
        <f t="shared" si="2"/>
        <v>0.009063325885</v>
      </c>
      <c r="AF114" s="490">
        <f t="shared" si="3"/>
        <v>399859.8348</v>
      </c>
      <c r="AG114" s="493">
        <f t="shared" si="6"/>
        <v>208306.3513</v>
      </c>
      <c r="AH114" s="493">
        <f t="shared" si="4"/>
        <v>191553.4836</v>
      </c>
    </row>
    <row r="115">
      <c r="T115" s="494" t="s">
        <v>622</v>
      </c>
      <c r="AB115" s="489">
        <v>113.0</v>
      </c>
      <c r="AC115" s="490">
        <f t="shared" si="5"/>
        <v>399859.8348</v>
      </c>
      <c r="AD115" s="491">
        <f t="shared" si="1"/>
        <v>1500</v>
      </c>
      <c r="AE115" s="492">
        <f t="shared" si="2"/>
        <v>0.009063325885</v>
      </c>
      <c r="AF115" s="490">
        <f t="shared" si="3"/>
        <v>404983.8948</v>
      </c>
      <c r="AG115" s="493">
        <f t="shared" si="6"/>
        <v>209806.3513</v>
      </c>
      <c r="AH115" s="493">
        <f t="shared" si="4"/>
        <v>195177.5436</v>
      </c>
    </row>
    <row r="116">
      <c r="T116" s="494" t="s">
        <v>622</v>
      </c>
      <c r="AB116" s="489">
        <v>114.0</v>
      </c>
      <c r="AC116" s="490">
        <f t="shared" si="5"/>
        <v>404983.8948</v>
      </c>
      <c r="AD116" s="491">
        <f t="shared" si="1"/>
        <v>1500</v>
      </c>
      <c r="AE116" s="492">
        <f t="shared" si="2"/>
        <v>0.009063325885</v>
      </c>
      <c r="AF116" s="490">
        <f t="shared" si="3"/>
        <v>410154.3958</v>
      </c>
      <c r="AG116" s="493">
        <f t="shared" si="6"/>
        <v>211306.3513</v>
      </c>
      <c r="AH116" s="493">
        <f t="shared" si="4"/>
        <v>198848.0446</v>
      </c>
    </row>
    <row r="117">
      <c r="T117" s="494" t="s">
        <v>622</v>
      </c>
      <c r="AB117" s="489">
        <v>115.0</v>
      </c>
      <c r="AC117" s="490">
        <f t="shared" si="5"/>
        <v>410154.3958</v>
      </c>
      <c r="AD117" s="491">
        <f t="shared" si="1"/>
        <v>1500</v>
      </c>
      <c r="AE117" s="492">
        <f t="shared" si="2"/>
        <v>0.009063325885</v>
      </c>
      <c r="AF117" s="490">
        <f t="shared" si="3"/>
        <v>415371.7588</v>
      </c>
      <c r="AG117" s="493">
        <f t="shared" si="6"/>
        <v>212806.3513</v>
      </c>
      <c r="AH117" s="493">
        <f t="shared" si="4"/>
        <v>202565.4075</v>
      </c>
    </row>
    <row r="118">
      <c r="T118" s="494" t="s">
        <v>622</v>
      </c>
      <c r="AB118" s="489">
        <v>116.0</v>
      </c>
      <c r="AC118" s="490">
        <f t="shared" si="5"/>
        <v>415371.7588</v>
      </c>
      <c r="AD118" s="491">
        <f t="shared" si="1"/>
        <v>1500</v>
      </c>
      <c r="AE118" s="492">
        <f t="shared" si="2"/>
        <v>0.009063325885</v>
      </c>
      <c r="AF118" s="490">
        <f t="shared" si="3"/>
        <v>420636.4084</v>
      </c>
      <c r="AG118" s="493">
        <f t="shared" si="6"/>
        <v>214306.3513</v>
      </c>
      <c r="AH118" s="493">
        <f t="shared" si="4"/>
        <v>206330.0572</v>
      </c>
    </row>
    <row r="119">
      <c r="T119" s="494" t="s">
        <v>622</v>
      </c>
      <c r="AB119" s="489">
        <v>117.0</v>
      </c>
      <c r="AC119" s="490">
        <f t="shared" si="5"/>
        <v>420636.4084</v>
      </c>
      <c r="AD119" s="491">
        <f t="shared" si="1"/>
        <v>1500</v>
      </c>
      <c r="AE119" s="492">
        <f t="shared" si="2"/>
        <v>0.009063325885</v>
      </c>
      <c r="AF119" s="490">
        <f t="shared" si="3"/>
        <v>425948.7733</v>
      </c>
      <c r="AG119" s="493">
        <f t="shared" si="6"/>
        <v>215806.3513</v>
      </c>
      <c r="AH119" s="493">
        <f t="shared" si="4"/>
        <v>210142.422</v>
      </c>
    </row>
    <row r="120">
      <c r="T120" s="494" t="s">
        <v>622</v>
      </c>
      <c r="AB120" s="489">
        <v>118.0</v>
      </c>
      <c r="AC120" s="490">
        <f t="shared" si="5"/>
        <v>425948.7733</v>
      </c>
      <c r="AD120" s="491">
        <f t="shared" si="1"/>
        <v>1500</v>
      </c>
      <c r="AE120" s="492">
        <f t="shared" si="2"/>
        <v>0.009063325885</v>
      </c>
      <c r="AF120" s="490">
        <f t="shared" si="3"/>
        <v>431309.2858</v>
      </c>
      <c r="AG120" s="493">
        <f t="shared" si="6"/>
        <v>217306.3513</v>
      </c>
      <c r="AH120" s="493">
        <f t="shared" si="4"/>
        <v>214002.9346</v>
      </c>
    </row>
    <row r="121">
      <c r="T121" s="494" t="s">
        <v>622</v>
      </c>
      <c r="AB121" s="489">
        <v>119.0</v>
      </c>
      <c r="AC121" s="490">
        <f t="shared" si="5"/>
        <v>431309.2858</v>
      </c>
      <c r="AD121" s="491">
        <f t="shared" si="1"/>
        <v>1500</v>
      </c>
      <c r="AE121" s="492">
        <f t="shared" si="2"/>
        <v>0.009063325885</v>
      </c>
      <c r="AF121" s="490">
        <f t="shared" si="3"/>
        <v>436718.3824</v>
      </c>
      <c r="AG121" s="493">
        <f t="shared" si="6"/>
        <v>218806.3513</v>
      </c>
      <c r="AH121" s="493">
        <f t="shared" si="4"/>
        <v>217912.0312</v>
      </c>
    </row>
    <row r="122">
      <c r="T122" s="494" t="s">
        <v>622</v>
      </c>
      <c r="AB122" s="502">
        <v>120.0</v>
      </c>
      <c r="AC122" s="503">
        <f t="shared" si="5"/>
        <v>436718.3824</v>
      </c>
      <c r="AD122" s="504">
        <f t="shared" si="1"/>
        <v>1500</v>
      </c>
      <c r="AE122" s="505">
        <f t="shared" si="2"/>
        <v>0.009063325885</v>
      </c>
      <c r="AF122" s="503">
        <f t="shared" si="3"/>
        <v>442176.5034</v>
      </c>
      <c r="AG122" s="506">
        <f t="shared" si="6"/>
        <v>220306.3513</v>
      </c>
      <c r="AH122" s="506">
        <f t="shared" si="4"/>
        <v>221870.1522</v>
      </c>
    </row>
    <row r="123">
      <c r="T123" s="494" t="s">
        <v>622</v>
      </c>
      <c r="AB123" s="489">
        <v>121.0</v>
      </c>
      <c r="AC123" s="490">
        <f t="shared" si="5"/>
        <v>442176.5034</v>
      </c>
      <c r="AD123" s="491">
        <f t="shared" si="1"/>
        <v>1500</v>
      </c>
      <c r="AE123" s="492">
        <f t="shared" si="2"/>
        <v>0.009063325885</v>
      </c>
      <c r="AF123" s="490">
        <f t="shared" si="3"/>
        <v>447684.0932</v>
      </c>
      <c r="AG123" s="493">
        <f t="shared" si="6"/>
        <v>221806.3513</v>
      </c>
      <c r="AH123" s="493">
        <f t="shared" si="4"/>
        <v>225877.7419</v>
      </c>
    </row>
    <row r="124">
      <c r="T124" s="494" t="s">
        <v>622</v>
      </c>
      <c r="AB124" s="489">
        <v>122.0</v>
      </c>
      <c r="AC124" s="490">
        <f t="shared" si="5"/>
        <v>447684.0932</v>
      </c>
      <c r="AD124" s="491">
        <f t="shared" si="1"/>
        <v>1500</v>
      </c>
      <c r="AE124" s="492">
        <f t="shared" si="2"/>
        <v>0.009063325885</v>
      </c>
      <c r="AF124" s="490">
        <f t="shared" si="3"/>
        <v>453241.6</v>
      </c>
      <c r="AG124" s="493">
        <f t="shared" si="6"/>
        <v>223306.3513</v>
      </c>
      <c r="AH124" s="493">
        <f t="shared" si="4"/>
        <v>229935.2488</v>
      </c>
    </row>
    <row r="125">
      <c r="T125" s="494" t="s">
        <v>622</v>
      </c>
      <c r="AB125" s="489">
        <v>123.0</v>
      </c>
      <c r="AC125" s="490">
        <f t="shared" si="5"/>
        <v>453241.6</v>
      </c>
      <c r="AD125" s="491">
        <f t="shared" si="1"/>
        <v>1500</v>
      </c>
      <c r="AE125" s="492">
        <f t="shared" si="2"/>
        <v>0.009063325885</v>
      </c>
      <c r="AF125" s="490">
        <f t="shared" si="3"/>
        <v>458849.4763</v>
      </c>
      <c r="AG125" s="493">
        <f t="shared" si="6"/>
        <v>224806.3513</v>
      </c>
      <c r="AH125" s="493">
        <f t="shared" si="4"/>
        <v>234043.1251</v>
      </c>
    </row>
    <row r="126">
      <c r="T126" s="494" t="s">
        <v>622</v>
      </c>
      <c r="AB126" s="489">
        <v>124.0</v>
      </c>
      <c r="AC126" s="490">
        <f t="shared" si="5"/>
        <v>458849.4763</v>
      </c>
      <c r="AD126" s="491">
        <f t="shared" si="1"/>
        <v>1500</v>
      </c>
      <c r="AE126" s="492">
        <f t="shared" si="2"/>
        <v>0.009063325885</v>
      </c>
      <c r="AF126" s="490">
        <f t="shared" si="3"/>
        <v>464508.1787</v>
      </c>
      <c r="AG126" s="493">
        <f t="shared" si="6"/>
        <v>226306.3513</v>
      </c>
      <c r="AH126" s="493">
        <f t="shared" si="4"/>
        <v>238201.8274</v>
      </c>
    </row>
    <row r="127">
      <c r="T127" s="494" t="s">
        <v>622</v>
      </c>
      <c r="AB127" s="489">
        <v>125.0</v>
      </c>
      <c r="AC127" s="490">
        <f t="shared" si="5"/>
        <v>464508.1787</v>
      </c>
      <c r="AD127" s="491">
        <f t="shared" si="1"/>
        <v>1500</v>
      </c>
      <c r="AE127" s="492">
        <f t="shared" si="2"/>
        <v>0.009063325885</v>
      </c>
      <c r="AF127" s="490">
        <f t="shared" si="3"/>
        <v>470218.1677</v>
      </c>
      <c r="AG127" s="493">
        <f t="shared" si="6"/>
        <v>227806.3513</v>
      </c>
      <c r="AH127" s="493">
        <f t="shared" si="4"/>
        <v>242411.8164</v>
      </c>
    </row>
    <row r="128">
      <c r="T128" s="494" t="s">
        <v>622</v>
      </c>
      <c r="AB128" s="489">
        <v>126.0</v>
      </c>
      <c r="AC128" s="490">
        <f t="shared" si="5"/>
        <v>470218.1677</v>
      </c>
      <c r="AD128" s="491">
        <f t="shared" si="1"/>
        <v>1500</v>
      </c>
      <c r="AE128" s="492">
        <f t="shared" si="2"/>
        <v>0.009063325885</v>
      </c>
      <c r="AF128" s="490">
        <f t="shared" si="3"/>
        <v>475979.9082</v>
      </c>
      <c r="AG128" s="493">
        <f t="shared" si="6"/>
        <v>229306.3513</v>
      </c>
      <c r="AH128" s="493">
        <f t="shared" si="4"/>
        <v>246673.5569</v>
      </c>
    </row>
    <row r="129">
      <c r="T129" s="494" t="s">
        <v>622</v>
      </c>
      <c r="AB129" s="489">
        <v>127.0</v>
      </c>
      <c r="AC129" s="490">
        <f t="shared" si="5"/>
        <v>475979.9082</v>
      </c>
      <c r="AD129" s="491">
        <f t="shared" si="1"/>
        <v>1500</v>
      </c>
      <c r="AE129" s="492">
        <f t="shared" si="2"/>
        <v>0.009063325885</v>
      </c>
      <c r="AF129" s="490">
        <f t="shared" si="3"/>
        <v>481793.8692</v>
      </c>
      <c r="AG129" s="493">
        <f t="shared" si="6"/>
        <v>230806.3513</v>
      </c>
      <c r="AH129" s="493">
        <f t="shared" si="4"/>
        <v>250987.5179</v>
      </c>
    </row>
    <row r="130">
      <c r="T130" s="494" t="s">
        <v>622</v>
      </c>
      <c r="AB130" s="489">
        <v>128.0</v>
      </c>
      <c r="AC130" s="490">
        <f t="shared" si="5"/>
        <v>481793.8692</v>
      </c>
      <c r="AD130" s="491">
        <f t="shared" si="1"/>
        <v>1500</v>
      </c>
      <c r="AE130" s="492">
        <f t="shared" si="2"/>
        <v>0.009063325885</v>
      </c>
      <c r="AF130" s="490">
        <f t="shared" si="3"/>
        <v>487660.524</v>
      </c>
      <c r="AG130" s="493">
        <f t="shared" si="6"/>
        <v>232306.3513</v>
      </c>
      <c r="AH130" s="493">
        <f t="shared" si="4"/>
        <v>255354.1728</v>
      </c>
    </row>
    <row r="131">
      <c r="T131" s="494" t="s">
        <v>622</v>
      </c>
      <c r="AB131" s="489">
        <v>129.0</v>
      </c>
      <c r="AC131" s="490">
        <f t="shared" si="5"/>
        <v>487660.524</v>
      </c>
      <c r="AD131" s="491">
        <f t="shared" si="1"/>
        <v>1500</v>
      </c>
      <c r="AE131" s="492">
        <f t="shared" si="2"/>
        <v>0.009063325885</v>
      </c>
      <c r="AF131" s="490">
        <f t="shared" si="3"/>
        <v>493580.3503</v>
      </c>
      <c r="AG131" s="493">
        <f t="shared" si="6"/>
        <v>233806.3513</v>
      </c>
      <c r="AH131" s="493">
        <f t="shared" si="4"/>
        <v>259773.999</v>
      </c>
    </row>
    <row r="132">
      <c r="T132" s="494" t="s">
        <v>622</v>
      </c>
      <c r="AB132" s="489">
        <v>130.0</v>
      </c>
      <c r="AC132" s="490">
        <f t="shared" si="5"/>
        <v>493580.3503</v>
      </c>
      <c r="AD132" s="491">
        <f t="shared" si="1"/>
        <v>1500</v>
      </c>
      <c r="AE132" s="492">
        <f t="shared" si="2"/>
        <v>0.009063325885</v>
      </c>
      <c r="AF132" s="490">
        <f t="shared" si="3"/>
        <v>499553.8299</v>
      </c>
      <c r="AG132" s="493">
        <f t="shared" si="6"/>
        <v>235306.3513</v>
      </c>
      <c r="AH132" s="493">
        <f t="shared" si="4"/>
        <v>264247.4786</v>
      </c>
    </row>
    <row r="133">
      <c r="T133" s="494" t="s">
        <v>622</v>
      </c>
      <c r="AB133" s="489">
        <v>131.0</v>
      </c>
      <c r="AC133" s="490">
        <f t="shared" si="5"/>
        <v>499553.8299</v>
      </c>
      <c r="AD133" s="491">
        <f t="shared" si="1"/>
        <v>1500</v>
      </c>
      <c r="AE133" s="492">
        <f t="shared" si="2"/>
        <v>0.009063325885</v>
      </c>
      <c r="AF133" s="490">
        <f t="shared" si="3"/>
        <v>505581.449</v>
      </c>
      <c r="AG133" s="493">
        <f t="shared" si="6"/>
        <v>236806.3513</v>
      </c>
      <c r="AH133" s="493">
        <f t="shared" si="4"/>
        <v>268775.0978</v>
      </c>
    </row>
    <row r="134">
      <c r="T134" s="494" t="s">
        <v>622</v>
      </c>
      <c r="AB134" s="502">
        <v>132.0</v>
      </c>
      <c r="AC134" s="503">
        <f t="shared" si="5"/>
        <v>505581.449</v>
      </c>
      <c r="AD134" s="504">
        <f t="shared" si="1"/>
        <v>1500</v>
      </c>
      <c r="AE134" s="505">
        <f t="shared" si="2"/>
        <v>0.009063325885</v>
      </c>
      <c r="AF134" s="503">
        <f t="shared" si="3"/>
        <v>511663.6984</v>
      </c>
      <c r="AG134" s="506">
        <f t="shared" si="6"/>
        <v>238306.3513</v>
      </c>
      <c r="AH134" s="506">
        <f t="shared" si="4"/>
        <v>273357.3472</v>
      </c>
    </row>
    <row r="135">
      <c r="T135" s="494" t="s">
        <v>622</v>
      </c>
      <c r="AB135" s="489">
        <v>133.0</v>
      </c>
      <c r="AC135" s="490">
        <f t="shared" si="5"/>
        <v>511663.6984</v>
      </c>
      <c r="AD135" s="491">
        <f t="shared" si="1"/>
        <v>1500</v>
      </c>
      <c r="AE135" s="492">
        <f t="shared" si="2"/>
        <v>0.009063325885</v>
      </c>
      <c r="AF135" s="490">
        <f t="shared" si="3"/>
        <v>517801.0733</v>
      </c>
      <c r="AG135" s="493">
        <f t="shared" si="6"/>
        <v>239806.3513</v>
      </c>
      <c r="AH135" s="493">
        <f t="shared" si="4"/>
        <v>277994.722</v>
      </c>
    </row>
    <row r="136">
      <c r="T136" s="494" t="s">
        <v>622</v>
      </c>
      <c r="AB136" s="489">
        <v>134.0</v>
      </c>
      <c r="AC136" s="490">
        <f t="shared" si="5"/>
        <v>517801.0733</v>
      </c>
      <c r="AD136" s="491">
        <f t="shared" si="1"/>
        <v>1500</v>
      </c>
      <c r="AE136" s="492">
        <f t="shared" si="2"/>
        <v>0.009063325885</v>
      </c>
      <c r="AF136" s="490">
        <f t="shared" si="3"/>
        <v>523994.0732</v>
      </c>
      <c r="AG136" s="493">
        <f t="shared" si="6"/>
        <v>241306.3513</v>
      </c>
      <c r="AH136" s="493">
        <f t="shared" si="4"/>
        <v>282687.7219</v>
      </c>
    </row>
    <row r="137">
      <c r="T137" s="494" t="s">
        <v>622</v>
      </c>
      <c r="AB137" s="489">
        <v>135.0</v>
      </c>
      <c r="AC137" s="490">
        <f t="shared" si="5"/>
        <v>523994.0732</v>
      </c>
      <c r="AD137" s="491">
        <f t="shared" si="1"/>
        <v>1500</v>
      </c>
      <c r="AE137" s="492">
        <f t="shared" si="2"/>
        <v>0.009063325885</v>
      </c>
      <c r="AF137" s="490">
        <f t="shared" si="3"/>
        <v>530243.2022</v>
      </c>
      <c r="AG137" s="493">
        <f t="shared" si="6"/>
        <v>242806.3513</v>
      </c>
      <c r="AH137" s="493">
        <f t="shared" si="4"/>
        <v>287436.851</v>
      </c>
    </row>
    <row r="138">
      <c r="T138" s="494" t="s">
        <v>622</v>
      </c>
      <c r="AB138" s="489">
        <v>136.0</v>
      </c>
      <c r="AC138" s="490">
        <f t="shared" si="5"/>
        <v>530243.2022</v>
      </c>
      <c r="AD138" s="491">
        <f t="shared" si="1"/>
        <v>1500</v>
      </c>
      <c r="AE138" s="492">
        <f t="shared" si="2"/>
        <v>0.009063325885</v>
      </c>
      <c r="AF138" s="490">
        <f t="shared" si="3"/>
        <v>536548.9691</v>
      </c>
      <c r="AG138" s="493">
        <f t="shared" si="6"/>
        <v>244306.3513</v>
      </c>
      <c r="AH138" s="493">
        <f t="shared" si="4"/>
        <v>292242.6179</v>
      </c>
    </row>
    <row r="139">
      <c r="T139" s="494" t="s">
        <v>622</v>
      </c>
      <c r="AB139" s="489">
        <v>137.0</v>
      </c>
      <c r="AC139" s="490">
        <f t="shared" si="5"/>
        <v>536548.9691</v>
      </c>
      <c r="AD139" s="491">
        <f t="shared" si="1"/>
        <v>1500</v>
      </c>
      <c r="AE139" s="492">
        <f t="shared" si="2"/>
        <v>0.009063325885</v>
      </c>
      <c r="AF139" s="490">
        <f t="shared" si="3"/>
        <v>542911.8873</v>
      </c>
      <c r="AG139" s="493">
        <f t="shared" si="6"/>
        <v>245806.3513</v>
      </c>
      <c r="AH139" s="493">
        <f t="shared" si="4"/>
        <v>297105.5361</v>
      </c>
    </row>
    <row r="140">
      <c r="T140" s="494" t="s">
        <v>622</v>
      </c>
      <c r="AB140" s="489">
        <v>138.0</v>
      </c>
      <c r="AC140" s="490">
        <f t="shared" si="5"/>
        <v>542911.8873</v>
      </c>
      <c r="AD140" s="491">
        <f t="shared" si="1"/>
        <v>1500</v>
      </c>
      <c r="AE140" s="492">
        <f t="shared" si="2"/>
        <v>0.009063325885</v>
      </c>
      <c r="AF140" s="490">
        <f t="shared" si="3"/>
        <v>549332.4747</v>
      </c>
      <c r="AG140" s="493">
        <f t="shared" si="6"/>
        <v>247306.3513</v>
      </c>
      <c r="AH140" s="493">
        <f t="shared" si="4"/>
        <v>302026.1234</v>
      </c>
    </row>
    <row r="141">
      <c r="T141" s="494" t="s">
        <v>622</v>
      </c>
      <c r="AB141" s="489">
        <v>139.0</v>
      </c>
      <c r="AC141" s="490">
        <f t="shared" si="5"/>
        <v>549332.4747</v>
      </c>
      <c r="AD141" s="491">
        <f t="shared" si="1"/>
        <v>1500</v>
      </c>
      <c r="AE141" s="492">
        <f t="shared" si="2"/>
        <v>0.009063325885</v>
      </c>
      <c r="AF141" s="490">
        <f t="shared" si="3"/>
        <v>555811.2539</v>
      </c>
      <c r="AG141" s="493">
        <f t="shared" si="6"/>
        <v>248806.3513</v>
      </c>
      <c r="AH141" s="493">
        <f t="shared" si="4"/>
        <v>307004.9027</v>
      </c>
    </row>
    <row r="142">
      <c r="T142" s="494" t="s">
        <v>622</v>
      </c>
      <c r="AB142" s="489">
        <v>140.0</v>
      </c>
      <c r="AC142" s="490">
        <f t="shared" si="5"/>
        <v>555811.2539</v>
      </c>
      <c r="AD142" s="491">
        <f t="shared" si="1"/>
        <v>1500</v>
      </c>
      <c r="AE142" s="492">
        <f t="shared" si="2"/>
        <v>0.009063325885</v>
      </c>
      <c r="AF142" s="490">
        <f t="shared" si="3"/>
        <v>562348.7524</v>
      </c>
      <c r="AG142" s="493">
        <f t="shared" si="6"/>
        <v>250306.3513</v>
      </c>
      <c r="AH142" s="493">
        <f t="shared" si="4"/>
        <v>312042.4012</v>
      </c>
    </row>
    <row r="143">
      <c r="T143" s="494" t="s">
        <v>622</v>
      </c>
      <c r="AB143" s="489">
        <v>141.0</v>
      </c>
      <c r="AC143" s="490">
        <f t="shared" si="5"/>
        <v>562348.7524</v>
      </c>
      <c r="AD143" s="491">
        <f t="shared" si="1"/>
        <v>1500</v>
      </c>
      <c r="AE143" s="492">
        <f t="shared" si="2"/>
        <v>0.009063325885</v>
      </c>
      <c r="AF143" s="490">
        <f t="shared" si="3"/>
        <v>568945.5024</v>
      </c>
      <c r="AG143" s="493">
        <f t="shared" si="6"/>
        <v>251806.3513</v>
      </c>
      <c r="AH143" s="493">
        <f t="shared" si="4"/>
        <v>317139.1512</v>
      </c>
    </row>
    <row r="144">
      <c r="T144" s="494" t="s">
        <v>622</v>
      </c>
      <c r="AB144" s="489">
        <v>142.0</v>
      </c>
      <c r="AC144" s="490">
        <f t="shared" si="5"/>
        <v>568945.5024</v>
      </c>
      <c r="AD144" s="491">
        <f t="shared" si="1"/>
        <v>1500</v>
      </c>
      <c r="AE144" s="492">
        <f t="shared" si="2"/>
        <v>0.009063325885</v>
      </c>
      <c r="AF144" s="490">
        <f t="shared" si="3"/>
        <v>575602.0409</v>
      </c>
      <c r="AG144" s="493">
        <f t="shared" si="6"/>
        <v>253306.3513</v>
      </c>
      <c r="AH144" s="493">
        <f t="shared" si="4"/>
        <v>322295.6897</v>
      </c>
    </row>
    <row r="145">
      <c r="T145" s="494" t="s">
        <v>622</v>
      </c>
      <c r="AB145" s="489">
        <v>143.0</v>
      </c>
      <c r="AC145" s="490">
        <f t="shared" si="5"/>
        <v>575602.0409</v>
      </c>
      <c r="AD145" s="491">
        <f t="shared" si="1"/>
        <v>1500</v>
      </c>
      <c r="AE145" s="492">
        <f t="shared" si="2"/>
        <v>0.009063325885</v>
      </c>
      <c r="AF145" s="490">
        <f t="shared" si="3"/>
        <v>582318.9098</v>
      </c>
      <c r="AG145" s="493">
        <f t="shared" si="6"/>
        <v>254806.3513</v>
      </c>
      <c r="AH145" s="493">
        <f t="shared" si="4"/>
        <v>327512.5586</v>
      </c>
    </row>
    <row r="146">
      <c r="T146" s="494" t="s">
        <v>622</v>
      </c>
      <c r="AB146" s="502">
        <v>144.0</v>
      </c>
      <c r="AC146" s="503">
        <f t="shared" si="5"/>
        <v>582318.9098</v>
      </c>
      <c r="AD146" s="504">
        <f t="shared" si="1"/>
        <v>1500</v>
      </c>
      <c r="AE146" s="505">
        <f t="shared" si="2"/>
        <v>0.009063325885</v>
      </c>
      <c r="AF146" s="503">
        <f t="shared" si="3"/>
        <v>589096.6559</v>
      </c>
      <c r="AG146" s="506">
        <f t="shared" si="6"/>
        <v>256306.3513</v>
      </c>
      <c r="AH146" s="506">
        <f t="shared" si="4"/>
        <v>332790.3046</v>
      </c>
    </row>
    <row r="147">
      <c r="T147" s="494" t="s">
        <v>622</v>
      </c>
      <c r="AB147" s="489">
        <v>145.0</v>
      </c>
      <c r="AC147" s="490">
        <f t="shared" si="5"/>
        <v>589096.6559</v>
      </c>
      <c r="AD147" s="491">
        <f t="shared" si="1"/>
        <v>1500</v>
      </c>
      <c r="AE147" s="492">
        <f t="shared" si="2"/>
        <v>0.009063325885</v>
      </c>
      <c r="AF147" s="490">
        <f t="shared" si="3"/>
        <v>595935.8308</v>
      </c>
      <c r="AG147" s="493">
        <f t="shared" si="6"/>
        <v>257806.3513</v>
      </c>
      <c r="AH147" s="493">
        <f t="shared" si="4"/>
        <v>338129.4796</v>
      </c>
    </row>
    <row r="148">
      <c r="T148" s="494" t="s">
        <v>622</v>
      </c>
      <c r="AB148" s="489">
        <v>146.0</v>
      </c>
      <c r="AC148" s="490">
        <f t="shared" si="5"/>
        <v>595935.8308</v>
      </c>
      <c r="AD148" s="491">
        <f t="shared" si="1"/>
        <v>1500</v>
      </c>
      <c r="AE148" s="492">
        <f t="shared" si="2"/>
        <v>0.009063325885</v>
      </c>
      <c r="AF148" s="490">
        <f t="shared" si="3"/>
        <v>602836.9915</v>
      </c>
      <c r="AG148" s="493">
        <f t="shared" si="6"/>
        <v>259306.3513</v>
      </c>
      <c r="AH148" s="493">
        <f t="shared" si="4"/>
        <v>343530.6402</v>
      </c>
    </row>
    <row r="149">
      <c r="T149" s="494" t="s">
        <v>622</v>
      </c>
      <c r="AB149" s="489">
        <v>147.0</v>
      </c>
      <c r="AC149" s="490">
        <f t="shared" si="5"/>
        <v>602836.9915</v>
      </c>
      <c r="AD149" s="491">
        <f t="shared" si="1"/>
        <v>1500</v>
      </c>
      <c r="AE149" s="492">
        <f t="shared" si="2"/>
        <v>0.009063325885</v>
      </c>
      <c r="AF149" s="490">
        <f t="shared" si="3"/>
        <v>609800.6996</v>
      </c>
      <c r="AG149" s="493">
        <f t="shared" si="6"/>
        <v>260806.3513</v>
      </c>
      <c r="AH149" s="493">
        <f t="shared" si="4"/>
        <v>348994.3483</v>
      </c>
    </row>
    <row r="150">
      <c r="T150" s="494" t="s">
        <v>622</v>
      </c>
      <c r="AB150" s="489">
        <v>148.0</v>
      </c>
      <c r="AC150" s="490">
        <f t="shared" si="5"/>
        <v>609800.6996</v>
      </c>
      <c r="AD150" s="491">
        <f t="shared" si="1"/>
        <v>1500</v>
      </c>
      <c r="AE150" s="492">
        <f t="shared" si="2"/>
        <v>0.009063325885</v>
      </c>
      <c r="AF150" s="490">
        <f t="shared" si="3"/>
        <v>616827.522</v>
      </c>
      <c r="AG150" s="493">
        <f t="shared" si="6"/>
        <v>262306.3513</v>
      </c>
      <c r="AH150" s="493">
        <f t="shared" si="4"/>
        <v>354521.1708</v>
      </c>
    </row>
    <row r="151">
      <c r="T151" s="494" t="s">
        <v>622</v>
      </c>
      <c r="AB151" s="489">
        <v>149.0</v>
      </c>
      <c r="AC151" s="490">
        <f t="shared" si="5"/>
        <v>616827.522</v>
      </c>
      <c r="AD151" s="491">
        <f t="shared" si="1"/>
        <v>1500</v>
      </c>
      <c r="AE151" s="492">
        <f t="shared" si="2"/>
        <v>0.009063325885</v>
      </c>
      <c r="AF151" s="490">
        <f t="shared" si="3"/>
        <v>623918.0309</v>
      </c>
      <c r="AG151" s="493">
        <f t="shared" si="6"/>
        <v>263806.3513</v>
      </c>
      <c r="AH151" s="493">
        <f t="shared" si="4"/>
        <v>360111.6796</v>
      </c>
    </row>
    <row r="152">
      <c r="T152" s="494" t="s">
        <v>622</v>
      </c>
      <c r="AB152" s="489">
        <v>150.0</v>
      </c>
      <c r="AC152" s="490">
        <f t="shared" si="5"/>
        <v>623918.0309</v>
      </c>
      <c r="AD152" s="491">
        <f t="shared" si="1"/>
        <v>1500</v>
      </c>
      <c r="AE152" s="492">
        <f t="shared" si="2"/>
        <v>0.009063325885</v>
      </c>
      <c r="AF152" s="490">
        <f t="shared" si="3"/>
        <v>631072.8033</v>
      </c>
      <c r="AG152" s="493">
        <f t="shared" si="6"/>
        <v>265306.3513</v>
      </c>
      <c r="AH152" s="493">
        <f t="shared" si="4"/>
        <v>365766.4521</v>
      </c>
    </row>
    <row r="153">
      <c r="T153" s="494" t="s">
        <v>622</v>
      </c>
      <c r="AB153" s="489">
        <v>151.0</v>
      </c>
      <c r="AC153" s="490">
        <f t="shared" si="5"/>
        <v>631072.8033</v>
      </c>
      <c r="AD153" s="491">
        <f t="shared" si="1"/>
        <v>1500</v>
      </c>
      <c r="AE153" s="492">
        <f t="shared" si="2"/>
        <v>0.009063325885</v>
      </c>
      <c r="AF153" s="490">
        <f t="shared" si="3"/>
        <v>638292.4218</v>
      </c>
      <c r="AG153" s="493">
        <f t="shared" si="6"/>
        <v>266806.3513</v>
      </c>
      <c r="AH153" s="493">
        <f t="shared" si="4"/>
        <v>371486.0706</v>
      </c>
    </row>
    <row r="154">
      <c r="T154" s="494" t="s">
        <v>622</v>
      </c>
      <c r="AB154" s="489">
        <v>152.0</v>
      </c>
      <c r="AC154" s="490">
        <f t="shared" si="5"/>
        <v>638292.4218</v>
      </c>
      <c r="AD154" s="491">
        <f t="shared" si="1"/>
        <v>1500</v>
      </c>
      <c r="AE154" s="492">
        <f t="shared" si="2"/>
        <v>0.009063325885</v>
      </c>
      <c r="AF154" s="490">
        <f t="shared" si="3"/>
        <v>645577.474</v>
      </c>
      <c r="AG154" s="493">
        <f t="shared" si="6"/>
        <v>268306.3513</v>
      </c>
      <c r="AH154" s="493">
        <f t="shared" si="4"/>
        <v>377271.1228</v>
      </c>
    </row>
    <row r="155">
      <c r="T155" s="494" t="s">
        <v>622</v>
      </c>
      <c r="AB155" s="489">
        <v>153.0</v>
      </c>
      <c r="AC155" s="490">
        <f t="shared" si="5"/>
        <v>645577.474</v>
      </c>
      <c r="AD155" s="491">
        <f t="shared" si="1"/>
        <v>1500</v>
      </c>
      <c r="AE155" s="492">
        <f t="shared" si="2"/>
        <v>0.009063325885</v>
      </c>
      <c r="AF155" s="490">
        <f t="shared" si="3"/>
        <v>652928.5531</v>
      </c>
      <c r="AG155" s="493">
        <f t="shared" si="6"/>
        <v>269806.3513</v>
      </c>
      <c r="AH155" s="493">
        <f t="shared" si="4"/>
        <v>383122.2018</v>
      </c>
    </row>
    <row r="156">
      <c r="T156" s="494" t="s">
        <v>622</v>
      </c>
      <c r="AB156" s="489">
        <v>154.0</v>
      </c>
      <c r="AC156" s="490">
        <f t="shared" si="5"/>
        <v>652928.5531</v>
      </c>
      <c r="AD156" s="491">
        <f t="shared" si="1"/>
        <v>1500</v>
      </c>
      <c r="AE156" s="492">
        <f t="shared" si="2"/>
        <v>0.009063325885</v>
      </c>
      <c r="AF156" s="490">
        <f t="shared" si="3"/>
        <v>660346.2573</v>
      </c>
      <c r="AG156" s="493">
        <f t="shared" si="6"/>
        <v>271306.3513</v>
      </c>
      <c r="AH156" s="493">
        <f t="shared" si="4"/>
        <v>389039.9061</v>
      </c>
    </row>
    <row r="157">
      <c r="T157" s="494" t="s">
        <v>622</v>
      </c>
      <c r="AB157" s="489">
        <v>155.0</v>
      </c>
      <c r="AC157" s="490">
        <f t="shared" si="5"/>
        <v>660346.2573</v>
      </c>
      <c r="AD157" s="491">
        <f t="shared" si="1"/>
        <v>1500</v>
      </c>
      <c r="AE157" s="492">
        <f t="shared" si="2"/>
        <v>0.009063325885</v>
      </c>
      <c r="AF157" s="490">
        <f t="shared" si="3"/>
        <v>667831.1906</v>
      </c>
      <c r="AG157" s="493">
        <f t="shared" si="6"/>
        <v>272806.3513</v>
      </c>
      <c r="AH157" s="493">
        <f t="shared" si="4"/>
        <v>395024.8394</v>
      </c>
    </row>
    <row r="158">
      <c r="T158" s="494" t="s">
        <v>622</v>
      </c>
      <c r="AB158" s="502">
        <v>156.0</v>
      </c>
      <c r="AC158" s="503">
        <f t="shared" si="5"/>
        <v>667831.1906</v>
      </c>
      <c r="AD158" s="504">
        <f t="shared" si="1"/>
        <v>1500</v>
      </c>
      <c r="AE158" s="505">
        <f t="shared" si="2"/>
        <v>0.009063325885</v>
      </c>
      <c r="AF158" s="503">
        <f t="shared" si="3"/>
        <v>675383.9624</v>
      </c>
      <c r="AG158" s="506">
        <f t="shared" si="6"/>
        <v>274306.3513</v>
      </c>
      <c r="AH158" s="506">
        <f t="shared" si="4"/>
        <v>401077.6111</v>
      </c>
    </row>
    <row r="159">
      <c r="T159" s="494" t="s">
        <v>622</v>
      </c>
      <c r="AB159" s="489">
        <v>157.0</v>
      </c>
      <c r="AC159" s="490">
        <f t="shared" si="5"/>
        <v>675383.9624</v>
      </c>
      <c r="AD159" s="491">
        <f t="shared" si="1"/>
        <v>1500</v>
      </c>
      <c r="AE159" s="492">
        <f t="shared" si="2"/>
        <v>0.009063325885</v>
      </c>
      <c r="AF159" s="490">
        <f t="shared" si="3"/>
        <v>683005.1873</v>
      </c>
      <c r="AG159" s="493">
        <f t="shared" si="6"/>
        <v>275806.3513</v>
      </c>
      <c r="AH159" s="493">
        <f t="shared" si="4"/>
        <v>407198.8361</v>
      </c>
    </row>
    <row r="160">
      <c r="T160" s="494" t="s">
        <v>622</v>
      </c>
      <c r="AB160" s="489">
        <v>158.0</v>
      </c>
      <c r="AC160" s="490">
        <f t="shared" si="5"/>
        <v>683005.1873</v>
      </c>
      <c r="AD160" s="491">
        <f t="shared" si="1"/>
        <v>1500</v>
      </c>
      <c r="AE160" s="492">
        <f t="shared" si="2"/>
        <v>0.009063325885</v>
      </c>
      <c r="AF160" s="490">
        <f t="shared" si="3"/>
        <v>690695.4859</v>
      </c>
      <c r="AG160" s="493">
        <f t="shared" si="6"/>
        <v>277306.3513</v>
      </c>
      <c r="AH160" s="493">
        <f t="shared" si="4"/>
        <v>413389.1347</v>
      </c>
    </row>
    <row r="161">
      <c r="T161" s="494" t="s">
        <v>622</v>
      </c>
      <c r="AB161" s="489">
        <v>159.0</v>
      </c>
      <c r="AC161" s="490">
        <f t="shared" si="5"/>
        <v>690695.4859</v>
      </c>
      <c r="AD161" s="491">
        <f t="shared" si="1"/>
        <v>1500</v>
      </c>
      <c r="AE161" s="492">
        <f t="shared" si="2"/>
        <v>0.009063325885</v>
      </c>
      <c r="AF161" s="490">
        <f t="shared" si="3"/>
        <v>698455.4842</v>
      </c>
      <c r="AG161" s="493">
        <f t="shared" si="6"/>
        <v>278806.3513</v>
      </c>
      <c r="AH161" s="493">
        <f t="shared" si="4"/>
        <v>419649.1329</v>
      </c>
    </row>
    <row r="162">
      <c r="T162" s="494" t="s">
        <v>622</v>
      </c>
      <c r="AB162" s="489">
        <v>160.0</v>
      </c>
      <c r="AC162" s="490">
        <f t="shared" si="5"/>
        <v>698455.4842</v>
      </c>
      <c r="AD162" s="491">
        <f t="shared" si="1"/>
        <v>1500</v>
      </c>
      <c r="AE162" s="492">
        <f t="shared" si="2"/>
        <v>0.009063325885</v>
      </c>
      <c r="AF162" s="490">
        <f t="shared" si="3"/>
        <v>706285.8139</v>
      </c>
      <c r="AG162" s="493">
        <f t="shared" si="6"/>
        <v>280306.3513</v>
      </c>
      <c r="AH162" s="493">
        <f t="shared" si="4"/>
        <v>425979.4626</v>
      </c>
    </row>
    <row r="163">
      <c r="T163" s="494" t="s">
        <v>622</v>
      </c>
      <c r="AB163" s="489">
        <v>161.0</v>
      </c>
      <c r="AC163" s="490">
        <f t="shared" si="5"/>
        <v>706285.8139</v>
      </c>
      <c r="AD163" s="491">
        <f t="shared" si="1"/>
        <v>1500</v>
      </c>
      <c r="AE163" s="492">
        <f t="shared" si="2"/>
        <v>0.009063325885</v>
      </c>
      <c r="AF163" s="490">
        <f t="shared" si="3"/>
        <v>714187.1124</v>
      </c>
      <c r="AG163" s="493">
        <f t="shared" si="6"/>
        <v>281806.3513</v>
      </c>
      <c r="AH163" s="493">
        <f t="shared" si="4"/>
        <v>432380.7611</v>
      </c>
    </row>
    <row r="164">
      <c r="T164" s="494" t="s">
        <v>622</v>
      </c>
      <c r="AB164" s="489">
        <v>162.0</v>
      </c>
      <c r="AC164" s="490">
        <f t="shared" si="5"/>
        <v>714187.1124</v>
      </c>
      <c r="AD164" s="491">
        <f t="shared" si="1"/>
        <v>1500</v>
      </c>
      <c r="AE164" s="492">
        <f t="shared" si="2"/>
        <v>0.009063325885</v>
      </c>
      <c r="AF164" s="490">
        <f t="shared" si="3"/>
        <v>722160.0229</v>
      </c>
      <c r="AG164" s="493">
        <f t="shared" si="6"/>
        <v>283306.3513</v>
      </c>
      <c r="AH164" s="493">
        <f t="shared" si="4"/>
        <v>438853.6716</v>
      </c>
    </row>
    <row r="165">
      <c r="T165" s="494" t="s">
        <v>622</v>
      </c>
      <c r="AB165" s="489">
        <v>163.0</v>
      </c>
      <c r="AC165" s="490">
        <f t="shared" si="5"/>
        <v>722160.0229</v>
      </c>
      <c r="AD165" s="491">
        <f t="shared" si="1"/>
        <v>1500</v>
      </c>
      <c r="AE165" s="492">
        <f t="shared" si="2"/>
        <v>0.009063325885</v>
      </c>
      <c r="AF165" s="490">
        <f t="shared" si="3"/>
        <v>730205.1945</v>
      </c>
      <c r="AG165" s="493">
        <f t="shared" si="6"/>
        <v>284806.3513</v>
      </c>
      <c r="AH165" s="493">
        <f t="shared" si="4"/>
        <v>445398.8433</v>
      </c>
    </row>
    <row r="166">
      <c r="T166" s="494" t="s">
        <v>622</v>
      </c>
      <c r="AB166" s="489">
        <v>164.0</v>
      </c>
      <c r="AC166" s="490">
        <f t="shared" si="5"/>
        <v>730205.1945</v>
      </c>
      <c r="AD166" s="491">
        <f t="shared" si="1"/>
        <v>1500</v>
      </c>
      <c r="AE166" s="492">
        <f t="shared" si="2"/>
        <v>0.009063325885</v>
      </c>
      <c r="AF166" s="490">
        <f t="shared" si="3"/>
        <v>738323.2822</v>
      </c>
      <c r="AG166" s="493">
        <f t="shared" si="6"/>
        <v>286306.3513</v>
      </c>
      <c r="AH166" s="493">
        <f t="shared" si="4"/>
        <v>452016.9309</v>
      </c>
    </row>
    <row r="167">
      <c r="T167" s="494" t="s">
        <v>622</v>
      </c>
      <c r="AB167" s="489">
        <v>165.0</v>
      </c>
      <c r="AC167" s="490">
        <f t="shared" si="5"/>
        <v>738323.2822</v>
      </c>
      <c r="AD167" s="491">
        <f t="shared" si="1"/>
        <v>1500</v>
      </c>
      <c r="AE167" s="492">
        <f t="shared" si="2"/>
        <v>0.009063325885</v>
      </c>
      <c r="AF167" s="490">
        <f t="shared" si="3"/>
        <v>746514.9467</v>
      </c>
      <c r="AG167" s="493">
        <f t="shared" si="6"/>
        <v>287806.3513</v>
      </c>
      <c r="AH167" s="493">
        <f t="shared" si="4"/>
        <v>458708.5954</v>
      </c>
    </row>
    <row r="168">
      <c r="T168" s="494" t="s">
        <v>622</v>
      </c>
      <c r="AB168" s="489">
        <v>166.0</v>
      </c>
      <c r="AC168" s="490">
        <f t="shared" si="5"/>
        <v>746514.9467</v>
      </c>
      <c r="AD168" s="491">
        <f t="shared" si="1"/>
        <v>1500</v>
      </c>
      <c r="AE168" s="492">
        <f t="shared" si="2"/>
        <v>0.009063325885</v>
      </c>
      <c r="AF168" s="490">
        <f t="shared" si="3"/>
        <v>754780.8549</v>
      </c>
      <c r="AG168" s="493">
        <f t="shared" si="6"/>
        <v>289306.3513</v>
      </c>
      <c r="AH168" s="493">
        <f t="shared" si="4"/>
        <v>465474.5037</v>
      </c>
    </row>
    <row r="169">
      <c r="T169" s="494" t="s">
        <v>622</v>
      </c>
      <c r="AB169" s="489">
        <v>167.0</v>
      </c>
      <c r="AC169" s="490">
        <f t="shared" si="5"/>
        <v>754780.8549</v>
      </c>
      <c r="AD169" s="491">
        <f t="shared" si="1"/>
        <v>1500</v>
      </c>
      <c r="AE169" s="492">
        <f t="shared" si="2"/>
        <v>0.009063325885</v>
      </c>
      <c r="AF169" s="490">
        <f t="shared" si="3"/>
        <v>763121.6798</v>
      </c>
      <c r="AG169" s="493">
        <f t="shared" si="6"/>
        <v>290806.3513</v>
      </c>
      <c r="AH169" s="493">
        <f t="shared" si="4"/>
        <v>472315.3285</v>
      </c>
    </row>
    <row r="170">
      <c r="T170" s="494" t="s">
        <v>622</v>
      </c>
      <c r="AB170" s="502">
        <v>168.0</v>
      </c>
      <c r="AC170" s="503">
        <f t="shared" si="5"/>
        <v>763121.6798</v>
      </c>
      <c r="AD170" s="504">
        <f t="shared" si="1"/>
        <v>1500</v>
      </c>
      <c r="AE170" s="505">
        <f t="shared" si="2"/>
        <v>0.009063325885</v>
      </c>
      <c r="AF170" s="503">
        <f t="shared" si="3"/>
        <v>771538.1003</v>
      </c>
      <c r="AG170" s="506">
        <f t="shared" si="6"/>
        <v>292306.3513</v>
      </c>
      <c r="AH170" s="506">
        <f t="shared" si="4"/>
        <v>479231.749</v>
      </c>
    </row>
    <row r="171">
      <c r="T171" s="494" t="s">
        <v>622</v>
      </c>
      <c r="AB171" s="489">
        <v>169.0</v>
      </c>
      <c r="AC171" s="490">
        <f t="shared" si="5"/>
        <v>771538.1003</v>
      </c>
      <c r="AD171" s="491">
        <f t="shared" si="1"/>
        <v>1500</v>
      </c>
      <c r="AE171" s="492">
        <f t="shared" si="2"/>
        <v>0.009063325885</v>
      </c>
      <c r="AF171" s="490">
        <f t="shared" si="3"/>
        <v>780030.8015</v>
      </c>
      <c r="AG171" s="493">
        <f t="shared" si="6"/>
        <v>293806.3513</v>
      </c>
      <c r="AH171" s="493">
        <f t="shared" si="4"/>
        <v>486224.4502</v>
      </c>
    </row>
    <row r="172">
      <c r="T172" s="494" t="s">
        <v>622</v>
      </c>
      <c r="AB172" s="489">
        <v>170.0</v>
      </c>
      <c r="AC172" s="490">
        <f t="shared" si="5"/>
        <v>780030.8015</v>
      </c>
      <c r="AD172" s="491">
        <f t="shared" si="1"/>
        <v>1500</v>
      </c>
      <c r="AE172" s="492">
        <f t="shared" si="2"/>
        <v>0.009063325885</v>
      </c>
      <c r="AF172" s="490">
        <f t="shared" si="3"/>
        <v>788600.4748</v>
      </c>
      <c r="AG172" s="493">
        <f t="shared" si="6"/>
        <v>295306.3513</v>
      </c>
      <c r="AH172" s="493">
        <f t="shared" si="4"/>
        <v>493294.1236</v>
      </c>
    </row>
    <row r="173">
      <c r="T173" s="494" t="s">
        <v>622</v>
      </c>
      <c r="AB173" s="489">
        <v>171.0</v>
      </c>
      <c r="AC173" s="490">
        <f t="shared" si="5"/>
        <v>788600.4748</v>
      </c>
      <c r="AD173" s="491">
        <f t="shared" si="1"/>
        <v>1500</v>
      </c>
      <c r="AE173" s="492">
        <f t="shared" si="2"/>
        <v>0.009063325885</v>
      </c>
      <c r="AF173" s="490">
        <f t="shared" si="3"/>
        <v>797247.8179</v>
      </c>
      <c r="AG173" s="493">
        <f t="shared" si="6"/>
        <v>296806.3513</v>
      </c>
      <c r="AH173" s="493">
        <f t="shared" si="4"/>
        <v>500441.4667</v>
      </c>
    </row>
    <row r="174">
      <c r="T174" s="494" t="s">
        <v>622</v>
      </c>
      <c r="AB174" s="489">
        <v>172.0</v>
      </c>
      <c r="AC174" s="490">
        <f t="shared" si="5"/>
        <v>797247.8179</v>
      </c>
      <c r="AD174" s="491">
        <f t="shared" si="1"/>
        <v>1500</v>
      </c>
      <c r="AE174" s="492">
        <f t="shared" si="2"/>
        <v>0.009063325885</v>
      </c>
      <c r="AF174" s="490">
        <f t="shared" si="3"/>
        <v>805973.5347</v>
      </c>
      <c r="AG174" s="493">
        <f t="shared" si="6"/>
        <v>298306.3513</v>
      </c>
      <c r="AH174" s="493">
        <f t="shared" si="4"/>
        <v>507667.1835</v>
      </c>
    </row>
    <row r="175">
      <c r="T175" s="494" t="s">
        <v>622</v>
      </c>
      <c r="AB175" s="489">
        <v>173.0</v>
      </c>
      <c r="AC175" s="490">
        <f t="shared" si="5"/>
        <v>805973.5347</v>
      </c>
      <c r="AD175" s="491">
        <f t="shared" si="1"/>
        <v>1500</v>
      </c>
      <c r="AE175" s="492">
        <f t="shared" si="2"/>
        <v>0.009063325885</v>
      </c>
      <c r="AF175" s="490">
        <f t="shared" si="3"/>
        <v>814778.3355</v>
      </c>
      <c r="AG175" s="493">
        <f t="shared" si="6"/>
        <v>299806.3513</v>
      </c>
      <c r="AH175" s="493">
        <f t="shared" si="4"/>
        <v>514971.9843</v>
      </c>
    </row>
    <row r="176">
      <c r="T176" s="494" t="s">
        <v>622</v>
      </c>
      <c r="AB176" s="489">
        <v>174.0</v>
      </c>
      <c r="AC176" s="490">
        <f t="shared" si="5"/>
        <v>814778.3355</v>
      </c>
      <c r="AD176" s="491">
        <f t="shared" si="1"/>
        <v>1500</v>
      </c>
      <c r="AE176" s="492">
        <f t="shared" si="2"/>
        <v>0.009063325885</v>
      </c>
      <c r="AF176" s="490">
        <f t="shared" si="3"/>
        <v>823662.9371</v>
      </c>
      <c r="AG176" s="493">
        <f t="shared" si="6"/>
        <v>301306.3513</v>
      </c>
      <c r="AH176" s="493">
        <f t="shared" si="4"/>
        <v>522356.5859</v>
      </c>
    </row>
    <row r="177">
      <c r="T177" s="494" t="s">
        <v>622</v>
      </c>
      <c r="AB177" s="489">
        <v>175.0</v>
      </c>
      <c r="AC177" s="490">
        <f t="shared" si="5"/>
        <v>823662.9371</v>
      </c>
      <c r="AD177" s="491">
        <f t="shared" si="1"/>
        <v>1500</v>
      </c>
      <c r="AE177" s="492">
        <f t="shared" si="2"/>
        <v>0.009063325885</v>
      </c>
      <c r="AF177" s="490">
        <f t="shared" si="3"/>
        <v>832628.0627</v>
      </c>
      <c r="AG177" s="493">
        <f t="shared" si="6"/>
        <v>302806.3513</v>
      </c>
      <c r="AH177" s="493">
        <f t="shared" si="4"/>
        <v>529821.7115</v>
      </c>
    </row>
    <row r="178">
      <c r="T178" s="494" t="s">
        <v>622</v>
      </c>
      <c r="AB178" s="489">
        <v>176.0</v>
      </c>
      <c r="AC178" s="490">
        <f t="shared" si="5"/>
        <v>832628.0627</v>
      </c>
      <c r="AD178" s="491">
        <f t="shared" si="1"/>
        <v>1500</v>
      </c>
      <c r="AE178" s="492">
        <f t="shared" si="2"/>
        <v>0.009063325885</v>
      </c>
      <c r="AF178" s="490">
        <f t="shared" si="3"/>
        <v>841674.4422</v>
      </c>
      <c r="AG178" s="493">
        <f t="shared" si="6"/>
        <v>304306.3513</v>
      </c>
      <c r="AH178" s="493">
        <f t="shared" si="4"/>
        <v>537368.0909</v>
      </c>
    </row>
    <row r="179">
      <c r="T179" s="494" t="s">
        <v>622</v>
      </c>
      <c r="AB179" s="489">
        <v>177.0</v>
      </c>
      <c r="AC179" s="490">
        <f t="shared" si="5"/>
        <v>841674.4422</v>
      </c>
      <c r="AD179" s="491">
        <f t="shared" si="1"/>
        <v>1500</v>
      </c>
      <c r="AE179" s="492">
        <f t="shared" si="2"/>
        <v>0.009063325885</v>
      </c>
      <c r="AF179" s="490">
        <f t="shared" si="3"/>
        <v>850802.812</v>
      </c>
      <c r="AG179" s="493">
        <f t="shared" si="6"/>
        <v>305806.3513</v>
      </c>
      <c r="AH179" s="493">
        <f t="shared" si="4"/>
        <v>544996.4607</v>
      </c>
    </row>
    <row r="180">
      <c r="T180" s="494" t="s">
        <v>622</v>
      </c>
      <c r="AB180" s="489">
        <v>178.0</v>
      </c>
      <c r="AC180" s="490">
        <f t="shared" si="5"/>
        <v>850802.812</v>
      </c>
      <c r="AD180" s="491">
        <f t="shared" si="1"/>
        <v>1500</v>
      </c>
      <c r="AE180" s="492">
        <f t="shared" si="2"/>
        <v>0.009063325885</v>
      </c>
      <c r="AF180" s="490">
        <f t="shared" si="3"/>
        <v>860013.9151</v>
      </c>
      <c r="AG180" s="493">
        <f t="shared" si="6"/>
        <v>307306.3513</v>
      </c>
      <c r="AH180" s="493">
        <f t="shared" si="4"/>
        <v>552707.5639</v>
      </c>
    </row>
    <row r="181">
      <c r="T181" s="494" t="s">
        <v>622</v>
      </c>
      <c r="AB181" s="489">
        <v>179.0</v>
      </c>
      <c r="AC181" s="490">
        <f t="shared" si="5"/>
        <v>860013.9151</v>
      </c>
      <c r="AD181" s="491">
        <f t="shared" si="1"/>
        <v>1500</v>
      </c>
      <c r="AE181" s="492">
        <f t="shared" si="2"/>
        <v>0.009063325885</v>
      </c>
      <c r="AF181" s="490">
        <f t="shared" si="3"/>
        <v>869308.5015</v>
      </c>
      <c r="AG181" s="493">
        <f t="shared" si="6"/>
        <v>308806.3513</v>
      </c>
      <c r="AH181" s="493">
        <f t="shared" si="4"/>
        <v>560502.1502</v>
      </c>
    </row>
    <row r="182">
      <c r="T182" s="494" t="s">
        <v>622</v>
      </c>
      <c r="AB182" s="502">
        <v>180.0</v>
      </c>
      <c r="AC182" s="503">
        <f t="shared" si="5"/>
        <v>869308.5015</v>
      </c>
      <c r="AD182" s="504">
        <f t="shared" si="1"/>
        <v>1500</v>
      </c>
      <c r="AE182" s="505">
        <f t="shared" si="2"/>
        <v>0.009063325885</v>
      </c>
      <c r="AF182" s="503">
        <f t="shared" si="3"/>
        <v>878687.3277</v>
      </c>
      <c r="AG182" s="506">
        <f t="shared" si="6"/>
        <v>310306.3513</v>
      </c>
      <c r="AH182" s="506">
        <f t="shared" si="4"/>
        <v>568380.9765</v>
      </c>
    </row>
    <row r="183">
      <c r="T183" s="494" t="s">
        <v>622</v>
      </c>
      <c r="AB183" s="489">
        <v>181.0</v>
      </c>
      <c r="AC183" s="490">
        <f t="shared" si="5"/>
        <v>878687.3277</v>
      </c>
      <c r="AD183" s="491">
        <f t="shared" si="1"/>
        <v>1500</v>
      </c>
      <c r="AE183" s="492">
        <f t="shared" si="2"/>
        <v>0.009063325885</v>
      </c>
      <c r="AF183" s="490">
        <f t="shared" si="3"/>
        <v>888151.1573</v>
      </c>
      <c r="AG183" s="493">
        <f t="shared" si="6"/>
        <v>311806.3513</v>
      </c>
      <c r="AH183" s="493">
        <f t="shared" si="4"/>
        <v>576344.8061</v>
      </c>
    </row>
    <row r="184">
      <c r="T184" s="494" t="s">
        <v>622</v>
      </c>
      <c r="AB184" s="489">
        <v>182.0</v>
      </c>
      <c r="AC184" s="490">
        <f t="shared" si="5"/>
        <v>888151.1573</v>
      </c>
      <c r="AD184" s="491">
        <f t="shared" si="1"/>
        <v>1500</v>
      </c>
      <c r="AE184" s="492">
        <f t="shared" si="2"/>
        <v>0.009063325885</v>
      </c>
      <c r="AF184" s="490">
        <f t="shared" si="3"/>
        <v>897700.7607</v>
      </c>
      <c r="AG184" s="493">
        <f t="shared" si="6"/>
        <v>313306.3513</v>
      </c>
      <c r="AH184" s="493">
        <f t="shared" si="4"/>
        <v>584394.4095</v>
      </c>
    </row>
    <row r="185">
      <c r="T185" s="494" t="s">
        <v>622</v>
      </c>
      <c r="AB185" s="489">
        <v>183.0</v>
      </c>
      <c r="AC185" s="490">
        <f t="shared" si="5"/>
        <v>897700.7607</v>
      </c>
      <c r="AD185" s="491">
        <f t="shared" si="1"/>
        <v>1500</v>
      </c>
      <c r="AE185" s="492">
        <f t="shared" si="2"/>
        <v>0.009063325885</v>
      </c>
      <c r="AF185" s="490">
        <f t="shared" si="3"/>
        <v>907336.9152</v>
      </c>
      <c r="AG185" s="493">
        <f t="shared" si="6"/>
        <v>314806.3513</v>
      </c>
      <c r="AH185" s="493">
        <f t="shared" si="4"/>
        <v>592530.564</v>
      </c>
    </row>
    <row r="186">
      <c r="T186" s="494" t="s">
        <v>622</v>
      </c>
      <c r="AB186" s="489">
        <v>184.0</v>
      </c>
      <c r="AC186" s="490">
        <f t="shared" si="5"/>
        <v>907336.9152</v>
      </c>
      <c r="AD186" s="491">
        <f t="shared" si="1"/>
        <v>1500</v>
      </c>
      <c r="AE186" s="492">
        <f t="shared" si="2"/>
        <v>0.009063325885</v>
      </c>
      <c r="AF186" s="490">
        <f t="shared" si="3"/>
        <v>917060.4054</v>
      </c>
      <c r="AG186" s="493">
        <f t="shared" si="6"/>
        <v>316306.3513</v>
      </c>
      <c r="AH186" s="493">
        <f t="shared" si="4"/>
        <v>600754.0541</v>
      </c>
    </row>
    <row r="187">
      <c r="T187" s="494" t="s">
        <v>622</v>
      </c>
      <c r="AB187" s="489">
        <v>185.0</v>
      </c>
      <c r="AC187" s="490">
        <f t="shared" si="5"/>
        <v>917060.4054</v>
      </c>
      <c r="AD187" s="491">
        <f t="shared" si="1"/>
        <v>1500</v>
      </c>
      <c r="AE187" s="492">
        <f t="shared" si="2"/>
        <v>0.009063325885</v>
      </c>
      <c r="AF187" s="490">
        <f t="shared" si="3"/>
        <v>926872.0227</v>
      </c>
      <c r="AG187" s="493">
        <f t="shared" si="6"/>
        <v>317806.3513</v>
      </c>
      <c r="AH187" s="493">
        <f t="shared" si="4"/>
        <v>609065.6715</v>
      </c>
    </row>
    <row r="188">
      <c r="T188" s="494" t="s">
        <v>622</v>
      </c>
      <c r="AB188" s="489">
        <v>186.0</v>
      </c>
      <c r="AC188" s="490">
        <f t="shared" si="5"/>
        <v>926872.0227</v>
      </c>
      <c r="AD188" s="491">
        <f t="shared" si="1"/>
        <v>1500</v>
      </c>
      <c r="AE188" s="492">
        <f t="shared" si="2"/>
        <v>0.009063325885</v>
      </c>
      <c r="AF188" s="490">
        <f t="shared" si="3"/>
        <v>936772.5659</v>
      </c>
      <c r="AG188" s="493">
        <f t="shared" si="6"/>
        <v>319306.3513</v>
      </c>
      <c r="AH188" s="493">
        <f t="shared" si="4"/>
        <v>617466.2146</v>
      </c>
    </row>
    <row r="189">
      <c r="T189" s="494" t="s">
        <v>622</v>
      </c>
      <c r="AB189" s="489">
        <v>187.0</v>
      </c>
      <c r="AC189" s="490">
        <f t="shared" si="5"/>
        <v>936772.5659</v>
      </c>
      <c r="AD189" s="491">
        <f t="shared" si="1"/>
        <v>1500</v>
      </c>
      <c r="AE189" s="492">
        <f t="shared" si="2"/>
        <v>0.009063325885</v>
      </c>
      <c r="AF189" s="490">
        <f t="shared" si="3"/>
        <v>946762.8409</v>
      </c>
      <c r="AG189" s="493">
        <f t="shared" si="6"/>
        <v>320806.3513</v>
      </c>
      <c r="AH189" s="493">
        <f t="shared" si="4"/>
        <v>625956.4897</v>
      </c>
    </row>
    <row r="190">
      <c r="T190" s="494" t="s">
        <v>622</v>
      </c>
      <c r="AB190" s="489">
        <v>188.0</v>
      </c>
      <c r="AC190" s="490">
        <f t="shared" si="5"/>
        <v>946762.8409</v>
      </c>
      <c r="AD190" s="491">
        <f t="shared" si="1"/>
        <v>1500</v>
      </c>
      <c r="AE190" s="492">
        <f t="shared" si="2"/>
        <v>0.009063325885</v>
      </c>
      <c r="AF190" s="490">
        <f t="shared" si="3"/>
        <v>956843.6611</v>
      </c>
      <c r="AG190" s="493">
        <f t="shared" si="6"/>
        <v>322306.3513</v>
      </c>
      <c r="AH190" s="493">
        <f t="shared" si="4"/>
        <v>634537.3099</v>
      </c>
    </row>
    <row r="191">
      <c r="T191" s="494" t="s">
        <v>622</v>
      </c>
      <c r="AB191" s="489">
        <v>189.0</v>
      </c>
      <c r="AC191" s="490">
        <f t="shared" si="5"/>
        <v>956843.6611</v>
      </c>
      <c r="AD191" s="491">
        <f t="shared" si="1"/>
        <v>1500</v>
      </c>
      <c r="AE191" s="492">
        <f t="shared" si="2"/>
        <v>0.009063325885</v>
      </c>
      <c r="AF191" s="490">
        <f t="shared" si="3"/>
        <v>967015.847</v>
      </c>
      <c r="AG191" s="493">
        <f t="shared" si="6"/>
        <v>323806.3513</v>
      </c>
      <c r="AH191" s="493">
        <f t="shared" si="4"/>
        <v>643209.4958</v>
      </c>
    </row>
    <row r="192">
      <c r="T192" s="494" t="s">
        <v>622</v>
      </c>
      <c r="AB192" s="489">
        <v>190.0</v>
      </c>
      <c r="AC192" s="490">
        <f t="shared" si="5"/>
        <v>967015.847</v>
      </c>
      <c r="AD192" s="491">
        <f t="shared" si="1"/>
        <v>1500</v>
      </c>
      <c r="AE192" s="492">
        <f t="shared" si="2"/>
        <v>0.009063325885</v>
      </c>
      <c r="AF192" s="490">
        <f t="shared" si="3"/>
        <v>977280.2268</v>
      </c>
      <c r="AG192" s="493">
        <f t="shared" si="6"/>
        <v>325306.3513</v>
      </c>
      <c r="AH192" s="493">
        <f t="shared" si="4"/>
        <v>651973.8755</v>
      </c>
    </row>
    <row r="193">
      <c r="T193" s="494" t="s">
        <v>622</v>
      </c>
      <c r="AB193" s="489">
        <v>191.0</v>
      </c>
      <c r="AC193" s="490">
        <f t="shared" si="5"/>
        <v>977280.2268</v>
      </c>
      <c r="AD193" s="491">
        <f t="shared" si="1"/>
        <v>1500</v>
      </c>
      <c r="AE193" s="492">
        <f t="shared" si="2"/>
        <v>0.009063325885</v>
      </c>
      <c r="AF193" s="490">
        <f t="shared" si="3"/>
        <v>987637.636</v>
      </c>
      <c r="AG193" s="493">
        <f t="shared" si="6"/>
        <v>326806.3513</v>
      </c>
      <c r="AH193" s="493">
        <f t="shared" si="4"/>
        <v>660831.2847</v>
      </c>
    </row>
    <row r="194">
      <c r="T194" s="494" t="s">
        <v>622</v>
      </c>
      <c r="AB194" s="502">
        <v>192.0</v>
      </c>
      <c r="AC194" s="503">
        <f t="shared" si="5"/>
        <v>987637.636</v>
      </c>
      <c r="AD194" s="504">
        <f t="shared" si="1"/>
        <v>1500</v>
      </c>
      <c r="AE194" s="505">
        <f t="shared" si="2"/>
        <v>0.009063325885</v>
      </c>
      <c r="AF194" s="503">
        <f t="shared" si="3"/>
        <v>998088.9177</v>
      </c>
      <c r="AG194" s="506">
        <f t="shared" si="6"/>
        <v>328306.3513</v>
      </c>
      <c r="AH194" s="506">
        <f t="shared" si="4"/>
        <v>669782.5665</v>
      </c>
    </row>
    <row r="195">
      <c r="T195" s="494" t="s">
        <v>622</v>
      </c>
      <c r="AB195" s="489">
        <v>193.0</v>
      </c>
      <c r="AC195" s="490">
        <f t="shared" si="5"/>
        <v>998088.9177</v>
      </c>
      <c r="AD195" s="491">
        <f t="shared" si="1"/>
        <v>1500</v>
      </c>
      <c r="AE195" s="492">
        <f t="shared" si="2"/>
        <v>0.009063325885</v>
      </c>
      <c r="AF195" s="490">
        <f t="shared" si="3"/>
        <v>1008634.923</v>
      </c>
      <c r="AG195" s="493">
        <f t="shared" si="6"/>
        <v>329806.3513</v>
      </c>
      <c r="AH195" s="493">
        <f t="shared" si="4"/>
        <v>678828.5716</v>
      </c>
    </row>
    <row r="196">
      <c r="T196" s="494" t="s">
        <v>622</v>
      </c>
      <c r="AB196" s="489">
        <v>194.0</v>
      </c>
      <c r="AC196" s="490">
        <f t="shared" si="5"/>
        <v>1008634.923</v>
      </c>
      <c r="AD196" s="491">
        <f t="shared" si="1"/>
        <v>1500</v>
      </c>
      <c r="AE196" s="492">
        <f t="shared" si="2"/>
        <v>0.009063325885</v>
      </c>
      <c r="AF196" s="490">
        <f t="shared" si="3"/>
        <v>1019276.51</v>
      </c>
      <c r="AG196" s="493">
        <f t="shared" si="6"/>
        <v>331306.3513</v>
      </c>
      <c r="AH196" s="493">
        <f t="shared" si="4"/>
        <v>687970.1586</v>
      </c>
    </row>
    <row r="197">
      <c r="T197" s="494" t="s">
        <v>622</v>
      </c>
      <c r="AB197" s="489">
        <v>195.0</v>
      </c>
      <c r="AC197" s="490">
        <f t="shared" si="5"/>
        <v>1019276.51</v>
      </c>
      <c r="AD197" s="491">
        <f t="shared" si="1"/>
        <v>1500</v>
      </c>
      <c r="AE197" s="492">
        <f t="shared" si="2"/>
        <v>0.009063325885</v>
      </c>
      <c r="AF197" s="490">
        <f t="shared" si="3"/>
        <v>1030014.545</v>
      </c>
      <c r="AG197" s="493">
        <f t="shared" si="6"/>
        <v>332806.3513</v>
      </c>
      <c r="AH197" s="493">
        <f t="shared" si="4"/>
        <v>697208.1938</v>
      </c>
    </row>
    <row r="198">
      <c r="T198" s="494" t="s">
        <v>622</v>
      </c>
      <c r="AB198" s="489">
        <v>196.0</v>
      </c>
      <c r="AC198" s="490">
        <f t="shared" si="5"/>
        <v>1030014.545</v>
      </c>
      <c r="AD198" s="491">
        <f t="shared" si="1"/>
        <v>1500</v>
      </c>
      <c r="AE198" s="492">
        <f t="shared" si="2"/>
        <v>0.009063325885</v>
      </c>
      <c r="AF198" s="490">
        <f t="shared" si="3"/>
        <v>1040849.903</v>
      </c>
      <c r="AG198" s="493">
        <f t="shared" si="6"/>
        <v>334306.3513</v>
      </c>
      <c r="AH198" s="493">
        <f t="shared" si="4"/>
        <v>706543.5513</v>
      </c>
    </row>
    <row r="199">
      <c r="T199" s="494" t="s">
        <v>622</v>
      </c>
      <c r="AB199" s="489">
        <v>197.0</v>
      </c>
      <c r="AC199" s="490">
        <f t="shared" si="5"/>
        <v>1040849.903</v>
      </c>
      <c r="AD199" s="491">
        <f t="shared" si="1"/>
        <v>1500</v>
      </c>
      <c r="AE199" s="492">
        <f t="shared" si="2"/>
        <v>0.009063325885</v>
      </c>
      <c r="AF199" s="490">
        <f t="shared" si="3"/>
        <v>1051783.464</v>
      </c>
      <c r="AG199" s="493">
        <f t="shared" si="6"/>
        <v>335806.3513</v>
      </c>
      <c r="AH199" s="493">
        <f t="shared" si="4"/>
        <v>715977.1131</v>
      </c>
    </row>
    <row r="200">
      <c r="T200" s="494" t="s">
        <v>622</v>
      </c>
      <c r="AB200" s="489">
        <v>198.0</v>
      </c>
      <c r="AC200" s="490">
        <f t="shared" si="5"/>
        <v>1051783.464</v>
      </c>
      <c r="AD200" s="491">
        <f t="shared" si="1"/>
        <v>1500</v>
      </c>
      <c r="AE200" s="492">
        <f t="shared" si="2"/>
        <v>0.009063325885</v>
      </c>
      <c r="AF200" s="490">
        <f t="shared" si="3"/>
        <v>1062816.121</v>
      </c>
      <c r="AG200" s="493">
        <f t="shared" si="6"/>
        <v>337306.3513</v>
      </c>
      <c r="AH200" s="493">
        <f t="shared" si="4"/>
        <v>725509.7694</v>
      </c>
    </row>
    <row r="201">
      <c r="T201" s="494" t="s">
        <v>622</v>
      </c>
      <c r="AB201" s="489">
        <v>199.0</v>
      </c>
      <c r="AC201" s="490">
        <f t="shared" si="5"/>
        <v>1062816.121</v>
      </c>
      <c r="AD201" s="491">
        <f t="shared" si="1"/>
        <v>1500</v>
      </c>
      <c r="AE201" s="492">
        <f t="shared" si="2"/>
        <v>0.009063325885</v>
      </c>
      <c r="AF201" s="490">
        <f t="shared" si="3"/>
        <v>1073948.77</v>
      </c>
      <c r="AG201" s="493">
        <f t="shared" si="6"/>
        <v>338806.3513</v>
      </c>
      <c r="AH201" s="493">
        <f t="shared" si="4"/>
        <v>735142.4183</v>
      </c>
    </row>
    <row r="202">
      <c r="T202" s="494" t="s">
        <v>622</v>
      </c>
      <c r="AB202" s="489">
        <v>200.0</v>
      </c>
      <c r="AC202" s="490">
        <f t="shared" si="5"/>
        <v>1073948.77</v>
      </c>
      <c r="AD202" s="491">
        <f t="shared" si="1"/>
        <v>1500</v>
      </c>
      <c r="AE202" s="492">
        <f t="shared" si="2"/>
        <v>0.009063325885</v>
      </c>
      <c r="AF202" s="490">
        <f t="shared" si="3"/>
        <v>1085182.317</v>
      </c>
      <c r="AG202" s="493">
        <f t="shared" si="6"/>
        <v>340306.3513</v>
      </c>
      <c r="AH202" s="493">
        <f t="shared" si="4"/>
        <v>744875.966</v>
      </c>
    </row>
    <row r="203">
      <c r="T203" s="494" t="s">
        <v>622</v>
      </c>
      <c r="AB203" s="489">
        <v>201.0</v>
      </c>
      <c r="AC203" s="490">
        <f t="shared" si="5"/>
        <v>1085182.317</v>
      </c>
      <c r="AD203" s="491">
        <f t="shared" si="1"/>
        <v>1500</v>
      </c>
      <c r="AE203" s="492">
        <f t="shared" si="2"/>
        <v>0.009063325885</v>
      </c>
      <c r="AF203" s="490">
        <f t="shared" si="3"/>
        <v>1096517.678</v>
      </c>
      <c r="AG203" s="493">
        <f t="shared" si="6"/>
        <v>341806.3513</v>
      </c>
      <c r="AH203" s="493">
        <f t="shared" si="4"/>
        <v>754711.3269</v>
      </c>
    </row>
    <row r="204">
      <c r="T204" s="494" t="s">
        <v>622</v>
      </c>
      <c r="AB204" s="489">
        <v>202.0</v>
      </c>
      <c r="AC204" s="490">
        <f t="shared" si="5"/>
        <v>1096517.678</v>
      </c>
      <c r="AD204" s="491">
        <f t="shared" si="1"/>
        <v>1500</v>
      </c>
      <c r="AE204" s="492">
        <f t="shared" si="2"/>
        <v>0.009063325885</v>
      </c>
      <c r="AF204" s="490">
        <f t="shared" si="3"/>
        <v>1107955.775</v>
      </c>
      <c r="AG204" s="493">
        <f t="shared" si="6"/>
        <v>343306.3513</v>
      </c>
      <c r="AH204" s="493">
        <f t="shared" si="4"/>
        <v>764649.424</v>
      </c>
    </row>
    <row r="205">
      <c r="T205" s="494" t="s">
        <v>622</v>
      </c>
      <c r="AB205" s="489">
        <v>203.0</v>
      </c>
      <c r="AC205" s="490">
        <f t="shared" si="5"/>
        <v>1107955.775</v>
      </c>
      <c r="AD205" s="491">
        <f t="shared" si="1"/>
        <v>1500</v>
      </c>
      <c r="AE205" s="492">
        <f t="shared" si="2"/>
        <v>0.009063325885</v>
      </c>
      <c r="AF205" s="490">
        <f t="shared" si="3"/>
        <v>1119497.54</v>
      </c>
      <c r="AG205" s="493">
        <f t="shared" si="6"/>
        <v>344806.3513</v>
      </c>
      <c r="AH205" s="493">
        <f t="shared" si="4"/>
        <v>774691.1883</v>
      </c>
    </row>
    <row r="206">
      <c r="T206" s="494" t="s">
        <v>622</v>
      </c>
      <c r="AB206" s="502">
        <v>204.0</v>
      </c>
      <c r="AC206" s="503">
        <f t="shared" si="5"/>
        <v>1119497.54</v>
      </c>
      <c r="AD206" s="504">
        <f t="shared" si="1"/>
        <v>1500</v>
      </c>
      <c r="AE206" s="505">
        <f t="shared" si="2"/>
        <v>0.009063325885</v>
      </c>
      <c r="AF206" s="503">
        <f t="shared" si="3"/>
        <v>1131143.911</v>
      </c>
      <c r="AG206" s="506">
        <f t="shared" si="6"/>
        <v>346306.3513</v>
      </c>
      <c r="AH206" s="506">
        <f t="shared" si="4"/>
        <v>784837.5593</v>
      </c>
    </row>
    <row r="207">
      <c r="T207" s="494" t="s">
        <v>622</v>
      </c>
      <c r="AB207" s="489">
        <v>205.0</v>
      </c>
      <c r="AC207" s="490">
        <f t="shared" si="5"/>
        <v>1131143.911</v>
      </c>
      <c r="AD207" s="491">
        <f t="shared" si="1"/>
        <v>1500</v>
      </c>
      <c r="AE207" s="492">
        <f t="shared" si="2"/>
        <v>0.009063325885</v>
      </c>
      <c r="AF207" s="490">
        <f t="shared" si="3"/>
        <v>1142895.836</v>
      </c>
      <c r="AG207" s="493">
        <f t="shared" si="6"/>
        <v>347806.3513</v>
      </c>
      <c r="AH207" s="493">
        <f t="shared" si="4"/>
        <v>795089.4852</v>
      </c>
    </row>
    <row r="208">
      <c r="T208" s="494" t="s">
        <v>622</v>
      </c>
      <c r="AB208" s="489">
        <v>206.0</v>
      </c>
      <c r="AC208" s="490">
        <f t="shared" si="5"/>
        <v>1142895.836</v>
      </c>
      <c r="AD208" s="491">
        <f t="shared" si="1"/>
        <v>1500</v>
      </c>
      <c r="AE208" s="492">
        <f t="shared" si="2"/>
        <v>0.009063325885</v>
      </c>
      <c r="AF208" s="490">
        <f t="shared" si="3"/>
        <v>1154754.274</v>
      </c>
      <c r="AG208" s="493">
        <f t="shared" si="6"/>
        <v>349306.3513</v>
      </c>
      <c r="AH208" s="493">
        <f t="shared" si="4"/>
        <v>805447.9226</v>
      </c>
    </row>
    <row r="209">
      <c r="T209" s="494" t="s">
        <v>622</v>
      </c>
      <c r="AB209" s="489">
        <v>207.0</v>
      </c>
      <c r="AC209" s="490">
        <f t="shared" si="5"/>
        <v>1154754.274</v>
      </c>
      <c r="AD209" s="491">
        <f t="shared" si="1"/>
        <v>1500</v>
      </c>
      <c r="AE209" s="492">
        <f t="shared" si="2"/>
        <v>0.009063325885</v>
      </c>
      <c r="AF209" s="490">
        <f t="shared" si="3"/>
        <v>1166720.188</v>
      </c>
      <c r="AG209" s="493">
        <f t="shared" si="6"/>
        <v>350806.3513</v>
      </c>
      <c r="AH209" s="493">
        <f t="shared" si="4"/>
        <v>815913.8369</v>
      </c>
    </row>
    <row r="210">
      <c r="T210" s="494" t="s">
        <v>622</v>
      </c>
      <c r="AB210" s="489">
        <v>208.0</v>
      </c>
      <c r="AC210" s="490">
        <f t="shared" si="5"/>
        <v>1166720.188</v>
      </c>
      <c r="AD210" s="491">
        <f t="shared" si="1"/>
        <v>1500</v>
      </c>
      <c r="AE210" s="492">
        <f t="shared" si="2"/>
        <v>0.009063325885</v>
      </c>
      <c r="AF210" s="490">
        <f t="shared" si="3"/>
        <v>1178794.553</v>
      </c>
      <c r="AG210" s="493">
        <f t="shared" si="6"/>
        <v>352306.3513</v>
      </c>
      <c r="AH210" s="493">
        <f t="shared" si="4"/>
        <v>826488.2022</v>
      </c>
    </row>
    <row r="211">
      <c r="T211" s="494" t="s">
        <v>622</v>
      </c>
      <c r="AB211" s="489">
        <v>209.0</v>
      </c>
      <c r="AC211" s="490">
        <f t="shared" si="5"/>
        <v>1178794.553</v>
      </c>
      <c r="AD211" s="491">
        <f t="shared" si="1"/>
        <v>1500</v>
      </c>
      <c r="AE211" s="492">
        <f t="shared" si="2"/>
        <v>0.009063325885</v>
      </c>
      <c r="AF211" s="490">
        <f t="shared" si="3"/>
        <v>1190978.353</v>
      </c>
      <c r="AG211" s="493">
        <f t="shared" si="6"/>
        <v>353806.3513</v>
      </c>
      <c r="AH211" s="493">
        <f t="shared" si="4"/>
        <v>837172.0014</v>
      </c>
    </row>
    <row r="212">
      <c r="T212" s="494" t="s">
        <v>622</v>
      </c>
      <c r="AB212" s="489">
        <v>210.0</v>
      </c>
      <c r="AC212" s="490">
        <f t="shared" si="5"/>
        <v>1190978.353</v>
      </c>
      <c r="AD212" s="491">
        <f t="shared" si="1"/>
        <v>1500</v>
      </c>
      <c r="AE212" s="492">
        <f t="shared" si="2"/>
        <v>0.009063325885</v>
      </c>
      <c r="AF212" s="490">
        <f t="shared" si="3"/>
        <v>1203272.578</v>
      </c>
      <c r="AG212" s="493">
        <f t="shared" si="6"/>
        <v>355306.3513</v>
      </c>
      <c r="AH212" s="493">
        <f t="shared" si="4"/>
        <v>847966.2263</v>
      </c>
    </row>
    <row r="213">
      <c r="T213" s="494" t="s">
        <v>622</v>
      </c>
      <c r="AB213" s="489">
        <v>211.0</v>
      </c>
      <c r="AC213" s="490">
        <f t="shared" si="5"/>
        <v>1203272.578</v>
      </c>
      <c r="AD213" s="491">
        <f t="shared" si="1"/>
        <v>1500</v>
      </c>
      <c r="AE213" s="492">
        <f t="shared" si="2"/>
        <v>0.009063325885</v>
      </c>
      <c r="AF213" s="490">
        <f t="shared" si="3"/>
        <v>1215678.229</v>
      </c>
      <c r="AG213" s="493">
        <f t="shared" si="6"/>
        <v>356806.3513</v>
      </c>
      <c r="AH213" s="493">
        <f t="shared" si="4"/>
        <v>858871.8778</v>
      </c>
    </row>
    <row r="214">
      <c r="T214" s="494" t="s">
        <v>622</v>
      </c>
      <c r="AB214" s="489">
        <v>212.0</v>
      </c>
      <c r="AC214" s="490">
        <f t="shared" si="5"/>
        <v>1215678.229</v>
      </c>
      <c r="AD214" s="491">
        <f t="shared" si="1"/>
        <v>1500</v>
      </c>
      <c r="AE214" s="492">
        <f t="shared" si="2"/>
        <v>0.009063325885</v>
      </c>
      <c r="AF214" s="490">
        <f t="shared" si="3"/>
        <v>1228196.317</v>
      </c>
      <c r="AG214" s="493">
        <f t="shared" si="6"/>
        <v>358306.3513</v>
      </c>
      <c r="AH214" s="493">
        <f t="shared" si="4"/>
        <v>869889.9658</v>
      </c>
    </row>
    <row r="215">
      <c r="T215" s="494" t="s">
        <v>622</v>
      </c>
      <c r="AB215" s="489">
        <v>213.0</v>
      </c>
      <c r="AC215" s="490">
        <f t="shared" si="5"/>
        <v>1228196.317</v>
      </c>
      <c r="AD215" s="491">
        <f t="shared" si="1"/>
        <v>1500</v>
      </c>
      <c r="AE215" s="492">
        <f t="shared" si="2"/>
        <v>0.009063325885</v>
      </c>
      <c r="AF215" s="490">
        <f t="shared" si="3"/>
        <v>1240827.86</v>
      </c>
      <c r="AG215" s="493">
        <f t="shared" si="6"/>
        <v>359806.3513</v>
      </c>
      <c r="AH215" s="493">
        <f t="shared" si="4"/>
        <v>881021.5092</v>
      </c>
    </row>
    <row r="216">
      <c r="T216" s="494" t="s">
        <v>622</v>
      </c>
      <c r="AB216" s="489">
        <v>214.0</v>
      </c>
      <c r="AC216" s="490">
        <f t="shared" si="5"/>
        <v>1240827.86</v>
      </c>
      <c r="AD216" s="491">
        <f t="shared" si="1"/>
        <v>1500</v>
      </c>
      <c r="AE216" s="492">
        <f t="shared" si="2"/>
        <v>0.009063325885</v>
      </c>
      <c r="AF216" s="490">
        <f t="shared" si="3"/>
        <v>1253573.888</v>
      </c>
      <c r="AG216" s="493">
        <f t="shared" si="6"/>
        <v>361306.3513</v>
      </c>
      <c r="AH216" s="493">
        <f t="shared" si="4"/>
        <v>892267.5365</v>
      </c>
    </row>
    <row r="217">
      <c r="T217" s="494" t="s">
        <v>622</v>
      </c>
      <c r="AB217" s="489">
        <v>215.0</v>
      </c>
      <c r="AC217" s="490">
        <f t="shared" si="5"/>
        <v>1253573.888</v>
      </c>
      <c r="AD217" s="491">
        <f t="shared" si="1"/>
        <v>1500</v>
      </c>
      <c r="AE217" s="492">
        <f t="shared" si="2"/>
        <v>0.009063325885</v>
      </c>
      <c r="AF217" s="490">
        <f t="shared" si="3"/>
        <v>1266435.436</v>
      </c>
      <c r="AG217" s="493">
        <f t="shared" si="6"/>
        <v>362806.3513</v>
      </c>
      <c r="AH217" s="493">
        <f t="shared" si="4"/>
        <v>903629.0852</v>
      </c>
    </row>
    <row r="218">
      <c r="T218" s="494" t="s">
        <v>622</v>
      </c>
      <c r="AB218" s="502">
        <v>216.0</v>
      </c>
      <c r="AC218" s="503">
        <f t="shared" si="5"/>
        <v>1266435.436</v>
      </c>
      <c r="AD218" s="504">
        <f t="shared" si="1"/>
        <v>1500</v>
      </c>
      <c r="AE218" s="505">
        <f t="shared" si="2"/>
        <v>0.009063325885</v>
      </c>
      <c r="AF218" s="503">
        <f t="shared" si="3"/>
        <v>1279413.553</v>
      </c>
      <c r="AG218" s="506">
        <f t="shared" si="6"/>
        <v>364306.3513</v>
      </c>
      <c r="AH218" s="506">
        <f t="shared" si="4"/>
        <v>915107.2022</v>
      </c>
    </row>
    <row r="219">
      <c r="T219" s="494" t="s">
        <v>622</v>
      </c>
      <c r="AB219" s="489">
        <v>217.0</v>
      </c>
      <c r="AC219" s="490">
        <f t="shared" si="5"/>
        <v>1279413.553</v>
      </c>
      <c r="AD219" s="491">
        <f t="shared" si="1"/>
        <v>1500</v>
      </c>
      <c r="AE219" s="492">
        <f t="shared" si="2"/>
        <v>0.009063325885</v>
      </c>
      <c r="AF219" s="490">
        <f t="shared" si="3"/>
        <v>1292509.295</v>
      </c>
      <c r="AG219" s="493">
        <f t="shared" si="6"/>
        <v>365806.3513</v>
      </c>
      <c r="AH219" s="493">
        <f t="shared" si="4"/>
        <v>926702.9442</v>
      </c>
    </row>
    <row r="220">
      <c r="T220" s="494" t="s">
        <v>622</v>
      </c>
      <c r="AB220" s="489">
        <v>218.0</v>
      </c>
      <c r="AC220" s="490">
        <f t="shared" si="5"/>
        <v>1292509.295</v>
      </c>
      <c r="AD220" s="491">
        <f t="shared" si="1"/>
        <v>1500</v>
      </c>
      <c r="AE220" s="492">
        <f t="shared" si="2"/>
        <v>0.009063325885</v>
      </c>
      <c r="AF220" s="490">
        <f t="shared" si="3"/>
        <v>1305723.728</v>
      </c>
      <c r="AG220" s="493">
        <f t="shared" si="6"/>
        <v>367306.3513</v>
      </c>
      <c r="AH220" s="493">
        <f t="shared" si="4"/>
        <v>938417.3772</v>
      </c>
    </row>
    <row r="221">
      <c r="T221" s="494" t="s">
        <v>622</v>
      </c>
      <c r="AB221" s="489">
        <v>219.0</v>
      </c>
      <c r="AC221" s="490">
        <f t="shared" si="5"/>
        <v>1305723.728</v>
      </c>
      <c r="AD221" s="491">
        <f t="shared" si="1"/>
        <v>1500</v>
      </c>
      <c r="AE221" s="492">
        <f t="shared" si="2"/>
        <v>0.009063325885</v>
      </c>
      <c r="AF221" s="490">
        <f t="shared" si="3"/>
        <v>1319057.928</v>
      </c>
      <c r="AG221" s="493">
        <f t="shared" si="6"/>
        <v>368806.3513</v>
      </c>
      <c r="AH221" s="493">
        <f t="shared" si="4"/>
        <v>950251.5768</v>
      </c>
    </row>
    <row r="222">
      <c r="T222" s="494" t="s">
        <v>622</v>
      </c>
      <c r="AB222" s="489">
        <v>220.0</v>
      </c>
      <c r="AC222" s="490">
        <f t="shared" si="5"/>
        <v>1319057.928</v>
      </c>
      <c r="AD222" s="491">
        <f t="shared" si="1"/>
        <v>1500</v>
      </c>
      <c r="AE222" s="492">
        <f t="shared" si="2"/>
        <v>0.009063325885</v>
      </c>
      <c r="AF222" s="490">
        <f t="shared" si="3"/>
        <v>1332512.98</v>
      </c>
      <c r="AG222" s="493">
        <f t="shared" si="6"/>
        <v>370306.3513</v>
      </c>
      <c r="AH222" s="493">
        <f t="shared" si="4"/>
        <v>962206.6287</v>
      </c>
    </row>
    <row r="223">
      <c r="T223" s="494" t="s">
        <v>622</v>
      </c>
      <c r="AB223" s="489">
        <v>221.0</v>
      </c>
      <c r="AC223" s="490">
        <f t="shared" si="5"/>
        <v>1332512.98</v>
      </c>
      <c r="AD223" s="491">
        <f t="shared" si="1"/>
        <v>1500</v>
      </c>
      <c r="AE223" s="492">
        <f t="shared" si="2"/>
        <v>0.009063325885</v>
      </c>
      <c r="AF223" s="490">
        <f t="shared" si="3"/>
        <v>1346089.979</v>
      </c>
      <c r="AG223" s="493">
        <f t="shared" si="6"/>
        <v>371806.3513</v>
      </c>
      <c r="AH223" s="493">
        <f t="shared" si="4"/>
        <v>974283.6281</v>
      </c>
    </row>
    <row r="224">
      <c r="T224" s="494" t="s">
        <v>622</v>
      </c>
      <c r="AB224" s="489">
        <v>222.0</v>
      </c>
      <c r="AC224" s="490">
        <f t="shared" si="5"/>
        <v>1346089.979</v>
      </c>
      <c r="AD224" s="491">
        <f t="shared" si="1"/>
        <v>1500</v>
      </c>
      <c r="AE224" s="492">
        <f t="shared" si="2"/>
        <v>0.009063325885</v>
      </c>
      <c r="AF224" s="490">
        <f t="shared" si="3"/>
        <v>1359790.031</v>
      </c>
      <c r="AG224" s="493">
        <f t="shared" si="6"/>
        <v>373306.3513</v>
      </c>
      <c r="AH224" s="493">
        <f t="shared" si="4"/>
        <v>986483.6802</v>
      </c>
    </row>
    <row r="225">
      <c r="T225" s="494" t="s">
        <v>622</v>
      </c>
      <c r="AB225" s="489">
        <v>223.0</v>
      </c>
      <c r="AC225" s="490">
        <f t="shared" si="5"/>
        <v>1359790.031</v>
      </c>
      <c r="AD225" s="491">
        <f t="shared" si="1"/>
        <v>1500</v>
      </c>
      <c r="AE225" s="492">
        <f t="shared" si="2"/>
        <v>0.009063325885</v>
      </c>
      <c r="AF225" s="490">
        <f t="shared" si="3"/>
        <v>1373614.252</v>
      </c>
      <c r="AG225" s="493">
        <f t="shared" si="6"/>
        <v>374806.3513</v>
      </c>
      <c r="AH225" s="493">
        <f t="shared" si="4"/>
        <v>998807.9004</v>
      </c>
    </row>
    <row r="226">
      <c r="T226" s="494" t="s">
        <v>622</v>
      </c>
      <c r="AB226" s="489">
        <v>224.0</v>
      </c>
      <c r="AC226" s="490">
        <f t="shared" si="5"/>
        <v>1373614.252</v>
      </c>
      <c r="AD226" s="491">
        <f t="shared" si="1"/>
        <v>1500</v>
      </c>
      <c r="AE226" s="492">
        <f t="shared" si="2"/>
        <v>0.009063325885</v>
      </c>
      <c r="AF226" s="490">
        <f t="shared" si="3"/>
        <v>1387563.765</v>
      </c>
      <c r="AG226" s="493">
        <f t="shared" si="6"/>
        <v>376306.3513</v>
      </c>
      <c r="AH226" s="493">
        <f t="shared" si="4"/>
        <v>1011257.414</v>
      </c>
    </row>
    <row r="227">
      <c r="T227" s="494" t="s">
        <v>622</v>
      </c>
      <c r="AB227" s="489">
        <v>225.0</v>
      </c>
      <c r="AC227" s="490">
        <f t="shared" si="5"/>
        <v>1387563.765</v>
      </c>
      <c r="AD227" s="491">
        <f t="shared" si="1"/>
        <v>1500</v>
      </c>
      <c r="AE227" s="492">
        <f t="shared" si="2"/>
        <v>0.009063325885</v>
      </c>
      <c r="AF227" s="490">
        <f t="shared" si="3"/>
        <v>1401639.708</v>
      </c>
      <c r="AG227" s="493">
        <f t="shared" si="6"/>
        <v>377806.3513</v>
      </c>
      <c r="AH227" s="493">
        <f t="shared" si="4"/>
        <v>1023833.357</v>
      </c>
    </row>
    <row r="228">
      <c r="T228" s="494" t="s">
        <v>622</v>
      </c>
      <c r="AB228" s="489">
        <v>226.0</v>
      </c>
      <c r="AC228" s="490">
        <f t="shared" si="5"/>
        <v>1401639.708</v>
      </c>
      <c r="AD228" s="491">
        <f t="shared" si="1"/>
        <v>1500</v>
      </c>
      <c r="AE228" s="492">
        <f t="shared" si="2"/>
        <v>0.009063325885</v>
      </c>
      <c r="AF228" s="490">
        <f t="shared" si="3"/>
        <v>1415843.225</v>
      </c>
      <c r="AG228" s="493">
        <f t="shared" si="6"/>
        <v>379306.3513</v>
      </c>
      <c r="AH228" s="493">
        <f t="shared" si="4"/>
        <v>1036536.874</v>
      </c>
    </row>
    <row r="229">
      <c r="T229" s="494" t="s">
        <v>622</v>
      </c>
      <c r="AB229" s="489">
        <v>227.0</v>
      </c>
      <c r="AC229" s="490">
        <f t="shared" si="5"/>
        <v>1415843.225</v>
      </c>
      <c r="AD229" s="491">
        <f t="shared" si="1"/>
        <v>1500</v>
      </c>
      <c r="AE229" s="492">
        <f t="shared" si="2"/>
        <v>0.009063325885</v>
      </c>
      <c r="AF229" s="490">
        <f t="shared" si="3"/>
        <v>1430175.474</v>
      </c>
      <c r="AG229" s="493">
        <f t="shared" si="6"/>
        <v>380806.3513</v>
      </c>
      <c r="AH229" s="493">
        <f t="shared" si="4"/>
        <v>1049369.123</v>
      </c>
    </row>
    <row r="230">
      <c r="T230" s="494" t="s">
        <v>622</v>
      </c>
      <c r="AB230" s="502">
        <v>228.0</v>
      </c>
      <c r="AC230" s="503">
        <f t="shared" si="5"/>
        <v>1430175.474</v>
      </c>
      <c r="AD230" s="504">
        <f t="shared" si="1"/>
        <v>1500</v>
      </c>
      <c r="AE230" s="505">
        <f t="shared" si="2"/>
        <v>0.009063325885</v>
      </c>
      <c r="AF230" s="503">
        <f t="shared" si="3"/>
        <v>1444637.62</v>
      </c>
      <c r="AG230" s="506">
        <f t="shared" si="6"/>
        <v>382306.3513</v>
      </c>
      <c r="AH230" s="506">
        <f t="shared" si="4"/>
        <v>1062331.269</v>
      </c>
    </row>
    <row r="231">
      <c r="T231" s="494" t="s">
        <v>622</v>
      </c>
      <c r="AB231" s="489">
        <v>229.0</v>
      </c>
      <c r="AC231" s="490">
        <f t="shared" si="5"/>
        <v>1444637.62</v>
      </c>
      <c r="AD231" s="491">
        <f t="shared" si="1"/>
        <v>1500</v>
      </c>
      <c r="AE231" s="492">
        <f t="shared" si="2"/>
        <v>0.009063325885</v>
      </c>
      <c r="AF231" s="490">
        <f t="shared" si="3"/>
        <v>1459230.842</v>
      </c>
      <c r="AG231" s="493">
        <f t="shared" si="6"/>
        <v>383806.3513</v>
      </c>
      <c r="AH231" s="493">
        <f t="shared" si="4"/>
        <v>1075424.491</v>
      </c>
    </row>
    <row r="232">
      <c r="T232" s="494" t="s">
        <v>622</v>
      </c>
      <c r="AB232" s="489">
        <v>230.0</v>
      </c>
      <c r="AC232" s="490">
        <f t="shared" si="5"/>
        <v>1459230.842</v>
      </c>
      <c r="AD232" s="491">
        <f t="shared" si="1"/>
        <v>1500</v>
      </c>
      <c r="AE232" s="492">
        <f t="shared" si="2"/>
        <v>0.009063325885</v>
      </c>
      <c r="AF232" s="490">
        <f t="shared" si="3"/>
        <v>1473956.326</v>
      </c>
      <c r="AG232" s="493">
        <f t="shared" si="6"/>
        <v>385306.3513</v>
      </c>
      <c r="AH232" s="493">
        <f t="shared" si="4"/>
        <v>1088649.975</v>
      </c>
    </row>
    <row r="233">
      <c r="T233" s="494" t="s">
        <v>622</v>
      </c>
      <c r="AB233" s="489">
        <v>231.0</v>
      </c>
      <c r="AC233" s="490">
        <f t="shared" si="5"/>
        <v>1473956.326</v>
      </c>
      <c r="AD233" s="491">
        <f t="shared" si="1"/>
        <v>1500</v>
      </c>
      <c r="AE233" s="492">
        <f t="shared" si="2"/>
        <v>0.009063325885</v>
      </c>
      <c r="AF233" s="490">
        <f t="shared" si="3"/>
        <v>1488815.273</v>
      </c>
      <c r="AG233" s="493">
        <f t="shared" si="6"/>
        <v>386806.3513</v>
      </c>
      <c r="AH233" s="493">
        <f t="shared" si="4"/>
        <v>1102008.922</v>
      </c>
    </row>
    <row r="234">
      <c r="T234" s="494" t="s">
        <v>622</v>
      </c>
      <c r="AB234" s="489">
        <v>232.0</v>
      </c>
      <c r="AC234" s="490">
        <f t="shared" si="5"/>
        <v>1488815.273</v>
      </c>
      <c r="AD234" s="491">
        <f t="shared" si="1"/>
        <v>1500</v>
      </c>
      <c r="AE234" s="492">
        <f t="shared" si="2"/>
        <v>0.009063325885</v>
      </c>
      <c r="AF234" s="490">
        <f t="shared" si="3"/>
        <v>1503808.891</v>
      </c>
      <c r="AG234" s="493">
        <f t="shared" si="6"/>
        <v>388306.3513</v>
      </c>
      <c r="AH234" s="493">
        <f t="shared" si="4"/>
        <v>1115502.54</v>
      </c>
    </row>
    <row r="235">
      <c r="T235" s="494" t="s">
        <v>622</v>
      </c>
      <c r="AB235" s="489">
        <v>233.0</v>
      </c>
      <c r="AC235" s="490">
        <f t="shared" si="5"/>
        <v>1503808.891</v>
      </c>
      <c r="AD235" s="491">
        <f t="shared" si="1"/>
        <v>1500</v>
      </c>
      <c r="AE235" s="492">
        <f t="shared" si="2"/>
        <v>0.009063325885</v>
      </c>
      <c r="AF235" s="490">
        <f t="shared" si="3"/>
        <v>1518938.401</v>
      </c>
      <c r="AG235" s="493">
        <f t="shared" si="6"/>
        <v>389806.3513</v>
      </c>
      <c r="AH235" s="493">
        <f t="shared" si="4"/>
        <v>1129132.05</v>
      </c>
    </row>
    <row r="236">
      <c r="T236" s="494" t="s">
        <v>622</v>
      </c>
      <c r="AB236" s="489">
        <v>234.0</v>
      </c>
      <c r="AC236" s="490">
        <f t="shared" si="5"/>
        <v>1518938.401</v>
      </c>
      <c r="AD236" s="491">
        <f t="shared" si="1"/>
        <v>1500</v>
      </c>
      <c r="AE236" s="492">
        <f t="shared" si="2"/>
        <v>0.009063325885</v>
      </c>
      <c r="AF236" s="490">
        <f t="shared" si="3"/>
        <v>1534205.035</v>
      </c>
      <c r="AG236" s="493">
        <f t="shared" si="6"/>
        <v>391306.3513</v>
      </c>
      <c r="AH236" s="493">
        <f t="shared" si="4"/>
        <v>1142898.684</v>
      </c>
    </row>
    <row r="237">
      <c r="T237" s="494" t="s">
        <v>622</v>
      </c>
      <c r="AB237" s="489">
        <v>235.0</v>
      </c>
      <c r="AC237" s="490">
        <f t="shared" si="5"/>
        <v>1534205.035</v>
      </c>
      <c r="AD237" s="491">
        <f t="shared" si="1"/>
        <v>1500</v>
      </c>
      <c r="AE237" s="492">
        <f t="shared" si="2"/>
        <v>0.009063325885</v>
      </c>
      <c r="AF237" s="490">
        <f t="shared" si="3"/>
        <v>1549610.035</v>
      </c>
      <c r="AG237" s="493">
        <f t="shared" si="6"/>
        <v>392806.3513</v>
      </c>
      <c r="AH237" s="493">
        <f t="shared" si="4"/>
        <v>1156803.684</v>
      </c>
    </row>
    <row r="238">
      <c r="T238" s="494" t="s">
        <v>622</v>
      </c>
      <c r="AB238" s="489">
        <v>236.0</v>
      </c>
      <c r="AC238" s="490">
        <f t="shared" si="5"/>
        <v>1549610.035</v>
      </c>
      <c r="AD238" s="491">
        <f t="shared" si="1"/>
        <v>1500</v>
      </c>
      <c r="AE238" s="492">
        <f t="shared" si="2"/>
        <v>0.009063325885</v>
      </c>
      <c r="AF238" s="490">
        <f t="shared" si="3"/>
        <v>1565154.656</v>
      </c>
      <c r="AG238" s="493">
        <f t="shared" si="6"/>
        <v>394306.3513</v>
      </c>
      <c r="AH238" s="493">
        <f t="shared" si="4"/>
        <v>1170848.304</v>
      </c>
    </row>
    <row r="239">
      <c r="T239" s="494" t="s">
        <v>622</v>
      </c>
      <c r="AB239" s="489">
        <v>237.0</v>
      </c>
      <c r="AC239" s="490">
        <f t="shared" si="5"/>
        <v>1565154.656</v>
      </c>
      <c r="AD239" s="491">
        <f t="shared" si="1"/>
        <v>1500</v>
      </c>
      <c r="AE239" s="492">
        <f t="shared" si="2"/>
        <v>0.009063325885</v>
      </c>
      <c r="AF239" s="490">
        <f t="shared" si="3"/>
        <v>1580840.162</v>
      </c>
      <c r="AG239" s="493">
        <f t="shared" si="6"/>
        <v>395806.3513</v>
      </c>
      <c r="AH239" s="493">
        <f t="shared" si="4"/>
        <v>1185033.811</v>
      </c>
    </row>
    <row r="240">
      <c r="T240" s="494" t="s">
        <v>622</v>
      </c>
      <c r="AB240" s="489">
        <v>238.0</v>
      </c>
      <c r="AC240" s="490">
        <f t="shared" si="5"/>
        <v>1580840.162</v>
      </c>
      <c r="AD240" s="491">
        <f t="shared" si="1"/>
        <v>1500</v>
      </c>
      <c r="AE240" s="492">
        <f t="shared" si="2"/>
        <v>0.009063325885</v>
      </c>
      <c r="AF240" s="490">
        <f t="shared" si="3"/>
        <v>1596667.832</v>
      </c>
      <c r="AG240" s="493">
        <f t="shared" si="6"/>
        <v>397306.3513</v>
      </c>
      <c r="AH240" s="493">
        <f t="shared" si="4"/>
        <v>1199361.481</v>
      </c>
    </row>
    <row r="241">
      <c r="T241" s="494" t="s">
        <v>622</v>
      </c>
      <c r="AB241" s="489">
        <v>239.0</v>
      </c>
      <c r="AC241" s="490">
        <f t="shared" si="5"/>
        <v>1596667.832</v>
      </c>
      <c r="AD241" s="491">
        <f t="shared" si="1"/>
        <v>1500</v>
      </c>
      <c r="AE241" s="492">
        <f t="shared" si="2"/>
        <v>0.009063325885</v>
      </c>
      <c r="AF241" s="490">
        <f t="shared" si="3"/>
        <v>1612638.953</v>
      </c>
      <c r="AG241" s="493">
        <f t="shared" si="6"/>
        <v>398806.3513</v>
      </c>
      <c r="AH241" s="493">
        <f t="shared" si="4"/>
        <v>1213832.602</v>
      </c>
    </row>
    <row r="242">
      <c r="T242" s="494" t="s">
        <v>622</v>
      </c>
      <c r="AB242" s="502">
        <v>240.0</v>
      </c>
      <c r="AC242" s="503">
        <f t="shared" si="5"/>
        <v>1612638.953</v>
      </c>
      <c r="AD242" s="504">
        <f t="shared" si="1"/>
        <v>1500</v>
      </c>
      <c r="AE242" s="505">
        <f t="shared" si="2"/>
        <v>0.009063325885</v>
      </c>
      <c r="AF242" s="503">
        <f t="shared" si="3"/>
        <v>1628754.825</v>
      </c>
      <c r="AG242" s="506">
        <f t="shared" si="6"/>
        <v>400306.3513</v>
      </c>
      <c r="AH242" s="506">
        <f t="shared" si="4"/>
        <v>1228448.474</v>
      </c>
    </row>
    <row r="243">
      <c r="T243" s="494" t="s">
        <v>622</v>
      </c>
      <c r="AB243" s="489">
        <v>241.0</v>
      </c>
      <c r="AC243" s="490">
        <f t="shared" si="5"/>
        <v>1628754.825</v>
      </c>
      <c r="AD243" s="491">
        <f t="shared" si="1"/>
        <v>1500</v>
      </c>
      <c r="AE243" s="492">
        <f t="shared" si="2"/>
        <v>0.009063325885</v>
      </c>
      <c r="AF243" s="490">
        <f t="shared" si="3"/>
        <v>1645016.761</v>
      </c>
      <c r="AG243" s="493">
        <f t="shared" si="6"/>
        <v>401806.3513</v>
      </c>
      <c r="AH243" s="493">
        <f t="shared" si="4"/>
        <v>1243210.41</v>
      </c>
    </row>
    <row r="244">
      <c r="T244" s="488" t="s">
        <v>622</v>
      </c>
      <c r="U244" s="488"/>
      <c r="V244" s="488"/>
      <c r="W244" s="488"/>
      <c r="X244" s="488"/>
      <c r="Y244" s="488"/>
      <c r="Z244" s="488"/>
      <c r="AA244" s="488"/>
      <c r="AB244" s="489">
        <v>242.0</v>
      </c>
      <c r="AC244" s="490">
        <f t="shared" si="5"/>
        <v>1645016.761</v>
      </c>
      <c r="AD244" s="491">
        <f t="shared" si="1"/>
        <v>1500</v>
      </c>
      <c r="AE244" s="492">
        <f t="shared" si="2"/>
        <v>0.009063325885</v>
      </c>
      <c r="AF244" s="490">
        <f t="shared" si="3"/>
        <v>1661426.084</v>
      </c>
      <c r="AG244" s="493">
        <f t="shared" si="6"/>
        <v>403306.3513</v>
      </c>
      <c r="AH244" s="493">
        <f t="shared" si="4"/>
        <v>1258119.733</v>
      </c>
    </row>
    <row r="245">
      <c r="T245" s="488" t="s">
        <v>622</v>
      </c>
      <c r="U245" s="488"/>
      <c r="V245" s="488"/>
      <c r="W245" s="488"/>
      <c r="X245" s="488"/>
      <c r="Y245" s="488"/>
      <c r="Z245" s="488"/>
      <c r="AA245" s="488"/>
      <c r="AB245" s="489">
        <v>243.0</v>
      </c>
      <c r="AC245" s="490">
        <f t="shared" si="5"/>
        <v>1661426.084</v>
      </c>
      <c r="AD245" s="491">
        <f t="shared" si="1"/>
        <v>1500</v>
      </c>
      <c r="AE245" s="492">
        <f t="shared" si="2"/>
        <v>0.009063325885</v>
      </c>
      <c r="AF245" s="490">
        <f t="shared" si="3"/>
        <v>1677984.13</v>
      </c>
      <c r="AG245" s="493">
        <f t="shared" si="6"/>
        <v>404806.3513</v>
      </c>
      <c r="AH245" s="493">
        <f t="shared" si="4"/>
        <v>1273177.779</v>
      </c>
    </row>
    <row r="246">
      <c r="T246" s="488" t="s">
        <v>622</v>
      </c>
      <c r="U246" s="488"/>
      <c r="V246" s="488"/>
      <c r="W246" s="488"/>
      <c r="X246" s="488"/>
      <c r="Y246" s="488"/>
      <c r="Z246" s="488"/>
      <c r="AA246" s="488"/>
      <c r="AB246" s="489">
        <v>244.0</v>
      </c>
      <c r="AC246" s="490">
        <f t="shared" si="5"/>
        <v>1677984.13</v>
      </c>
      <c r="AD246" s="491">
        <f t="shared" si="1"/>
        <v>1500</v>
      </c>
      <c r="AE246" s="492">
        <f t="shared" si="2"/>
        <v>0.009063325885</v>
      </c>
      <c r="AF246" s="490">
        <f t="shared" si="3"/>
        <v>1694692.247</v>
      </c>
      <c r="AG246" s="493">
        <f t="shared" si="6"/>
        <v>406306.3513</v>
      </c>
      <c r="AH246" s="493">
        <f t="shared" si="4"/>
        <v>1288385.896</v>
      </c>
    </row>
    <row r="247">
      <c r="T247" s="488" t="s">
        <v>622</v>
      </c>
      <c r="U247" s="488"/>
      <c r="V247" s="488"/>
      <c r="W247" s="488"/>
      <c r="X247" s="488"/>
      <c r="Y247" s="488"/>
      <c r="Z247" s="488"/>
      <c r="AA247" s="488"/>
      <c r="AB247" s="489">
        <v>245.0</v>
      </c>
      <c r="AC247" s="490">
        <f t="shared" si="5"/>
        <v>1694692.247</v>
      </c>
      <c r="AD247" s="491">
        <f t="shared" si="1"/>
        <v>1500</v>
      </c>
      <c r="AE247" s="492">
        <f t="shared" si="2"/>
        <v>0.009063325885</v>
      </c>
      <c r="AF247" s="490">
        <f t="shared" si="3"/>
        <v>1711551.795</v>
      </c>
      <c r="AG247" s="493">
        <f t="shared" si="6"/>
        <v>407806.3513</v>
      </c>
      <c r="AH247" s="493">
        <f t="shared" si="4"/>
        <v>1303745.444</v>
      </c>
    </row>
    <row r="248">
      <c r="T248" s="488" t="s">
        <v>622</v>
      </c>
      <c r="U248" s="488"/>
      <c r="V248" s="488"/>
      <c r="W248" s="488"/>
      <c r="X248" s="488"/>
      <c r="Y248" s="488"/>
      <c r="Z248" s="488"/>
      <c r="AA248" s="488"/>
      <c r="AB248" s="489">
        <v>246.0</v>
      </c>
      <c r="AC248" s="490">
        <f t="shared" si="5"/>
        <v>1711551.795</v>
      </c>
      <c r="AD248" s="491">
        <f t="shared" si="1"/>
        <v>1500</v>
      </c>
      <c r="AE248" s="492">
        <f t="shared" si="2"/>
        <v>0.009063325885</v>
      </c>
      <c r="AF248" s="490">
        <f t="shared" si="3"/>
        <v>1728564.147</v>
      </c>
      <c r="AG248" s="493">
        <f t="shared" si="6"/>
        <v>409306.3513</v>
      </c>
      <c r="AH248" s="493">
        <f t="shared" si="4"/>
        <v>1319257.796</v>
      </c>
    </row>
    <row r="249">
      <c r="T249" s="488" t="s">
        <v>622</v>
      </c>
      <c r="U249" s="488"/>
      <c r="V249" s="488"/>
      <c r="W249" s="488"/>
      <c r="X249" s="488"/>
      <c r="Y249" s="488"/>
      <c r="Z249" s="488"/>
      <c r="AA249" s="488"/>
      <c r="AB249" s="489">
        <v>247.0</v>
      </c>
      <c r="AC249" s="490">
        <f t="shared" si="5"/>
        <v>1728564.147</v>
      </c>
      <c r="AD249" s="491">
        <f t="shared" si="1"/>
        <v>1500</v>
      </c>
      <c r="AE249" s="492">
        <f t="shared" si="2"/>
        <v>0.009063325885</v>
      </c>
      <c r="AF249" s="490">
        <f t="shared" si="3"/>
        <v>1745730.687</v>
      </c>
      <c r="AG249" s="493">
        <f t="shared" si="6"/>
        <v>410806.3513</v>
      </c>
      <c r="AH249" s="493">
        <f t="shared" si="4"/>
        <v>1334924.336</v>
      </c>
    </row>
    <row r="250">
      <c r="T250" s="488" t="s">
        <v>622</v>
      </c>
      <c r="U250" s="488"/>
      <c r="V250" s="488"/>
      <c r="W250" s="488"/>
      <c r="X250" s="488"/>
      <c r="Y250" s="488"/>
      <c r="Z250" s="488"/>
      <c r="AA250" s="488"/>
      <c r="AB250" s="489">
        <v>248.0</v>
      </c>
      <c r="AC250" s="490">
        <f t="shared" si="5"/>
        <v>1745730.687</v>
      </c>
      <c r="AD250" s="491">
        <f t="shared" si="1"/>
        <v>1500</v>
      </c>
      <c r="AE250" s="492">
        <f t="shared" si="2"/>
        <v>0.009063325885</v>
      </c>
      <c r="AF250" s="490">
        <f t="shared" si="3"/>
        <v>1763052.813</v>
      </c>
      <c r="AG250" s="493">
        <f t="shared" si="6"/>
        <v>412306.3513</v>
      </c>
      <c r="AH250" s="493">
        <f t="shared" si="4"/>
        <v>1350746.462</v>
      </c>
    </row>
    <row r="251">
      <c r="T251" s="488" t="s">
        <v>622</v>
      </c>
      <c r="U251" s="488"/>
      <c r="V251" s="488"/>
      <c r="W251" s="488"/>
      <c r="X251" s="488"/>
      <c r="Y251" s="488"/>
      <c r="Z251" s="488"/>
      <c r="AA251" s="488"/>
      <c r="AB251" s="489">
        <v>249.0</v>
      </c>
      <c r="AC251" s="490">
        <f t="shared" si="5"/>
        <v>1763052.813</v>
      </c>
      <c r="AD251" s="491">
        <f t="shared" si="1"/>
        <v>1500</v>
      </c>
      <c r="AE251" s="492">
        <f t="shared" si="2"/>
        <v>0.009063325885</v>
      </c>
      <c r="AF251" s="490">
        <f t="shared" si="3"/>
        <v>1780531.935</v>
      </c>
      <c r="AG251" s="493">
        <f t="shared" si="6"/>
        <v>413806.3513</v>
      </c>
      <c r="AH251" s="493">
        <f t="shared" si="4"/>
        <v>1366725.584</v>
      </c>
    </row>
    <row r="252">
      <c r="T252" s="488" t="s">
        <v>622</v>
      </c>
      <c r="U252" s="488"/>
      <c r="V252" s="488"/>
      <c r="W252" s="488"/>
      <c r="X252" s="488"/>
      <c r="Y252" s="488"/>
      <c r="Z252" s="488"/>
      <c r="AA252" s="488"/>
      <c r="AB252" s="489">
        <v>250.0</v>
      </c>
      <c r="AC252" s="490">
        <f t="shared" si="5"/>
        <v>1780531.935</v>
      </c>
      <c r="AD252" s="491">
        <f t="shared" si="1"/>
        <v>1500</v>
      </c>
      <c r="AE252" s="492">
        <f t="shared" si="2"/>
        <v>0.009063325885</v>
      </c>
      <c r="AF252" s="490">
        <f t="shared" si="3"/>
        <v>1798169.476</v>
      </c>
      <c r="AG252" s="493">
        <f t="shared" si="6"/>
        <v>415306.3513</v>
      </c>
      <c r="AH252" s="493">
        <f t="shared" si="4"/>
        <v>1382863.125</v>
      </c>
    </row>
    <row r="253">
      <c r="T253" s="488" t="s">
        <v>622</v>
      </c>
      <c r="U253" s="488"/>
      <c r="V253" s="488"/>
      <c r="W253" s="488"/>
      <c r="X253" s="488"/>
      <c r="Y253" s="488"/>
      <c r="Z253" s="488"/>
      <c r="AA253" s="488"/>
      <c r="AB253" s="489">
        <v>251.0</v>
      </c>
      <c r="AC253" s="490">
        <f t="shared" si="5"/>
        <v>1798169.476</v>
      </c>
      <c r="AD253" s="491">
        <f t="shared" si="1"/>
        <v>1500</v>
      </c>
      <c r="AE253" s="492">
        <f t="shared" si="2"/>
        <v>0.009063325885</v>
      </c>
      <c r="AF253" s="490">
        <f t="shared" si="3"/>
        <v>1815966.872</v>
      </c>
      <c r="AG253" s="493">
        <f t="shared" si="6"/>
        <v>416806.3513</v>
      </c>
      <c r="AH253" s="493">
        <f t="shared" si="4"/>
        <v>1399160.521</v>
      </c>
    </row>
    <row r="254">
      <c r="T254" s="488" t="s">
        <v>622</v>
      </c>
      <c r="U254" s="488"/>
      <c r="V254" s="488"/>
      <c r="W254" s="488"/>
      <c r="X254" s="488"/>
      <c r="Y254" s="488"/>
      <c r="Z254" s="488"/>
      <c r="AA254" s="488"/>
      <c r="AB254" s="502">
        <v>252.0</v>
      </c>
      <c r="AC254" s="503">
        <f t="shared" si="5"/>
        <v>1815966.872</v>
      </c>
      <c r="AD254" s="504">
        <f t="shared" si="1"/>
        <v>1500</v>
      </c>
      <c r="AE254" s="505">
        <f t="shared" si="2"/>
        <v>0.009063325885</v>
      </c>
      <c r="AF254" s="503">
        <f t="shared" si="3"/>
        <v>1833925.572</v>
      </c>
      <c r="AG254" s="506">
        <f t="shared" si="6"/>
        <v>418306.3513</v>
      </c>
      <c r="AH254" s="506">
        <f t="shared" si="4"/>
        <v>1415619.221</v>
      </c>
    </row>
    <row r="255">
      <c r="T255" s="488" t="s">
        <v>622</v>
      </c>
      <c r="U255" s="488"/>
      <c r="V255" s="488"/>
      <c r="W255" s="488"/>
      <c r="X255" s="488"/>
      <c r="Y255" s="488"/>
      <c r="Z255" s="488"/>
      <c r="AA255" s="488"/>
      <c r="AB255" s="489">
        <v>253.0</v>
      </c>
      <c r="AC255" s="490">
        <f t="shared" si="5"/>
        <v>1833925.572</v>
      </c>
      <c r="AD255" s="491">
        <f t="shared" si="1"/>
        <v>1500</v>
      </c>
      <c r="AE255" s="492">
        <f t="shared" si="2"/>
        <v>0.009063325885</v>
      </c>
      <c r="AF255" s="490">
        <f t="shared" si="3"/>
        <v>1852047.037</v>
      </c>
      <c r="AG255" s="493">
        <f t="shared" si="6"/>
        <v>419806.3513</v>
      </c>
      <c r="AH255" s="493">
        <f t="shared" si="4"/>
        <v>1432240.686</v>
      </c>
    </row>
    <row r="256">
      <c r="T256" s="488" t="s">
        <v>622</v>
      </c>
      <c r="U256" s="488"/>
      <c r="V256" s="488"/>
      <c r="W256" s="488"/>
      <c r="X256" s="488"/>
      <c r="Y256" s="488"/>
      <c r="Z256" s="488"/>
      <c r="AA256" s="488"/>
      <c r="AB256" s="489">
        <v>254.0</v>
      </c>
      <c r="AC256" s="490">
        <f t="shared" si="5"/>
        <v>1852047.037</v>
      </c>
      <c r="AD256" s="491">
        <f t="shared" si="1"/>
        <v>1500</v>
      </c>
      <c r="AE256" s="492">
        <f t="shared" si="2"/>
        <v>0.009063325885</v>
      </c>
      <c r="AF256" s="490">
        <f t="shared" si="3"/>
        <v>1870332.743</v>
      </c>
      <c r="AG256" s="493">
        <f t="shared" si="6"/>
        <v>421306.3513</v>
      </c>
      <c r="AH256" s="493">
        <f t="shared" si="4"/>
        <v>1449026.392</v>
      </c>
    </row>
    <row r="257">
      <c r="T257" s="488" t="s">
        <v>622</v>
      </c>
      <c r="U257" s="488"/>
      <c r="V257" s="488"/>
      <c r="W257" s="488"/>
      <c r="X257" s="488"/>
      <c r="Y257" s="488"/>
      <c r="Z257" s="488"/>
      <c r="AA257" s="488"/>
      <c r="AB257" s="489">
        <v>255.0</v>
      </c>
      <c r="AC257" s="490">
        <f t="shared" si="5"/>
        <v>1870332.743</v>
      </c>
      <c r="AD257" s="491">
        <f t="shared" si="1"/>
        <v>1500</v>
      </c>
      <c r="AE257" s="492">
        <f t="shared" si="2"/>
        <v>0.009063325885</v>
      </c>
      <c r="AF257" s="490">
        <f t="shared" si="3"/>
        <v>1888784.178</v>
      </c>
      <c r="AG257" s="493">
        <f t="shared" si="6"/>
        <v>422806.3513</v>
      </c>
      <c r="AH257" s="493">
        <f t="shared" si="4"/>
        <v>1465977.827</v>
      </c>
    </row>
    <row r="258">
      <c r="T258" s="488" t="s">
        <v>622</v>
      </c>
      <c r="U258" s="488"/>
      <c r="V258" s="488"/>
      <c r="W258" s="488"/>
      <c r="X258" s="488"/>
      <c r="Y258" s="488"/>
      <c r="Z258" s="488"/>
      <c r="AA258" s="488"/>
      <c r="AB258" s="489">
        <v>256.0</v>
      </c>
      <c r="AC258" s="490">
        <f t="shared" si="5"/>
        <v>1888784.178</v>
      </c>
      <c r="AD258" s="491">
        <f t="shared" si="1"/>
        <v>1500</v>
      </c>
      <c r="AE258" s="492">
        <f t="shared" si="2"/>
        <v>0.009063325885</v>
      </c>
      <c r="AF258" s="490">
        <f t="shared" si="3"/>
        <v>1907402.845</v>
      </c>
      <c r="AG258" s="493">
        <f t="shared" si="6"/>
        <v>424306.3513</v>
      </c>
      <c r="AH258" s="493">
        <f t="shared" si="4"/>
        <v>1483096.493</v>
      </c>
    </row>
    <row r="259">
      <c r="T259" s="488" t="s">
        <v>622</v>
      </c>
      <c r="U259" s="488"/>
      <c r="V259" s="488"/>
      <c r="W259" s="488"/>
      <c r="X259" s="488"/>
      <c r="Y259" s="488"/>
      <c r="Z259" s="488"/>
      <c r="AA259" s="488"/>
      <c r="AB259" s="489">
        <v>257.0</v>
      </c>
      <c r="AC259" s="490">
        <f t="shared" si="5"/>
        <v>1907402.845</v>
      </c>
      <c r="AD259" s="491">
        <f t="shared" si="1"/>
        <v>1500</v>
      </c>
      <c r="AE259" s="492">
        <f t="shared" si="2"/>
        <v>0.009063325885</v>
      </c>
      <c r="AF259" s="490">
        <f t="shared" si="3"/>
        <v>1926190.258</v>
      </c>
      <c r="AG259" s="493">
        <f t="shared" si="6"/>
        <v>425806.3513</v>
      </c>
      <c r="AH259" s="493">
        <f t="shared" si="4"/>
        <v>1500383.907</v>
      </c>
    </row>
    <row r="260">
      <c r="T260" s="488" t="s">
        <v>622</v>
      </c>
      <c r="U260" s="488"/>
      <c r="V260" s="488"/>
      <c r="W260" s="488"/>
      <c r="X260" s="488"/>
      <c r="Y260" s="488"/>
      <c r="Z260" s="488"/>
      <c r="AA260" s="488"/>
      <c r="AB260" s="489">
        <v>258.0</v>
      </c>
      <c r="AC260" s="490">
        <f t="shared" si="5"/>
        <v>1926190.258</v>
      </c>
      <c r="AD260" s="491">
        <f t="shared" si="1"/>
        <v>1500</v>
      </c>
      <c r="AE260" s="492">
        <f t="shared" si="2"/>
        <v>0.009063325885</v>
      </c>
      <c r="AF260" s="490">
        <f t="shared" si="3"/>
        <v>1945147.948</v>
      </c>
      <c r="AG260" s="493">
        <f t="shared" si="6"/>
        <v>427306.3513</v>
      </c>
      <c r="AH260" s="493">
        <f t="shared" si="4"/>
        <v>1517841.597</v>
      </c>
    </row>
    <row r="261">
      <c r="T261" s="488" t="s">
        <v>622</v>
      </c>
      <c r="U261" s="488"/>
      <c r="V261" s="488"/>
      <c r="W261" s="488"/>
      <c r="X261" s="488"/>
      <c r="Y261" s="488"/>
      <c r="Z261" s="488"/>
      <c r="AA261" s="488"/>
      <c r="AB261" s="489">
        <v>259.0</v>
      </c>
      <c r="AC261" s="490">
        <f t="shared" si="5"/>
        <v>1945147.948</v>
      </c>
      <c r="AD261" s="491">
        <f t="shared" si="1"/>
        <v>1500</v>
      </c>
      <c r="AE261" s="492">
        <f t="shared" si="2"/>
        <v>0.009063325885</v>
      </c>
      <c r="AF261" s="490">
        <f t="shared" si="3"/>
        <v>1964277.458</v>
      </c>
      <c r="AG261" s="493">
        <f t="shared" si="6"/>
        <v>428806.3513</v>
      </c>
      <c r="AH261" s="493">
        <f t="shared" si="4"/>
        <v>1535471.107</v>
      </c>
    </row>
    <row r="262">
      <c r="T262" s="488" t="s">
        <v>622</v>
      </c>
      <c r="U262" s="488"/>
      <c r="V262" s="488"/>
      <c r="W262" s="488"/>
      <c r="X262" s="488"/>
      <c r="Y262" s="488"/>
      <c r="Z262" s="488"/>
      <c r="AA262" s="488"/>
      <c r="AB262" s="489">
        <v>260.0</v>
      </c>
      <c r="AC262" s="490">
        <f t="shared" si="5"/>
        <v>1964277.458</v>
      </c>
      <c r="AD262" s="491">
        <f t="shared" si="1"/>
        <v>1500</v>
      </c>
      <c r="AE262" s="492">
        <f t="shared" si="2"/>
        <v>0.009063325885</v>
      </c>
      <c r="AF262" s="490">
        <f t="shared" si="3"/>
        <v>1983580.345</v>
      </c>
      <c r="AG262" s="493">
        <f t="shared" si="6"/>
        <v>430306.3513</v>
      </c>
      <c r="AH262" s="493">
        <f t="shared" si="4"/>
        <v>1553273.994</v>
      </c>
    </row>
    <row r="263">
      <c r="T263" s="488" t="s">
        <v>622</v>
      </c>
      <c r="U263" s="488"/>
      <c r="V263" s="488"/>
      <c r="W263" s="488"/>
      <c r="X263" s="488"/>
      <c r="Y263" s="488"/>
      <c r="Z263" s="488"/>
      <c r="AA263" s="488"/>
      <c r="AB263" s="489">
        <v>261.0</v>
      </c>
      <c r="AC263" s="490">
        <f t="shared" si="5"/>
        <v>1983580.345</v>
      </c>
      <c r="AD263" s="491">
        <f t="shared" si="1"/>
        <v>1500</v>
      </c>
      <c r="AE263" s="492">
        <f t="shared" si="2"/>
        <v>0.009063325885</v>
      </c>
      <c r="AF263" s="490">
        <f t="shared" si="3"/>
        <v>2003058.18</v>
      </c>
      <c r="AG263" s="493">
        <f t="shared" si="6"/>
        <v>431806.3513</v>
      </c>
      <c r="AH263" s="493">
        <f t="shared" si="4"/>
        <v>1571251.829</v>
      </c>
    </row>
    <row r="264">
      <c r="T264" s="488" t="s">
        <v>622</v>
      </c>
      <c r="U264" s="488"/>
      <c r="V264" s="488"/>
      <c r="W264" s="488"/>
      <c r="X264" s="488"/>
      <c r="Y264" s="488"/>
      <c r="Z264" s="488"/>
      <c r="AA264" s="488"/>
      <c r="AB264" s="489">
        <v>262.0</v>
      </c>
      <c r="AC264" s="490">
        <f t="shared" si="5"/>
        <v>2003058.18</v>
      </c>
      <c r="AD264" s="491">
        <f t="shared" si="1"/>
        <v>1500</v>
      </c>
      <c r="AE264" s="492">
        <f t="shared" si="2"/>
        <v>0.009063325885</v>
      </c>
      <c r="AF264" s="490">
        <f t="shared" si="3"/>
        <v>2022712.549</v>
      </c>
      <c r="AG264" s="493">
        <f t="shared" si="6"/>
        <v>433306.3513</v>
      </c>
      <c r="AH264" s="493">
        <f t="shared" si="4"/>
        <v>1589406.198</v>
      </c>
    </row>
    <row r="265">
      <c r="T265" s="488" t="s">
        <v>622</v>
      </c>
      <c r="U265" s="488"/>
      <c r="V265" s="488"/>
      <c r="W265" s="488"/>
      <c r="X265" s="488"/>
      <c r="Y265" s="488"/>
      <c r="Z265" s="488"/>
      <c r="AA265" s="488"/>
      <c r="AB265" s="489">
        <v>263.0</v>
      </c>
      <c r="AC265" s="490">
        <f t="shared" si="5"/>
        <v>2022712.549</v>
      </c>
      <c r="AD265" s="491">
        <f t="shared" si="1"/>
        <v>1500</v>
      </c>
      <c r="AE265" s="492">
        <f t="shared" si="2"/>
        <v>0.009063325885</v>
      </c>
      <c r="AF265" s="490">
        <f t="shared" si="3"/>
        <v>2042545.052</v>
      </c>
      <c r="AG265" s="493">
        <f t="shared" si="6"/>
        <v>434806.3513</v>
      </c>
      <c r="AH265" s="493">
        <f t="shared" si="4"/>
        <v>1607738.701</v>
      </c>
    </row>
    <row r="266">
      <c r="T266" s="488" t="s">
        <v>622</v>
      </c>
      <c r="U266" s="488"/>
      <c r="V266" s="488"/>
      <c r="W266" s="488"/>
      <c r="X266" s="488"/>
      <c r="Y266" s="488"/>
      <c r="Z266" s="488"/>
      <c r="AA266" s="488"/>
      <c r="AB266" s="502">
        <v>264.0</v>
      </c>
      <c r="AC266" s="503">
        <f t="shared" si="5"/>
        <v>2042545.052</v>
      </c>
      <c r="AD266" s="504">
        <f t="shared" si="1"/>
        <v>1500</v>
      </c>
      <c r="AE266" s="505">
        <f t="shared" si="2"/>
        <v>0.009063325885</v>
      </c>
      <c r="AF266" s="503">
        <f t="shared" si="3"/>
        <v>2062557.303</v>
      </c>
      <c r="AG266" s="506">
        <f t="shared" si="6"/>
        <v>436306.3513</v>
      </c>
      <c r="AH266" s="506">
        <f t="shared" si="4"/>
        <v>1626250.952</v>
      </c>
    </row>
    <row r="267">
      <c r="T267" s="488" t="s">
        <v>622</v>
      </c>
      <c r="U267" s="488"/>
      <c r="V267" s="488"/>
      <c r="W267" s="488"/>
      <c r="X267" s="488"/>
      <c r="Y267" s="488"/>
      <c r="Z267" s="488"/>
      <c r="AA267" s="488"/>
      <c r="AB267" s="489">
        <v>265.0</v>
      </c>
      <c r="AC267" s="490">
        <f t="shared" si="5"/>
        <v>2062557.303</v>
      </c>
      <c r="AD267" s="491">
        <f t="shared" si="1"/>
        <v>1500</v>
      </c>
      <c r="AE267" s="492">
        <f t="shared" si="2"/>
        <v>0.009063325885</v>
      </c>
      <c r="AF267" s="490">
        <f t="shared" si="3"/>
        <v>2082750.932</v>
      </c>
      <c r="AG267" s="493">
        <f t="shared" si="6"/>
        <v>437806.3513</v>
      </c>
      <c r="AH267" s="493">
        <f t="shared" si="4"/>
        <v>1644944.581</v>
      </c>
    </row>
    <row r="268">
      <c r="T268" s="488" t="s">
        <v>622</v>
      </c>
      <c r="U268" s="488"/>
      <c r="V268" s="488"/>
      <c r="W268" s="488"/>
      <c r="X268" s="488"/>
      <c r="Y268" s="488"/>
      <c r="Z268" s="488"/>
      <c r="AA268" s="488"/>
      <c r="AB268" s="489">
        <v>266.0</v>
      </c>
      <c r="AC268" s="490">
        <f t="shared" si="5"/>
        <v>2082750.932</v>
      </c>
      <c r="AD268" s="491">
        <f t="shared" si="1"/>
        <v>1500</v>
      </c>
      <c r="AE268" s="492">
        <f t="shared" si="2"/>
        <v>0.009063325885</v>
      </c>
      <c r="AF268" s="490">
        <f t="shared" si="3"/>
        <v>2103127.583</v>
      </c>
      <c r="AG268" s="493">
        <f t="shared" si="6"/>
        <v>439306.3513</v>
      </c>
      <c r="AH268" s="493">
        <f t="shared" si="4"/>
        <v>1663821.232</v>
      </c>
    </row>
    <row r="269">
      <c r="T269" s="488" t="s">
        <v>622</v>
      </c>
      <c r="U269" s="488"/>
      <c r="V269" s="488"/>
      <c r="W269" s="488"/>
      <c r="X269" s="488"/>
      <c r="Y269" s="488"/>
      <c r="Z269" s="488"/>
      <c r="AA269" s="488"/>
      <c r="AB269" s="489">
        <v>267.0</v>
      </c>
      <c r="AC269" s="490">
        <f t="shared" si="5"/>
        <v>2103127.583</v>
      </c>
      <c r="AD269" s="491">
        <f t="shared" si="1"/>
        <v>1500</v>
      </c>
      <c r="AE269" s="492">
        <f t="shared" si="2"/>
        <v>0.009063325885</v>
      </c>
      <c r="AF269" s="490">
        <f t="shared" si="3"/>
        <v>2123688.913</v>
      </c>
      <c r="AG269" s="493">
        <f t="shared" si="6"/>
        <v>440806.3513</v>
      </c>
      <c r="AH269" s="493">
        <f t="shared" si="4"/>
        <v>1682882.562</v>
      </c>
    </row>
    <row r="270">
      <c r="T270" s="488" t="s">
        <v>622</v>
      </c>
      <c r="U270" s="488"/>
      <c r="V270" s="488"/>
      <c r="W270" s="488"/>
      <c r="X270" s="488"/>
      <c r="Y270" s="488"/>
      <c r="Z270" s="488"/>
      <c r="AA270" s="488"/>
      <c r="AB270" s="489">
        <v>268.0</v>
      </c>
      <c r="AC270" s="490">
        <f t="shared" si="5"/>
        <v>2123688.913</v>
      </c>
      <c r="AD270" s="491">
        <f t="shared" si="1"/>
        <v>1500</v>
      </c>
      <c r="AE270" s="492">
        <f t="shared" si="2"/>
        <v>0.009063325885</v>
      </c>
      <c r="AF270" s="490">
        <f t="shared" si="3"/>
        <v>2144436.598</v>
      </c>
      <c r="AG270" s="493">
        <f t="shared" si="6"/>
        <v>442306.3513</v>
      </c>
      <c r="AH270" s="493">
        <f t="shared" si="4"/>
        <v>1702130.247</v>
      </c>
    </row>
    <row r="271">
      <c r="T271" s="488" t="s">
        <v>622</v>
      </c>
      <c r="U271" s="488"/>
      <c r="V271" s="488"/>
      <c r="W271" s="488"/>
      <c r="X271" s="488"/>
      <c r="Y271" s="488"/>
      <c r="Z271" s="488"/>
      <c r="AA271" s="488"/>
      <c r="AB271" s="489">
        <v>269.0</v>
      </c>
      <c r="AC271" s="490">
        <f t="shared" si="5"/>
        <v>2144436.598</v>
      </c>
      <c r="AD271" s="491">
        <f t="shared" si="1"/>
        <v>1500</v>
      </c>
      <c r="AE271" s="492">
        <f t="shared" si="2"/>
        <v>0.009063325885</v>
      </c>
      <c r="AF271" s="490">
        <f t="shared" si="3"/>
        <v>2165372.326</v>
      </c>
      <c r="AG271" s="493">
        <f t="shared" si="6"/>
        <v>443806.3513</v>
      </c>
      <c r="AH271" s="493">
        <f t="shared" si="4"/>
        <v>1721565.975</v>
      </c>
    </row>
    <row r="272">
      <c r="T272" s="488" t="s">
        <v>622</v>
      </c>
      <c r="U272" s="488"/>
      <c r="V272" s="488"/>
      <c r="W272" s="488"/>
      <c r="X272" s="488"/>
      <c r="Y272" s="488"/>
      <c r="Z272" s="488"/>
      <c r="AA272" s="488"/>
      <c r="AB272" s="489">
        <v>270.0</v>
      </c>
      <c r="AC272" s="490">
        <f t="shared" si="5"/>
        <v>2165372.326</v>
      </c>
      <c r="AD272" s="491">
        <f t="shared" si="1"/>
        <v>1500</v>
      </c>
      <c r="AE272" s="492">
        <f t="shared" si="2"/>
        <v>0.009063325885</v>
      </c>
      <c r="AF272" s="490">
        <f t="shared" si="3"/>
        <v>2186497.801</v>
      </c>
      <c r="AG272" s="493">
        <f t="shared" si="6"/>
        <v>445306.3513</v>
      </c>
      <c r="AH272" s="493">
        <f t="shared" si="4"/>
        <v>1741191.45</v>
      </c>
    </row>
    <row r="273">
      <c r="T273" s="488" t="s">
        <v>622</v>
      </c>
      <c r="U273" s="488"/>
      <c r="V273" s="488"/>
      <c r="W273" s="488"/>
      <c r="X273" s="488"/>
      <c r="Y273" s="488"/>
      <c r="Z273" s="488"/>
      <c r="AA273" s="488"/>
      <c r="AB273" s="489">
        <v>271.0</v>
      </c>
      <c r="AC273" s="490">
        <f t="shared" si="5"/>
        <v>2186497.801</v>
      </c>
      <c r="AD273" s="491">
        <f t="shared" si="1"/>
        <v>1500</v>
      </c>
      <c r="AE273" s="492">
        <f t="shared" si="2"/>
        <v>0.009063325885</v>
      </c>
      <c r="AF273" s="490">
        <f t="shared" si="3"/>
        <v>2207814.743</v>
      </c>
      <c r="AG273" s="493">
        <f t="shared" si="6"/>
        <v>446806.3513</v>
      </c>
      <c r="AH273" s="493">
        <f t="shared" si="4"/>
        <v>1761008.392</v>
      </c>
    </row>
    <row r="274">
      <c r="T274" s="488" t="s">
        <v>622</v>
      </c>
      <c r="U274" s="488"/>
      <c r="V274" s="488"/>
      <c r="W274" s="488"/>
      <c r="X274" s="488"/>
      <c r="Y274" s="488"/>
      <c r="Z274" s="488"/>
      <c r="AA274" s="488"/>
      <c r="AB274" s="489">
        <v>272.0</v>
      </c>
      <c r="AC274" s="490">
        <f t="shared" si="5"/>
        <v>2207814.743</v>
      </c>
      <c r="AD274" s="491">
        <f t="shared" si="1"/>
        <v>1500</v>
      </c>
      <c r="AE274" s="492">
        <f t="shared" si="2"/>
        <v>0.009063325885</v>
      </c>
      <c r="AF274" s="490">
        <f t="shared" si="3"/>
        <v>2229324.888</v>
      </c>
      <c r="AG274" s="493">
        <f t="shared" si="6"/>
        <v>448306.3513</v>
      </c>
      <c r="AH274" s="493">
        <f t="shared" si="4"/>
        <v>1781018.536</v>
      </c>
    </row>
    <row r="275">
      <c r="T275" s="488" t="s">
        <v>622</v>
      </c>
      <c r="U275" s="488"/>
      <c r="V275" s="488"/>
      <c r="W275" s="488"/>
      <c r="X275" s="488"/>
      <c r="Y275" s="488"/>
      <c r="Z275" s="488"/>
      <c r="AA275" s="488"/>
      <c r="AB275" s="489">
        <v>273.0</v>
      </c>
      <c r="AC275" s="490">
        <f t="shared" si="5"/>
        <v>2229324.888</v>
      </c>
      <c r="AD275" s="491">
        <f t="shared" si="1"/>
        <v>1500</v>
      </c>
      <c r="AE275" s="492">
        <f t="shared" si="2"/>
        <v>0.009063325885</v>
      </c>
      <c r="AF275" s="490">
        <f t="shared" si="3"/>
        <v>2251029.985</v>
      </c>
      <c r="AG275" s="493">
        <f t="shared" si="6"/>
        <v>449806.3513</v>
      </c>
      <c r="AH275" s="493">
        <f t="shared" si="4"/>
        <v>1801223.634</v>
      </c>
    </row>
    <row r="276">
      <c r="T276" s="488" t="s">
        <v>622</v>
      </c>
      <c r="U276" s="488"/>
      <c r="V276" s="488"/>
      <c r="W276" s="488"/>
      <c r="X276" s="488"/>
      <c r="Y276" s="488"/>
      <c r="Z276" s="488"/>
      <c r="AA276" s="488"/>
      <c r="AB276" s="489">
        <v>274.0</v>
      </c>
      <c r="AC276" s="490">
        <f t="shared" si="5"/>
        <v>2251029.985</v>
      </c>
      <c r="AD276" s="491">
        <f t="shared" si="1"/>
        <v>1500</v>
      </c>
      <c r="AE276" s="492">
        <f t="shared" si="2"/>
        <v>0.009063325885</v>
      </c>
      <c r="AF276" s="490">
        <f t="shared" si="3"/>
        <v>2272931.804</v>
      </c>
      <c r="AG276" s="493">
        <f t="shared" si="6"/>
        <v>451306.3513</v>
      </c>
      <c r="AH276" s="493">
        <f t="shared" si="4"/>
        <v>1821625.453</v>
      </c>
    </row>
    <row r="277">
      <c r="T277" s="488" t="s">
        <v>622</v>
      </c>
      <c r="U277" s="488"/>
      <c r="V277" s="488"/>
      <c r="W277" s="488"/>
      <c r="X277" s="488"/>
      <c r="Y277" s="488"/>
      <c r="Z277" s="488"/>
      <c r="AA277" s="488"/>
      <c r="AB277" s="489">
        <v>275.0</v>
      </c>
      <c r="AC277" s="490">
        <f t="shared" si="5"/>
        <v>2272931.804</v>
      </c>
      <c r="AD277" s="491">
        <f t="shared" si="1"/>
        <v>1500</v>
      </c>
      <c r="AE277" s="492">
        <f t="shared" si="2"/>
        <v>0.009063325885</v>
      </c>
      <c r="AF277" s="490">
        <f t="shared" si="3"/>
        <v>2295032.125</v>
      </c>
      <c r="AG277" s="493">
        <f t="shared" si="6"/>
        <v>452806.3513</v>
      </c>
      <c r="AH277" s="493">
        <f t="shared" si="4"/>
        <v>1842225.774</v>
      </c>
    </row>
    <row r="278">
      <c r="T278" s="488" t="s">
        <v>622</v>
      </c>
      <c r="U278" s="488"/>
      <c r="V278" s="488"/>
      <c r="W278" s="488"/>
      <c r="X278" s="488"/>
      <c r="Y278" s="488"/>
      <c r="Z278" s="488"/>
      <c r="AA278" s="488"/>
      <c r="AB278" s="489">
        <v>276.0</v>
      </c>
      <c r="AC278" s="490">
        <f t="shared" si="5"/>
        <v>2295032.125</v>
      </c>
      <c r="AD278" s="491">
        <f t="shared" si="1"/>
        <v>1500</v>
      </c>
      <c r="AE278" s="492">
        <f t="shared" si="2"/>
        <v>0.009063325885</v>
      </c>
      <c r="AF278" s="490">
        <f t="shared" si="3"/>
        <v>2317332.75</v>
      </c>
      <c r="AG278" s="493">
        <f t="shared" si="6"/>
        <v>454306.3513</v>
      </c>
      <c r="AH278" s="493">
        <f t="shared" si="4"/>
        <v>1863026.398</v>
      </c>
    </row>
    <row r="279">
      <c r="T279" s="488" t="s">
        <v>622</v>
      </c>
      <c r="U279" s="488"/>
      <c r="V279" s="488"/>
      <c r="W279" s="488"/>
      <c r="X279" s="488"/>
      <c r="Y279" s="488"/>
      <c r="Z279" s="488"/>
      <c r="AA279" s="488"/>
      <c r="AB279" s="489">
        <v>277.0</v>
      </c>
      <c r="AC279" s="490">
        <f t="shared" si="5"/>
        <v>2317332.75</v>
      </c>
      <c r="AD279" s="491">
        <f t="shared" si="1"/>
        <v>1500</v>
      </c>
      <c r="AE279" s="492">
        <f t="shared" si="2"/>
        <v>0.009063325885</v>
      </c>
      <c r="AF279" s="490">
        <f t="shared" si="3"/>
        <v>2339835.491</v>
      </c>
      <c r="AG279" s="493">
        <f t="shared" si="6"/>
        <v>455806.3513</v>
      </c>
      <c r="AH279" s="493">
        <f t="shared" si="4"/>
        <v>1884029.14</v>
      </c>
    </row>
    <row r="280">
      <c r="T280" s="488" t="s">
        <v>622</v>
      </c>
      <c r="U280" s="488"/>
      <c r="V280" s="488"/>
      <c r="W280" s="488"/>
      <c r="X280" s="488"/>
      <c r="Y280" s="488"/>
      <c r="Z280" s="488"/>
      <c r="AA280" s="488"/>
      <c r="AB280" s="502">
        <v>278.0</v>
      </c>
      <c r="AC280" s="503">
        <f t="shared" si="5"/>
        <v>2339835.491</v>
      </c>
      <c r="AD280" s="504">
        <f t="shared" si="1"/>
        <v>1500</v>
      </c>
      <c r="AE280" s="505">
        <f t="shared" si="2"/>
        <v>0.009063325885</v>
      </c>
      <c r="AF280" s="503">
        <f t="shared" si="3"/>
        <v>2362542.183</v>
      </c>
      <c r="AG280" s="506">
        <f t="shared" si="6"/>
        <v>457306.3513</v>
      </c>
      <c r="AH280" s="506">
        <f t="shared" si="4"/>
        <v>1905235.832</v>
      </c>
    </row>
    <row r="281">
      <c r="T281" s="488" t="s">
        <v>622</v>
      </c>
      <c r="U281" s="488"/>
      <c r="V281" s="488"/>
      <c r="W281" s="488"/>
      <c r="X281" s="488"/>
      <c r="Y281" s="488"/>
      <c r="Z281" s="488"/>
      <c r="AA281" s="488"/>
      <c r="AB281" s="489">
        <v>279.0</v>
      </c>
      <c r="AC281" s="490">
        <f t="shared" si="5"/>
        <v>2362542.183</v>
      </c>
      <c r="AD281" s="491">
        <f t="shared" si="1"/>
        <v>1500</v>
      </c>
      <c r="AE281" s="492">
        <f t="shared" si="2"/>
        <v>0.009063325885</v>
      </c>
      <c r="AF281" s="490">
        <f t="shared" si="3"/>
        <v>2385454.673</v>
      </c>
      <c r="AG281" s="493">
        <f t="shared" si="6"/>
        <v>458806.3513</v>
      </c>
      <c r="AH281" s="493">
        <f t="shared" si="4"/>
        <v>1926648.321</v>
      </c>
    </row>
    <row r="282">
      <c r="T282" s="488" t="s">
        <v>622</v>
      </c>
      <c r="U282" s="488"/>
      <c r="V282" s="488"/>
      <c r="W282" s="488"/>
      <c r="X282" s="488"/>
      <c r="Y282" s="488"/>
      <c r="Z282" s="488"/>
      <c r="AA282" s="488"/>
      <c r="AB282" s="489">
        <v>280.0</v>
      </c>
      <c r="AC282" s="490">
        <f t="shared" si="5"/>
        <v>2385454.673</v>
      </c>
      <c r="AD282" s="491">
        <f t="shared" si="1"/>
        <v>1500</v>
      </c>
      <c r="AE282" s="492">
        <f t="shared" si="2"/>
        <v>0.009063325885</v>
      </c>
      <c r="AF282" s="490">
        <f t="shared" si="3"/>
        <v>2408574.826</v>
      </c>
      <c r="AG282" s="493">
        <f t="shared" si="6"/>
        <v>460306.3513</v>
      </c>
      <c r="AH282" s="493">
        <f t="shared" si="4"/>
        <v>1948268.475</v>
      </c>
    </row>
    <row r="283">
      <c r="T283" s="488" t="s">
        <v>622</v>
      </c>
      <c r="U283" s="488"/>
      <c r="V283" s="488"/>
      <c r="W283" s="488"/>
      <c r="X283" s="488"/>
      <c r="Y283" s="488"/>
      <c r="Z283" s="488"/>
      <c r="AA283" s="488"/>
      <c r="AB283" s="489">
        <v>281.0</v>
      </c>
      <c r="AC283" s="490">
        <f t="shared" si="5"/>
        <v>2408574.826</v>
      </c>
      <c r="AD283" s="491">
        <f t="shared" si="1"/>
        <v>1500</v>
      </c>
      <c r="AE283" s="492">
        <f t="shared" si="2"/>
        <v>0.009063325885</v>
      </c>
      <c r="AF283" s="490">
        <f t="shared" si="3"/>
        <v>2431904.524</v>
      </c>
      <c r="AG283" s="493">
        <f t="shared" si="6"/>
        <v>461806.3513</v>
      </c>
      <c r="AH283" s="493">
        <f t="shared" si="4"/>
        <v>1970098.173</v>
      </c>
    </row>
    <row r="284">
      <c r="T284" s="488" t="s">
        <v>622</v>
      </c>
      <c r="U284" s="488"/>
      <c r="V284" s="488"/>
      <c r="W284" s="488"/>
      <c r="X284" s="488"/>
      <c r="Y284" s="488"/>
      <c r="Z284" s="488"/>
      <c r="AA284" s="488"/>
      <c r="AB284" s="489">
        <v>282.0</v>
      </c>
      <c r="AC284" s="490">
        <f t="shared" si="5"/>
        <v>2431904.524</v>
      </c>
      <c r="AD284" s="491">
        <f t="shared" si="1"/>
        <v>1500</v>
      </c>
      <c r="AE284" s="492">
        <f t="shared" si="2"/>
        <v>0.009063325885</v>
      </c>
      <c r="AF284" s="490">
        <f t="shared" si="3"/>
        <v>2455445.668</v>
      </c>
      <c r="AG284" s="493">
        <f t="shared" si="6"/>
        <v>463306.3513</v>
      </c>
      <c r="AH284" s="493">
        <f t="shared" si="4"/>
        <v>1992139.316</v>
      </c>
    </row>
    <row r="285">
      <c r="T285" s="488" t="s">
        <v>622</v>
      </c>
      <c r="U285" s="488"/>
      <c r="V285" s="488"/>
      <c r="W285" s="488"/>
      <c r="X285" s="488"/>
      <c r="Y285" s="488"/>
      <c r="Z285" s="488"/>
      <c r="AA285" s="488"/>
      <c r="AB285" s="489">
        <v>283.0</v>
      </c>
      <c r="AC285" s="490">
        <f t="shared" si="5"/>
        <v>2455445.668</v>
      </c>
      <c r="AD285" s="491">
        <f t="shared" si="1"/>
        <v>1500</v>
      </c>
      <c r="AE285" s="492">
        <f t="shared" si="2"/>
        <v>0.009063325885</v>
      </c>
      <c r="AF285" s="490">
        <f t="shared" si="3"/>
        <v>2479200.172</v>
      </c>
      <c r="AG285" s="493">
        <f t="shared" si="6"/>
        <v>464806.3513</v>
      </c>
      <c r="AH285" s="493">
        <f t="shared" si="4"/>
        <v>2014393.821</v>
      </c>
    </row>
    <row r="286">
      <c r="T286" s="488" t="s">
        <v>622</v>
      </c>
      <c r="U286" s="488"/>
      <c r="V286" s="488"/>
      <c r="W286" s="488"/>
      <c r="X286" s="488"/>
      <c r="Y286" s="488"/>
      <c r="Z286" s="488"/>
      <c r="AA286" s="488"/>
      <c r="AB286" s="489">
        <v>284.0</v>
      </c>
      <c r="AC286" s="490">
        <f t="shared" si="5"/>
        <v>2479200.172</v>
      </c>
      <c r="AD286" s="491">
        <f t="shared" si="1"/>
        <v>1500</v>
      </c>
      <c r="AE286" s="492">
        <f t="shared" si="2"/>
        <v>0.009063325885</v>
      </c>
      <c r="AF286" s="490">
        <f t="shared" si="3"/>
        <v>2503169.971</v>
      </c>
      <c r="AG286" s="493">
        <f t="shared" si="6"/>
        <v>466306.3513</v>
      </c>
      <c r="AH286" s="493">
        <f t="shared" si="4"/>
        <v>2036863.62</v>
      </c>
    </row>
    <row r="287">
      <c r="T287" s="488" t="s">
        <v>622</v>
      </c>
      <c r="U287" s="488"/>
      <c r="V287" s="488"/>
      <c r="W287" s="488"/>
      <c r="X287" s="488"/>
      <c r="Y287" s="488"/>
      <c r="Z287" s="488"/>
      <c r="AA287" s="488"/>
      <c r="AB287" s="489">
        <v>285.0</v>
      </c>
      <c r="AC287" s="490">
        <f t="shared" si="5"/>
        <v>2503169.971</v>
      </c>
      <c r="AD287" s="491">
        <f t="shared" si="1"/>
        <v>1500</v>
      </c>
      <c r="AE287" s="492">
        <f t="shared" si="2"/>
        <v>0.009063325885</v>
      </c>
      <c r="AF287" s="490">
        <f t="shared" si="3"/>
        <v>2527357.016</v>
      </c>
      <c r="AG287" s="493">
        <f t="shared" si="6"/>
        <v>467806.3513</v>
      </c>
      <c r="AH287" s="493">
        <f t="shared" si="4"/>
        <v>2059550.665</v>
      </c>
    </row>
    <row r="288">
      <c r="T288" s="488" t="s">
        <v>622</v>
      </c>
      <c r="U288" s="488"/>
      <c r="V288" s="488"/>
      <c r="W288" s="488"/>
      <c r="X288" s="488"/>
      <c r="Y288" s="488"/>
      <c r="Z288" s="488"/>
      <c r="AA288" s="488"/>
      <c r="AB288" s="489">
        <v>286.0</v>
      </c>
      <c r="AC288" s="490">
        <f t="shared" si="5"/>
        <v>2527357.016</v>
      </c>
      <c r="AD288" s="491">
        <f t="shared" si="1"/>
        <v>1500</v>
      </c>
      <c r="AE288" s="492">
        <f t="shared" si="2"/>
        <v>0.009063325885</v>
      </c>
      <c r="AF288" s="490">
        <f t="shared" si="3"/>
        <v>2551763.276</v>
      </c>
      <c r="AG288" s="493">
        <f t="shared" si="6"/>
        <v>469306.3513</v>
      </c>
      <c r="AH288" s="493">
        <f t="shared" si="4"/>
        <v>2082456.925</v>
      </c>
    </row>
    <row r="289">
      <c r="T289" s="494" t="s">
        <v>622</v>
      </c>
      <c r="AB289" s="489">
        <v>287.0</v>
      </c>
      <c r="AC289" s="490">
        <f t="shared" si="5"/>
        <v>2551763.276</v>
      </c>
      <c r="AD289" s="491">
        <f t="shared" si="1"/>
        <v>1500</v>
      </c>
      <c r="AE289" s="492">
        <f t="shared" si="2"/>
        <v>0.009063325885</v>
      </c>
      <c r="AF289" s="490">
        <f t="shared" si="3"/>
        <v>2576390.739</v>
      </c>
      <c r="AG289" s="493">
        <f t="shared" si="6"/>
        <v>470806.3513</v>
      </c>
      <c r="AH289" s="493">
        <f t="shared" si="4"/>
        <v>2105584.387</v>
      </c>
    </row>
    <row r="290">
      <c r="T290" s="494" t="s">
        <v>622</v>
      </c>
      <c r="AB290" s="489">
        <v>288.0</v>
      </c>
      <c r="AC290" s="490">
        <f t="shared" si="5"/>
        <v>2576390.739</v>
      </c>
      <c r="AD290" s="491">
        <f t="shared" si="1"/>
        <v>1500</v>
      </c>
      <c r="AE290" s="492">
        <f t="shared" si="2"/>
        <v>0.009063325885</v>
      </c>
      <c r="AF290" s="490">
        <f t="shared" si="3"/>
        <v>2601241.407</v>
      </c>
      <c r="AG290" s="493">
        <f t="shared" si="6"/>
        <v>472306.3513</v>
      </c>
      <c r="AH290" s="493">
        <f t="shared" si="4"/>
        <v>2128935.056</v>
      </c>
    </row>
    <row r="291">
      <c r="T291" s="494" t="s">
        <v>622</v>
      </c>
      <c r="AB291" s="489">
        <v>289.0</v>
      </c>
      <c r="AC291" s="490">
        <f t="shared" si="5"/>
        <v>2601241.407</v>
      </c>
      <c r="AD291" s="491">
        <f t="shared" si="1"/>
        <v>1500</v>
      </c>
      <c r="AE291" s="492">
        <f t="shared" si="2"/>
        <v>0.009063325885</v>
      </c>
      <c r="AF291" s="490">
        <f t="shared" si="3"/>
        <v>2626317.306</v>
      </c>
      <c r="AG291" s="493">
        <f t="shared" si="6"/>
        <v>473806.3513</v>
      </c>
      <c r="AH291" s="493">
        <f t="shared" si="4"/>
        <v>2152510.955</v>
      </c>
    </row>
    <row r="292">
      <c r="T292" s="494" t="s">
        <v>622</v>
      </c>
      <c r="AB292" s="489">
        <v>290.0</v>
      </c>
      <c r="AC292" s="490">
        <f t="shared" si="5"/>
        <v>2626317.306</v>
      </c>
      <c r="AD292" s="491">
        <f t="shared" si="1"/>
        <v>1500</v>
      </c>
      <c r="AE292" s="492">
        <f t="shared" si="2"/>
        <v>0.009063325885</v>
      </c>
      <c r="AF292" s="490">
        <f t="shared" si="3"/>
        <v>2651620.476</v>
      </c>
      <c r="AG292" s="493">
        <f t="shared" si="6"/>
        <v>475306.3513</v>
      </c>
      <c r="AH292" s="493">
        <f t="shared" si="4"/>
        <v>2176314.124</v>
      </c>
    </row>
    <row r="293">
      <c r="T293" s="494" t="s">
        <v>622</v>
      </c>
      <c r="AB293" s="489">
        <v>291.0</v>
      </c>
      <c r="AC293" s="490">
        <f t="shared" si="5"/>
        <v>2651620.476</v>
      </c>
      <c r="AD293" s="491">
        <f t="shared" si="1"/>
        <v>1500</v>
      </c>
      <c r="AE293" s="492">
        <f t="shared" si="2"/>
        <v>0.009063325885</v>
      </c>
      <c r="AF293" s="490">
        <f t="shared" si="3"/>
        <v>2677152.976</v>
      </c>
      <c r="AG293" s="493">
        <f t="shared" si="6"/>
        <v>476806.3513</v>
      </c>
      <c r="AH293" s="493">
        <f t="shared" si="4"/>
        <v>2200346.625</v>
      </c>
    </row>
    <row r="294">
      <c r="T294" s="494" t="s">
        <v>622</v>
      </c>
      <c r="AB294" s="489">
        <v>292.0</v>
      </c>
      <c r="AC294" s="490">
        <f t="shared" si="5"/>
        <v>2677152.976</v>
      </c>
      <c r="AD294" s="491">
        <f t="shared" si="1"/>
        <v>1500</v>
      </c>
      <c r="AE294" s="492">
        <f t="shared" si="2"/>
        <v>0.009063325885</v>
      </c>
      <c r="AF294" s="490">
        <f t="shared" si="3"/>
        <v>2702916.886</v>
      </c>
      <c r="AG294" s="493">
        <f t="shared" si="6"/>
        <v>478306.3513</v>
      </c>
      <c r="AH294" s="493">
        <f t="shared" si="4"/>
        <v>2224610.535</v>
      </c>
    </row>
    <row r="295">
      <c r="T295" s="494" t="s">
        <v>622</v>
      </c>
      <c r="AB295" s="489">
        <v>293.0</v>
      </c>
      <c r="AC295" s="490">
        <f t="shared" si="5"/>
        <v>2702916.886</v>
      </c>
      <c r="AD295" s="491">
        <f t="shared" si="1"/>
        <v>1500</v>
      </c>
      <c r="AE295" s="492">
        <f t="shared" si="2"/>
        <v>0.009063325885</v>
      </c>
      <c r="AF295" s="490">
        <f t="shared" si="3"/>
        <v>2728914.303</v>
      </c>
      <c r="AG295" s="493">
        <f t="shared" si="6"/>
        <v>479806.3513</v>
      </c>
      <c r="AH295" s="493">
        <f t="shared" si="4"/>
        <v>2249107.951</v>
      </c>
    </row>
    <row r="296">
      <c r="T296" s="494" t="s">
        <v>622</v>
      </c>
      <c r="AB296" s="489">
        <v>294.0</v>
      </c>
      <c r="AC296" s="490">
        <f t="shared" si="5"/>
        <v>2728914.303</v>
      </c>
      <c r="AD296" s="491">
        <f t="shared" si="1"/>
        <v>1500</v>
      </c>
      <c r="AE296" s="492">
        <f t="shared" si="2"/>
        <v>0.009063325885</v>
      </c>
      <c r="AF296" s="490">
        <f t="shared" si="3"/>
        <v>2755147.342</v>
      </c>
      <c r="AG296" s="493">
        <f t="shared" si="6"/>
        <v>481306.3513</v>
      </c>
      <c r="AH296" s="493">
        <f t="shared" si="4"/>
        <v>2273840.991</v>
      </c>
    </row>
    <row r="297">
      <c r="T297" s="494" t="s">
        <v>622</v>
      </c>
      <c r="AB297" s="489">
        <v>295.0</v>
      </c>
      <c r="AC297" s="490">
        <f t="shared" si="5"/>
        <v>2755147.342</v>
      </c>
      <c r="AD297" s="491">
        <f t="shared" si="1"/>
        <v>1500</v>
      </c>
      <c r="AE297" s="492">
        <f t="shared" si="2"/>
        <v>0.009063325885</v>
      </c>
      <c r="AF297" s="490">
        <f t="shared" si="3"/>
        <v>2781618.14</v>
      </c>
      <c r="AG297" s="493">
        <f t="shared" si="6"/>
        <v>482806.3513</v>
      </c>
      <c r="AH297" s="493">
        <f t="shared" si="4"/>
        <v>2298811.789</v>
      </c>
    </row>
    <row r="298">
      <c r="T298" s="494" t="s">
        <v>622</v>
      </c>
      <c r="AB298" s="489">
        <v>296.0</v>
      </c>
      <c r="AC298" s="490">
        <f t="shared" si="5"/>
        <v>2781618.14</v>
      </c>
      <c r="AD298" s="491">
        <f t="shared" si="1"/>
        <v>1500</v>
      </c>
      <c r="AE298" s="492">
        <f t="shared" si="2"/>
        <v>0.009063325885</v>
      </c>
      <c r="AF298" s="490">
        <f t="shared" si="3"/>
        <v>2808328.852</v>
      </c>
      <c r="AG298" s="493">
        <f t="shared" si="6"/>
        <v>484306.3513</v>
      </c>
      <c r="AH298" s="493">
        <f t="shared" si="4"/>
        <v>2324022.501</v>
      </c>
    </row>
    <row r="299">
      <c r="T299" s="494" t="s">
        <v>622</v>
      </c>
      <c r="AB299" s="489">
        <v>297.0</v>
      </c>
      <c r="AC299" s="490">
        <f t="shared" si="5"/>
        <v>2808328.852</v>
      </c>
      <c r="AD299" s="491">
        <f t="shared" si="1"/>
        <v>1500</v>
      </c>
      <c r="AE299" s="492">
        <f t="shared" si="2"/>
        <v>0.009063325885</v>
      </c>
      <c r="AF299" s="490">
        <f t="shared" si="3"/>
        <v>2835281.652</v>
      </c>
      <c r="AG299" s="493">
        <f t="shared" si="6"/>
        <v>485806.3513</v>
      </c>
      <c r="AH299" s="493">
        <f t="shared" si="4"/>
        <v>2349475.301</v>
      </c>
    </row>
    <row r="300">
      <c r="T300" s="494" t="s">
        <v>622</v>
      </c>
      <c r="AB300" s="489">
        <v>298.0</v>
      </c>
      <c r="AC300" s="490">
        <f t="shared" si="5"/>
        <v>2835281.652</v>
      </c>
      <c r="AD300" s="491">
        <f t="shared" si="1"/>
        <v>1500</v>
      </c>
      <c r="AE300" s="492">
        <f t="shared" si="2"/>
        <v>0.009063325885</v>
      </c>
      <c r="AF300" s="490">
        <f t="shared" si="3"/>
        <v>2862478.733</v>
      </c>
      <c r="AG300" s="493">
        <f t="shared" si="6"/>
        <v>487306.3513</v>
      </c>
      <c r="AH300" s="493">
        <f t="shared" si="4"/>
        <v>2375172.382</v>
      </c>
    </row>
    <row r="301">
      <c r="T301" s="494" t="s">
        <v>622</v>
      </c>
      <c r="AB301" s="489">
        <v>299.0</v>
      </c>
      <c r="AC301" s="490">
        <f t="shared" si="5"/>
        <v>2862478.733</v>
      </c>
      <c r="AD301" s="491">
        <f t="shared" si="1"/>
        <v>1500</v>
      </c>
      <c r="AE301" s="492">
        <f t="shared" si="2"/>
        <v>0.009063325885</v>
      </c>
      <c r="AF301" s="490">
        <f t="shared" si="3"/>
        <v>2889922.311</v>
      </c>
      <c r="AG301" s="493">
        <f t="shared" si="6"/>
        <v>488806.3513</v>
      </c>
      <c r="AH301" s="493">
        <f t="shared" si="4"/>
        <v>2401115.96</v>
      </c>
    </row>
    <row r="302">
      <c r="T302" s="494" t="s">
        <v>622</v>
      </c>
      <c r="AB302" s="489">
        <v>300.0</v>
      </c>
      <c r="AC302" s="490">
        <f t="shared" si="5"/>
        <v>2889922.311</v>
      </c>
      <c r="AD302" s="491">
        <f t="shared" si="1"/>
        <v>1500</v>
      </c>
      <c r="AE302" s="492">
        <f t="shared" si="2"/>
        <v>0.009063325885</v>
      </c>
      <c r="AF302" s="490">
        <f t="shared" si="3"/>
        <v>2917614.619</v>
      </c>
      <c r="AG302" s="493">
        <f t="shared" si="6"/>
        <v>490306.3513</v>
      </c>
      <c r="AH302" s="493">
        <f t="shared" si="4"/>
        <v>2427308.267</v>
      </c>
    </row>
    <row r="303">
      <c r="T303" s="494" t="s">
        <v>622</v>
      </c>
      <c r="AB303" s="489">
        <v>301.0</v>
      </c>
      <c r="AC303" s="490">
        <f t="shared" si="5"/>
        <v>2917614.619</v>
      </c>
      <c r="AD303" s="491">
        <f t="shared" si="1"/>
        <v>1500</v>
      </c>
      <c r="AE303" s="492">
        <f t="shared" si="2"/>
        <v>0.009063325885</v>
      </c>
      <c r="AF303" s="490">
        <f t="shared" si="3"/>
        <v>2945557.911</v>
      </c>
      <c r="AG303" s="493">
        <f t="shared" si="6"/>
        <v>491806.3513</v>
      </c>
      <c r="AH303" s="493">
        <f t="shared" si="4"/>
        <v>2453751.559</v>
      </c>
    </row>
    <row r="304">
      <c r="T304" s="494" t="s">
        <v>622</v>
      </c>
      <c r="AB304" s="489">
        <v>302.0</v>
      </c>
      <c r="AC304" s="490">
        <f t="shared" si="5"/>
        <v>2945557.911</v>
      </c>
      <c r="AD304" s="491">
        <f t="shared" si="1"/>
        <v>1500</v>
      </c>
      <c r="AE304" s="492">
        <f t="shared" si="2"/>
        <v>0.009063325885</v>
      </c>
      <c r="AF304" s="490">
        <f t="shared" si="3"/>
        <v>2973754.462</v>
      </c>
      <c r="AG304" s="493">
        <f t="shared" si="6"/>
        <v>493306.3513</v>
      </c>
      <c r="AH304" s="493">
        <f t="shared" si="4"/>
        <v>2480448.111</v>
      </c>
    </row>
    <row r="305">
      <c r="T305" s="494" t="s">
        <v>622</v>
      </c>
      <c r="AB305" s="489">
        <v>303.0</v>
      </c>
      <c r="AC305" s="490">
        <f t="shared" si="5"/>
        <v>2973754.462</v>
      </c>
      <c r="AD305" s="491">
        <f t="shared" si="1"/>
        <v>1500</v>
      </c>
      <c r="AE305" s="492">
        <f t="shared" si="2"/>
        <v>0.009063325885</v>
      </c>
      <c r="AF305" s="490">
        <f t="shared" si="3"/>
        <v>3002206.568</v>
      </c>
      <c r="AG305" s="493">
        <f t="shared" si="6"/>
        <v>494806.3513</v>
      </c>
      <c r="AH305" s="493">
        <f t="shared" si="4"/>
        <v>2507400.217</v>
      </c>
    </row>
    <row r="306">
      <c r="T306" s="494" t="s">
        <v>622</v>
      </c>
      <c r="AB306" s="489">
        <v>304.0</v>
      </c>
      <c r="AC306" s="490">
        <f t="shared" si="5"/>
        <v>3002206.568</v>
      </c>
      <c r="AD306" s="491">
        <f t="shared" si="1"/>
        <v>1500</v>
      </c>
      <c r="AE306" s="492">
        <f t="shared" si="2"/>
        <v>0.009063325885</v>
      </c>
      <c r="AF306" s="490">
        <f t="shared" si="3"/>
        <v>3030916.544</v>
      </c>
      <c r="AG306" s="493">
        <f t="shared" si="6"/>
        <v>496306.3513</v>
      </c>
      <c r="AH306" s="493">
        <f t="shared" si="4"/>
        <v>2534610.193</v>
      </c>
    </row>
    <row r="307">
      <c r="T307" s="494" t="s">
        <v>622</v>
      </c>
      <c r="AB307" s="489">
        <v>305.0</v>
      </c>
      <c r="AC307" s="490">
        <f t="shared" si="5"/>
        <v>3030916.544</v>
      </c>
      <c r="AD307" s="491">
        <f t="shared" si="1"/>
        <v>1500</v>
      </c>
      <c r="AE307" s="492">
        <f t="shared" si="2"/>
        <v>0.009063325885</v>
      </c>
      <c r="AF307" s="490">
        <f t="shared" si="3"/>
        <v>3059886.729</v>
      </c>
      <c r="AG307" s="493">
        <f t="shared" si="6"/>
        <v>497806.3513</v>
      </c>
      <c r="AH307" s="493">
        <f t="shared" si="4"/>
        <v>2562080.377</v>
      </c>
    </row>
    <row r="308">
      <c r="T308" s="494" t="s">
        <v>622</v>
      </c>
      <c r="AB308" s="489">
        <v>306.0</v>
      </c>
      <c r="AC308" s="490">
        <f t="shared" si="5"/>
        <v>3059886.729</v>
      </c>
      <c r="AD308" s="491">
        <f t="shared" si="1"/>
        <v>1500</v>
      </c>
      <c r="AE308" s="492">
        <f t="shared" si="2"/>
        <v>0.009063325885</v>
      </c>
      <c r="AF308" s="490">
        <f t="shared" si="3"/>
        <v>3089119.479</v>
      </c>
      <c r="AG308" s="493">
        <f t="shared" si="6"/>
        <v>499306.3513</v>
      </c>
      <c r="AH308" s="493">
        <f t="shared" si="4"/>
        <v>2589813.128</v>
      </c>
    </row>
    <row r="309">
      <c r="T309" s="494" t="s">
        <v>622</v>
      </c>
      <c r="AB309" s="489">
        <v>307.0</v>
      </c>
      <c r="AC309" s="490">
        <f t="shared" si="5"/>
        <v>3089119.479</v>
      </c>
      <c r="AD309" s="491">
        <f t="shared" si="1"/>
        <v>1500</v>
      </c>
      <c r="AE309" s="492">
        <f t="shared" si="2"/>
        <v>0.009063325885</v>
      </c>
      <c r="AF309" s="490">
        <f t="shared" si="3"/>
        <v>3118617.176</v>
      </c>
      <c r="AG309" s="493">
        <f t="shared" si="6"/>
        <v>500806.3513</v>
      </c>
      <c r="AH309" s="493">
        <f t="shared" si="4"/>
        <v>2617810.825</v>
      </c>
    </row>
    <row r="310">
      <c r="T310" s="494" t="s">
        <v>622</v>
      </c>
      <c r="AB310" s="489">
        <v>308.0</v>
      </c>
      <c r="AC310" s="490">
        <f t="shared" si="5"/>
        <v>3118617.176</v>
      </c>
      <c r="AD310" s="491">
        <f t="shared" si="1"/>
        <v>1500</v>
      </c>
      <c r="AE310" s="492">
        <f t="shared" si="2"/>
        <v>0.009063325885</v>
      </c>
      <c r="AF310" s="490">
        <f t="shared" si="3"/>
        <v>3148382.22</v>
      </c>
      <c r="AG310" s="493">
        <f t="shared" si="6"/>
        <v>502306.3513</v>
      </c>
      <c r="AH310" s="493">
        <f t="shared" si="4"/>
        <v>2646075.868</v>
      </c>
    </row>
    <row r="311">
      <c r="T311" s="494" t="s">
        <v>622</v>
      </c>
      <c r="AB311" s="489">
        <v>309.0</v>
      </c>
      <c r="AC311" s="490">
        <f t="shared" si="5"/>
        <v>3148382.22</v>
      </c>
      <c r="AD311" s="491">
        <f t="shared" si="1"/>
        <v>1500</v>
      </c>
      <c r="AE311" s="492">
        <f t="shared" si="2"/>
        <v>0.009063325885</v>
      </c>
      <c r="AF311" s="490">
        <f t="shared" si="3"/>
        <v>3178417.034</v>
      </c>
      <c r="AG311" s="493">
        <f t="shared" si="6"/>
        <v>503806.3513</v>
      </c>
      <c r="AH311" s="493">
        <f t="shared" si="4"/>
        <v>2674610.682</v>
      </c>
    </row>
    <row r="312">
      <c r="T312" s="494" t="s">
        <v>622</v>
      </c>
      <c r="AB312" s="489">
        <v>310.0</v>
      </c>
      <c r="AC312" s="490">
        <f t="shared" si="5"/>
        <v>3178417.034</v>
      </c>
      <c r="AD312" s="491">
        <f t="shared" si="1"/>
        <v>1500</v>
      </c>
      <c r="AE312" s="492">
        <f t="shared" si="2"/>
        <v>0.009063325885</v>
      </c>
      <c r="AF312" s="490">
        <f t="shared" si="3"/>
        <v>3208724.063</v>
      </c>
      <c r="AG312" s="493">
        <f t="shared" si="6"/>
        <v>505306.3513</v>
      </c>
      <c r="AH312" s="493">
        <f t="shared" si="4"/>
        <v>2703417.712</v>
      </c>
    </row>
    <row r="313">
      <c r="T313" s="494" t="s">
        <v>622</v>
      </c>
      <c r="AB313" s="489">
        <v>311.0</v>
      </c>
      <c r="AC313" s="490">
        <f t="shared" si="5"/>
        <v>3208724.063</v>
      </c>
      <c r="AD313" s="491">
        <f t="shared" si="1"/>
        <v>1500</v>
      </c>
      <c r="AE313" s="492">
        <f t="shared" si="2"/>
        <v>0.009063325885</v>
      </c>
      <c r="AF313" s="490">
        <f t="shared" si="3"/>
        <v>3239305.775</v>
      </c>
      <c r="AG313" s="493">
        <f t="shared" si="6"/>
        <v>506806.3513</v>
      </c>
      <c r="AH313" s="493">
        <f t="shared" si="4"/>
        <v>2732499.424</v>
      </c>
    </row>
    <row r="314">
      <c r="T314" s="494" t="s">
        <v>622</v>
      </c>
      <c r="AB314" s="489">
        <v>312.0</v>
      </c>
      <c r="AC314" s="490">
        <f t="shared" si="5"/>
        <v>3239305.775</v>
      </c>
      <c r="AD314" s="491">
        <f t="shared" si="1"/>
        <v>1500</v>
      </c>
      <c r="AE314" s="492">
        <f t="shared" si="2"/>
        <v>0.009063325885</v>
      </c>
      <c r="AF314" s="490">
        <f t="shared" si="3"/>
        <v>3270164.659</v>
      </c>
      <c r="AG314" s="493">
        <f t="shared" si="6"/>
        <v>508306.3513</v>
      </c>
      <c r="AH314" s="493">
        <f t="shared" si="4"/>
        <v>2761858.307</v>
      </c>
    </row>
    <row r="315">
      <c r="T315" s="494" t="s">
        <v>622</v>
      </c>
      <c r="AB315" s="489">
        <v>313.0</v>
      </c>
      <c r="AC315" s="490">
        <f t="shared" si="5"/>
        <v>3270164.659</v>
      </c>
      <c r="AD315" s="491">
        <f t="shared" si="1"/>
        <v>1500</v>
      </c>
      <c r="AE315" s="492">
        <f t="shared" si="2"/>
        <v>0.009063325885</v>
      </c>
      <c r="AF315" s="490">
        <f t="shared" si="3"/>
        <v>3301303.227</v>
      </c>
      <c r="AG315" s="493">
        <f t="shared" si="6"/>
        <v>509806.3513</v>
      </c>
      <c r="AH315" s="493">
        <f t="shared" si="4"/>
        <v>2791496.875</v>
      </c>
    </row>
    <row r="316">
      <c r="T316" s="494" t="s">
        <v>622</v>
      </c>
      <c r="AB316" s="489">
        <v>314.0</v>
      </c>
      <c r="AC316" s="490">
        <f t="shared" si="5"/>
        <v>3301303.227</v>
      </c>
      <c r="AD316" s="491">
        <f t="shared" si="1"/>
        <v>1500</v>
      </c>
      <c r="AE316" s="492">
        <f t="shared" si="2"/>
        <v>0.009063325885</v>
      </c>
      <c r="AF316" s="490">
        <f t="shared" si="3"/>
        <v>3332724.014</v>
      </c>
      <c r="AG316" s="493">
        <f t="shared" si="6"/>
        <v>511306.3513</v>
      </c>
      <c r="AH316" s="493">
        <f t="shared" si="4"/>
        <v>2821417.662</v>
      </c>
    </row>
    <row r="317">
      <c r="T317" s="494" t="s">
        <v>622</v>
      </c>
      <c r="AB317" s="489">
        <v>315.0</v>
      </c>
      <c r="AC317" s="490">
        <f t="shared" si="5"/>
        <v>3332724.014</v>
      </c>
      <c r="AD317" s="491">
        <f t="shared" si="1"/>
        <v>1500</v>
      </c>
      <c r="AE317" s="492">
        <f t="shared" si="2"/>
        <v>0.009063325885</v>
      </c>
      <c r="AF317" s="490">
        <f t="shared" si="3"/>
        <v>3364429.578</v>
      </c>
      <c r="AG317" s="493">
        <f t="shared" si="6"/>
        <v>512806.3513</v>
      </c>
      <c r="AH317" s="493">
        <f t="shared" si="4"/>
        <v>2851623.226</v>
      </c>
    </row>
    <row r="318">
      <c r="T318" s="494" t="s">
        <v>622</v>
      </c>
      <c r="AB318" s="489">
        <v>316.0</v>
      </c>
      <c r="AC318" s="490">
        <f t="shared" si="5"/>
        <v>3364429.578</v>
      </c>
      <c r="AD318" s="491">
        <f t="shared" si="1"/>
        <v>1500</v>
      </c>
      <c r="AE318" s="492">
        <f t="shared" si="2"/>
        <v>0.009063325885</v>
      </c>
      <c r="AF318" s="490">
        <f t="shared" si="3"/>
        <v>3396422.499</v>
      </c>
      <c r="AG318" s="493">
        <f t="shared" si="6"/>
        <v>514306.3513</v>
      </c>
      <c r="AH318" s="493">
        <f t="shared" si="4"/>
        <v>2882116.148</v>
      </c>
    </row>
    <row r="319">
      <c r="T319" s="494" t="s">
        <v>622</v>
      </c>
      <c r="AB319" s="489">
        <v>317.0</v>
      </c>
      <c r="AC319" s="490">
        <f t="shared" si="5"/>
        <v>3396422.499</v>
      </c>
      <c r="AD319" s="491">
        <f t="shared" si="1"/>
        <v>1500</v>
      </c>
      <c r="AE319" s="492">
        <f t="shared" si="2"/>
        <v>0.009063325885</v>
      </c>
      <c r="AF319" s="490">
        <f t="shared" si="3"/>
        <v>3428705.383</v>
      </c>
      <c r="AG319" s="493">
        <f t="shared" si="6"/>
        <v>515806.3513</v>
      </c>
      <c r="AH319" s="493">
        <f t="shared" si="4"/>
        <v>2912899.032</v>
      </c>
    </row>
    <row r="320">
      <c r="T320" s="494" t="s">
        <v>622</v>
      </c>
      <c r="AB320" s="489">
        <v>318.0</v>
      </c>
      <c r="AC320" s="490">
        <f t="shared" si="5"/>
        <v>3428705.383</v>
      </c>
      <c r="AD320" s="491">
        <f t="shared" si="1"/>
        <v>1500</v>
      </c>
      <c r="AE320" s="492">
        <f t="shared" si="2"/>
        <v>0.009063325885</v>
      </c>
      <c r="AF320" s="490">
        <f t="shared" si="3"/>
        <v>3461280.857</v>
      </c>
      <c r="AG320" s="493">
        <f t="shared" si="6"/>
        <v>517306.3513</v>
      </c>
      <c r="AH320" s="493">
        <f t="shared" si="4"/>
        <v>2943974.506</v>
      </c>
    </row>
    <row r="321">
      <c r="T321" s="494" t="s">
        <v>622</v>
      </c>
      <c r="AB321" s="489">
        <v>319.0</v>
      </c>
      <c r="AC321" s="490">
        <f t="shared" si="5"/>
        <v>3461280.857</v>
      </c>
      <c r="AD321" s="491">
        <f t="shared" si="1"/>
        <v>1500</v>
      </c>
      <c r="AE321" s="492">
        <f t="shared" si="2"/>
        <v>0.009063325885</v>
      </c>
      <c r="AF321" s="490">
        <f t="shared" si="3"/>
        <v>3494151.574</v>
      </c>
      <c r="AG321" s="493">
        <f t="shared" si="6"/>
        <v>518806.3513</v>
      </c>
      <c r="AH321" s="493">
        <f t="shared" si="4"/>
        <v>2975345.223</v>
      </c>
    </row>
    <row r="322">
      <c r="T322" s="494" t="s">
        <v>622</v>
      </c>
      <c r="AB322" s="489">
        <v>320.0</v>
      </c>
      <c r="AC322" s="490">
        <f t="shared" si="5"/>
        <v>3494151.574</v>
      </c>
      <c r="AD322" s="491">
        <f t="shared" si="1"/>
        <v>1500</v>
      </c>
      <c r="AE322" s="492">
        <f t="shared" si="2"/>
        <v>0.009063325885</v>
      </c>
      <c r="AF322" s="490">
        <f t="shared" si="3"/>
        <v>3527320.208</v>
      </c>
      <c r="AG322" s="493">
        <f t="shared" si="6"/>
        <v>520306.3513</v>
      </c>
      <c r="AH322" s="493">
        <f t="shared" si="4"/>
        <v>3007013.857</v>
      </c>
    </row>
    <row r="323">
      <c r="T323" s="494" t="s">
        <v>622</v>
      </c>
      <c r="AB323" s="489">
        <v>321.0</v>
      </c>
      <c r="AC323" s="490">
        <f t="shared" si="5"/>
        <v>3527320.208</v>
      </c>
      <c r="AD323" s="491">
        <f t="shared" si="1"/>
        <v>1500</v>
      </c>
      <c r="AE323" s="492">
        <f t="shared" si="2"/>
        <v>0.009063325885</v>
      </c>
      <c r="AF323" s="490">
        <f t="shared" si="3"/>
        <v>3560789.461</v>
      </c>
      <c r="AG323" s="493">
        <f t="shared" si="6"/>
        <v>521806.3513</v>
      </c>
      <c r="AH323" s="493">
        <f t="shared" si="4"/>
        <v>3038983.11</v>
      </c>
    </row>
    <row r="324">
      <c r="T324" s="494" t="s">
        <v>622</v>
      </c>
      <c r="AB324" s="489">
        <v>322.0</v>
      </c>
      <c r="AC324" s="490">
        <f t="shared" si="5"/>
        <v>3560789.461</v>
      </c>
      <c r="AD324" s="491">
        <f t="shared" si="1"/>
        <v>1500</v>
      </c>
      <c r="AE324" s="492">
        <f t="shared" si="2"/>
        <v>0.009063325885</v>
      </c>
      <c r="AF324" s="490">
        <f t="shared" si="3"/>
        <v>3594562.056</v>
      </c>
      <c r="AG324" s="493">
        <f t="shared" si="6"/>
        <v>523306.3513</v>
      </c>
      <c r="AH324" s="493">
        <f t="shared" si="4"/>
        <v>3071255.705</v>
      </c>
    </row>
    <row r="325">
      <c r="T325" s="494" t="s">
        <v>622</v>
      </c>
      <c r="AB325" s="489">
        <v>323.0</v>
      </c>
      <c r="AC325" s="490">
        <f t="shared" si="5"/>
        <v>3594562.056</v>
      </c>
      <c r="AD325" s="491">
        <f t="shared" si="1"/>
        <v>1500</v>
      </c>
      <c r="AE325" s="492">
        <f t="shared" si="2"/>
        <v>0.009063325885</v>
      </c>
      <c r="AF325" s="490">
        <f t="shared" si="3"/>
        <v>3628640.743</v>
      </c>
      <c r="AG325" s="493">
        <f t="shared" si="6"/>
        <v>524806.3513</v>
      </c>
      <c r="AH325" s="493">
        <f t="shared" si="4"/>
        <v>3103834.392</v>
      </c>
    </row>
    <row r="326">
      <c r="T326" s="494" t="s">
        <v>622</v>
      </c>
      <c r="AB326" s="489">
        <v>324.0</v>
      </c>
      <c r="AC326" s="490">
        <f t="shared" si="5"/>
        <v>3628640.743</v>
      </c>
      <c r="AD326" s="491">
        <f t="shared" si="1"/>
        <v>1500</v>
      </c>
      <c r="AE326" s="492">
        <f t="shared" si="2"/>
        <v>0.009063325885</v>
      </c>
      <c r="AF326" s="490">
        <f t="shared" si="3"/>
        <v>3663028.297</v>
      </c>
      <c r="AG326" s="493">
        <f t="shared" si="6"/>
        <v>526306.3513</v>
      </c>
      <c r="AH326" s="493">
        <f t="shared" si="4"/>
        <v>3136721.946</v>
      </c>
    </row>
    <row r="327">
      <c r="T327" s="494" t="s">
        <v>622</v>
      </c>
      <c r="AB327" s="489">
        <v>325.0</v>
      </c>
      <c r="AC327" s="490">
        <f t="shared" si="5"/>
        <v>3663028.297</v>
      </c>
      <c r="AD327" s="491">
        <f t="shared" si="1"/>
        <v>1500</v>
      </c>
      <c r="AE327" s="492">
        <f t="shared" si="2"/>
        <v>0.009063325885</v>
      </c>
      <c r="AF327" s="490">
        <f t="shared" si="3"/>
        <v>3697727.516</v>
      </c>
      <c r="AG327" s="493">
        <f t="shared" si="6"/>
        <v>527806.3513</v>
      </c>
      <c r="AH327" s="493">
        <f t="shared" si="4"/>
        <v>3169921.165</v>
      </c>
    </row>
    <row r="328">
      <c r="T328" s="494" t="s">
        <v>622</v>
      </c>
      <c r="AB328" s="489">
        <v>326.0</v>
      </c>
      <c r="AC328" s="490">
        <f t="shared" si="5"/>
        <v>3697727.516</v>
      </c>
      <c r="AD328" s="491">
        <f t="shared" si="1"/>
        <v>1500</v>
      </c>
      <c r="AE328" s="492">
        <f t="shared" si="2"/>
        <v>0.009063325885</v>
      </c>
      <c r="AF328" s="490">
        <f t="shared" si="3"/>
        <v>3732741.226</v>
      </c>
      <c r="AG328" s="493">
        <f t="shared" si="6"/>
        <v>529306.3513</v>
      </c>
      <c r="AH328" s="493">
        <f t="shared" si="4"/>
        <v>3203434.874</v>
      </c>
    </row>
    <row r="329">
      <c r="T329" s="494" t="s">
        <v>622</v>
      </c>
      <c r="AB329" s="489">
        <v>327.0</v>
      </c>
      <c r="AC329" s="490">
        <f t="shared" si="5"/>
        <v>3732741.226</v>
      </c>
      <c r="AD329" s="491">
        <f t="shared" si="1"/>
        <v>1500</v>
      </c>
      <c r="AE329" s="492">
        <f t="shared" si="2"/>
        <v>0.009063325885</v>
      </c>
      <c r="AF329" s="490">
        <f t="shared" si="3"/>
        <v>3768072.276</v>
      </c>
      <c r="AG329" s="493">
        <f t="shared" si="6"/>
        <v>530806.3513</v>
      </c>
      <c r="AH329" s="493">
        <f t="shared" si="4"/>
        <v>3237265.925</v>
      </c>
    </row>
    <row r="330">
      <c r="T330" s="494" t="s">
        <v>622</v>
      </c>
      <c r="AB330" s="489">
        <v>328.0</v>
      </c>
      <c r="AC330" s="490">
        <f t="shared" si="5"/>
        <v>3768072.276</v>
      </c>
      <c r="AD330" s="491">
        <f t="shared" si="1"/>
        <v>1500</v>
      </c>
      <c r="AE330" s="492">
        <f t="shared" si="2"/>
        <v>0.009063325885</v>
      </c>
      <c r="AF330" s="490">
        <f t="shared" si="3"/>
        <v>3803723.543</v>
      </c>
      <c r="AG330" s="493">
        <f t="shared" si="6"/>
        <v>532306.3513</v>
      </c>
      <c r="AH330" s="493">
        <f t="shared" si="4"/>
        <v>3271417.192</v>
      </c>
    </row>
    <row r="331">
      <c r="T331" s="494" t="s">
        <v>622</v>
      </c>
      <c r="AB331" s="489">
        <v>329.0</v>
      </c>
      <c r="AC331" s="490">
        <f t="shared" si="5"/>
        <v>3803723.543</v>
      </c>
      <c r="AD331" s="491">
        <f t="shared" si="1"/>
        <v>1500</v>
      </c>
      <c r="AE331" s="492">
        <f t="shared" si="2"/>
        <v>0.009063325885</v>
      </c>
      <c r="AF331" s="490">
        <f t="shared" si="3"/>
        <v>3839697.929</v>
      </c>
      <c r="AG331" s="493">
        <f t="shared" si="6"/>
        <v>533806.3513</v>
      </c>
      <c r="AH331" s="493">
        <f t="shared" si="4"/>
        <v>3305891.578</v>
      </c>
    </row>
    <row r="332">
      <c r="T332" s="494" t="s">
        <v>622</v>
      </c>
      <c r="AB332" s="489">
        <v>330.0</v>
      </c>
      <c r="AC332" s="490">
        <f t="shared" si="5"/>
        <v>3839697.929</v>
      </c>
      <c r="AD332" s="491">
        <f t="shared" si="1"/>
        <v>1500</v>
      </c>
      <c r="AE332" s="492">
        <f t="shared" si="2"/>
        <v>0.009063325885</v>
      </c>
      <c r="AF332" s="490">
        <f t="shared" si="3"/>
        <v>3875998.363</v>
      </c>
      <c r="AG332" s="493">
        <f t="shared" si="6"/>
        <v>535306.3513</v>
      </c>
      <c r="AH332" s="493">
        <f t="shared" si="4"/>
        <v>3340692.011</v>
      </c>
    </row>
    <row r="333">
      <c r="T333" s="494" t="s">
        <v>622</v>
      </c>
      <c r="AB333" s="489">
        <v>331.0</v>
      </c>
      <c r="AC333" s="490">
        <f t="shared" si="5"/>
        <v>3875998.363</v>
      </c>
      <c r="AD333" s="491">
        <f t="shared" si="1"/>
        <v>1500</v>
      </c>
      <c r="AE333" s="492">
        <f t="shared" si="2"/>
        <v>0.009063325885</v>
      </c>
      <c r="AF333" s="490">
        <f t="shared" si="3"/>
        <v>3912627.799</v>
      </c>
      <c r="AG333" s="493">
        <f t="shared" si="6"/>
        <v>536806.3513</v>
      </c>
      <c r="AH333" s="493">
        <f t="shared" si="4"/>
        <v>3375821.448</v>
      </c>
    </row>
    <row r="334">
      <c r="T334" s="494" t="s">
        <v>622</v>
      </c>
      <c r="AB334" s="489">
        <v>332.0</v>
      </c>
      <c r="AC334" s="490">
        <f t="shared" si="5"/>
        <v>3912627.799</v>
      </c>
      <c r="AD334" s="491">
        <f t="shared" si="1"/>
        <v>1500</v>
      </c>
      <c r="AE334" s="492">
        <f t="shared" si="2"/>
        <v>0.009063325885</v>
      </c>
      <c r="AF334" s="490">
        <f t="shared" si="3"/>
        <v>3949589.22</v>
      </c>
      <c r="AG334" s="493">
        <f t="shared" si="6"/>
        <v>538306.3513</v>
      </c>
      <c r="AH334" s="493">
        <f t="shared" si="4"/>
        <v>3411282.868</v>
      </c>
    </row>
    <row r="335">
      <c r="T335" s="494" t="s">
        <v>622</v>
      </c>
      <c r="AB335" s="489">
        <v>333.0</v>
      </c>
      <c r="AC335" s="490">
        <f t="shared" si="5"/>
        <v>3949589.22</v>
      </c>
      <c r="AD335" s="491">
        <f t="shared" si="1"/>
        <v>1500</v>
      </c>
      <c r="AE335" s="492">
        <f t="shared" si="2"/>
        <v>0.009063325885</v>
      </c>
      <c r="AF335" s="490">
        <f t="shared" si="3"/>
        <v>3986885.634</v>
      </c>
      <c r="AG335" s="493">
        <f t="shared" si="6"/>
        <v>539806.3513</v>
      </c>
      <c r="AH335" s="493">
        <f t="shared" si="4"/>
        <v>3447079.283</v>
      </c>
    </row>
    <row r="336">
      <c r="T336" s="494" t="s">
        <v>622</v>
      </c>
      <c r="AB336" s="489">
        <v>334.0</v>
      </c>
      <c r="AC336" s="490">
        <f t="shared" si="5"/>
        <v>3986885.634</v>
      </c>
      <c r="AD336" s="491">
        <f t="shared" si="1"/>
        <v>1500</v>
      </c>
      <c r="AE336" s="492">
        <f t="shared" si="2"/>
        <v>0.009063325885</v>
      </c>
      <c r="AF336" s="490">
        <f t="shared" si="3"/>
        <v>4024520.078</v>
      </c>
      <c r="AG336" s="493">
        <f t="shared" si="6"/>
        <v>541306.3513</v>
      </c>
      <c r="AH336" s="493">
        <f t="shared" si="4"/>
        <v>3483213.726</v>
      </c>
    </row>
    <row r="337">
      <c r="T337" s="494" t="s">
        <v>622</v>
      </c>
      <c r="AB337" s="489">
        <v>335.0</v>
      </c>
      <c r="AC337" s="490">
        <f t="shared" si="5"/>
        <v>4024520.078</v>
      </c>
      <c r="AD337" s="491">
        <f t="shared" si="1"/>
        <v>1500</v>
      </c>
      <c r="AE337" s="492">
        <f t="shared" si="2"/>
        <v>0.009063325885</v>
      </c>
      <c r="AF337" s="490">
        <f t="shared" si="3"/>
        <v>4062495.615</v>
      </c>
      <c r="AG337" s="493">
        <f t="shared" si="6"/>
        <v>542806.3513</v>
      </c>
      <c r="AH337" s="493">
        <f t="shared" si="4"/>
        <v>3519689.263</v>
      </c>
    </row>
    <row r="338">
      <c r="T338" s="494" t="s">
        <v>622</v>
      </c>
      <c r="AB338" s="489">
        <v>336.0</v>
      </c>
      <c r="AC338" s="490">
        <f t="shared" si="5"/>
        <v>4062495.615</v>
      </c>
      <c r="AD338" s="491">
        <f t="shared" si="1"/>
        <v>1500</v>
      </c>
      <c r="AE338" s="492">
        <f t="shared" si="2"/>
        <v>0.009063325885</v>
      </c>
      <c r="AF338" s="490">
        <f t="shared" si="3"/>
        <v>4100815.336</v>
      </c>
      <c r="AG338" s="493">
        <f t="shared" si="6"/>
        <v>544306.3513</v>
      </c>
      <c r="AH338" s="493">
        <f t="shared" si="4"/>
        <v>3556508.985</v>
      </c>
    </row>
    <row r="339">
      <c r="T339" s="494" t="s">
        <v>622</v>
      </c>
      <c r="AB339" s="489">
        <v>337.0</v>
      </c>
      <c r="AC339" s="490">
        <f t="shared" si="5"/>
        <v>4100815.336</v>
      </c>
      <c r="AD339" s="491">
        <f t="shared" si="1"/>
        <v>1500</v>
      </c>
      <c r="AE339" s="492">
        <f t="shared" si="2"/>
        <v>0.009063325885</v>
      </c>
      <c r="AF339" s="490">
        <f t="shared" si="3"/>
        <v>4139482.362</v>
      </c>
      <c r="AG339" s="493">
        <f t="shared" si="6"/>
        <v>545806.3513</v>
      </c>
      <c r="AH339" s="493">
        <f t="shared" si="4"/>
        <v>3593676.011</v>
      </c>
    </row>
    <row r="340">
      <c r="T340" s="494" t="s">
        <v>622</v>
      </c>
      <c r="AB340" s="489">
        <v>338.0</v>
      </c>
      <c r="AC340" s="490">
        <f t="shared" si="5"/>
        <v>4139482.362</v>
      </c>
      <c r="AD340" s="491">
        <f t="shared" si="1"/>
        <v>1500</v>
      </c>
      <c r="AE340" s="492">
        <f t="shared" si="2"/>
        <v>0.009063325885</v>
      </c>
      <c r="AF340" s="490">
        <f t="shared" si="3"/>
        <v>4178499.84</v>
      </c>
      <c r="AG340" s="493">
        <f t="shared" si="6"/>
        <v>547306.3513</v>
      </c>
      <c r="AH340" s="493">
        <f t="shared" si="4"/>
        <v>3631193.488</v>
      </c>
    </row>
    <row r="341">
      <c r="T341" s="494" t="s">
        <v>622</v>
      </c>
      <c r="AB341" s="489">
        <v>339.0</v>
      </c>
      <c r="AC341" s="490">
        <f t="shared" si="5"/>
        <v>4178499.84</v>
      </c>
      <c r="AD341" s="491">
        <f t="shared" si="1"/>
        <v>1500</v>
      </c>
      <c r="AE341" s="492">
        <f t="shared" si="2"/>
        <v>0.009063325885</v>
      </c>
      <c r="AF341" s="490">
        <f t="shared" si="3"/>
        <v>4217870.945</v>
      </c>
      <c r="AG341" s="493">
        <f t="shared" si="6"/>
        <v>548806.3513</v>
      </c>
      <c r="AH341" s="493">
        <f t="shared" si="4"/>
        <v>3669064.594</v>
      </c>
    </row>
    <row r="342">
      <c r="T342" s="494" t="s">
        <v>622</v>
      </c>
      <c r="AB342" s="489">
        <v>340.0</v>
      </c>
      <c r="AC342" s="490">
        <f t="shared" si="5"/>
        <v>4217870.945</v>
      </c>
      <c r="AD342" s="491">
        <f t="shared" si="1"/>
        <v>1500</v>
      </c>
      <c r="AE342" s="492">
        <f t="shared" si="2"/>
        <v>0.009063325885</v>
      </c>
      <c r="AF342" s="490">
        <f t="shared" si="3"/>
        <v>4257598.884</v>
      </c>
      <c r="AG342" s="493">
        <f t="shared" si="6"/>
        <v>550306.3513</v>
      </c>
      <c r="AH342" s="493">
        <f t="shared" si="4"/>
        <v>3707292.533</v>
      </c>
    </row>
    <row r="343">
      <c r="T343" s="494" t="s">
        <v>622</v>
      </c>
      <c r="AB343" s="489">
        <v>341.0</v>
      </c>
      <c r="AC343" s="490">
        <f t="shared" si="5"/>
        <v>4257598.884</v>
      </c>
      <c r="AD343" s="491">
        <f t="shared" si="1"/>
        <v>1500</v>
      </c>
      <c r="AE343" s="492">
        <f t="shared" si="2"/>
        <v>0.009063325885</v>
      </c>
      <c r="AF343" s="490">
        <f t="shared" si="3"/>
        <v>4297686.891</v>
      </c>
      <c r="AG343" s="493">
        <f t="shared" si="6"/>
        <v>551806.3513</v>
      </c>
      <c r="AH343" s="493">
        <f t="shared" si="4"/>
        <v>3745880.539</v>
      </c>
    </row>
    <row r="344">
      <c r="T344" s="494" t="s">
        <v>622</v>
      </c>
      <c r="AB344" s="489">
        <v>342.0</v>
      </c>
      <c r="AC344" s="490">
        <f t="shared" si="5"/>
        <v>4297686.891</v>
      </c>
      <c r="AD344" s="491">
        <f t="shared" si="1"/>
        <v>1500</v>
      </c>
      <c r="AE344" s="492">
        <f t="shared" si="2"/>
        <v>0.009063325885</v>
      </c>
      <c r="AF344" s="490">
        <f t="shared" si="3"/>
        <v>4338138.227</v>
      </c>
      <c r="AG344" s="493">
        <f t="shared" si="6"/>
        <v>553306.3513</v>
      </c>
      <c r="AH344" s="493">
        <f t="shared" si="4"/>
        <v>3784831.876</v>
      </c>
    </row>
    <row r="345">
      <c r="T345" s="494" t="s">
        <v>622</v>
      </c>
      <c r="AB345" s="489">
        <v>343.0</v>
      </c>
      <c r="AC345" s="490">
        <f t="shared" si="5"/>
        <v>4338138.227</v>
      </c>
      <c r="AD345" s="491">
        <f t="shared" si="1"/>
        <v>1500</v>
      </c>
      <c r="AE345" s="492">
        <f t="shared" si="2"/>
        <v>0.009063325885</v>
      </c>
      <c r="AF345" s="490">
        <f t="shared" si="3"/>
        <v>4378956.188</v>
      </c>
      <c r="AG345" s="493">
        <f t="shared" si="6"/>
        <v>554806.3513</v>
      </c>
      <c r="AH345" s="493">
        <f t="shared" si="4"/>
        <v>3824149.837</v>
      </c>
    </row>
    <row r="346">
      <c r="T346" s="494" t="s">
        <v>622</v>
      </c>
      <c r="AB346" s="489">
        <v>344.0</v>
      </c>
      <c r="AC346" s="490">
        <f t="shared" si="5"/>
        <v>4378956.188</v>
      </c>
      <c r="AD346" s="491">
        <f t="shared" si="1"/>
        <v>1500</v>
      </c>
      <c r="AE346" s="492">
        <f t="shared" si="2"/>
        <v>0.009063325885</v>
      </c>
      <c r="AF346" s="490">
        <f t="shared" si="3"/>
        <v>4420144.095</v>
      </c>
      <c r="AG346" s="493">
        <f t="shared" si="6"/>
        <v>556306.3513</v>
      </c>
      <c r="AH346" s="493">
        <f t="shared" si="4"/>
        <v>3863837.744</v>
      </c>
    </row>
    <row r="347">
      <c r="T347" s="494" t="s">
        <v>622</v>
      </c>
      <c r="AB347" s="489">
        <v>345.0</v>
      </c>
      <c r="AC347" s="490">
        <f t="shared" si="5"/>
        <v>4420144.095</v>
      </c>
      <c r="AD347" s="491">
        <f t="shared" si="1"/>
        <v>1500</v>
      </c>
      <c r="AE347" s="492">
        <f t="shared" si="2"/>
        <v>0.009063325885</v>
      </c>
      <c r="AF347" s="490">
        <f t="shared" si="3"/>
        <v>4461705.301</v>
      </c>
      <c r="AG347" s="493">
        <f t="shared" si="6"/>
        <v>557806.3513</v>
      </c>
      <c r="AH347" s="493">
        <f t="shared" si="4"/>
        <v>3903898.95</v>
      </c>
    </row>
    <row r="348">
      <c r="T348" s="494" t="s">
        <v>622</v>
      </c>
      <c r="AB348" s="489">
        <v>346.0</v>
      </c>
      <c r="AC348" s="490">
        <f t="shared" si="5"/>
        <v>4461705.301</v>
      </c>
      <c r="AD348" s="491">
        <f t="shared" si="1"/>
        <v>1500</v>
      </c>
      <c r="AE348" s="492">
        <f t="shared" si="2"/>
        <v>0.009063325885</v>
      </c>
      <c r="AF348" s="490">
        <f t="shared" si="3"/>
        <v>4503643.19</v>
      </c>
      <c r="AG348" s="493">
        <f t="shared" si="6"/>
        <v>559306.3513</v>
      </c>
      <c r="AH348" s="493">
        <f t="shared" si="4"/>
        <v>3944336.839</v>
      </c>
    </row>
    <row r="349">
      <c r="T349" s="494" t="s">
        <v>622</v>
      </c>
      <c r="AB349" s="489">
        <v>347.0</v>
      </c>
      <c r="AC349" s="490">
        <f t="shared" si="5"/>
        <v>4503643.19</v>
      </c>
      <c r="AD349" s="491">
        <f t="shared" si="1"/>
        <v>1500</v>
      </c>
      <c r="AE349" s="492">
        <f t="shared" si="2"/>
        <v>0.009063325885</v>
      </c>
      <c r="AF349" s="490">
        <f t="shared" si="3"/>
        <v>4545961.176</v>
      </c>
      <c r="AG349" s="493">
        <f t="shared" si="6"/>
        <v>560806.3513</v>
      </c>
      <c r="AH349" s="493">
        <f t="shared" si="4"/>
        <v>3985154.825</v>
      </c>
    </row>
    <row r="350">
      <c r="T350" s="494" t="s">
        <v>622</v>
      </c>
      <c r="AB350" s="489">
        <v>348.0</v>
      </c>
      <c r="AC350" s="490">
        <f t="shared" si="5"/>
        <v>4545961.176</v>
      </c>
      <c r="AD350" s="491">
        <f t="shared" si="1"/>
        <v>1500</v>
      </c>
      <c r="AE350" s="492">
        <f t="shared" si="2"/>
        <v>0.009063325885</v>
      </c>
      <c r="AF350" s="490">
        <f t="shared" si="3"/>
        <v>4588662.704</v>
      </c>
      <c r="AG350" s="493">
        <f t="shared" si="6"/>
        <v>562306.3513</v>
      </c>
      <c r="AH350" s="493">
        <f t="shared" si="4"/>
        <v>4026356.353</v>
      </c>
    </row>
    <row r="351">
      <c r="T351" s="494" t="s">
        <v>622</v>
      </c>
      <c r="AB351" s="489">
        <v>349.0</v>
      </c>
      <c r="AC351" s="490">
        <f t="shared" si="5"/>
        <v>4588662.704</v>
      </c>
      <c r="AD351" s="491">
        <f t="shared" si="1"/>
        <v>1500</v>
      </c>
      <c r="AE351" s="492">
        <f t="shared" si="2"/>
        <v>0.009063325885</v>
      </c>
      <c r="AF351" s="490">
        <f t="shared" si="3"/>
        <v>4631751.249</v>
      </c>
      <c r="AG351" s="493">
        <f t="shared" si="6"/>
        <v>563806.3513</v>
      </c>
      <c r="AH351" s="493">
        <f t="shared" si="4"/>
        <v>4067944.898</v>
      </c>
    </row>
    <row r="352">
      <c r="T352" s="494" t="s">
        <v>622</v>
      </c>
      <c r="AB352" s="489">
        <v>350.0</v>
      </c>
      <c r="AC352" s="490">
        <f t="shared" si="5"/>
        <v>4631751.249</v>
      </c>
      <c r="AD352" s="491">
        <f t="shared" si="1"/>
        <v>1500</v>
      </c>
      <c r="AE352" s="492">
        <f t="shared" si="2"/>
        <v>0.009063325885</v>
      </c>
      <c r="AF352" s="490">
        <f t="shared" si="3"/>
        <v>4675230.32</v>
      </c>
      <c r="AG352" s="493">
        <f t="shared" si="6"/>
        <v>565306.3513</v>
      </c>
      <c r="AH352" s="493">
        <f t="shared" si="4"/>
        <v>4109923.969</v>
      </c>
    </row>
    <row r="353">
      <c r="T353" s="494" t="s">
        <v>622</v>
      </c>
      <c r="AB353" s="489">
        <v>351.0</v>
      </c>
      <c r="AC353" s="490">
        <f t="shared" si="5"/>
        <v>4675230.32</v>
      </c>
      <c r="AD353" s="491">
        <f t="shared" si="1"/>
        <v>1500</v>
      </c>
      <c r="AE353" s="492">
        <f t="shared" si="2"/>
        <v>0.009063325885</v>
      </c>
      <c r="AF353" s="490">
        <f t="shared" si="3"/>
        <v>4719103.456</v>
      </c>
      <c r="AG353" s="493">
        <f t="shared" si="6"/>
        <v>566806.3513</v>
      </c>
      <c r="AH353" s="493">
        <f t="shared" si="4"/>
        <v>4152297.105</v>
      </c>
    </row>
    <row r="354">
      <c r="T354" s="494" t="s">
        <v>622</v>
      </c>
      <c r="AB354" s="489">
        <v>352.0</v>
      </c>
      <c r="AC354" s="490">
        <f t="shared" si="5"/>
        <v>4719103.456</v>
      </c>
      <c r="AD354" s="491">
        <f t="shared" si="1"/>
        <v>1500</v>
      </c>
      <c r="AE354" s="492">
        <f t="shared" si="2"/>
        <v>0.009063325885</v>
      </c>
      <c r="AF354" s="490">
        <f t="shared" si="3"/>
        <v>4763374.229</v>
      </c>
      <c r="AG354" s="493">
        <f t="shared" si="6"/>
        <v>568306.3513</v>
      </c>
      <c r="AH354" s="493">
        <f t="shared" si="4"/>
        <v>4195067.878</v>
      </c>
    </row>
    <row r="355">
      <c r="T355" s="494" t="s">
        <v>622</v>
      </c>
      <c r="AB355" s="489">
        <v>353.0</v>
      </c>
      <c r="AC355" s="490">
        <f t="shared" si="5"/>
        <v>4763374.229</v>
      </c>
      <c r="AD355" s="491">
        <f t="shared" si="1"/>
        <v>1500</v>
      </c>
      <c r="AE355" s="492">
        <f t="shared" si="2"/>
        <v>0.009063325885</v>
      </c>
      <c r="AF355" s="490">
        <f t="shared" si="3"/>
        <v>4808046.242</v>
      </c>
      <c r="AG355" s="493">
        <f t="shared" si="6"/>
        <v>569806.3513</v>
      </c>
      <c r="AH355" s="493">
        <f t="shared" si="4"/>
        <v>4238239.891</v>
      </c>
    </row>
    <row r="356">
      <c r="T356" s="494" t="s">
        <v>622</v>
      </c>
      <c r="AB356" s="489">
        <v>354.0</v>
      </c>
      <c r="AC356" s="490">
        <f t="shared" si="5"/>
        <v>4808046.242</v>
      </c>
      <c r="AD356" s="491">
        <f t="shared" si="1"/>
        <v>1500</v>
      </c>
      <c r="AE356" s="492">
        <f t="shared" si="2"/>
        <v>0.009063325885</v>
      </c>
      <c r="AF356" s="490">
        <f t="shared" si="3"/>
        <v>4853123.132</v>
      </c>
      <c r="AG356" s="493">
        <f t="shared" si="6"/>
        <v>571306.3513</v>
      </c>
      <c r="AH356" s="493">
        <f t="shared" si="4"/>
        <v>4281816.78</v>
      </c>
    </row>
    <row r="357">
      <c r="T357" s="494" t="s">
        <v>622</v>
      </c>
      <c r="AB357" s="489">
        <v>355.0</v>
      </c>
      <c r="AC357" s="490">
        <f t="shared" si="5"/>
        <v>4853123.132</v>
      </c>
      <c r="AD357" s="491">
        <f t="shared" si="1"/>
        <v>1500</v>
      </c>
      <c r="AE357" s="492">
        <f t="shared" si="2"/>
        <v>0.009063325885</v>
      </c>
      <c r="AF357" s="490">
        <f t="shared" si="3"/>
        <v>4898608.568</v>
      </c>
      <c r="AG357" s="493">
        <f t="shared" si="6"/>
        <v>572806.3513</v>
      </c>
      <c r="AH357" s="493">
        <f t="shared" si="4"/>
        <v>4325802.217</v>
      </c>
    </row>
    <row r="358">
      <c r="T358" s="494" t="s">
        <v>622</v>
      </c>
      <c r="AB358" s="489">
        <v>356.0</v>
      </c>
      <c r="AC358" s="490">
        <f t="shared" si="5"/>
        <v>4898608.568</v>
      </c>
      <c r="AD358" s="491">
        <f t="shared" si="1"/>
        <v>1500</v>
      </c>
      <c r="AE358" s="492">
        <f t="shared" si="2"/>
        <v>0.009063325885</v>
      </c>
      <c r="AF358" s="490">
        <f t="shared" si="3"/>
        <v>4944506.254</v>
      </c>
      <c r="AG358" s="493">
        <f t="shared" si="6"/>
        <v>574306.3513</v>
      </c>
      <c r="AH358" s="493">
        <f t="shared" si="4"/>
        <v>4370199.903</v>
      </c>
    </row>
    <row r="359">
      <c r="T359" s="494" t="s">
        <v>622</v>
      </c>
      <c r="AB359" s="489">
        <v>357.0</v>
      </c>
      <c r="AC359" s="490">
        <f t="shared" si="5"/>
        <v>4944506.254</v>
      </c>
      <c r="AD359" s="491">
        <f t="shared" si="1"/>
        <v>1500</v>
      </c>
      <c r="AE359" s="492">
        <f t="shared" si="2"/>
        <v>0.009063325885</v>
      </c>
      <c r="AF359" s="490">
        <f t="shared" si="3"/>
        <v>4990819.926</v>
      </c>
      <c r="AG359" s="493">
        <f t="shared" si="6"/>
        <v>575806.3513</v>
      </c>
      <c r="AH359" s="493">
        <f t="shared" si="4"/>
        <v>4415013.574</v>
      </c>
    </row>
    <row r="360">
      <c r="T360" s="494" t="s">
        <v>622</v>
      </c>
      <c r="AB360" s="489">
        <v>358.0</v>
      </c>
      <c r="AC360" s="490">
        <f t="shared" si="5"/>
        <v>4990819.926</v>
      </c>
      <c r="AD360" s="491">
        <f t="shared" si="1"/>
        <v>1500</v>
      </c>
      <c r="AE360" s="492">
        <f t="shared" si="2"/>
        <v>0.009063325885</v>
      </c>
      <c r="AF360" s="490">
        <f t="shared" si="3"/>
        <v>5037553.353</v>
      </c>
      <c r="AG360" s="493">
        <f t="shared" si="6"/>
        <v>577306.3513</v>
      </c>
      <c r="AH360" s="493">
        <f t="shared" si="4"/>
        <v>4460247.002</v>
      </c>
    </row>
    <row r="361">
      <c r="T361" s="494" t="s">
        <v>622</v>
      </c>
      <c r="AB361" s="489">
        <v>359.0</v>
      </c>
      <c r="AC361" s="490">
        <f t="shared" si="5"/>
        <v>5037553.353</v>
      </c>
      <c r="AD361" s="491">
        <f t="shared" si="1"/>
        <v>1500</v>
      </c>
      <c r="AE361" s="492">
        <f t="shared" si="2"/>
        <v>0.009063325885</v>
      </c>
      <c r="AF361" s="490">
        <f t="shared" si="3"/>
        <v>5084710.341</v>
      </c>
      <c r="AG361" s="493">
        <f t="shared" si="6"/>
        <v>578806.3513</v>
      </c>
      <c r="AH361" s="493">
        <f t="shared" si="4"/>
        <v>4505903.989</v>
      </c>
    </row>
    <row r="362">
      <c r="T362" s="494" t="s">
        <v>622</v>
      </c>
      <c r="AB362" s="489">
        <v>360.0</v>
      </c>
      <c r="AC362" s="490">
        <f t="shared" si="5"/>
        <v>5084710.341</v>
      </c>
      <c r="AD362" s="491">
        <f t="shared" si="1"/>
        <v>1500</v>
      </c>
      <c r="AE362" s="492">
        <f t="shared" si="2"/>
        <v>0.009063325885</v>
      </c>
      <c r="AF362" s="490">
        <f t="shared" si="3"/>
        <v>5132294.728</v>
      </c>
      <c r="AG362" s="493">
        <f t="shared" si="6"/>
        <v>580306.3513</v>
      </c>
      <c r="AH362" s="493">
        <f t="shared" si="4"/>
        <v>4551988.376</v>
      </c>
    </row>
    <row r="363">
      <c r="T363" s="494" t="s">
        <v>622</v>
      </c>
      <c r="AB363" s="489">
        <v>361.0</v>
      </c>
      <c r="AC363" s="490">
        <f t="shared" si="5"/>
        <v>5132294.728</v>
      </c>
      <c r="AD363" s="491">
        <f t="shared" si="1"/>
        <v>1500</v>
      </c>
      <c r="AE363" s="492">
        <f t="shared" si="2"/>
        <v>0.009063325885</v>
      </c>
      <c r="AF363" s="490">
        <f t="shared" si="3"/>
        <v>5180310.387</v>
      </c>
      <c r="AG363" s="493">
        <f t="shared" si="6"/>
        <v>581806.3513</v>
      </c>
      <c r="AH363" s="493">
        <f t="shared" si="4"/>
        <v>4598504.036</v>
      </c>
    </row>
    <row r="364">
      <c r="T364" s="494" t="s">
        <v>622</v>
      </c>
      <c r="AB364" s="489">
        <v>362.0</v>
      </c>
      <c r="AC364" s="490">
        <f t="shared" si="5"/>
        <v>5180310.387</v>
      </c>
      <c r="AD364" s="491">
        <f t="shared" si="1"/>
        <v>1500</v>
      </c>
      <c r="AE364" s="492">
        <f t="shared" si="2"/>
        <v>0.009063325885</v>
      </c>
      <c r="AF364" s="490">
        <f t="shared" si="3"/>
        <v>5228761.228</v>
      </c>
      <c r="AG364" s="493">
        <f t="shared" si="6"/>
        <v>583306.3513</v>
      </c>
      <c r="AH364" s="493">
        <f t="shared" si="4"/>
        <v>4645454.877</v>
      </c>
    </row>
    <row r="365">
      <c r="T365" s="494" t="s">
        <v>622</v>
      </c>
      <c r="AB365" s="489">
        <v>363.0</v>
      </c>
      <c r="AC365" s="490">
        <f t="shared" si="5"/>
        <v>5228761.228</v>
      </c>
      <c r="AD365" s="491">
        <f t="shared" si="1"/>
        <v>1500</v>
      </c>
      <c r="AE365" s="492">
        <f t="shared" si="2"/>
        <v>0.009063325885</v>
      </c>
      <c r="AF365" s="490">
        <f t="shared" si="3"/>
        <v>5277651.195</v>
      </c>
      <c r="AG365" s="493">
        <f t="shared" si="6"/>
        <v>584806.3513</v>
      </c>
      <c r="AH365" s="493">
        <f t="shared" si="4"/>
        <v>4692844.844</v>
      </c>
    </row>
    <row r="366">
      <c r="T366" s="494" t="s">
        <v>622</v>
      </c>
      <c r="AB366" s="489">
        <v>364.0</v>
      </c>
      <c r="AC366" s="490">
        <f t="shared" si="5"/>
        <v>5277651.195</v>
      </c>
      <c r="AD366" s="491">
        <f t="shared" si="1"/>
        <v>1500</v>
      </c>
      <c r="AE366" s="492">
        <f t="shared" si="2"/>
        <v>0.009063325885</v>
      </c>
      <c r="AF366" s="490">
        <f t="shared" si="3"/>
        <v>5326984.268</v>
      </c>
      <c r="AG366" s="493">
        <f t="shared" si="6"/>
        <v>586306.3513</v>
      </c>
      <c r="AH366" s="493">
        <f t="shared" si="4"/>
        <v>4740677.917</v>
      </c>
    </row>
    <row r="367">
      <c r="T367" s="494" t="s">
        <v>622</v>
      </c>
      <c r="AB367" s="489">
        <v>365.0</v>
      </c>
      <c r="AC367" s="490">
        <f t="shared" si="5"/>
        <v>5326984.268</v>
      </c>
      <c r="AD367" s="491">
        <f t="shared" si="1"/>
        <v>1500</v>
      </c>
      <c r="AE367" s="492">
        <f t="shared" si="2"/>
        <v>0.009063325885</v>
      </c>
      <c r="AF367" s="490">
        <f t="shared" si="3"/>
        <v>5376764.463</v>
      </c>
      <c r="AG367" s="493">
        <f t="shared" si="6"/>
        <v>587806.3513</v>
      </c>
      <c r="AH367" s="493">
        <f t="shared" si="4"/>
        <v>4788958.111</v>
      </c>
    </row>
    <row r="368">
      <c r="T368" s="494" t="s">
        <v>622</v>
      </c>
      <c r="AB368" s="489">
        <v>366.0</v>
      </c>
      <c r="AC368" s="490">
        <f t="shared" si="5"/>
        <v>5376764.463</v>
      </c>
      <c r="AD368" s="491">
        <f t="shared" si="1"/>
        <v>1500</v>
      </c>
      <c r="AE368" s="492">
        <f t="shared" si="2"/>
        <v>0.009063325885</v>
      </c>
      <c r="AF368" s="490">
        <f t="shared" si="3"/>
        <v>5426995.831</v>
      </c>
      <c r="AG368" s="493">
        <f t="shared" si="6"/>
        <v>589306.3513</v>
      </c>
      <c r="AH368" s="493">
        <f t="shared" si="4"/>
        <v>4837689.48</v>
      </c>
    </row>
    <row r="369">
      <c r="T369" s="494" t="s">
        <v>622</v>
      </c>
      <c r="AB369" s="489">
        <v>367.0</v>
      </c>
      <c r="AC369" s="490">
        <f t="shared" si="5"/>
        <v>5426995.831</v>
      </c>
      <c r="AD369" s="491">
        <f t="shared" si="1"/>
        <v>1500</v>
      </c>
      <c r="AE369" s="492">
        <f t="shared" si="2"/>
        <v>0.009063325885</v>
      </c>
      <c r="AF369" s="490">
        <f t="shared" si="3"/>
        <v>5477682.463</v>
      </c>
      <c r="AG369" s="493">
        <f t="shared" si="6"/>
        <v>590806.3513</v>
      </c>
      <c r="AH369" s="493">
        <f t="shared" si="4"/>
        <v>4886876.112</v>
      </c>
    </row>
    <row r="370">
      <c r="T370" s="494" t="s">
        <v>622</v>
      </c>
      <c r="AB370" s="489">
        <v>368.0</v>
      </c>
      <c r="AC370" s="490">
        <f t="shared" si="5"/>
        <v>5477682.463</v>
      </c>
      <c r="AD370" s="491">
        <f t="shared" si="1"/>
        <v>1500</v>
      </c>
      <c r="AE370" s="492">
        <f t="shared" si="2"/>
        <v>0.009063325885</v>
      </c>
      <c r="AF370" s="490">
        <f t="shared" si="3"/>
        <v>5528828.484</v>
      </c>
      <c r="AG370" s="493">
        <f t="shared" si="6"/>
        <v>592306.3513</v>
      </c>
      <c r="AH370" s="493">
        <f t="shared" si="4"/>
        <v>4936522.133</v>
      </c>
    </row>
    <row r="371">
      <c r="T371" s="494" t="s">
        <v>622</v>
      </c>
      <c r="AB371" s="489">
        <v>369.0</v>
      </c>
      <c r="AC371" s="490">
        <f t="shared" si="5"/>
        <v>5528828.484</v>
      </c>
      <c r="AD371" s="491">
        <f t="shared" si="1"/>
        <v>1500</v>
      </c>
      <c r="AE371" s="492">
        <f t="shared" si="2"/>
        <v>0.009063325885</v>
      </c>
      <c r="AF371" s="490">
        <f t="shared" si="3"/>
        <v>5580438.058</v>
      </c>
      <c r="AG371" s="493">
        <f t="shared" si="6"/>
        <v>593806.3513</v>
      </c>
      <c r="AH371" s="493">
        <f t="shared" si="4"/>
        <v>4986631.707</v>
      </c>
    </row>
    <row r="372">
      <c r="T372" s="494" t="s">
        <v>622</v>
      </c>
      <c r="AB372" s="489">
        <v>370.0</v>
      </c>
      <c r="AC372" s="490">
        <f t="shared" si="5"/>
        <v>5580438.058</v>
      </c>
      <c r="AD372" s="491">
        <f t="shared" si="1"/>
        <v>1500</v>
      </c>
      <c r="AE372" s="492">
        <f t="shared" si="2"/>
        <v>0.009063325885</v>
      </c>
      <c r="AF372" s="490">
        <f t="shared" si="3"/>
        <v>5632515.387</v>
      </c>
      <c r="AG372" s="493">
        <f t="shared" si="6"/>
        <v>595306.3513</v>
      </c>
      <c r="AH372" s="493">
        <f t="shared" si="4"/>
        <v>5037209.036</v>
      </c>
    </row>
    <row r="373">
      <c r="T373" s="494" t="s">
        <v>622</v>
      </c>
      <c r="AB373" s="489">
        <v>371.0</v>
      </c>
      <c r="AC373" s="490">
        <f t="shared" si="5"/>
        <v>5632515.387</v>
      </c>
      <c r="AD373" s="491">
        <f t="shared" si="1"/>
        <v>1500</v>
      </c>
      <c r="AE373" s="492">
        <f t="shared" si="2"/>
        <v>0.009063325885</v>
      </c>
      <c r="AF373" s="490">
        <f t="shared" si="3"/>
        <v>5685064.71</v>
      </c>
      <c r="AG373" s="493">
        <f t="shared" si="6"/>
        <v>596806.3513</v>
      </c>
      <c r="AH373" s="493">
        <f t="shared" si="4"/>
        <v>5088258.358</v>
      </c>
    </row>
    <row r="374">
      <c r="T374" s="494" t="s">
        <v>622</v>
      </c>
      <c r="AB374" s="489">
        <v>372.0</v>
      </c>
      <c r="AC374" s="490">
        <f t="shared" si="5"/>
        <v>5685064.71</v>
      </c>
      <c r="AD374" s="491">
        <f t="shared" si="1"/>
        <v>1500</v>
      </c>
      <c r="AE374" s="492">
        <f t="shared" si="2"/>
        <v>0.009063325885</v>
      </c>
      <c r="AF374" s="490">
        <f t="shared" si="3"/>
        <v>5738090.304</v>
      </c>
      <c r="AG374" s="493">
        <f t="shared" si="6"/>
        <v>598306.3513</v>
      </c>
      <c r="AH374" s="493">
        <f t="shared" si="4"/>
        <v>5139783.953</v>
      </c>
    </row>
    <row r="375">
      <c r="T375" s="494" t="s">
        <v>622</v>
      </c>
      <c r="AB375" s="489">
        <v>373.0</v>
      </c>
      <c r="AC375" s="490">
        <f t="shared" si="5"/>
        <v>5738090.304</v>
      </c>
      <c r="AD375" s="491">
        <f t="shared" si="1"/>
        <v>1500</v>
      </c>
      <c r="AE375" s="492">
        <f t="shared" si="2"/>
        <v>0.009063325885</v>
      </c>
      <c r="AF375" s="490">
        <f t="shared" si="3"/>
        <v>5791596.486</v>
      </c>
      <c r="AG375" s="493">
        <f t="shared" si="6"/>
        <v>599806.3513</v>
      </c>
      <c r="AH375" s="493">
        <f t="shared" si="4"/>
        <v>5191790.135</v>
      </c>
    </row>
    <row r="376">
      <c r="T376" s="494" t="s">
        <v>622</v>
      </c>
      <c r="AB376" s="489">
        <v>374.0</v>
      </c>
      <c r="AC376" s="490">
        <f t="shared" si="5"/>
        <v>5791596.486</v>
      </c>
      <c r="AD376" s="491">
        <f t="shared" si="1"/>
        <v>1500</v>
      </c>
      <c r="AE376" s="492">
        <f t="shared" si="2"/>
        <v>0.009063325885</v>
      </c>
      <c r="AF376" s="490">
        <f t="shared" si="3"/>
        <v>5845587.612</v>
      </c>
      <c r="AG376" s="493">
        <f t="shared" si="6"/>
        <v>601306.3513</v>
      </c>
      <c r="AH376" s="493">
        <f t="shared" si="4"/>
        <v>5244281.261</v>
      </c>
    </row>
    <row r="377">
      <c r="T377" s="494" t="s">
        <v>622</v>
      </c>
      <c r="AB377" s="489">
        <v>375.0</v>
      </c>
      <c r="AC377" s="490">
        <f t="shared" si="5"/>
        <v>5845587.612</v>
      </c>
      <c r="AD377" s="491">
        <f t="shared" si="1"/>
        <v>1500</v>
      </c>
      <c r="AE377" s="492">
        <f t="shared" si="2"/>
        <v>0.009063325885</v>
      </c>
      <c r="AF377" s="490">
        <f t="shared" si="3"/>
        <v>5900068.078</v>
      </c>
      <c r="AG377" s="493">
        <f t="shared" si="6"/>
        <v>602806.3513</v>
      </c>
      <c r="AH377" s="493">
        <f t="shared" si="4"/>
        <v>5297261.727</v>
      </c>
    </row>
    <row r="378">
      <c r="T378" s="494" t="s">
        <v>622</v>
      </c>
      <c r="AB378" s="489">
        <v>376.0</v>
      </c>
      <c r="AC378" s="490">
        <f t="shared" si="5"/>
        <v>5900068.078</v>
      </c>
      <c r="AD378" s="491">
        <f t="shared" si="1"/>
        <v>1500</v>
      </c>
      <c r="AE378" s="492">
        <f t="shared" si="2"/>
        <v>0.009063325885</v>
      </c>
      <c r="AF378" s="490">
        <f t="shared" si="3"/>
        <v>5955042.318</v>
      </c>
      <c r="AG378" s="493">
        <f t="shared" si="6"/>
        <v>604306.3513</v>
      </c>
      <c r="AH378" s="493">
        <f t="shared" si="4"/>
        <v>5350735.966</v>
      </c>
    </row>
    <row r="379">
      <c r="T379" s="494" t="s">
        <v>622</v>
      </c>
      <c r="AB379" s="489">
        <v>377.0</v>
      </c>
      <c r="AC379" s="490">
        <f t="shared" si="5"/>
        <v>5955042.318</v>
      </c>
      <c r="AD379" s="491">
        <f t="shared" si="1"/>
        <v>1500</v>
      </c>
      <c r="AE379" s="492">
        <f t="shared" si="2"/>
        <v>0.009063325885</v>
      </c>
      <c r="AF379" s="490">
        <f t="shared" si="3"/>
        <v>6010514.807</v>
      </c>
      <c r="AG379" s="493">
        <f t="shared" si="6"/>
        <v>605806.3513</v>
      </c>
      <c r="AH379" s="493">
        <f t="shared" si="4"/>
        <v>5404708.456</v>
      </c>
    </row>
    <row r="380">
      <c r="T380" s="494" t="s">
        <v>622</v>
      </c>
      <c r="AB380" s="489">
        <v>378.0</v>
      </c>
      <c r="AC380" s="490">
        <f t="shared" si="5"/>
        <v>6010514.807</v>
      </c>
      <c r="AD380" s="491">
        <f t="shared" si="1"/>
        <v>1500</v>
      </c>
      <c r="AE380" s="492">
        <f t="shared" si="2"/>
        <v>0.009063325885</v>
      </c>
      <c r="AF380" s="490">
        <f t="shared" si="3"/>
        <v>6066490.061</v>
      </c>
      <c r="AG380" s="493">
        <f t="shared" si="6"/>
        <v>607306.3513</v>
      </c>
      <c r="AH380" s="493">
        <f t="shared" si="4"/>
        <v>5459183.71</v>
      </c>
    </row>
    <row r="381">
      <c r="T381" s="494" t="s">
        <v>622</v>
      </c>
      <c r="AB381" s="489">
        <v>379.0</v>
      </c>
      <c r="AC381" s="490">
        <f t="shared" si="5"/>
        <v>6066490.061</v>
      </c>
      <c r="AD381" s="491">
        <f t="shared" si="1"/>
        <v>1500</v>
      </c>
      <c r="AE381" s="492">
        <f t="shared" si="2"/>
        <v>0.009063325885</v>
      </c>
      <c r="AF381" s="490">
        <f t="shared" si="3"/>
        <v>6122972.638</v>
      </c>
      <c r="AG381" s="493">
        <f t="shared" si="6"/>
        <v>608806.3513</v>
      </c>
      <c r="AH381" s="493">
        <f t="shared" si="4"/>
        <v>5514166.287</v>
      </c>
    </row>
    <row r="382">
      <c r="T382" s="494" t="s">
        <v>622</v>
      </c>
      <c r="AB382" s="489">
        <v>380.0</v>
      </c>
      <c r="AC382" s="490">
        <f t="shared" si="5"/>
        <v>6122972.638</v>
      </c>
      <c r="AD382" s="491">
        <f t="shared" si="1"/>
        <v>1500</v>
      </c>
      <c r="AE382" s="492">
        <f t="shared" si="2"/>
        <v>0.009063325885</v>
      </c>
      <c r="AF382" s="490">
        <f t="shared" si="3"/>
        <v>6179967.134</v>
      </c>
      <c r="AG382" s="493">
        <f t="shared" si="6"/>
        <v>610306.3513</v>
      </c>
      <c r="AH382" s="493">
        <f t="shared" si="4"/>
        <v>5569660.783</v>
      </c>
    </row>
    <row r="383">
      <c r="T383" s="494" t="s">
        <v>622</v>
      </c>
      <c r="AB383" s="489">
        <v>381.0</v>
      </c>
      <c r="AC383" s="490">
        <f t="shared" si="5"/>
        <v>6179967.134</v>
      </c>
      <c r="AD383" s="491">
        <f t="shared" si="1"/>
        <v>1500</v>
      </c>
      <c r="AE383" s="492">
        <f t="shared" si="2"/>
        <v>0.009063325885</v>
      </c>
      <c r="AF383" s="490">
        <f t="shared" si="3"/>
        <v>6237478.19</v>
      </c>
      <c r="AG383" s="493">
        <f t="shared" si="6"/>
        <v>611806.3513</v>
      </c>
      <c r="AH383" s="493">
        <f t="shared" si="4"/>
        <v>5625671.839</v>
      </c>
    </row>
    <row r="384">
      <c r="T384" s="494" t="s">
        <v>622</v>
      </c>
      <c r="AB384" s="489">
        <v>382.0</v>
      </c>
      <c r="AC384" s="490">
        <f t="shared" si="5"/>
        <v>6237478.19</v>
      </c>
      <c r="AD384" s="491">
        <f t="shared" si="1"/>
        <v>1500</v>
      </c>
      <c r="AE384" s="492">
        <f t="shared" si="2"/>
        <v>0.009063325885</v>
      </c>
      <c r="AF384" s="490">
        <f t="shared" si="3"/>
        <v>6295510.488</v>
      </c>
      <c r="AG384" s="493">
        <f t="shared" si="6"/>
        <v>613306.3513</v>
      </c>
      <c r="AH384" s="493">
        <f t="shared" si="4"/>
        <v>5682204.137</v>
      </c>
    </row>
    <row r="385">
      <c r="T385" s="494" t="s">
        <v>622</v>
      </c>
      <c r="AB385" s="489">
        <v>383.0</v>
      </c>
      <c r="AC385" s="490">
        <f t="shared" si="5"/>
        <v>6295510.488</v>
      </c>
      <c r="AD385" s="491">
        <f t="shared" si="1"/>
        <v>1500</v>
      </c>
      <c r="AE385" s="492">
        <f t="shared" si="2"/>
        <v>0.009063325885</v>
      </c>
      <c r="AF385" s="490">
        <f t="shared" si="3"/>
        <v>6354068.751</v>
      </c>
      <c r="AG385" s="493">
        <f t="shared" si="6"/>
        <v>614806.3513</v>
      </c>
      <c r="AH385" s="493">
        <f t="shared" si="4"/>
        <v>5739262.4</v>
      </c>
    </row>
    <row r="386">
      <c r="T386" s="494" t="s">
        <v>622</v>
      </c>
      <c r="AB386" s="489">
        <v>384.0</v>
      </c>
      <c r="AC386" s="490">
        <f t="shared" si="5"/>
        <v>6354068.751</v>
      </c>
      <c r="AD386" s="491">
        <f t="shared" si="1"/>
        <v>1500</v>
      </c>
      <c r="AE386" s="492">
        <f t="shared" si="2"/>
        <v>0.009063325885</v>
      </c>
      <c r="AF386" s="490">
        <f t="shared" si="3"/>
        <v>6413157.747</v>
      </c>
      <c r="AG386" s="493">
        <f t="shared" si="6"/>
        <v>616306.3513</v>
      </c>
      <c r="AH386" s="493">
        <f t="shared" si="4"/>
        <v>5796851.396</v>
      </c>
    </row>
    <row r="387">
      <c r="T387" s="494" t="s">
        <v>622</v>
      </c>
      <c r="AB387" s="489">
        <v>385.0</v>
      </c>
      <c r="AC387" s="490">
        <f t="shared" si="5"/>
        <v>6413157.747</v>
      </c>
      <c r="AD387" s="491">
        <f t="shared" si="1"/>
        <v>1500</v>
      </c>
      <c r="AE387" s="492">
        <f t="shared" si="2"/>
        <v>0.009063325885</v>
      </c>
      <c r="AF387" s="490">
        <f t="shared" si="3"/>
        <v>6472782.285</v>
      </c>
      <c r="AG387" s="493">
        <f t="shared" si="6"/>
        <v>617806.3513</v>
      </c>
      <c r="AH387" s="493">
        <f t="shared" si="4"/>
        <v>5854975.934</v>
      </c>
    </row>
    <row r="388">
      <c r="T388" s="494" t="s">
        <v>622</v>
      </c>
      <c r="AB388" s="489">
        <v>386.0</v>
      </c>
      <c r="AC388" s="490">
        <f t="shared" si="5"/>
        <v>6472782.285</v>
      </c>
      <c r="AD388" s="491">
        <f t="shared" si="1"/>
        <v>1500</v>
      </c>
      <c r="AE388" s="492">
        <f t="shared" si="2"/>
        <v>0.009063325885</v>
      </c>
      <c r="AF388" s="490">
        <f t="shared" si="3"/>
        <v>6532947.221</v>
      </c>
      <c r="AG388" s="493">
        <f t="shared" si="6"/>
        <v>619306.3513</v>
      </c>
      <c r="AH388" s="493">
        <f t="shared" si="4"/>
        <v>5913640.869</v>
      </c>
    </row>
    <row r="389">
      <c r="T389" s="494" t="s">
        <v>622</v>
      </c>
      <c r="AB389" s="489">
        <v>387.0</v>
      </c>
      <c r="AC389" s="490">
        <f t="shared" si="5"/>
        <v>6532947.221</v>
      </c>
      <c r="AD389" s="491">
        <f t="shared" si="1"/>
        <v>1500</v>
      </c>
      <c r="AE389" s="492">
        <f t="shared" si="2"/>
        <v>0.009063325885</v>
      </c>
      <c r="AF389" s="490">
        <f t="shared" si="3"/>
        <v>6593657.45</v>
      </c>
      <c r="AG389" s="493">
        <f t="shared" si="6"/>
        <v>620806.3513</v>
      </c>
      <c r="AH389" s="493">
        <f t="shared" si="4"/>
        <v>5972851.099</v>
      </c>
    </row>
    <row r="390">
      <c r="T390" s="494" t="s">
        <v>622</v>
      </c>
      <c r="AB390" s="489">
        <v>388.0</v>
      </c>
      <c r="AC390" s="490">
        <f t="shared" si="5"/>
        <v>6593657.45</v>
      </c>
      <c r="AD390" s="491">
        <f t="shared" si="1"/>
        <v>1500</v>
      </c>
      <c r="AE390" s="492">
        <f t="shared" si="2"/>
        <v>0.009063325885</v>
      </c>
      <c r="AF390" s="490">
        <f t="shared" si="3"/>
        <v>6654917.916</v>
      </c>
      <c r="AG390" s="493">
        <f t="shared" si="6"/>
        <v>622306.3513</v>
      </c>
      <c r="AH390" s="493">
        <f t="shared" si="4"/>
        <v>6032611.565</v>
      </c>
    </row>
    <row r="391">
      <c r="T391" s="494" t="s">
        <v>622</v>
      </c>
      <c r="AB391" s="489">
        <v>389.0</v>
      </c>
      <c r="AC391" s="490">
        <f t="shared" si="5"/>
        <v>6654917.916</v>
      </c>
      <c r="AD391" s="491">
        <f t="shared" si="1"/>
        <v>1500</v>
      </c>
      <c r="AE391" s="492">
        <f t="shared" si="2"/>
        <v>0.009063325885</v>
      </c>
      <c r="AF391" s="490">
        <f t="shared" si="3"/>
        <v>6716733.606</v>
      </c>
      <c r="AG391" s="493">
        <f t="shared" si="6"/>
        <v>623806.3513</v>
      </c>
      <c r="AH391" s="493">
        <f t="shared" si="4"/>
        <v>6092927.255</v>
      </c>
    </row>
    <row r="392">
      <c r="T392" s="494" t="s">
        <v>622</v>
      </c>
      <c r="AB392" s="489">
        <v>390.0</v>
      </c>
      <c r="AC392" s="490">
        <f t="shared" si="5"/>
        <v>6716733.606</v>
      </c>
      <c r="AD392" s="491">
        <f t="shared" si="1"/>
        <v>1500</v>
      </c>
      <c r="AE392" s="492">
        <f t="shared" si="2"/>
        <v>0.009063325885</v>
      </c>
      <c r="AF392" s="490">
        <f t="shared" si="3"/>
        <v>6779109.552</v>
      </c>
      <c r="AG392" s="493">
        <f t="shared" si="6"/>
        <v>625306.3513</v>
      </c>
      <c r="AH392" s="493">
        <f t="shared" si="4"/>
        <v>6153803.201</v>
      </c>
    </row>
    <row r="393">
      <c r="T393" s="494" t="s">
        <v>622</v>
      </c>
      <c r="AB393" s="489">
        <v>391.0</v>
      </c>
      <c r="AC393" s="490">
        <f t="shared" si="5"/>
        <v>6779109.552</v>
      </c>
      <c r="AD393" s="491">
        <f t="shared" si="1"/>
        <v>1500</v>
      </c>
      <c r="AE393" s="492">
        <f t="shared" si="2"/>
        <v>0.009063325885</v>
      </c>
      <c r="AF393" s="490">
        <f t="shared" si="3"/>
        <v>6842050.831</v>
      </c>
      <c r="AG393" s="493">
        <f t="shared" si="6"/>
        <v>626806.3513</v>
      </c>
      <c r="AH393" s="493">
        <f t="shared" si="4"/>
        <v>6215244.48</v>
      </c>
    </row>
    <row r="394">
      <c r="T394" s="494" t="s">
        <v>622</v>
      </c>
      <c r="AB394" s="489">
        <v>392.0</v>
      </c>
      <c r="AC394" s="490">
        <f t="shared" si="5"/>
        <v>6842050.831</v>
      </c>
      <c r="AD394" s="491">
        <f t="shared" si="1"/>
        <v>1500</v>
      </c>
      <c r="AE394" s="492">
        <f t="shared" si="2"/>
        <v>0.009063325885</v>
      </c>
      <c r="AF394" s="490">
        <f t="shared" si="3"/>
        <v>6905562.567</v>
      </c>
      <c r="AG394" s="493">
        <f t="shared" si="6"/>
        <v>628306.3513</v>
      </c>
      <c r="AH394" s="493">
        <f t="shared" si="4"/>
        <v>6277256.216</v>
      </c>
    </row>
    <row r="395">
      <c r="T395" s="494" t="s">
        <v>622</v>
      </c>
      <c r="AB395" s="489">
        <v>393.0</v>
      </c>
      <c r="AC395" s="490">
        <f t="shared" si="5"/>
        <v>6905562.567</v>
      </c>
      <c r="AD395" s="491">
        <f t="shared" si="1"/>
        <v>1500</v>
      </c>
      <c r="AE395" s="492">
        <f t="shared" si="2"/>
        <v>0.009063325885</v>
      </c>
      <c r="AF395" s="490">
        <f t="shared" si="3"/>
        <v>6969649.931</v>
      </c>
      <c r="AG395" s="493">
        <f t="shared" si="6"/>
        <v>629806.3513</v>
      </c>
      <c r="AH395" s="493">
        <f t="shared" si="4"/>
        <v>6339843.58</v>
      </c>
    </row>
    <row r="396">
      <c r="T396" s="494" t="s">
        <v>622</v>
      </c>
      <c r="AB396" s="489">
        <v>394.0</v>
      </c>
      <c r="AC396" s="490">
        <f t="shared" si="5"/>
        <v>6969649.931</v>
      </c>
      <c r="AD396" s="491">
        <f t="shared" si="1"/>
        <v>1500</v>
      </c>
      <c r="AE396" s="492">
        <f t="shared" si="2"/>
        <v>0.009063325885</v>
      </c>
      <c r="AF396" s="490">
        <f t="shared" si="3"/>
        <v>7034318.14</v>
      </c>
      <c r="AG396" s="493">
        <f t="shared" si="6"/>
        <v>631306.3513</v>
      </c>
      <c r="AH396" s="493">
        <f t="shared" si="4"/>
        <v>6403011.789</v>
      </c>
    </row>
    <row r="397">
      <c r="T397" s="494" t="s">
        <v>622</v>
      </c>
      <c r="AB397" s="489">
        <v>395.0</v>
      </c>
      <c r="AC397" s="490">
        <f t="shared" si="5"/>
        <v>7034318.14</v>
      </c>
      <c r="AD397" s="491">
        <f t="shared" si="1"/>
        <v>1500</v>
      </c>
      <c r="AE397" s="492">
        <f t="shared" si="2"/>
        <v>0.009063325885</v>
      </c>
      <c r="AF397" s="490">
        <f t="shared" si="3"/>
        <v>7099572.458</v>
      </c>
      <c r="AG397" s="493">
        <f t="shared" si="6"/>
        <v>632806.3513</v>
      </c>
      <c r="AH397" s="493">
        <f t="shared" si="4"/>
        <v>6466766.106</v>
      </c>
    </row>
    <row r="398">
      <c r="T398" s="494" t="s">
        <v>622</v>
      </c>
      <c r="AB398" s="489">
        <v>396.0</v>
      </c>
      <c r="AC398" s="490">
        <f t="shared" si="5"/>
        <v>7099572.458</v>
      </c>
      <c r="AD398" s="491">
        <f t="shared" si="1"/>
        <v>1500</v>
      </c>
      <c r="AE398" s="492">
        <f t="shared" si="2"/>
        <v>0.009063325885</v>
      </c>
      <c r="AF398" s="490">
        <f t="shared" si="3"/>
        <v>7165418.196</v>
      </c>
      <c r="AG398" s="493">
        <f t="shared" si="6"/>
        <v>634306.3513</v>
      </c>
      <c r="AH398" s="493">
        <f t="shared" si="4"/>
        <v>6531111.845</v>
      </c>
    </row>
    <row r="399">
      <c r="T399" s="494" t="s">
        <v>622</v>
      </c>
      <c r="AB399" s="489">
        <v>397.0</v>
      </c>
      <c r="AC399" s="490">
        <f t="shared" si="5"/>
        <v>7165418.196</v>
      </c>
      <c r="AD399" s="491">
        <f t="shared" si="1"/>
        <v>1500</v>
      </c>
      <c r="AE399" s="492">
        <f t="shared" si="2"/>
        <v>0.009063325885</v>
      </c>
      <c r="AF399" s="490">
        <f t="shared" si="3"/>
        <v>7231860.717</v>
      </c>
      <c r="AG399" s="493">
        <f t="shared" si="6"/>
        <v>635806.3513</v>
      </c>
      <c r="AH399" s="493">
        <f t="shared" si="4"/>
        <v>6596054.365</v>
      </c>
    </row>
    <row r="400">
      <c r="T400" s="494" t="s">
        <v>622</v>
      </c>
      <c r="AB400" s="489">
        <v>398.0</v>
      </c>
      <c r="AC400" s="490">
        <f t="shared" si="5"/>
        <v>7231860.717</v>
      </c>
      <c r="AD400" s="491">
        <f t="shared" si="1"/>
        <v>1500</v>
      </c>
      <c r="AE400" s="492">
        <f t="shared" si="2"/>
        <v>0.009063325885</v>
      </c>
      <c r="AF400" s="490">
        <f t="shared" si="3"/>
        <v>7298905.427</v>
      </c>
      <c r="AG400" s="493">
        <f t="shared" si="6"/>
        <v>637306.3513</v>
      </c>
      <c r="AH400" s="493">
        <f t="shared" si="4"/>
        <v>6661599.076</v>
      </c>
    </row>
    <row r="401">
      <c r="T401" s="494" t="s">
        <v>622</v>
      </c>
      <c r="AB401" s="489">
        <v>399.0</v>
      </c>
      <c r="AC401" s="490">
        <f t="shared" si="5"/>
        <v>7298905.427</v>
      </c>
      <c r="AD401" s="491">
        <f t="shared" si="1"/>
        <v>1500</v>
      </c>
      <c r="AE401" s="492">
        <f t="shared" si="2"/>
        <v>0.009063325885</v>
      </c>
      <c r="AF401" s="490">
        <f t="shared" si="3"/>
        <v>7366557.786</v>
      </c>
      <c r="AG401" s="493">
        <f t="shared" si="6"/>
        <v>638806.3513</v>
      </c>
      <c r="AH401" s="493">
        <f t="shared" si="4"/>
        <v>6727751.434</v>
      </c>
    </row>
    <row r="402">
      <c r="T402" s="494" t="s">
        <v>622</v>
      </c>
      <c r="AB402" s="489">
        <v>400.0</v>
      </c>
      <c r="AC402" s="490">
        <f t="shared" si="5"/>
        <v>7366557.786</v>
      </c>
      <c r="AD402" s="491">
        <f t="shared" si="1"/>
        <v>1500</v>
      </c>
      <c r="AE402" s="492">
        <f t="shared" si="2"/>
        <v>0.009063325885</v>
      </c>
      <c r="AF402" s="490">
        <f t="shared" si="3"/>
        <v>7434823.299</v>
      </c>
      <c r="AG402" s="493">
        <f t="shared" si="6"/>
        <v>640306.3513</v>
      </c>
      <c r="AH402" s="493">
        <f t="shared" si="4"/>
        <v>6794516.948</v>
      </c>
    </row>
    <row r="403">
      <c r="T403" s="494" t="s">
        <v>622</v>
      </c>
      <c r="AB403" s="489">
        <v>401.0</v>
      </c>
      <c r="AC403" s="490">
        <f t="shared" si="5"/>
        <v>7434823.299</v>
      </c>
      <c r="AD403" s="491">
        <f t="shared" si="1"/>
        <v>1500</v>
      </c>
      <c r="AE403" s="492">
        <f t="shared" si="2"/>
        <v>0.009063325885</v>
      </c>
      <c r="AF403" s="490">
        <f t="shared" si="3"/>
        <v>7503707.526</v>
      </c>
      <c r="AG403" s="493">
        <f t="shared" si="6"/>
        <v>641806.3513</v>
      </c>
      <c r="AH403" s="493">
        <f t="shared" si="4"/>
        <v>6861901.175</v>
      </c>
    </row>
    <row r="404">
      <c r="T404" s="494" t="s">
        <v>622</v>
      </c>
      <c r="AB404" s="489">
        <v>402.0</v>
      </c>
      <c r="AC404" s="490">
        <f t="shared" si="5"/>
        <v>7503707.526</v>
      </c>
      <c r="AD404" s="491">
        <f t="shared" si="1"/>
        <v>1500</v>
      </c>
      <c r="AE404" s="492">
        <f t="shared" si="2"/>
        <v>0.009063325885</v>
      </c>
      <c r="AF404" s="490">
        <f t="shared" si="3"/>
        <v>7573216.073</v>
      </c>
      <c r="AG404" s="493">
        <f t="shared" si="6"/>
        <v>643306.3513</v>
      </c>
      <c r="AH404" s="493">
        <f t="shared" si="4"/>
        <v>6929909.721</v>
      </c>
    </row>
    <row r="405">
      <c r="T405" s="494" t="s">
        <v>622</v>
      </c>
      <c r="AB405" s="489">
        <v>403.0</v>
      </c>
      <c r="AC405" s="490">
        <f t="shared" si="5"/>
        <v>7573216.073</v>
      </c>
      <c r="AD405" s="491">
        <f t="shared" si="1"/>
        <v>1500</v>
      </c>
      <c r="AE405" s="492">
        <f t="shared" si="2"/>
        <v>0.009063325885</v>
      </c>
      <c r="AF405" s="490">
        <f t="shared" si="3"/>
        <v>7643354.598</v>
      </c>
      <c r="AG405" s="493">
        <f t="shared" si="6"/>
        <v>644806.3513</v>
      </c>
      <c r="AH405" s="493">
        <f t="shared" si="4"/>
        <v>6998548.247</v>
      </c>
    </row>
    <row r="406">
      <c r="T406" s="494" t="s">
        <v>622</v>
      </c>
      <c r="AB406" s="489">
        <v>404.0</v>
      </c>
      <c r="AC406" s="490">
        <f t="shared" si="5"/>
        <v>7643354.598</v>
      </c>
      <c r="AD406" s="491">
        <f t="shared" si="1"/>
        <v>1500</v>
      </c>
      <c r="AE406" s="492">
        <f t="shared" si="2"/>
        <v>0.009063325885</v>
      </c>
      <c r="AF406" s="490">
        <f t="shared" si="3"/>
        <v>7714128.811</v>
      </c>
      <c r="AG406" s="493">
        <f t="shared" si="6"/>
        <v>646306.3513</v>
      </c>
      <c r="AH406" s="493">
        <f t="shared" si="4"/>
        <v>7067822.46</v>
      </c>
    </row>
    <row r="407">
      <c r="T407" s="494" t="s">
        <v>622</v>
      </c>
      <c r="AB407" s="489">
        <v>405.0</v>
      </c>
      <c r="AC407" s="490">
        <f t="shared" si="5"/>
        <v>7714128.811</v>
      </c>
      <c r="AD407" s="491">
        <f t="shared" si="1"/>
        <v>1500</v>
      </c>
      <c r="AE407" s="492">
        <f t="shared" si="2"/>
        <v>0.009063325885</v>
      </c>
      <c r="AF407" s="490">
        <f t="shared" si="3"/>
        <v>7785544.475</v>
      </c>
      <c r="AG407" s="493">
        <f t="shared" si="6"/>
        <v>647806.3513</v>
      </c>
      <c r="AH407" s="493">
        <f t="shared" si="4"/>
        <v>7137738.124</v>
      </c>
    </row>
    <row r="408">
      <c r="T408" s="494" t="s">
        <v>622</v>
      </c>
      <c r="AB408" s="489">
        <v>406.0</v>
      </c>
      <c r="AC408" s="490">
        <f t="shared" si="5"/>
        <v>7785544.475</v>
      </c>
      <c r="AD408" s="491">
        <f t="shared" si="1"/>
        <v>1500</v>
      </c>
      <c r="AE408" s="492">
        <f t="shared" si="2"/>
        <v>0.009063325885</v>
      </c>
      <c r="AF408" s="490">
        <f t="shared" si="3"/>
        <v>7857607.402</v>
      </c>
      <c r="AG408" s="493">
        <f t="shared" si="6"/>
        <v>649306.3513</v>
      </c>
      <c r="AH408" s="493">
        <f t="shared" si="4"/>
        <v>7208301.05</v>
      </c>
    </row>
    <row r="409">
      <c r="T409" s="494" t="s">
        <v>622</v>
      </c>
      <c r="AB409" s="489">
        <v>407.0</v>
      </c>
      <c r="AC409" s="490">
        <f t="shared" si="5"/>
        <v>7857607.402</v>
      </c>
      <c r="AD409" s="491">
        <f t="shared" si="1"/>
        <v>1500</v>
      </c>
      <c r="AE409" s="492">
        <f t="shared" si="2"/>
        <v>0.009063325885</v>
      </c>
      <c r="AF409" s="490">
        <f t="shared" si="3"/>
        <v>7930323.458</v>
      </c>
      <c r="AG409" s="493">
        <f t="shared" si="6"/>
        <v>650806.3513</v>
      </c>
      <c r="AH409" s="493">
        <f t="shared" si="4"/>
        <v>7279517.107</v>
      </c>
    </row>
    <row r="410">
      <c r="T410" s="494" t="s">
        <v>622</v>
      </c>
      <c r="AB410" s="489">
        <v>408.0</v>
      </c>
      <c r="AC410" s="490">
        <f t="shared" si="5"/>
        <v>7930323.458</v>
      </c>
      <c r="AD410" s="491">
        <f t="shared" si="1"/>
        <v>1500</v>
      </c>
      <c r="AE410" s="492">
        <f t="shared" si="2"/>
        <v>0.009063325885</v>
      </c>
      <c r="AF410" s="490">
        <f t="shared" si="3"/>
        <v>8003698.564</v>
      </c>
      <c r="AG410" s="493">
        <f t="shared" si="6"/>
        <v>652306.3513</v>
      </c>
      <c r="AH410" s="493">
        <f t="shared" si="4"/>
        <v>7351392.213</v>
      </c>
    </row>
    <row r="411">
      <c r="T411" s="494" t="s">
        <v>622</v>
      </c>
      <c r="AB411" s="489">
        <v>409.0</v>
      </c>
      <c r="AC411" s="490">
        <f t="shared" si="5"/>
        <v>8003698.564</v>
      </c>
      <c r="AD411" s="491">
        <f t="shared" si="1"/>
        <v>1500</v>
      </c>
      <c r="AE411" s="492">
        <f t="shared" si="2"/>
        <v>0.009063325885</v>
      </c>
      <c r="AF411" s="490">
        <f t="shared" si="3"/>
        <v>8077738.692</v>
      </c>
      <c r="AG411" s="493">
        <f t="shared" si="6"/>
        <v>653806.3513</v>
      </c>
      <c r="AH411" s="493">
        <f t="shared" si="4"/>
        <v>7423932.341</v>
      </c>
    </row>
    <row r="412">
      <c r="T412" s="494" t="s">
        <v>622</v>
      </c>
      <c r="AB412" s="489">
        <v>410.0</v>
      </c>
      <c r="AC412" s="490">
        <f t="shared" si="5"/>
        <v>8077738.692</v>
      </c>
      <c r="AD412" s="491">
        <f t="shared" si="1"/>
        <v>1500</v>
      </c>
      <c r="AE412" s="492">
        <f t="shared" si="2"/>
        <v>0.009063325885</v>
      </c>
      <c r="AF412" s="490">
        <f t="shared" si="3"/>
        <v>8152449.871</v>
      </c>
      <c r="AG412" s="493">
        <f t="shared" si="6"/>
        <v>655306.3513</v>
      </c>
      <c r="AH412" s="493">
        <f t="shared" si="4"/>
        <v>7497143.519</v>
      </c>
    </row>
    <row r="413">
      <c r="T413" s="494" t="s">
        <v>622</v>
      </c>
      <c r="AB413" s="489">
        <v>411.0</v>
      </c>
      <c r="AC413" s="490">
        <f t="shared" si="5"/>
        <v>8152449.871</v>
      </c>
      <c r="AD413" s="491">
        <f t="shared" si="1"/>
        <v>1500</v>
      </c>
      <c r="AE413" s="492">
        <f t="shared" si="2"/>
        <v>0.009063325885</v>
      </c>
      <c r="AF413" s="490">
        <f t="shared" si="3"/>
        <v>8227838.18</v>
      </c>
      <c r="AG413" s="493">
        <f t="shared" si="6"/>
        <v>656806.3513</v>
      </c>
      <c r="AH413" s="493">
        <f t="shared" si="4"/>
        <v>7571031.829</v>
      </c>
    </row>
    <row r="414">
      <c r="T414" s="494" t="s">
        <v>622</v>
      </c>
      <c r="AB414" s="489">
        <v>412.0</v>
      </c>
      <c r="AC414" s="490">
        <f t="shared" si="5"/>
        <v>8227838.18</v>
      </c>
      <c r="AD414" s="491">
        <f t="shared" si="1"/>
        <v>1500</v>
      </c>
      <c r="AE414" s="492">
        <f t="shared" si="2"/>
        <v>0.009063325885</v>
      </c>
      <c r="AF414" s="490">
        <f t="shared" si="3"/>
        <v>8303909.759</v>
      </c>
      <c r="AG414" s="493">
        <f t="shared" si="6"/>
        <v>658306.3513</v>
      </c>
      <c r="AH414" s="493">
        <f t="shared" si="4"/>
        <v>7645603.408</v>
      </c>
    </row>
    <row r="415">
      <c r="T415" s="494" t="s">
        <v>622</v>
      </c>
      <c r="AB415" s="489">
        <v>413.0</v>
      </c>
      <c r="AC415" s="490">
        <f t="shared" si="5"/>
        <v>8303909.759</v>
      </c>
      <c r="AD415" s="491">
        <f t="shared" si="1"/>
        <v>1500</v>
      </c>
      <c r="AE415" s="492">
        <f t="shared" si="2"/>
        <v>0.009063325885</v>
      </c>
      <c r="AF415" s="490">
        <f t="shared" si="3"/>
        <v>8380670.799</v>
      </c>
      <c r="AG415" s="493">
        <f t="shared" si="6"/>
        <v>659806.3513</v>
      </c>
      <c r="AH415" s="493">
        <f t="shared" si="4"/>
        <v>7720864.448</v>
      </c>
    </row>
    <row r="416">
      <c r="T416" s="494" t="s">
        <v>622</v>
      </c>
      <c r="AB416" s="489">
        <v>414.0</v>
      </c>
      <c r="AC416" s="490">
        <f t="shared" si="5"/>
        <v>8380670.799</v>
      </c>
      <c r="AD416" s="491">
        <f t="shared" si="1"/>
        <v>1500</v>
      </c>
      <c r="AE416" s="492">
        <f t="shared" si="2"/>
        <v>0.009063325885</v>
      </c>
      <c r="AF416" s="490">
        <f t="shared" si="3"/>
        <v>8458127.55</v>
      </c>
      <c r="AG416" s="493">
        <f t="shared" si="6"/>
        <v>661306.3513</v>
      </c>
      <c r="AH416" s="493">
        <f t="shared" si="4"/>
        <v>7796821.199</v>
      </c>
    </row>
    <row r="417">
      <c r="T417" s="494" t="s">
        <v>622</v>
      </c>
      <c r="AB417" s="489">
        <v>415.0</v>
      </c>
      <c r="AC417" s="490">
        <f t="shared" si="5"/>
        <v>8458127.55</v>
      </c>
      <c r="AD417" s="491">
        <f t="shared" si="1"/>
        <v>1500</v>
      </c>
      <c r="AE417" s="492">
        <f t="shared" si="2"/>
        <v>0.009063325885</v>
      </c>
      <c r="AF417" s="490">
        <f t="shared" si="3"/>
        <v>8536286.316</v>
      </c>
      <c r="AG417" s="493">
        <f t="shared" si="6"/>
        <v>662806.3513</v>
      </c>
      <c r="AH417" s="493">
        <f t="shared" si="4"/>
        <v>7873479.965</v>
      </c>
    </row>
    <row r="418">
      <c r="T418" s="494" t="s">
        <v>622</v>
      </c>
      <c r="AB418" s="489">
        <v>416.0</v>
      </c>
      <c r="AC418" s="490">
        <f t="shared" si="5"/>
        <v>8536286.316</v>
      </c>
      <c r="AD418" s="491">
        <f t="shared" si="1"/>
        <v>1500</v>
      </c>
      <c r="AE418" s="492">
        <f t="shared" si="2"/>
        <v>0.009063325885</v>
      </c>
      <c r="AF418" s="490">
        <f t="shared" si="3"/>
        <v>8615153.461</v>
      </c>
      <c r="AG418" s="493">
        <f t="shared" si="6"/>
        <v>664306.3513</v>
      </c>
      <c r="AH418" s="493">
        <f t="shared" si="4"/>
        <v>7950847.11</v>
      </c>
    </row>
    <row r="419">
      <c r="T419" s="494" t="s">
        <v>622</v>
      </c>
      <c r="AB419" s="489">
        <v>417.0</v>
      </c>
      <c r="AC419" s="490">
        <f t="shared" si="5"/>
        <v>8615153.461</v>
      </c>
      <c r="AD419" s="491">
        <f t="shared" si="1"/>
        <v>1500</v>
      </c>
      <c r="AE419" s="492">
        <f t="shared" si="2"/>
        <v>0.009063325885</v>
      </c>
      <c r="AF419" s="490">
        <f t="shared" si="3"/>
        <v>8694735.405</v>
      </c>
      <c r="AG419" s="493">
        <f t="shared" si="6"/>
        <v>665806.3513</v>
      </c>
      <c r="AH419" s="493">
        <f t="shared" si="4"/>
        <v>8028929.053</v>
      </c>
    </row>
    <row r="420">
      <c r="T420" s="494" t="s">
        <v>622</v>
      </c>
      <c r="AB420" s="489">
        <v>418.0</v>
      </c>
      <c r="AC420" s="490">
        <f t="shared" si="5"/>
        <v>8694735.405</v>
      </c>
      <c r="AD420" s="491">
        <f t="shared" si="1"/>
        <v>1500</v>
      </c>
      <c r="AE420" s="492">
        <f t="shared" si="2"/>
        <v>0.009063325885</v>
      </c>
      <c r="AF420" s="490">
        <f t="shared" si="3"/>
        <v>8775038.625</v>
      </c>
      <c r="AG420" s="493">
        <f t="shared" si="6"/>
        <v>667306.3513</v>
      </c>
      <c r="AH420" s="493">
        <f t="shared" si="4"/>
        <v>8107732.274</v>
      </c>
    </row>
    <row r="421">
      <c r="T421" s="494" t="s">
        <v>622</v>
      </c>
      <c r="AB421" s="489">
        <v>419.0</v>
      </c>
      <c r="AC421" s="490">
        <f t="shared" si="5"/>
        <v>8775038.625</v>
      </c>
      <c r="AD421" s="491">
        <f t="shared" si="1"/>
        <v>1500</v>
      </c>
      <c r="AE421" s="492">
        <f t="shared" si="2"/>
        <v>0.009063325885</v>
      </c>
      <c r="AF421" s="490">
        <f t="shared" si="3"/>
        <v>8856069.66</v>
      </c>
      <c r="AG421" s="493">
        <f t="shared" si="6"/>
        <v>668806.3513</v>
      </c>
      <c r="AH421" s="493">
        <f t="shared" si="4"/>
        <v>8187263.308</v>
      </c>
    </row>
    <row r="422">
      <c r="T422" s="494" t="s">
        <v>622</v>
      </c>
      <c r="AB422" s="489">
        <v>420.0</v>
      </c>
      <c r="AC422" s="490">
        <f t="shared" si="5"/>
        <v>8856069.66</v>
      </c>
      <c r="AD422" s="491">
        <f t="shared" si="1"/>
        <v>1500</v>
      </c>
      <c r="AE422" s="492">
        <f t="shared" si="2"/>
        <v>0.009063325885</v>
      </c>
      <c r="AF422" s="490">
        <f t="shared" si="3"/>
        <v>8937835.105</v>
      </c>
      <c r="AG422" s="493">
        <f t="shared" si="6"/>
        <v>670306.3513</v>
      </c>
      <c r="AH422" s="493">
        <f t="shared" si="4"/>
        <v>8267528.754</v>
      </c>
    </row>
    <row r="423">
      <c r="T423" s="494" t="s">
        <v>622</v>
      </c>
      <c r="AB423" s="489">
        <v>421.0</v>
      </c>
      <c r="AC423" s="490">
        <f t="shared" si="5"/>
        <v>8937835.105</v>
      </c>
      <c r="AD423" s="491">
        <f t="shared" si="1"/>
        <v>1500</v>
      </c>
      <c r="AE423" s="492">
        <f t="shared" si="2"/>
        <v>0.009063325885</v>
      </c>
      <c r="AF423" s="490">
        <f t="shared" si="3"/>
        <v>9020341.617</v>
      </c>
      <c r="AG423" s="493">
        <f t="shared" si="6"/>
        <v>671806.3513</v>
      </c>
      <c r="AH423" s="493">
        <f t="shared" si="4"/>
        <v>8348535.266</v>
      </c>
    </row>
    <row r="424">
      <c r="T424" s="494" t="s">
        <v>622</v>
      </c>
      <c r="AB424" s="489">
        <v>422.0</v>
      </c>
      <c r="AC424" s="490">
        <f t="shared" si="5"/>
        <v>9020341.617</v>
      </c>
      <c r="AD424" s="491">
        <f t="shared" si="1"/>
        <v>1500</v>
      </c>
      <c r="AE424" s="492">
        <f t="shared" si="2"/>
        <v>0.009063325885</v>
      </c>
      <c r="AF424" s="490">
        <f t="shared" si="3"/>
        <v>9103595.913</v>
      </c>
      <c r="AG424" s="493">
        <f t="shared" si="6"/>
        <v>673306.3513</v>
      </c>
      <c r="AH424" s="493">
        <f t="shared" si="4"/>
        <v>8430289.562</v>
      </c>
    </row>
    <row r="425">
      <c r="T425" s="494" t="s">
        <v>622</v>
      </c>
      <c r="AB425" s="489">
        <v>423.0</v>
      </c>
      <c r="AC425" s="490">
        <f t="shared" si="5"/>
        <v>9103595.913</v>
      </c>
      <c r="AD425" s="491">
        <f t="shared" si="1"/>
        <v>1500</v>
      </c>
      <c r="AE425" s="492">
        <f t="shared" si="2"/>
        <v>0.009063325885</v>
      </c>
      <c r="AF425" s="490">
        <f t="shared" si="3"/>
        <v>9187604.77</v>
      </c>
      <c r="AG425" s="493">
        <f t="shared" si="6"/>
        <v>674806.3513</v>
      </c>
      <c r="AH425" s="493">
        <f t="shared" si="4"/>
        <v>8512798.418</v>
      </c>
    </row>
    <row r="426">
      <c r="T426" s="494" t="s">
        <v>622</v>
      </c>
      <c r="AB426" s="489">
        <v>424.0</v>
      </c>
      <c r="AC426" s="490">
        <f t="shared" si="5"/>
        <v>9187604.77</v>
      </c>
      <c r="AD426" s="491">
        <f t="shared" si="1"/>
        <v>1500</v>
      </c>
      <c r="AE426" s="492">
        <f t="shared" si="2"/>
        <v>0.009063325885</v>
      </c>
      <c r="AF426" s="490">
        <f t="shared" si="3"/>
        <v>9272375.026</v>
      </c>
      <c r="AG426" s="493">
        <f t="shared" si="6"/>
        <v>676306.3513</v>
      </c>
      <c r="AH426" s="493">
        <f t="shared" si="4"/>
        <v>8596068.674</v>
      </c>
    </row>
    <row r="427">
      <c r="T427" s="494" t="s">
        <v>622</v>
      </c>
      <c r="AB427" s="489">
        <v>425.0</v>
      </c>
      <c r="AC427" s="490">
        <f t="shared" si="5"/>
        <v>9272375.026</v>
      </c>
      <c r="AD427" s="491">
        <f t="shared" si="1"/>
        <v>1500</v>
      </c>
      <c r="AE427" s="492">
        <f t="shared" si="2"/>
        <v>0.009063325885</v>
      </c>
      <c r="AF427" s="490">
        <f t="shared" si="3"/>
        <v>9357913.582</v>
      </c>
      <c r="AG427" s="493">
        <f t="shared" si="6"/>
        <v>677806.3513</v>
      </c>
      <c r="AH427" s="493">
        <f t="shared" si="4"/>
        <v>8680107.231</v>
      </c>
    </row>
    <row r="428">
      <c r="T428" s="494" t="s">
        <v>622</v>
      </c>
      <c r="AB428" s="489">
        <v>426.0</v>
      </c>
      <c r="AC428" s="490">
        <f t="shared" si="5"/>
        <v>9357913.582</v>
      </c>
      <c r="AD428" s="491">
        <f t="shared" si="1"/>
        <v>1500</v>
      </c>
      <c r="AE428" s="492">
        <f t="shared" si="2"/>
        <v>0.009063325885</v>
      </c>
      <c r="AF428" s="490">
        <f t="shared" si="3"/>
        <v>9444227.403</v>
      </c>
      <c r="AG428" s="493">
        <f t="shared" si="6"/>
        <v>679306.3513</v>
      </c>
      <c r="AH428" s="493">
        <f t="shared" si="4"/>
        <v>8764921.051</v>
      </c>
    </row>
    <row r="429">
      <c r="T429" s="494" t="s">
        <v>622</v>
      </c>
      <c r="AB429" s="489">
        <v>427.0</v>
      </c>
      <c r="AC429" s="490">
        <f t="shared" si="5"/>
        <v>9444227.403</v>
      </c>
      <c r="AD429" s="491">
        <f t="shared" si="1"/>
        <v>1500</v>
      </c>
      <c r="AE429" s="492">
        <f t="shared" si="2"/>
        <v>0.009063325885</v>
      </c>
      <c r="AF429" s="490">
        <f t="shared" si="3"/>
        <v>9531323.513</v>
      </c>
      <c r="AG429" s="493">
        <f t="shared" si="6"/>
        <v>680806.3513</v>
      </c>
      <c r="AH429" s="493">
        <f t="shared" si="4"/>
        <v>8850517.162</v>
      </c>
    </row>
    <row r="430">
      <c r="T430" s="494" t="s">
        <v>622</v>
      </c>
      <c r="AB430" s="489">
        <v>428.0</v>
      </c>
      <c r="AC430" s="490">
        <f t="shared" si="5"/>
        <v>9531323.513</v>
      </c>
      <c r="AD430" s="491">
        <f t="shared" si="1"/>
        <v>1500</v>
      </c>
      <c r="AE430" s="492">
        <f t="shared" si="2"/>
        <v>0.009063325885</v>
      </c>
      <c r="AF430" s="490">
        <f t="shared" si="3"/>
        <v>9619209.004</v>
      </c>
      <c r="AG430" s="493">
        <f t="shared" si="6"/>
        <v>682306.3513</v>
      </c>
      <c r="AH430" s="493">
        <f t="shared" si="4"/>
        <v>8936902.653</v>
      </c>
    </row>
    <row r="431">
      <c r="T431" s="494" t="s">
        <v>622</v>
      </c>
      <c r="AB431" s="489">
        <v>429.0</v>
      </c>
      <c r="AC431" s="490">
        <f t="shared" si="5"/>
        <v>9619209.004</v>
      </c>
      <c r="AD431" s="491">
        <f t="shared" si="1"/>
        <v>1500</v>
      </c>
      <c r="AE431" s="492">
        <f t="shared" si="2"/>
        <v>0.009063325885</v>
      </c>
      <c r="AF431" s="490">
        <f t="shared" si="3"/>
        <v>9707891.03</v>
      </c>
      <c r="AG431" s="493">
        <f t="shared" si="6"/>
        <v>683806.3513</v>
      </c>
      <c r="AH431" s="493">
        <f t="shared" si="4"/>
        <v>9024084.679</v>
      </c>
    </row>
    <row r="432">
      <c r="T432" s="494" t="s">
        <v>622</v>
      </c>
      <c r="AB432" s="489">
        <v>430.0</v>
      </c>
      <c r="AC432" s="490">
        <f t="shared" si="5"/>
        <v>9707891.03</v>
      </c>
      <c r="AD432" s="491">
        <f t="shared" si="1"/>
        <v>1500</v>
      </c>
      <c r="AE432" s="492">
        <f t="shared" si="2"/>
        <v>0.009063325885</v>
      </c>
      <c r="AF432" s="490">
        <f t="shared" si="3"/>
        <v>9797376.81</v>
      </c>
      <c r="AG432" s="493">
        <f t="shared" si="6"/>
        <v>685306.3513</v>
      </c>
      <c r="AH432" s="493">
        <f t="shared" si="4"/>
        <v>9112070.459</v>
      </c>
    </row>
    <row r="433">
      <c r="T433" s="494" t="s">
        <v>622</v>
      </c>
      <c r="AB433" s="489">
        <v>431.0</v>
      </c>
      <c r="AC433" s="490">
        <f t="shared" si="5"/>
        <v>9797376.81</v>
      </c>
      <c r="AD433" s="491">
        <f t="shared" si="1"/>
        <v>1500</v>
      </c>
      <c r="AE433" s="492">
        <f t="shared" si="2"/>
        <v>0.009063325885</v>
      </c>
      <c r="AF433" s="490">
        <f t="shared" si="3"/>
        <v>9887673.629</v>
      </c>
      <c r="AG433" s="493">
        <f t="shared" si="6"/>
        <v>686806.3513</v>
      </c>
      <c r="AH433" s="493">
        <f t="shared" si="4"/>
        <v>9200867.278</v>
      </c>
    </row>
    <row r="434">
      <c r="T434" s="494" t="s">
        <v>622</v>
      </c>
      <c r="AB434" s="489">
        <v>432.0</v>
      </c>
      <c r="AC434" s="490">
        <f t="shared" si="5"/>
        <v>9887673.629</v>
      </c>
      <c r="AD434" s="491">
        <f t="shared" si="1"/>
        <v>1500</v>
      </c>
      <c r="AE434" s="492">
        <f t="shared" si="2"/>
        <v>0.009063325885</v>
      </c>
      <c r="AF434" s="490">
        <f t="shared" si="3"/>
        <v>9978788.838</v>
      </c>
      <c r="AG434" s="493">
        <f t="shared" si="6"/>
        <v>688306.3513</v>
      </c>
      <c r="AH434" s="493">
        <f t="shared" si="4"/>
        <v>9290482.486</v>
      </c>
    </row>
    <row r="435">
      <c r="T435" s="494" t="s">
        <v>622</v>
      </c>
      <c r="AB435" s="489">
        <v>433.0</v>
      </c>
      <c r="AC435" s="490">
        <f t="shared" si="5"/>
        <v>9978788.838</v>
      </c>
      <c r="AD435" s="491">
        <f t="shared" si="1"/>
        <v>1500</v>
      </c>
      <c r="AE435" s="492">
        <f t="shared" si="2"/>
        <v>0.009063325885</v>
      </c>
      <c r="AF435" s="490">
        <f t="shared" si="3"/>
        <v>10070729.85</v>
      </c>
      <c r="AG435" s="493">
        <f t="shared" si="6"/>
        <v>689806.3513</v>
      </c>
      <c r="AH435" s="493">
        <f t="shared" si="4"/>
        <v>9380923.502</v>
      </c>
    </row>
    <row r="436">
      <c r="T436" s="494" t="s">
        <v>622</v>
      </c>
      <c r="AB436" s="489">
        <v>434.0</v>
      </c>
      <c r="AC436" s="490">
        <f t="shared" si="5"/>
        <v>10070729.85</v>
      </c>
      <c r="AD436" s="491">
        <f t="shared" si="1"/>
        <v>1500</v>
      </c>
      <c r="AE436" s="492">
        <f t="shared" si="2"/>
        <v>0.009063325885</v>
      </c>
      <c r="AF436" s="490">
        <f t="shared" si="3"/>
        <v>10163504.16</v>
      </c>
      <c r="AG436" s="493">
        <f t="shared" si="6"/>
        <v>691306.3513</v>
      </c>
      <c r="AH436" s="493">
        <f t="shared" si="4"/>
        <v>9472197.808</v>
      </c>
    </row>
    <row r="437">
      <c r="T437" s="494" t="s">
        <v>622</v>
      </c>
      <c r="AB437" s="489">
        <v>435.0</v>
      </c>
      <c r="AC437" s="490">
        <f t="shared" si="5"/>
        <v>10163504.16</v>
      </c>
      <c r="AD437" s="491">
        <f t="shared" si="1"/>
        <v>1500</v>
      </c>
      <c r="AE437" s="492">
        <f t="shared" si="2"/>
        <v>0.009063325885</v>
      </c>
      <c r="AF437" s="490">
        <f t="shared" si="3"/>
        <v>10257119.31</v>
      </c>
      <c r="AG437" s="493">
        <f t="shared" si="6"/>
        <v>692806.3513</v>
      </c>
      <c r="AH437" s="493">
        <f t="shared" si="4"/>
        <v>9564312.958</v>
      </c>
    </row>
    <row r="438">
      <c r="T438" s="494" t="s">
        <v>622</v>
      </c>
      <c r="AB438" s="489">
        <v>436.0</v>
      </c>
      <c r="AC438" s="490">
        <f t="shared" si="5"/>
        <v>10257119.31</v>
      </c>
      <c r="AD438" s="491">
        <f t="shared" si="1"/>
        <v>1500</v>
      </c>
      <c r="AE438" s="492">
        <f t="shared" si="2"/>
        <v>0.009063325885</v>
      </c>
      <c r="AF438" s="490">
        <f t="shared" si="3"/>
        <v>10351582.92</v>
      </c>
      <c r="AG438" s="493">
        <f t="shared" si="6"/>
        <v>694306.3513</v>
      </c>
      <c r="AH438" s="493">
        <f t="shared" si="4"/>
        <v>9657276.573</v>
      </c>
    </row>
    <row r="439">
      <c r="T439" s="494" t="s">
        <v>622</v>
      </c>
      <c r="AB439" s="489">
        <v>437.0</v>
      </c>
      <c r="AC439" s="490">
        <f t="shared" si="5"/>
        <v>10351582.92</v>
      </c>
      <c r="AD439" s="491">
        <f t="shared" si="1"/>
        <v>1500</v>
      </c>
      <c r="AE439" s="492">
        <f t="shared" si="2"/>
        <v>0.009063325885</v>
      </c>
      <c r="AF439" s="490">
        <f t="shared" si="3"/>
        <v>10446902.69</v>
      </c>
      <c r="AG439" s="493">
        <f t="shared" si="6"/>
        <v>695806.3513</v>
      </c>
      <c r="AH439" s="493">
        <f t="shared" si="4"/>
        <v>9751096.343</v>
      </c>
    </row>
    <row r="440">
      <c r="T440" s="494" t="s">
        <v>622</v>
      </c>
      <c r="AB440" s="489">
        <v>438.0</v>
      </c>
      <c r="AC440" s="490">
        <f t="shared" si="5"/>
        <v>10446902.69</v>
      </c>
      <c r="AD440" s="491">
        <f t="shared" si="1"/>
        <v>1500</v>
      </c>
      <c r="AE440" s="492">
        <f t="shared" si="2"/>
        <v>0.009063325885</v>
      </c>
      <c r="AF440" s="490">
        <f t="shared" si="3"/>
        <v>10543086.38</v>
      </c>
      <c r="AG440" s="493">
        <f t="shared" si="6"/>
        <v>697306.3513</v>
      </c>
      <c r="AH440" s="493">
        <f t="shared" si="4"/>
        <v>9845780.027</v>
      </c>
    </row>
    <row r="441">
      <c r="T441" s="494" t="s">
        <v>622</v>
      </c>
      <c r="AB441" s="489">
        <v>439.0</v>
      </c>
      <c r="AC441" s="490">
        <f t="shared" si="5"/>
        <v>10543086.38</v>
      </c>
      <c r="AD441" s="491">
        <f t="shared" si="1"/>
        <v>1500</v>
      </c>
      <c r="AE441" s="492">
        <f t="shared" si="2"/>
        <v>0.009063325885</v>
      </c>
      <c r="AF441" s="490">
        <f t="shared" si="3"/>
        <v>10640141.81</v>
      </c>
      <c r="AG441" s="493">
        <f t="shared" si="6"/>
        <v>698806.3513</v>
      </c>
      <c r="AH441" s="493">
        <f t="shared" si="4"/>
        <v>9941335.454</v>
      </c>
    </row>
    <row r="442">
      <c r="T442" s="494" t="s">
        <v>622</v>
      </c>
      <c r="AB442" s="489">
        <v>440.0</v>
      </c>
      <c r="AC442" s="490">
        <f t="shared" si="5"/>
        <v>10640141.81</v>
      </c>
      <c r="AD442" s="491">
        <f t="shared" si="1"/>
        <v>1500</v>
      </c>
      <c r="AE442" s="492">
        <f t="shared" si="2"/>
        <v>0.009063325885</v>
      </c>
      <c r="AF442" s="490">
        <f t="shared" si="3"/>
        <v>10738076.88</v>
      </c>
      <c r="AG442" s="493">
        <f t="shared" si="6"/>
        <v>700306.3513</v>
      </c>
      <c r="AH442" s="493">
        <f t="shared" si="4"/>
        <v>10037770.53</v>
      </c>
    </row>
    <row r="443">
      <c r="T443" s="494" t="s">
        <v>622</v>
      </c>
      <c r="AB443" s="489">
        <v>441.0</v>
      </c>
      <c r="AC443" s="490">
        <f t="shared" si="5"/>
        <v>10738076.88</v>
      </c>
      <c r="AD443" s="491">
        <f t="shared" si="1"/>
        <v>1500</v>
      </c>
      <c r="AE443" s="492">
        <f t="shared" si="2"/>
        <v>0.009063325885</v>
      </c>
      <c r="AF443" s="490">
        <f t="shared" si="3"/>
        <v>10836899.57</v>
      </c>
      <c r="AG443" s="493">
        <f t="shared" si="6"/>
        <v>701806.3513</v>
      </c>
      <c r="AH443" s="493">
        <f t="shared" si="4"/>
        <v>10135093.22</v>
      </c>
    </row>
    <row r="444">
      <c r="T444" s="494" t="s">
        <v>622</v>
      </c>
      <c r="AB444" s="489">
        <v>442.0</v>
      </c>
      <c r="AC444" s="490">
        <f t="shared" si="5"/>
        <v>10836899.57</v>
      </c>
      <c r="AD444" s="491">
        <f t="shared" si="1"/>
        <v>1500</v>
      </c>
      <c r="AE444" s="492">
        <f t="shared" si="2"/>
        <v>0.009063325885</v>
      </c>
      <c r="AF444" s="490">
        <f t="shared" si="3"/>
        <v>10936617.92</v>
      </c>
      <c r="AG444" s="493">
        <f t="shared" si="6"/>
        <v>703306.3513</v>
      </c>
      <c r="AH444" s="493">
        <f t="shared" si="4"/>
        <v>10233311.57</v>
      </c>
    </row>
    <row r="445">
      <c r="T445" s="494" t="s">
        <v>622</v>
      </c>
      <c r="AB445" s="489">
        <v>443.0</v>
      </c>
      <c r="AC445" s="490">
        <f t="shared" si="5"/>
        <v>10936617.92</v>
      </c>
      <c r="AD445" s="491">
        <f t="shared" si="1"/>
        <v>1500</v>
      </c>
      <c r="AE445" s="492">
        <f t="shared" si="2"/>
        <v>0.009063325885</v>
      </c>
      <c r="AF445" s="490">
        <f t="shared" si="3"/>
        <v>11037240.05</v>
      </c>
      <c r="AG445" s="493">
        <f t="shared" si="6"/>
        <v>704806.3513</v>
      </c>
      <c r="AH445" s="493">
        <f t="shared" si="4"/>
        <v>10332433.7</v>
      </c>
    </row>
    <row r="446">
      <c r="T446" s="494" t="s">
        <v>622</v>
      </c>
      <c r="AB446" s="489">
        <v>444.0</v>
      </c>
      <c r="AC446" s="490">
        <f t="shared" si="5"/>
        <v>11037240.05</v>
      </c>
      <c r="AD446" s="491">
        <f t="shared" si="1"/>
        <v>1500</v>
      </c>
      <c r="AE446" s="492">
        <f t="shared" si="2"/>
        <v>0.009063325885</v>
      </c>
      <c r="AF446" s="490">
        <f t="shared" si="3"/>
        <v>11138774.16</v>
      </c>
      <c r="AG446" s="493">
        <f t="shared" si="6"/>
        <v>706306.3513</v>
      </c>
      <c r="AH446" s="493">
        <f t="shared" si="4"/>
        <v>10432467.81</v>
      </c>
    </row>
    <row r="447">
      <c r="T447" s="494" t="s">
        <v>622</v>
      </c>
      <c r="AB447" s="489">
        <v>445.0</v>
      </c>
      <c r="AC447" s="490">
        <f t="shared" si="5"/>
        <v>11138774.16</v>
      </c>
      <c r="AD447" s="491">
        <f t="shared" si="1"/>
        <v>1500</v>
      </c>
      <c r="AE447" s="492">
        <f t="shared" si="2"/>
        <v>0.009063325885</v>
      </c>
      <c r="AF447" s="490">
        <f t="shared" si="3"/>
        <v>11241228.5</v>
      </c>
      <c r="AG447" s="493">
        <f t="shared" si="6"/>
        <v>707806.3513</v>
      </c>
      <c r="AH447" s="493">
        <f t="shared" si="4"/>
        <v>10533422.15</v>
      </c>
    </row>
    <row r="448">
      <c r="T448" s="494" t="s">
        <v>622</v>
      </c>
      <c r="AB448" s="489">
        <v>446.0</v>
      </c>
      <c r="AC448" s="490">
        <f t="shared" si="5"/>
        <v>11241228.5</v>
      </c>
      <c r="AD448" s="491">
        <f t="shared" si="1"/>
        <v>1500</v>
      </c>
      <c r="AE448" s="492">
        <f t="shared" si="2"/>
        <v>0.009063325885</v>
      </c>
      <c r="AF448" s="490">
        <f t="shared" si="3"/>
        <v>11344611.41</v>
      </c>
      <c r="AG448" s="493">
        <f t="shared" si="6"/>
        <v>709306.3513</v>
      </c>
      <c r="AH448" s="493">
        <f t="shared" si="4"/>
        <v>10635305.06</v>
      </c>
    </row>
    <row r="449">
      <c r="T449" s="494" t="s">
        <v>622</v>
      </c>
      <c r="AB449" s="489">
        <v>447.0</v>
      </c>
      <c r="AC449" s="490">
        <f t="shared" si="5"/>
        <v>11344611.41</v>
      </c>
      <c r="AD449" s="491">
        <f t="shared" si="1"/>
        <v>1500</v>
      </c>
      <c r="AE449" s="492">
        <f t="shared" si="2"/>
        <v>0.009063325885</v>
      </c>
      <c r="AF449" s="490">
        <f t="shared" si="3"/>
        <v>11448931.32</v>
      </c>
      <c r="AG449" s="493">
        <f t="shared" si="6"/>
        <v>710806.3513</v>
      </c>
      <c r="AH449" s="493">
        <f t="shared" si="4"/>
        <v>10738124.97</v>
      </c>
    </row>
    <row r="450">
      <c r="T450" s="494" t="s">
        <v>622</v>
      </c>
      <c r="AB450" s="489">
        <v>448.0</v>
      </c>
      <c r="AC450" s="490">
        <f t="shared" si="5"/>
        <v>11448931.32</v>
      </c>
      <c r="AD450" s="491">
        <f t="shared" si="1"/>
        <v>1500</v>
      </c>
      <c r="AE450" s="492">
        <f t="shared" si="2"/>
        <v>0.009063325885</v>
      </c>
      <c r="AF450" s="490">
        <f t="shared" si="3"/>
        <v>11554196.72</v>
      </c>
      <c r="AG450" s="493">
        <f t="shared" si="6"/>
        <v>712306.3513</v>
      </c>
      <c r="AH450" s="493">
        <f t="shared" si="4"/>
        <v>10841890.37</v>
      </c>
    </row>
    <row r="451">
      <c r="T451" s="494" t="s">
        <v>622</v>
      </c>
      <c r="AB451" s="489">
        <v>449.0</v>
      </c>
      <c r="AC451" s="490">
        <f t="shared" si="5"/>
        <v>11554196.72</v>
      </c>
      <c r="AD451" s="491">
        <f t="shared" si="1"/>
        <v>1500</v>
      </c>
      <c r="AE451" s="492">
        <f t="shared" si="2"/>
        <v>0.009063325885</v>
      </c>
      <c r="AF451" s="490">
        <f t="shared" si="3"/>
        <v>11660416.17</v>
      </c>
      <c r="AG451" s="493">
        <f t="shared" si="6"/>
        <v>713806.3513</v>
      </c>
      <c r="AH451" s="493">
        <f t="shared" si="4"/>
        <v>10946609.82</v>
      </c>
    </row>
    <row r="452">
      <c r="T452" s="494" t="s">
        <v>622</v>
      </c>
      <c r="AB452" s="489">
        <v>450.0</v>
      </c>
      <c r="AC452" s="490">
        <f t="shared" si="5"/>
        <v>11660416.17</v>
      </c>
      <c r="AD452" s="491">
        <f t="shared" si="1"/>
        <v>1500</v>
      </c>
      <c r="AE452" s="492">
        <f t="shared" si="2"/>
        <v>0.009063325885</v>
      </c>
      <c r="AF452" s="490">
        <f t="shared" si="3"/>
        <v>11767598.32</v>
      </c>
      <c r="AG452" s="493">
        <f t="shared" si="6"/>
        <v>715306.3513</v>
      </c>
      <c r="AH452" s="493">
        <f t="shared" si="4"/>
        <v>11052291.97</v>
      </c>
    </row>
    <row r="453">
      <c r="T453" s="494" t="s">
        <v>622</v>
      </c>
      <c r="AB453" s="489">
        <v>451.0</v>
      </c>
      <c r="AC453" s="490">
        <f t="shared" si="5"/>
        <v>11767598.32</v>
      </c>
      <c r="AD453" s="491">
        <f t="shared" si="1"/>
        <v>1500</v>
      </c>
      <c r="AE453" s="492">
        <f t="shared" si="2"/>
        <v>0.009063325885</v>
      </c>
      <c r="AF453" s="490">
        <f t="shared" si="3"/>
        <v>11875751.9</v>
      </c>
      <c r="AG453" s="493">
        <f t="shared" si="6"/>
        <v>716806.3513</v>
      </c>
      <c r="AH453" s="493">
        <f t="shared" si="4"/>
        <v>11158945.55</v>
      </c>
    </row>
    <row r="454">
      <c r="T454" s="494" t="s">
        <v>622</v>
      </c>
      <c r="AB454" s="489">
        <v>452.0</v>
      </c>
      <c r="AC454" s="490">
        <f t="shared" si="5"/>
        <v>11875751.9</v>
      </c>
      <c r="AD454" s="491">
        <f t="shared" si="1"/>
        <v>1500</v>
      </c>
      <c r="AE454" s="492">
        <f t="shared" si="2"/>
        <v>0.009063325885</v>
      </c>
      <c r="AF454" s="490">
        <f t="shared" si="3"/>
        <v>11984885.71</v>
      </c>
      <c r="AG454" s="493">
        <f t="shared" si="6"/>
        <v>718306.3513</v>
      </c>
      <c r="AH454" s="493">
        <f t="shared" si="4"/>
        <v>11266579.36</v>
      </c>
    </row>
    <row r="455">
      <c r="T455" s="494" t="s">
        <v>622</v>
      </c>
      <c r="AB455" s="489">
        <v>453.0</v>
      </c>
      <c r="AC455" s="490">
        <f t="shared" si="5"/>
        <v>11984885.71</v>
      </c>
      <c r="AD455" s="491">
        <f t="shared" si="1"/>
        <v>1500</v>
      </c>
      <c r="AE455" s="492">
        <f t="shared" si="2"/>
        <v>0.009063325885</v>
      </c>
      <c r="AF455" s="490">
        <f t="shared" si="3"/>
        <v>12095008.63</v>
      </c>
      <c r="AG455" s="493">
        <f t="shared" si="6"/>
        <v>719806.3513</v>
      </c>
      <c r="AH455" s="493">
        <f t="shared" si="4"/>
        <v>11375202.28</v>
      </c>
    </row>
    <row r="456">
      <c r="T456" s="494" t="s">
        <v>622</v>
      </c>
      <c r="AB456" s="489">
        <v>454.0</v>
      </c>
      <c r="AC456" s="490">
        <f t="shared" si="5"/>
        <v>12095008.63</v>
      </c>
      <c r="AD456" s="491">
        <f t="shared" si="1"/>
        <v>1500</v>
      </c>
      <c r="AE456" s="492">
        <f t="shared" si="2"/>
        <v>0.009063325885</v>
      </c>
      <c r="AF456" s="490">
        <f t="shared" si="3"/>
        <v>12206129.64</v>
      </c>
      <c r="AG456" s="493">
        <f t="shared" si="6"/>
        <v>721306.3513</v>
      </c>
      <c r="AH456" s="493">
        <f t="shared" si="4"/>
        <v>11484823.29</v>
      </c>
    </row>
    <row r="457">
      <c r="T457" s="494" t="s">
        <v>622</v>
      </c>
      <c r="AB457" s="489">
        <v>455.0</v>
      </c>
      <c r="AC457" s="490">
        <f t="shared" si="5"/>
        <v>12206129.64</v>
      </c>
      <c r="AD457" s="491">
        <f t="shared" si="1"/>
        <v>1500</v>
      </c>
      <c r="AE457" s="492">
        <f t="shared" si="2"/>
        <v>0.009063325885</v>
      </c>
      <c r="AF457" s="490">
        <f t="shared" si="3"/>
        <v>12318257.77</v>
      </c>
      <c r="AG457" s="493">
        <f t="shared" si="6"/>
        <v>722806.3513</v>
      </c>
      <c r="AH457" s="493">
        <f t="shared" si="4"/>
        <v>11595451.42</v>
      </c>
    </row>
    <row r="458">
      <c r="T458" s="494" t="s">
        <v>622</v>
      </c>
      <c r="AB458" s="489">
        <v>456.0</v>
      </c>
      <c r="AC458" s="490">
        <f t="shared" si="5"/>
        <v>12318257.77</v>
      </c>
      <c r="AD458" s="491">
        <f t="shared" si="1"/>
        <v>1500</v>
      </c>
      <c r="AE458" s="492">
        <f t="shared" si="2"/>
        <v>0.009063325885</v>
      </c>
      <c r="AF458" s="490">
        <f t="shared" si="3"/>
        <v>12431402.15</v>
      </c>
      <c r="AG458" s="493">
        <f t="shared" si="6"/>
        <v>724306.3513</v>
      </c>
      <c r="AH458" s="493">
        <f t="shared" si="4"/>
        <v>11707095.8</v>
      </c>
    </row>
    <row r="459">
      <c r="T459" s="494" t="s">
        <v>622</v>
      </c>
      <c r="AB459" s="489">
        <v>457.0</v>
      </c>
      <c r="AC459" s="490">
        <f t="shared" si="5"/>
        <v>12431402.15</v>
      </c>
      <c r="AD459" s="491">
        <f t="shared" si="1"/>
        <v>1500</v>
      </c>
      <c r="AE459" s="492">
        <f t="shared" si="2"/>
        <v>0.009063325885</v>
      </c>
      <c r="AF459" s="490">
        <f t="shared" si="3"/>
        <v>12545572</v>
      </c>
      <c r="AG459" s="493">
        <f t="shared" si="6"/>
        <v>725806.3513</v>
      </c>
      <c r="AH459" s="493">
        <f t="shared" si="4"/>
        <v>11819765.65</v>
      </c>
    </row>
    <row r="460">
      <c r="T460" s="494" t="s">
        <v>622</v>
      </c>
      <c r="AB460" s="489">
        <v>458.0</v>
      </c>
      <c r="AC460" s="490">
        <f t="shared" si="5"/>
        <v>12545572</v>
      </c>
      <c r="AD460" s="491">
        <f t="shared" si="1"/>
        <v>1500</v>
      </c>
      <c r="AE460" s="492">
        <f t="shared" si="2"/>
        <v>0.009063325885</v>
      </c>
      <c r="AF460" s="490">
        <f t="shared" si="3"/>
        <v>12660776.61</v>
      </c>
      <c r="AG460" s="493">
        <f t="shared" si="6"/>
        <v>727306.3513</v>
      </c>
      <c r="AH460" s="493">
        <f t="shared" si="4"/>
        <v>11933470.26</v>
      </c>
    </row>
    <row r="461">
      <c r="T461" s="494" t="s">
        <v>622</v>
      </c>
      <c r="AB461" s="489">
        <v>459.0</v>
      </c>
      <c r="AC461" s="490">
        <f t="shared" si="5"/>
        <v>12660776.61</v>
      </c>
      <c r="AD461" s="491">
        <f t="shared" si="1"/>
        <v>1500</v>
      </c>
      <c r="AE461" s="492">
        <f t="shared" si="2"/>
        <v>0.009063325885</v>
      </c>
      <c r="AF461" s="490">
        <f t="shared" si="3"/>
        <v>12777025.36</v>
      </c>
      <c r="AG461" s="493">
        <f t="shared" si="6"/>
        <v>728806.3513</v>
      </c>
      <c r="AH461" s="493">
        <f t="shared" si="4"/>
        <v>12048219</v>
      </c>
    </row>
    <row r="462">
      <c r="T462" s="494" t="s">
        <v>622</v>
      </c>
      <c r="AB462" s="489">
        <v>460.0</v>
      </c>
      <c r="AC462" s="490">
        <f t="shared" si="5"/>
        <v>12777025.36</v>
      </c>
      <c r="AD462" s="491">
        <f t="shared" si="1"/>
        <v>1500</v>
      </c>
      <c r="AE462" s="492">
        <f t="shared" si="2"/>
        <v>0.009063325885</v>
      </c>
      <c r="AF462" s="490">
        <f t="shared" si="3"/>
        <v>12894327.7</v>
      </c>
      <c r="AG462" s="493">
        <f t="shared" si="6"/>
        <v>730306.3513</v>
      </c>
      <c r="AH462" s="493">
        <f t="shared" si="4"/>
        <v>12164021.35</v>
      </c>
    </row>
    <row r="463">
      <c r="T463" s="494" t="s">
        <v>622</v>
      </c>
      <c r="AB463" s="489">
        <v>461.0</v>
      </c>
      <c r="AC463" s="490">
        <f t="shared" si="5"/>
        <v>12894327.7</v>
      </c>
      <c r="AD463" s="491">
        <f t="shared" si="1"/>
        <v>1500</v>
      </c>
      <c r="AE463" s="492">
        <f t="shared" si="2"/>
        <v>0.009063325885</v>
      </c>
      <c r="AF463" s="490">
        <f t="shared" si="3"/>
        <v>13012693.19</v>
      </c>
      <c r="AG463" s="493">
        <f t="shared" si="6"/>
        <v>731806.3513</v>
      </c>
      <c r="AH463" s="493">
        <f t="shared" si="4"/>
        <v>12280886.84</v>
      </c>
    </row>
    <row r="464">
      <c r="T464" s="494" t="s">
        <v>622</v>
      </c>
      <c r="AB464" s="489">
        <v>462.0</v>
      </c>
      <c r="AC464" s="490">
        <f t="shared" si="5"/>
        <v>13012693.19</v>
      </c>
      <c r="AD464" s="491">
        <f t="shared" si="1"/>
        <v>1500</v>
      </c>
      <c r="AE464" s="492">
        <f t="shared" si="2"/>
        <v>0.009063325885</v>
      </c>
      <c r="AF464" s="490">
        <f t="shared" si="3"/>
        <v>13132131.47</v>
      </c>
      <c r="AG464" s="493">
        <f t="shared" si="6"/>
        <v>733306.3513</v>
      </c>
      <c r="AH464" s="493">
        <f t="shared" si="4"/>
        <v>12398825.12</v>
      </c>
    </row>
    <row r="465">
      <c r="T465" s="494" t="s">
        <v>622</v>
      </c>
      <c r="AB465" s="489">
        <v>463.0</v>
      </c>
      <c r="AC465" s="490">
        <f t="shared" si="5"/>
        <v>13132131.47</v>
      </c>
      <c r="AD465" s="491">
        <f t="shared" si="1"/>
        <v>1500</v>
      </c>
      <c r="AE465" s="492">
        <f t="shared" si="2"/>
        <v>0.009063325885</v>
      </c>
      <c r="AF465" s="490">
        <f t="shared" si="3"/>
        <v>13252652.26</v>
      </c>
      <c r="AG465" s="493">
        <f t="shared" si="6"/>
        <v>734806.3513</v>
      </c>
      <c r="AH465" s="493">
        <f t="shared" si="4"/>
        <v>12517845.91</v>
      </c>
    </row>
    <row r="466">
      <c r="T466" s="494" t="s">
        <v>622</v>
      </c>
      <c r="AB466" s="489">
        <v>464.0</v>
      </c>
      <c r="AC466" s="490">
        <f t="shared" si="5"/>
        <v>13252652.26</v>
      </c>
      <c r="AD466" s="491">
        <f t="shared" si="1"/>
        <v>1500</v>
      </c>
      <c r="AE466" s="492">
        <f t="shared" si="2"/>
        <v>0.009063325885</v>
      </c>
      <c r="AF466" s="490">
        <f t="shared" si="3"/>
        <v>13374265.37</v>
      </c>
      <c r="AG466" s="493">
        <f t="shared" si="6"/>
        <v>736306.3513</v>
      </c>
      <c r="AH466" s="493">
        <f t="shared" si="4"/>
        <v>12637959.02</v>
      </c>
    </row>
    <row r="467">
      <c r="T467" s="494" t="s">
        <v>622</v>
      </c>
      <c r="AB467" s="489">
        <v>465.0</v>
      </c>
      <c r="AC467" s="490">
        <f t="shared" si="5"/>
        <v>13374265.37</v>
      </c>
      <c r="AD467" s="491">
        <f t="shared" si="1"/>
        <v>1500</v>
      </c>
      <c r="AE467" s="492">
        <f t="shared" si="2"/>
        <v>0.009063325885</v>
      </c>
      <c r="AF467" s="490">
        <f t="shared" si="3"/>
        <v>13496980.69</v>
      </c>
      <c r="AG467" s="493">
        <f t="shared" si="6"/>
        <v>737806.3513</v>
      </c>
      <c r="AH467" s="493">
        <f t="shared" si="4"/>
        <v>12759174.34</v>
      </c>
    </row>
    <row r="468">
      <c r="T468" s="494" t="s">
        <v>622</v>
      </c>
      <c r="AB468" s="489">
        <v>466.0</v>
      </c>
      <c r="AC468" s="490">
        <f t="shared" si="5"/>
        <v>13496980.69</v>
      </c>
      <c r="AD468" s="491">
        <f t="shared" si="1"/>
        <v>1500</v>
      </c>
      <c r="AE468" s="492">
        <f t="shared" si="2"/>
        <v>0.009063325885</v>
      </c>
      <c r="AF468" s="490">
        <f t="shared" si="3"/>
        <v>13620808.23</v>
      </c>
      <c r="AG468" s="493">
        <f t="shared" si="6"/>
        <v>739306.3513</v>
      </c>
      <c r="AH468" s="493">
        <f t="shared" si="4"/>
        <v>12881501.88</v>
      </c>
    </row>
    <row r="469">
      <c r="T469" s="494" t="s">
        <v>622</v>
      </c>
      <c r="AB469" s="489">
        <v>467.0</v>
      </c>
      <c r="AC469" s="490">
        <f t="shared" si="5"/>
        <v>13620808.23</v>
      </c>
      <c r="AD469" s="491">
        <f t="shared" si="1"/>
        <v>1500</v>
      </c>
      <c r="AE469" s="492">
        <f t="shared" si="2"/>
        <v>0.009063325885</v>
      </c>
      <c r="AF469" s="490">
        <f t="shared" si="3"/>
        <v>13745758.05</v>
      </c>
      <c r="AG469" s="493">
        <f t="shared" si="6"/>
        <v>740806.3513</v>
      </c>
      <c r="AH469" s="493">
        <f t="shared" si="4"/>
        <v>13004951.7</v>
      </c>
    </row>
    <row r="470">
      <c r="T470" s="494" t="s">
        <v>622</v>
      </c>
      <c r="AB470" s="489">
        <v>468.0</v>
      </c>
      <c r="AC470" s="490">
        <f t="shared" si="5"/>
        <v>13745758.05</v>
      </c>
      <c r="AD470" s="491">
        <f t="shared" si="1"/>
        <v>1500</v>
      </c>
      <c r="AE470" s="492">
        <f t="shared" si="2"/>
        <v>0.009063325885</v>
      </c>
      <c r="AF470" s="490">
        <f t="shared" si="3"/>
        <v>13871840.33</v>
      </c>
      <c r="AG470" s="493">
        <f t="shared" si="6"/>
        <v>742306.3513</v>
      </c>
      <c r="AH470" s="493">
        <f t="shared" si="4"/>
        <v>13129533.98</v>
      </c>
    </row>
    <row r="471">
      <c r="T471" s="494" t="s">
        <v>622</v>
      </c>
      <c r="AB471" s="489">
        <v>469.0</v>
      </c>
      <c r="AC471" s="490">
        <f t="shared" si="5"/>
        <v>13871840.33</v>
      </c>
      <c r="AD471" s="491">
        <f t="shared" si="1"/>
        <v>1500</v>
      </c>
      <c r="AE471" s="492">
        <f t="shared" si="2"/>
        <v>0.009063325885</v>
      </c>
      <c r="AF471" s="490">
        <f t="shared" si="3"/>
        <v>13999065.34</v>
      </c>
      <c r="AG471" s="493">
        <f t="shared" si="6"/>
        <v>743806.3513</v>
      </c>
      <c r="AH471" s="493">
        <f t="shared" si="4"/>
        <v>13255258.99</v>
      </c>
    </row>
    <row r="472">
      <c r="T472" s="494" t="s">
        <v>622</v>
      </c>
      <c r="AB472" s="489">
        <v>470.0</v>
      </c>
      <c r="AC472" s="490">
        <f t="shared" si="5"/>
        <v>13999065.34</v>
      </c>
      <c r="AD472" s="491">
        <f t="shared" si="1"/>
        <v>1500</v>
      </c>
      <c r="AE472" s="492">
        <f t="shared" si="2"/>
        <v>0.009063325885</v>
      </c>
      <c r="AF472" s="490">
        <f t="shared" si="3"/>
        <v>14127443.44</v>
      </c>
      <c r="AG472" s="493">
        <f t="shared" si="6"/>
        <v>745306.3513</v>
      </c>
      <c r="AH472" s="493">
        <f t="shared" si="4"/>
        <v>13382137.08</v>
      </c>
    </row>
    <row r="473">
      <c r="T473" s="494" t="s">
        <v>622</v>
      </c>
      <c r="AB473" s="489">
        <v>471.0</v>
      </c>
      <c r="AC473" s="490">
        <f t="shared" si="5"/>
        <v>14127443.44</v>
      </c>
      <c r="AD473" s="491">
        <f t="shared" si="1"/>
        <v>1500</v>
      </c>
      <c r="AE473" s="492">
        <f t="shared" si="2"/>
        <v>0.009063325885</v>
      </c>
      <c r="AF473" s="490">
        <f t="shared" si="3"/>
        <v>14256985.06</v>
      </c>
      <c r="AG473" s="493">
        <f t="shared" si="6"/>
        <v>746806.3513</v>
      </c>
      <c r="AH473" s="493">
        <f t="shared" si="4"/>
        <v>13510178.71</v>
      </c>
    </row>
    <row r="474">
      <c r="T474" s="494" t="s">
        <v>622</v>
      </c>
      <c r="AB474" s="489">
        <v>472.0</v>
      </c>
      <c r="AC474" s="490">
        <f t="shared" si="5"/>
        <v>14256985.06</v>
      </c>
      <c r="AD474" s="491">
        <f t="shared" si="1"/>
        <v>1500</v>
      </c>
      <c r="AE474" s="492">
        <f t="shared" si="2"/>
        <v>0.009063325885</v>
      </c>
      <c r="AF474" s="490">
        <f t="shared" si="3"/>
        <v>14387700.76</v>
      </c>
      <c r="AG474" s="493">
        <f t="shared" si="6"/>
        <v>748306.3513</v>
      </c>
      <c r="AH474" s="493">
        <f t="shared" si="4"/>
        <v>13639394.41</v>
      </c>
    </row>
    <row r="475">
      <c r="T475" s="494" t="s">
        <v>622</v>
      </c>
      <c r="AB475" s="489">
        <v>473.0</v>
      </c>
      <c r="AC475" s="490">
        <f t="shared" si="5"/>
        <v>14387700.76</v>
      </c>
      <c r="AD475" s="491">
        <f t="shared" si="1"/>
        <v>1500</v>
      </c>
      <c r="AE475" s="492">
        <f t="shared" si="2"/>
        <v>0.009063325885</v>
      </c>
      <c r="AF475" s="490">
        <f t="shared" si="3"/>
        <v>14519601.18</v>
      </c>
      <c r="AG475" s="493">
        <f t="shared" si="6"/>
        <v>749806.3513</v>
      </c>
      <c r="AH475" s="493">
        <f t="shared" si="4"/>
        <v>13769794.83</v>
      </c>
    </row>
    <row r="476">
      <c r="T476" s="494" t="s">
        <v>622</v>
      </c>
      <c r="AB476" s="489">
        <v>474.0</v>
      </c>
      <c r="AC476" s="490">
        <f t="shared" si="5"/>
        <v>14519601.18</v>
      </c>
      <c r="AD476" s="491">
        <f t="shared" si="1"/>
        <v>1500</v>
      </c>
      <c r="AE476" s="492">
        <f t="shared" si="2"/>
        <v>0.009063325885</v>
      </c>
      <c r="AF476" s="490">
        <f t="shared" si="3"/>
        <v>14652697.06</v>
      </c>
      <c r="AG476" s="493">
        <f t="shared" si="6"/>
        <v>751306.3513</v>
      </c>
      <c r="AH476" s="493">
        <f t="shared" si="4"/>
        <v>13901390.71</v>
      </c>
    </row>
    <row r="477">
      <c r="T477" s="494" t="s">
        <v>622</v>
      </c>
      <c r="AB477" s="489">
        <v>475.0</v>
      </c>
      <c r="AC477" s="490">
        <f t="shared" si="5"/>
        <v>14652697.06</v>
      </c>
      <c r="AD477" s="491">
        <f t="shared" si="1"/>
        <v>1500</v>
      </c>
      <c r="AE477" s="492">
        <f t="shared" si="2"/>
        <v>0.009063325885</v>
      </c>
      <c r="AF477" s="490">
        <f t="shared" si="3"/>
        <v>14786999.23</v>
      </c>
      <c r="AG477" s="493">
        <f t="shared" si="6"/>
        <v>752806.3513</v>
      </c>
      <c r="AH477" s="493">
        <f t="shared" si="4"/>
        <v>14034192.88</v>
      </c>
    </row>
    <row r="478">
      <c r="T478" s="494" t="s">
        <v>622</v>
      </c>
      <c r="AB478" s="489">
        <v>476.0</v>
      </c>
      <c r="AC478" s="490">
        <f t="shared" si="5"/>
        <v>14786999.23</v>
      </c>
      <c r="AD478" s="491">
        <f t="shared" si="1"/>
        <v>1500</v>
      </c>
      <c r="AE478" s="492">
        <f t="shared" si="2"/>
        <v>0.009063325885</v>
      </c>
      <c r="AF478" s="490">
        <f t="shared" si="3"/>
        <v>14922518.62</v>
      </c>
      <c r="AG478" s="493">
        <f t="shared" si="6"/>
        <v>754306.3513</v>
      </c>
      <c r="AH478" s="493">
        <f t="shared" si="4"/>
        <v>14168212.27</v>
      </c>
    </row>
    <row r="479">
      <c r="T479" s="494" t="s">
        <v>622</v>
      </c>
      <c r="AB479" s="489">
        <v>477.0</v>
      </c>
      <c r="AC479" s="490">
        <f t="shared" si="5"/>
        <v>14922518.62</v>
      </c>
      <c r="AD479" s="491">
        <f t="shared" si="1"/>
        <v>1500</v>
      </c>
      <c r="AE479" s="492">
        <f t="shared" si="2"/>
        <v>0.009063325885</v>
      </c>
      <c r="AF479" s="490">
        <f t="shared" si="3"/>
        <v>15059266.27</v>
      </c>
      <c r="AG479" s="493">
        <f t="shared" si="6"/>
        <v>755806.3513</v>
      </c>
      <c r="AH479" s="493">
        <f t="shared" si="4"/>
        <v>14303459.92</v>
      </c>
    </row>
    <row r="480">
      <c r="T480" s="494" t="s">
        <v>622</v>
      </c>
      <c r="AB480" s="489">
        <v>478.0</v>
      </c>
      <c r="AC480" s="490">
        <f t="shared" si="5"/>
        <v>15059266.27</v>
      </c>
      <c r="AD480" s="491">
        <f t="shared" si="1"/>
        <v>1500</v>
      </c>
      <c r="AE480" s="492">
        <f t="shared" si="2"/>
        <v>0.009063325885</v>
      </c>
      <c r="AF480" s="490">
        <f t="shared" si="3"/>
        <v>15197253.31</v>
      </c>
      <c r="AG480" s="493">
        <f t="shared" si="6"/>
        <v>757306.3513</v>
      </c>
      <c r="AH480" s="493">
        <f t="shared" si="4"/>
        <v>14439946.96</v>
      </c>
    </row>
    <row r="481">
      <c r="T481" s="494" t="s">
        <v>622</v>
      </c>
      <c r="AB481" s="489">
        <v>479.0</v>
      </c>
      <c r="AC481" s="490">
        <f t="shared" si="5"/>
        <v>15197253.31</v>
      </c>
      <c r="AD481" s="491">
        <f t="shared" si="1"/>
        <v>1500</v>
      </c>
      <c r="AE481" s="492">
        <f t="shared" si="2"/>
        <v>0.009063325885</v>
      </c>
      <c r="AF481" s="490">
        <f t="shared" si="3"/>
        <v>15336490.97</v>
      </c>
      <c r="AG481" s="493">
        <f t="shared" si="6"/>
        <v>758806.3513</v>
      </c>
      <c r="AH481" s="493">
        <f t="shared" si="4"/>
        <v>14577684.62</v>
      </c>
    </row>
    <row r="482">
      <c r="T482" s="494" t="s">
        <v>622</v>
      </c>
      <c r="AB482" s="489">
        <v>480.0</v>
      </c>
      <c r="AC482" s="490">
        <f t="shared" si="5"/>
        <v>15336490.97</v>
      </c>
      <c r="AD482" s="491">
        <f t="shared" si="1"/>
        <v>1500</v>
      </c>
      <c r="AE482" s="492">
        <f t="shared" si="2"/>
        <v>0.009063325885</v>
      </c>
      <c r="AF482" s="490">
        <f t="shared" si="3"/>
        <v>15476990.58</v>
      </c>
      <c r="AG482" s="493">
        <f t="shared" si="6"/>
        <v>760306.3513</v>
      </c>
      <c r="AH482" s="493">
        <f t="shared" si="4"/>
        <v>14716684.23</v>
      </c>
    </row>
    <row r="483">
      <c r="T483" s="494" t="s">
        <v>622</v>
      </c>
      <c r="AB483" s="489">
        <v>481.0</v>
      </c>
      <c r="AC483" s="490">
        <f t="shared" si="5"/>
        <v>15476990.58</v>
      </c>
      <c r="AD483" s="491">
        <f t="shared" si="1"/>
        <v>1500</v>
      </c>
      <c r="AE483" s="492">
        <f t="shared" si="2"/>
        <v>0.009063325885</v>
      </c>
      <c r="AF483" s="490">
        <f t="shared" si="3"/>
        <v>15618763.59</v>
      </c>
      <c r="AG483" s="493">
        <f t="shared" si="6"/>
        <v>761806.3513</v>
      </c>
      <c r="AH483" s="493">
        <f t="shared" si="4"/>
        <v>14856957.24</v>
      </c>
    </row>
    <row r="484">
      <c r="T484" s="494" t="s">
        <v>622</v>
      </c>
      <c r="AB484" s="489">
        <v>482.0</v>
      </c>
      <c r="AC484" s="490">
        <f t="shared" si="5"/>
        <v>15618763.59</v>
      </c>
      <c r="AD484" s="491">
        <f t="shared" si="1"/>
        <v>1500</v>
      </c>
      <c r="AE484" s="492">
        <f t="shared" si="2"/>
        <v>0.009063325885</v>
      </c>
      <c r="AF484" s="490">
        <f t="shared" si="3"/>
        <v>15761821.54</v>
      </c>
      <c r="AG484" s="493">
        <f t="shared" si="6"/>
        <v>763306.3513</v>
      </c>
      <c r="AH484" s="493">
        <f t="shared" si="4"/>
        <v>14998515.19</v>
      </c>
    </row>
    <row r="485">
      <c r="T485" s="494" t="s">
        <v>622</v>
      </c>
      <c r="AB485" s="489">
        <v>483.0</v>
      </c>
      <c r="AC485" s="490">
        <f t="shared" si="5"/>
        <v>15761821.54</v>
      </c>
      <c r="AD485" s="491">
        <f t="shared" si="1"/>
        <v>1500</v>
      </c>
      <c r="AE485" s="492">
        <f t="shared" si="2"/>
        <v>0.009063325885</v>
      </c>
      <c r="AF485" s="490">
        <f t="shared" si="3"/>
        <v>15906176.06</v>
      </c>
      <c r="AG485" s="493">
        <f t="shared" si="6"/>
        <v>764806.3513</v>
      </c>
      <c r="AH485" s="493">
        <f t="shared" si="4"/>
        <v>15141369.71</v>
      </c>
    </row>
    <row r="486">
      <c r="T486" s="494" t="s">
        <v>622</v>
      </c>
      <c r="AB486" s="489">
        <v>484.0</v>
      </c>
      <c r="AC486" s="490">
        <f t="shared" si="5"/>
        <v>15906176.06</v>
      </c>
      <c r="AD486" s="491">
        <f t="shared" si="1"/>
        <v>1500</v>
      </c>
      <c r="AE486" s="492">
        <f t="shared" si="2"/>
        <v>0.009063325885</v>
      </c>
      <c r="AF486" s="490">
        <f t="shared" si="3"/>
        <v>16051838.92</v>
      </c>
      <c r="AG486" s="493">
        <f t="shared" si="6"/>
        <v>766306.3513</v>
      </c>
      <c r="AH486" s="493">
        <f t="shared" si="4"/>
        <v>15285532.57</v>
      </c>
    </row>
    <row r="487">
      <c r="T487" s="494" t="s">
        <v>622</v>
      </c>
      <c r="AB487" s="489">
        <v>485.0</v>
      </c>
      <c r="AC487" s="490">
        <f t="shared" si="5"/>
        <v>16051838.92</v>
      </c>
      <c r="AD487" s="491">
        <f t="shared" si="1"/>
        <v>1500</v>
      </c>
      <c r="AE487" s="492">
        <f t="shared" si="2"/>
        <v>0.009063325885</v>
      </c>
      <c r="AF487" s="490">
        <f t="shared" si="3"/>
        <v>16198821.97</v>
      </c>
      <c r="AG487" s="493">
        <f t="shared" si="6"/>
        <v>767806.3513</v>
      </c>
      <c r="AH487" s="493">
        <f t="shared" si="4"/>
        <v>15431015.61</v>
      </c>
    </row>
    <row r="488">
      <c r="T488" s="494" t="s">
        <v>622</v>
      </c>
      <c r="AB488" s="489">
        <v>486.0</v>
      </c>
      <c r="AC488" s="490">
        <f t="shared" si="5"/>
        <v>16198821.97</v>
      </c>
      <c r="AD488" s="491">
        <f t="shared" si="1"/>
        <v>1500</v>
      </c>
      <c r="AE488" s="492">
        <f t="shared" si="2"/>
        <v>0.009063325885</v>
      </c>
      <c r="AF488" s="490">
        <f t="shared" si="3"/>
        <v>16347137.17</v>
      </c>
      <c r="AG488" s="493">
        <f t="shared" si="6"/>
        <v>769306.3513</v>
      </c>
      <c r="AH488" s="493">
        <f t="shared" si="4"/>
        <v>15577830.82</v>
      </c>
    </row>
    <row r="489">
      <c r="T489" s="494" t="s">
        <v>622</v>
      </c>
      <c r="AB489" s="489">
        <v>487.0</v>
      </c>
      <c r="AC489" s="490">
        <f t="shared" si="5"/>
        <v>16347137.17</v>
      </c>
      <c r="AD489" s="491">
        <f t="shared" si="1"/>
        <v>1500</v>
      </c>
      <c r="AE489" s="492">
        <f t="shared" si="2"/>
        <v>0.009063325885</v>
      </c>
      <c r="AF489" s="490">
        <f t="shared" si="3"/>
        <v>16496796.6</v>
      </c>
      <c r="AG489" s="493">
        <f t="shared" si="6"/>
        <v>770806.3513</v>
      </c>
      <c r="AH489" s="493">
        <f t="shared" si="4"/>
        <v>15725990.25</v>
      </c>
    </row>
    <row r="490">
      <c r="T490" s="494" t="s">
        <v>622</v>
      </c>
      <c r="AB490" s="489">
        <v>488.0</v>
      </c>
      <c r="AC490" s="490">
        <f t="shared" si="5"/>
        <v>16496796.6</v>
      </c>
      <c r="AD490" s="491">
        <f t="shared" si="1"/>
        <v>1500</v>
      </c>
      <c r="AE490" s="492">
        <f t="shared" si="2"/>
        <v>0.009063325885</v>
      </c>
      <c r="AF490" s="490">
        <f t="shared" si="3"/>
        <v>16647812.44</v>
      </c>
      <c r="AG490" s="493">
        <f t="shared" si="6"/>
        <v>772306.3513</v>
      </c>
      <c r="AH490" s="493">
        <f t="shared" si="4"/>
        <v>15875506.09</v>
      </c>
    </row>
    <row r="491">
      <c r="T491" s="494" t="s">
        <v>622</v>
      </c>
      <c r="AB491" s="489">
        <v>489.0</v>
      </c>
      <c r="AC491" s="490">
        <f t="shared" si="5"/>
        <v>16647812.44</v>
      </c>
      <c r="AD491" s="491">
        <f t="shared" si="1"/>
        <v>1500</v>
      </c>
      <c r="AE491" s="492">
        <f t="shared" si="2"/>
        <v>0.009063325885</v>
      </c>
      <c r="AF491" s="490">
        <f t="shared" si="3"/>
        <v>16800196.99</v>
      </c>
      <c r="AG491" s="493">
        <f t="shared" si="6"/>
        <v>773806.3513</v>
      </c>
      <c r="AH491" s="493">
        <f t="shared" si="4"/>
        <v>16026390.64</v>
      </c>
    </row>
    <row r="492">
      <c r="T492" s="494" t="s">
        <v>622</v>
      </c>
      <c r="AB492" s="489">
        <v>490.0</v>
      </c>
      <c r="AC492" s="490">
        <f t="shared" si="5"/>
        <v>16800196.99</v>
      </c>
      <c r="AD492" s="491">
        <f t="shared" si="1"/>
        <v>1500</v>
      </c>
      <c r="AE492" s="492">
        <f t="shared" si="2"/>
        <v>0.009063325885</v>
      </c>
      <c r="AF492" s="490">
        <f t="shared" si="3"/>
        <v>16953962.65</v>
      </c>
      <c r="AG492" s="493">
        <f t="shared" si="6"/>
        <v>775306.3513</v>
      </c>
      <c r="AH492" s="493">
        <f t="shared" si="4"/>
        <v>16178656.3</v>
      </c>
    </row>
    <row r="493">
      <c r="T493" s="494" t="s">
        <v>622</v>
      </c>
      <c r="AB493" s="489">
        <v>491.0</v>
      </c>
      <c r="AC493" s="490">
        <f t="shared" si="5"/>
        <v>16953962.65</v>
      </c>
      <c r="AD493" s="491">
        <f t="shared" si="1"/>
        <v>1500</v>
      </c>
      <c r="AE493" s="492">
        <f t="shared" si="2"/>
        <v>0.009063325885</v>
      </c>
      <c r="AF493" s="490">
        <f t="shared" si="3"/>
        <v>17109121.94</v>
      </c>
      <c r="AG493" s="493">
        <f t="shared" si="6"/>
        <v>776806.3513</v>
      </c>
      <c r="AH493" s="493">
        <f t="shared" si="4"/>
        <v>16332315.59</v>
      </c>
    </row>
    <row r="494">
      <c r="T494" s="494" t="s">
        <v>622</v>
      </c>
      <c r="AB494" s="489">
        <v>492.0</v>
      </c>
      <c r="AC494" s="490">
        <f t="shared" si="5"/>
        <v>17109121.94</v>
      </c>
      <c r="AD494" s="491">
        <f t="shared" si="1"/>
        <v>1500</v>
      </c>
      <c r="AE494" s="492">
        <f t="shared" si="2"/>
        <v>0.009063325885</v>
      </c>
      <c r="AF494" s="490">
        <f t="shared" si="3"/>
        <v>17265687.49</v>
      </c>
      <c r="AG494" s="493">
        <f t="shared" si="6"/>
        <v>778306.3513</v>
      </c>
      <c r="AH494" s="493">
        <f t="shared" si="4"/>
        <v>16487381.14</v>
      </c>
    </row>
    <row r="495">
      <c r="T495" s="494" t="s">
        <v>622</v>
      </c>
      <c r="AB495" s="489">
        <v>493.0</v>
      </c>
      <c r="AC495" s="490">
        <f t="shared" si="5"/>
        <v>17265687.49</v>
      </c>
      <c r="AD495" s="491">
        <f t="shared" si="1"/>
        <v>1500</v>
      </c>
      <c r="AE495" s="492">
        <f t="shared" si="2"/>
        <v>0.009063325885</v>
      </c>
      <c r="AF495" s="490">
        <f t="shared" si="3"/>
        <v>17423672.04</v>
      </c>
      <c r="AG495" s="493">
        <f t="shared" si="6"/>
        <v>779806.3513</v>
      </c>
      <c r="AH495" s="493">
        <f t="shared" si="4"/>
        <v>16643865.69</v>
      </c>
    </row>
    <row r="496">
      <c r="T496" s="494" t="s">
        <v>622</v>
      </c>
      <c r="AB496" s="489">
        <v>494.0</v>
      </c>
      <c r="AC496" s="490">
        <f t="shared" si="5"/>
        <v>17423672.04</v>
      </c>
      <c r="AD496" s="491">
        <f t="shared" si="1"/>
        <v>1500</v>
      </c>
      <c r="AE496" s="492">
        <f t="shared" si="2"/>
        <v>0.009063325885</v>
      </c>
      <c r="AF496" s="490">
        <f t="shared" si="3"/>
        <v>17583088.46</v>
      </c>
      <c r="AG496" s="493">
        <f t="shared" si="6"/>
        <v>781306.3513</v>
      </c>
      <c r="AH496" s="493">
        <f t="shared" si="4"/>
        <v>16801782.11</v>
      </c>
    </row>
    <row r="497">
      <c r="T497" s="494" t="s">
        <v>622</v>
      </c>
      <c r="AB497" s="489">
        <v>495.0</v>
      </c>
      <c r="AC497" s="490">
        <f t="shared" si="5"/>
        <v>17583088.46</v>
      </c>
      <c r="AD497" s="491">
        <f t="shared" si="1"/>
        <v>1500</v>
      </c>
      <c r="AE497" s="492">
        <f t="shared" si="2"/>
        <v>0.009063325885</v>
      </c>
      <c r="AF497" s="490">
        <f t="shared" si="3"/>
        <v>17743949.72</v>
      </c>
      <c r="AG497" s="493">
        <f t="shared" si="6"/>
        <v>782806.3513</v>
      </c>
      <c r="AH497" s="493">
        <f t="shared" si="4"/>
        <v>16961143.37</v>
      </c>
    </row>
    <row r="498">
      <c r="T498" s="494" t="s">
        <v>622</v>
      </c>
      <c r="AB498" s="489">
        <v>496.0</v>
      </c>
      <c r="AC498" s="490">
        <f t="shared" si="5"/>
        <v>17743949.72</v>
      </c>
      <c r="AD498" s="491">
        <f t="shared" si="1"/>
        <v>1500</v>
      </c>
      <c r="AE498" s="492">
        <f t="shared" si="2"/>
        <v>0.009063325885</v>
      </c>
      <c r="AF498" s="490">
        <f t="shared" si="3"/>
        <v>17906268.92</v>
      </c>
      <c r="AG498" s="493">
        <f t="shared" si="6"/>
        <v>784306.3513</v>
      </c>
      <c r="AH498" s="493">
        <f t="shared" si="4"/>
        <v>17121962.57</v>
      </c>
    </row>
    <row r="499">
      <c r="T499" s="494" t="s">
        <v>622</v>
      </c>
      <c r="AB499" s="489">
        <v>497.0</v>
      </c>
      <c r="AC499" s="490">
        <f t="shared" si="5"/>
        <v>17906268.92</v>
      </c>
      <c r="AD499" s="491">
        <f t="shared" si="1"/>
        <v>1500</v>
      </c>
      <c r="AE499" s="492">
        <f t="shared" si="2"/>
        <v>0.009063325885</v>
      </c>
      <c r="AF499" s="490">
        <f t="shared" si="3"/>
        <v>18070059.27</v>
      </c>
      <c r="AG499" s="493">
        <f t="shared" si="6"/>
        <v>785806.3513</v>
      </c>
      <c r="AH499" s="493">
        <f t="shared" si="4"/>
        <v>17284252.92</v>
      </c>
    </row>
    <row r="500">
      <c r="T500" s="494" t="s">
        <v>622</v>
      </c>
      <c r="AB500" s="489">
        <v>498.0</v>
      </c>
      <c r="AC500" s="490">
        <f t="shared" si="5"/>
        <v>18070059.27</v>
      </c>
      <c r="AD500" s="491">
        <f t="shared" si="1"/>
        <v>1500</v>
      </c>
      <c r="AE500" s="492">
        <f t="shared" si="2"/>
        <v>0.009063325885</v>
      </c>
      <c r="AF500" s="490">
        <f t="shared" si="3"/>
        <v>18235334.11</v>
      </c>
      <c r="AG500" s="493">
        <f t="shared" si="6"/>
        <v>787306.3513</v>
      </c>
      <c r="AH500" s="493">
        <f t="shared" si="4"/>
        <v>17448027.75</v>
      </c>
    </row>
    <row r="501">
      <c r="T501" s="494" t="s">
        <v>622</v>
      </c>
      <c r="AB501" s="489">
        <v>499.0</v>
      </c>
      <c r="AC501" s="490">
        <f t="shared" si="5"/>
        <v>18235334.11</v>
      </c>
      <c r="AD501" s="491">
        <f t="shared" si="1"/>
        <v>1500</v>
      </c>
      <c r="AE501" s="492">
        <f t="shared" si="2"/>
        <v>0.009063325885</v>
      </c>
      <c r="AF501" s="490">
        <f t="shared" si="3"/>
        <v>18402106.88</v>
      </c>
      <c r="AG501" s="493">
        <f t="shared" si="6"/>
        <v>788806.3513</v>
      </c>
      <c r="AH501" s="493">
        <f t="shared" si="4"/>
        <v>17613300.53</v>
      </c>
    </row>
    <row r="502">
      <c r="T502" s="494" t="s">
        <v>622</v>
      </c>
      <c r="AB502" s="489">
        <v>500.0</v>
      </c>
      <c r="AC502" s="490">
        <f t="shared" si="5"/>
        <v>18402106.88</v>
      </c>
      <c r="AD502" s="491">
        <f t="shared" si="1"/>
        <v>1500</v>
      </c>
      <c r="AE502" s="492">
        <f t="shared" si="2"/>
        <v>0.009063325885</v>
      </c>
      <c r="AF502" s="490">
        <f t="shared" si="3"/>
        <v>18570391.17</v>
      </c>
      <c r="AG502" s="493">
        <f t="shared" si="6"/>
        <v>790306.3513</v>
      </c>
      <c r="AH502" s="493">
        <f t="shared" si="4"/>
        <v>17780084.82</v>
      </c>
    </row>
    <row r="503">
      <c r="T503" s="494" t="s">
        <v>622</v>
      </c>
      <c r="AB503" s="489">
        <v>501.0</v>
      </c>
      <c r="AC503" s="490">
        <f t="shared" si="5"/>
        <v>18570391.17</v>
      </c>
      <c r="AD503" s="491">
        <f t="shared" si="1"/>
        <v>1500</v>
      </c>
      <c r="AE503" s="492">
        <f t="shared" si="2"/>
        <v>0.009063325885</v>
      </c>
      <c r="AF503" s="490">
        <f t="shared" si="3"/>
        <v>18740200.68</v>
      </c>
      <c r="AG503" s="493">
        <f t="shared" si="6"/>
        <v>791806.3513</v>
      </c>
      <c r="AH503" s="493">
        <f t="shared" si="4"/>
        <v>17948394.33</v>
      </c>
    </row>
    <row r="504">
      <c r="T504" s="494" t="s">
        <v>622</v>
      </c>
      <c r="AB504" s="489">
        <v>502.0</v>
      </c>
      <c r="AC504" s="490">
        <f t="shared" si="5"/>
        <v>18740200.68</v>
      </c>
      <c r="AD504" s="491">
        <f t="shared" si="1"/>
        <v>1500</v>
      </c>
      <c r="AE504" s="492">
        <f t="shared" si="2"/>
        <v>0.009063325885</v>
      </c>
      <c r="AF504" s="490">
        <f t="shared" si="3"/>
        <v>18911549.23</v>
      </c>
      <c r="AG504" s="493">
        <f t="shared" si="6"/>
        <v>793306.3513</v>
      </c>
      <c r="AH504" s="493">
        <f t="shared" si="4"/>
        <v>18118242.87</v>
      </c>
    </row>
    <row r="505">
      <c r="T505" s="494" t="s">
        <v>622</v>
      </c>
      <c r="AB505" s="489">
        <v>503.0</v>
      </c>
      <c r="AC505" s="490">
        <f t="shared" si="5"/>
        <v>18911549.23</v>
      </c>
      <c r="AD505" s="491">
        <f t="shared" si="1"/>
        <v>1500</v>
      </c>
      <c r="AE505" s="492">
        <f t="shared" si="2"/>
        <v>0.009063325885</v>
      </c>
      <c r="AF505" s="490">
        <f t="shared" si="3"/>
        <v>19084450.76</v>
      </c>
      <c r="AG505" s="493">
        <f t="shared" si="6"/>
        <v>794806.3513</v>
      </c>
      <c r="AH505" s="493">
        <f t="shared" si="4"/>
        <v>18289644.41</v>
      </c>
    </row>
    <row r="506">
      <c r="T506" s="494" t="s">
        <v>622</v>
      </c>
      <c r="AB506" s="489">
        <v>504.0</v>
      </c>
      <c r="AC506" s="490">
        <f t="shared" si="5"/>
        <v>19084450.76</v>
      </c>
      <c r="AD506" s="491">
        <f t="shared" si="1"/>
        <v>1500</v>
      </c>
      <c r="AE506" s="492">
        <f t="shared" si="2"/>
        <v>0.009063325885</v>
      </c>
      <c r="AF506" s="490">
        <f t="shared" si="3"/>
        <v>19258919.36</v>
      </c>
      <c r="AG506" s="493">
        <f t="shared" si="6"/>
        <v>796306.3513</v>
      </c>
      <c r="AH506" s="493">
        <f t="shared" si="4"/>
        <v>18462613</v>
      </c>
    </row>
    <row r="507">
      <c r="T507" s="494" t="s">
        <v>622</v>
      </c>
      <c r="AB507" s="489">
        <v>505.0</v>
      </c>
      <c r="AC507" s="490">
        <f t="shared" si="5"/>
        <v>19258919.36</v>
      </c>
      <c r="AD507" s="491">
        <f t="shared" si="1"/>
        <v>1500</v>
      </c>
      <c r="AE507" s="492">
        <f t="shared" si="2"/>
        <v>0.009063325885</v>
      </c>
      <c r="AF507" s="490">
        <f t="shared" si="3"/>
        <v>19434969.22</v>
      </c>
      <c r="AG507" s="493">
        <f t="shared" si="6"/>
        <v>797806.3513</v>
      </c>
      <c r="AH507" s="493">
        <f t="shared" si="4"/>
        <v>18637162.87</v>
      </c>
    </row>
    <row r="508">
      <c r="T508" s="494" t="s">
        <v>622</v>
      </c>
      <c r="AB508" s="489">
        <v>506.0</v>
      </c>
      <c r="AC508" s="490">
        <f t="shared" si="5"/>
        <v>19434969.22</v>
      </c>
      <c r="AD508" s="491">
        <f t="shared" si="1"/>
        <v>1500</v>
      </c>
      <c r="AE508" s="492">
        <f t="shared" si="2"/>
        <v>0.009063325885</v>
      </c>
      <c r="AF508" s="490">
        <f t="shared" si="3"/>
        <v>19612614.68</v>
      </c>
      <c r="AG508" s="493">
        <f t="shared" si="6"/>
        <v>799306.3513</v>
      </c>
      <c r="AH508" s="493">
        <f t="shared" si="4"/>
        <v>18813308.33</v>
      </c>
    </row>
    <row r="509">
      <c r="T509" s="494" t="s">
        <v>622</v>
      </c>
      <c r="AB509" s="489">
        <v>507.0</v>
      </c>
      <c r="AC509" s="490">
        <f t="shared" si="5"/>
        <v>19612614.68</v>
      </c>
      <c r="AD509" s="491">
        <f t="shared" si="1"/>
        <v>1500</v>
      </c>
      <c r="AE509" s="492">
        <f t="shared" si="2"/>
        <v>0.009063325885</v>
      </c>
      <c r="AF509" s="490">
        <f t="shared" si="3"/>
        <v>19791870.2</v>
      </c>
      <c r="AG509" s="493">
        <f t="shared" si="6"/>
        <v>800806.3513</v>
      </c>
      <c r="AH509" s="493">
        <f t="shared" si="4"/>
        <v>18991063.85</v>
      </c>
    </row>
    <row r="510">
      <c r="T510" s="494" t="s">
        <v>622</v>
      </c>
      <c r="AB510" s="489">
        <v>508.0</v>
      </c>
      <c r="AC510" s="490">
        <f t="shared" si="5"/>
        <v>19791870.2</v>
      </c>
      <c r="AD510" s="491">
        <f t="shared" si="1"/>
        <v>1500</v>
      </c>
      <c r="AE510" s="492">
        <f t="shared" si="2"/>
        <v>0.009063325885</v>
      </c>
      <c r="AF510" s="490">
        <f t="shared" si="3"/>
        <v>19972750.37</v>
      </c>
      <c r="AG510" s="493">
        <f t="shared" si="6"/>
        <v>802306.3513</v>
      </c>
      <c r="AH510" s="493">
        <f t="shared" si="4"/>
        <v>19170444.01</v>
      </c>
    </row>
    <row r="511">
      <c r="T511" s="494" t="s">
        <v>622</v>
      </c>
      <c r="AB511" s="489">
        <v>509.0</v>
      </c>
      <c r="AC511" s="490">
        <f t="shared" si="5"/>
        <v>19972750.37</v>
      </c>
      <c r="AD511" s="491">
        <f t="shared" si="1"/>
        <v>1500</v>
      </c>
      <c r="AE511" s="492">
        <f t="shared" si="2"/>
        <v>0.009063325885</v>
      </c>
      <c r="AF511" s="490">
        <f t="shared" si="3"/>
        <v>20155269.91</v>
      </c>
      <c r="AG511" s="493">
        <f t="shared" si="6"/>
        <v>803806.3513</v>
      </c>
      <c r="AH511" s="493">
        <f t="shared" si="4"/>
        <v>19351463.56</v>
      </c>
    </row>
    <row r="512">
      <c r="T512" s="494" t="s">
        <v>622</v>
      </c>
      <c r="AB512" s="489">
        <v>510.0</v>
      </c>
      <c r="AC512" s="490">
        <f t="shared" si="5"/>
        <v>20155269.91</v>
      </c>
      <c r="AD512" s="491">
        <f t="shared" si="1"/>
        <v>1500</v>
      </c>
      <c r="AE512" s="492">
        <f t="shared" si="2"/>
        <v>0.009063325885</v>
      </c>
      <c r="AF512" s="490">
        <f t="shared" si="3"/>
        <v>20339443.69</v>
      </c>
      <c r="AG512" s="493">
        <f t="shared" si="6"/>
        <v>805306.3513</v>
      </c>
      <c r="AH512" s="493">
        <f t="shared" si="4"/>
        <v>19534137.34</v>
      </c>
    </row>
    <row r="513">
      <c r="T513" s="494" t="s">
        <v>622</v>
      </c>
      <c r="AB513" s="489">
        <v>511.0</v>
      </c>
      <c r="AC513" s="490">
        <f t="shared" si="5"/>
        <v>20339443.69</v>
      </c>
      <c r="AD513" s="491">
        <f t="shared" si="1"/>
        <v>1500</v>
      </c>
      <c r="AE513" s="492">
        <f t="shared" si="2"/>
        <v>0.009063325885</v>
      </c>
      <c r="AF513" s="490">
        <f t="shared" si="3"/>
        <v>20525286.7</v>
      </c>
      <c r="AG513" s="493">
        <f t="shared" si="6"/>
        <v>806806.3513</v>
      </c>
      <c r="AH513" s="493">
        <f t="shared" si="4"/>
        <v>19718480.35</v>
      </c>
    </row>
    <row r="514">
      <c r="T514" s="494" t="s">
        <v>622</v>
      </c>
      <c r="AB514" s="489">
        <v>512.0</v>
      </c>
      <c r="AC514" s="490">
        <f t="shared" si="5"/>
        <v>20525286.7</v>
      </c>
      <c r="AD514" s="491">
        <f t="shared" si="1"/>
        <v>1500</v>
      </c>
      <c r="AE514" s="492">
        <f t="shared" si="2"/>
        <v>0.009063325885</v>
      </c>
      <c r="AF514" s="490">
        <f t="shared" si="3"/>
        <v>20712814.06</v>
      </c>
      <c r="AG514" s="493">
        <f t="shared" si="6"/>
        <v>808306.3513</v>
      </c>
      <c r="AH514" s="493">
        <f t="shared" si="4"/>
        <v>19904507.71</v>
      </c>
    </row>
    <row r="515">
      <c r="T515" s="494" t="s">
        <v>622</v>
      </c>
      <c r="AB515" s="489">
        <v>513.0</v>
      </c>
      <c r="AC515" s="490">
        <f t="shared" si="5"/>
        <v>20712814.06</v>
      </c>
      <c r="AD515" s="491">
        <f t="shared" si="1"/>
        <v>1500</v>
      </c>
      <c r="AE515" s="492">
        <f t="shared" si="2"/>
        <v>0.009063325885</v>
      </c>
      <c r="AF515" s="490">
        <f t="shared" si="3"/>
        <v>20902041.04</v>
      </c>
      <c r="AG515" s="493">
        <f t="shared" si="6"/>
        <v>809806.3513</v>
      </c>
      <c r="AH515" s="493">
        <f t="shared" si="4"/>
        <v>20092234.69</v>
      </c>
    </row>
    <row r="516">
      <c r="T516" s="494" t="s">
        <v>622</v>
      </c>
      <c r="AB516" s="489">
        <v>514.0</v>
      </c>
      <c r="AC516" s="490">
        <f t="shared" si="5"/>
        <v>20902041.04</v>
      </c>
      <c r="AD516" s="491">
        <f t="shared" si="1"/>
        <v>1500</v>
      </c>
      <c r="AE516" s="492">
        <f t="shared" si="2"/>
        <v>0.009063325885</v>
      </c>
      <c r="AF516" s="490">
        <f t="shared" si="3"/>
        <v>21092983.05</v>
      </c>
      <c r="AG516" s="493">
        <f t="shared" si="6"/>
        <v>811306.3513</v>
      </c>
      <c r="AH516" s="493">
        <f t="shared" si="4"/>
        <v>20281676.7</v>
      </c>
    </row>
    <row r="517">
      <c r="T517" s="494" t="s">
        <v>622</v>
      </c>
      <c r="AB517" s="489">
        <v>515.0</v>
      </c>
      <c r="AC517" s="490">
        <f t="shared" si="5"/>
        <v>21092983.05</v>
      </c>
      <c r="AD517" s="491">
        <f t="shared" si="1"/>
        <v>1500</v>
      </c>
      <c r="AE517" s="492">
        <f t="shared" si="2"/>
        <v>0.009063325885</v>
      </c>
      <c r="AF517" s="490">
        <f t="shared" si="3"/>
        <v>21285655.63</v>
      </c>
      <c r="AG517" s="493">
        <f t="shared" si="6"/>
        <v>812806.3513</v>
      </c>
      <c r="AH517" s="493">
        <f t="shared" si="4"/>
        <v>20472849.28</v>
      </c>
    </row>
    <row r="518">
      <c r="T518" s="494" t="s">
        <v>622</v>
      </c>
      <c r="AB518" s="489">
        <v>516.0</v>
      </c>
      <c r="AC518" s="490">
        <f t="shared" si="5"/>
        <v>21285655.63</v>
      </c>
      <c r="AD518" s="491">
        <f t="shared" si="1"/>
        <v>1500</v>
      </c>
      <c r="AE518" s="492">
        <f t="shared" si="2"/>
        <v>0.009063325885</v>
      </c>
      <c r="AF518" s="490">
        <f t="shared" si="3"/>
        <v>21480074.47</v>
      </c>
      <c r="AG518" s="493">
        <f t="shared" si="6"/>
        <v>814306.3513</v>
      </c>
      <c r="AH518" s="493">
        <f t="shared" si="4"/>
        <v>20665768.11</v>
      </c>
    </row>
    <row r="519">
      <c r="T519" s="494" t="s">
        <v>622</v>
      </c>
      <c r="AB519" s="489">
        <v>517.0</v>
      </c>
      <c r="AC519" s="490">
        <f t="shared" si="5"/>
        <v>21480074.47</v>
      </c>
      <c r="AD519" s="491">
        <f t="shared" si="1"/>
        <v>1500</v>
      </c>
      <c r="AE519" s="492">
        <f t="shared" si="2"/>
        <v>0.009063325885</v>
      </c>
      <c r="AF519" s="490">
        <f t="shared" si="3"/>
        <v>21676255.38</v>
      </c>
      <c r="AG519" s="493">
        <f t="shared" si="6"/>
        <v>815806.3513</v>
      </c>
      <c r="AH519" s="493">
        <f t="shared" si="4"/>
        <v>20860449.03</v>
      </c>
    </row>
    <row r="520">
      <c r="T520" s="494" t="s">
        <v>622</v>
      </c>
      <c r="AB520" s="489">
        <v>518.0</v>
      </c>
      <c r="AC520" s="490">
        <f t="shared" si="5"/>
        <v>21676255.38</v>
      </c>
      <c r="AD520" s="491">
        <f t="shared" si="1"/>
        <v>1500</v>
      </c>
      <c r="AE520" s="492">
        <f t="shared" si="2"/>
        <v>0.009063325885</v>
      </c>
      <c r="AF520" s="490">
        <f t="shared" si="3"/>
        <v>21874214.35</v>
      </c>
      <c r="AG520" s="493">
        <f t="shared" si="6"/>
        <v>817306.3513</v>
      </c>
      <c r="AH520" s="493">
        <f t="shared" si="4"/>
        <v>21056908</v>
      </c>
    </row>
    <row r="521">
      <c r="T521" s="494" t="s">
        <v>622</v>
      </c>
      <c r="AB521" s="489">
        <v>519.0</v>
      </c>
      <c r="AC521" s="490">
        <f t="shared" si="5"/>
        <v>21874214.35</v>
      </c>
      <c r="AD521" s="491">
        <f t="shared" si="1"/>
        <v>1500</v>
      </c>
      <c r="AE521" s="492">
        <f t="shared" si="2"/>
        <v>0.009063325885</v>
      </c>
      <c r="AF521" s="490">
        <f t="shared" si="3"/>
        <v>22073967.48</v>
      </c>
      <c r="AG521" s="493">
        <f t="shared" si="6"/>
        <v>818806.3513</v>
      </c>
      <c r="AH521" s="493">
        <f t="shared" si="4"/>
        <v>21255161.13</v>
      </c>
    </row>
    <row r="522">
      <c r="T522" s="494" t="s">
        <v>622</v>
      </c>
      <c r="AB522" s="489">
        <v>520.0</v>
      </c>
      <c r="AC522" s="490">
        <f t="shared" si="5"/>
        <v>22073967.48</v>
      </c>
      <c r="AD522" s="491">
        <f t="shared" si="1"/>
        <v>1500</v>
      </c>
      <c r="AE522" s="492">
        <f t="shared" si="2"/>
        <v>0.009063325885</v>
      </c>
      <c r="AF522" s="490">
        <f t="shared" si="3"/>
        <v>22275531.04</v>
      </c>
      <c r="AG522" s="493">
        <f t="shared" si="6"/>
        <v>820306.3513</v>
      </c>
      <c r="AH522" s="493">
        <f t="shared" si="4"/>
        <v>21455224.69</v>
      </c>
    </row>
    <row r="523">
      <c r="T523" s="494" t="s">
        <v>622</v>
      </c>
      <c r="AB523" s="489">
        <v>521.0</v>
      </c>
      <c r="AC523" s="490">
        <f t="shared" si="5"/>
        <v>22275531.04</v>
      </c>
      <c r="AD523" s="491">
        <f t="shared" si="1"/>
        <v>1500</v>
      </c>
      <c r="AE523" s="492">
        <f t="shared" si="2"/>
        <v>0.009063325885</v>
      </c>
      <c r="AF523" s="490">
        <f t="shared" si="3"/>
        <v>22478921.44</v>
      </c>
      <c r="AG523" s="493">
        <f t="shared" si="6"/>
        <v>821806.3513</v>
      </c>
      <c r="AH523" s="493">
        <f t="shared" si="4"/>
        <v>21657115.09</v>
      </c>
    </row>
    <row r="524">
      <c r="T524" s="494" t="s">
        <v>622</v>
      </c>
      <c r="AB524" s="489">
        <v>522.0</v>
      </c>
      <c r="AC524" s="490">
        <f t="shared" si="5"/>
        <v>22478921.44</v>
      </c>
      <c r="AD524" s="491">
        <f t="shared" si="1"/>
        <v>1500</v>
      </c>
      <c r="AE524" s="492">
        <f t="shared" si="2"/>
        <v>0.009063325885</v>
      </c>
      <c r="AF524" s="490">
        <f t="shared" si="3"/>
        <v>22684155.23</v>
      </c>
      <c r="AG524" s="493">
        <f t="shared" si="6"/>
        <v>823306.3513</v>
      </c>
      <c r="AH524" s="493">
        <f t="shared" si="4"/>
        <v>21860848.88</v>
      </c>
    </row>
    <row r="525">
      <c r="T525" s="494" t="s">
        <v>622</v>
      </c>
      <c r="AB525" s="489">
        <v>523.0</v>
      </c>
      <c r="AC525" s="490">
        <f t="shared" si="5"/>
        <v>22684155.23</v>
      </c>
      <c r="AD525" s="491">
        <f t="shared" si="1"/>
        <v>1500</v>
      </c>
      <c r="AE525" s="492">
        <f t="shared" si="2"/>
        <v>0.009063325885</v>
      </c>
      <c r="AF525" s="490">
        <f t="shared" si="3"/>
        <v>22891249.12</v>
      </c>
      <c r="AG525" s="493">
        <f t="shared" si="6"/>
        <v>824806.3513</v>
      </c>
      <c r="AH525" s="493">
        <f t="shared" si="4"/>
        <v>22066442.77</v>
      </c>
    </row>
    <row r="526">
      <c r="T526" s="494" t="s">
        <v>622</v>
      </c>
      <c r="AB526" s="489">
        <v>524.0</v>
      </c>
      <c r="AC526" s="490">
        <f t="shared" si="5"/>
        <v>22891249.12</v>
      </c>
      <c r="AD526" s="491">
        <f t="shared" si="1"/>
        <v>1500</v>
      </c>
      <c r="AE526" s="492">
        <f t="shared" si="2"/>
        <v>0.009063325885</v>
      </c>
      <c r="AF526" s="490">
        <f t="shared" si="3"/>
        <v>23100219.97</v>
      </c>
      <c r="AG526" s="493">
        <f t="shared" si="6"/>
        <v>826306.3513</v>
      </c>
      <c r="AH526" s="493">
        <f t="shared" si="4"/>
        <v>22273913.62</v>
      </c>
    </row>
    <row r="527">
      <c r="T527" s="494" t="s">
        <v>622</v>
      </c>
      <c r="AB527" s="489">
        <v>525.0</v>
      </c>
      <c r="AC527" s="490">
        <f t="shared" si="5"/>
        <v>23100219.97</v>
      </c>
      <c r="AD527" s="491">
        <f t="shared" si="1"/>
        <v>1500</v>
      </c>
      <c r="AE527" s="492">
        <f t="shared" si="2"/>
        <v>0.009063325885</v>
      </c>
      <c r="AF527" s="490">
        <f t="shared" si="3"/>
        <v>23311084.79</v>
      </c>
      <c r="AG527" s="493">
        <f t="shared" si="6"/>
        <v>827806.3513</v>
      </c>
      <c r="AH527" s="493">
        <f t="shared" si="4"/>
        <v>22483278.44</v>
      </c>
    </row>
    <row r="528">
      <c r="T528" s="494" t="s">
        <v>622</v>
      </c>
      <c r="AB528" s="489">
        <v>526.0</v>
      </c>
      <c r="AC528" s="490">
        <f t="shared" si="5"/>
        <v>23311084.79</v>
      </c>
      <c r="AD528" s="491">
        <f t="shared" si="1"/>
        <v>1500</v>
      </c>
      <c r="AE528" s="492">
        <f t="shared" si="2"/>
        <v>0.009063325885</v>
      </c>
      <c r="AF528" s="490">
        <f t="shared" si="3"/>
        <v>23523860.75</v>
      </c>
      <c r="AG528" s="493">
        <f t="shared" si="6"/>
        <v>829306.3513</v>
      </c>
      <c r="AH528" s="493">
        <f t="shared" si="4"/>
        <v>22694554.4</v>
      </c>
    </row>
    <row r="529">
      <c r="T529" s="494" t="s">
        <v>622</v>
      </c>
      <c r="AB529" s="489">
        <v>527.0</v>
      </c>
      <c r="AC529" s="490">
        <f t="shared" si="5"/>
        <v>23523860.75</v>
      </c>
      <c r="AD529" s="491">
        <f t="shared" si="1"/>
        <v>1500</v>
      </c>
      <c r="AE529" s="492">
        <f t="shared" si="2"/>
        <v>0.009063325885</v>
      </c>
      <c r="AF529" s="490">
        <f t="shared" si="3"/>
        <v>23738565.17</v>
      </c>
      <c r="AG529" s="493">
        <f t="shared" si="6"/>
        <v>830806.3513</v>
      </c>
      <c r="AH529" s="493">
        <f t="shared" si="4"/>
        <v>22907758.82</v>
      </c>
    </row>
    <row r="530">
      <c r="T530" s="494" t="s">
        <v>622</v>
      </c>
      <c r="AB530" s="489">
        <v>528.0</v>
      </c>
      <c r="AC530" s="490">
        <f t="shared" si="5"/>
        <v>23738565.17</v>
      </c>
      <c r="AD530" s="491">
        <f t="shared" si="1"/>
        <v>1500</v>
      </c>
      <c r="AE530" s="492">
        <f t="shared" si="2"/>
        <v>0.009063325885</v>
      </c>
      <c r="AF530" s="490">
        <f t="shared" si="3"/>
        <v>23955215.52</v>
      </c>
      <c r="AG530" s="493">
        <f t="shared" si="6"/>
        <v>832306.3513</v>
      </c>
      <c r="AH530" s="493">
        <f t="shared" si="4"/>
        <v>23122909.17</v>
      </c>
    </row>
    <row r="531">
      <c r="T531" s="494" t="s">
        <v>622</v>
      </c>
      <c r="AB531" s="489">
        <v>529.0</v>
      </c>
      <c r="AC531" s="490">
        <f t="shared" si="5"/>
        <v>23955215.52</v>
      </c>
      <c r="AD531" s="491">
        <f t="shared" si="1"/>
        <v>1500</v>
      </c>
      <c r="AE531" s="492">
        <f t="shared" si="2"/>
        <v>0.009063325885</v>
      </c>
      <c r="AF531" s="490">
        <f t="shared" si="3"/>
        <v>24173829.44</v>
      </c>
      <c r="AG531" s="493">
        <f t="shared" si="6"/>
        <v>833806.3513</v>
      </c>
      <c r="AH531" s="493">
        <f t="shared" si="4"/>
        <v>23340023.09</v>
      </c>
    </row>
    <row r="532">
      <c r="T532" s="494" t="s">
        <v>622</v>
      </c>
      <c r="AB532" s="489">
        <v>530.0</v>
      </c>
      <c r="AC532" s="490">
        <f t="shared" si="5"/>
        <v>24173829.44</v>
      </c>
      <c r="AD532" s="491">
        <f t="shared" si="1"/>
        <v>1500</v>
      </c>
      <c r="AE532" s="492">
        <f t="shared" si="2"/>
        <v>0.009063325885</v>
      </c>
      <c r="AF532" s="490">
        <f t="shared" si="3"/>
        <v>24394424.74</v>
      </c>
      <c r="AG532" s="493">
        <f t="shared" si="6"/>
        <v>835306.3513</v>
      </c>
      <c r="AH532" s="493">
        <f t="shared" si="4"/>
        <v>23559118.39</v>
      </c>
    </row>
    <row r="533">
      <c r="T533" s="494" t="s">
        <v>622</v>
      </c>
      <c r="AB533" s="489">
        <v>531.0</v>
      </c>
      <c r="AC533" s="490">
        <f t="shared" si="5"/>
        <v>24394424.74</v>
      </c>
      <c r="AD533" s="491">
        <f t="shared" si="1"/>
        <v>1500</v>
      </c>
      <c r="AE533" s="492">
        <f t="shared" si="2"/>
        <v>0.009063325885</v>
      </c>
      <c r="AF533" s="490">
        <f t="shared" si="3"/>
        <v>24617019.36</v>
      </c>
      <c r="AG533" s="493">
        <f t="shared" si="6"/>
        <v>836806.3513</v>
      </c>
      <c r="AH533" s="493">
        <f t="shared" si="4"/>
        <v>23780213.01</v>
      </c>
    </row>
    <row r="534">
      <c r="T534" s="494" t="s">
        <v>622</v>
      </c>
      <c r="AB534" s="489">
        <v>532.0</v>
      </c>
      <c r="AC534" s="490">
        <f t="shared" si="5"/>
        <v>24617019.36</v>
      </c>
      <c r="AD534" s="491">
        <f t="shared" si="1"/>
        <v>1500</v>
      </c>
      <c r="AE534" s="492">
        <f t="shared" si="2"/>
        <v>0.009063325885</v>
      </c>
      <c r="AF534" s="490">
        <f t="shared" si="3"/>
        <v>24841631.43</v>
      </c>
      <c r="AG534" s="493">
        <f t="shared" si="6"/>
        <v>838306.3513</v>
      </c>
      <c r="AH534" s="493">
        <f t="shared" si="4"/>
        <v>24003325.08</v>
      </c>
    </row>
    <row r="535">
      <c r="T535" s="494" t="s">
        <v>622</v>
      </c>
      <c r="AB535" s="489">
        <v>533.0</v>
      </c>
      <c r="AC535" s="490">
        <f t="shared" si="5"/>
        <v>24841631.43</v>
      </c>
      <c r="AD535" s="491">
        <f t="shared" si="1"/>
        <v>1500</v>
      </c>
      <c r="AE535" s="492">
        <f t="shared" si="2"/>
        <v>0.009063325885</v>
      </c>
      <c r="AF535" s="490">
        <f t="shared" si="3"/>
        <v>25068279.23</v>
      </c>
      <c r="AG535" s="493">
        <f t="shared" si="6"/>
        <v>839806.3513</v>
      </c>
      <c r="AH535" s="493">
        <f t="shared" si="4"/>
        <v>24228472.88</v>
      </c>
    </row>
    <row r="536">
      <c r="T536" s="494" t="s">
        <v>622</v>
      </c>
      <c r="AB536" s="489">
        <v>534.0</v>
      </c>
      <c r="AC536" s="490">
        <f t="shared" si="5"/>
        <v>25068279.23</v>
      </c>
      <c r="AD536" s="491">
        <f t="shared" si="1"/>
        <v>1500</v>
      </c>
      <c r="AE536" s="492">
        <f t="shared" si="2"/>
        <v>0.009063325885</v>
      </c>
      <c r="AF536" s="490">
        <f t="shared" si="3"/>
        <v>25296981.21</v>
      </c>
      <c r="AG536" s="493">
        <f t="shared" si="6"/>
        <v>841306.3513</v>
      </c>
      <c r="AH536" s="493">
        <f t="shared" si="4"/>
        <v>24455674.86</v>
      </c>
    </row>
    <row r="537">
      <c r="T537" s="494" t="s">
        <v>622</v>
      </c>
      <c r="AB537" s="489">
        <v>535.0</v>
      </c>
      <c r="AC537" s="490">
        <f t="shared" si="5"/>
        <v>25296981.21</v>
      </c>
      <c r="AD537" s="491">
        <f t="shared" si="1"/>
        <v>1500</v>
      </c>
      <c r="AE537" s="492">
        <f t="shared" si="2"/>
        <v>0.009063325885</v>
      </c>
      <c r="AF537" s="490">
        <f t="shared" si="3"/>
        <v>25527756</v>
      </c>
      <c r="AG537" s="493">
        <f t="shared" si="6"/>
        <v>842806.3513</v>
      </c>
      <c r="AH537" s="493">
        <f t="shared" si="4"/>
        <v>24684949.65</v>
      </c>
    </row>
    <row r="538">
      <c r="T538" s="494" t="s">
        <v>622</v>
      </c>
      <c r="AB538" s="489">
        <v>536.0</v>
      </c>
      <c r="AC538" s="490">
        <f t="shared" si="5"/>
        <v>25527756</v>
      </c>
      <c r="AD538" s="491">
        <f t="shared" si="1"/>
        <v>1500</v>
      </c>
      <c r="AE538" s="492">
        <f t="shared" si="2"/>
        <v>0.009063325885</v>
      </c>
      <c r="AF538" s="490">
        <f t="shared" si="3"/>
        <v>25760622.37</v>
      </c>
      <c r="AG538" s="493">
        <f t="shared" si="6"/>
        <v>844306.3513</v>
      </c>
      <c r="AH538" s="493">
        <f t="shared" si="4"/>
        <v>24916316.02</v>
      </c>
    </row>
    <row r="539">
      <c r="T539" s="494" t="s">
        <v>622</v>
      </c>
      <c r="AB539" s="489">
        <v>537.0</v>
      </c>
      <c r="AC539" s="490">
        <f t="shared" si="5"/>
        <v>25760622.37</v>
      </c>
      <c r="AD539" s="491">
        <f t="shared" si="1"/>
        <v>1500</v>
      </c>
      <c r="AE539" s="492">
        <f t="shared" si="2"/>
        <v>0.009063325885</v>
      </c>
      <c r="AF539" s="490">
        <f t="shared" si="3"/>
        <v>25995599.28</v>
      </c>
      <c r="AG539" s="493">
        <f t="shared" si="6"/>
        <v>845806.3513</v>
      </c>
      <c r="AH539" s="493">
        <f t="shared" si="4"/>
        <v>25149792.93</v>
      </c>
    </row>
    <row r="540">
      <c r="T540" s="494" t="s">
        <v>622</v>
      </c>
      <c r="AB540" s="489">
        <v>538.0</v>
      </c>
      <c r="AC540" s="490">
        <f t="shared" si="5"/>
        <v>25995599.28</v>
      </c>
      <c r="AD540" s="491">
        <f t="shared" si="1"/>
        <v>1500</v>
      </c>
      <c r="AE540" s="492">
        <f t="shared" si="2"/>
        <v>0.009063325885</v>
      </c>
      <c r="AF540" s="490">
        <f t="shared" si="3"/>
        <v>26232705.87</v>
      </c>
      <c r="AG540" s="493">
        <f t="shared" si="6"/>
        <v>847306.3513</v>
      </c>
      <c r="AH540" s="493">
        <f t="shared" si="4"/>
        <v>25385399.52</v>
      </c>
    </row>
    <row r="541">
      <c r="T541" s="494" t="s">
        <v>622</v>
      </c>
      <c r="AB541" s="489">
        <v>539.0</v>
      </c>
      <c r="AC541" s="490">
        <f t="shared" si="5"/>
        <v>26232705.87</v>
      </c>
      <c r="AD541" s="491">
        <f t="shared" si="1"/>
        <v>1500</v>
      </c>
      <c r="AE541" s="492">
        <f t="shared" si="2"/>
        <v>0.009063325885</v>
      </c>
      <c r="AF541" s="490">
        <f t="shared" si="3"/>
        <v>26471961.43</v>
      </c>
      <c r="AG541" s="493">
        <f t="shared" si="6"/>
        <v>848806.3513</v>
      </c>
      <c r="AH541" s="493">
        <f t="shared" si="4"/>
        <v>25623155.08</v>
      </c>
    </row>
    <row r="542">
      <c r="T542" s="494" t="s">
        <v>622</v>
      </c>
      <c r="AB542" s="489">
        <v>540.0</v>
      </c>
      <c r="AC542" s="490">
        <f t="shared" si="5"/>
        <v>26471961.43</v>
      </c>
      <c r="AD542" s="491">
        <f t="shared" si="1"/>
        <v>1500</v>
      </c>
      <c r="AE542" s="492">
        <f t="shared" si="2"/>
        <v>0.009063325885</v>
      </c>
      <c r="AF542" s="490">
        <f t="shared" si="3"/>
        <v>26713385.45</v>
      </c>
      <c r="AG542" s="493">
        <f t="shared" si="6"/>
        <v>850306.3513</v>
      </c>
      <c r="AH542" s="493">
        <f t="shared" si="4"/>
        <v>25863079.1</v>
      </c>
    </row>
    <row r="543">
      <c r="T543" s="494" t="s">
        <v>622</v>
      </c>
      <c r="AB543" s="489">
        <v>541.0</v>
      </c>
      <c r="AC543" s="490">
        <f t="shared" si="5"/>
        <v>26713385.45</v>
      </c>
      <c r="AD543" s="491">
        <f t="shared" si="1"/>
        <v>1500</v>
      </c>
      <c r="AE543" s="492">
        <f t="shared" si="2"/>
        <v>0.009063325885</v>
      </c>
      <c r="AF543" s="490">
        <f t="shared" si="3"/>
        <v>26956997.57</v>
      </c>
      <c r="AG543" s="493">
        <f t="shared" si="6"/>
        <v>851806.3513</v>
      </c>
      <c r="AH543" s="493">
        <f t="shared" si="4"/>
        <v>26105191.21</v>
      </c>
    </row>
    <row r="544">
      <c r="T544" s="494" t="s">
        <v>622</v>
      </c>
      <c r="AB544" s="489">
        <v>542.0</v>
      </c>
      <c r="AC544" s="490">
        <f t="shared" si="5"/>
        <v>26956997.57</v>
      </c>
      <c r="AD544" s="491">
        <f t="shared" si="1"/>
        <v>1500</v>
      </c>
      <c r="AE544" s="492">
        <f t="shared" si="2"/>
        <v>0.009063325885</v>
      </c>
      <c r="AF544" s="490">
        <f t="shared" si="3"/>
        <v>27202817.62</v>
      </c>
      <c r="AG544" s="493">
        <f t="shared" si="6"/>
        <v>853306.3513</v>
      </c>
      <c r="AH544" s="493">
        <f t="shared" si="4"/>
        <v>26349511.27</v>
      </c>
    </row>
    <row r="545">
      <c r="T545" s="494" t="s">
        <v>622</v>
      </c>
      <c r="AB545" s="489">
        <v>543.0</v>
      </c>
      <c r="AC545" s="490">
        <f t="shared" si="5"/>
        <v>27202817.62</v>
      </c>
      <c r="AD545" s="491">
        <f t="shared" si="1"/>
        <v>1500</v>
      </c>
      <c r="AE545" s="492">
        <f t="shared" si="2"/>
        <v>0.009063325885</v>
      </c>
      <c r="AF545" s="490">
        <f t="shared" si="3"/>
        <v>27450865.62</v>
      </c>
      <c r="AG545" s="493">
        <f t="shared" si="6"/>
        <v>854806.3513</v>
      </c>
      <c r="AH545" s="493">
        <f t="shared" si="4"/>
        <v>26596059.27</v>
      </c>
    </row>
    <row r="546">
      <c r="T546" s="494" t="s">
        <v>622</v>
      </c>
      <c r="AB546" s="489">
        <v>544.0</v>
      </c>
      <c r="AC546" s="490">
        <f t="shared" si="5"/>
        <v>27450865.62</v>
      </c>
      <c r="AD546" s="491">
        <f t="shared" si="1"/>
        <v>1500</v>
      </c>
      <c r="AE546" s="492">
        <f t="shared" si="2"/>
        <v>0.009063325885</v>
      </c>
      <c r="AF546" s="490">
        <f t="shared" si="3"/>
        <v>27701161.76</v>
      </c>
      <c r="AG546" s="493">
        <f t="shared" si="6"/>
        <v>856306.3513</v>
      </c>
      <c r="AH546" s="493">
        <f t="shared" si="4"/>
        <v>26844855.41</v>
      </c>
    </row>
    <row r="547">
      <c r="T547" s="494" t="s">
        <v>622</v>
      </c>
      <c r="AB547" s="489">
        <v>545.0</v>
      </c>
      <c r="AC547" s="490">
        <f t="shared" si="5"/>
        <v>27701161.76</v>
      </c>
      <c r="AD547" s="491">
        <f t="shared" si="1"/>
        <v>1500</v>
      </c>
      <c r="AE547" s="492">
        <f t="shared" si="2"/>
        <v>0.009063325885</v>
      </c>
      <c r="AF547" s="490">
        <f t="shared" si="3"/>
        <v>27953726.42</v>
      </c>
      <c r="AG547" s="493">
        <f t="shared" si="6"/>
        <v>857806.3513</v>
      </c>
      <c r="AH547" s="493">
        <f t="shared" si="4"/>
        <v>27095920.07</v>
      </c>
    </row>
    <row r="548">
      <c r="T548" s="494" t="s">
        <v>622</v>
      </c>
      <c r="AB548" s="489">
        <v>546.0</v>
      </c>
      <c r="AC548" s="490">
        <f t="shared" si="5"/>
        <v>27953726.42</v>
      </c>
      <c r="AD548" s="491">
        <f t="shared" si="1"/>
        <v>1500</v>
      </c>
      <c r="AE548" s="492">
        <f t="shared" si="2"/>
        <v>0.009063325885</v>
      </c>
      <c r="AF548" s="490">
        <f t="shared" si="3"/>
        <v>28208580.15</v>
      </c>
      <c r="AG548" s="493">
        <f t="shared" si="6"/>
        <v>859306.3513</v>
      </c>
      <c r="AH548" s="493">
        <f t="shared" si="4"/>
        <v>27349273.8</v>
      </c>
    </row>
    <row r="549">
      <c r="T549" s="494" t="s">
        <v>622</v>
      </c>
      <c r="AB549" s="489">
        <v>547.0</v>
      </c>
      <c r="AC549" s="490">
        <f t="shared" si="5"/>
        <v>28208580.15</v>
      </c>
      <c r="AD549" s="491">
        <f t="shared" si="1"/>
        <v>1500</v>
      </c>
      <c r="AE549" s="492">
        <f t="shared" si="2"/>
        <v>0.009063325885</v>
      </c>
      <c r="AF549" s="490">
        <f t="shared" si="3"/>
        <v>28465743.71</v>
      </c>
      <c r="AG549" s="493">
        <f t="shared" si="6"/>
        <v>860806.3513</v>
      </c>
      <c r="AH549" s="493">
        <f t="shared" si="4"/>
        <v>27604937.35</v>
      </c>
    </row>
    <row r="550">
      <c r="T550" s="494" t="s">
        <v>622</v>
      </c>
      <c r="AB550" s="489">
        <v>548.0</v>
      </c>
      <c r="AC550" s="490">
        <f t="shared" si="5"/>
        <v>28465743.71</v>
      </c>
      <c r="AD550" s="491">
        <f t="shared" si="1"/>
        <v>1500</v>
      </c>
      <c r="AE550" s="492">
        <f t="shared" si="2"/>
        <v>0.009063325885</v>
      </c>
      <c r="AF550" s="490">
        <f t="shared" si="3"/>
        <v>28725238.02</v>
      </c>
      <c r="AG550" s="493">
        <f t="shared" si="6"/>
        <v>862306.3513</v>
      </c>
      <c r="AH550" s="493">
        <f t="shared" si="4"/>
        <v>27862931.67</v>
      </c>
    </row>
    <row r="551">
      <c r="T551" s="494" t="s">
        <v>622</v>
      </c>
      <c r="AB551" s="489">
        <v>549.0</v>
      </c>
      <c r="AC551" s="490">
        <f t="shared" si="5"/>
        <v>28725238.02</v>
      </c>
      <c r="AD551" s="491">
        <f t="shared" si="1"/>
        <v>1500</v>
      </c>
      <c r="AE551" s="492">
        <f t="shared" si="2"/>
        <v>0.009063325885</v>
      </c>
      <c r="AF551" s="490">
        <f t="shared" si="3"/>
        <v>28987084.21</v>
      </c>
      <c r="AG551" s="493">
        <f t="shared" si="6"/>
        <v>863806.3513</v>
      </c>
      <c r="AH551" s="493">
        <f t="shared" si="4"/>
        <v>28123277.86</v>
      </c>
    </row>
    <row r="552">
      <c r="T552" s="494" t="s">
        <v>622</v>
      </c>
      <c r="AB552" s="489">
        <v>550.0</v>
      </c>
      <c r="AC552" s="490">
        <f t="shared" si="5"/>
        <v>28987084.21</v>
      </c>
      <c r="AD552" s="491">
        <f t="shared" si="1"/>
        <v>1500</v>
      </c>
      <c r="AE552" s="492">
        <f t="shared" si="2"/>
        <v>0.009063325885</v>
      </c>
      <c r="AF552" s="490">
        <f t="shared" si="3"/>
        <v>29251303.6</v>
      </c>
      <c r="AG552" s="493">
        <f t="shared" si="6"/>
        <v>865306.3513</v>
      </c>
      <c r="AH552" s="493">
        <f t="shared" si="4"/>
        <v>28385997.25</v>
      </c>
    </row>
    <row r="553">
      <c r="T553" s="494" t="s">
        <v>622</v>
      </c>
      <c r="AB553" s="489">
        <v>551.0</v>
      </c>
      <c r="AC553" s="490">
        <f t="shared" si="5"/>
        <v>29251303.6</v>
      </c>
      <c r="AD553" s="491">
        <f t="shared" si="1"/>
        <v>1500</v>
      </c>
      <c r="AE553" s="492">
        <f t="shared" si="2"/>
        <v>0.009063325885</v>
      </c>
      <c r="AF553" s="490">
        <f t="shared" si="3"/>
        <v>29517917.7</v>
      </c>
      <c r="AG553" s="493">
        <f t="shared" si="6"/>
        <v>866806.3513</v>
      </c>
      <c r="AH553" s="493">
        <f t="shared" si="4"/>
        <v>28651111.35</v>
      </c>
    </row>
    <row r="554">
      <c r="T554" s="494" t="s">
        <v>622</v>
      </c>
      <c r="AB554" s="489">
        <v>552.0</v>
      </c>
      <c r="AC554" s="490">
        <f t="shared" si="5"/>
        <v>29517917.7</v>
      </c>
      <c r="AD554" s="491">
        <f t="shared" si="1"/>
        <v>1500</v>
      </c>
      <c r="AE554" s="492">
        <f t="shared" si="2"/>
        <v>0.009063325885</v>
      </c>
      <c r="AF554" s="490">
        <f t="shared" si="3"/>
        <v>29786948.21</v>
      </c>
      <c r="AG554" s="493">
        <f t="shared" si="6"/>
        <v>868306.3513</v>
      </c>
      <c r="AH554" s="493">
        <f t="shared" si="4"/>
        <v>28918641.85</v>
      </c>
    </row>
    <row r="555">
      <c r="T555" s="494" t="s">
        <v>622</v>
      </c>
      <c r="AB555" s="489">
        <v>553.0</v>
      </c>
      <c r="AC555" s="490">
        <f t="shared" si="5"/>
        <v>29786948.21</v>
      </c>
      <c r="AD555" s="491">
        <f t="shared" si="1"/>
        <v>1500</v>
      </c>
      <c r="AE555" s="492">
        <f t="shared" si="2"/>
        <v>0.009063325885</v>
      </c>
      <c r="AF555" s="490">
        <f t="shared" si="3"/>
        <v>30058417.02</v>
      </c>
      <c r="AG555" s="493">
        <f t="shared" si="6"/>
        <v>869806.3513</v>
      </c>
      <c r="AH555" s="493">
        <f t="shared" si="4"/>
        <v>29188610.67</v>
      </c>
    </row>
    <row r="556">
      <c r="T556" s="494" t="s">
        <v>622</v>
      </c>
      <c r="AB556" s="489">
        <v>554.0</v>
      </c>
      <c r="AC556" s="490">
        <f t="shared" si="5"/>
        <v>30058417.02</v>
      </c>
      <c r="AD556" s="491">
        <f t="shared" si="1"/>
        <v>1500</v>
      </c>
      <c r="AE556" s="492">
        <f t="shared" si="2"/>
        <v>0.009063325885</v>
      </c>
      <c r="AF556" s="490">
        <f t="shared" si="3"/>
        <v>30332346.25</v>
      </c>
      <c r="AG556" s="493">
        <f t="shared" si="6"/>
        <v>871306.3513</v>
      </c>
      <c r="AH556" s="493">
        <f t="shared" si="4"/>
        <v>29461039.9</v>
      </c>
    </row>
    <row r="557">
      <c r="T557" s="494" t="s">
        <v>622</v>
      </c>
      <c r="AB557" s="489">
        <v>555.0</v>
      </c>
      <c r="AC557" s="490">
        <f t="shared" si="5"/>
        <v>30332346.25</v>
      </c>
      <c r="AD557" s="491">
        <f t="shared" si="1"/>
        <v>1500</v>
      </c>
      <c r="AE557" s="492">
        <f t="shared" si="2"/>
        <v>0.009063325885</v>
      </c>
      <c r="AF557" s="490">
        <f t="shared" si="3"/>
        <v>30608758.19</v>
      </c>
      <c r="AG557" s="493">
        <f t="shared" si="6"/>
        <v>872806.3513</v>
      </c>
      <c r="AH557" s="493">
        <f t="shared" si="4"/>
        <v>29735951.84</v>
      </c>
    </row>
    <row r="558">
      <c r="T558" s="494" t="s">
        <v>622</v>
      </c>
      <c r="AB558" s="489">
        <v>556.0</v>
      </c>
      <c r="AC558" s="490">
        <f t="shared" si="5"/>
        <v>30608758.19</v>
      </c>
      <c r="AD558" s="491">
        <f t="shared" si="1"/>
        <v>1500</v>
      </c>
      <c r="AE558" s="492">
        <f t="shared" si="2"/>
        <v>0.009063325885</v>
      </c>
      <c r="AF558" s="490">
        <f t="shared" si="3"/>
        <v>30887675.34</v>
      </c>
      <c r="AG558" s="493">
        <f t="shared" si="6"/>
        <v>874306.3513</v>
      </c>
      <c r="AH558" s="493">
        <f t="shared" si="4"/>
        <v>30013368.99</v>
      </c>
    </row>
    <row r="559">
      <c r="T559" s="494" t="s">
        <v>622</v>
      </c>
      <c r="AB559" s="489">
        <v>557.0</v>
      </c>
      <c r="AC559" s="490">
        <f t="shared" si="5"/>
        <v>30887675.34</v>
      </c>
      <c r="AD559" s="491">
        <f t="shared" si="1"/>
        <v>1500</v>
      </c>
      <c r="AE559" s="492">
        <f t="shared" si="2"/>
        <v>0.009063325885</v>
      </c>
      <c r="AF559" s="490">
        <f t="shared" si="3"/>
        <v>31169120.41</v>
      </c>
      <c r="AG559" s="493">
        <f t="shared" si="6"/>
        <v>875806.3513</v>
      </c>
      <c r="AH559" s="493">
        <f t="shared" si="4"/>
        <v>30293314.06</v>
      </c>
    </row>
    <row r="560">
      <c r="T560" s="494" t="s">
        <v>622</v>
      </c>
      <c r="AB560" s="489">
        <v>558.0</v>
      </c>
      <c r="AC560" s="490">
        <f t="shared" si="5"/>
        <v>31169120.41</v>
      </c>
      <c r="AD560" s="491">
        <f t="shared" si="1"/>
        <v>1500</v>
      </c>
      <c r="AE560" s="492">
        <f t="shared" si="2"/>
        <v>0.009063325885</v>
      </c>
      <c r="AF560" s="490">
        <f t="shared" si="3"/>
        <v>31453116.31</v>
      </c>
      <c r="AG560" s="493">
        <f t="shared" si="6"/>
        <v>877306.3513</v>
      </c>
      <c r="AH560" s="493">
        <f t="shared" si="4"/>
        <v>30575809.95</v>
      </c>
    </row>
    <row r="561">
      <c r="T561" s="494" t="s">
        <v>622</v>
      </c>
      <c r="AB561" s="489">
        <v>559.0</v>
      </c>
      <c r="AC561" s="490">
        <f t="shared" si="5"/>
        <v>31453116.31</v>
      </c>
      <c r="AD561" s="491">
        <f t="shared" si="1"/>
        <v>1500</v>
      </c>
      <c r="AE561" s="492">
        <f t="shared" si="2"/>
        <v>0.009063325885</v>
      </c>
      <c r="AF561" s="490">
        <f t="shared" si="3"/>
        <v>31739686.15</v>
      </c>
      <c r="AG561" s="493">
        <f t="shared" si="6"/>
        <v>878806.3513</v>
      </c>
      <c r="AH561" s="493">
        <f t="shared" si="4"/>
        <v>30860879.8</v>
      </c>
    </row>
    <row r="562">
      <c r="T562" s="494" t="s">
        <v>622</v>
      </c>
      <c r="AB562" s="489">
        <v>560.0</v>
      </c>
      <c r="AC562" s="490">
        <f t="shared" si="5"/>
        <v>31739686.15</v>
      </c>
      <c r="AD562" s="491">
        <f t="shared" si="1"/>
        <v>1500</v>
      </c>
      <c r="AE562" s="492">
        <f t="shared" si="2"/>
        <v>0.009063325885</v>
      </c>
      <c r="AF562" s="490">
        <f t="shared" si="3"/>
        <v>32028853.27</v>
      </c>
      <c r="AG562" s="493">
        <f t="shared" si="6"/>
        <v>880306.3513</v>
      </c>
      <c r="AH562" s="493">
        <f t="shared" si="4"/>
        <v>31148546.92</v>
      </c>
    </row>
    <row r="563">
      <c r="T563" s="494" t="s">
        <v>622</v>
      </c>
      <c r="AB563" s="489">
        <v>561.0</v>
      </c>
      <c r="AC563" s="490">
        <f t="shared" si="5"/>
        <v>32028853.27</v>
      </c>
      <c r="AD563" s="491">
        <f t="shared" si="1"/>
        <v>1500</v>
      </c>
      <c r="AE563" s="492">
        <f t="shared" si="2"/>
        <v>0.009063325885</v>
      </c>
      <c r="AF563" s="490">
        <f t="shared" si="3"/>
        <v>32320641.2</v>
      </c>
      <c r="AG563" s="493">
        <f t="shared" si="6"/>
        <v>881806.3513</v>
      </c>
      <c r="AH563" s="493">
        <f t="shared" si="4"/>
        <v>31438834.85</v>
      </c>
    </row>
    <row r="564">
      <c r="T564" s="494" t="s">
        <v>622</v>
      </c>
      <c r="AB564" s="489">
        <v>562.0</v>
      </c>
      <c r="AC564" s="490">
        <f t="shared" si="5"/>
        <v>32320641.2</v>
      </c>
      <c r="AD564" s="491">
        <f t="shared" si="1"/>
        <v>1500</v>
      </c>
      <c r="AE564" s="492">
        <f t="shared" si="2"/>
        <v>0.009063325885</v>
      </c>
      <c r="AF564" s="490">
        <f t="shared" si="3"/>
        <v>32615073.71</v>
      </c>
      <c r="AG564" s="493">
        <f t="shared" si="6"/>
        <v>883306.3513</v>
      </c>
      <c r="AH564" s="493">
        <f t="shared" si="4"/>
        <v>31731767.36</v>
      </c>
    </row>
    <row r="565">
      <c r="T565" s="494" t="s">
        <v>622</v>
      </c>
      <c r="AB565" s="489">
        <v>563.0</v>
      </c>
      <c r="AC565" s="490">
        <f t="shared" si="5"/>
        <v>32615073.71</v>
      </c>
      <c r="AD565" s="491">
        <f t="shared" si="1"/>
        <v>1500</v>
      </c>
      <c r="AE565" s="492">
        <f t="shared" si="2"/>
        <v>0.009063325885</v>
      </c>
      <c r="AF565" s="490">
        <f t="shared" si="3"/>
        <v>32912174.75</v>
      </c>
      <c r="AG565" s="493">
        <f t="shared" si="6"/>
        <v>884806.3513</v>
      </c>
      <c r="AH565" s="493">
        <f t="shared" si="4"/>
        <v>32027368.4</v>
      </c>
    </row>
    <row r="566">
      <c r="T566" s="494" t="s">
        <v>622</v>
      </c>
      <c r="AB566" s="489">
        <v>564.0</v>
      </c>
      <c r="AC566" s="490">
        <f t="shared" si="5"/>
        <v>32912174.75</v>
      </c>
      <c r="AD566" s="491">
        <f t="shared" si="1"/>
        <v>1500</v>
      </c>
      <c r="AE566" s="492">
        <f t="shared" si="2"/>
        <v>0.009063325885</v>
      </c>
      <c r="AF566" s="490">
        <f t="shared" si="3"/>
        <v>33211968.51</v>
      </c>
      <c r="AG566" s="493">
        <f t="shared" si="6"/>
        <v>886306.3513</v>
      </c>
      <c r="AH566" s="493">
        <f t="shared" si="4"/>
        <v>32325662.16</v>
      </c>
    </row>
    <row r="567">
      <c r="T567" s="494" t="s">
        <v>622</v>
      </c>
      <c r="AB567" s="489">
        <v>565.0</v>
      </c>
      <c r="AC567" s="490">
        <f t="shared" si="5"/>
        <v>33211968.51</v>
      </c>
      <c r="AD567" s="491">
        <f t="shared" si="1"/>
        <v>1500</v>
      </c>
      <c r="AE567" s="492">
        <f t="shared" si="2"/>
        <v>0.009063325885</v>
      </c>
      <c r="AF567" s="490">
        <f t="shared" si="3"/>
        <v>33514479.41</v>
      </c>
      <c r="AG567" s="493">
        <f t="shared" si="6"/>
        <v>887806.3513</v>
      </c>
      <c r="AH567" s="493">
        <f t="shared" si="4"/>
        <v>32626673.06</v>
      </c>
    </row>
    <row r="568">
      <c r="T568" s="494" t="s">
        <v>622</v>
      </c>
      <c r="AB568" s="489">
        <v>566.0</v>
      </c>
      <c r="AC568" s="490">
        <f t="shared" si="5"/>
        <v>33514479.41</v>
      </c>
      <c r="AD568" s="491">
        <f t="shared" si="1"/>
        <v>1500</v>
      </c>
      <c r="AE568" s="492">
        <f t="shared" si="2"/>
        <v>0.009063325885</v>
      </c>
      <c r="AF568" s="490">
        <f t="shared" si="3"/>
        <v>33819732.06</v>
      </c>
      <c r="AG568" s="493">
        <f t="shared" si="6"/>
        <v>889306.3513</v>
      </c>
      <c r="AH568" s="493">
        <f t="shared" si="4"/>
        <v>32930425.71</v>
      </c>
    </row>
    <row r="569">
      <c r="T569" s="494" t="s">
        <v>622</v>
      </c>
      <c r="AB569" s="489">
        <v>567.0</v>
      </c>
      <c r="AC569" s="490">
        <f t="shared" si="5"/>
        <v>33819732.06</v>
      </c>
      <c r="AD569" s="491">
        <f t="shared" si="1"/>
        <v>1500</v>
      </c>
      <c r="AE569" s="492">
        <f t="shared" si="2"/>
        <v>0.009063325885</v>
      </c>
      <c r="AF569" s="490">
        <f t="shared" si="3"/>
        <v>34127751.31</v>
      </c>
      <c r="AG569" s="493">
        <f t="shared" si="6"/>
        <v>890806.3513</v>
      </c>
      <c r="AH569" s="493">
        <f t="shared" si="4"/>
        <v>33236944.96</v>
      </c>
    </row>
    <row r="570">
      <c r="T570" s="494" t="s">
        <v>622</v>
      </c>
      <c r="AB570" s="489">
        <v>568.0</v>
      </c>
      <c r="AC570" s="490">
        <f t="shared" si="5"/>
        <v>34127751.31</v>
      </c>
      <c r="AD570" s="491">
        <f t="shared" si="1"/>
        <v>1500</v>
      </c>
      <c r="AE570" s="492">
        <f t="shared" si="2"/>
        <v>0.009063325885</v>
      </c>
      <c r="AF570" s="490">
        <f t="shared" si="3"/>
        <v>34438562.24</v>
      </c>
      <c r="AG570" s="493">
        <f t="shared" si="6"/>
        <v>892306.3513</v>
      </c>
      <c r="AH570" s="493">
        <f t="shared" si="4"/>
        <v>33546255.89</v>
      </c>
    </row>
    <row r="571">
      <c r="T571" s="494" t="s">
        <v>622</v>
      </c>
      <c r="AB571" s="489">
        <v>569.0</v>
      </c>
      <c r="AC571" s="490">
        <f t="shared" si="5"/>
        <v>34438562.24</v>
      </c>
      <c r="AD571" s="491">
        <f t="shared" si="1"/>
        <v>1500</v>
      </c>
      <c r="AE571" s="492">
        <f t="shared" si="2"/>
        <v>0.009063325885</v>
      </c>
      <c r="AF571" s="490">
        <f t="shared" si="3"/>
        <v>34752190.15</v>
      </c>
      <c r="AG571" s="493">
        <f t="shared" si="6"/>
        <v>893806.3513</v>
      </c>
      <c r="AH571" s="493">
        <f t="shared" si="4"/>
        <v>33858383.8</v>
      </c>
    </row>
    <row r="572">
      <c r="T572" s="494" t="s">
        <v>622</v>
      </c>
      <c r="AB572" s="489">
        <v>570.0</v>
      </c>
      <c r="AC572" s="490">
        <f t="shared" si="5"/>
        <v>34752190.15</v>
      </c>
      <c r="AD572" s="491">
        <f t="shared" si="1"/>
        <v>1500</v>
      </c>
      <c r="AE572" s="492">
        <f t="shared" si="2"/>
        <v>0.009063325885</v>
      </c>
      <c r="AF572" s="490">
        <f t="shared" si="3"/>
        <v>35068660.58</v>
      </c>
      <c r="AG572" s="493">
        <f t="shared" si="6"/>
        <v>895306.3513</v>
      </c>
      <c r="AH572" s="493">
        <f t="shared" si="4"/>
        <v>34173354.23</v>
      </c>
    </row>
    <row r="573">
      <c r="T573" s="494" t="s">
        <v>622</v>
      </c>
      <c r="AB573" s="489">
        <v>571.0</v>
      </c>
      <c r="AC573" s="490">
        <f t="shared" si="5"/>
        <v>35068660.58</v>
      </c>
      <c r="AD573" s="491">
        <f t="shared" si="1"/>
        <v>1500</v>
      </c>
      <c r="AE573" s="492">
        <f t="shared" si="2"/>
        <v>0.009063325885</v>
      </c>
      <c r="AF573" s="490">
        <f t="shared" si="3"/>
        <v>35387999.28</v>
      </c>
      <c r="AG573" s="493">
        <f t="shared" si="6"/>
        <v>896806.3513</v>
      </c>
      <c r="AH573" s="493">
        <f t="shared" si="4"/>
        <v>34491192.93</v>
      </c>
    </row>
    <row r="574">
      <c r="T574" s="494" t="s">
        <v>622</v>
      </c>
      <c r="AB574" s="489">
        <v>572.0</v>
      </c>
      <c r="AC574" s="490">
        <f t="shared" si="5"/>
        <v>35387999.28</v>
      </c>
      <c r="AD574" s="491">
        <f t="shared" si="1"/>
        <v>1500</v>
      </c>
      <c r="AE574" s="492">
        <f t="shared" si="2"/>
        <v>0.009063325885</v>
      </c>
      <c r="AF574" s="490">
        <f t="shared" si="3"/>
        <v>35710232.25</v>
      </c>
      <c r="AG574" s="493">
        <f t="shared" si="6"/>
        <v>898306.3513</v>
      </c>
      <c r="AH574" s="493">
        <f t="shared" si="4"/>
        <v>34811925.9</v>
      </c>
    </row>
    <row r="575">
      <c r="T575" s="494" t="s">
        <v>622</v>
      </c>
      <c r="AB575" s="489">
        <v>573.0</v>
      </c>
      <c r="AC575" s="490">
        <f t="shared" si="5"/>
        <v>35710232.25</v>
      </c>
      <c r="AD575" s="491">
        <f t="shared" si="1"/>
        <v>1500</v>
      </c>
      <c r="AE575" s="492">
        <f t="shared" si="2"/>
        <v>0.009063325885</v>
      </c>
      <c r="AF575" s="490">
        <f t="shared" si="3"/>
        <v>36035385.72</v>
      </c>
      <c r="AG575" s="493">
        <f t="shared" si="6"/>
        <v>899806.3513</v>
      </c>
      <c r="AH575" s="493">
        <f t="shared" si="4"/>
        <v>35135579.37</v>
      </c>
    </row>
    <row r="576">
      <c r="T576" s="494" t="s">
        <v>622</v>
      </c>
      <c r="AB576" s="489">
        <v>574.0</v>
      </c>
      <c r="AC576" s="490">
        <f t="shared" si="5"/>
        <v>36035385.72</v>
      </c>
      <c r="AD576" s="491">
        <f t="shared" si="1"/>
        <v>1500</v>
      </c>
      <c r="AE576" s="492">
        <f t="shared" si="2"/>
        <v>0.009063325885</v>
      </c>
      <c r="AF576" s="490">
        <f t="shared" si="3"/>
        <v>36363486.16</v>
      </c>
      <c r="AG576" s="493">
        <f t="shared" si="6"/>
        <v>901306.3513</v>
      </c>
      <c r="AH576" s="493">
        <f t="shared" si="4"/>
        <v>35462179.81</v>
      </c>
    </row>
    <row r="577">
      <c r="T577" s="494" t="s">
        <v>622</v>
      </c>
      <c r="AB577" s="489">
        <v>575.0</v>
      </c>
      <c r="AC577" s="490">
        <f t="shared" si="5"/>
        <v>36363486.16</v>
      </c>
      <c r="AD577" s="491">
        <f t="shared" si="1"/>
        <v>1500</v>
      </c>
      <c r="AE577" s="492">
        <f t="shared" si="2"/>
        <v>0.009063325885</v>
      </c>
      <c r="AF577" s="490">
        <f t="shared" si="3"/>
        <v>36694560.29</v>
      </c>
      <c r="AG577" s="493">
        <f t="shared" si="6"/>
        <v>902806.3513</v>
      </c>
      <c r="AH577" s="493">
        <f t="shared" si="4"/>
        <v>35791753.94</v>
      </c>
    </row>
    <row r="578">
      <c r="T578" s="494" t="s">
        <v>622</v>
      </c>
      <c r="AB578" s="489">
        <v>576.0</v>
      </c>
      <c r="AC578" s="490">
        <f t="shared" si="5"/>
        <v>36694560.29</v>
      </c>
      <c r="AD578" s="491">
        <f t="shared" si="1"/>
        <v>1500</v>
      </c>
      <c r="AE578" s="492">
        <f t="shared" si="2"/>
        <v>0.009063325885</v>
      </c>
      <c r="AF578" s="490">
        <f t="shared" si="3"/>
        <v>37028635.05</v>
      </c>
      <c r="AG578" s="493">
        <f t="shared" si="6"/>
        <v>904306.3513</v>
      </c>
      <c r="AH578" s="493">
        <f t="shared" si="4"/>
        <v>36124328.7</v>
      </c>
    </row>
    <row r="579">
      <c r="T579" s="494" t="s">
        <v>622</v>
      </c>
      <c r="AB579" s="489">
        <v>577.0</v>
      </c>
      <c r="AC579" s="490">
        <f t="shared" si="5"/>
        <v>37028635.05</v>
      </c>
      <c r="AD579" s="491">
        <f t="shared" si="1"/>
        <v>1500</v>
      </c>
      <c r="AE579" s="492">
        <f t="shared" si="2"/>
        <v>0.009063325885</v>
      </c>
      <c r="AF579" s="490">
        <f t="shared" si="3"/>
        <v>37365737.63</v>
      </c>
      <c r="AG579" s="493">
        <f t="shared" si="6"/>
        <v>905806.3513</v>
      </c>
      <c r="AH579" s="493">
        <f t="shared" si="4"/>
        <v>36459931.28</v>
      </c>
    </row>
    <row r="580">
      <c r="T580" s="494" t="s">
        <v>622</v>
      </c>
      <c r="AB580" s="489">
        <v>578.0</v>
      </c>
      <c r="AC580" s="490">
        <f t="shared" si="5"/>
        <v>37365737.63</v>
      </c>
      <c r="AD580" s="491">
        <f t="shared" si="1"/>
        <v>1500</v>
      </c>
      <c r="AE580" s="492">
        <f t="shared" si="2"/>
        <v>0.009063325885</v>
      </c>
      <c r="AF580" s="490">
        <f t="shared" si="3"/>
        <v>37705895.49</v>
      </c>
      <c r="AG580" s="493">
        <f t="shared" si="6"/>
        <v>907306.3513</v>
      </c>
      <c r="AH580" s="493">
        <f t="shared" si="4"/>
        <v>36798589.14</v>
      </c>
    </row>
    <row r="581">
      <c r="T581" s="494" t="s">
        <v>622</v>
      </c>
      <c r="AB581" s="489">
        <v>579.0</v>
      </c>
      <c r="AC581" s="490">
        <f t="shared" si="5"/>
        <v>37705895.49</v>
      </c>
      <c r="AD581" s="491">
        <f t="shared" si="1"/>
        <v>1500</v>
      </c>
      <c r="AE581" s="492">
        <f t="shared" si="2"/>
        <v>0.009063325885</v>
      </c>
      <c r="AF581" s="490">
        <f t="shared" si="3"/>
        <v>38049136.31</v>
      </c>
      <c r="AG581" s="493">
        <f t="shared" si="6"/>
        <v>908806.3513</v>
      </c>
      <c r="AH581" s="493">
        <f t="shared" si="4"/>
        <v>37140329.96</v>
      </c>
    </row>
    <row r="582">
      <c r="T582" s="494" t="s">
        <v>622</v>
      </c>
      <c r="AB582" s="489">
        <v>580.0</v>
      </c>
      <c r="AC582" s="490">
        <f t="shared" si="5"/>
        <v>38049136.31</v>
      </c>
      <c r="AD582" s="491">
        <f t="shared" si="1"/>
        <v>1500</v>
      </c>
      <c r="AE582" s="492">
        <f t="shared" si="2"/>
        <v>0.009063325885</v>
      </c>
      <c r="AF582" s="490">
        <f t="shared" si="3"/>
        <v>38395488.03</v>
      </c>
      <c r="AG582" s="493">
        <f t="shared" si="6"/>
        <v>910306.3513</v>
      </c>
      <c r="AH582" s="493">
        <f t="shared" si="4"/>
        <v>37485181.68</v>
      </c>
    </row>
    <row r="583">
      <c r="T583" s="494" t="s">
        <v>622</v>
      </c>
      <c r="AB583" s="489">
        <v>581.0</v>
      </c>
      <c r="AC583" s="490">
        <f t="shared" si="5"/>
        <v>38395488.03</v>
      </c>
      <c r="AD583" s="491">
        <f t="shared" si="1"/>
        <v>1500</v>
      </c>
      <c r="AE583" s="492">
        <f t="shared" si="2"/>
        <v>0.009063325885</v>
      </c>
      <c r="AF583" s="490">
        <f t="shared" si="3"/>
        <v>38744978.85</v>
      </c>
      <c r="AG583" s="493">
        <f t="shared" si="6"/>
        <v>911806.3513</v>
      </c>
      <c r="AH583" s="493">
        <f t="shared" si="4"/>
        <v>37833172.5</v>
      </c>
    </row>
    <row r="584">
      <c r="T584" s="494" t="s">
        <v>622</v>
      </c>
      <c r="AB584" s="489">
        <v>582.0</v>
      </c>
      <c r="AC584" s="490">
        <f t="shared" si="5"/>
        <v>38744978.85</v>
      </c>
      <c r="AD584" s="491">
        <f t="shared" si="1"/>
        <v>1500</v>
      </c>
      <c r="AE584" s="492">
        <f t="shared" si="2"/>
        <v>0.009063325885</v>
      </c>
      <c r="AF584" s="490">
        <f t="shared" si="3"/>
        <v>39097637.22</v>
      </c>
      <c r="AG584" s="493">
        <f t="shared" si="6"/>
        <v>913306.3513</v>
      </c>
      <c r="AH584" s="493">
        <f t="shared" si="4"/>
        <v>38184330.87</v>
      </c>
    </row>
    <row r="585">
      <c r="T585" s="494" t="s">
        <v>622</v>
      </c>
      <c r="AB585" s="489">
        <v>583.0</v>
      </c>
      <c r="AC585" s="490">
        <f t="shared" si="5"/>
        <v>39097637.22</v>
      </c>
      <c r="AD585" s="491">
        <f t="shared" si="1"/>
        <v>1500</v>
      </c>
      <c r="AE585" s="492">
        <f t="shared" si="2"/>
        <v>0.009063325885</v>
      </c>
      <c r="AF585" s="490">
        <f t="shared" si="3"/>
        <v>39453491.85</v>
      </c>
      <c r="AG585" s="493">
        <f t="shared" si="6"/>
        <v>914806.3513</v>
      </c>
      <c r="AH585" s="493">
        <f t="shared" si="4"/>
        <v>38538685.5</v>
      </c>
    </row>
    <row r="586">
      <c r="T586" s="494" t="s">
        <v>622</v>
      </c>
      <c r="AB586" s="489">
        <v>584.0</v>
      </c>
      <c r="AC586" s="490">
        <f t="shared" si="5"/>
        <v>39453491.85</v>
      </c>
      <c r="AD586" s="491">
        <f t="shared" si="1"/>
        <v>1500</v>
      </c>
      <c r="AE586" s="492">
        <f t="shared" si="2"/>
        <v>0.009063325885</v>
      </c>
      <c r="AF586" s="490">
        <f t="shared" si="3"/>
        <v>39812571.7</v>
      </c>
      <c r="AG586" s="493">
        <f t="shared" si="6"/>
        <v>916306.3513</v>
      </c>
      <c r="AH586" s="493">
        <f t="shared" si="4"/>
        <v>38896265.35</v>
      </c>
    </row>
    <row r="587">
      <c r="T587" s="494" t="s">
        <v>622</v>
      </c>
      <c r="AB587" s="489">
        <v>585.0</v>
      </c>
      <c r="AC587" s="490">
        <f t="shared" si="5"/>
        <v>39812571.7</v>
      </c>
      <c r="AD587" s="491">
        <f t="shared" si="1"/>
        <v>1500</v>
      </c>
      <c r="AE587" s="492">
        <f t="shared" si="2"/>
        <v>0.009063325885</v>
      </c>
      <c r="AF587" s="490">
        <f t="shared" si="3"/>
        <v>40174906.02</v>
      </c>
      <c r="AG587" s="493">
        <f t="shared" si="6"/>
        <v>917806.3513</v>
      </c>
      <c r="AH587" s="493">
        <f t="shared" si="4"/>
        <v>39257099.66</v>
      </c>
    </row>
    <row r="588">
      <c r="T588" s="494" t="s">
        <v>622</v>
      </c>
      <c r="AB588" s="489">
        <v>586.0</v>
      </c>
      <c r="AC588" s="490">
        <f t="shared" si="5"/>
        <v>40174906.02</v>
      </c>
      <c r="AD588" s="491">
        <f t="shared" si="1"/>
        <v>1500</v>
      </c>
      <c r="AE588" s="492">
        <f t="shared" si="2"/>
        <v>0.009063325885</v>
      </c>
      <c r="AF588" s="490">
        <f t="shared" si="3"/>
        <v>40540524.28</v>
      </c>
      <c r="AG588" s="493">
        <f t="shared" si="6"/>
        <v>919306.3513</v>
      </c>
      <c r="AH588" s="493">
        <f t="shared" si="4"/>
        <v>39621217.93</v>
      </c>
    </row>
    <row r="589">
      <c r="T589" s="494" t="s">
        <v>622</v>
      </c>
      <c r="AB589" s="489">
        <v>587.0</v>
      </c>
      <c r="AC589" s="490">
        <f t="shared" si="5"/>
        <v>40540524.28</v>
      </c>
      <c r="AD589" s="491">
        <f t="shared" si="1"/>
        <v>1500</v>
      </c>
      <c r="AE589" s="492">
        <f t="shared" si="2"/>
        <v>0.009063325885</v>
      </c>
      <c r="AF589" s="490">
        <f t="shared" si="3"/>
        <v>40909456.26</v>
      </c>
      <c r="AG589" s="493">
        <f t="shared" si="6"/>
        <v>920806.3513</v>
      </c>
      <c r="AH589" s="493">
        <f t="shared" si="4"/>
        <v>39988649.91</v>
      </c>
    </row>
    <row r="590">
      <c r="T590" s="494" t="s">
        <v>622</v>
      </c>
      <c r="AB590" s="489">
        <v>588.0</v>
      </c>
      <c r="AC590" s="490">
        <f t="shared" si="5"/>
        <v>40909456.26</v>
      </c>
      <c r="AD590" s="491">
        <f t="shared" si="1"/>
        <v>1500</v>
      </c>
      <c r="AE590" s="492">
        <f t="shared" si="2"/>
        <v>0.009063325885</v>
      </c>
      <c r="AF590" s="490">
        <f t="shared" si="3"/>
        <v>41281732</v>
      </c>
      <c r="AG590" s="493">
        <f t="shared" si="6"/>
        <v>922306.3513</v>
      </c>
      <c r="AH590" s="493">
        <f t="shared" si="4"/>
        <v>40359425.65</v>
      </c>
    </row>
    <row r="591">
      <c r="T591" s="494" t="s">
        <v>622</v>
      </c>
      <c r="AB591" s="489">
        <v>589.0</v>
      </c>
      <c r="AC591" s="490">
        <f t="shared" si="5"/>
        <v>41281732</v>
      </c>
      <c r="AD591" s="491">
        <f t="shared" si="1"/>
        <v>1500</v>
      </c>
      <c r="AE591" s="492">
        <f t="shared" si="2"/>
        <v>0.009063325885</v>
      </c>
      <c r="AF591" s="490">
        <f t="shared" si="3"/>
        <v>41657381.79</v>
      </c>
      <c r="AG591" s="493">
        <f t="shared" si="6"/>
        <v>923806.3513</v>
      </c>
      <c r="AH591" s="493">
        <f t="shared" si="4"/>
        <v>40733575.44</v>
      </c>
    </row>
    <row r="592">
      <c r="T592" s="494" t="s">
        <v>622</v>
      </c>
      <c r="AB592" s="489">
        <v>590.0</v>
      </c>
      <c r="AC592" s="490">
        <f t="shared" si="5"/>
        <v>41657381.79</v>
      </c>
      <c r="AD592" s="491">
        <f t="shared" si="1"/>
        <v>1500</v>
      </c>
      <c r="AE592" s="492">
        <f t="shared" si="2"/>
        <v>0.009063325885</v>
      </c>
      <c r="AF592" s="490">
        <f t="shared" si="3"/>
        <v>42036436.22</v>
      </c>
      <c r="AG592" s="493">
        <f t="shared" si="6"/>
        <v>925306.3513</v>
      </c>
      <c r="AH592" s="493">
        <f t="shared" si="4"/>
        <v>41111129.86</v>
      </c>
    </row>
    <row r="593">
      <c r="T593" s="494" t="s">
        <v>622</v>
      </c>
      <c r="AB593" s="489">
        <v>591.0</v>
      </c>
      <c r="AC593" s="490">
        <f t="shared" si="5"/>
        <v>42036436.22</v>
      </c>
      <c r="AD593" s="491">
        <f t="shared" si="1"/>
        <v>1500</v>
      </c>
      <c r="AE593" s="492">
        <f t="shared" si="2"/>
        <v>0.009063325885</v>
      </c>
      <c r="AF593" s="490">
        <f t="shared" si="3"/>
        <v>42418926.14</v>
      </c>
      <c r="AG593" s="493">
        <f t="shared" si="6"/>
        <v>926806.3513</v>
      </c>
      <c r="AH593" s="493">
        <f t="shared" si="4"/>
        <v>41492119.78</v>
      </c>
    </row>
    <row r="594">
      <c r="T594" s="494" t="s">
        <v>622</v>
      </c>
      <c r="AB594" s="489">
        <v>592.0</v>
      </c>
      <c r="AC594" s="490">
        <f t="shared" si="5"/>
        <v>42418926.14</v>
      </c>
      <c r="AD594" s="491">
        <f t="shared" si="1"/>
        <v>1500</v>
      </c>
      <c r="AE594" s="492">
        <f t="shared" si="2"/>
        <v>0.009063325885</v>
      </c>
      <c r="AF594" s="490">
        <f t="shared" si="3"/>
        <v>42804882.69</v>
      </c>
      <c r="AG594" s="493">
        <f t="shared" si="6"/>
        <v>928306.3513</v>
      </c>
      <c r="AH594" s="493">
        <f t="shared" si="4"/>
        <v>41876576.34</v>
      </c>
    </row>
    <row r="595">
      <c r="T595" s="494" t="s">
        <v>622</v>
      </c>
      <c r="AB595" s="489">
        <v>593.0</v>
      </c>
      <c r="AC595" s="490">
        <f t="shared" si="5"/>
        <v>42804882.69</v>
      </c>
      <c r="AD595" s="491">
        <f t="shared" si="1"/>
        <v>1500</v>
      </c>
      <c r="AE595" s="492">
        <f t="shared" si="2"/>
        <v>0.009063325885</v>
      </c>
      <c r="AF595" s="490">
        <f t="shared" si="3"/>
        <v>43194337.29</v>
      </c>
      <c r="AG595" s="493">
        <f t="shared" si="6"/>
        <v>929806.3513</v>
      </c>
      <c r="AH595" s="493">
        <f t="shared" si="4"/>
        <v>42264530.94</v>
      </c>
    </row>
    <row r="596">
      <c r="T596" s="494" t="s">
        <v>622</v>
      </c>
      <c r="AB596" s="489">
        <v>594.0</v>
      </c>
      <c r="AC596" s="490">
        <f t="shared" si="5"/>
        <v>43194337.29</v>
      </c>
      <c r="AD596" s="491">
        <f t="shared" si="1"/>
        <v>1500</v>
      </c>
      <c r="AE596" s="492">
        <f t="shared" si="2"/>
        <v>0.009063325885</v>
      </c>
      <c r="AF596" s="490">
        <f t="shared" si="3"/>
        <v>43587321.64</v>
      </c>
      <c r="AG596" s="493">
        <f t="shared" si="6"/>
        <v>931306.3513</v>
      </c>
      <c r="AH596" s="493">
        <f t="shared" si="4"/>
        <v>42656015.29</v>
      </c>
    </row>
    <row r="597">
      <c r="T597" s="494" t="s">
        <v>622</v>
      </c>
      <c r="AB597" s="489">
        <v>595.0</v>
      </c>
      <c r="AC597" s="490">
        <f t="shared" si="5"/>
        <v>43587321.64</v>
      </c>
      <c r="AD597" s="491">
        <f t="shared" si="1"/>
        <v>1500</v>
      </c>
      <c r="AE597" s="492">
        <f t="shared" si="2"/>
        <v>0.009063325885</v>
      </c>
      <c r="AF597" s="490">
        <f t="shared" si="3"/>
        <v>43983867.74</v>
      </c>
      <c r="AG597" s="493">
        <f t="shared" si="6"/>
        <v>932806.3513</v>
      </c>
      <c r="AH597" s="493">
        <f t="shared" si="4"/>
        <v>43051061.39</v>
      </c>
    </row>
    <row r="598">
      <c r="T598" s="494" t="s">
        <v>622</v>
      </c>
      <c r="AB598" s="489">
        <v>596.0</v>
      </c>
      <c r="AC598" s="490">
        <f t="shared" si="5"/>
        <v>43983867.74</v>
      </c>
      <c r="AD598" s="491">
        <f t="shared" si="1"/>
        <v>1500</v>
      </c>
      <c r="AE598" s="492">
        <f t="shared" si="2"/>
        <v>0.009063325885</v>
      </c>
      <c r="AF598" s="490">
        <f t="shared" si="3"/>
        <v>44384007.87</v>
      </c>
      <c r="AG598" s="493">
        <f t="shared" si="6"/>
        <v>934306.3513</v>
      </c>
      <c r="AH598" s="493">
        <f t="shared" si="4"/>
        <v>43449701.52</v>
      </c>
    </row>
    <row r="599">
      <c r="T599" s="494" t="s">
        <v>622</v>
      </c>
      <c r="AB599" s="489">
        <v>597.0</v>
      </c>
      <c r="AC599" s="490">
        <f t="shared" si="5"/>
        <v>44384007.87</v>
      </c>
      <c r="AD599" s="491">
        <f t="shared" si="1"/>
        <v>1500</v>
      </c>
      <c r="AE599" s="492">
        <f t="shared" si="2"/>
        <v>0.009063325885</v>
      </c>
      <c r="AF599" s="490">
        <f t="shared" si="3"/>
        <v>44787774.6</v>
      </c>
      <c r="AG599" s="493">
        <f t="shared" si="6"/>
        <v>935806.3513</v>
      </c>
      <c r="AH599" s="493">
        <f t="shared" si="4"/>
        <v>43851968.25</v>
      </c>
    </row>
    <row r="600">
      <c r="T600" s="494" t="s">
        <v>622</v>
      </c>
      <c r="AB600" s="489">
        <v>598.0</v>
      </c>
      <c r="AC600" s="490">
        <f t="shared" si="5"/>
        <v>44787774.6</v>
      </c>
      <c r="AD600" s="491">
        <f t="shared" si="1"/>
        <v>1500</v>
      </c>
      <c r="AE600" s="492">
        <f t="shared" si="2"/>
        <v>0.009063325885</v>
      </c>
      <c r="AF600" s="490">
        <f t="shared" si="3"/>
        <v>45195200.8</v>
      </c>
      <c r="AG600" s="493">
        <f t="shared" si="6"/>
        <v>937306.3513</v>
      </c>
      <c r="AH600" s="493">
        <f t="shared" si="4"/>
        <v>44257894.44</v>
      </c>
    </row>
    <row r="601">
      <c r="T601" s="494" t="s">
        <v>622</v>
      </c>
      <c r="AB601" s="489">
        <v>599.0</v>
      </c>
      <c r="AC601" s="490">
        <f t="shared" si="5"/>
        <v>45195200.8</v>
      </c>
      <c r="AD601" s="491">
        <f t="shared" si="1"/>
        <v>1500</v>
      </c>
      <c r="AE601" s="492">
        <f t="shared" si="2"/>
        <v>0.009063325885</v>
      </c>
      <c r="AF601" s="490">
        <f t="shared" si="3"/>
        <v>45606319.63</v>
      </c>
      <c r="AG601" s="493">
        <f t="shared" si="6"/>
        <v>938806.3513</v>
      </c>
      <c r="AH601" s="493">
        <f t="shared" si="4"/>
        <v>44667513.28</v>
      </c>
    </row>
    <row r="602">
      <c r="T602" s="494" t="s">
        <v>622</v>
      </c>
      <c r="AB602" s="489">
        <v>600.0</v>
      </c>
      <c r="AC602" s="490">
        <f t="shared" si="5"/>
        <v>45606319.63</v>
      </c>
      <c r="AD602" s="491">
        <f t="shared" si="1"/>
        <v>1500</v>
      </c>
      <c r="AE602" s="492">
        <f t="shared" si="2"/>
        <v>0.009063325885</v>
      </c>
      <c r="AF602" s="490">
        <f t="shared" si="3"/>
        <v>46021164.57</v>
      </c>
      <c r="AG602" s="493">
        <f t="shared" si="6"/>
        <v>940306.3513</v>
      </c>
      <c r="AH602" s="493">
        <f t="shared" si="4"/>
        <v>45080858.21</v>
      </c>
    </row>
    <row r="603">
      <c r="T603" s="494" t="s">
        <v>622</v>
      </c>
      <c r="AB603" s="489">
        <v>601.0</v>
      </c>
      <c r="AC603" s="490">
        <f t="shared" si="5"/>
        <v>46021164.57</v>
      </c>
      <c r="AD603" s="491">
        <f t="shared" si="1"/>
        <v>1500</v>
      </c>
      <c r="AE603" s="492">
        <f t="shared" si="2"/>
        <v>0.009063325885</v>
      </c>
      <c r="AF603" s="490">
        <f t="shared" si="3"/>
        <v>46439769.38</v>
      </c>
      <c r="AG603" s="493">
        <f t="shared" si="6"/>
        <v>941806.3513</v>
      </c>
      <c r="AH603" s="493">
        <f t="shared" si="4"/>
        <v>45497963.03</v>
      </c>
    </row>
    <row r="604">
      <c r="T604" s="494" t="s">
        <v>622</v>
      </c>
      <c r="AB604" s="489">
        <v>602.0</v>
      </c>
      <c r="AC604" s="490">
        <f t="shared" si="5"/>
        <v>46439769.38</v>
      </c>
      <c r="AD604" s="491">
        <f t="shared" si="1"/>
        <v>1500</v>
      </c>
      <c r="AE604" s="492">
        <f t="shared" si="2"/>
        <v>0.009063325885</v>
      </c>
      <c r="AF604" s="490">
        <f t="shared" si="3"/>
        <v>46862168.14</v>
      </c>
      <c r="AG604" s="493">
        <f t="shared" si="6"/>
        <v>943306.3513</v>
      </c>
      <c r="AH604" s="493">
        <f t="shared" si="4"/>
        <v>45918861.79</v>
      </c>
    </row>
    <row r="605">
      <c r="T605" s="494" t="s">
        <v>622</v>
      </c>
      <c r="AB605" s="489">
        <v>603.0</v>
      </c>
      <c r="AC605" s="490">
        <f t="shared" si="5"/>
        <v>46862168.14</v>
      </c>
      <c r="AD605" s="491">
        <f t="shared" si="1"/>
        <v>1500</v>
      </c>
      <c r="AE605" s="492">
        <f t="shared" si="2"/>
        <v>0.009063325885</v>
      </c>
      <c r="AF605" s="490">
        <f t="shared" si="3"/>
        <v>47288395.24</v>
      </c>
      <c r="AG605" s="493">
        <f t="shared" si="6"/>
        <v>944806.3513</v>
      </c>
      <c r="AH605" s="493">
        <f t="shared" si="4"/>
        <v>46343588.89</v>
      </c>
    </row>
    <row r="606">
      <c r="T606" s="494" t="s">
        <v>622</v>
      </c>
      <c r="AB606" s="489">
        <v>604.0</v>
      </c>
      <c r="AC606" s="490">
        <f t="shared" si="5"/>
        <v>47288395.24</v>
      </c>
      <c r="AD606" s="491">
        <f t="shared" si="1"/>
        <v>1500</v>
      </c>
      <c r="AE606" s="492">
        <f t="shared" si="2"/>
        <v>0.009063325885</v>
      </c>
      <c r="AF606" s="490">
        <f t="shared" si="3"/>
        <v>47718485.38</v>
      </c>
      <c r="AG606" s="493">
        <f t="shared" si="6"/>
        <v>946306.3513</v>
      </c>
      <c r="AH606" s="493">
        <f t="shared" si="4"/>
        <v>46772179.03</v>
      </c>
    </row>
    <row r="607">
      <c r="T607" s="494" t="s">
        <v>622</v>
      </c>
      <c r="AB607" s="489">
        <v>605.0</v>
      </c>
      <c r="AC607" s="490">
        <f t="shared" si="5"/>
        <v>47718485.38</v>
      </c>
      <c r="AD607" s="491">
        <f t="shared" si="1"/>
        <v>1500</v>
      </c>
      <c r="AE607" s="492">
        <f t="shared" si="2"/>
        <v>0.009063325885</v>
      </c>
      <c r="AF607" s="490">
        <f t="shared" si="3"/>
        <v>48152473.56</v>
      </c>
      <c r="AG607" s="493">
        <f t="shared" si="6"/>
        <v>947806.3513</v>
      </c>
      <c r="AH607" s="493">
        <f t="shared" si="4"/>
        <v>47204667.21</v>
      </c>
    </row>
    <row r="608">
      <c r="T608" s="494" t="s">
        <v>622</v>
      </c>
      <c r="AB608" s="489">
        <v>606.0</v>
      </c>
      <c r="AC608" s="490">
        <f t="shared" si="5"/>
        <v>48152473.56</v>
      </c>
      <c r="AD608" s="491">
        <f t="shared" si="1"/>
        <v>1500</v>
      </c>
      <c r="AE608" s="492">
        <f t="shared" si="2"/>
        <v>0.009063325885</v>
      </c>
      <c r="AF608" s="490">
        <f t="shared" si="3"/>
        <v>48590395.12</v>
      </c>
      <c r="AG608" s="493">
        <f t="shared" si="6"/>
        <v>949306.3513</v>
      </c>
      <c r="AH608" s="493">
        <f t="shared" si="4"/>
        <v>47641088.77</v>
      </c>
    </row>
    <row r="609">
      <c r="T609" s="494" t="s">
        <v>622</v>
      </c>
      <c r="AB609" s="489">
        <v>607.0</v>
      </c>
      <c r="AC609" s="490">
        <f t="shared" si="5"/>
        <v>48590395.12</v>
      </c>
      <c r="AD609" s="491">
        <f t="shared" si="1"/>
        <v>1500</v>
      </c>
      <c r="AE609" s="492">
        <f t="shared" si="2"/>
        <v>0.009063325885</v>
      </c>
      <c r="AF609" s="490">
        <f t="shared" si="3"/>
        <v>49032285.71</v>
      </c>
      <c r="AG609" s="493">
        <f t="shared" si="6"/>
        <v>950806.3513</v>
      </c>
      <c r="AH609" s="493">
        <f t="shared" si="4"/>
        <v>48081479.36</v>
      </c>
    </row>
    <row r="610">
      <c r="T610" s="494" t="s">
        <v>622</v>
      </c>
      <c r="AB610" s="489">
        <v>608.0</v>
      </c>
      <c r="AC610" s="490">
        <f t="shared" si="5"/>
        <v>49032285.71</v>
      </c>
      <c r="AD610" s="491">
        <f t="shared" si="1"/>
        <v>1500</v>
      </c>
      <c r="AE610" s="492">
        <f t="shared" si="2"/>
        <v>0.009063325885</v>
      </c>
      <c r="AF610" s="490">
        <f t="shared" si="3"/>
        <v>49478181.29</v>
      </c>
      <c r="AG610" s="493">
        <f t="shared" si="6"/>
        <v>952306.3513</v>
      </c>
      <c r="AH610" s="493">
        <f t="shared" si="4"/>
        <v>48525874.94</v>
      </c>
    </row>
    <row r="611">
      <c r="T611" s="494" t="s">
        <v>622</v>
      </c>
      <c r="AB611" s="489">
        <v>609.0</v>
      </c>
      <c r="AC611" s="490">
        <f t="shared" si="5"/>
        <v>49478181.29</v>
      </c>
      <c r="AD611" s="491">
        <f t="shared" si="1"/>
        <v>1500</v>
      </c>
      <c r="AE611" s="492">
        <f t="shared" si="2"/>
        <v>0.009063325885</v>
      </c>
      <c r="AF611" s="490">
        <f t="shared" si="3"/>
        <v>49928118.18</v>
      </c>
      <c r="AG611" s="493">
        <f t="shared" si="6"/>
        <v>953806.3513</v>
      </c>
      <c r="AH611" s="493">
        <f t="shared" si="4"/>
        <v>48974311.82</v>
      </c>
    </row>
    <row r="612">
      <c r="T612" s="494" t="s">
        <v>622</v>
      </c>
      <c r="AB612" s="489">
        <v>610.0</v>
      </c>
      <c r="AC612" s="490">
        <f t="shared" si="5"/>
        <v>49928118.18</v>
      </c>
      <c r="AD612" s="491">
        <f t="shared" si="1"/>
        <v>1500</v>
      </c>
      <c r="AE612" s="492">
        <f t="shared" si="2"/>
        <v>0.009063325885</v>
      </c>
      <c r="AF612" s="490">
        <f t="shared" si="3"/>
        <v>50382132.98</v>
      </c>
      <c r="AG612" s="493">
        <f t="shared" si="6"/>
        <v>955306.3513</v>
      </c>
      <c r="AH612" s="493">
        <f t="shared" si="4"/>
        <v>49426826.63</v>
      </c>
    </row>
    <row r="613">
      <c r="T613" s="494" t="s">
        <v>622</v>
      </c>
      <c r="AB613" s="489">
        <v>611.0</v>
      </c>
      <c r="AC613" s="490">
        <f t="shared" si="5"/>
        <v>50382132.98</v>
      </c>
      <c r="AD613" s="491">
        <f t="shared" si="1"/>
        <v>1500</v>
      </c>
      <c r="AE613" s="492">
        <f t="shared" si="2"/>
        <v>0.009063325885</v>
      </c>
      <c r="AF613" s="490">
        <f t="shared" si="3"/>
        <v>50840262.67</v>
      </c>
      <c r="AG613" s="493">
        <f t="shared" si="6"/>
        <v>956806.3513</v>
      </c>
      <c r="AH613" s="493">
        <f t="shared" si="4"/>
        <v>49883456.32</v>
      </c>
    </row>
    <row r="614">
      <c r="T614" s="494" t="s">
        <v>622</v>
      </c>
      <c r="AB614" s="489">
        <v>612.0</v>
      </c>
      <c r="AC614" s="490">
        <f t="shared" si="5"/>
        <v>50840262.67</v>
      </c>
      <c r="AD614" s="491">
        <f t="shared" si="1"/>
        <v>1500</v>
      </c>
      <c r="AE614" s="492">
        <f t="shared" si="2"/>
        <v>0.009063325885</v>
      </c>
      <c r="AF614" s="490">
        <f t="shared" si="3"/>
        <v>51302544.54</v>
      </c>
      <c r="AG614" s="493">
        <f t="shared" si="6"/>
        <v>958306.3513</v>
      </c>
      <c r="AH614" s="493">
        <f t="shared" si="4"/>
        <v>50344238.19</v>
      </c>
    </row>
    <row r="615">
      <c r="T615" s="494" t="s">
        <v>622</v>
      </c>
      <c r="AB615" s="489">
        <v>613.0</v>
      </c>
      <c r="AC615" s="490">
        <f t="shared" si="5"/>
        <v>51302544.54</v>
      </c>
      <c r="AD615" s="491">
        <f t="shared" si="1"/>
        <v>1500</v>
      </c>
      <c r="AE615" s="492">
        <f t="shared" si="2"/>
        <v>0.009063325885</v>
      </c>
      <c r="AF615" s="490">
        <f t="shared" si="3"/>
        <v>51769016.22</v>
      </c>
      <c r="AG615" s="493">
        <f t="shared" si="6"/>
        <v>959806.3513</v>
      </c>
      <c r="AH615" s="493">
        <f t="shared" si="4"/>
        <v>50809209.87</v>
      </c>
    </row>
    <row r="616">
      <c r="T616" s="494" t="s">
        <v>622</v>
      </c>
      <c r="AB616" s="489">
        <v>614.0</v>
      </c>
      <c r="AC616" s="490">
        <f t="shared" si="5"/>
        <v>51769016.22</v>
      </c>
      <c r="AD616" s="491">
        <f t="shared" si="1"/>
        <v>1500</v>
      </c>
      <c r="AE616" s="492">
        <f t="shared" si="2"/>
        <v>0.009063325885</v>
      </c>
      <c r="AF616" s="490">
        <f t="shared" si="3"/>
        <v>52239715.68</v>
      </c>
      <c r="AG616" s="493">
        <f t="shared" si="6"/>
        <v>961306.3513</v>
      </c>
      <c r="AH616" s="493">
        <f t="shared" si="4"/>
        <v>51278409.33</v>
      </c>
    </row>
    <row r="617">
      <c r="T617" s="494" t="s">
        <v>622</v>
      </c>
      <c r="AB617" s="489">
        <v>615.0</v>
      </c>
      <c r="AC617" s="490">
        <f t="shared" si="5"/>
        <v>52239715.68</v>
      </c>
      <c r="AD617" s="491">
        <f t="shared" si="1"/>
        <v>1500</v>
      </c>
      <c r="AE617" s="492">
        <f t="shared" si="2"/>
        <v>0.009063325885</v>
      </c>
      <c r="AF617" s="490">
        <f t="shared" si="3"/>
        <v>52714681.25</v>
      </c>
      <c r="AG617" s="493">
        <f t="shared" si="6"/>
        <v>962806.3513</v>
      </c>
      <c r="AH617" s="493">
        <f t="shared" si="4"/>
        <v>51751874.9</v>
      </c>
    </row>
    <row r="618">
      <c r="T618" s="494" t="s">
        <v>622</v>
      </c>
      <c r="AB618" s="489">
        <v>616.0</v>
      </c>
      <c r="AC618" s="490">
        <f t="shared" si="5"/>
        <v>52714681.25</v>
      </c>
      <c r="AD618" s="491">
        <f t="shared" si="1"/>
        <v>1500</v>
      </c>
      <c r="AE618" s="492">
        <f t="shared" si="2"/>
        <v>0.009063325885</v>
      </c>
      <c r="AF618" s="490">
        <f t="shared" si="3"/>
        <v>53193951.59</v>
      </c>
      <c r="AG618" s="493">
        <f t="shared" si="6"/>
        <v>964306.3513</v>
      </c>
      <c r="AH618" s="493">
        <f t="shared" si="4"/>
        <v>52229645.24</v>
      </c>
    </row>
    <row r="619">
      <c r="T619" s="494" t="s">
        <v>622</v>
      </c>
      <c r="AB619" s="489">
        <v>617.0</v>
      </c>
      <c r="AC619" s="490">
        <f t="shared" si="5"/>
        <v>53193951.59</v>
      </c>
      <c r="AD619" s="491">
        <f t="shared" si="1"/>
        <v>1500</v>
      </c>
      <c r="AE619" s="492">
        <f t="shared" si="2"/>
        <v>0.009063325885</v>
      </c>
      <c r="AF619" s="490">
        <f t="shared" si="3"/>
        <v>53677565.71</v>
      </c>
      <c r="AG619" s="493">
        <f t="shared" si="6"/>
        <v>965806.3513</v>
      </c>
      <c r="AH619" s="493">
        <f t="shared" si="4"/>
        <v>52711759.35</v>
      </c>
    </row>
    <row r="620">
      <c r="T620" s="494" t="s">
        <v>622</v>
      </c>
      <c r="AB620" s="489">
        <v>618.0</v>
      </c>
      <c r="AC620" s="490">
        <f t="shared" si="5"/>
        <v>53677565.71</v>
      </c>
      <c r="AD620" s="491">
        <f t="shared" si="1"/>
        <v>1500</v>
      </c>
      <c r="AE620" s="492">
        <f t="shared" si="2"/>
        <v>0.009063325885</v>
      </c>
      <c r="AF620" s="490">
        <f t="shared" si="3"/>
        <v>54165562.98</v>
      </c>
      <c r="AG620" s="493">
        <f t="shared" si="6"/>
        <v>967306.3513</v>
      </c>
      <c r="AH620" s="493">
        <f t="shared" si="4"/>
        <v>53198256.62</v>
      </c>
    </row>
    <row r="621">
      <c r="T621" s="494" t="s">
        <v>622</v>
      </c>
      <c r="AB621" s="489">
        <v>619.0</v>
      </c>
      <c r="AC621" s="490">
        <f t="shared" si="5"/>
        <v>54165562.98</v>
      </c>
      <c r="AD621" s="491">
        <f t="shared" si="1"/>
        <v>1500</v>
      </c>
      <c r="AE621" s="492">
        <f t="shared" si="2"/>
        <v>0.009063325885</v>
      </c>
      <c r="AF621" s="490">
        <f t="shared" si="3"/>
        <v>54657983.13</v>
      </c>
      <c r="AG621" s="493">
        <f t="shared" si="6"/>
        <v>968806.3513</v>
      </c>
      <c r="AH621" s="493">
        <f t="shared" si="4"/>
        <v>53689176.77</v>
      </c>
    </row>
    <row r="622">
      <c r="T622" s="494" t="s">
        <v>622</v>
      </c>
      <c r="AB622" s="489">
        <v>620.0</v>
      </c>
      <c r="AC622" s="490">
        <f t="shared" si="5"/>
        <v>54657983.13</v>
      </c>
      <c r="AD622" s="491">
        <f t="shared" si="1"/>
        <v>1500</v>
      </c>
      <c r="AE622" s="492">
        <f t="shared" si="2"/>
        <v>0.009063325885</v>
      </c>
      <c r="AF622" s="490">
        <f t="shared" si="3"/>
        <v>55154866.24</v>
      </c>
      <c r="AG622" s="493">
        <f t="shared" si="6"/>
        <v>970306.3513</v>
      </c>
      <c r="AH622" s="493">
        <f t="shared" si="4"/>
        <v>54184559.89</v>
      </c>
    </row>
    <row r="623">
      <c r="T623" s="494" t="s">
        <v>622</v>
      </c>
      <c r="AB623" s="489">
        <v>621.0</v>
      </c>
      <c r="AC623" s="490">
        <f t="shared" si="5"/>
        <v>55154866.24</v>
      </c>
      <c r="AD623" s="491">
        <f t="shared" si="1"/>
        <v>1500</v>
      </c>
      <c r="AE623" s="492">
        <f t="shared" si="2"/>
        <v>0.009063325885</v>
      </c>
      <c r="AF623" s="490">
        <f t="shared" si="3"/>
        <v>55656252.77</v>
      </c>
      <c r="AG623" s="493">
        <f t="shared" si="6"/>
        <v>971806.3513</v>
      </c>
      <c r="AH623" s="493">
        <f t="shared" si="4"/>
        <v>54684446.41</v>
      </c>
    </row>
    <row r="624">
      <c r="T624" s="494" t="s">
        <v>622</v>
      </c>
      <c r="AB624" s="489">
        <v>622.0</v>
      </c>
      <c r="AC624" s="490">
        <f t="shared" si="5"/>
        <v>55656252.77</v>
      </c>
      <c r="AD624" s="491">
        <f t="shared" si="1"/>
        <v>1500</v>
      </c>
      <c r="AE624" s="492">
        <f t="shared" si="2"/>
        <v>0.009063325885</v>
      </c>
      <c r="AF624" s="490">
        <f t="shared" si="3"/>
        <v>56162183.52</v>
      </c>
      <c r="AG624" s="493">
        <f t="shared" si="6"/>
        <v>973306.3513</v>
      </c>
      <c r="AH624" s="493">
        <f t="shared" si="4"/>
        <v>55188877.17</v>
      </c>
    </row>
    <row r="625">
      <c r="T625" s="494" t="s">
        <v>622</v>
      </c>
      <c r="AB625" s="489">
        <v>623.0</v>
      </c>
      <c r="AC625" s="490">
        <f t="shared" si="5"/>
        <v>56162183.52</v>
      </c>
      <c r="AD625" s="491">
        <f t="shared" si="1"/>
        <v>1500</v>
      </c>
      <c r="AE625" s="492">
        <f t="shared" si="2"/>
        <v>0.009063325885</v>
      </c>
      <c r="AF625" s="490">
        <f t="shared" si="3"/>
        <v>56672699.69</v>
      </c>
      <c r="AG625" s="493">
        <f t="shared" si="6"/>
        <v>974806.3513</v>
      </c>
      <c r="AH625" s="493">
        <f t="shared" si="4"/>
        <v>55697893.34</v>
      </c>
    </row>
    <row r="626">
      <c r="T626" s="494" t="s">
        <v>622</v>
      </c>
      <c r="AB626" s="489">
        <v>624.0</v>
      </c>
      <c r="AC626" s="490">
        <f t="shared" si="5"/>
        <v>56672699.69</v>
      </c>
      <c r="AD626" s="491">
        <f t="shared" si="1"/>
        <v>1500</v>
      </c>
      <c r="AE626" s="492">
        <f t="shared" si="2"/>
        <v>0.009063325885</v>
      </c>
      <c r="AF626" s="490">
        <f t="shared" si="3"/>
        <v>57187842.84</v>
      </c>
      <c r="AG626" s="493">
        <f t="shared" si="6"/>
        <v>976306.3513</v>
      </c>
      <c r="AH626" s="493">
        <f t="shared" si="4"/>
        <v>56211536.49</v>
      </c>
    </row>
    <row r="627">
      <c r="T627" s="494" t="s">
        <v>622</v>
      </c>
      <c r="AB627" s="489">
        <v>625.0</v>
      </c>
      <c r="AC627" s="490">
        <f t="shared" si="5"/>
        <v>57187842.84</v>
      </c>
      <c r="AD627" s="491">
        <f t="shared" si="1"/>
        <v>1500</v>
      </c>
      <c r="AE627" s="492">
        <f t="shared" si="2"/>
        <v>0.009063325885</v>
      </c>
      <c r="AF627" s="490">
        <f t="shared" si="3"/>
        <v>57707654.9</v>
      </c>
      <c r="AG627" s="493">
        <f t="shared" si="6"/>
        <v>977806.3513</v>
      </c>
      <c r="AH627" s="493">
        <f t="shared" si="4"/>
        <v>56729848.54</v>
      </c>
    </row>
    <row r="628">
      <c r="T628" s="494" t="s">
        <v>622</v>
      </c>
      <c r="AB628" s="489">
        <v>626.0</v>
      </c>
      <c r="AC628" s="490">
        <f t="shared" si="5"/>
        <v>57707654.9</v>
      </c>
      <c r="AD628" s="491">
        <f t="shared" si="1"/>
        <v>1500</v>
      </c>
      <c r="AE628" s="492">
        <f t="shared" si="2"/>
        <v>0.009063325885</v>
      </c>
      <c r="AF628" s="490">
        <f t="shared" si="3"/>
        <v>58232178.18</v>
      </c>
      <c r="AG628" s="493">
        <f t="shared" si="6"/>
        <v>979306.3513</v>
      </c>
      <c r="AH628" s="493">
        <f t="shared" si="4"/>
        <v>57252871.83</v>
      </c>
    </row>
    <row r="629">
      <c r="T629" s="494" t="s">
        <v>622</v>
      </c>
      <c r="AB629" s="489">
        <v>627.0</v>
      </c>
      <c r="AC629" s="490">
        <f t="shared" si="5"/>
        <v>58232178.18</v>
      </c>
      <c r="AD629" s="491">
        <f t="shared" si="1"/>
        <v>1500</v>
      </c>
      <c r="AE629" s="492">
        <f t="shared" si="2"/>
        <v>0.009063325885</v>
      </c>
      <c r="AF629" s="490">
        <f t="shared" si="3"/>
        <v>58761455.39</v>
      </c>
      <c r="AG629" s="493">
        <f t="shared" si="6"/>
        <v>980806.3513</v>
      </c>
      <c r="AH629" s="493">
        <f t="shared" si="4"/>
        <v>57780649.03</v>
      </c>
    </row>
    <row r="630">
      <c r="T630" s="494" t="s">
        <v>622</v>
      </c>
      <c r="AB630" s="489">
        <v>628.0</v>
      </c>
      <c r="AC630" s="490">
        <f t="shared" si="5"/>
        <v>58761455.39</v>
      </c>
      <c r="AD630" s="491">
        <f t="shared" si="1"/>
        <v>1500</v>
      </c>
      <c r="AE630" s="492">
        <f t="shared" si="2"/>
        <v>0.009063325885</v>
      </c>
      <c r="AF630" s="490">
        <f t="shared" si="3"/>
        <v>59295529.61</v>
      </c>
      <c r="AG630" s="493">
        <f t="shared" si="6"/>
        <v>982306.3513</v>
      </c>
      <c r="AH630" s="493">
        <f t="shared" si="4"/>
        <v>58313223.25</v>
      </c>
    </row>
    <row r="631">
      <c r="T631" s="494" t="s">
        <v>622</v>
      </c>
      <c r="AB631" s="489">
        <v>629.0</v>
      </c>
      <c r="AC631" s="490">
        <f t="shared" si="5"/>
        <v>59295529.61</v>
      </c>
      <c r="AD631" s="491">
        <f t="shared" si="1"/>
        <v>1500</v>
      </c>
      <c r="AE631" s="492">
        <f t="shared" si="2"/>
        <v>0.009063325885</v>
      </c>
      <c r="AF631" s="490">
        <f t="shared" si="3"/>
        <v>59834444.31</v>
      </c>
      <c r="AG631" s="493">
        <f t="shared" si="6"/>
        <v>983806.3513</v>
      </c>
      <c r="AH631" s="493">
        <f t="shared" si="4"/>
        <v>58850637.96</v>
      </c>
    </row>
    <row r="632">
      <c r="T632" s="494" t="s">
        <v>622</v>
      </c>
      <c r="AB632" s="489">
        <v>630.0</v>
      </c>
      <c r="AC632" s="490">
        <f t="shared" si="5"/>
        <v>59834444.31</v>
      </c>
      <c r="AD632" s="491">
        <f t="shared" si="1"/>
        <v>1500</v>
      </c>
      <c r="AE632" s="492">
        <f t="shared" si="2"/>
        <v>0.009063325885</v>
      </c>
      <c r="AF632" s="490">
        <f t="shared" si="3"/>
        <v>60378243.38</v>
      </c>
      <c r="AG632" s="493">
        <f t="shared" si="6"/>
        <v>985306.3513</v>
      </c>
      <c r="AH632" s="493">
        <f t="shared" si="4"/>
        <v>59392937.03</v>
      </c>
    </row>
    <row r="633">
      <c r="T633" s="494" t="s">
        <v>622</v>
      </c>
      <c r="AB633" s="489">
        <v>631.0</v>
      </c>
      <c r="AC633" s="490">
        <f t="shared" si="5"/>
        <v>60378243.38</v>
      </c>
      <c r="AD633" s="491">
        <f t="shared" si="1"/>
        <v>1500</v>
      </c>
      <c r="AE633" s="492">
        <f t="shared" si="2"/>
        <v>0.009063325885</v>
      </c>
      <c r="AF633" s="490">
        <f t="shared" si="3"/>
        <v>60926971.08</v>
      </c>
      <c r="AG633" s="493">
        <f t="shared" si="6"/>
        <v>986806.3513</v>
      </c>
      <c r="AH633" s="493">
        <f t="shared" si="4"/>
        <v>59940164.73</v>
      </c>
    </row>
    <row r="634">
      <c r="T634" s="494" t="s">
        <v>622</v>
      </c>
      <c r="AB634" s="489">
        <v>632.0</v>
      </c>
      <c r="AC634" s="490">
        <f t="shared" si="5"/>
        <v>60926971.08</v>
      </c>
      <c r="AD634" s="491">
        <f t="shared" si="1"/>
        <v>1500</v>
      </c>
      <c r="AE634" s="492">
        <f t="shared" si="2"/>
        <v>0.009063325885</v>
      </c>
      <c r="AF634" s="490">
        <f t="shared" si="3"/>
        <v>61480672.07</v>
      </c>
      <c r="AG634" s="493">
        <f t="shared" si="6"/>
        <v>988306.3513</v>
      </c>
      <c r="AH634" s="493">
        <f t="shared" si="4"/>
        <v>60492365.72</v>
      </c>
    </row>
    <row r="635">
      <c r="T635" s="494" t="s">
        <v>622</v>
      </c>
      <c r="AB635" s="489">
        <v>633.0</v>
      </c>
      <c r="AC635" s="490">
        <f t="shared" si="5"/>
        <v>61480672.07</v>
      </c>
      <c r="AD635" s="491">
        <f t="shared" si="1"/>
        <v>1500</v>
      </c>
      <c r="AE635" s="492">
        <f t="shared" si="2"/>
        <v>0.009063325885</v>
      </c>
      <c r="AF635" s="490">
        <f t="shared" si="3"/>
        <v>62039391.44</v>
      </c>
      <c r="AG635" s="493">
        <f t="shared" si="6"/>
        <v>989806.3513</v>
      </c>
      <c r="AH635" s="493">
        <f t="shared" si="4"/>
        <v>61049585.09</v>
      </c>
    </row>
    <row r="636">
      <c r="T636" s="494" t="s">
        <v>622</v>
      </c>
      <c r="AB636" s="489">
        <v>634.0</v>
      </c>
      <c r="AC636" s="490">
        <f t="shared" si="5"/>
        <v>62039391.44</v>
      </c>
      <c r="AD636" s="491">
        <f t="shared" si="1"/>
        <v>1500</v>
      </c>
      <c r="AE636" s="492">
        <f t="shared" si="2"/>
        <v>0.009063325885</v>
      </c>
      <c r="AF636" s="490">
        <f t="shared" si="3"/>
        <v>62603174.66</v>
      </c>
      <c r="AG636" s="493">
        <f t="shared" si="6"/>
        <v>991306.3513</v>
      </c>
      <c r="AH636" s="493">
        <f t="shared" si="4"/>
        <v>61611868.31</v>
      </c>
    </row>
    <row r="637">
      <c r="T637" s="494" t="s">
        <v>622</v>
      </c>
      <c r="AB637" s="489">
        <v>635.0</v>
      </c>
      <c r="AC637" s="490">
        <f t="shared" si="5"/>
        <v>62603174.66</v>
      </c>
      <c r="AD637" s="491">
        <f t="shared" si="1"/>
        <v>1500</v>
      </c>
      <c r="AE637" s="492">
        <f t="shared" si="2"/>
        <v>0.009063325885</v>
      </c>
      <c r="AF637" s="490">
        <f t="shared" si="3"/>
        <v>63172067.63</v>
      </c>
      <c r="AG637" s="493">
        <f t="shared" si="6"/>
        <v>992806.3513</v>
      </c>
      <c r="AH637" s="493">
        <f t="shared" si="4"/>
        <v>62179261.28</v>
      </c>
    </row>
    <row r="638">
      <c r="T638" s="494" t="s">
        <v>622</v>
      </c>
      <c r="AB638" s="489">
        <v>636.0</v>
      </c>
      <c r="AC638" s="490">
        <f t="shared" si="5"/>
        <v>63172067.63</v>
      </c>
      <c r="AD638" s="491">
        <f t="shared" si="1"/>
        <v>1500</v>
      </c>
      <c r="AE638" s="492">
        <f t="shared" si="2"/>
        <v>0.009063325885</v>
      </c>
      <c r="AF638" s="490">
        <f t="shared" si="3"/>
        <v>63746116.67</v>
      </c>
      <c r="AG638" s="493">
        <f t="shared" si="6"/>
        <v>994306.3513</v>
      </c>
      <c r="AH638" s="493">
        <f t="shared" si="4"/>
        <v>62751810.32</v>
      </c>
    </row>
    <row r="639">
      <c r="T639" s="494" t="s">
        <v>622</v>
      </c>
      <c r="AB639" s="489">
        <v>637.0</v>
      </c>
      <c r="AC639" s="490">
        <f t="shared" si="5"/>
        <v>63746116.67</v>
      </c>
      <c r="AD639" s="491">
        <f t="shared" si="1"/>
        <v>1500</v>
      </c>
      <c r="AE639" s="492">
        <f t="shared" si="2"/>
        <v>0.009063325885</v>
      </c>
      <c r="AF639" s="490">
        <f t="shared" si="3"/>
        <v>64325368.5</v>
      </c>
      <c r="AG639" s="493">
        <f t="shared" si="6"/>
        <v>995806.3513</v>
      </c>
      <c r="AH639" s="493">
        <f t="shared" si="4"/>
        <v>63329562.15</v>
      </c>
    </row>
    <row r="640">
      <c r="T640" s="494" t="s">
        <v>622</v>
      </c>
      <c r="AB640" s="489">
        <v>638.0</v>
      </c>
      <c r="AC640" s="490">
        <f t="shared" si="5"/>
        <v>64325368.5</v>
      </c>
      <c r="AD640" s="491">
        <f t="shared" si="1"/>
        <v>1500</v>
      </c>
      <c r="AE640" s="492">
        <f t="shared" si="2"/>
        <v>0.009063325885</v>
      </c>
      <c r="AF640" s="490">
        <f t="shared" si="3"/>
        <v>64909870.28</v>
      </c>
      <c r="AG640" s="493">
        <f t="shared" si="6"/>
        <v>997306.3513</v>
      </c>
      <c r="AH640" s="493">
        <f t="shared" si="4"/>
        <v>63912563.93</v>
      </c>
    </row>
    <row r="641">
      <c r="T641" s="494" t="s">
        <v>622</v>
      </c>
      <c r="AB641" s="489">
        <v>639.0</v>
      </c>
      <c r="AC641" s="490">
        <f t="shared" si="5"/>
        <v>64909870.28</v>
      </c>
      <c r="AD641" s="491">
        <f t="shared" si="1"/>
        <v>1500</v>
      </c>
      <c r="AE641" s="492">
        <f t="shared" si="2"/>
        <v>0.009063325885</v>
      </c>
      <c r="AF641" s="490">
        <f t="shared" si="3"/>
        <v>65499669.58</v>
      </c>
      <c r="AG641" s="493">
        <f t="shared" si="6"/>
        <v>998806.3513</v>
      </c>
      <c r="AH641" s="493">
        <f t="shared" si="4"/>
        <v>64500863.23</v>
      </c>
    </row>
    <row r="642">
      <c r="T642" s="494" t="s">
        <v>622</v>
      </c>
      <c r="AB642" s="489">
        <v>640.0</v>
      </c>
      <c r="AC642" s="490">
        <f t="shared" si="5"/>
        <v>65499669.58</v>
      </c>
      <c r="AD642" s="491">
        <f t="shared" si="1"/>
        <v>1500</v>
      </c>
      <c r="AE642" s="492">
        <f t="shared" si="2"/>
        <v>0.009063325885</v>
      </c>
      <c r="AF642" s="490">
        <f t="shared" si="3"/>
        <v>66094814.44</v>
      </c>
      <c r="AG642" s="493">
        <f t="shared" si="6"/>
        <v>1000306.351</v>
      </c>
      <c r="AH642" s="493">
        <f t="shared" si="4"/>
        <v>65094508.08</v>
      </c>
    </row>
    <row r="643">
      <c r="T643" s="494" t="s">
        <v>622</v>
      </c>
      <c r="AB643" s="489">
        <v>641.0</v>
      </c>
      <c r="AC643" s="490">
        <f t="shared" si="5"/>
        <v>66094814.44</v>
      </c>
      <c r="AD643" s="491">
        <f t="shared" si="1"/>
        <v>1500</v>
      </c>
      <c r="AE643" s="492">
        <f t="shared" si="2"/>
        <v>0.009063325885</v>
      </c>
      <c r="AF643" s="490">
        <f t="shared" si="3"/>
        <v>66695353.28</v>
      </c>
      <c r="AG643" s="493">
        <f t="shared" si="6"/>
        <v>1001806.351</v>
      </c>
      <c r="AH643" s="493">
        <f t="shared" si="4"/>
        <v>65693546.93</v>
      </c>
    </row>
    <row r="644">
      <c r="T644" s="494" t="s">
        <v>622</v>
      </c>
      <c r="AB644" s="489">
        <v>642.0</v>
      </c>
      <c r="AC644" s="490">
        <f t="shared" si="5"/>
        <v>66695353.28</v>
      </c>
      <c r="AD644" s="491">
        <f t="shared" si="1"/>
        <v>1500</v>
      </c>
      <c r="AE644" s="492">
        <f t="shared" si="2"/>
        <v>0.009063325885</v>
      </c>
      <c r="AF644" s="490">
        <f t="shared" si="3"/>
        <v>67301335</v>
      </c>
      <c r="AG644" s="493">
        <f t="shared" si="6"/>
        <v>1003306.351</v>
      </c>
      <c r="AH644" s="493">
        <f t="shared" si="4"/>
        <v>66298028.65</v>
      </c>
    </row>
    <row r="645">
      <c r="T645" s="494" t="s">
        <v>622</v>
      </c>
      <c r="AB645" s="489">
        <v>643.0</v>
      </c>
      <c r="AC645" s="490">
        <f t="shared" si="5"/>
        <v>67301335</v>
      </c>
      <c r="AD645" s="491">
        <f t="shared" si="1"/>
        <v>1500</v>
      </c>
      <c r="AE645" s="492">
        <f t="shared" si="2"/>
        <v>0.009063325885</v>
      </c>
      <c r="AF645" s="490">
        <f t="shared" si="3"/>
        <v>67912808.93</v>
      </c>
      <c r="AG645" s="493">
        <f t="shared" si="6"/>
        <v>1004806.351</v>
      </c>
      <c r="AH645" s="493">
        <f t="shared" si="4"/>
        <v>66908002.58</v>
      </c>
    </row>
    <row r="646">
      <c r="T646" s="494" t="s">
        <v>622</v>
      </c>
      <c r="AB646" s="489">
        <v>644.0</v>
      </c>
      <c r="AC646" s="490">
        <f t="shared" si="5"/>
        <v>67912808.93</v>
      </c>
      <c r="AD646" s="491">
        <f t="shared" si="1"/>
        <v>1500</v>
      </c>
      <c r="AE646" s="492">
        <f t="shared" si="2"/>
        <v>0.009063325885</v>
      </c>
      <c r="AF646" s="490">
        <f t="shared" si="3"/>
        <v>68529824.85</v>
      </c>
      <c r="AG646" s="493">
        <f t="shared" si="6"/>
        <v>1006306.351</v>
      </c>
      <c r="AH646" s="493">
        <f t="shared" si="4"/>
        <v>67523518.5</v>
      </c>
    </row>
    <row r="647">
      <c r="T647" s="494" t="s">
        <v>622</v>
      </c>
      <c r="AB647" s="489">
        <v>645.0</v>
      </c>
      <c r="AC647" s="490">
        <f t="shared" si="5"/>
        <v>68529824.85</v>
      </c>
      <c r="AD647" s="491">
        <f t="shared" si="1"/>
        <v>1500</v>
      </c>
      <c r="AE647" s="492">
        <f t="shared" si="2"/>
        <v>0.009063325885</v>
      </c>
      <c r="AF647" s="490">
        <f t="shared" si="3"/>
        <v>69152432.99</v>
      </c>
      <c r="AG647" s="493">
        <f t="shared" si="6"/>
        <v>1007806.351</v>
      </c>
      <c r="AH647" s="493">
        <f t="shared" si="4"/>
        <v>68144626.63</v>
      </c>
    </row>
    <row r="648">
      <c r="T648" s="494" t="s">
        <v>622</v>
      </c>
      <c r="AB648" s="489">
        <v>646.0</v>
      </c>
      <c r="AC648" s="490">
        <f t="shared" si="5"/>
        <v>69152432.99</v>
      </c>
      <c r="AD648" s="491">
        <f t="shared" si="1"/>
        <v>1500</v>
      </c>
      <c r="AE648" s="492">
        <f t="shared" si="2"/>
        <v>0.009063325885</v>
      </c>
      <c r="AF648" s="490">
        <f t="shared" si="3"/>
        <v>69780684.02</v>
      </c>
      <c r="AG648" s="493">
        <f t="shared" si="6"/>
        <v>1009306.351</v>
      </c>
      <c r="AH648" s="493">
        <f t="shared" si="4"/>
        <v>68771377.67</v>
      </c>
    </row>
    <row r="649">
      <c r="T649" s="494" t="s">
        <v>622</v>
      </c>
      <c r="AB649" s="489">
        <v>647.0</v>
      </c>
      <c r="AC649" s="490">
        <f t="shared" si="5"/>
        <v>69780684.02</v>
      </c>
      <c r="AD649" s="491">
        <f t="shared" si="1"/>
        <v>1500</v>
      </c>
      <c r="AE649" s="492">
        <f t="shared" si="2"/>
        <v>0.009063325885</v>
      </c>
      <c r="AF649" s="490">
        <f t="shared" si="3"/>
        <v>70414629.1</v>
      </c>
      <c r="AG649" s="493">
        <f t="shared" si="6"/>
        <v>1010806.351</v>
      </c>
      <c r="AH649" s="493">
        <f t="shared" si="4"/>
        <v>69403822.75</v>
      </c>
    </row>
    <row r="650">
      <c r="T650" s="494" t="s">
        <v>622</v>
      </c>
      <c r="AB650" s="489">
        <v>648.0</v>
      </c>
      <c r="AC650" s="490">
        <f t="shared" si="5"/>
        <v>70414629.1</v>
      </c>
      <c r="AD650" s="491">
        <f t="shared" si="1"/>
        <v>1500</v>
      </c>
      <c r="AE650" s="492">
        <f t="shared" si="2"/>
        <v>0.009063325885</v>
      </c>
      <c r="AF650" s="490">
        <f t="shared" si="3"/>
        <v>71054319.83</v>
      </c>
      <c r="AG650" s="493">
        <f t="shared" si="6"/>
        <v>1012306.351</v>
      </c>
      <c r="AH650" s="493">
        <f t="shared" si="4"/>
        <v>70042013.48</v>
      </c>
    </row>
    <row r="651">
      <c r="T651" s="494" t="s">
        <v>622</v>
      </c>
      <c r="AB651" s="489">
        <v>649.0</v>
      </c>
      <c r="AC651" s="490">
        <f t="shared" si="5"/>
        <v>71054319.83</v>
      </c>
      <c r="AD651" s="491">
        <f t="shared" si="1"/>
        <v>1500</v>
      </c>
      <c r="AE651" s="492">
        <f t="shared" si="2"/>
        <v>0.009063325885</v>
      </c>
      <c r="AF651" s="490">
        <f t="shared" si="3"/>
        <v>71699808.29</v>
      </c>
      <c r="AG651" s="493">
        <f t="shared" si="6"/>
        <v>1013806.351</v>
      </c>
      <c r="AH651" s="493">
        <f t="shared" si="4"/>
        <v>70686001.94</v>
      </c>
    </row>
    <row r="652">
      <c r="T652" s="494" t="s">
        <v>622</v>
      </c>
      <c r="AB652" s="489">
        <v>650.0</v>
      </c>
      <c r="AC652" s="490">
        <f t="shared" si="5"/>
        <v>71699808.29</v>
      </c>
      <c r="AD652" s="491">
        <f t="shared" si="1"/>
        <v>1500</v>
      </c>
      <c r="AE652" s="492">
        <f t="shared" si="2"/>
        <v>0.009063325885</v>
      </c>
      <c r="AF652" s="490">
        <f t="shared" si="3"/>
        <v>72351147.02</v>
      </c>
      <c r="AG652" s="493">
        <f t="shared" si="6"/>
        <v>1015306.351</v>
      </c>
      <c r="AH652" s="493">
        <f t="shared" si="4"/>
        <v>71335840.67</v>
      </c>
    </row>
    <row r="653">
      <c r="T653" s="494" t="s">
        <v>622</v>
      </c>
      <c r="AB653" s="489">
        <v>651.0</v>
      </c>
      <c r="AC653" s="490">
        <f t="shared" si="5"/>
        <v>72351147.02</v>
      </c>
      <c r="AD653" s="491">
        <f t="shared" si="1"/>
        <v>1500</v>
      </c>
      <c r="AE653" s="492">
        <f t="shared" si="2"/>
        <v>0.009063325885</v>
      </c>
      <c r="AF653" s="490">
        <f t="shared" si="3"/>
        <v>73008389.04</v>
      </c>
      <c r="AG653" s="493">
        <f t="shared" si="6"/>
        <v>1016806.351</v>
      </c>
      <c r="AH653" s="493">
        <f t="shared" si="4"/>
        <v>71991582.69</v>
      </c>
    </row>
    <row r="654">
      <c r="T654" s="494" t="s">
        <v>622</v>
      </c>
      <c r="AB654" s="489">
        <v>652.0</v>
      </c>
      <c r="AC654" s="490">
        <f t="shared" si="5"/>
        <v>73008389.04</v>
      </c>
      <c r="AD654" s="491">
        <f t="shared" si="1"/>
        <v>1500</v>
      </c>
      <c r="AE654" s="492">
        <f t="shared" si="2"/>
        <v>0.009063325885</v>
      </c>
      <c r="AF654" s="490">
        <f t="shared" si="3"/>
        <v>73671587.86</v>
      </c>
      <c r="AG654" s="493">
        <f t="shared" si="6"/>
        <v>1018306.351</v>
      </c>
      <c r="AH654" s="493">
        <f t="shared" si="4"/>
        <v>72653281.51</v>
      </c>
    </row>
    <row r="655">
      <c r="T655" s="494" t="s">
        <v>622</v>
      </c>
      <c r="AB655" s="489">
        <v>653.0</v>
      </c>
      <c r="AC655" s="490">
        <f t="shared" si="5"/>
        <v>73671587.86</v>
      </c>
      <c r="AD655" s="491">
        <f t="shared" si="1"/>
        <v>1500</v>
      </c>
      <c r="AE655" s="492">
        <f t="shared" si="2"/>
        <v>0.009063325885</v>
      </c>
      <c r="AF655" s="490">
        <f t="shared" si="3"/>
        <v>74340797.47</v>
      </c>
      <c r="AG655" s="493">
        <f t="shared" si="6"/>
        <v>1019806.351</v>
      </c>
      <c r="AH655" s="493">
        <f t="shared" si="4"/>
        <v>73320991.12</v>
      </c>
    </row>
    <row r="656">
      <c r="T656" s="494" t="s">
        <v>622</v>
      </c>
      <c r="AB656" s="489">
        <v>654.0</v>
      </c>
      <c r="AC656" s="490">
        <f t="shared" si="5"/>
        <v>74340797.47</v>
      </c>
      <c r="AD656" s="491">
        <f t="shared" si="1"/>
        <v>1500</v>
      </c>
      <c r="AE656" s="492">
        <f t="shared" si="2"/>
        <v>0.009063325885</v>
      </c>
      <c r="AF656" s="490">
        <f t="shared" si="3"/>
        <v>75016072.35</v>
      </c>
      <c r="AG656" s="493">
        <f t="shared" si="6"/>
        <v>1021306.351</v>
      </c>
      <c r="AH656" s="493">
        <f t="shared" si="4"/>
        <v>73994765.99</v>
      </c>
    </row>
    <row r="657">
      <c r="T657" s="494" t="s">
        <v>622</v>
      </c>
      <c r="AB657" s="489">
        <v>655.0</v>
      </c>
      <c r="AC657" s="490">
        <f t="shared" si="5"/>
        <v>75016072.35</v>
      </c>
      <c r="AD657" s="491">
        <f t="shared" si="1"/>
        <v>1500</v>
      </c>
      <c r="AE657" s="492">
        <f t="shared" si="2"/>
        <v>0.009063325885</v>
      </c>
      <c r="AF657" s="490">
        <f t="shared" si="3"/>
        <v>75697467.46</v>
      </c>
      <c r="AG657" s="493">
        <f t="shared" si="6"/>
        <v>1022806.351</v>
      </c>
      <c r="AH657" s="493">
        <f t="shared" si="4"/>
        <v>74674661.1</v>
      </c>
    </row>
    <row r="658">
      <c r="T658" s="494" t="s">
        <v>622</v>
      </c>
      <c r="AB658" s="489">
        <v>656.0</v>
      </c>
      <c r="AC658" s="490">
        <f t="shared" si="5"/>
        <v>75697467.46</v>
      </c>
      <c r="AD658" s="491">
        <f t="shared" si="1"/>
        <v>1500</v>
      </c>
      <c r="AE658" s="492">
        <f t="shared" si="2"/>
        <v>0.009063325885</v>
      </c>
      <c r="AF658" s="490">
        <f t="shared" si="3"/>
        <v>76385038.27</v>
      </c>
      <c r="AG658" s="493">
        <f t="shared" si="6"/>
        <v>1024306.351</v>
      </c>
      <c r="AH658" s="493">
        <f t="shared" si="4"/>
        <v>75360731.92</v>
      </c>
    </row>
    <row r="659">
      <c r="T659" s="494" t="s">
        <v>622</v>
      </c>
      <c r="AB659" s="489">
        <v>657.0</v>
      </c>
      <c r="AC659" s="490">
        <f t="shared" si="5"/>
        <v>76385038.27</v>
      </c>
      <c r="AD659" s="491">
        <f t="shared" si="1"/>
        <v>1500</v>
      </c>
      <c r="AE659" s="492">
        <f t="shared" si="2"/>
        <v>0.009063325885</v>
      </c>
      <c r="AF659" s="490">
        <f t="shared" si="3"/>
        <v>77078840.77</v>
      </c>
      <c r="AG659" s="493">
        <f t="shared" si="6"/>
        <v>1025806.351</v>
      </c>
      <c r="AH659" s="493">
        <f t="shared" si="4"/>
        <v>76053034.42</v>
      </c>
    </row>
    <row r="660">
      <c r="T660" s="494" t="s">
        <v>622</v>
      </c>
      <c r="AB660" s="489">
        <v>658.0</v>
      </c>
      <c r="AC660" s="490">
        <f t="shared" si="5"/>
        <v>77078840.77</v>
      </c>
      <c r="AD660" s="491">
        <f t="shared" si="1"/>
        <v>1500</v>
      </c>
      <c r="AE660" s="492">
        <f t="shared" si="2"/>
        <v>0.009063325885</v>
      </c>
      <c r="AF660" s="490">
        <f t="shared" si="3"/>
        <v>77778931.42</v>
      </c>
      <c r="AG660" s="493">
        <f t="shared" si="6"/>
        <v>1027306.351</v>
      </c>
      <c r="AH660" s="493">
        <f t="shared" si="4"/>
        <v>76751625.07</v>
      </c>
    </row>
    <row r="661">
      <c r="T661" s="494" t="s">
        <v>622</v>
      </c>
      <c r="AB661" s="489">
        <v>659.0</v>
      </c>
      <c r="AC661" s="490">
        <f t="shared" si="5"/>
        <v>77778931.42</v>
      </c>
      <c r="AD661" s="491">
        <f t="shared" si="1"/>
        <v>1500</v>
      </c>
      <c r="AE661" s="492">
        <f t="shared" si="2"/>
        <v>0.009063325885</v>
      </c>
      <c r="AF661" s="490">
        <f t="shared" si="3"/>
        <v>78485367.22</v>
      </c>
      <c r="AG661" s="493">
        <f t="shared" si="6"/>
        <v>1028806.351</v>
      </c>
      <c r="AH661" s="493">
        <f t="shared" si="4"/>
        <v>77456560.87</v>
      </c>
    </row>
    <row r="662">
      <c r="T662" s="494" t="s">
        <v>622</v>
      </c>
      <c r="AB662" s="489">
        <v>660.0</v>
      </c>
      <c r="AC662" s="490">
        <f t="shared" si="5"/>
        <v>78485367.22</v>
      </c>
      <c r="AD662" s="491">
        <f t="shared" si="1"/>
        <v>1500</v>
      </c>
      <c r="AE662" s="492">
        <f t="shared" si="2"/>
        <v>0.009063325885</v>
      </c>
      <c r="AF662" s="490">
        <f t="shared" si="3"/>
        <v>79198205.68</v>
      </c>
      <c r="AG662" s="493">
        <f t="shared" si="6"/>
        <v>1030306.351</v>
      </c>
      <c r="AH662" s="493">
        <f t="shared" si="4"/>
        <v>78167899.33</v>
      </c>
    </row>
    <row r="663">
      <c r="T663" s="494" t="s">
        <v>622</v>
      </c>
      <c r="AB663" s="489">
        <v>661.0</v>
      </c>
      <c r="AC663" s="490">
        <f t="shared" si="5"/>
        <v>79198205.68</v>
      </c>
      <c r="AD663" s="491">
        <f t="shared" si="1"/>
        <v>1500</v>
      </c>
      <c r="AE663" s="492">
        <f t="shared" si="2"/>
        <v>0.009063325885</v>
      </c>
      <c r="AF663" s="490">
        <f t="shared" si="3"/>
        <v>79917504.83</v>
      </c>
      <c r="AG663" s="493">
        <f t="shared" si="6"/>
        <v>1031806.351</v>
      </c>
      <c r="AH663" s="493">
        <f t="shared" si="4"/>
        <v>78885698.48</v>
      </c>
    </row>
    <row r="664">
      <c r="T664" s="494" t="s">
        <v>622</v>
      </c>
      <c r="AB664" s="489">
        <v>662.0</v>
      </c>
      <c r="AC664" s="490">
        <f t="shared" si="5"/>
        <v>79917504.83</v>
      </c>
      <c r="AD664" s="491">
        <f t="shared" si="1"/>
        <v>1500</v>
      </c>
      <c r="AE664" s="492">
        <f t="shared" si="2"/>
        <v>0.009063325885</v>
      </c>
      <c r="AF664" s="490">
        <f t="shared" si="3"/>
        <v>80643323.22</v>
      </c>
      <c r="AG664" s="493">
        <f t="shared" si="6"/>
        <v>1033306.351</v>
      </c>
      <c r="AH664" s="493">
        <f t="shared" si="4"/>
        <v>79610016.87</v>
      </c>
    </row>
    <row r="665">
      <c r="T665" s="494" t="s">
        <v>622</v>
      </c>
      <c r="AB665" s="489">
        <v>663.0</v>
      </c>
      <c r="AC665" s="490">
        <f t="shared" si="5"/>
        <v>80643323.22</v>
      </c>
      <c r="AD665" s="491">
        <f t="shared" si="1"/>
        <v>1500</v>
      </c>
      <c r="AE665" s="492">
        <f t="shared" si="2"/>
        <v>0.009063325885</v>
      </c>
      <c r="AF665" s="490">
        <f t="shared" si="3"/>
        <v>81375719.94</v>
      </c>
      <c r="AG665" s="493">
        <f t="shared" si="6"/>
        <v>1034806.351</v>
      </c>
      <c r="AH665" s="493">
        <f t="shared" si="4"/>
        <v>80340913.59</v>
      </c>
    </row>
    <row r="666">
      <c r="T666" s="494" t="s">
        <v>622</v>
      </c>
      <c r="AB666" s="489">
        <v>664.0</v>
      </c>
      <c r="AC666" s="490">
        <f t="shared" si="5"/>
        <v>81375719.94</v>
      </c>
      <c r="AD666" s="491">
        <f t="shared" si="1"/>
        <v>1500</v>
      </c>
      <c r="AE666" s="492">
        <f t="shared" si="2"/>
        <v>0.009063325885</v>
      </c>
      <c r="AF666" s="490">
        <f t="shared" si="3"/>
        <v>82114754.61</v>
      </c>
      <c r="AG666" s="493">
        <f t="shared" si="6"/>
        <v>1036306.351</v>
      </c>
      <c r="AH666" s="493">
        <f t="shared" si="4"/>
        <v>81078448.26</v>
      </c>
    </row>
    <row r="667">
      <c r="T667" s="494" t="s">
        <v>622</v>
      </c>
      <c r="AB667" s="489">
        <v>665.0</v>
      </c>
      <c r="AC667" s="490">
        <f t="shared" si="5"/>
        <v>82114754.61</v>
      </c>
      <c r="AD667" s="491">
        <f t="shared" si="1"/>
        <v>1500</v>
      </c>
      <c r="AE667" s="492">
        <f t="shared" si="2"/>
        <v>0.009063325885</v>
      </c>
      <c r="AF667" s="490">
        <f t="shared" si="3"/>
        <v>82860487.39</v>
      </c>
      <c r="AG667" s="493">
        <f t="shared" si="6"/>
        <v>1037806.351</v>
      </c>
      <c r="AH667" s="493">
        <f t="shared" si="4"/>
        <v>81822681.04</v>
      </c>
    </row>
    <row r="668">
      <c r="T668" s="494" t="s">
        <v>622</v>
      </c>
      <c r="AB668" s="489">
        <v>666.0</v>
      </c>
      <c r="AC668" s="490">
        <f t="shared" si="5"/>
        <v>82860487.39</v>
      </c>
      <c r="AD668" s="491">
        <f t="shared" si="1"/>
        <v>1500</v>
      </c>
      <c r="AE668" s="492">
        <f t="shared" si="2"/>
        <v>0.009063325885</v>
      </c>
      <c r="AF668" s="490">
        <f t="shared" si="3"/>
        <v>83612978.99</v>
      </c>
      <c r="AG668" s="493">
        <f t="shared" si="6"/>
        <v>1039306.351</v>
      </c>
      <c r="AH668" s="493">
        <f t="shared" si="4"/>
        <v>82573672.64</v>
      </c>
    </row>
    <row r="669">
      <c r="T669" s="494" t="s">
        <v>622</v>
      </c>
      <c r="AB669" s="489">
        <v>667.0</v>
      </c>
      <c r="AC669" s="490">
        <f t="shared" si="5"/>
        <v>83612978.99</v>
      </c>
      <c r="AD669" s="491">
        <f t="shared" si="1"/>
        <v>1500</v>
      </c>
      <c r="AE669" s="492">
        <f t="shared" si="2"/>
        <v>0.009063325885</v>
      </c>
      <c r="AF669" s="490">
        <f t="shared" si="3"/>
        <v>84372290.67</v>
      </c>
      <c r="AG669" s="493">
        <f t="shared" si="6"/>
        <v>1040806.351</v>
      </c>
      <c r="AH669" s="493">
        <f t="shared" si="4"/>
        <v>83331484.31</v>
      </c>
    </row>
    <row r="670">
      <c r="T670" s="494" t="s">
        <v>622</v>
      </c>
      <c r="AB670" s="489">
        <v>668.0</v>
      </c>
      <c r="AC670" s="490">
        <f t="shared" si="5"/>
        <v>84372290.67</v>
      </c>
      <c r="AD670" s="491">
        <f t="shared" si="1"/>
        <v>1500</v>
      </c>
      <c r="AE670" s="492">
        <f t="shared" si="2"/>
        <v>0.009063325885</v>
      </c>
      <c r="AF670" s="490">
        <f t="shared" si="3"/>
        <v>85138484.23</v>
      </c>
      <c r="AG670" s="493">
        <f t="shared" si="6"/>
        <v>1042306.351</v>
      </c>
      <c r="AH670" s="493">
        <f t="shared" si="4"/>
        <v>84096177.88</v>
      </c>
    </row>
    <row r="671">
      <c r="T671" s="494" t="s">
        <v>622</v>
      </c>
      <c r="AB671" s="489">
        <v>669.0</v>
      </c>
      <c r="AC671" s="490">
        <f t="shared" si="5"/>
        <v>85138484.23</v>
      </c>
      <c r="AD671" s="491">
        <f t="shared" si="1"/>
        <v>1500</v>
      </c>
      <c r="AE671" s="492">
        <f t="shared" si="2"/>
        <v>0.009063325885</v>
      </c>
      <c r="AF671" s="490">
        <f t="shared" si="3"/>
        <v>85911622.06</v>
      </c>
      <c r="AG671" s="493">
        <f t="shared" si="6"/>
        <v>1043806.351</v>
      </c>
      <c r="AH671" s="493">
        <f t="shared" si="4"/>
        <v>84867815.71</v>
      </c>
    </row>
    <row r="672">
      <c r="T672" s="494" t="s">
        <v>622</v>
      </c>
      <c r="AB672" s="489">
        <v>670.0</v>
      </c>
      <c r="AC672" s="490">
        <f t="shared" si="5"/>
        <v>85911622.06</v>
      </c>
      <c r="AD672" s="491">
        <f t="shared" si="1"/>
        <v>1500</v>
      </c>
      <c r="AE672" s="492">
        <f t="shared" si="2"/>
        <v>0.009063325885</v>
      </c>
      <c r="AF672" s="490">
        <f t="shared" si="3"/>
        <v>86691767.09</v>
      </c>
      <c r="AG672" s="493">
        <f t="shared" si="6"/>
        <v>1045306.351</v>
      </c>
      <c r="AH672" s="493">
        <f t="shared" si="4"/>
        <v>85646460.74</v>
      </c>
    </row>
    <row r="673">
      <c r="T673" s="494" t="s">
        <v>622</v>
      </c>
      <c r="AB673" s="489">
        <v>671.0</v>
      </c>
      <c r="AC673" s="490">
        <f t="shared" si="5"/>
        <v>86691767.09</v>
      </c>
      <c r="AD673" s="491">
        <f t="shared" si="1"/>
        <v>1500</v>
      </c>
      <c r="AE673" s="492">
        <f t="shared" si="2"/>
        <v>0.009063325885</v>
      </c>
      <c r="AF673" s="490">
        <f t="shared" si="3"/>
        <v>87478982.82</v>
      </c>
      <c r="AG673" s="493">
        <f t="shared" si="6"/>
        <v>1046806.351</v>
      </c>
      <c r="AH673" s="493">
        <f t="shared" si="4"/>
        <v>86432176.47</v>
      </c>
    </row>
    <row r="674">
      <c r="T674" s="494" t="s">
        <v>622</v>
      </c>
      <c r="AB674" s="489">
        <v>672.0</v>
      </c>
      <c r="AC674" s="490">
        <f t="shared" si="5"/>
        <v>87478982.82</v>
      </c>
      <c r="AD674" s="491">
        <f t="shared" si="1"/>
        <v>1500</v>
      </c>
      <c r="AE674" s="492">
        <f t="shared" si="2"/>
        <v>0.009063325885</v>
      </c>
      <c r="AF674" s="490">
        <f t="shared" si="3"/>
        <v>88273333.35</v>
      </c>
      <c r="AG674" s="493">
        <f t="shared" si="6"/>
        <v>1048306.351</v>
      </c>
      <c r="AH674" s="493">
        <f t="shared" si="4"/>
        <v>87225027</v>
      </c>
    </row>
    <row r="675">
      <c r="T675" s="494" t="s">
        <v>622</v>
      </c>
      <c r="AB675" s="489">
        <v>673.0</v>
      </c>
      <c r="AC675" s="490">
        <f t="shared" si="5"/>
        <v>88273333.35</v>
      </c>
      <c r="AD675" s="491">
        <f t="shared" si="1"/>
        <v>1500</v>
      </c>
      <c r="AE675" s="492">
        <f t="shared" si="2"/>
        <v>0.009063325885</v>
      </c>
      <c r="AF675" s="490">
        <f t="shared" si="3"/>
        <v>89074883.34</v>
      </c>
      <c r="AG675" s="493">
        <f t="shared" si="6"/>
        <v>1049806.351</v>
      </c>
      <c r="AH675" s="493">
        <f t="shared" si="4"/>
        <v>88025076.99</v>
      </c>
    </row>
    <row r="676">
      <c r="T676" s="494" t="s">
        <v>622</v>
      </c>
      <c r="AB676" s="489">
        <v>674.0</v>
      </c>
      <c r="AC676" s="490">
        <f t="shared" si="5"/>
        <v>89074883.34</v>
      </c>
      <c r="AD676" s="491">
        <f t="shared" si="1"/>
        <v>1500</v>
      </c>
      <c r="AE676" s="492">
        <f t="shared" si="2"/>
        <v>0.009063325885</v>
      </c>
      <c r="AF676" s="490">
        <f t="shared" si="3"/>
        <v>89883698.04</v>
      </c>
      <c r="AG676" s="493">
        <f t="shared" si="6"/>
        <v>1051306.351</v>
      </c>
      <c r="AH676" s="493">
        <f t="shared" si="4"/>
        <v>88832391.69</v>
      </c>
    </row>
    <row r="677">
      <c r="T677" s="494" t="s">
        <v>622</v>
      </c>
      <c r="AB677" s="489">
        <v>675.0</v>
      </c>
      <c r="AC677" s="490">
        <f t="shared" si="5"/>
        <v>89883698.04</v>
      </c>
      <c r="AD677" s="491">
        <f t="shared" si="1"/>
        <v>1500</v>
      </c>
      <c r="AE677" s="492">
        <f t="shared" si="2"/>
        <v>0.009063325885</v>
      </c>
      <c r="AF677" s="490">
        <f t="shared" si="3"/>
        <v>90699843.28</v>
      </c>
      <c r="AG677" s="493">
        <f t="shared" si="6"/>
        <v>1052806.351</v>
      </c>
      <c r="AH677" s="493">
        <f t="shared" si="4"/>
        <v>89647036.93</v>
      </c>
    </row>
    <row r="678">
      <c r="T678" s="494" t="s">
        <v>622</v>
      </c>
      <c r="AB678" s="489">
        <v>676.0</v>
      </c>
      <c r="AC678" s="490">
        <f t="shared" si="5"/>
        <v>90699843.28</v>
      </c>
      <c r="AD678" s="491">
        <f t="shared" si="1"/>
        <v>1500</v>
      </c>
      <c r="AE678" s="492">
        <f t="shared" si="2"/>
        <v>0.009063325885</v>
      </c>
      <c r="AF678" s="490">
        <f t="shared" si="3"/>
        <v>91523385.52</v>
      </c>
      <c r="AG678" s="493">
        <f t="shared" si="6"/>
        <v>1054306.351</v>
      </c>
      <c r="AH678" s="493">
        <f t="shared" si="4"/>
        <v>90469079.17</v>
      </c>
    </row>
    <row r="679">
      <c r="T679" s="494" t="s">
        <v>622</v>
      </c>
      <c r="AB679" s="489">
        <v>677.0</v>
      </c>
      <c r="AC679" s="490">
        <f t="shared" si="5"/>
        <v>91523385.52</v>
      </c>
      <c r="AD679" s="491">
        <f t="shared" si="1"/>
        <v>1500</v>
      </c>
      <c r="AE679" s="492">
        <f t="shared" si="2"/>
        <v>0.009063325885</v>
      </c>
      <c r="AF679" s="490">
        <f t="shared" si="3"/>
        <v>92354391.79</v>
      </c>
      <c r="AG679" s="493">
        <f t="shared" si="6"/>
        <v>1055806.351</v>
      </c>
      <c r="AH679" s="493">
        <f t="shared" si="4"/>
        <v>91298585.44</v>
      </c>
    </row>
    <row r="680">
      <c r="T680" s="494" t="s">
        <v>622</v>
      </c>
      <c r="AB680" s="489">
        <v>678.0</v>
      </c>
      <c r="AC680" s="490">
        <f t="shared" si="5"/>
        <v>92354391.79</v>
      </c>
      <c r="AD680" s="491">
        <f t="shared" si="1"/>
        <v>1500</v>
      </c>
      <c r="AE680" s="492">
        <f t="shared" si="2"/>
        <v>0.009063325885</v>
      </c>
      <c r="AF680" s="490">
        <f t="shared" si="3"/>
        <v>93192929.74</v>
      </c>
      <c r="AG680" s="493">
        <f t="shared" si="6"/>
        <v>1057306.351</v>
      </c>
      <c r="AH680" s="493">
        <f t="shared" si="4"/>
        <v>92135623.39</v>
      </c>
    </row>
    <row r="681">
      <c r="T681" s="494" t="s">
        <v>622</v>
      </c>
      <c r="AB681" s="489">
        <v>679.0</v>
      </c>
      <c r="AC681" s="490">
        <f t="shared" si="5"/>
        <v>93192929.74</v>
      </c>
      <c r="AD681" s="491">
        <f t="shared" si="1"/>
        <v>1500</v>
      </c>
      <c r="AE681" s="492">
        <f t="shared" si="2"/>
        <v>0.009063325885</v>
      </c>
      <c r="AF681" s="490">
        <f t="shared" si="3"/>
        <v>94039067.63</v>
      </c>
      <c r="AG681" s="493">
        <f t="shared" si="6"/>
        <v>1058806.351</v>
      </c>
      <c r="AH681" s="493">
        <f t="shared" si="4"/>
        <v>92980261.28</v>
      </c>
    </row>
    <row r="682">
      <c r="T682" s="494" t="s">
        <v>622</v>
      </c>
      <c r="AB682" s="489">
        <v>680.0</v>
      </c>
      <c r="AC682" s="490">
        <f t="shared" si="5"/>
        <v>94039067.63</v>
      </c>
      <c r="AD682" s="491">
        <f t="shared" si="1"/>
        <v>1500</v>
      </c>
      <c r="AE682" s="492">
        <f t="shared" si="2"/>
        <v>0.009063325885</v>
      </c>
      <c r="AF682" s="490">
        <f t="shared" si="3"/>
        <v>94892874.35</v>
      </c>
      <c r="AG682" s="493">
        <f t="shared" si="6"/>
        <v>1060306.351</v>
      </c>
      <c r="AH682" s="493">
        <f t="shared" si="4"/>
        <v>93832568</v>
      </c>
    </row>
    <row r="683">
      <c r="T683" s="494" t="s">
        <v>622</v>
      </c>
      <c r="AB683" s="489">
        <v>681.0</v>
      </c>
      <c r="AC683" s="490">
        <f t="shared" si="5"/>
        <v>94892874.35</v>
      </c>
      <c r="AD683" s="491">
        <f t="shared" si="1"/>
        <v>1500</v>
      </c>
      <c r="AE683" s="492">
        <f t="shared" si="2"/>
        <v>0.009063325885</v>
      </c>
      <c r="AF683" s="490">
        <f t="shared" si="3"/>
        <v>95754419.39</v>
      </c>
      <c r="AG683" s="493">
        <f t="shared" si="6"/>
        <v>1061806.351</v>
      </c>
      <c r="AH683" s="493">
        <f t="shared" si="4"/>
        <v>94692613.04</v>
      </c>
    </row>
    <row r="684">
      <c r="T684" s="494" t="s">
        <v>622</v>
      </c>
      <c r="AB684" s="489">
        <v>682.0</v>
      </c>
      <c r="AC684" s="490">
        <f t="shared" si="5"/>
        <v>95754419.39</v>
      </c>
      <c r="AD684" s="491">
        <f t="shared" si="1"/>
        <v>1500</v>
      </c>
      <c r="AE684" s="492">
        <f t="shared" si="2"/>
        <v>0.009063325885</v>
      </c>
      <c r="AF684" s="490">
        <f t="shared" si="3"/>
        <v>96623772.9</v>
      </c>
      <c r="AG684" s="493">
        <f t="shared" si="6"/>
        <v>1063306.351</v>
      </c>
      <c r="AH684" s="493">
        <f t="shared" si="4"/>
        <v>95560466.55</v>
      </c>
    </row>
    <row r="685">
      <c r="T685" s="494" t="s">
        <v>622</v>
      </c>
      <c r="AB685" s="489">
        <v>683.0</v>
      </c>
      <c r="AC685" s="490">
        <f t="shared" si="5"/>
        <v>96623772.9</v>
      </c>
      <c r="AD685" s="491">
        <f t="shared" si="1"/>
        <v>1500</v>
      </c>
      <c r="AE685" s="492">
        <f t="shared" si="2"/>
        <v>0.009063325885</v>
      </c>
      <c r="AF685" s="490">
        <f t="shared" si="3"/>
        <v>97501005.64</v>
      </c>
      <c r="AG685" s="493">
        <f t="shared" si="6"/>
        <v>1064806.351</v>
      </c>
      <c r="AH685" s="493">
        <f t="shared" si="4"/>
        <v>96436199.29</v>
      </c>
    </row>
    <row r="686">
      <c r="T686" s="494" t="s">
        <v>622</v>
      </c>
      <c r="AB686" s="489">
        <v>684.0</v>
      </c>
      <c r="AC686" s="490">
        <f t="shared" si="5"/>
        <v>97501005.64</v>
      </c>
      <c r="AD686" s="491">
        <f t="shared" si="1"/>
        <v>1500</v>
      </c>
      <c r="AE686" s="492">
        <f t="shared" si="2"/>
        <v>0.009063325885</v>
      </c>
      <c r="AF686" s="490">
        <f t="shared" si="3"/>
        <v>98386189.03</v>
      </c>
      <c r="AG686" s="493">
        <f t="shared" si="6"/>
        <v>1066306.351</v>
      </c>
      <c r="AH686" s="493">
        <f t="shared" si="4"/>
        <v>97319882.68</v>
      </c>
    </row>
    <row r="687">
      <c r="T687" s="494" t="s">
        <v>622</v>
      </c>
      <c r="AB687" s="489">
        <v>685.0</v>
      </c>
      <c r="AC687" s="490">
        <f t="shared" si="5"/>
        <v>98386189.03</v>
      </c>
      <c r="AD687" s="491">
        <f t="shared" si="1"/>
        <v>1500</v>
      </c>
      <c r="AE687" s="492">
        <f t="shared" si="2"/>
        <v>0.009063325885</v>
      </c>
      <c r="AF687" s="490">
        <f t="shared" si="3"/>
        <v>99279395.13</v>
      </c>
      <c r="AG687" s="493">
        <f t="shared" si="6"/>
        <v>1067806.351</v>
      </c>
      <c r="AH687" s="493">
        <f t="shared" si="4"/>
        <v>98211588.77</v>
      </c>
    </row>
    <row r="688">
      <c r="T688" s="494" t="s">
        <v>622</v>
      </c>
      <c r="AB688" s="489">
        <v>686.0</v>
      </c>
      <c r="AC688" s="490">
        <f t="shared" si="5"/>
        <v>99279395.13</v>
      </c>
      <c r="AD688" s="491">
        <f t="shared" si="1"/>
        <v>1500</v>
      </c>
      <c r="AE688" s="492">
        <f t="shared" si="2"/>
        <v>0.009063325885</v>
      </c>
      <c r="AF688" s="490">
        <f t="shared" si="3"/>
        <v>100180696.6</v>
      </c>
      <c r="AG688" s="493">
        <f t="shared" si="6"/>
        <v>1069306.351</v>
      </c>
      <c r="AH688" s="493">
        <f t="shared" si="4"/>
        <v>99111390.29</v>
      </c>
    </row>
    <row r="689">
      <c r="T689" s="494" t="s">
        <v>622</v>
      </c>
      <c r="AB689" s="489">
        <v>687.0</v>
      </c>
      <c r="AC689" s="490">
        <f t="shared" si="5"/>
        <v>100180696.6</v>
      </c>
      <c r="AD689" s="491">
        <f t="shared" si="1"/>
        <v>1500</v>
      </c>
      <c r="AE689" s="492">
        <f t="shared" si="2"/>
        <v>0.009063325885</v>
      </c>
      <c r="AF689" s="490">
        <f t="shared" si="3"/>
        <v>101090166.9</v>
      </c>
      <c r="AG689" s="493">
        <f t="shared" si="6"/>
        <v>1070806.351</v>
      </c>
      <c r="AH689" s="493">
        <f t="shared" si="4"/>
        <v>100019360.6</v>
      </c>
    </row>
    <row r="690">
      <c r="T690" s="494" t="s">
        <v>622</v>
      </c>
      <c r="AB690" s="489">
        <v>688.0</v>
      </c>
      <c r="AC690" s="490">
        <f t="shared" si="5"/>
        <v>101090166.9</v>
      </c>
      <c r="AD690" s="491">
        <f t="shared" si="1"/>
        <v>1500</v>
      </c>
      <c r="AE690" s="492">
        <f t="shared" si="2"/>
        <v>0.009063325885</v>
      </c>
      <c r="AF690" s="490">
        <f t="shared" si="3"/>
        <v>102007880.1</v>
      </c>
      <c r="AG690" s="493">
        <f t="shared" si="6"/>
        <v>1072306.351</v>
      </c>
      <c r="AH690" s="493">
        <f t="shared" si="4"/>
        <v>100935573.7</v>
      </c>
    </row>
    <row r="691">
      <c r="T691" s="494" t="s">
        <v>622</v>
      </c>
      <c r="AB691" s="489">
        <v>689.0</v>
      </c>
      <c r="AC691" s="490">
        <f t="shared" si="5"/>
        <v>102007880.1</v>
      </c>
      <c r="AD691" s="491">
        <f t="shared" si="1"/>
        <v>1500</v>
      </c>
      <c r="AE691" s="492">
        <f t="shared" si="2"/>
        <v>0.009063325885</v>
      </c>
      <c r="AF691" s="490">
        <f t="shared" si="3"/>
        <v>102933910.7</v>
      </c>
      <c r="AG691" s="493">
        <f t="shared" si="6"/>
        <v>1073806.351</v>
      </c>
      <c r="AH691" s="493">
        <f t="shared" si="4"/>
        <v>101860104.4</v>
      </c>
    </row>
    <row r="692">
      <c r="T692" s="494" t="s">
        <v>622</v>
      </c>
      <c r="AB692" s="489">
        <v>690.0</v>
      </c>
      <c r="AC692" s="490">
        <f t="shared" si="5"/>
        <v>102933910.7</v>
      </c>
      <c r="AD692" s="491">
        <f t="shared" si="1"/>
        <v>1500</v>
      </c>
      <c r="AE692" s="492">
        <f t="shared" si="2"/>
        <v>0.009063325885</v>
      </c>
      <c r="AF692" s="490">
        <f t="shared" si="3"/>
        <v>103868334.3</v>
      </c>
      <c r="AG692" s="493">
        <f t="shared" si="6"/>
        <v>1075306.351</v>
      </c>
      <c r="AH692" s="493">
        <f t="shared" si="4"/>
        <v>102793028</v>
      </c>
    </row>
    <row r="693">
      <c r="T693" s="494" t="s">
        <v>622</v>
      </c>
      <c r="AB693" s="489">
        <v>691.0</v>
      </c>
      <c r="AC693" s="490">
        <f t="shared" si="5"/>
        <v>103868334.3</v>
      </c>
      <c r="AD693" s="491">
        <f t="shared" si="1"/>
        <v>1500</v>
      </c>
      <c r="AE693" s="492">
        <f t="shared" si="2"/>
        <v>0.009063325885</v>
      </c>
      <c r="AF693" s="490">
        <f t="shared" si="3"/>
        <v>104811226.9</v>
      </c>
      <c r="AG693" s="493">
        <f t="shared" si="6"/>
        <v>1076806.351</v>
      </c>
      <c r="AH693" s="493">
        <f t="shared" si="4"/>
        <v>103734420.5</v>
      </c>
    </row>
    <row r="694">
      <c r="T694" s="494" t="s">
        <v>622</v>
      </c>
      <c r="AB694" s="489">
        <v>692.0</v>
      </c>
      <c r="AC694" s="490">
        <f t="shared" si="5"/>
        <v>104811226.9</v>
      </c>
      <c r="AD694" s="491">
        <f t="shared" si="1"/>
        <v>1500</v>
      </c>
      <c r="AE694" s="492">
        <f t="shared" si="2"/>
        <v>0.009063325885</v>
      </c>
      <c r="AF694" s="490">
        <f t="shared" si="3"/>
        <v>105762665.2</v>
      </c>
      <c r="AG694" s="493">
        <f t="shared" si="6"/>
        <v>1078306.351</v>
      </c>
      <c r="AH694" s="493">
        <f t="shared" si="4"/>
        <v>104684358.8</v>
      </c>
    </row>
    <row r="695">
      <c r="T695" s="494" t="s">
        <v>622</v>
      </c>
      <c r="AB695" s="489">
        <v>693.0</v>
      </c>
      <c r="AC695" s="490">
        <f t="shared" si="5"/>
        <v>105762665.2</v>
      </c>
      <c r="AD695" s="491">
        <f t="shared" si="1"/>
        <v>1500</v>
      </c>
      <c r="AE695" s="492">
        <f t="shared" si="2"/>
        <v>0.009063325885</v>
      </c>
      <c r="AF695" s="490">
        <f t="shared" si="3"/>
        <v>106722726.7</v>
      </c>
      <c r="AG695" s="493">
        <f t="shared" si="6"/>
        <v>1079806.351</v>
      </c>
      <c r="AH695" s="493">
        <f t="shared" si="4"/>
        <v>105642920.3</v>
      </c>
    </row>
    <row r="696">
      <c r="T696" s="494" t="s">
        <v>622</v>
      </c>
      <c r="AB696" s="489">
        <v>694.0</v>
      </c>
      <c r="AC696" s="490">
        <f t="shared" si="5"/>
        <v>106722726.7</v>
      </c>
      <c r="AD696" s="491">
        <f t="shared" si="1"/>
        <v>1500</v>
      </c>
      <c r="AE696" s="492">
        <f t="shared" si="2"/>
        <v>0.009063325885</v>
      </c>
      <c r="AF696" s="490">
        <f t="shared" si="3"/>
        <v>107691489.5</v>
      </c>
      <c r="AG696" s="493">
        <f t="shared" si="6"/>
        <v>1081306.351</v>
      </c>
      <c r="AH696" s="493">
        <f t="shared" si="4"/>
        <v>106610183.2</v>
      </c>
    </row>
    <row r="697">
      <c r="T697" s="494" t="s">
        <v>622</v>
      </c>
      <c r="AB697" s="489">
        <v>695.0</v>
      </c>
      <c r="AC697" s="490">
        <f t="shared" si="5"/>
        <v>107691489.5</v>
      </c>
      <c r="AD697" s="491">
        <f t="shared" si="1"/>
        <v>1500</v>
      </c>
      <c r="AE697" s="492">
        <f t="shared" si="2"/>
        <v>0.009063325885</v>
      </c>
      <c r="AF697" s="490">
        <f t="shared" si="3"/>
        <v>108669032.6</v>
      </c>
      <c r="AG697" s="493">
        <f t="shared" si="6"/>
        <v>1082806.351</v>
      </c>
      <c r="AH697" s="493">
        <f t="shared" si="4"/>
        <v>107586226.2</v>
      </c>
    </row>
    <row r="698">
      <c r="T698" s="494" t="s">
        <v>622</v>
      </c>
      <c r="AB698" s="489">
        <v>696.0</v>
      </c>
      <c r="AC698" s="490">
        <f t="shared" si="5"/>
        <v>108669032.6</v>
      </c>
      <c r="AD698" s="491">
        <f t="shared" si="1"/>
        <v>1500</v>
      </c>
      <c r="AE698" s="492">
        <f t="shared" si="2"/>
        <v>0.009063325885</v>
      </c>
      <c r="AF698" s="490">
        <f t="shared" si="3"/>
        <v>109655435.4</v>
      </c>
      <c r="AG698" s="493">
        <f t="shared" si="6"/>
        <v>1084306.351</v>
      </c>
      <c r="AH698" s="493">
        <f t="shared" si="4"/>
        <v>108571129.1</v>
      </c>
    </row>
    <row r="699">
      <c r="T699" s="494" t="s">
        <v>622</v>
      </c>
      <c r="AB699" s="489">
        <v>697.0</v>
      </c>
      <c r="AC699" s="490">
        <f t="shared" si="5"/>
        <v>109655435.4</v>
      </c>
      <c r="AD699" s="491">
        <f t="shared" si="1"/>
        <v>1500</v>
      </c>
      <c r="AE699" s="492">
        <f t="shared" si="2"/>
        <v>0.009063325885</v>
      </c>
      <c r="AF699" s="490">
        <f t="shared" si="3"/>
        <v>110650778.4</v>
      </c>
      <c r="AG699" s="493">
        <f t="shared" si="6"/>
        <v>1085806.351</v>
      </c>
      <c r="AH699" s="493">
        <f t="shared" si="4"/>
        <v>109564972</v>
      </c>
    </row>
    <row r="700">
      <c r="T700" s="494" t="s">
        <v>622</v>
      </c>
      <c r="AB700" s="489">
        <v>698.0</v>
      </c>
      <c r="AC700" s="490">
        <f t="shared" si="5"/>
        <v>110650778.4</v>
      </c>
      <c r="AD700" s="491">
        <f t="shared" si="1"/>
        <v>1500</v>
      </c>
      <c r="AE700" s="492">
        <f t="shared" si="2"/>
        <v>0.009063325885</v>
      </c>
      <c r="AF700" s="490">
        <f t="shared" si="3"/>
        <v>111655142.5</v>
      </c>
      <c r="AG700" s="493">
        <f t="shared" si="6"/>
        <v>1087306.351</v>
      </c>
      <c r="AH700" s="493">
        <f t="shared" si="4"/>
        <v>110567836.1</v>
      </c>
    </row>
    <row r="701">
      <c r="T701" s="494" t="s">
        <v>622</v>
      </c>
      <c r="AB701" s="489">
        <v>699.0</v>
      </c>
      <c r="AC701" s="490">
        <f t="shared" si="5"/>
        <v>111655142.5</v>
      </c>
      <c r="AD701" s="491">
        <f t="shared" si="1"/>
        <v>1500</v>
      </c>
      <c r="AE701" s="492">
        <f t="shared" si="2"/>
        <v>0.009063325885</v>
      </c>
      <c r="AF701" s="490">
        <f t="shared" si="3"/>
        <v>112668609.4</v>
      </c>
      <c r="AG701" s="493">
        <f t="shared" si="6"/>
        <v>1088806.351</v>
      </c>
      <c r="AH701" s="493">
        <f t="shared" si="4"/>
        <v>111579803</v>
      </c>
    </row>
    <row r="702">
      <c r="T702" s="494" t="s">
        <v>622</v>
      </c>
      <c r="AB702" s="489">
        <v>700.0</v>
      </c>
      <c r="AC702" s="490">
        <f t="shared" si="5"/>
        <v>112668609.4</v>
      </c>
      <c r="AD702" s="491">
        <f t="shared" si="1"/>
        <v>1500</v>
      </c>
      <c r="AE702" s="492">
        <f t="shared" si="2"/>
        <v>0.009063325885</v>
      </c>
      <c r="AF702" s="490">
        <f t="shared" si="3"/>
        <v>113691261.7</v>
      </c>
      <c r="AG702" s="493">
        <f t="shared" si="6"/>
        <v>1090306.351</v>
      </c>
      <c r="AH702" s="493">
        <f t="shared" si="4"/>
        <v>112600955.4</v>
      </c>
    </row>
    <row r="703">
      <c r="T703" s="494" t="s">
        <v>622</v>
      </c>
      <c r="AB703" s="489">
        <v>701.0</v>
      </c>
      <c r="AC703" s="490">
        <f t="shared" si="5"/>
        <v>113691261.7</v>
      </c>
      <c r="AD703" s="491">
        <f t="shared" si="1"/>
        <v>1500</v>
      </c>
      <c r="AE703" s="492">
        <f t="shared" si="2"/>
        <v>0.009063325885</v>
      </c>
      <c r="AF703" s="490">
        <f t="shared" si="3"/>
        <v>114723182.7</v>
      </c>
      <c r="AG703" s="493">
        <f t="shared" si="6"/>
        <v>1091806.351</v>
      </c>
      <c r="AH703" s="493">
        <f t="shared" si="4"/>
        <v>113631376.3</v>
      </c>
    </row>
    <row r="704">
      <c r="T704" s="494" t="s">
        <v>622</v>
      </c>
      <c r="AB704" s="489">
        <v>702.0</v>
      </c>
      <c r="AC704" s="490">
        <f t="shared" si="5"/>
        <v>114723182.7</v>
      </c>
      <c r="AD704" s="491">
        <f t="shared" si="1"/>
        <v>1500</v>
      </c>
      <c r="AE704" s="492">
        <f t="shared" si="2"/>
        <v>0.009063325885</v>
      </c>
      <c r="AF704" s="490">
        <f t="shared" si="3"/>
        <v>115764456.3</v>
      </c>
      <c r="AG704" s="493">
        <f t="shared" si="6"/>
        <v>1093306.351</v>
      </c>
      <c r="AH704" s="493">
        <f t="shared" si="4"/>
        <v>114671149.9</v>
      </c>
    </row>
    <row r="705">
      <c r="T705" s="494" t="s">
        <v>622</v>
      </c>
      <c r="AB705" s="489">
        <v>703.0</v>
      </c>
      <c r="AC705" s="490">
        <f t="shared" si="5"/>
        <v>115764456.3</v>
      </c>
      <c r="AD705" s="491">
        <f t="shared" si="1"/>
        <v>1500</v>
      </c>
      <c r="AE705" s="492">
        <f t="shared" si="2"/>
        <v>0.009063325885</v>
      </c>
      <c r="AF705" s="490">
        <f t="shared" si="3"/>
        <v>116815167.3</v>
      </c>
      <c r="AG705" s="493">
        <f t="shared" si="6"/>
        <v>1094806.351</v>
      </c>
      <c r="AH705" s="493">
        <f t="shared" si="4"/>
        <v>115720360.9</v>
      </c>
    </row>
    <row r="706">
      <c r="T706" s="494" t="s">
        <v>622</v>
      </c>
      <c r="AB706" s="489">
        <v>704.0</v>
      </c>
      <c r="AC706" s="490">
        <f t="shared" si="5"/>
        <v>116815167.3</v>
      </c>
      <c r="AD706" s="491">
        <f t="shared" si="1"/>
        <v>1500</v>
      </c>
      <c r="AE706" s="492">
        <f t="shared" si="2"/>
        <v>0.009063325885</v>
      </c>
      <c r="AF706" s="490">
        <f t="shared" si="3"/>
        <v>117875401.2</v>
      </c>
      <c r="AG706" s="493">
        <f t="shared" si="6"/>
        <v>1096306.351</v>
      </c>
      <c r="AH706" s="493">
        <f t="shared" si="4"/>
        <v>116779094.8</v>
      </c>
    </row>
    <row r="707">
      <c r="T707" s="494" t="s">
        <v>622</v>
      </c>
      <c r="AB707" s="489">
        <v>705.0</v>
      </c>
      <c r="AC707" s="490">
        <f t="shared" si="5"/>
        <v>117875401.2</v>
      </c>
      <c r="AD707" s="491">
        <f t="shared" si="1"/>
        <v>1500</v>
      </c>
      <c r="AE707" s="492">
        <f t="shared" si="2"/>
        <v>0.009063325885</v>
      </c>
      <c r="AF707" s="490">
        <f t="shared" si="3"/>
        <v>118945244.4</v>
      </c>
      <c r="AG707" s="493">
        <f t="shared" si="6"/>
        <v>1097806.351</v>
      </c>
      <c r="AH707" s="493">
        <f t="shared" si="4"/>
        <v>117847438</v>
      </c>
    </row>
    <row r="708">
      <c r="T708" s="494" t="s">
        <v>622</v>
      </c>
      <c r="AB708" s="489">
        <v>706.0</v>
      </c>
      <c r="AC708" s="490">
        <f t="shared" si="5"/>
        <v>118945244.4</v>
      </c>
      <c r="AD708" s="491">
        <f t="shared" si="1"/>
        <v>1500</v>
      </c>
      <c r="AE708" s="492">
        <f t="shared" si="2"/>
        <v>0.009063325885</v>
      </c>
      <c r="AF708" s="490">
        <f t="shared" si="3"/>
        <v>120024783.9</v>
      </c>
      <c r="AG708" s="493">
        <f t="shared" si="6"/>
        <v>1099306.351</v>
      </c>
      <c r="AH708" s="493">
        <f t="shared" si="4"/>
        <v>118925477.5</v>
      </c>
    </row>
    <row r="709">
      <c r="T709" s="494" t="s">
        <v>622</v>
      </c>
      <c r="AB709" s="489">
        <v>707.0</v>
      </c>
      <c r="AC709" s="490">
        <f t="shared" si="5"/>
        <v>120024783.9</v>
      </c>
      <c r="AD709" s="491">
        <f t="shared" si="1"/>
        <v>1500</v>
      </c>
      <c r="AE709" s="492">
        <f t="shared" si="2"/>
        <v>0.009063325885</v>
      </c>
      <c r="AF709" s="490">
        <f t="shared" si="3"/>
        <v>121114107.6</v>
      </c>
      <c r="AG709" s="493">
        <f t="shared" si="6"/>
        <v>1100806.351</v>
      </c>
      <c r="AH709" s="493">
        <f t="shared" si="4"/>
        <v>120013301.3</v>
      </c>
    </row>
    <row r="710">
      <c r="T710" s="494" t="s">
        <v>622</v>
      </c>
      <c r="AB710" s="489">
        <v>708.0</v>
      </c>
      <c r="AC710" s="490">
        <f t="shared" si="5"/>
        <v>121114107.6</v>
      </c>
      <c r="AD710" s="491">
        <f t="shared" si="1"/>
        <v>1500</v>
      </c>
      <c r="AE710" s="492">
        <f t="shared" si="2"/>
        <v>0.009063325885</v>
      </c>
      <c r="AF710" s="490">
        <f t="shared" si="3"/>
        <v>122213304.2</v>
      </c>
      <c r="AG710" s="493">
        <f t="shared" si="6"/>
        <v>1102306.351</v>
      </c>
      <c r="AH710" s="493">
        <f t="shared" si="4"/>
        <v>121110997.9</v>
      </c>
    </row>
    <row r="711">
      <c r="T711" s="494" t="s">
        <v>622</v>
      </c>
      <c r="AB711" s="489">
        <v>709.0</v>
      </c>
      <c r="AC711" s="490">
        <f t="shared" si="5"/>
        <v>122213304.2</v>
      </c>
      <c r="AD711" s="491">
        <f t="shared" si="1"/>
        <v>1500</v>
      </c>
      <c r="AE711" s="492">
        <f t="shared" si="2"/>
        <v>0.009063325885</v>
      </c>
      <c r="AF711" s="490">
        <f t="shared" si="3"/>
        <v>123322463.2</v>
      </c>
      <c r="AG711" s="493">
        <f t="shared" si="6"/>
        <v>1103806.351</v>
      </c>
      <c r="AH711" s="493">
        <f t="shared" si="4"/>
        <v>122218656.9</v>
      </c>
    </row>
    <row r="712">
      <c r="T712" s="494" t="s">
        <v>622</v>
      </c>
      <c r="AB712" s="489">
        <v>710.0</v>
      </c>
      <c r="AC712" s="490">
        <f t="shared" si="5"/>
        <v>123322463.2</v>
      </c>
      <c r="AD712" s="491">
        <f t="shared" si="1"/>
        <v>1500</v>
      </c>
      <c r="AE712" s="492">
        <f t="shared" si="2"/>
        <v>0.009063325885</v>
      </c>
      <c r="AF712" s="490">
        <f t="shared" si="3"/>
        <v>124441674.9</v>
      </c>
      <c r="AG712" s="493">
        <f t="shared" si="6"/>
        <v>1105306.351</v>
      </c>
      <c r="AH712" s="493">
        <f t="shared" si="4"/>
        <v>123336368.6</v>
      </c>
    </row>
    <row r="713">
      <c r="T713" s="494" t="s">
        <v>622</v>
      </c>
      <c r="AB713" s="489">
        <v>711.0</v>
      </c>
      <c r="AC713" s="490">
        <f t="shared" si="5"/>
        <v>124441674.9</v>
      </c>
      <c r="AD713" s="491">
        <f t="shared" si="1"/>
        <v>1500</v>
      </c>
      <c r="AE713" s="492">
        <f t="shared" si="2"/>
        <v>0.009063325885</v>
      </c>
      <c r="AF713" s="490">
        <f t="shared" si="3"/>
        <v>125571030.4</v>
      </c>
      <c r="AG713" s="493">
        <f t="shared" si="6"/>
        <v>1106806.351</v>
      </c>
      <c r="AH713" s="493">
        <f t="shared" si="4"/>
        <v>124464224</v>
      </c>
    </row>
    <row r="714">
      <c r="T714" s="494" t="s">
        <v>622</v>
      </c>
      <c r="AB714" s="489">
        <v>712.0</v>
      </c>
      <c r="AC714" s="490">
        <f t="shared" si="5"/>
        <v>125571030.4</v>
      </c>
      <c r="AD714" s="491">
        <f t="shared" si="1"/>
        <v>1500</v>
      </c>
      <c r="AE714" s="492">
        <f t="shared" si="2"/>
        <v>0.009063325885</v>
      </c>
      <c r="AF714" s="490">
        <f t="shared" si="3"/>
        <v>126710621.5</v>
      </c>
      <c r="AG714" s="493">
        <f t="shared" si="6"/>
        <v>1108306.351</v>
      </c>
      <c r="AH714" s="493">
        <f t="shared" si="4"/>
        <v>125602315.2</v>
      </c>
    </row>
    <row r="715">
      <c r="T715" s="494" t="s">
        <v>622</v>
      </c>
      <c r="AB715" s="489">
        <v>713.0</v>
      </c>
      <c r="AC715" s="490">
        <f t="shared" si="5"/>
        <v>126710621.5</v>
      </c>
      <c r="AD715" s="491">
        <f t="shared" si="1"/>
        <v>1500</v>
      </c>
      <c r="AE715" s="492">
        <f t="shared" si="2"/>
        <v>0.009063325885</v>
      </c>
      <c r="AF715" s="490">
        <f t="shared" si="3"/>
        <v>127860541.2</v>
      </c>
      <c r="AG715" s="493">
        <f t="shared" si="6"/>
        <v>1109806.351</v>
      </c>
      <c r="AH715" s="493">
        <f t="shared" si="4"/>
        <v>126750734.8</v>
      </c>
    </row>
    <row r="716">
      <c r="T716" s="494" t="s">
        <v>622</v>
      </c>
      <c r="AB716" s="489">
        <v>714.0</v>
      </c>
      <c r="AC716" s="490">
        <f t="shared" si="5"/>
        <v>127860541.2</v>
      </c>
      <c r="AD716" s="491">
        <f t="shared" si="1"/>
        <v>1500</v>
      </c>
      <c r="AE716" s="492">
        <f t="shared" si="2"/>
        <v>0.009063325885</v>
      </c>
      <c r="AF716" s="490">
        <f t="shared" si="3"/>
        <v>129020882.9</v>
      </c>
      <c r="AG716" s="493">
        <f t="shared" si="6"/>
        <v>1111306.351</v>
      </c>
      <c r="AH716" s="493">
        <f t="shared" si="4"/>
        <v>127909576.6</v>
      </c>
    </row>
    <row r="717">
      <c r="T717" s="494" t="s">
        <v>622</v>
      </c>
      <c r="AB717" s="489">
        <v>715.0</v>
      </c>
      <c r="AC717" s="490">
        <f t="shared" si="5"/>
        <v>129020882.9</v>
      </c>
      <c r="AD717" s="491">
        <f t="shared" si="1"/>
        <v>1500</v>
      </c>
      <c r="AE717" s="492">
        <f t="shared" si="2"/>
        <v>0.009063325885</v>
      </c>
      <c r="AF717" s="490">
        <f t="shared" si="3"/>
        <v>130191741.3</v>
      </c>
      <c r="AG717" s="493">
        <f t="shared" si="6"/>
        <v>1112806.351</v>
      </c>
      <c r="AH717" s="493">
        <f t="shared" si="4"/>
        <v>129078934.9</v>
      </c>
    </row>
    <row r="718">
      <c r="T718" s="494" t="s">
        <v>622</v>
      </c>
      <c r="AB718" s="489">
        <v>716.0</v>
      </c>
      <c r="AC718" s="490">
        <f t="shared" si="5"/>
        <v>130191741.3</v>
      </c>
      <c r="AD718" s="491">
        <f t="shared" si="1"/>
        <v>1500</v>
      </c>
      <c r="AE718" s="492">
        <f t="shared" si="2"/>
        <v>0.009063325885</v>
      </c>
      <c r="AF718" s="490">
        <f t="shared" si="3"/>
        <v>131373211.4</v>
      </c>
      <c r="AG718" s="493">
        <f t="shared" si="6"/>
        <v>1114306.351</v>
      </c>
      <c r="AH718" s="493">
        <f t="shared" si="4"/>
        <v>130258905.1</v>
      </c>
    </row>
    <row r="719">
      <c r="T719" s="494" t="s">
        <v>622</v>
      </c>
      <c r="AB719" s="489">
        <v>717.0</v>
      </c>
      <c r="AC719" s="490">
        <f t="shared" si="5"/>
        <v>131373211.4</v>
      </c>
      <c r="AD719" s="491">
        <f t="shared" si="1"/>
        <v>1500</v>
      </c>
      <c r="AE719" s="492">
        <f t="shared" si="2"/>
        <v>0.009063325885</v>
      </c>
      <c r="AF719" s="490">
        <f t="shared" si="3"/>
        <v>132565389.7</v>
      </c>
      <c r="AG719" s="493">
        <f t="shared" si="6"/>
        <v>1115806.351</v>
      </c>
      <c r="AH719" s="493">
        <f t="shared" si="4"/>
        <v>131449583.3</v>
      </c>
    </row>
    <row r="720">
      <c r="T720" s="494" t="s">
        <v>622</v>
      </c>
      <c r="AB720" s="489">
        <v>718.0</v>
      </c>
      <c r="AC720" s="490">
        <f t="shared" si="5"/>
        <v>132565389.7</v>
      </c>
      <c r="AD720" s="491">
        <f t="shared" si="1"/>
        <v>1500</v>
      </c>
      <c r="AE720" s="492">
        <f t="shared" si="2"/>
        <v>0.009063325885</v>
      </c>
      <c r="AF720" s="490">
        <f t="shared" si="3"/>
        <v>133768373</v>
      </c>
      <c r="AG720" s="493">
        <f t="shared" si="6"/>
        <v>1117306.351</v>
      </c>
      <c r="AH720" s="493">
        <f t="shared" si="4"/>
        <v>132651066.6</v>
      </c>
    </row>
    <row r="721">
      <c r="T721" s="494" t="s">
        <v>622</v>
      </c>
      <c r="AB721" s="489">
        <v>719.0</v>
      </c>
      <c r="AC721" s="490">
        <f t="shared" si="5"/>
        <v>133768373</v>
      </c>
      <c r="AD721" s="491">
        <f t="shared" si="1"/>
        <v>1500</v>
      </c>
      <c r="AE721" s="492">
        <f t="shared" si="2"/>
        <v>0.009063325885</v>
      </c>
      <c r="AF721" s="490">
        <f t="shared" si="3"/>
        <v>134982259.3</v>
      </c>
      <c r="AG721" s="493">
        <f t="shared" si="6"/>
        <v>1118806.351</v>
      </c>
      <c r="AH721" s="493">
        <f t="shared" si="4"/>
        <v>133863453</v>
      </c>
    </row>
    <row r="722">
      <c r="T722" s="494" t="s">
        <v>622</v>
      </c>
      <c r="AB722" s="489">
        <v>720.0</v>
      </c>
      <c r="AC722" s="490">
        <f t="shared" si="5"/>
        <v>134982259.3</v>
      </c>
      <c r="AD722" s="491">
        <f t="shared" si="1"/>
        <v>1500</v>
      </c>
      <c r="AE722" s="492">
        <f t="shared" si="2"/>
        <v>0.009063325885</v>
      </c>
      <c r="AF722" s="490">
        <f t="shared" si="3"/>
        <v>136207147.5</v>
      </c>
      <c r="AG722" s="493">
        <f t="shared" si="6"/>
        <v>1120306.351</v>
      </c>
      <c r="AH722" s="493">
        <f t="shared" si="4"/>
        <v>135086841.2</v>
      </c>
    </row>
    <row r="723">
      <c r="T723" s="494" t="s">
        <v>622</v>
      </c>
      <c r="AB723" s="489">
        <v>721.0</v>
      </c>
      <c r="AC723" s="490">
        <f t="shared" si="5"/>
        <v>136207147.5</v>
      </c>
      <c r="AD723" s="491">
        <f t="shared" si="1"/>
        <v>1500</v>
      </c>
      <c r="AE723" s="492">
        <f t="shared" si="2"/>
        <v>0.009063325885</v>
      </c>
      <c r="AF723" s="490">
        <f t="shared" si="3"/>
        <v>137443137.3</v>
      </c>
      <c r="AG723" s="493">
        <f t="shared" si="6"/>
        <v>1121806.351</v>
      </c>
      <c r="AH723" s="493">
        <f t="shared" si="4"/>
        <v>136321331</v>
      </c>
    </row>
    <row r="724">
      <c r="T724" s="494" t="s">
        <v>622</v>
      </c>
      <c r="AB724" s="489">
        <v>722.0</v>
      </c>
      <c r="AC724" s="490">
        <f t="shared" si="5"/>
        <v>137443137.3</v>
      </c>
      <c r="AD724" s="491">
        <f t="shared" si="1"/>
        <v>1500</v>
      </c>
      <c r="AE724" s="492">
        <f t="shared" si="2"/>
        <v>0.009063325885</v>
      </c>
      <c r="AF724" s="490">
        <f t="shared" si="3"/>
        <v>138690329.3</v>
      </c>
      <c r="AG724" s="493">
        <f t="shared" si="6"/>
        <v>1123306.351</v>
      </c>
      <c r="AH724" s="493">
        <f t="shared" si="4"/>
        <v>137567022.9</v>
      </c>
    </row>
    <row r="725">
      <c r="T725" s="494" t="s">
        <v>622</v>
      </c>
      <c r="AB725" s="489">
        <v>723.0</v>
      </c>
      <c r="AC725" s="490">
        <f t="shared" si="5"/>
        <v>138690329.3</v>
      </c>
      <c r="AD725" s="491">
        <f t="shared" si="1"/>
        <v>1500</v>
      </c>
      <c r="AE725" s="492">
        <f t="shared" si="2"/>
        <v>0.009063325885</v>
      </c>
      <c r="AF725" s="490">
        <f t="shared" si="3"/>
        <v>139948824.9</v>
      </c>
      <c r="AG725" s="493">
        <f t="shared" si="6"/>
        <v>1124806.351</v>
      </c>
      <c r="AH725" s="493">
        <f t="shared" si="4"/>
        <v>138824018.6</v>
      </c>
    </row>
    <row r="726">
      <c r="T726" s="494" t="s">
        <v>622</v>
      </c>
      <c r="AB726" s="489">
        <v>724.0</v>
      </c>
      <c r="AC726" s="490">
        <f t="shared" si="5"/>
        <v>139948824.9</v>
      </c>
      <c r="AD726" s="491">
        <f t="shared" si="1"/>
        <v>1500</v>
      </c>
      <c r="AE726" s="492">
        <f t="shared" si="2"/>
        <v>0.009063325885</v>
      </c>
      <c r="AF726" s="490">
        <f t="shared" si="3"/>
        <v>141218726.7</v>
      </c>
      <c r="AG726" s="493">
        <f t="shared" si="6"/>
        <v>1126306.351</v>
      </c>
      <c r="AH726" s="493">
        <f t="shared" si="4"/>
        <v>140092420.4</v>
      </c>
    </row>
    <row r="727">
      <c r="T727" s="494" t="s">
        <v>622</v>
      </c>
      <c r="AB727" s="489">
        <v>725.0</v>
      </c>
      <c r="AC727" s="490">
        <f t="shared" si="5"/>
        <v>141218726.7</v>
      </c>
      <c r="AD727" s="491">
        <f t="shared" si="1"/>
        <v>1500</v>
      </c>
      <c r="AE727" s="492">
        <f t="shared" si="2"/>
        <v>0.009063325885</v>
      </c>
      <c r="AF727" s="490">
        <f t="shared" si="3"/>
        <v>142500138.1</v>
      </c>
      <c r="AG727" s="493">
        <f t="shared" si="6"/>
        <v>1127806.351</v>
      </c>
      <c r="AH727" s="493">
        <f t="shared" si="4"/>
        <v>141372331.7</v>
      </c>
    </row>
    <row r="728">
      <c r="T728" s="494" t="s">
        <v>622</v>
      </c>
      <c r="AB728" s="489">
        <v>726.0</v>
      </c>
      <c r="AC728" s="490">
        <f t="shared" si="5"/>
        <v>142500138.1</v>
      </c>
      <c r="AD728" s="491">
        <f t="shared" si="1"/>
        <v>1500</v>
      </c>
      <c r="AE728" s="492">
        <f t="shared" si="2"/>
        <v>0.009063325885</v>
      </c>
      <c r="AF728" s="490">
        <f t="shared" si="3"/>
        <v>143793163.2</v>
      </c>
      <c r="AG728" s="493">
        <f t="shared" si="6"/>
        <v>1129306.351</v>
      </c>
      <c r="AH728" s="493">
        <f t="shared" si="4"/>
        <v>142663856.9</v>
      </c>
    </row>
    <row r="729">
      <c r="T729" s="494" t="s">
        <v>622</v>
      </c>
      <c r="AB729" s="489">
        <v>727.0</v>
      </c>
      <c r="AC729" s="490">
        <f t="shared" si="5"/>
        <v>143793163.2</v>
      </c>
      <c r="AD729" s="491">
        <f t="shared" si="1"/>
        <v>1500</v>
      </c>
      <c r="AE729" s="492">
        <f t="shared" si="2"/>
        <v>0.009063325885</v>
      </c>
      <c r="AF729" s="490">
        <f t="shared" si="3"/>
        <v>145097907.5</v>
      </c>
      <c r="AG729" s="493">
        <f t="shared" si="6"/>
        <v>1130806.351</v>
      </c>
      <c r="AH729" s="493">
        <f t="shared" si="4"/>
        <v>143967101.2</v>
      </c>
    </row>
    <row r="730">
      <c r="T730" s="494" t="s">
        <v>622</v>
      </c>
      <c r="AB730" s="489">
        <v>728.0</v>
      </c>
      <c r="AC730" s="490">
        <f t="shared" si="5"/>
        <v>145097907.5</v>
      </c>
      <c r="AD730" s="491">
        <f t="shared" si="1"/>
        <v>1500</v>
      </c>
      <c r="AE730" s="492">
        <f t="shared" si="2"/>
        <v>0.009063325885</v>
      </c>
      <c r="AF730" s="490">
        <f t="shared" si="3"/>
        <v>146414477.2</v>
      </c>
      <c r="AG730" s="493">
        <f t="shared" si="6"/>
        <v>1132306.351</v>
      </c>
      <c r="AH730" s="493">
        <f t="shared" si="4"/>
        <v>145282170.8</v>
      </c>
    </row>
    <row r="731">
      <c r="T731" s="494" t="s">
        <v>622</v>
      </c>
      <c r="AB731" s="489">
        <v>729.0</v>
      </c>
      <c r="AC731" s="490">
        <f t="shared" si="5"/>
        <v>146414477.2</v>
      </c>
      <c r="AD731" s="491">
        <f t="shared" si="1"/>
        <v>1500</v>
      </c>
      <c r="AE731" s="492">
        <f t="shared" si="2"/>
        <v>0.009063325885</v>
      </c>
      <c r="AF731" s="490">
        <f t="shared" si="3"/>
        <v>147742979.3</v>
      </c>
      <c r="AG731" s="493">
        <f t="shared" si="6"/>
        <v>1133806.351</v>
      </c>
      <c r="AH731" s="493">
        <f t="shared" si="4"/>
        <v>146609172.9</v>
      </c>
    </row>
    <row r="732">
      <c r="T732" s="494" t="s">
        <v>622</v>
      </c>
      <c r="AB732" s="489">
        <v>730.0</v>
      </c>
      <c r="AC732" s="490">
        <f t="shared" si="5"/>
        <v>147742979.3</v>
      </c>
      <c r="AD732" s="491">
        <f t="shared" si="1"/>
        <v>1500</v>
      </c>
      <c r="AE732" s="492">
        <f t="shared" si="2"/>
        <v>0.009063325885</v>
      </c>
      <c r="AF732" s="490">
        <f t="shared" si="3"/>
        <v>149083522.1</v>
      </c>
      <c r="AG732" s="493">
        <f t="shared" si="6"/>
        <v>1135306.351</v>
      </c>
      <c r="AH732" s="493">
        <f t="shared" si="4"/>
        <v>147948215.7</v>
      </c>
    </row>
    <row r="733">
      <c r="T733" s="494" t="s">
        <v>622</v>
      </c>
      <c r="AB733" s="489">
        <v>731.0</v>
      </c>
      <c r="AC733" s="490">
        <f t="shared" si="5"/>
        <v>149083522.1</v>
      </c>
      <c r="AD733" s="491">
        <f t="shared" si="1"/>
        <v>1500</v>
      </c>
      <c r="AE733" s="492">
        <f t="shared" si="2"/>
        <v>0.009063325885</v>
      </c>
      <c r="AF733" s="490">
        <f t="shared" si="3"/>
        <v>150436214.6</v>
      </c>
      <c r="AG733" s="493">
        <f t="shared" si="6"/>
        <v>1136806.351</v>
      </c>
      <c r="AH733" s="493">
        <f t="shared" si="4"/>
        <v>149299408.2</v>
      </c>
    </row>
    <row r="734">
      <c r="T734" s="494" t="s">
        <v>622</v>
      </c>
      <c r="AB734" s="489">
        <v>732.0</v>
      </c>
      <c r="AC734" s="490">
        <f t="shared" si="5"/>
        <v>150436214.6</v>
      </c>
      <c r="AD734" s="491">
        <f t="shared" si="1"/>
        <v>1500</v>
      </c>
      <c r="AE734" s="492">
        <f t="shared" si="2"/>
        <v>0.009063325885</v>
      </c>
      <c r="AF734" s="490">
        <f t="shared" si="3"/>
        <v>151801167</v>
      </c>
      <c r="AG734" s="493">
        <f t="shared" si="6"/>
        <v>1138306.351</v>
      </c>
      <c r="AH734" s="493">
        <f t="shared" si="4"/>
        <v>150662860.7</v>
      </c>
    </row>
    <row r="735">
      <c r="T735" s="494" t="s">
        <v>622</v>
      </c>
      <c r="AB735" s="489">
        <v>733.0</v>
      </c>
      <c r="AC735" s="490">
        <f t="shared" si="5"/>
        <v>151801167</v>
      </c>
      <c r="AD735" s="491">
        <f t="shared" si="1"/>
        <v>1500</v>
      </c>
      <c r="AE735" s="492">
        <f t="shared" si="2"/>
        <v>0.009063325885</v>
      </c>
      <c r="AF735" s="490">
        <f t="shared" si="3"/>
        <v>153178490.5</v>
      </c>
      <c r="AG735" s="493">
        <f t="shared" si="6"/>
        <v>1139806.351</v>
      </c>
      <c r="AH735" s="493">
        <f t="shared" si="4"/>
        <v>152038684.1</v>
      </c>
    </row>
    <row r="736">
      <c r="T736" s="494" t="s">
        <v>622</v>
      </c>
      <c r="AB736" s="489">
        <v>734.0</v>
      </c>
      <c r="AC736" s="490">
        <f t="shared" si="5"/>
        <v>153178490.5</v>
      </c>
      <c r="AD736" s="491">
        <f t="shared" si="1"/>
        <v>1500</v>
      </c>
      <c r="AE736" s="492">
        <f t="shared" si="2"/>
        <v>0.009063325885</v>
      </c>
      <c r="AF736" s="490">
        <f t="shared" si="3"/>
        <v>154568297.1</v>
      </c>
      <c r="AG736" s="493">
        <f t="shared" si="6"/>
        <v>1141306.351</v>
      </c>
      <c r="AH736" s="493">
        <f t="shared" si="4"/>
        <v>153426990.7</v>
      </c>
    </row>
    <row r="737">
      <c r="T737" s="494" t="s">
        <v>622</v>
      </c>
      <c r="AB737" s="489">
        <v>735.0</v>
      </c>
      <c r="AC737" s="490">
        <f t="shared" si="5"/>
        <v>154568297.1</v>
      </c>
      <c r="AD737" s="491">
        <f t="shared" si="1"/>
        <v>1500</v>
      </c>
      <c r="AE737" s="492">
        <f t="shared" si="2"/>
        <v>0.009063325885</v>
      </c>
      <c r="AF737" s="490">
        <f t="shared" si="3"/>
        <v>155970699.9</v>
      </c>
      <c r="AG737" s="493">
        <f t="shared" si="6"/>
        <v>1142806.351</v>
      </c>
      <c r="AH737" s="493">
        <f t="shared" si="4"/>
        <v>154827893.6</v>
      </c>
    </row>
    <row r="738">
      <c r="T738" s="494" t="s">
        <v>622</v>
      </c>
      <c r="AB738" s="489">
        <v>736.0</v>
      </c>
      <c r="AC738" s="490">
        <f t="shared" si="5"/>
        <v>155970699.9</v>
      </c>
      <c r="AD738" s="491">
        <f t="shared" si="1"/>
        <v>1500</v>
      </c>
      <c r="AE738" s="492">
        <f t="shared" si="2"/>
        <v>0.009063325885</v>
      </c>
      <c r="AF738" s="490">
        <f t="shared" si="3"/>
        <v>157385813.2</v>
      </c>
      <c r="AG738" s="493">
        <f t="shared" si="6"/>
        <v>1144306.351</v>
      </c>
      <c r="AH738" s="493">
        <f t="shared" si="4"/>
        <v>156241506.8</v>
      </c>
    </row>
    <row r="739">
      <c r="T739" s="494" t="s">
        <v>622</v>
      </c>
      <c r="AB739" s="489">
        <v>737.0</v>
      </c>
      <c r="AC739" s="490">
        <f t="shared" si="5"/>
        <v>157385813.2</v>
      </c>
      <c r="AD739" s="491">
        <f t="shared" si="1"/>
        <v>1500</v>
      </c>
      <c r="AE739" s="492">
        <f t="shared" si="2"/>
        <v>0.009063325885</v>
      </c>
      <c r="AF739" s="490">
        <f t="shared" si="3"/>
        <v>158813752.1</v>
      </c>
      <c r="AG739" s="493">
        <f t="shared" si="6"/>
        <v>1145806.351</v>
      </c>
      <c r="AH739" s="493">
        <f t="shared" si="4"/>
        <v>157667945.8</v>
      </c>
    </row>
    <row r="740">
      <c r="T740" s="494" t="s">
        <v>622</v>
      </c>
      <c r="AB740" s="489">
        <v>738.0</v>
      </c>
      <c r="AC740" s="490">
        <f t="shared" si="5"/>
        <v>158813752.1</v>
      </c>
      <c r="AD740" s="491">
        <f t="shared" si="1"/>
        <v>1500</v>
      </c>
      <c r="AE740" s="492">
        <f t="shared" si="2"/>
        <v>0.009063325885</v>
      </c>
      <c r="AF740" s="490">
        <f t="shared" si="3"/>
        <v>160254632.9</v>
      </c>
      <c r="AG740" s="493">
        <f t="shared" si="6"/>
        <v>1147306.351</v>
      </c>
      <c r="AH740" s="493">
        <f t="shared" si="4"/>
        <v>159107326.5</v>
      </c>
    </row>
    <row r="741">
      <c r="T741" s="494" t="s">
        <v>622</v>
      </c>
      <c r="AB741" s="489">
        <v>739.0</v>
      </c>
      <c r="AC741" s="490">
        <f t="shared" si="5"/>
        <v>160254632.9</v>
      </c>
      <c r="AD741" s="491">
        <f t="shared" si="1"/>
        <v>1500</v>
      </c>
      <c r="AE741" s="492">
        <f t="shared" si="2"/>
        <v>0.009063325885</v>
      </c>
      <c r="AF741" s="490">
        <f t="shared" si="3"/>
        <v>161708572.9</v>
      </c>
      <c r="AG741" s="493">
        <f t="shared" si="6"/>
        <v>1148806.351</v>
      </c>
      <c r="AH741" s="493">
        <f t="shared" si="4"/>
        <v>160559766.5</v>
      </c>
    </row>
    <row r="742">
      <c r="T742" s="494" t="s">
        <v>622</v>
      </c>
      <c r="AB742" s="489">
        <v>740.0</v>
      </c>
      <c r="AC742" s="490">
        <f t="shared" si="5"/>
        <v>161708572.9</v>
      </c>
      <c r="AD742" s="491">
        <f t="shared" si="1"/>
        <v>1500</v>
      </c>
      <c r="AE742" s="492">
        <f t="shared" si="2"/>
        <v>0.009063325885</v>
      </c>
      <c r="AF742" s="490">
        <f t="shared" si="3"/>
        <v>163175690.4</v>
      </c>
      <c r="AG742" s="493">
        <f t="shared" si="6"/>
        <v>1150306.351</v>
      </c>
      <c r="AH742" s="493">
        <f t="shared" si="4"/>
        <v>162025384</v>
      </c>
    </row>
    <row r="743">
      <c r="T743" s="494" t="s">
        <v>622</v>
      </c>
      <c r="AB743" s="489">
        <v>741.0</v>
      </c>
      <c r="AC743" s="490">
        <f t="shared" si="5"/>
        <v>163175690.4</v>
      </c>
      <c r="AD743" s="491">
        <f t="shared" si="1"/>
        <v>1500</v>
      </c>
      <c r="AE743" s="492">
        <f t="shared" si="2"/>
        <v>0.009063325885</v>
      </c>
      <c r="AF743" s="490">
        <f t="shared" si="3"/>
        <v>164656104.8</v>
      </c>
      <c r="AG743" s="493">
        <f t="shared" si="6"/>
        <v>1151806.351</v>
      </c>
      <c r="AH743" s="493">
        <f t="shared" si="4"/>
        <v>163504298.5</v>
      </c>
    </row>
    <row r="744">
      <c r="T744" s="494" t="s">
        <v>622</v>
      </c>
      <c r="AB744" s="489">
        <v>742.0</v>
      </c>
      <c r="AC744" s="490">
        <f t="shared" si="5"/>
        <v>164656104.8</v>
      </c>
      <c r="AD744" s="491">
        <f t="shared" si="1"/>
        <v>1500</v>
      </c>
      <c r="AE744" s="492">
        <f t="shared" si="2"/>
        <v>0.009063325885</v>
      </c>
      <c r="AF744" s="490">
        <f t="shared" si="3"/>
        <v>166149936.7</v>
      </c>
      <c r="AG744" s="493">
        <f t="shared" si="6"/>
        <v>1153306.351</v>
      </c>
      <c r="AH744" s="493">
        <f t="shared" si="4"/>
        <v>164996630.4</v>
      </c>
    </row>
    <row r="745">
      <c r="T745" s="494" t="s">
        <v>622</v>
      </c>
      <c r="AB745" s="489">
        <v>743.0</v>
      </c>
      <c r="AC745" s="490">
        <f t="shared" si="5"/>
        <v>166149936.7</v>
      </c>
      <c r="AD745" s="491">
        <f t="shared" si="1"/>
        <v>1500</v>
      </c>
      <c r="AE745" s="492">
        <f t="shared" si="2"/>
        <v>0.009063325885</v>
      </c>
      <c r="AF745" s="490">
        <f t="shared" si="3"/>
        <v>167657307.8</v>
      </c>
      <c r="AG745" s="493">
        <f t="shared" si="6"/>
        <v>1154806.351</v>
      </c>
      <c r="AH745" s="493">
        <f t="shared" si="4"/>
        <v>166502501.4</v>
      </c>
    </row>
    <row r="746">
      <c r="T746" s="494" t="s">
        <v>622</v>
      </c>
      <c r="AB746" s="489">
        <v>744.0</v>
      </c>
      <c r="AC746" s="490">
        <f t="shared" si="5"/>
        <v>167657307.8</v>
      </c>
      <c r="AD746" s="491">
        <f t="shared" si="1"/>
        <v>1500</v>
      </c>
      <c r="AE746" s="492">
        <f t="shared" si="2"/>
        <v>0.009063325885</v>
      </c>
      <c r="AF746" s="490">
        <f t="shared" si="3"/>
        <v>169178340.6</v>
      </c>
      <c r="AG746" s="493">
        <f t="shared" si="6"/>
        <v>1156306.351</v>
      </c>
      <c r="AH746" s="493">
        <f t="shared" si="4"/>
        <v>168022034.2</v>
      </c>
    </row>
    <row r="747">
      <c r="T747" s="494" t="s">
        <v>622</v>
      </c>
      <c r="AB747" s="489">
        <v>745.0</v>
      </c>
      <c r="AC747" s="490">
        <f t="shared" si="5"/>
        <v>169178340.6</v>
      </c>
      <c r="AD747" s="491">
        <f t="shared" si="1"/>
        <v>1500</v>
      </c>
      <c r="AE747" s="492">
        <f t="shared" si="2"/>
        <v>0.009063325885</v>
      </c>
      <c r="AF747" s="490">
        <f t="shared" si="3"/>
        <v>170713159</v>
      </c>
      <c r="AG747" s="493">
        <f t="shared" si="6"/>
        <v>1157806.351</v>
      </c>
      <c r="AH747" s="493">
        <f t="shared" si="4"/>
        <v>169555352.7</v>
      </c>
    </row>
    <row r="748">
      <c r="T748" s="494" t="s">
        <v>622</v>
      </c>
      <c r="AB748" s="489">
        <v>746.0</v>
      </c>
      <c r="AC748" s="490">
        <f t="shared" si="5"/>
        <v>170713159</v>
      </c>
      <c r="AD748" s="491">
        <f t="shared" si="1"/>
        <v>1500</v>
      </c>
      <c r="AE748" s="492">
        <f t="shared" si="2"/>
        <v>0.009063325885</v>
      </c>
      <c r="AF748" s="490">
        <f t="shared" si="3"/>
        <v>172261888</v>
      </c>
      <c r="AG748" s="493">
        <f t="shared" si="6"/>
        <v>1159306.351</v>
      </c>
      <c r="AH748" s="493">
        <f t="shared" si="4"/>
        <v>171102581.7</v>
      </c>
    </row>
    <row r="749">
      <c r="T749" s="494" t="s">
        <v>622</v>
      </c>
      <c r="AB749" s="489">
        <v>747.0</v>
      </c>
      <c r="AC749" s="490">
        <f t="shared" si="5"/>
        <v>172261888</v>
      </c>
      <c r="AD749" s="491">
        <f t="shared" si="1"/>
        <v>1500</v>
      </c>
      <c r="AE749" s="492">
        <f t="shared" si="2"/>
        <v>0.009063325885</v>
      </c>
      <c r="AF749" s="490">
        <f t="shared" si="3"/>
        <v>173824653.6</v>
      </c>
      <c r="AG749" s="493">
        <f t="shared" si="6"/>
        <v>1160806.351</v>
      </c>
      <c r="AH749" s="493">
        <f t="shared" si="4"/>
        <v>172663847.3</v>
      </c>
    </row>
    <row r="750">
      <c r="T750" s="494" t="s">
        <v>622</v>
      </c>
      <c r="AB750" s="489">
        <v>748.0</v>
      </c>
      <c r="AC750" s="490">
        <f t="shared" si="5"/>
        <v>173824653.6</v>
      </c>
      <c r="AD750" s="491">
        <f t="shared" si="1"/>
        <v>1500</v>
      </c>
      <c r="AE750" s="492">
        <f t="shared" si="2"/>
        <v>0.009063325885</v>
      </c>
      <c r="AF750" s="490">
        <f t="shared" si="3"/>
        <v>175401583.1</v>
      </c>
      <c r="AG750" s="493">
        <f t="shared" si="6"/>
        <v>1162306.351</v>
      </c>
      <c r="AH750" s="493">
        <f t="shared" si="4"/>
        <v>174239276.8</v>
      </c>
    </row>
    <row r="751">
      <c r="T751" s="494" t="s">
        <v>622</v>
      </c>
      <c r="AB751" s="489">
        <v>749.0</v>
      </c>
      <c r="AC751" s="490">
        <f t="shared" si="5"/>
        <v>175401583.1</v>
      </c>
      <c r="AD751" s="491">
        <f t="shared" si="1"/>
        <v>1500</v>
      </c>
      <c r="AE751" s="492">
        <f t="shared" si="2"/>
        <v>0.009063325885</v>
      </c>
      <c r="AF751" s="490">
        <f t="shared" si="3"/>
        <v>176992804.8</v>
      </c>
      <c r="AG751" s="493">
        <f t="shared" si="6"/>
        <v>1163806.351</v>
      </c>
      <c r="AH751" s="493">
        <f t="shared" si="4"/>
        <v>175828998.5</v>
      </c>
    </row>
    <row r="752">
      <c r="T752" s="494" t="s">
        <v>622</v>
      </c>
      <c r="AB752" s="489">
        <v>750.0</v>
      </c>
      <c r="AC752" s="490">
        <f t="shared" si="5"/>
        <v>176992804.8</v>
      </c>
      <c r="AD752" s="491">
        <f t="shared" si="1"/>
        <v>1500</v>
      </c>
      <c r="AE752" s="492">
        <f t="shared" si="2"/>
        <v>0.009063325885</v>
      </c>
      <c r="AF752" s="490">
        <f t="shared" si="3"/>
        <v>178598448.3</v>
      </c>
      <c r="AG752" s="493">
        <f t="shared" si="6"/>
        <v>1165306.351</v>
      </c>
      <c r="AH752" s="493">
        <f t="shared" si="4"/>
        <v>177433142</v>
      </c>
    </row>
    <row r="753">
      <c r="T753" s="494" t="s">
        <v>622</v>
      </c>
      <c r="AB753" s="489">
        <v>751.0</v>
      </c>
      <c r="AC753" s="490">
        <f t="shared" si="5"/>
        <v>178598448.3</v>
      </c>
      <c r="AD753" s="491">
        <f t="shared" si="1"/>
        <v>1500</v>
      </c>
      <c r="AE753" s="492">
        <f t="shared" si="2"/>
        <v>0.009063325885</v>
      </c>
      <c r="AF753" s="490">
        <f t="shared" si="3"/>
        <v>180218644.2</v>
      </c>
      <c r="AG753" s="493">
        <f t="shared" si="6"/>
        <v>1166806.351</v>
      </c>
      <c r="AH753" s="493">
        <f t="shared" si="4"/>
        <v>179051837.9</v>
      </c>
    </row>
    <row r="754">
      <c r="T754" s="494" t="s">
        <v>622</v>
      </c>
      <c r="AB754" s="489">
        <v>752.0</v>
      </c>
      <c r="AC754" s="490">
        <f t="shared" si="5"/>
        <v>180218644.2</v>
      </c>
      <c r="AD754" s="491">
        <f t="shared" si="1"/>
        <v>1500</v>
      </c>
      <c r="AE754" s="492">
        <f t="shared" si="2"/>
        <v>0.009063325885</v>
      </c>
      <c r="AF754" s="490">
        <f t="shared" si="3"/>
        <v>181853524.5</v>
      </c>
      <c r="AG754" s="493">
        <f t="shared" si="6"/>
        <v>1168306.351</v>
      </c>
      <c r="AH754" s="493">
        <f t="shared" si="4"/>
        <v>180685218.2</v>
      </c>
    </row>
    <row r="755">
      <c r="T755" s="494" t="s">
        <v>622</v>
      </c>
      <c r="AB755" s="489">
        <v>753.0</v>
      </c>
      <c r="AC755" s="490">
        <f t="shared" si="5"/>
        <v>181853524.5</v>
      </c>
      <c r="AD755" s="491">
        <f t="shared" si="1"/>
        <v>1500</v>
      </c>
      <c r="AE755" s="492">
        <f t="shared" si="2"/>
        <v>0.009063325885</v>
      </c>
      <c r="AF755" s="490">
        <f t="shared" si="3"/>
        <v>183503222.3</v>
      </c>
      <c r="AG755" s="493">
        <f t="shared" si="6"/>
        <v>1169806.351</v>
      </c>
      <c r="AH755" s="493">
        <f t="shared" si="4"/>
        <v>182333416</v>
      </c>
    </row>
    <row r="756">
      <c r="T756" s="494" t="s">
        <v>622</v>
      </c>
      <c r="AB756" s="489">
        <v>754.0</v>
      </c>
      <c r="AC756" s="490">
        <f t="shared" si="5"/>
        <v>183503222.3</v>
      </c>
      <c r="AD756" s="491">
        <f t="shared" si="1"/>
        <v>1500</v>
      </c>
      <c r="AE756" s="492">
        <f t="shared" si="2"/>
        <v>0.009063325885</v>
      </c>
      <c r="AF756" s="490">
        <f t="shared" si="3"/>
        <v>185167871.8</v>
      </c>
      <c r="AG756" s="493">
        <f t="shared" si="6"/>
        <v>1171306.351</v>
      </c>
      <c r="AH756" s="493">
        <f t="shared" si="4"/>
        <v>183996565.5</v>
      </c>
    </row>
    <row r="757">
      <c r="T757" s="494" t="s">
        <v>622</v>
      </c>
      <c r="AB757" s="489">
        <v>755.0</v>
      </c>
      <c r="AC757" s="490">
        <f t="shared" si="5"/>
        <v>185167871.8</v>
      </c>
      <c r="AD757" s="491">
        <f t="shared" si="1"/>
        <v>1500</v>
      </c>
      <c r="AE757" s="492">
        <f t="shared" si="2"/>
        <v>0.009063325885</v>
      </c>
      <c r="AF757" s="490">
        <f t="shared" si="3"/>
        <v>186847608.6</v>
      </c>
      <c r="AG757" s="493">
        <f t="shared" si="6"/>
        <v>1172806.351</v>
      </c>
      <c r="AH757" s="493">
        <f t="shared" si="4"/>
        <v>185674802.2</v>
      </c>
    </row>
    <row r="758">
      <c r="T758" s="494" t="s">
        <v>622</v>
      </c>
      <c r="AB758" s="489">
        <v>756.0</v>
      </c>
      <c r="AC758" s="490">
        <f t="shared" si="5"/>
        <v>186847608.6</v>
      </c>
      <c r="AD758" s="491">
        <f t="shared" si="1"/>
        <v>1500</v>
      </c>
      <c r="AE758" s="492">
        <f t="shared" si="2"/>
        <v>0.009063325885</v>
      </c>
      <c r="AF758" s="490">
        <f t="shared" si="3"/>
        <v>188542569.3</v>
      </c>
      <c r="AG758" s="493">
        <f t="shared" si="6"/>
        <v>1174306.351</v>
      </c>
      <c r="AH758" s="493">
        <f t="shared" si="4"/>
        <v>187368263</v>
      </c>
    </row>
    <row r="759">
      <c r="T759" s="494" t="s">
        <v>622</v>
      </c>
      <c r="AB759" s="489">
        <v>757.0</v>
      </c>
      <c r="AC759" s="490">
        <f t="shared" si="5"/>
        <v>188542569.3</v>
      </c>
      <c r="AD759" s="491">
        <f t="shared" si="1"/>
        <v>1500</v>
      </c>
      <c r="AE759" s="492">
        <f t="shared" si="2"/>
        <v>0.009063325885</v>
      </c>
      <c r="AF759" s="490">
        <f t="shared" si="3"/>
        <v>190252892.1</v>
      </c>
      <c r="AG759" s="493">
        <f t="shared" si="6"/>
        <v>1175806.351</v>
      </c>
      <c r="AH759" s="493">
        <f t="shared" si="4"/>
        <v>189077085.7</v>
      </c>
    </row>
    <row r="760">
      <c r="T760" s="494" t="s">
        <v>622</v>
      </c>
      <c r="AB760" s="489">
        <v>758.0</v>
      </c>
      <c r="AC760" s="490">
        <f t="shared" si="5"/>
        <v>190252892.1</v>
      </c>
      <c r="AD760" s="491">
        <f t="shared" si="1"/>
        <v>1500</v>
      </c>
      <c r="AE760" s="492">
        <f t="shared" si="2"/>
        <v>0.009063325885</v>
      </c>
      <c r="AF760" s="490">
        <f t="shared" si="3"/>
        <v>191978716.1</v>
      </c>
      <c r="AG760" s="493">
        <f t="shared" si="6"/>
        <v>1177306.351</v>
      </c>
      <c r="AH760" s="493">
        <f t="shared" si="4"/>
        <v>190801409.7</v>
      </c>
    </row>
    <row r="761">
      <c r="T761" s="494" t="s">
        <v>622</v>
      </c>
      <c r="AB761" s="489">
        <v>759.0</v>
      </c>
      <c r="AC761" s="490">
        <f t="shared" si="5"/>
        <v>191978716.1</v>
      </c>
      <c r="AD761" s="491">
        <f t="shared" si="1"/>
        <v>1500</v>
      </c>
      <c r="AE761" s="492">
        <f t="shared" si="2"/>
        <v>0.009063325885</v>
      </c>
      <c r="AF761" s="490">
        <f t="shared" si="3"/>
        <v>193720181.7</v>
      </c>
      <c r="AG761" s="493">
        <f t="shared" si="6"/>
        <v>1178806.351</v>
      </c>
      <c r="AH761" s="493">
        <f t="shared" si="4"/>
        <v>192541375.4</v>
      </c>
    </row>
    <row r="762">
      <c r="T762" s="494" t="s">
        <v>622</v>
      </c>
      <c r="AB762" s="489">
        <v>760.0</v>
      </c>
      <c r="AC762" s="490">
        <f t="shared" si="5"/>
        <v>193720181.7</v>
      </c>
      <c r="AD762" s="491">
        <f t="shared" si="1"/>
        <v>1500</v>
      </c>
      <c r="AE762" s="492">
        <f t="shared" si="2"/>
        <v>0.009063325885</v>
      </c>
      <c r="AF762" s="490">
        <f t="shared" si="3"/>
        <v>195477430.9</v>
      </c>
      <c r="AG762" s="493">
        <f t="shared" si="6"/>
        <v>1180306.351</v>
      </c>
      <c r="AH762" s="493">
        <f t="shared" si="4"/>
        <v>194297124.5</v>
      </c>
    </row>
    <row r="763">
      <c r="T763" s="494" t="s">
        <v>622</v>
      </c>
      <c r="AB763" s="489">
        <v>761.0</v>
      </c>
      <c r="AC763" s="490">
        <f t="shared" si="5"/>
        <v>195477430.9</v>
      </c>
      <c r="AD763" s="491">
        <f t="shared" si="1"/>
        <v>1500</v>
      </c>
      <c r="AE763" s="492">
        <f t="shared" si="2"/>
        <v>0.009063325885</v>
      </c>
      <c r="AF763" s="490">
        <f t="shared" si="3"/>
        <v>197250606.5</v>
      </c>
      <c r="AG763" s="493">
        <f t="shared" si="6"/>
        <v>1181806.351</v>
      </c>
      <c r="AH763" s="493">
        <f t="shared" si="4"/>
        <v>196068800.2</v>
      </c>
    </row>
    <row r="764">
      <c r="T764" s="494" t="s">
        <v>622</v>
      </c>
      <c r="AB764" s="489">
        <v>762.0</v>
      </c>
      <c r="AC764" s="490">
        <f t="shared" si="5"/>
        <v>197250606.5</v>
      </c>
      <c r="AD764" s="491">
        <f t="shared" si="1"/>
        <v>1500</v>
      </c>
      <c r="AE764" s="492">
        <f t="shared" si="2"/>
        <v>0.009063325885</v>
      </c>
      <c r="AF764" s="490">
        <f t="shared" si="3"/>
        <v>199039853</v>
      </c>
      <c r="AG764" s="493">
        <f t="shared" si="6"/>
        <v>1183306.351</v>
      </c>
      <c r="AH764" s="493">
        <f t="shared" si="4"/>
        <v>197856546.7</v>
      </c>
    </row>
    <row r="765">
      <c r="T765" s="494" t="s">
        <v>622</v>
      </c>
      <c r="AB765" s="489">
        <v>763.0</v>
      </c>
      <c r="AC765" s="490">
        <f t="shared" si="5"/>
        <v>199039853</v>
      </c>
      <c r="AD765" s="491">
        <f t="shared" si="1"/>
        <v>1500</v>
      </c>
      <c r="AE765" s="492">
        <f t="shared" si="2"/>
        <v>0.009063325885</v>
      </c>
      <c r="AF765" s="490">
        <f t="shared" si="3"/>
        <v>200845316.1</v>
      </c>
      <c r="AG765" s="493">
        <f t="shared" si="6"/>
        <v>1184806.351</v>
      </c>
      <c r="AH765" s="493">
        <f t="shared" si="4"/>
        <v>199660509.7</v>
      </c>
    </row>
    <row r="766">
      <c r="T766" s="494" t="s">
        <v>622</v>
      </c>
      <c r="AB766" s="489">
        <v>764.0</v>
      </c>
      <c r="AC766" s="490">
        <f t="shared" si="5"/>
        <v>200845316.1</v>
      </c>
      <c r="AD766" s="491">
        <f t="shared" si="1"/>
        <v>1500</v>
      </c>
      <c r="AE766" s="492">
        <f t="shared" si="2"/>
        <v>0.009063325885</v>
      </c>
      <c r="AF766" s="490">
        <f t="shared" si="3"/>
        <v>202667142.6</v>
      </c>
      <c r="AG766" s="493">
        <f t="shared" si="6"/>
        <v>1186306.351</v>
      </c>
      <c r="AH766" s="493">
        <f t="shared" si="4"/>
        <v>201480836.3</v>
      </c>
    </row>
    <row r="767">
      <c r="T767" s="494" t="s">
        <v>622</v>
      </c>
      <c r="AB767" s="489">
        <v>765.0</v>
      </c>
      <c r="AC767" s="490">
        <f t="shared" si="5"/>
        <v>202667142.6</v>
      </c>
      <c r="AD767" s="491">
        <f t="shared" si="1"/>
        <v>1500</v>
      </c>
      <c r="AE767" s="492">
        <f t="shared" si="2"/>
        <v>0.009063325885</v>
      </c>
      <c r="AF767" s="490">
        <f t="shared" si="3"/>
        <v>204505481</v>
      </c>
      <c r="AG767" s="493">
        <f t="shared" si="6"/>
        <v>1187806.351</v>
      </c>
      <c r="AH767" s="493">
        <f t="shared" si="4"/>
        <v>203317674.7</v>
      </c>
    </row>
    <row r="768">
      <c r="T768" s="494" t="s">
        <v>622</v>
      </c>
      <c r="AB768" s="489">
        <v>766.0</v>
      </c>
      <c r="AC768" s="490">
        <f t="shared" si="5"/>
        <v>204505481</v>
      </c>
      <c r="AD768" s="491">
        <f t="shared" si="1"/>
        <v>1500</v>
      </c>
      <c r="AE768" s="492">
        <f t="shared" si="2"/>
        <v>0.009063325885</v>
      </c>
      <c r="AF768" s="490">
        <f t="shared" si="3"/>
        <v>206360480.8</v>
      </c>
      <c r="AG768" s="493">
        <f t="shared" si="6"/>
        <v>1189306.351</v>
      </c>
      <c r="AH768" s="493">
        <f t="shared" si="4"/>
        <v>205171174.5</v>
      </c>
    </row>
    <row r="769">
      <c r="T769" s="494" t="s">
        <v>622</v>
      </c>
      <c r="AB769" s="489">
        <v>767.0</v>
      </c>
      <c r="AC769" s="490">
        <f t="shared" si="5"/>
        <v>206360480.8</v>
      </c>
      <c r="AD769" s="491">
        <f t="shared" si="1"/>
        <v>1500</v>
      </c>
      <c r="AE769" s="492">
        <f t="shared" si="2"/>
        <v>0.009063325885</v>
      </c>
      <c r="AF769" s="490">
        <f t="shared" si="3"/>
        <v>208232293.1</v>
      </c>
      <c r="AG769" s="493">
        <f t="shared" si="6"/>
        <v>1190806.351</v>
      </c>
      <c r="AH769" s="493">
        <f t="shared" si="4"/>
        <v>207041486.8</v>
      </c>
    </row>
    <row r="770">
      <c r="T770" s="494" t="s">
        <v>622</v>
      </c>
      <c r="AB770" s="489">
        <v>768.0</v>
      </c>
      <c r="AC770" s="490">
        <f t="shared" si="5"/>
        <v>208232293.1</v>
      </c>
      <c r="AD770" s="491">
        <f t="shared" si="1"/>
        <v>1500</v>
      </c>
      <c r="AE770" s="492">
        <f t="shared" si="2"/>
        <v>0.009063325885</v>
      </c>
      <c r="AF770" s="490">
        <f t="shared" si="3"/>
        <v>210121070.2</v>
      </c>
      <c r="AG770" s="493">
        <f t="shared" si="6"/>
        <v>1192306.351</v>
      </c>
      <c r="AH770" s="493">
        <f t="shared" si="4"/>
        <v>208928763.9</v>
      </c>
    </row>
    <row r="771">
      <c r="T771" s="494" t="s">
        <v>622</v>
      </c>
      <c r="AB771" s="489">
        <v>769.0</v>
      </c>
      <c r="AC771" s="490">
        <f t="shared" si="5"/>
        <v>210121070.2</v>
      </c>
      <c r="AD771" s="491">
        <f t="shared" si="1"/>
        <v>1500</v>
      </c>
      <c r="AE771" s="492">
        <f t="shared" si="2"/>
        <v>0.009063325885</v>
      </c>
      <c r="AF771" s="490">
        <f t="shared" si="3"/>
        <v>212026966</v>
      </c>
      <c r="AG771" s="493">
        <f t="shared" si="6"/>
        <v>1193806.351</v>
      </c>
      <c r="AH771" s="493">
        <f t="shared" si="4"/>
        <v>210833159.6</v>
      </c>
    </row>
    <row r="772">
      <c r="T772" s="494" t="s">
        <v>622</v>
      </c>
      <c r="AB772" s="489">
        <v>770.0</v>
      </c>
      <c r="AC772" s="490">
        <f t="shared" si="5"/>
        <v>212026966</v>
      </c>
      <c r="AD772" s="491">
        <f t="shared" si="1"/>
        <v>1500</v>
      </c>
      <c r="AE772" s="492">
        <f t="shared" si="2"/>
        <v>0.009063325885</v>
      </c>
      <c r="AF772" s="490">
        <f t="shared" si="3"/>
        <v>213950135.5</v>
      </c>
      <c r="AG772" s="493">
        <f t="shared" si="6"/>
        <v>1195306.351</v>
      </c>
      <c r="AH772" s="493">
        <f t="shared" si="4"/>
        <v>212754829.1</v>
      </c>
    </row>
    <row r="773">
      <c r="T773" s="494" t="s">
        <v>622</v>
      </c>
      <c r="AB773" s="489">
        <v>771.0</v>
      </c>
      <c r="AC773" s="490">
        <f t="shared" si="5"/>
        <v>213950135.5</v>
      </c>
      <c r="AD773" s="491">
        <f t="shared" si="1"/>
        <v>1500</v>
      </c>
      <c r="AE773" s="492">
        <f t="shared" si="2"/>
        <v>0.009063325885</v>
      </c>
      <c r="AF773" s="490">
        <f t="shared" si="3"/>
        <v>215890735.3</v>
      </c>
      <c r="AG773" s="493">
        <f t="shared" si="6"/>
        <v>1196806.351</v>
      </c>
      <c r="AH773" s="493">
        <f t="shared" si="4"/>
        <v>214693928.9</v>
      </c>
    </row>
    <row r="774">
      <c r="T774" s="494" t="s">
        <v>622</v>
      </c>
      <c r="AB774" s="489">
        <v>772.0</v>
      </c>
      <c r="AC774" s="490">
        <f t="shared" si="5"/>
        <v>215890735.3</v>
      </c>
      <c r="AD774" s="491">
        <f t="shared" si="1"/>
        <v>1500</v>
      </c>
      <c r="AE774" s="492">
        <f t="shared" si="2"/>
        <v>0.009063325885</v>
      </c>
      <c r="AF774" s="490">
        <f t="shared" si="3"/>
        <v>217848923.4</v>
      </c>
      <c r="AG774" s="493">
        <f t="shared" si="6"/>
        <v>1198306.351</v>
      </c>
      <c r="AH774" s="493">
        <f t="shared" si="4"/>
        <v>216650617</v>
      </c>
    </row>
    <row r="775">
      <c r="T775" s="494" t="s">
        <v>622</v>
      </c>
      <c r="AB775" s="489">
        <v>773.0</v>
      </c>
      <c r="AC775" s="490">
        <f t="shared" si="5"/>
        <v>217848923.4</v>
      </c>
      <c r="AD775" s="491">
        <f t="shared" si="1"/>
        <v>1500</v>
      </c>
      <c r="AE775" s="492">
        <f t="shared" si="2"/>
        <v>0.009063325885</v>
      </c>
      <c r="AF775" s="490">
        <f t="shared" si="3"/>
        <v>219824859.1</v>
      </c>
      <c r="AG775" s="493">
        <f t="shared" si="6"/>
        <v>1199806.351</v>
      </c>
      <c r="AH775" s="493">
        <f t="shared" si="4"/>
        <v>218625052.8</v>
      </c>
    </row>
    <row r="776">
      <c r="T776" s="494" t="s">
        <v>622</v>
      </c>
      <c r="AB776" s="489">
        <v>774.0</v>
      </c>
      <c r="AC776" s="490">
        <f t="shared" si="5"/>
        <v>219824859.1</v>
      </c>
      <c r="AD776" s="491">
        <f t="shared" si="1"/>
        <v>1500</v>
      </c>
      <c r="AE776" s="492">
        <f t="shared" si="2"/>
        <v>0.009063325885</v>
      </c>
      <c r="AF776" s="490">
        <f t="shared" si="3"/>
        <v>221818703.5</v>
      </c>
      <c r="AG776" s="493">
        <f t="shared" si="6"/>
        <v>1201306.351</v>
      </c>
      <c r="AH776" s="493">
        <f t="shared" si="4"/>
        <v>220617397.1</v>
      </c>
    </row>
    <row r="777">
      <c r="T777" s="494" t="s">
        <v>622</v>
      </c>
      <c r="AB777" s="489">
        <v>775.0</v>
      </c>
      <c r="AC777" s="490">
        <f t="shared" si="5"/>
        <v>221818703.5</v>
      </c>
      <c r="AD777" s="491">
        <f t="shared" si="1"/>
        <v>1500</v>
      </c>
      <c r="AE777" s="492">
        <f t="shared" si="2"/>
        <v>0.009063325885</v>
      </c>
      <c r="AF777" s="490">
        <f t="shared" si="3"/>
        <v>223830618.7</v>
      </c>
      <c r="AG777" s="493">
        <f t="shared" si="6"/>
        <v>1202806.351</v>
      </c>
      <c r="AH777" s="493">
        <f t="shared" si="4"/>
        <v>222627812.3</v>
      </c>
    </row>
    <row r="778">
      <c r="T778" s="494" t="s">
        <v>622</v>
      </c>
      <c r="AB778" s="489">
        <v>776.0</v>
      </c>
      <c r="AC778" s="490">
        <f t="shared" si="5"/>
        <v>223830618.7</v>
      </c>
      <c r="AD778" s="491">
        <f t="shared" si="1"/>
        <v>1500</v>
      </c>
      <c r="AE778" s="492">
        <f t="shared" si="2"/>
        <v>0.009063325885</v>
      </c>
      <c r="AF778" s="490">
        <f t="shared" si="3"/>
        <v>225860768.5</v>
      </c>
      <c r="AG778" s="493">
        <f t="shared" si="6"/>
        <v>1204306.351</v>
      </c>
      <c r="AH778" s="493">
        <f t="shared" si="4"/>
        <v>224656462.2</v>
      </c>
    </row>
    <row r="779">
      <c r="T779" s="494" t="s">
        <v>622</v>
      </c>
      <c r="AB779" s="489">
        <v>777.0</v>
      </c>
      <c r="AC779" s="490">
        <f t="shared" si="5"/>
        <v>225860768.5</v>
      </c>
      <c r="AD779" s="491">
        <f t="shared" si="1"/>
        <v>1500</v>
      </c>
      <c r="AE779" s="492">
        <f t="shared" si="2"/>
        <v>0.009063325885</v>
      </c>
      <c r="AF779" s="490">
        <f t="shared" si="3"/>
        <v>227909318.3</v>
      </c>
      <c r="AG779" s="493">
        <f t="shared" si="6"/>
        <v>1205806.351</v>
      </c>
      <c r="AH779" s="493">
        <f t="shared" si="4"/>
        <v>226703511.9</v>
      </c>
    </row>
    <row r="780">
      <c r="T780" s="494" t="s">
        <v>622</v>
      </c>
      <c r="AB780" s="489">
        <v>778.0</v>
      </c>
      <c r="AC780" s="490">
        <f t="shared" si="5"/>
        <v>227909318.3</v>
      </c>
      <c r="AD780" s="491">
        <f t="shared" si="1"/>
        <v>1500</v>
      </c>
      <c r="AE780" s="492">
        <f t="shared" si="2"/>
        <v>0.009063325885</v>
      </c>
      <c r="AF780" s="490">
        <f t="shared" si="3"/>
        <v>229976434.7</v>
      </c>
      <c r="AG780" s="493">
        <f t="shared" si="6"/>
        <v>1207306.351</v>
      </c>
      <c r="AH780" s="493">
        <f t="shared" si="4"/>
        <v>228769128.3</v>
      </c>
    </row>
    <row r="781">
      <c r="T781" s="494" t="s">
        <v>622</v>
      </c>
      <c r="AB781" s="489">
        <v>779.0</v>
      </c>
      <c r="AC781" s="490">
        <f t="shared" si="5"/>
        <v>229976434.7</v>
      </c>
      <c r="AD781" s="491">
        <f t="shared" si="1"/>
        <v>1500</v>
      </c>
      <c r="AE781" s="492">
        <f t="shared" si="2"/>
        <v>0.009063325885</v>
      </c>
      <c r="AF781" s="490">
        <f t="shared" si="3"/>
        <v>232062286.1</v>
      </c>
      <c r="AG781" s="493">
        <f t="shared" si="6"/>
        <v>1208806.351</v>
      </c>
      <c r="AH781" s="493">
        <f t="shared" si="4"/>
        <v>230853479.7</v>
      </c>
    </row>
    <row r="782">
      <c r="T782" s="494" t="s">
        <v>622</v>
      </c>
      <c r="AB782" s="489">
        <v>780.0</v>
      </c>
      <c r="AC782" s="490">
        <f t="shared" si="5"/>
        <v>232062286.1</v>
      </c>
      <c r="AD782" s="491">
        <f t="shared" si="1"/>
        <v>1500</v>
      </c>
      <c r="AE782" s="492">
        <f t="shared" si="2"/>
        <v>0.009063325885</v>
      </c>
      <c r="AF782" s="490">
        <f t="shared" si="3"/>
        <v>234167042.2</v>
      </c>
      <c r="AG782" s="493">
        <f t="shared" si="6"/>
        <v>1210306.351</v>
      </c>
      <c r="AH782" s="493">
        <f t="shared" si="4"/>
        <v>232956735.8</v>
      </c>
    </row>
    <row r="783">
      <c r="T783" s="494" t="s">
        <v>622</v>
      </c>
      <c r="AB783" s="489">
        <v>781.0</v>
      </c>
      <c r="AC783" s="490">
        <f t="shared" si="5"/>
        <v>234167042.2</v>
      </c>
      <c r="AD783" s="491">
        <f t="shared" si="1"/>
        <v>1500</v>
      </c>
      <c r="AE783" s="492">
        <f t="shared" si="2"/>
        <v>0.009063325885</v>
      </c>
      <c r="AF783" s="490">
        <f t="shared" si="3"/>
        <v>236290874.4</v>
      </c>
      <c r="AG783" s="493">
        <f t="shared" si="6"/>
        <v>1211806.351</v>
      </c>
      <c r="AH783" s="493">
        <f t="shared" si="4"/>
        <v>235079068.1</v>
      </c>
    </row>
    <row r="784">
      <c r="T784" s="494" t="s">
        <v>622</v>
      </c>
      <c r="AB784" s="489">
        <v>782.0</v>
      </c>
      <c r="AC784" s="490">
        <f t="shared" si="5"/>
        <v>236290874.4</v>
      </c>
      <c r="AD784" s="491">
        <f t="shared" si="1"/>
        <v>1500</v>
      </c>
      <c r="AE784" s="492">
        <f t="shared" si="2"/>
        <v>0.009063325885</v>
      </c>
      <c r="AF784" s="490">
        <f t="shared" si="3"/>
        <v>238433955.6</v>
      </c>
      <c r="AG784" s="493">
        <f t="shared" si="6"/>
        <v>1213306.351</v>
      </c>
      <c r="AH784" s="493">
        <f t="shared" si="4"/>
        <v>237220649.3</v>
      </c>
    </row>
    <row r="785">
      <c r="T785" s="494" t="s">
        <v>622</v>
      </c>
      <c r="AB785" s="489">
        <v>783.0</v>
      </c>
      <c r="AC785" s="490">
        <f t="shared" si="5"/>
        <v>238433955.6</v>
      </c>
      <c r="AD785" s="491">
        <f t="shared" si="1"/>
        <v>1500</v>
      </c>
      <c r="AE785" s="492">
        <f t="shared" si="2"/>
        <v>0.009063325885</v>
      </c>
      <c r="AF785" s="490">
        <f t="shared" si="3"/>
        <v>240596460.2</v>
      </c>
      <c r="AG785" s="493">
        <f t="shared" si="6"/>
        <v>1214806.351</v>
      </c>
      <c r="AH785" s="493">
        <f t="shared" si="4"/>
        <v>239381653.9</v>
      </c>
    </row>
    <row r="786">
      <c r="T786" s="494" t="s">
        <v>622</v>
      </c>
      <c r="AB786" s="489">
        <v>784.0</v>
      </c>
      <c r="AC786" s="490">
        <f t="shared" si="5"/>
        <v>240596460.2</v>
      </c>
      <c r="AD786" s="491">
        <f t="shared" si="1"/>
        <v>1500</v>
      </c>
      <c r="AE786" s="492">
        <f t="shared" si="2"/>
        <v>0.009063325885</v>
      </c>
      <c r="AF786" s="490">
        <f t="shared" si="3"/>
        <v>242778564.4</v>
      </c>
      <c r="AG786" s="493">
        <f t="shared" si="6"/>
        <v>1216306.351</v>
      </c>
      <c r="AH786" s="493">
        <f t="shared" si="4"/>
        <v>241562258</v>
      </c>
    </row>
    <row r="787">
      <c r="T787" s="494" t="s">
        <v>622</v>
      </c>
      <c r="AB787" s="489">
        <v>785.0</v>
      </c>
      <c r="AC787" s="490">
        <f t="shared" si="5"/>
        <v>242778564.4</v>
      </c>
      <c r="AD787" s="491">
        <f t="shared" si="1"/>
        <v>1500</v>
      </c>
      <c r="AE787" s="492">
        <f t="shared" si="2"/>
        <v>0.009063325885</v>
      </c>
      <c r="AF787" s="490">
        <f t="shared" si="3"/>
        <v>244980445.6</v>
      </c>
      <c r="AG787" s="493">
        <f t="shared" si="6"/>
        <v>1217806.351</v>
      </c>
      <c r="AH787" s="493">
        <f t="shared" si="4"/>
        <v>243762639.3</v>
      </c>
    </row>
    <row r="788">
      <c r="T788" s="494" t="s">
        <v>622</v>
      </c>
      <c r="AB788" s="489">
        <v>786.0</v>
      </c>
      <c r="AC788" s="490">
        <f t="shared" si="5"/>
        <v>244980445.6</v>
      </c>
      <c r="AD788" s="491">
        <f t="shared" si="1"/>
        <v>1500</v>
      </c>
      <c r="AE788" s="492">
        <f t="shared" si="2"/>
        <v>0.009063325885</v>
      </c>
      <c r="AF788" s="490">
        <f t="shared" si="3"/>
        <v>247202283.2</v>
      </c>
      <c r="AG788" s="493">
        <f t="shared" si="6"/>
        <v>1219306.351</v>
      </c>
      <c r="AH788" s="493">
        <f t="shared" si="4"/>
        <v>245982976.9</v>
      </c>
    </row>
    <row r="789">
      <c r="T789" s="494" t="s">
        <v>622</v>
      </c>
      <c r="AB789" s="489">
        <v>787.0</v>
      </c>
      <c r="AC789" s="490">
        <f t="shared" si="5"/>
        <v>247202283.2</v>
      </c>
      <c r="AD789" s="491">
        <f t="shared" si="1"/>
        <v>1500</v>
      </c>
      <c r="AE789" s="492">
        <f t="shared" si="2"/>
        <v>0.009063325885</v>
      </c>
      <c r="AF789" s="490">
        <f t="shared" si="3"/>
        <v>249444258.1</v>
      </c>
      <c r="AG789" s="493">
        <f t="shared" si="6"/>
        <v>1220806.351</v>
      </c>
      <c r="AH789" s="493">
        <f t="shared" si="4"/>
        <v>248223451.7</v>
      </c>
    </row>
    <row r="790">
      <c r="T790" s="494" t="s">
        <v>622</v>
      </c>
      <c r="AB790" s="489">
        <v>788.0</v>
      </c>
      <c r="AC790" s="490">
        <f t="shared" si="5"/>
        <v>249444258.1</v>
      </c>
      <c r="AD790" s="491">
        <f t="shared" si="1"/>
        <v>1500</v>
      </c>
      <c r="AE790" s="492">
        <f t="shared" si="2"/>
        <v>0.009063325885</v>
      </c>
      <c r="AF790" s="490">
        <f t="shared" si="3"/>
        <v>251706552.7</v>
      </c>
      <c r="AG790" s="493">
        <f t="shared" si="6"/>
        <v>1222306.351</v>
      </c>
      <c r="AH790" s="493">
        <f t="shared" si="4"/>
        <v>250484246.3</v>
      </c>
    </row>
    <row r="791">
      <c r="T791" s="494" t="s">
        <v>622</v>
      </c>
      <c r="AB791" s="489">
        <v>789.0</v>
      </c>
      <c r="AC791" s="490">
        <f t="shared" si="5"/>
        <v>251706552.7</v>
      </c>
      <c r="AD791" s="491">
        <f t="shared" si="1"/>
        <v>1500</v>
      </c>
      <c r="AE791" s="492">
        <f t="shared" si="2"/>
        <v>0.009063325885</v>
      </c>
      <c r="AF791" s="490">
        <f t="shared" si="3"/>
        <v>253989351.2</v>
      </c>
      <c r="AG791" s="493">
        <f t="shared" si="6"/>
        <v>1223806.351</v>
      </c>
      <c r="AH791" s="493">
        <f t="shared" si="4"/>
        <v>252765544.9</v>
      </c>
    </row>
    <row r="792">
      <c r="T792" s="494" t="s">
        <v>622</v>
      </c>
      <c r="AB792" s="489">
        <v>790.0</v>
      </c>
      <c r="AC792" s="490">
        <f t="shared" si="5"/>
        <v>253989351.2</v>
      </c>
      <c r="AD792" s="491">
        <f t="shared" si="1"/>
        <v>1500</v>
      </c>
      <c r="AE792" s="492">
        <f t="shared" si="2"/>
        <v>0.009063325885</v>
      </c>
      <c r="AF792" s="490">
        <f t="shared" si="3"/>
        <v>256292839.5</v>
      </c>
      <c r="AG792" s="493">
        <f t="shared" si="6"/>
        <v>1225306.351</v>
      </c>
      <c r="AH792" s="493">
        <f t="shared" si="4"/>
        <v>255067533.1</v>
      </c>
    </row>
    <row r="793">
      <c r="T793" s="494" t="s">
        <v>622</v>
      </c>
      <c r="AB793" s="489">
        <v>791.0</v>
      </c>
      <c r="AC793" s="490">
        <f t="shared" si="5"/>
        <v>256292839.5</v>
      </c>
      <c r="AD793" s="491">
        <f t="shared" si="1"/>
        <v>1500</v>
      </c>
      <c r="AE793" s="492">
        <f t="shared" si="2"/>
        <v>0.009063325885</v>
      </c>
      <c r="AF793" s="490">
        <f t="shared" si="3"/>
        <v>258617205</v>
      </c>
      <c r="AG793" s="493">
        <f t="shared" si="6"/>
        <v>1226806.351</v>
      </c>
      <c r="AH793" s="493">
        <f t="shared" si="4"/>
        <v>257390398.6</v>
      </c>
    </row>
    <row r="794">
      <c r="T794" s="494" t="s">
        <v>622</v>
      </c>
      <c r="AB794" s="489">
        <v>792.0</v>
      </c>
      <c r="AC794" s="490">
        <f t="shared" si="5"/>
        <v>258617205</v>
      </c>
      <c r="AD794" s="491">
        <f t="shared" si="1"/>
        <v>1500</v>
      </c>
      <c r="AE794" s="492">
        <f t="shared" si="2"/>
        <v>0.009063325885</v>
      </c>
      <c r="AF794" s="490">
        <f t="shared" si="3"/>
        <v>260962637</v>
      </c>
      <c r="AG794" s="493">
        <f t="shared" si="6"/>
        <v>1228306.351</v>
      </c>
      <c r="AH794" s="493">
        <f t="shared" si="4"/>
        <v>259734330.6</v>
      </c>
    </row>
    <row r="795">
      <c r="T795" s="494" t="s">
        <v>622</v>
      </c>
      <c r="AB795" s="489">
        <v>793.0</v>
      </c>
      <c r="AC795" s="490">
        <f t="shared" si="5"/>
        <v>260962637</v>
      </c>
      <c r="AD795" s="491">
        <f t="shared" si="1"/>
        <v>1500</v>
      </c>
      <c r="AE795" s="492">
        <f t="shared" si="2"/>
        <v>0.009063325885</v>
      </c>
      <c r="AF795" s="490">
        <f t="shared" si="3"/>
        <v>263329326.4</v>
      </c>
      <c r="AG795" s="493">
        <f t="shared" si="6"/>
        <v>1229806.351</v>
      </c>
      <c r="AH795" s="493">
        <f t="shared" si="4"/>
        <v>262099520.1</v>
      </c>
    </row>
    <row r="796">
      <c r="T796" s="494" t="s">
        <v>622</v>
      </c>
      <c r="AB796" s="489">
        <v>794.0</v>
      </c>
      <c r="AC796" s="490">
        <f t="shared" si="5"/>
        <v>263329326.4</v>
      </c>
      <c r="AD796" s="491">
        <f t="shared" si="1"/>
        <v>1500</v>
      </c>
      <c r="AE796" s="492">
        <f t="shared" si="2"/>
        <v>0.009063325885</v>
      </c>
      <c r="AF796" s="490">
        <f t="shared" si="3"/>
        <v>265717465.9</v>
      </c>
      <c r="AG796" s="493">
        <f t="shared" si="6"/>
        <v>1231306.351</v>
      </c>
      <c r="AH796" s="493">
        <f t="shared" si="4"/>
        <v>264486159.6</v>
      </c>
    </row>
    <row r="797">
      <c r="T797" s="494" t="s">
        <v>622</v>
      </c>
      <c r="AB797" s="489">
        <v>795.0</v>
      </c>
      <c r="AC797" s="490">
        <f t="shared" si="5"/>
        <v>265717465.9</v>
      </c>
      <c r="AD797" s="491">
        <f t="shared" si="1"/>
        <v>1500</v>
      </c>
      <c r="AE797" s="492">
        <f t="shared" si="2"/>
        <v>0.009063325885</v>
      </c>
      <c r="AF797" s="490">
        <f t="shared" si="3"/>
        <v>268127249.9</v>
      </c>
      <c r="AG797" s="493">
        <f t="shared" si="6"/>
        <v>1232806.351</v>
      </c>
      <c r="AH797" s="493">
        <f t="shared" si="4"/>
        <v>266894443.6</v>
      </c>
    </row>
    <row r="798">
      <c r="T798" s="494" t="s">
        <v>622</v>
      </c>
      <c r="AB798" s="489">
        <v>796.0</v>
      </c>
      <c r="AC798" s="490">
        <f t="shared" si="5"/>
        <v>268127249.9</v>
      </c>
      <c r="AD798" s="491">
        <f t="shared" si="1"/>
        <v>1500</v>
      </c>
      <c r="AE798" s="492">
        <f t="shared" si="2"/>
        <v>0.009063325885</v>
      </c>
      <c r="AF798" s="490">
        <f t="shared" si="3"/>
        <v>270558874.6</v>
      </c>
      <c r="AG798" s="493">
        <f t="shared" si="6"/>
        <v>1234306.351</v>
      </c>
      <c r="AH798" s="493">
        <f t="shared" si="4"/>
        <v>269324568.2</v>
      </c>
    </row>
    <row r="799">
      <c r="T799" s="494" t="s">
        <v>622</v>
      </c>
      <c r="AB799" s="489">
        <v>797.0</v>
      </c>
      <c r="AC799" s="490">
        <f t="shared" si="5"/>
        <v>270558874.6</v>
      </c>
      <c r="AD799" s="491">
        <f t="shared" si="1"/>
        <v>1500</v>
      </c>
      <c r="AE799" s="492">
        <f t="shared" si="2"/>
        <v>0.009063325885</v>
      </c>
      <c r="AF799" s="490">
        <f t="shared" si="3"/>
        <v>273012537.8</v>
      </c>
      <c r="AG799" s="493">
        <f t="shared" si="6"/>
        <v>1235806.351</v>
      </c>
      <c r="AH799" s="493">
        <f t="shared" si="4"/>
        <v>271776731.5</v>
      </c>
    </row>
    <row r="800">
      <c r="T800" s="494" t="s">
        <v>622</v>
      </c>
      <c r="AB800" s="489">
        <v>798.0</v>
      </c>
      <c r="AC800" s="490">
        <f t="shared" si="5"/>
        <v>273012537.8</v>
      </c>
      <c r="AD800" s="491">
        <f t="shared" si="1"/>
        <v>1500</v>
      </c>
      <c r="AE800" s="492">
        <f t="shared" si="2"/>
        <v>0.009063325885</v>
      </c>
      <c r="AF800" s="490">
        <f t="shared" si="3"/>
        <v>275488439.4</v>
      </c>
      <c r="AG800" s="493">
        <f t="shared" si="6"/>
        <v>1237306.351</v>
      </c>
      <c r="AH800" s="493">
        <f t="shared" si="4"/>
        <v>274251133.1</v>
      </c>
    </row>
    <row r="801">
      <c r="T801" s="494" t="s">
        <v>622</v>
      </c>
      <c r="AB801" s="489">
        <v>799.0</v>
      </c>
      <c r="AC801" s="490">
        <f t="shared" si="5"/>
        <v>275488439.4</v>
      </c>
      <c r="AD801" s="491">
        <f t="shared" si="1"/>
        <v>1500</v>
      </c>
      <c r="AE801" s="492">
        <f t="shared" si="2"/>
        <v>0.009063325885</v>
      </c>
      <c r="AF801" s="490">
        <f t="shared" si="3"/>
        <v>277986780.9</v>
      </c>
      <c r="AG801" s="493">
        <f t="shared" si="6"/>
        <v>1238806.351</v>
      </c>
      <c r="AH801" s="493">
        <f t="shared" si="4"/>
        <v>276747974.6</v>
      </c>
    </row>
    <row r="802">
      <c r="T802" s="494" t="s">
        <v>622</v>
      </c>
      <c r="AB802" s="489">
        <v>800.0</v>
      </c>
      <c r="AC802" s="490">
        <f t="shared" si="5"/>
        <v>277986780.9</v>
      </c>
      <c r="AD802" s="491">
        <f t="shared" si="1"/>
        <v>1500</v>
      </c>
      <c r="AE802" s="492">
        <f t="shared" si="2"/>
        <v>0.009063325885</v>
      </c>
      <c r="AF802" s="490">
        <f t="shared" si="3"/>
        <v>280507765.7</v>
      </c>
      <c r="AG802" s="493">
        <f t="shared" si="6"/>
        <v>1240306.351</v>
      </c>
      <c r="AH802" s="493">
        <f t="shared" si="4"/>
        <v>279267459.3</v>
      </c>
    </row>
    <row r="803">
      <c r="T803" s="494" t="s">
        <v>622</v>
      </c>
      <c r="AB803" s="489">
        <v>801.0</v>
      </c>
      <c r="AC803" s="490">
        <f t="shared" si="5"/>
        <v>280507765.7</v>
      </c>
      <c r="AD803" s="491">
        <f t="shared" si="1"/>
        <v>1500</v>
      </c>
      <c r="AE803" s="492">
        <f t="shared" si="2"/>
        <v>0.009063325885</v>
      </c>
      <c r="AF803" s="490">
        <f t="shared" si="3"/>
        <v>283051599</v>
      </c>
      <c r="AG803" s="493">
        <f t="shared" si="6"/>
        <v>1241806.351</v>
      </c>
      <c r="AH803" s="493">
        <f t="shared" si="4"/>
        <v>281809792.6</v>
      </c>
    </row>
    <row r="804">
      <c r="T804" s="494" t="s">
        <v>622</v>
      </c>
      <c r="AB804" s="489">
        <v>802.0</v>
      </c>
      <c r="AC804" s="490">
        <f t="shared" si="5"/>
        <v>283051599</v>
      </c>
      <c r="AD804" s="491">
        <f t="shared" si="1"/>
        <v>1500</v>
      </c>
      <c r="AE804" s="492">
        <f t="shared" si="2"/>
        <v>0.009063325885</v>
      </c>
      <c r="AF804" s="490">
        <f t="shared" si="3"/>
        <v>285618487.9</v>
      </c>
      <c r="AG804" s="493">
        <f t="shared" si="6"/>
        <v>1243306.351</v>
      </c>
      <c r="AH804" s="493">
        <f t="shared" si="4"/>
        <v>284375181.5</v>
      </c>
    </row>
    <row r="805">
      <c r="T805" s="494" t="s">
        <v>622</v>
      </c>
      <c r="AB805" s="489">
        <v>803.0</v>
      </c>
      <c r="AC805" s="490">
        <f t="shared" si="5"/>
        <v>285618487.9</v>
      </c>
      <c r="AD805" s="491">
        <f t="shared" si="1"/>
        <v>1500</v>
      </c>
      <c r="AE805" s="492">
        <f t="shared" si="2"/>
        <v>0.009063325885</v>
      </c>
      <c r="AF805" s="490">
        <f t="shared" si="3"/>
        <v>288208641.3</v>
      </c>
      <c r="AG805" s="493">
        <f t="shared" si="6"/>
        <v>1244806.351</v>
      </c>
      <c r="AH805" s="493">
        <f t="shared" si="4"/>
        <v>286963835</v>
      </c>
    </row>
    <row r="806">
      <c r="T806" s="494" t="s">
        <v>622</v>
      </c>
      <c r="AB806" s="489">
        <v>804.0</v>
      </c>
      <c r="AC806" s="490">
        <f t="shared" si="5"/>
        <v>288208641.3</v>
      </c>
      <c r="AD806" s="491">
        <f t="shared" si="1"/>
        <v>1500</v>
      </c>
      <c r="AE806" s="492">
        <f t="shared" si="2"/>
        <v>0.009063325885</v>
      </c>
      <c r="AF806" s="490">
        <f t="shared" si="3"/>
        <v>290822270.1</v>
      </c>
      <c r="AG806" s="493">
        <f t="shared" si="6"/>
        <v>1246306.351</v>
      </c>
      <c r="AH806" s="493">
        <f t="shared" si="4"/>
        <v>289575963.8</v>
      </c>
    </row>
    <row r="807">
      <c r="T807" s="494" t="s">
        <v>622</v>
      </c>
      <c r="AB807" s="489">
        <v>805.0</v>
      </c>
      <c r="AC807" s="490">
        <f t="shared" si="5"/>
        <v>290822270.1</v>
      </c>
      <c r="AD807" s="491">
        <f t="shared" si="1"/>
        <v>1500</v>
      </c>
      <c r="AE807" s="492">
        <f t="shared" si="2"/>
        <v>0.009063325885</v>
      </c>
      <c r="AF807" s="490">
        <f t="shared" si="3"/>
        <v>293459587.2</v>
      </c>
      <c r="AG807" s="493">
        <f t="shared" si="6"/>
        <v>1247806.351</v>
      </c>
      <c r="AH807" s="493">
        <f t="shared" si="4"/>
        <v>292211780.8</v>
      </c>
    </row>
    <row r="808">
      <c r="T808" s="494" t="s">
        <v>622</v>
      </c>
      <c r="AB808" s="489">
        <v>806.0</v>
      </c>
      <c r="AC808" s="490">
        <f t="shared" si="5"/>
        <v>293459587.2</v>
      </c>
      <c r="AD808" s="491">
        <f t="shared" si="1"/>
        <v>1500</v>
      </c>
      <c r="AE808" s="492">
        <f t="shared" si="2"/>
        <v>0.009063325885</v>
      </c>
      <c r="AF808" s="490">
        <f t="shared" si="3"/>
        <v>296120807</v>
      </c>
      <c r="AG808" s="493">
        <f t="shared" si="6"/>
        <v>1249306.351</v>
      </c>
      <c r="AH808" s="493">
        <f t="shared" si="4"/>
        <v>294871500.7</v>
      </c>
    </row>
    <row r="809">
      <c r="T809" s="494" t="s">
        <v>622</v>
      </c>
      <c r="AB809" s="489">
        <v>807.0</v>
      </c>
      <c r="AC809" s="490">
        <f t="shared" si="5"/>
        <v>296120807</v>
      </c>
      <c r="AD809" s="491">
        <f t="shared" si="1"/>
        <v>1500</v>
      </c>
      <c r="AE809" s="492">
        <f t="shared" si="2"/>
        <v>0.009063325885</v>
      </c>
      <c r="AF809" s="490">
        <f t="shared" si="3"/>
        <v>298806146.4</v>
      </c>
      <c r="AG809" s="493">
        <f t="shared" si="6"/>
        <v>1250806.351</v>
      </c>
      <c r="AH809" s="493">
        <f t="shared" si="4"/>
        <v>297555340.1</v>
      </c>
    </row>
    <row r="810">
      <c r="T810" s="494" t="s">
        <v>622</v>
      </c>
      <c r="AB810" s="489">
        <v>808.0</v>
      </c>
      <c r="AC810" s="490">
        <f t="shared" si="5"/>
        <v>298806146.4</v>
      </c>
      <c r="AD810" s="491">
        <f t="shared" si="1"/>
        <v>1500</v>
      </c>
      <c r="AE810" s="492">
        <f t="shared" si="2"/>
        <v>0.009063325885</v>
      </c>
      <c r="AF810" s="490">
        <f t="shared" si="3"/>
        <v>301515823.9</v>
      </c>
      <c r="AG810" s="493">
        <f t="shared" si="6"/>
        <v>1252306.351</v>
      </c>
      <c r="AH810" s="493">
        <f t="shared" si="4"/>
        <v>300263517.5</v>
      </c>
    </row>
    <row r="811">
      <c r="T811" s="494" t="s">
        <v>622</v>
      </c>
      <c r="AB811" s="489">
        <v>809.0</v>
      </c>
      <c r="AC811" s="490">
        <f t="shared" si="5"/>
        <v>301515823.9</v>
      </c>
      <c r="AD811" s="491">
        <f t="shared" si="1"/>
        <v>1500</v>
      </c>
      <c r="AE811" s="492">
        <f t="shared" si="2"/>
        <v>0.009063325885</v>
      </c>
      <c r="AF811" s="490">
        <f t="shared" si="3"/>
        <v>304250060.1</v>
      </c>
      <c r="AG811" s="493">
        <f t="shared" si="6"/>
        <v>1253806.351</v>
      </c>
      <c r="AH811" s="493">
        <f t="shared" si="4"/>
        <v>302996253.7</v>
      </c>
    </row>
    <row r="812">
      <c r="T812" s="494" t="s">
        <v>622</v>
      </c>
      <c r="AB812" s="489">
        <v>810.0</v>
      </c>
      <c r="AC812" s="490">
        <f t="shared" si="5"/>
        <v>304250060.1</v>
      </c>
      <c r="AD812" s="491">
        <f t="shared" si="1"/>
        <v>1500</v>
      </c>
      <c r="AE812" s="492">
        <f t="shared" si="2"/>
        <v>0.009063325885</v>
      </c>
      <c r="AF812" s="490">
        <f t="shared" si="3"/>
        <v>307009077.5</v>
      </c>
      <c r="AG812" s="493">
        <f t="shared" si="6"/>
        <v>1255306.351</v>
      </c>
      <c r="AH812" s="493">
        <f t="shared" si="4"/>
        <v>305753771.2</v>
      </c>
    </row>
    <row r="813">
      <c r="T813" s="494" t="s">
        <v>622</v>
      </c>
      <c r="AB813" s="489">
        <v>811.0</v>
      </c>
      <c r="AC813" s="490">
        <f t="shared" si="5"/>
        <v>307009077.5</v>
      </c>
      <c r="AD813" s="491">
        <f t="shared" si="1"/>
        <v>1500</v>
      </c>
      <c r="AE813" s="492">
        <f t="shared" si="2"/>
        <v>0.009063325885</v>
      </c>
      <c r="AF813" s="490">
        <f t="shared" si="3"/>
        <v>309793100.8</v>
      </c>
      <c r="AG813" s="493">
        <f t="shared" si="6"/>
        <v>1256806.351</v>
      </c>
      <c r="AH813" s="493">
        <f t="shared" si="4"/>
        <v>308536294.5</v>
      </c>
    </row>
    <row r="814">
      <c r="T814" s="494" t="s">
        <v>622</v>
      </c>
      <c r="AB814" s="489">
        <v>812.0</v>
      </c>
      <c r="AC814" s="490">
        <f t="shared" si="5"/>
        <v>309793100.8</v>
      </c>
      <c r="AD814" s="491">
        <f t="shared" si="1"/>
        <v>1500</v>
      </c>
      <c r="AE814" s="492">
        <f t="shared" si="2"/>
        <v>0.009063325885</v>
      </c>
      <c r="AF814" s="490">
        <f t="shared" si="3"/>
        <v>312602356.7</v>
      </c>
      <c r="AG814" s="493">
        <f t="shared" si="6"/>
        <v>1258306.351</v>
      </c>
      <c r="AH814" s="493">
        <f t="shared" si="4"/>
        <v>311344050.3</v>
      </c>
    </row>
    <row r="815">
      <c r="T815" s="494" t="s">
        <v>622</v>
      </c>
      <c r="AB815" s="489">
        <v>813.0</v>
      </c>
      <c r="AC815" s="490">
        <f t="shared" si="5"/>
        <v>312602356.7</v>
      </c>
      <c r="AD815" s="491">
        <f t="shared" si="1"/>
        <v>1500</v>
      </c>
      <c r="AE815" s="492">
        <f t="shared" si="2"/>
        <v>0.009063325885</v>
      </c>
      <c r="AF815" s="490">
        <f t="shared" si="3"/>
        <v>315437073.7</v>
      </c>
      <c r="AG815" s="493">
        <f t="shared" si="6"/>
        <v>1259806.351</v>
      </c>
      <c r="AH815" s="493">
        <f t="shared" si="4"/>
        <v>314177267.3</v>
      </c>
    </row>
    <row r="816">
      <c r="T816" s="494" t="s">
        <v>622</v>
      </c>
      <c r="AB816" s="489">
        <v>814.0</v>
      </c>
      <c r="AC816" s="490">
        <f t="shared" si="5"/>
        <v>315437073.7</v>
      </c>
      <c r="AD816" s="491">
        <f t="shared" si="1"/>
        <v>1500</v>
      </c>
      <c r="AE816" s="492">
        <f t="shared" si="2"/>
        <v>0.009063325885</v>
      </c>
      <c r="AF816" s="490">
        <f t="shared" si="3"/>
        <v>318297482.7</v>
      </c>
      <c r="AG816" s="493">
        <f t="shared" si="6"/>
        <v>1261306.351</v>
      </c>
      <c r="AH816" s="493">
        <f t="shared" si="4"/>
        <v>317036176.3</v>
      </c>
    </row>
    <row r="817">
      <c r="T817" s="494" t="s">
        <v>622</v>
      </c>
      <c r="AB817" s="489">
        <v>815.0</v>
      </c>
      <c r="AC817" s="490">
        <f t="shared" si="5"/>
        <v>318297482.7</v>
      </c>
      <c r="AD817" s="491">
        <f t="shared" si="1"/>
        <v>1500</v>
      </c>
      <c r="AE817" s="492">
        <f t="shared" si="2"/>
        <v>0.009063325885</v>
      </c>
      <c r="AF817" s="490">
        <f t="shared" si="3"/>
        <v>321183816.5</v>
      </c>
      <c r="AG817" s="493">
        <f t="shared" si="6"/>
        <v>1262806.351</v>
      </c>
      <c r="AH817" s="493">
        <f t="shared" si="4"/>
        <v>319921010.1</v>
      </c>
    </row>
    <row r="818">
      <c r="T818" s="494" t="s">
        <v>622</v>
      </c>
      <c r="AB818" s="489">
        <v>816.0</v>
      </c>
      <c r="AC818" s="490">
        <f t="shared" si="5"/>
        <v>321183816.5</v>
      </c>
      <c r="AD818" s="491">
        <f t="shared" si="1"/>
        <v>1500</v>
      </c>
      <c r="AE818" s="492">
        <f t="shared" si="2"/>
        <v>0.009063325885</v>
      </c>
      <c r="AF818" s="490">
        <f t="shared" si="3"/>
        <v>324096310.1</v>
      </c>
      <c r="AG818" s="493">
        <f t="shared" si="6"/>
        <v>1264306.351</v>
      </c>
      <c r="AH818" s="493">
        <f t="shared" si="4"/>
        <v>322832003.7</v>
      </c>
    </row>
    <row r="819">
      <c r="T819" s="494" t="s">
        <v>622</v>
      </c>
      <c r="AB819" s="489">
        <v>817.0</v>
      </c>
      <c r="AC819" s="490">
        <f t="shared" si="5"/>
        <v>324096310.1</v>
      </c>
      <c r="AD819" s="491">
        <f t="shared" si="1"/>
        <v>1500</v>
      </c>
      <c r="AE819" s="492">
        <f t="shared" si="2"/>
        <v>0.009063325885</v>
      </c>
      <c r="AF819" s="490">
        <f t="shared" si="3"/>
        <v>327035200.6</v>
      </c>
      <c r="AG819" s="493">
        <f t="shared" si="6"/>
        <v>1265806.351</v>
      </c>
      <c r="AH819" s="493">
        <f t="shared" si="4"/>
        <v>325769394.2</v>
      </c>
    </row>
    <row r="820">
      <c r="T820" s="494" t="s">
        <v>622</v>
      </c>
      <c r="AB820" s="489">
        <v>818.0</v>
      </c>
      <c r="AC820" s="490">
        <f t="shared" si="5"/>
        <v>327035200.6</v>
      </c>
      <c r="AD820" s="491">
        <f t="shared" si="1"/>
        <v>1500</v>
      </c>
      <c r="AE820" s="492">
        <f t="shared" si="2"/>
        <v>0.009063325885</v>
      </c>
      <c r="AF820" s="490">
        <f t="shared" si="3"/>
        <v>330000727.2</v>
      </c>
      <c r="AG820" s="493">
        <f t="shared" si="6"/>
        <v>1267306.351</v>
      </c>
      <c r="AH820" s="493">
        <f t="shared" si="4"/>
        <v>328733420.8</v>
      </c>
    </row>
    <row r="821">
      <c r="T821" s="494" t="s">
        <v>622</v>
      </c>
      <c r="AB821" s="489">
        <v>819.0</v>
      </c>
      <c r="AC821" s="490">
        <f t="shared" si="5"/>
        <v>330000727.2</v>
      </c>
      <c r="AD821" s="491">
        <f t="shared" si="1"/>
        <v>1500</v>
      </c>
      <c r="AE821" s="492">
        <f t="shared" si="2"/>
        <v>0.009063325885</v>
      </c>
      <c r="AF821" s="490">
        <f t="shared" si="3"/>
        <v>332993131.3</v>
      </c>
      <c r="AG821" s="493">
        <f t="shared" si="6"/>
        <v>1268806.351</v>
      </c>
      <c r="AH821" s="493">
        <f t="shared" si="4"/>
        <v>331724324.9</v>
      </c>
    </row>
    <row r="822">
      <c r="T822" s="494" t="s">
        <v>622</v>
      </c>
      <c r="AB822" s="489">
        <v>820.0</v>
      </c>
      <c r="AC822" s="490">
        <f t="shared" si="5"/>
        <v>332993131.3</v>
      </c>
      <c r="AD822" s="491">
        <f t="shared" si="1"/>
        <v>1500</v>
      </c>
      <c r="AE822" s="492">
        <f t="shared" si="2"/>
        <v>0.009063325885</v>
      </c>
      <c r="AF822" s="490">
        <f t="shared" si="3"/>
        <v>336012656.6</v>
      </c>
      <c r="AG822" s="493">
        <f t="shared" si="6"/>
        <v>1270306.351</v>
      </c>
      <c r="AH822" s="493">
        <f t="shared" si="4"/>
        <v>334742350.2</v>
      </c>
    </row>
    <row r="823">
      <c r="T823" s="494" t="s">
        <v>622</v>
      </c>
      <c r="AB823" s="489">
        <v>821.0</v>
      </c>
      <c r="AC823" s="490">
        <f t="shared" si="5"/>
        <v>336012656.6</v>
      </c>
      <c r="AD823" s="491">
        <f t="shared" si="1"/>
        <v>1500</v>
      </c>
      <c r="AE823" s="492">
        <f t="shared" si="2"/>
        <v>0.009063325885</v>
      </c>
      <c r="AF823" s="490">
        <f t="shared" si="3"/>
        <v>339059548.8</v>
      </c>
      <c r="AG823" s="493">
        <f t="shared" si="6"/>
        <v>1271806.351</v>
      </c>
      <c r="AH823" s="493">
        <f t="shared" si="4"/>
        <v>337787742.4</v>
      </c>
    </row>
    <row r="824">
      <c r="T824" s="494" t="s">
        <v>622</v>
      </c>
      <c r="AB824" s="489">
        <v>822.0</v>
      </c>
      <c r="AC824" s="490">
        <f t="shared" si="5"/>
        <v>339059548.8</v>
      </c>
      <c r="AD824" s="491">
        <f t="shared" si="1"/>
        <v>1500</v>
      </c>
      <c r="AE824" s="492">
        <f t="shared" si="2"/>
        <v>0.009063325885</v>
      </c>
      <c r="AF824" s="490">
        <f t="shared" si="3"/>
        <v>342134056</v>
      </c>
      <c r="AG824" s="493">
        <f t="shared" si="6"/>
        <v>1273306.351</v>
      </c>
      <c r="AH824" s="493">
        <f t="shared" si="4"/>
        <v>340860749.6</v>
      </c>
    </row>
    <row r="825">
      <c r="T825" s="494" t="s">
        <v>622</v>
      </c>
      <c r="AB825" s="489">
        <v>823.0</v>
      </c>
      <c r="AC825" s="490">
        <f t="shared" si="5"/>
        <v>342134056</v>
      </c>
      <c r="AD825" s="491">
        <f t="shared" si="1"/>
        <v>1500</v>
      </c>
      <c r="AE825" s="492">
        <f t="shared" si="2"/>
        <v>0.009063325885</v>
      </c>
      <c r="AF825" s="490">
        <f t="shared" si="3"/>
        <v>345236428.4</v>
      </c>
      <c r="AG825" s="493">
        <f t="shared" si="6"/>
        <v>1274806.351</v>
      </c>
      <c r="AH825" s="493">
        <f t="shared" si="4"/>
        <v>343961622.1</v>
      </c>
    </row>
    <row r="826">
      <c r="T826" s="494" t="s">
        <v>622</v>
      </c>
      <c r="AB826" s="489">
        <v>824.0</v>
      </c>
      <c r="AC826" s="490">
        <f t="shared" si="5"/>
        <v>345236428.4</v>
      </c>
      <c r="AD826" s="491">
        <f t="shared" si="1"/>
        <v>1500</v>
      </c>
      <c r="AE826" s="492">
        <f t="shared" si="2"/>
        <v>0.009063325885</v>
      </c>
      <c r="AF826" s="490">
        <f t="shared" si="3"/>
        <v>348366918.7</v>
      </c>
      <c r="AG826" s="493">
        <f t="shared" si="6"/>
        <v>1276306.351</v>
      </c>
      <c r="AH826" s="493">
        <f t="shared" si="4"/>
        <v>347090612.3</v>
      </c>
    </row>
    <row r="827">
      <c r="T827" s="494" t="s">
        <v>622</v>
      </c>
      <c r="AB827" s="489">
        <v>825.0</v>
      </c>
      <c r="AC827" s="490">
        <f t="shared" si="5"/>
        <v>348366918.7</v>
      </c>
      <c r="AD827" s="491">
        <f t="shared" si="1"/>
        <v>1500</v>
      </c>
      <c r="AE827" s="492">
        <f t="shared" si="2"/>
        <v>0.009063325885</v>
      </c>
      <c r="AF827" s="490">
        <f t="shared" si="3"/>
        <v>351525781.6</v>
      </c>
      <c r="AG827" s="493">
        <f t="shared" si="6"/>
        <v>1277806.351</v>
      </c>
      <c r="AH827" s="493">
        <f t="shared" si="4"/>
        <v>350247975.2</v>
      </c>
    </row>
    <row r="828">
      <c r="T828" s="494" t="s">
        <v>622</v>
      </c>
      <c r="AB828" s="489">
        <v>826.0</v>
      </c>
      <c r="AC828" s="490">
        <f t="shared" si="5"/>
        <v>351525781.6</v>
      </c>
      <c r="AD828" s="491">
        <f t="shared" si="1"/>
        <v>1500</v>
      </c>
      <c r="AE828" s="492">
        <f t="shared" si="2"/>
        <v>0.009063325885</v>
      </c>
      <c r="AF828" s="490">
        <f t="shared" si="3"/>
        <v>354713274.3</v>
      </c>
      <c r="AG828" s="493">
        <f t="shared" si="6"/>
        <v>1279306.351</v>
      </c>
      <c r="AH828" s="493">
        <f t="shared" si="4"/>
        <v>353433967.9</v>
      </c>
    </row>
    <row r="829">
      <c r="T829" s="494" t="s">
        <v>622</v>
      </c>
      <c r="AB829" s="489">
        <v>827.0</v>
      </c>
      <c r="AC829" s="490">
        <f t="shared" si="5"/>
        <v>354713274.3</v>
      </c>
      <c r="AD829" s="491">
        <f t="shared" si="1"/>
        <v>1500</v>
      </c>
      <c r="AE829" s="492">
        <f t="shared" si="2"/>
        <v>0.009063325885</v>
      </c>
      <c r="AF829" s="490">
        <f t="shared" si="3"/>
        <v>357929656.3</v>
      </c>
      <c r="AG829" s="493">
        <f t="shared" si="6"/>
        <v>1280806.351</v>
      </c>
      <c r="AH829" s="493">
        <f t="shared" si="4"/>
        <v>356648849.9</v>
      </c>
    </row>
    <row r="830">
      <c r="T830" s="494" t="s">
        <v>622</v>
      </c>
      <c r="AB830" s="489">
        <v>828.0</v>
      </c>
      <c r="AC830" s="490">
        <f t="shared" si="5"/>
        <v>357929656.3</v>
      </c>
      <c r="AD830" s="491">
        <f t="shared" si="1"/>
        <v>1500</v>
      </c>
      <c r="AE830" s="492">
        <f t="shared" si="2"/>
        <v>0.009063325885</v>
      </c>
      <c r="AF830" s="490">
        <f t="shared" si="3"/>
        <v>361175189.4</v>
      </c>
      <c r="AG830" s="493">
        <f t="shared" si="6"/>
        <v>1282306.351</v>
      </c>
      <c r="AH830" s="493">
        <f t="shared" si="4"/>
        <v>359892883.1</v>
      </c>
    </row>
    <row r="831">
      <c r="T831" s="494" t="s">
        <v>622</v>
      </c>
      <c r="AB831" s="489">
        <v>829.0</v>
      </c>
      <c r="AC831" s="490">
        <f t="shared" si="5"/>
        <v>361175189.4</v>
      </c>
      <c r="AD831" s="491">
        <f t="shared" si="1"/>
        <v>1500</v>
      </c>
      <c r="AE831" s="492">
        <f t="shared" si="2"/>
        <v>0.009063325885</v>
      </c>
      <c r="AF831" s="490">
        <f t="shared" si="3"/>
        <v>364450137.9</v>
      </c>
      <c r="AG831" s="493">
        <f t="shared" si="6"/>
        <v>1283806.351</v>
      </c>
      <c r="AH831" s="493">
        <f t="shared" si="4"/>
        <v>363166331.5</v>
      </c>
    </row>
    <row r="832">
      <c r="T832" s="494" t="s">
        <v>622</v>
      </c>
      <c r="AB832" s="489">
        <v>830.0</v>
      </c>
      <c r="AC832" s="490">
        <f t="shared" si="5"/>
        <v>364450137.9</v>
      </c>
      <c r="AD832" s="491">
        <f t="shared" si="1"/>
        <v>1500</v>
      </c>
      <c r="AE832" s="492">
        <f t="shared" si="2"/>
        <v>0.009063325885</v>
      </c>
      <c r="AF832" s="490">
        <f t="shared" si="3"/>
        <v>367754768.2</v>
      </c>
      <c r="AG832" s="493">
        <f t="shared" si="6"/>
        <v>1285306.351</v>
      </c>
      <c r="AH832" s="493">
        <f t="shared" si="4"/>
        <v>366469461.9</v>
      </c>
    </row>
    <row r="833">
      <c r="T833" s="494" t="s">
        <v>622</v>
      </c>
      <c r="AB833" s="489">
        <v>831.0</v>
      </c>
      <c r="AC833" s="490">
        <f t="shared" si="5"/>
        <v>367754768.2</v>
      </c>
      <c r="AD833" s="491">
        <f t="shared" si="1"/>
        <v>1500</v>
      </c>
      <c r="AE833" s="492">
        <f t="shared" si="2"/>
        <v>0.009063325885</v>
      </c>
      <c r="AF833" s="490">
        <f t="shared" si="3"/>
        <v>371089349.5</v>
      </c>
      <c r="AG833" s="493">
        <f t="shared" si="6"/>
        <v>1286806.351</v>
      </c>
      <c r="AH833" s="493">
        <f t="shared" si="4"/>
        <v>369802543.2</v>
      </c>
    </row>
    <row r="834">
      <c r="T834" s="494" t="s">
        <v>622</v>
      </c>
      <c r="AB834" s="489">
        <v>832.0</v>
      </c>
      <c r="AC834" s="490">
        <f t="shared" si="5"/>
        <v>371089349.5</v>
      </c>
      <c r="AD834" s="491">
        <f t="shared" si="1"/>
        <v>1500</v>
      </c>
      <c r="AE834" s="492">
        <f t="shared" si="2"/>
        <v>0.009063325885</v>
      </c>
      <c r="AF834" s="490">
        <f t="shared" si="3"/>
        <v>374454153.2</v>
      </c>
      <c r="AG834" s="493">
        <f t="shared" si="6"/>
        <v>1288306.351</v>
      </c>
      <c r="AH834" s="493">
        <f t="shared" si="4"/>
        <v>373165846.9</v>
      </c>
    </row>
    <row r="835">
      <c r="T835" s="494" t="s">
        <v>622</v>
      </c>
      <c r="AB835" s="489">
        <v>833.0</v>
      </c>
      <c r="AC835" s="490">
        <f t="shared" si="5"/>
        <v>374454153.2</v>
      </c>
      <c r="AD835" s="491">
        <f t="shared" si="1"/>
        <v>1500</v>
      </c>
      <c r="AE835" s="492">
        <f t="shared" si="2"/>
        <v>0.009063325885</v>
      </c>
      <c r="AF835" s="490">
        <f t="shared" si="3"/>
        <v>377849453.3</v>
      </c>
      <c r="AG835" s="493">
        <f t="shared" si="6"/>
        <v>1289806.351</v>
      </c>
      <c r="AH835" s="493">
        <f t="shared" si="4"/>
        <v>376559646.9</v>
      </c>
    </row>
    <row r="836">
      <c r="T836" s="494" t="s">
        <v>622</v>
      </c>
      <c r="AB836" s="489">
        <v>834.0</v>
      </c>
      <c r="AC836" s="490">
        <f t="shared" si="5"/>
        <v>377849453.3</v>
      </c>
      <c r="AD836" s="491">
        <f t="shared" si="1"/>
        <v>1500</v>
      </c>
      <c r="AE836" s="492">
        <f t="shared" si="2"/>
        <v>0.009063325885</v>
      </c>
      <c r="AF836" s="490">
        <f t="shared" si="3"/>
        <v>381275526</v>
      </c>
      <c r="AG836" s="493">
        <f t="shared" si="6"/>
        <v>1291306.351</v>
      </c>
      <c r="AH836" s="493">
        <f t="shared" si="4"/>
        <v>379984219.6</v>
      </c>
    </row>
    <row r="837">
      <c r="T837" s="494" t="s">
        <v>622</v>
      </c>
      <c r="AB837" s="489">
        <v>835.0</v>
      </c>
      <c r="AC837" s="490">
        <f t="shared" si="5"/>
        <v>381275526</v>
      </c>
      <c r="AD837" s="491">
        <f t="shared" si="1"/>
        <v>1500</v>
      </c>
      <c r="AE837" s="492">
        <f t="shared" si="2"/>
        <v>0.009063325885</v>
      </c>
      <c r="AF837" s="490">
        <f t="shared" si="3"/>
        <v>384732650.3</v>
      </c>
      <c r="AG837" s="493">
        <f t="shared" si="6"/>
        <v>1292806.351</v>
      </c>
      <c r="AH837" s="493">
        <f t="shared" si="4"/>
        <v>383439844</v>
      </c>
    </row>
    <row r="838">
      <c r="T838" s="494" t="s">
        <v>622</v>
      </c>
      <c r="AB838" s="489">
        <v>836.0</v>
      </c>
      <c r="AC838" s="490">
        <f t="shared" si="5"/>
        <v>384732650.3</v>
      </c>
      <c r="AD838" s="491">
        <f t="shared" si="1"/>
        <v>1500</v>
      </c>
      <c r="AE838" s="492">
        <f t="shared" si="2"/>
        <v>0.009063325885</v>
      </c>
      <c r="AF838" s="490">
        <f t="shared" si="3"/>
        <v>388221107.7</v>
      </c>
      <c r="AG838" s="493">
        <f t="shared" si="6"/>
        <v>1294306.351</v>
      </c>
      <c r="AH838" s="493">
        <f t="shared" si="4"/>
        <v>386926801.4</v>
      </c>
    </row>
    <row r="839">
      <c r="T839" s="494" t="s">
        <v>622</v>
      </c>
      <c r="AB839" s="489">
        <v>837.0</v>
      </c>
      <c r="AC839" s="490">
        <f t="shared" si="5"/>
        <v>388221107.7</v>
      </c>
      <c r="AD839" s="491">
        <f t="shared" si="1"/>
        <v>1500</v>
      </c>
      <c r="AE839" s="492">
        <f t="shared" si="2"/>
        <v>0.009063325885</v>
      </c>
      <c r="AF839" s="490">
        <f t="shared" si="3"/>
        <v>391741182.1</v>
      </c>
      <c r="AG839" s="493">
        <f t="shared" si="6"/>
        <v>1295806.351</v>
      </c>
      <c r="AH839" s="493">
        <f t="shared" si="4"/>
        <v>390445375.8</v>
      </c>
    </row>
    <row r="840">
      <c r="T840" s="494" t="s">
        <v>622</v>
      </c>
      <c r="AB840" s="489">
        <v>838.0</v>
      </c>
      <c r="AC840" s="490">
        <f t="shared" si="5"/>
        <v>391741182.1</v>
      </c>
      <c r="AD840" s="491">
        <f t="shared" si="1"/>
        <v>1500</v>
      </c>
      <c r="AE840" s="492">
        <f t="shared" si="2"/>
        <v>0.009063325885</v>
      </c>
      <c r="AF840" s="490">
        <f t="shared" si="3"/>
        <v>395293160.1</v>
      </c>
      <c r="AG840" s="493">
        <f t="shared" si="6"/>
        <v>1297306.351</v>
      </c>
      <c r="AH840" s="493">
        <f t="shared" si="4"/>
        <v>393995853.8</v>
      </c>
    </row>
    <row r="841">
      <c r="T841" s="494" t="s">
        <v>622</v>
      </c>
      <c r="AB841" s="489">
        <v>839.0</v>
      </c>
      <c r="AC841" s="490">
        <f t="shared" si="5"/>
        <v>395293160.1</v>
      </c>
      <c r="AD841" s="491">
        <f t="shared" si="1"/>
        <v>1500</v>
      </c>
      <c r="AE841" s="492">
        <f t="shared" si="2"/>
        <v>0.009063325885</v>
      </c>
      <c r="AF841" s="490">
        <f t="shared" si="3"/>
        <v>398877330.9</v>
      </c>
      <c r="AG841" s="493">
        <f t="shared" si="6"/>
        <v>1298806.351</v>
      </c>
      <c r="AH841" s="493">
        <f t="shared" si="4"/>
        <v>397578524.5</v>
      </c>
    </row>
    <row r="842">
      <c r="T842" s="494" t="s">
        <v>622</v>
      </c>
      <c r="AB842" s="489">
        <v>840.0</v>
      </c>
      <c r="AC842" s="490">
        <f t="shared" si="5"/>
        <v>398877330.9</v>
      </c>
      <c r="AD842" s="491">
        <f t="shared" si="1"/>
        <v>1500</v>
      </c>
      <c r="AE842" s="492">
        <f t="shared" si="2"/>
        <v>0.009063325885</v>
      </c>
      <c r="AF842" s="490">
        <f t="shared" si="3"/>
        <v>402493986.1</v>
      </c>
      <c r="AG842" s="493">
        <f t="shared" si="6"/>
        <v>1300306.351</v>
      </c>
      <c r="AH842" s="493">
        <f t="shared" si="4"/>
        <v>401193679.7</v>
      </c>
    </row>
    <row r="843">
      <c r="T843" s="494" t="s">
        <v>622</v>
      </c>
      <c r="AB843" s="489">
        <v>841.0</v>
      </c>
      <c r="AC843" s="490">
        <f t="shared" si="5"/>
        <v>402493986.1</v>
      </c>
      <c r="AD843" s="491">
        <f t="shared" si="1"/>
        <v>1500</v>
      </c>
      <c r="AE843" s="492">
        <f t="shared" si="2"/>
        <v>0.009063325885</v>
      </c>
      <c r="AF843" s="490">
        <f t="shared" si="3"/>
        <v>406143420.3</v>
      </c>
      <c r="AG843" s="493">
        <f t="shared" si="6"/>
        <v>1301806.351</v>
      </c>
      <c r="AH843" s="493">
        <f t="shared" si="4"/>
        <v>404841613.9</v>
      </c>
    </row>
    <row r="844">
      <c r="T844" s="494" t="s">
        <v>622</v>
      </c>
      <c r="AB844" s="489">
        <v>842.0</v>
      </c>
      <c r="AC844" s="490">
        <f t="shared" si="5"/>
        <v>406143420.3</v>
      </c>
      <c r="AD844" s="491">
        <f t="shared" si="1"/>
        <v>1500</v>
      </c>
      <c r="AE844" s="492">
        <f t="shared" si="2"/>
        <v>0.009063325885</v>
      </c>
      <c r="AF844" s="490">
        <f t="shared" si="3"/>
        <v>409825930.4</v>
      </c>
      <c r="AG844" s="493">
        <f t="shared" si="6"/>
        <v>1303306.351</v>
      </c>
      <c r="AH844" s="493">
        <f t="shared" si="4"/>
        <v>408522624.1</v>
      </c>
    </row>
    <row r="845">
      <c r="T845" s="494" t="s">
        <v>622</v>
      </c>
      <c r="AB845" s="489">
        <v>843.0</v>
      </c>
      <c r="AC845" s="490">
        <f t="shared" si="5"/>
        <v>409825930.4</v>
      </c>
      <c r="AD845" s="491">
        <f t="shared" si="1"/>
        <v>1500</v>
      </c>
      <c r="AE845" s="492">
        <f t="shared" si="2"/>
        <v>0.009063325885</v>
      </c>
      <c r="AF845" s="490">
        <f t="shared" si="3"/>
        <v>413541816.4</v>
      </c>
      <c r="AG845" s="493">
        <f t="shared" si="6"/>
        <v>1304806.351</v>
      </c>
      <c r="AH845" s="493">
        <f t="shared" si="4"/>
        <v>412237010</v>
      </c>
    </row>
    <row r="846">
      <c r="T846" s="494" t="s">
        <v>622</v>
      </c>
      <c r="AB846" s="489">
        <v>844.0</v>
      </c>
      <c r="AC846" s="490">
        <f t="shared" si="5"/>
        <v>413541816.4</v>
      </c>
      <c r="AD846" s="491">
        <f t="shared" si="1"/>
        <v>1500</v>
      </c>
      <c r="AE846" s="492">
        <f t="shared" si="2"/>
        <v>0.009063325885</v>
      </c>
      <c r="AF846" s="490">
        <f t="shared" si="3"/>
        <v>417291380.6</v>
      </c>
      <c r="AG846" s="493">
        <f t="shared" si="6"/>
        <v>1306306.351</v>
      </c>
      <c r="AH846" s="493">
        <f t="shared" si="4"/>
        <v>415985074.3</v>
      </c>
    </row>
    <row r="847">
      <c r="T847" s="494" t="s">
        <v>622</v>
      </c>
      <c r="AB847" s="489">
        <v>845.0</v>
      </c>
      <c r="AC847" s="490">
        <f t="shared" si="5"/>
        <v>417291380.6</v>
      </c>
      <c r="AD847" s="491">
        <f t="shared" si="1"/>
        <v>1500</v>
      </c>
      <c r="AE847" s="492">
        <f t="shared" si="2"/>
        <v>0.009063325885</v>
      </c>
      <c r="AF847" s="490">
        <f t="shared" si="3"/>
        <v>421074928.4</v>
      </c>
      <c r="AG847" s="493">
        <f t="shared" si="6"/>
        <v>1307806.351</v>
      </c>
      <c r="AH847" s="493">
        <f t="shared" si="4"/>
        <v>419767122.1</v>
      </c>
    </row>
    <row r="848">
      <c r="T848" s="494" t="s">
        <v>622</v>
      </c>
      <c r="AB848" s="489">
        <v>846.0</v>
      </c>
      <c r="AC848" s="490">
        <f t="shared" si="5"/>
        <v>421074928.4</v>
      </c>
      <c r="AD848" s="491">
        <f t="shared" si="1"/>
        <v>1500</v>
      </c>
      <c r="AE848" s="492">
        <f t="shared" si="2"/>
        <v>0.009063325885</v>
      </c>
      <c r="AF848" s="490">
        <f t="shared" si="3"/>
        <v>424892767.7</v>
      </c>
      <c r="AG848" s="493">
        <f t="shared" si="6"/>
        <v>1309306.351</v>
      </c>
      <c r="AH848" s="493">
        <f t="shared" si="4"/>
        <v>423583461.4</v>
      </c>
    </row>
    <row r="849">
      <c r="T849" s="494" t="s">
        <v>622</v>
      </c>
      <c r="AB849" s="489">
        <v>847.0</v>
      </c>
      <c r="AC849" s="490">
        <f t="shared" si="5"/>
        <v>424892767.7</v>
      </c>
      <c r="AD849" s="491">
        <f t="shared" si="1"/>
        <v>1500</v>
      </c>
      <c r="AE849" s="492">
        <f t="shared" si="2"/>
        <v>0.009063325885</v>
      </c>
      <c r="AF849" s="490">
        <f t="shared" si="3"/>
        <v>428745209.3</v>
      </c>
      <c r="AG849" s="493">
        <f t="shared" si="6"/>
        <v>1310806.351</v>
      </c>
      <c r="AH849" s="493">
        <f t="shared" si="4"/>
        <v>427434403</v>
      </c>
    </row>
    <row r="850">
      <c r="T850" s="494" t="s">
        <v>622</v>
      </c>
      <c r="AB850" s="489">
        <v>848.0</v>
      </c>
      <c r="AC850" s="490">
        <f t="shared" si="5"/>
        <v>428745209.3</v>
      </c>
      <c r="AD850" s="491">
        <f t="shared" si="1"/>
        <v>1500</v>
      </c>
      <c r="AE850" s="492">
        <f t="shared" si="2"/>
        <v>0.009063325885</v>
      </c>
      <c r="AF850" s="490">
        <f t="shared" si="3"/>
        <v>432632566.9</v>
      </c>
      <c r="AG850" s="493">
        <f t="shared" si="6"/>
        <v>1312306.351</v>
      </c>
      <c r="AH850" s="493">
        <f t="shared" si="4"/>
        <v>431320260.5</v>
      </c>
    </row>
    <row r="851">
      <c r="T851" s="494" t="s">
        <v>622</v>
      </c>
      <c r="AB851" s="489">
        <v>849.0</v>
      </c>
      <c r="AC851" s="490">
        <f t="shared" si="5"/>
        <v>432632566.9</v>
      </c>
      <c r="AD851" s="491">
        <f t="shared" si="1"/>
        <v>1500</v>
      </c>
      <c r="AE851" s="492">
        <f t="shared" si="2"/>
        <v>0.009063325885</v>
      </c>
      <c r="AF851" s="490">
        <f t="shared" si="3"/>
        <v>436555156.8</v>
      </c>
      <c r="AG851" s="493">
        <f t="shared" si="6"/>
        <v>1313806.351</v>
      </c>
      <c r="AH851" s="493">
        <f t="shared" si="4"/>
        <v>435241350.5</v>
      </c>
    </row>
    <row r="852">
      <c r="T852" s="494" t="s">
        <v>622</v>
      </c>
      <c r="AB852" s="489">
        <v>850.0</v>
      </c>
      <c r="AC852" s="490">
        <f t="shared" si="5"/>
        <v>436555156.8</v>
      </c>
      <c r="AD852" s="491">
        <f t="shared" si="1"/>
        <v>1500</v>
      </c>
      <c r="AE852" s="492">
        <f t="shared" si="2"/>
        <v>0.009063325885</v>
      </c>
      <c r="AF852" s="490">
        <f t="shared" si="3"/>
        <v>440513298.5</v>
      </c>
      <c r="AG852" s="493">
        <f t="shared" si="6"/>
        <v>1315306.351</v>
      </c>
      <c r="AH852" s="493">
        <f t="shared" si="4"/>
        <v>439197992.1</v>
      </c>
    </row>
    <row r="853">
      <c r="T853" s="494" t="s">
        <v>622</v>
      </c>
      <c r="AB853" s="489">
        <v>851.0</v>
      </c>
      <c r="AC853" s="490">
        <f t="shared" si="5"/>
        <v>440513298.5</v>
      </c>
      <c r="AD853" s="491">
        <f t="shared" si="1"/>
        <v>1500</v>
      </c>
      <c r="AE853" s="492">
        <f t="shared" si="2"/>
        <v>0.009063325885</v>
      </c>
      <c r="AF853" s="490">
        <f t="shared" si="3"/>
        <v>444507314.1</v>
      </c>
      <c r="AG853" s="493">
        <f t="shared" si="6"/>
        <v>1316806.351</v>
      </c>
      <c r="AH853" s="493">
        <f t="shared" si="4"/>
        <v>443190507.7</v>
      </c>
    </row>
    <row r="854">
      <c r="T854" s="494" t="s">
        <v>622</v>
      </c>
      <c r="AB854" s="489">
        <v>852.0</v>
      </c>
      <c r="AC854" s="490">
        <f t="shared" si="5"/>
        <v>444507314.1</v>
      </c>
      <c r="AD854" s="491">
        <f t="shared" si="1"/>
        <v>1500</v>
      </c>
      <c r="AE854" s="492">
        <f t="shared" si="2"/>
        <v>0.009063325885</v>
      </c>
      <c r="AF854" s="490">
        <f t="shared" si="3"/>
        <v>448537528.7</v>
      </c>
      <c r="AG854" s="493">
        <f t="shared" si="6"/>
        <v>1318306.351</v>
      </c>
      <c r="AH854" s="493">
        <f t="shared" si="4"/>
        <v>447219222.4</v>
      </c>
    </row>
    <row r="855">
      <c r="T855" s="494" t="s">
        <v>622</v>
      </c>
      <c r="AB855" s="489">
        <v>853.0</v>
      </c>
      <c r="AC855" s="490">
        <f t="shared" si="5"/>
        <v>448537528.7</v>
      </c>
      <c r="AD855" s="491">
        <f t="shared" si="1"/>
        <v>1500</v>
      </c>
      <c r="AE855" s="492">
        <f t="shared" si="2"/>
        <v>0.009063325885</v>
      </c>
      <c r="AF855" s="490">
        <f t="shared" si="3"/>
        <v>452604270.5</v>
      </c>
      <c r="AG855" s="493">
        <f t="shared" si="6"/>
        <v>1319806.351</v>
      </c>
      <c r="AH855" s="493">
        <f t="shared" si="4"/>
        <v>451284464.2</v>
      </c>
    </row>
    <row r="856">
      <c r="T856" s="494" t="s">
        <v>622</v>
      </c>
      <c r="AB856" s="489">
        <v>854.0</v>
      </c>
      <c r="AC856" s="490">
        <f t="shared" si="5"/>
        <v>452604270.5</v>
      </c>
      <c r="AD856" s="491">
        <f t="shared" si="1"/>
        <v>1500</v>
      </c>
      <c r="AE856" s="492">
        <f t="shared" si="2"/>
        <v>0.009063325885</v>
      </c>
      <c r="AF856" s="490">
        <f t="shared" si="3"/>
        <v>456707870.5</v>
      </c>
      <c r="AG856" s="493">
        <f t="shared" si="6"/>
        <v>1321306.351</v>
      </c>
      <c r="AH856" s="493">
        <f t="shared" si="4"/>
        <v>455386564.2</v>
      </c>
    </row>
    <row r="857">
      <c r="T857" s="494" t="s">
        <v>622</v>
      </c>
      <c r="AB857" s="489">
        <v>855.0</v>
      </c>
      <c r="AC857" s="490">
        <f t="shared" si="5"/>
        <v>456707870.5</v>
      </c>
      <c r="AD857" s="491">
        <f t="shared" si="1"/>
        <v>1500</v>
      </c>
      <c r="AE857" s="492">
        <f t="shared" si="2"/>
        <v>0.009063325885</v>
      </c>
      <c r="AF857" s="490">
        <f t="shared" si="3"/>
        <v>460848662.8</v>
      </c>
      <c r="AG857" s="493">
        <f t="shared" si="6"/>
        <v>1322806.351</v>
      </c>
      <c r="AH857" s="493">
        <f t="shared" si="4"/>
        <v>459525856.4</v>
      </c>
    </row>
    <row r="858">
      <c r="T858" s="494" t="s">
        <v>622</v>
      </c>
      <c r="AB858" s="489">
        <v>856.0</v>
      </c>
      <c r="AC858" s="490">
        <f t="shared" si="5"/>
        <v>460848662.8</v>
      </c>
      <c r="AD858" s="491">
        <f t="shared" si="1"/>
        <v>1500</v>
      </c>
      <c r="AE858" s="492">
        <f t="shared" si="2"/>
        <v>0.009063325885</v>
      </c>
      <c r="AF858" s="490">
        <f t="shared" si="3"/>
        <v>465026984.4</v>
      </c>
      <c r="AG858" s="493">
        <f t="shared" si="6"/>
        <v>1324306.351</v>
      </c>
      <c r="AH858" s="493">
        <f t="shared" si="4"/>
        <v>463702678</v>
      </c>
    </row>
    <row r="859">
      <c r="T859" s="494" t="s">
        <v>622</v>
      </c>
      <c r="AB859" s="489">
        <v>857.0</v>
      </c>
      <c r="AC859" s="490">
        <f t="shared" si="5"/>
        <v>465026984.4</v>
      </c>
      <c r="AD859" s="491">
        <f t="shared" si="1"/>
        <v>1500</v>
      </c>
      <c r="AE859" s="492">
        <f t="shared" si="2"/>
        <v>0.009063325885</v>
      </c>
      <c r="AF859" s="490">
        <f t="shared" si="3"/>
        <v>469243175.5</v>
      </c>
      <c r="AG859" s="493">
        <f t="shared" si="6"/>
        <v>1325806.351</v>
      </c>
      <c r="AH859" s="493">
        <f t="shared" si="4"/>
        <v>467917369.1</v>
      </c>
    </row>
    <row r="860">
      <c r="T860" s="494" t="s">
        <v>622</v>
      </c>
      <c r="AB860" s="489">
        <v>858.0</v>
      </c>
      <c r="AC860" s="490">
        <f t="shared" si="5"/>
        <v>469243175.5</v>
      </c>
      <c r="AD860" s="491">
        <f t="shared" si="1"/>
        <v>1500</v>
      </c>
      <c r="AE860" s="492">
        <f t="shared" si="2"/>
        <v>0.009063325885</v>
      </c>
      <c r="AF860" s="490">
        <f t="shared" si="3"/>
        <v>473497579.3</v>
      </c>
      <c r="AG860" s="493">
        <f t="shared" si="6"/>
        <v>1327306.351</v>
      </c>
      <c r="AH860" s="493">
        <f t="shared" si="4"/>
        <v>472170273</v>
      </c>
    </row>
    <row r="861">
      <c r="T861" s="494" t="s">
        <v>622</v>
      </c>
      <c r="AB861" s="489">
        <v>859.0</v>
      </c>
      <c r="AC861" s="490">
        <f t="shared" si="5"/>
        <v>473497579.3</v>
      </c>
      <c r="AD861" s="491">
        <f t="shared" si="1"/>
        <v>1500</v>
      </c>
      <c r="AE861" s="492">
        <f t="shared" si="2"/>
        <v>0.009063325885</v>
      </c>
      <c r="AF861" s="490">
        <f t="shared" si="3"/>
        <v>477790542.2</v>
      </c>
      <c r="AG861" s="493">
        <f t="shared" si="6"/>
        <v>1328806.351</v>
      </c>
      <c r="AH861" s="493">
        <f t="shared" si="4"/>
        <v>476461735.8</v>
      </c>
    </row>
    <row r="862">
      <c r="T862" s="494" t="s">
        <v>622</v>
      </c>
      <c r="AB862" s="489">
        <v>860.0</v>
      </c>
      <c r="AC862" s="490">
        <f t="shared" si="5"/>
        <v>477790542.2</v>
      </c>
      <c r="AD862" s="491">
        <f t="shared" si="1"/>
        <v>1500</v>
      </c>
      <c r="AE862" s="492">
        <f t="shared" si="2"/>
        <v>0.009063325885</v>
      </c>
      <c r="AF862" s="490">
        <f t="shared" si="3"/>
        <v>482122413.6</v>
      </c>
      <c r="AG862" s="493">
        <f t="shared" si="6"/>
        <v>1330306.351</v>
      </c>
      <c r="AH862" s="493">
        <f t="shared" si="4"/>
        <v>480792107.2</v>
      </c>
    </row>
    <row r="863">
      <c r="T863" s="494" t="s">
        <v>622</v>
      </c>
      <c r="AB863" s="489">
        <v>861.0</v>
      </c>
      <c r="AC863" s="490">
        <f t="shared" si="5"/>
        <v>482122413.6</v>
      </c>
      <c r="AD863" s="491">
        <f t="shared" si="1"/>
        <v>1500</v>
      </c>
      <c r="AE863" s="492">
        <f t="shared" si="2"/>
        <v>0.009063325885</v>
      </c>
      <c r="AF863" s="490">
        <f t="shared" si="3"/>
        <v>486493546.1</v>
      </c>
      <c r="AG863" s="493">
        <f t="shared" si="6"/>
        <v>1331806.351</v>
      </c>
      <c r="AH863" s="493">
        <f t="shared" si="4"/>
        <v>485161739.8</v>
      </c>
    </row>
    <row r="864">
      <c r="T864" s="494" t="s">
        <v>622</v>
      </c>
      <c r="AB864" s="489">
        <v>862.0</v>
      </c>
      <c r="AC864" s="490">
        <f t="shared" si="5"/>
        <v>486493546.1</v>
      </c>
      <c r="AD864" s="491">
        <f t="shared" si="1"/>
        <v>1500</v>
      </c>
      <c r="AE864" s="492">
        <f t="shared" si="2"/>
        <v>0.009063325885</v>
      </c>
      <c r="AF864" s="490">
        <f t="shared" si="3"/>
        <v>490904295.7</v>
      </c>
      <c r="AG864" s="493">
        <f t="shared" si="6"/>
        <v>1333306.351</v>
      </c>
      <c r="AH864" s="493">
        <f t="shared" si="4"/>
        <v>489570989.3</v>
      </c>
    </row>
    <row r="865">
      <c r="T865" s="494" t="s">
        <v>622</v>
      </c>
      <c r="AB865" s="489">
        <v>863.0</v>
      </c>
      <c r="AC865" s="490">
        <f t="shared" si="5"/>
        <v>490904295.7</v>
      </c>
      <c r="AD865" s="491">
        <f t="shared" si="1"/>
        <v>1500</v>
      </c>
      <c r="AE865" s="492">
        <f t="shared" si="2"/>
        <v>0.009063325885</v>
      </c>
      <c r="AF865" s="490">
        <f t="shared" si="3"/>
        <v>495355021.3</v>
      </c>
      <c r="AG865" s="493">
        <f t="shared" si="6"/>
        <v>1334806.351</v>
      </c>
      <c r="AH865" s="493">
        <f t="shared" si="4"/>
        <v>494020214.9</v>
      </c>
    </row>
    <row r="866">
      <c r="T866" s="494" t="s">
        <v>622</v>
      </c>
      <c r="AB866" s="489">
        <v>864.0</v>
      </c>
      <c r="AC866" s="490">
        <f t="shared" si="5"/>
        <v>495355021.3</v>
      </c>
      <c r="AD866" s="491">
        <f t="shared" si="1"/>
        <v>1500</v>
      </c>
      <c r="AE866" s="492">
        <f t="shared" si="2"/>
        <v>0.009063325885</v>
      </c>
      <c r="AF866" s="490">
        <f t="shared" si="3"/>
        <v>499846085.3</v>
      </c>
      <c r="AG866" s="493">
        <f t="shared" si="6"/>
        <v>1336306.351</v>
      </c>
      <c r="AH866" s="493">
        <f t="shared" si="4"/>
        <v>498509778.9</v>
      </c>
    </row>
    <row r="867">
      <c r="T867" s="494" t="s">
        <v>622</v>
      </c>
      <c r="AB867" s="489">
        <v>865.0</v>
      </c>
      <c r="AC867" s="490">
        <f t="shared" si="5"/>
        <v>499846085.3</v>
      </c>
      <c r="AD867" s="491">
        <f t="shared" si="1"/>
        <v>1500</v>
      </c>
      <c r="AE867" s="492">
        <f t="shared" si="2"/>
        <v>0.009063325885</v>
      </c>
      <c r="AF867" s="490">
        <f t="shared" si="3"/>
        <v>504377853.2</v>
      </c>
      <c r="AG867" s="493">
        <f t="shared" si="6"/>
        <v>1337806.351</v>
      </c>
      <c r="AH867" s="493">
        <f t="shared" si="4"/>
        <v>503040046.9</v>
      </c>
    </row>
    <row r="868">
      <c r="T868" s="494" t="s">
        <v>622</v>
      </c>
      <c r="AB868" s="489">
        <v>866.0</v>
      </c>
      <c r="AC868" s="490">
        <f t="shared" si="5"/>
        <v>504377853.2</v>
      </c>
      <c r="AD868" s="491">
        <f t="shared" si="1"/>
        <v>1500</v>
      </c>
      <c r="AE868" s="492">
        <f t="shared" si="2"/>
        <v>0.009063325885</v>
      </c>
      <c r="AF868" s="490">
        <f t="shared" si="3"/>
        <v>508950694.1</v>
      </c>
      <c r="AG868" s="493">
        <f t="shared" si="6"/>
        <v>1339306.351</v>
      </c>
      <c r="AH868" s="493">
        <f t="shared" si="4"/>
        <v>507611387.7</v>
      </c>
    </row>
    <row r="869">
      <c r="T869" s="494" t="s">
        <v>622</v>
      </c>
      <c r="AB869" s="489">
        <v>867.0</v>
      </c>
      <c r="AC869" s="490">
        <f t="shared" si="5"/>
        <v>508950694.1</v>
      </c>
      <c r="AD869" s="491">
        <f t="shared" si="1"/>
        <v>1500</v>
      </c>
      <c r="AE869" s="492">
        <f t="shared" si="2"/>
        <v>0.009063325885</v>
      </c>
      <c r="AF869" s="490">
        <f t="shared" si="3"/>
        <v>513564980.1</v>
      </c>
      <c r="AG869" s="493">
        <f t="shared" si="6"/>
        <v>1340806.351</v>
      </c>
      <c r="AH869" s="493">
        <f t="shared" si="4"/>
        <v>512224173.7</v>
      </c>
    </row>
    <row r="870">
      <c r="T870" s="494" t="s">
        <v>622</v>
      </c>
      <c r="AB870" s="489">
        <v>868.0</v>
      </c>
      <c r="AC870" s="490">
        <f t="shared" si="5"/>
        <v>513564980.1</v>
      </c>
      <c r="AD870" s="491">
        <f t="shared" si="1"/>
        <v>1500</v>
      </c>
      <c r="AE870" s="492">
        <f t="shared" si="2"/>
        <v>0.009063325885</v>
      </c>
      <c r="AF870" s="490">
        <f t="shared" si="3"/>
        <v>518221086.9</v>
      </c>
      <c r="AG870" s="493">
        <f t="shared" si="6"/>
        <v>1342306.351</v>
      </c>
      <c r="AH870" s="493">
        <f t="shared" si="4"/>
        <v>516878780.5</v>
      </c>
    </row>
    <row r="871">
      <c r="T871" s="494" t="s">
        <v>622</v>
      </c>
      <c r="AB871" s="489">
        <v>869.0</v>
      </c>
      <c r="AC871" s="490">
        <f t="shared" si="5"/>
        <v>518221086.9</v>
      </c>
      <c r="AD871" s="491">
        <f t="shared" si="1"/>
        <v>1500</v>
      </c>
      <c r="AE871" s="492">
        <f t="shared" si="2"/>
        <v>0.009063325885</v>
      </c>
      <c r="AF871" s="490">
        <f t="shared" si="3"/>
        <v>522919393.4</v>
      </c>
      <c r="AG871" s="493">
        <f t="shared" si="6"/>
        <v>1343806.351</v>
      </c>
      <c r="AH871" s="493">
        <f t="shared" si="4"/>
        <v>521575587.1</v>
      </c>
    </row>
    <row r="872">
      <c r="T872" s="494" t="s">
        <v>622</v>
      </c>
      <c r="AB872" s="489">
        <v>870.0</v>
      </c>
      <c r="AC872" s="490">
        <f t="shared" si="5"/>
        <v>522919393.4</v>
      </c>
      <c r="AD872" s="491">
        <f t="shared" si="1"/>
        <v>1500</v>
      </c>
      <c r="AE872" s="492">
        <f t="shared" si="2"/>
        <v>0.009063325885</v>
      </c>
      <c r="AF872" s="490">
        <f t="shared" si="3"/>
        <v>527660282.3</v>
      </c>
      <c r="AG872" s="493">
        <f t="shared" si="6"/>
        <v>1345306.351</v>
      </c>
      <c r="AH872" s="493">
        <f t="shared" si="4"/>
        <v>526314976</v>
      </c>
    </row>
    <row r="873">
      <c r="T873" s="494" t="s">
        <v>622</v>
      </c>
      <c r="AB873" s="489">
        <v>871.0</v>
      </c>
      <c r="AC873" s="490">
        <f t="shared" si="5"/>
        <v>527660282.3</v>
      </c>
      <c r="AD873" s="491">
        <f t="shared" si="1"/>
        <v>1500</v>
      </c>
      <c r="AE873" s="492">
        <f t="shared" si="2"/>
        <v>0.009063325885</v>
      </c>
      <c r="AF873" s="490">
        <f t="shared" si="3"/>
        <v>532444139.4</v>
      </c>
      <c r="AG873" s="493">
        <f t="shared" si="6"/>
        <v>1346806.351</v>
      </c>
      <c r="AH873" s="493">
        <f t="shared" si="4"/>
        <v>531097333.1</v>
      </c>
    </row>
    <row r="874">
      <c r="T874" s="494" t="s">
        <v>622</v>
      </c>
      <c r="AB874" s="489">
        <v>872.0</v>
      </c>
      <c r="AC874" s="490">
        <f t="shared" si="5"/>
        <v>532444139.4</v>
      </c>
      <c r="AD874" s="491">
        <f t="shared" si="1"/>
        <v>1500</v>
      </c>
      <c r="AE874" s="492">
        <f t="shared" si="2"/>
        <v>0.009063325885</v>
      </c>
      <c r="AF874" s="490">
        <f t="shared" si="3"/>
        <v>537271354.2</v>
      </c>
      <c r="AG874" s="493">
        <f t="shared" si="6"/>
        <v>1348306.351</v>
      </c>
      <c r="AH874" s="493">
        <f t="shared" si="4"/>
        <v>535923047.8</v>
      </c>
    </row>
    <row r="875">
      <c r="T875" s="494" t="s">
        <v>622</v>
      </c>
      <c r="AB875" s="489">
        <v>873.0</v>
      </c>
      <c r="AC875" s="490">
        <f t="shared" si="5"/>
        <v>537271354.2</v>
      </c>
      <c r="AD875" s="491">
        <f t="shared" si="1"/>
        <v>1500</v>
      </c>
      <c r="AE875" s="492">
        <f t="shared" si="2"/>
        <v>0.009063325885</v>
      </c>
      <c r="AF875" s="490">
        <f t="shared" si="3"/>
        <v>542142319.5</v>
      </c>
      <c r="AG875" s="493">
        <f t="shared" si="6"/>
        <v>1349806.351</v>
      </c>
      <c r="AH875" s="493">
        <f t="shared" si="4"/>
        <v>540792513.2</v>
      </c>
    </row>
    <row r="876">
      <c r="T876" s="494" t="s">
        <v>622</v>
      </c>
      <c r="AB876" s="489">
        <v>874.0</v>
      </c>
      <c r="AC876" s="490">
        <f t="shared" si="5"/>
        <v>542142319.5</v>
      </c>
      <c r="AD876" s="491">
        <f t="shared" si="1"/>
        <v>1500</v>
      </c>
      <c r="AE876" s="492">
        <f t="shared" si="2"/>
        <v>0.009063325885</v>
      </c>
      <c r="AF876" s="490">
        <f t="shared" si="3"/>
        <v>547057432.1</v>
      </c>
      <c r="AG876" s="493">
        <f t="shared" si="6"/>
        <v>1351306.351</v>
      </c>
      <c r="AH876" s="493">
        <f t="shared" si="4"/>
        <v>545706125.7</v>
      </c>
    </row>
    <row r="877">
      <c r="T877" s="494" t="s">
        <v>622</v>
      </c>
      <c r="AB877" s="489">
        <v>875.0</v>
      </c>
      <c r="AC877" s="490">
        <f t="shared" si="5"/>
        <v>547057432.1</v>
      </c>
      <c r="AD877" s="491">
        <f t="shared" si="1"/>
        <v>1500</v>
      </c>
      <c r="AE877" s="492">
        <f t="shared" si="2"/>
        <v>0.009063325885</v>
      </c>
      <c r="AF877" s="490">
        <f t="shared" si="3"/>
        <v>552017091.8</v>
      </c>
      <c r="AG877" s="493">
        <f t="shared" si="6"/>
        <v>1352806.351</v>
      </c>
      <c r="AH877" s="493">
        <f t="shared" si="4"/>
        <v>550664285.5</v>
      </c>
    </row>
    <row r="878">
      <c r="T878" s="494" t="s">
        <v>622</v>
      </c>
      <c r="AB878" s="489">
        <v>876.0</v>
      </c>
      <c r="AC878" s="490">
        <f t="shared" si="5"/>
        <v>552017091.8</v>
      </c>
      <c r="AD878" s="491">
        <f t="shared" si="1"/>
        <v>1500</v>
      </c>
      <c r="AE878" s="492">
        <f t="shared" si="2"/>
        <v>0.009063325885</v>
      </c>
      <c r="AF878" s="490">
        <f t="shared" si="3"/>
        <v>557021702.6</v>
      </c>
      <c r="AG878" s="493">
        <f t="shared" si="6"/>
        <v>1354306.351</v>
      </c>
      <c r="AH878" s="493">
        <f t="shared" si="4"/>
        <v>555667396.3</v>
      </c>
    </row>
    <row r="879">
      <c r="T879" s="494" t="s">
        <v>622</v>
      </c>
      <c r="AB879" s="489">
        <v>877.0</v>
      </c>
      <c r="AC879" s="490">
        <f t="shared" si="5"/>
        <v>557021702.6</v>
      </c>
      <c r="AD879" s="491">
        <f t="shared" si="1"/>
        <v>1500</v>
      </c>
      <c r="AE879" s="492">
        <f t="shared" si="2"/>
        <v>0.009063325885</v>
      </c>
      <c r="AF879" s="490">
        <f t="shared" si="3"/>
        <v>562071671.9</v>
      </c>
      <c r="AG879" s="493">
        <f t="shared" si="6"/>
        <v>1355806.351</v>
      </c>
      <c r="AH879" s="493">
        <f t="shared" si="4"/>
        <v>560715865.5</v>
      </c>
    </row>
    <row r="880">
      <c r="T880" s="494" t="s">
        <v>622</v>
      </c>
      <c r="AB880" s="489">
        <v>878.0</v>
      </c>
      <c r="AC880" s="490">
        <f t="shared" si="5"/>
        <v>562071671.9</v>
      </c>
      <c r="AD880" s="491">
        <f t="shared" si="1"/>
        <v>1500</v>
      </c>
      <c r="AE880" s="492">
        <f t="shared" si="2"/>
        <v>0.009063325885</v>
      </c>
      <c r="AF880" s="490">
        <f t="shared" si="3"/>
        <v>567167410.6</v>
      </c>
      <c r="AG880" s="493">
        <f t="shared" si="6"/>
        <v>1357306.351</v>
      </c>
      <c r="AH880" s="493">
        <f t="shared" si="4"/>
        <v>565810104.2</v>
      </c>
    </row>
    <row r="881">
      <c r="T881" s="494" t="s">
        <v>622</v>
      </c>
      <c r="AB881" s="489">
        <v>879.0</v>
      </c>
      <c r="AC881" s="490">
        <f t="shared" si="5"/>
        <v>567167410.6</v>
      </c>
      <c r="AD881" s="491">
        <f t="shared" si="1"/>
        <v>1500</v>
      </c>
      <c r="AE881" s="492">
        <f t="shared" si="2"/>
        <v>0.009063325885</v>
      </c>
      <c r="AF881" s="490">
        <f t="shared" si="3"/>
        <v>572309333.7</v>
      </c>
      <c r="AG881" s="493">
        <f t="shared" si="6"/>
        <v>1358806.351</v>
      </c>
      <c r="AH881" s="493">
        <f t="shared" si="4"/>
        <v>570950527.3</v>
      </c>
    </row>
    <row r="882">
      <c r="T882" s="494" t="s">
        <v>622</v>
      </c>
      <c r="AB882" s="489">
        <v>880.0</v>
      </c>
      <c r="AC882" s="490">
        <f t="shared" si="5"/>
        <v>572309333.7</v>
      </c>
      <c r="AD882" s="491">
        <f t="shared" si="1"/>
        <v>1500</v>
      </c>
      <c r="AE882" s="492">
        <f t="shared" si="2"/>
        <v>0.009063325885</v>
      </c>
      <c r="AF882" s="490">
        <f t="shared" si="3"/>
        <v>577497859.7</v>
      </c>
      <c r="AG882" s="493">
        <f t="shared" si="6"/>
        <v>1360306.351</v>
      </c>
      <c r="AH882" s="493">
        <f t="shared" si="4"/>
        <v>576137553.3</v>
      </c>
    </row>
    <row r="883">
      <c r="T883" s="494" t="s">
        <v>622</v>
      </c>
      <c r="AB883" s="489">
        <v>881.0</v>
      </c>
      <c r="AC883" s="490">
        <f t="shared" si="5"/>
        <v>577497859.7</v>
      </c>
      <c r="AD883" s="491">
        <f t="shared" si="1"/>
        <v>1500</v>
      </c>
      <c r="AE883" s="492">
        <f t="shared" si="2"/>
        <v>0.009063325885</v>
      </c>
      <c r="AF883" s="490">
        <f t="shared" si="3"/>
        <v>582733411</v>
      </c>
      <c r="AG883" s="493">
        <f t="shared" si="6"/>
        <v>1361806.351</v>
      </c>
      <c r="AH883" s="493">
        <f t="shared" si="4"/>
        <v>581371604.6</v>
      </c>
    </row>
    <row r="884">
      <c r="T884" s="494" t="s">
        <v>622</v>
      </c>
      <c r="AB884" s="489">
        <v>882.0</v>
      </c>
      <c r="AC884" s="490">
        <f t="shared" si="5"/>
        <v>582733411</v>
      </c>
      <c r="AD884" s="491">
        <f t="shared" si="1"/>
        <v>1500</v>
      </c>
      <c r="AE884" s="492">
        <f t="shared" si="2"/>
        <v>0.009063325885</v>
      </c>
      <c r="AF884" s="490">
        <f t="shared" si="3"/>
        <v>588016413.8</v>
      </c>
      <c r="AG884" s="493">
        <f t="shared" si="6"/>
        <v>1363306.351</v>
      </c>
      <c r="AH884" s="493">
        <f t="shared" si="4"/>
        <v>586653107.4</v>
      </c>
    </row>
    <row r="885">
      <c r="T885" s="494" t="s">
        <v>622</v>
      </c>
      <c r="AB885" s="489">
        <v>883.0</v>
      </c>
      <c r="AC885" s="490">
        <f t="shared" si="5"/>
        <v>588016413.8</v>
      </c>
      <c r="AD885" s="491">
        <f t="shared" si="1"/>
        <v>1500</v>
      </c>
      <c r="AE885" s="492">
        <f t="shared" si="2"/>
        <v>0.009063325885</v>
      </c>
      <c r="AF885" s="490">
        <f t="shared" si="3"/>
        <v>593347298.2</v>
      </c>
      <c r="AG885" s="493">
        <f t="shared" si="6"/>
        <v>1364806.351</v>
      </c>
      <c r="AH885" s="493">
        <f t="shared" si="4"/>
        <v>591982491.8</v>
      </c>
    </row>
    <row r="886">
      <c r="T886" s="494" t="s">
        <v>622</v>
      </c>
      <c r="AB886" s="489">
        <v>884.0</v>
      </c>
      <c r="AC886" s="490">
        <f t="shared" si="5"/>
        <v>593347298.2</v>
      </c>
      <c r="AD886" s="491">
        <f t="shared" si="1"/>
        <v>1500</v>
      </c>
      <c r="AE886" s="492">
        <f t="shared" si="2"/>
        <v>0.009063325885</v>
      </c>
      <c r="AF886" s="490">
        <f t="shared" si="3"/>
        <v>598726498.1</v>
      </c>
      <c r="AG886" s="493">
        <f t="shared" si="6"/>
        <v>1366306.351</v>
      </c>
      <c r="AH886" s="493">
        <f t="shared" si="4"/>
        <v>597360191.7</v>
      </c>
    </row>
    <row r="887">
      <c r="T887" s="494" t="s">
        <v>622</v>
      </c>
      <c r="AB887" s="489">
        <v>885.0</v>
      </c>
      <c r="AC887" s="490">
        <f t="shared" si="5"/>
        <v>598726498.1</v>
      </c>
      <c r="AD887" s="491">
        <f t="shared" si="1"/>
        <v>1500</v>
      </c>
      <c r="AE887" s="492">
        <f t="shared" si="2"/>
        <v>0.009063325885</v>
      </c>
      <c r="AF887" s="490">
        <f t="shared" si="3"/>
        <v>604154451.4</v>
      </c>
      <c r="AG887" s="493">
        <f t="shared" si="6"/>
        <v>1367806.351</v>
      </c>
      <c r="AH887" s="493">
        <f t="shared" si="4"/>
        <v>602786645.1</v>
      </c>
    </row>
    <row r="888">
      <c r="T888" s="494" t="s">
        <v>622</v>
      </c>
      <c r="AB888" s="489">
        <v>886.0</v>
      </c>
      <c r="AC888" s="490">
        <f t="shared" si="5"/>
        <v>604154451.4</v>
      </c>
      <c r="AD888" s="491">
        <f t="shared" si="1"/>
        <v>1500</v>
      </c>
      <c r="AE888" s="492">
        <f t="shared" si="2"/>
        <v>0.009063325885</v>
      </c>
      <c r="AF888" s="490">
        <f t="shared" si="3"/>
        <v>609631600.1</v>
      </c>
      <c r="AG888" s="493">
        <f t="shared" si="6"/>
        <v>1369306.351</v>
      </c>
      <c r="AH888" s="493">
        <f t="shared" si="4"/>
        <v>608262293.8</v>
      </c>
    </row>
    <row r="889">
      <c r="T889" s="494" t="s">
        <v>622</v>
      </c>
      <c r="AB889" s="489">
        <v>887.0</v>
      </c>
      <c r="AC889" s="490">
        <f t="shared" si="5"/>
        <v>609631600.1</v>
      </c>
      <c r="AD889" s="491">
        <f t="shared" si="1"/>
        <v>1500</v>
      </c>
      <c r="AE889" s="492">
        <f t="shared" si="2"/>
        <v>0.009063325885</v>
      </c>
      <c r="AF889" s="490">
        <f t="shared" si="3"/>
        <v>615158390</v>
      </c>
      <c r="AG889" s="493">
        <f t="shared" si="6"/>
        <v>1370806.351</v>
      </c>
      <c r="AH889" s="493">
        <f t="shared" si="4"/>
        <v>613787583.6</v>
      </c>
    </row>
    <row r="890">
      <c r="T890" s="494" t="s">
        <v>622</v>
      </c>
      <c r="AB890" s="489">
        <v>888.0</v>
      </c>
      <c r="AC890" s="490">
        <f t="shared" si="5"/>
        <v>615158390</v>
      </c>
      <c r="AD890" s="491">
        <f t="shared" si="1"/>
        <v>1500</v>
      </c>
      <c r="AE890" s="492">
        <f t="shared" si="2"/>
        <v>0.009063325885</v>
      </c>
      <c r="AF890" s="490">
        <f t="shared" si="3"/>
        <v>620735270.9</v>
      </c>
      <c r="AG890" s="493">
        <f t="shared" si="6"/>
        <v>1372306.351</v>
      </c>
      <c r="AH890" s="493">
        <f t="shared" si="4"/>
        <v>619362964.6</v>
      </c>
    </row>
    <row r="891">
      <c r="T891" s="494" t="s">
        <v>622</v>
      </c>
      <c r="AB891" s="489">
        <v>889.0</v>
      </c>
      <c r="AC891" s="490">
        <f t="shared" si="5"/>
        <v>620735270.9</v>
      </c>
      <c r="AD891" s="491">
        <f t="shared" si="1"/>
        <v>1500</v>
      </c>
      <c r="AE891" s="492">
        <f t="shared" si="2"/>
        <v>0.009063325885</v>
      </c>
      <c r="AF891" s="490">
        <f t="shared" si="3"/>
        <v>626362697</v>
      </c>
      <c r="AG891" s="493">
        <f t="shared" si="6"/>
        <v>1373806.351</v>
      </c>
      <c r="AH891" s="493">
        <f t="shared" si="4"/>
        <v>624988890.6</v>
      </c>
    </row>
    <row r="892">
      <c r="T892" s="494" t="s">
        <v>622</v>
      </c>
      <c r="AB892" s="489">
        <v>890.0</v>
      </c>
      <c r="AC892" s="490">
        <f t="shared" si="5"/>
        <v>626362697</v>
      </c>
      <c r="AD892" s="491">
        <f t="shared" si="1"/>
        <v>1500</v>
      </c>
      <c r="AE892" s="492">
        <f t="shared" si="2"/>
        <v>0.009063325885</v>
      </c>
      <c r="AF892" s="490">
        <f t="shared" si="3"/>
        <v>632041126.2</v>
      </c>
      <c r="AG892" s="493">
        <f t="shared" si="6"/>
        <v>1375306.351</v>
      </c>
      <c r="AH892" s="493">
        <f t="shared" si="4"/>
        <v>630665819.9</v>
      </c>
    </row>
    <row r="893">
      <c r="T893" s="494" t="s">
        <v>622</v>
      </c>
      <c r="AB893" s="489">
        <v>891.0</v>
      </c>
      <c r="AC893" s="490">
        <f t="shared" si="5"/>
        <v>632041126.2</v>
      </c>
      <c r="AD893" s="491">
        <f t="shared" si="1"/>
        <v>1500</v>
      </c>
      <c r="AE893" s="492">
        <f t="shared" si="2"/>
        <v>0.009063325885</v>
      </c>
      <c r="AF893" s="490">
        <f t="shared" si="3"/>
        <v>637771020.9</v>
      </c>
      <c r="AG893" s="493">
        <f t="shared" si="6"/>
        <v>1376806.351</v>
      </c>
      <c r="AH893" s="493">
        <f t="shared" si="4"/>
        <v>636394214.6</v>
      </c>
    </row>
    <row r="894">
      <c r="T894" s="494" t="s">
        <v>622</v>
      </c>
      <c r="AB894" s="489">
        <v>892.0</v>
      </c>
      <c r="AC894" s="490">
        <f t="shared" si="5"/>
        <v>637771020.9</v>
      </c>
      <c r="AD894" s="491">
        <f t="shared" si="1"/>
        <v>1500</v>
      </c>
      <c r="AE894" s="492">
        <f t="shared" si="2"/>
        <v>0.009063325885</v>
      </c>
      <c r="AF894" s="490">
        <f t="shared" si="3"/>
        <v>643552847.5</v>
      </c>
      <c r="AG894" s="493">
        <f t="shared" si="6"/>
        <v>1378306.351</v>
      </c>
      <c r="AH894" s="493">
        <f t="shared" si="4"/>
        <v>642174541.2</v>
      </c>
    </row>
    <row r="895">
      <c r="T895" s="494" t="s">
        <v>622</v>
      </c>
      <c r="AB895" s="489">
        <v>893.0</v>
      </c>
      <c r="AC895" s="490">
        <f t="shared" si="5"/>
        <v>643552847.5</v>
      </c>
      <c r="AD895" s="491">
        <f t="shared" si="1"/>
        <v>1500</v>
      </c>
      <c r="AE895" s="492">
        <f t="shared" si="2"/>
        <v>0.009063325885</v>
      </c>
      <c r="AF895" s="490">
        <f t="shared" si="3"/>
        <v>649387076.7</v>
      </c>
      <c r="AG895" s="493">
        <f t="shared" si="6"/>
        <v>1379806.351</v>
      </c>
      <c r="AH895" s="493">
        <f t="shared" si="4"/>
        <v>648007270.4</v>
      </c>
    </row>
    <row r="896">
      <c r="T896" s="494" t="s">
        <v>622</v>
      </c>
      <c r="AB896" s="489">
        <v>894.0</v>
      </c>
      <c r="AC896" s="490">
        <f t="shared" si="5"/>
        <v>649387076.7</v>
      </c>
      <c r="AD896" s="491">
        <f t="shared" si="1"/>
        <v>1500</v>
      </c>
      <c r="AE896" s="492">
        <f t="shared" si="2"/>
        <v>0.009063325885</v>
      </c>
      <c r="AF896" s="490">
        <f t="shared" si="3"/>
        <v>655274183.4</v>
      </c>
      <c r="AG896" s="493">
        <f t="shared" si="6"/>
        <v>1381306.351</v>
      </c>
      <c r="AH896" s="493">
        <f t="shared" si="4"/>
        <v>653892877.1</v>
      </c>
    </row>
    <row r="897">
      <c r="T897" s="494" t="s">
        <v>622</v>
      </c>
      <c r="AB897" s="489">
        <v>895.0</v>
      </c>
      <c r="AC897" s="490">
        <f t="shared" si="5"/>
        <v>655274183.4</v>
      </c>
      <c r="AD897" s="491">
        <f t="shared" si="1"/>
        <v>1500</v>
      </c>
      <c r="AE897" s="492">
        <f t="shared" si="2"/>
        <v>0.009063325885</v>
      </c>
      <c r="AF897" s="490">
        <f t="shared" si="3"/>
        <v>661214646.9</v>
      </c>
      <c r="AG897" s="493">
        <f t="shared" si="6"/>
        <v>1382806.351</v>
      </c>
      <c r="AH897" s="493">
        <f t="shared" si="4"/>
        <v>659831840.5</v>
      </c>
    </row>
    <row r="898">
      <c r="T898" s="494" t="s">
        <v>622</v>
      </c>
      <c r="AB898" s="489">
        <v>896.0</v>
      </c>
      <c r="AC898" s="490">
        <f t="shared" si="5"/>
        <v>661214646.9</v>
      </c>
      <c r="AD898" s="491">
        <f t="shared" si="1"/>
        <v>1500</v>
      </c>
      <c r="AE898" s="492">
        <f t="shared" si="2"/>
        <v>0.009063325885</v>
      </c>
      <c r="AF898" s="490">
        <f t="shared" si="3"/>
        <v>667208950.7</v>
      </c>
      <c r="AG898" s="493">
        <f t="shared" si="6"/>
        <v>1384306.351</v>
      </c>
      <c r="AH898" s="493">
        <f t="shared" si="4"/>
        <v>665824644.4</v>
      </c>
    </row>
    <row r="899">
      <c r="T899" s="494" t="s">
        <v>622</v>
      </c>
      <c r="AB899" s="489">
        <v>897.0</v>
      </c>
      <c r="AC899" s="490">
        <f t="shared" si="5"/>
        <v>667208950.7</v>
      </c>
      <c r="AD899" s="491">
        <f t="shared" si="1"/>
        <v>1500</v>
      </c>
      <c r="AE899" s="492">
        <f t="shared" si="2"/>
        <v>0.009063325885</v>
      </c>
      <c r="AF899" s="490">
        <f t="shared" si="3"/>
        <v>673257582.9</v>
      </c>
      <c r="AG899" s="493">
        <f t="shared" si="6"/>
        <v>1385806.351</v>
      </c>
      <c r="AH899" s="493">
        <f t="shared" si="4"/>
        <v>671871776.5</v>
      </c>
    </row>
    <row r="900">
      <c r="T900" s="494" t="s">
        <v>622</v>
      </c>
      <c r="AB900" s="489">
        <v>898.0</v>
      </c>
      <c r="AC900" s="490">
        <f t="shared" si="5"/>
        <v>673257582.9</v>
      </c>
      <c r="AD900" s="491">
        <f t="shared" si="1"/>
        <v>1500</v>
      </c>
      <c r="AE900" s="492">
        <f t="shared" si="2"/>
        <v>0.009063325885</v>
      </c>
      <c r="AF900" s="490">
        <f t="shared" si="3"/>
        <v>679361035.8</v>
      </c>
      <c r="AG900" s="493">
        <f t="shared" si="6"/>
        <v>1387306.351</v>
      </c>
      <c r="AH900" s="493">
        <f t="shared" si="4"/>
        <v>677973729.4</v>
      </c>
    </row>
    <row r="901">
      <c r="T901" s="494" t="s">
        <v>622</v>
      </c>
      <c r="AB901" s="489">
        <v>899.0</v>
      </c>
      <c r="AC901" s="490">
        <f t="shared" si="5"/>
        <v>679361035.8</v>
      </c>
      <c r="AD901" s="491">
        <f t="shared" si="1"/>
        <v>1500</v>
      </c>
      <c r="AE901" s="492">
        <f t="shared" si="2"/>
        <v>0.009063325885</v>
      </c>
      <c r="AF901" s="490">
        <f t="shared" si="3"/>
        <v>685519806.2</v>
      </c>
      <c r="AG901" s="493">
        <f t="shared" si="6"/>
        <v>1388806.351</v>
      </c>
      <c r="AH901" s="493">
        <f t="shared" si="4"/>
        <v>684130999.9</v>
      </c>
    </row>
    <row r="902">
      <c r="T902" s="494" t="s">
        <v>622</v>
      </c>
      <c r="AB902" s="489">
        <v>900.0</v>
      </c>
      <c r="AC902" s="490">
        <f t="shared" si="5"/>
        <v>685519806.2</v>
      </c>
      <c r="AD902" s="491">
        <f t="shared" si="1"/>
        <v>1500</v>
      </c>
      <c r="AE902" s="492">
        <f t="shared" si="2"/>
        <v>0.009063325885</v>
      </c>
      <c r="AF902" s="490">
        <f t="shared" si="3"/>
        <v>691734395.6</v>
      </c>
      <c r="AG902" s="493">
        <f t="shared" si="6"/>
        <v>1390306.351</v>
      </c>
      <c r="AH902" s="493">
        <f t="shared" si="4"/>
        <v>690344089.3</v>
      </c>
    </row>
    <row r="903">
      <c r="T903" s="494" t="s">
        <v>622</v>
      </c>
      <c r="AB903" s="489">
        <v>901.0</v>
      </c>
      <c r="AC903" s="490">
        <f t="shared" si="5"/>
        <v>691734395.6</v>
      </c>
      <c r="AD903" s="491">
        <f t="shared" si="1"/>
        <v>1500</v>
      </c>
      <c r="AE903" s="492">
        <f t="shared" si="2"/>
        <v>0.009063325885</v>
      </c>
      <c r="AF903" s="490">
        <f t="shared" si="3"/>
        <v>698005309.9</v>
      </c>
      <c r="AG903" s="493">
        <f t="shared" si="6"/>
        <v>1391806.351</v>
      </c>
      <c r="AH903" s="493">
        <f t="shared" si="4"/>
        <v>696613503.5</v>
      </c>
    </row>
    <row r="904">
      <c r="T904" s="494" t="s">
        <v>622</v>
      </c>
      <c r="AB904" s="489">
        <v>902.0</v>
      </c>
      <c r="AC904" s="490">
        <f t="shared" si="5"/>
        <v>698005309.9</v>
      </c>
      <c r="AD904" s="491">
        <f t="shared" si="1"/>
        <v>1500</v>
      </c>
      <c r="AE904" s="492">
        <f t="shared" si="2"/>
        <v>0.009063325885</v>
      </c>
      <c r="AF904" s="490">
        <f t="shared" si="3"/>
        <v>704333059.5</v>
      </c>
      <c r="AG904" s="493">
        <f t="shared" si="6"/>
        <v>1393306.351</v>
      </c>
      <c r="AH904" s="493">
        <f t="shared" si="4"/>
        <v>702939753.1</v>
      </c>
    </row>
    <row r="905">
      <c r="T905" s="494" t="s">
        <v>622</v>
      </c>
      <c r="AB905" s="489">
        <v>903.0</v>
      </c>
      <c r="AC905" s="490">
        <f t="shared" si="5"/>
        <v>704333059.5</v>
      </c>
      <c r="AD905" s="491">
        <f t="shared" si="1"/>
        <v>1500</v>
      </c>
      <c r="AE905" s="492">
        <f t="shared" si="2"/>
        <v>0.009063325885</v>
      </c>
      <c r="AF905" s="490">
        <f t="shared" si="3"/>
        <v>710718159.5</v>
      </c>
      <c r="AG905" s="493">
        <f t="shared" si="6"/>
        <v>1394806.351</v>
      </c>
      <c r="AH905" s="493">
        <f t="shared" si="4"/>
        <v>709323353.2</v>
      </c>
    </row>
    <row r="906">
      <c r="T906" s="494" t="s">
        <v>622</v>
      </c>
      <c r="AB906" s="489">
        <v>904.0</v>
      </c>
      <c r="AC906" s="490">
        <f t="shared" si="5"/>
        <v>710718159.5</v>
      </c>
      <c r="AD906" s="491">
        <f t="shared" si="1"/>
        <v>1500</v>
      </c>
      <c r="AE906" s="492">
        <f t="shared" si="2"/>
        <v>0.009063325885</v>
      </c>
      <c r="AF906" s="490">
        <f t="shared" si="3"/>
        <v>717161129.8</v>
      </c>
      <c r="AG906" s="493">
        <f t="shared" si="6"/>
        <v>1396306.351</v>
      </c>
      <c r="AH906" s="493">
        <f t="shared" si="4"/>
        <v>715764823.5</v>
      </c>
    </row>
    <row r="907">
      <c r="T907" s="494" t="s">
        <v>622</v>
      </c>
      <c r="AB907" s="489">
        <v>905.0</v>
      </c>
      <c r="AC907" s="490">
        <f t="shared" si="5"/>
        <v>717161129.8</v>
      </c>
      <c r="AD907" s="491">
        <f t="shared" si="1"/>
        <v>1500</v>
      </c>
      <c r="AE907" s="492">
        <f t="shared" si="2"/>
        <v>0.009063325885</v>
      </c>
      <c r="AF907" s="490">
        <f t="shared" si="3"/>
        <v>723662494.8</v>
      </c>
      <c r="AG907" s="493">
        <f t="shared" si="6"/>
        <v>1397806.351</v>
      </c>
      <c r="AH907" s="493">
        <f t="shared" si="4"/>
        <v>722264688.5</v>
      </c>
    </row>
    <row r="908">
      <c r="T908" s="494" t="s">
        <v>622</v>
      </c>
      <c r="AB908" s="489">
        <v>906.0</v>
      </c>
      <c r="AC908" s="490">
        <f t="shared" si="5"/>
        <v>723662494.8</v>
      </c>
      <c r="AD908" s="491">
        <f t="shared" si="1"/>
        <v>1500</v>
      </c>
      <c r="AE908" s="492">
        <f t="shared" si="2"/>
        <v>0.009063325885</v>
      </c>
      <c r="AF908" s="490">
        <f t="shared" si="3"/>
        <v>730222783.9</v>
      </c>
      <c r="AG908" s="493">
        <f t="shared" si="6"/>
        <v>1399306.351</v>
      </c>
      <c r="AH908" s="493">
        <f t="shared" si="4"/>
        <v>728823477.5</v>
      </c>
    </row>
    <row r="909">
      <c r="T909" s="494" t="s">
        <v>622</v>
      </c>
      <c r="AB909" s="489">
        <v>907.0</v>
      </c>
      <c r="AC909" s="490">
        <f t="shared" si="5"/>
        <v>730222783.9</v>
      </c>
      <c r="AD909" s="491">
        <f t="shared" si="1"/>
        <v>1500</v>
      </c>
      <c r="AE909" s="492">
        <f t="shared" si="2"/>
        <v>0.009063325885</v>
      </c>
      <c r="AF909" s="490">
        <f t="shared" si="3"/>
        <v>736842530.9</v>
      </c>
      <c r="AG909" s="493">
        <f t="shared" si="6"/>
        <v>1400806.351</v>
      </c>
      <c r="AH909" s="493">
        <f t="shared" si="4"/>
        <v>735441724.6</v>
      </c>
    </row>
    <row r="910">
      <c r="T910" s="494" t="s">
        <v>622</v>
      </c>
      <c r="AB910" s="489">
        <v>908.0</v>
      </c>
      <c r="AC910" s="490">
        <f t="shared" si="5"/>
        <v>736842530.9</v>
      </c>
      <c r="AD910" s="491">
        <f t="shared" si="1"/>
        <v>1500</v>
      </c>
      <c r="AE910" s="492">
        <f t="shared" si="2"/>
        <v>0.009063325885</v>
      </c>
      <c r="AF910" s="490">
        <f t="shared" si="3"/>
        <v>743522274.9</v>
      </c>
      <c r="AG910" s="493">
        <f t="shared" si="6"/>
        <v>1402306.351</v>
      </c>
      <c r="AH910" s="493">
        <f t="shared" si="4"/>
        <v>742119968.6</v>
      </c>
    </row>
    <row r="911">
      <c r="T911" s="494" t="s">
        <v>622</v>
      </c>
      <c r="AB911" s="489">
        <v>909.0</v>
      </c>
      <c r="AC911" s="490">
        <f t="shared" si="5"/>
        <v>743522274.9</v>
      </c>
      <c r="AD911" s="491">
        <f t="shared" si="1"/>
        <v>1500</v>
      </c>
      <c r="AE911" s="492">
        <f t="shared" si="2"/>
        <v>0.009063325885</v>
      </c>
      <c r="AF911" s="490">
        <f t="shared" si="3"/>
        <v>750262559.6</v>
      </c>
      <c r="AG911" s="493">
        <f t="shared" si="6"/>
        <v>1403806.351</v>
      </c>
      <c r="AH911" s="493">
        <f t="shared" si="4"/>
        <v>748858753.2</v>
      </c>
    </row>
    <row r="912">
      <c r="T912" s="494" t="s">
        <v>622</v>
      </c>
      <c r="AB912" s="489">
        <v>910.0</v>
      </c>
      <c r="AC912" s="490">
        <f t="shared" si="5"/>
        <v>750262559.6</v>
      </c>
      <c r="AD912" s="491">
        <f t="shared" si="1"/>
        <v>1500</v>
      </c>
      <c r="AE912" s="492">
        <f t="shared" si="2"/>
        <v>0.009063325885</v>
      </c>
      <c r="AF912" s="490">
        <f t="shared" si="3"/>
        <v>757063933.7</v>
      </c>
      <c r="AG912" s="493">
        <f t="shared" si="6"/>
        <v>1405306.351</v>
      </c>
      <c r="AH912" s="493">
        <f t="shared" si="4"/>
        <v>755658627.3</v>
      </c>
    </row>
    <row r="913">
      <c r="T913" s="494" t="s">
        <v>622</v>
      </c>
      <c r="AB913" s="489">
        <v>911.0</v>
      </c>
      <c r="AC913" s="490">
        <f t="shared" si="5"/>
        <v>757063933.7</v>
      </c>
      <c r="AD913" s="491">
        <f t="shared" si="1"/>
        <v>1500</v>
      </c>
      <c r="AE913" s="492">
        <f t="shared" si="2"/>
        <v>0.009063325885</v>
      </c>
      <c r="AF913" s="490">
        <f t="shared" si="3"/>
        <v>763926950.8</v>
      </c>
      <c r="AG913" s="493">
        <f t="shared" si="6"/>
        <v>1406806.351</v>
      </c>
      <c r="AH913" s="493">
        <f t="shared" si="4"/>
        <v>762520144.5</v>
      </c>
    </row>
    <row r="914">
      <c r="T914" s="494" t="s">
        <v>622</v>
      </c>
      <c r="AB914" s="489">
        <v>912.0</v>
      </c>
      <c r="AC914" s="490">
        <f t="shared" si="5"/>
        <v>763926950.8</v>
      </c>
      <c r="AD914" s="491">
        <f t="shared" si="1"/>
        <v>1500</v>
      </c>
      <c r="AE914" s="492">
        <f t="shared" si="2"/>
        <v>0.009063325885</v>
      </c>
      <c r="AF914" s="490">
        <f t="shared" si="3"/>
        <v>770852169.7</v>
      </c>
      <c r="AG914" s="493">
        <f t="shared" si="6"/>
        <v>1408306.351</v>
      </c>
      <c r="AH914" s="493">
        <f t="shared" si="4"/>
        <v>769443863.4</v>
      </c>
    </row>
    <row r="915">
      <c r="T915" s="494" t="s">
        <v>622</v>
      </c>
      <c r="AB915" s="489">
        <v>913.0</v>
      </c>
      <c r="AC915" s="490">
        <f t="shared" si="5"/>
        <v>770852169.7</v>
      </c>
      <c r="AD915" s="491">
        <f t="shared" si="1"/>
        <v>1500</v>
      </c>
      <c r="AE915" s="492">
        <f t="shared" si="2"/>
        <v>0.009063325885</v>
      </c>
      <c r="AF915" s="490">
        <f t="shared" si="3"/>
        <v>777840154.1</v>
      </c>
      <c r="AG915" s="493">
        <f t="shared" si="6"/>
        <v>1409806.351</v>
      </c>
      <c r="AH915" s="493">
        <f t="shared" si="4"/>
        <v>776430347.8</v>
      </c>
    </row>
    <row r="916">
      <c r="T916" s="494" t="s">
        <v>622</v>
      </c>
      <c r="AB916" s="489">
        <v>914.0</v>
      </c>
      <c r="AC916" s="490">
        <f t="shared" si="5"/>
        <v>777840154.1</v>
      </c>
      <c r="AD916" s="491">
        <f t="shared" si="1"/>
        <v>1500</v>
      </c>
      <c r="AE916" s="492">
        <f t="shared" si="2"/>
        <v>0.009063325885</v>
      </c>
      <c r="AF916" s="490">
        <f t="shared" si="3"/>
        <v>784891472.9</v>
      </c>
      <c r="AG916" s="493">
        <f t="shared" si="6"/>
        <v>1411306.351</v>
      </c>
      <c r="AH916" s="493">
        <f t="shared" si="4"/>
        <v>783480166.6</v>
      </c>
    </row>
    <row r="917">
      <c r="T917" s="494" t="s">
        <v>622</v>
      </c>
      <c r="AB917" s="489">
        <v>915.0</v>
      </c>
      <c r="AC917" s="490">
        <f t="shared" si="5"/>
        <v>784891472.9</v>
      </c>
      <c r="AD917" s="491">
        <f t="shared" si="1"/>
        <v>1500</v>
      </c>
      <c r="AE917" s="492">
        <f t="shared" si="2"/>
        <v>0.009063325885</v>
      </c>
      <c r="AF917" s="490">
        <f t="shared" si="3"/>
        <v>792006700.1</v>
      </c>
      <c r="AG917" s="493">
        <f t="shared" si="6"/>
        <v>1412806.351</v>
      </c>
      <c r="AH917" s="493">
        <f t="shared" si="4"/>
        <v>790593893.8</v>
      </c>
    </row>
    <row r="918">
      <c r="T918" s="494" t="s">
        <v>622</v>
      </c>
      <c r="AB918" s="489">
        <v>916.0</v>
      </c>
      <c r="AC918" s="490">
        <f t="shared" si="5"/>
        <v>792006700.1</v>
      </c>
      <c r="AD918" s="491">
        <f t="shared" si="1"/>
        <v>1500</v>
      </c>
      <c r="AE918" s="492">
        <f t="shared" si="2"/>
        <v>0.009063325885</v>
      </c>
      <c r="AF918" s="490">
        <f t="shared" si="3"/>
        <v>799186415</v>
      </c>
      <c r="AG918" s="493">
        <f t="shared" si="6"/>
        <v>1414306.351</v>
      </c>
      <c r="AH918" s="493">
        <f t="shared" si="4"/>
        <v>797772108.6</v>
      </c>
    </row>
    <row r="919">
      <c r="T919" s="494" t="s">
        <v>622</v>
      </c>
      <c r="AB919" s="489">
        <v>917.0</v>
      </c>
      <c r="AC919" s="490">
        <f t="shared" si="5"/>
        <v>799186415</v>
      </c>
      <c r="AD919" s="491">
        <f t="shared" si="1"/>
        <v>1500</v>
      </c>
      <c r="AE919" s="492">
        <f t="shared" si="2"/>
        <v>0.009063325885</v>
      </c>
      <c r="AF919" s="490">
        <f t="shared" si="3"/>
        <v>806431201.9</v>
      </c>
      <c r="AG919" s="493">
        <f t="shared" si="6"/>
        <v>1415806.351</v>
      </c>
      <c r="AH919" s="493">
        <f t="shared" si="4"/>
        <v>805015395.5</v>
      </c>
    </row>
    <row r="920">
      <c r="T920" s="494" t="s">
        <v>622</v>
      </c>
      <c r="AB920" s="489">
        <v>918.0</v>
      </c>
      <c r="AC920" s="490">
        <f t="shared" si="5"/>
        <v>806431201.9</v>
      </c>
      <c r="AD920" s="491">
        <f t="shared" si="1"/>
        <v>1500</v>
      </c>
      <c r="AE920" s="492">
        <f t="shared" si="2"/>
        <v>0.009063325885</v>
      </c>
      <c r="AF920" s="490">
        <f t="shared" si="3"/>
        <v>813741650.7</v>
      </c>
      <c r="AG920" s="493">
        <f t="shared" si="6"/>
        <v>1417306.351</v>
      </c>
      <c r="AH920" s="493">
        <f t="shared" si="4"/>
        <v>812324344.3</v>
      </c>
    </row>
    <row r="921">
      <c r="T921" s="494" t="s">
        <v>622</v>
      </c>
      <c r="AB921" s="489">
        <v>919.0</v>
      </c>
      <c r="AC921" s="490">
        <f t="shared" si="5"/>
        <v>813741650.7</v>
      </c>
      <c r="AD921" s="491">
        <f t="shared" si="1"/>
        <v>1500</v>
      </c>
      <c r="AE921" s="492">
        <f t="shared" si="2"/>
        <v>0.009063325885</v>
      </c>
      <c r="AF921" s="490">
        <f t="shared" si="3"/>
        <v>821118356.4</v>
      </c>
      <c r="AG921" s="493">
        <f t="shared" si="6"/>
        <v>1418806.351</v>
      </c>
      <c r="AH921" s="493">
        <f t="shared" si="4"/>
        <v>819699550.1</v>
      </c>
    </row>
    <row r="922">
      <c r="T922" s="494" t="s">
        <v>622</v>
      </c>
      <c r="AB922" s="489">
        <v>920.0</v>
      </c>
      <c r="AC922" s="490">
        <f t="shared" si="5"/>
        <v>821118356.4</v>
      </c>
      <c r="AD922" s="491">
        <f t="shared" si="1"/>
        <v>1500</v>
      </c>
      <c r="AE922" s="492">
        <f t="shared" si="2"/>
        <v>0.009063325885</v>
      </c>
      <c r="AF922" s="490">
        <f t="shared" si="3"/>
        <v>828561919.7</v>
      </c>
      <c r="AG922" s="493">
        <f t="shared" si="6"/>
        <v>1420306.351</v>
      </c>
      <c r="AH922" s="493">
        <f t="shared" si="4"/>
        <v>827141613.3</v>
      </c>
    </row>
    <row r="923">
      <c r="T923" s="494" t="s">
        <v>622</v>
      </c>
      <c r="AB923" s="489">
        <v>921.0</v>
      </c>
      <c r="AC923" s="490">
        <f t="shared" si="5"/>
        <v>828561919.7</v>
      </c>
      <c r="AD923" s="491">
        <f t="shared" si="1"/>
        <v>1500</v>
      </c>
      <c r="AE923" s="492">
        <f t="shared" si="2"/>
        <v>0.009063325885</v>
      </c>
      <c r="AF923" s="490">
        <f t="shared" si="3"/>
        <v>836072946.4</v>
      </c>
      <c r="AG923" s="493">
        <f t="shared" si="6"/>
        <v>1421806.351</v>
      </c>
      <c r="AH923" s="493">
        <f t="shared" si="4"/>
        <v>834651140</v>
      </c>
    </row>
    <row r="924">
      <c r="T924" s="494" t="s">
        <v>622</v>
      </c>
      <c r="AB924" s="489">
        <v>922.0</v>
      </c>
      <c r="AC924" s="490">
        <f t="shared" si="5"/>
        <v>836072946.4</v>
      </c>
      <c r="AD924" s="491">
        <f t="shared" si="1"/>
        <v>1500</v>
      </c>
      <c r="AE924" s="492">
        <f t="shared" si="2"/>
        <v>0.009063325885</v>
      </c>
      <c r="AF924" s="490">
        <f t="shared" si="3"/>
        <v>843652048</v>
      </c>
      <c r="AG924" s="493">
        <f t="shared" si="6"/>
        <v>1423306.351</v>
      </c>
      <c r="AH924" s="493">
        <f t="shared" si="4"/>
        <v>842228741.6</v>
      </c>
    </row>
    <row r="925">
      <c r="T925" s="494" t="s">
        <v>622</v>
      </c>
      <c r="AB925" s="489">
        <v>923.0</v>
      </c>
      <c r="AC925" s="490">
        <f t="shared" si="5"/>
        <v>843652048</v>
      </c>
      <c r="AD925" s="491">
        <f t="shared" si="1"/>
        <v>1500</v>
      </c>
      <c r="AE925" s="492">
        <f t="shared" si="2"/>
        <v>0.009063325885</v>
      </c>
      <c r="AF925" s="490">
        <f t="shared" si="3"/>
        <v>851299841.4</v>
      </c>
      <c r="AG925" s="493">
        <f t="shared" si="6"/>
        <v>1424806.351</v>
      </c>
      <c r="AH925" s="493">
        <f t="shared" si="4"/>
        <v>849875035.1</v>
      </c>
    </row>
    <row r="926">
      <c r="T926" s="494" t="s">
        <v>622</v>
      </c>
      <c r="AB926" s="489">
        <v>924.0</v>
      </c>
      <c r="AC926" s="490">
        <f t="shared" si="5"/>
        <v>851299841.4</v>
      </c>
      <c r="AD926" s="491">
        <f t="shared" si="1"/>
        <v>1500</v>
      </c>
      <c r="AE926" s="492">
        <f t="shared" si="2"/>
        <v>0.009063325885</v>
      </c>
      <c r="AF926" s="490">
        <f t="shared" si="3"/>
        <v>859016949.3</v>
      </c>
      <c r="AG926" s="493">
        <f t="shared" si="6"/>
        <v>1426306.351</v>
      </c>
      <c r="AH926" s="493">
        <f t="shared" si="4"/>
        <v>857590643</v>
      </c>
    </row>
    <row r="927">
      <c r="T927" s="494" t="s">
        <v>622</v>
      </c>
      <c r="AB927" s="489">
        <v>925.0</v>
      </c>
      <c r="AC927" s="490">
        <f t="shared" si="5"/>
        <v>859016949.3</v>
      </c>
      <c r="AD927" s="491">
        <f t="shared" si="1"/>
        <v>1500</v>
      </c>
      <c r="AE927" s="492">
        <f t="shared" si="2"/>
        <v>0.009063325885</v>
      </c>
      <c r="AF927" s="490">
        <f t="shared" si="3"/>
        <v>866803999.9</v>
      </c>
      <c r="AG927" s="493">
        <f t="shared" si="6"/>
        <v>1427806.351</v>
      </c>
      <c r="AH927" s="493">
        <f t="shared" si="4"/>
        <v>865376193.5</v>
      </c>
    </row>
    <row r="928">
      <c r="T928" s="494" t="s">
        <v>622</v>
      </c>
      <c r="AB928" s="489">
        <v>926.0</v>
      </c>
      <c r="AC928" s="490">
        <f t="shared" si="5"/>
        <v>866803999.9</v>
      </c>
      <c r="AD928" s="491">
        <f t="shared" si="1"/>
        <v>1500</v>
      </c>
      <c r="AE928" s="492">
        <f t="shared" si="2"/>
        <v>0.009063325885</v>
      </c>
      <c r="AF928" s="490">
        <f t="shared" si="3"/>
        <v>874661627</v>
      </c>
      <c r="AG928" s="493">
        <f t="shared" si="6"/>
        <v>1429306.351</v>
      </c>
      <c r="AH928" s="493">
        <f t="shared" si="4"/>
        <v>873232320.6</v>
      </c>
    </row>
    <row r="929">
      <c r="T929" s="494" t="s">
        <v>622</v>
      </c>
      <c r="AB929" s="489">
        <v>927.0</v>
      </c>
      <c r="AC929" s="490">
        <f t="shared" si="5"/>
        <v>874661627</v>
      </c>
      <c r="AD929" s="491">
        <f t="shared" si="1"/>
        <v>1500</v>
      </c>
      <c r="AE929" s="492">
        <f t="shared" si="2"/>
        <v>0.009063325885</v>
      </c>
      <c r="AF929" s="490">
        <f t="shared" si="3"/>
        <v>882590470.3</v>
      </c>
      <c r="AG929" s="493">
        <f t="shared" si="6"/>
        <v>1430806.351</v>
      </c>
      <c r="AH929" s="493">
        <f t="shared" si="4"/>
        <v>881159664</v>
      </c>
    </row>
    <row r="930">
      <c r="T930" s="494" t="s">
        <v>622</v>
      </c>
      <c r="AB930" s="489">
        <v>928.0</v>
      </c>
      <c r="AC930" s="490">
        <f t="shared" si="5"/>
        <v>882590470.3</v>
      </c>
      <c r="AD930" s="491">
        <f t="shared" si="1"/>
        <v>1500</v>
      </c>
      <c r="AE930" s="492">
        <f t="shared" si="2"/>
        <v>0.009063325885</v>
      </c>
      <c r="AF930" s="490">
        <f t="shared" si="3"/>
        <v>890591175.4</v>
      </c>
      <c r="AG930" s="493">
        <f t="shared" si="6"/>
        <v>1432306.351</v>
      </c>
      <c r="AH930" s="493">
        <f t="shared" si="4"/>
        <v>889158869.1</v>
      </c>
    </row>
    <row r="931">
      <c r="T931" s="494" t="s">
        <v>622</v>
      </c>
      <c r="AB931" s="489">
        <v>929.0</v>
      </c>
      <c r="AC931" s="490">
        <f t="shared" si="5"/>
        <v>890591175.4</v>
      </c>
      <c r="AD931" s="491">
        <f t="shared" si="1"/>
        <v>1500</v>
      </c>
      <c r="AE931" s="492">
        <f t="shared" si="2"/>
        <v>0.009063325885</v>
      </c>
      <c r="AF931" s="490">
        <f t="shared" si="3"/>
        <v>898664393.5</v>
      </c>
      <c r="AG931" s="493">
        <f t="shared" si="6"/>
        <v>1433806.351</v>
      </c>
      <c r="AH931" s="493">
        <f t="shared" si="4"/>
        <v>897230587.1</v>
      </c>
    </row>
    <row r="932">
      <c r="T932" s="494" t="s">
        <v>622</v>
      </c>
      <c r="AB932" s="489">
        <v>930.0</v>
      </c>
      <c r="AC932" s="490">
        <f t="shared" si="5"/>
        <v>898664393.5</v>
      </c>
      <c r="AD932" s="491">
        <f t="shared" si="1"/>
        <v>1500</v>
      </c>
      <c r="AE932" s="492">
        <f t="shared" si="2"/>
        <v>0.009063325885</v>
      </c>
      <c r="AF932" s="490">
        <f t="shared" si="3"/>
        <v>906810781.7</v>
      </c>
      <c r="AG932" s="493">
        <f t="shared" si="6"/>
        <v>1435306.351</v>
      </c>
      <c r="AH932" s="493">
        <f t="shared" si="4"/>
        <v>905375475.4</v>
      </c>
    </row>
    <row r="933">
      <c r="T933" s="494" t="s">
        <v>622</v>
      </c>
      <c r="AB933" s="489">
        <v>931.0</v>
      </c>
      <c r="AC933" s="490">
        <f t="shared" si="5"/>
        <v>906810781.7</v>
      </c>
      <c r="AD933" s="491">
        <f t="shared" si="1"/>
        <v>1500</v>
      </c>
      <c r="AE933" s="492">
        <f t="shared" si="2"/>
        <v>0.009063325885</v>
      </c>
      <c r="AF933" s="490">
        <f t="shared" si="3"/>
        <v>915031003.3</v>
      </c>
      <c r="AG933" s="493">
        <f t="shared" si="6"/>
        <v>1436806.351</v>
      </c>
      <c r="AH933" s="493">
        <f t="shared" si="4"/>
        <v>913594197</v>
      </c>
    </row>
    <row r="934">
      <c r="T934" s="494" t="s">
        <v>622</v>
      </c>
      <c r="AB934" s="489">
        <v>932.0</v>
      </c>
      <c r="AC934" s="490">
        <f t="shared" si="5"/>
        <v>915031003.3</v>
      </c>
      <c r="AD934" s="491">
        <f t="shared" si="1"/>
        <v>1500</v>
      </c>
      <c r="AE934" s="492">
        <f t="shared" si="2"/>
        <v>0.009063325885</v>
      </c>
      <c r="AF934" s="490">
        <f t="shared" si="3"/>
        <v>923325727.5</v>
      </c>
      <c r="AG934" s="493">
        <f t="shared" si="6"/>
        <v>1438306.351</v>
      </c>
      <c r="AH934" s="493">
        <f t="shared" si="4"/>
        <v>921887421.2</v>
      </c>
    </row>
    <row r="935">
      <c r="T935" s="494" t="s">
        <v>622</v>
      </c>
      <c r="AB935" s="489">
        <v>933.0</v>
      </c>
      <c r="AC935" s="490">
        <f t="shared" si="5"/>
        <v>923325727.5</v>
      </c>
      <c r="AD935" s="491">
        <f t="shared" si="1"/>
        <v>1500</v>
      </c>
      <c r="AE935" s="492">
        <f t="shared" si="2"/>
        <v>0.009063325885</v>
      </c>
      <c r="AF935" s="490">
        <f t="shared" si="3"/>
        <v>931695629.5</v>
      </c>
      <c r="AG935" s="493">
        <f t="shared" si="6"/>
        <v>1439806.351</v>
      </c>
      <c r="AH935" s="493">
        <f t="shared" si="4"/>
        <v>930255823.1</v>
      </c>
    </row>
    <row r="936">
      <c r="T936" s="494" t="s">
        <v>622</v>
      </c>
      <c r="AB936" s="489">
        <v>934.0</v>
      </c>
      <c r="AC936" s="490">
        <f t="shared" si="5"/>
        <v>931695629.5</v>
      </c>
      <c r="AD936" s="491">
        <f t="shared" si="1"/>
        <v>1500</v>
      </c>
      <c r="AE936" s="492">
        <f t="shared" si="2"/>
        <v>0.009063325885</v>
      </c>
      <c r="AF936" s="490">
        <f t="shared" si="3"/>
        <v>940141390.6</v>
      </c>
      <c r="AG936" s="493">
        <f t="shared" si="6"/>
        <v>1441306.351</v>
      </c>
      <c r="AH936" s="493">
        <f t="shared" si="4"/>
        <v>938700084.3</v>
      </c>
    </row>
    <row r="937">
      <c r="T937" s="494" t="s">
        <v>622</v>
      </c>
      <c r="AB937" s="489">
        <v>935.0</v>
      </c>
      <c r="AC937" s="490">
        <f t="shared" si="5"/>
        <v>940141390.6</v>
      </c>
      <c r="AD937" s="491">
        <f t="shared" si="1"/>
        <v>1500</v>
      </c>
      <c r="AE937" s="492">
        <f t="shared" si="2"/>
        <v>0.009063325885</v>
      </c>
      <c r="AF937" s="490">
        <f t="shared" si="3"/>
        <v>948663698.4</v>
      </c>
      <c r="AG937" s="493">
        <f t="shared" si="6"/>
        <v>1442806.351</v>
      </c>
      <c r="AH937" s="493">
        <f t="shared" si="4"/>
        <v>947220892.1</v>
      </c>
    </row>
    <row r="938">
      <c r="T938" s="494" t="s">
        <v>622</v>
      </c>
      <c r="AB938" s="489">
        <v>936.0</v>
      </c>
      <c r="AC938" s="490">
        <f t="shared" si="5"/>
        <v>948663698.4</v>
      </c>
      <c r="AD938" s="491">
        <f t="shared" si="1"/>
        <v>1500</v>
      </c>
      <c r="AE938" s="492">
        <f t="shared" si="2"/>
        <v>0.009063325885</v>
      </c>
      <c r="AF938" s="490">
        <f t="shared" si="3"/>
        <v>957263246.7</v>
      </c>
      <c r="AG938" s="493">
        <f t="shared" si="6"/>
        <v>1444306.351</v>
      </c>
      <c r="AH938" s="493">
        <f t="shared" si="4"/>
        <v>955818940.3</v>
      </c>
    </row>
    <row r="939">
      <c r="T939" s="494" t="s">
        <v>622</v>
      </c>
      <c r="AB939" s="489">
        <v>937.0</v>
      </c>
      <c r="AC939" s="490">
        <f t="shared" si="5"/>
        <v>957263246.7</v>
      </c>
      <c r="AD939" s="491">
        <f t="shared" si="1"/>
        <v>1500</v>
      </c>
      <c r="AE939" s="492">
        <f t="shared" si="2"/>
        <v>0.009063325885</v>
      </c>
      <c r="AF939" s="490">
        <f t="shared" si="3"/>
        <v>965940735.4</v>
      </c>
      <c r="AG939" s="493">
        <f t="shared" si="6"/>
        <v>1445806.351</v>
      </c>
      <c r="AH939" s="493">
        <f t="shared" si="4"/>
        <v>964494929.1</v>
      </c>
    </row>
    <row r="940">
      <c r="T940" s="494" t="s">
        <v>622</v>
      </c>
      <c r="AB940" s="489">
        <v>938.0</v>
      </c>
      <c r="AC940" s="490">
        <f t="shared" si="5"/>
        <v>965940735.4</v>
      </c>
      <c r="AD940" s="491">
        <f t="shared" si="1"/>
        <v>1500</v>
      </c>
      <c r="AE940" s="492">
        <f t="shared" si="2"/>
        <v>0.009063325885</v>
      </c>
      <c r="AF940" s="490">
        <f t="shared" si="3"/>
        <v>974696871.1</v>
      </c>
      <c r="AG940" s="493">
        <f t="shared" si="6"/>
        <v>1447306.351</v>
      </c>
      <c r="AH940" s="493">
        <f t="shared" si="4"/>
        <v>973249564.7</v>
      </c>
    </row>
    <row r="941">
      <c r="T941" s="494" t="s">
        <v>622</v>
      </c>
      <c r="AB941" s="489">
        <v>939.0</v>
      </c>
      <c r="AC941" s="490">
        <f t="shared" si="5"/>
        <v>974696871.1</v>
      </c>
      <c r="AD941" s="491">
        <f t="shared" si="1"/>
        <v>1500</v>
      </c>
      <c r="AE941" s="492">
        <f t="shared" si="2"/>
        <v>0.009063325885</v>
      </c>
      <c r="AF941" s="490">
        <f t="shared" si="3"/>
        <v>983532366.5</v>
      </c>
      <c r="AG941" s="493">
        <f t="shared" si="6"/>
        <v>1448806.351</v>
      </c>
      <c r="AH941" s="493">
        <f t="shared" si="4"/>
        <v>982083560.1</v>
      </c>
    </row>
    <row r="942">
      <c r="T942" s="494" t="s">
        <v>622</v>
      </c>
      <c r="AB942" s="489">
        <v>940.0</v>
      </c>
      <c r="AC942" s="490">
        <f t="shared" si="5"/>
        <v>983532366.5</v>
      </c>
      <c r="AD942" s="491">
        <f t="shared" si="1"/>
        <v>1500</v>
      </c>
      <c r="AE942" s="492">
        <f t="shared" si="2"/>
        <v>0.009063325885</v>
      </c>
      <c r="AF942" s="490">
        <f t="shared" si="3"/>
        <v>992447940.8</v>
      </c>
      <c r="AG942" s="493">
        <f t="shared" si="6"/>
        <v>1450306.351</v>
      </c>
      <c r="AH942" s="493">
        <f t="shared" si="4"/>
        <v>990997634.5</v>
      </c>
    </row>
    <row r="943">
      <c r="T943" s="494" t="s">
        <v>622</v>
      </c>
      <c r="AB943" s="489">
        <v>941.0</v>
      </c>
      <c r="AC943" s="490">
        <f t="shared" si="5"/>
        <v>992447940.8</v>
      </c>
      <c r="AD943" s="491">
        <f t="shared" si="1"/>
        <v>1500</v>
      </c>
      <c r="AE943" s="492">
        <f t="shared" si="2"/>
        <v>0.009063325885</v>
      </c>
      <c r="AF943" s="490">
        <f t="shared" si="3"/>
        <v>1001444320</v>
      </c>
      <c r="AG943" s="493">
        <f t="shared" si="6"/>
        <v>1451806.351</v>
      </c>
      <c r="AH943" s="493">
        <f t="shared" si="4"/>
        <v>999992513.6</v>
      </c>
    </row>
    <row r="944">
      <c r="T944" s="494" t="s">
        <v>622</v>
      </c>
      <c r="AB944" s="489">
        <v>942.0</v>
      </c>
      <c r="AC944" s="490">
        <f t="shared" si="5"/>
        <v>1001444320</v>
      </c>
      <c r="AD944" s="491">
        <f t="shared" si="1"/>
        <v>1500</v>
      </c>
      <c r="AE944" s="492">
        <f t="shared" si="2"/>
        <v>0.009063325885</v>
      </c>
      <c r="AF944" s="490">
        <f t="shared" si="3"/>
        <v>1010522236</v>
      </c>
      <c r="AG944" s="493">
        <f t="shared" si="6"/>
        <v>1453306.351</v>
      </c>
      <c r="AH944" s="493">
        <f t="shared" si="4"/>
        <v>1009068930</v>
      </c>
    </row>
    <row r="945">
      <c r="T945" s="494" t="s">
        <v>622</v>
      </c>
      <c r="AB945" s="489">
        <v>943.0</v>
      </c>
      <c r="AC945" s="490">
        <f t="shared" si="5"/>
        <v>1010522236</v>
      </c>
      <c r="AD945" s="491">
        <f t="shared" si="1"/>
        <v>1500</v>
      </c>
      <c r="AE945" s="492">
        <f t="shared" si="2"/>
        <v>0.009063325885</v>
      </c>
      <c r="AF945" s="490">
        <f t="shared" si="3"/>
        <v>1019682429</v>
      </c>
      <c r="AG945" s="493">
        <f t="shared" si="6"/>
        <v>1454806.351</v>
      </c>
      <c r="AH945" s="493">
        <f t="shared" si="4"/>
        <v>1018227622</v>
      </c>
    </row>
    <row r="946">
      <c r="T946" s="494" t="s">
        <v>622</v>
      </c>
      <c r="AB946" s="489">
        <v>944.0</v>
      </c>
      <c r="AC946" s="490">
        <f t="shared" si="5"/>
        <v>1019682429</v>
      </c>
      <c r="AD946" s="491">
        <f t="shared" si="1"/>
        <v>1500</v>
      </c>
      <c r="AE946" s="492">
        <f t="shared" si="2"/>
        <v>0.009063325885</v>
      </c>
      <c r="AF946" s="490">
        <f t="shared" si="3"/>
        <v>1028925643</v>
      </c>
      <c r="AG946" s="493">
        <f t="shared" si="6"/>
        <v>1456306.351</v>
      </c>
      <c r="AH946" s="493">
        <f t="shared" si="4"/>
        <v>1027469336</v>
      </c>
    </row>
    <row r="947">
      <c r="T947" s="494" t="s">
        <v>622</v>
      </c>
      <c r="AB947" s="489">
        <v>945.0</v>
      </c>
      <c r="AC947" s="490">
        <f t="shared" si="5"/>
        <v>1028925643</v>
      </c>
      <c r="AD947" s="491">
        <f t="shared" si="1"/>
        <v>1500</v>
      </c>
      <c r="AE947" s="492">
        <f t="shared" si="2"/>
        <v>0.009063325885</v>
      </c>
      <c r="AF947" s="490">
        <f t="shared" si="3"/>
        <v>1038252631</v>
      </c>
      <c r="AG947" s="493">
        <f t="shared" si="6"/>
        <v>1457806.351</v>
      </c>
      <c r="AH947" s="493">
        <f t="shared" si="4"/>
        <v>1036794825</v>
      </c>
    </row>
    <row r="948">
      <c r="T948" s="494" t="s">
        <v>622</v>
      </c>
      <c r="AB948" s="489">
        <v>946.0</v>
      </c>
      <c r="AC948" s="490">
        <f t="shared" si="5"/>
        <v>1038252631</v>
      </c>
      <c r="AD948" s="491">
        <f t="shared" si="1"/>
        <v>1500</v>
      </c>
      <c r="AE948" s="492">
        <f t="shared" si="2"/>
        <v>0.009063325885</v>
      </c>
      <c r="AF948" s="490">
        <f t="shared" si="3"/>
        <v>1047664153</v>
      </c>
      <c r="AG948" s="493">
        <f t="shared" si="6"/>
        <v>1459306.351</v>
      </c>
      <c r="AH948" s="493">
        <f t="shared" si="4"/>
        <v>1046204847</v>
      </c>
    </row>
    <row r="949">
      <c r="T949" s="494" t="s">
        <v>622</v>
      </c>
      <c r="AB949" s="489">
        <v>947.0</v>
      </c>
      <c r="AC949" s="490">
        <f t="shared" si="5"/>
        <v>1047664153</v>
      </c>
      <c r="AD949" s="491">
        <f t="shared" si="1"/>
        <v>1500</v>
      </c>
      <c r="AE949" s="492">
        <f t="shared" si="2"/>
        <v>0.009063325885</v>
      </c>
      <c r="AF949" s="490">
        <f t="shared" si="3"/>
        <v>1057160975</v>
      </c>
      <c r="AG949" s="493">
        <f t="shared" si="6"/>
        <v>1460806.351</v>
      </c>
      <c r="AH949" s="493">
        <f t="shared" si="4"/>
        <v>1055700168</v>
      </c>
    </row>
    <row r="950">
      <c r="T950" s="494" t="s">
        <v>622</v>
      </c>
      <c r="AB950" s="489">
        <v>948.0</v>
      </c>
      <c r="AC950" s="490">
        <f t="shared" si="5"/>
        <v>1057160975</v>
      </c>
      <c r="AD950" s="491">
        <f t="shared" si="1"/>
        <v>1500</v>
      </c>
      <c r="AE950" s="492">
        <f t="shared" si="2"/>
        <v>0.009063325885</v>
      </c>
      <c r="AF950" s="490">
        <f t="shared" si="3"/>
        <v>1066743869</v>
      </c>
      <c r="AG950" s="493">
        <f t="shared" si="6"/>
        <v>1462306.351</v>
      </c>
      <c r="AH950" s="493">
        <f t="shared" si="4"/>
        <v>1065281563</v>
      </c>
    </row>
    <row r="951">
      <c r="T951" s="494" t="s">
        <v>622</v>
      </c>
      <c r="AB951" s="489">
        <v>949.0</v>
      </c>
      <c r="AC951" s="490">
        <f t="shared" si="5"/>
        <v>1066743869</v>
      </c>
      <c r="AD951" s="491">
        <f t="shared" si="1"/>
        <v>1500</v>
      </c>
      <c r="AE951" s="492">
        <f t="shared" si="2"/>
        <v>0.009063325885</v>
      </c>
      <c r="AF951" s="490">
        <f t="shared" si="3"/>
        <v>1076413616</v>
      </c>
      <c r="AG951" s="493">
        <f t="shared" si="6"/>
        <v>1463806.351</v>
      </c>
      <c r="AH951" s="493">
        <f t="shared" si="4"/>
        <v>1074949810</v>
      </c>
    </row>
    <row r="952">
      <c r="T952" s="494" t="s">
        <v>622</v>
      </c>
      <c r="AB952" s="489">
        <v>950.0</v>
      </c>
      <c r="AC952" s="490">
        <f t="shared" si="5"/>
        <v>1076413616</v>
      </c>
      <c r="AD952" s="491">
        <f t="shared" si="1"/>
        <v>1500</v>
      </c>
      <c r="AE952" s="492">
        <f t="shared" si="2"/>
        <v>0.009063325885</v>
      </c>
      <c r="AF952" s="490">
        <f t="shared" si="3"/>
        <v>1086171004</v>
      </c>
      <c r="AG952" s="493">
        <f t="shared" si="6"/>
        <v>1465306.351</v>
      </c>
      <c r="AH952" s="493">
        <f t="shared" si="4"/>
        <v>1084705697</v>
      </c>
    </row>
    <row r="953">
      <c r="T953" s="494" t="s">
        <v>622</v>
      </c>
      <c r="AB953" s="489">
        <v>951.0</v>
      </c>
      <c r="AC953" s="490">
        <f t="shared" si="5"/>
        <v>1086171004</v>
      </c>
      <c r="AD953" s="491">
        <f t="shared" si="1"/>
        <v>1500</v>
      </c>
      <c r="AE953" s="492">
        <f t="shared" si="2"/>
        <v>0.009063325885</v>
      </c>
      <c r="AF953" s="490">
        <f t="shared" si="3"/>
        <v>1096016826</v>
      </c>
      <c r="AG953" s="493">
        <f t="shared" si="6"/>
        <v>1466806.351</v>
      </c>
      <c r="AH953" s="493">
        <f t="shared" si="4"/>
        <v>1094550019</v>
      </c>
    </row>
    <row r="954">
      <c r="T954" s="494" t="s">
        <v>622</v>
      </c>
      <c r="AB954" s="489">
        <v>952.0</v>
      </c>
      <c r="AC954" s="490">
        <f t="shared" si="5"/>
        <v>1096016826</v>
      </c>
      <c r="AD954" s="491">
        <f t="shared" si="1"/>
        <v>1500</v>
      </c>
      <c r="AE954" s="492">
        <f t="shared" si="2"/>
        <v>0.009063325885</v>
      </c>
      <c r="AF954" s="490">
        <f t="shared" si="3"/>
        <v>1105951883</v>
      </c>
      <c r="AG954" s="493">
        <f t="shared" si="6"/>
        <v>1468306.351</v>
      </c>
      <c r="AH954" s="493">
        <f t="shared" si="4"/>
        <v>1104483577</v>
      </c>
    </row>
    <row r="955">
      <c r="T955" s="494" t="s">
        <v>622</v>
      </c>
      <c r="AB955" s="489">
        <v>953.0</v>
      </c>
      <c r="AC955" s="490">
        <f t="shared" si="5"/>
        <v>1105951883</v>
      </c>
      <c r="AD955" s="491">
        <f t="shared" si="1"/>
        <v>1500</v>
      </c>
      <c r="AE955" s="492">
        <f t="shared" si="2"/>
        <v>0.009063325885</v>
      </c>
      <c r="AF955" s="490">
        <f t="shared" si="3"/>
        <v>1115976986</v>
      </c>
      <c r="AG955" s="493">
        <f t="shared" si="6"/>
        <v>1469806.351</v>
      </c>
      <c r="AH955" s="493">
        <f t="shared" si="4"/>
        <v>1114507179</v>
      </c>
    </row>
    <row r="956">
      <c r="T956" s="494" t="s">
        <v>622</v>
      </c>
      <c r="AB956" s="489">
        <v>954.0</v>
      </c>
      <c r="AC956" s="490">
        <f t="shared" si="5"/>
        <v>1115976986</v>
      </c>
      <c r="AD956" s="491">
        <f t="shared" si="1"/>
        <v>1500</v>
      </c>
      <c r="AE956" s="492">
        <f t="shared" si="2"/>
        <v>0.009063325885</v>
      </c>
      <c r="AF956" s="490">
        <f t="shared" si="3"/>
        <v>1126092949</v>
      </c>
      <c r="AG956" s="493">
        <f t="shared" si="6"/>
        <v>1471306.351</v>
      </c>
      <c r="AH956" s="493">
        <f t="shared" si="4"/>
        <v>1124621642</v>
      </c>
    </row>
    <row r="957">
      <c r="T957" s="494" t="s">
        <v>622</v>
      </c>
      <c r="AB957" s="489">
        <v>955.0</v>
      </c>
      <c r="AC957" s="490">
        <f t="shared" si="5"/>
        <v>1126092949</v>
      </c>
      <c r="AD957" s="491">
        <f t="shared" si="1"/>
        <v>1500</v>
      </c>
      <c r="AE957" s="492">
        <f t="shared" si="2"/>
        <v>0.009063325885</v>
      </c>
      <c r="AF957" s="490">
        <f t="shared" si="3"/>
        <v>1136300596</v>
      </c>
      <c r="AG957" s="493">
        <f t="shared" si="6"/>
        <v>1472806.351</v>
      </c>
      <c r="AH957" s="493">
        <f t="shared" si="4"/>
        <v>1134827790</v>
      </c>
    </row>
    <row r="958">
      <c r="T958" s="494" t="s">
        <v>622</v>
      </c>
      <c r="AB958" s="489">
        <v>956.0</v>
      </c>
      <c r="AC958" s="490">
        <f t="shared" si="5"/>
        <v>1136300596</v>
      </c>
      <c r="AD958" s="491">
        <f t="shared" si="1"/>
        <v>1500</v>
      </c>
      <c r="AE958" s="492">
        <f t="shared" si="2"/>
        <v>0.009063325885</v>
      </c>
      <c r="AF958" s="490">
        <f t="shared" si="3"/>
        <v>1146600759</v>
      </c>
      <c r="AG958" s="493">
        <f t="shared" si="6"/>
        <v>1474306.351</v>
      </c>
      <c r="AH958" s="493">
        <f t="shared" si="4"/>
        <v>1145126452</v>
      </c>
    </row>
    <row r="959">
      <c r="T959" s="494" t="s">
        <v>622</v>
      </c>
      <c r="AB959" s="489">
        <v>957.0</v>
      </c>
      <c r="AC959" s="490">
        <f t="shared" si="5"/>
        <v>1146600759</v>
      </c>
      <c r="AD959" s="491">
        <f t="shared" si="1"/>
        <v>1500</v>
      </c>
      <c r="AE959" s="492">
        <f t="shared" si="2"/>
        <v>0.009063325885</v>
      </c>
      <c r="AF959" s="490">
        <f t="shared" si="3"/>
        <v>1156994275</v>
      </c>
      <c r="AG959" s="493">
        <f t="shared" si="6"/>
        <v>1475806.351</v>
      </c>
      <c r="AH959" s="493">
        <f t="shared" si="4"/>
        <v>1155518469</v>
      </c>
    </row>
    <row r="960">
      <c r="T960" s="494" t="s">
        <v>622</v>
      </c>
      <c r="AB960" s="489">
        <v>958.0</v>
      </c>
      <c r="AC960" s="490">
        <f t="shared" si="5"/>
        <v>1156994275</v>
      </c>
      <c r="AD960" s="491">
        <f t="shared" si="1"/>
        <v>1500</v>
      </c>
      <c r="AE960" s="492">
        <f t="shared" si="2"/>
        <v>0.009063325885</v>
      </c>
      <c r="AF960" s="490">
        <f t="shared" si="3"/>
        <v>1167481991</v>
      </c>
      <c r="AG960" s="493">
        <f t="shared" si="6"/>
        <v>1477306.351</v>
      </c>
      <c r="AH960" s="493">
        <f t="shared" si="4"/>
        <v>1166004685</v>
      </c>
    </row>
    <row r="961">
      <c r="T961" s="494" t="s">
        <v>622</v>
      </c>
      <c r="AB961" s="489">
        <v>959.0</v>
      </c>
      <c r="AC961" s="490">
        <f t="shared" si="5"/>
        <v>1167481991</v>
      </c>
      <c r="AD961" s="491">
        <f t="shared" si="1"/>
        <v>1500</v>
      </c>
      <c r="AE961" s="492">
        <f t="shared" si="2"/>
        <v>0.009063325885</v>
      </c>
      <c r="AF961" s="490">
        <f t="shared" si="3"/>
        <v>1178064761</v>
      </c>
      <c r="AG961" s="493">
        <f t="shared" si="6"/>
        <v>1478806.351</v>
      </c>
      <c r="AH961" s="493">
        <f t="shared" si="4"/>
        <v>1176585955</v>
      </c>
    </row>
    <row r="962">
      <c r="T962" s="494" t="s">
        <v>622</v>
      </c>
      <c r="AB962" s="489">
        <v>960.0</v>
      </c>
      <c r="AC962" s="490">
        <f t="shared" si="5"/>
        <v>1178064761</v>
      </c>
      <c r="AD962" s="491">
        <f t="shared" si="1"/>
        <v>1500</v>
      </c>
      <c r="AE962" s="492">
        <f t="shared" si="2"/>
        <v>0.009063325885</v>
      </c>
      <c r="AF962" s="490">
        <f t="shared" si="3"/>
        <v>1188743446</v>
      </c>
      <c r="AG962" s="493">
        <f t="shared" si="6"/>
        <v>1480306.351</v>
      </c>
      <c r="AH962" s="493">
        <f t="shared" si="4"/>
        <v>1187263139</v>
      </c>
    </row>
    <row r="963">
      <c r="T963" s="494" t="s">
        <v>622</v>
      </c>
      <c r="AB963" s="489">
        <v>961.0</v>
      </c>
      <c r="AC963" s="490">
        <f t="shared" si="5"/>
        <v>1188743446</v>
      </c>
      <c r="AD963" s="491">
        <f t="shared" si="1"/>
        <v>1500</v>
      </c>
      <c r="AE963" s="492">
        <f t="shared" si="2"/>
        <v>0.009063325885</v>
      </c>
      <c r="AF963" s="490">
        <f t="shared" si="3"/>
        <v>1199518915</v>
      </c>
      <c r="AG963" s="493">
        <f t="shared" si="6"/>
        <v>1481806.351</v>
      </c>
      <c r="AH963" s="493">
        <f t="shared" si="4"/>
        <v>1198037109</v>
      </c>
    </row>
    <row r="964">
      <c r="T964" s="494" t="s">
        <v>622</v>
      </c>
      <c r="AB964" s="489">
        <v>962.0</v>
      </c>
      <c r="AC964" s="490">
        <f t="shared" si="5"/>
        <v>1199518915</v>
      </c>
      <c r="AD964" s="491">
        <f t="shared" si="1"/>
        <v>1500</v>
      </c>
      <c r="AE964" s="492">
        <f t="shared" si="2"/>
        <v>0.009063325885</v>
      </c>
      <c r="AF964" s="490">
        <f t="shared" si="3"/>
        <v>1210392046</v>
      </c>
      <c r="AG964" s="493">
        <f t="shared" si="6"/>
        <v>1483306.351</v>
      </c>
      <c r="AH964" s="493">
        <f t="shared" si="4"/>
        <v>1208908739</v>
      </c>
    </row>
    <row r="965">
      <c r="T965" s="494" t="s">
        <v>622</v>
      </c>
      <c r="AB965" s="489">
        <v>963.0</v>
      </c>
      <c r="AC965" s="490">
        <f t="shared" si="5"/>
        <v>1210392046</v>
      </c>
      <c r="AD965" s="491">
        <f t="shared" si="1"/>
        <v>1500</v>
      </c>
      <c r="AE965" s="492">
        <f t="shared" si="2"/>
        <v>0.009063325885</v>
      </c>
      <c r="AF965" s="490">
        <f t="shared" si="3"/>
        <v>1221363723</v>
      </c>
      <c r="AG965" s="493">
        <f t="shared" si="6"/>
        <v>1484806.351</v>
      </c>
      <c r="AH965" s="493">
        <f t="shared" si="4"/>
        <v>1219878917</v>
      </c>
    </row>
    <row r="966">
      <c r="T966" s="494" t="s">
        <v>622</v>
      </c>
      <c r="AB966" s="489">
        <v>964.0</v>
      </c>
      <c r="AC966" s="490">
        <f t="shared" si="5"/>
        <v>1221363723</v>
      </c>
      <c r="AD966" s="491">
        <f t="shared" si="1"/>
        <v>1500</v>
      </c>
      <c r="AE966" s="492">
        <f t="shared" si="2"/>
        <v>0.009063325885</v>
      </c>
      <c r="AF966" s="490">
        <f t="shared" si="3"/>
        <v>1232434841</v>
      </c>
      <c r="AG966" s="493">
        <f t="shared" si="6"/>
        <v>1486306.351</v>
      </c>
      <c r="AH966" s="493">
        <f t="shared" si="4"/>
        <v>1230948534</v>
      </c>
    </row>
    <row r="967">
      <c r="T967" s="494" t="s">
        <v>622</v>
      </c>
      <c r="AB967" s="489">
        <v>965.0</v>
      </c>
      <c r="AC967" s="490">
        <f t="shared" si="5"/>
        <v>1232434841</v>
      </c>
      <c r="AD967" s="491">
        <f t="shared" si="1"/>
        <v>1500</v>
      </c>
      <c r="AE967" s="492">
        <f t="shared" si="2"/>
        <v>0.009063325885</v>
      </c>
      <c r="AF967" s="490">
        <f t="shared" si="3"/>
        <v>1243606299</v>
      </c>
      <c r="AG967" s="493">
        <f t="shared" si="6"/>
        <v>1487806.351</v>
      </c>
      <c r="AH967" s="493">
        <f t="shared" si="4"/>
        <v>1242118493</v>
      </c>
    </row>
    <row r="968">
      <c r="T968" s="494" t="s">
        <v>622</v>
      </c>
      <c r="AB968" s="489">
        <v>966.0</v>
      </c>
      <c r="AC968" s="490">
        <f t="shared" si="5"/>
        <v>1243606299</v>
      </c>
      <c r="AD968" s="491">
        <f t="shared" si="1"/>
        <v>1500</v>
      </c>
      <c r="AE968" s="492">
        <f t="shared" si="2"/>
        <v>0.009063325885</v>
      </c>
      <c r="AF968" s="490">
        <f t="shared" si="3"/>
        <v>1254879009</v>
      </c>
      <c r="AG968" s="493">
        <f t="shared" si="6"/>
        <v>1489306.351</v>
      </c>
      <c r="AH968" s="493">
        <f t="shared" si="4"/>
        <v>1253389702</v>
      </c>
    </row>
    <row r="969">
      <c r="T969" s="494" t="s">
        <v>622</v>
      </c>
      <c r="AB969" s="489">
        <v>967.0</v>
      </c>
      <c r="AC969" s="490">
        <f t="shared" si="5"/>
        <v>1254879009</v>
      </c>
      <c r="AD969" s="491">
        <f t="shared" si="1"/>
        <v>1500</v>
      </c>
      <c r="AE969" s="492">
        <f t="shared" si="2"/>
        <v>0.009063325885</v>
      </c>
      <c r="AF969" s="490">
        <f t="shared" si="3"/>
        <v>1266253886</v>
      </c>
      <c r="AG969" s="493">
        <f t="shared" si="6"/>
        <v>1490806.351</v>
      </c>
      <c r="AH969" s="493">
        <f t="shared" si="4"/>
        <v>1264763080</v>
      </c>
    </row>
    <row r="970">
      <c r="T970" s="494" t="s">
        <v>622</v>
      </c>
      <c r="AB970" s="489">
        <v>968.0</v>
      </c>
      <c r="AC970" s="490">
        <f t="shared" si="5"/>
        <v>1266253886</v>
      </c>
      <c r="AD970" s="491">
        <f t="shared" si="1"/>
        <v>1500</v>
      </c>
      <c r="AE970" s="492">
        <f t="shared" si="2"/>
        <v>0.009063325885</v>
      </c>
      <c r="AF970" s="490">
        <f t="shared" si="3"/>
        <v>1277731858</v>
      </c>
      <c r="AG970" s="493">
        <f t="shared" si="6"/>
        <v>1492306.351</v>
      </c>
      <c r="AH970" s="493">
        <f t="shared" si="4"/>
        <v>1276239551</v>
      </c>
    </row>
    <row r="971">
      <c r="T971" s="494" t="s">
        <v>622</v>
      </c>
      <c r="AB971" s="489">
        <v>969.0</v>
      </c>
      <c r="AC971" s="490">
        <f t="shared" si="5"/>
        <v>1277731858</v>
      </c>
      <c r="AD971" s="491">
        <f t="shared" si="1"/>
        <v>1500</v>
      </c>
      <c r="AE971" s="492">
        <f t="shared" si="2"/>
        <v>0.009063325885</v>
      </c>
      <c r="AF971" s="490">
        <f t="shared" si="3"/>
        <v>1289313858</v>
      </c>
      <c r="AG971" s="493">
        <f t="shared" si="6"/>
        <v>1493806.351</v>
      </c>
      <c r="AH971" s="493">
        <f t="shared" si="4"/>
        <v>1287820051</v>
      </c>
    </row>
    <row r="972">
      <c r="T972" s="494" t="s">
        <v>622</v>
      </c>
      <c r="AB972" s="489">
        <v>970.0</v>
      </c>
      <c r="AC972" s="490">
        <f t="shared" si="5"/>
        <v>1289313858</v>
      </c>
      <c r="AD972" s="491">
        <f t="shared" si="1"/>
        <v>1500</v>
      </c>
      <c r="AE972" s="492">
        <f t="shared" si="2"/>
        <v>0.009063325885</v>
      </c>
      <c r="AF972" s="490">
        <f t="shared" si="3"/>
        <v>1301000829</v>
      </c>
      <c r="AG972" s="493">
        <f t="shared" si="6"/>
        <v>1495306.351</v>
      </c>
      <c r="AH972" s="493">
        <f t="shared" si="4"/>
        <v>1299505523</v>
      </c>
    </row>
    <row r="973">
      <c r="T973" s="494" t="s">
        <v>622</v>
      </c>
      <c r="AB973" s="489">
        <v>971.0</v>
      </c>
      <c r="AC973" s="490">
        <f t="shared" si="5"/>
        <v>1301000829</v>
      </c>
      <c r="AD973" s="491">
        <f t="shared" si="1"/>
        <v>1500</v>
      </c>
      <c r="AE973" s="492">
        <f t="shared" si="2"/>
        <v>0.009063325885</v>
      </c>
      <c r="AF973" s="490">
        <f t="shared" si="3"/>
        <v>1312793724</v>
      </c>
      <c r="AG973" s="493">
        <f t="shared" si="6"/>
        <v>1496806.351</v>
      </c>
      <c r="AH973" s="493">
        <f t="shared" si="4"/>
        <v>1311296918</v>
      </c>
    </row>
    <row r="974">
      <c r="T974" s="494" t="s">
        <v>622</v>
      </c>
      <c r="AB974" s="489">
        <v>972.0</v>
      </c>
      <c r="AC974" s="490">
        <f t="shared" si="5"/>
        <v>1312793724</v>
      </c>
      <c r="AD974" s="491">
        <f t="shared" si="1"/>
        <v>1500</v>
      </c>
      <c r="AE974" s="492">
        <f t="shared" si="2"/>
        <v>0.009063325885</v>
      </c>
      <c r="AF974" s="490">
        <f t="shared" si="3"/>
        <v>1324693501</v>
      </c>
      <c r="AG974" s="493">
        <f t="shared" si="6"/>
        <v>1498306.351</v>
      </c>
      <c r="AH974" s="493">
        <f t="shared" si="4"/>
        <v>1323195195</v>
      </c>
    </row>
    <row r="975">
      <c r="T975" s="494" t="s">
        <v>622</v>
      </c>
      <c r="AB975" s="489">
        <v>973.0</v>
      </c>
      <c r="AC975" s="490">
        <f t="shared" si="5"/>
        <v>1324693501</v>
      </c>
      <c r="AD975" s="491">
        <f t="shared" si="1"/>
        <v>1500</v>
      </c>
      <c r="AE975" s="492">
        <f t="shared" si="2"/>
        <v>0.009063325885</v>
      </c>
      <c r="AF975" s="490">
        <f t="shared" si="3"/>
        <v>1336701130</v>
      </c>
      <c r="AG975" s="493">
        <f t="shared" si="6"/>
        <v>1499806.351</v>
      </c>
      <c r="AH975" s="493">
        <f t="shared" si="4"/>
        <v>1335201324</v>
      </c>
    </row>
    <row r="976">
      <c r="T976" s="494" t="s">
        <v>622</v>
      </c>
      <c r="AB976" s="489">
        <v>974.0</v>
      </c>
      <c r="AC976" s="490">
        <f t="shared" si="5"/>
        <v>1336701130</v>
      </c>
      <c r="AD976" s="491">
        <f t="shared" si="1"/>
        <v>1500</v>
      </c>
      <c r="AE976" s="492">
        <f t="shared" si="2"/>
        <v>0.009063325885</v>
      </c>
      <c r="AF976" s="490">
        <f t="shared" si="3"/>
        <v>1348817588</v>
      </c>
      <c r="AG976" s="493">
        <f t="shared" si="6"/>
        <v>1501306.351</v>
      </c>
      <c r="AH976" s="493">
        <f t="shared" si="4"/>
        <v>1347316282</v>
      </c>
    </row>
    <row r="977">
      <c r="T977" s="494" t="s">
        <v>622</v>
      </c>
      <c r="AB977" s="489">
        <v>975.0</v>
      </c>
      <c r="AC977" s="490">
        <f t="shared" si="5"/>
        <v>1348817588</v>
      </c>
      <c r="AD977" s="491">
        <f t="shared" si="1"/>
        <v>1500</v>
      </c>
      <c r="AE977" s="492">
        <f t="shared" si="2"/>
        <v>0.009063325885</v>
      </c>
      <c r="AF977" s="490">
        <f t="shared" si="3"/>
        <v>1361043862</v>
      </c>
      <c r="AG977" s="493">
        <f t="shared" si="6"/>
        <v>1502806.351</v>
      </c>
      <c r="AH977" s="493">
        <f t="shared" si="4"/>
        <v>1359541055</v>
      </c>
    </row>
    <row r="978">
      <c r="T978" s="494" t="s">
        <v>622</v>
      </c>
      <c r="AB978" s="489">
        <v>976.0</v>
      </c>
      <c r="AC978" s="490">
        <f t="shared" si="5"/>
        <v>1361043862</v>
      </c>
      <c r="AD978" s="491">
        <f t="shared" si="1"/>
        <v>1500</v>
      </c>
      <c r="AE978" s="492">
        <f t="shared" si="2"/>
        <v>0.009063325885</v>
      </c>
      <c r="AF978" s="490">
        <f t="shared" si="3"/>
        <v>1373380946</v>
      </c>
      <c r="AG978" s="493">
        <f t="shared" si="6"/>
        <v>1504306.351</v>
      </c>
      <c r="AH978" s="493">
        <f t="shared" si="4"/>
        <v>1371876639</v>
      </c>
    </row>
    <row r="979">
      <c r="T979" s="494" t="s">
        <v>622</v>
      </c>
      <c r="AB979" s="489">
        <v>977.0</v>
      </c>
      <c r="AC979" s="490">
        <f t="shared" si="5"/>
        <v>1373380946</v>
      </c>
      <c r="AD979" s="491">
        <f t="shared" si="1"/>
        <v>1500</v>
      </c>
      <c r="AE979" s="492">
        <f t="shared" si="2"/>
        <v>0.009063325885</v>
      </c>
      <c r="AF979" s="490">
        <f t="shared" si="3"/>
        <v>1385829845</v>
      </c>
      <c r="AG979" s="493">
        <f t="shared" si="6"/>
        <v>1505806.351</v>
      </c>
      <c r="AH979" s="493">
        <f t="shared" si="4"/>
        <v>1384324038</v>
      </c>
    </row>
    <row r="980">
      <c r="T980" s="494" t="s">
        <v>622</v>
      </c>
      <c r="AB980" s="489">
        <v>978.0</v>
      </c>
      <c r="AC980" s="490">
        <f t="shared" si="5"/>
        <v>1385829845</v>
      </c>
      <c r="AD980" s="491">
        <f t="shared" si="1"/>
        <v>1500</v>
      </c>
      <c r="AE980" s="492">
        <f t="shared" si="2"/>
        <v>0.009063325885</v>
      </c>
      <c r="AF980" s="490">
        <f t="shared" si="3"/>
        <v>1398391572</v>
      </c>
      <c r="AG980" s="493">
        <f t="shared" si="6"/>
        <v>1507306.351</v>
      </c>
      <c r="AH980" s="493">
        <f t="shared" si="4"/>
        <v>1396884266</v>
      </c>
    </row>
    <row r="981">
      <c r="T981" s="494" t="s">
        <v>622</v>
      </c>
      <c r="AB981" s="489">
        <v>979.0</v>
      </c>
      <c r="AC981" s="490">
        <f t="shared" si="5"/>
        <v>1398391572</v>
      </c>
      <c r="AD981" s="491">
        <f t="shared" si="1"/>
        <v>1500</v>
      </c>
      <c r="AE981" s="492">
        <f t="shared" si="2"/>
        <v>0.009063325885</v>
      </c>
      <c r="AF981" s="490">
        <f t="shared" si="3"/>
        <v>1411067151</v>
      </c>
      <c r="AG981" s="493">
        <f t="shared" si="6"/>
        <v>1508806.351</v>
      </c>
      <c r="AH981" s="493">
        <f t="shared" si="4"/>
        <v>1409558344</v>
      </c>
    </row>
    <row r="982">
      <c r="T982" s="494" t="s">
        <v>622</v>
      </c>
      <c r="AB982" s="489">
        <v>980.0</v>
      </c>
      <c r="AC982" s="490">
        <f t="shared" si="5"/>
        <v>1411067151</v>
      </c>
      <c r="AD982" s="491">
        <f t="shared" si="1"/>
        <v>1500</v>
      </c>
      <c r="AE982" s="492">
        <f t="shared" si="2"/>
        <v>0.009063325885</v>
      </c>
      <c r="AF982" s="490">
        <f t="shared" si="3"/>
        <v>1423857612</v>
      </c>
      <c r="AG982" s="493">
        <f t="shared" si="6"/>
        <v>1510306.351</v>
      </c>
      <c r="AH982" s="493">
        <f t="shared" si="4"/>
        <v>1422347306</v>
      </c>
    </row>
    <row r="983">
      <c r="T983" s="494" t="s">
        <v>622</v>
      </c>
      <c r="AB983" s="489">
        <v>981.0</v>
      </c>
      <c r="AC983" s="490">
        <f t="shared" si="5"/>
        <v>1423857612</v>
      </c>
      <c r="AD983" s="491">
        <f t="shared" si="1"/>
        <v>1500</v>
      </c>
      <c r="AE983" s="492">
        <f t="shared" si="2"/>
        <v>0.009063325885</v>
      </c>
      <c r="AF983" s="490">
        <f t="shared" si="3"/>
        <v>1436763998</v>
      </c>
      <c r="AG983" s="493">
        <f t="shared" si="6"/>
        <v>1511806.351</v>
      </c>
      <c r="AH983" s="493">
        <f t="shared" si="4"/>
        <v>1435252191</v>
      </c>
    </row>
    <row r="984">
      <c r="T984" s="494" t="s">
        <v>622</v>
      </c>
      <c r="AB984" s="489">
        <v>982.0</v>
      </c>
      <c r="AC984" s="490">
        <f t="shared" si="5"/>
        <v>1436763998</v>
      </c>
      <c r="AD984" s="491">
        <f t="shared" si="1"/>
        <v>1500</v>
      </c>
      <c r="AE984" s="492">
        <f t="shared" si="2"/>
        <v>0.009063325885</v>
      </c>
      <c r="AF984" s="490">
        <f t="shared" si="3"/>
        <v>1449787358</v>
      </c>
      <c r="AG984" s="493">
        <f t="shared" si="6"/>
        <v>1513306.351</v>
      </c>
      <c r="AH984" s="493">
        <f t="shared" si="4"/>
        <v>1448274052</v>
      </c>
    </row>
    <row r="985">
      <c r="T985" s="494" t="s">
        <v>622</v>
      </c>
      <c r="AB985" s="489">
        <v>983.0</v>
      </c>
      <c r="AC985" s="490">
        <f t="shared" si="5"/>
        <v>1449787358</v>
      </c>
      <c r="AD985" s="491">
        <f t="shared" si="1"/>
        <v>1500</v>
      </c>
      <c r="AE985" s="492">
        <f t="shared" si="2"/>
        <v>0.009063325885</v>
      </c>
      <c r="AF985" s="490">
        <f t="shared" si="3"/>
        <v>1462928753</v>
      </c>
      <c r="AG985" s="493">
        <f t="shared" si="6"/>
        <v>1514806.351</v>
      </c>
      <c r="AH985" s="493">
        <f t="shared" si="4"/>
        <v>1461413947</v>
      </c>
    </row>
    <row r="986">
      <c r="T986" s="494" t="s">
        <v>622</v>
      </c>
      <c r="AB986" s="489">
        <v>984.0</v>
      </c>
      <c r="AC986" s="490">
        <f t="shared" si="5"/>
        <v>1462928753</v>
      </c>
      <c r="AD986" s="491">
        <f t="shared" si="1"/>
        <v>1500</v>
      </c>
      <c r="AE986" s="492">
        <f t="shared" si="2"/>
        <v>0.009063325885</v>
      </c>
      <c r="AF986" s="490">
        <f t="shared" si="3"/>
        <v>1476189253</v>
      </c>
      <c r="AG986" s="493">
        <f t="shared" si="6"/>
        <v>1516306.351</v>
      </c>
      <c r="AH986" s="493">
        <f t="shared" si="4"/>
        <v>1474672947</v>
      </c>
    </row>
    <row r="987">
      <c r="T987" s="494" t="s">
        <v>622</v>
      </c>
      <c r="AB987" s="489">
        <v>985.0</v>
      </c>
      <c r="AC987" s="490">
        <f t="shared" si="5"/>
        <v>1476189253</v>
      </c>
      <c r="AD987" s="491">
        <f t="shared" si="1"/>
        <v>1500</v>
      </c>
      <c r="AE987" s="492">
        <f t="shared" si="2"/>
        <v>0.009063325885</v>
      </c>
      <c r="AF987" s="490">
        <f t="shared" si="3"/>
        <v>1489569938</v>
      </c>
      <c r="AG987" s="493">
        <f t="shared" si="6"/>
        <v>1517806.351</v>
      </c>
      <c r="AH987" s="493">
        <f t="shared" si="4"/>
        <v>1488052131</v>
      </c>
    </row>
    <row r="988">
      <c r="T988" s="494" t="s">
        <v>622</v>
      </c>
      <c r="AB988" s="489">
        <v>986.0</v>
      </c>
      <c r="AC988" s="490">
        <f t="shared" si="5"/>
        <v>1489569938</v>
      </c>
      <c r="AD988" s="491">
        <f t="shared" si="1"/>
        <v>1500</v>
      </c>
      <c r="AE988" s="492">
        <f t="shared" si="2"/>
        <v>0.009063325885</v>
      </c>
      <c r="AF988" s="490">
        <f t="shared" si="3"/>
        <v>1503071895</v>
      </c>
      <c r="AG988" s="493">
        <f t="shared" si="6"/>
        <v>1519306.351</v>
      </c>
      <c r="AH988" s="493">
        <f t="shared" si="4"/>
        <v>1501552589</v>
      </c>
    </row>
    <row r="989">
      <c r="T989" s="494" t="s">
        <v>622</v>
      </c>
      <c r="AB989" s="489">
        <v>987.0</v>
      </c>
      <c r="AC989" s="490">
        <f t="shared" si="5"/>
        <v>1503071895</v>
      </c>
      <c r="AD989" s="491">
        <f t="shared" si="1"/>
        <v>1500</v>
      </c>
      <c r="AE989" s="492">
        <f t="shared" si="2"/>
        <v>0.009063325885</v>
      </c>
      <c r="AF989" s="490">
        <f t="shared" si="3"/>
        <v>1516696226</v>
      </c>
      <c r="AG989" s="493">
        <f t="shared" si="6"/>
        <v>1520806.351</v>
      </c>
      <c r="AH989" s="493">
        <f t="shared" si="4"/>
        <v>1515175419</v>
      </c>
    </row>
    <row r="990">
      <c r="T990" s="494" t="s">
        <v>622</v>
      </c>
      <c r="AB990" s="489">
        <v>988.0</v>
      </c>
      <c r="AC990" s="490">
        <f t="shared" si="5"/>
        <v>1516696226</v>
      </c>
      <c r="AD990" s="491">
        <f t="shared" si="1"/>
        <v>1500</v>
      </c>
      <c r="AE990" s="492">
        <f t="shared" si="2"/>
        <v>0.009063325885</v>
      </c>
      <c r="AF990" s="490">
        <f t="shared" si="3"/>
        <v>1530444038</v>
      </c>
      <c r="AG990" s="493">
        <f t="shared" si="6"/>
        <v>1522306.351</v>
      </c>
      <c r="AH990" s="493">
        <f t="shared" si="4"/>
        <v>1528921732</v>
      </c>
    </row>
    <row r="991">
      <c r="T991" s="494" t="s">
        <v>622</v>
      </c>
      <c r="AB991" s="489">
        <v>989.0</v>
      </c>
      <c r="AC991" s="490">
        <f t="shared" si="5"/>
        <v>1530444038</v>
      </c>
      <c r="AD991" s="491">
        <f t="shared" si="1"/>
        <v>1500</v>
      </c>
      <c r="AE991" s="492">
        <f t="shared" si="2"/>
        <v>0.009063325885</v>
      </c>
      <c r="AF991" s="490">
        <f t="shared" si="3"/>
        <v>1544316451</v>
      </c>
      <c r="AG991" s="493">
        <f t="shared" si="6"/>
        <v>1523806.351</v>
      </c>
      <c r="AH991" s="493">
        <f t="shared" si="4"/>
        <v>1542792645</v>
      </c>
    </row>
    <row r="992">
      <c r="T992" s="494" t="s">
        <v>622</v>
      </c>
      <c r="AB992" s="489">
        <v>990.0</v>
      </c>
      <c r="AC992" s="490">
        <f t="shared" si="5"/>
        <v>1544316451</v>
      </c>
      <c r="AD992" s="491">
        <f t="shared" si="1"/>
        <v>1500</v>
      </c>
      <c r="AE992" s="492">
        <f t="shared" si="2"/>
        <v>0.009063325885</v>
      </c>
      <c r="AF992" s="490">
        <f t="shared" si="3"/>
        <v>1558314594</v>
      </c>
      <c r="AG992" s="493">
        <f t="shared" si="6"/>
        <v>1525306.351</v>
      </c>
      <c r="AH992" s="493">
        <f t="shared" si="4"/>
        <v>1556789288</v>
      </c>
    </row>
    <row r="993">
      <c r="T993" s="494" t="s">
        <v>622</v>
      </c>
      <c r="AB993" s="489">
        <v>991.0</v>
      </c>
      <c r="AC993" s="490">
        <f t="shared" si="5"/>
        <v>1558314594</v>
      </c>
      <c r="AD993" s="491">
        <f t="shared" si="1"/>
        <v>1500</v>
      </c>
      <c r="AE993" s="492">
        <f t="shared" si="2"/>
        <v>0.009063325885</v>
      </c>
      <c r="AF993" s="490">
        <f t="shared" si="3"/>
        <v>1572439607</v>
      </c>
      <c r="AG993" s="493">
        <f t="shared" si="6"/>
        <v>1526806.351</v>
      </c>
      <c r="AH993" s="493">
        <f t="shared" si="4"/>
        <v>1570912801</v>
      </c>
    </row>
    <row r="994">
      <c r="T994" s="494" t="s">
        <v>622</v>
      </c>
      <c r="AB994" s="489">
        <v>992.0</v>
      </c>
      <c r="AC994" s="490">
        <f t="shared" si="5"/>
        <v>1572439607</v>
      </c>
      <c r="AD994" s="491">
        <f t="shared" si="1"/>
        <v>1500</v>
      </c>
      <c r="AE994" s="492">
        <f t="shared" si="2"/>
        <v>0.009063325885</v>
      </c>
      <c r="AF994" s="490">
        <f t="shared" si="3"/>
        <v>1586692640</v>
      </c>
      <c r="AG994" s="493">
        <f t="shared" si="6"/>
        <v>1528306.351</v>
      </c>
      <c r="AH994" s="493">
        <f t="shared" si="4"/>
        <v>1585164334</v>
      </c>
    </row>
    <row r="995">
      <c r="T995" s="494" t="s">
        <v>622</v>
      </c>
      <c r="AB995" s="489">
        <v>993.0</v>
      </c>
      <c r="AC995" s="490">
        <f t="shared" si="5"/>
        <v>1586692640</v>
      </c>
      <c r="AD995" s="491">
        <f t="shared" si="1"/>
        <v>1500</v>
      </c>
      <c r="AE995" s="492">
        <f t="shared" si="2"/>
        <v>0.009063325885</v>
      </c>
      <c r="AF995" s="490">
        <f t="shared" si="3"/>
        <v>1601074852</v>
      </c>
      <c r="AG995" s="493">
        <f t="shared" si="6"/>
        <v>1529806.351</v>
      </c>
      <c r="AH995" s="493">
        <f t="shared" si="4"/>
        <v>1599545046</v>
      </c>
    </row>
    <row r="996">
      <c r="T996" s="494" t="s">
        <v>622</v>
      </c>
      <c r="AB996" s="489">
        <v>994.0</v>
      </c>
      <c r="AC996" s="490">
        <f t="shared" si="5"/>
        <v>1601074852</v>
      </c>
      <c r="AD996" s="491">
        <f t="shared" si="1"/>
        <v>1500</v>
      </c>
      <c r="AE996" s="492">
        <f t="shared" si="2"/>
        <v>0.009063325885</v>
      </c>
      <c r="AF996" s="490">
        <f t="shared" si="3"/>
        <v>1615587416</v>
      </c>
      <c r="AG996" s="493">
        <f t="shared" si="6"/>
        <v>1531306.351</v>
      </c>
      <c r="AH996" s="493">
        <f t="shared" si="4"/>
        <v>1614056109</v>
      </c>
    </row>
    <row r="997">
      <c r="T997" s="494" t="s">
        <v>622</v>
      </c>
      <c r="AB997" s="489">
        <v>995.0</v>
      </c>
      <c r="AC997" s="490">
        <f t="shared" si="5"/>
        <v>1615587416</v>
      </c>
      <c r="AD997" s="491">
        <f t="shared" si="1"/>
        <v>1500</v>
      </c>
      <c r="AE997" s="492">
        <f t="shared" si="2"/>
        <v>0.009063325885</v>
      </c>
      <c r="AF997" s="490">
        <f t="shared" si="3"/>
        <v>1630231511</v>
      </c>
      <c r="AG997" s="493">
        <f t="shared" si="6"/>
        <v>1532806.351</v>
      </c>
      <c r="AH997" s="493">
        <f t="shared" si="4"/>
        <v>1628698704</v>
      </c>
    </row>
    <row r="998">
      <c r="T998" s="494" t="s">
        <v>622</v>
      </c>
      <c r="AB998" s="489">
        <v>996.0</v>
      </c>
      <c r="AC998" s="490">
        <f t="shared" si="5"/>
        <v>1630231511</v>
      </c>
      <c r="AD998" s="491">
        <f t="shared" si="1"/>
        <v>1500</v>
      </c>
      <c r="AE998" s="492">
        <f t="shared" si="2"/>
        <v>0.009063325885</v>
      </c>
      <c r="AF998" s="490">
        <f t="shared" si="3"/>
        <v>1645008330</v>
      </c>
      <c r="AG998" s="493">
        <f t="shared" si="6"/>
        <v>1534306.351</v>
      </c>
      <c r="AH998" s="493">
        <f t="shared" si="4"/>
        <v>1643474024</v>
      </c>
    </row>
    <row r="999">
      <c r="T999" s="494" t="s">
        <v>622</v>
      </c>
      <c r="AB999" s="489">
        <v>997.0</v>
      </c>
      <c r="AC999" s="490">
        <f t="shared" si="5"/>
        <v>1645008330</v>
      </c>
      <c r="AD999" s="491">
        <f t="shared" si="1"/>
        <v>1500</v>
      </c>
      <c r="AE999" s="492">
        <f t="shared" si="2"/>
        <v>0.009063325885</v>
      </c>
      <c r="AF999" s="490">
        <f t="shared" si="3"/>
        <v>1659919077</v>
      </c>
      <c r="AG999" s="493">
        <f t="shared" si="6"/>
        <v>1535806.351</v>
      </c>
      <c r="AH999" s="493">
        <f t="shared" si="4"/>
        <v>1658383270</v>
      </c>
    </row>
    <row r="1000">
      <c r="T1000" s="494" t="s">
        <v>622</v>
      </c>
      <c r="AB1000" s="489">
        <v>998.0</v>
      </c>
      <c r="AC1000" s="490">
        <f t="shared" si="5"/>
        <v>1659919077</v>
      </c>
      <c r="AD1000" s="491">
        <f t="shared" si="1"/>
        <v>1500</v>
      </c>
      <c r="AE1000" s="492">
        <f t="shared" si="2"/>
        <v>0.009063325885</v>
      </c>
      <c r="AF1000" s="490">
        <f t="shared" si="3"/>
        <v>1674964964</v>
      </c>
      <c r="AG1000" s="493">
        <f t="shared" si="6"/>
        <v>1537306.351</v>
      </c>
      <c r="AH1000" s="493">
        <f t="shared" si="4"/>
        <v>1673427658</v>
      </c>
    </row>
    <row r="1001">
      <c r="T1001" s="494" t="s">
        <v>622</v>
      </c>
      <c r="AB1001" s="489">
        <v>999.0</v>
      </c>
      <c r="AC1001" s="490">
        <f t="shared" si="5"/>
        <v>1674964964</v>
      </c>
      <c r="AD1001" s="491">
        <f t="shared" si="1"/>
        <v>1500</v>
      </c>
      <c r="AE1001" s="492">
        <f t="shared" si="2"/>
        <v>0.009063325885</v>
      </c>
      <c r="AF1001" s="490">
        <f t="shared" si="3"/>
        <v>1690147218</v>
      </c>
      <c r="AG1001" s="493">
        <f t="shared" si="6"/>
        <v>1538806.351</v>
      </c>
      <c r="AH1001" s="493">
        <f t="shared" si="4"/>
        <v>1688608411</v>
      </c>
    </row>
    <row r="1002">
      <c r="T1002" s="494" t="s">
        <v>622</v>
      </c>
      <c r="AB1002" s="489">
        <v>1000.0</v>
      </c>
      <c r="AC1002" s="490">
        <f t="shared" si="5"/>
        <v>1690147218</v>
      </c>
      <c r="AD1002" s="491">
        <f t="shared" si="1"/>
        <v>1500</v>
      </c>
      <c r="AE1002" s="492">
        <f t="shared" si="2"/>
        <v>0.009063325885</v>
      </c>
      <c r="AF1002" s="490">
        <f t="shared" si="3"/>
        <v>1705467073</v>
      </c>
      <c r="AG1002" s="493">
        <f t="shared" si="6"/>
        <v>1540306.351</v>
      </c>
      <c r="AH1002" s="493">
        <f t="shared" si="4"/>
        <v>1703926766</v>
      </c>
    </row>
    <row r="1003">
      <c r="T1003" s="494" t="s">
        <v>622</v>
      </c>
      <c r="AB1003" s="489">
        <v>1001.0</v>
      </c>
      <c r="AC1003" s="490">
        <f t="shared" si="5"/>
        <v>1705467073</v>
      </c>
      <c r="AD1003" s="491">
        <f t="shared" si="1"/>
        <v>1500</v>
      </c>
      <c r="AE1003" s="492">
        <f t="shared" si="2"/>
        <v>0.009063325885</v>
      </c>
      <c r="AF1003" s="490">
        <f t="shared" si="3"/>
        <v>1720925777</v>
      </c>
      <c r="AG1003" s="493">
        <f t="shared" si="6"/>
        <v>1541806.351</v>
      </c>
      <c r="AH1003" s="493">
        <f t="shared" si="4"/>
        <v>1719383970</v>
      </c>
    </row>
    <row r="1004">
      <c r="T1004" s="494" t="s">
        <v>622</v>
      </c>
      <c r="AB1004" s="489">
        <v>1002.0</v>
      </c>
      <c r="AC1004" s="490">
        <f t="shared" si="5"/>
        <v>1720925777</v>
      </c>
      <c r="AD1004" s="491">
        <f t="shared" si="1"/>
        <v>1500</v>
      </c>
      <c r="AE1004" s="492">
        <f t="shared" si="2"/>
        <v>0.009063325885</v>
      </c>
      <c r="AF1004" s="490">
        <f t="shared" si="3"/>
        <v>1736524588</v>
      </c>
      <c r="AG1004" s="493">
        <f t="shared" si="6"/>
        <v>1543306.351</v>
      </c>
      <c r="AH1004" s="493">
        <f t="shared" si="4"/>
        <v>1734981281</v>
      </c>
    </row>
    <row r="1005">
      <c r="T1005" s="494" t="s">
        <v>622</v>
      </c>
      <c r="AB1005" s="489">
        <v>1003.0</v>
      </c>
      <c r="AC1005" s="490">
        <f t="shared" si="5"/>
        <v>1736524588</v>
      </c>
      <c r="AD1005" s="491">
        <f t="shared" si="1"/>
        <v>1500</v>
      </c>
      <c r="AE1005" s="492">
        <f t="shared" si="2"/>
        <v>0.009063325885</v>
      </c>
      <c r="AF1005" s="490">
        <f t="shared" si="3"/>
        <v>1752264776</v>
      </c>
      <c r="AG1005" s="493">
        <f t="shared" si="6"/>
        <v>1544806.351</v>
      </c>
      <c r="AH1005" s="493">
        <f t="shared" si="4"/>
        <v>1750719970</v>
      </c>
    </row>
    <row r="1006">
      <c r="T1006" s="494" t="s">
        <v>622</v>
      </c>
      <c r="AB1006" s="489">
        <v>1004.0</v>
      </c>
      <c r="AC1006" s="490">
        <f t="shared" si="5"/>
        <v>1752264776</v>
      </c>
      <c r="AD1006" s="491">
        <f t="shared" si="1"/>
        <v>1500</v>
      </c>
      <c r="AE1006" s="492">
        <f t="shared" si="2"/>
        <v>0.009063325885</v>
      </c>
      <c r="AF1006" s="490">
        <f t="shared" si="3"/>
        <v>1768147623</v>
      </c>
      <c r="AG1006" s="493">
        <f t="shared" si="6"/>
        <v>1546306.351</v>
      </c>
      <c r="AH1006" s="493">
        <f t="shared" si="4"/>
        <v>1766601316</v>
      </c>
    </row>
    <row r="1007">
      <c r="T1007" s="494" t="s">
        <v>622</v>
      </c>
      <c r="AB1007" s="489">
        <v>1005.0</v>
      </c>
      <c r="AC1007" s="490">
        <f t="shared" si="5"/>
        <v>1768147623</v>
      </c>
      <c r="AD1007" s="491">
        <f t="shared" si="1"/>
        <v>1500</v>
      </c>
      <c r="AE1007" s="492">
        <f t="shared" si="2"/>
        <v>0.009063325885</v>
      </c>
      <c r="AF1007" s="490">
        <f t="shared" si="3"/>
        <v>1784174421</v>
      </c>
      <c r="AG1007" s="493">
        <f t="shared" si="6"/>
        <v>1547806.351</v>
      </c>
      <c r="AH1007" s="493">
        <f t="shared" si="4"/>
        <v>1782626614</v>
      </c>
    </row>
    <row r="1008">
      <c r="T1008" s="494" t="s">
        <v>622</v>
      </c>
      <c r="AB1008" s="489">
        <v>1006.0</v>
      </c>
      <c r="AC1008" s="490">
        <f t="shared" si="5"/>
        <v>1784174421</v>
      </c>
      <c r="AD1008" s="491">
        <f t="shared" si="1"/>
        <v>1500</v>
      </c>
      <c r="AE1008" s="492">
        <f t="shared" si="2"/>
        <v>0.009063325885</v>
      </c>
      <c r="AF1008" s="490">
        <f t="shared" si="3"/>
        <v>1800346475</v>
      </c>
      <c r="AG1008" s="493">
        <f t="shared" si="6"/>
        <v>1549306.351</v>
      </c>
      <c r="AH1008" s="493">
        <f t="shared" si="4"/>
        <v>1798797169</v>
      </c>
    </row>
    <row r="1009">
      <c r="T1009" s="494" t="s">
        <v>622</v>
      </c>
      <c r="AB1009" s="489">
        <v>1007.0</v>
      </c>
      <c r="AC1009" s="490">
        <f t="shared" si="5"/>
        <v>1800346475</v>
      </c>
      <c r="AD1009" s="491">
        <f t="shared" si="1"/>
        <v>1500</v>
      </c>
      <c r="AE1009" s="492">
        <f t="shared" si="2"/>
        <v>0.009063325885</v>
      </c>
      <c r="AF1009" s="490">
        <f t="shared" si="3"/>
        <v>1816665102</v>
      </c>
      <c r="AG1009" s="493">
        <f t="shared" si="6"/>
        <v>1550806.351</v>
      </c>
      <c r="AH1009" s="493">
        <f t="shared" si="4"/>
        <v>1815114295</v>
      </c>
    </row>
    <row r="1010">
      <c r="T1010" s="494" t="s">
        <v>622</v>
      </c>
      <c r="AB1010" s="489">
        <v>1008.0</v>
      </c>
      <c r="AC1010" s="490">
        <f t="shared" si="5"/>
        <v>1816665102</v>
      </c>
      <c r="AD1010" s="491">
        <f t="shared" si="1"/>
        <v>1500</v>
      </c>
      <c r="AE1010" s="492">
        <f t="shared" si="2"/>
        <v>0.009063325885</v>
      </c>
      <c r="AF1010" s="490">
        <f t="shared" si="3"/>
        <v>1833131630</v>
      </c>
      <c r="AG1010" s="493">
        <f t="shared" si="6"/>
        <v>1552306.351</v>
      </c>
      <c r="AH1010" s="493">
        <f t="shared" si="4"/>
        <v>1831579323</v>
      </c>
    </row>
    <row r="1011">
      <c r="T1011" s="494" t="s">
        <v>622</v>
      </c>
      <c r="AB1011" s="489">
        <v>1009.0</v>
      </c>
      <c r="AC1011" s="490">
        <f t="shared" si="5"/>
        <v>1833131630</v>
      </c>
      <c r="AD1011" s="491">
        <f t="shared" si="1"/>
        <v>1500</v>
      </c>
      <c r="AE1011" s="492">
        <f t="shared" si="2"/>
        <v>0.009063325885</v>
      </c>
      <c r="AF1011" s="490">
        <f t="shared" si="3"/>
        <v>1849747399</v>
      </c>
      <c r="AG1011" s="493">
        <f t="shared" si="6"/>
        <v>1553806.351</v>
      </c>
      <c r="AH1011" s="493">
        <f t="shared" si="4"/>
        <v>1848193593</v>
      </c>
    </row>
    <row r="1012">
      <c r="T1012" s="494" t="s">
        <v>622</v>
      </c>
      <c r="AB1012" s="489">
        <v>1010.0</v>
      </c>
      <c r="AC1012" s="490">
        <f t="shared" si="5"/>
        <v>1849747399</v>
      </c>
      <c r="AD1012" s="491">
        <f t="shared" si="1"/>
        <v>1500</v>
      </c>
      <c r="AE1012" s="492">
        <f t="shared" si="2"/>
        <v>0.009063325885</v>
      </c>
      <c r="AF1012" s="490">
        <f t="shared" si="3"/>
        <v>1866513762</v>
      </c>
      <c r="AG1012" s="493">
        <f t="shared" si="6"/>
        <v>1555306.351</v>
      </c>
      <c r="AH1012" s="493">
        <f t="shared" si="4"/>
        <v>1864958456</v>
      </c>
    </row>
    <row r="1013">
      <c r="T1013" s="494" t="s">
        <v>622</v>
      </c>
      <c r="AB1013" s="489">
        <v>1011.0</v>
      </c>
      <c r="AC1013" s="490">
        <f t="shared" si="5"/>
        <v>1866513762</v>
      </c>
      <c r="AD1013" s="491">
        <f t="shared" si="1"/>
        <v>1500</v>
      </c>
      <c r="AE1013" s="492">
        <f t="shared" si="2"/>
        <v>0.009063325885</v>
      </c>
      <c r="AF1013" s="490">
        <f t="shared" si="3"/>
        <v>1883432085</v>
      </c>
      <c r="AG1013" s="493">
        <f t="shared" si="6"/>
        <v>1556806.351</v>
      </c>
      <c r="AH1013" s="493">
        <f t="shared" si="4"/>
        <v>1881875279</v>
      </c>
    </row>
    <row r="1014">
      <c r="T1014" s="494" t="s">
        <v>622</v>
      </c>
      <c r="AB1014" s="489">
        <v>1012.0</v>
      </c>
      <c r="AC1014" s="490">
        <f t="shared" si="5"/>
        <v>1883432085</v>
      </c>
      <c r="AD1014" s="491">
        <f t="shared" si="1"/>
        <v>1500</v>
      </c>
      <c r="AE1014" s="492">
        <f t="shared" si="2"/>
        <v>0.009063325885</v>
      </c>
      <c r="AF1014" s="490">
        <f t="shared" si="3"/>
        <v>1900503744</v>
      </c>
      <c r="AG1014" s="493">
        <f t="shared" si="6"/>
        <v>1558306.351</v>
      </c>
      <c r="AH1014" s="493">
        <f t="shared" si="4"/>
        <v>1898945437</v>
      </c>
    </row>
    <row r="1015">
      <c r="T1015" s="494" t="s">
        <v>622</v>
      </c>
      <c r="AB1015" s="489">
        <v>1013.0</v>
      </c>
      <c r="AC1015" s="490">
        <f t="shared" si="5"/>
        <v>1900503744</v>
      </c>
      <c r="AD1015" s="491">
        <f t="shared" si="1"/>
        <v>1500</v>
      </c>
      <c r="AE1015" s="492">
        <f t="shared" si="2"/>
        <v>0.009063325885</v>
      </c>
      <c r="AF1015" s="490">
        <f t="shared" si="3"/>
        <v>1917730128</v>
      </c>
      <c r="AG1015" s="493">
        <f t="shared" si="6"/>
        <v>1559806.351</v>
      </c>
      <c r="AH1015" s="493">
        <f t="shared" si="4"/>
        <v>1916170322</v>
      </c>
    </row>
    <row r="1016">
      <c r="T1016" s="494" t="s">
        <v>622</v>
      </c>
      <c r="AB1016" s="489">
        <v>1014.0</v>
      </c>
      <c r="AC1016" s="490">
        <f t="shared" si="5"/>
        <v>1917730128</v>
      </c>
      <c r="AD1016" s="491">
        <f t="shared" si="1"/>
        <v>1500</v>
      </c>
      <c r="AE1016" s="492">
        <f t="shared" si="2"/>
        <v>0.009063325885</v>
      </c>
      <c r="AF1016" s="490">
        <f t="shared" si="3"/>
        <v>1935112642</v>
      </c>
      <c r="AG1016" s="493">
        <f t="shared" si="6"/>
        <v>1561306.351</v>
      </c>
      <c r="AH1016" s="493">
        <f t="shared" si="4"/>
        <v>1933551335</v>
      </c>
    </row>
    <row r="1017">
      <c r="T1017" s="494" t="s">
        <v>622</v>
      </c>
      <c r="AB1017" s="489">
        <v>1015.0</v>
      </c>
      <c r="AC1017" s="490">
        <f t="shared" si="5"/>
        <v>1935112642</v>
      </c>
      <c r="AD1017" s="491">
        <f t="shared" si="1"/>
        <v>1500</v>
      </c>
      <c r="AE1017" s="492">
        <f t="shared" si="2"/>
        <v>0.009063325885</v>
      </c>
      <c r="AF1017" s="490">
        <f t="shared" si="3"/>
        <v>1952652698</v>
      </c>
      <c r="AG1017" s="493">
        <f t="shared" si="6"/>
        <v>1562806.351</v>
      </c>
      <c r="AH1017" s="493">
        <f t="shared" si="4"/>
        <v>1951089892</v>
      </c>
    </row>
    <row r="1018">
      <c r="T1018" s="494" t="s">
        <v>622</v>
      </c>
      <c r="AB1018" s="489">
        <v>1016.0</v>
      </c>
      <c r="AC1018" s="490">
        <f t="shared" si="5"/>
        <v>1952652698</v>
      </c>
      <c r="AD1018" s="491">
        <f t="shared" si="1"/>
        <v>1500</v>
      </c>
      <c r="AE1018" s="492">
        <f t="shared" si="2"/>
        <v>0.009063325885</v>
      </c>
      <c r="AF1018" s="490">
        <f t="shared" si="3"/>
        <v>1970351726</v>
      </c>
      <c r="AG1018" s="493">
        <f t="shared" si="6"/>
        <v>1564306.351</v>
      </c>
      <c r="AH1018" s="493">
        <f t="shared" si="4"/>
        <v>1968787419</v>
      </c>
    </row>
    <row r="1019">
      <c r="T1019" s="494" t="s">
        <v>622</v>
      </c>
      <c r="AB1019" s="489">
        <v>1017.0</v>
      </c>
      <c r="AC1019" s="490">
        <f t="shared" si="5"/>
        <v>1970351726</v>
      </c>
      <c r="AD1019" s="491">
        <f t="shared" si="1"/>
        <v>1500</v>
      </c>
      <c r="AE1019" s="492">
        <f t="shared" si="2"/>
        <v>0.009063325885</v>
      </c>
      <c r="AF1019" s="490">
        <f t="shared" si="3"/>
        <v>1988211166</v>
      </c>
      <c r="AG1019" s="493">
        <f t="shared" si="6"/>
        <v>1565806.351</v>
      </c>
      <c r="AH1019" s="493">
        <f t="shared" si="4"/>
        <v>1986645359</v>
      </c>
    </row>
    <row r="1020">
      <c r="T1020" s="494" t="s">
        <v>622</v>
      </c>
      <c r="AB1020" s="489">
        <v>1018.0</v>
      </c>
      <c r="AC1020" s="490">
        <f t="shared" si="5"/>
        <v>1988211166</v>
      </c>
      <c r="AD1020" s="491">
        <f t="shared" si="1"/>
        <v>1500</v>
      </c>
      <c r="AE1020" s="492">
        <f t="shared" si="2"/>
        <v>0.009063325885</v>
      </c>
      <c r="AF1020" s="490">
        <f t="shared" si="3"/>
        <v>2006232471</v>
      </c>
      <c r="AG1020" s="493">
        <f t="shared" si="6"/>
        <v>1567306.351</v>
      </c>
      <c r="AH1020" s="493">
        <f t="shared" si="4"/>
        <v>2004665165</v>
      </c>
    </row>
    <row r="1021">
      <c r="T1021" s="494" t="s">
        <v>622</v>
      </c>
      <c r="AB1021" s="489">
        <v>1019.0</v>
      </c>
      <c r="AC1021" s="490">
        <f t="shared" si="5"/>
        <v>2006232471</v>
      </c>
      <c r="AD1021" s="491">
        <f t="shared" si="1"/>
        <v>1500</v>
      </c>
      <c r="AE1021" s="492">
        <f t="shared" si="2"/>
        <v>0.009063325885</v>
      </c>
      <c r="AF1021" s="490">
        <f t="shared" si="3"/>
        <v>2024417110</v>
      </c>
      <c r="AG1021" s="493">
        <f t="shared" si="6"/>
        <v>1568806.351</v>
      </c>
      <c r="AH1021" s="493">
        <f t="shared" si="4"/>
        <v>2022848304</v>
      </c>
    </row>
    <row r="1022">
      <c r="T1022" s="494" t="s">
        <v>622</v>
      </c>
      <c r="AB1022" s="489">
        <v>1020.0</v>
      </c>
      <c r="AC1022" s="490">
        <f t="shared" si="5"/>
        <v>2024417110</v>
      </c>
      <c r="AD1022" s="491">
        <f t="shared" si="1"/>
        <v>1500</v>
      </c>
      <c r="AE1022" s="492">
        <f t="shared" si="2"/>
        <v>0.009063325885</v>
      </c>
      <c r="AF1022" s="490">
        <f t="shared" si="3"/>
        <v>2042766562</v>
      </c>
      <c r="AG1022" s="493">
        <f t="shared" si="6"/>
        <v>1570306.351</v>
      </c>
      <c r="AH1022" s="493">
        <f t="shared" si="4"/>
        <v>2041196256</v>
      </c>
    </row>
    <row r="1023">
      <c r="T1023" s="494" t="s">
        <v>622</v>
      </c>
      <c r="AB1023" s="489">
        <v>1021.0</v>
      </c>
      <c r="AC1023" s="490">
        <f t="shared" si="5"/>
        <v>2042766562</v>
      </c>
      <c r="AD1023" s="491">
        <f t="shared" si="1"/>
        <v>1500</v>
      </c>
      <c r="AE1023" s="492">
        <f t="shared" si="2"/>
        <v>0.009063325885</v>
      </c>
      <c r="AF1023" s="490">
        <f t="shared" si="3"/>
        <v>2061282321</v>
      </c>
      <c r="AG1023" s="493">
        <f t="shared" si="6"/>
        <v>1571806.351</v>
      </c>
      <c r="AH1023" s="493">
        <f t="shared" si="4"/>
        <v>2059710515</v>
      </c>
    </row>
    <row r="1024">
      <c r="T1024" s="494" t="s">
        <v>622</v>
      </c>
      <c r="AB1024" s="489">
        <v>1022.0</v>
      </c>
      <c r="AC1024" s="490">
        <f t="shared" si="5"/>
        <v>2061282321</v>
      </c>
      <c r="AD1024" s="491">
        <f t="shared" si="1"/>
        <v>1500</v>
      </c>
      <c r="AE1024" s="492">
        <f t="shared" si="2"/>
        <v>0.009063325885</v>
      </c>
      <c r="AF1024" s="490">
        <f t="shared" si="3"/>
        <v>2079965895</v>
      </c>
      <c r="AG1024" s="493">
        <f t="shared" si="6"/>
        <v>1573306.351</v>
      </c>
      <c r="AH1024" s="493">
        <f t="shared" si="4"/>
        <v>2078392588</v>
      </c>
    </row>
    <row r="1025">
      <c r="T1025" s="494" t="s">
        <v>622</v>
      </c>
      <c r="AB1025" s="489">
        <v>1023.0</v>
      </c>
      <c r="AC1025" s="490">
        <f t="shared" si="5"/>
        <v>2079965895</v>
      </c>
      <c r="AD1025" s="491">
        <f t="shared" si="1"/>
        <v>1500</v>
      </c>
      <c r="AE1025" s="492">
        <f t="shared" si="2"/>
        <v>0.009063325885</v>
      </c>
      <c r="AF1025" s="490">
        <f t="shared" si="3"/>
        <v>2098818803</v>
      </c>
      <c r="AG1025" s="493">
        <f t="shared" si="6"/>
        <v>1574806.351</v>
      </c>
      <c r="AH1025" s="493">
        <f t="shared" si="4"/>
        <v>2097243997</v>
      </c>
    </row>
    <row r="1026">
      <c r="T1026" s="494" t="s">
        <v>622</v>
      </c>
      <c r="AB1026" s="489">
        <v>1024.0</v>
      </c>
      <c r="AC1026" s="490">
        <f t="shared" si="5"/>
        <v>2098818803</v>
      </c>
      <c r="AD1026" s="491">
        <f t="shared" si="1"/>
        <v>1500</v>
      </c>
      <c r="AE1026" s="492">
        <f t="shared" si="2"/>
        <v>0.009063325885</v>
      </c>
      <c r="AF1026" s="490">
        <f t="shared" si="3"/>
        <v>2117842582</v>
      </c>
      <c r="AG1026" s="493">
        <f t="shared" si="6"/>
        <v>1576306.351</v>
      </c>
      <c r="AH1026" s="493">
        <f t="shared" si="4"/>
        <v>2116266276</v>
      </c>
    </row>
    <row r="1027">
      <c r="T1027" s="494" t="s">
        <v>622</v>
      </c>
      <c r="AB1027" s="489">
        <v>1025.0</v>
      </c>
      <c r="AC1027" s="490">
        <f t="shared" si="5"/>
        <v>2117842582</v>
      </c>
      <c r="AD1027" s="491">
        <f t="shared" si="1"/>
        <v>1500</v>
      </c>
      <c r="AE1027" s="492">
        <f t="shared" si="2"/>
        <v>0.009063325885</v>
      </c>
      <c r="AF1027" s="490">
        <f t="shared" si="3"/>
        <v>2137038780</v>
      </c>
      <c r="AG1027" s="493">
        <f t="shared" si="6"/>
        <v>1577806.351</v>
      </c>
      <c r="AH1027" s="493">
        <f t="shared" si="4"/>
        <v>2135460973</v>
      </c>
    </row>
    <row r="1028">
      <c r="T1028" s="494" t="s">
        <v>622</v>
      </c>
      <c r="AB1028" s="489">
        <v>1026.0</v>
      </c>
      <c r="AC1028" s="490">
        <f t="shared" si="5"/>
        <v>2137038780</v>
      </c>
      <c r="AD1028" s="491">
        <f t="shared" si="1"/>
        <v>1500</v>
      </c>
      <c r="AE1028" s="492">
        <f t="shared" si="2"/>
        <v>0.009063325885</v>
      </c>
      <c r="AF1028" s="490">
        <f t="shared" si="3"/>
        <v>2156408958</v>
      </c>
      <c r="AG1028" s="493">
        <f t="shared" si="6"/>
        <v>1579306.351</v>
      </c>
      <c r="AH1028" s="493">
        <f t="shared" si="4"/>
        <v>2154829652</v>
      </c>
    </row>
    <row r="1029">
      <c r="T1029" s="494" t="s">
        <v>622</v>
      </c>
      <c r="AB1029" s="489">
        <v>1027.0</v>
      </c>
      <c r="AC1029" s="490">
        <f t="shared" si="5"/>
        <v>2156408958</v>
      </c>
      <c r="AD1029" s="491">
        <f t="shared" si="1"/>
        <v>1500</v>
      </c>
      <c r="AE1029" s="492">
        <f t="shared" si="2"/>
        <v>0.009063325885</v>
      </c>
      <c r="AF1029" s="490">
        <f t="shared" si="3"/>
        <v>2175954696</v>
      </c>
      <c r="AG1029" s="493">
        <f t="shared" si="6"/>
        <v>1580806.351</v>
      </c>
      <c r="AH1029" s="493">
        <f t="shared" si="4"/>
        <v>2174373889</v>
      </c>
    </row>
    <row r="1030">
      <c r="T1030" s="494" t="s">
        <v>622</v>
      </c>
      <c r="AB1030" s="489">
        <v>1028.0</v>
      </c>
      <c r="AC1030" s="490">
        <f t="shared" si="5"/>
        <v>2175954696</v>
      </c>
      <c r="AD1030" s="491">
        <f t="shared" si="1"/>
        <v>1500</v>
      </c>
      <c r="AE1030" s="492">
        <f t="shared" si="2"/>
        <v>0.009063325885</v>
      </c>
      <c r="AF1030" s="490">
        <f t="shared" si="3"/>
        <v>2195677582</v>
      </c>
      <c r="AG1030" s="493">
        <f t="shared" si="6"/>
        <v>1582306.351</v>
      </c>
      <c r="AH1030" s="493">
        <f t="shared" si="4"/>
        <v>2194095276</v>
      </c>
    </row>
    <row r="1031">
      <c r="T1031" s="494" t="s">
        <v>622</v>
      </c>
      <c r="AB1031" s="489">
        <v>1029.0</v>
      </c>
      <c r="AC1031" s="490">
        <f t="shared" si="5"/>
        <v>2195677582</v>
      </c>
      <c r="AD1031" s="491">
        <f t="shared" si="1"/>
        <v>1500</v>
      </c>
      <c r="AE1031" s="492">
        <f t="shared" si="2"/>
        <v>0.009063325885</v>
      </c>
      <c r="AF1031" s="490">
        <f t="shared" si="3"/>
        <v>2215579224</v>
      </c>
      <c r="AG1031" s="493">
        <f t="shared" si="6"/>
        <v>1583806.351</v>
      </c>
      <c r="AH1031" s="493">
        <f t="shared" si="4"/>
        <v>2213995417</v>
      </c>
    </row>
    <row r="1032">
      <c r="T1032" s="494" t="s">
        <v>622</v>
      </c>
      <c r="AB1032" s="489">
        <v>1030.0</v>
      </c>
      <c r="AC1032" s="490">
        <f t="shared" si="5"/>
        <v>2215579224</v>
      </c>
      <c r="AD1032" s="491">
        <f t="shared" si="1"/>
        <v>1500</v>
      </c>
      <c r="AE1032" s="492">
        <f t="shared" si="2"/>
        <v>0.009063325885</v>
      </c>
      <c r="AF1032" s="490">
        <f t="shared" si="3"/>
        <v>2235661240</v>
      </c>
      <c r="AG1032" s="493">
        <f t="shared" si="6"/>
        <v>1585306.351</v>
      </c>
      <c r="AH1032" s="493">
        <f t="shared" si="4"/>
        <v>2234075934</v>
      </c>
    </row>
    <row r="1033">
      <c r="T1033" s="494" t="s">
        <v>622</v>
      </c>
      <c r="AB1033" s="489">
        <v>1031.0</v>
      </c>
      <c r="AC1033" s="490">
        <f t="shared" si="5"/>
        <v>2235661240</v>
      </c>
      <c r="AD1033" s="491">
        <f t="shared" si="1"/>
        <v>1500</v>
      </c>
      <c r="AE1033" s="492">
        <f t="shared" si="2"/>
        <v>0.009063325885</v>
      </c>
      <c r="AF1033" s="490">
        <f t="shared" si="3"/>
        <v>2255925266</v>
      </c>
      <c r="AG1033" s="493">
        <f t="shared" si="6"/>
        <v>1586806.351</v>
      </c>
      <c r="AH1033" s="493">
        <f t="shared" si="4"/>
        <v>2254338460</v>
      </c>
    </row>
    <row r="1034">
      <c r="T1034" s="494" t="s">
        <v>622</v>
      </c>
      <c r="AB1034" s="489">
        <v>1032.0</v>
      </c>
      <c r="AC1034" s="490">
        <f t="shared" si="5"/>
        <v>2255925266</v>
      </c>
      <c r="AD1034" s="491">
        <f t="shared" si="1"/>
        <v>1500</v>
      </c>
      <c r="AE1034" s="492">
        <f t="shared" si="2"/>
        <v>0.009063325885</v>
      </c>
      <c r="AF1034" s="490">
        <f t="shared" si="3"/>
        <v>2276372952</v>
      </c>
      <c r="AG1034" s="493">
        <f t="shared" si="6"/>
        <v>1588306.351</v>
      </c>
      <c r="AH1034" s="493">
        <f t="shared" si="4"/>
        <v>2274784646</v>
      </c>
    </row>
    <row r="1035">
      <c r="T1035" s="494" t="s">
        <v>622</v>
      </c>
      <c r="AB1035" s="489">
        <v>1033.0</v>
      </c>
      <c r="AC1035" s="490">
        <f t="shared" si="5"/>
        <v>2276372952</v>
      </c>
      <c r="AD1035" s="491">
        <f t="shared" si="1"/>
        <v>1500</v>
      </c>
      <c r="AE1035" s="492">
        <f t="shared" si="2"/>
        <v>0.009063325885</v>
      </c>
      <c r="AF1035" s="490">
        <f t="shared" si="3"/>
        <v>2297005962</v>
      </c>
      <c r="AG1035" s="493">
        <f t="shared" si="6"/>
        <v>1589806.351</v>
      </c>
      <c r="AH1035" s="493">
        <f t="shared" si="4"/>
        <v>2295416156</v>
      </c>
    </row>
    <row r="1036">
      <c r="T1036" s="494" t="s">
        <v>622</v>
      </c>
      <c r="AB1036" s="489">
        <v>1034.0</v>
      </c>
      <c r="AC1036" s="490">
        <f t="shared" si="5"/>
        <v>2297005962</v>
      </c>
      <c r="AD1036" s="491">
        <f t="shared" si="1"/>
        <v>1500</v>
      </c>
      <c r="AE1036" s="492">
        <f t="shared" si="2"/>
        <v>0.009063325885</v>
      </c>
      <c r="AF1036" s="490">
        <f t="shared" si="3"/>
        <v>2317825976</v>
      </c>
      <c r="AG1036" s="493">
        <f t="shared" si="6"/>
        <v>1591306.351</v>
      </c>
      <c r="AH1036" s="493">
        <f t="shared" si="4"/>
        <v>2316234669</v>
      </c>
    </row>
    <row r="1037">
      <c r="T1037" s="494" t="s">
        <v>622</v>
      </c>
      <c r="AB1037" s="489">
        <v>1035.0</v>
      </c>
      <c r="AC1037" s="490">
        <f t="shared" si="5"/>
        <v>2317825976</v>
      </c>
      <c r="AD1037" s="491">
        <f t="shared" si="1"/>
        <v>1500</v>
      </c>
      <c r="AE1037" s="492">
        <f t="shared" si="2"/>
        <v>0.009063325885</v>
      </c>
      <c r="AF1037" s="490">
        <f t="shared" si="3"/>
        <v>2338834688</v>
      </c>
      <c r="AG1037" s="493">
        <f t="shared" si="6"/>
        <v>1592806.351</v>
      </c>
      <c r="AH1037" s="493">
        <f t="shared" si="4"/>
        <v>2337241882</v>
      </c>
    </row>
    <row r="1038">
      <c r="T1038" s="494" t="s">
        <v>622</v>
      </c>
      <c r="AB1038" s="489">
        <v>1036.0</v>
      </c>
      <c r="AC1038" s="490">
        <f t="shared" si="5"/>
        <v>2338834688</v>
      </c>
      <c r="AD1038" s="491">
        <f t="shared" si="1"/>
        <v>1500</v>
      </c>
      <c r="AE1038" s="492">
        <f t="shared" si="2"/>
        <v>0.009063325885</v>
      </c>
      <c r="AF1038" s="490">
        <f t="shared" si="3"/>
        <v>2360033809</v>
      </c>
      <c r="AG1038" s="493">
        <f t="shared" si="6"/>
        <v>1594306.351</v>
      </c>
      <c r="AH1038" s="493">
        <f t="shared" si="4"/>
        <v>2358439503</v>
      </c>
    </row>
    <row r="1039">
      <c r="T1039" s="494" t="s">
        <v>622</v>
      </c>
      <c r="AB1039" s="489">
        <v>1037.0</v>
      </c>
      <c r="AC1039" s="490">
        <f t="shared" si="5"/>
        <v>2360033809</v>
      </c>
      <c r="AD1039" s="491">
        <f t="shared" si="1"/>
        <v>1500</v>
      </c>
      <c r="AE1039" s="492">
        <f t="shared" si="2"/>
        <v>0.009063325885</v>
      </c>
      <c r="AF1039" s="490">
        <f t="shared" si="3"/>
        <v>2381425064</v>
      </c>
      <c r="AG1039" s="493">
        <f t="shared" si="6"/>
        <v>1595806.351</v>
      </c>
      <c r="AH1039" s="493">
        <f t="shared" si="4"/>
        <v>2379829258</v>
      </c>
    </row>
    <row r="1040">
      <c r="T1040" s="494" t="s">
        <v>622</v>
      </c>
      <c r="AB1040" s="489">
        <v>1038.0</v>
      </c>
      <c r="AC1040" s="490">
        <f t="shared" si="5"/>
        <v>2381425064</v>
      </c>
      <c r="AD1040" s="491">
        <f t="shared" si="1"/>
        <v>1500</v>
      </c>
      <c r="AE1040" s="492">
        <f t="shared" si="2"/>
        <v>0.009063325885</v>
      </c>
      <c r="AF1040" s="490">
        <f t="shared" si="3"/>
        <v>2403010196</v>
      </c>
      <c r="AG1040" s="493">
        <f t="shared" si="6"/>
        <v>1597306.351</v>
      </c>
      <c r="AH1040" s="493">
        <f t="shared" si="4"/>
        <v>2401412890</v>
      </c>
    </row>
    <row r="1041">
      <c r="T1041" s="494" t="s">
        <v>622</v>
      </c>
      <c r="AB1041" s="489">
        <v>1039.0</v>
      </c>
      <c r="AC1041" s="490">
        <f t="shared" si="5"/>
        <v>2403010196</v>
      </c>
      <c r="AD1041" s="491">
        <f t="shared" si="1"/>
        <v>1500</v>
      </c>
      <c r="AE1041" s="492">
        <f t="shared" si="2"/>
        <v>0.009063325885</v>
      </c>
      <c r="AF1041" s="490">
        <f t="shared" si="3"/>
        <v>2424790960</v>
      </c>
      <c r="AG1041" s="493">
        <f t="shared" si="6"/>
        <v>1598806.351</v>
      </c>
      <c r="AH1041" s="493">
        <f t="shared" si="4"/>
        <v>2423192154</v>
      </c>
    </row>
    <row r="1042">
      <c r="T1042" s="494" t="s">
        <v>622</v>
      </c>
      <c r="AB1042" s="489">
        <v>1040.0</v>
      </c>
      <c r="AC1042" s="490">
        <f t="shared" si="5"/>
        <v>2424790960</v>
      </c>
      <c r="AD1042" s="491">
        <f t="shared" si="1"/>
        <v>1500</v>
      </c>
      <c r="AE1042" s="492">
        <f t="shared" si="2"/>
        <v>0.009063325885</v>
      </c>
      <c r="AF1042" s="490">
        <f t="shared" si="3"/>
        <v>2446769131</v>
      </c>
      <c r="AG1042" s="493">
        <f t="shared" si="6"/>
        <v>1600306.351</v>
      </c>
      <c r="AH1042" s="493">
        <f t="shared" si="4"/>
        <v>2445168825</v>
      </c>
    </row>
    <row r="1043">
      <c r="T1043" s="494" t="s">
        <v>622</v>
      </c>
      <c r="AB1043" s="489">
        <v>1041.0</v>
      </c>
      <c r="AC1043" s="490">
        <f t="shared" si="5"/>
        <v>2446769131</v>
      </c>
      <c r="AD1043" s="491">
        <f t="shared" si="1"/>
        <v>1500</v>
      </c>
      <c r="AE1043" s="492">
        <f t="shared" si="2"/>
        <v>0.009063325885</v>
      </c>
      <c r="AF1043" s="490">
        <f t="shared" si="3"/>
        <v>2468946497</v>
      </c>
      <c r="AG1043" s="493">
        <f t="shared" si="6"/>
        <v>1601806.351</v>
      </c>
      <c r="AH1043" s="493">
        <f t="shared" si="4"/>
        <v>2467344691</v>
      </c>
    </row>
    <row r="1044">
      <c r="T1044" s="494" t="s">
        <v>622</v>
      </c>
      <c r="AB1044" s="489">
        <v>1042.0</v>
      </c>
      <c r="AC1044" s="490">
        <f t="shared" si="5"/>
        <v>2468946497</v>
      </c>
      <c r="AD1044" s="491">
        <f t="shared" si="1"/>
        <v>1500</v>
      </c>
      <c r="AE1044" s="492">
        <f t="shared" si="2"/>
        <v>0.009063325885</v>
      </c>
      <c r="AF1044" s="490">
        <f t="shared" si="3"/>
        <v>2491324864</v>
      </c>
      <c r="AG1044" s="493">
        <f t="shared" si="6"/>
        <v>1603306.351</v>
      </c>
      <c r="AH1044" s="493">
        <f t="shared" si="4"/>
        <v>2489721557</v>
      </c>
    </row>
    <row r="1045">
      <c r="T1045" s="494" t="s">
        <v>622</v>
      </c>
      <c r="AB1045" s="489">
        <v>1043.0</v>
      </c>
      <c r="AC1045" s="490">
        <f t="shared" si="5"/>
        <v>2491324864</v>
      </c>
      <c r="AD1045" s="491">
        <f t="shared" si="1"/>
        <v>1500</v>
      </c>
      <c r="AE1045" s="492">
        <f t="shared" si="2"/>
        <v>0.009063325885</v>
      </c>
      <c r="AF1045" s="490">
        <f t="shared" si="3"/>
        <v>2513906053</v>
      </c>
      <c r="AG1045" s="493">
        <f t="shared" si="6"/>
        <v>1604806.351</v>
      </c>
      <c r="AH1045" s="493">
        <f t="shared" si="4"/>
        <v>2512301247</v>
      </c>
    </row>
    <row r="1046">
      <c r="T1046" s="494" t="s">
        <v>622</v>
      </c>
      <c r="AB1046" s="489">
        <v>1044.0</v>
      </c>
      <c r="AC1046" s="490">
        <f t="shared" si="5"/>
        <v>2513906053</v>
      </c>
      <c r="AD1046" s="491">
        <f t="shared" si="1"/>
        <v>1500</v>
      </c>
      <c r="AE1046" s="492">
        <f t="shared" si="2"/>
        <v>0.009063325885</v>
      </c>
      <c r="AF1046" s="490">
        <f t="shared" si="3"/>
        <v>2536691903</v>
      </c>
      <c r="AG1046" s="493">
        <f t="shared" si="6"/>
        <v>1606306.351</v>
      </c>
      <c r="AH1046" s="493">
        <f t="shared" si="4"/>
        <v>2535085596</v>
      </c>
    </row>
    <row r="1047">
      <c r="T1047" s="494" t="s">
        <v>622</v>
      </c>
      <c r="AB1047" s="489">
        <v>1045.0</v>
      </c>
      <c r="AC1047" s="490">
        <f t="shared" si="5"/>
        <v>2536691903</v>
      </c>
      <c r="AD1047" s="491">
        <f t="shared" si="1"/>
        <v>1500</v>
      </c>
      <c r="AE1047" s="492">
        <f t="shared" si="2"/>
        <v>0.009063325885</v>
      </c>
      <c r="AF1047" s="490">
        <f t="shared" si="3"/>
        <v>2559684268</v>
      </c>
      <c r="AG1047" s="493">
        <f t="shared" si="6"/>
        <v>1607806.351</v>
      </c>
      <c r="AH1047" s="493">
        <f t="shared" si="4"/>
        <v>2558076462</v>
      </c>
    </row>
    <row r="1048">
      <c r="T1048" s="494" t="s">
        <v>622</v>
      </c>
      <c r="AB1048" s="489">
        <v>1046.0</v>
      </c>
      <c r="AC1048" s="490">
        <f t="shared" si="5"/>
        <v>2559684268</v>
      </c>
      <c r="AD1048" s="491">
        <f t="shared" si="1"/>
        <v>1500</v>
      </c>
      <c r="AE1048" s="492">
        <f t="shared" si="2"/>
        <v>0.009063325885</v>
      </c>
      <c r="AF1048" s="490">
        <f t="shared" si="3"/>
        <v>2582885021</v>
      </c>
      <c r="AG1048" s="493">
        <f t="shared" si="6"/>
        <v>1609306.351</v>
      </c>
      <c r="AH1048" s="493">
        <f t="shared" si="4"/>
        <v>2581275714</v>
      </c>
    </row>
    <row r="1049">
      <c r="T1049" s="494" t="s">
        <v>622</v>
      </c>
      <c r="AB1049" s="489">
        <v>1047.0</v>
      </c>
      <c r="AC1049" s="490">
        <f t="shared" si="5"/>
        <v>2582885021</v>
      </c>
      <c r="AD1049" s="491">
        <f t="shared" si="1"/>
        <v>1500</v>
      </c>
      <c r="AE1049" s="492">
        <f t="shared" si="2"/>
        <v>0.009063325885</v>
      </c>
      <c r="AF1049" s="490">
        <f t="shared" si="3"/>
        <v>2606296049</v>
      </c>
      <c r="AG1049" s="493">
        <f t="shared" si="6"/>
        <v>1610806.351</v>
      </c>
      <c r="AH1049" s="493">
        <f t="shared" si="4"/>
        <v>2604685243</v>
      </c>
    </row>
    <row r="1050">
      <c r="T1050" s="494" t="s">
        <v>622</v>
      </c>
      <c r="AB1050" s="489">
        <v>1048.0</v>
      </c>
      <c r="AC1050" s="490">
        <f t="shared" si="5"/>
        <v>2606296049</v>
      </c>
      <c r="AD1050" s="491">
        <f t="shared" si="1"/>
        <v>1500</v>
      </c>
      <c r="AE1050" s="492">
        <f t="shared" si="2"/>
        <v>0.009063325885</v>
      </c>
      <c r="AF1050" s="490">
        <f t="shared" si="3"/>
        <v>2629919260</v>
      </c>
      <c r="AG1050" s="493">
        <f t="shared" si="6"/>
        <v>1612306.351</v>
      </c>
      <c r="AH1050" s="493">
        <f t="shared" si="4"/>
        <v>2628306954</v>
      </c>
    </row>
    <row r="1051">
      <c r="T1051" s="494" t="s">
        <v>622</v>
      </c>
      <c r="AB1051" s="489">
        <v>1049.0</v>
      </c>
      <c r="AC1051" s="490">
        <f t="shared" si="5"/>
        <v>2629919260</v>
      </c>
      <c r="AD1051" s="491">
        <f t="shared" si="1"/>
        <v>1500</v>
      </c>
      <c r="AE1051" s="492">
        <f t="shared" si="2"/>
        <v>0.009063325885</v>
      </c>
      <c r="AF1051" s="490">
        <f t="shared" si="3"/>
        <v>2653756575</v>
      </c>
      <c r="AG1051" s="493">
        <f t="shared" si="6"/>
        <v>1613806.351</v>
      </c>
      <c r="AH1051" s="493">
        <f t="shared" si="4"/>
        <v>2652142769</v>
      </c>
    </row>
    <row r="1052">
      <c r="T1052" s="494" t="s">
        <v>622</v>
      </c>
      <c r="AB1052" s="489">
        <v>1050.0</v>
      </c>
      <c r="AC1052" s="490">
        <f t="shared" si="5"/>
        <v>2653756575</v>
      </c>
      <c r="AD1052" s="491">
        <f t="shared" si="1"/>
        <v>1500</v>
      </c>
      <c r="AE1052" s="492">
        <f t="shared" si="2"/>
        <v>0.009063325885</v>
      </c>
      <c r="AF1052" s="490">
        <f t="shared" si="3"/>
        <v>2677809936</v>
      </c>
      <c r="AG1052" s="493">
        <f t="shared" si="6"/>
        <v>1615306.351</v>
      </c>
      <c r="AH1052" s="493">
        <f t="shared" si="4"/>
        <v>2676194629</v>
      </c>
    </row>
    <row r="1053">
      <c r="T1053" s="494" t="s">
        <v>622</v>
      </c>
      <c r="AB1053" s="489">
        <v>1051.0</v>
      </c>
      <c r="AC1053" s="490">
        <f t="shared" si="5"/>
        <v>2677809936</v>
      </c>
      <c r="AD1053" s="491">
        <f t="shared" si="1"/>
        <v>1500</v>
      </c>
      <c r="AE1053" s="492">
        <f t="shared" si="2"/>
        <v>0.009063325885</v>
      </c>
      <c r="AF1053" s="490">
        <f t="shared" si="3"/>
        <v>2702081300</v>
      </c>
      <c r="AG1053" s="493">
        <f t="shared" si="6"/>
        <v>1616806.351</v>
      </c>
      <c r="AH1053" s="493">
        <f t="shared" si="4"/>
        <v>2700464494</v>
      </c>
    </row>
    <row r="1054">
      <c r="T1054" s="494" t="s">
        <v>622</v>
      </c>
      <c r="AB1054" s="489">
        <v>1052.0</v>
      </c>
      <c r="AC1054" s="490">
        <f t="shared" si="5"/>
        <v>2702081300</v>
      </c>
      <c r="AD1054" s="491">
        <f t="shared" si="1"/>
        <v>1500</v>
      </c>
      <c r="AE1054" s="492">
        <f t="shared" si="2"/>
        <v>0.009063325885</v>
      </c>
      <c r="AF1054" s="490">
        <f t="shared" si="3"/>
        <v>2726572643</v>
      </c>
      <c r="AG1054" s="493">
        <f t="shared" si="6"/>
        <v>1618306.351</v>
      </c>
      <c r="AH1054" s="493">
        <f t="shared" si="4"/>
        <v>2724954337</v>
      </c>
    </row>
    <row r="1055">
      <c r="T1055" s="494" t="s">
        <v>622</v>
      </c>
      <c r="AB1055" s="489">
        <v>1053.0</v>
      </c>
      <c r="AC1055" s="490">
        <f t="shared" si="5"/>
        <v>2726572643</v>
      </c>
      <c r="AD1055" s="491">
        <f t="shared" si="1"/>
        <v>1500</v>
      </c>
      <c r="AE1055" s="492">
        <f t="shared" si="2"/>
        <v>0.009063325885</v>
      </c>
      <c r="AF1055" s="490">
        <f t="shared" si="3"/>
        <v>2751285960</v>
      </c>
      <c r="AG1055" s="493">
        <f t="shared" si="6"/>
        <v>1619806.351</v>
      </c>
      <c r="AH1055" s="493">
        <f t="shared" si="4"/>
        <v>2749666153</v>
      </c>
    </row>
    <row r="1056">
      <c r="T1056" s="494" t="s">
        <v>622</v>
      </c>
      <c r="AB1056" s="489">
        <v>1054.0</v>
      </c>
      <c r="AC1056" s="490">
        <f t="shared" si="5"/>
        <v>2751285960</v>
      </c>
      <c r="AD1056" s="491">
        <f t="shared" si="1"/>
        <v>1500</v>
      </c>
      <c r="AE1056" s="492">
        <f t="shared" si="2"/>
        <v>0.009063325885</v>
      </c>
      <c r="AF1056" s="490">
        <f t="shared" si="3"/>
        <v>2776223261</v>
      </c>
      <c r="AG1056" s="493">
        <f t="shared" si="6"/>
        <v>1621306.351</v>
      </c>
      <c r="AH1056" s="493">
        <f t="shared" si="4"/>
        <v>2774601955</v>
      </c>
    </row>
    <row r="1057">
      <c r="T1057" s="494" t="s">
        <v>622</v>
      </c>
      <c r="AB1057" s="489">
        <v>1055.0</v>
      </c>
      <c r="AC1057" s="490">
        <f t="shared" si="5"/>
        <v>2776223261</v>
      </c>
      <c r="AD1057" s="491">
        <f t="shared" si="1"/>
        <v>1500</v>
      </c>
      <c r="AE1057" s="492">
        <f t="shared" si="2"/>
        <v>0.009063325885</v>
      </c>
      <c r="AF1057" s="490">
        <f t="shared" si="3"/>
        <v>2801386577</v>
      </c>
      <c r="AG1057" s="493">
        <f t="shared" si="6"/>
        <v>1622806.351</v>
      </c>
      <c r="AH1057" s="493">
        <f t="shared" si="4"/>
        <v>2799763771</v>
      </c>
    </row>
    <row r="1058">
      <c r="T1058" s="494" t="s">
        <v>622</v>
      </c>
      <c r="AB1058" s="489">
        <v>1056.0</v>
      </c>
      <c r="AC1058" s="490">
        <f t="shared" si="5"/>
        <v>2801386577</v>
      </c>
      <c r="AD1058" s="491">
        <f t="shared" si="1"/>
        <v>1500</v>
      </c>
      <c r="AE1058" s="492">
        <f t="shared" si="2"/>
        <v>0.009063325885</v>
      </c>
      <c r="AF1058" s="490">
        <f t="shared" si="3"/>
        <v>2826777957</v>
      </c>
      <c r="AG1058" s="493">
        <f t="shared" si="6"/>
        <v>1624306.351</v>
      </c>
      <c r="AH1058" s="493">
        <f t="shared" si="4"/>
        <v>2825153650</v>
      </c>
    </row>
    <row r="1059">
      <c r="T1059" s="494" t="s">
        <v>622</v>
      </c>
      <c r="AB1059" s="489">
        <v>1057.0</v>
      </c>
      <c r="AC1059" s="490">
        <f t="shared" si="5"/>
        <v>2826777957</v>
      </c>
      <c r="AD1059" s="491">
        <f t="shared" si="1"/>
        <v>1500</v>
      </c>
      <c r="AE1059" s="492">
        <f t="shared" si="2"/>
        <v>0.009063325885</v>
      </c>
      <c r="AF1059" s="490">
        <f t="shared" si="3"/>
        <v>2852399466</v>
      </c>
      <c r="AG1059" s="493">
        <f t="shared" si="6"/>
        <v>1625806.351</v>
      </c>
      <c r="AH1059" s="493">
        <f t="shared" si="4"/>
        <v>2850773660</v>
      </c>
    </row>
    <row r="1060">
      <c r="T1060" s="494" t="s">
        <v>622</v>
      </c>
      <c r="AB1060" s="489">
        <v>1058.0</v>
      </c>
      <c r="AC1060" s="490">
        <f t="shared" si="5"/>
        <v>2852399466</v>
      </c>
      <c r="AD1060" s="491">
        <f t="shared" si="1"/>
        <v>1500</v>
      </c>
      <c r="AE1060" s="492">
        <f t="shared" si="2"/>
        <v>0.009063325885</v>
      </c>
      <c r="AF1060" s="490">
        <f t="shared" si="3"/>
        <v>2878253192</v>
      </c>
      <c r="AG1060" s="493">
        <f t="shared" si="6"/>
        <v>1627306.351</v>
      </c>
      <c r="AH1060" s="493">
        <f t="shared" si="4"/>
        <v>2876625886</v>
      </c>
    </row>
    <row r="1061">
      <c r="T1061" s="494" t="s">
        <v>622</v>
      </c>
      <c r="AB1061" s="489">
        <v>1059.0</v>
      </c>
      <c r="AC1061" s="490">
        <f t="shared" si="5"/>
        <v>2878253192</v>
      </c>
      <c r="AD1061" s="491">
        <f t="shared" si="1"/>
        <v>1500</v>
      </c>
      <c r="AE1061" s="492">
        <f t="shared" si="2"/>
        <v>0.009063325885</v>
      </c>
      <c r="AF1061" s="490">
        <f t="shared" si="3"/>
        <v>2904341239</v>
      </c>
      <c r="AG1061" s="493">
        <f t="shared" si="6"/>
        <v>1628806.351</v>
      </c>
      <c r="AH1061" s="493">
        <f t="shared" si="4"/>
        <v>2902712433</v>
      </c>
    </row>
    <row r="1062">
      <c r="T1062" s="494" t="s">
        <v>622</v>
      </c>
      <c r="AB1062" s="489">
        <v>1060.0</v>
      </c>
      <c r="AC1062" s="490">
        <f t="shared" si="5"/>
        <v>2904341239</v>
      </c>
      <c r="AD1062" s="491">
        <f t="shared" si="1"/>
        <v>1500</v>
      </c>
      <c r="AE1062" s="492">
        <f t="shared" si="2"/>
        <v>0.009063325885</v>
      </c>
      <c r="AF1062" s="490">
        <f t="shared" si="3"/>
        <v>2930665730</v>
      </c>
      <c r="AG1062" s="493">
        <f t="shared" si="6"/>
        <v>1630306.351</v>
      </c>
      <c r="AH1062" s="493">
        <f t="shared" si="4"/>
        <v>2929035424</v>
      </c>
    </row>
    <row r="1063">
      <c r="T1063" s="494" t="s">
        <v>622</v>
      </c>
      <c r="AB1063" s="489">
        <v>1061.0</v>
      </c>
      <c r="AC1063" s="490">
        <f t="shared" si="5"/>
        <v>2930665730</v>
      </c>
      <c r="AD1063" s="491">
        <f t="shared" si="1"/>
        <v>1500</v>
      </c>
      <c r="AE1063" s="492">
        <f t="shared" si="2"/>
        <v>0.009063325885</v>
      </c>
      <c r="AF1063" s="490">
        <f t="shared" si="3"/>
        <v>2957228809</v>
      </c>
      <c r="AG1063" s="493">
        <f t="shared" si="6"/>
        <v>1631806.351</v>
      </c>
      <c r="AH1063" s="493">
        <f t="shared" si="4"/>
        <v>2955597002</v>
      </c>
    </row>
    <row r="1064">
      <c r="T1064" s="494" t="s">
        <v>622</v>
      </c>
      <c r="AB1064" s="489">
        <v>1062.0</v>
      </c>
      <c r="AC1064" s="490">
        <f t="shared" si="5"/>
        <v>2957228809</v>
      </c>
      <c r="AD1064" s="491">
        <f t="shared" si="1"/>
        <v>1500</v>
      </c>
      <c r="AE1064" s="492">
        <f t="shared" si="2"/>
        <v>0.009063325885</v>
      </c>
      <c r="AF1064" s="490">
        <f t="shared" si="3"/>
        <v>2984032637</v>
      </c>
      <c r="AG1064" s="493">
        <f t="shared" si="6"/>
        <v>1633306.351</v>
      </c>
      <c r="AH1064" s="493">
        <f t="shared" si="4"/>
        <v>2982399331</v>
      </c>
    </row>
    <row r="1065">
      <c r="T1065" s="494" t="s">
        <v>622</v>
      </c>
      <c r="AB1065" s="489">
        <v>1063.0</v>
      </c>
      <c r="AC1065" s="490">
        <f t="shared" si="5"/>
        <v>2984032637</v>
      </c>
      <c r="AD1065" s="491">
        <f t="shared" si="1"/>
        <v>1500</v>
      </c>
      <c r="AE1065" s="492">
        <f t="shared" si="2"/>
        <v>0.009063325885</v>
      </c>
      <c r="AF1065" s="490">
        <f t="shared" si="3"/>
        <v>3011079397</v>
      </c>
      <c r="AG1065" s="493">
        <f t="shared" si="6"/>
        <v>1634806.351</v>
      </c>
      <c r="AH1065" s="493">
        <f t="shared" si="4"/>
        <v>3009444591</v>
      </c>
    </row>
    <row r="1066">
      <c r="T1066" s="494" t="s">
        <v>622</v>
      </c>
      <c r="AB1066" s="489">
        <v>1064.0</v>
      </c>
      <c r="AC1066" s="490">
        <f t="shared" si="5"/>
        <v>3011079397</v>
      </c>
      <c r="AD1066" s="491">
        <f t="shared" si="1"/>
        <v>1500</v>
      </c>
      <c r="AE1066" s="492">
        <f t="shared" si="2"/>
        <v>0.009063325885</v>
      </c>
      <c r="AF1066" s="490">
        <f t="shared" si="3"/>
        <v>3038371291</v>
      </c>
      <c r="AG1066" s="493">
        <f t="shared" si="6"/>
        <v>1636306.351</v>
      </c>
      <c r="AH1066" s="493">
        <f t="shared" si="4"/>
        <v>3036734985</v>
      </c>
    </row>
    <row r="1067">
      <c r="T1067" s="494" t="s">
        <v>622</v>
      </c>
      <c r="AB1067" s="489">
        <v>1065.0</v>
      </c>
      <c r="AC1067" s="490">
        <f t="shared" si="5"/>
        <v>3038371291</v>
      </c>
      <c r="AD1067" s="491">
        <f t="shared" si="1"/>
        <v>1500</v>
      </c>
      <c r="AE1067" s="492">
        <f t="shared" si="2"/>
        <v>0.009063325885</v>
      </c>
      <c r="AF1067" s="490">
        <f t="shared" si="3"/>
        <v>3065910540</v>
      </c>
      <c r="AG1067" s="493">
        <f t="shared" si="6"/>
        <v>1637806.351</v>
      </c>
      <c r="AH1067" s="493">
        <f t="shared" si="4"/>
        <v>3064272734</v>
      </c>
    </row>
    <row r="1068">
      <c r="T1068" s="494" t="s">
        <v>622</v>
      </c>
      <c r="AB1068" s="489">
        <v>1066.0</v>
      </c>
      <c r="AC1068" s="490">
        <f t="shared" si="5"/>
        <v>3065910540</v>
      </c>
      <c r="AD1068" s="491">
        <f t="shared" si="1"/>
        <v>1500</v>
      </c>
      <c r="AE1068" s="492">
        <f t="shared" si="2"/>
        <v>0.009063325885</v>
      </c>
      <c r="AF1068" s="490">
        <f t="shared" si="3"/>
        <v>3093699387</v>
      </c>
      <c r="AG1068" s="493">
        <f t="shared" si="6"/>
        <v>1639306.351</v>
      </c>
      <c r="AH1068" s="493">
        <f t="shared" si="4"/>
        <v>3092060080</v>
      </c>
    </row>
    <row r="1069">
      <c r="T1069" s="494" t="s">
        <v>622</v>
      </c>
      <c r="AB1069" s="489">
        <v>1067.0</v>
      </c>
      <c r="AC1069" s="490">
        <f t="shared" si="5"/>
        <v>3093699387</v>
      </c>
      <c r="AD1069" s="491">
        <f t="shared" si="1"/>
        <v>1500</v>
      </c>
      <c r="AE1069" s="492">
        <f t="shared" si="2"/>
        <v>0.009063325885</v>
      </c>
      <c r="AF1069" s="490">
        <f t="shared" si="3"/>
        <v>3121740093</v>
      </c>
      <c r="AG1069" s="493">
        <f t="shared" si="6"/>
        <v>1640806.351</v>
      </c>
      <c r="AH1069" s="493">
        <f t="shared" si="4"/>
        <v>3120099286</v>
      </c>
    </row>
    <row r="1070">
      <c r="T1070" s="494" t="s">
        <v>622</v>
      </c>
      <c r="AB1070" s="489">
        <v>1068.0</v>
      </c>
      <c r="AC1070" s="490">
        <f t="shared" si="5"/>
        <v>3121740093</v>
      </c>
      <c r="AD1070" s="491">
        <f t="shared" si="1"/>
        <v>1500</v>
      </c>
      <c r="AE1070" s="492">
        <f t="shared" si="2"/>
        <v>0.009063325885</v>
      </c>
      <c r="AF1070" s="490">
        <f t="shared" si="3"/>
        <v>3150034940</v>
      </c>
      <c r="AG1070" s="493">
        <f t="shared" si="6"/>
        <v>1642306.351</v>
      </c>
      <c r="AH1070" s="493">
        <f t="shared" si="4"/>
        <v>3148392634</v>
      </c>
    </row>
    <row r="1071">
      <c r="T1071" s="494" t="s">
        <v>622</v>
      </c>
      <c r="AB1071" s="489">
        <v>1069.0</v>
      </c>
      <c r="AC1071" s="490">
        <f t="shared" si="5"/>
        <v>3150034940</v>
      </c>
      <c r="AD1071" s="491">
        <f t="shared" si="1"/>
        <v>1500</v>
      </c>
      <c r="AE1071" s="492">
        <f t="shared" si="2"/>
        <v>0.009063325885</v>
      </c>
      <c r="AF1071" s="490">
        <f t="shared" si="3"/>
        <v>3178586234</v>
      </c>
      <c r="AG1071" s="493">
        <f t="shared" si="6"/>
        <v>1643806.351</v>
      </c>
      <c r="AH1071" s="493">
        <f t="shared" si="4"/>
        <v>3176942427</v>
      </c>
    </row>
    <row r="1072">
      <c r="T1072" s="494" t="s">
        <v>622</v>
      </c>
      <c r="AB1072" s="489">
        <v>1070.0</v>
      </c>
      <c r="AC1072" s="490">
        <f t="shared" si="5"/>
        <v>3178586234</v>
      </c>
      <c r="AD1072" s="491">
        <f t="shared" si="1"/>
        <v>1500</v>
      </c>
      <c r="AE1072" s="492">
        <f t="shared" si="2"/>
        <v>0.009063325885</v>
      </c>
      <c r="AF1072" s="490">
        <f t="shared" si="3"/>
        <v>3207396296</v>
      </c>
      <c r="AG1072" s="493">
        <f t="shared" si="6"/>
        <v>1645306.351</v>
      </c>
      <c r="AH1072" s="493">
        <f t="shared" si="4"/>
        <v>3205750990</v>
      </c>
    </row>
    <row r="1073">
      <c r="T1073" s="494" t="s">
        <v>622</v>
      </c>
      <c r="AB1073" s="489">
        <v>1071.0</v>
      </c>
      <c r="AC1073" s="490">
        <f t="shared" si="5"/>
        <v>3207396296</v>
      </c>
      <c r="AD1073" s="491">
        <f t="shared" si="1"/>
        <v>1500</v>
      </c>
      <c r="AE1073" s="492">
        <f t="shared" si="2"/>
        <v>0.009063325885</v>
      </c>
      <c r="AF1073" s="490">
        <f t="shared" si="3"/>
        <v>3236467474</v>
      </c>
      <c r="AG1073" s="493">
        <f t="shared" si="6"/>
        <v>1646806.351</v>
      </c>
      <c r="AH1073" s="493">
        <f t="shared" si="4"/>
        <v>3234820668</v>
      </c>
    </row>
    <row r="1074">
      <c r="T1074" s="494" t="s">
        <v>622</v>
      </c>
      <c r="AB1074" s="489">
        <v>1072.0</v>
      </c>
      <c r="AC1074" s="490">
        <f t="shared" si="5"/>
        <v>3236467474</v>
      </c>
      <c r="AD1074" s="491">
        <f t="shared" si="1"/>
        <v>1500</v>
      </c>
      <c r="AE1074" s="492">
        <f t="shared" si="2"/>
        <v>0.009063325885</v>
      </c>
      <c r="AF1074" s="490">
        <f t="shared" si="3"/>
        <v>3265802134</v>
      </c>
      <c r="AG1074" s="493">
        <f t="shared" si="6"/>
        <v>1648306.351</v>
      </c>
      <c r="AH1074" s="493">
        <f t="shared" si="4"/>
        <v>3264153827</v>
      </c>
    </row>
    <row r="1075">
      <c r="T1075" s="494" t="s">
        <v>622</v>
      </c>
      <c r="AB1075" s="489">
        <v>1073.0</v>
      </c>
      <c r="AC1075" s="490">
        <f t="shared" si="5"/>
        <v>3265802134</v>
      </c>
      <c r="AD1075" s="491">
        <f t="shared" si="1"/>
        <v>1500</v>
      </c>
      <c r="AE1075" s="492">
        <f t="shared" si="2"/>
        <v>0.009063325885</v>
      </c>
      <c r="AF1075" s="490">
        <f t="shared" si="3"/>
        <v>3295402663</v>
      </c>
      <c r="AG1075" s="493">
        <f t="shared" si="6"/>
        <v>1649806.351</v>
      </c>
      <c r="AH1075" s="493">
        <f t="shared" si="4"/>
        <v>3293752856</v>
      </c>
    </row>
    <row r="1076">
      <c r="T1076" s="494" t="s">
        <v>622</v>
      </c>
      <c r="AB1076" s="489">
        <v>1074.0</v>
      </c>
      <c r="AC1076" s="490">
        <f t="shared" si="5"/>
        <v>3295402663</v>
      </c>
      <c r="AD1076" s="491">
        <f t="shared" si="1"/>
        <v>1500</v>
      </c>
      <c r="AE1076" s="492">
        <f t="shared" si="2"/>
        <v>0.009063325885</v>
      </c>
      <c r="AF1076" s="490">
        <f t="shared" si="3"/>
        <v>3325271471</v>
      </c>
      <c r="AG1076" s="493">
        <f t="shared" si="6"/>
        <v>1651306.351</v>
      </c>
      <c r="AH1076" s="493">
        <f t="shared" si="4"/>
        <v>3323620165</v>
      </c>
    </row>
    <row r="1077">
      <c r="T1077" s="494" t="s">
        <v>622</v>
      </c>
      <c r="AB1077" s="489">
        <v>1075.0</v>
      </c>
      <c r="AC1077" s="490">
        <f t="shared" si="5"/>
        <v>3325271471</v>
      </c>
      <c r="AD1077" s="491">
        <f t="shared" si="1"/>
        <v>1500</v>
      </c>
      <c r="AE1077" s="492">
        <f t="shared" si="2"/>
        <v>0.009063325885</v>
      </c>
      <c r="AF1077" s="490">
        <f t="shared" si="3"/>
        <v>3355410990</v>
      </c>
      <c r="AG1077" s="493">
        <f t="shared" si="6"/>
        <v>1652806.351</v>
      </c>
      <c r="AH1077" s="493">
        <f t="shared" si="4"/>
        <v>3353758184</v>
      </c>
    </row>
    <row r="1078">
      <c r="T1078" s="494" t="s">
        <v>622</v>
      </c>
      <c r="AB1078" s="489">
        <v>1076.0</v>
      </c>
      <c r="AC1078" s="490">
        <f t="shared" si="5"/>
        <v>3355410990</v>
      </c>
      <c r="AD1078" s="491">
        <f t="shared" si="1"/>
        <v>1500</v>
      </c>
      <c r="AE1078" s="492">
        <f t="shared" si="2"/>
        <v>0.009063325885</v>
      </c>
      <c r="AF1078" s="490">
        <f t="shared" si="3"/>
        <v>3385823673</v>
      </c>
      <c r="AG1078" s="493">
        <f t="shared" si="6"/>
        <v>1654306.351</v>
      </c>
      <c r="AH1078" s="493">
        <f t="shared" si="4"/>
        <v>3384169367</v>
      </c>
    </row>
    <row r="1079">
      <c r="T1079" s="494" t="s">
        <v>622</v>
      </c>
      <c r="AB1079" s="489">
        <v>1077.0</v>
      </c>
      <c r="AC1079" s="490">
        <f t="shared" si="5"/>
        <v>3385823673</v>
      </c>
      <c r="AD1079" s="491">
        <f t="shared" si="1"/>
        <v>1500</v>
      </c>
      <c r="AE1079" s="492">
        <f t="shared" si="2"/>
        <v>0.009063325885</v>
      </c>
      <c r="AF1079" s="490">
        <f t="shared" si="3"/>
        <v>3416511997</v>
      </c>
      <c r="AG1079" s="493">
        <f t="shared" si="6"/>
        <v>1655806.351</v>
      </c>
      <c r="AH1079" s="493">
        <f t="shared" si="4"/>
        <v>3414856190</v>
      </c>
    </row>
    <row r="1080">
      <c r="T1080" s="494" t="s">
        <v>622</v>
      </c>
      <c r="AB1080" s="489">
        <v>1078.0</v>
      </c>
      <c r="AC1080" s="490">
        <f t="shared" si="5"/>
        <v>3416511997</v>
      </c>
      <c r="AD1080" s="491">
        <f t="shared" si="1"/>
        <v>1500</v>
      </c>
      <c r="AE1080" s="492">
        <f t="shared" si="2"/>
        <v>0.009063325885</v>
      </c>
      <c r="AF1080" s="490">
        <f t="shared" si="3"/>
        <v>3447478458</v>
      </c>
      <c r="AG1080" s="493">
        <f t="shared" si="6"/>
        <v>1657306.351</v>
      </c>
      <c r="AH1080" s="493">
        <f t="shared" si="4"/>
        <v>3445821152</v>
      </c>
    </row>
    <row r="1081">
      <c r="T1081" s="494" t="s">
        <v>622</v>
      </c>
      <c r="AB1081" s="489">
        <v>1079.0</v>
      </c>
      <c r="AC1081" s="490">
        <f t="shared" si="5"/>
        <v>3447478458</v>
      </c>
      <c r="AD1081" s="491">
        <f t="shared" si="1"/>
        <v>1500</v>
      </c>
      <c r="AE1081" s="492">
        <f t="shared" si="2"/>
        <v>0.009063325885</v>
      </c>
      <c r="AF1081" s="490">
        <f t="shared" si="3"/>
        <v>3478725579</v>
      </c>
      <c r="AG1081" s="493">
        <f t="shared" si="6"/>
        <v>1658806.351</v>
      </c>
      <c r="AH1081" s="493">
        <f t="shared" si="4"/>
        <v>3477066773</v>
      </c>
    </row>
    <row r="1082">
      <c r="T1082" s="494" t="s">
        <v>622</v>
      </c>
      <c r="AB1082" s="489">
        <v>1080.0</v>
      </c>
      <c r="AC1082" s="490">
        <f t="shared" si="5"/>
        <v>3478725579</v>
      </c>
      <c r="AD1082" s="491">
        <f t="shared" si="1"/>
        <v>1500</v>
      </c>
      <c r="AE1082" s="492">
        <f t="shared" si="2"/>
        <v>0.009063325885</v>
      </c>
      <c r="AF1082" s="490">
        <f t="shared" si="3"/>
        <v>3510255903</v>
      </c>
      <c r="AG1082" s="493">
        <f t="shared" si="6"/>
        <v>1660306.351</v>
      </c>
      <c r="AH1082" s="493">
        <f t="shared" si="4"/>
        <v>3508595596</v>
      </c>
    </row>
    <row r="1083">
      <c r="T1083" s="494" t="s">
        <v>622</v>
      </c>
      <c r="AB1083" s="489">
        <v>1081.0</v>
      </c>
      <c r="AC1083" s="490">
        <f t="shared" si="5"/>
        <v>3510255903</v>
      </c>
      <c r="AD1083" s="491">
        <f t="shared" si="1"/>
        <v>1500</v>
      </c>
      <c r="AE1083" s="492">
        <f t="shared" si="2"/>
        <v>0.009063325885</v>
      </c>
      <c r="AF1083" s="490">
        <f t="shared" si="3"/>
        <v>3542071996</v>
      </c>
      <c r="AG1083" s="493">
        <f t="shared" si="6"/>
        <v>1661806.351</v>
      </c>
      <c r="AH1083" s="493">
        <f t="shared" si="4"/>
        <v>3540410189</v>
      </c>
    </row>
    <row r="1084">
      <c r="T1084" s="494" t="s">
        <v>622</v>
      </c>
      <c r="AB1084" s="489">
        <v>1082.0</v>
      </c>
      <c r="AC1084" s="490">
        <f t="shared" si="5"/>
        <v>3542071996</v>
      </c>
      <c r="AD1084" s="491">
        <f t="shared" si="1"/>
        <v>1500</v>
      </c>
      <c r="AE1084" s="492">
        <f t="shared" si="2"/>
        <v>0.009063325885</v>
      </c>
      <c r="AF1084" s="490">
        <f t="shared" si="3"/>
        <v>3574176449</v>
      </c>
      <c r="AG1084" s="493">
        <f t="shared" si="6"/>
        <v>1663306.351</v>
      </c>
      <c r="AH1084" s="493">
        <f t="shared" si="4"/>
        <v>3572513142</v>
      </c>
    </row>
    <row r="1085">
      <c r="T1085" s="494" t="s">
        <v>622</v>
      </c>
      <c r="AB1085" s="489">
        <v>1083.0</v>
      </c>
      <c r="AC1085" s="490">
        <f t="shared" si="5"/>
        <v>3574176449</v>
      </c>
      <c r="AD1085" s="491">
        <f t="shared" si="1"/>
        <v>1500</v>
      </c>
      <c r="AE1085" s="492">
        <f t="shared" si="2"/>
        <v>0.009063325885</v>
      </c>
      <c r="AF1085" s="490">
        <f t="shared" si="3"/>
        <v>3606571874</v>
      </c>
      <c r="AG1085" s="493">
        <f t="shared" si="6"/>
        <v>1664806.351</v>
      </c>
      <c r="AH1085" s="493">
        <f t="shared" si="4"/>
        <v>3604907068</v>
      </c>
    </row>
    <row r="1086">
      <c r="T1086" s="494" t="s">
        <v>622</v>
      </c>
      <c r="AB1086" s="489">
        <v>1084.0</v>
      </c>
      <c r="AC1086" s="490">
        <f t="shared" si="5"/>
        <v>3606571874</v>
      </c>
      <c r="AD1086" s="491">
        <f t="shared" si="1"/>
        <v>1500</v>
      </c>
      <c r="AE1086" s="492">
        <f t="shared" si="2"/>
        <v>0.009063325885</v>
      </c>
      <c r="AF1086" s="490">
        <f t="shared" si="3"/>
        <v>3639260911</v>
      </c>
      <c r="AG1086" s="493">
        <f t="shared" si="6"/>
        <v>1666306.351</v>
      </c>
      <c r="AH1086" s="493">
        <f t="shared" si="4"/>
        <v>3637594604</v>
      </c>
    </row>
    <row r="1087">
      <c r="T1087" s="494" t="s">
        <v>622</v>
      </c>
      <c r="AB1087" s="489">
        <v>1085.0</v>
      </c>
      <c r="AC1087" s="490">
        <f t="shared" si="5"/>
        <v>3639260911</v>
      </c>
      <c r="AD1087" s="491">
        <f t="shared" si="1"/>
        <v>1500</v>
      </c>
      <c r="AE1087" s="492">
        <f t="shared" si="2"/>
        <v>0.009063325885</v>
      </c>
      <c r="AF1087" s="490">
        <f t="shared" si="3"/>
        <v>3672246218</v>
      </c>
      <c r="AG1087" s="493">
        <f t="shared" si="6"/>
        <v>1667806.351</v>
      </c>
      <c r="AH1087" s="493">
        <f t="shared" si="4"/>
        <v>3670578412</v>
      </c>
    </row>
    <row r="1088">
      <c r="T1088" s="494" t="s">
        <v>622</v>
      </c>
      <c r="AB1088" s="489">
        <v>1086.0</v>
      </c>
      <c r="AC1088" s="490">
        <f t="shared" si="5"/>
        <v>3672246218</v>
      </c>
      <c r="AD1088" s="491">
        <f t="shared" si="1"/>
        <v>1500</v>
      </c>
      <c r="AE1088" s="492">
        <f t="shared" si="2"/>
        <v>0.009063325885</v>
      </c>
      <c r="AF1088" s="490">
        <f t="shared" si="3"/>
        <v>3705530483</v>
      </c>
      <c r="AG1088" s="493">
        <f t="shared" si="6"/>
        <v>1669306.351</v>
      </c>
      <c r="AH1088" s="493">
        <f t="shared" si="4"/>
        <v>3703861176</v>
      </c>
    </row>
    <row r="1089">
      <c r="T1089" s="494" t="s">
        <v>622</v>
      </c>
      <c r="AB1089" s="489">
        <v>1087.0</v>
      </c>
      <c r="AC1089" s="490">
        <f t="shared" si="5"/>
        <v>3705530483</v>
      </c>
      <c r="AD1089" s="491">
        <f t="shared" si="1"/>
        <v>1500</v>
      </c>
      <c r="AE1089" s="492">
        <f t="shared" si="2"/>
        <v>0.009063325885</v>
      </c>
      <c r="AF1089" s="490">
        <f t="shared" si="3"/>
        <v>3739116413</v>
      </c>
      <c r="AG1089" s="493">
        <f t="shared" si="6"/>
        <v>1670806.351</v>
      </c>
      <c r="AH1089" s="493">
        <f t="shared" si="4"/>
        <v>3737445607</v>
      </c>
    </row>
    <row r="1090">
      <c r="T1090" s="494" t="s">
        <v>622</v>
      </c>
      <c r="AB1090" s="489">
        <v>1088.0</v>
      </c>
      <c r="AC1090" s="490">
        <f t="shared" si="5"/>
        <v>3739116413</v>
      </c>
      <c r="AD1090" s="491">
        <f t="shared" si="1"/>
        <v>1500</v>
      </c>
      <c r="AE1090" s="492">
        <f t="shared" si="2"/>
        <v>0.009063325885</v>
      </c>
      <c r="AF1090" s="490">
        <f t="shared" si="3"/>
        <v>3773006743</v>
      </c>
      <c r="AG1090" s="493">
        <f t="shared" si="6"/>
        <v>1672306.351</v>
      </c>
      <c r="AH1090" s="493">
        <f t="shared" si="4"/>
        <v>3771334437</v>
      </c>
    </row>
    <row r="1091">
      <c r="T1091" s="494" t="s">
        <v>622</v>
      </c>
      <c r="AB1091" s="489">
        <v>1089.0</v>
      </c>
      <c r="AC1091" s="490">
        <f t="shared" si="5"/>
        <v>3773006743</v>
      </c>
      <c r="AD1091" s="491">
        <f t="shared" si="1"/>
        <v>1500</v>
      </c>
      <c r="AE1091" s="492">
        <f t="shared" si="2"/>
        <v>0.009063325885</v>
      </c>
      <c r="AF1091" s="490">
        <f t="shared" si="3"/>
        <v>3807204233</v>
      </c>
      <c r="AG1091" s="493">
        <f t="shared" si="6"/>
        <v>1673806.351</v>
      </c>
      <c r="AH1091" s="493">
        <f t="shared" si="4"/>
        <v>3805530427</v>
      </c>
    </row>
    <row r="1092">
      <c r="T1092" s="494" t="s">
        <v>622</v>
      </c>
      <c r="AB1092" s="489">
        <v>1090.0</v>
      </c>
      <c r="AC1092" s="490">
        <f t="shared" si="5"/>
        <v>3807204233</v>
      </c>
      <c r="AD1092" s="491">
        <f t="shared" si="1"/>
        <v>1500</v>
      </c>
      <c r="AE1092" s="492">
        <f t="shared" si="2"/>
        <v>0.009063325885</v>
      </c>
      <c r="AF1092" s="490">
        <f t="shared" si="3"/>
        <v>3841711666</v>
      </c>
      <c r="AG1092" s="493">
        <f t="shared" si="6"/>
        <v>1675306.351</v>
      </c>
      <c r="AH1092" s="493">
        <f t="shared" si="4"/>
        <v>3840036359</v>
      </c>
    </row>
    <row r="1093">
      <c r="T1093" s="494" t="s">
        <v>622</v>
      </c>
      <c r="AB1093" s="489">
        <v>1091.0</v>
      </c>
      <c r="AC1093" s="490">
        <f t="shared" si="5"/>
        <v>3841711666</v>
      </c>
      <c r="AD1093" s="491">
        <f t="shared" si="1"/>
        <v>1500</v>
      </c>
      <c r="AE1093" s="492">
        <f t="shared" si="2"/>
        <v>0.009063325885</v>
      </c>
      <c r="AF1093" s="490">
        <f t="shared" si="3"/>
        <v>3876531851</v>
      </c>
      <c r="AG1093" s="493">
        <f t="shared" si="6"/>
        <v>1676806.351</v>
      </c>
      <c r="AH1093" s="493">
        <f t="shared" si="4"/>
        <v>3874855044</v>
      </c>
    </row>
    <row r="1094">
      <c r="T1094" s="494" t="s">
        <v>622</v>
      </c>
      <c r="AB1094" s="489">
        <v>1092.0</v>
      </c>
      <c r="AC1094" s="490">
        <f t="shared" si="5"/>
        <v>3876531851</v>
      </c>
      <c r="AD1094" s="491">
        <f t="shared" si="1"/>
        <v>1500</v>
      </c>
      <c r="AE1094" s="492">
        <f t="shared" si="2"/>
        <v>0.009063325885</v>
      </c>
      <c r="AF1094" s="490">
        <f t="shared" si="3"/>
        <v>3911667622</v>
      </c>
      <c r="AG1094" s="493">
        <f t="shared" si="6"/>
        <v>1678306.351</v>
      </c>
      <c r="AH1094" s="493">
        <f t="shared" si="4"/>
        <v>3909989316</v>
      </c>
    </row>
    <row r="1095">
      <c r="T1095" s="494" t="s">
        <v>622</v>
      </c>
      <c r="AB1095" s="489">
        <v>1093.0</v>
      </c>
      <c r="AC1095" s="490">
        <f t="shared" si="5"/>
        <v>3911667622</v>
      </c>
      <c r="AD1095" s="491">
        <f t="shared" si="1"/>
        <v>1500</v>
      </c>
      <c r="AE1095" s="492">
        <f t="shared" si="2"/>
        <v>0.009063325885</v>
      </c>
      <c r="AF1095" s="490">
        <f t="shared" si="3"/>
        <v>3947121840</v>
      </c>
      <c r="AG1095" s="493">
        <f t="shared" si="6"/>
        <v>1679806.351</v>
      </c>
      <c r="AH1095" s="493">
        <f t="shared" si="4"/>
        <v>3945442034</v>
      </c>
    </row>
    <row r="1096">
      <c r="T1096" s="494" t="s">
        <v>622</v>
      </c>
      <c r="AB1096" s="489">
        <v>1094.0</v>
      </c>
      <c r="AC1096" s="490">
        <f t="shared" si="5"/>
        <v>3947121840</v>
      </c>
      <c r="AD1096" s="491">
        <f t="shared" si="1"/>
        <v>1500</v>
      </c>
      <c r="AE1096" s="492">
        <f t="shared" si="2"/>
        <v>0.009063325885</v>
      </c>
      <c r="AF1096" s="490">
        <f t="shared" si="3"/>
        <v>3982897392</v>
      </c>
      <c r="AG1096" s="493">
        <f t="shared" si="6"/>
        <v>1681306.351</v>
      </c>
      <c r="AH1096" s="493">
        <f t="shared" si="4"/>
        <v>3981216086</v>
      </c>
    </row>
    <row r="1097">
      <c r="T1097" s="494" t="s">
        <v>622</v>
      </c>
      <c r="AB1097" s="489">
        <v>1095.0</v>
      </c>
      <c r="AC1097" s="490">
        <f t="shared" si="5"/>
        <v>3982897392</v>
      </c>
      <c r="AD1097" s="491">
        <f t="shared" si="1"/>
        <v>1500</v>
      </c>
      <c r="AE1097" s="492">
        <f t="shared" si="2"/>
        <v>0.009063325885</v>
      </c>
      <c r="AF1097" s="490">
        <f t="shared" si="3"/>
        <v>4018997189</v>
      </c>
      <c r="AG1097" s="493">
        <f t="shared" si="6"/>
        <v>1682806.351</v>
      </c>
      <c r="AH1097" s="493">
        <f t="shared" si="4"/>
        <v>4017314383</v>
      </c>
    </row>
    <row r="1098">
      <c r="T1098" s="494" t="s">
        <v>622</v>
      </c>
      <c r="AB1098" s="489">
        <v>1096.0</v>
      </c>
      <c r="AC1098" s="490">
        <f t="shared" si="5"/>
        <v>4018997189</v>
      </c>
      <c r="AD1098" s="491">
        <f t="shared" si="1"/>
        <v>1500</v>
      </c>
      <c r="AE1098" s="492">
        <f t="shared" si="2"/>
        <v>0.009063325885</v>
      </c>
      <c r="AF1098" s="490">
        <f t="shared" si="3"/>
        <v>4055424170</v>
      </c>
      <c r="AG1098" s="493">
        <f t="shared" si="6"/>
        <v>1684306.351</v>
      </c>
      <c r="AH1098" s="493">
        <f t="shared" si="4"/>
        <v>4053739864</v>
      </c>
    </row>
    <row r="1099">
      <c r="T1099" s="494" t="s">
        <v>622</v>
      </c>
      <c r="AB1099" s="489">
        <v>1097.0</v>
      </c>
      <c r="AC1099" s="490">
        <f t="shared" si="5"/>
        <v>4055424170</v>
      </c>
      <c r="AD1099" s="491">
        <f t="shared" si="1"/>
        <v>1500</v>
      </c>
      <c r="AE1099" s="492">
        <f t="shared" si="2"/>
        <v>0.009063325885</v>
      </c>
      <c r="AF1099" s="490">
        <f t="shared" si="3"/>
        <v>4092181301</v>
      </c>
      <c r="AG1099" s="493">
        <f t="shared" si="6"/>
        <v>1685806.351</v>
      </c>
      <c r="AH1099" s="493">
        <f t="shared" si="4"/>
        <v>4090495495</v>
      </c>
    </row>
    <row r="1100">
      <c r="T1100" s="494" t="s">
        <v>622</v>
      </c>
      <c r="AB1100" s="489">
        <v>1098.0</v>
      </c>
      <c r="AC1100" s="490">
        <f t="shared" si="5"/>
        <v>4092181301</v>
      </c>
      <c r="AD1100" s="491">
        <f t="shared" si="1"/>
        <v>1500</v>
      </c>
      <c r="AE1100" s="492">
        <f t="shared" si="2"/>
        <v>0.009063325885</v>
      </c>
      <c r="AF1100" s="490">
        <f t="shared" si="3"/>
        <v>4129271574</v>
      </c>
      <c r="AG1100" s="493">
        <f t="shared" si="6"/>
        <v>1687306.351</v>
      </c>
      <c r="AH1100" s="493">
        <f t="shared" si="4"/>
        <v>4127584268</v>
      </c>
    </row>
    <row r="1101">
      <c r="T1101" s="494" t="s">
        <v>622</v>
      </c>
      <c r="AB1101" s="489">
        <v>1099.0</v>
      </c>
      <c r="AC1101" s="490">
        <f t="shared" si="5"/>
        <v>4129271574</v>
      </c>
      <c r="AD1101" s="491">
        <f t="shared" si="1"/>
        <v>1500</v>
      </c>
      <c r="AE1101" s="492">
        <f t="shared" si="2"/>
        <v>0.009063325885</v>
      </c>
      <c r="AF1101" s="490">
        <f t="shared" si="3"/>
        <v>4166698008</v>
      </c>
      <c r="AG1101" s="493">
        <f t="shared" si="6"/>
        <v>1688806.351</v>
      </c>
      <c r="AH1101" s="493">
        <f t="shared" si="4"/>
        <v>4165009201</v>
      </c>
    </row>
    <row r="1102">
      <c r="T1102" s="494" t="s">
        <v>622</v>
      </c>
      <c r="AB1102" s="489">
        <v>1100.0</v>
      </c>
      <c r="AC1102" s="490">
        <f t="shared" si="5"/>
        <v>4166698008</v>
      </c>
      <c r="AD1102" s="491">
        <f t="shared" si="1"/>
        <v>1500</v>
      </c>
      <c r="AE1102" s="492">
        <f t="shared" si="2"/>
        <v>0.009063325885</v>
      </c>
      <c r="AF1102" s="490">
        <f t="shared" si="3"/>
        <v>4204463650</v>
      </c>
      <c r="AG1102" s="493">
        <f t="shared" si="6"/>
        <v>1690306.351</v>
      </c>
      <c r="AH1102" s="493">
        <f t="shared" si="4"/>
        <v>4202773343</v>
      </c>
    </row>
    <row r="1103">
      <c r="T1103" s="494" t="s">
        <v>622</v>
      </c>
      <c r="AB1103" s="489">
        <v>1101.0</v>
      </c>
      <c r="AC1103" s="490">
        <f t="shared" si="5"/>
        <v>4204463650</v>
      </c>
      <c r="AD1103" s="491">
        <f t="shared" si="1"/>
        <v>1500</v>
      </c>
      <c r="AE1103" s="492">
        <f t="shared" si="2"/>
        <v>0.009063325885</v>
      </c>
      <c r="AF1103" s="490">
        <f t="shared" si="3"/>
        <v>4242571574</v>
      </c>
      <c r="AG1103" s="493">
        <f t="shared" si="6"/>
        <v>1691806.351</v>
      </c>
      <c r="AH1103" s="493">
        <f t="shared" si="4"/>
        <v>4240879768</v>
      </c>
    </row>
    <row r="1104">
      <c r="T1104" s="494" t="s">
        <v>622</v>
      </c>
      <c r="AB1104" s="489">
        <v>1102.0</v>
      </c>
      <c r="AC1104" s="490">
        <f t="shared" si="5"/>
        <v>4242571574</v>
      </c>
      <c r="AD1104" s="491">
        <f t="shared" si="1"/>
        <v>1500</v>
      </c>
      <c r="AE1104" s="492">
        <f t="shared" si="2"/>
        <v>0.009063325885</v>
      </c>
      <c r="AF1104" s="490">
        <f t="shared" si="3"/>
        <v>4281024883</v>
      </c>
      <c r="AG1104" s="493">
        <f t="shared" si="6"/>
        <v>1693306.351</v>
      </c>
      <c r="AH1104" s="493">
        <f t="shared" si="4"/>
        <v>4279331576</v>
      </c>
    </row>
    <row r="1105">
      <c r="T1105" s="494" t="s">
        <v>622</v>
      </c>
      <c r="AB1105" s="489">
        <v>1103.0</v>
      </c>
      <c r="AC1105" s="490">
        <f t="shared" si="5"/>
        <v>4281024883</v>
      </c>
      <c r="AD1105" s="491">
        <f t="shared" si="1"/>
        <v>1500</v>
      </c>
      <c r="AE1105" s="492">
        <f t="shared" si="2"/>
        <v>0.009063325885</v>
      </c>
      <c r="AF1105" s="490">
        <f t="shared" si="3"/>
        <v>4319826706</v>
      </c>
      <c r="AG1105" s="493">
        <f t="shared" si="6"/>
        <v>1694806.351</v>
      </c>
      <c r="AH1105" s="493">
        <f t="shared" si="4"/>
        <v>4318131900</v>
      </c>
    </row>
    <row r="1106">
      <c r="T1106" s="494" t="s">
        <v>622</v>
      </c>
      <c r="AB1106" s="489">
        <v>1104.0</v>
      </c>
      <c r="AC1106" s="490">
        <f t="shared" si="5"/>
        <v>4319826706</v>
      </c>
      <c r="AD1106" s="491">
        <f t="shared" si="1"/>
        <v>1500</v>
      </c>
      <c r="AE1106" s="492">
        <f t="shared" si="2"/>
        <v>0.009063325885</v>
      </c>
      <c r="AF1106" s="490">
        <f t="shared" si="3"/>
        <v>4358980204</v>
      </c>
      <c r="AG1106" s="493">
        <f t="shared" si="6"/>
        <v>1696306.351</v>
      </c>
      <c r="AH1106" s="493">
        <f t="shared" si="4"/>
        <v>4357283897</v>
      </c>
    </row>
    <row r="1107">
      <c r="T1107" s="494" t="s">
        <v>622</v>
      </c>
      <c r="AB1107" s="489">
        <v>1105.0</v>
      </c>
      <c r="AC1107" s="490">
        <f t="shared" si="5"/>
        <v>4358980204</v>
      </c>
      <c r="AD1107" s="491">
        <f t="shared" si="1"/>
        <v>1500</v>
      </c>
      <c r="AE1107" s="492">
        <f t="shared" si="2"/>
        <v>0.009063325885</v>
      </c>
      <c r="AF1107" s="490">
        <f t="shared" si="3"/>
        <v>4398488562</v>
      </c>
      <c r="AG1107" s="493">
        <f t="shared" si="6"/>
        <v>1697806.351</v>
      </c>
      <c r="AH1107" s="493">
        <f t="shared" si="4"/>
        <v>4396790755</v>
      </c>
    </row>
    <row r="1108">
      <c r="T1108" s="494" t="s">
        <v>622</v>
      </c>
      <c r="AB1108" s="489">
        <v>1106.0</v>
      </c>
      <c r="AC1108" s="490">
        <f t="shared" si="5"/>
        <v>4398488562</v>
      </c>
      <c r="AD1108" s="491">
        <f t="shared" si="1"/>
        <v>1500</v>
      </c>
      <c r="AE1108" s="492">
        <f t="shared" si="2"/>
        <v>0.009063325885</v>
      </c>
      <c r="AF1108" s="490">
        <f t="shared" si="3"/>
        <v>4438354997</v>
      </c>
      <c r="AG1108" s="493">
        <f t="shared" si="6"/>
        <v>1699306.351</v>
      </c>
      <c r="AH1108" s="493">
        <f t="shared" si="4"/>
        <v>4436655691</v>
      </c>
    </row>
    <row r="1109">
      <c r="T1109" s="494" t="s">
        <v>622</v>
      </c>
      <c r="AB1109" s="489">
        <v>1107.0</v>
      </c>
      <c r="AC1109" s="490">
        <f t="shared" si="5"/>
        <v>4438354997</v>
      </c>
      <c r="AD1109" s="491">
        <f t="shared" si="1"/>
        <v>1500</v>
      </c>
      <c r="AE1109" s="492">
        <f t="shared" si="2"/>
        <v>0.009063325885</v>
      </c>
      <c r="AF1109" s="490">
        <f t="shared" si="3"/>
        <v>4478582755</v>
      </c>
      <c r="AG1109" s="493">
        <f t="shared" si="6"/>
        <v>1700806.351</v>
      </c>
      <c r="AH1109" s="493">
        <f t="shared" si="4"/>
        <v>4476881948</v>
      </c>
    </row>
    <row r="1110">
      <c r="T1110" s="494" t="s">
        <v>622</v>
      </c>
      <c r="AB1110" s="489">
        <v>1108.0</v>
      </c>
      <c r="AC1110" s="490">
        <f t="shared" si="5"/>
        <v>4478582755</v>
      </c>
      <c r="AD1110" s="491">
        <f t="shared" si="1"/>
        <v>1500</v>
      </c>
      <c r="AE1110" s="492">
        <f t="shared" si="2"/>
        <v>0.009063325885</v>
      </c>
      <c r="AF1110" s="490">
        <f t="shared" si="3"/>
        <v>4519175110</v>
      </c>
      <c r="AG1110" s="493">
        <f t="shared" si="6"/>
        <v>1702306.351</v>
      </c>
      <c r="AH1110" s="493">
        <f t="shared" si="4"/>
        <v>4517472803</v>
      </c>
    </row>
    <row r="1111">
      <c r="T1111" s="494" t="s">
        <v>622</v>
      </c>
      <c r="AB1111" s="489">
        <v>1109.0</v>
      </c>
      <c r="AC1111" s="490">
        <f t="shared" si="5"/>
        <v>4519175110</v>
      </c>
      <c r="AD1111" s="491">
        <f t="shared" si="1"/>
        <v>1500</v>
      </c>
      <c r="AE1111" s="492">
        <f t="shared" si="2"/>
        <v>0.009063325885</v>
      </c>
      <c r="AF1111" s="490">
        <f t="shared" si="3"/>
        <v>4560135366</v>
      </c>
      <c r="AG1111" s="493">
        <f t="shared" si="6"/>
        <v>1703806.351</v>
      </c>
      <c r="AH1111" s="493">
        <f t="shared" si="4"/>
        <v>4558431560</v>
      </c>
    </row>
    <row r="1112">
      <c r="T1112" s="494" t="s">
        <v>622</v>
      </c>
      <c r="AB1112" s="489">
        <v>1110.0</v>
      </c>
      <c r="AC1112" s="490">
        <f t="shared" si="5"/>
        <v>4560135366</v>
      </c>
      <c r="AD1112" s="491">
        <f t="shared" si="1"/>
        <v>1500</v>
      </c>
      <c r="AE1112" s="492">
        <f t="shared" si="2"/>
        <v>0.009063325885</v>
      </c>
      <c r="AF1112" s="490">
        <f t="shared" si="3"/>
        <v>4601466859</v>
      </c>
      <c r="AG1112" s="493">
        <f t="shared" si="6"/>
        <v>1705306.351</v>
      </c>
      <c r="AH1112" s="493">
        <f t="shared" si="4"/>
        <v>4599761553</v>
      </c>
    </row>
    <row r="1113">
      <c r="T1113" s="494" t="s">
        <v>622</v>
      </c>
      <c r="AB1113" s="489">
        <v>1111.0</v>
      </c>
      <c r="AC1113" s="490">
        <f t="shared" si="5"/>
        <v>4601466859</v>
      </c>
      <c r="AD1113" s="491">
        <f t="shared" si="1"/>
        <v>1500</v>
      </c>
      <c r="AE1113" s="492">
        <f t="shared" si="2"/>
        <v>0.009063325885</v>
      </c>
      <c r="AF1113" s="490">
        <f t="shared" si="3"/>
        <v>4643172953</v>
      </c>
      <c r="AG1113" s="493">
        <f t="shared" si="6"/>
        <v>1706806.351</v>
      </c>
      <c r="AH1113" s="493">
        <f t="shared" si="4"/>
        <v>4641466147</v>
      </c>
    </row>
    <row r="1114">
      <c r="T1114" s="494" t="s">
        <v>622</v>
      </c>
      <c r="AB1114" s="489">
        <v>1112.0</v>
      </c>
      <c r="AC1114" s="490">
        <f t="shared" si="5"/>
        <v>4643172953</v>
      </c>
      <c r="AD1114" s="491">
        <f t="shared" si="1"/>
        <v>1500</v>
      </c>
      <c r="AE1114" s="492">
        <f t="shared" si="2"/>
        <v>0.009063325885</v>
      </c>
      <c r="AF1114" s="490">
        <f t="shared" si="3"/>
        <v>4685257043</v>
      </c>
      <c r="AG1114" s="493">
        <f t="shared" si="6"/>
        <v>1708306.351</v>
      </c>
      <c r="AH1114" s="493">
        <f t="shared" si="4"/>
        <v>4683548736</v>
      </c>
    </row>
    <row r="1115">
      <c r="T1115" s="494" t="s">
        <v>622</v>
      </c>
      <c r="AB1115" s="489">
        <v>1113.0</v>
      </c>
      <c r="AC1115" s="490">
        <f t="shared" si="5"/>
        <v>4685257043</v>
      </c>
      <c r="AD1115" s="491">
        <f t="shared" si="1"/>
        <v>1500</v>
      </c>
      <c r="AE1115" s="492">
        <f t="shared" si="2"/>
        <v>0.009063325885</v>
      </c>
      <c r="AF1115" s="490">
        <f t="shared" si="3"/>
        <v>4727722554</v>
      </c>
      <c r="AG1115" s="493">
        <f t="shared" si="6"/>
        <v>1709806.351</v>
      </c>
      <c r="AH1115" s="493">
        <f t="shared" si="4"/>
        <v>4726012748</v>
      </c>
    </row>
    <row r="1116">
      <c r="T1116" s="494" t="s">
        <v>622</v>
      </c>
      <c r="AB1116" s="489">
        <v>1114.0</v>
      </c>
      <c r="AC1116" s="490">
        <f t="shared" si="5"/>
        <v>4727722554</v>
      </c>
      <c r="AD1116" s="491">
        <f t="shared" si="1"/>
        <v>1500</v>
      </c>
      <c r="AE1116" s="492">
        <f t="shared" si="2"/>
        <v>0.009063325885</v>
      </c>
      <c r="AF1116" s="490">
        <f t="shared" si="3"/>
        <v>4770572944</v>
      </c>
      <c r="AG1116" s="493">
        <f t="shared" si="6"/>
        <v>1711306.351</v>
      </c>
      <c r="AH1116" s="493">
        <f t="shared" si="4"/>
        <v>4768861638</v>
      </c>
    </row>
    <row r="1117">
      <c r="T1117" s="494" t="s">
        <v>622</v>
      </c>
      <c r="AB1117" s="489">
        <v>1115.0</v>
      </c>
      <c r="AC1117" s="490">
        <f t="shared" si="5"/>
        <v>4770572944</v>
      </c>
      <c r="AD1117" s="491">
        <f t="shared" si="1"/>
        <v>1500</v>
      </c>
      <c r="AE1117" s="492">
        <f t="shared" si="2"/>
        <v>0.009063325885</v>
      </c>
      <c r="AF1117" s="490">
        <f t="shared" si="3"/>
        <v>4813811701</v>
      </c>
      <c r="AG1117" s="493">
        <f t="shared" si="6"/>
        <v>1712806.351</v>
      </c>
      <c r="AH1117" s="493">
        <f t="shared" si="4"/>
        <v>4812098895</v>
      </c>
    </row>
    <row r="1118">
      <c r="T1118" s="494" t="s">
        <v>622</v>
      </c>
      <c r="AB1118" s="489">
        <v>1116.0</v>
      </c>
      <c r="AC1118" s="490">
        <f t="shared" si="5"/>
        <v>4813811701</v>
      </c>
      <c r="AD1118" s="491">
        <f t="shared" si="1"/>
        <v>1500</v>
      </c>
      <c r="AE1118" s="492">
        <f t="shared" si="2"/>
        <v>0.009063325885</v>
      </c>
      <c r="AF1118" s="490">
        <f t="shared" si="3"/>
        <v>4857442346</v>
      </c>
      <c r="AG1118" s="493">
        <f t="shared" si="6"/>
        <v>1714306.351</v>
      </c>
      <c r="AH1118" s="493">
        <f t="shared" si="4"/>
        <v>4855728039</v>
      </c>
    </row>
    <row r="1119">
      <c r="T1119" s="494" t="s">
        <v>622</v>
      </c>
      <c r="AB1119" s="489">
        <v>1117.0</v>
      </c>
      <c r="AC1119" s="490">
        <f t="shared" si="5"/>
        <v>4857442346</v>
      </c>
      <c r="AD1119" s="491">
        <f t="shared" si="1"/>
        <v>1500</v>
      </c>
      <c r="AE1119" s="492">
        <f t="shared" si="2"/>
        <v>0.009063325885</v>
      </c>
      <c r="AF1119" s="490">
        <f t="shared" si="3"/>
        <v>4901468429</v>
      </c>
      <c r="AG1119" s="493">
        <f t="shared" si="6"/>
        <v>1715806.351</v>
      </c>
      <c r="AH1119" s="493">
        <f t="shared" si="4"/>
        <v>4899752622</v>
      </c>
    </row>
    <row r="1120">
      <c r="T1120" s="494" t="s">
        <v>622</v>
      </c>
      <c r="AB1120" s="489">
        <v>1118.0</v>
      </c>
      <c r="AC1120" s="490">
        <f t="shared" si="5"/>
        <v>4901468429</v>
      </c>
      <c r="AD1120" s="491">
        <f t="shared" si="1"/>
        <v>1500</v>
      </c>
      <c r="AE1120" s="492">
        <f t="shared" si="2"/>
        <v>0.009063325885</v>
      </c>
      <c r="AF1120" s="490">
        <f t="shared" si="3"/>
        <v>4945893534</v>
      </c>
      <c r="AG1120" s="493">
        <f t="shared" si="6"/>
        <v>1717306.351</v>
      </c>
      <c r="AH1120" s="493">
        <f t="shared" si="4"/>
        <v>4944176228</v>
      </c>
    </row>
    <row r="1121">
      <c r="T1121" s="494" t="s">
        <v>622</v>
      </c>
      <c r="AB1121" s="489">
        <v>1119.0</v>
      </c>
      <c r="AC1121" s="490">
        <f t="shared" si="5"/>
        <v>4945893534</v>
      </c>
      <c r="AD1121" s="491">
        <f t="shared" si="1"/>
        <v>1500</v>
      </c>
      <c r="AE1121" s="492">
        <f t="shared" si="2"/>
        <v>0.009063325885</v>
      </c>
      <c r="AF1121" s="490">
        <f t="shared" si="3"/>
        <v>4990721279</v>
      </c>
      <c r="AG1121" s="493">
        <f t="shared" si="6"/>
        <v>1718806.351</v>
      </c>
      <c r="AH1121" s="493">
        <f t="shared" si="4"/>
        <v>4989002473</v>
      </c>
    </row>
    <row r="1122">
      <c r="T1122" s="494" t="s">
        <v>622</v>
      </c>
      <c r="AB1122" s="489">
        <v>1120.0</v>
      </c>
      <c r="AC1122" s="490">
        <f t="shared" si="5"/>
        <v>4990721279</v>
      </c>
      <c r="AD1122" s="491">
        <f t="shared" si="1"/>
        <v>1500</v>
      </c>
      <c r="AE1122" s="492">
        <f t="shared" si="2"/>
        <v>0.009063325885</v>
      </c>
      <c r="AF1122" s="490">
        <f t="shared" si="3"/>
        <v>5035955313</v>
      </c>
      <c r="AG1122" s="493">
        <f t="shared" si="6"/>
        <v>1720306.351</v>
      </c>
      <c r="AH1122" s="493">
        <f t="shared" si="4"/>
        <v>5034235006</v>
      </c>
    </row>
    <row r="1123">
      <c r="T1123" s="494" t="s">
        <v>622</v>
      </c>
      <c r="AB1123" s="489">
        <v>1121.0</v>
      </c>
      <c r="AC1123" s="490">
        <f t="shared" si="5"/>
        <v>5035955313</v>
      </c>
      <c r="AD1123" s="491">
        <f t="shared" si="1"/>
        <v>1500</v>
      </c>
      <c r="AE1123" s="492">
        <f t="shared" si="2"/>
        <v>0.009063325885</v>
      </c>
      <c r="AF1123" s="490">
        <f t="shared" si="3"/>
        <v>5081599317</v>
      </c>
      <c r="AG1123" s="493">
        <f t="shared" si="6"/>
        <v>1721806.351</v>
      </c>
      <c r="AH1123" s="493">
        <f t="shared" si="4"/>
        <v>5079877510</v>
      </c>
    </row>
    <row r="1124">
      <c r="T1124" s="494" t="s">
        <v>622</v>
      </c>
      <c r="AB1124" s="489">
        <v>1122.0</v>
      </c>
      <c r="AC1124" s="490">
        <f t="shared" si="5"/>
        <v>5081599317</v>
      </c>
      <c r="AD1124" s="491">
        <f t="shared" si="1"/>
        <v>1500</v>
      </c>
      <c r="AE1124" s="492">
        <f t="shared" si="2"/>
        <v>0.009063325885</v>
      </c>
      <c r="AF1124" s="490">
        <f t="shared" si="3"/>
        <v>5127657007</v>
      </c>
      <c r="AG1124" s="493">
        <f t="shared" si="6"/>
        <v>1723306.351</v>
      </c>
      <c r="AH1124" s="493">
        <f t="shared" si="4"/>
        <v>5125933701</v>
      </c>
    </row>
    <row r="1125">
      <c r="T1125" s="494" t="s">
        <v>622</v>
      </c>
      <c r="AB1125" s="489">
        <v>1123.0</v>
      </c>
      <c r="AC1125" s="490">
        <f t="shared" si="5"/>
        <v>5127657007</v>
      </c>
      <c r="AD1125" s="491">
        <f t="shared" si="1"/>
        <v>1500</v>
      </c>
      <c r="AE1125" s="492">
        <f t="shared" si="2"/>
        <v>0.009063325885</v>
      </c>
      <c r="AF1125" s="490">
        <f t="shared" si="3"/>
        <v>5174132134</v>
      </c>
      <c r="AG1125" s="493">
        <f t="shared" si="6"/>
        <v>1724806.351</v>
      </c>
      <c r="AH1125" s="493">
        <f t="shared" si="4"/>
        <v>5172407327</v>
      </c>
    </row>
    <row r="1126">
      <c r="T1126" s="494" t="s">
        <v>622</v>
      </c>
      <c r="AB1126" s="489">
        <v>1124.0</v>
      </c>
      <c r="AC1126" s="490">
        <f t="shared" si="5"/>
        <v>5174132134</v>
      </c>
      <c r="AD1126" s="491">
        <f t="shared" si="1"/>
        <v>1500</v>
      </c>
      <c r="AE1126" s="492">
        <f t="shared" si="2"/>
        <v>0.009063325885</v>
      </c>
      <c r="AF1126" s="490">
        <f t="shared" si="3"/>
        <v>5221028480</v>
      </c>
      <c r="AG1126" s="493">
        <f t="shared" si="6"/>
        <v>1726306.351</v>
      </c>
      <c r="AH1126" s="493">
        <f t="shared" si="4"/>
        <v>5219302173</v>
      </c>
    </row>
    <row r="1127">
      <c r="T1127" s="494" t="s">
        <v>622</v>
      </c>
      <c r="AB1127" s="489">
        <v>1125.0</v>
      </c>
      <c r="AC1127" s="490">
        <f t="shared" si="5"/>
        <v>5221028480</v>
      </c>
      <c r="AD1127" s="491">
        <f t="shared" si="1"/>
        <v>1500</v>
      </c>
      <c r="AE1127" s="492">
        <f t="shared" si="2"/>
        <v>0.009063325885</v>
      </c>
      <c r="AF1127" s="490">
        <f t="shared" si="3"/>
        <v>5268349862</v>
      </c>
      <c r="AG1127" s="493">
        <f t="shared" si="6"/>
        <v>1727806.351</v>
      </c>
      <c r="AH1127" s="493">
        <f t="shared" si="4"/>
        <v>5266622056</v>
      </c>
    </row>
    <row r="1128">
      <c r="T1128" s="494" t="s">
        <v>622</v>
      </c>
      <c r="AB1128" s="489">
        <v>1126.0</v>
      </c>
      <c r="AC1128" s="490">
        <f t="shared" si="5"/>
        <v>5268349862</v>
      </c>
      <c r="AD1128" s="491">
        <f t="shared" si="1"/>
        <v>1500</v>
      </c>
      <c r="AE1128" s="492">
        <f t="shared" si="2"/>
        <v>0.009063325885</v>
      </c>
      <c r="AF1128" s="490">
        <f t="shared" si="3"/>
        <v>5316100134</v>
      </c>
      <c r="AG1128" s="493">
        <f t="shared" si="6"/>
        <v>1729306.351</v>
      </c>
      <c r="AH1128" s="493">
        <f t="shared" si="4"/>
        <v>5314370827</v>
      </c>
    </row>
    <row r="1129">
      <c r="T1129" s="494" t="s">
        <v>622</v>
      </c>
      <c r="AB1129" s="489">
        <v>1127.0</v>
      </c>
      <c r="AC1129" s="490">
        <f t="shared" si="5"/>
        <v>5316100134</v>
      </c>
      <c r="AD1129" s="491">
        <f t="shared" si="1"/>
        <v>1500</v>
      </c>
      <c r="AE1129" s="492">
        <f t="shared" si="2"/>
        <v>0.009063325885</v>
      </c>
      <c r="AF1129" s="490">
        <f t="shared" si="3"/>
        <v>5364283182</v>
      </c>
      <c r="AG1129" s="493">
        <f t="shared" si="6"/>
        <v>1730806.351</v>
      </c>
      <c r="AH1129" s="493">
        <f t="shared" si="4"/>
        <v>5362552375</v>
      </c>
    </row>
    <row r="1130">
      <c r="T1130" s="494" t="s">
        <v>622</v>
      </c>
      <c r="AB1130" s="489">
        <v>1128.0</v>
      </c>
      <c r="AC1130" s="490">
        <f t="shared" si="5"/>
        <v>5364283182</v>
      </c>
      <c r="AD1130" s="491">
        <f t="shared" si="1"/>
        <v>1500</v>
      </c>
      <c r="AE1130" s="492">
        <f t="shared" si="2"/>
        <v>0.009063325885</v>
      </c>
      <c r="AF1130" s="490">
        <f t="shared" si="3"/>
        <v>5412902928</v>
      </c>
      <c r="AG1130" s="493">
        <f t="shared" si="6"/>
        <v>1732306.351</v>
      </c>
      <c r="AH1130" s="493">
        <f t="shared" si="4"/>
        <v>5411170622</v>
      </c>
    </row>
    <row r="1131">
      <c r="T1131" s="494" t="s">
        <v>622</v>
      </c>
      <c r="AB1131" s="489">
        <v>1129.0</v>
      </c>
      <c r="AC1131" s="490">
        <f t="shared" si="5"/>
        <v>5412902928</v>
      </c>
      <c r="AD1131" s="491">
        <f t="shared" si="1"/>
        <v>1500</v>
      </c>
      <c r="AE1131" s="492">
        <f t="shared" si="2"/>
        <v>0.009063325885</v>
      </c>
      <c r="AF1131" s="490">
        <f t="shared" si="3"/>
        <v>5461963332</v>
      </c>
      <c r="AG1131" s="493">
        <f t="shared" si="6"/>
        <v>1733806.351</v>
      </c>
      <c r="AH1131" s="493">
        <f t="shared" si="4"/>
        <v>5460229525</v>
      </c>
    </row>
    <row r="1132">
      <c r="T1132" s="494" t="s">
        <v>622</v>
      </c>
      <c r="AB1132" s="489">
        <v>1130.0</v>
      </c>
      <c r="AC1132" s="490">
        <f t="shared" si="5"/>
        <v>5461963332</v>
      </c>
      <c r="AD1132" s="491">
        <f t="shared" si="1"/>
        <v>1500</v>
      </c>
      <c r="AE1132" s="492">
        <f t="shared" si="2"/>
        <v>0.009063325885</v>
      </c>
      <c r="AF1132" s="490">
        <f t="shared" si="3"/>
        <v>5511468385</v>
      </c>
      <c r="AG1132" s="493">
        <f t="shared" si="6"/>
        <v>1735306.351</v>
      </c>
      <c r="AH1132" s="493">
        <f t="shared" si="4"/>
        <v>5509733079</v>
      </c>
    </row>
    <row r="1133">
      <c r="T1133" s="494" t="s">
        <v>622</v>
      </c>
      <c r="AB1133" s="489">
        <v>1131.0</v>
      </c>
      <c r="AC1133" s="490">
        <f t="shared" si="5"/>
        <v>5511468385</v>
      </c>
      <c r="AD1133" s="491">
        <f t="shared" si="1"/>
        <v>1500</v>
      </c>
      <c r="AE1133" s="492">
        <f t="shared" si="2"/>
        <v>0.009063325885</v>
      </c>
      <c r="AF1133" s="490">
        <f t="shared" si="3"/>
        <v>5561422119</v>
      </c>
      <c r="AG1133" s="493">
        <f t="shared" si="6"/>
        <v>1736806.351</v>
      </c>
      <c r="AH1133" s="493">
        <f t="shared" si="4"/>
        <v>5559685313</v>
      </c>
    </row>
    <row r="1134">
      <c r="T1134" s="494" t="s">
        <v>622</v>
      </c>
      <c r="AB1134" s="489">
        <v>1132.0</v>
      </c>
      <c r="AC1134" s="490">
        <f t="shared" si="5"/>
        <v>5561422119</v>
      </c>
      <c r="AD1134" s="491">
        <f t="shared" si="1"/>
        <v>1500</v>
      </c>
      <c r="AE1134" s="492">
        <f t="shared" si="2"/>
        <v>0.009063325885</v>
      </c>
      <c r="AF1134" s="490">
        <f t="shared" si="3"/>
        <v>5611828600</v>
      </c>
      <c r="AG1134" s="493">
        <f t="shared" si="6"/>
        <v>1738306.351</v>
      </c>
      <c r="AH1134" s="493">
        <f t="shared" si="4"/>
        <v>5610090294</v>
      </c>
    </row>
    <row r="1135">
      <c r="T1135" s="494" t="s">
        <v>622</v>
      </c>
      <c r="AB1135" s="489">
        <v>1133.0</v>
      </c>
      <c r="AC1135" s="490">
        <f t="shared" si="5"/>
        <v>5611828600</v>
      </c>
      <c r="AD1135" s="491">
        <f t="shared" si="1"/>
        <v>1500</v>
      </c>
      <c r="AE1135" s="492">
        <f t="shared" si="2"/>
        <v>0.009063325885</v>
      </c>
      <c r="AF1135" s="490">
        <f t="shared" si="3"/>
        <v>5662691932</v>
      </c>
      <c r="AG1135" s="493">
        <f t="shared" si="6"/>
        <v>1739806.351</v>
      </c>
      <c r="AH1135" s="493">
        <f t="shared" si="4"/>
        <v>5660952125</v>
      </c>
    </row>
    <row r="1136">
      <c r="T1136" s="494" t="s">
        <v>622</v>
      </c>
      <c r="AB1136" s="489">
        <v>1134.0</v>
      </c>
      <c r="AC1136" s="490">
        <f t="shared" si="5"/>
        <v>5662691932</v>
      </c>
      <c r="AD1136" s="491">
        <f t="shared" si="1"/>
        <v>1500</v>
      </c>
      <c r="AE1136" s="492">
        <f t="shared" si="2"/>
        <v>0.009063325885</v>
      </c>
      <c r="AF1136" s="490">
        <f t="shared" si="3"/>
        <v>5714016254</v>
      </c>
      <c r="AG1136" s="493">
        <f t="shared" si="6"/>
        <v>1741306.351</v>
      </c>
      <c r="AH1136" s="493">
        <f t="shared" si="4"/>
        <v>5712274948</v>
      </c>
    </row>
    <row r="1137">
      <c r="T1137" s="494" t="s">
        <v>622</v>
      </c>
      <c r="AB1137" s="489">
        <v>1135.0</v>
      </c>
      <c r="AC1137" s="490">
        <f t="shared" si="5"/>
        <v>5714016254</v>
      </c>
      <c r="AD1137" s="491">
        <f t="shared" si="1"/>
        <v>1500</v>
      </c>
      <c r="AE1137" s="492">
        <f t="shared" si="2"/>
        <v>0.009063325885</v>
      </c>
      <c r="AF1137" s="490">
        <f t="shared" si="3"/>
        <v>5765805746</v>
      </c>
      <c r="AG1137" s="493">
        <f t="shared" si="6"/>
        <v>1742806.351</v>
      </c>
      <c r="AH1137" s="493">
        <f t="shared" si="4"/>
        <v>5764062939</v>
      </c>
    </row>
    <row r="1138">
      <c r="T1138" s="494" t="s">
        <v>622</v>
      </c>
      <c r="AB1138" s="489">
        <v>1136.0</v>
      </c>
      <c r="AC1138" s="490">
        <f t="shared" si="5"/>
        <v>5765805746</v>
      </c>
      <c r="AD1138" s="491">
        <f t="shared" si="1"/>
        <v>1500</v>
      </c>
      <c r="AE1138" s="492">
        <f t="shared" si="2"/>
        <v>0.009063325885</v>
      </c>
      <c r="AF1138" s="490">
        <f t="shared" si="3"/>
        <v>5818064622</v>
      </c>
      <c r="AG1138" s="493">
        <f t="shared" si="6"/>
        <v>1744306.351</v>
      </c>
      <c r="AH1138" s="493">
        <f t="shared" si="4"/>
        <v>5816320316</v>
      </c>
    </row>
    <row r="1139">
      <c r="T1139" s="494" t="s">
        <v>622</v>
      </c>
      <c r="AB1139" s="489">
        <v>1137.0</v>
      </c>
      <c r="AC1139" s="490">
        <f t="shared" si="5"/>
        <v>5818064622</v>
      </c>
      <c r="AD1139" s="491">
        <f t="shared" si="1"/>
        <v>1500</v>
      </c>
      <c r="AE1139" s="492">
        <f t="shared" si="2"/>
        <v>0.009063325885</v>
      </c>
      <c r="AF1139" s="490">
        <f t="shared" si="3"/>
        <v>5870797138</v>
      </c>
      <c r="AG1139" s="493">
        <f t="shared" si="6"/>
        <v>1745806.351</v>
      </c>
      <c r="AH1139" s="493">
        <f t="shared" si="4"/>
        <v>5869051331</v>
      </c>
    </row>
    <row r="1140">
      <c r="T1140" s="494" t="s">
        <v>622</v>
      </c>
      <c r="AB1140" s="489">
        <v>1138.0</v>
      </c>
      <c r="AC1140" s="490">
        <f t="shared" si="5"/>
        <v>5870797138</v>
      </c>
      <c r="AD1140" s="491">
        <f t="shared" si="1"/>
        <v>1500</v>
      </c>
      <c r="AE1140" s="492">
        <f t="shared" si="2"/>
        <v>0.009063325885</v>
      </c>
      <c r="AF1140" s="490">
        <f t="shared" si="3"/>
        <v>5924007585</v>
      </c>
      <c r="AG1140" s="493">
        <f t="shared" si="6"/>
        <v>1747306.351</v>
      </c>
      <c r="AH1140" s="493">
        <f t="shared" si="4"/>
        <v>5922260279</v>
      </c>
    </row>
    <row r="1141">
      <c r="T1141" s="494" t="s">
        <v>622</v>
      </c>
      <c r="AB1141" s="489">
        <v>1139.0</v>
      </c>
      <c r="AC1141" s="490">
        <f t="shared" si="5"/>
        <v>5924007585</v>
      </c>
      <c r="AD1141" s="491">
        <f t="shared" si="1"/>
        <v>1500</v>
      </c>
      <c r="AE1141" s="492">
        <f t="shared" si="2"/>
        <v>0.009063325885</v>
      </c>
      <c r="AF1141" s="490">
        <f t="shared" si="3"/>
        <v>5977700297</v>
      </c>
      <c r="AG1141" s="493">
        <f t="shared" si="6"/>
        <v>1748806.351</v>
      </c>
      <c r="AH1141" s="493">
        <f t="shared" si="4"/>
        <v>5975951490</v>
      </c>
    </row>
    <row r="1142">
      <c r="T1142" s="494" t="s">
        <v>622</v>
      </c>
      <c r="AB1142" s="489">
        <v>1140.0</v>
      </c>
      <c r="AC1142" s="490">
        <f t="shared" si="5"/>
        <v>5977700297</v>
      </c>
      <c r="AD1142" s="491">
        <f t="shared" si="1"/>
        <v>1500</v>
      </c>
      <c r="AE1142" s="492">
        <f t="shared" si="2"/>
        <v>0.009063325885</v>
      </c>
      <c r="AF1142" s="490">
        <f t="shared" si="3"/>
        <v>6031879642</v>
      </c>
      <c r="AG1142" s="493">
        <f t="shared" si="6"/>
        <v>1750306.351</v>
      </c>
      <c r="AH1142" s="493">
        <f t="shared" si="4"/>
        <v>6030129336</v>
      </c>
    </row>
    <row r="1143">
      <c r="T1143" s="494" t="s">
        <v>622</v>
      </c>
      <c r="AB1143" s="489">
        <v>1141.0</v>
      </c>
      <c r="AC1143" s="490">
        <f t="shared" si="5"/>
        <v>6031879642</v>
      </c>
      <c r="AD1143" s="491">
        <f t="shared" si="1"/>
        <v>1500</v>
      </c>
      <c r="AE1143" s="492">
        <f t="shared" si="2"/>
        <v>0.009063325885</v>
      </c>
      <c r="AF1143" s="490">
        <f t="shared" si="3"/>
        <v>6086550033</v>
      </c>
      <c r="AG1143" s="493">
        <f t="shared" si="6"/>
        <v>1751806.351</v>
      </c>
      <c r="AH1143" s="493">
        <f t="shared" si="4"/>
        <v>6084798227</v>
      </c>
    </row>
    <row r="1144">
      <c r="T1144" s="494" t="s">
        <v>622</v>
      </c>
      <c r="AB1144" s="489">
        <v>1142.0</v>
      </c>
      <c r="AC1144" s="490">
        <f t="shared" si="5"/>
        <v>6086550033</v>
      </c>
      <c r="AD1144" s="491">
        <f t="shared" si="1"/>
        <v>1500</v>
      </c>
      <c r="AE1144" s="492">
        <f t="shared" si="2"/>
        <v>0.009063325885</v>
      </c>
      <c r="AF1144" s="490">
        <f t="shared" si="3"/>
        <v>6141715920</v>
      </c>
      <c r="AG1144" s="493">
        <f t="shared" si="6"/>
        <v>1753306.351</v>
      </c>
      <c r="AH1144" s="493">
        <f t="shared" si="4"/>
        <v>6139962613</v>
      </c>
    </row>
    <row r="1145">
      <c r="T1145" s="494" t="s">
        <v>622</v>
      </c>
      <c r="AB1145" s="489">
        <v>1143.0</v>
      </c>
      <c r="AC1145" s="490">
        <f t="shared" si="5"/>
        <v>6141715920</v>
      </c>
      <c r="AD1145" s="491">
        <f t="shared" si="1"/>
        <v>1500</v>
      </c>
      <c r="AE1145" s="492">
        <f t="shared" si="2"/>
        <v>0.009063325885</v>
      </c>
      <c r="AF1145" s="490">
        <f t="shared" si="3"/>
        <v>6197381793</v>
      </c>
      <c r="AG1145" s="493">
        <f t="shared" si="6"/>
        <v>1754806.351</v>
      </c>
      <c r="AH1145" s="493">
        <f t="shared" si="4"/>
        <v>6195626986</v>
      </c>
    </row>
    <row r="1146">
      <c r="T1146" s="494" t="s">
        <v>622</v>
      </c>
      <c r="AB1146" s="489">
        <v>1144.0</v>
      </c>
      <c r="AC1146" s="490">
        <f t="shared" si="5"/>
        <v>6197381793</v>
      </c>
      <c r="AD1146" s="491">
        <f t="shared" si="1"/>
        <v>1500</v>
      </c>
      <c r="AE1146" s="492">
        <f t="shared" si="2"/>
        <v>0.009063325885</v>
      </c>
      <c r="AF1146" s="490">
        <f t="shared" si="3"/>
        <v>6253552184</v>
      </c>
      <c r="AG1146" s="493">
        <f t="shared" si="6"/>
        <v>1756306.351</v>
      </c>
      <c r="AH1146" s="493">
        <f t="shared" si="4"/>
        <v>6251795877</v>
      </c>
    </row>
    <row r="1147">
      <c r="T1147" s="494" t="s">
        <v>622</v>
      </c>
      <c r="AB1147" s="489">
        <v>1145.0</v>
      </c>
      <c r="AC1147" s="490">
        <f t="shared" si="5"/>
        <v>6253552184</v>
      </c>
      <c r="AD1147" s="491">
        <f t="shared" si="1"/>
        <v>1500</v>
      </c>
      <c r="AE1147" s="492">
        <f t="shared" si="2"/>
        <v>0.009063325885</v>
      </c>
      <c r="AF1147" s="490">
        <f t="shared" si="3"/>
        <v>6310231665</v>
      </c>
      <c r="AG1147" s="493">
        <f t="shared" si="6"/>
        <v>1757806.351</v>
      </c>
      <c r="AH1147" s="493">
        <f t="shared" si="4"/>
        <v>6308473859</v>
      </c>
    </row>
    <row r="1148">
      <c r="T1148" s="494" t="s">
        <v>622</v>
      </c>
      <c r="AB1148" s="489">
        <v>1146.0</v>
      </c>
      <c r="AC1148" s="490">
        <f t="shared" si="5"/>
        <v>6310231665</v>
      </c>
      <c r="AD1148" s="491">
        <f t="shared" si="1"/>
        <v>1500</v>
      </c>
      <c r="AE1148" s="492">
        <f t="shared" si="2"/>
        <v>0.009063325885</v>
      </c>
      <c r="AF1148" s="490">
        <f t="shared" si="3"/>
        <v>6367424851</v>
      </c>
      <c r="AG1148" s="493">
        <f t="shared" si="6"/>
        <v>1759306.351</v>
      </c>
      <c r="AH1148" s="493">
        <f t="shared" si="4"/>
        <v>6365665545</v>
      </c>
    </row>
    <row r="1149">
      <c r="T1149" s="494" t="s">
        <v>622</v>
      </c>
      <c r="AB1149" s="489">
        <v>1147.0</v>
      </c>
      <c r="AC1149" s="490">
        <f t="shared" si="5"/>
        <v>6367424851</v>
      </c>
      <c r="AD1149" s="491">
        <f t="shared" si="1"/>
        <v>1500</v>
      </c>
      <c r="AE1149" s="492">
        <f t="shared" si="2"/>
        <v>0.009063325885</v>
      </c>
      <c r="AF1149" s="490">
        <f t="shared" si="3"/>
        <v>6425136397</v>
      </c>
      <c r="AG1149" s="493">
        <f t="shared" si="6"/>
        <v>1760806.351</v>
      </c>
      <c r="AH1149" s="493">
        <f t="shared" si="4"/>
        <v>6423375591</v>
      </c>
    </row>
    <row r="1150">
      <c r="T1150" s="494" t="s">
        <v>622</v>
      </c>
      <c r="AB1150" s="489">
        <v>1148.0</v>
      </c>
      <c r="AC1150" s="490">
        <f t="shared" si="5"/>
        <v>6425136397</v>
      </c>
      <c r="AD1150" s="491">
        <f t="shared" si="1"/>
        <v>1500</v>
      </c>
      <c r="AE1150" s="492">
        <f t="shared" si="2"/>
        <v>0.009063325885</v>
      </c>
      <c r="AF1150" s="490">
        <f t="shared" si="3"/>
        <v>6483371002</v>
      </c>
      <c r="AG1150" s="493">
        <f t="shared" si="6"/>
        <v>1762306.351</v>
      </c>
      <c r="AH1150" s="493">
        <f t="shared" si="4"/>
        <v>6481608696</v>
      </c>
    </row>
    <row r="1151">
      <c r="T1151" s="494" t="s">
        <v>622</v>
      </c>
      <c r="AB1151" s="489">
        <v>1149.0</v>
      </c>
      <c r="AC1151" s="490">
        <f t="shared" si="5"/>
        <v>6483371002</v>
      </c>
      <c r="AD1151" s="491">
        <f t="shared" si="1"/>
        <v>1500</v>
      </c>
      <c r="AE1151" s="492">
        <f t="shared" si="2"/>
        <v>0.009063325885</v>
      </c>
      <c r="AF1151" s="490">
        <f t="shared" si="3"/>
        <v>6542133407</v>
      </c>
      <c r="AG1151" s="493">
        <f t="shared" si="6"/>
        <v>1763806.351</v>
      </c>
      <c r="AH1151" s="493">
        <f t="shared" si="4"/>
        <v>6540369600</v>
      </c>
    </row>
    <row r="1152">
      <c r="T1152" s="494" t="s">
        <v>622</v>
      </c>
      <c r="AB1152" s="489">
        <v>1150.0</v>
      </c>
      <c r="AC1152" s="490">
        <f t="shared" si="5"/>
        <v>6542133407</v>
      </c>
      <c r="AD1152" s="491">
        <f t="shared" si="1"/>
        <v>1500</v>
      </c>
      <c r="AE1152" s="492">
        <f t="shared" si="2"/>
        <v>0.009063325885</v>
      </c>
      <c r="AF1152" s="490">
        <f t="shared" si="3"/>
        <v>6601428394</v>
      </c>
      <c r="AG1152" s="493">
        <f t="shared" si="6"/>
        <v>1765306.351</v>
      </c>
      <c r="AH1152" s="493">
        <f t="shared" si="4"/>
        <v>6599663087</v>
      </c>
    </row>
    <row r="1153">
      <c r="T1153" s="494" t="s">
        <v>622</v>
      </c>
      <c r="AB1153" s="489">
        <v>1151.0</v>
      </c>
      <c r="AC1153" s="490">
        <f t="shared" si="5"/>
        <v>6601428394</v>
      </c>
      <c r="AD1153" s="491">
        <f t="shared" si="1"/>
        <v>1500</v>
      </c>
      <c r="AE1153" s="492">
        <f t="shared" si="2"/>
        <v>0.009063325885</v>
      </c>
      <c r="AF1153" s="490">
        <f t="shared" si="3"/>
        <v>6661260791</v>
      </c>
      <c r="AG1153" s="493">
        <f t="shared" si="6"/>
        <v>1766806.351</v>
      </c>
      <c r="AH1153" s="493">
        <f t="shared" si="4"/>
        <v>6659493984</v>
      </c>
    </row>
    <row r="1154">
      <c r="T1154" s="494" t="s">
        <v>622</v>
      </c>
      <c r="AB1154" s="489">
        <v>1152.0</v>
      </c>
      <c r="AC1154" s="490">
        <f t="shared" si="5"/>
        <v>6661260791</v>
      </c>
      <c r="AD1154" s="491">
        <f t="shared" si="1"/>
        <v>1500</v>
      </c>
      <c r="AE1154" s="492">
        <f t="shared" si="2"/>
        <v>0.009063325885</v>
      </c>
      <c r="AF1154" s="490">
        <f t="shared" si="3"/>
        <v>6721635468</v>
      </c>
      <c r="AG1154" s="493">
        <f t="shared" si="6"/>
        <v>1768306.351</v>
      </c>
      <c r="AH1154" s="493">
        <f t="shared" si="4"/>
        <v>6719867162</v>
      </c>
    </row>
    <row r="1155">
      <c r="T1155" s="494" t="s">
        <v>622</v>
      </c>
      <c r="AB1155" s="489">
        <v>1153.0</v>
      </c>
      <c r="AC1155" s="490">
        <f t="shared" si="5"/>
        <v>6721635468</v>
      </c>
      <c r="AD1155" s="491">
        <f t="shared" si="1"/>
        <v>1500</v>
      </c>
      <c r="AE1155" s="492">
        <f t="shared" si="2"/>
        <v>0.009063325885</v>
      </c>
      <c r="AF1155" s="490">
        <f t="shared" si="3"/>
        <v>6782557341</v>
      </c>
      <c r="AG1155" s="493">
        <f t="shared" si="6"/>
        <v>1769806.351</v>
      </c>
      <c r="AH1155" s="493">
        <f t="shared" si="4"/>
        <v>6780787534</v>
      </c>
    </row>
    <row r="1156">
      <c r="T1156" s="494" t="s">
        <v>622</v>
      </c>
      <c r="AB1156" s="489">
        <v>1154.0</v>
      </c>
      <c r="AC1156" s="490">
        <f t="shared" si="5"/>
        <v>6782557341</v>
      </c>
      <c r="AD1156" s="491">
        <f t="shared" si="1"/>
        <v>1500</v>
      </c>
      <c r="AE1156" s="492">
        <f t="shared" si="2"/>
        <v>0.009063325885</v>
      </c>
      <c r="AF1156" s="490">
        <f t="shared" si="3"/>
        <v>6844031368</v>
      </c>
      <c r="AG1156" s="493">
        <f t="shared" si="6"/>
        <v>1771306.351</v>
      </c>
      <c r="AH1156" s="493">
        <f t="shared" si="4"/>
        <v>6842260062</v>
      </c>
    </row>
    <row r="1157">
      <c r="T1157" s="494" t="s">
        <v>622</v>
      </c>
      <c r="AB1157" s="489">
        <v>1155.0</v>
      </c>
      <c r="AC1157" s="490">
        <f t="shared" si="5"/>
        <v>6844031368</v>
      </c>
      <c r="AD1157" s="491">
        <f t="shared" si="1"/>
        <v>1500</v>
      </c>
      <c r="AE1157" s="492">
        <f t="shared" si="2"/>
        <v>0.009063325885</v>
      </c>
      <c r="AF1157" s="490">
        <f t="shared" si="3"/>
        <v>6906062555</v>
      </c>
      <c r="AG1157" s="493">
        <f t="shared" si="6"/>
        <v>1772806.351</v>
      </c>
      <c r="AH1157" s="493">
        <f t="shared" si="4"/>
        <v>6904289748</v>
      </c>
    </row>
    <row r="1158">
      <c r="T1158" s="494" t="s">
        <v>622</v>
      </c>
      <c r="AB1158" s="489">
        <v>1156.0</v>
      </c>
      <c r="AC1158" s="490">
        <f t="shared" si="5"/>
        <v>6906062555</v>
      </c>
      <c r="AD1158" s="491">
        <f t="shared" si="1"/>
        <v>1500</v>
      </c>
      <c r="AE1158" s="492">
        <f t="shared" si="2"/>
        <v>0.009063325885</v>
      </c>
      <c r="AF1158" s="490">
        <f t="shared" si="3"/>
        <v>6968655950</v>
      </c>
      <c r="AG1158" s="493">
        <f t="shared" si="6"/>
        <v>1774306.351</v>
      </c>
      <c r="AH1158" s="493">
        <f t="shared" si="4"/>
        <v>6966881644</v>
      </c>
    </row>
    <row r="1159">
      <c r="T1159" s="494" t="s">
        <v>622</v>
      </c>
      <c r="AB1159" s="489">
        <v>1157.0</v>
      </c>
      <c r="AC1159" s="490">
        <f t="shared" si="5"/>
        <v>6968655950</v>
      </c>
      <c r="AD1159" s="491">
        <f t="shared" si="1"/>
        <v>1500</v>
      </c>
      <c r="AE1159" s="492">
        <f t="shared" si="2"/>
        <v>0.009063325885</v>
      </c>
      <c r="AF1159" s="490">
        <f t="shared" si="3"/>
        <v>7031816650</v>
      </c>
      <c r="AG1159" s="493">
        <f t="shared" si="6"/>
        <v>1775806.351</v>
      </c>
      <c r="AH1159" s="493">
        <f t="shared" si="4"/>
        <v>7030040844</v>
      </c>
    </row>
    <row r="1160">
      <c r="T1160" s="494" t="s">
        <v>622</v>
      </c>
      <c r="AB1160" s="489">
        <v>1158.0</v>
      </c>
      <c r="AC1160" s="490">
        <f t="shared" si="5"/>
        <v>7031816650</v>
      </c>
      <c r="AD1160" s="491">
        <f t="shared" si="1"/>
        <v>1500</v>
      </c>
      <c r="AE1160" s="492">
        <f t="shared" si="2"/>
        <v>0.009063325885</v>
      </c>
      <c r="AF1160" s="490">
        <f t="shared" si="3"/>
        <v>7095549796</v>
      </c>
      <c r="AG1160" s="493">
        <f t="shared" si="6"/>
        <v>1777306.351</v>
      </c>
      <c r="AH1160" s="493">
        <f t="shared" si="4"/>
        <v>7093772490</v>
      </c>
    </row>
    <row r="1161">
      <c r="T1161" s="494" t="s">
        <v>622</v>
      </c>
      <c r="AB1161" s="489">
        <v>1159.0</v>
      </c>
      <c r="AC1161" s="490">
        <f t="shared" si="5"/>
        <v>7095549796</v>
      </c>
      <c r="AD1161" s="491">
        <f t="shared" si="1"/>
        <v>1500</v>
      </c>
      <c r="AE1161" s="492">
        <f t="shared" si="2"/>
        <v>0.009063325885</v>
      </c>
      <c r="AF1161" s="490">
        <f t="shared" si="3"/>
        <v>7159860576</v>
      </c>
      <c r="AG1161" s="493">
        <f t="shared" si="6"/>
        <v>1778806.351</v>
      </c>
      <c r="AH1161" s="493">
        <f t="shared" si="4"/>
        <v>7158081770</v>
      </c>
    </row>
    <row r="1162">
      <c r="T1162" s="494" t="s">
        <v>622</v>
      </c>
      <c r="AB1162" s="489">
        <v>1160.0</v>
      </c>
      <c r="AC1162" s="490">
        <f t="shared" si="5"/>
        <v>7159860576</v>
      </c>
      <c r="AD1162" s="491">
        <f t="shared" si="1"/>
        <v>1500</v>
      </c>
      <c r="AE1162" s="492">
        <f t="shared" si="2"/>
        <v>0.009063325885</v>
      </c>
      <c r="AF1162" s="490">
        <f t="shared" si="3"/>
        <v>7224754226</v>
      </c>
      <c r="AG1162" s="493">
        <f t="shared" si="6"/>
        <v>1780306.351</v>
      </c>
      <c r="AH1162" s="493">
        <f t="shared" si="4"/>
        <v>7222973919</v>
      </c>
    </row>
    <row r="1163">
      <c r="T1163" s="494" t="s">
        <v>622</v>
      </c>
      <c r="AB1163" s="489">
        <v>1161.0</v>
      </c>
      <c r="AC1163" s="490">
        <f t="shared" si="5"/>
        <v>7224754226</v>
      </c>
      <c r="AD1163" s="491">
        <f t="shared" si="1"/>
        <v>1500</v>
      </c>
      <c r="AE1163" s="492">
        <f t="shared" si="2"/>
        <v>0.009063325885</v>
      </c>
      <c r="AF1163" s="490">
        <f t="shared" si="3"/>
        <v>7290236028</v>
      </c>
      <c r="AG1163" s="493">
        <f t="shared" si="6"/>
        <v>1781806.351</v>
      </c>
      <c r="AH1163" s="493">
        <f t="shared" si="4"/>
        <v>7288454221</v>
      </c>
    </row>
    <row r="1164">
      <c r="T1164" s="494" t="s">
        <v>622</v>
      </c>
      <c r="AB1164" s="489">
        <v>1162.0</v>
      </c>
      <c r="AC1164" s="490">
        <f t="shared" si="5"/>
        <v>7290236028</v>
      </c>
      <c r="AD1164" s="491">
        <f t="shared" si="1"/>
        <v>1500</v>
      </c>
      <c r="AE1164" s="492">
        <f t="shared" si="2"/>
        <v>0.009063325885</v>
      </c>
      <c r="AF1164" s="490">
        <f t="shared" si="3"/>
        <v>7356311313</v>
      </c>
      <c r="AG1164" s="493">
        <f t="shared" si="6"/>
        <v>1783306.351</v>
      </c>
      <c r="AH1164" s="493">
        <f t="shared" si="4"/>
        <v>7354528006</v>
      </c>
    </row>
    <row r="1165">
      <c r="T1165" s="494" t="s">
        <v>622</v>
      </c>
      <c r="AB1165" s="489">
        <v>1163.0</v>
      </c>
      <c r="AC1165" s="490">
        <f t="shared" si="5"/>
        <v>7356311313</v>
      </c>
      <c r="AD1165" s="491">
        <f t="shared" si="1"/>
        <v>1500</v>
      </c>
      <c r="AE1165" s="492">
        <f t="shared" si="2"/>
        <v>0.009063325885</v>
      </c>
      <c r="AF1165" s="490">
        <f t="shared" si="3"/>
        <v>7422985459</v>
      </c>
      <c r="AG1165" s="493">
        <f t="shared" si="6"/>
        <v>1784806.351</v>
      </c>
      <c r="AH1165" s="493">
        <f t="shared" si="4"/>
        <v>7421200653</v>
      </c>
    </row>
    <row r="1166">
      <c r="T1166" s="494" t="s">
        <v>622</v>
      </c>
      <c r="AB1166" s="489">
        <v>1164.0</v>
      </c>
      <c r="AC1166" s="490">
        <f t="shared" si="5"/>
        <v>7422985459</v>
      </c>
      <c r="AD1166" s="491">
        <f t="shared" si="1"/>
        <v>1500</v>
      </c>
      <c r="AE1166" s="492">
        <f t="shared" si="2"/>
        <v>0.009063325885</v>
      </c>
      <c r="AF1166" s="490">
        <f t="shared" si="3"/>
        <v>7490263896</v>
      </c>
      <c r="AG1166" s="493">
        <f t="shared" si="6"/>
        <v>1786306.351</v>
      </c>
      <c r="AH1166" s="493">
        <f t="shared" si="4"/>
        <v>7488477589</v>
      </c>
    </row>
    <row r="1167">
      <c r="T1167" s="494" t="s">
        <v>622</v>
      </c>
      <c r="AB1167" s="489">
        <v>1165.0</v>
      </c>
      <c r="AC1167" s="490">
        <f t="shared" si="5"/>
        <v>7490263896</v>
      </c>
      <c r="AD1167" s="491">
        <f t="shared" si="1"/>
        <v>1500</v>
      </c>
      <c r="AE1167" s="492">
        <f t="shared" si="2"/>
        <v>0.009063325885</v>
      </c>
      <c r="AF1167" s="490">
        <f t="shared" si="3"/>
        <v>7558152098</v>
      </c>
      <c r="AG1167" s="493">
        <f t="shared" si="6"/>
        <v>1787806.351</v>
      </c>
      <c r="AH1167" s="493">
        <f t="shared" si="4"/>
        <v>7556364292</v>
      </c>
    </row>
    <row r="1168">
      <c r="T1168" s="494" t="s">
        <v>622</v>
      </c>
      <c r="AB1168" s="489">
        <v>1166.0</v>
      </c>
      <c r="AC1168" s="490">
        <f t="shared" si="5"/>
        <v>7558152098</v>
      </c>
      <c r="AD1168" s="491">
        <f t="shared" si="1"/>
        <v>1500</v>
      </c>
      <c r="AE1168" s="492">
        <f t="shared" si="2"/>
        <v>0.009063325885</v>
      </c>
      <c r="AF1168" s="490">
        <f t="shared" si="3"/>
        <v>7626655594</v>
      </c>
      <c r="AG1168" s="493">
        <f t="shared" si="6"/>
        <v>1789306.351</v>
      </c>
      <c r="AH1168" s="493">
        <f t="shared" si="4"/>
        <v>7624866288</v>
      </c>
    </row>
    <row r="1169">
      <c r="T1169" s="494" t="s">
        <v>622</v>
      </c>
      <c r="AB1169" s="489">
        <v>1167.0</v>
      </c>
      <c r="AC1169" s="490">
        <f t="shared" si="5"/>
        <v>7626655594</v>
      </c>
      <c r="AD1169" s="491">
        <f t="shared" si="1"/>
        <v>1500</v>
      </c>
      <c r="AE1169" s="492">
        <f t="shared" si="2"/>
        <v>0.009063325885</v>
      </c>
      <c r="AF1169" s="490">
        <f t="shared" si="3"/>
        <v>7695779959</v>
      </c>
      <c r="AG1169" s="493">
        <f t="shared" si="6"/>
        <v>1790806.351</v>
      </c>
      <c r="AH1169" s="493">
        <f t="shared" si="4"/>
        <v>7693989153</v>
      </c>
    </row>
    <row r="1170">
      <c r="T1170" s="494" t="s">
        <v>622</v>
      </c>
      <c r="AB1170" s="489">
        <v>1168.0</v>
      </c>
      <c r="AC1170" s="490">
        <f t="shared" si="5"/>
        <v>7695779959</v>
      </c>
      <c r="AD1170" s="491">
        <f t="shared" si="1"/>
        <v>1500</v>
      </c>
      <c r="AE1170" s="492">
        <f t="shared" si="2"/>
        <v>0.009063325885</v>
      </c>
      <c r="AF1170" s="490">
        <f t="shared" si="3"/>
        <v>7765530821</v>
      </c>
      <c r="AG1170" s="493">
        <f t="shared" si="6"/>
        <v>1792306.351</v>
      </c>
      <c r="AH1170" s="493">
        <f t="shared" si="4"/>
        <v>7763738514</v>
      </c>
    </row>
    <row r="1171">
      <c r="T1171" s="494" t="s">
        <v>622</v>
      </c>
      <c r="AB1171" s="489">
        <v>1169.0</v>
      </c>
      <c r="AC1171" s="490">
        <f t="shared" si="5"/>
        <v>7765530821</v>
      </c>
      <c r="AD1171" s="491">
        <f t="shared" si="1"/>
        <v>1500</v>
      </c>
      <c r="AE1171" s="492">
        <f t="shared" si="2"/>
        <v>0.009063325885</v>
      </c>
      <c r="AF1171" s="490">
        <f t="shared" si="3"/>
        <v>7835913857</v>
      </c>
      <c r="AG1171" s="493">
        <f t="shared" si="6"/>
        <v>1793806.351</v>
      </c>
      <c r="AH1171" s="493">
        <f t="shared" si="4"/>
        <v>7834120051</v>
      </c>
    </row>
    <row r="1172">
      <c r="T1172" s="494" t="s">
        <v>622</v>
      </c>
      <c r="AB1172" s="489">
        <v>1170.0</v>
      </c>
      <c r="AC1172" s="490">
        <f t="shared" si="5"/>
        <v>7835913857</v>
      </c>
      <c r="AD1172" s="491">
        <f t="shared" si="1"/>
        <v>1500</v>
      </c>
      <c r="AE1172" s="492">
        <f t="shared" si="2"/>
        <v>0.009063325885</v>
      </c>
      <c r="AF1172" s="490">
        <f t="shared" si="3"/>
        <v>7906934798</v>
      </c>
      <c r="AG1172" s="493">
        <f t="shared" si="6"/>
        <v>1795306.351</v>
      </c>
      <c r="AH1172" s="493">
        <f t="shared" si="4"/>
        <v>7905139492</v>
      </c>
    </row>
    <row r="1173">
      <c r="T1173" s="494" t="s">
        <v>622</v>
      </c>
      <c r="AB1173" s="489">
        <v>1171.0</v>
      </c>
      <c r="AC1173" s="490">
        <f t="shared" si="5"/>
        <v>7906934798</v>
      </c>
      <c r="AD1173" s="491">
        <f t="shared" si="1"/>
        <v>1500</v>
      </c>
      <c r="AE1173" s="492">
        <f t="shared" si="2"/>
        <v>0.009063325885</v>
      </c>
      <c r="AF1173" s="490">
        <f t="shared" si="3"/>
        <v>7978599425</v>
      </c>
      <c r="AG1173" s="493">
        <f t="shared" si="6"/>
        <v>1796806.351</v>
      </c>
      <c r="AH1173" s="493">
        <f t="shared" si="4"/>
        <v>7976802619</v>
      </c>
    </row>
    <row r="1174">
      <c r="T1174" s="494" t="s">
        <v>622</v>
      </c>
      <c r="AB1174" s="489">
        <v>1172.0</v>
      </c>
      <c r="AC1174" s="490">
        <f t="shared" si="5"/>
        <v>7978599425</v>
      </c>
      <c r="AD1174" s="491">
        <f t="shared" si="1"/>
        <v>1500</v>
      </c>
      <c r="AE1174" s="492">
        <f t="shared" si="2"/>
        <v>0.009063325885</v>
      </c>
      <c r="AF1174" s="490">
        <f t="shared" si="3"/>
        <v>8050913572</v>
      </c>
      <c r="AG1174" s="493">
        <f t="shared" si="6"/>
        <v>1798306.351</v>
      </c>
      <c r="AH1174" s="493">
        <f t="shared" si="4"/>
        <v>8049115265</v>
      </c>
    </row>
    <row r="1175">
      <c r="T1175" s="494" t="s">
        <v>622</v>
      </c>
      <c r="AB1175" s="489">
        <v>1173.0</v>
      </c>
      <c r="AC1175" s="490">
        <f t="shared" si="5"/>
        <v>8050913572</v>
      </c>
      <c r="AD1175" s="491">
        <f t="shared" si="1"/>
        <v>1500</v>
      </c>
      <c r="AE1175" s="492">
        <f t="shared" si="2"/>
        <v>0.009063325885</v>
      </c>
      <c r="AF1175" s="490">
        <f t="shared" si="3"/>
        <v>8123883125</v>
      </c>
      <c r="AG1175" s="493">
        <f t="shared" si="6"/>
        <v>1799806.351</v>
      </c>
      <c r="AH1175" s="493">
        <f t="shared" si="4"/>
        <v>8122083319</v>
      </c>
    </row>
    <row r="1176">
      <c r="T1176" s="494" t="s">
        <v>622</v>
      </c>
      <c r="AB1176" s="489">
        <v>1174.0</v>
      </c>
      <c r="AC1176" s="490">
        <f t="shared" si="5"/>
        <v>8123883125</v>
      </c>
      <c r="AD1176" s="491">
        <f t="shared" si="1"/>
        <v>1500</v>
      </c>
      <c r="AE1176" s="492">
        <f t="shared" si="2"/>
        <v>0.009063325885</v>
      </c>
      <c r="AF1176" s="490">
        <f t="shared" si="3"/>
        <v>8197514025</v>
      </c>
      <c r="AG1176" s="493">
        <f t="shared" si="6"/>
        <v>1801306.351</v>
      </c>
      <c r="AH1176" s="493">
        <f t="shared" si="4"/>
        <v>8195712719</v>
      </c>
    </row>
    <row r="1177">
      <c r="T1177" s="494" t="s">
        <v>622</v>
      </c>
      <c r="AB1177" s="489">
        <v>1175.0</v>
      </c>
      <c r="AC1177" s="490">
        <f t="shared" si="5"/>
        <v>8197514025</v>
      </c>
      <c r="AD1177" s="491">
        <f t="shared" si="1"/>
        <v>1500</v>
      </c>
      <c r="AE1177" s="492">
        <f t="shared" si="2"/>
        <v>0.009063325885</v>
      </c>
      <c r="AF1177" s="490">
        <f t="shared" si="3"/>
        <v>8271812266</v>
      </c>
      <c r="AG1177" s="493">
        <f t="shared" si="6"/>
        <v>1802806.351</v>
      </c>
      <c r="AH1177" s="493">
        <f t="shared" si="4"/>
        <v>8270009460</v>
      </c>
    </row>
    <row r="1178">
      <c r="T1178" s="494" t="s">
        <v>622</v>
      </c>
      <c r="AB1178" s="489">
        <v>1176.0</v>
      </c>
      <c r="AC1178" s="490">
        <f t="shared" si="5"/>
        <v>8271812266</v>
      </c>
      <c r="AD1178" s="491">
        <f t="shared" si="1"/>
        <v>1500</v>
      </c>
      <c r="AE1178" s="492">
        <f t="shared" si="2"/>
        <v>0.009063325885</v>
      </c>
      <c r="AF1178" s="490">
        <f t="shared" si="3"/>
        <v>8346783896</v>
      </c>
      <c r="AG1178" s="493">
        <f t="shared" si="6"/>
        <v>1804306.351</v>
      </c>
      <c r="AH1178" s="493">
        <f t="shared" si="4"/>
        <v>8344979590</v>
      </c>
    </row>
    <row r="1179">
      <c r="T1179" s="494" t="s">
        <v>622</v>
      </c>
      <c r="AB1179" s="489">
        <v>1177.0</v>
      </c>
      <c r="AC1179" s="490">
        <f t="shared" si="5"/>
        <v>8346783896</v>
      </c>
      <c r="AD1179" s="491">
        <f t="shared" si="1"/>
        <v>1500</v>
      </c>
      <c r="AE1179" s="492">
        <f t="shared" si="2"/>
        <v>0.009063325885</v>
      </c>
      <c r="AF1179" s="490">
        <f t="shared" si="3"/>
        <v>8422435019</v>
      </c>
      <c r="AG1179" s="493">
        <f t="shared" si="6"/>
        <v>1805806.351</v>
      </c>
      <c r="AH1179" s="493">
        <f t="shared" si="4"/>
        <v>8420629213</v>
      </c>
    </row>
    <row r="1180">
      <c r="T1180" s="494" t="s">
        <v>622</v>
      </c>
      <c r="AB1180" s="489">
        <v>1178.0</v>
      </c>
      <c r="AC1180" s="490">
        <f t="shared" si="5"/>
        <v>8422435019</v>
      </c>
      <c r="AD1180" s="491">
        <f t="shared" si="1"/>
        <v>1500</v>
      </c>
      <c r="AE1180" s="492">
        <f t="shared" si="2"/>
        <v>0.009063325885</v>
      </c>
      <c r="AF1180" s="490">
        <f t="shared" si="3"/>
        <v>8498771792</v>
      </c>
      <c r="AG1180" s="493">
        <f t="shared" si="6"/>
        <v>1807306.351</v>
      </c>
      <c r="AH1180" s="493">
        <f t="shared" si="4"/>
        <v>8496964486</v>
      </c>
    </row>
    <row r="1181">
      <c r="T1181" s="494" t="s">
        <v>622</v>
      </c>
      <c r="AB1181" s="489">
        <v>1179.0</v>
      </c>
      <c r="AC1181" s="490">
        <f t="shared" si="5"/>
        <v>8498771792</v>
      </c>
      <c r="AD1181" s="491">
        <f t="shared" si="1"/>
        <v>1500</v>
      </c>
      <c r="AE1181" s="492">
        <f t="shared" si="2"/>
        <v>0.009063325885</v>
      </c>
      <c r="AF1181" s="490">
        <f t="shared" si="3"/>
        <v>8575800431</v>
      </c>
      <c r="AG1181" s="493">
        <f t="shared" si="6"/>
        <v>1808806.351</v>
      </c>
      <c r="AH1181" s="493">
        <f t="shared" si="4"/>
        <v>8573991624</v>
      </c>
    </row>
    <row r="1182">
      <c r="T1182" s="494" t="s">
        <v>622</v>
      </c>
      <c r="AB1182" s="489">
        <v>1180.0</v>
      </c>
      <c r="AC1182" s="490">
        <f t="shared" si="5"/>
        <v>8575800431</v>
      </c>
      <c r="AD1182" s="491">
        <f t="shared" si="1"/>
        <v>1500</v>
      </c>
      <c r="AE1182" s="492">
        <f t="shared" si="2"/>
        <v>0.009063325885</v>
      </c>
      <c r="AF1182" s="490">
        <f t="shared" si="3"/>
        <v>8653527205</v>
      </c>
      <c r="AG1182" s="493">
        <f t="shared" si="6"/>
        <v>1810306.351</v>
      </c>
      <c r="AH1182" s="493">
        <f t="shared" si="4"/>
        <v>8651716898</v>
      </c>
    </row>
    <row r="1183">
      <c r="T1183" s="494" t="s">
        <v>622</v>
      </c>
      <c r="AB1183" s="489">
        <v>1181.0</v>
      </c>
      <c r="AC1183" s="490">
        <f t="shared" si="5"/>
        <v>8653527205</v>
      </c>
      <c r="AD1183" s="491">
        <f t="shared" si="1"/>
        <v>1500</v>
      </c>
      <c r="AE1183" s="492">
        <f t="shared" si="2"/>
        <v>0.009063325885</v>
      </c>
      <c r="AF1183" s="490">
        <f t="shared" si="3"/>
        <v>8731958442</v>
      </c>
      <c r="AG1183" s="493">
        <f t="shared" si="6"/>
        <v>1811806.351</v>
      </c>
      <c r="AH1183" s="493">
        <f t="shared" si="4"/>
        <v>8730146636</v>
      </c>
    </row>
    <row r="1184">
      <c r="T1184" s="494" t="s">
        <v>622</v>
      </c>
      <c r="AB1184" s="489">
        <v>1182.0</v>
      </c>
      <c r="AC1184" s="490">
        <f t="shared" si="5"/>
        <v>8731958442</v>
      </c>
      <c r="AD1184" s="491">
        <f t="shared" si="1"/>
        <v>1500</v>
      </c>
      <c r="AE1184" s="492">
        <f t="shared" si="2"/>
        <v>0.009063325885</v>
      </c>
      <c r="AF1184" s="490">
        <f t="shared" si="3"/>
        <v>8811100527</v>
      </c>
      <c r="AG1184" s="493">
        <f t="shared" si="6"/>
        <v>1813306.351</v>
      </c>
      <c r="AH1184" s="493">
        <f t="shared" si="4"/>
        <v>8809287220</v>
      </c>
    </row>
    <row r="1185">
      <c r="T1185" s="494" t="s">
        <v>622</v>
      </c>
      <c r="AB1185" s="489">
        <v>1183.0</v>
      </c>
      <c r="AC1185" s="490">
        <f t="shared" si="5"/>
        <v>8811100527</v>
      </c>
      <c r="AD1185" s="491">
        <f t="shared" si="1"/>
        <v>1500</v>
      </c>
      <c r="AE1185" s="492">
        <f t="shared" si="2"/>
        <v>0.009063325885</v>
      </c>
      <c r="AF1185" s="490">
        <f t="shared" si="3"/>
        <v>8890959902</v>
      </c>
      <c r="AG1185" s="493">
        <f t="shared" si="6"/>
        <v>1814806.351</v>
      </c>
      <c r="AH1185" s="493">
        <f t="shared" si="4"/>
        <v>8889145096</v>
      </c>
    </row>
    <row r="1186">
      <c r="T1186" s="494" t="s">
        <v>622</v>
      </c>
      <c r="AB1186" s="489">
        <v>1184.0</v>
      </c>
      <c r="AC1186" s="490">
        <f t="shared" si="5"/>
        <v>8890959902</v>
      </c>
      <c r="AD1186" s="491">
        <f t="shared" si="1"/>
        <v>1500</v>
      </c>
      <c r="AE1186" s="492">
        <f t="shared" si="2"/>
        <v>0.009063325885</v>
      </c>
      <c r="AF1186" s="490">
        <f t="shared" si="3"/>
        <v>8971543069</v>
      </c>
      <c r="AG1186" s="493">
        <f t="shared" si="6"/>
        <v>1816306.351</v>
      </c>
      <c r="AH1186" s="493">
        <f t="shared" si="4"/>
        <v>8969726763</v>
      </c>
    </row>
    <row r="1187">
      <c r="T1187" s="494" t="s">
        <v>622</v>
      </c>
      <c r="AB1187" s="489">
        <v>1185.0</v>
      </c>
      <c r="AC1187" s="490">
        <f t="shared" si="5"/>
        <v>8971543069</v>
      </c>
      <c r="AD1187" s="491">
        <f t="shared" si="1"/>
        <v>1500</v>
      </c>
      <c r="AE1187" s="492">
        <f t="shared" si="2"/>
        <v>0.009063325885</v>
      </c>
      <c r="AF1187" s="490">
        <f t="shared" si="3"/>
        <v>9052856588</v>
      </c>
      <c r="AG1187" s="493">
        <f t="shared" si="6"/>
        <v>1817806.351</v>
      </c>
      <c r="AH1187" s="493">
        <f t="shared" si="4"/>
        <v>9051038782</v>
      </c>
    </row>
    <row r="1188">
      <c r="T1188" s="494" t="s">
        <v>622</v>
      </c>
      <c r="AB1188" s="489">
        <v>1186.0</v>
      </c>
      <c r="AC1188" s="490">
        <f t="shared" si="5"/>
        <v>9052856588</v>
      </c>
      <c r="AD1188" s="491">
        <f t="shared" si="1"/>
        <v>1500</v>
      </c>
      <c r="AE1188" s="492">
        <f t="shared" si="2"/>
        <v>0.009063325885</v>
      </c>
      <c r="AF1188" s="490">
        <f t="shared" si="3"/>
        <v>9134907077</v>
      </c>
      <c r="AG1188" s="493">
        <f t="shared" si="6"/>
        <v>1819306.351</v>
      </c>
      <c r="AH1188" s="493">
        <f t="shared" si="4"/>
        <v>9133087771</v>
      </c>
    </row>
    <row r="1189">
      <c r="T1189" s="494" t="s">
        <v>622</v>
      </c>
      <c r="AB1189" s="489">
        <v>1187.0</v>
      </c>
      <c r="AC1189" s="490">
        <f t="shared" si="5"/>
        <v>9134907077</v>
      </c>
      <c r="AD1189" s="491">
        <f t="shared" si="1"/>
        <v>1500</v>
      </c>
      <c r="AE1189" s="492">
        <f t="shared" si="2"/>
        <v>0.009063325885</v>
      </c>
      <c r="AF1189" s="490">
        <f t="shared" si="3"/>
        <v>9217701217</v>
      </c>
      <c r="AG1189" s="493">
        <f t="shared" si="6"/>
        <v>1820806.351</v>
      </c>
      <c r="AH1189" s="493">
        <f t="shared" si="4"/>
        <v>9215880411</v>
      </c>
    </row>
    <row r="1190">
      <c r="T1190" s="494" t="s">
        <v>622</v>
      </c>
      <c r="AB1190" s="489">
        <v>1188.0</v>
      </c>
      <c r="AC1190" s="490">
        <f t="shared" si="5"/>
        <v>9217701217</v>
      </c>
      <c r="AD1190" s="491">
        <f t="shared" si="1"/>
        <v>1500</v>
      </c>
      <c r="AE1190" s="492">
        <f t="shared" si="2"/>
        <v>0.009063325885</v>
      </c>
      <c r="AF1190" s="490">
        <f t="shared" si="3"/>
        <v>9301245747</v>
      </c>
      <c r="AG1190" s="493">
        <f t="shared" si="6"/>
        <v>1822306.351</v>
      </c>
      <c r="AH1190" s="493">
        <f t="shared" si="4"/>
        <v>9299423441</v>
      </c>
    </row>
    <row r="1191">
      <c r="T1191" s="494" t="s">
        <v>622</v>
      </c>
      <c r="AB1191" s="489">
        <v>1189.0</v>
      </c>
      <c r="AC1191" s="490">
        <f t="shared" si="5"/>
        <v>9301245747</v>
      </c>
      <c r="AD1191" s="491">
        <f t="shared" si="1"/>
        <v>1500</v>
      </c>
      <c r="AE1191" s="492">
        <f t="shared" si="2"/>
        <v>0.009063325885</v>
      </c>
      <c r="AF1191" s="490">
        <f t="shared" si="3"/>
        <v>9385547468</v>
      </c>
      <c r="AG1191" s="493">
        <f t="shared" si="6"/>
        <v>1823806.351</v>
      </c>
      <c r="AH1191" s="493">
        <f t="shared" si="4"/>
        <v>9383723662</v>
      </c>
    </row>
    <row r="1192">
      <c r="T1192" s="494" t="s">
        <v>622</v>
      </c>
      <c r="AB1192" s="489">
        <v>1190.0</v>
      </c>
      <c r="AC1192" s="490">
        <f t="shared" si="5"/>
        <v>9385547468</v>
      </c>
      <c r="AD1192" s="491">
        <f t="shared" si="1"/>
        <v>1500</v>
      </c>
      <c r="AE1192" s="492">
        <f t="shared" si="2"/>
        <v>0.009063325885</v>
      </c>
      <c r="AF1192" s="490">
        <f t="shared" si="3"/>
        <v>9470613244</v>
      </c>
      <c r="AG1192" s="493">
        <f t="shared" si="6"/>
        <v>1825306.351</v>
      </c>
      <c r="AH1192" s="493">
        <f t="shared" si="4"/>
        <v>9468787937</v>
      </c>
    </row>
    <row r="1193">
      <c r="T1193" s="494" t="s">
        <v>622</v>
      </c>
      <c r="AB1193" s="489">
        <v>1191.0</v>
      </c>
      <c r="AC1193" s="490">
        <f t="shared" si="5"/>
        <v>9470613244</v>
      </c>
      <c r="AD1193" s="491">
        <f t="shared" si="1"/>
        <v>1500</v>
      </c>
      <c r="AE1193" s="492">
        <f t="shared" si="2"/>
        <v>0.009063325885</v>
      </c>
      <c r="AF1193" s="490">
        <f t="shared" si="3"/>
        <v>9556449998</v>
      </c>
      <c r="AG1193" s="493">
        <f t="shared" si="6"/>
        <v>1826806.351</v>
      </c>
      <c r="AH1193" s="493">
        <f t="shared" si="4"/>
        <v>9554623192</v>
      </c>
    </row>
    <row r="1194">
      <c r="T1194" s="494" t="s">
        <v>622</v>
      </c>
      <c r="AB1194" s="489">
        <v>1192.0</v>
      </c>
      <c r="AC1194" s="490">
        <f t="shared" si="5"/>
        <v>9556449998</v>
      </c>
      <c r="AD1194" s="491">
        <f t="shared" si="1"/>
        <v>1500</v>
      </c>
      <c r="AE1194" s="492">
        <f t="shared" si="2"/>
        <v>0.009063325885</v>
      </c>
      <c r="AF1194" s="490">
        <f t="shared" si="3"/>
        <v>9643064719</v>
      </c>
      <c r="AG1194" s="493">
        <f t="shared" si="6"/>
        <v>1828306.351</v>
      </c>
      <c r="AH1194" s="493">
        <f t="shared" si="4"/>
        <v>9641236412</v>
      </c>
    </row>
    <row r="1195">
      <c r="T1195" s="494" t="s">
        <v>622</v>
      </c>
      <c r="AB1195" s="489">
        <v>1193.0</v>
      </c>
      <c r="AC1195" s="490">
        <f t="shared" si="5"/>
        <v>9643064719</v>
      </c>
      <c r="AD1195" s="491">
        <f t="shared" si="1"/>
        <v>1500</v>
      </c>
      <c r="AE1195" s="492">
        <f t="shared" si="2"/>
        <v>0.009063325885</v>
      </c>
      <c r="AF1195" s="490">
        <f t="shared" si="3"/>
        <v>9730464457</v>
      </c>
      <c r="AG1195" s="493">
        <f t="shared" si="6"/>
        <v>1829806.351</v>
      </c>
      <c r="AH1195" s="493">
        <f t="shared" si="4"/>
        <v>9728634650</v>
      </c>
    </row>
    <row r="1196">
      <c r="T1196" s="494" t="s">
        <v>622</v>
      </c>
      <c r="AB1196" s="489">
        <v>1194.0</v>
      </c>
      <c r="AC1196" s="490">
        <f t="shared" si="5"/>
        <v>9730464457</v>
      </c>
      <c r="AD1196" s="491">
        <f t="shared" si="1"/>
        <v>1500</v>
      </c>
      <c r="AE1196" s="492">
        <f t="shared" si="2"/>
        <v>0.009063325885</v>
      </c>
      <c r="AF1196" s="490">
        <f t="shared" si="3"/>
        <v>9818656327</v>
      </c>
      <c r="AG1196" s="493">
        <f t="shared" si="6"/>
        <v>1831306.351</v>
      </c>
      <c r="AH1196" s="493">
        <f t="shared" si="4"/>
        <v>9816825021</v>
      </c>
    </row>
    <row r="1197">
      <c r="T1197" s="494" t="s">
        <v>622</v>
      </c>
      <c r="AB1197" s="489">
        <v>1195.0</v>
      </c>
      <c r="AC1197" s="490">
        <f t="shared" si="5"/>
        <v>9818656327</v>
      </c>
      <c r="AD1197" s="491">
        <f t="shared" si="1"/>
        <v>1500</v>
      </c>
      <c r="AE1197" s="492">
        <f t="shared" si="2"/>
        <v>0.009063325885</v>
      </c>
      <c r="AF1197" s="490">
        <f t="shared" si="3"/>
        <v>9907647509</v>
      </c>
      <c r="AG1197" s="493">
        <f t="shared" si="6"/>
        <v>1832806.351</v>
      </c>
      <c r="AH1197" s="493">
        <f t="shared" si="4"/>
        <v>9905814703</v>
      </c>
    </row>
    <row r="1198">
      <c r="T1198" s="494" t="s">
        <v>622</v>
      </c>
      <c r="AB1198" s="489">
        <v>1196.0</v>
      </c>
      <c r="AC1198" s="490">
        <f t="shared" si="5"/>
        <v>9907647509</v>
      </c>
      <c r="AD1198" s="491">
        <f t="shared" si="1"/>
        <v>1500</v>
      </c>
      <c r="AE1198" s="492">
        <f t="shared" si="2"/>
        <v>0.009063325885</v>
      </c>
      <c r="AF1198" s="490">
        <f t="shared" si="3"/>
        <v>9997445247</v>
      </c>
      <c r="AG1198" s="493">
        <f t="shared" si="6"/>
        <v>1834306.351</v>
      </c>
      <c r="AH1198" s="493">
        <f t="shared" si="4"/>
        <v>9995610941</v>
      </c>
    </row>
    <row r="1199">
      <c r="T1199" s="494" t="s">
        <v>622</v>
      </c>
      <c r="AB1199" s="489">
        <v>1197.0</v>
      </c>
      <c r="AC1199" s="490">
        <f t="shared" si="5"/>
        <v>9997445247</v>
      </c>
      <c r="AD1199" s="491">
        <f t="shared" si="1"/>
        <v>1500</v>
      </c>
      <c r="AE1199" s="492">
        <f t="shared" si="2"/>
        <v>0.009063325885</v>
      </c>
      <c r="AF1199" s="490">
        <f t="shared" si="3"/>
        <v>10088056852</v>
      </c>
      <c r="AG1199" s="493">
        <f t="shared" si="6"/>
        <v>1835806.351</v>
      </c>
      <c r="AH1199" s="493">
        <f t="shared" si="4"/>
        <v>10086221045</v>
      </c>
    </row>
    <row r="1200">
      <c r="T1200" s="494" t="s">
        <v>622</v>
      </c>
      <c r="AB1200" s="489">
        <v>1198.0</v>
      </c>
      <c r="AC1200" s="490">
        <f t="shared" si="5"/>
        <v>10088056852</v>
      </c>
      <c r="AD1200" s="491">
        <f t="shared" si="1"/>
        <v>1500</v>
      </c>
      <c r="AE1200" s="492">
        <f t="shared" si="2"/>
        <v>0.009063325885</v>
      </c>
      <c r="AF1200" s="490">
        <f t="shared" si="3"/>
        <v>10179489698</v>
      </c>
      <c r="AG1200" s="493">
        <f t="shared" si="6"/>
        <v>1837306.351</v>
      </c>
      <c r="AH1200" s="493">
        <f t="shared" si="4"/>
        <v>10177652392</v>
      </c>
    </row>
    <row r="1201">
      <c r="T1201" s="494" t="s">
        <v>622</v>
      </c>
      <c r="AB1201" s="489">
        <v>1199.0</v>
      </c>
      <c r="AC1201" s="490">
        <f t="shared" si="5"/>
        <v>10179489698</v>
      </c>
      <c r="AD1201" s="491">
        <f t="shared" si="1"/>
        <v>1500</v>
      </c>
      <c r="AE1201" s="492">
        <f t="shared" si="2"/>
        <v>0.009063325885</v>
      </c>
      <c r="AF1201" s="490">
        <f t="shared" si="3"/>
        <v>10271751231</v>
      </c>
      <c r="AG1201" s="493">
        <f t="shared" si="6"/>
        <v>1838806.351</v>
      </c>
      <c r="AH1201" s="493">
        <f t="shared" si="4"/>
        <v>10269912424</v>
      </c>
    </row>
    <row r="1202">
      <c r="T1202" s="494" t="s">
        <v>622</v>
      </c>
      <c r="AB1202" s="489">
        <v>1200.0</v>
      </c>
      <c r="AC1202" s="490">
        <f t="shared" si="5"/>
        <v>10271751231</v>
      </c>
      <c r="AD1202" s="491">
        <f t="shared" si="1"/>
        <v>1500</v>
      </c>
      <c r="AE1202" s="492">
        <f t="shared" si="2"/>
        <v>0.009063325885</v>
      </c>
      <c r="AF1202" s="490">
        <f t="shared" si="3"/>
        <v>10364848960</v>
      </c>
      <c r="AG1202" s="493">
        <f t="shared" si="6"/>
        <v>1840306.351</v>
      </c>
      <c r="AH1202" s="493">
        <f t="shared" si="4"/>
        <v>10363008653</v>
      </c>
    </row>
    <row r="1203">
      <c r="T1203" s="494" t="s">
        <v>622</v>
      </c>
      <c r="AB1203" s="489">
        <v>1201.0</v>
      </c>
      <c r="AC1203" s="490">
        <f t="shared" si="5"/>
        <v>10364848960</v>
      </c>
      <c r="AD1203" s="491">
        <f t="shared" si="1"/>
        <v>1500</v>
      </c>
      <c r="AE1203" s="492">
        <f t="shared" si="2"/>
        <v>0.009063325885</v>
      </c>
      <c r="AF1203" s="490">
        <f t="shared" si="3"/>
        <v>10458790463</v>
      </c>
      <c r="AG1203" s="493">
        <f t="shared" si="6"/>
        <v>1841806.351</v>
      </c>
      <c r="AH1203" s="493">
        <f t="shared" si="4"/>
        <v>10456948657</v>
      </c>
    </row>
    <row r="1204">
      <c r="T1204" s="494" t="s">
        <v>622</v>
      </c>
      <c r="AB1204" s="489">
        <v>1202.0</v>
      </c>
      <c r="AC1204" s="490">
        <f t="shared" si="5"/>
        <v>10458790463</v>
      </c>
      <c r="AD1204" s="491">
        <f t="shared" si="1"/>
        <v>1500</v>
      </c>
      <c r="AE1204" s="492">
        <f t="shared" si="2"/>
        <v>0.009063325885</v>
      </c>
      <c r="AF1204" s="490">
        <f t="shared" si="3"/>
        <v>10553583390</v>
      </c>
      <c r="AG1204" s="493">
        <f t="shared" si="6"/>
        <v>1843306.351</v>
      </c>
      <c r="AH1204" s="493">
        <f t="shared" si="4"/>
        <v>10551740083</v>
      </c>
    </row>
    <row r="1205">
      <c r="T1205" s="494" t="s">
        <v>622</v>
      </c>
      <c r="AB1205" s="489">
        <v>1203.0</v>
      </c>
      <c r="AC1205" s="490">
        <f t="shared" si="5"/>
        <v>10553583390</v>
      </c>
      <c r="AD1205" s="491">
        <f t="shared" si="1"/>
        <v>1500</v>
      </c>
      <c r="AE1205" s="492">
        <f t="shared" si="2"/>
        <v>0.009063325885</v>
      </c>
      <c r="AF1205" s="490">
        <f t="shared" si="3"/>
        <v>10649235455</v>
      </c>
      <c r="AG1205" s="493">
        <f t="shared" si="6"/>
        <v>1844806.351</v>
      </c>
      <c r="AH1205" s="493">
        <f t="shared" si="4"/>
        <v>10647390649</v>
      </c>
    </row>
    <row r="1206">
      <c r="T1206" s="494" t="s">
        <v>622</v>
      </c>
      <c r="AB1206" s="489">
        <v>1204.0</v>
      </c>
      <c r="AC1206" s="490">
        <f t="shared" si="5"/>
        <v>10649235455</v>
      </c>
      <c r="AD1206" s="491">
        <f t="shared" si="1"/>
        <v>1500</v>
      </c>
      <c r="AE1206" s="492">
        <f t="shared" si="2"/>
        <v>0.009063325885</v>
      </c>
      <c r="AF1206" s="490">
        <f t="shared" si="3"/>
        <v>10745754447</v>
      </c>
      <c r="AG1206" s="493">
        <f t="shared" si="6"/>
        <v>1846306.351</v>
      </c>
      <c r="AH1206" s="493">
        <f t="shared" si="4"/>
        <v>10743908140</v>
      </c>
    </row>
    <row r="1207">
      <c r="T1207" s="494" t="s">
        <v>622</v>
      </c>
      <c r="AB1207" s="489">
        <v>1205.0</v>
      </c>
      <c r="AC1207" s="490">
        <f t="shared" si="5"/>
        <v>10745754447</v>
      </c>
      <c r="AD1207" s="491">
        <f t="shared" si="1"/>
        <v>1500</v>
      </c>
      <c r="AE1207" s="492">
        <f t="shared" si="2"/>
        <v>0.009063325885</v>
      </c>
      <c r="AF1207" s="490">
        <f t="shared" si="3"/>
        <v>10843148221</v>
      </c>
      <c r="AG1207" s="493">
        <f t="shared" si="6"/>
        <v>1847806.351</v>
      </c>
      <c r="AH1207" s="493">
        <f t="shared" si="4"/>
        <v>10841300415</v>
      </c>
    </row>
    <row r="1208">
      <c r="T1208" s="494" t="s">
        <v>622</v>
      </c>
      <c r="AB1208" s="489">
        <v>1206.0</v>
      </c>
      <c r="AC1208" s="490">
        <f t="shared" si="5"/>
        <v>10843148221</v>
      </c>
      <c r="AD1208" s="491">
        <f t="shared" si="1"/>
        <v>1500</v>
      </c>
      <c r="AE1208" s="492">
        <f t="shared" si="2"/>
        <v>0.009063325885</v>
      </c>
      <c r="AF1208" s="490">
        <f t="shared" si="3"/>
        <v>10941424707</v>
      </c>
      <c r="AG1208" s="493">
        <f t="shared" si="6"/>
        <v>1849306.351</v>
      </c>
      <c r="AH1208" s="493">
        <f t="shared" si="4"/>
        <v>10939575401</v>
      </c>
    </row>
    <row r="1209">
      <c r="T1209" s="494" t="s">
        <v>622</v>
      </c>
      <c r="AB1209" s="489">
        <v>1207.0</v>
      </c>
      <c r="AC1209" s="490">
        <f t="shared" si="5"/>
        <v>10941424707</v>
      </c>
      <c r="AD1209" s="491">
        <f t="shared" si="1"/>
        <v>1500</v>
      </c>
      <c r="AE1209" s="492">
        <f t="shared" si="2"/>
        <v>0.009063325885</v>
      </c>
      <c r="AF1209" s="490">
        <f t="shared" si="3"/>
        <v>11040591905</v>
      </c>
      <c r="AG1209" s="493">
        <f t="shared" si="6"/>
        <v>1850806.351</v>
      </c>
      <c r="AH1209" s="493">
        <f t="shared" si="4"/>
        <v>11038741098</v>
      </c>
    </row>
    <row r="1210">
      <c r="T1210" s="494" t="s">
        <v>622</v>
      </c>
      <c r="AB1210" s="489">
        <v>1208.0</v>
      </c>
      <c r="AC1210" s="490">
        <f t="shared" si="5"/>
        <v>11040591905</v>
      </c>
      <c r="AD1210" s="491">
        <f t="shared" si="1"/>
        <v>1500</v>
      </c>
      <c r="AE1210" s="492">
        <f t="shared" si="2"/>
        <v>0.009063325885</v>
      </c>
      <c r="AF1210" s="490">
        <f t="shared" si="3"/>
        <v>11140657887</v>
      </c>
      <c r="AG1210" s="493">
        <f t="shared" si="6"/>
        <v>1852306.351</v>
      </c>
      <c r="AH1210" s="493">
        <f t="shared" si="4"/>
        <v>11138805581</v>
      </c>
    </row>
    <row r="1211">
      <c r="T1211" s="494" t="s">
        <v>622</v>
      </c>
      <c r="AB1211" s="489">
        <v>1209.0</v>
      </c>
      <c r="AC1211" s="490">
        <f t="shared" si="5"/>
        <v>11140657887</v>
      </c>
      <c r="AD1211" s="491">
        <f t="shared" si="1"/>
        <v>1500</v>
      </c>
      <c r="AE1211" s="492">
        <f t="shared" si="2"/>
        <v>0.009063325885</v>
      </c>
      <c r="AF1211" s="490">
        <f t="shared" si="3"/>
        <v>11241630800</v>
      </c>
      <c r="AG1211" s="493">
        <f t="shared" si="6"/>
        <v>1853806.351</v>
      </c>
      <c r="AH1211" s="493">
        <f t="shared" si="4"/>
        <v>11239776994</v>
      </c>
    </row>
    <row r="1212">
      <c r="T1212" s="494" t="s">
        <v>622</v>
      </c>
      <c r="AB1212" s="489">
        <v>1210.0</v>
      </c>
      <c r="AC1212" s="490">
        <f t="shared" si="5"/>
        <v>11241630800</v>
      </c>
      <c r="AD1212" s="491">
        <f t="shared" si="1"/>
        <v>1500</v>
      </c>
      <c r="AE1212" s="492">
        <f t="shared" si="2"/>
        <v>0.009063325885</v>
      </c>
      <c r="AF1212" s="490">
        <f t="shared" si="3"/>
        <v>11343518864</v>
      </c>
      <c r="AG1212" s="493">
        <f t="shared" si="6"/>
        <v>1855306.351</v>
      </c>
      <c r="AH1212" s="493">
        <f t="shared" si="4"/>
        <v>11341663557</v>
      </c>
    </row>
    <row r="1213">
      <c r="T1213" s="494" t="s">
        <v>622</v>
      </c>
      <c r="AB1213" s="489">
        <v>1211.0</v>
      </c>
      <c r="AC1213" s="490">
        <f t="shared" si="5"/>
        <v>11343518864</v>
      </c>
      <c r="AD1213" s="491">
        <f t="shared" si="1"/>
        <v>1500</v>
      </c>
      <c r="AE1213" s="492">
        <f t="shared" si="2"/>
        <v>0.009063325885</v>
      </c>
      <c r="AF1213" s="490">
        <f t="shared" si="3"/>
        <v>11446330372</v>
      </c>
      <c r="AG1213" s="493">
        <f t="shared" si="6"/>
        <v>1856806.351</v>
      </c>
      <c r="AH1213" s="493">
        <f t="shared" si="4"/>
        <v>11444473565</v>
      </c>
    </row>
    <row r="1214">
      <c r="T1214" s="494" t="s">
        <v>622</v>
      </c>
      <c r="AB1214" s="489">
        <v>1212.0</v>
      </c>
      <c r="AC1214" s="490">
        <f t="shared" si="5"/>
        <v>11446330372</v>
      </c>
      <c r="AD1214" s="491">
        <f t="shared" si="1"/>
        <v>1500</v>
      </c>
      <c r="AE1214" s="492">
        <f t="shared" si="2"/>
        <v>0.009063325885</v>
      </c>
      <c r="AF1214" s="490">
        <f t="shared" si="3"/>
        <v>11550073694</v>
      </c>
      <c r="AG1214" s="493">
        <f t="shared" si="6"/>
        <v>1858306.351</v>
      </c>
      <c r="AH1214" s="493">
        <f t="shared" si="4"/>
        <v>11548215388</v>
      </c>
    </row>
    <row r="1215">
      <c r="T1215" s="494" t="s">
        <v>622</v>
      </c>
      <c r="AB1215" s="489">
        <v>1213.0</v>
      </c>
      <c r="AC1215" s="490">
        <f t="shared" si="5"/>
        <v>11550073694</v>
      </c>
      <c r="AD1215" s="491">
        <f t="shared" si="1"/>
        <v>1500</v>
      </c>
      <c r="AE1215" s="492">
        <f t="shared" si="2"/>
        <v>0.009063325885</v>
      </c>
      <c r="AF1215" s="490">
        <f t="shared" si="3"/>
        <v>11654757276</v>
      </c>
      <c r="AG1215" s="493">
        <f t="shared" si="6"/>
        <v>1859806.351</v>
      </c>
      <c r="AH1215" s="493">
        <f t="shared" si="4"/>
        <v>11652897470</v>
      </c>
    </row>
    <row r="1216">
      <c r="T1216" s="494" t="s">
        <v>622</v>
      </c>
      <c r="AB1216" s="489">
        <v>1214.0</v>
      </c>
      <c r="AC1216" s="490">
        <f t="shared" si="5"/>
        <v>11654757276</v>
      </c>
      <c r="AD1216" s="491">
        <f t="shared" si="1"/>
        <v>1500</v>
      </c>
      <c r="AE1216" s="492">
        <f t="shared" si="2"/>
        <v>0.009063325885</v>
      </c>
      <c r="AF1216" s="490">
        <f t="shared" si="3"/>
        <v>11760389639</v>
      </c>
      <c r="AG1216" s="493">
        <f t="shared" si="6"/>
        <v>1861306.351</v>
      </c>
      <c r="AH1216" s="493">
        <f t="shared" si="4"/>
        <v>11758528333</v>
      </c>
    </row>
    <row r="1217">
      <c r="T1217" s="494" t="s">
        <v>622</v>
      </c>
      <c r="AB1217" s="489">
        <v>1215.0</v>
      </c>
      <c r="AC1217" s="490">
        <f t="shared" si="5"/>
        <v>11760389639</v>
      </c>
      <c r="AD1217" s="491">
        <f t="shared" si="1"/>
        <v>1500</v>
      </c>
      <c r="AE1217" s="492">
        <f t="shared" si="2"/>
        <v>0.009063325885</v>
      </c>
      <c r="AF1217" s="490">
        <f t="shared" si="3"/>
        <v>11866979383</v>
      </c>
      <c r="AG1217" s="493">
        <f t="shared" si="6"/>
        <v>1862806.351</v>
      </c>
      <c r="AH1217" s="493">
        <f t="shared" si="4"/>
        <v>11865116577</v>
      </c>
    </row>
    <row r="1218">
      <c r="T1218" s="494" t="s">
        <v>622</v>
      </c>
      <c r="AB1218" s="489">
        <v>1216.0</v>
      </c>
      <c r="AC1218" s="490">
        <f t="shared" si="5"/>
        <v>11866979383</v>
      </c>
      <c r="AD1218" s="491">
        <f t="shared" si="1"/>
        <v>1500</v>
      </c>
      <c r="AE1218" s="492">
        <f t="shared" si="2"/>
        <v>0.009063325885</v>
      </c>
      <c r="AF1218" s="490">
        <f t="shared" si="3"/>
        <v>11974535185</v>
      </c>
      <c r="AG1218" s="493">
        <f t="shared" si="6"/>
        <v>1864306.351</v>
      </c>
      <c r="AH1218" s="493">
        <f t="shared" si="4"/>
        <v>11972670878</v>
      </c>
    </row>
    <row r="1219">
      <c r="T1219" s="494" t="s">
        <v>622</v>
      </c>
      <c r="AB1219" s="489">
        <v>1217.0</v>
      </c>
      <c r="AC1219" s="490">
        <f t="shared" si="5"/>
        <v>11974535185</v>
      </c>
      <c r="AD1219" s="491">
        <f t="shared" si="1"/>
        <v>1500</v>
      </c>
      <c r="AE1219" s="492">
        <f t="shared" si="2"/>
        <v>0.009063325885</v>
      </c>
      <c r="AF1219" s="490">
        <f t="shared" si="3"/>
        <v>12083065799</v>
      </c>
      <c r="AG1219" s="493">
        <f t="shared" si="6"/>
        <v>1865806.351</v>
      </c>
      <c r="AH1219" s="493">
        <f t="shared" si="4"/>
        <v>12081199993</v>
      </c>
    </row>
    <row r="1220">
      <c r="T1220" s="494" t="s">
        <v>622</v>
      </c>
      <c r="AB1220" s="489">
        <v>1218.0</v>
      </c>
      <c r="AC1220" s="490">
        <f t="shared" si="5"/>
        <v>12083065799</v>
      </c>
      <c r="AD1220" s="491">
        <f t="shared" si="1"/>
        <v>1500</v>
      </c>
      <c r="AE1220" s="492">
        <f t="shared" si="2"/>
        <v>0.009063325885</v>
      </c>
      <c r="AF1220" s="490">
        <f t="shared" si="3"/>
        <v>12192580062</v>
      </c>
      <c r="AG1220" s="493">
        <f t="shared" si="6"/>
        <v>1867306.351</v>
      </c>
      <c r="AH1220" s="493">
        <f t="shared" si="4"/>
        <v>12190712756</v>
      </c>
    </row>
    <row r="1221">
      <c r="T1221" s="494" t="s">
        <v>622</v>
      </c>
      <c r="AB1221" s="489">
        <v>1219.0</v>
      </c>
      <c r="AC1221" s="490">
        <f t="shared" si="5"/>
        <v>12192580062</v>
      </c>
      <c r="AD1221" s="491">
        <f t="shared" si="1"/>
        <v>1500</v>
      </c>
      <c r="AE1221" s="492">
        <f t="shared" si="2"/>
        <v>0.009063325885</v>
      </c>
      <c r="AF1221" s="490">
        <f t="shared" si="3"/>
        <v>12303086889</v>
      </c>
      <c r="AG1221" s="493">
        <f t="shared" si="6"/>
        <v>1868806.351</v>
      </c>
      <c r="AH1221" s="493">
        <f t="shared" si="4"/>
        <v>12301218082</v>
      </c>
    </row>
    <row r="1222">
      <c r="T1222" s="494" t="s">
        <v>622</v>
      </c>
      <c r="AB1222" s="489">
        <v>1220.0</v>
      </c>
      <c r="AC1222" s="490">
        <f t="shared" si="5"/>
        <v>12303086889</v>
      </c>
      <c r="AD1222" s="491">
        <f t="shared" si="1"/>
        <v>1500</v>
      </c>
      <c r="AE1222" s="492">
        <f t="shared" si="2"/>
        <v>0.009063325885</v>
      </c>
      <c r="AF1222" s="490">
        <f t="shared" si="3"/>
        <v>12414595275</v>
      </c>
      <c r="AG1222" s="493">
        <f t="shared" si="6"/>
        <v>1870306.351</v>
      </c>
      <c r="AH1222" s="493">
        <f t="shared" si="4"/>
        <v>12412724968</v>
      </c>
    </row>
    <row r="1223">
      <c r="T1223" s="494" t="s">
        <v>622</v>
      </c>
      <c r="AB1223" s="489">
        <v>1221.0</v>
      </c>
      <c r="AC1223" s="490">
        <f t="shared" si="5"/>
        <v>12414595275</v>
      </c>
      <c r="AD1223" s="491">
        <f t="shared" si="1"/>
        <v>1500</v>
      </c>
      <c r="AE1223" s="492">
        <f t="shared" si="2"/>
        <v>0.009063325885</v>
      </c>
      <c r="AF1223" s="490">
        <f t="shared" si="3"/>
        <v>12527114297</v>
      </c>
      <c r="AG1223" s="493">
        <f t="shared" si="6"/>
        <v>1871806.351</v>
      </c>
      <c r="AH1223" s="493">
        <f t="shared" si="4"/>
        <v>12525242491</v>
      </c>
    </row>
    <row r="1224">
      <c r="T1224" s="494" t="s">
        <v>622</v>
      </c>
      <c r="AB1224" s="489">
        <v>1222.0</v>
      </c>
      <c r="AC1224" s="490">
        <f t="shared" si="5"/>
        <v>12527114297</v>
      </c>
      <c r="AD1224" s="491">
        <f t="shared" si="1"/>
        <v>1500</v>
      </c>
      <c r="AE1224" s="492">
        <f t="shared" si="2"/>
        <v>0.009063325885</v>
      </c>
      <c r="AF1224" s="490">
        <f t="shared" si="3"/>
        <v>12640653117</v>
      </c>
      <c r="AG1224" s="493">
        <f t="shared" si="6"/>
        <v>1873306.351</v>
      </c>
      <c r="AH1224" s="493">
        <f t="shared" si="4"/>
        <v>12638779810</v>
      </c>
    </row>
    <row r="1225">
      <c r="T1225" s="494" t="s">
        <v>622</v>
      </c>
      <c r="AB1225" s="489">
        <v>1223.0</v>
      </c>
      <c r="AC1225" s="490">
        <f t="shared" si="5"/>
        <v>12640653117</v>
      </c>
      <c r="AD1225" s="491">
        <f t="shared" si="1"/>
        <v>1500</v>
      </c>
      <c r="AE1225" s="492">
        <f t="shared" si="2"/>
        <v>0.009063325885</v>
      </c>
      <c r="AF1225" s="490">
        <f t="shared" si="3"/>
        <v>12755220975</v>
      </c>
      <c r="AG1225" s="493">
        <f t="shared" si="6"/>
        <v>1874806.351</v>
      </c>
      <c r="AH1225" s="493">
        <f t="shared" si="4"/>
        <v>12753346169</v>
      </c>
    </row>
    <row r="1226">
      <c r="T1226" s="494" t="s">
        <v>622</v>
      </c>
      <c r="AB1226" s="489">
        <v>1224.0</v>
      </c>
      <c r="AC1226" s="490">
        <f t="shared" si="5"/>
        <v>12755220975</v>
      </c>
      <c r="AD1226" s="491">
        <f t="shared" si="1"/>
        <v>1500</v>
      </c>
      <c r="AE1226" s="492">
        <f t="shared" si="2"/>
        <v>0.009063325885</v>
      </c>
      <c r="AF1226" s="490">
        <f t="shared" si="3"/>
        <v>12870827200</v>
      </c>
      <c r="AG1226" s="493">
        <f t="shared" si="6"/>
        <v>1876306.351</v>
      </c>
      <c r="AH1226" s="493">
        <f t="shared" si="4"/>
        <v>12868950893</v>
      </c>
    </row>
    <row r="1227">
      <c r="T1227" s="494" t="s">
        <v>622</v>
      </c>
      <c r="AB1227" s="489">
        <v>1225.0</v>
      </c>
      <c r="AC1227" s="490">
        <f t="shared" si="5"/>
        <v>12870827200</v>
      </c>
      <c r="AD1227" s="491">
        <f t="shared" si="1"/>
        <v>1500</v>
      </c>
      <c r="AE1227" s="492">
        <f t="shared" si="2"/>
        <v>0.009063325885</v>
      </c>
      <c r="AF1227" s="490">
        <f t="shared" si="3"/>
        <v>12987481201</v>
      </c>
      <c r="AG1227" s="493">
        <f t="shared" si="6"/>
        <v>1877806.351</v>
      </c>
      <c r="AH1227" s="493">
        <f t="shared" si="4"/>
        <v>12985603395</v>
      </c>
    </row>
    <row r="1228">
      <c r="T1228" s="494" t="s">
        <v>622</v>
      </c>
      <c r="AB1228" s="489">
        <v>1226.0</v>
      </c>
      <c r="AC1228" s="490">
        <f t="shared" si="5"/>
        <v>12987481201</v>
      </c>
      <c r="AD1228" s="491">
        <f t="shared" si="1"/>
        <v>1500</v>
      </c>
      <c r="AE1228" s="492">
        <f t="shared" si="2"/>
        <v>0.009063325885</v>
      </c>
      <c r="AF1228" s="490">
        <f t="shared" si="3"/>
        <v>13105192476</v>
      </c>
      <c r="AG1228" s="493">
        <f t="shared" si="6"/>
        <v>1879306.351</v>
      </c>
      <c r="AH1228" s="493">
        <f t="shared" si="4"/>
        <v>13103313169</v>
      </c>
    </row>
    <row r="1229">
      <c r="T1229" s="494" t="s">
        <v>622</v>
      </c>
      <c r="AB1229" s="489">
        <v>1227.0</v>
      </c>
      <c r="AC1229" s="490">
        <f t="shared" si="5"/>
        <v>13105192476</v>
      </c>
      <c r="AD1229" s="491">
        <f t="shared" si="1"/>
        <v>1500</v>
      </c>
      <c r="AE1229" s="492">
        <f t="shared" si="2"/>
        <v>0.009063325885</v>
      </c>
      <c r="AF1229" s="490">
        <f t="shared" si="3"/>
        <v>13223970606</v>
      </c>
      <c r="AG1229" s="493">
        <f t="shared" si="6"/>
        <v>1880806.351</v>
      </c>
      <c r="AH1229" s="493">
        <f t="shared" si="4"/>
        <v>13222089799</v>
      </c>
    </row>
    <row r="1230">
      <c r="T1230" s="494" t="s">
        <v>622</v>
      </c>
      <c r="AB1230" s="489">
        <v>1228.0</v>
      </c>
      <c r="AC1230" s="490">
        <f t="shared" si="5"/>
        <v>13223970606</v>
      </c>
      <c r="AD1230" s="491">
        <f t="shared" si="1"/>
        <v>1500</v>
      </c>
      <c r="AE1230" s="492">
        <f t="shared" si="2"/>
        <v>0.009063325885</v>
      </c>
      <c r="AF1230" s="490">
        <f t="shared" si="3"/>
        <v>13343825261</v>
      </c>
      <c r="AG1230" s="493">
        <f t="shared" si="6"/>
        <v>1882306.351</v>
      </c>
      <c r="AH1230" s="493">
        <f t="shared" si="4"/>
        <v>13341942955</v>
      </c>
    </row>
    <row r="1231">
      <c r="T1231" s="494" t="s">
        <v>622</v>
      </c>
      <c r="AB1231" s="489">
        <v>1229.0</v>
      </c>
      <c r="AC1231" s="490">
        <f t="shared" si="5"/>
        <v>13343825261</v>
      </c>
      <c r="AD1231" s="491">
        <f t="shared" si="1"/>
        <v>1500</v>
      </c>
      <c r="AE1231" s="492">
        <f t="shared" si="2"/>
        <v>0.009063325885</v>
      </c>
      <c r="AF1231" s="490">
        <f t="shared" si="3"/>
        <v>13464766198</v>
      </c>
      <c r="AG1231" s="493">
        <f t="shared" si="6"/>
        <v>1883806.351</v>
      </c>
      <c r="AH1231" s="493">
        <f t="shared" si="4"/>
        <v>13462882391</v>
      </c>
    </row>
    <row r="1232">
      <c r="T1232" s="494" t="s">
        <v>622</v>
      </c>
      <c r="AB1232" s="489">
        <v>1230.0</v>
      </c>
      <c r="AC1232" s="490">
        <f t="shared" si="5"/>
        <v>13464766198</v>
      </c>
      <c r="AD1232" s="491">
        <f t="shared" si="1"/>
        <v>1500</v>
      </c>
      <c r="AE1232" s="492">
        <f t="shared" si="2"/>
        <v>0.009063325885</v>
      </c>
      <c r="AF1232" s="490">
        <f t="shared" si="3"/>
        <v>13586803262</v>
      </c>
      <c r="AG1232" s="493">
        <f t="shared" si="6"/>
        <v>1885306.351</v>
      </c>
      <c r="AH1232" s="493">
        <f t="shared" si="4"/>
        <v>13584917955</v>
      </c>
    </row>
    <row r="1233">
      <c r="T1233" s="494" t="s">
        <v>622</v>
      </c>
      <c r="AB1233" s="489">
        <v>1231.0</v>
      </c>
      <c r="AC1233" s="490">
        <f t="shared" si="5"/>
        <v>13586803262</v>
      </c>
      <c r="AD1233" s="491">
        <f t="shared" si="1"/>
        <v>1500</v>
      </c>
      <c r="AE1233" s="492">
        <f t="shared" si="2"/>
        <v>0.009063325885</v>
      </c>
      <c r="AF1233" s="490">
        <f t="shared" si="3"/>
        <v>13709946387</v>
      </c>
      <c r="AG1233" s="493">
        <f t="shared" si="6"/>
        <v>1886806.351</v>
      </c>
      <c r="AH1233" s="493">
        <f t="shared" si="4"/>
        <v>13708059581</v>
      </c>
    </row>
    <row r="1234">
      <c r="T1234" s="494" t="s">
        <v>622</v>
      </c>
      <c r="AB1234" s="489">
        <v>1232.0</v>
      </c>
      <c r="AC1234" s="490">
        <f t="shared" si="5"/>
        <v>13709946387</v>
      </c>
      <c r="AD1234" s="491">
        <f t="shared" si="1"/>
        <v>1500</v>
      </c>
      <c r="AE1234" s="492">
        <f t="shared" si="2"/>
        <v>0.009063325885</v>
      </c>
      <c r="AF1234" s="490">
        <f t="shared" si="3"/>
        <v>13834205599</v>
      </c>
      <c r="AG1234" s="493">
        <f t="shared" si="6"/>
        <v>1888306.351</v>
      </c>
      <c r="AH1234" s="493">
        <f t="shared" si="4"/>
        <v>13832317293</v>
      </c>
    </row>
    <row r="1235">
      <c r="T1235" s="494" t="s">
        <v>622</v>
      </c>
      <c r="AB1235" s="489">
        <v>1233.0</v>
      </c>
      <c r="AC1235" s="490">
        <f t="shared" si="5"/>
        <v>13834205599</v>
      </c>
      <c r="AD1235" s="491">
        <f t="shared" si="1"/>
        <v>1500</v>
      </c>
      <c r="AE1235" s="492">
        <f t="shared" si="2"/>
        <v>0.009063325885</v>
      </c>
      <c r="AF1235" s="490">
        <f t="shared" si="3"/>
        <v>13959591013</v>
      </c>
      <c r="AG1235" s="493">
        <f t="shared" si="6"/>
        <v>1889806.351</v>
      </c>
      <c r="AH1235" s="493">
        <f t="shared" si="4"/>
        <v>13957701207</v>
      </c>
    </row>
    <row r="1236">
      <c r="T1236" s="494" t="s">
        <v>622</v>
      </c>
      <c r="AB1236" s="489">
        <v>1234.0</v>
      </c>
      <c r="AC1236" s="490">
        <f t="shared" si="5"/>
        <v>13959591013</v>
      </c>
      <c r="AD1236" s="491">
        <f t="shared" si="1"/>
        <v>1500</v>
      </c>
      <c r="AE1236" s="492">
        <f t="shared" si="2"/>
        <v>0.009063325885</v>
      </c>
      <c r="AF1236" s="490">
        <f t="shared" si="3"/>
        <v>14086112836</v>
      </c>
      <c r="AG1236" s="493">
        <f t="shared" si="6"/>
        <v>1891306.351</v>
      </c>
      <c r="AH1236" s="493">
        <f t="shared" si="4"/>
        <v>14084221529</v>
      </c>
    </row>
    <row r="1237">
      <c r="T1237" s="494" t="s">
        <v>622</v>
      </c>
      <c r="AB1237" s="489">
        <v>1235.0</v>
      </c>
      <c r="AC1237" s="490">
        <f t="shared" si="5"/>
        <v>14086112836</v>
      </c>
      <c r="AD1237" s="491">
        <f t="shared" si="1"/>
        <v>1500</v>
      </c>
      <c r="AE1237" s="492">
        <f t="shared" si="2"/>
        <v>0.009063325885</v>
      </c>
      <c r="AF1237" s="490">
        <f t="shared" si="3"/>
        <v>14213781367</v>
      </c>
      <c r="AG1237" s="493">
        <f t="shared" si="6"/>
        <v>1892806.351</v>
      </c>
      <c r="AH1237" s="493">
        <f t="shared" si="4"/>
        <v>14211888560</v>
      </c>
    </row>
    <row r="1238">
      <c r="T1238" s="494" t="s">
        <v>622</v>
      </c>
      <c r="AB1238" s="489">
        <v>1236.0</v>
      </c>
      <c r="AC1238" s="490">
        <f t="shared" si="5"/>
        <v>14213781367</v>
      </c>
      <c r="AD1238" s="491">
        <f t="shared" si="1"/>
        <v>1500</v>
      </c>
      <c r="AE1238" s="492">
        <f t="shared" si="2"/>
        <v>0.009063325885</v>
      </c>
      <c r="AF1238" s="490">
        <f t="shared" si="3"/>
        <v>14342606999</v>
      </c>
      <c r="AG1238" s="493">
        <f t="shared" si="6"/>
        <v>1894306.351</v>
      </c>
      <c r="AH1238" s="493">
        <f t="shared" si="4"/>
        <v>14340712693</v>
      </c>
    </row>
    <row r="1239">
      <c r="T1239" s="494" t="s">
        <v>622</v>
      </c>
      <c r="AB1239" s="489">
        <v>1237.0</v>
      </c>
      <c r="AC1239" s="490">
        <f t="shared" si="5"/>
        <v>14342606999</v>
      </c>
      <c r="AD1239" s="491">
        <f t="shared" si="1"/>
        <v>1500</v>
      </c>
      <c r="AE1239" s="492">
        <f t="shared" si="2"/>
        <v>0.009063325885</v>
      </c>
      <c r="AF1239" s="490">
        <f t="shared" si="3"/>
        <v>14472600221</v>
      </c>
      <c r="AG1239" s="493">
        <f t="shared" si="6"/>
        <v>1895806.351</v>
      </c>
      <c r="AH1239" s="493">
        <f t="shared" si="4"/>
        <v>14470704414</v>
      </c>
    </row>
    <row r="1240">
      <c r="T1240" s="494" t="s">
        <v>622</v>
      </c>
      <c r="AB1240" s="489">
        <v>1238.0</v>
      </c>
      <c r="AC1240" s="490">
        <f t="shared" si="5"/>
        <v>14472600221</v>
      </c>
      <c r="AD1240" s="491">
        <f t="shared" si="1"/>
        <v>1500</v>
      </c>
      <c r="AE1240" s="492">
        <f t="shared" si="2"/>
        <v>0.009063325885</v>
      </c>
      <c r="AF1240" s="490">
        <f t="shared" si="3"/>
        <v>14603771613</v>
      </c>
      <c r="AG1240" s="493">
        <f t="shared" si="6"/>
        <v>1897306.351</v>
      </c>
      <c r="AH1240" s="493">
        <f t="shared" si="4"/>
        <v>14601874307</v>
      </c>
    </row>
    <row r="1241">
      <c r="T1241" s="494" t="s">
        <v>622</v>
      </c>
      <c r="AB1241" s="489">
        <v>1239.0</v>
      </c>
      <c r="AC1241" s="490">
        <f t="shared" si="5"/>
        <v>14603771613</v>
      </c>
      <c r="AD1241" s="491">
        <f t="shared" si="1"/>
        <v>1500</v>
      </c>
      <c r="AE1241" s="492">
        <f t="shared" si="2"/>
        <v>0.009063325885</v>
      </c>
      <c r="AF1241" s="490">
        <f t="shared" si="3"/>
        <v>14736131854</v>
      </c>
      <c r="AG1241" s="493">
        <f t="shared" si="6"/>
        <v>1898806.351</v>
      </c>
      <c r="AH1241" s="493">
        <f t="shared" si="4"/>
        <v>14734233048</v>
      </c>
    </row>
    <row r="1242">
      <c r="T1242" s="494" t="s">
        <v>622</v>
      </c>
      <c r="AB1242" s="489">
        <v>1240.0</v>
      </c>
      <c r="AC1242" s="490">
        <f t="shared" si="5"/>
        <v>14736131854</v>
      </c>
      <c r="AD1242" s="491">
        <f t="shared" si="1"/>
        <v>1500</v>
      </c>
      <c r="AE1242" s="492">
        <f t="shared" si="2"/>
        <v>0.009063325885</v>
      </c>
      <c r="AF1242" s="490">
        <f t="shared" si="3"/>
        <v>14869691719</v>
      </c>
      <c r="AG1242" s="493">
        <f t="shared" si="6"/>
        <v>1900306.351</v>
      </c>
      <c r="AH1242" s="493">
        <f t="shared" si="4"/>
        <v>14867791413</v>
      </c>
    </row>
    <row r="1243">
      <c r="T1243" s="494" t="s">
        <v>622</v>
      </c>
      <c r="AB1243" s="489">
        <v>1241.0</v>
      </c>
      <c r="AC1243" s="490">
        <f t="shared" si="5"/>
        <v>14869691719</v>
      </c>
      <c r="AD1243" s="491">
        <f t="shared" si="1"/>
        <v>1500</v>
      </c>
      <c r="AE1243" s="492">
        <f t="shared" si="2"/>
        <v>0.009063325885</v>
      </c>
      <c r="AF1243" s="490">
        <f t="shared" si="3"/>
        <v>15004462081</v>
      </c>
      <c r="AG1243" s="493">
        <f t="shared" si="6"/>
        <v>1901806.351</v>
      </c>
      <c r="AH1243" s="493">
        <f t="shared" si="4"/>
        <v>15002560275</v>
      </c>
    </row>
    <row r="1244">
      <c r="T1244" s="494" t="s">
        <v>622</v>
      </c>
      <c r="AB1244" s="489">
        <v>1242.0</v>
      </c>
      <c r="AC1244" s="490">
        <f t="shared" si="5"/>
        <v>15004462081</v>
      </c>
      <c r="AD1244" s="491">
        <f t="shared" si="1"/>
        <v>1500</v>
      </c>
      <c r="AE1244" s="492">
        <f t="shared" si="2"/>
        <v>0.009063325885</v>
      </c>
      <c r="AF1244" s="490">
        <f t="shared" si="3"/>
        <v>15140453911</v>
      </c>
      <c r="AG1244" s="493">
        <f t="shared" si="6"/>
        <v>1903306.351</v>
      </c>
      <c r="AH1244" s="493">
        <f t="shared" si="4"/>
        <v>15138550605</v>
      </c>
    </row>
    <row r="1245">
      <c r="T1245" s="494" t="s">
        <v>622</v>
      </c>
      <c r="AB1245" s="489">
        <v>1243.0</v>
      </c>
      <c r="AC1245" s="490">
        <f t="shared" si="5"/>
        <v>15140453911</v>
      </c>
      <c r="AD1245" s="491">
        <f t="shared" si="1"/>
        <v>1500</v>
      </c>
      <c r="AE1245" s="492">
        <f t="shared" si="2"/>
        <v>0.009063325885</v>
      </c>
      <c r="AF1245" s="490">
        <f t="shared" si="3"/>
        <v>15277678279</v>
      </c>
      <c r="AG1245" s="493">
        <f t="shared" si="6"/>
        <v>1904806.351</v>
      </c>
      <c r="AH1245" s="493">
        <f t="shared" si="4"/>
        <v>15275773472</v>
      </c>
    </row>
    <row r="1246">
      <c r="T1246" s="494" t="s">
        <v>622</v>
      </c>
      <c r="AB1246" s="489">
        <v>1244.0</v>
      </c>
      <c r="AC1246" s="490">
        <f t="shared" si="5"/>
        <v>15277678279</v>
      </c>
      <c r="AD1246" s="491">
        <f t="shared" si="1"/>
        <v>1500</v>
      </c>
      <c r="AE1246" s="492">
        <f t="shared" si="2"/>
        <v>0.009063325885</v>
      </c>
      <c r="AF1246" s="490">
        <f t="shared" si="3"/>
        <v>15416146356</v>
      </c>
      <c r="AG1246" s="493">
        <f t="shared" si="6"/>
        <v>1906306.351</v>
      </c>
      <c r="AH1246" s="493">
        <f t="shared" si="4"/>
        <v>15414240049</v>
      </c>
    </row>
    <row r="1247">
      <c r="T1247" s="494" t="s">
        <v>622</v>
      </c>
      <c r="AB1247" s="489">
        <v>1245.0</v>
      </c>
      <c r="AC1247" s="490">
        <f t="shared" si="5"/>
        <v>15416146356</v>
      </c>
      <c r="AD1247" s="491">
        <f t="shared" si="1"/>
        <v>1500</v>
      </c>
      <c r="AE1247" s="492">
        <f t="shared" si="2"/>
        <v>0.009063325885</v>
      </c>
      <c r="AF1247" s="490">
        <f t="shared" si="3"/>
        <v>15555869414</v>
      </c>
      <c r="AG1247" s="493">
        <f t="shared" si="6"/>
        <v>1907806.351</v>
      </c>
      <c r="AH1247" s="493">
        <f t="shared" si="4"/>
        <v>15553961608</v>
      </c>
    </row>
    <row r="1248">
      <c r="T1248" s="494" t="s">
        <v>622</v>
      </c>
      <c r="AB1248" s="489">
        <v>1246.0</v>
      </c>
      <c r="AC1248" s="490">
        <f t="shared" si="5"/>
        <v>15555869414</v>
      </c>
      <c r="AD1248" s="491">
        <f t="shared" si="1"/>
        <v>1500</v>
      </c>
      <c r="AE1248" s="492">
        <f t="shared" si="2"/>
        <v>0.009063325885</v>
      </c>
      <c r="AF1248" s="490">
        <f t="shared" si="3"/>
        <v>15696858828</v>
      </c>
      <c r="AG1248" s="493">
        <f t="shared" si="6"/>
        <v>1909306.351</v>
      </c>
      <c r="AH1248" s="493">
        <f t="shared" si="4"/>
        <v>15694949522</v>
      </c>
    </row>
    <row r="1249">
      <c r="T1249" s="494" t="s">
        <v>622</v>
      </c>
      <c r="AB1249" s="489">
        <v>1247.0</v>
      </c>
      <c r="AC1249" s="490">
        <f t="shared" si="5"/>
        <v>15696858828</v>
      </c>
      <c r="AD1249" s="491">
        <f t="shared" si="1"/>
        <v>1500</v>
      </c>
      <c r="AE1249" s="492">
        <f t="shared" si="2"/>
        <v>0.009063325885</v>
      </c>
      <c r="AF1249" s="490">
        <f t="shared" si="3"/>
        <v>15839126075</v>
      </c>
      <c r="AG1249" s="493">
        <f t="shared" si="6"/>
        <v>1910806.351</v>
      </c>
      <c r="AH1249" s="493">
        <f t="shared" si="4"/>
        <v>15837215269</v>
      </c>
    </row>
    <row r="1250">
      <c r="T1250" s="494" t="s">
        <v>622</v>
      </c>
      <c r="AB1250" s="489">
        <v>1248.0</v>
      </c>
      <c r="AC1250" s="490">
        <f t="shared" si="5"/>
        <v>15839126075</v>
      </c>
      <c r="AD1250" s="491">
        <f t="shared" si="1"/>
        <v>1500</v>
      </c>
      <c r="AE1250" s="492">
        <f t="shared" si="2"/>
        <v>0.009063325885</v>
      </c>
      <c r="AF1250" s="490">
        <f t="shared" si="3"/>
        <v>15982682736</v>
      </c>
      <c r="AG1250" s="493">
        <f t="shared" si="6"/>
        <v>1912306.351</v>
      </c>
      <c r="AH1250" s="493">
        <f t="shared" si="4"/>
        <v>15980770430</v>
      </c>
    </row>
    <row r="1251">
      <c r="T1251" s="494" t="s">
        <v>622</v>
      </c>
      <c r="AB1251" s="489">
        <v>1249.0</v>
      </c>
      <c r="AC1251" s="490">
        <f t="shared" si="5"/>
        <v>15982682736</v>
      </c>
      <c r="AD1251" s="491">
        <f t="shared" si="1"/>
        <v>1500</v>
      </c>
      <c r="AE1251" s="492">
        <f t="shared" si="2"/>
        <v>0.009063325885</v>
      </c>
      <c r="AF1251" s="490">
        <f t="shared" si="3"/>
        <v>16127540498</v>
      </c>
      <c r="AG1251" s="493">
        <f t="shared" si="6"/>
        <v>1913806.351</v>
      </c>
      <c r="AH1251" s="493">
        <f t="shared" si="4"/>
        <v>16125626692</v>
      </c>
    </row>
    <row r="1252">
      <c r="T1252" s="494" t="s">
        <v>622</v>
      </c>
      <c r="AB1252" s="489">
        <v>1250.0</v>
      </c>
      <c r="AC1252" s="490">
        <f t="shared" si="5"/>
        <v>16127540498</v>
      </c>
      <c r="AD1252" s="491">
        <f t="shared" si="1"/>
        <v>1500</v>
      </c>
      <c r="AE1252" s="492">
        <f t="shared" si="2"/>
        <v>0.009063325885</v>
      </c>
      <c r="AF1252" s="490">
        <f t="shared" si="3"/>
        <v>16273711154</v>
      </c>
      <c r="AG1252" s="493">
        <f t="shared" si="6"/>
        <v>1915306.351</v>
      </c>
      <c r="AH1252" s="493">
        <f t="shared" si="4"/>
        <v>16271795847</v>
      </c>
    </row>
    <row r="1253">
      <c r="T1253" s="494" t="s">
        <v>622</v>
      </c>
      <c r="AB1253" s="489">
        <v>1251.0</v>
      </c>
      <c r="AC1253" s="490">
        <f t="shared" si="5"/>
        <v>16273711154</v>
      </c>
      <c r="AD1253" s="491">
        <f t="shared" si="1"/>
        <v>1500</v>
      </c>
      <c r="AE1253" s="492">
        <f t="shared" si="2"/>
        <v>0.009063325885</v>
      </c>
      <c r="AF1253" s="490">
        <f t="shared" si="3"/>
        <v>16421206601</v>
      </c>
      <c r="AG1253" s="493">
        <f t="shared" si="6"/>
        <v>1916806.351</v>
      </c>
      <c r="AH1253" s="493">
        <f t="shared" si="4"/>
        <v>16419289795</v>
      </c>
    </row>
    <row r="1254">
      <c r="T1254" s="494" t="s">
        <v>622</v>
      </c>
      <c r="AB1254" s="489">
        <v>1252.0</v>
      </c>
      <c r="AC1254" s="490">
        <f t="shared" si="5"/>
        <v>16421206601</v>
      </c>
      <c r="AD1254" s="491">
        <f t="shared" si="1"/>
        <v>1500</v>
      </c>
      <c r="AE1254" s="492">
        <f t="shared" si="2"/>
        <v>0.009063325885</v>
      </c>
      <c r="AF1254" s="490">
        <f t="shared" si="3"/>
        <v>16570038848</v>
      </c>
      <c r="AG1254" s="493">
        <f t="shared" si="6"/>
        <v>1918306.351</v>
      </c>
      <c r="AH1254" s="493">
        <f t="shared" si="4"/>
        <v>16568120542</v>
      </c>
    </row>
    <row r="1255">
      <c r="T1255" s="494" t="s">
        <v>622</v>
      </c>
      <c r="AB1255" s="489">
        <v>1253.0</v>
      </c>
      <c r="AC1255" s="490">
        <f t="shared" si="5"/>
        <v>16570038848</v>
      </c>
      <c r="AD1255" s="491">
        <f t="shared" si="1"/>
        <v>1500</v>
      </c>
      <c r="AE1255" s="492">
        <f t="shared" si="2"/>
        <v>0.009063325885</v>
      </c>
      <c r="AF1255" s="490">
        <f t="shared" si="3"/>
        <v>16720220010</v>
      </c>
      <c r="AG1255" s="493">
        <f t="shared" si="6"/>
        <v>1919806.351</v>
      </c>
      <c r="AH1255" s="493">
        <f t="shared" si="4"/>
        <v>16718300204</v>
      </c>
    </row>
    <row r="1256">
      <c r="T1256" s="494" t="s">
        <v>622</v>
      </c>
      <c r="AB1256" s="489">
        <v>1254.0</v>
      </c>
      <c r="AC1256" s="490">
        <f t="shared" si="5"/>
        <v>16720220010</v>
      </c>
      <c r="AD1256" s="491">
        <f t="shared" si="1"/>
        <v>1500</v>
      </c>
      <c r="AE1256" s="492">
        <f t="shared" si="2"/>
        <v>0.009063325885</v>
      </c>
      <c r="AF1256" s="490">
        <f t="shared" si="3"/>
        <v>16871762313</v>
      </c>
      <c r="AG1256" s="493">
        <f t="shared" si="6"/>
        <v>1921306.351</v>
      </c>
      <c r="AH1256" s="493">
        <f t="shared" si="4"/>
        <v>16869841007</v>
      </c>
    </row>
    <row r="1257">
      <c r="T1257" s="494" t="s">
        <v>622</v>
      </c>
      <c r="AB1257" s="489">
        <v>1255.0</v>
      </c>
      <c r="AC1257" s="490">
        <f t="shared" si="5"/>
        <v>16871762313</v>
      </c>
      <c r="AD1257" s="491">
        <f t="shared" si="1"/>
        <v>1500</v>
      </c>
      <c r="AE1257" s="492">
        <f t="shared" si="2"/>
        <v>0.009063325885</v>
      </c>
      <c r="AF1257" s="490">
        <f t="shared" si="3"/>
        <v>17024678093</v>
      </c>
      <c r="AG1257" s="493">
        <f t="shared" si="6"/>
        <v>1922806.351</v>
      </c>
      <c r="AH1257" s="493">
        <f t="shared" si="4"/>
        <v>17022755287</v>
      </c>
    </row>
    <row r="1258">
      <c r="T1258" s="494" t="s">
        <v>622</v>
      </c>
      <c r="AB1258" s="489">
        <v>1256.0</v>
      </c>
      <c r="AC1258" s="490">
        <f t="shared" si="5"/>
        <v>17024678093</v>
      </c>
      <c r="AD1258" s="491">
        <f t="shared" si="1"/>
        <v>1500</v>
      </c>
      <c r="AE1258" s="492">
        <f t="shared" si="2"/>
        <v>0.009063325885</v>
      </c>
      <c r="AF1258" s="490">
        <f t="shared" si="3"/>
        <v>17178979799</v>
      </c>
      <c r="AG1258" s="493">
        <f t="shared" si="6"/>
        <v>1924306.351</v>
      </c>
      <c r="AH1258" s="493">
        <f t="shared" si="4"/>
        <v>17177055492</v>
      </c>
    </row>
    <row r="1259">
      <c r="T1259" s="494" t="s">
        <v>622</v>
      </c>
      <c r="AB1259" s="489">
        <v>1257.0</v>
      </c>
      <c r="AC1259" s="490">
        <f t="shared" si="5"/>
        <v>17178979799</v>
      </c>
      <c r="AD1259" s="491">
        <f t="shared" si="1"/>
        <v>1500</v>
      </c>
      <c r="AE1259" s="492">
        <f t="shared" si="2"/>
        <v>0.009063325885</v>
      </c>
      <c r="AF1259" s="490">
        <f t="shared" si="3"/>
        <v>17334679991</v>
      </c>
      <c r="AG1259" s="493">
        <f t="shared" si="6"/>
        <v>1925806.351</v>
      </c>
      <c r="AH1259" s="493">
        <f t="shared" si="4"/>
        <v>17332754185</v>
      </c>
    </row>
    <row r="1260">
      <c r="T1260" s="494" t="s">
        <v>622</v>
      </c>
      <c r="AB1260" s="489">
        <v>1258.0</v>
      </c>
      <c r="AC1260" s="490">
        <f t="shared" si="5"/>
        <v>17334679991</v>
      </c>
      <c r="AD1260" s="491">
        <f t="shared" si="1"/>
        <v>1500</v>
      </c>
      <c r="AE1260" s="492">
        <f t="shared" si="2"/>
        <v>0.009063325885</v>
      </c>
      <c r="AF1260" s="490">
        <f t="shared" si="3"/>
        <v>17491791345</v>
      </c>
      <c r="AG1260" s="493">
        <f t="shared" si="6"/>
        <v>1927306.351</v>
      </c>
      <c r="AH1260" s="493">
        <f t="shared" si="4"/>
        <v>17489864038</v>
      </c>
    </row>
    <row r="1261">
      <c r="T1261" s="494" t="s">
        <v>622</v>
      </c>
      <c r="AB1261" s="489">
        <v>1259.0</v>
      </c>
      <c r="AC1261" s="490">
        <f t="shared" si="5"/>
        <v>17491791345</v>
      </c>
      <c r="AD1261" s="491">
        <f t="shared" si="1"/>
        <v>1500</v>
      </c>
      <c r="AE1261" s="492">
        <f t="shared" si="2"/>
        <v>0.009063325885</v>
      </c>
      <c r="AF1261" s="490">
        <f t="shared" si="3"/>
        <v>17650326650</v>
      </c>
      <c r="AG1261" s="493">
        <f t="shared" si="6"/>
        <v>1928806.351</v>
      </c>
      <c r="AH1261" s="493">
        <f t="shared" si="4"/>
        <v>17648397844</v>
      </c>
    </row>
    <row r="1262">
      <c r="T1262" s="494" t="s">
        <v>622</v>
      </c>
      <c r="AB1262" s="489">
        <v>1260.0</v>
      </c>
      <c r="AC1262" s="490">
        <f t="shared" si="5"/>
        <v>17650326650</v>
      </c>
      <c r="AD1262" s="491">
        <f t="shared" si="1"/>
        <v>1500</v>
      </c>
      <c r="AE1262" s="492">
        <f t="shared" si="2"/>
        <v>0.009063325885</v>
      </c>
      <c r="AF1262" s="490">
        <f t="shared" si="3"/>
        <v>17810298812</v>
      </c>
      <c r="AG1262" s="493">
        <f t="shared" si="6"/>
        <v>1930306.351</v>
      </c>
      <c r="AH1262" s="493">
        <f t="shared" si="4"/>
        <v>17808368506</v>
      </c>
    </row>
    <row r="1263">
      <c r="T1263" s="494" t="s">
        <v>622</v>
      </c>
      <c r="AB1263" s="489">
        <v>1261.0</v>
      </c>
      <c r="AC1263" s="490">
        <f t="shared" si="5"/>
        <v>17810298812</v>
      </c>
      <c r="AD1263" s="491">
        <f t="shared" si="1"/>
        <v>1500</v>
      </c>
      <c r="AE1263" s="492">
        <f t="shared" si="2"/>
        <v>0.009063325885</v>
      </c>
      <c r="AF1263" s="490">
        <f t="shared" si="3"/>
        <v>17971720855</v>
      </c>
      <c r="AG1263" s="493">
        <f t="shared" si="6"/>
        <v>1931806.351</v>
      </c>
      <c r="AH1263" s="493">
        <f t="shared" si="4"/>
        <v>17969789048</v>
      </c>
    </row>
    <row r="1264">
      <c r="T1264" s="494" t="s">
        <v>622</v>
      </c>
      <c r="AB1264" s="489">
        <v>1262.0</v>
      </c>
      <c r="AC1264" s="490">
        <f t="shared" si="5"/>
        <v>17971720855</v>
      </c>
      <c r="AD1264" s="491">
        <f t="shared" si="1"/>
        <v>1500</v>
      </c>
      <c r="AE1264" s="492">
        <f t="shared" si="2"/>
        <v>0.009063325885</v>
      </c>
      <c r="AF1264" s="490">
        <f t="shared" si="3"/>
        <v>18134605918</v>
      </c>
      <c r="AG1264" s="493">
        <f t="shared" si="6"/>
        <v>1933306.351</v>
      </c>
      <c r="AH1264" s="493">
        <f t="shared" si="4"/>
        <v>18132672611</v>
      </c>
    </row>
    <row r="1265">
      <c r="T1265" s="494" t="s">
        <v>622</v>
      </c>
      <c r="AB1265" s="489">
        <v>1263.0</v>
      </c>
      <c r="AC1265" s="490">
        <f t="shared" si="5"/>
        <v>18134605918</v>
      </c>
      <c r="AD1265" s="491">
        <f t="shared" si="1"/>
        <v>1500</v>
      </c>
      <c r="AE1265" s="492">
        <f t="shared" si="2"/>
        <v>0.009063325885</v>
      </c>
      <c r="AF1265" s="490">
        <f t="shared" si="3"/>
        <v>18298967261</v>
      </c>
      <c r="AG1265" s="493">
        <f t="shared" si="6"/>
        <v>1934806.351</v>
      </c>
      <c r="AH1265" s="493">
        <f t="shared" si="4"/>
        <v>18297032454</v>
      </c>
    </row>
    <row r="1266">
      <c r="T1266" s="494" t="s">
        <v>622</v>
      </c>
      <c r="AB1266" s="489">
        <v>1264.0</v>
      </c>
      <c r="AC1266" s="490">
        <f t="shared" si="5"/>
        <v>18298967261</v>
      </c>
      <c r="AD1266" s="491">
        <f t="shared" si="1"/>
        <v>1500</v>
      </c>
      <c r="AE1266" s="492">
        <f t="shared" si="2"/>
        <v>0.009063325885</v>
      </c>
      <c r="AF1266" s="490">
        <f t="shared" si="3"/>
        <v>18464818264</v>
      </c>
      <c r="AG1266" s="493">
        <f t="shared" si="6"/>
        <v>1936306.351</v>
      </c>
      <c r="AH1266" s="493">
        <f t="shared" si="4"/>
        <v>18462881958</v>
      </c>
    </row>
    <row r="1267">
      <c r="T1267" s="494" t="s">
        <v>622</v>
      </c>
      <c r="AB1267" s="489">
        <v>1265.0</v>
      </c>
      <c r="AC1267" s="490">
        <f t="shared" si="5"/>
        <v>18464818264</v>
      </c>
      <c r="AD1267" s="491">
        <f t="shared" si="1"/>
        <v>1500</v>
      </c>
      <c r="AE1267" s="492">
        <f t="shared" si="2"/>
        <v>0.009063325885</v>
      </c>
      <c r="AF1267" s="490">
        <f t="shared" si="3"/>
        <v>18632172430</v>
      </c>
      <c r="AG1267" s="493">
        <f t="shared" si="6"/>
        <v>1937806.351</v>
      </c>
      <c r="AH1267" s="493">
        <f t="shared" si="4"/>
        <v>18630234623</v>
      </c>
    </row>
    <row r="1268">
      <c r="T1268" s="494" t="s">
        <v>622</v>
      </c>
      <c r="AB1268" s="489">
        <v>1266.0</v>
      </c>
      <c r="AC1268" s="490">
        <f t="shared" si="5"/>
        <v>18632172430</v>
      </c>
      <c r="AD1268" s="491">
        <f t="shared" si="1"/>
        <v>1500</v>
      </c>
      <c r="AE1268" s="492">
        <f t="shared" si="2"/>
        <v>0.009063325885</v>
      </c>
      <c r="AF1268" s="490">
        <f t="shared" si="3"/>
        <v>18801043380</v>
      </c>
      <c r="AG1268" s="493">
        <f t="shared" si="6"/>
        <v>1939306.351</v>
      </c>
      <c r="AH1268" s="493">
        <f t="shared" si="4"/>
        <v>18799104074</v>
      </c>
    </row>
    <row r="1269">
      <c r="T1269" s="494" t="s">
        <v>622</v>
      </c>
      <c r="AB1269" s="489">
        <v>1267.0</v>
      </c>
      <c r="AC1269" s="490">
        <f t="shared" si="5"/>
        <v>18801043380</v>
      </c>
      <c r="AD1269" s="491">
        <f t="shared" si="1"/>
        <v>1500</v>
      </c>
      <c r="AE1269" s="492">
        <f t="shared" si="2"/>
        <v>0.009063325885</v>
      </c>
      <c r="AF1269" s="490">
        <f t="shared" si="3"/>
        <v>18971444864</v>
      </c>
      <c r="AG1269" s="493">
        <f t="shared" si="6"/>
        <v>1940806.351</v>
      </c>
      <c r="AH1269" s="493">
        <f t="shared" si="4"/>
        <v>18969504057</v>
      </c>
    </row>
    <row r="1270">
      <c r="T1270" s="494" t="s">
        <v>622</v>
      </c>
      <c r="AB1270" s="489">
        <v>1268.0</v>
      </c>
      <c r="AC1270" s="490">
        <f t="shared" si="5"/>
        <v>18971444864</v>
      </c>
      <c r="AD1270" s="491">
        <f t="shared" si="1"/>
        <v>1500</v>
      </c>
      <c r="AE1270" s="492">
        <f t="shared" si="2"/>
        <v>0.009063325885</v>
      </c>
      <c r="AF1270" s="490">
        <f t="shared" si="3"/>
        <v>19143390751</v>
      </c>
      <c r="AG1270" s="493">
        <f t="shared" si="6"/>
        <v>1942306.351</v>
      </c>
      <c r="AH1270" s="493">
        <f t="shared" si="4"/>
        <v>19141448445</v>
      </c>
    </row>
    <row r="1271">
      <c r="T1271" s="494" t="s">
        <v>622</v>
      </c>
      <c r="AB1271" s="489">
        <v>1269.0</v>
      </c>
      <c r="AC1271" s="490">
        <f t="shared" si="5"/>
        <v>19143390751</v>
      </c>
      <c r="AD1271" s="491">
        <f t="shared" si="1"/>
        <v>1500</v>
      </c>
      <c r="AE1271" s="492">
        <f t="shared" si="2"/>
        <v>0.009063325885</v>
      </c>
      <c r="AF1271" s="490">
        <f t="shared" si="3"/>
        <v>19316895040</v>
      </c>
      <c r="AG1271" s="493">
        <f t="shared" si="6"/>
        <v>1943806.351</v>
      </c>
      <c r="AH1271" s="493">
        <f t="shared" si="4"/>
        <v>19314951233</v>
      </c>
    </row>
    <row r="1272">
      <c r="T1272" s="494" t="s">
        <v>622</v>
      </c>
      <c r="AB1272" s="489">
        <v>1270.0</v>
      </c>
      <c r="AC1272" s="490">
        <f t="shared" si="5"/>
        <v>19316895040</v>
      </c>
      <c r="AD1272" s="491">
        <f t="shared" si="1"/>
        <v>1500</v>
      </c>
      <c r="AE1272" s="492">
        <f t="shared" si="2"/>
        <v>0.009063325885</v>
      </c>
      <c r="AF1272" s="490">
        <f t="shared" si="3"/>
        <v>19491971855</v>
      </c>
      <c r="AG1272" s="493">
        <f t="shared" si="6"/>
        <v>1945306.351</v>
      </c>
      <c r="AH1272" s="493">
        <f t="shared" si="4"/>
        <v>19490026548</v>
      </c>
    </row>
    <row r="1273">
      <c r="T1273" s="494" t="s">
        <v>622</v>
      </c>
      <c r="AB1273" s="489">
        <v>1271.0</v>
      </c>
      <c r="AC1273" s="490">
        <f t="shared" si="5"/>
        <v>19491971855</v>
      </c>
      <c r="AD1273" s="491">
        <f t="shared" si="1"/>
        <v>1500</v>
      </c>
      <c r="AE1273" s="492">
        <f t="shared" si="2"/>
        <v>0.009063325885</v>
      </c>
      <c r="AF1273" s="490">
        <f t="shared" si="3"/>
        <v>19668635448</v>
      </c>
      <c r="AG1273" s="493">
        <f t="shared" si="6"/>
        <v>1946806.351</v>
      </c>
      <c r="AH1273" s="493">
        <f t="shared" si="4"/>
        <v>19666688641</v>
      </c>
    </row>
    <row r="1274">
      <c r="T1274" s="494" t="s">
        <v>622</v>
      </c>
      <c r="AB1274" s="489">
        <v>1272.0</v>
      </c>
      <c r="AC1274" s="490">
        <f t="shared" si="5"/>
        <v>19668635448</v>
      </c>
      <c r="AD1274" s="491">
        <f t="shared" si="1"/>
        <v>1500</v>
      </c>
      <c r="AE1274" s="492">
        <f t="shared" si="2"/>
        <v>0.009063325885</v>
      </c>
      <c r="AF1274" s="490">
        <f t="shared" si="3"/>
        <v>19846900201</v>
      </c>
      <c r="AG1274" s="493">
        <f t="shared" si="6"/>
        <v>1948306.351</v>
      </c>
      <c r="AH1274" s="493">
        <f t="shared" si="4"/>
        <v>19844951894</v>
      </c>
    </row>
    <row r="1275">
      <c r="T1275" s="494" t="s">
        <v>622</v>
      </c>
      <c r="AB1275" s="489">
        <v>1273.0</v>
      </c>
      <c r="AC1275" s="490">
        <f t="shared" si="5"/>
        <v>19846900201</v>
      </c>
      <c r="AD1275" s="491">
        <f t="shared" si="1"/>
        <v>1500</v>
      </c>
      <c r="AE1275" s="492">
        <f t="shared" si="2"/>
        <v>0.009063325885</v>
      </c>
      <c r="AF1275" s="490">
        <f t="shared" si="3"/>
        <v>20026780625</v>
      </c>
      <c r="AG1275" s="493">
        <f t="shared" si="6"/>
        <v>1949806.351</v>
      </c>
      <c r="AH1275" s="493">
        <f t="shared" si="4"/>
        <v>20024830818</v>
      </c>
    </row>
    <row r="1276">
      <c r="T1276" s="494" t="s">
        <v>622</v>
      </c>
      <c r="AB1276" s="489">
        <v>1274.0</v>
      </c>
      <c r="AC1276" s="490">
        <f t="shared" si="5"/>
        <v>20026780625</v>
      </c>
      <c r="AD1276" s="491">
        <f t="shared" si="1"/>
        <v>1500</v>
      </c>
      <c r="AE1276" s="492">
        <f t="shared" si="2"/>
        <v>0.009063325885</v>
      </c>
      <c r="AF1276" s="490">
        <f t="shared" si="3"/>
        <v>20208291364</v>
      </c>
      <c r="AG1276" s="493">
        <f t="shared" si="6"/>
        <v>1951306.351</v>
      </c>
      <c r="AH1276" s="493">
        <f t="shared" si="4"/>
        <v>20206340058</v>
      </c>
    </row>
    <row r="1277">
      <c r="T1277" s="494" t="s">
        <v>622</v>
      </c>
      <c r="AB1277" s="489">
        <v>1275.0</v>
      </c>
      <c r="AC1277" s="490">
        <f t="shared" si="5"/>
        <v>20208291364</v>
      </c>
      <c r="AD1277" s="491">
        <f t="shared" si="1"/>
        <v>1500</v>
      </c>
      <c r="AE1277" s="492">
        <f t="shared" si="2"/>
        <v>0.009063325885</v>
      </c>
      <c r="AF1277" s="490">
        <f t="shared" si="3"/>
        <v>20391447194</v>
      </c>
      <c r="AG1277" s="493">
        <f t="shared" si="6"/>
        <v>1952806.351</v>
      </c>
      <c r="AH1277" s="493">
        <f t="shared" si="4"/>
        <v>20389494388</v>
      </c>
    </row>
    <row r="1278">
      <c r="T1278" s="494" t="s">
        <v>622</v>
      </c>
      <c r="AB1278" s="489">
        <v>1276.0</v>
      </c>
      <c r="AC1278" s="490">
        <f t="shared" si="5"/>
        <v>20391447194</v>
      </c>
      <c r="AD1278" s="491">
        <f t="shared" si="1"/>
        <v>1500</v>
      </c>
      <c r="AE1278" s="492">
        <f t="shared" si="2"/>
        <v>0.009063325885</v>
      </c>
      <c r="AF1278" s="490">
        <f t="shared" si="3"/>
        <v>20576263025</v>
      </c>
      <c r="AG1278" s="493">
        <f t="shared" si="6"/>
        <v>1954306.351</v>
      </c>
      <c r="AH1278" s="493">
        <f t="shared" si="4"/>
        <v>20574308719</v>
      </c>
    </row>
    <row r="1279">
      <c r="T1279" s="494" t="s">
        <v>622</v>
      </c>
      <c r="AB1279" s="489">
        <v>1277.0</v>
      </c>
      <c r="AC1279" s="490">
        <f t="shared" si="5"/>
        <v>20576263025</v>
      </c>
      <c r="AD1279" s="491">
        <f t="shared" si="1"/>
        <v>1500</v>
      </c>
      <c r="AE1279" s="492">
        <f t="shared" si="2"/>
        <v>0.009063325885</v>
      </c>
      <c r="AF1279" s="490">
        <f t="shared" si="3"/>
        <v>20762753903</v>
      </c>
      <c r="AG1279" s="493">
        <f t="shared" si="6"/>
        <v>1955806.351</v>
      </c>
      <c r="AH1279" s="493">
        <f t="shared" si="4"/>
        <v>20760798096</v>
      </c>
    </row>
    <row r="1280">
      <c r="T1280" s="494" t="s">
        <v>622</v>
      </c>
      <c r="AB1280" s="489">
        <v>1278.0</v>
      </c>
      <c r="AC1280" s="490">
        <f t="shared" si="5"/>
        <v>20762753903</v>
      </c>
      <c r="AD1280" s="491">
        <f t="shared" si="1"/>
        <v>1500</v>
      </c>
      <c r="AE1280" s="492">
        <f t="shared" si="2"/>
        <v>0.009063325885</v>
      </c>
      <c r="AF1280" s="490">
        <f t="shared" si="3"/>
        <v>20950935008</v>
      </c>
      <c r="AG1280" s="493">
        <f t="shared" si="6"/>
        <v>1957306.351</v>
      </c>
      <c r="AH1280" s="493">
        <f t="shared" si="4"/>
        <v>20948977701</v>
      </c>
    </row>
    <row r="1281">
      <c r="T1281" s="494" t="s">
        <v>622</v>
      </c>
      <c r="AB1281" s="489">
        <v>1279.0</v>
      </c>
      <c r="AC1281" s="490">
        <f t="shared" si="5"/>
        <v>20950935008</v>
      </c>
      <c r="AD1281" s="491">
        <f t="shared" si="1"/>
        <v>1500</v>
      </c>
      <c r="AE1281" s="492">
        <f t="shared" si="2"/>
        <v>0.009063325885</v>
      </c>
      <c r="AF1281" s="490">
        <f t="shared" si="3"/>
        <v>21140821659</v>
      </c>
      <c r="AG1281" s="493">
        <f t="shared" si="6"/>
        <v>1958806.351</v>
      </c>
      <c r="AH1281" s="493">
        <f t="shared" si="4"/>
        <v>21138862853</v>
      </c>
    </row>
    <row r="1282">
      <c r="T1282" s="494" t="s">
        <v>622</v>
      </c>
      <c r="AB1282" s="489">
        <v>1280.0</v>
      </c>
      <c r="AC1282" s="490">
        <f t="shared" si="5"/>
        <v>21140821659</v>
      </c>
      <c r="AD1282" s="491">
        <f t="shared" si="1"/>
        <v>1500</v>
      </c>
      <c r="AE1282" s="492">
        <f t="shared" si="2"/>
        <v>0.009063325885</v>
      </c>
      <c r="AF1282" s="490">
        <f t="shared" si="3"/>
        <v>21332429315</v>
      </c>
      <c r="AG1282" s="493">
        <f t="shared" si="6"/>
        <v>1960306.351</v>
      </c>
      <c r="AH1282" s="493">
        <f t="shared" si="4"/>
        <v>21330469009</v>
      </c>
    </row>
    <row r="1283">
      <c r="T1283" s="494" t="s">
        <v>622</v>
      </c>
      <c r="AB1283" s="489">
        <v>1281.0</v>
      </c>
      <c r="AC1283" s="490">
        <f t="shared" si="5"/>
        <v>21332429315</v>
      </c>
      <c r="AD1283" s="491">
        <f t="shared" si="1"/>
        <v>1500</v>
      </c>
      <c r="AE1283" s="492">
        <f t="shared" si="2"/>
        <v>0.009063325885</v>
      </c>
      <c r="AF1283" s="490">
        <f t="shared" si="3"/>
        <v>21525773574</v>
      </c>
      <c r="AG1283" s="493">
        <f t="shared" si="6"/>
        <v>1961806.351</v>
      </c>
      <c r="AH1283" s="493">
        <f t="shared" si="4"/>
        <v>21523811768</v>
      </c>
    </row>
    <row r="1284">
      <c r="T1284" s="494" t="s">
        <v>622</v>
      </c>
      <c r="AB1284" s="489">
        <v>1282.0</v>
      </c>
      <c r="AC1284" s="490">
        <f t="shared" si="5"/>
        <v>21525773574</v>
      </c>
      <c r="AD1284" s="491">
        <f t="shared" si="1"/>
        <v>1500</v>
      </c>
      <c r="AE1284" s="492">
        <f t="shared" si="2"/>
        <v>0.009063325885</v>
      </c>
      <c r="AF1284" s="490">
        <f t="shared" si="3"/>
        <v>21720870175</v>
      </c>
      <c r="AG1284" s="493">
        <f t="shared" si="6"/>
        <v>1963306.351</v>
      </c>
      <c r="AH1284" s="493">
        <f t="shared" si="4"/>
        <v>21718906869</v>
      </c>
    </row>
    <row r="1285">
      <c r="T1285" s="494" t="s">
        <v>622</v>
      </c>
      <c r="AB1285" s="489">
        <v>1283.0</v>
      </c>
      <c r="AC1285" s="490">
        <f t="shared" si="5"/>
        <v>21720870175</v>
      </c>
      <c r="AD1285" s="491">
        <f t="shared" si="1"/>
        <v>1500</v>
      </c>
      <c r="AE1285" s="492">
        <f t="shared" si="2"/>
        <v>0.009063325885</v>
      </c>
      <c r="AF1285" s="490">
        <f t="shared" si="3"/>
        <v>21917735000</v>
      </c>
      <c r="AG1285" s="493">
        <f t="shared" si="6"/>
        <v>1964806.351</v>
      </c>
      <c r="AH1285" s="493">
        <f t="shared" si="4"/>
        <v>21915770194</v>
      </c>
    </row>
    <row r="1286">
      <c r="T1286" s="494" t="s">
        <v>622</v>
      </c>
      <c r="AB1286" s="489">
        <v>1284.0</v>
      </c>
      <c r="AC1286" s="490">
        <f t="shared" si="5"/>
        <v>21917735000</v>
      </c>
      <c r="AD1286" s="491">
        <f t="shared" si="1"/>
        <v>1500</v>
      </c>
      <c r="AE1286" s="492">
        <f t="shared" si="2"/>
        <v>0.009063325885</v>
      </c>
      <c r="AF1286" s="490">
        <f t="shared" si="3"/>
        <v>22116384075</v>
      </c>
      <c r="AG1286" s="493">
        <f t="shared" si="6"/>
        <v>1966306.351</v>
      </c>
      <c r="AH1286" s="493">
        <f t="shared" si="4"/>
        <v>22114417769</v>
      </c>
    </row>
    <row r="1287">
      <c r="T1287" s="494" t="s">
        <v>622</v>
      </c>
      <c r="AB1287" s="489">
        <v>1285.0</v>
      </c>
      <c r="AC1287" s="490">
        <f t="shared" si="5"/>
        <v>22116384075</v>
      </c>
      <c r="AD1287" s="491">
        <f t="shared" si="1"/>
        <v>1500</v>
      </c>
      <c r="AE1287" s="492">
        <f t="shared" si="2"/>
        <v>0.009063325885</v>
      </c>
      <c r="AF1287" s="490">
        <f t="shared" si="3"/>
        <v>22316833571</v>
      </c>
      <c r="AG1287" s="493">
        <f t="shared" si="6"/>
        <v>1967806.351</v>
      </c>
      <c r="AH1287" s="493">
        <f t="shared" si="4"/>
        <v>22314865765</v>
      </c>
    </row>
    <row r="1288">
      <c r="T1288" s="494" t="s">
        <v>622</v>
      </c>
      <c r="AB1288" s="489">
        <v>1286.0</v>
      </c>
      <c r="AC1288" s="490">
        <f t="shared" si="5"/>
        <v>22316833571</v>
      </c>
      <c r="AD1288" s="491">
        <f t="shared" si="1"/>
        <v>1500</v>
      </c>
      <c r="AE1288" s="492">
        <f t="shared" si="2"/>
        <v>0.009063325885</v>
      </c>
      <c r="AF1288" s="490">
        <f t="shared" si="3"/>
        <v>22519099807</v>
      </c>
      <c r="AG1288" s="493">
        <f t="shared" si="6"/>
        <v>1969306.351</v>
      </c>
      <c r="AH1288" s="493">
        <f t="shared" si="4"/>
        <v>22517130500</v>
      </c>
    </row>
    <row r="1289">
      <c r="T1289" s="494" t="s">
        <v>622</v>
      </c>
      <c r="AB1289" s="489">
        <v>1287.0</v>
      </c>
      <c r="AC1289" s="490">
        <f t="shared" si="5"/>
        <v>22519099807</v>
      </c>
      <c r="AD1289" s="491">
        <f t="shared" si="1"/>
        <v>1500</v>
      </c>
      <c r="AE1289" s="492">
        <f t="shared" si="2"/>
        <v>0.009063325885</v>
      </c>
      <c r="AF1289" s="490">
        <f t="shared" si="3"/>
        <v>22723199247</v>
      </c>
      <c r="AG1289" s="493">
        <f t="shared" si="6"/>
        <v>1970806.351</v>
      </c>
      <c r="AH1289" s="493">
        <f t="shared" si="4"/>
        <v>22721228440</v>
      </c>
    </row>
    <row r="1290">
      <c r="T1290" s="494" t="s">
        <v>622</v>
      </c>
      <c r="AB1290" s="489">
        <v>1288.0</v>
      </c>
      <c r="AC1290" s="490">
        <f t="shared" si="5"/>
        <v>22723199247</v>
      </c>
      <c r="AD1290" s="491">
        <f t="shared" si="1"/>
        <v>1500</v>
      </c>
      <c r="AE1290" s="492">
        <f t="shared" si="2"/>
        <v>0.009063325885</v>
      </c>
      <c r="AF1290" s="490">
        <f t="shared" si="3"/>
        <v>22929148507</v>
      </c>
      <c r="AG1290" s="493">
        <f t="shared" si="6"/>
        <v>1972306.351</v>
      </c>
      <c r="AH1290" s="493">
        <f t="shared" si="4"/>
        <v>22927176200</v>
      </c>
    </row>
    <row r="1291">
      <c r="T1291" s="494" t="s">
        <v>622</v>
      </c>
      <c r="AB1291" s="489">
        <v>1289.0</v>
      </c>
      <c r="AC1291" s="490">
        <f t="shared" si="5"/>
        <v>22929148507</v>
      </c>
      <c r="AD1291" s="491">
        <f t="shared" si="1"/>
        <v>1500</v>
      </c>
      <c r="AE1291" s="492">
        <f t="shared" si="2"/>
        <v>0.009063325885</v>
      </c>
      <c r="AF1291" s="490">
        <f t="shared" si="3"/>
        <v>23136964352</v>
      </c>
      <c r="AG1291" s="493">
        <f t="shared" si="6"/>
        <v>1973806.351</v>
      </c>
      <c r="AH1291" s="493">
        <f t="shared" si="4"/>
        <v>23134990546</v>
      </c>
    </row>
    <row r="1292">
      <c r="T1292" s="494" t="s">
        <v>622</v>
      </c>
      <c r="AB1292" s="489">
        <v>1290.0</v>
      </c>
      <c r="AC1292" s="490">
        <f t="shared" si="5"/>
        <v>23136964352</v>
      </c>
      <c r="AD1292" s="491">
        <f t="shared" si="1"/>
        <v>1500</v>
      </c>
      <c r="AE1292" s="492">
        <f t="shared" si="2"/>
        <v>0.009063325885</v>
      </c>
      <c r="AF1292" s="490">
        <f t="shared" si="3"/>
        <v>23346663700</v>
      </c>
      <c r="AG1292" s="493">
        <f t="shared" si="6"/>
        <v>1975306.351</v>
      </c>
      <c r="AH1292" s="493">
        <f t="shared" si="4"/>
        <v>23344688393</v>
      </c>
    </row>
    <row r="1293">
      <c r="T1293" s="494" t="s">
        <v>622</v>
      </c>
      <c r="AB1293" s="489">
        <v>1291.0</v>
      </c>
      <c r="AC1293" s="490">
        <f t="shared" si="5"/>
        <v>23346663700</v>
      </c>
      <c r="AD1293" s="491">
        <f t="shared" si="1"/>
        <v>1500</v>
      </c>
      <c r="AE1293" s="492">
        <f t="shared" si="2"/>
        <v>0.009063325885</v>
      </c>
      <c r="AF1293" s="490">
        <f t="shared" si="3"/>
        <v>23558263621</v>
      </c>
      <c r="AG1293" s="493">
        <f t="shared" si="6"/>
        <v>1976806.351</v>
      </c>
      <c r="AH1293" s="493">
        <f t="shared" si="4"/>
        <v>23556286815</v>
      </c>
    </row>
    <row r="1294">
      <c r="T1294" s="494" t="s">
        <v>622</v>
      </c>
      <c r="AB1294" s="489">
        <v>1292.0</v>
      </c>
      <c r="AC1294" s="490">
        <f t="shared" si="5"/>
        <v>23558263621</v>
      </c>
      <c r="AD1294" s="491">
        <f t="shared" si="1"/>
        <v>1500</v>
      </c>
      <c r="AE1294" s="492">
        <f t="shared" si="2"/>
        <v>0.009063325885</v>
      </c>
      <c r="AF1294" s="490">
        <f t="shared" si="3"/>
        <v>23771781342</v>
      </c>
      <c r="AG1294" s="493">
        <f t="shared" si="6"/>
        <v>1978306.351</v>
      </c>
      <c r="AH1294" s="493">
        <f t="shared" si="4"/>
        <v>23769803035</v>
      </c>
    </row>
    <row r="1295">
      <c r="T1295" s="494" t="s">
        <v>622</v>
      </c>
      <c r="AB1295" s="489">
        <v>1293.0</v>
      </c>
      <c r="AC1295" s="490">
        <f t="shared" si="5"/>
        <v>23771781342</v>
      </c>
      <c r="AD1295" s="491">
        <f t="shared" si="1"/>
        <v>1500</v>
      </c>
      <c r="AE1295" s="492">
        <f t="shared" si="2"/>
        <v>0.009063325885</v>
      </c>
      <c r="AF1295" s="490">
        <f t="shared" si="3"/>
        <v>23987234243</v>
      </c>
      <c r="AG1295" s="493">
        <f t="shared" si="6"/>
        <v>1979806.351</v>
      </c>
      <c r="AH1295" s="493">
        <f t="shared" si="4"/>
        <v>23985254437</v>
      </c>
    </row>
    <row r="1296">
      <c r="T1296" s="494" t="s">
        <v>622</v>
      </c>
      <c r="AB1296" s="489">
        <v>1294.0</v>
      </c>
      <c r="AC1296" s="490">
        <f t="shared" si="5"/>
        <v>23987234243</v>
      </c>
      <c r="AD1296" s="491">
        <f t="shared" si="1"/>
        <v>1500</v>
      </c>
      <c r="AE1296" s="492">
        <f t="shared" si="2"/>
        <v>0.009063325885</v>
      </c>
      <c r="AF1296" s="490">
        <f t="shared" si="3"/>
        <v>24204639864</v>
      </c>
      <c r="AG1296" s="493">
        <f t="shared" si="6"/>
        <v>1981306.351</v>
      </c>
      <c r="AH1296" s="493">
        <f t="shared" si="4"/>
        <v>24202658558</v>
      </c>
    </row>
    <row r="1297">
      <c r="T1297" s="494" t="s">
        <v>622</v>
      </c>
      <c r="AB1297" s="489">
        <v>1295.0</v>
      </c>
      <c r="AC1297" s="490">
        <f t="shared" si="5"/>
        <v>24204639864</v>
      </c>
      <c r="AD1297" s="491">
        <f t="shared" si="1"/>
        <v>1500</v>
      </c>
      <c r="AE1297" s="492">
        <f t="shared" si="2"/>
        <v>0.009063325885</v>
      </c>
      <c r="AF1297" s="490">
        <f t="shared" si="3"/>
        <v>24424015903</v>
      </c>
      <c r="AG1297" s="493">
        <f t="shared" si="6"/>
        <v>1982806.351</v>
      </c>
      <c r="AH1297" s="493">
        <f t="shared" si="4"/>
        <v>24422033097</v>
      </c>
    </row>
    <row r="1298">
      <c r="T1298" s="494" t="s">
        <v>622</v>
      </c>
      <c r="AB1298" s="489">
        <v>1296.0</v>
      </c>
      <c r="AC1298" s="490">
        <f t="shared" si="5"/>
        <v>24424015903</v>
      </c>
      <c r="AD1298" s="491">
        <f t="shared" si="1"/>
        <v>1500</v>
      </c>
      <c r="AE1298" s="492">
        <f t="shared" si="2"/>
        <v>0.009063325885</v>
      </c>
      <c r="AF1298" s="490">
        <f t="shared" si="3"/>
        <v>24645380218</v>
      </c>
      <c r="AG1298" s="493">
        <f t="shared" si="6"/>
        <v>1984306.351</v>
      </c>
      <c r="AH1298" s="493">
        <f t="shared" si="4"/>
        <v>24643395912</v>
      </c>
    </row>
    <row r="1299">
      <c r="T1299" s="494" t="s">
        <v>622</v>
      </c>
      <c r="AB1299" s="489">
        <v>1297.0</v>
      </c>
      <c r="AC1299" s="490">
        <f t="shared" si="5"/>
        <v>24645380218</v>
      </c>
      <c r="AD1299" s="491">
        <f t="shared" si="1"/>
        <v>1500</v>
      </c>
      <c r="AE1299" s="492">
        <f t="shared" si="2"/>
        <v>0.009063325885</v>
      </c>
      <c r="AF1299" s="490">
        <f t="shared" si="3"/>
        <v>24868750831</v>
      </c>
      <c r="AG1299" s="493">
        <f t="shared" si="6"/>
        <v>1985806.351</v>
      </c>
      <c r="AH1299" s="493">
        <f t="shared" si="4"/>
        <v>24866765025</v>
      </c>
    </row>
    <row r="1300">
      <c r="T1300" s="494" t="s">
        <v>622</v>
      </c>
      <c r="AB1300" s="489">
        <v>1298.0</v>
      </c>
      <c r="AC1300" s="490">
        <f t="shared" si="5"/>
        <v>24868750831</v>
      </c>
      <c r="AD1300" s="491">
        <f t="shared" si="1"/>
        <v>1500</v>
      </c>
      <c r="AE1300" s="492">
        <f t="shared" si="2"/>
        <v>0.009063325885</v>
      </c>
      <c r="AF1300" s="490">
        <f t="shared" si="3"/>
        <v>25094145924</v>
      </c>
      <c r="AG1300" s="493">
        <f t="shared" si="6"/>
        <v>1987306.351</v>
      </c>
      <c r="AH1300" s="493">
        <f t="shared" si="4"/>
        <v>25092158618</v>
      </c>
    </row>
    <row r="1301">
      <c r="T1301" s="494" t="s">
        <v>622</v>
      </c>
      <c r="AB1301" s="489">
        <v>1299.0</v>
      </c>
      <c r="AC1301" s="490">
        <f t="shared" si="5"/>
        <v>25094145924</v>
      </c>
      <c r="AD1301" s="491">
        <f t="shared" si="1"/>
        <v>1500</v>
      </c>
      <c r="AE1301" s="492">
        <f t="shared" si="2"/>
        <v>0.009063325885</v>
      </c>
      <c r="AF1301" s="490">
        <f t="shared" si="3"/>
        <v>25321583846</v>
      </c>
      <c r="AG1301" s="493">
        <f t="shared" si="6"/>
        <v>1988806.351</v>
      </c>
      <c r="AH1301" s="493">
        <f t="shared" si="4"/>
        <v>25319595040</v>
      </c>
    </row>
    <row r="1302">
      <c r="T1302" s="494" t="s">
        <v>622</v>
      </c>
      <c r="AB1302" s="489">
        <v>1300.0</v>
      </c>
      <c r="AC1302" s="490">
        <f t="shared" si="5"/>
        <v>25321583846</v>
      </c>
      <c r="AD1302" s="491">
        <f t="shared" si="1"/>
        <v>1500</v>
      </c>
      <c r="AE1302" s="492">
        <f t="shared" si="2"/>
        <v>0.009063325885</v>
      </c>
      <c r="AF1302" s="490">
        <f t="shared" si="3"/>
        <v>25551083113</v>
      </c>
      <c r="AG1302" s="493">
        <f t="shared" si="6"/>
        <v>1990306.351</v>
      </c>
      <c r="AH1302" s="493">
        <f t="shared" si="4"/>
        <v>25549092806</v>
      </c>
    </row>
    <row r="1303">
      <c r="T1303" s="494" t="s">
        <v>622</v>
      </c>
      <c r="AB1303" s="489">
        <v>1301.0</v>
      </c>
      <c r="AC1303" s="490">
        <f t="shared" si="5"/>
        <v>25551083113</v>
      </c>
      <c r="AD1303" s="491">
        <f t="shared" si="1"/>
        <v>1500</v>
      </c>
      <c r="AE1303" s="492">
        <f t="shared" si="2"/>
        <v>0.009063325885</v>
      </c>
      <c r="AF1303" s="490">
        <f t="shared" si="3"/>
        <v>25782662406</v>
      </c>
      <c r="AG1303" s="493">
        <f t="shared" si="6"/>
        <v>1991806.351</v>
      </c>
      <c r="AH1303" s="493">
        <f t="shared" si="4"/>
        <v>25780670599</v>
      </c>
    </row>
    <row r="1304">
      <c r="T1304" s="494" t="s">
        <v>622</v>
      </c>
      <c r="AB1304" s="489">
        <v>1302.0</v>
      </c>
      <c r="AC1304" s="490">
        <f t="shared" si="5"/>
        <v>25782662406</v>
      </c>
      <c r="AD1304" s="491">
        <f t="shared" si="1"/>
        <v>1500</v>
      </c>
      <c r="AE1304" s="492">
        <f t="shared" si="2"/>
        <v>0.009063325885</v>
      </c>
      <c r="AF1304" s="490">
        <f t="shared" si="3"/>
        <v>26016340577</v>
      </c>
      <c r="AG1304" s="493">
        <f t="shared" si="6"/>
        <v>1993306.351</v>
      </c>
      <c r="AH1304" s="493">
        <f t="shared" si="4"/>
        <v>26014347271</v>
      </c>
    </row>
    <row r="1305">
      <c r="T1305" s="494" t="s">
        <v>622</v>
      </c>
      <c r="AB1305" s="489">
        <v>1303.0</v>
      </c>
      <c r="AC1305" s="490">
        <f t="shared" si="5"/>
        <v>26016340577</v>
      </c>
      <c r="AD1305" s="491">
        <f t="shared" si="1"/>
        <v>1500</v>
      </c>
      <c r="AE1305" s="492">
        <f t="shared" si="2"/>
        <v>0.009063325885</v>
      </c>
      <c r="AF1305" s="490">
        <f t="shared" si="3"/>
        <v>26252136650</v>
      </c>
      <c r="AG1305" s="493">
        <f t="shared" si="6"/>
        <v>1994806.351</v>
      </c>
      <c r="AH1305" s="493">
        <f t="shared" si="4"/>
        <v>26250141844</v>
      </c>
    </row>
    <row r="1306">
      <c r="T1306" s="494" t="s">
        <v>622</v>
      </c>
      <c r="AB1306" s="489">
        <v>1304.0</v>
      </c>
      <c r="AC1306" s="490">
        <f t="shared" si="5"/>
        <v>26252136650</v>
      </c>
      <c r="AD1306" s="491">
        <f t="shared" si="1"/>
        <v>1500</v>
      </c>
      <c r="AE1306" s="492">
        <f t="shared" si="2"/>
        <v>0.009063325885</v>
      </c>
      <c r="AF1306" s="490">
        <f t="shared" si="3"/>
        <v>26490069820</v>
      </c>
      <c r="AG1306" s="493">
        <f t="shared" si="6"/>
        <v>1996306.351</v>
      </c>
      <c r="AH1306" s="493">
        <f t="shared" si="4"/>
        <v>26488073514</v>
      </c>
    </row>
    <row r="1307">
      <c r="T1307" s="494" t="s">
        <v>622</v>
      </c>
      <c r="AB1307" s="489">
        <v>1305.0</v>
      </c>
      <c r="AC1307" s="490">
        <f t="shared" si="5"/>
        <v>26490069820</v>
      </c>
      <c r="AD1307" s="491">
        <f t="shared" si="1"/>
        <v>1500</v>
      </c>
      <c r="AE1307" s="492">
        <f t="shared" si="2"/>
        <v>0.009063325885</v>
      </c>
      <c r="AF1307" s="490">
        <f t="shared" si="3"/>
        <v>26730159455</v>
      </c>
      <c r="AG1307" s="493">
        <f t="shared" si="6"/>
        <v>1997806.351</v>
      </c>
      <c r="AH1307" s="493">
        <f t="shared" si="4"/>
        <v>26728161649</v>
      </c>
    </row>
    <row r="1308">
      <c r="T1308" s="494" t="s">
        <v>622</v>
      </c>
      <c r="AB1308" s="489">
        <v>1306.0</v>
      </c>
      <c r="AC1308" s="490">
        <f t="shared" si="5"/>
        <v>26730159455</v>
      </c>
      <c r="AD1308" s="491">
        <f t="shared" si="1"/>
        <v>1500</v>
      </c>
      <c r="AE1308" s="492">
        <f t="shared" si="2"/>
        <v>0.009063325885</v>
      </c>
      <c r="AF1308" s="490">
        <f t="shared" si="3"/>
        <v>26972425101</v>
      </c>
      <c r="AG1308" s="493">
        <f t="shared" si="6"/>
        <v>1999306.351</v>
      </c>
      <c r="AH1308" s="493">
        <f t="shared" si="4"/>
        <v>26970425795</v>
      </c>
    </row>
    <row r="1309">
      <c r="T1309" s="494" t="s">
        <v>622</v>
      </c>
      <c r="AB1309" s="489">
        <v>1307.0</v>
      </c>
      <c r="AC1309" s="490">
        <f t="shared" si="5"/>
        <v>26972425101</v>
      </c>
      <c r="AD1309" s="491">
        <f t="shared" si="1"/>
        <v>1500</v>
      </c>
      <c r="AE1309" s="492">
        <f t="shared" si="2"/>
        <v>0.009063325885</v>
      </c>
      <c r="AF1309" s="490">
        <f t="shared" si="3"/>
        <v>27216886480</v>
      </c>
      <c r="AG1309" s="493">
        <f t="shared" si="6"/>
        <v>2000806.351</v>
      </c>
      <c r="AH1309" s="493">
        <f t="shared" si="4"/>
        <v>27214885674</v>
      </c>
    </row>
    <row r="1310">
      <c r="T1310" s="494" t="s">
        <v>622</v>
      </c>
      <c r="AB1310" s="489">
        <v>1308.0</v>
      </c>
      <c r="AC1310" s="490">
        <f t="shared" si="5"/>
        <v>27216886480</v>
      </c>
      <c r="AD1310" s="491">
        <f t="shared" si="1"/>
        <v>1500</v>
      </c>
      <c r="AE1310" s="492">
        <f t="shared" si="2"/>
        <v>0.009063325885</v>
      </c>
      <c r="AF1310" s="490">
        <f t="shared" si="3"/>
        <v>27463563492</v>
      </c>
      <c r="AG1310" s="493">
        <f t="shared" si="6"/>
        <v>2002306.351</v>
      </c>
      <c r="AH1310" s="493">
        <f t="shared" si="4"/>
        <v>27461561185</v>
      </c>
    </row>
    <row r="1311">
      <c r="T1311" s="494" t="s">
        <v>622</v>
      </c>
      <c r="AB1311" s="489">
        <v>1309.0</v>
      </c>
      <c r="AC1311" s="490">
        <f t="shared" si="5"/>
        <v>27463563492</v>
      </c>
      <c r="AD1311" s="491">
        <f t="shared" si="1"/>
        <v>1500</v>
      </c>
      <c r="AE1311" s="492">
        <f t="shared" si="2"/>
        <v>0.009063325885</v>
      </c>
      <c r="AF1311" s="490">
        <f t="shared" si="3"/>
        <v>27712476218</v>
      </c>
      <c r="AG1311" s="493">
        <f t="shared" si="6"/>
        <v>2003806.351</v>
      </c>
      <c r="AH1311" s="493">
        <f t="shared" si="4"/>
        <v>27710472411</v>
      </c>
    </row>
    <row r="1312">
      <c r="T1312" s="494" t="s">
        <v>622</v>
      </c>
      <c r="AB1312" s="489">
        <v>1310.0</v>
      </c>
      <c r="AC1312" s="490">
        <f t="shared" si="5"/>
        <v>27712476218</v>
      </c>
      <c r="AD1312" s="491">
        <f t="shared" si="1"/>
        <v>1500</v>
      </c>
      <c r="AE1312" s="492">
        <f t="shared" si="2"/>
        <v>0.009063325885</v>
      </c>
      <c r="AF1312" s="490">
        <f t="shared" si="3"/>
        <v>27963644921</v>
      </c>
      <c r="AG1312" s="493">
        <f t="shared" si="6"/>
        <v>2005306.351</v>
      </c>
      <c r="AH1312" s="493">
        <f t="shared" si="4"/>
        <v>27961639614</v>
      </c>
    </row>
    <row r="1313">
      <c r="T1313" s="494" t="s">
        <v>622</v>
      </c>
      <c r="AB1313" s="489">
        <v>1311.0</v>
      </c>
      <c r="AC1313" s="490">
        <f t="shared" si="5"/>
        <v>27963644921</v>
      </c>
      <c r="AD1313" s="491">
        <f t="shared" si="1"/>
        <v>1500</v>
      </c>
      <c r="AE1313" s="492">
        <f t="shared" si="2"/>
        <v>0.009063325885</v>
      </c>
      <c r="AF1313" s="490">
        <f t="shared" si="3"/>
        <v>28217090048</v>
      </c>
      <c r="AG1313" s="493">
        <f t="shared" si="6"/>
        <v>2006806.351</v>
      </c>
      <c r="AH1313" s="493">
        <f t="shared" si="4"/>
        <v>28215083241</v>
      </c>
    </row>
    <row r="1314">
      <c r="T1314" s="494" t="s">
        <v>622</v>
      </c>
      <c r="AB1314" s="489">
        <v>1312.0</v>
      </c>
      <c r="AC1314" s="490">
        <f t="shared" si="5"/>
        <v>28217090048</v>
      </c>
      <c r="AD1314" s="491">
        <f t="shared" si="1"/>
        <v>1500</v>
      </c>
      <c r="AE1314" s="492">
        <f t="shared" si="2"/>
        <v>0.009063325885</v>
      </c>
      <c r="AF1314" s="490">
        <f t="shared" si="3"/>
        <v>28472832230</v>
      </c>
      <c r="AG1314" s="493">
        <f t="shared" si="6"/>
        <v>2008306.351</v>
      </c>
      <c r="AH1314" s="493">
        <f t="shared" si="4"/>
        <v>28470823924</v>
      </c>
    </row>
    <row r="1315">
      <c r="T1315" s="494" t="s">
        <v>622</v>
      </c>
      <c r="AB1315" s="489">
        <v>1313.0</v>
      </c>
      <c r="AC1315" s="490">
        <f t="shared" si="5"/>
        <v>28472832230</v>
      </c>
      <c r="AD1315" s="491">
        <f t="shared" si="1"/>
        <v>1500</v>
      </c>
      <c r="AE1315" s="492">
        <f t="shared" si="2"/>
        <v>0.009063325885</v>
      </c>
      <c r="AF1315" s="490">
        <f t="shared" si="3"/>
        <v>28730892288</v>
      </c>
      <c r="AG1315" s="493">
        <f t="shared" si="6"/>
        <v>2009806.351</v>
      </c>
      <c r="AH1315" s="493">
        <f t="shared" si="4"/>
        <v>28728882481</v>
      </c>
    </row>
    <row r="1316">
      <c r="T1316" s="494" t="s">
        <v>622</v>
      </c>
      <c r="AB1316" s="489">
        <v>1314.0</v>
      </c>
      <c r="AC1316" s="490">
        <f t="shared" si="5"/>
        <v>28730892288</v>
      </c>
      <c r="AD1316" s="491">
        <f t="shared" si="1"/>
        <v>1500</v>
      </c>
      <c r="AE1316" s="492">
        <f t="shared" si="2"/>
        <v>0.009063325885</v>
      </c>
      <c r="AF1316" s="490">
        <f t="shared" si="3"/>
        <v>28991291227</v>
      </c>
      <c r="AG1316" s="493">
        <f t="shared" si="6"/>
        <v>2011306.351</v>
      </c>
      <c r="AH1316" s="493">
        <f t="shared" si="4"/>
        <v>28989279921</v>
      </c>
    </row>
    <row r="1317">
      <c r="T1317" s="494" t="s">
        <v>622</v>
      </c>
      <c r="AB1317" s="489">
        <v>1315.0</v>
      </c>
      <c r="AC1317" s="490">
        <f t="shared" si="5"/>
        <v>28991291227</v>
      </c>
      <c r="AD1317" s="491">
        <f t="shared" si="1"/>
        <v>1500</v>
      </c>
      <c r="AE1317" s="492">
        <f t="shared" si="2"/>
        <v>0.009063325885</v>
      </c>
      <c r="AF1317" s="490">
        <f t="shared" si="3"/>
        <v>29254050248</v>
      </c>
      <c r="AG1317" s="493">
        <f t="shared" si="6"/>
        <v>2012806.351</v>
      </c>
      <c r="AH1317" s="493">
        <f t="shared" si="4"/>
        <v>29252037441</v>
      </c>
    </row>
    <row r="1318">
      <c r="T1318" s="494" t="s">
        <v>622</v>
      </c>
      <c r="AB1318" s="489">
        <v>1316.0</v>
      </c>
      <c r="AC1318" s="490">
        <f t="shared" si="5"/>
        <v>29254050248</v>
      </c>
      <c r="AD1318" s="491">
        <f t="shared" si="1"/>
        <v>1500</v>
      </c>
      <c r="AE1318" s="492">
        <f t="shared" si="2"/>
        <v>0.009063325885</v>
      </c>
      <c r="AF1318" s="490">
        <f t="shared" si="3"/>
        <v>29519190738</v>
      </c>
      <c r="AG1318" s="493">
        <f t="shared" si="6"/>
        <v>2014306.351</v>
      </c>
      <c r="AH1318" s="493">
        <f t="shared" si="4"/>
        <v>29517176432</v>
      </c>
    </row>
    <row r="1319">
      <c r="T1319" s="494" t="s">
        <v>622</v>
      </c>
      <c r="AB1319" s="489">
        <v>1317.0</v>
      </c>
      <c r="AC1319" s="490">
        <f t="shared" si="5"/>
        <v>29519190738</v>
      </c>
      <c r="AD1319" s="491">
        <f t="shared" si="1"/>
        <v>1500</v>
      </c>
      <c r="AE1319" s="492">
        <f t="shared" si="2"/>
        <v>0.009063325885</v>
      </c>
      <c r="AF1319" s="490">
        <f t="shared" si="3"/>
        <v>29786734284</v>
      </c>
      <c r="AG1319" s="493">
        <f t="shared" si="6"/>
        <v>2015806.351</v>
      </c>
      <c r="AH1319" s="493">
        <f t="shared" si="4"/>
        <v>29784718478</v>
      </c>
    </row>
    <row r="1320">
      <c r="T1320" s="494" t="s">
        <v>622</v>
      </c>
      <c r="AB1320" s="489">
        <v>1318.0</v>
      </c>
      <c r="AC1320" s="490">
        <f t="shared" si="5"/>
        <v>29786734284</v>
      </c>
      <c r="AD1320" s="491">
        <f t="shared" si="1"/>
        <v>1500</v>
      </c>
      <c r="AE1320" s="492">
        <f t="shared" si="2"/>
        <v>0.009063325885</v>
      </c>
      <c r="AF1320" s="490">
        <f t="shared" si="3"/>
        <v>30056702664</v>
      </c>
      <c r="AG1320" s="493">
        <f t="shared" si="6"/>
        <v>2017306.351</v>
      </c>
      <c r="AH1320" s="493">
        <f t="shared" si="4"/>
        <v>30054685358</v>
      </c>
    </row>
    <row r="1321">
      <c r="T1321" s="494" t="s">
        <v>622</v>
      </c>
      <c r="AB1321" s="489">
        <v>1319.0</v>
      </c>
      <c r="AC1321" s="490">
        <f t="shared" si="5"/>
        <v>30056702664</v>
      </c>
      <c r="AD1321" s="491">
        <f t="shared" si="1"/>
        <v>1500</v>
      </c>
      <c r="AE1321" s="492">
        <f t="shared" si="2"/>
        <v>0.009063325885</v>
      </c>
      <c r="AF1321" s="490">
        <f t="shared" si="3"/>
        <v>30329117855</v>
      </c>
      <c r="AG1321" s="493">
        <f t="shared" si="6"/>
        <v>2018806.351</v>
      </c>
      <c r="AH1321" s="493">
        <f t="shared" si="4"/>
        <v>30327099049</v>
      </c>
    </row>
    <row r="1322">
      <c r="T1322" s="494" t="s">
        <v>622</v>
      </c>
      <c r="AB1322" s="489">
        <v>1320.0</v>
      </c>
      <c r="AC1322" s="490">
        <f t="shared" si="5"/>
        <v>30329117855</v>
      </c>
      <c r="AD1322" s="491">
        <f t="shared" si="1"/>
        <v>1500</v>
      </c>
      <c r="AE1322" s="492">
        <f t="shared" si="2"/>
        <v>0.009063325885</v>
      </c>
      <c r="AF1322" s="490">
        <f t="shared" si="3"/>
        <v>30604002034</v>
      </c>
      <c r="AG1322" s="493">
        <f t="shared" si="6"/>
        <v>2020306.351</v>
      </c>
      <c r="AH1322" s="493">
        <f t="shared" si="4"/>
        <v>30601981728</v>
      </c>
    </row>
    <row r="1323">
      <c r="T1323" s="494" t="s">
        <v>622</v>
      </c>
      <c r="AB1323" s="489">
        <v>1321.0</v>
      </c>
      <c r="AC1323" s="490">
        <f t="shared" si="5"/>
        <v>30604002034</v>
      </c>
      <c r="AD1323" s="491">
        <f t="shared" si="1"/>
        <v>1500</v>
      </c>
      <c r="AE1323" s="492">
        <f t="shared" si="2"/>
        <v>0.009063325885</v>
      </c>
      <c r="AF1323" s="490">
        <f t="shared" si="3"/>
        <v>30881377578</v>
      </c>
      <c r="AG1323" s="493">
        <f t="shared" si="6"/>
        <v>2021806.351</v>
      </c>
      <c r="AH1323" s="493">
        <f t="shared" si="4"/>
        <v>30879355772</v>
      </c>
    </row>
    <row r="1324">
      <c r="T1324" s="494" t="s">
        <v>622</v>
      </c>
      <c r="AB1324" s="489">
        <v>1322.0</v>
      </c>
      <c r="AC1324" s="490">
        <f t="shared" si="5"/>
        <v>30881377578</v>
      </c>
      <c r="AD1324" s="491">
        <f t="shared" si="1"/>
        <v>1500</v>
      </c>
      <c r="AE1324" s="492">
        <f t="shared" si="2"/>
        <v>0.009063325885</v>
      </c>
      <c r="AF1324" s="490">
        <f t="shared" si="3"/>
        <v>31161267067</v>
      </c>
      <c r="AG1324" s="493">
        <f t="shared" si="6"/>
        <v>2023306.351</v>
      </c>
      <c r="AH1324" s="493">
        <f t="shared" si="4"/>
        <v>31159243760</v>
      </c>
    </row>
    <row r="1325">
      <c r="T1325" s="494" t="s">
        <v>622</v>
      </c>
      <c r="AB1325" s="489">
        <v>1323.0</v>
      </c>
      <c r="AC1325" s="490">
        <f t="shared" si="5"/>
        <v>31161267067</v>
      </c>
      <c r="AD1325" s="491">
        <f t="shared" si="1"/>
        <v>1500</v>
      </c>
      <c r="AE1325" s="492">
        <f t="shared" si="2"/>
        <v>0.009063325885</v>
      </c>
      <c r="AF1325" s="490">
        <f t="shared" si="3"/>
        <v>31443693285</v>
      </c>
      <c r="AG1325" s="493">
        <f t="shared" si="6"/>
        <v>2024806.351</v>
      </c>
      <c r="AH1325" s="493">
        <f t="shared" si="4"/>
        <v>31441668479</v>
      </c>
    </row>
    <row r="1326">
      <c r="T1326" s="494" t="s">
        <v>622</v>
      </c>
      <c r="AB1326" s="489">
        <v>1324.0</v>
      </c>
      <c r="AC1326" s="490">
        <f t="shared" si="5"/>
        <v>31443693285</v>
      </c>
      <c r="AD1326" s="491">
        <f t="shared" si="1"/>
        <v>1500</v>
      </c>
      <c r="AE1326" s="492">
        <f t="shared" si="2"/>
        <v>0.009063325885</v>
      </c>
      <c r="AF1326" s="490">
        <f t="shared" si="3"/>
        <v>31728679224</v>
      </c>
      <c r="AG1326" s="493">
        <f t="shared" si="6"/>
        <v>2026306.351</v>
      </c>
      <c r="AH1326" s="493">
        <f t="shared" si="4"/>
        <v>31726652918</v>
      </c>
    </row>
    <row r="1327">
      <c r="T1327" s="494" t="s">
        <v>622</v>
      </c>
      <c r="AB1327" s="489">
        <v>1325.0</v>
      </c>
      <c r="AC1327" s="490">
        <f t="shared" si="5"/>
        <v>31728679224</v>
      </c>
      <c r="AD1327" s="491">
        <f t="shared" si="1"/>
        <v>1500</v>
      </c>
      <c r="AE1327" s="492">
        <f t="shared" si="2"/>
        <v>0.009063325885</v>
      </c>
      <c r="AF1327" s="490">
        <f t="shared" si="3"/>
        <v>32016248084</v>
      </c>
      <c r="AG1327" s="493">
        <f t="shared" si="6"/>
        <v>2027806.351</v>
      </c>
      <c r="AH1327" s="493">
        <f t="shared" si="4"/>
        <v>32014220278</v>
      </c>
    </row>
    <row r="1328">
      <c r="T1328" s="494" t="s">
        <v>622</v>
      </c>
      <c r="AB1328" s="489">
        <v>1326.0</v>
      </c>
      <c r="AC1328" s="490">
        <f t="shared" si="5"/>
        <v>32016248084</v>
      </c>
      <c r="AD1328" s="491">
        <f t="shared" si="1"/>
        <v>1500</v>
      </c>
      <c r="AE1328" s="492">
        <f t="shared" si="2"/>
        <v>0.009063325885</v>
      </c>
      <c r="AF1328" s="490">
        <f t="shared" si="3"/>
        <v>32306423274</v>
      </c>
      <c r="AG1328" s="493">
        <f t="shared" si="6"/>
        <v>2029306.351</v>
      </c>
      <c r="AH1328" s="493">
        <f t="shared" si="4"/>
        <v>32304393968</v>
      </c>
    </row>
    <row r="1329">
      <c r="T1329" s="494" t="s">
        <v>622</v>
      </c>
      <c r="AB1329" s="489">
        <v>1327.0</v>
      </c>
      <c r="AC1329" s="490">
        <f t="shared" si="5"/>
        <v>32306423274</v>
      </c>
      <c r="AD1329" s="491">
        <f t="shared" si="1"/>
        <v>1500</v>
      </c>
      <c r="AE1329" s="492">
        <f t="shared" si="2"/>
        <v>0.009063325885</v>
      </c>
      <c r="AF1329" s="490">
        <f t="shared" si="3"/>
        <v>32599228416</v>
      </c>
      <c r="AG1329" s="493">
        <f t="shared" si="6"/>
        <v>2030806.351</v>
      </c>
      <c r="AH1329" s="493">
        <f t="shared" si="4"/>
        <v>32597197610</v>
      </c>
    </row>
    <row r="1330">
      <c r="T1330" s="494" t="s">
        <v>622</v>
      </c>
      <c r="AB1330" s="489">
        <v>1328.0</v>
      </c>
      <c r="AC1330" s="490">
        <f t="shared" si="5"/>
        <v>32599228416</v>
      </c>
      <c r="AD1330" s="491">
        <f t="shared" si="1"/>
        <v>1500</v>
      </c>
      <c r="AE1330" s="492">
        <f t="shared" si="2"/>
        <v>0.009063325885</v>
      </c>
      <c r="AF1330" s="490">
        <f t="shared" si="3"/>
        <v>32894687347</v>
      </c>
      <c r="AG1330" s="493">
        <f t="shared" si="6"/>
        <v>2032306.351</v>
      </c>
      <c r="AH1330" s="493">
        <f t="shared" si="4"/>
        <v>32892655041</v>
      </c>
    </row>
    <row r="1331">
      <c r="T1331" s="494" t="s">
        <v>622</v>
      </c>
      <c r="AB1331" s="489">
        <v>1329.0</v>
      </c>
      <c r="AC1331" s="490">
        <f t="shared" si="5"/>
        <v>32894687347</v>
      </c>
      <c r="AD1331" s="491">
        <f t="shared" si="1"/>
        <v>1500</v>
      </c>
      <c r="AE1331" s="492">
        <f t="shared" si="2"/>
        <v>0.009063325885</v>
      </c>
      <c r="AF1331" s="490">
        <f t="shared" si="3"/>
        <v>33192824118</v>
      </c>
      <c r="AG1331" s="493">
        <f t="shared" si="6"/>
        <v>2033806.351</v>
      </c>
      <c r="AH1331" s="493">
        <f t="shared" si="4"/>
        <v>33190790312</v>
      </c>
    </row>
    <row r="1332">
      <c r="T1332" s="494" t="s">
        <v>622</v>
      </c>
      <c r="AB1332" s="489">
        <v>1330.0</v>
      </c>
      <c r="AC1332" s="490">
        <f t="shared" si="5"/>
        <v>33192824118</v>
      </c>
      <c r="AD1332" s="491">
        <f t="shared" si="1"/>
        <v>1500</v>
      </c>
      <c r="AE1332" s="492">
        <f t="shared" si="2"/>
        <v>0.009063325885</v>
      </c>
      <c r="AF1332" s="490">
        <f t="shared" si="3"/>
        <v>33493663000</v>
      </c>
      <c r="AG1332" s="493">
        <f t="shared" si="6"/>
        <v>2035306.351</v>
      </c>
      <c r="AH1332" s="493">
        <f t="shared" si="4"/>
        <v>33491627694</v>
      </c>
    </row>
    <row r="1333">
      <c r="T1333" s="494" t="s">
        <v>622</v>
      </c>
      <c r="AB1333" s="489">
        <v>1331.0</v>
      </c>
      <c r="AC1333" s="490">
        <f t="shared" si="5"/>
        <v>33493663000</v>
      </c>
      <c r="AD1333" s="491">
        <f t="shared" si="1"/>
        <v>1500</v>
      </c>
      <c r="AE1333" s="492">
        <f t="shared" si="2"/>
        <v>0.009063325885</v>
      </c>
      <c r="AF1333" s="490">
        <f t="shared" si="3"/>
        <v>33797228483</v>
      </c>
      <c r="AG1333" s="493">
        <f t="shared" si="6"/>
        <v>2036806.351</v>
      </c>
      <c r="AH1333" s="493">
        <f t="shared" si="4"/>
        <v>33795191677</v>
      </c>
    </row>
    <row r="1334">
      <c r="T1334" s="494" t="s">
        <v>622</v>
      </c>
      <c r="AB1334" s="489">
        <v>1332.0</v>
      </c>
      <c r="AC1334" s="490">
        <f t="shared" si="5"/>
        <v>33797228483</v>
      </c>
      <c r="AD1334" s="491">
        <f t="shared" si="1"/>
        <v>1500</v>
      </c>
      <c r="AE1334" s="492">
        <f t="shared" si="2"/>
        <v>0.009063325885</v>
      </c>
      <c r="AF1334" s="490">
        <f t="shared" si="3"/>
        <v>34103545279</v>
      </c>
      <c r="AG1334" s="493">
        <f t="shared" si="6"/>
        <v>2038306.351</v>
      </c>
      <c r="AH1334" s="493">
        <f t="shared" si="4"/>
        <v>34101506973</v>
      </c>
    </row>
    <row r="1335">
      <c r="T1335" s="494" t="s">
        <v>622</v>
      </c>
      <c r="AB1335" s="489">
        <v>1333.0</v>
      </c>
      <c r="AC1335" s="490">
        <f t="shared" si="5"/>
        <v>34103545279</v>
      </c>
      <c r="AD1335" s="491">
        <f t="shared" si="1"/>
        <v>1500</v>
      </c>
      <c r="AE1335" s="492">
        <f t="shared" si="2"/>
        <v>0.009063325885</v>
      </c>
      <c r="AF1335" s="490">
        <f t="shared" si="3"/>
        <v>34412638324</v>
      </c>
      <c r="AG1335" s="493">
        <f t="shared" si="6"/>
        <v>2039806.351</v>
      </c>
      <c r="AH1335" s="493">
        <f t="shared" si="4"/>
        <v>34410598517</v>
      </c>
    </row>
    <row r="1336">
      <c r="T1336" s="494" t="s">
        <v>622</v>
      </c>
      <c r="AB1336" s="489">
        <v>1334.0</v>
      </c>
      <c r="AC1336" s="490">
        <f t="shared" si="5"/>
        <v>34412638324</v>
      </c>
      <c r="AD1336" s="491">
        <f t="shared" si="1"/>
        <v>1500</v>
      </c>
      <c r="AE1336" s="492">
        <f t="shared" si="2"/>
        <v>0.009063325885</v>
      </c>
      <c r="AF1336" s="490">
        <f t="shared" si="3"/>
        <v>34724532780</v>
      </c>
      <c r="AG1336" s="493">
        <f t="shared" si="6"/>
        <v>2041306.351</v>
      </c>
      <c r="AH1336" s="493">
        <f t="shared" si="4"/>
        <v>34722491473</v>
      </c>
    </row>
    <row r="1337">
      <c r="T1337" s="494" t="s">
        <v>622</v>
      </c>
      <c r="AB1337" s="489">
        <v>1335.0</v>
      </c>
      <c r="AC1337" s="490">
        <f t="shared" si="5"/>
        <v>34724532780</v>
      </c>
      <c r="AD1337" s="491">
        <f t="shared" si="1"/>
        <v>1500</v>
      </c>
      <c r="AE1337" s="492">
        <f t="shared" si="2"/>
        <v>0.009063325885</v>
      </c>
      <c r="AF1337" s="490">
        <f t="shared" si="3"/>
        <v>35039254036</v>
      </c>
      <c r="AG1337" s="493">
        <f t="shared" si="6"/>
        <v>2042806.351</v>
      </c>
      <c r="AH1337" s="493">
        <f t="shared" si="4"/>
        <v>35037211230</v>
      </c>
    </row>
    <row r="1338">
      <c r="T1338" s="494" t="s">
        <v>622</v>
      </c>
      <c r="AB1338" s="489">
        <v>1336.0</v>
      </c>
      <c r="AC1338" s="490">
        <f t="shared" si="5"/>
        <v>35039254036</v>
      </c>
      <c r="AD1338" s="491">
        <f t="shared" si="1"/>
        <v>1500</v>
      </c>
      <c r="AE1338" s="492">
        <f t="shared" si="2"/>
        <v>0.009063325885</v>
      </c>
      <c r="AF1338" s="490">
        <f t="shared" si="3"/>
        <v>35356827714</v>
      </c>
      <c r="AG1338" s="493">
        <f t="shared" si="6"/>
        <v>2044306.351</v>
      </c>
      <c r="AH1338" s="493">
        <f t="shared" si="4"/>
        <v>35354783408</v>
      </c>
    </row>
    <row r="1339">
      <c r="T1339" s="494" t="s">
        <v>622</v>
      </c>
      <c r="AB1339" s="489">
        <v>1337.0</v>
      </c>
      <c r="AC1339" s="490">
        <f t="shared" si="5"/>
        <v>35356827714</v>
      </c>
      <c r="AD1339" s="491">
        <f t="shared" si="1"/>
        <v>1500</v>
      </c>
      <c r="AE1339" s="492">
        <f t="shared" si="2"/>
        <v>0.009063325885</v>
      </c>
      <c r="AF1339" s="490">
        <f t="shared" si="3"/>
        <v>35677279666</v>
      </c>
      <c r="AG1339" s="493">
        <f t="shared" si="6"/>
        <v>2045806.351</v>
      </c>
      <c r="AH1339" s="493">
        <f t="shared" si="4"/>
        <v>35675233860</v>
      </c>
    </row>
    <row r="1340">
      <c r="T1340" s="494" t="s">
        <v>622</v>
      </c>
      <c r="AB1340" s="489">
        <v>1338.0</v>
      </c>
      <c r="AC1340" s="490">
        <f t="shared" si="5"/>
        <v>35677279666</v>
      </c>
      <c r="AD1340" s="491">
        <f t="shared" si="1"/>
        <v>1500</v>
      </c>
      <c r="AE1340" s="492">
        <f t="shared" si="2"/>
        <v>0.009063325885</v>
      </c>
      <c r="AF1340" s="490">
        <f t="shared" si="3"/>
        <v>36000635979</v>
      </c>
      <c r="AG1340" s="493">
        <f t="shared" si="6"/>
        <v>2047306.351</v>
      </c>
      <c r="AH1340" s="493">
        <f t="shared" si="4"/>
        <v>35998588672</v>
      </c>
    </row>
    <row r="1341">
      <c r="T1341" s="494" t="s">
        <v>622</v>
      </c>
      <c r="AB1341" s="489">
        <v>1339.0</v>
      </c>
      <c r="AC1341" s="490">
        <f t="shared" si="5"/>
        <v>36000635979</v>
      </c>
      <c r="AD1341" s="491">
        <f t="shared" si="1"/>
        <v>1500</v>
      </c>
      <c r="AE1341" s="492">
        <f t="shared" si="2"/>
        <v>0.009063325885</v>
      </c>
      <c r="AF1341" s="490">
        <f t="shared" si="3"/>
        <v>36326922974</v>
      </c>
      <c r="AG1341" s="493">
        <f t="shared" si="6"/>
        <v>2048806.351</v>
      </c>
      <c r="AH1341" s="493">
        <f t="shared" si="4"/>
        <v>36324874168</v>
      </c>
    </row>
    <row r="1342">
      <c r="T1342" s="494" t="s">
        <v>622</v>
      </c>
      <c r="AB1342" s="489">
        <v>1340.0</v>
      </c>
      <c r="AC1342" s="490">
        <f t="shared" si="5"/>
        <v>36326922974</v>
      </c>
      <c r="AD1342" s="491">
        <f t="shared" si="1"/>
        <v>1500</v>
      </c>
      <c r="AE1342" s="492">
        <f t="shared" si="2"/>
        <v>0.009063325885</v>
      </c>
      <c r="AF1342" s="490">
        <f t="shared" si="3"/>
        <v>36656167216</v>
      </c>
      <c r="AG1342" s="493">
        <f t="shared" si="6"/>
        <v>2050306.351</v>
      </c>
      <c r="AH1342" s="493">
        <f t="shared" si="4"/>
        <v>36654116909</v>
      </c>
    </row>
    <row r="1343">
      <c r="T1343" s="494" t="s">
        <v>622</v>
      </c>
      <c r="AB1343" s="489">
        <v>1341.0</v>
      </c>
      <c r="AC1343" s="490">
        <f t="shared" si="5"/>
        <v>36656167216</v>
      </c>
      <c r="AD1343" s="491">
        <f t="shared" si="1"/>
        <v>1500</v>
      </c>
      <c r="AE1343" s="492">
        <f t="shared" si="2"/>
        <v>0.009063325885</v>
      </c>
      <c r="AF1343" s="490">
        <f t="shared" si="3"/>
        <v>36988395505</v>
      </c>
      <c r="AG1343" s="493">
        <f t="shared" si="6"/>
        <v>2051806.351</v>
      </c>
      <c r="AH1343" s="493">
        <f t="shared" si="4"/>
        <v>36986343699</v>
      </c>
    </row>
    <row r="1344">
      <c r="T1344" s="494" t="s">
        <v>622</v>
      </c>
      <c r="AB1344" s="489">
        <v>1342.0</v>
      </c>
      <c r="AC1344" s="490">
        <f t="shared" si="5"/>
        <v>36988395505</v>
      </c>
      <c r="AD1344" s="491">
        <f t="shared" si="1"/>
        <v>1500</v>
      </c>
      <c r="AE1344" s="492">
        <f t="shared" si="2"/>
        <v>0.009063325885</v>
      </c>
      <c r="AF1344" s="490">
        <f t="shared" si="3"/>
        <v>37323634887</v>
      </c>
      <c r="AG1344" s="493">
        <f t="shared" si="6"/>
        <v>2053306.351</v>
      </c>
      <c r="AH1344" s="493">
        <f t="shared" si="4"/>
        <v>37321581581</v>
      </c>
    </row>
    <row r="1345">
      <c r="T1345" s="494" t="s">
        <v>622</v>
      </c>
      <c r="AB1345" s="489">
        <v>1343.0</v>
      </c>
      <c r="AC1345" s="490">
        <f t="shared" si="5"/>
        <v>37323634887</v>
      </c>
      <c r="AD1345" s="491">
        <f t="shared" si="1"/>
        <v>1500</v>
      </c>
      <c r="AE1345" s="492">
        <f t="shared" si="2"/>
        <v>0.009063325885</v>
      </c>
      <c r="AF1345" s="490">
        <f t="shared" si="3"/>
        <v>37661912654</v>
      </c>
      <c r="AG1345" s="493">
        <f t="shared" si="6"/>
        <v>2054806.351</v>
      </c>
      <c r="AH1345" s="493">
        <f t="shared" si="4"/>
        <v>37659857847</v>
      </c>
    </row>
    <row r="1346">
      <c r="T1346" s="494" t="s">
        <v>622</v>
      </c>
      <c r="AB1346" s="489">
        <v>1344.0</v>
      </c>
      <c r="AC1346" s="490">
        <f t="shared" si="5"/>
        <v>37661912654</v>
      </c>
      <c r="AD1346" s="491">
        <f t="shared" si="1"/>
        <v>1500</v>
      </c>
      <c r="AE1346" s="492">
        <f t="shared" si="2"/>
        <v>0.009063325885</v>
      </c>
      <c r="AF1346" s="490">
        <f t="shared" si="3"/>
        <v>38003256341</v>
      </c>
      <c r="AG1346" s="493">
        <f t="shared" si="6"/>
        <v>2056306.351</v>
      </c>
      <c r="AH1346" s="493">
        <f t="shared" si="4"/>
        <v>38001200035</v>
      </c>
    </row>
    <row r="1347">
      <c r="T1347" s="494" t="s">
        <v>622</v>
      </c>
      <c r="AB1347" s="489">
        <v>1345.0</v>
      </c>
      <c r="AC1347" s="490">
        <f t="shared" si="5"/>
        <v>38003256341</v>
      </c>
      <c r="AD1347" s="491">
        <f t="shared" si="1"/>
        <v>1500</v>
      </c>
      <c r="AE1347" s="492">
        <f t="shared" si="2"/>
        <v>0.009063325885</v>
      </c>
      <c r="AF1347" s="490">
        <f t="shared" si="3"/>
        <v>38347693738</v>
      </c>
      <c r="AG1347" s="493">
        <f t="shared" si="6"/>
        <v>2057806.351</v>
      </c>
      <c r="AH1347" s="493">
        <f t="shared" si="4"/>
        <v>38345635932</v>
      </c>
    </row>
    <row r="1348">
      <c r="T1348" s="494" t="s">
        <v>622</v>
      </c>
      <c r="AB1348" s="489">
        <v>1346.0</v>
      </c>
      <c r="AC1348" s="490">
        <f t="shared" si="5"/>
        <v>38347693738</v>
      </c>
      <c r="AD1348" s="491">
        <f t="shared" si="1"/>
        <v>1500</v>
      </c>
      <c r="AE1348" s="492">
        <f t="shared" si="2"/>
        <v>0.009063325885</v>
      </c>
      <c r="AF1348" s="490">
        <f t="shared" si="3"/>
        <v>38695252884</v>
      </c>
      <c r="AG1348" s="493">
        <f t="shared" si="6"/>
        <v>2059306.351</v>
      </c>
      <c r="AH1348" s="493">
        <f t="shared" si="4"/>
        <v>38693193577</v>
      </c>
    </row>
    <row r="1349">
      <c r="T1349" s="494" t="s">
        <v>622</v>
      </c>
      <c r="AB1349" s="489">
        <v>1347.0</v>
      </c>
      <c r="AC1349" s="490">
        <f t="shared" si="5"/>
        <v>38695252884</v>
      </c>
      <c r="AD1349" s="491">
        <f t="shared" si="1"/>
        <v>1500</v>
      </c>
      <c r="AE1349" s="492">
        <f t="shared" si="2"/>
        <v>0.009063325885</v>
      </c>
      <c r="AF1349" s="490">
        <f t="shared" si="3"/>
        <v>39045962071</v>
      </c>
      <c r="AG1349" s="493">
        <f t="shared" si="6"/>
        <v>2060806.351</v>
      </c>
      <c r="AH1349" s="493">
        <f t="shared" si="4"/>
        <v>39043901264</v>
      </c>
    </row>
    <row r="1350">
      <c r="T1350" s="494" t="s">
        <v>622</v>
      </c>
      <c r="AB1350" s="489">
        <v>1348.0</v>
      </c>
      <c r="AC1350" s="490">
        <f t="shared" si="5"/>
        <v>39045962071</v>
      </c>
      <c r="AD1350" s="491">
        <f t="shared" si="1"/>
        <v>1500</v>
      </c>
      <c r="AE1350" s="492">
        <f t="shared" si="2"/>
        <v>0.009063325885</v>
      </c>
      <c r="AF1350" s="490">
        <f t="shared" si="3"/>
        <v>39399849850</v>
      </c>
      <c r="AG1350" s="493">
        <f t="shared" si="6"/>
        <v>2062306.351</v>
      </c>
      <c r="AH1350" s="493">
        <f t="shared" si="4"/>
        <v>39397787543</v>
      </c>
    </row>
    <row r="1351">
      <c r="T1351" s="494" t="s">
        <v>622</v>
      </c>
      <c r="AB1351" s="489">
        <v>1349.0</v>
      </c>
      <c r="AC1351" s="490">
        <f t="shared" si="5"/>
        <v>39399849850</v>
      </c>
      <c r="AD1351" s="491">
        <f t="shared" si="1"/>
        <v>1500</v>
      </c>
      <c r="AE1351" s="492">
        <f t="shared" si="2"/>
        <v>0.009063325885</v>
      </c>
      <c r="AF1351" s="490">
        <f t="shared" si="3"/>
        <v>39756945029</v>
      </c>
      <c r="AG1351" s="493">
        <f t="shared" si="6"/>
        <v>2063806.351</v>
      </c>
      <c r="AH1351" s="493">
        <f t="shared" si="4"/>
        <v>39754881222</v>
      </c>
    </row>
    <row r="1352">
      <c r="T1352" s="494" t="s">
        <v>622</v>
      </c>
      <c r="AB1352" s="489">
        <v>1350.0</v>
      </c>
      <c r="AC1352" s="490">
        <f t="shared" si="5"/>
        <v>39756945029</v>
      </c>
      <c r="AD1352" s="491">
        <f t="shared" si="1"/>
        <v>1500</v>
      </c>
      <c r="AE1352" s="492">
        <f t="shared" si="2"/>
        <v>0.009063325885</v>
      </c>
      <c r="AF1352" s="490">
        <f t="shared" si="3"/>
        <v>40117276678</v>
      </c>
      <c r="AG1352" s="493">
        <f t="shared" si="6"/>
        <v>2065306.351</v>
      </c>
      <c r="AH1352" s="493">
        <f t="shared" si="4"/>
        <v>40115211371</v>
      </c>
    </row>
    <row r="1353">
      <c r="T1353" s="494" t="s">
        <v>622</v>
      </c>
      <c r="AB1353" s="489">
        <v>1351.0</v>
      </c>
      <c r="AC1353" s="490">
        <f t="shared" si="5"/>
        <v>40117276678</v>
      </c>
      <c r="AD1353" s="491">
        <f t="shared" si="1"/>
        <v>1500</v>
      </c>
      <c r="AE1353" s="492">
        <f t="shared" si="2"/>
        <v>0.009063325885</v>
      </c>
      <c r="AF1353" s="490">
        <f t="shared" si="3"/>
        <v>40480874130</v>
      </c>
      <c r="AG1353" s="493">
        <f t="shared" si="6"/>
        <v>2066806.351</v>
      </c>
      <c r="AH1353" s="493">
        <f t="shared" si="4"/>
        <v>40478807323</v>
      </c>
    </row>
    <row r="1354">
      <c r="T1354" s="494" t="s">
        <v>622</v>
      </c>
      <c r="AB1354" s="489">
        <v>1352.0</v>
      </c>
      <c r="AC1354" s="490">
        <f t="shared" si="5"/>
        <v>40480874130</v>
      </c>
      <c r="AD1354" s="491">
        <f t="shared" si="1"/>
        <v>1500</v>
      </c>
      <c r="AE1354" s="492">
        <f t="shared" si="2"/>
        <v>0.009063325885</v>
      </c>
      <c r="AF1354" s="490">
        <f t="shared" si="3"/>
        <v>40847766984</v>
      </c>
      <c r="AG1354" s="493">
        <f t="shared" si="6"/>
        <v>2068306.351</v>
      </c>
      <c r="AH1354" s="493">
        <f t="shared" si="4"/>
        <v>40845698678</v>
      </c>
    </row>
    <row r="1355">
      <c r="T1355" s="494" t="s">
        <v>622</v>
      </c>
      <c r="AB1355" s="489">
        <v>1353.0</v>
      </c>
      <c r="AC1355" s="490">
        <f t="shared" si="5"/>
        <v>40847766984</v>
      </c>
      <c r="AD1355" s="491">
        <f t="shared" si="1"/>
        <v>1500</v>
      </c>
      <c r="AE1355" s="492">
        <f t="shared" si="2"/>
        <v>0.009063325885</v>
      </c>
      <c r="AF1355" s="490">
        <f t="shared" si="3"/>
        <v>41217985108</v>
      </c>
      <c r="AG1355" s="493">
        <f t="shared" si="6"/>
        <v>2069806.351</v>
      </c>
      <c r="AH1355" s="493">
        <f t="shared" si="4"/>
        <v>41215915302</v>
      </c>
    </row>
    <row r="1356">
      <c r="T1356" s="494" t="s">
        <v>622</v>
      </c>
      <c r="AB1356" s="489">
        <v>1354.0</v>
      </c>
      <c r="AC1356" s="490">
        <f t="shared" si="5"/>
        <v>41217985108</v>
      </c>
      <c r="AD1356" s="491">
        <f t="shared" si="1"/>
        <v>1500</v>
      </c>
      <c r="AE1356" s="492">
        <f t="shared" si="2"/>
        <v>0.009063325885</v>
      </c>
      <c r="AF1356" s="490">
        <f t="shared" si="3"/>
        <v>41591558639</v>
      </c>
      <c r="AG1356" s="493">
        <f t="shared" si="6"/>
        <v>2071306.351</v>
      </c>
      <c r="AH1356" s="493">
        <f t="shared" si="4"/>
        <v>41589487333</v>
      </c>
    </row>
    <row r="1357">
      <c r="T1357" s="494" t="s">
        <v>622</v>
      </c>
      <c r="AB1357" s="489">
        <v>1355.0</v>
      </c>
      <c r="AC1357" s="490">
        <f t="shared" si="5"/>
        <v>41591558639</v>
      </c>
      <c r="AD1357" s="491">
        <f t="shared" si="1"/>
        <v>1500</v>
      </c>
      <c r="AE1357" s="492">
        <f t="shared" si="2"/>
        <v>0.009063325885</v>
      </c>
      <c r="AF1357" s="490">
        <f t="shared" si="3"/>
        <v>41968517989</v>
      </c>
      <c r="AG1357" s="493">
        <f t="shared" si="6"/>
        <v>2072806.351</v>
      </c>
      <c r="AH1357" s="493">
        <f t="shared" si="4"/>
        <v>41966445183</v>
      </c>
    </row>
    <row r="1358">
      <c r="T1358" s="494" t="s">
        <v>622</v>
      </c>
      <c r="AB1358" s="489">
        <v>1356.0</v>
      </c>
      <c r="AC1358" s="490">
        <f t="shared" si="5"/>
        <v>41968517989</v>
      </c>
      <c r="AD1358" s="491">
        <f t="shared" si="1"/>
        <v>1500</v>
      </c>
      <c r="AE1358" s="492">
        <f t="shared" si="2"/>
        <v>0.009063325885</v>
      </c>
      <c r="AF1358" s="490">
        <f t="shared" si="3"/>
        <v>42348893845</v>
      </c>
      <c r="AG1358" s="493">
        <f t="shared" si="6"/>
        <v>2074306.351</v>
      </c>
      <c r="AH1358" s="493">
        <f t="shared" si="4"/>
        <v>42346819538</v>
      </c>
    </row>
    <row r="1359">
      <c r="T1359" s="494" t="s">
        <v>622</v>
      </c>
      <c r="AB1359" s="489">
        <v>1357.0</v>
      </c>
      <c r="AC1359" s="490">
        <f t="shared" si="5"/>
        <v>42348893845</v>
      </c>
      <c r="AD1359" s="491">
        <f t="shared" si="1"/>
        <v>1500</v>
      </c>
      <c r="AE1359" s="492">
        <f t="shared" si="2"/>
        <v>0.009063325885</v>
      </c>
      <c r="AF1359" s="490">
        <f t="shared" si="3"/>
        <v>42732717170</v>
      </c>
      <c r="AG1359" s="493">
        <f t="shared" si="6"/>
        <v>2075806.351</v>
      </c>
      <c r="AH1359" s="493">
        <f t="shared" si="4"/>
        <v>42730641364</v>
      </c>
    </row>
    <row r="1360">
      <c r="T1360" s="494" t="s">
        <v>622</v>
      </c>
      <c r="AB1360" s="489">
        <v>1358.0</v>
      </c>
      <c r="AC1360" s="490">
        <f t="shared" si="5"/>
        <v>42732717170</v>
      </c>
      <c r="AD1360" s="491">
        <f t="shared" si="1"/>
        <v>1500</v>
      </c>
      <c r="AE1360" s="492">
        <f t="shared" si="2"/>
        <v>0.009063325885</v>
      </c>
      <c r="AF1360" s="490">
        <f t="shared" si="3"/>
        <v>43120019212</v>
      </c>
      <c r="AG1360" s="493">
        <f t="shared" si="6"/>
        <v>2077306.351</v>
      </c>
      <c r="AH1360" s="493">
        <f t="shared" si="4"/>
        <v>43117941906</v>
      </c>
    </row>
    <row r="1361">
      <c r="T1361" s="494" t="s">
        <v>622</v>
      </c>
      <c r="AB1361" s="489">
        <v>1359.0</v>
      </c>
      <c r="AC1361" s="490">
        <f t="shared" si="5"/>
        <v>43120019212</v>
      </c>
      <c r="AD1361" s="491">
        <f t="shared" si="1"/>
        <v>1500</v>
      </c>
      <c r="AE1361" s="492">
        <f t="shared" si="2"/>
        <v>0.009063325885</v>
      </c>
      <c r="AF1361" s="490">
        <f t="shared" si="3"/>
        <v>43510831498</v>
      </c>
      <c r="AG1361" s="493">
        <f t="shared" si="6"/>
        <v>2078806.351</v>
      </c>
      <c r="AH1361" s="493">
        <f t="shared" si="4"/>
        <v>43508752692</v>
      </c>
    </row>
    <row r="1362">
      <c r="T1362" s="494" t="s">
        <v>622</v>
      </c>
      <c r="AB1362" s="489">
        <v>1360.0</v>
      </c>
      <c r="AC1362" s="490">
        <f t="shared" si="5"/>
        <v>43510831498</v>
      </c>
      <c r="AD1362" s="491">
        <f t="shared" si="1"/>
        <v>1500</v>
      </c>
      <c r="AE1362" s="492">
        <f t="shared" si="2"/>
        <v>0.009063325885</v>
      </c>
      <c r="AF1362" s="490">
        <f t="shared" si="3"/>
        <v>43905185844</v>
      </c>
      <c r="AG1362" s="493">
        <f t="shared" si="6"/>
        <v>2080306.351</v>
      </c>
      <c r="AH1362" s="493">
        <f t="shared" si="4"/>
        <v>43903105537</v>
      </c>
    </row>
    <row r="1363">
      <c r="T1363" s="494" t="s">
        <v>622</v>
      </c>
      <c r="AB1363" s="489">
        <v>1361.0</v>
      </c>
      <c r="AC1363" s="490">
        <f t="shared" si="5"/>
        <v>43905185844</v>
      </c>
      <c r="AD1363" s="491">
        <f t="shared" si="1"/>
        <v>1500</v>
      </c>
      <c r="AE1363" s="492">
        <f t="shared" si="2"/>
        <v>0.009063325885</v>
      </c>
      <c r="AF1363" s="490">
        <f t="shared" si="3"/>
        <v>44303114351</v>
      </c>
      <c r="AG1363" s="493">
        <f t="shared" si="6"/>
        <v>2081806.351</v>
      </c>
      <c r="AH1363" s="493">
        <f t="shared" si="4"/>
        <v>44301032545</v>
      </c>
    </row>
    <row r="1364">
      <c r="T1364" s="494" t="s">
        <v>622</v>
      </c>
      <c r="AB1364" s="489">
        <v>1362.0</v>
      </c>
      <c r="AC1364" s="490">
        <f t="shared" si="5"/>
        <v>44303114351</v>
      </c>
      <c r="AD1364" s="491">
        <f t="shared" si="1"/>
        <v>1500</v>
      </c>
      <c r="AE1364" s="492">
        <f t="shared" si="2"/>
        <v>0.009063325885</v>
      </c>
      <c r="AF1364" s="490">
        <f t="shared" si="3"/>
        <v>44704649414</v>
      </c>
      <c r="AG1364" s="493">
        <f t="shared" si="6"/>
        <v>2083306.351</v>
      </c>
      <c r="AH1364" s="493">
        <f t="shared" si="4"/>
        <v>44702566108</v>
      </c>
    </row>
    <row r="1365">
      <c r="T1365" s="494" t="s">
        <v>622</v>
      </c>
      <c r="AB1365" s="489">
        <v>1363.0</v>
      </c>
      <c r="AC1365" s="490">
        <f t="shared" si="5"/>
        <v>44704649414</v>
      </c>
      <c r="AD1365" s="491">
        <f t="shared" si="1"/>
        <v>1500</v>
      </c>
      <c r="AE1365" s="492">
        <f t="shared" si="2"/>
        <v>0.009063325885</v>
      </c>
      <c r="AF1365" s="490">
        <f t="shared" si="3"/>
        <v>45109823720</v>
      </c>
      <c r="AG1365" s="493">
        <f t="shared" si="6"/>
        <v>2084806.351</v>
      </c>
      <c r="AH1365" s="493">
        <f t="shared" si="4"/>
        <v>45107738914</v>
      </c>
    </row>
    <row r="1366">
      <c r="T1366" s="494" t="s">
        <v>622</v>
      </c>
      <c r="AB1366" s="489">
        <v>1364.0</v>
      </c>
      <c r="AC1366" s="490">
        <f t="shared" si="5"/>
        <v>45109823720</v>
      </c>
      <c r="AD1366" s="491">
        <f t="shared" si="1"/>
        <v>1500</v>
      </c>
      <c r="AE1366" s="492">
        <f t="shared" si="2"/>
        <v>0.009063325885</v>
      </c>
      <c r="AF1366" s="490">
        <f t="shared" si="3"/>
        <v>45518670253</v>
      </c>
      <c r="AG1366" s="493">
        <f t="shared" si="6"/>
        <v>2086306.351</v>
      </c>
      <c r="AH1366" s="493">
        <f t="shared" si="4"/>
        <v>45516583947</v>
      </c>
    </row>
    <row r="1367">
      <c r="T1367" s="494" t="s">
        <v>622</v>
      </c>
      <c r="AB1367" s="489">
        <v>1365.0</v>
      </c>
      <c r="AC1367" s="490">
        <f t="shared" si="5"/>
        <v>45518670253</v>
      </c>
      <c r="AD1367" s="491">
        <f t="shared" si="1"/>
        <v>1500</v>
      </c>
      <c r="AE1367" s="492">
        <f t="shared" si="2"/>
        <v>0.009063325885</v>
      </c>
      <c r="AF1367" s="490">
        <f t="shared" si="3"/>
        <v>45931222296</v>
      </c>
      <c r="AG1367" s="493">
        <f t="shared" si="6"/>
        <v>2087806.351</v>
      </c>
      <c r="AH1367" s="493">
        <f t="shared" si="4"/>
        <v>45929134490</v>
      </c>
    </row>
    <row r="1368">
      <c r="T1368" s="494" t="s">
        <v>622</v>
      </c>
      <c r="AB1368" s="489">
        <v>1366.0</v>
      </c>
      <c r="AC1368" s="490">
        <f t="shared" si="5"/>
        <v>45931222296</v>
      </c>
      <c r="AD1368" s="491">
        <f t="shared" si="1"/>
        <v>1500</v>
      </c>
      <c r="AE1368" s="492">
        <f t="shared" si="2"/>
        <v>0.009063325885</v>
      </c>
      <c r="AF1368" s="490">
        <f t="shared" si="3"/>
        <v>46347513432</v>
      </c>
      <c r="AG1368" s="493">
        <f t="shared" si="6"/>
        <v>2089306.351</v>
      </c>
      <c r="AH1368" s="493">
        <f t="shared" si="4"/>
        <v>46345424125</v>
      </c>
    </row>
    <row r="1369">
      <c r="T1369" s="494" t="s">
        <v>622</v>
      </c>
      <c r="AB1369" s="489">
        <v>1367.0</v>
      </c>
      <c r="AC1369" s="490">
        <f t="shared" si="5"/>
        <v>46347513432</v>
      </c>
      <c r="AD1369" s="491">
        <f t="shared" si="1"/>
        <v>1500</v>
      </c>
      <c r="AE1369" s="492">
        <f t="shared" si="2"/>
        <v>0.009063325885</v>
      </c>
      <c r="AF1369" s="490">
        <f t="shared" si="3"/>
        <v>46767577550</v>
      </c>
      <c r="AG1369" s="493">
        <f t="shared" si="6"/>
        <v>2090806.351</v>
      </c>
      <c r="AH1369" s="493">
        <f t="shared" si="4"/>
        <v>46765486744</v>
      </c>
    </row>
    <row r="1370">
      <c r="T1370" s="494" t="s">
        <v>622</v>
      </c>
      <c r="AB1370" s="489">
        <v>1368.0</v>
      </c>
      <c r="AC1370" s="490">
        <f t="shared" si="5"/>
        <v>46767577550</v>
      </c>
      <c r="AD1370" s="491">
        <f t="shared" si="1"/>
        <v>1500</v>
      </c>
      <c r="AE1370" s="492">
        <f t="shared" si="2"/>
        <v>0.009063325885</v>
      </c>
      <c r="AF1370" s="490">
        <f t="shared" si="3"/>
        <v>47191448846</v>
      </c>
      <c r="AG1370" s="493">
        <f t="shared" si="6"/>
        <v>2092306.351</v>
      </c>
      <c r="AH1370" s="493">
        <f t="shared" si="4"/>
        <v>47189356540</v>
      </c>
    </row>
    <row r="1371">
      <c r="T1371" s="494" t="s">
        <v>622</v>
      </c>
      <c r="AB1371" s="489">
        <v>1369.0</v>
      </c>
      <c r="AC1371" s="490">
        <f t="shared" si="5"/>
        <v>47191448846</v>
      </c>
      <c r="AD1371" s="491">
        <f t="shared" si="1"/>
        <v>1500</v>
      </c>
      <c r="AE1371" s="492">
        <f t="shared" si="2"/>
        <v>0.009063325885</v>
      </c>
      <c r="AF1371" s="490">
        <f t="shared" si="3"/>
        <v>47619161826</v>
      </c>
      <c r="AG1371" s="493">
        <f t="shared" si="6"/>
        <v>2093806.351</v>
      </c>
      <c r="AH1371" s="493">
        <f t="shared" si="4"/>
        <v>47617068020</v>
      </c>
    </row>
    <row r="1372">
      <c r="T1372" s="494" t="s">
        <v>622</v>
      </c>
      <c r="AB1372" s="489">
        <v>1370.0</v>
      </c>
      <c r="AC1372" s="490">
        <f t="shared" si="5"/>
        <v>47619161826</v>
      </c>
      <c r="AD1372" s="491">
        <f t="shared" si="1"/>
        <v>1500</v>
      </c>
      <c r="AE1372" s="492">
        <f t="shared" si="2"/>
        <v>0.009063325885</v>
      </c>
      <c r="AF1372" s="490">
        <f t="shared" si="3"/>
        <v>48050751308</v>
      </c>
      <c r="AG1372" s="493">
        <f t="shared" si="6"/>
        <v>2095306.351</v>
      </c>
      <c r="AH1372" s="493">
        <f t="shared" si="4"/>
        <v>48048656002</v>
      </c>
    </row>
    <row r="1373">
      <c r="T1373" s="494" t="s">
        <v>622</v>
      </c>
      <c r="AB1373" s="489">
        <v>1371.0</v>
      </c>
      <c r="AC1373" s="490">
        <f t="shared" si="5"/>
        <v>48050751308</v>
      </c>
      <c r="AD1373" s="491">
        <f t="shared" si="1"/>
        <v>1500</v>
      </c>
      <c r="AE1373" s="492">
        <f t="shared" si="2"/>
        <v>0.009063325885</v>
      </c>
      <c r="AF1373" s="490">
        <f t="shared" si="3"/>
        <v>48486252426</v>
      </c>
      <c r="AG1373" s="493">
        <f t="shared" si="6"/>
        <v>2096806.351</v>
      </c>
      <c r="AH1373" s="493">
        <f t="shared" si="4"/>
        <v>48484155620</v>
      </c>
    </row>
    <row r="1374">
      <c r="T1374" s="494" t="s">
        <v>622</v>
      </c>
      <c r="AB1374" s="489">
        <v>1372.0</v>
      </c>
      <c r="AC1374" s="490">
        <f t="shared" si="5"/>
        <v>48486252426</v>
      </c>
      <c r="AD1374" s="491">
        <f t="shared" si="1"/>
        <v>1500</v>
      </c>
      <c r="AE1374" s="492">
        <f t="shared" si="2"/>
        <v>0.009063325885</v>
      </c>
      <c r="AF1374" s="490">
        <f t="shared" si="3"/>
        <v>48925700633</v>
      </c>
      <c r="AG1374" s="493">
        <f t="shared" si="6"/>
        <v>2098306.351</v>
      </c>
      <c r="AH1374" s="493">
        <f t="shared" si="4"/>
        <v>48923602327</v>
      </c>
    </row>
    <row r="1375">
      <c r="T1375" s="494" t="s">
        <v>622</v>
      </c>
      <c r="AB1375" s="489">
        <v>1373.0</v>
      </c>
      <c r="AC1375" s="490">
        <f t="shared" si="5"/>
        <v>48925700633</v>
      </c>
      <c r="AD1375" s="491">
        <f t="shared" si="1"/>
        <v>1500</v>
      </c>
      <c r="AE1375" s="492">
        <f t="shared" si="2"/>
        <v>0.009063325885</v>
      </c>
      <c r="AF1375" s="490">
        <f t="shared" si="3"/>
        <v>49369131702</v>
      </c>
      <c r="AG1375" s="493">
        <f t="shared" si="6"/>
        <v>2099806.351</v>
      </c>
      <c r="AH1375" s="493">
        <f t="shared" si="4"/>
        <v>49367031896</v>
      </c>
    </row>
    <row r="1376">
      <c r="T1376" s="494" t="s">
        <v>622</v>
      </c>
      <c r="AB1376" s="489">
        <v>1374.0</v>
      </c>
      <c r="AC1376" s="490">
        <f t="shared" si="5"/>
        <v>49369131702</v>
      </c>
      <c r="AD1376" s="491">
        <f t="shared" si="1"/>
        <v>1500</v>
      </c>
      <c r="AE1376" s="492">
        <f t="shared" si="2"/>
        <v>0.009063325885</v>
      </c>
      <c r="AF1376" s="490">
        <f t="shared" si="3"/>
        <v>49816581731</v>
      </c>
      <c r="AG1376" s="493">
        <f t="shared" si="6"/>
        <v>2101306.351</v>
      </c>
      <c r="AH1376" s="493">
        <f t="shared" si="4"/>
        <v>49814480425</v>
      </c>
    </row>
    <row r="1377">
      <c r="T1377" s="494" t="s">
        <v>622</v>
      </c>
      <c r="AB1377" s="489">
        <v>1375.0</v>
      </c>
      <c r="AC1377" s="490">
        <f t="shared" si="5"/>
        <v>49816581731</v>
      </c>
      <c r="AD1377" s="491">
        <f t="shared" si="1"/>
        <v>1500</v>
      </c>
      <c r="AE1377" s="492">
        <f t="shared" si="2"/>
        <v>0.009063325885</v>
      </c>
      <c r="AF1377" s="490">
        <f t="shared" si="3"/>
        <v>50268087146</v>
      </c>
      <c r="AG1377" s="493">
        <f t="shared" si="6"/>
        <v>2102806.351</v>
      </c>
      <c r="AH1377" s="493">
        <f t="shared" si="4"/>
        <v>50265984340</v>
      </c>
    </row>
    <row r="1378">
      <c r="T1378" s="494" t="s">
        <v>622</v>
      </c>
      <c r="AB1378" s="489">
        <v>1376.0</v>
      </c>
      <c r="AC1378" s="490">
        <f t="shared" si="5"/>
        <v>50268087146</v>
      </c>
      <c r="AD1378" s="491">
        <f t="shared" si="1"/>
        <v>1500</v>
      </c>
      <c r="AE1378" s="492">
        <f t="shared" si="2"/>
        <v>0.009063325885</v>
      </c>
      <c r="AF1378" s="490">
        <f t="shared" si="3"/>
        <v>50723684701</v>
      </c>
      <c r="AG1378" s="493">
        <f t="shared" si="6"/>
        <v>2104306.351</v>
      </c>
      <c r="AH1378" s="493">
        <f t="shared" si="4"/>
        <v>50721580395</v>
      </c>
    </row>
    <row r="1379">
      <c r="T1379" s="494" t="s">
        <v>622</v>
      </c>
      <c r="AB1379" s="489">
        <v>1377.0</v>
      </c>
      <c r="AC1379" s="490">
        <f t="shared" si="5"/>
        <v>50723684701</v>
      </c>
      <c r="AD1379" s="491">
        <f t="shared" si="1"/>
        <v>1500</v>
      </c>
      <c r="AE1379" s="492">
        <f t="shared" si="2"/>
        <v>0.009063325885</v>
      </c>
      <c r="AF1379" s="490">
        <f t="shared" si="3"/>
        <v>51183411486</v>
      </c>
      <c r="AG1379" s="493">
        <f t="shared" si="6"/>
        <v>2105806.351</v>
      </c>
      <c r="AH1379" s="493">
        <f t="shared" si="4"/>
        <v>51181305680</v>
      </c>
    </row>
    <row r="1380">
      <c r="T1380" s="494" t="s">
        <v>622</v>
      </c>
      <c r="AB1380" s="489">
        <v>1378.0</v>
      </c>
      <c r="AC1380" s="490">
        <f t="shared" si="5"/>
        <v>51183411486</v>
      </c>
      <c r="AD1380" s="491">
        <f t="shared" si="1"/>
        <v>1500</v>
      </c>
      <c r="AE1380" s="492">
        <f t="shared" si="2"/>
        <v>0.009063325885</v>
      </c>
      <c r="AF1380" s="490">
        <f t="shared" si="3"/>
        <v>51647304924</v>
      </c>
      <c r="AG1380" s="493">
        <f t="shared" si="6"/>
        <v>2107306.351</v>
      </c>
      <c r="AH1380" s="493">
        <f t="shared" si="4"/>
        <v>51645197618</v>
      </c>
    </row>
    <row r="1381">
      <c r="T1381" s="494" t="s">
        <v>622</v>
      </c>
      <c r="AB1381" s="489">
        <v>1379.0</v>
      </c>
      <c r="AC1381" s="490">
        <f t="shared" si="5"/>
        <v>51647304924</v>
      </c>
      <c r="AD1381" s="491">
        <f t="shared" si="1"/>
        <v>1500</v>
      </c>
      <c r="AE1381" s="492">
        <f t="shared" si="2"/>
        <v>0.009063325885</v>
      </c>
      <c r="AF1381" s="490">
        <f t="shared" si="3"/>
        <v>52115402780</v>
      </c>
      <c r="AG1381" s="493">
        <f t="shared" si="6"/>
        <v>2108806.351</v>
      </c>
      <c r="AH1381" s="493">
        <f t="shared" si="4"/>
        <v>52113293973</v>
      </c>
    </row>
    <row r="1382">
      <c r="T1382" s="494" t="s">
        <v>622</v>
      </c>
      <c r="AB1382" s="489">
        <v>1380.0</v>
      </c>
      <c r="AC1382" s="490">
        <f t="shared" si="5"/>
        <v>52115402780</v>
      </c>
      <c r="AD1382" s="491">
        <f t="shared" si="1"/>
        <v>1500</v>
      </c>
      <c r="AE1382" s="492">
        <f t="shared" si="2"/>
        <v>0.009063325885</v>
      </c>
      <c r="AF1382" s="490">
        <f t="shared" si="3"/>
        <v>52587743159</v>
      </c>
      <c r="AG1382" s="493">
        <f t="shared" si="6"/>
        <v>2110306.351</v>
      </c>
      <c r="AH1382" s="493">
        <f t="shared" si="4"/>
        <v>52585632852</v>
      </c>
    </row>
    <row r="1383">
      <c r="T1383" s="494" t="s">
        <v>622</v>
      </c>
      <c r="AB1383" s="489">
        <v>1381.0</v>
      </c>
      <c r="AC1383" s="490">
        <f t="shared" si="5"/>
        <v>52587743159</v>
      </c>
      <c r="AD1383" s="491">
        <f t="shared" si="1"/>
        <v>1500</v>
      </c>
      <c r="AE1383" s="492">
        <f t="shared" si="2"/>
        <v>0.009063325885</v>
      </c>
      <c r="AF1383" s="490">
        <f t="shared" si="3"/>
        <v>53064364513</v>
      </c>
      <c r="AG1383" s="493">
        <f t="shared" si="6"/>
        <v>2111806.351</v>
      </c>
      <c r="AH1383" s="493">
        <f t="shared" si="4"/>
        <v>53062252706</v>
      </c>
    </row>
    <row r="1384">
      <c r="T1384" s="494" t="s">
        <v>622</v>
      </c>
      <c r="AB1384" s="489">
        <v>1382.0</v>
      </c>
      <c r="AC1384" s="490">
        <f t="shared" si="5"/>
        <v>53064364513</v>
      </c>
      <c r="AD1384" s="491">
        <f t="shared" si="1"/>
        <v>1500</v>
      </c>
      <c r="AE1384" s="492">
        <f t="shared" si="2"/>
        <v>0.009063325885</v>
      </c>
      <c r="AF1384" s="490">
        <f t="shared" si="3"/>
        <v>53545305641</v>
      </c>
      <c r="AG1384" s="493">
        <f t="shared" si="6"/>
        <v>2113306.351</v>
      </c>
      <c r="AH1384" s="493">
        <f t="shared" si="4"/>
        <v>53543192335</v>
      </c>
    </row>
    <row r="1385">
      <c r="T1385" s="494" t="s">
        <v>622</v>
      </c>
      <c r="AB1385" s="489">
        <v>1383.0</v>
      </c>
      <c r="AC1385" s="490">
        <f t="shared" si="5"/>
        <v>53545305641</v>
      </c>
      <c r="AD1385" s="491">
        <f t="shared" si="1"/>
        <v>1500</v>
      </c>
      <c r="AE1385" s="492">
        <f t="shared" si="2"/>
        <v>0.009063325885</v>
      </c>
      <c r="AF1385" s="490">
        <f t="shared" si="3"/>
        <v>54030605696</v>
      </c>
      <c r="AG1385" s="493">
        <f t="shared" si="6"/>
        <v>2114806.351</v>
      </c>
      <c r="AH1385" s="493">
        <f t="shared" si="4"/>
        <v>54028490889</v>
      </c>
    </row>
    <row r="1386">
      <c r="T1386" s="494" t="s">
        <v>622</v>
      </c>
      <c r="AB1386" s="489">
        <v>1384.0</v>
      </c>
      <c r="AC1386" s="490">
        <f t="shared" si="5"/>
        <v>54030605696</v>
      </c>
      <c r="AD1386" s="491">
        <f t="shared" si="1"/>
        <v>1500</v>
      </c>
      <c r="AE1386" s="492">
        <f t="shared" si="2"/>
        <v>0.009063325885</v>
      </c>
      <c r="AF1386" s="490">
        <f t="shared" si="3"/>
        <v>54520304183</v>
      </c>
      <c r="AG1386" s="493">
        <f t="shared" si="6"/>
        <v>2116306.351</v>
      </c>
      <c r="AH1386" s="493">
        <f t="shared" si="4"/>
        <v>54518187876</v>
      </c>
    </row>
    <row r="1387">
      <c r="T1387" s="494" t="s">
        <v>622</v>
      </c>
      <c r="AB1387" s="489">
        <v>1385.0</v>
      </c>
      <c r="AC1387" s="490">
        <f t="shared" si="5"/>
        <v>54520304183</v>
      </c>
      <c r="AD1387" s="491">
        <f t="shared" si="1"/>
        <v>1500</v>
      </c>
      <c r="AE1387" s="492">
        <f t="shared" si="2"/>
        <v>0.009063325885</v>
      </c>
      <c r="AF1387" s="490">
        <f t="shared" si="3"/>
        <v>55014440967</v>
      </c>
      <c r="AG1387" s="493">
        <f t="shared" si="6"/>
        <v>2117806.351</v>
      </c>
      <c r="AH1387" s="493">
        <f t="shared" si="4"/>
        <v>55012323161</v>
      </c>
    </row>
    <row r="1388">
      <c r="T1388" s="494" t="s">
        <v>622</v>
      </c>
      <c r="AB1388" s="489">
        <v>1386.0</v>
      </c>
      <c r="AC1388" s="490">
        <f t="shared" si="5"/>
        <v>55014440967</v>
      </c>
      <c r="AD1388" s="491">
        <f t="shared" si="1"/>
        <v>1500</v>
      </c>
      <c r="AE1388" s="492">
        <f t="shared" si="2"/>
        <v>0.009063325885</v>
      </c>
      <c r="AF1388" s="490">
        <f t="shared" si="3"/>
        <v>55513056274</v>
      </c>
      <c r="AG1388" s="493">
        <f t="shared" si="6"/>
        <v>2119306.351</v>
      </c>
      <c r="AH1388" s="493">
        <f t="shared" si="4"/>
        <v>55510936968</v>
      </c>
    </row>
    <row r="1389">
      <c r="T1389" s="494" t="s">
        <v>622</v>
      </c>
      <c r="AB1389" s="489">
        <v>1387.0</v>
      </c>
      <c r="AC1389" s="490">
        <f t="shared" si="5"/>
        <v>55513056274</v>
      </c>
      <c r="AD1389" s="491">
        <f t="shared" si="1"/>
        <v>1500</v>
      </c>
      <c r="AE1389" s="492">
        <f t="shared" si="2"/>
        <v>0.009063325885</v>
      </c>
      <c r="AF1389" s="490">
        <f t="shared" si="3"/>
        <v>56016190694</v>
      </c>
      <c r="AG1389" s="493">
        <f t="shared" si="6"/>
        <v>2120806.351</v>
      </c>
      <c r="AH1389" s="493">
        <f t="shared" si="4"/>
        <v>56014069887</v>
      </c>
    </row>
    <row r="1390">
      <c r="T1390" s="494" t="s">
        <v>622</v>
      </c>
      <c r="AB1390" s="489">
        <v>1388.0</v>
      </c>
      <c r="AC1390" s="490">
        <f t="shared" si="5"/>
        <v>56016190694</v>
      </c>
      <c r="AD1390" s="491">
        <f t="shared" si="1"/>
        <v>1500</v>
      </c>
      <c r="AE1390" s="492">
        <f t="shared" si="2"/>
        <v>0.009063325885</v>
      </c>
      <c r="AF1390" s="490">
        <f t="shared" si="3"/>
        <v>56523885185</v>
      </c>
      <c r="AG1390" s="493">
        <f t="shared" si="6"/>
        <v>2122306.351</v>
      </c>
      <c r="AH1390" s="493">
        <f t="shared" si="4"/>
        <v>56521762878</v>
      </c>
    </row>
    <row r="1391">
      <c r="T1391" s="494" t="s">
        <v>622</v>
      </c>
      <c r="AB1391" s="489">
        <v>1389.0</v>
      </c>
      <c r="AC1391" s="490">
        <f t="shared" si="5"/>
        <v>56523885185</v>
      </c>
      <c r="AD1391" s="491">
        <f t="shared" si="1"/>
        <v>1500</v>
      </c>
      <c r="AE1391" s="492">
        <f t="shared" si="2"/>
        <v>0.009063325885</v>
      </c>
      <c r="AF1391" s="490">
        <f t="shared" si="3"/>
        <v>57036181077</v>
      </c>
      <c r="AG1391" s="493">
        <f t="shared" si="6"/>
        <v>2123806.351</v>
      </c>
      <c r="AH1391" s="493">
        <f t="shared" si="4"/>
        <v>57034057270</v>
      </c>
    </row>
    <row r="1392">
      <c r="T1392" s="494" t="s">
        <v>622</v>
      </c>
      <c r="AB1392" s="489">
        <v>1390.0</v>
      </c>
      <c r="AC1392" s="490">
        <f t="shared" si="5"/>
        <v>57036181077</v>
      </c>
      <c r="AD1392" s="491">
        <f t="shared" si="1"/>
        <v>1500</v>
      </c>
      <c r="AE1392" s="492">
        <f t="shared" si="2"/>
        <v>0.009063325885</v>
      </c>
      <c r="AF1392" s="490">
        <f t="shared" si="3"/>
        <v>57553120073</v>
      </c>
      <c r="AG1392" s="493">
        <f t="shared" si="6"/>
        <v>2125306.351</v>
      </c>
      <c r="AH1392" s="493">
        <f t="shared" si="4"/>
        <v>57550994767</v>
      </c>
    </row>
    <row r="1393">
      <c r="T1393" s="494" t="s">
        <v>622</v>
      </c>
      <c r="AB1393" s="489">
        <v>1391.0</v>
      </c>
      <c r="AC1393" s="490">
        <f t="shared" si="5"/>
        <v>57553120073</v>
      </c>
      <c r="AD1393" s="491">
        <f t="shared" si="1"/>
        <v>1500</v>
      </c>
      <c r="AE1393" s="492">
        <f t="shared" si="2"/>
        <v>0.009063325885</v>
      </c>
      <c r="AF1393" s="490">
        <f t="shared" si="3"/>
        <v>58074744256</v>
      </c>
      <c r="AG1393" s="493">
        <f t="shared" si="6"/>
        <v>2126806.351</v>
      </c>
      <c r="AH1393" s="493">
        <f t="shared" si="4"/>
        <v>58072617449</v>
      </c>
    </row>
    <row r="1394">
      <c r="T1394" s="494" t="s">
        <v>622</v>
      </c>
      <c r="AB1394" s="489">
        <v>1392.0</v>
      </c>
      <c r="AC1394" s="490">
        <f t="shared" si="5"/>
        <v>58074744256</v>
      </c>
      <c r="AD1394" s="491">
        <f t="shared" si="1"/>
        <v>1500</v>
      </c>
      <c r="AE1394" s="492">
        <f t="shared" si="2"/>
        <v>0.009063325885</v>
      </c>
      <c r="AF1394" s="490">
        <f t="shared" si="3"/>
        <v>58601096089</v>
      </c>
      <c r="AG1394" s="493">
        <f t="shared" si="6"/>
        <v>2128306.351</v>
      </c>
      <c r="AH1394" s="493">
        <f t="shared" si="4"/>
        <v>58598967782</v>
      </c>
    </row>
    <row r="1395">
      <c r="T1395" s="494" t="s">
        <v>622</v>
      </c>
      <c r="AB1395" s="489">
        <v>1393.0</v>
      </c>
      <c r="AC1395" s="490">
        <f t="shared" si="5"/>
        <v>58601096089</v>
      </c>
      <c r="AD1395" s="491">
        <f t="shared" si="1"/>
        <v>1500</v>
      </c>
      <c r="AE1395" s="492">
        <f t="shared" si="2"/>
        <v>0.009063325885</v>
      </c>
      <c r="AF1395" s="490">
        <f t="shared" si="3"/>
        <v>59132218420</v>
      </c>
      <c r="AG1395" s="493">
        <f t="shared" si="6"/>
        <v>2129806.351</v>
      </c>
      <c r="AH1395" s="493">
        <f t="shared" si="4"/>
        <v>59130088613</v>
      </c>
    </row>
    <row r="1396">
      <c r="T1396" s="494" t="s">
        <v>622</v>
      </c>
      <c r="AB1396" s="489">
        <v>1394.0</v>
      </c>
      <c r="AC1396" s="490">
        <f t="shared" si="5"/>
        <v>59132218420</v>
      </c>
      <c r="AD1396" s="491">
        <f t="shared" si="1"/>
        <v>1500</v>
      </c>
      <c r="AE1396" s="492">
        <f t="shared" si="2"/>
        <v>0.009063325885</v>
      </c>
      <c r="AF1396" s="490">
        <f t="shared" si="3"/>
        <v>59668154486</v>
      </c>
      <c r="AG1396" s="493">
        <f t="shared" si="6"/>
        <v>2131306.351</v>
      </c>
      <c r="AH1396" s="493">
        <f t="shared" si="4"/>
        <v>59666023179</v>
      </c>
    </row>
    <row r="1397">
      <c r="T1397" s="494" t="s">
        <v>622</v>
      </c>
      <c r="AB1397" s="489">
        <v>1395.0</v>
      </c>
      <c r="AC1397" s="490">
        <f t="shared" si="5"/>
        <v>59668154486</v>
      </c>
      <c r="AD1397" s="491">
        <f t="shared" si="1"/>
        <v>1500</v>
      </c>
      <c r="AE1397" s="492">
        <f t="shared" si="2"/>
        <v>0.009063325885</v>
      </c>
      <c r="AF1397" s="490">
        <f t="shared" si="3"/>
        <v>60208947915</v>
      </c>
      <c r="AG1397" s="493">
        <f t="shared" si="6"/>
        <v>2132806.351</v>
      </c>
      <c r="AH1397" s="493">
        <f t="shared" si="4"/>
        <v>60206815108</v>
      </c>
    </row>
    <row r="1398">
      <c r="T1398" s="494" t="s">
        <v>622</v>
      </c>
      <c r="AB1398" s="489">
        <v>1396.0</v>
      </c>
      <c r="AC1398" s="490">
        <f t="shared" si="5"/>
        <v>60208947915</v>
      </c>
      <c r="AD1398" s="491">
        <f t="shared" si="1"/>
        <v>1500</v>
      </c>
      <c r="AE1398" s="492">
        <f t="shared" si="2"/>
        <v>0.009063325885</v>
      </c>
      <c r="AF1398" s="490">
        <f t="shared" si="3"/>
        <v>60754642731</v>
      </c>
      <c r="AG1398" s="493">
        <f t="shared" si="6"/>
        <v>2134306.351</v>
      </c>
      <c r="AH1398" s="493">
        <f t="shared" si="4"/>
        <v>60752508424</v>
      </c>
    </row>
    <row r="1399">
      <c r="T1399" s="494" t="s">
        <v>622</v>
      </c>
      <c r="AB1399" s="489">
        <v>1397.0</v>
      </c>
      <c r="AC1399" s="490">
        <f t="shared" si="5"/>
        <v>60754642731</v>
      </c>
      <c r="AD1399" s="491">
        <f t="shared" si="1"/>
        <v>1500</v>
      </c>
      <c r="AE1399" s="492">
        <f t="shared" si="2"/>
        <v>0.009063325885</v>
      </c>
      <c r="AF1399" s="490">
        <f t="shared" si="3"/>
        <v>61305283357</v>
      </c>
      <c r="AG1399" s="493">
        <f t="shared" si="6"/>
        <v>2135806.351</v>
      </c>
      <c r="AH1399" s="493">
        <f t="shared" si="4"/>
        <v>61303147551</v>
      </c>
    </row>
    <row r="1400">
      <c r="T1400" s="494" t="s">
        <v>622</v>
      </c>
      <c r="AB1400" s="489">
        <v>1398.0</v>
      </c>
      <c r="AC1400" s="490">
        <f t="shared" si="5"/>
        <v>61305283357</v>
      </c>
      <c r="AD1400" s="491">
        <f t="shared" si="1"/>
        <v>1500</v>
      </c>
      <c r="AE1400" s="492">
        <f t="shared" si="2"/>
        <v>0.009063325885</v>
      </c>
      <c r="AF1400" s="490">
        <f t="shared" si="3"/>
        <v>61860914618</v>
      </c>
      <c r="AG1400" s="493">
        <f t="shared" si="6"/>
        <v>2137306.351</v>
      </c>
      <c r="AH1400" s="493">
        <f t="shared" si="4"/>
        <v>61858777312</v>
      </c>
    </row>
    <row r="1401">
      <c r="T1401" s="494" t="s">
        <v>622</v>
      </c>
      <c r="AB1401" s="489">
        <v>1399.0</v>
      </c>
      <c r="AC1401" s="490">
        <f t="shared" si="5"/>
        <v>61860914618</v>
      </c>
      <c r="AD1401" s="491">
        <f t="shared" si="1"/>
        <v>1500</v>
      </c>
      <c r="AE1401" s="492">
        <f t="shared" si="2"/>
        <v>0.009063325885</v>
      </c>
      <c r="AF1401" s="490">
        <f t="shared" si="3"/>
        <v>62421581747</v>
      </c>
      <c r="AG1401" s="493">
        <f t="shared" si="6"/>
        <v>2138806.351</v>
      </c>
      <c r="AH1401" s="493">
        <f t="shared" si="4"/>
        <v>62419442941</v>
      </c>
    </row>
    <row r="1402">
      <c r="T1402" s="494" t="s">
        <v>622</v>
      </c>
      <c r="AB1402" s="489">
        <v>1400.0</v>
      </c>
      <c r="AC1402" s="490">
        <f t="shared" si="5"/>
        <v>62421581747</v>
      </c>
      <c r="AD1402" s="491">
        <f t="shared" si="1"/>
        <v>1500</v>
      </c>
      <c r="AE1402" s="492">
        <f t="shared" si="2"/>
        <v>0.009063325885</v>
      </c>
      <c r="AF1402" s="490">
        <f t="shared" si="3"/>
        <v>62987330385</v>
      </c>
      <c r="AG1402" s="493">
        <f t="shared" si="6"/>
        <v>2140306.351</v>
      </c>
      <c r="AH1402" s="493">
        <f t="shared" si="4"/>
        <v>62985190079</v>
      </c>
    </row>
    <row r="1403">
      <c r="T1403" s="494" t="s">
        <v>622</v>
      </c>
      <c r="AB1403" s="489">
        <v>1401.0</v>
      </c>
      <c r="AC1403" s="490">
        <f t="shared" si="5"/>
        <v>62987330385</v>
      </c>
      <c r="AD1403" s="491">
        <f t="shared" si="1"/>
        <v>1500</v>
      </c>
      <c r="AE1403" s="492">
        <f t="shared" si="2"/>
        <v>0.009063325885</v>
      </c>
      <c r="AF1403" s="490">
        <f t="shared" si="3"/>
        <v>63558206587</v>
      </c>
      <c r="AG1403" s="493">
        <f t="shared" si="6"/>
        <v>2141806.351</v>
      </c>
      <c r="AH1403" s="493">
        <f t="shared" si="4"/>
        <v>63556064780</v>
      </c>
    </row>
    <row r="1404">
      <c r="T1404" s="494" t="s">
        <v>622</v>
      </c>
      <c r="AB1404" s="489">
        <v>1402.0</v>
      </c>
      <c r="AC1404" s="490">
        <f t="shared" si="5"/>
        <v>63558206587</v>
      </c>
      <c r="AD1404" s="491">
        <f t="shared" si="1"/>
        <v>1500</v>
      </c>
      <c r="AE1404" s="492">
        <f t="shared" si="2"/>
        <v>0.009063325885</v>
      </c>
      <c r="AF1404" s="490">
        <f t="shared" si="3"/>
        <v>64134256826</v>
      </c>
      <c r="AG1404" s="493">
        <f t="shared" si="6"/>
        <v>2143306.351</v>
      </c>
      <c r="AH1404" s="493">
        <f t="shared" si="4"/>
        <v>64132113519</v>
      </c>
    </row>
    <row r="1405">
      <c r="T1405" s="494" t="s">
        <v>622</v>
      </c>
      <c r="AB1405" s="489">
        <v>1403.0</v>
      </c>
      <c r="AC1405" s="490">
        <f t="shared" si="5"/>
        <v>64134256826</v>
      </c>
      <c r="AD1405" s="491">
        <f t="shared" si="1"/>
        <v>1500</v>
      </c>
      <c r="AE1405" s="492">
        <f t="shared" si="2"/>
        <v>0.009063325885</v>
      </c>
      <c r="AF1405" s="490">
        <f t="shared" si="3"/>
        <v>64715527996</v>
      </c>
      <c r="AG1405" s="493">
        <f t="shared" si="6"/>
        <v>2144806.351</v>
      </c>
      <c r="AH1405" s="493">
        <f t="shared" si="4"/>
        <v>64713383189</v>
      </c>
    </row>
    <row r="1406">
      <c r="T1406" s="494" t="s">
        <v>622</v>
      </c>
      <c r="AB1406" s="489">
        <v>1404.0</v>
      </c>
      <c r="AC1406" s="490">
        <f t="shared" si="5"/>
        <v>64715527996</v>
      </c>
      <c r="AD1406" s="491">
        <f t="shared" si="1"/>
        <v>1500</v>
      </c>
      <c r="AE1406" s="492">
        <f t="shared" si="2"/>
        <v>0.009063325885</v>
      </c>
      <c r="AF1406" s="490">
        <f t="shared" si="3"/>
        <v>65302067416</v>
      </c>
      <c r="AG1406" s="493">
        <f t="shared" si="6"/>
        <v>2146306.351</v>
      </c>
      <c r="AH1406" s="493">
        <f t="shared" si="4"/>
        <v>65299921109</v>
      </c>
    </row>
    <row r="1407">
      <c r="T1407" s="494" t="s">
        <v>622</v>
      </c>
      <c r="AB1407" s="489">
        <v>1405.0</v>
      </c>
      <c r="AC1407" s="490">
        <f t="shared" si="5"/>
        <v>65302067416</v>
      </c>
      <c r="AD1407" s="491">
        <f t="shared" si="1"/>
        <v>1500</v>
      </c>
      <c r="AE1407" s="492">
        <f t="shared" si="2"/>
        <v>0.009063325885</v>
      </c>
      <c r="AF1407" s="490">
        <f t="shared" si="3"/>
        <v>65893922834</v>
      </c>
      <c r="AG1407" s="493">
        <f t="shared" si="6"/>
        <v>2147806.351</v>
      </c>
      <c r="AH1407" s="493">
        <f t="shared" si="4"/>
        <v>65891775027</v>
      </c>
    </row>
    <row r="1408">
      <c r="T1408" s="494" t="s">
        <v>622</v>
      </c>
      <c r="AB1408" s="489">
        <v>1406.0</v>
      </c>
      <c r="AC1408" s="490">
        <f t="shared" si="5"/>
        <v>65893922834</v>
      </c>
      <c r="AD1408" s="491">
        <f t="shared" si="1"/>
        <v>1500</v>
      </c>
      <c r="AE1408" s="492">
        <f t="shared" si="2"/>
        <v>0.009063325885</v>
      </c>
      <c r="AF1408" s="490">
        <f t="shared" si="3"/>
        <v>66491142430</v>
      </c>
      <c r="AG1408" s="493">
        <f t="shared" si="6"/>
        <v>2149306.351</v>
      </c>
      <c r="AH1408" s="493">
        <f t="shared" si="4"/>
        <v>66488993124</v>
      </c>
    </row>
    <row r="1409">
      <c r="T1409" s="494" t="s">
        <v>622</v>
      </c>
      <c r="AB1409" s="489">
        <v>1407.0</v>
      </c>
      <c r="AC1409" s="490">
        <f t="shared" si="5"/>
        <v>66491142430</v>
      </c>
      <c r="AD1409" s="491">
        <f t="shared" si="1"/>
        <v>1500</v>
      </c>
      <c r="AE1409" s="492">
        <f t="shared" si="2"/>
        <v>0.009063325885</v>
      </c>
      <c r="AF1409" s="490">
        <f t="shared" si="3"/>
        <v>67093774823</v>
      </c>
      <c r="AG1409" s="493">
        <f t="shared" si="6"/>
        <v>2150806.351</v>
      </c>
      <c r="AH1409" s="493">
        <f t="shared" si="4"/>
        <v>67091624016</v>
      </c>
    </row>
    <row r="1410">
      <c r="T1410" s="494" t="s">
        <v>622</v>
      </c>
      <c r="AB1410" s="489">
        <v>1408.0</v>
      </c>
      <c r="AC1410" s="490">
        <f t="shared" si="5"/>
        <v>67093774823</v>
      </c>
      <c r="AD1410" s="491">
        <f t="shared" si="1"/>
        <v>1500</v>
      </c>
      <c r="AE1410" s="492">
        <f t="shared" si="2"/>
        <v>0.009063325885</v>
      </c>
      <c r="AF1410" s="490">
        <f t="shared" si="3"/>
        <v>67701869069</v>
      </c>
      <c r="AG1410" s="493">
        <f t="shared" si="6"/>
        <v>2152306.351</v>
      </c>
      <c r="AH1410" s="493">
        <f t="shared" si="4"/>
        <v>67699716762</v>
      </c>
    </row>
    <row r="1411">
      <c r="T1411" s="494" t="s">
        <v>622</v>
      </c>
      <c r="AB1411" s="489">
        <v>1409.0</v>
      </c>
      <c r="AC1411" s="490">
        <f t="shared" si="5"/>
        <v>67701869069</v>
      </c>
      <c r="AD1411" s="491">
        <f t="shared" si="1"/>
        <v>1500</v>
      </c>
      <c r="AE1411" s="492">
        <f t="shared" si="2"/>
        <v>0.009063325885</v>
      </c>
      <c r="AF1411" s="490">
        <f t="shared" si="3"/>
        <v>68315474671</v>
      </c>
      <c r="AG1411" s="493">
        <f t="shared" si="6"/>
        <v>2153806.351</v>
      </c>
      <c r="AH1411" s="493">
        <f t="shared" si="4"/>
        <v>68313320865</v>
      </c>
    </row>
    <row r="1412">
      <c r="T1412" s="494" t="s">
        <v>622</v>
      </c>
      <c r="AB1412" s="489">
        <v>1410.0</v>
      </c>
      <c r="AC1412" s="490">
        <f t="shared" si="5"/>
        <v>68315474671</v>
      </c>
      <c r="AD1412" s="491">
        <f t="shared" si="1"/>
        <v>1500</v>
      </c>
      <c r="AE1412" s="492">
        <f t="shared" si="2"/>
        <v>0.009063325885</v>
      </c>
      <c r="AF1412" s="490">
        <f t="shared" si="3"/>
        <v>68934641581</v>
      </c>
      <c r="AG1412" s="493">
        <f t="shared" si="6"/>
        <v>2155306.351</v>
      </c>
      <c r="AH1412" s="493">
        <f t="shared" si="4"/>
        <v>68932486275</v>
      </c>
    </row>
    <row r="1413">
      <c r="T1413" s="494" t="s">
        <v>622</v>
      </c>
      <c r="AB1413" s="489">
        <v>1411.0</v>
      </c>
      <c r="AC1413" s="490">
        <f t="shared" si="5"/>
        <v>68934641581</v>
      </c>
      <c r="AD1413" s="491">
        <f t="shared" si="1"/>
        <v>1500</v>
      </c>
      <c r="AE1413" s="492">
        <f t="shared" si="2"/>
        <v>0.009063325885</v>
      </c>
      <c r="AF1413" s="490">
        <f t="shared" si="3"/>
        <v>69559420202</v>
      </c>
      <c r="AG1413" s="493">
        <f t="shared" si="6"/>
        <v>2156806.351</v>
      </c>
      <c r="AH1413" s="493">
        <f t="shared" si="4"/>
        <v>69557263396</v>
      </c>
    </row>
    <row r="1414">
      <c r="T1414" s="494" t="s">
        <v>622</v>
      </c>
      <c r="AB1414" s="489">
        <v>1412.0</v>
      </c>
      <c r="AC1414" s="490">
        <f t="shared" si="5"/>
        <v>69559420202</v>
      </c>
      <c r="AD1414" s="491">
        <f t="shared" si="1"/>
        <v>1500</v>
      </c>
      <c r="AE1414" s="492">
        <f t="shared" si="2"/>
        <v>0.009063325885</v>
      </c>
      <c r="AF1414" s="490">
        <f t="shared" si="3"/>
        <v>70189861396</v>
      </c>
      <c r="AG1414" s="493">
        <f t="shared" si="6"/>
        <v>2158306.351</v>
      </c>
      <c r="AH1414" s="493">
        <f t="shared" si="4"/>
        <v>70187703090</v>
      </c>
    </row>
    <row r="1415">
      <c r="T1415" s="494" t="s">
        <v>622</v>
      </c>
      <c r="AB1415" s="489">
        <v>1413.0</v>
      </c>
      <c r="AC1415" s="490">
        <f t="shared" si="5"/>
        <v>70189861396</v>
      </c>
      <c r="AD1415" s="491">
        <f t="shared" si="1"/>
        <v>1500</v>
      </c>
      <c r="AE1415" s="492">
        <f t="shared" si="2"/>
        <v>0.009063325885</v>
      </c>
      <c r="AF1415" s="490">
        <f t="shared" si="3"/>
        <v>70826016484</v>
      </c>
      <c r="AG1415" s="493">
        <f t="shared" si="6"/>
        <v>2159806.351</v>
      </c>
      <c r="AH1415" s="493">
        <f t="shared" si="4"/>
        <v>70823856677</v>
      </c>
    </row>
    <row r="1416">
      <c r="T1416" s="494" t="s">
        <v>622</v>
      </c>
      <c r="AB1416" s="489">
        <v>1414.0</v>
      </c>
      <c r="AC1416" s="490">
        <f t="shared" si="5"/>
        <v>70826016484</v>
      </c>
      <c r="AD1416" s="491">
        <f t="shared" si="1"/>
        <v>1500</v>
      </c>
      <c r="AE1416" s="492">
        <f t="shared" si="2"/>
        <v>0.009063325885</v>
      </c>
      <c r="AF1416" s="490">
        <f t="shared" si="3"/>
        <v>71467937252</v>
      </c>
      <c r="AG1416" s="493">
        <f t="shared" si="6"/>
        <v>2161306.351</v>
      </c>
      <c r="AH1416" s="493">
        <f t="shared" si="4"/>
        <v>71465775946</v>
      </c>
    </row>
    <row r="1417">
      <c r="T1417" s="494" t="s">
        <v>622</v>
      </c>
      <c r="AB1417" s="489">
        <v>1415.0</v>
      </c>
      <c r="AC1417" s="490">
        <f t="shared" si="5"/>
        <v>71467937252</v>
      </c>
      <c r="AD1417" s="491">
        <f t="shared" si="1"/>
        <v>1500</v>
      </c>
      <c r="AE1417" s="492">
        <f t="shared" si="2"/>
        <v>0.009063325885</v>
      </c>
      <c r="AF1417" s="490">
        <f t="shared" si="3"/>
        <v>72115675958</v>
      </c>
      <c r="AG1417" s="493">
        <f t="shared" si="6"/>
        <v>2162806.351</v>
      </c>
      <c r="AH1417" s="493">
        <f t="shared" si="4"/>
        <v>72113513152</v>
      </c>
    </row>
    <row r="1418">
      <c r="T1418" s="494" t="s">
        <v>622</v>
      </c>
      <c r="AB1418" s="489">
        <v>1416.0</v>
      </c>
      <c r="AC1418" s="490">
        <f t="shared" si="5"/>
        <v>72115675958</v>
      </c>
      <c r="AD1418" s="491">
        <f t="shared" si="1"/>
        <v>1500</v>
      </c>
      <c r="AE1418" s="492">
        <f t="shared" si="2"/>
        <v>0.009063325885</v>
      </c>
      <c r="AF1418" s="490">
        <f t="shared" si="3"/>
        <v>72769285331</v>
      </c>
      <c r="AG1418" s="493">
        <f t="shared" si="6"/>
        <v>2164306.351</v>
      </c>
      <c r="AH1418" s="493">
        <f t="shared" si="4"/>
        <v>72767121024</v>
      </c>
    </row>
    <row r="1419">
      <c r="T1419" s="494" t="s">
        <v>622</v>
      </c>
      <c r="AB1419" s="489">
        <v>1417.0</v>
      </c>
      <c r="AC1419" s="490">
        <f t="shared" si="5"/>
        <v>72769285331</v>
      </c>
      <c r="AD1419" s="491">
        <f t="shared" si="1"/>
        <v>1500</v>
      </c>
      <c r="AE1419" s="492">
        <f t="shared" si="2"/>
        <v>0.009063325885</v>
      </c>
      <c r="AF1419" s="490">
        <f t="shared" si="3"/>
        <v>73428818578</v>
      </c>
      <c r="AG1419" s="493">
        <f t="shared" si="6"/>
        <v>2165806.351</v>
      </c>
      <c r="AH1419" s="493">
        <f t="shared" si="4"/>
        <v>73426652772</v>
      </c>
    </row>
    <row r="1420">
      <c r="T1420" s="494" t="s">
        <v>622</v>
      </c>
      <c r="AB1420" s="489">
        <v>1418.0</v>
      </c>
      <c r="AC1420" s="490">
        <f t="shared" si="5"/>
        <v>73428818578</v>
      </c>
      <c r="AD1420" s="491">
        <f t="shared" si="1"/>
        <v>1500</v>
      </c>
      <c r="AE1420" s="492">
        <f t="shared" si="2"/>
        <v>0.009063325885</v>
      </c>
      <c r="AF1420" s="490">
        <f t="shared" si="3"/>
        <v>74094329390</v>
      </c>
      <c r="AG1420" s="493">
        <f t="shared" si="6"/>
        <v>2167306.351</v>
      </c>
      <c r="AH1420" s="493">
        <f t="shared" si="4"/>
        <v>74092162084</v>
      </c>
    </row>
    <row r="1421">
      <c r="T1421" s="494" t="s">
        <v>622</v>
      </c>
      <c r="AB1421" s="489">
        <v>1419.0</v>
      </c>
      <c r="AC1421" s="490">
        <f t="shared" si="5"/>
        <v>74094329390</v>
      </c>
      <c r="AD1421" s="491">
        <f t="shared" si="1"/>
        <v>1500</v>
      </c>
      <c r="AE1421" s="492">
        <f t="shared" si="2"/>
        <v>0.009063325885</v>
      </c>
      <c r="AF1421" s="490">
        <f t="shared" si="3"/>
        <v>74765871944</v>
      </c>
      <c r="AG1421" s="493">
        <f t="shared" si="6"/>
        <v>2168806.351</v>
      </c>
      <c r="AH1421" s="493">
        <f t="shared" si="4"/>
        <v>74763703137</v>
      </c>
    </row>
    <row r="1422">
      <c r="T1422" s="494" t="s">
        <v>622</v>
      </c>
      <c r="AB1422" s="489">
        <v>1420.0</v>
      </c>
      <c r="AC1422" s="490">
        <f t="shared" si="5"/>
        <v>74765871944</v>
      </c>
      <c r="AD1422" s="491">
        <f t="shared" si="1"/>
        <v>1500</v>
      </c>
      <c r="AE1422" s="492">
        <f t="shared" si="2"/>
        <v>0.009063325885</v>
      </c>
      <c r="AF1422" s="490">
        <f t="shared" si="3"/>
        <v>75443500906</v>
      </c>
      <c r="AG1422" s="493">
        <f t="shared" si="6"/>
        <v>2170306.351</v>
      </c>
      <c r="AH1422" s="493">
        <f t="shared" si="4"/>
        <v>75441330600</v>
      </c>
    </row>
    <row r="1423">
      <c r="T1423" s="494" t="s">
        <v>622</v>
      </c>
      <c r="AB1423" s="489">
        <v>1421.0</v>
      </c>
      <c r="AC1423" s="490">
        <f t="shared" si="5"/>
        <v>75443500906</v>
      </c>
      <c r="AD1423" s="491">
        <f t="shared" si="1"/>
        <v>1500</v>
      </c>
      <c r="AE1423" s="492">
        <f t="shared" si="2"/>
        <v>0.009063325885</v>
      </c>
      <c r="AF1423" s="490">
        <f t="shared" si="3"/>
        <v>76127271441</v>
      </c>
      <c r="AG1423" s="493">
        <f t="shared" si="6"/>
        <v>2171806.351</v>
      </c>
      <c r="AH1423" s="493">
        <f t="shared" si="4"/>
        <v>76125099634</v>
      </c>
    </row>
    <row r="1424">
      <c r="T1424" s="494" t="s">
        <v>622</v>
      </c>
      <c r="AB1424" s="489">
        <v>1422.0</v>
      </c>
      <c r="AC1424" s="490">
        <f t="shared" si="5"/>
        <v>76127271441</v>
      </c>
      <c r="AD1424" s="491">
        <f t="shared" si="1"/>
        <v>1500</v>
      </c>
      <c r="AE1424" s="492">
        <f t="shared" si="2"/>
        <v>0.009063325885</v>
      </c>
      <c r="AF1424" s="490">
        <f t="shared" si="3"/>
        <v>76817239211</v>
      </c>
      <c r="AG1424" s="493">
        <f t="shared" si="6"/>
        <v>2173306.351</v>
      </c>
      <c r="AH1424" s="493">
        <f t="shared" si="4"/>
        <v>76815065904</v>
      </c>
    </row>
    <row r="1425">
      <c r="T1425" s="494" t="s">
        <v>622</v>
      </c>
      <c r="AB1425" s="489">
        <v>1423.0</v>
      </c>
      <c r="AC1425" s="490">
        <f t="shared" si="5"/>
        <v>76817239211</v>
      </c>
      <c r="AD1425" s="491">
        <f t="shared" si="1"/>
        <v>1500</v>
      </c>
      <c r="AE1425" s="492">
        <f t="shared" si="2"/>
        <v>0.009063325885</v>
      </c>
      <c r="AF1425" s="490">
        <f t="shared" si="3"/>
        <v>77513460383</v>
      </c>
      <c r="AG1425" s="493">
        <f t="shared" si="6"/>
        <v>2174806.351</v>
      </c>
      <c r="AH1425" s="493">
        <f t="shared" si="4"/>
        <v>77511285577</v>
      </c>
    </row>
    <row r="1426">
      <c r="T1426" s="494" t="s">
        <v>622</v>
      </c>
      <c r="AB1426" s="489">
        <v>1424.0</v>
      </c>
      <c r="AC1426" s="490">
        <f t="shared" si="5"/>
        <v>77513460383</v>
      </c>
      <c r="AD1426" s="491">
        <f t="shared" si="1"/>
        <v>1500</v>
      </c>
      <c r="AE1426" s="492">
        <f t="shared" si="2"/>
        <v>0.009063325885</v>
      </c>
      <c r="AF1426" s="490">
        <f t="shared" si="3"/>
        <v>78215991635</v>
      </c>
      <c r="AG1426" s="493">
        <f t="shared" si="6"/>
        <v>2176306.351</v>
      </c>
      <c r="AH1426" s="493">
        <f t="shared" si="4"/>
        <v>78213815329</v>
      </c>
    </row>
    <row r="1427">
      <c r="T1427" s="494" t="s">
        <v>622</v>
      </c>
      <c r="AB1427" s="489">
        <v>1425.0</v>
      </c>
      <c r="AC1427" s="490">
        <f t="shared" si="5"/>
        <v>78215991635</v>
      </c>
      <c r="AD1427" s="491">
        <f t="shared" si="1"/>
        <v>1500</v>
      </c>
      <c r="AE1427" s="492">
        <f t="shared" si="2"/>
        <v>0.009063325885</v>
      </c>
      <c r="AF1427" s="490">
        <f t="shared" si="3"/>
        <v>78924890157</v>
      </c>
      <c r="AG1427" s="493">
        <f t="shared" si="6"/>
        <v>2177806.351</v>
      </c>
      <c r="AH1427" s="493">
        <f t="shared" si="4"/>
        <v>78922712350</v>
      </c>
    </row>
    <row r="1428">
      <c r="T1428" s="494" t="s">
        <v>622</v>
      </c>
      <c r="AB1428" s="489">
        <v>1426.0</v>
      </c>
      <c r="AC1428" s="490">
        <f t="shared" si="5"/>
        <v>78924890157</v>
      </c>
      <c r="AD1428" s="491">
        <f t="shared" si="1"/>
        <v>1500</v>
      </c>
      <c r="AE1428" s="492">
        <f t="shared" si="2"/>
        <v>0.009063325885</v>
      </c>
      <c r="AF1428" s="490">
        <f t="shared" si="3"/>
        <v>79640213657</v>
      </c>
      <c r="AG1428" s="493">
        <f t="shared" si="6"/>
        <v>2179306.351</v>
      </c>
      <c r="AH1428" s="493">
        <f t="shared" si="4"/>
        <v>79638034350</v>
      </c>
    </row>
    <row r="1429">
      <c r="T1429" s="494" t="s">
        <v>622</v>
      </c>
      <c r="AB1429" s="489">
        <v>1427.0</v>
      </c>
      <c r="AC1429" s="490">
        <f t="shared" si="5"/>
        <v>79640213657</v>
      </c>
      <c r="AD1429" s="491">
        <f t="shared" si="1"/>
        <v>1500</v>
      </c>
      <c r="AE1429" s="492">
        <f t="shared" si="2"/>
        <v>0.009063325885</v>
      </c>
      <c r="AF1429" s="490">
        <f t="shared" si="3"/>
        <v>80362020366</v>
      </c>
      <c r="AG1429" s="493">
        <f t="shared" si="6"/>
        <v>2180806.351</v>
      </c>
      <c r="AH1429" s="493">
        <f t="shared" si="4"/>
        <v>80359839560</v>
      </c>
    </row>
    <row r="1430">
      <c r="T1430" s="494" t="s">
        <v>622</v>
      </c>
      <c r="AB1430" s="489">
        <v>1428.0</v>
      </c>
      <c r="AC1430" s="490">
        <f t="shared" si="5"/>
        <v>80362020366</v>
      </c>
      <c r="AD1430" s="491">
        <f t="shared" si="1"/>
        <v>1500</v>
      </c>
      <c r="AE1430" s="492">
        <f t="shared" si="2"/>
        <v>0.009063325885</v>
      </c>
      <c r="AF1430" s="490">
        <f t="shared" si="3"/>
        <v>81090369046</v>
      </c>
      <c r="AG1430" s="493">
        <f t="shared" si="6"/>
        <v>2182306.351</v>
      </c>
      <c r="AH1430" s="493">
        <f t="shared" si="4"/>
        <v>81088186740</v>
      </c>
    </row>
    <row r="1431">
      <c r="T1431" s="494" t="s">
        <v>622</v>
      </c>
      <c r="AB1431" s="489">
        <v>1429.0</v>
      </c>
      <c r="AC1431" s="490">
        <f t="shared" si="5"/>
        <v>81090369046</v>
      </c>
      <c r="AD1431" s="491">
        <f t="shared" si="1"/>
        <v>1500</v>
      </c>
      <c r="AE1431" s="492">
        <f t="shared" si="2"/>
        <v>0.009063325885</v>
      </c>
      <c r="AF1431" s="490">
        <f t="shared" si="3"/>
        <v>81825318987</v>
      </c>
      <c r="AG1431" s="493">
        <f t="shared" si="6"/>
        <v>2183806.351</v>
      </c>
      <c r="AH1431" s="493">
        <f t="shared" si="4"/>
        <v>81823135180</v>
      </c>
    </row>
    <row r="1432">
      <c r="T1432" s="494" t="s">
        <v>622</v>
      </c>
      <c r="AB1432" s="489">
        <v>1430.0</v>
      </c>
      <c r="AC1432" s="490">
        <f t="shared" si="5"/>
        <v>81825318987</v>
      </c>
      <c r="AD1432" s="491">
        <f t="shared" si="1"/>
        <v>1500</v>
      </c>
      <c r="AE1432" s="492">
        <f t="shared" si="2"/>
        <v>0.009063325885</v>
      </c>
      <c r="AF1432" s="490">
        <f t="shared" si="3"/>
        <v>82566930018</v>
      </c>
      <c r="AG1432" s="493">
        <f t="shared" si="6"/>
        <v>2185306.351</v>
      </c>
      <c r="AH1432" s="493">
        <f t="shared" si="4"/>
        <v>82564744712</v>
      </c>
    </row>
    <row r="1433">
      <c r="T1433" s="494" t="s">
        <v>622</v>
      </c>
      <c r="AB1433" s="489">
        <v>1431.0</v>
      </c>
      <c r="AC1433" s="490">
        <f t="shared" si="5"/>
        <v>82566930018</v>
      </c>
      <c r="AD1433" s="491">
        <f t="shared" si="1"/>
        <v>1500</v>
      </c>
      <c r="AE1433" s="492">
        <f t="shared" si="2"/>
        <v>0.009063325885</v>
      </c>
      <c r="AF1433" s="490">
        <f t="shared" si="3"/>
        <v>83315262512</v>
      </c>
      <c r="AG1433" s="493">
        <f t="shared" si="6"/>
        <v>2186806.351</v>
      </c>
      <c r="AH1433" s="493">
        <f t="shared" si="4"/>
        <v>83313075706</v>
      </c>
    </row>
    <row r="1434">
      <c r="T1434" s="494" t="s">
        <v>622</v>
      </c>
      <c r="AB1434" s="489">
        <v>1432.0</v>
      </c>
      <c r="AC1434" s="490">
        <f t="shared" si="5"/>
        <v>83315262512</v>
      </c>
      <c r="AD1434" s="491">
        <f t="shared" si="1"/>
        <v>1500</v>
      </c>
      <c r="AE1434" s="492">
        <f t="shared" si="2"/>
        <v>0.009063325885</v>
      </c>
      <c r="AF1434" s="490">
        <f t="shared" si="3"/>
        <v>84070377388</v>
      </c>
      <c r="AG1434" s="493">
        <f t="shared" si="6"/>
        <v>2188306.351</v>
      </c>
      <c r="AH1434" s="493">
        <f t="shared" si="4"/>
        <v>84068189081</v>
      </c>
    </row>
    <row r="1435">
      <c r="T1435" s="494" t="s">
        <v>622</v>
      </c>
      <c r="AB1435" s="489">
        <v>1433.0</v>
      </c>
      <c r="AC1435" s="490">
        <f t="shared" si="5"/>
        <v>84070377388</v>
      </c>
      <c r="AD1435" s="491">
        <f t="shared" si="1"/>
        <v>1500</v>
      </c>
      <c r="AE1435" s="492">
        <f t="shared" si="2"/>
        <v>0.009063325885</v>
      </c>
      <c r="AF1435" s="490">
        <f t="shared" si="3"/>
        <v>84832336115</v>
      </c>
      <c r="AG1435" s="493">
        <f t="shared" si="6"/>
        <v>2189806.351</v>
      </c>
      <c r="AH1435" s="493">
        <f t="shared" si="4"/>
        <v>84830146309</v>
      </c>
    </row>
    <row r="1436">
      <c r="T1436" s="494" t="s">
        <v>622</v>
      </c>
      <c r="AB1436" s="489">
        <v>1434.0</v>
      </c>
      <c r="AC1436" s="490">
        <f t="shared" si="5"/>
        <v>84832336115</v>
      </c>
      <c r="AD1436" s="491">
        <f t="shared" si="1"/>
        <v>1500</v>
      </c>
      <c r="AE1436" s="492">
        <f t="shared" si="2"/>
        <v>0.009063325885</v>
      </c>
      <c r="AF1436" s="490">
        <f t="shared" si="3"/>
        <v>85601200723</v>
      </c>
      <c r="AG1436" s="493">
        <f t="shared" si="6"/>
        <v>2191306.351</v>
      </c>
      <c r="AH1436" s="493">
        <f t="shared" si="4"/>
        <v>85599009417</v>
      </c>
    </row>
    <row r="1437">
      <c r="T1437" s="494" t="s">
        <v>622</v>
      </c>
      <c r="AB1437" s="489">
        <v>1435.0</v>
      </c>
      <c r="AC1437" s="490">
        <f t="shared" si="5"/>
        <v>85601200723</v>
      </c>
      <c r="AD1437" s="491">
        <f t="shared" si="1"/>
        <v>1500</v>
      </c>
      <c r="AE1437" s="492">
        <f t="shared" si="2"/>
        <v>0.009063325885</v>
      </c>
      <c r="AF1437" s="490">
        <f t="shared" si="3"/>
        <v>86377033801</v>
      </c>
      <c r="AG1437" s="493">
        <f t="shared" si="6"/>
        <v>2192806.351</v>
      </c>
      <c r="AH1437" s="493">
        <f t="shared" si="4"/>
        <v>86374840995</v>
      </c>
    </row>
    <row r="1438">
      <c r="T1438" s="494" t="s">
        <v>622</v>
      </c>
      <c r="AB1438" s="489">
        <v>1436.0</v>
      </c>
      <c r="AC1438" s="490">
        <f t="shared" si="5"/>
        <v>86377033801</v>
      </c>
      <c r="AD1438" s="491">
        <f t="shared" si="1"/>
        <v>1500</v>
      </c>
      <c r="AE1438" s="492">
        <f t="shared" si="2"/>
        <v>0.009063325885</v>
      </c>
      <c r="AF1438" s="490">
        <f t="shared" si="3"/>
        <v>87159898508</v>
      </c>
      <c r="AG1438" s="493">
        <f t="shared" si="6"/>
        <v>2194306.351</v>
      </c>
      <c r="AH1438" s="493">
        <f t="shared" si="4"/>
        <v>87157704201</v>
      </c>
    </row>
    <row r="1439">
      <c r="T1439" s="494" t="s">
        <v>622</v>
      </c>
      <c r="AB1439" s="489">
        <v>1437.0</v>
      </c>
      <c r="AC1439" s="490">
        <f t="shared" si="5"/>
        <v>87159898508</v>
      </c>
      <c r="AD1439" s="491">
        <f t="shared" si="1"/>
        <v>1500</v>
      </c>
      <c r="AE1439" s="492">
        <f t="shared" si="2"/>
        <v>0.009063325885</v>
      </c>
      <c r="AF1439" s="490">
        <f t="shared" si="3"/>
        <v>87949858572</v>
      </c>
      <c r="AG1439" s="493">
        <f t="shared" si="6"/>
        <v>2195806.351</v>
      </c>
      <c r="AH1439" s="493">
        <f t="shared" si="4"/>
        <v>87947662766</v>
      </c>
    </row>
    <row r="1440">
      <c r="T1440" s="494" t="s">
        <v>622</v>
      </c>
      <c r="AB1440" s="489">
        <v>1438.0</v>
      </c>
      <c r="AC1440" s="490">
        <f t="shared" si="5"/>
        <v>87949858572</v>
      </c>
      <c r="AD1440" s="491">
        <f t="shared" si="1"/>
        <v>1500</v>
      </c>
      <c r="AE1440" s="492">
        <f t="shared" si="2"/>
        <v>0.009063325885</v>
      </c>
      <c r="AF1440" s="490">
        <f t="shared" si="3"/>
        <v>88746978302</v>
      </c>
      <c r="AG1440" s="493">
        <f t="shared" si="6"/>
        <v>2197306.351</v>
      </c>
      <c r="AH1440" s="493">
        <f t="shared" si="4"/>
        <v>88744780995</v>
      </c>
    </row>
    <row r="1441">
      <c r="T1441" s="494" t="s">
        <v>622</v>
      </c>
      <c r="AB1441" s="489">
        <v>1439.0</v>
      </c>
      <c r="AC1441" s="490">
        <f t="shared" si="5"/>
        <v>88746978302</v>
      </c>
      <c r="AD1441" s="491">
        <f t="shared" si="1"/>
        <v>1500</v>
      </c>
      <c r="AE1441" s="492">
        <f t="shared" si="2"/>
        <v>0.009063325885</v>
      </c>
      <c r="AF1441" s="490">
        <f t="shared" si="3"/>
        <v>89551322587</v>
      </c>
      <c r="AG1441" s="493">
        <f t="shared" si="6"/>
        <v>2198806.351</v>
      </c>
      <c r="AH1441" s="493">
        <f t="shared" si="4"/>
        <v>89549123781</v>
      </c>
    </row>
    <row r="1442">
      <c r="T1442" s="494" t="s">
        <v>622</v>
      </c>
      <c r="AB1442" s="489">
        <v>1440.0</v>
      </c>
      <c r="AC1442" s="490">
        <f t="shared" si="5"/>
        <v>89551322587</v>
      </c>
      <c r="AD1442" s="491">
        <f t="shared" si="1"/>
        <v>1500</v>
      </c>
      <c r="AE1442" s="492">
        <f t="shared" si="2"/>
        <v>0.009063325885</v>
      </c>
      <c r="AF1442" s="490">
        <f t="shared" si="3"/>
        <v>90362956908</v>
      </c>
      <c r="AG1442" s="493">
        <f t="shared" si="6"/>
        <v>2200306.351</v>
      </c>
      <c r="AH1442" s="493">
        <f t="shared" si="4"/>
        <v>90360756601</v>
      </c>
    </row>
    <row r="1443">
      <c r="T1443" s="494" t="s">
        <v>622</v>
      </c>
      <c r="AB1443" s="489">
        <v>1441.0</v>
      </c>
      <c r="AC1443" s="490">
        <f t="shared" si="5"/>
        <v>90362956908</v>
      </c>
      <c r="AD1443" s="491">
        <f t="shared" si="1"/>
        <v>1500</v>
      </c>
      <c r="AE1443" s="492">
        <f t="shared" si="2"/>
        <v>0.009063325885</v>
      </c>
      <c r="AF1443" s="490">
        <f t="shared" si="3"/>
        <v>91181947334</v>
      </c>
      <c r="AG1443" s="493">
        <f t="shared" si="6"/>
        <v>2201806.351</v>
      </c>
      <c r="AH1443" s="493">
        <f t="shared" si="4"/>
        <v>91179745528</v>
      </c>
    </row>
    <row r="1444">
      <c r="T1444" s="494" t="s">
        <v>622</v>
      </c>
      <c r="AB1444" s="489">
        <v>1442.0</v>
      </c>
      <c r="AC1444" s="490">
        <f t="shared" si="5"/>
        <v>91181947334</v>
      </c>
      <c r="AD1444" s="491">
        <f t="shared" si="1"/>
        <v>1500</v>
      </c>
      <c r="AE1444" s="492">
        <f t="shared" si="2"/>
        <v>0.009063325885</v>
      </c>
      <c r="AF1444" s="490">
        <f t="shared" si="3"/>
        <v>92008360537</v>
      </c>
      <c r="AG1444" s="493">
        <f t="shared" si="6"/>
        <v>2203306.351</v>
      </c>
      <c r="AH1444" s="493">
        <f t="shared" si="4"/>
        <v>92006157231</v>
      </c>
    </row>
    <row r="1445">
      <c r="T1445" s="494" t="s">
        <v>622</v>
      </c>
      <c r="AB1445" s="489">
        <v>1443.0</v>
      </c>
      <c r="AC1445" s="490">
        <f t="shared" si="5"/>
        <v>92008360537</v>
      </c>
      <c r="AD1445" s="491">
        <f t="shared" si="1"/>
        <v>1500</v>
      </c>
      <c r="AE1445" s="492">
        <f t="shared" si="2"/>
        <v>0.009063325885</v>
      </c>
      <c r="AF1445" s="490">
        <f t="shared" si="3"/>
        <v>92842263793</v>
      </c>
      <c r="AG1445" s="493">
        <f t="shared" si="6"/>
        <v>2204806.351</v>
      </c>
      <c r="AH1445" s="493">
        <f t="shared" si="4"/>
        <v>92840058987</v>
      </c>
    </row>
    <row r="1446">
      <c r="T1446" s="494" t="s">
        <v>622</v>
      </c>
      <c r="AB1446" s="489">
        <v>1444.0</v>
      </c>
      <c r="AC1446" s="490">
        <f t="shared" si="5"/>
        <v>92842263793</v>
      </c>
      <c r="AD1446" s="491">
        <f t="shared" si="1"/>
        <v>1500</v>
      </c>
      <c r="AE1446" s="492">
        <f t="shared" si="2"/>
        <v>0.009063325885</v>
      </c>
      <c r="AF1446" s="490">
        <f t="shared" si="3"/>
        <v>93683724986</v>
      </c>
      <c r="AG1446" s="493">
        <f t="shared" si="6"/>
        <v>2206306.351</v>
      </c>
      <c r="AH1446" s="493">
        <f t="shared" si="4"/>
        <v>93681518679</v>
      </c>
    </row>
    <row r="1447">
      <c r="T1447" s="494" t="s">
        <v>622</v>
      </c>
      <c r="AB1447" s="489">
        <v>1445.0</v>
      </c>
      <c r="AC1447" s="490">
        <f t="shared" si="5"/>
        <v>93683724986</v>
      </c>
      <c r="AD1447" s="491">
        <f t="shared" si="1"/>
        <v>1500</v>
      </c>
      <c r="AE1447" s="492">
        <f t="shared" si="2"/>
        <v>0.009063325885</v>
      </c>
      <c r="AF1447" s="490">
        <f t="shared" si="3"/>
        <v>94532812615</v>
      </c>
      <c r="AG1447" s="493">
        <f t="shared" si="6"/>
        <v>2207806.351</v>
      </c>
      <c r="AH1447" s="493">
        <f t="shared" si="4"/>
        <v>94530604809</v>
      </c>
    </row>
    <row r="1448">
      <c r="T1448" s="494" t="s">
        <v>622</v>
      </c>
      <c r="AB1448" s="489">
        <v>1446.0</v>
      </c>
      <c r="AC1448" s="490">
        <f t="shared" si="5"/>
        <v>94532812615</v>
      </c>
      <c r="AD1448" s="491">
        <f t="shared" si="1"/>
        <v>1500</v>
      </c>
      <c r="AE1448" s="492">
        <f t="shared" si="2"/>
        <v>0.009063325885</v>
      </c>
      <c r="AF1448" s="490">
        <f t="shared" si="3"/>
        <v>95389595803</v>
      </c>
      <c r="AG1448" s="493">
        <f t="shared" si="6"/>
        <v>2209306.351</v>
      </c>
      <c r="AH1448" s="493">
        <f t="shared" si="4"/>
        <v>95387386497</v>
      </c>
    </row>
    <row r="1449">
      <c r="T1449" s="494" t="s">
        <v>622</v>
      </c>
      <c r="AB1449" s="489">
        <v>1447.0</v>
      </c>
      <c r="AC1449" s="490">
        <f t="shared" si="5"/>
        <v>95389595803</v>
      </c>
      <c r="AD1449" s="491">
        <f t="shared" si="1"/>
        <v>1500</v>
      </c>
      <c r="AE1449" s="492">
        <f t="shared" si="2"/>
        <v>0.009063325885</v>
      </c>
      <c r="AF1449" s="490">
        <f t="shared" si="3"/>
        <v>96254144296</v>
      </c>
      <c r="AG1449" s="493">
        <f t="shared" si="6"/>
        <v>2210806.351</v>
      </c>
      <c r="AH1449" s="493">
        <f t="shared" si="4"/>
        <v>96251933490</v>
      </c>
    </row>
    <row r="1450">
      <c r="T1450" s="494" t="s">
        <v>622</v>
      </c>
      <c r="AB1450" s="489">
        <v>1448.0</v>
      </c>
      <c r="AC1450" s="490">
        <f t="shared" si="5"/>
        <v>96254144296</v>
      </c>
      <c r="AD1450" s="491">
        <f t="shared" si="1"/>
        <v>1500</v>
      </c>
      <c r="AE1450" s="492">
        <f t="shared" si="2"/>
        <v>0.009063325885</v>
      </c>
      <c r="AF1450" s="490">
        <f t="shared" si="3"/>
        <v>97126528473</v>
      </c>
      <c r="AG1450" s="493">
        <f t="shared" si="6"/>
        <v>2212306.351</v>
      </c>
      <c r="AH1450" s="493">
        <f t="shared" si="4"/>
        <v>97124316167</v>
      </c>
    </row>
    <row r="1451">
      <c r="T1451" s="494" t="s">
        <v>622</v>
      </c>
      <c r="AB1451" s="489">
        <v>1449.0</v>
      </c>
      <c r="AC1451" s="490">
        <f t="shared" si="5"/>
        <v>97126528473</v>
      </c>
      <c r="AD1451" s="491">
        <f t="shared" si="1"/>
        <v>1500</v>
      </c>
      <c r="AE1451" s="492">
        <f t="shared" si="2"/>
        <v>0.009063325885</v>
      </c>
      <c r="AF1451" s="490">
        <f t="shared" si="3"/>
        <v>98006819353</v>
      </c>
      <c r="AG1451" s="493">
        <f t="shared" si="6"/>
        <v>2213806.351</v>
      </c>
      <c r="AH1451" s="493">
        <f t="shared" si="4"/>
        <v>98004605547</v>
      </c>
    </row>
    <row r="1452">
      <c r="T1452" s="494" t="s">
        <v>622</v>
      </c>
      <c r="AB1452" s="489">
        <v>1450.0</v>
      </c>
      <c r="AC1452" s="490">
        <f t="shared" si="5"/>
        <v>98006819353</v>
      </c>
      <c r="AD1452" s="491">
        <f t="shared" si="1"/>
        <v>1500</v>
      </c>
      <c r="AE1452" s="492">
        <f t="shared" si="2"/>
        <v>0.009063325885</v>
      </c>
      <c r="AF1452" s="490">
        <f t="shared" si="3"/>
        <v>98895088596</v>
      </c>
      <c r="AG1452" s="493">
        <f t="shared" si="6"/>
        <v>2215306.351</v>
      </c>
      <c r="AH1452" s="493">
        <f t="shared" si="4"/>
        <v>98892873289</v>
      </c>
    </row>
    <row r="1453">
      <c r="T1453" s="494" t="s">
        <v>622</v>
      </c>
      <c r="AB1453" s="489">
        <v>1451.0</v>
      </c>
      <c r="AC1453" s="490">
        <f t="shared" si="5"/>
        <v>98895088596</v>
      </c>
      <c r="AD1453" s="491">
        <f t="shared" si="1"/>
        <v>1500</v>
      </c>
      <c r="AE1453" s="492">
        <f t="shared" si="2"/>
        <v>0.009063325885</v>
      </c>
      <c r="AF1453" s="490">
        <f t="shared" si="3"/>
        <v>99791408512</v>
      </c>
      <c r="AG1453" s="493">
        <f t="shared" si="6"/>
        <v>2216806.351</v>
      </c>
      <c r="AH1453" s="493">
        <f t="shared" si="4"/>
        <v>99789191706</v>
      </c>
    </row>
    <row r="1454">
      <c r="T1454" s="494" t="s">
        <v>622</v>
      </c>
      <c r="AB1454" s="489">
        <v>1452.0</v>
      </c>
      <c r="AC1454" s="490">
        <f t="shared" si="5"/>
        <v>99791408512</v>
      </c>
      <c r="AD1454" s="491">
        <f t="shared" si="1"/>
        <v>1500</v>
      </c>
      <c r="AE1454" s="492">
        <f t="shared" si="2"/>
        <v>0.009063325885</v>
      </c>
      <c r="AF1454" s="490">
        <f t="shared" si="3"/>
        <v>100695852068</v>
      </c>
      <c r="AG1454" s="493">
        <f t="shared" si="6"/>
        <v>2218306.351</v>
      </c>
      <c r="AH1454" s="493">
        <f t="shared" si="4"/>
        <v>100693633762</v>
      </c>
    </row>
    <row r="1455">
      <c r="T1455" s="494" t="s">
        <v>622</v>
      </c>
      <c r="AB1455" s="489">
        <v>1453.0</v>
      </c>
      <c r="AC1455" s="490">
        <f t="shared" si="5"/>
        <v>100695852068</v>
      </c>
      <c r="AD1455" s="491">
        <f t="shared" si="1"/>
        <v>1500</v>
      </c>
      <c r="AE1455" s="492">
        <f t="shared" si="2"/>
        <v>0.009063325885</v>
      </c>
      <c r="AF1455" s="490">
        <f t="shared" si="3"/>
        <v>101608492891</v>
      </c>
      <c r="AG1455" s="493">
        <f t="shared" si="6"/>
        <v>2219806.351</v>
      </c>
      <c r="AH1455" s="493">
        <f t="shared" si="4"/>
        <v>101606273084</v>
      </c>
    </row>
    <row r="1456">
      <c r="T1456" s="494" t="s">
        <v>622</v>
      </c>
      <c r="AB1456" s="489">
        <v>1454.0</v>
      </c>
      <c r="AC1456" s="490">
        <f t="shared" si="5"/>
        <v>101608492891</v>
      </c>
      <c r="AD1456" s="491">
        <f t="shared" si="1"/>
        <v>1500</v>
      </c>
      <c r="AE1456" s="492">
        <f t="shared" si="2"/>
        <v>0.009063325885</v>
      </c>
      <c r="AF1456" s="490">
        <f t="shared" si="3"/>
        <v>102529405274</v>
      </c>
      <c r="AG1456" s="493">
        <f t="shared" si="6"/>
        <v>2221306.351</v>
      </c>
      <c r="AH1456" s="493">
        <f t="shared" si="4"/>
        <v>102527183968</v>
      </c>
    </row>
    <row r="1457">
      <c r="T1457" s="494" t="s">
        <v>622</v>
      </c>
      <c r="AB1457" s="489">
        <v>1455.0</v>
      </c>
      <c r="AC1457" s="490">
        <f t="shared" si="5"/>
        <v>102529405274</v>
      </c>
      <c r="AD1457" s="491">
        <f t="shared" si="1"/>
        <v>1500</v>
      </c>
      <c r="AE1457" s="492">
        <f t="shared" si="2"/>
        <v>0.009063325885</v>
      </c>
      <c r="AF1457" s="490">
        <f t="shared" si="3"/>
        <v>103458664187</v>
      </c>
      <c r="AG1457" s="493">
        <f t="shared" si="6"/>
        <v>2222806.351</v>
      </c>
      <c r="AH1457" s="493">
        <f t="shared" si="4"/>
        <v>103456441381</v>
      </c>
    </row>
    <row r="1458">
      <c r="T1458" s="494" t="s">
        <v>622</v>
      </c>
      <c r="AB1458" s="489">
        <v>1456.0</v>
      </c>
      <c r="AC1458" s="490">
        <f t="shared" si="5"/>
        <v>103458664187</v>
      </c>
      <c r="AD1458" s="491">
        <f t="shared" si="1"/>
        <v>1500</v>
      </c>
      <c r="AE1458" s="492">
        <f t="shared" si="2"/>
        <v>0.009063325885</v>
      </c>
      <c r="AF1458" s="490">
        <f t="shared" si="3"/>
        <v>104396345276</v>
      </c>
      <c r="AG1458" s="493">
        <f t="shared" si="6"/>
        <v>2224306.351</v>
      </c>
      <c r="AH1458" s="493">
        <f t="shared" si="4"/>
        <v>104394120970</v>
      </c>
    </row>
    <row r="1459">
      <c r="T1459" s="494" t="s">
        <v>622</v>
      </c>
      <c r="AB1459" s="489">
        <v>1457.0</v>
      </c>
      <c r="AC1459" s="490">
        <f t="shared" si="5"/>
        <v>104396345276</v>
      </c>
      <c r="AD1459" s="491">
        <f t="shared" si="1"/>
        <v>1500</v>
      </c>
      <c r="AE1459" s="492">
        <f t="shared" si="2"/>
        <v>0.009063325885</v>
      </c>
      <c r="AF1459" s="490">
        <f t="shared" si="3"/>
        <v>105342524875</v>
      </c>
      <c r="AG1459" s="493">
        <f t="shared" si="6"/>
        <v>2225806.351</v>
      </c>
      <c r="AH1459" s="493">
        <f t="shared" si="4"/>
        <v>105340299068</v>
      </c>
    </row>
    <row r="1460">
      <c r="T1460" s="494" t="s">
        <v>622</v>
      </c>
      <c r="AB1460" s="489">
        <v>1458.0</v>
      </c>
      <c r="AC1460" s="490">
        <f t="shared" si="5"/>
        <v>105342524875</v>
      </c>
      <c r="AD1460" s="491">
        <f t="shared" si="1"/>
        <v>1500</v>
      </c>
      <c r="AE1460" s="492">
        <f t="shared" si="2"/>
        <v>0.009063325885</v>
      </c>
      <c r="AF1460" s="490">
        <f t="shared" si="3"/>
        <v>106297280007</v>
      </c>
      <c r="AG1460" s="493">
        <f t="shared" si="6"/>
        <v>2227306.351</v>
      </c>
      <c r="AH1460" s="493">
        <f t="shared" si="4"/>
        <v>106295052701</v>
      </c>
    </row>
    <row r="1461">
      <c r="T1461" s="494" t="s">
        <v>622</v>
      </c>
      <c r="AB1461" s="489">
        <v>1459.0</v>
      </c>
      <c r="AC1461" s="490">
        <f t="shared" si="5"/>
        <v>106297280007</v>
      </c>
      <c r="AD1461" s="491">
        <f t="shared" si="1"/>
        <v>1500</v>
      </c>
      <c r="AE1461" s="492">
        <f t="shared" si="2"/>
        <v>0.009063325885</v>
      </c>
      <c r="AF1461" s="490">
        <f t="shared" si="3"/>
        <v>107260688397</v>
      </c>
      <c r="AG1461" s="493">
        <f t="shared" si="6"/>
        <v>2228806.351</v>
      </c>
      <c r="AH1461" s="493">
        <f t="shared" si="4"/>
        <v>107258459590</v>
      </c>
    </row>
    <row r="1462">
      <c r="T1462" s="494" t="s">
        <v>622</v>
      </c>
      <c r="AB1462" s="489">
        <v>1460.0</v>
      </c>
      <c r="AC1462" s="490">
        <f t="shared" si="5"/>
        <v>107260688397</v>
      </c>
      <c r="AD1462" s="491">
        <f t="shared" si="1"/>
        <v>1500</v>
      </c>
      <c r="AE1462" s="492">
        <f t="shared" si="2"/>
        <v>0.009063325885</v>
      </c>
      <c r="AF1462" s="490">
        <f t="shared" si="3"/>
        <v>108232828470</v>
      </c>
      <c r="AG1462" s="493">
        <f t="shared" si="6"/>
        <v>2230306.351</v>
      </c>
      <c r="AH1462" s="493">
        <f t="shared" si="4"/>
        <v>108230598164</v>
      </c>
    </row>
    <row r="1463">
      <c r="T1463" s="494" t="s">
        <v>622</v>
      </c>
      <c r="AB1463" s="489">
        <v>1461.0</v>
      </c>
      <c r="AC1463" s="490">
        <f t="shared" si="5"/>
        <v>108232828470</v>
      </c>
      <c r="AD1463" s="491">
        <f t="shared" si="1"/>
        <v>1500</v>
      </c>
      <c r="AE1463" s="492">
        <f t="shared" si="2"/>
        <v>0.009063325885</v>
      </c>
      <c r="AF1463" s="490">
        <f t="shared" si="3"/>
        <v>109213779366</v>
      </c>
      <c r="AG1463" s="493">
        <f t="shared" si="6"/>
        <v>2231806.351</v>
      </c>
      <c r="AH1463" s="493">
        <f t="shared" si="4"/>
        <v>109211547560</v>
      </c>
    </row>
    <row r="1464">
      <c r="T1464" s="494" t="s">
        <v>622</v>
      </c>
      <c r="AB1464" s="489">
        <v>1462.0</v>
      </c>
      <c r="AC1464" s="490">
        <f t="shared" si="5"/>
        <v>109213779366</v>
      </c>
      <c r="AD1464" s="491">
        <f t="shared" si="1"/>
        <v>1500</v>
      </c>
      <c r="AE1464" s="492">
        <f t="shared" si="2"/>
        <v>0.009063325885</v>
      </c>
      <c r="AF1464" s="490">
        <f t="shared" si="3"/>
        <v>110203620940</v>
      </c>
      <c r="AG1464" s="493">
        <f t="shared" si="6"/>
        <v>2233306.351</v>
      </c>
      <c r="AH1464" s="493">
        <f t="shared" si="4"/>
        <v>110201387633</v>
      </c>
    </row>
    <row r="1465">
      <c r="T1465" s="494" t="s">
        <v>622</v>
      </c>
      <c r="AB1465" s="489">
        <v>1463.0</v>
      </c>
      <c r="AC1465" s="490">
        <f t="shared" si="5"/>
        <v>110203620940</v>
      </c>
      <c r="AD1465" s="491">
        <f t="shared" si="1"/>
        <v>1500</v>
      </c>
      <c r="AE1465" s="492">
        <f t="shared" si="2"/>
        <v>0.009063325885</v>
      </c>
      <c r="AF1465" s="490">
        <f t="shared" si="3"/>
        <v>111202433770</v>
      </c>
      <c r="AG1465" s="493">
        <f t="shared" si="6"/>
        <v>2234806.351</v>
      </c>
      <c r="AH1465" s="493">
        <f t="shared" si="4"/>
        <v>111200198964</v>
      </c>
    </row>
    <row r="1466">
      <c r="T1466" s="494" t="s">
        <v>622</v>
      </c>
      <c r="AB1466" s="489">
        <v>1464.0</v>
      </c>
      <c r="AC1466" s="490">
        <f t="shared" si="5"/>
        <v>111202433770</v>
      </c>
      <c r="AD1466" s="491">
        <f t="shared" si="1"/>
        <v>1500</v>
      </c>
      <c r="AE1466" s="492">
        <f t="shared" si="2"/>
        <v>0.009063325885</v>
      </c>
      <c r="AF1466" s="490">
        <f t="shared" si="3"/>
        <v>112210299167</v>
      </c>
      <c r="AG1466" s="493">
        <f t="shared" si="6"/>
        <v>2236306.351</v>
      </c>
      <c r="AH1466" s="493">
        <f t="shared" si="4"/>
        <v>112208062860</v>
      </c>
    </row>
    <row r="1467">
      <c r="T1467" s="494" t="s">
        <v>622</v>
      </c>
      <c r="AB1467" s="489">
        <v>1465.0</v>
      </c>
      <c r="AC1467" s="490">
        <f t="shared" si="5"/>
        <v>112210299167</v>
      </c>
      <c r="AD1467" s="491">
        <f t="shared" si="1"/>
        <v>1500</v>
      </c>
      <c r="AE1467" s="492">
        <f t="shared" si="2"/>
        <v>0.009063325885</v>
      </c>
      <c r="AF1467" s="490">
        <f t="shared" si="3"/>
        <v>113227299176</v>
      </c>
      <c r="AG1467" s="493">
        <f t="shared" si="6"/>
        <v>2237806.351</v>
      </c>
      <c r="AH1467" s="493">
        <f t="shared" si="4"/>
        <v>113225061369</v>
      </c>
    </row>
    <row r="1468">
      <c r="T1468" s="494" t="s">
        <v>622</v>
      </c>
      <c r="AB1468" s="489">
        <v>1466.0</v>
      </c>
      <c r="AC1468" s="490">
        <f t="shared" si="5"/>
        <v>113227299176</v>
      </c>
      <c r="AD1468" s="491">
        <f t="shared" si="1"/>
        <v>1500</v>
      </c>
      <c r="AE1468" s="492">
        <f t="shared" si="2"/>
        <v>0.009063325885</v>
      </c>
      <c r="AF1468" s="490">
        <f t="shared" si="3"/>
        <v>114253516587</v>
      </c>
      <c r="AG1468" s="493">
        <f t="shared" si="6"/>
        <v>2239306.351</v>
      </c>
      <c r="AH1468" s="493">
        <f t="shared" si="4"/>
        <v>114251277281</v>
      </c>
    </row>
    <row r="1469">
      <c r="T1469" s="494" t="s">
        <v>622</v>
      </c>
      <c r="AB1469" s="489">
        <v>1467.0</v>
      </c>
      <c r="AC1469" s="490">
        <f t="shared" si="5"/>
        <v>114253516587</v>
      </c>
      <c r="AD1469" s="491">
        <f t="shared" si="1"/>
        <v>1500</v>
      </c>
      <c r="AE1469" s="492">
        <f t="shared" si="2"/>
        <v>0.009063325885</v>
      </c>
      <c r="AF1469" s="490">
        <f t="shared" si="3"/>
        <v>115289034941</v>
      </c>
      <c r="AG1469" s="493">
        <f t="shared" si="6"/>
        <v>2240806.351</v>
      </c>
      <c r="AH1469" s="493">
        <f t="shared" si="4"/>
        <v>115286794135</v>
      </c>
    </row>
    <row r="1470">
      <c r="T1470" s="494" t="s">
        <v>622</v>
      </c>
      <c r="AB1470" s="489">
        <v>1468.0</v>
      </c>
      <c r="AC1470" s="490">
        <f t="shared" si="5"/>
        <v>115289034941</v>
      </c>
      <c r="AD1470" s="491">
        <f t="shared" si="1"/>
        <v>1500</v>
      </c>
      <c r="AE1470" s="492">
        <f t="shared" si="2"/>
        <v>0.009063325885</v>
      </c>
      <c r="AF1470" s="490">
        <f t="shared" si="3"/>
        <v>116333938536</v>
      </c>
      <c r="AG1470" s="493">
        <f t="shared" si="6"/>
        <v>2242306.351</v>
      </c>
      <c r="AH1470" s="493">
        <f t="shared" si="4"/>
        <v>116331696230</v>
      </c>
    </row>
    <row r="1471">
      <c r="T1471" s="494" t="s">
        <v>622</v>
      </c>
      <c r="AB1471" s="489">
        <v>1469.0</v>
      </c>
      <c r="AC1471" s="490">
        <f t="shared" si="5"/>
        <v>116333938536</v>
      </c>
      <c r="AD1471" s="491">
        <f t="shared" si="1"/>
        <v>1500</v>
      </c>
      <c r="AE1471" s="492">
        <f t="shared" si="2"/>
        <v>0.009063325885</v>
      </c>
      <c r="AF1471" s="490">
        <f t="shared" si="3"/>
        <v>117388312433</v>
      </c>
      <c r="AG1471" s="493">
        <f t="shared" si="6"/>
        <v>2243806.351</v>
      </c>
      <c r="AH1471" s="493">
        <f t="shared" si="4"/>
        <v>117386068626</v>
      </c>
    </row>
    <row r="1472">
      <c r="T1472" s="494" t="s">
        <v>622</v>
      </c>
      <c r="AB1472" s="489">
        <v>1470.0</v>
      </c>
      <c r="AC1472" s="490">
        <f t="shared" si="5"/>
        <v>117388312433</v>
      </c>
      <c r="AD1472" s="491">
        <f t="shared" si="1"/>
        <v>1500</v>
      </c>
      <c r="AE1472" s="492">
        <f t="shared" si="2"/>
        <v>0.009063325885</v>
      </c>
      <c r="AF1472" s="490">
        <f t="shared" si="3"/>
        <v>118452242463</v>
      </c>
      <c r="AG1472" s="493">
        <f t="shared" si="6"/>
        <v>2245306.351</v>
      </c>
      <c r="AH1472" s="493">
        <f t="shared" si="4"/>
        <v>118449997157</v>
      </c>
    </row>
    <row r="1473">
      <c r="T1473" s="494" t="s">
        <v>622</v>
      </c>
      <c r="AB1473" s="489">
        <v>1471.0</v>
      </c>
      <c r="AC1473" s="490">
        <f t="shared" si="5"/>
        <v>118452242463</v>
      </c>
      <c r="AD1473" s="491">
        <f t="shared" si="1"/>
        <v>1500</v>
      </c>
      <c r="AE1473" s="492">
        <f t="shared" si="2"/>
        <v>0.009063325885</v>
      </c>
      <c r="AF1473" s="490">
        <f t="shared" si="3"/>
        <v>119525815238</v>
      </c>
      <c r="AG1473" s="493">
        <f t="shared" si="6"/>
        <v>2246806.351</v>
      </c>
      <c r="AH1473" s="493">
        <f t="shared" si="4"/>
        <v>119523568432</v>
      </c>
    </row>
    <row r="1474">
      <c r="T1474" s="494" t="s">
        <v>622</v>
      </c>
      <c r="AB1474" s="489">
        <v>1472.0</v>
      </c>
      <c r="AC1474" s="490">
        <f t="shared" si="5"/>
        <v>119525815238</v>
      </c>
      <c r="AD1474" s="491">
        <f t="shared" si="1"/>
        <v>1500</v>
      </c>
      <c r="AE1474" s="492">
        <f t="shared" si="2"/>
        <v>0.009063325885</v>
      </c>
      <c r="AF1474" s="490">
        <f t="shared" si="3"/>
        <v>120609118154</v>
      </c>
      <c r="AG1474" s="493">
        <f t="shared" si="6"/>
        <v>2248306.351</v>
      </c>
      <c r="AH1474" s="493">
        <f t="shared" si="4"/>
        <v>120606869847</v>
      </c>
    </row>
    <row r="1475">
      <c r="T1475" s="494" t="s">
        <v>622</v>
      </c>
      <c r="AB1475" s="489">
        <v>1473.0</v>
      </c>
      <c r="AC1475" s="490">
        <f t="shared" si="5"/>
        <v>120609118154</v>
      </c>
      <c r="AD1475" s="491">
        <f t="shared" si="1"/>
        <v>1500</v>
      </c>
      <c r="AE1475" s="492">
        <f t="shared" si="2"/>
        <v>0.009063325885</v>
      </c>
      <c r="AF1475" s="490">
        <f t="shared" si="3"/>
        <v>121702239396</v>
      </c>
      <c r="AG1475" s="493">
        <f t="shared" si="6"/>
        <v>2249806.351</v>
      </c>
      <c r="AH1475" s="493">
        <f t="shared" si="4"/>
        <v>121699989590</v>
      </c>
    </row>
    <row r="1476">
      <c r="T1476" s="494" t="s">
        <v>622</v>
      </c>
      <c r="AB1476" s="489">
        <v>1474.0</v>
      </c>
      <c r="AC1476" s="490">
        <f t="shared" si="5"/>
        <v>121702239396</v>
      </c>
      <c r="AD1476" s="491">
        <f t="shared" si="1"/>
        <v>1500</v>
      </c>
      <c r="AE1476" s="492">
        <f t="shared" si="2"/>
        <v>0.009063325885</v>
      </c>
      <c r="AF1476" s="490">
        <f t="shared" si="3"/>
        <v>122805267953</v>
      </c>
      <c r="AG1476" s="493">
        <f t="shared" si="6"/>
        <v>2251306.351</v>
      </c>
      <c r="AH1476" s="493">
        <f t="shared" si="4"/>
        <v>122803016646</v>
      </c>
    </row>
    <row r="1477">
      <c r="T1477" s="494" t="s">
        <v>622</v>
      </c>
      <c r="AB1477" s="489">
        <v>1475.0</v>
      </c>
      <c r="AC1477" s="490">
        <f t="shared" si="5"/>
        <v>122805267953</v>
      </c>
      <c r="AD1477" s="491">
        <f t="shared" si="1"/>
        <v>1500</v>
      </c>
      <c r="AE1477" s="492">
        <f t="shared" si="2"/>
        <v>0.009063325885</v>
      </c>
      <c r="AF1477" s="490">
        <f t="shared" si="3"/>
        <v>123918293617</v>
      </c>
      <c r="AG1477" s="493">
        <f t="shared" si="6"/>
        <v>2252806.351</v>
      </c>
      <c r="AH1477" s="493">
        <f t="shared" si="4"/>
        <v>123916040810</v>
      </c>
    </row>
    <row r="1478">
      <c r="T1478" s="494" t="s">
        <v>622</v>
      </c>
      <c r="AB1478" s="489">
        <v>1476.0</v>
      </c>
      <c r="AC1478" s="490">
        <f t="shared" si="5"/>
        <v>123918293617</v>
      </c>
      <c r="AD1478" s="491">
        <f t="shared" si="1"/>
        <v>1500</v>
      </c>
      <c r="AE1478" s="492">
        <f t="shared" si="2"/>
        <v>0.009063325885</v>
      </c>
      <c r="AF1478" s="490">
        <f t="shared" si="3"/>
        <v>125041406995</v>
      </c>
      <c r="AG1478" s="493">
        <f t="shared" si="6"/>
        <v>2254306.351</v>
      </c>
      <c r="AH1478" s="493">
        <f t="shared" si="4"/>
        <v>125039152688</v>
      </c>
    </row>
    <row r="1479">
      <c r="T1479" s="494" t="s">
        <v>622</v>
      </c>
      <c r="AB1479" s="489">
        <v>1477.0</v>
      </c>
      <c r="AC1479" s="490">
        <f t="shared" si="5"/>
        <v>125041406995</v>
      </c>
      <c r="AD1479" s="491">
        <f t="shared" si="1"/>
        <v>1500</v>
      </c>
      <c r="AE1479" s="492">
        <f t="shared" si="2"/>
        <v>0.009063325885</v>
      </c>
      <c r="AF1479" s="490">
        <f t="shared" si="3"/>
        <v>126174699516</v>
      </c>
      <c r="AG1479" s="493">
        <f t="shared" si="6"/>
        <v>2255806.351</v>
      </c>
      <c r="AH1479" s="493">
        <f t="shared" si="4"/>
        <v>126172443709</v>
      </c>
    </row>
    <row r="1480">
      <c r="T1480" s="494" t="s">
        <v>622</v>
      </c>
      <c r="AB1480" s="489">
        <v>1478.0</v>
      </c>
      <c r="AC1480" s="490">
        <f t="shared" si="5"/>
        <v>126174699516</v>
      </c>
      <c r="AD1480" s="491">
        <f t="shared" si="1"/>
        <v>1500</v>
      </c>
      <c r="AE1480" s="492">
        <f t="shared" si="2"/>
        <v>0.009063325885</v>
      </c>
      <c r="AF1480" s="490">
        <f t="shared" si="3"/>
        <v>127318263436</v>
      </c>
      <c r="AG1480" s="493">
        <f t="shared" si="6"/>
        <v>2257306.351</v>
      </c>
      <c r="AH1480" s="493">
        <f t="shared" si="4"/>
        <v>127316006129</v>
      </c>
    </row>
    <row r="1481">
      <c r="T1481" s="494" t="s">
        <v>622</v>
      </c>
      <c r="AB1481" s="489">
        <v>1479.0</v>
      </c>
      <c r="AC1481" s="490">
        <f t="shared" si="5"/>
        <v>127318263436</v>
      </c>
      <c r="AD1481" s="491">
        <f t="shared" si="1"/>
        <v>1500</v>
      </c>
      <c r="AE1481" s="492">
        <f t="shared" si="2"/>
        <v>0.009063325885</v>
      </c>
      <c r="AF1481" s="490">
        <f t="shared" si="3"/>
        <v>128472191848</v>
      </c>
      <c r="AG1481" s="493">
        <f t="shared" si="6"/>
        <v>2258806.351</v>
      </c>
      <c r="AH1481" s="493">
        <f t="shared" si="4"/>
        <v>128469933042</v>
      </c>
    </row>
    <row r="1482">
      <c r="T1482" s="494" t="s">
        <v>622</v>
      </c>
      <c r="AB1482" s="489">
        <v>1480.0</v>
      </c>
      <c r="AC1482" s="490">
        <f t="shared" si="5"/>
        <v>128472191848</v>
      </c>
      <c r="AD1482" s="491">
        <f t="shared" si="1"/>
        <v>1500</v>
      </c>
      <c r="AE1482" s="492">
        <f t="shared" si="2"/>
        <v>0.009063325885</v>
      </c>
      <c r="AF1482" s="490">
        <f t="shared" si="3"/>
        <v>129636578690</v>
      </c>
      <c r="AG1482" s="493">
        <f t="shared" si="6"/>
        <v>2260306.351</v>
      </c>
      <c r="AH1482" s="493">
        <f t="shared" si="4"/>
        <v>129634318384</v>
      </c>
    </row>
    <row r="1483">
      <c r="T1483" s="494" t="s">
        <v>622</v>
      </c>
      <c r="AB1483" s="489">
        <v>1481.0</v>
      </c>
      <c r="AC1483" s="490">
        <f t="shared" si="5"/>
        <v>129636578690</v>
      </c>
      <c r="AD1483" s="491">
        <f t="shared" si="1"/>
        <v>1500</v>
      </c>
      <c r="AE1483" s="492">
        <f t="shared" si="2"/>
        <v>0.009063325885</v>
      </c>
      <c r="AF1483" s="490">
        <f t="shared" si="3"/>
        <v>130811518750</v>
      </c>
      <c r="AG1483" s="493">
        <f t="shared" si="6"/>
        <v>2261806.351</v>
      </c>
      <c r="AH1483" s="493">
        <f t="shared" si="4"/>
        <v>130809256943</v>
      </c>
    </row>
    <row r="1484">
      <c r="T1484" s="494" t="s">
        <v>622</v>
      </c>
      <c r="AB1484" s="489">
        <v>1482.0</v>
      </c>
      <c r="AC1484" s="490">
        <f t="shared" si="5"/>
        <v>130811518750</v>
      </c>
      <c r="AD1484" s="491">
        <f t="shared" si="1"/>
        <v>1500</v>
      </c>
      <c r="AE1484" s="492">
        <f t="shared" si="2"/>
        <v>0.009063325885</v>
      </c>
      <c r="AF1484" s="490">
        <f t="shared" si="3"/>
        <v>131997107673</v>
      </c>
      <c r="AG1484" s="493">
        <f t="shared" si="6"/>
        <v>2263306.351</v>
      </c>
      <c r="AH1484" s="493">
        <f t="shared" si="4"/>
        <v>131994844367</v>
      </c>
    </row>
    <row r="1485">
      <c r="T1485" s="494" t="s">
        <v>622</v>
      </c>
      <c r="AB1485" s="489">
        <v>1483.0</v>
      </c>
      <c r="AC1485" s="490">
        <f t="shared" si="5"/>
        <v>131997107673</v>
      </c>
      <c r="AD1485" s="491">
        <f t="shared" si="1"/>
        <v>1500</v>
      </c>
      <c r="AE1485" s="492">
        <f t="shared" si="2"/>
        <v>0.009063325885</v>
      </c>
      <c r="AF1485" s="490">
        <f t="shared" si="3"/>
        <v>133193441976</v>
      </c>
      <c r="AG1485" s="493">
        <f t="shared" si="6"/>
        <v>2264806.351</v>
      </c>
      <c r="AH1485" s="493">
        <f t="shared" si="4"/>
        <v>133191177170</v>
      </c>
    </row>
    <row r="1486">
      <c r="T1486" s="494" t="s">
        <v>622</v>
      </c>
      <c r="AB1486" s="489">
        <v>1484.0</v>
      </c>
      <c r="AC1486" s="490">
        <f t="shared" si="5"/>
        <v>133193441976</v>
      </c>
      <c r="AD1486" s="491">
        <f t="shared" si="1"/>
        <v>1500</v>
      </c>
      <c r="AE1486" s="492">
        <f t="shared" si="2"/>
        <v>0.009063325885</v>
      </c>
      <c r="AF1486" s="490">
        <f t="shared" si="3"/>
        <v>134400619047</v>
      </c>
      <c r="AG1486" s="493">
        <f t="shared" si="6"/>
        <v>2266306.351</v>
      </c>
      <c r="AH1486" s="493">
        <f t="shared" si="4"/>
        <v>134398352740</v>
      </c>
    </row>
    <row r="1487">
      <c r="T1487" s="494" t="s">
        <v>622</v>
      </c>
      <c r="AB1487" s="489">
        <v>1485.0</v>
      </c>
      <c r="AC1487" s="490">
        <f t="shared" si="5"/>
        <v>134400619047</v>
      </c>
      <c r="AD1487" s="491">
        <f t="shared" si="1"/>
        <v>1500</v>
      </c>
      <c r="AE1487" s="492">
        <f t="shared" si="2"/>
        <v>0.009063325885</v>
      </c>
      <c r="AF1487" s="490">
        <f t="shared" si="3"/>
        <v>135618737156</v>
      </c>
      <c r="AG1487" s="493">
        <f t="shared" si="6"/>
        <v>2267806.351</v>
      </c>
      <c r="AH1487" s="493">
        <f t="shared" si="4"/>
        <v>135616469350</v>
      </c>
    </row>
    <row r="1488">
      <c r="T1488" s="494" t="s">
        <v>622</v>
      </c>
      <c r="AB1488" s="489">
        <v>1486.0</v>
      </c>
      <c r="AC1488" s="490">
        <f t="shared" si="5"/>
        <v>135618737156</v>
      </c>
      <c r="AD1488" s="491">
        <f t="shared" si="1"/>
        <v>1500</v>
      </c>
      <c r="AE1488" s="492">
        <f t="shared" si="2"/>
        <v>0.009063325885</v>
      </c>
      <c r="AF1488" s="490">
        <f t="shared" si="3"/>
        <v>136847895467</v>
      </c>
      <c r="AG1488" s="493">
        <f t="shared" si="6"/>
        <v>2269306.351</v>
      </c>
      <c r="AH1488" s="493">
        <f t="shared" si="4"/>
        <v>136845626161</v>
      </c>
    </row>
    <row r="1489">
      <c r="T1489" s="494" t="s">
        <v>622</v>
      </c>
      <c r="AB1489" s="489">
        <v>1487.0</v>
      </c>
      <c r="AC1489" s="490">
        <f t="shared" si="5"/>
        <v>136847895467</v>
      </c>
      <c r="AD1489" s="491">
        <f t="shared" si="1"/>
        <v>1500</v>
      </c>
      <c r="AE1489" s="492">
        <f t="shared" si="2"/>
        <v>0.009063325885</v>
      </c>
      <c r="AF1489" s="490">
        <f t="shared" si="3"/>
        <v>138088194040</v>
      </c>
      <c r="AG1489" s="493">
        <f t="shared" si="6"/>
        <v>2270806.351</v>
      </c>
      <c r="AH1489" s="493">
        <f t="shared" si="4"/>
        <v>138085923234</v>
      </c>
    </row>
    <row r="1490">
      <c r="T1490" s="494" t="s">
        <v>622</v>
      </c>
      <c r="AB1490" s="489">
        <v>1488.0</v>
      </c>
      <c r="AC1490" s="490">
        <f t="shared" si="5"/>
        <v>138088194040</v>
      </c>
      <c r="AD1490" s="491">
        <f t="shared" si="1"/>
        <v>1500</v>
      </c>
      <c r="AE1490" s="492">
        <f t="shared" si="2"/>
        <v>0.009063325885</v>
      </c>
      <c r="AF1490" s="490">
        <f t="shared" si="3"/>
        <v>139339733844</v>
      </c>
      <c r="AG1490" s="493">
        <f t="shared" si="6"/>
        <v>2272306.351</v>
      </c>
      <c r="AH1490" s="493">
        <f t="shared" si="4"/>
        <v>139337461538</v>
      </c>
    </row>
    <row r="1491">
      <c r="T1491" s="494" t="s">
        <v>622</v>
      </c>
      <c r="AB1491" s="489">
        <v>1489.0</v>
      </c>
      <c r="AC1491" s="490">
        <f t="shared" si="5"/>
        <v>139339733844</v>
      </c>
      <c r="AD1491" s="491">
        <f t="shared" si="1"/>
        <v>1500</v>
      </c>
      <c r="AE1491" s="492">
        <f t="shared" si="2"/>
        <v>0.009063325885</v>
      </c>
      <c r="AF1491" s="490">
        <f t="shared" si="3"/>
        <v>140602616761</v>
      </c>
      <c r="AG1491" s="493">
        <f t="shared" si="6"/>
        <v>2273806.351</v>
      </c>
      <c r="AH1491" s="493">
        <f t="shared" si="4"/>
        <v>140600342954</v>
      </c>
    </row>
    <row r="1492">
      <c r="T1492" s="494" t="s">
        <v>622</v>
      </c>
      <c r="AB1492" s="489">
        <v>1490.0</v>
      </c>
      <c r="AC1492" s="490">
        <f t="shared" si="5"/>
        <v>140602616761</v>
      </c>
      <c r="AD1492" s="491">
        <f t="shared" si="1"/>
        <v>1500</v>
      </c>
      <c r="AE1492" s="492">
        <f t="shared" si="2"/>
        <v>0.009063325885</v>
      </c>
      <c r="AF1492" s="490">
        <f t="shared" si="3"/>
        <v>141876945597</v>
      </c>
      <c r="AG1492" s="493">
        <f t="shared" si="6"/>
        <v>2275306.351</v>
      </c>
      <c r="AH1492" s="493">
        <f t="shared" si="4"/>
        <v>141874670290</v>
      </c>
    </row>
    <row r="1493">
      <c r="T1493" s="494" t="s">
        <v>622</v>
      </c>
      <c r="AB1493" s="489">
        <v>1491.0</v>
      </c>
      <c r="AC1493" s="490">
        <f t="shared" si="5"/>
        <v>141876945597</v>
      </c>
      <c r="AD1493" s="491">
        <f t="shared" si="1"/>
        <v>1500</v>
      </c>
      <c r="AE1493" s="492">
        <f t="shared" si="2"/>
        <v>0.009063325885</v>
      </c>
      <c r="AF1493" s="490">
        <f t="shared" si="3"/>
        <v>143162824090</v>
      </c>
      <c r="AG1493" s="493">
        <f t="shared" si="6"/>
        <v>2276806.351</v>
      </c>
      <c r="AH1493" s="493">
        <f t="shared" si="4"/>
        <v>143160547284</v>
      </c>
    </row>
    <row r="1494">
      <c r="T1494" s="494" t="s">
        <v>622</v>
      </c>
      <c r="AB1494" s="489">
        <v>1492.0</v>
      </c>
      <c r="AC1494" s="490">
        <f t="shared" si="5"/>
        <v>143162824090</v>
      </c>
      <c r="AD1494" s="491">
        <f t="shared" si="1"/>
        <v>1500</v>
      </c>
      <c r="AE1494" s="492">
        <f t="shared" si="2"/>
        <v>0.009063325885</v>
      </c>
      <c r="AF1494" s="490">
        <f t="shared" si="3"/>
        <v>144460356919</v>
      </c>
      <c r="AG1494" s="493">
        <f t="shared" si="6"/>
        <v>2278306.351</v>
      </c>
      <c r="AH1494" s="493">
        <f t="shared" si="4"/>
        <v>144458078613</v>
      </c>
    </row>
    <row r="1495">
      <c r="T1495" s="494" t="s">
        <v>622</v>
      </c>
      <c r="AB1495" s="489">
        <v>1493.0</v>
      </c>
      <c r="AC1495" s="490">
        <f t="shared" si="5"/>
        <v>144460356919</v>
      </c>
      <c r="AD1495" s="491">
        <f t="shared" si="1"/>
        <v>1500</v>
      </c>
      <c r="AE1495" s="492">
        <f t="shared" si="2"/>
        <v>0.009063325885</v>
      </c>
      <c r="AF1495" s="490">
        <f t="shared" si="3"/>
        <v>145769649712</v>
      </c>
      <c r="AG1495" s="493">
        <f t="shared" si="6"/>
        <v>2279806.351</v>
      </c>
      <c r="AH1495" s="493">
        <f t="shared" si="4"/>
        <v>145767369905</v>
      </c>
    </row>
    <row r="1496">
      <c r="T1496" s="494" t="s">
        <v>622</v>
      </c>
      <c r="AB1496" s="489">
        <v>1494.0</v>
      </c>
      <c r="AC1496" s="490">
        <f t="shared" si="5"/>
        <v>145769649712</v>
      </c>
      <c r="AD1496" s="491">
        <f t="shared" si="1"/>
        <v>1500</v>
      </c>
      <c r="AE1496" s="492">
        <f t="shared" si="2"/>
        <v>0.009063325885</v>
      </c>
      <c r="AF1496" s="490">
        <f t="shared" si="3"/>
        <v>147090809051</v>
      </c>
      <c r="AG1496" s="493">
        <f t="shared" si="6"/>
        <v>2281306.351</v>
      </c>
      <c r="AH1496" s="493">
        <f t="shared" si="4"/>
        <v>147088527745</v>
      </c>
    </row>
    <row r="1497">
      <c r="T1497" s="494" t="s">
        <v>622</v>
      </c>
      <c r="AB1497" s="489">
        <v>1495.0</v>
      </c>
      <c r="AC1497" s="490">
        <f t="shared" si="5"/>
        <v>147090809051</v>
      </c>
      <c r="AD1497" s="491">
        <f t="shared" si="1"/>
        <v>1500</v>
      </c>
      <c r="AE1497" s="492">
        <f t="shared" si="2"/>
        <v>0.009063325885</v>
      </c>
      <c r="AF1497" s="490">
        <f t="shared" si="3"/>
        <v>148423942488</v>
      </c>
      <c r="AG1497" s="493">
        <f t="shared" si="6"/>
        <v>2282806.351</v>
      </c>
      <c r="AH1497" s="493">
        <f t="shared" si="4"/>
        <v>148421659682</v>
      </c>
    </row>
    <row r="1498">
      <c r="T1498" s="494" t="s">
        <v>622</v>
      </c>
      <c r="AB1498" s="489">
        <v>1496.0</v>
      </c>
      <c r="AC1498" s="490">
        <f t="shared" si="5"/>
        <v>148423942488</v>
      </c>
      <c r="AD1498" s="491">
        <f t="shared" si="1"/>
        <v>1500</v>
      </c>
      <c r="AE1498" s="492">
        <f t="shared" si="2"/>
        <v>0.009063325885</v>
      </c>
      <c r="AF1498" s="490">
        <f t="shared" si="3"/>
        <v>149769158548</v>
      </c>
      <c r="AG1498" s="493">
        <f t="shared" si="6"/>
        <v>2284306.351</v>
      </c>
      <c r="AH1498" s="493">
        <f t="shared" si="4"/>
        <v>149766874242</v>
      </c>
    </row>
    <row r="1499">
      <c r="T1499" s="494" t="s">
        <v>622</v>
      </c>
      <c r="AB1499" s="489">
        <v>1497.0</v>
      </c>
      <c r="AC1499" s="490">
        <f t="shared" si="5"/>
        <v>149769158548</v>
      </c>
      <c r="AD1499" s="491">
        <f t="shared" si="1"/>
        <v>1500</v>
      </c>
      <c r="AE1499" s="492">
        <f t="shared" si="2"/>
        <v>0.009063325885</v>
      </c>
      <c r="AF1499" s="490">
        <f t="shared" si="3"/>
        <v>151126566740</v>
      </c>
      <c r="AG1499" s="493">
        <f t="shared" si="6"/>
        <v>2285806.351</v>
      </c>
      <c r="AH1499" s="493">
        <f t="shared" si="4"/>
        <v>151124280933</v>
      </c>
    </row>
    <row r="1500">
      <c r="T1500" s="494" t="s">
        <v>622</v>
      </c>
      <c r="AB1500" s="489">
        <v>1498.0</v>
      </c>
      <c r="AC1500" s="490">
        <f t="shared" si="5"/>
        <v>151126566740</v>
      </c>
      <c r="AD1500" s="491">
        <f t="shared" si="1"/>
        <v>1500</v>
      </c>
      <c r="AE1500" s="492">
        <f t="shared" si="2"/>
        <v>0.009063325885</v>
      </c>
      <c r="AF1500" s="490">
        <f t="shared" si="3"/>
        <v>152496277564</v>
      </c>
      <c r="AG1500" s="493">
        <f t="shared" si="6"/>
        <v>2287306.351</v>
      </c>
      <c r="AH1500" s="493">
        <f t="shared" si="4"/>
        <v>152493990258</v>
      </c>
    </row>
    <row r="1501">
      <c r="T1501" s="494" t="s">
        <v>622</v>
      </c>
      <c r="AB1501" s="489">
        <v>1499.0</v>
      </c>
      <c r="AC1501" s="490">
        <f t="shared" si="5"/>
        <v>152496277564</v>
      </c>
      <c r="AD1501" s="491">
        <f t="shared" si="1"/>
        <v>1500</v>
      </c>
      <c r="AE1501" s="492">
        <f t="shared" si="2"/>
        <v>0.009063325885</v>
      </c>
      <c r="AF1501" s="490">
        <f t="shared" si="3"/>
        <v>153878402524</v>
      </c>
      <c r="AG1501" s="493">
        <f t="shared" si="6"/>
        <v>2288806.351</v>
      </c>
      <c r="AH1501" s="493">
        <f t="shared" si="4"/>
        <v>153876113717</v>
      </c>
    </row>
    <row r="1502">
      <c r="T1502" s="494" t="s">
        <v>622</v>
      </c>
      <c r="AB1502" s="489">
        <v>1500.0</v>
      </c>
      <c r="AC1502" s="490">
        <f t="shared" si="5"/>
        <v>153878402524</v>
      </c>
      <c r="AD1502" s="491">
        <f t="shared" si="1"/>
        <v>1500</v>
      </c>
      <c r="AE1502" s="492">
        <f t="shared" si="2"/>
        <v>0.009063325885</v>
      </c>
      <c r="AF1502" s="490">
        <f t="shared" si="3"/>
        <v>155273054132</v>
      </c>
      <c r="AG1502" s="493">
        <f t="shared" si="6"/>
        <v>2290306.351</v>
      </c>
      <c r="AH1502" s="493">
        <f t="shared" si="4"/>
        <v>155270763826</v>
      </c>
    </row>
    <row r="1503">
      <c r="T1503" s="494" t="s">
        <v>622</v>
      </c>
      <c r="AB1503" s="489">
        <v>1501.0</v>
      </c>
      <c r="AC1503" s="490">
        <f t="shared" si="5"/>
        <v>155273054132</v>
      </c>
      <c r="AD1503" s="491">
        <f t="shared" si="1"/>
        <v>1500</v>
      </c>
      <c r="AE1503" s="492">
        <f t="shared" si="2"/>
        <v>0.009063325885</v>
      </c>
      <c r="AF1503" s="490">
        <f t="shared" si="3"/>
        <v>156680345923</v>
      </c>
      <c r="AG1503" s="493">
        <f t="shared" si="6"/>
        <v>2291806.351</v>
      </c>
      <c r="AH1503" s="493">
        <f t="shared" si="4"/>
        <v>156678054117</v>
      </c>
    </row>
    <row r="1504">
      <c r="T1504" s="494" t="s">
        <v>622</v>
      </c>
      <c r="AB1504" s="489">
        <v>1502.0</v>
      </c>
      <c r="AC1504" s="490">
        <f t="shared" si="5"/>
        <v>156680345923</v>
      </c>
      <c r="AD1504" s="491">
        <f t="shared" si="1"/>
        <v>1500</v>
      </c>
      <c r="AE1504" s="492">
        <f t="shared" si="2"/>
        <v>0.009063325885</v>
      </c>
      <c r="AF1504" s="490">
        <f t="shared" si="3"/>
        <v>158100392458</v>
      </c>
      <c r="AG1504" s="493">
        <f t="shared" si="6"/>
        <v>2293306.351</v>
      </c>
      <c r="AH1504" s="493">
        <f t="shared" si="4"/>
        <v>158098099152</v>
      </c>
    </row>
    <row r="1505">
      <c r="T1505" s="494" t="s">
        <v>622</v>
      </c>
      <c r="AB1505" s="489">
        <v>1503.0</v>
      </c>
      <c r="AC1505" s="490">
        <f t="shared" si="5"/>
        <v>158100392458</v>
      </c>
      <c r="AD1505" s="491">
        <f t="shared" si="1"/>
        <v>1500</v>
      </c>
      <c r="AE1505" s="492">
        <f t="shared" si="2"/>
        <v>0.009063325885</v>
      </c>
      <c r="AF1505" s="490">
        <f t="shared" si="3"/>
        <v>159533309338</v>
      </c>
      <c r="AG1505" s="493">
        <f t="shared" si="6"/>
        <v>2294806.351</v>
      </c>
      <c r="AH1505" s="493">
        <f t="shared" si="4"/>
        <v>159531014531</v>
      </c>
    </row>
    <row r="1506">
      <c r="T1506" s="494" t="s">
        <v>622</v>
      </c>
      <c r="AB1506" s="489">
        <v>1504.0</v>
      </c>
      <c r="AC1506" s="490">
        <f t="shared" si="5"/>
        <v>159533309338</v>
      </c>
      <c r="AD1506" s="491">
        <f t="shared" si="1"/>
        <v>1500</v>
      </c>
      <c r="AE1506" s="492">
        <f t="shared" si="2"/>
        <v>0.009063325885</v>
      </c>
      <c r="AF1506" s="490">
        <f t="shared" si="3"/>
        <v>160979213210</v>
      </c>
      <c r="AG1506" s="493">
        <f t="shared" si="6"/>
        <v>2296306.351</v>
      </c>
      <c r="AH1506" s="493">
        <f t="shared" si="4"/>
        <v>160976916903</v>
      </c>
    </row>
    <row r="1507">
      <c r="T1507" s="494" t="s">
        <v>622</v>
      </c>
      <c r="AB1507" s="489">
        <v>1505.0</v>
      </c>
      <c r="AC1507" s="490">
        <f t="shared" si="5"/>
        <v>160979213210</v>
      </c>
      <c r="AD1507" s="491">
        <f t="shared" si="1"/>
        <v>1500</v>
      </c>
      <c r="AE1507" s="492">
        <f t="shared" si="2"/>
        <v>0.009063325885</v>
      </c>
      <c r="AF1507" s="490">
        <f t="shared" si="3"/>
        <v>162438221780</v>
      </c>
      <c r="AG1507" s="493">
        <f t="shared" si="6"/>
        <v>2297806.351</v>
      </c>
      <c r="AH1507" s="493">
        <f t="shared" si="4"/>
        <v>162435923973</v>
      </c>
    </row>
    <row r="1508">
      <c r="T1508" s="494" t="s">
        <v>622</v>
      </c>
      <c r="AB1508" s="489">
        <v>1506.0</v>
      </c>
      <c r="AC1508" s="490">
        <f t="shared" si="5"/>
        <v>162438221780</v>
      </c>
      <c r="AD1508" s="491">
        <f t="shared" si="1"/>
        <v>1500</v>
      </c>
      <c r="AE1508" s="492">
        <f t="shared" si="2"/>
        <v>0.009063325885</v>
      </c>
      <c r="AF1508" s="490">
        <f t="shared" si="3"/>
        <v>163910453820</v>
      </c>
      <c r="AG1508" s="493">
        <f t="shared" si="6"/>
        <v>2299306.351</v>
      </c>
      <c r="AH1508" s="493">
        <f t="shared" si="4"/>
        <v>163908154514</v>
      </c>
    </row>
    <row r="1509">
      <c r="T1509" s="494" t="s">
        <v>622</v>
      </c>
      <c r="AB1509" s="489">
        <v>1507.0</v>
      </c>
      <c r="AC1509" s="490">
        <f t="shared" si="5"/>
        <v>163910453820</v>
      </c>
      <c r="AD1509" s="491">
        <f t="shared" si="1"/>
        <v>1500</v>
      </c>
      <c r="AE1509" s="492">
        <f t="shared" si="2"/>
        <v>0.009063325885</v>
      </c>
      <c r="AF1509" s="490">
        <f t="shared" si="3"/>
        <v>165396029179</v>
      </c>
      <c r="AG1509" s="493">
        <f t="shared" si="6"/>
        <v>2300806.351</v>
      </c>
      <c r="AH1509" s="493">
        <f t="shared" si="4"/>
        <v>165393728372</v>
      </c>
    </row>
    <row r="1510">
      <c r="T1510" s="494" t="s">
        <v>622</v>
      </c>
      <c r="AB1510" s="489">
        <v>1508.0</v>
      </c>
      <c r="AC1510" s="490">
        <f t="shared" si="5"/>
        <v>165396029179</v>
      </c>
      <c r="AD1510" s="491">
        <f t="shared" si="1"/>
        <v>1500</v>
      </c>
      <c r="AE1510" s="492">
        <f t="shared" si="2"/>
        <v>0.009063325885</v>
      </c>
      <c r="AF1510" s="490">
        <f t="shared" si="3"/>
        <v>166895068791</v>
      </c>
      <c r="AG1510" s="493">
        <f t="shared" si="6"/>
        <v>2302306.351</v>
      </c>
      <c r="AH1510" s="493">
        <f t="shared" si="4"/>
        <v>166892766485</v>
      </c>
    </row>
    <row r="1511">
      <c r="T1511" s="494" t="s">
        <v>622</v>
      </c>
      <c r="AB1511" s="489">
        <v>1509.0</v>
      </c>
      <c r="AC1511" s="490">
        <f t="shared" si="5"/>
        <v>166895068791</v>
      </c>
      <c r="AD1511" s="491">
        <f t="shared" si="1"/>
        <v>1500</v>
      </c>
      <c r="AE1511" s="492">
        <f t="shared" si="2"/>
        <v>0.009063325885</v>
      </c>
      <c r="AF1511" s="490">
        <f t="shared" si="3"/>
        <v>168407694688</v>
      </c>
      <c r="AG1511" s="493">
        <f t="shared" si="6"/>
        <v>2303806.351</v>
      </c>
      <c r="AH1511" s="493">
        <f t="shared" si="4"/>
        <v>168405390882</v>
      </c>
    </row>
    <row r="1512">
      <c r="T1512" s="494" t="s">
        <v>622</v>
      </c>
      <c r="AB1512" s="489">
        <v>1510.0</v>
      </c>
      <c r="AC1512" s="490">
        <f t="shared" si="5"/>
        <v>168407694688</v>
      </c>
      <c r="AD1512" s="491">
        <f t="shared" si="1"/>
        <v>1500</v>
      </c>
      <c r="AE1512" s="492">
        <f t="shared" si="2"/>
        <v>0.009063325885</v>
      </c>
      <c r="AF1512" s="490">
        <f t="shared" si="3"/>
        <v>169934030007</v>
      </c>
      <c r="AG1512" s="493">
        <f t="shared" si="6"/>
        <v>2305306.351</v>
      </c>
      <c r="AH1512" s="493">
        <f t="shared" si="4"/>
        <v>169931724701</v>
      </c>
    </row>
    <row r="1513">
      <c r="T1513" s="494" t="s">
        <v>622</v>
      </c>
      <c r="AB1513" s="489">
        <v>1511.0</v>
      </c>
      <c r="AC1513" s="490">
        <f t="shared" si="5"/>
        <v>169934030007</v>
      </c>
      <c r="AD1513" s="491">
        <f t="shared" si="1"/>
        <v>1500</v>
      </c>
      <c r="AE1513" s="492">
        <f t="shared" si="2"/>
        <v>0.009063325885</v>
      </c>
      <c r="AF1513" s="490">
        <f t="shared" si="3"/>
        <v>171474199000</v>
      </c>
      <c r="AG1513" s="493">
        <f t="shared" si="6"/>
        <v>2306806.351</v>
      </c>
      <c r="AH1513" s="493">
        <f t="shared" si="4"/>
        <v>171471892194</v>
      </c>
    </row>
    <row r="1514">
      <c r="T1514" s="494" t="s">
        <v>622</v>
      </c>
      <c r="AB1514" s="489">
        <v>1512.0</v>
      </c>
      <c r="AC1514" s="490">
        <f t="shared" si="5"/>
        <v>171474199000</v>
      </c>
      <c r="AD1514" s="491">
        <f t="shared" si="1"/>
        <v>1500</v>
      </c>
      <c r="AE1514" s="492">
        <f t="shared" si="2"/>
        <v>0.009063325885</v>
      </c>
      <c r="AF1514" s="490">
        <f t="shared" si="3"/>
        <v>173028327046</v>
      </c>
      <c r="AG1514" s="493">
        <f t="shared" si="6"/>
        <v>2308306.351</v>
      </c>
      <c r="AH1514" s="493">
        <f t="shared" si="4"/>
        <v>173026018740</v>
      </c>
    </row>
    <row r="1515">
      <c r="T1515" s="494" t="s">
        <v>622</v>
      </c>
      <c r="AB1515" s="489">
        <v>1513.0</v>
      </c>
      <c r="AC1515" s="490">
        <f t="shared" si="5"/>
        <v>173028327046</v>
      </c>
      <c r="AD1515" s="491">
        <f t="shared" si="1"/>
        <v>1500</v>
      </c>
      <c r="AE1515" s="492">
        <f t="shared" si="2"/>
        <v>0.009063325885</v>
      </c>
      <c r="AF1515" s="490">
        <f t="shared" si="3"/>
        <v>174596540662</v>
      </c>
      <c r="AG1515" s="493">
        <f t="shared" si="6"/>
        <v>2309806.351</v>
      </c>
      <c r="AH1515" s="493">
        <f t="shared" si="4"/>
        <v>174594230855</v>
      </c>
    </row>
    <row r="1516">
      <c r="T1516" s="494" t="s">
        <v>622</v>
      </c>
      <c r="AB1516" s="489">
        <v>1514.0</v>
      </c>
      <c r="AC1516" s="490">
        <f t="shared" si="5"/>
        <v>174596540662</v>
      </c>
      <c r="AD1516" s="491">
        <f t="shared" si="1"/>
        <v>1500</v>
      </c>
      <c r="AE1516" s="492">
        <f t="shared" si="2"/>
        <v>0.009063325885</v>
      </c>
      <c r="AF1516" s="490">
        <f t="shared" si="3"/>
        <v>176178967508</v>
      </c>
      <c r="AG1516" s="493">
        <f t="shared" si="6"/>
        <v>2311306.351</v>
      </c>
      <c r="AH1516" s="493">
        <f t="shared" si="4"/>
        <v>176176656202</v>
      </c>
    </row>
    <row r="1517">
      <c r="T1517" s="494" t="s">
        <v>622</v>
      </c>
      <c r="AB1517" s="489">
        <v>1515.0</v>
      </c>
      <c r="AC1517" s="490">
        <f t="shared" si="5"/>
        <v>176178967508</v>
      </c>
      <c r="AD1517" s="491">
        <f t="shared" si="1"/>
        <v>1500</v>
      </c>
      <c r="AE1517" s="492">
        <f t="shared" si="2"/>
        <v>0.009063325885</v>
      </c>
      <c r="AF1517" s="490">
        <f t="shared" si="3"/>
        <v>177775736405</v>
      </c>
      <c r="AG1517" s="493">
        <f t="shared" si="6"/>
        <v>2312806.351</v>
      </c>
      <c r="AH1517" s="493">
        <f t="shared" si="4"/>
        <v>177773423598</v>
      </c>
    </row>
    <row r="1518">
      <c r="T1518" s="494" t="s">
        <v>622</v>
      </c>
      <c r="AB1518" s="489">
        <v>1516.0</v>
      </c>
      <c r="AC1518" s="490">
        <f t="shared" si="5"/>
        <v>177775736405</v>
      </c>
      <c r="AD1518" s="491">
        <f t="shared" si="1"/>
        <v>1500</v>
      </c>
      <c r="AE1518" s="492">
        <f t="shared" si="2"/>
        <v>0.009063325885</v>
      </c>
      <c r="AF1518" s="490">
        <f t="shared" si="3"/>
        <v>179386977338</v>
      </c>
      <c r="AG1518" s="493">
        <f t="shared" si="6"/>
        <v>2314306.351</v>
      </c>
      <c r="AH1518" s="493">
        <f t="shared" si="4"/>
        <v>179384663032</v>
      </c>
    </row>
    <row r="1519">
      <c r="T1519" s="494" t="s">
        <v>622</v>
      </c>
      <c r="AB1519" s="489">
        <v>1517.0</v>
      </c>
      <c r="AC1519" s="490">
        <f t="shared" si="5"/>
        <v>179386977338</v>
      </c>
      <c r="AD1519" s="491">
        <f t="shared" si="1"/>
        <v>1500</v>
      </c>
      <c r="AE1519" s="492">
        <f t="shared" si="2"/>
        <v>0.009063325885</v>
      </c>
      <c r="AF1519" s="490">
        <f t="shared" si="3"/>
        <v>181012821473</v>
      </c>
      <c r="AG1519" s="493">
        <f t="shared" si="6"/>
        <v>2315806.351</v>
      </c>
      <c r="AH1519" s="493">
        <f t="shared" si="4"/>
        <v>181010505667</v>
      </c>
    </row>
    <row r="1520">
      <c r="T1520" s="494" t="s">
        <v>622</v>
      </c>
      <c r="AB1520" s="489">
        <v>1518.0</v>
      </c>
      <c r="AC1520" s="490">
        <f t="shared" si="5"/>
        <v>181012821473</v>
      </c>
      <c r="AD1520" s="491">
        <f t="shared" si="1"/>
        <v>1500</v>
      </c>
      <c r="AE1520" s="492">
        <f t="shared" si="2"/>
        <v>0.009063325885</v>
      </c>
      <c r="AF1520" s="490">
        <f t="shared" si="3"/>
        <v>182653401164</v>
      </c>
      <c r="AG1520" s="493">
        <f t="shared" si="6"/>
        <v>2317306.351</v>
      </c>
      <c r="AH1520" s="493">
        <f t="shared" si="4"/>
        <v>182651083857</v>
      </c>
    </row>
    <row r="1521">
      <c r="T1521" s="494" t="s">
        <v>622</v>
      </c>
      <c r="AB1521" s="489">
        <v>1519.0</v>
      </c>
      <c r="AC1521" s="490">
        <f t="shared" si="5"/>
        <v>182653401164</v>
      </c>
      <c r="AD1521" s="491">
        <f t="shared" si="1"/>
        <v>1500</v>
      </c>
      <c r="AE1521" s="492">
        <f t="shared" si="2"/>
        <v>0.009063325885</v>
      </c>
      <c r="AF1521" s="490">
        <f t="shared" si="3"/>
        <v>184308849963</v>
      </c>
      <c r="AG1521" s="493">
        <f t="shared" si="6"/>
        <v>2318806.351</v>
      </c>
      <c r="AH1521" s="493">
        <f t="shared" si="4"/>
        <v>184306531156</v>
      </c>
    </row>
    <row r="1522">
      <c r="T1522" s="494" t="s">
        <v>622</v>
      </c>
      <c r="AB1522" s="489">
        <v>1520.0</v>
      </c>
      <c r="AC1522" s="490">
        <f t="shared" si="5"/>
        <v>184308849963</v>
      </c>
      <c r="AD1522" s="491">
        <f t="shared" si="1"/>
        <v>1500</v>
      </c>
      <c r="AE1522" s="492">
        <f t="shared" si="2"/>
        <v>0.009063325885</v>
      </c>
      <c r="AF1522" s="490">
        <f t="shared" si="3"/>
        <v>185979302633</v>
      </c>
      <c r="AG1522" s="493">
        <f t="shared" si="6"/>
        <v>2320306.351</v>
      </c>
      <c r="AH1522" s="493">
        <f t="shared" si="4"/>
        <v>185976982327</v>
      </c>
    </row>
    <row r="1523">
      <c r="T1523" s="494" t="s">
        <v>622</v>
      </c>
      <c r="AB1523" s="489">
        <v>1521.0</v>
      </c>
      <c r="AC1523" s="490">
        <f t="shared" si="5"/>
        <v>185979302633</v>
      </c>
      <c r="AD1523" s="491">
        <f t="shared" si="1"/>
        <v>1500</v>
      </c>
      <c r="AE1523" s="492">
        <f t="shared" si="2"/>
        <v>0.009063325885</v>
      </c>
      <c r="AF1523" s="490">
        <f t="shared" si="3"/>
        <v>187664895161</v>
      </c>
      <c r="AG1523" s="493">
        <f t="shared" si="6"/>
        <v>2321806.351</v>
      </c>
      <c r="AH1523" s="493">
        <f t="shared" si="4"/>
        <v>187662573355</v>
      </c>
    </row>
    <row r="1524">
      <c r="T1524" s="494" t="s">
        <v>622</v>
      </c>
      <c r="AB1524" s="489">
        <v>1522.0</v>
      </c>
      <c r="AC1524" s="490">
        <f t="shared" si="5"/>
        <v>187664895161</v>
      </c>
      <c r="AD1524" s="491">
        <f t="shared" si="1"/>
        <v>1500</v>
      </c>
      <c r="AE1524" s="492">
        <f t="shared" si="2"/>
        <v>0.009063325885</v>
      </c>
      <c r="AF1524" s="490">
        <f t="shared" si="3"/>
        <v>189365764763</v>
      </c>
      <c r="AG1524" s="493">
        <f t="shared" si="6"/>
        <v>2323306.351</v>
      </c>
      <c r="AH1524" s="493">
        <f t="shared" si="4"/>
        <v>189363441457</v>
      </c>
    </row>
    <row r="1525">
      <c r="T1525" s="494" t="s">
        <v>622</v>
      </c>
      <c r="AB1525" s="489">
        <v>1523.0</v>
      </c>
      <c r="AC1525" s="490">
        <f t="shared" si="5"/>
        <v>189365764763</v>
      </c>
      <c r="AD1525" s="491">
        <f t="shared" si="1"/>
        <v>1500</v>
      </c>
      <c r="AE1525" s="492">
        <f t="shared" si="2"/>
        <v>0.009063325885</v>
      </c>
      <c r="AF1525" s="490">
        <f t="shared" si="3"/>
        <v>191082049900</v>
      </c>
      <c r="AG1525" s="493">
        <f t="shared" si="6"/>
        <v>2324806.351</v>
      </c>
      <c r="AH1525" s="493">
        <f t="shared" si="4"/>
        <v>191079725094</v>
      </c>
    </row>
    <row r="1526">
      <c r="T1526" s="494" t="s">
        <v>622</v>
      </c>
      <c r="AB1526" s="489">
        <v>1524.0</v>
      </c>
      <c r="AC1526" s="490">
        <f t="shared" si="5"/>
        <v>191082049900</v>
      </c>
      <c r="AD1526" s="491">
        <f t="shared" si="1"/>
        <v>1500</v>
      </c>
      <c r="AE1526" s="492">
        <f t="shared" si="2"/>
        <v>0.009063325885</v>
      </c>
      <c r="AF1526" s="490">
        <f t="shared" si="3"/>
        <v>192813890290</v>
      </c>
      <c r="AG1526" s="493">
        <f t="shared" si="6"/>
        <v>2326306.351</v>
      </c>
      <c r="AH1526" s="493">
        <f t="shared" si="4"/>
        <v>192811563983</v>
      </c>
    </row>
    <row r="1527">
      <c r="T1527" s="494" t="s">
        <v>622</v>
      </c>
      <c r="AB1527" s="489">
        <v>1525.0</v>
      </c>
      <c r="AC1527" s="490">
        <f t="shared" si="5"/>
        <v>192813890290</v>
      </c>
      <c r="AD1527" s="491">
        <f t="shared" si="1"/>
        <v>1500</v>
      </c>
      <c r="AE1527" s="492">
        <f t="shared" si="2"/>
        <v>0.009063325885</v>
      </c>
      <c r="AF1527" s="490">
        <f t="shared" si="3"/>
        <v>194561426912</v>
      </c>
      <c r="AG1527" s="493">
        <f t="shared" si="6"/>
        <v>2327806.351</v>
      </c>
      <c r="AH1527" s="493">
        <f t="shared" si="4"/>
        <v>194559099106</v>
      </c>
    </row>
    <row r="1528">
      <c r="T1528" s="494" t="s">
        <v>622</v>
      </c>
      <c r="AB1528" s="489">
        <v>1526.0</v>
      </c>
      <c r="AC1528" s="490">
        <f t="shared" si="5"/>
        <v>194561426912</v>
      </c>
      <c r="AD1528" s="491">
        <f t="shared" si="1"/>
        <v>1500</v>
      </c>
      <c r="AE1528" s="492">
        <f t="shared" si="2"/>
        <v>0.009063325885</v>
      </c>
      <c r="AF1528" s="490">
        <f t="shared" si="3"/>
        <v>196324802029</v>
      </c>
      <c r="AG1528" s="493">
        <f t="shared" si="6"/>
        <v>2329306.351</v>
      </c>
      <c r="AH1528" s="493">
        <f t="shared" si="4"/>
        <v>196322472723</v>
      </c>
    </row>
    <row r="1529">
      <c r="T1529" s="494" t="s">
        <v>622</v>
      </c>
      <c r="AB1529" s="489">
        <v>1527.0</v>
      </c>
      <c r="AC1529" s="490">
        <f t="shared" si="5"/>
        <v>196324802029</v>
      </c>
      <c r="AD1529" s="491">
        <f t="shared" si="1"/>
        <v>1500</v>
      </c>
      <c r="AE1529" s="492">
        <f t="shared" si="2"/>
        <v>0.009063325885</v>
      </c>
      <c r="AF1529" s="490">
        <f t="shared" si="3"/>
        <v>198104159189</v>
      </c>
      <c r="AG1529" s="493">
        <f t="shared" si="6"/>
        <v>2330806.351</v>
      </c>
      <c r="AH1529" s="493">
        <f t="shared" si="4"/>
        <v>198101828383</v>
      </c>
    </row>
    <row r="1530">
      <c r="T1530" s="494" t="s">
        <v>622</v>
      </c>
      <c r="AB1530" s="489">
        <v>1528.0</v>
      </c>
      <c r="AC1530" s="490">
        <f t="shared" si="5"/>
        <v>198104159189</v>
      </c>
      <c r="AD1530" s="491">
        <f t="shared" si="1"/>
        <v>1500</v>
      </c>
      <c r="AE1530" s="492">
        <f t="shared" si="2"/>
        <v>0.009063325885</v>
      </c>
      <c r="AF1530" s="490">
        <f t="shared" si="3"/>
        <v>199899643243</v>
      </c>
      <c r="AG1530" s="493">
        <f t="shared" si="6"/>
        <v>2332306.351</v>
      </c>
      <c r="AH1530" s="493">
        <f t="shared" si="4"/>
        <v>199897310937</v>
      </c>
    </row>
    <row r="1531">
      <c r="T1531" s="494" t="s">
        <v>622</v>
      </c>
      <c r="AB1531" s="489">
        <v>1529.0</v>
      </c>
      <c r="AC1531" s="490">
        <f t="shared" si="5"/>
        <v>199899643243</v>
      </c>
      <c r="AD1531" s="491">
        <f t="shared" si="1"/>
        <v>1500</v>
      </c>
      <c r="AE1531" s="492">
        <f t="shared" si="2"/>
        <v>0.009063325885</v>
      </c>
      <c r="AF1531" s="490">
        <f t="shared" si="3"/>
        <v>201711400354</v>
      </c>
      <c r="AG1531" s="493">
        <f t="shared" si="6"/>
        <v>2333806.351</v>
      </c>
      <c r="AH1531" s="493">
        <f t="shared" si="4"/>
        <v>201709066548</v>
      </c>
    </row>
    <row r="1532">
      <c r="T1532" s="494" t="s">
        <v>622</v>
      </c>
      <c r="AB1532" s="489">
        <v>1530.0</v>
      </c>
      <c r="AC1532" s="490">
        <f t="shared" si="5"/>
        <v>201711400354</v>
      </c>
      <c r="AD1532" s="491">
        <f t="shared" si="1"/>
        <v>1500</v>
      </c>
      <c r="AE1532" s="492">
        <f t="shared" si="2"/>
        <v>0.009063325885</v>
      </c>
      <c r="AF1532" s="490">
        <f t="shared" si="3"/>
        <v>203539578010</v>
      </c>
      <c r="AG1532" s="493">
        <f t="shared" si="6"/>
        <v>2335306.351</v>
      </c>
      <c r="AH1532" s="493">
        <f t="shared" si="4"/>
        <v>203537242704</v>
      </c>
    </row>
    <row r="1533">
      <c r="T1533" s="494" t="s">
        <v>622</v>
      </c>
      <c r="AB1533" s="489">
        <v>1531.0</v>
      </c>
      <c r="AC1533" s="490">
        <f t="shared" si="5"/>
        <v>203539578010</v>
      </c>
      <c r="AD1533" s="491">
        <f t="shared" si="1"/>
        <v>1500</v>
      </c>
      <c r="AE1533" s="492">
        <f t="shared" si="2"/>
        <v>0.009063325885</v>
      </c>
      <c r="AF1533" s="490">
        <f t="shared" si="3"/>
        <v>205384325036</v>
      </c>
      <c r="AG1533" s="493">
        <f t="shared" si="6"/>
        <v>2336806.351</v>
      </c>
      <c r="AH1533" s="493">
        <f t="shared" si="4"/>
        <v>205381988230</v>
      </c>
    </row>
    <row r="1534">
      <c r="T1534" s="494" t="s">
        <v>622</v>
      </c>
      <c r="AB1534" s="489">
        <v>1532.0</v>
      </c>
      <c r="AC1534" s="490">
        <f t="shared" si="5"/>
        <v>205384325036</v>
      </c>
      <c r="AD1534" s="491">
        <f t="shared" si="1"/>
        <v>1500</v>
      </c>
      <c r="AE1534" s="492">
        <f t="shared" si="2"/>
        <v>0.009063325885</v>
      </c>
      <c r="AF1534" s="490">
        <f t="shared" si="3"/>
        <v>207245791606</v>
      </c>
      <c r="AG1534" s="493">
        <f t="shared" si="6"/>
        <v>2338306.351</v>
      </c>
      <c r="AH1534" s="493">
        <f t="shared" si="4"/>
        <v>207243453300</v>
      </c>
    </row>
    <row r="1535">
      <c r="T1535" s="494" t="s">
        <v>622</v>
      </c>
      <c r="AB1535" s="489">
        <v>1533.0</v>
      </c>
      <c r="AC1535" s="490">
        <f t="shared" si="5"/>
        <v>207245791606</v>
      </c>
      <c r="AD1535" s="491">
        <f t="shared" si="1"/>
        <v>1500</v>
      </c>
      <c r="AE1535" s="492">
        <f t="shared" si="2"/>
        <v>0.009063325885</v>
      </c>
      <c r="AF1535" s="490">
        <f t="shared" si="3"/>
        <v>209124129254</v>
      </c>
      <c r="AG1535" s="493">
        <f t="shared" si="6"/>
        <v>2339806.351</v>
      </c>
      <c r="AH1535" s="493">
        <f t="shared" si="4"/>
        <v>209121789447</v>
      </c>
    </row>
    <row r="1536">
      <c r="T1536" s="494" t="s">
        <v>622</v>
      </c>
      <c r="AB1536" s="489">
        <v>1534.0</v>
      </c>
      <c r="AC1536" s="490">
        <f t="shared" si="5"/>
        <v>209124129254</v>
      </c>
      <c r="AD1536" s="491">
        <f t="shared" si="1"/>
        <v>1500</v>
      </c>
      <c r="AE1536" s="492">
        <f t="shared" si="2"/>
        <v>0.009063325885</v>
      </c>
      <c r="AF1536" s="490">
        <f t="shared" si="3"/>
        <v>211019490887</v>
      </c>
      <c r="AG1536" s="493">
        <f t="shared" si="6"/>
        <v>2341306.351</v>
      </c>
      <c r="AH1536" s="493">
        <f t="shared" si="4"/>
        <v>211017149581</v>
      </c>
    </row>
    <row r="1537">
      <c r="T1537" s="494" t="s">
        <v>622</v>
      </c>
      <c r="AB1537" s="489">
        <v>1535.0</v>
      </c>
      <c r="AC1537" s="490">
        <f t="shared" si="5"/>
        <v>211019490887</v>
      </c>
      <c r="AD1537" s="491">
        <f t="shared" si="1"/>
        <v>1500</v>
      </c>
      <c r="AE1537" s="492">
        <f t="shared" si="2"/>
        <v>0.009063325885</v>
      </c>
      <c r="AF1537" s="490">
        <f t="shared" si="3"/>
        <v>212932030801</v>
      </c>
      <c r="AG1537" s="493">
        <f t="shared" si="6"/>
        <v>2342806.351</v>
      </c>
      <c r="AH1537" s="493">
        <f t="shared" si="4"/>
        <v>212929687995</v>
      </c>
    </row>
    <row r="1538">
      <c r="T1538" s="494" t="s">
        <v>622</v>
      </c>
      <c r="AB1538" s="489">
        <v>1536.0</v>
      </c>
      <c r="AC1538" s="490">
        <f t="shared" si="5"/>
        <v>212932030801</v>
      </c>
      <c r="AD1538" s="491">
        <f t="shared" si="1"/>
        <v>1500</v>
      </c>
      <c r="AE1538" s="492">
        <f t="shared" si="2"/>
        <v>0.009063325885</v>
      </c>
      <c r="AF1538" s="490">
        <f t="shared" si="3"/>
        <v>214861904688</v>
      </c>
      <c r="AG1538" s="493">
        <f t="shared" si="6"/>
        <v>2344306.351</v>
      </c>
      <c r="AH1538" s="493">
        <f t="shared" si="4"/>
        <v>214859560382</v>
      </c>
    </row>
    <row r="1539">
      <c r="T1539" s="494" t="s">
        <v>622</v>
      </c>
      <c r="AB1539" s="489">
        <v>1537.0</v>
      </c>
      <c r="AC1539" s="490">
        <f t="shared" si="5"/>
        <v>214861904688</v>
      </c>
      <c r="AD1539" s="491">
        <f t="shared" si="1"/>
        <v>1500</v>
      </c>
      <c r="AE1539" s="492">
        <f t="shared" si="2"/>
        <v>0.009063325885</v>
      </c>
      <c r="AF1539" s="490">
        <f t="shared" si="3"/>
        <v>216809269650</v>
      </c>
      <c r="AG1539" s="493">
        <f t="shared" si="6"/>
        <v>2345806.351</v>
      </c>
      <c r="AH1539" s="493">
        <f t="shared" si="4"/>
        <v>216806923844</v>
      </c>
    </row>
    <row r="1540">
      <c r="T1540" s="494" t="s">
        <v>622</v>
      </c>
      <c r="AB1540" s="489">
        <v>1538.0</v>
      </c>
      <c r="AC1540" s="490">
        <f t="shared" si="5"/>
        <v>216809269650</v>
      </c>
      <c r="AD1540" s="491">
        <f t="shared" si="1"/>
        <v>1500</v>
      </c>
      <c r="AE1540" s="492">
        <f t="shared" si="2"/>
        <v>0.009063325885</v>
      </c>
      <c r="AF1540" s="490">
        <f t="shared" si="3"/>
        <v>218774284216</v>
      </c>
      <c r="AG1540" s="493">
        <f t="shared" si="6"/>
        <v>2347306.351</v>
      </c>
      <c r="AH1540" s="493">
        <f t="shared" si="4"/>
        <v>218771936910</v>
      </c>
    </row>
    <row r="1541">
      <c r="T1541" s="494" t="s">
        <v>622</v>
      </c>
      <c r="AB1541" s="489">
        <v>1539.0</v>
      </c>
      <c r="AC1541" s="490">
        <f t="shared" si="5"/>
        <v>218774284216</v>
      </c>
      <c r="AD1541" s="491">
        <f t="shared" si="1"/>
        <v>1500</v>
      </c>
      <c r="AE1541" s="492">
        <f t="shared" si="2"/>
        <v>0.009063325885</v>
      </c>
      <c r="AF1541" s="490">
        <f t="shared" si="3"/>
        <v>220757108349</v>
      </c>
      <c r="AG1541" s="493">
        <f t="shared" si="6"/>
        <v>2348806.351</v>
      </c>
      <c r="AH1541" s="493">
        <f t="shared" si="4"/>
        <v>220754759543</v>
      </c>
    </row>
    <row r="1542">
      <c r="T1542" s="494" t="s">
        <v>622</v>
      </c>
      <c r="AB1542" s="489">
        <v>1540.0</v>
      </c>
      <c r="AC1542" s="490">
        <f t="shared" si="5"/>
        <v>220757108349</v>
      </c>
      <c r="AD1542" s="491">
        <f t="shared" si="1"/>
        <v>1500</v>
      </c>
      <c r="AE1542" s="492">
        <f t="shared" si="2"/>
        <v>0.009063325885</v>
      </c>
      <c r="AF1542" s="490">
        <f t="shared" si="3"/>
        <v>222757903464</v>
      </c>
      <c r="AG1542" s="493">
        <f t="shared" si="6"/>
        <v>2350306.351</v>
      </c>
      <c r="AH1542" s="493">
        <f t="shared" si="4"/>
        <v>222755553157</v>
      </c>
    </row>
    <row r="1543">
      <c r="T1543" s="494" t="s">
        <v>622</v>
      </c>
      <c r="AB1543" s="489">
        <v>1541.0</v>
      </c>
      <c r="AC1543" s="490">
        <f t="shared" si="5"/>
        <v>222757903464</v>
      </c>
      <c r="AD1543" s="491">
        <f t="shared" si="1"/>
        <v>1500</v>
      </c>
      <c r="AE1543" s="492">
        <f t="shared" si="2"/>
        <v>0.009063325885</v>
      </c>
      <c r="AF1543" s="490">
        <f t="shared" si="3"/>
        <v>224776832436</v>
      </c>
      <c r="AG1543" s="493">
        <f t="shared" si="6"/>
        <v>2351806.351</v>
      </c>
      <c r="AH1543" s="493">
        <f t="shared" si="4"/>
        <v>224774480630</v>
      </c>
    </row>
    <row r="1544">
      <c r="T1544" s="494" t="s">
        <v>622</v>
      </c>
      <c r="AB1544" s="489">
        <v>1542.0</v>
      </c>
      <c r="AC1544" s="490">
        <f t="shared" si="5"/>
        <v>224776832436</v>
      </c>
      <c r="AD1544" s="491">
        <f t="shared" si="1"/>
        <v>1500</v>
      </c>
      <c r="AE1544" s="492">
        <f t="shared" si="2"/>
        <v>0.009063325885</v>
      </c>
      <c r="AF1544" s="490">
        <f t="shared" si="3"/>
        <v>226814059620</v>
      </c>
      <c r="AG1544" s="493">
        <f t="shared" si="6"/>
        <v>2353306.351</v>
      </c>
      <c r="AH1544" s="493">
        <f t="shared" si="4"/>
        <v>226811706314</v>
      </c>
    </row>
    <row r="1545">
      <c r="T1545" s="494" t="s">
        <v>622</v>
      </c>
      <c r="AB1545" s="489">
        <v>1543.0</v>
      </c>
      <c r="AC1545" s="490">
        <f t="shared" si="5"/>
        <v>226814059620</v>
      </c>
      <c r="AD1545" s="491">
        <f t="shared" si="1"/>
        <v>1500</v>
      </c>
      <c r="AE1545" s="492">
        <f t="shared" si="2"/>
        <v>0.009063325885</v>
      </c>
      <c r="AF1545" s="490">
        <f t="shared" si="3"/>
        <v>228869750858</v>
      </c>
      <c r="AG1545" s="493">
        <f t="shared" si="6"/>
        <v>2354806.351</v>
      </c>
      <c r="AH1545" s="493">
        <f t="shared" si="4"/>
        <v>228867396051</v>
      </c>
    </row>
    <row r="1546">
      <c r="T1546" s="494" t="s">
        <v>622</v>
      </c>
      <c r="AB1546" s="489">
        <v>1544.0</v>
      </c>
      <c r="AC1546" s="490">
        <f t="shared" si="5"/>
        <v>228869750858</v>
      </c>
      <c r="AD1546" s="491">
        <f t="shared" si="1"/>
        <v>1500</v>
      </c>
      <c r="AE1546" s="492">
        <f t="shared" si="2"/>
        <v>0.009063325885</v>
      </c>
      <c r="AF1546" s="490">
        <f t="shared" si="3"/>
        <v>230944073495</v>
      </c>
      <c r="AG1546" s="493">
        <f t="shared" si="6"/>
        <v>2356306.351</v>
      </c>
      <c r="AH1546" s="493">
        <f t="shared" si="4"/>
        <v>230941717189</v>
      </c>
    </row>
    <row r="1547">
      <c r="T1547" s="494" t="s">
        <v>622</v>
      </c>
      <c r="AB1547" s="489">
        <v>1545.0</v>
      </c>
      <c r="AC1547" s="490">
        <f t="shared" si="5"/>
        <v>230944073495</v>
      </c>
      <c r="AD1547" s="491">
        <f t="shared" si="1"/>
        <v>1500</v>
      </c>
      <c r="AE1547" s="492">
        <f t="shared" si="2"/>
        <v>0.009063325885</v>
      </c>
      <c r="AF1547" s="490">
        <f t="shared" si="3"/>
        <v>233037196394</v>
      </c>
      <c r="AG1547" s="493">
        <f t="shared" si="6"/>
        <v>2357806.351</v>
      </c>
      <c r="AH1547" s="493">
        <f t="shared" si="4"/>
        <v>233034838588</v>
      </c>
    </row>
    <row r="1548">
      <c r="T1548" s="494" t="s">
        <v>622</v>
      </c>
      <c r="AB1548" s="489">
        <v>1546.0</v>
      </c>
      <c r="AC1548" s="490">
        <f t="shared" si="5"/>
        <v>233037196394</v>
      </c>
      <c r="AD1548" s="491">
        <f t="shared" si="1"/>
        <v>1500</v>
      </c>
      <c r="AE1548" s="492">
        <f t="shared" si="2"/>
        <v>0.009063325885</v>
      </c>
      <c r="AF1548" s="490">
        <f t="shared" si="3"/>
        <v>235149289949</v>
      </c>
      <c r="AG1548" s="493">
        <f t="shared" si="6"/>
        <v>2359306.351</v>
      </c>
      <c r="AH1548" s="493">
        <f t="shared" si="4"/>
        <v>235146930642</v>
      </c>
    </row>
    <row r="1549">
      <c r="T1549" s="494" t="s">
        <v>622</v>
      </c>
      <c r="AB1549" s="489">
        <v>1547.0</v>
      </c>
      <c r="AC1549" s="490">
        <f t="shared" si="5"/>
        <v>235149289949</v>
      </c>
      <c r="AD1549" s="491">
        <f t="shared" si="1"/>
        <v>1500</v>
      </c>
      <c r="AE1549" s="492">
        <f t="shared" si="2"/>
        <v>0.009063325885</v>
      </c>
      <c r="AF1549" s="490">
        <f t="shared" si="3"/>
        <v>237280526095</v>
      </c>
      <c r="AG1549" s="493">
        <f t="shared" si="6"/>
        <v>2360806.351</v>
      </c>
      <c r="AH1549" s="493">
        <f t="shared" si="4"/>
        <v>237278165289</v>
      </c>
    </row>
    <row r="1550">
      <c r="T1550" s="494" t="s">
        <v>622</v>
      </c>
      <c r="AB1550" s="489">
        <v>1548.0</v>
      </c>
      <c r="AC1550" s="490">
        <f t="shared" si="5"/>
        <v>237280526095</v>
      </c>
      <c r="AD1550" s="491">
        <f t="shared" si="1"/>
        <v>1500</v>
      </c>
      <c r="AE1550" s="492">
        <f t="shared" si="2"/>
        <v>0.009063325885</v>
      </c>
      <c r="AF1550" s="490">
        <f t="shared" si="3"/>
        <v>239431078329</v>
      </c>
      <c r="AG1550" s="493">
        <f t="shared" si="6"/>
        <v>2362306.351</v>
      </c>
      <c r="AH1550" s="493">
        <f t="shared" si="4"/>
        <v>239428716023</v>
      </c>
    </row>
    <row r="1551">
      <c r="T1551" s="494" t="s">
        <v>622</v>
      </c>
      <c r="AB1551" s="489">
        <v>1549.0</v>
      </c>
      <c r="AC1551" s="490">
        <f t="shared" si="5"/>
        <v>239431078329</v>
      </c>
      <c r="AD1551" s="491">
        <f t="shared" si="1"/>
        <v>1500</v>
      </c>
      <c r="AE1551" s="492">
        <f t="shared" si="2"/>
        <v>0.009063325885</v>
      </c>
      <c r="AF1551" s="490">
        <f t="shared" si="3"/>
        <v>241601121719</v>
      </c>
      <c r="AG1551" s="493">
        <f t="shared" si="6"/>
        <v>2363806.351</v>
      </c>
      <c r="AH1551" s="493">
        <f t="shared" si="4"/>
        <v>241598757913</v>
      </c>
    </row>
    <row r="1552">
      <c r="T1552" s="494" t="s">
        <v>622</v>
      </c>
      <c r="AB1552" s="489">
        <v>1550.0</v>
      </c>
      <c r="AC1552" s="490">
        <f t="shared" si="5"/>
        <v>241601121719</v>
      </c>
      <c r="AD1552" s="491">
        <f t="shared" si="1"/>
        <v>1500</v>
      </c>
      <c r="AE1552" s="492">
        <f t="shared" si="2"/>
        <v>0.009063325885</v>
      </c>
      <c r="AF1552" s="490">
        <f t="shared" si="3"/>
        <v>243790832920</v>
      </c>
      <c r="AG1552" s="493">
        <f t="shared" si="6"/>
        <v>2365306.351</v>
      </c>
      <c r="AH1552" s="493">
        <f t="shared" si="4"/>
        <v>243788467613</v>
      </c>
    </row>
    <row r="1553">
      <c r="T1553" s="494" t="s">
        <v>622</v>
      </c>
      <c r="AB1553" s="489">
        <v>1551.0</v>
      </c>
      <c r="AC1553" s="490">
        <f t="shared" si="5"/>
        <v>243790832920</v>
      </c>
      <c r="AD1553" s="491">
        <f t="shared" si="1"/>
        <v>1500</v>
      </c>
      <c r="AE1553" s="492">
        <f t="shared" si="2"/>
        <v>0.009063325885</v>
      </c>
      <c r="AF1553" s="490">
        <f t="shared" si="3"/>
        <v>246000390186</v>
      </c>
      <c r="AG1553" s="493">
        <f t="shared" si="6"/>
        <v>2366806.351</v>
      </c>
      <c r="AH1553" s="493">
        <f t="shared" si="4"/>
        <v>245998023380</v>
      </c>
    </row>
    <row r="1554">
      <c r="T1554" s="494" t="s">
        <v>622</v>
      </c>
      <c r="AB1554" s="489">
        <v>1552.0</v>
      </c>
      <c r="AC1554" s="490">
        <f t="shared" si="5"/>
        <v>246000390186</v>
      </c>
      <c r="AD1554" s="491">
        <f t="shared" si="1"/>
        <v>1500</v>
      </c>
      <c r="AE1554" s="492">
        <f t="shared" si="2"/>
        <v>0.009063325885</v>
      </c>
      <c r="AF1554" s="490">
        <f t="shared" si="3"/>
        <v>248229973390</v>
      </c>
      <c r="AG1554" s="493">
        <f t="shared" si="6"/>
        <v>2368306.351</v>
      </c>
      <c r="AH1554" s="493">
        <f t="shared" si="4"/>
        <v>248227605084</v>
      </c>
    </row>
    <row r="1555">
      <c r="T1555" s="494" t="s">
        <v>622</v>
      </c>
      <c r="AB1555" s="489">
        <v>1553.0</v>
      </c>
      <c r="AC1555" s="490">
        <f t="shared" si="5"/>
        <v>248229973390</v>
      </c>
      <c r="AD1555" s="491">
        <f t="shared" si="1"/>
        <v>1500</v>
      </c>
      <c r="AE1555" s="492">
        <f t="shared" si="2"/>
        <v>0.009063325885</v>
      </c>
      <c r="AF1555" s="490">
        <f t="shared" si="3"/>
        <v>250479764033</v>
      </c>
      <c r="AG1555" s="493">
        <f t="shared" si="6"/>
        <v>2369806.351</v>
      </c>
      <c r="AH1555" s="493">
        <f t="shared" si="4"/>
        <v>250477394227</v>
      </c>
    </row>
    <row r="1556">
      <c r="T1556" s="494" t="s">
        <v>622</v>
      </c>
      <c r="AB1556" s="489">
        <v>1554.0</v>
      </c>
      <c r="AC1556" s="490">
        <f t="shared" si="5"/>
        <v>250479764033</v>
      </c>
      <c r="AD1556" s="491">
        <f t="shared" si="1"/>
        <v>1500</v>
      </c>
      <c r="AE1556" s="492">
        <f t="shared" si="2"/>
        <v>0.009063325885</v>
      </c>
      <c r="AF1556" s="490">
        <f t="shared" si="3"/>
        <v>252749945263</v>
      </c>
      <c r="AG1556" s="493">
        <f t="shared" si="6"/>
        <v>2371306.351</v>
      </c>
      <c r="AH1556" s="493">
        <f t="shared" si="4"/>
        <v>252747573956</v>
      </c>
    </row>
    <row r="1557">
      <c r="T1557" s="494" t="s">
        <v>622</v>
      </c>
      <c r="AB1557" s="489">
        <v>1555.0</v>
      </c>
      <c r="AC1557" s="490">
        <f t="shared" si="5"/>
        <v>252749945263</v>
      </c>
      <c r="AD1557" s="491">
        <f t="shared" si="1"/>
        <v>1500</v>
      </c>
      <c r="AE1557" s="492">
        <f t="shared" si="2"/>
        <v>0.009063325885</v>
      </c>
      <c r="AF1557" s="490">
        <f t="shared" si="3"/>
        <v>255040701884</v>
      </c>
      <c r="AG1557" s="493">
        <f t="shared" si="6"/>
        <v>2372806.351</v>
      </c>
      <c r="AH1557" s="493">
        <f t="shared" si="4"/>
        <v>255038329078</v>
      </c>
    </row>
    <row r="1558">
      <c r="T1558" s="494" t="s">
        <v>622</v>
      </c>
      <c r="AB1558" s="489">
        <v>1556.0</v>
      </c>
      <c r="AC1558" s="490">
        <f t="shared" si="5"/>
        <v>255040701884</v>
      </c>
      <c r="AD1558" s="491">
        <f t="shared" si="1"/>
        <v>1500</v>
      </c>
      <c r="AE1558" s="492">
        <f t="shared" si="2"/>
        <v>0.009063325885</v>
      </c>
      <c r="AF1558" s="490">
        <f t="shared" si="3"/>
        <v>257352220379</v>
      </c>
      <c r="AG1558" s="493">
        <f t="shared" si="6"/>
        <v>2374306.351</v>
      </c>
      <c r="AH1558" s="493">
        <f t="shared" si="4"/>
        <v>257349846073</v>
      </c>
    </row>
    <row r="1559">
      <c r="T1559" s="494" t="s">
        <v>622</v>
      </c>
      <c r="AB1559" s="489">
        <v>1557.0</v>
      </c>
      <c r="AC1559" s="490">
        <f t="shared" si="5"/>
        <v>257352220379</v>
      </c>
      <c r="AD1559" s="491">
        <f t="shared" si="1"/>
        <v>1500</v>
      </c>
      <c r="AE1559" s="492">
        <f t="shared" si="2"/>
        <v>0.009063325885</v>
      </c>
      <c r="AF1559" s="490">
        <f t="shared" si="3"/>
        <v>259684688920</v>
      </c>
      <c r="AG1559" s="493">
        <f t="shared" si="6"/>
        <v>2375806.351</v>
      </c>
      <c r="AH1559" s="493">
        <f t="shared" si="4"/>
        <v>259682313113</v>
      </c>
    </row>
    <row r="1560">
      <c r="T1560" s="494" t="s">
        <v>622</v>
      </c>
      <c r="AB1560" s="489">
        <v>1558.0</v>
      </c>
      <c r="AC1560" s="490">
        <f t="shared" si="5"/>
        <v>259684688920</v>
      </c>
      <c r="AD1560" s="491">
        <f t="shared" si="1"/>
        <v>1500</v>
      </c>
      <c r="AE1560" s="492">
        <f t="shared" si="2"/>
        <v>0.009063325885</v>
      </c>
      <c r="AF1560" s="490">
        <f t="shared" si="3"/>
        <v>262038297383</v>
      </c>
      <c r="AG1560" s="493">
        <f t="shared" si="6"/>
        <v>2377306.351</v>
      </c>
      <c r="AH1560" s="493">
        <f t="shared" si="4"/>
        <v>262035920076</v>
      </c>
    </row>
    <row r="1561">
      <c r="T1561" s="494" t="s">
        <v>622</v>
      </c>
      <c r="AB1561" s="489">
        <v>1559.0</v>
      </c>
      <c r="AC1561" s="490">
        <f t="shared" si="5"/>
        <v>262038297383</v>
      </c>
      <c r="AD1561" s="491">
        <f t="shared" si="1"/>
        <v>1500</v>
      </c>
      <c r="AE1561" s="492">
        <f t="shared" si="2"/>
        <v>0.009063325885</v>
      </c>
      <c r="AF1561" s="490">
        <f t="shared" si="3"/>
        <v>264413237366</v>
      </c>
      <c r="AG1561" s="493">
        <f t="shared" si="6"/>
        <v>2378806.351</v>
      </c>
      <c r="AH1561" s="493">
        <f t="shared" si="4"/>
        <v>264410858560</v>
      </c>
    </row>
    <row r="1562">
      <c r="T1562" s="494" t="s">
        <v>622</v>
      </c>
      <c r="AB1562" s="489">
        <v>1560.0</v>
      </c>
      <c r="AC1562" s="490">
        <f t="shared" si="5"/>
        <v>264413237366</v>
      </c>
      <c r="AD1562" s="491">
        <f t="shared" si="1"/>
        <v>1500</v>
      </c>
      <c r="AE1562" s="492">
        <f t="shared" si="2"/>
        <v>0.009063325885</v>
      </c>
      <c r="AF1562" s="490">
        <f t="shared" si="3"/>
        <v>266809702205</v>
      </c>
      <c r="AG1562" s="493">
        <f t="shared" si="6"/>
        <v>2380306.351</v>
      </c>
      <c r="AH1562" s="493">
        <f t="shared" si="4"/>
        <v>266807321898</v>
      </c>
    </row>
    <row r="1563">
      <c r="T1563" s="494" t="s">
        <v>622</v>
      </c>
      <c r="AB1563" s="489">
        <v>1561.0</v>
      </c>
      <c r="AC1563" s="490">
        <f t="shared" si="5"/>
        <v>266809702205</v>
      </c>
      <c r="AD1563" s="491">
        <f t="shared" si="1"/>
        <v>1500</v>
      </c>
      <c r="AE1563" s="492">
        <f t="shared" si="2"/>
        <v>0.009063325885</v>
      </c>
      <c r="AF1563" s="490">
        <f t="shared" si="3"/>
        <v>269227886985</v>
      </c>
      <c r="AG1563" s="493">
        <f t="shared" si="6"/>
        <v>2381806.351</v>
      </c>
      <c r="AH1563" s="493">
        <f t="shared" si="4"/>
        <v>269225505179</v>
      </c>
    </row>
    <row r="1564">
      <c r="T1564" s="494" t="s">
        <v>622</v>
      </c>
      <c r="AB1564" s="489">
        <v>1562.0</v>
      </c>
      <c r="AC1564" s="490">
        <f t="shared" si="5"/>
        <v>269227886985</v>
      </c>
      <c r="AD1564" s="491">
        <f t="shared" si="1"/>
        <v>1500</v>
      </c>
      <c r="AE1564" s="492">
        <f t="shared" si="2"/>
        <v>0.009063325885</v>
      </c>
      <c r="AF1564" s="490">
        <f t="shared" si="3"/>
        <v>271667988562</v>
      </c>
      <c r="AG1564" s="493">
        <f t="shared" si="6"/>
        <v>2383306.351</v>
      </c>
      <c r="AH1564" s="493">
        <f t="shared" si="4"/>
        <v>271665605256</v>
      </c>
    </row>
    <row r="1565">
      <c r="T1565" s="494" t="s">
        <v>622</v>
      </c>
      <c r="AB1565" s="489">
        <v>1563.0</v>
      </c>
      <c r="AC1565" s="490">
        <f t="shared" si="5"/>
        <v>271667988562</v>
      </c>
      <c r="AD1565" s="491">
        <f t="shared" si="1"/>
        <v>1500</v>
      </c>
      <c r="AE1565" s="492">
        <f t="shared" si="2"/>
        <v>0.009063325885</v>
      </c>
      <c r="AF1565" s="490">
        <f t="shared" si="3"/>
        <v>274130205575</v>
      </c>
      <c r="AG1565" s="493">
        <f t="shared" si="6"/>
        <v>2384806.351</v>
      </c>
      <c r="AH1565" s="493">
        <f t="shared" si="4"/>
        <v>274127820769</v>
      </c>
    </row>
    <row r="1566">
      <c r="T1566" s="494" t="s">
        <v>622</v>
      </c>
      <c r="AB1566" s="489">
        <v>1564.0</v>
      </c>
      <c r="AC1566" s="490">
        <f t="shared" si="5"/>
        <v>274130205575</v>
      </c>
      <c r="AD1566" s="491">
        <f t="shared" si="1"/>
        <v>1500</v>
      </c>
      <c r="AE1566" s="492">
        <f t="shared" si="2"/>
        <v>0.009063325885</v>
      </c>
      <c r="AF1566" s="490">
        <f t="shared" si="3"/>
        <v>276614738463</v>
      </c>
      <c r="AG1566" s="493">
        <f t="shared" si="6"/>
        <v>2386306.351</v>
      </c>
      <c r="AH1566" s="493">
        <f t="shared" si="4"/>
        <v>276612352157</v>
      </c>
    </row>
    <row r="1567">
      <c r="T1567" s="494" t="s">
        <v>622</v>
      </c>
      <c r="AB1567" s="489">
        <v>1565.0</v>
      </c>
      <c r="AC1567" s="490">
        <f t="shared" si="5"/>
        <v>276614738463</v>
      </c>
      <c r="AD1567" s="491">
        <f t="shared" si="1"/>
        <v>1500</v>
      </c>
      <c r="AE1567" s="492">
        <f t="shared" si="2"/>
        <v>0.009063325885</v>
      </c>
      <c r="AF1567" s="490">
        <f t="shared" si="3"/>
        <v>279121789483</v>
      </c>
      <c r="AG1567" s="493">
        <f t="shared" si="6"/>
        <v>2387806.351</v>
      </c>
      <c r="AH1567" s="493">
        <f t="shared" si="4"/>
        <v>279119401676</v>
      </c>
    </row>
    <row r="1568">
      <c r="T1568" s="494" t="s">
        <v>622</v>
      </c>
      <c r="AB1568" s="489">
        <v>1566.0</v>
      </c>
      <c r="AC1568" s="490">
        <f t="shared" si="5"/>
        <v>279121789483</v>
      </c>
      <c r="AD1568" s="491">
        <f t="shared" si="1"/>
        <v>1500</v>
      </c>
      <c r="AE1568" s="492">
        <f t="shared" si="2"/>
        <v>0.009063325885</v>
      </c>
      <c r="AF1568" s="490">
        <f t="shared" si="3"/>
        <v>281651562722</v>
      </c>
      <c r="AG1568" s="493">
        <f t="shared" si="6"/>
        <v>2389306.351</v>
      </c>
      <c r="AH1568" s="493">
        <f t="shared" si="4"/>
        <v>281649173416</v>
      </c>
    </row>
    <row r="1569">
      <c r="T1569" s="494" t="s">
        <v>622</v>
      </c>
      <c r="AB1569" s="489">
        <v>1567.0</v>
      </c>
      <c r="AC1569" s="490">
        <f t="shared" si="5"/>
        <v>281651562722</v>
      </c>
      <c r="AD1569" s="491">
        <f t="shared" si="1"/>
        <v>1500</v>
      </c>
      <c r="AE1569" s="492">
        <f t="shared" si="2"/>
        <v>0.009063325885</v>
      </c>
      <c r="AF1569" s="490">
        <f t="shared" si="3"/>
        <v>284204264121</v>
      </c>
      <c r="AG1569" s="493">
        <f t="shared" si="6"/>
        <v>2390806.351</v>
      </c>
      <c r="AH1569" s="493">
        <f t="shared" si="4"/>
        <v>284201873315</v>
      </c>
    </row>
    <row r="1570">
      <c r="T1570" s="494" t="s">
        <v>622</v>
      </c>
      <c r="AB1570" s="489">
        <v>1568.0</v>
      </c>
      <c r="AC1570" s="490">
        <f t="shared" si="5"/>
        <v>284204264121</v>
      </c>
      <c r="AD1570" s="491">
        <f t="shared" si="1"/>
        <v>1500</v>
      </c>
      <c r="AE1570" s="492">
        <f t="shared" si="2"/>
        <v>0.009063325885</v>
      </c>
      <c r="AF1570" s="490">
        <f t="shared" si="3"/>
        <v>286780101485</v>
      </c>
      <c r="AG1570" s="493">
        <f t="shared" si="6"/>
        <v>2392306.351</v>
      </c>
      <c r="AH1570" s="493">
        <f t="shared" si="4"/>
        <v>286777709179</v>
      </c>
    </row>
    <row r="1571">
      <c r="T1571" s="494" t="s">
        <v>622</v>
      </c>
      <c r="AB1571" s="489">
        <v>1569.0</v>
      </c>
      <c r="AC1571" s="490">
        <f t="shared" si="5"/>
        <v>286780101485</v>
      </c>
      <c r="AD1571" s="491">
        <f t="shared" si="1"/>
        <v>1500</v>
      </c>
      <c r="AE1571" s="492">
        <f t="shared" si="2"/>
        <v>0.009063325885</v>
      </c>
      <c r="AF1571" s="490">
        <f t="shared" si="3"/>
        <v>289379284502</v>
      </c>
      <c r="AG1571" s="493">
        <f t="shared" si="6"/>
        <v>2393806.351</v>
      </c>
      <c r="AH1571" s="493">
        <f t="shared" si="4"/>
        <v>289376890696</v>
      </c>
    </row>
    <row r="1572">
      <c r="T1572" s="494" t="s">
        <v>622</v>
      </c>
      <c r="AB1572" s="489">
        <v>1570.0</v>
      </c>
      <c r="AC1572" s="490">
        <f t="shared" si="5"/>
        <v>289379284502</v>
      </c>
      <c r="AD1572" s="491">
        <f t="shared" si="1"/>
        <v>1500</v>
      </c>
      <c r="AE1572" s="492">
        <f t="shared" si="2"/>
        <v>0.009063325885</v>
      </c>
      <c r="AF1572" s="490">
        <f t="shared" si="3"/>
        <v>292002024762</v>
      </c>
      <c r="AG1572" s="493">
        <f t="shared" si="6"/>
        <v>2395306.351</v>
      </c>
      <c r="AH1572" s="493">
        <f t="shared" si="4"/>
        <v>291999629455</v>
      </c>
    </row>
    <row r="1573">
      <c r="T1573" s="494" t="s">
        <v>622</v>
      </c>
      <c r="AB1573" s="489">
        <v>1571.0</v>
      </c>
      <c r="AC1573" s="490">
        <f t="shared" si="5"/>
        <v>292002024762</v>
      </c>
      <c r="AD1573" s="491">
        <f t="shared" si="1"/>
        <v>1500</v>
      </c>
      <c r="AE1573" s="492">
        <f t="shared" si="2"/>
        <v>0.009063325885</v>
      </c>
      <c r="AF1573" s="490">
        <f t="shared" si="3"/>
        <v>294648535771</v>
      </c>
      <c r="AG1573" s="493">
        <f t="shared" si="6"/>
        <v>2396806.351</v>
      </c>
      <c r="AH1573" s="493">
        <f t="shared" si="4"/>
        <v>294646138965</v>
      </c>
    </row>
    <row r="1574">
      <c r="T1574" s="494" t="s">
        <v>622</v>
      </c>
      <c r="AB1574" s="489">
        <v>1572.0</v>
      </c>
      <c r="AC1574" s="490">
        <f t="shared" si="5"/>
        <v>294648535771</v>
      </c>
      <c r="AD1574" s="491">
        <f t="shared" si="1"/>
        <v>1500</v>
      </c>
      <c r="AE1574" s="492">
        <f t="shared" si="2"/>
        <v>0.009063325885</v>
      </c>
      <c r="AF1574" s="490">
        <f t="shared" si="3"/>
        <v>297319032973</v>
      </c>
      <c r="AG1574" s="493">
        <f t="shared" si="6"/>
        <v>2398306.351</v>
      </c>
      <c r="AH1574" s="493">
        <f t="shared" si="4"/>
        <v>297316634666</v>
      </c>
    </row>
    <row r="1575">
      <c r="T1575" s="494" t="s">
        <v>622</v>
      </c>
      <c r="AB1575" s="489">
        <v>1573.0</v>
      </c>
      <c r="AC1575" s="490">
        <f t="shared" si="5"/>
        <v>297319032973</v>
      </c>
      <c r="AD1575" s="491">
        <f t="shared" si="1"/>
        <v>1500</v>
      </c>
      <c r="AE1575" s="492">
        <f t="shared" si="2"/>
        <v>0.009063325885</v>
      </c>
      <c r="AF1575" s="490">
        <f t="shared" si="3"/>
        <v>300013733760</v>
      </c>
      <c r="AG1575" s="493">
        <f t="shared" si="6"/>
        <v>2399806.351</v>
      </c>
      <c r="AH1575" s="493">
        <f t="shared" si="4"/>
        <v>300011333954</v>
      </c>
    </row>
    <row r="1576">
      <c r="T1576" s="494" t="s">
        <v>622</v>
      </c>
      <c r="AB1576" s="489">
        <v>1574.0</v>
      </c>
      <c r="AC1576" s="490">
        <f t="shared" si="5"/>
        <v>300013733760</v>
      </c>
      <c r="AD1576" s="491">
        <f t="shared" si="1"/>
        <v>1500</v>
      </c>
      <c r="AE1576" s="492">
        <f t="shared" si="2"/>
        <v>0.009063325885</v>
      </c>
      <c r="AF1576" s="490">
        <f t="shared" si="3"/>
        <v>302732857499</v>
      </c>
      <c r="AG1576" s="493">
        <f t="shared" si="6"/>
        <v>2401306.351</v>
      </c>
      <c r="AH1576" s="493">
        <f t="shared" si="4"/>
        <v>302730456193</v>
      </c>
    </row>
    <row r="1577">
      <c r="T1577" s="494" t="s">
        <v>622</v>
      </c>
      <c r="AB1577" s="489">
        <v>1575.0</v>
      </c>
      <c r="AC1577" s="490">
        <f t="shared" si="5"/>
        <v>302732857499</v>
      </c>
      <c r="AD1577" s="491">
        <f t="shared" si="1"/>
        <v>1500</v>
      </c>
      <c r="AE1577" s="492">
        <f t="shared" si="2"/>
        <v>0.009063325885</v>
      </c>
      <c r="AF1577" s="490">
        <f t="shared" si="3"/>
        <v>305476625543</v>
      </c>
      <c r="AG1577" s="493">
        <f t="shared" si="6"/>
        <v>2402806.351</v>
      </c>
      <c r="AH1577" s="493">
        <f t="shared" si="4"/>
        <v>305474222737</v>
      </c>
    </row>
    <row r="1578">
      <c r="T1578" s="494" t="s">
        <v>622</v>
      </c>
      <c r="AB1578" s="489">
        <v>1576.0</v>
      </c>
      <c r="AC1578" s="490">
        <f t="shared" si="5"/>
        <v>305476625543</v>
      </c>
      <c r="AD1578" s="491">
        <f t="shared" si="1"/>
        <v>1500</v>
      </c>
      <c r="AE1578" s="492">
        <f t="shared" si="2"/>
        <v>0.009063325885</v>
      </c>
      <c r="AF1578" s="490">
        <f t="shared" si="3"/>
        <v>308245261251</v>
      </c>
      <c r="AG1578" s="493">
        <f t="shared" si="6"/>
        <v>2404306.351</v>
      </c>
      <c r="AH1578" s="493">
        <f t="shared" si="4"/>
        <v>308242856944</v>
      </c>
    </row>
    <row r="1579">
      <c r="T1579" s="494" t="s">
        <v>622</v>
      </c>
      <c r="AB1579" s="489">
        <v>1577.0</v>
      </c>
      <c r="AC1579" s="490">
        <f t="shared" si="5"/>
        <v>308245261251</v>
      </c>
      <c r="AD1579" s="491">
        <f t="shared" si="1"/>
        <v>1500</v>
      </c>
      <c r="AE1579" s="492">
        <f t="shared" si="2"/>
        <v>0.009063325885</v>
      </c>
      <c r="AF1579" s="490">
        <f t="shared" si="3"/>
        <v>311038990006</v>
      </c>
      <c r="AG1579" s="493">
        <f t="shared" si="6"/>
        <v>2405806.351</v>
      </c>
      <c r="AH1579" s="493">
        <f t="shared" si="4"/>
        <v>311036584200</v>
      </c>
    </row>
    <row r="1580">
      <c r="T1580" s="494" t="s">
        <v>622</v>
      </c>
      <c r="AB1580" s="489">
        <v>1578.0</v>
      </c>
      <c r="AC1580" s="490">
        <f t="shared" si="5"/>
        <v>311038990006</v>
      </c>
      <c r="AD1580" s="491">
        <f t="shared" si="1"/>
        <v>1500</v>
      </c>
      <c r="AE1580" s="492">
        <f t="shared" si="2"/>
        <v>0.009063325885</v>
      </c>
      <c r="AF1580" s="490">
        <f t="shared" si="3"/>
        <v>313858039235</v>
      </c>
      <c r="AG1580" s="493">
        <f t="shared" si="6"/>
        <v>2407306.351</v>
      </c>
      <c r="AH1580" s="493">
        <f t="shared" si="4"/>
        <v>313855631929</v>
      </c>
    </row>
    <row r="1581">
      <c r="T1581" s="494" t="s">
        <v>622</v>
      </c>
      <c r="AB1581" s="489">
        <v>1579.0</v>
      </c>
      <c r="AC1581" s="490">
        <f t="shared" si="5"/>
        <v>313858039235</v>
      </c>
      <c r="AD1581" s="491">
        <f t="shared" si="1"/>
        <v>1500</v>
      </c>
      <c r="AE1581" s="492">
        <f t="shared" si="2"/>
        <v>0.009063325885</v>
      </c>
      <c r="AF1581" s="490">
        <f t="shared" si="3"/>
        <v>316702638427</v>
      </c>
      <c r="AG1581" s="493">
        <f t="shared" si="6"/>
        <v>2408806.351</v>
      </c>
      <c r="AH1581" s="493">
        <f t="shared" si="4"/>
        <v>316700229620</v>
      </c>
    </row>
    <row r="1582">
      <c r="T1582" s="494" t="s">
        <v>622</v>
      </c>
      <c r="AB1582" s="489">
        <v>1580.0</v>
      </c>
      <c r="AC1582" s="490">
        <f t="shared" si="5"/>
        <v>316702638427</v>
      </c>
      <c r="AD1582" s="491">
        <f t="shared" si="1"/>
        <v>1500</v>
      </c>
      <c r="AE1582" s="492">
        <f t="shared" si="2"/>
        <v>0.009063325885</v>
      </c>
      <c r="AF1582" s="490">
        <f t="shared" si="3"/>
        <v>319573019147</v>
      </c>
      <c r="AG1582" s="493">
        <f t="shared" si="6"/>
        <v>2410306.351</v>
      </c>
      <c r="AH1582" s="493">
        <f t="shared" si="4"/>
        <v>319570608841</v>
      </c>
    </row>
    <row r="1583">
      <c r="T1583" s="494" t="s">
        <v>622</v>
      </c>
      <c r="AB1583" s="489">
        <v>1581.0</v>
      </c>
      <c r="AC1583" s="490">
        <f t="shared" si="5"/>
        <v>319573019147</v>
      </c>
      <c r="AD1583" s="491">
        <f t="shared" si="1"/>
        <v>1500</v>
      </c>
      <c r="AE1583" s="492">
        <f t="shared" si="2"/>
        <v>0.009063325885</v>
      </c>
      <c r="AF1583" s="490">
        <f t="shared" si="3"/>
        <v>322469415064</v>
      </c>
      <c r="AG1583" s="493">
        <f t="shared" si="6"/>
        <v>2411806.351</v>
      </c>
      <c r="AH1583" s="493">
        <f t="shared" si="4"/>
        <v>322467003257</v>
      </c>
    </row>
    <row r="1584">
      <c r="T1584" s="494" t="s">
        <v>622</v>
      </c>
      <c r="AB1584" s="489">
        <v>1582.0</v>
      </c>
      <c r="AC1584" s="490">
        <f t="shared" si="5"/>
        <v>322469415064</v>
      </c>
      <c r="AD1584" s="491">
        <f t="shared" si="1"/>
        <v>1500</v>
      </c>
      <c r="AE1584" s="492">
        <f t="shared" si="2"/>
        <v>0.009063325885</v>
      </c>
      <c r="AF1584" s="490">
        <f t="shared" si="3"/>
        <v>325392061961</v>
      </c>
      <c r="AG1584" s="493">
        <f t="shared" si="6"/>
        <v>2413306.351</v>
      </c>
      <c r="AH1584" s="493">
        <f t="shared" si="4"/>
        <v>325389648654</v>
      </c>
    </row>
    <row r="1585">
      <c r="T1585" s="494" t="s">
        <v>622</v>
      </c>
      <c r="AB1585" s="489">
        <v>1583.0</v>
      </c>
      <c r="AC1585" s="490">
        <f t="shared" si="5"/>
        <v>325392061961</v>
      </c>
      <c r="AD1585" s="491">
        <f t="shared" si="1"/>
        <v>1500</v>
      </c>
      <c r="AE1585" s="492">
        <f t="shared" si="2"/>
        <v>0.009063325885</v>
      </c>
      <c r="AF1585" s="490">
        <f t="shared" si="3"/>
        <v>328341197759</v>
      </c>
      <c r="AG1585" s="493">
        <f t="shared" si="6"/>
        <v>2414806.351</v>
      </c>
      <c r="AH1585" s="493">
        <f t="shared" si="4"/>
        <v>328338782952</v>
      </c>
    </row>
    <row r="1586">
      <c r="T1586" s="494" t="s">
        <v>622</v>
      </c>
      <c r="AB1586" s="489">
        <v>1584.0</v>
      </c>
      <c r="AC1586" s="490">
        <f t="shared" si="5"/>
        <v>328341197759</v>
      </c>
      <c r="AD1586" s="491">
        <f t="shared" si="1"/>
        <v>1500</v>
      </c>
      <c r="AE1586" s="492">
        <f t="shared" si="2"/>
        <v>0.009063325885</v>
      </c>
      <c r="AF1586" s="490">
        <f t="shared" si="3"/>
        <v>331317062535</v>
      </c>
      <c r="AG1586" s="493">
        <f t="shared" si="6"/>
        <v>2416306.351</v>
      </c>
      <c r="AH1586" s="493">
        <f t="shared" si="4"/>
        <v>331314646229</v>
      </c>
    </row>
    <row r="1587">
      <c r="T1587" s="494" t="s">
        <v>622</v>
      </c>
      <c r="AB1587" s="489">
        <v>1585.0</v>
      </c>
      <c r="AC1587" s="490">
        <f t="shared" si="5"/>
        <v>331317062535</v>
      </c>
      <c r="AD1587" s="491">
        <f t="shared" si="1"/>
        <v>1500</v>
      </c>
      <c r="AE1587" s="492">
        <f t="shared" si="2"/>
        <v>0.009063325885</v>
      </c>
      <c r="AF1587" s="490">
        <f t="shared" si="3"/>
        <v>334319898544</v>
      </c>
      <c r="AG1587" s="493">
        <f t="shared" si="6"/>
        <v>2417806.351</v>
      </c>
      <c r="AH1587" s="493">
        <f t="shared" si="4"/>
        <v>334317480738</v>
      </c>
    </row>
    <row r="1588">
      <c r="T1588" s="494" t="s">
        <v>622</v>
      </c>
      <c r="AB1588" s="489">
        <v>1586.0</v>
      </c>
      <c r="AC1588" s="490">
        <f t="shared" si="5"/>
        <v>334319898544</v>
      </c>
      <c r="AD1588" s="491">
        <f t="shared" si="1"/>
        <v>1500</v>
      </c>
      <c r="AE1588" s="492">
        <f t="shared" si="2"/>
        <v>0.009063325885</v>
      </c>
      <c r="AF1588" s="490">
        <f t="shared" si="3"/>
        <v>337349950235</v>
      </c>
      <c r="AG1588" s="493">
        <f t="shared" si="6"/>
        <v>2419306.351</v>
      </c>
      <c r="AH1588" s="493">
        <f t="shared" si="4"/>
        <v>337347530928</v>
      </c>
    </row>
    <row r="1589">
      <c r="T1589" s="494" t="s">
        <v>622</v>
      </c>
      <c r="AB1589" s="489">
        <v>1587.0</v>
      </c>
      <c r="AC1589" s="490">
        <f t="shared" si="5"/>
        <v>337349950235</v>
      </c>
      <c r="AD1589" s="491">
        <f t="shared" si="1"/>
        <v>1500</v>
      </c>
      <c r="AE1589" s="492">
        <f t="shared" si="2"/>
        <v>0.009063325885</v>
      </c>
      <c r="AF1589" s="490">
        <f t="shared" si="3"/>
        <v>340407464271</v>
      </c>
      <c r="AG1589" s="493">
        <f t="shared" si="6"/>
        <v>2420806.351</v>
      </c>
      <c r="AH1589" s="493">
        <f t="shared" si="4"/>
        <v>340405043465</v>
      </c>
    </row>
    <row r="1590">
      <c r="T1590" s="494" t="s">
        <v>622</v>
      </c>
      <c r="AB1590" s="489">
        <v>1588.0</v>
      </c>
      <c r="AC1590" s="490">
        <f t="shared" si="5"/>
        <v>340407464271</v>
      </c>
      <c r="AD1590" s="491">
        <f t="shared" si="1"/>
        <v>1500</v>
      </c>
      <c r="AE1590" s="492">
        <f t="shared" si="2"/>
        <v>0.009063325885</v>
      </c>
      <c r="AF1590" s="490">
        <f t="shared" si="3"/>
        <v>343492689553</v>
      </c>
      <c r="AG1590" s="493">
        <f t="shared" si="6"/>
        <v>2422306.351</v>
      </c>
      <c r="AH1590" s="493">
        <f t="shared" si="4"/>
        <v>343490267247</v>
      </c>
    </row>
    <row r="1591">
      <c r="T1591" s="494" t="s">
        <v>622</v>
      </c>
      <c r="AB1591" s="489">
        <v>1589.0</v>
      </c>
      <c r="AC1591" s="490">
        <f t="shared" si="5"/>
        <v>343492689553</v>
      </c>
      <c r="AD1591" s="491">
        <f t="shared" si="1"/>
        <v>1500</v>
      </c>
      <c r="AE1591" s="492">
        <f t="shared" si="2"/>
        <v>0.009063325885</v>
      </c>
      <c r="AF1591" s="490">
        <f t="shared" si="3"/>
        <v>346605877238</v>
      </c>
      <c r="AG1591" s="493">
        <f t="shared" si="6"/>
        <v>2423806.351</v>
      </c>
      <c r="AH1591" s="493">
        <f t="shared" si="4"/>
        <v>346603453432</v>
      </c>
    </row>
    <row r="1592">
      <c r="T1592" s="494" t="s">
        <v>622</v>
      </c>
      <c r="AB1592" s="489">
        <v>1590.0</v>
      </c>
      <c r="AC1592" s="490">
        <f t="shared" si="5"/>
        <v>346605877238</v>
      </c>
      <c r="AD1592" s="491">
        <f t="shared" si="1"/>
        <v>1500</v>
      </c>
      <c r="AE1592" s="492">
        <f t="shared" si="2"/>
        <v>0.009063325885</v>
      </c>
      <c r="AF1592" s="490">
        <f t="shared" si="3"/>
        <v>349747280757</v>
      </c>
      <c r="AG1592" s="493">
        <f t="shared" si="6"/>
        <v>2425306.351</v>
      </c>
      <c r="AH1592" s="493">
        <f t="shared" si="4"/>
        <v>349744855451</v>
      </c>
    </row>
    <row r="1593">
      <c r="T1593" s="494" t="s">
        <v>622</v>
      </c>
      <c r="AB1593" s="489">
        <v>1591.0</v>
      </c>
      <c r="AC1593" s="490">
        <f t="shared" si="5"/>
        <v>349747280757</v>
      </c>
      <c r="AD1593" s="491">
        <f t="shared" si="1"/>
        <v>1500</v>
      </c>
      <c r="AE1593" s="492">
        <f t="shared" si="2"/>
        <v>0.009063325885</v>
      </c>
      <c r="AF1593" s="490">
        <f t="shared" si="3"/>
        <v>352917155840</v>
      </c>
      <c r="AG1593" s="493">
        <f t="shared" si="6"/>
        <v>2426806.351</v>
      </c>
      <c r="AH1593" s="493">
        <f t="shared" si="4"/>
        <v>352914729034</v>
      </c>
    </row>
    <row r="1594">
      <c r="T1594" s="494" t="s">
        <v>622</v>
      </c>
      <c r="AB1594" s="489">
        <v>1592.0</v>
      </c>
      <c r="AC1594" s="490">
        <f t="shared" si="5"/>
        <v>352917155840</v>
      </c>
      <c r="AD1594" s="491">
        <f t="shared" si="1"/>
        <v>1500</v>
      </c>
      <c r="AE1594" s="492">
        <f t="shared" si="2"/>
        <v>0.009063325885</v>
      </c>
      <c r="AF1594" s="490">
        <f t="shared" si="3"/>
        <v>356115760534</v>
      </c>
      <c r="AG1594" s="493">
        <f t="shared" si="6"/>
        <v>2428306.351</v>
      </c>
      <c r="AH1594" s="493">
        <f t="shared" si="4"/>
        <v>356113332228</v>
      </c>
    </row>
    <row r="1595">
      <c r="T1595" s="494" t="s">
        <v>622</v>
      </c>
      <c r="AB1595" s="489">
        <v>1593.0</v>
      </c>
      <c r="AC1595" s="490">
        <f t="shared" si="5"/>
        <v>356115760534</v>
      </c>
      <c r="AD1595" s="491">
        <f t="shared" si="1"/>
        <v>1500</v>
      </c>
      <c r="AE1595" s="492">
        <f t="shared" si="2"/>
        <v>0.009063325885</v>
      </c>
      <c r="AF1595" s="490">
        <f t="shared" si="3"/>
        <v>359343355224</v>
      </c>
      <c r="AG1595" s="493">
        <f t="shared" si="6"/>
        <v>2429806.351</v>
      </c>
      <c r="AH1595" s="493">
        <f t="shared" si="4"/>
        <v>359340925418</v>
      </c>
    </row>
    <row r="1596">
      <c r="T1596" s="494" t="s">
        <v>622</v>
      </c>
      <c r="AB1596" s="489">
        <v>1594.0</v>
      </c>
      <c r="AC1596" s="490">
        <f t="shared" si="5"/>
        <v>359343355224</v>
      </c>
      <c r="AD1596" s="491">
        <f t="shared" si="1"/>
        <v>1500</v>
      </c>
      <c r="AE1596" s="492">
        <f t="shared" si="2"/>
        <v>0.009063325885</v>
      </c>
      <c r="AF1596" s="490">
        <f t="shared" si="3"/>
        <v>362600202657</v>
      </c>
      <c r="AG1596" s="493">
        <f t="shared" si="6"/>
        <v>2431306.351</v>
      </c>
      <c r="AH1596" s="493">
        <f t="shared" si="4"/>
        <v>362597771351</v>
      </c>
    </row>
    <row r="1597">
      <c r="T1597" s="494" t="s">
        <v>622</v>
      </c>
      <c r="AB1597" s="489">
        <v>1595.0</v>
      </c>
      <c r="AC1597" s="490">
        <f t="shared" si="5"/>
        <v>362600202657</v>
      </c>
      <c r="AD1597" s="491">
        <f t="shared" si="1"/>
        <v>1500</v>
      </c>
      <c r="AE1597" s="492">
        <f t="shared" si="2"/>
        <v>0.009063325885</v>
      </c>
      <c r="AF1597" s="490">
        <f t="shared" si="3"/>
        <v>365886567960</v>
      </c>
      <c r="AG1597" s="493">
        <f t="shared" si="6"/>
        <v>2432806.351</v>
      </c>
      <c r="AH1597" s="493">
        <f t="shared" si="4"/>
        <v>365884135154</v>
      </c>
    </row>
    <row r="1598">
      <c r="T1598" s="494" t="s">
        <v>622</v>
      </c>
      <c r="AB1598" s="489">
        <v>1596.0</v>
      </c>
      <c r="AC1598" s="490">
        <f t="shared" si="5"/>
        <v>365886567960</v>
      </c>
      <c r="AD1598" s="491">
        <f t="shared" si="1"/>
        <v>1500</v>
      </c>
      <c r="AE1598" s="492">
        <f t="shared" si="2"/>
        <v>0.009063325885</v>
      </c>
      <c r="AF1598" s="490">
        <f t="shared" si="3"/>
        <v>369202718663</v>
      </c>
      <c r="AG1598" s="493">
        <f t="shared" si="6"/>
        <v>2434306.351</v>
      </c>
      <c r="AH1598" s="493">
        <f t="shared" si="4"/>
        <v>369200284356</v>
      </c>
    </row>
    <row r="1599">
      <c r="T1599" s="494" t="s">
        <v>622</v>
      </c>
      <c r="AB1599" s="489">
        <v>1597.0</v>
      </c>
      <c r="AC1599" s="490">
        <f t="shared" si="5"/>
        <v>369202718663</v>
      </c>
      <c r="AD1599" s="491">
        <f t="shared" si="1"/>
        <v>1500</v>
      </c>
      <c r="AE1599" s="492">
        <f t="shared" si="2"/>
        <v>0.009063325885</v>
      </c>
      <c r="AF1599" s="490">
        <f t="shared" si="3"/>
        <v>372548924719</v>
      </c>
      <c r="AG1599" s="493">
        <f t="shared" si="6"/>
        <v>2435806.351</v>
      </c>
      <c r="AH1599" s="493">
        <f t="shared" si="4"/>
        <v>372546488913</v>
      </c>
    </row>
    <row r="1600">
      <c r="T1600" s="494" t="s">
        <v>622</v>
      </c>
      <c r="AB1600" s="489">
        <v>1598.0</v>
      </c>
      <c r="AC1600" s="490">
        <f t="shared" si="5"/>
        <v>372548924719</v>
      </c>
      <c r="AD1600" s="491">
        <f t="shared" si="1"/>
        <v>1500</v>
      </c>
      <c r="AE1600" s="492">
        <f t="shared" si="2"/>
        <v>0.009063325885</v>
      </c>
      <c r="AF1600" s="490">
        <f t="shared" si="3"/>
        <v>375925458532</v>
      </c>
      <c r="AG1600" s="493">
        <f t="shared" si="6"/>
        <v>2437306.351</v>
      </c>
      <c r="AH1600" s="493">
        <f t="shared" si="4"/>
        <v>375923021226</v>
      </c>
    </row>
    <row r="1601">
      <c r="T1601" s="494" t="s">
        <v>622</v>
      </c>
      <c r="AB1601" s="489">
        <v>1599.0</v>
      </c>
      <c r="AC1601" s="490">
        <f t="shared" si="5"/>
        <v>375925458532</v>
      </c>
      <c r="AD1601" s="491">
        <f t="shared" si="1"/>
        <v>1500</v>
      </c>
      <c r="AE1601" s="492">
        <f t="shared" si="2"/>
        <v>0.009063325885</v>
      </c>
      <c r="AF1601" s="490">
        <f t="shared" si="3"/>
        <v>379332594972</v>
      </c>
      <c r="AG1601" s="493">
        <f t="shared" si="6"/>
        <v>2438806.351</v>
      </c>
      <c r="AH1601" s="493">
        <f t="shared" si="4"/>
        <v>379330156165</v>
      </c>
    </row>
    <row r="1602">
      <c r="T1602" s="494" t="s">
        <v>622</v>
      </c>
      <c r="AB1602" s="489">
        <v>1600.0</v>
      </c>
      <c r="AC1602" s="490">
        <f t="shared" si="5"/>
        <v>379332594972</v>
      </c>
      <c r="AD1602" s="491">
        <f t="shared" si="1"/>
        <v>1500</v>
      </c>
      <c r="AE1602" s="492">
        <f t="shared" si="2"/>
        <v>0.009063325885</v>
      </c>
      <c r="AF1602" s="490">
        <f t="shared" si="3"/>
        <v>382770611399</v>
      </c>
      <c r="AG1602" s="493">
        <f t="shared" si="6"/>
        <v>2440306.351</v>
      </c>
      <c r="AH1602" s="493">
        <f t="shared" si="4"/>
        <v>382768171092</v>
      </c>
    </row>
    <row r="1603">
      <c r="T1603" s="494" t="s">
        <v>622</v>
      </c>
      <c r="AB1603" s="489">
        <v>1601.0</v>
      </c>
      <c r="AC1603" s="490">
        <f t="shared" si="5"/>
        <v>382770611399</v>
      </c>
      <c r="AD1603" s="491">
        <f t="shared" si="1"/>
        <v>1500</v>
      </c>
      <c r="AE1603" s="492">
        <f t="shared" si="2"/>
        <v>0.009063325885</v>
      </c>
      <c r="AF1603" s="490">
        <f t="shared" si="3"/>
        <v>386239787689</v>
      </c>
      <c r="AG1603" s="493">
        <f t="shared" si="6"/>
        <v>2441806.351</v>
      </c>
      <c r="AH1603" s="493">
        <f t="shared" si="4"/>
        <v>386237345883</v>
      </c>
    </row>
    <row r="1604">
      <c r="T1604" s="494" t="s">
        <v>622</v>
      </c>
      <c r="AB1604" s="489">
        <v>1602.0</v>
      </c>
      <c r="AC1604" s="490">
        <f t="shared" si="5"/>
        <v>386239787689</v>
      </c>
      <c r="AD1604" s="491">
        <f t="shared" si="1"/>
        <v>1500</v>
      </c>
      <c r="AE1604" s="492">
        <f t="shared" si="2"/>
        <v>0.009063325885</v>
      </c>
      <c r="AF1604" s="490">
        <f t="shared" si="3"/>
        <v>389740406255</v>
      </c>
      <c r="AG1604" s="493">
        <f t="shared" si="6"/>
        <v>2443306.351</v>
      </c>
      <c r="AH1604" s="493">
        <f t="shared" si="4"/>
        <v>389737962948</v>
      </c>
    </row>
    <row r="1605">
      <c r="T1605" s="494" t="s">
        <v>622</v>
      </c>
      <c r="AB1605" s="489">
        <v>1603.0</v>
      </c>
      <c r="AC1605" s="490">
        <f t="shared" si="5"/>
        <v>389740406255</v>
      </c>
      <c r="AD1605" s="491">
        <f t="shared" si="1"/>
        <v>1500</v>
      </c>
      <c r="AE1605" s="492">
        <f t="shared" si="2"/>
        <v>0.009063325885</v>
      </c>
      <c r="AF1605" s="490">
        <f t="shared" si="3"/>
        <v>393272752067</v>
      </c>
      <c r="AG1605" s="493">
        <f t="shared" si="6"/>
        <v>2444806.351</v>
      </c>
      <c r="AH1605" s="493">
        <f t="shared" si="4"/>
        <v>393270307261</v>
      </c>
    </row>
    <row r="1606">
      <c r="T1606" s="494" t="s">
        <v>622</v>
      </c>
      <c r="AB1606" s="489">
        <v>1604.0</v>
      </c>
      <c r="AC1606" s="490">
        <f t="shared" si="5"/>
        <v>393272752067</v>
      </c>
      <c r="AD1606" s="491">
        <f t="shared" si="1"/>
        <v>1500</v>
      </c>
      <c r="AE1606" s="492">
        <f t="shared" si="2"/>
        <v>0.009063325885</v>
      </c>
      <c r="AF1606" s="490">
        <f t="shared" si="3"/>
        <v>396837112681</v>
      </c>
      <c r="AG1606" s="493">
        <f t="shared" si="6"/>
        <v>2446306.351</v>
      </c>
      <c r="AH1606" s="493">
        <f t="shared" si="4"/>
        <v>396834666374</v>
      </c>
    </row>
    <row r="1607">
      <c r="T1607" s="494" t="s">
        <v>622</v>
      </c>
      <c r="AB1607" s="489">
        <v>1605.0</v>
      </c>
      <c r="AC1607" s="490">
        <f t="shared" si="5"/>
        <v>396837112681</v>
      </c>
      <c r="AD1607" s="491">
        <f t="shared" si="1"/>
        <v>1500</v>
      </c>
      <c r="AE1607" s="492">
        <f t="shared" si="2"/>
        <v>0.009063325885</v>
      </c>
      <c r="AF1607" s="490">
        <f t="shared" si="3"/>
        <v>400433778256</v>
      </c>
      <c r="AG1607" s="493">
        <f t="shared" si="6"/>
        <v>2447806.351</v>
      </c>
      <c r="AH1607" s="493">
        <f t="shared" si="4"/>
        <v>400431330450</v>
      </c>
    </row>
    <row r="1608">
      <c r="T1608" s="494" t="s">
        <v>622</v>
      </c>
      <c r="AB1608" s="489">
        <v>1606.0</v>
      </c>
      <c r="AC1608" s="490">
        <f t="shared" si="5"/>
        <v>400433778256</v>
      </c>
      <c r="AD1608" s="491">
        <f t="shared" si="1"/>
        <v>1500</v>
      </c>
      <c r="AE1608" s="492">
        <f t="shared" si="2"/>
        <v>0.009063325885</v>
      </c>
      <c r="AF1608" s="490">
        <f t="shared" si="3"/>
        <v>404063041584</v>
      </c>
      <c r="AG1608" s="493">
        <f t="shared" si="6"/>
        <v>2449306.351</v>
      </c>
      <c r="AH1608" s="493">
        <f t="shared" si="4"/>
        <v>404060592278</v>
      </c>
    </row>
    <row r="1609">
      <c r="T1609" s="494" t="s">
        <v>622</v>
      </c>
      <c r="AB1609" s="489">
        <v>1607.0</v>
      </c>
      <c r="AC1609" s="490">
        <f t="shared" si="5"/>
        <v>404063041584</v>
      </c>
      <c r="AD1609" s="491">
        <f t="shared" si="1"/>
        <v>1500</v>
      </c>
      <c r="AE1609" s="492">
        <f t="shared" si="2"/>
        <v>0.009063325885</v>
      </c>
      <c r="AF1609" s="490">
        <f t="shared" si="3"/>
        <v>407725198108</v>
      </c>
      <c r="AG1609" s="493">
        <f t="shared" si="6"/>
        <v>2450806.351</v>
      </c>
      <c r="AH1609" s="493">
        <f t="shared" si="4"/>
        <v>407722747302</v>
      </c>
    </row>
    <row r="1610">
      <c r="T1610" s="494" t="s">
        <v>622</v>
      </c>
      <c r="AB1610" s="489">
        <v>1608.0</v>
      </c>
      <c r="AC1610" s="490">
        <f t="shared" si="5"/>
        <v>407725198108</v>
      </c>
      <c r="AD1610" s="491">
        <f t="shared" si="1"/>
        <v>1500</v>
      </c>
      <c r="AE1610" s="492">
        <f t="shared" si="2"/>
        <v>0.009063325885</v>
      </c>
      <c r="AF1610" s="490">
        <f t="shared" si="3"/>
        <v>411420545950</v>
      </c>
      <c r="AG1610" s="493">
        <f t="shared" si="6"/>
        <v>2452306.351</v>
      </c>
      <c r="AH1610" s="493">
        <f t="shared" si="4"/>
        <v>411418093644</v>
      </c>
    </row>
    <row r="1611">
      <c r="T1611" s="494" t="s">
        <v>622</v>
      </c>
      <c r="AB1611" s="489">
        <v>1609.0</v>
      </c>
      <c r="AC1611" s="490">
        <f t="shared" si="5"/>
        <v>411420545950</v>
      </c>
      <c r="AD1611" s="491">
        <f t="shared" si="1"/>
        <v>1500</v>
      </c>
      <c r="AE1611" s="492">
        <f t="shared" si="2"/>
        <v>0.009063325885</v>
      </c>
      <c r="AF1611" s="490">
        <f t="shared" si="3"/>
        <v>415149385934</v>
      </c>
      <c r="AG1611" s="493">
        <f t="shared" si="6"/>
        <v>2453806.351</v>
      </c>
      <c r="AH1611" s="493">
        <f t="shared" si="4"/>
        <v>415146932127</v>
      </c>
    </row>
    <row r="1612">
      <c r="T1612" s="494" t="s">
        <v>622</v>
      </c>
      <c r="AB1612" s="489">
        <v>1610.0</v>
      </c>
      <c r="AC1612" s="490">
        <f t="shared" si="5"/>
        <v>415149385934</v>
      </c>
      <c r="AD1612" s="491">
        <f t="shared" si="1"/>
        <v>1500</v>
      </c>
      <c r="AE1612" s="492">
        <f t="shared" si="2"/>
        <v>0.009063325885</v>
      </c>
      <c r="AF1612" s="490">
        <f t="shared" si="3"/>
        <v>418912021609</v>
      </c>
      <c r="AG1612" s="493">
        <f t="shared" si="6"/>
        <v>2455306.351</v>
      </c>
      <c r="AH1612" s="493">
        <f t="shared" si="4"/>
        <v>418909566303</v>
      </c>
    </row>
    <row r="1613">
      <c r="T1613" s="494" t="s">
        <v>622</v>
      </c>
      <c r="AB1613" s="489">
        <v>1611.0</v>
      </c>
      <c r="AC1613" s="490">
        <f t="shared" si="5"/>
        <v>418912021609</v>
      </c>
      <c r="AD1613" s="491">
        <f t="shared" si="1"/>
        <v>1500</v>
      </c>
      <c r="AE1613" s="492">
        <f t="shared" si="2"/>
        <v>0.009063325885</v>
      </c>
      <c r="AF1613" s="490">
        <f t="shared" si="3"/>
        <v>422708759279</v>
      </c>
      <c r="AG1613" s="493">
        <f t="shared" si="6"/>
        <v>2456806.351</v>
      </c>
      <c r="AH1613" s="493">
        <f t="shared" si="4"/>
        <v>422706302472</v>
      </c>
    </row>
    <row r="1614">
      <c r="T1614" s="494" t="s">
        <v>622</v>
      </c>
      <c r="AB1614" s="489">
        <v>1612.0</v>
      </c>
      <c r="AC1614" s="490">
        <f t="shared" si="5"/>
        <v>422708759279</v>
      </c>
      <c r="AD1614" s="491">
        <f t="shared" si="1"/>
        <v>1500</v>
      </c>
      <c r="AE1614" s="492">
        <f t="shared" si="2"/>
        <v>0.009063325885</v>
      </c>
      <c r="AF1614" s="490">
        <f t="shared" si="3"/>
        <v>426539908018</v>
      </c>
      <c r="AG1614" s="493">
        <f t="shared" si="6"/>
        <v>2458306.351</v>
      </c>
      <c r="AH1614" s="493">
        <f t="shared" si="4"/>
        <v>426537449712</v>
      </c>
    </row>
    <row r="1615">
      <c r="T1615" s="494" t="s">
        <v>622</v>
      </c>
      <c r="AB1615" s="489">
        <v>1613.0</v>
      </c>
      <c r="AC1615" s="490">
        <f t="shared" si="5"/>
        <v>426539908018</v>
      </c>
      <c r="AD1615" s="491">
        <f t="shared" si="1"/>
        <v>1500</v>
      </c>
      <c r="AE1615" s="492">
        <f t="shared" si="2"/>
        <v>0.009063325885</v>
      </c>
      <c r="AF1615" s="490">
        <f t="shared" si="3"/>
        <v>430405779708</v>
      </c>
      <c r="AG1615" s="493">
        <f t="shared" si="6"/>
        <v>2459806.351</v>
      </c>
      <c r="AH1615" s="493">
        <f t="shared" si="4"/>
        <v>430403319901</v>
      </c>
    </row>
    <row r="1616">
      <c r="T1616" s="494" t="s">
        <v>622</v>
      </c>
      <c r="AB1616" s="489">
        <v>1614.0</v>
      </c>
      <c r="AC1616" s="490">
        <f t="shared" si="5"/>
        <v>430405779708</v>
      </c>
      <c r="AD1616" s="491">
        <f t="shared" si="1"/>
        <v>1500</v>
      </c>
      <c r="AE1616" s="492">
        <f t="shared" si="2"/>
        <v>0.009063325885</v>
      </c>
      <c r="AF1616" s="490">
        <f t="shared" si="3"/>
        <v>434306689052</v>
      </c>
      <c r="AG1616" s="493">
        <f t="shared" si="6"/>
        <v>2461306.351</v>
      </c>
      <c r="AH1616" s="493">
        <f t="shared" si="4"/>
        <v>434304227746</v>
      </c>
    </row>
    <row r="1617">
      <c r="T1617" s="494" t="s">
        <v>622</v>
      </c>
      <c r="AB1617" s="489">
        <v>1615.0</v>
      </c>
      <c r="AC1617" s="490">
        <f t="shared" si="5"/>
        <v>434306689052</v>
      </c>
      <c r="AD1617" s="491">
        <f t="shared" si="1"/>
        <v>1500</v>
      </c>
      <c r="AE1617" s="492">
        <f t="shared" si="2"/>
        <v>0.009063325885</v>
      </c>
      <c r="AF1617" s="490">
        <f t="shared" si="3"/>
        <v>438242953609</v>
      </c>
      <c r="AG1617" s="493">
        <f t="shared" si="6"/>
        <v>2462806.351</v>
      </c>
      <c r="AH1617" s="493">
        <f t="shared" si="4"/>
        <v>438240490803</v>
      </c>
    </row>
    <row r="1618">
      <c r="T1618" s="494" t="s">
        <v>622</v>
      </c>
      <c r="AB1618" s="489">
        <v>1616.0</v>
      </c>
      <c r="AC1618" s="490">
        <f t="shared" si="5"/>
        <v>438242953609</v>
      </c>
      <c r="AD1618" s="491">
        <f t="shared" si="1"/>
        <v>1500</v>
      </c>
      <c r="AE1618" s="492">
        <f t="shared" si="2"/>
        <v>0.009063325885</v>
      </c>
      <c r="AF1618" s="490">
        <f t="shared" si="3"/>
        <v>442214893814</v>
      </c>
      <c r="AG1618" s="493">
        <f t="shared" si="6"/>
        <v>2464306.351</v>
      </c>
      <c r="AH1618" s="493">
        <f t="shared" si="4"/>
        <v>442212429508</v>
      </c>
    </row>
    <row r="1619">
      <c r="T1619" s="494" t="s">
        <v>622</v>
      </c>
      <c r="AB1619" s="489">
        <v>1617.0</v>
      </c>
      <c r="AC1619" s="490">
        <f t="shared" si="5"/>
        <v>442214893814</v>
      </c>
      <c r="AD1619" s="491">
        <f t="shared" si="1"/>
        <v>1500</v>
      </c>
      <c r="AE1619" s="492">
        <f t="shared" si="2"/>
        <v>0.009063325885</v>
      </c>
      <c r="AF1619" s="490">
        <f t="shared" si="3"/>
        <v>446222833008</v>
      </c>
      <c r="AG1619" s="493">
        <f t="shared" si="6"/>
        <v>2465806.351</v>
      </c>
      <c r="AH1619" s="493">
        <f t="shared" si="4"/>
        <v>446220367202</v>
      </c>
    </row>
    <row r="1620">
      <c r="T1620" s="494" t="s">
        <v>622</v>
      </c>
      <c r="AB1620" s="489">
        <v>1618.0</v>
      </c>
      <c r="AC1620" s="490">
        <f t="shared" si="5"/>
        <v>446222833008</v>
      </c>
      <c r="AD1620" s="491">
        <f t="shared" si="1"/>
        <v>1500</v>
      </c>
      <c r="AE1620" s="492">
        <f t="shared" si="2"/>
        <v>0.009063325885</v>
      </c>
      <c r="AF1620" s="490">
        <f t="shared" si="3"/>
        <v>450267097461</v>
      </c>
      <c r="AG1620" s="493">
        <f t="shared" si="6"/>
        <v>2467306.351</v>
      </c>
      <c r="AH1620" s="493">
        <f t="shared" si="4"/>
        <v>450264630155</v>
      </c>
    </row>
    <row r="1621">
      <c r="T1621" s="494" t="s">
        <v>622</v>
      </c>
      <c r="AB1621" s="489">
        <v>1619.0</v>
      </c>
      <c r="AC1621" s="490">
        <f t="shared" si="5"/>
        <v>450267097461</v>
      </c>
      <c r="AD1621" s="491">
        <f t="shared" si="1"/>
        <v>1500</v>
      </c>
      <c r="AE1621" s="492">
        <f t="shared" si="2"/>
        <v>0.009063325885</v>
      </c>
      <c r="AF1621" s="490">
        <f t="shared" si="3"/>
        <v>454348016401</v>
      </c>
      <c r="AG1621" s="493">
        <f t="shared" si="6"/>
        <v>2468806.351</v>
      </c>
      <c r="AH1621" s="493">
        <f t="shared" si="4"/>
        <v>454345547594</v>
      </c>
    </row>
    <row r="1622">
      <c r="T1622" s="494" t="s">
        <v>622</v>
      </c>
      <c r="AB1622" s="489">
        <v>1620.0</v>
      </c>
      <c r="AC1622" s="490">
        <f t="shared" si="5"/>
        <v>454348016401</v>
      </c>
      <c r="AD1622" s="491">
        <f t="shared" si="1"/>
        <v>1500</v>
      </c>
      <c r="AE1622" s="492">
        <f t="shared" si="2"/>
        <v>0.009063325885</v>
      </c>
      <c r="AF1622" s="490">
        <f t="shared" si="3"/>
        <v>458465922039</v>
      </c>
      <c r="AG1622" s="493">
        <f t="shared" si="6"/>
        <v>2470306.351</v>
      </c>
      <c r="AH1622" s="493">
        <f t="shared" si="4"/>
        <v>458463451732</v>
      </c>
    </row>
    <row r="1623">
      <c r="T1623" s="494" t="s">
        <v>622</v>
      </c>
      <c r="AB1623" s="489">
        <v>1621.0</v>
      </c>
      <c r="AC1623" s="490">
        <f t="shared" si="5"/>
        <v>458465922039</v>
      </c>
      <c r="AD1623" s="491">
        <f t="shared" si="1"/>
        <v>1500</v>
      </c>
      <c r="AE1623" s="492">
        <f t="shared" si="2"/>
        <v>0.009063325885</v>
      </c>
      <c r="AF1623" s="490">
        <f t="shared" si="3"/>
        <v>462621149597</v>
      </c>
      <c r="AG1623" s="493">
        <f t="shared" si="6"/>
        <v>2471806.351</v>
      </c>
      <c r="AH1623" s="493">
        <f t="shared" si="4"/>
        <v>462618677791</v>
      </c>
    </row>
    <row r="1624">
      <c r="T1624" s="494" t="s">
        <v>622</v>
      </c>
      <c r="AB1624" s="489">
        <v>1622.0</v>
      </c>
      <c r="AC1624" s="490">
        <f t="shared" si="5"/>
        <v>462621149597</v>
      </c>
      <c r="AD1624" s="491">
        <f t="shared" si="1"/>
        <v>1500</v>
      </c>
      <c r="AE1624" s="492">
        <f t="shared" si="2"/>
        <v>0.009063325885</v>
      </c>
      <c r="AF1624" s="490">
        <f t="shared" si="3"/>
        <v>466814037338</v>
      </c>
      <c r="AG1624" s="493">
        <f t="shared" si="6"/>
        <v>2473306.351</v>
      </c>
      <c r="AH1624" s="493">
        <f t="shared" si="4"/>
        <v>466811564031</v>
      </c>
    </row>
    <row r="1625">
      <c r="T1625" s="494" t="s">
        <v>622</v>
      </c>
      <c r="AB1625" s="489">
        <v>1623.0</v>
      </c>
      <c r="AC1625" s="490">
        <f t="shared" si="5"/>
        <v>466814037338</v>
      </c>
      <c r="AD1625" s="491">
        <f t="shared" si="1"/>
        <v>1500</v>
      </c>
      <c r="AE1625" s="492">
        <f t="shared" si="2"/>
        <v>0.009063325885</v>
      </c>
      <c r="AF1625" s="490">
        <f t="shared" si="3"/>
        <v>471044926586</v>
      </c>
      <c r="AG1625" s="493">
        <f t="shared" si="6"/>
        <v>2474806.351</v>
      </c>
      <c r="AH1625" s="493">
        <f t="shared" si="4"/>
        <v>471042451779</v>
      </c>
    </row>
    <row r="1626">
      <c r="T1626" s="494" t="s">
        <v>622</v>
      </c>
      <c r="AB1626" s="489">
        <v>1624.0</v>
      </c>
      <c r="AC1626" s="490">
        <f t="shared" si="5"/>
        <v>471044926586</v>
      </c>
      <c r="AD1626" s="491">
        <f t="shared" si="1"/>
        <v>1500</v>
      </c>
      <c r="AE1626" s="492">
        <f t="shared" si="2"/>
        <v>0.009063325885</v>
      </c>
      <c r="AF1626" s="490">
        <f t="shared" si="3"/>
        <v>475314161762</v>
      </c>
      <c r="AG1626" s="493">
        <f t="shared" si="6"/>
        <v>2476306.351</v>
      </c>
      <c r="AH1626" s="493">
        <f t="shared" si="4"/>
        <v>475311685455</v>
      </c>
    </row>
    <row r="1627">
      <c r="T1627" s="494" t="s">
        <v>622</v>
      </c>
      <c r="AB1627" s="489">
        <v>1625.0</v>
      </c>
      <c r="AC1627" s="490">
        <f t="shared" si="5"/>
        <v>475314161762</v>
      </c>
      <c r="AD1627" s="491">
        <f t="shared" si="1"/>
        <v>1500</v>
      </c>
      <c r="AE1627" s="492">
        <f t="shared" si="2"/>
        <v>0.009063325885</v>
      </c>
      <c r="AF1627" s="490">
        <f t="shared" si="3"/>
        <v>479622090408</v>
      </c>
      <c r="AG1627" s="493">
        <f t="shared" si="6"/>
        <v>2477806.351</v>
      </c>
      <c r="AH1627" s="493">
        <f t="shared" si="4"/>
        <v>479619612601</v>
      </c>
    </row>
    <row r="1628">
      <c r="T1628" s="494" t="s">
        <v>622</v>
      </c>
      <c r="AB1628" s="489">
        <v>1626.0</v>
      </c>
      <c r="AC1628" s="490">
        <f t="shared" si="5"/>
        <v>479622090408</v>
      </c>
      <c r="AD1628" s="491">
        <f t="shared" si="1"/>
        <v>1500</v>
      </c>
      <c r="AE1628" s="492">
        <f t="shared" si="2"/>
        <v>0.009063325885</v>
      </c>
      <c r="AF1628" s="490">
        <f t="shared" si="3"/>
        <v>483969063215</v>
      </c>
      <c r="AG1628" s="493">
        <f t="shared" si="6"/>
        <v>2479306.351</v>
      </c>
      <c r="AH1628" s="493">
        <f t="shared" si="4"/>
        <v>483966583908</v>
      </c>
    </row>
    <row r="1629">
      <c r="T1629" s="494" t="s">
        <v>622</v>
      </c>
      <c r="AB1629" s="489">
        <v>1627.0</v>
      </c>
      <c r="AC1629" s="490">
        <f t="shared" si="5"/>
        <v>483969063215</v>
      </c>
      <c r="AD1629" s="491">
        <f t="shared" si="1"/>
        <v>1500</v>
      </c>
      <c r="AE1629" s="492">
        <f t="shared" si="2"/>
        <v>0.009063325885</v>
      </c>
      <c r="AF1629" s="490">
        <f t="shared" si="3"/>
        <v>488355434053</v>
      </c>
      <c r="AG1629" s="493">
        <f t="shared" si="6"/>
        <v>2480806.351</v>
      </c>
      <c r="AH1629" s="493">
        <f t="shared" si="4"/>
        <v>488352953247</v>
      </c>
    </row>
    <row r="1630">
      <c r="T1630" s="494" t="s">
        <v>622</v>
      </c>
      <c r="AB1630" s="489">
        <v>1628.0</v>
      </c>
      <c r="AC1630" s="490">
        <f t="shared" si="5"/>
        <v>488355434053</v>
      </c>
      <c r="AD1630" s="491">
        <f t="shared" si="1"/>
        <v>1500</v>
      </c>
      <c r="AE1630" s="492">
        <f t="shared" si="2"/>
        <v>0.009063325885</v>
      </c>
      <c r="AF1630" s="490">
        <f t="shared" si="3"/>
        <v>492781560000</v>
      </c>
      <c r="AG1630" s="493">
        <f t="shared" si="6"/>
        <v>2482306.351</v>
      </c>
      <c r="AH1630" s="493">
        <f t="shared" si="4"/>
        <v>492779077693</v>
      </c>
    </row>
    <row r="1631">
      <c r="T1631" s="494" t="s">
        <v>622</v>
      </c>
      <c r="AB1631" s="489">
        <v>1629.0</v>
      </c>
      <c r="AC1631" s="490">
        <f t="shared" si="5"/>
        <v>492781560000</v>
      </c>
      <c r="AD1631" s="491">
        <f t="shared" si="1"/>
        <v>1500</v>
      </c>
      <c r="AE1631" s="492">
        <f t="shared" si="2"/>
        <v>0.009063325885</v>
      </c>
      <c r="AF1631" s="490">
        <f t="shared" si="3"/>
        <v>497247801368</v>
      </c>
      <c r="AG1631" s="493">
        <f t="shared" si="6"/>
        <v>2483806.351</v>
      </c>
      <c r="AH1631" s="493">
        <f t="shared" si="4"/>
        <v>497245317562</v>
      </c>
    </row>
    <row r="1632">
      <c r="T1632" s="494" t="s">
        <v>622</v>
      </c>
      <c r="AB1632" s="489">
        <v>1630.0</v>
      </c>
      <c r="AC1632" s="490">
        <f t="shared" si="5"/>
        <v>497247801368</v>
      </c>
      <c r="AD1632" s="491">
        <f t="shared" si="1"/>
        <v>1500</v>
      </c>
      <c r="AE1632" s="492">
        <f t="shared" si="2"/>
        <v>0.009063325885</v>
      </c>
      <c r="AF1632" s="490">
        <f t="shared" si="3"/>
        <v>501754521737</v>
      </c>
      <c r="AG1632" s="493">
        <f t="shared" si="6"/>
        <v>2485306.351</v>
      </c>
      <c r="AH1632" s="493">
        <f t="shared" si="4"/>
        <v>501752036431</v>
      </c>
    </row>
    <row r="1633">
      <c r="T1633" s="494" t="s">
        <v>622</v>
      </c>
      <c r="AB1633" s="489">
        <v>1631.0</v>
      </c>
      <c r="AC1633" s="490">
        <f t="shared" si="5"/>
        <v>501754521737</v>
      </c>
      <c r="AD1633" s="491">
        <f t="shared" si="1"/>
        <v>1500</v>
      </c>
      <c r="AE1633" s="492">
        <f t="shared" si="2"/>
        <v>0.009063325885</v>
      </c>
      <c r="AF1633" s="490">
        <f t="shared" si="3"/>
        <v>506302087982</v>
      </c>
      <c r="AG1633" s="493">
        <f t="shared" si="6"/>
        <v>2486806.351</v>
      </c>
      <c r="AH1633" s="493">
        <f t="shared" si="4"/>
        <v>506299601176</v>
      </c>
    </row>
    <row r="1634">
      <c r="T1634" s="494" t="s">
        <v>622</v>
      </c>
      <c r="AB1634" s="489">
        <v>1632.0</v>
      </c>
      <c r="AC1634" s="490">
        <f t="shared" si="5"/>
        <v>506302087982</v>
      </c>
      <c r="AD1634" s="491">
        <f t="shared" si="1"/>
        <v>1500</v>
      </c>
      <c r="AE1634" s="492">
        <f t="shared" si="2"/>
        <v>0.009063325885</v>
      </c>
      <c r="AF1634" s="490">
        <f t="shared" si="3"/>
        <v>510890870302</v>
      </c>
      <c r="AG1634" s="493">
        <f t="shared" si="6"/>
        <v>2488306.351</v>
      </c>
      <c r="AH1634" s="493">
        <f t="shared" si="4"/>
        <v>510888381996</v>
      </c>
    </row>
    <row r="1635">
      <c r="T1635" s="494" t="s">
        <v>622</v>
      </c>
      <c r="AB1635" s="489">
        <v>1633.0</v>
      </c>
      <c r="AC1635" s="490">
        <f t="shared" si="5"/>
        <v>510890870302</v>
      </c>
      <c r="AD1635" s="491">
        <f t="shared" si="1"/>
        <v>1500</v>
      </c>
      <c r="AE1635" s="492">
        <f t="shared" si="2"/>
        <v>0.009063325885</v>
      </c>
      <c r="AF1635" s="490">
        <f t="shared" si="3"/>
        <v>515521242251</v>
      </c>
      <c r="AG1635" s="493">
        <f t="shared" si="6"/>
        <v>2489806.351</v>
      </c>
      <c r="AH1635" s="493">
        <f t="shared" si="4"/>
        <v>515518752445</v>
      </c>
    </row>
    <row r="1636">
      <c r="T1636" s="494" t="s">
        <v>622</v>
      </c>
      <c r="AB1636" s="489">
        <v>1634.0</v>
      </c>
      <c r="AC1636" s="490">
        <f t="shared" si="5"/>
        <v>515521242251</v>
      </c>
      <c r="AD1636" s="491">
        <f t="shared" si="1"/>
        <v>1500</v>
      </c>
      <c r="AE1636" s="492">
        <f t="shared" si="2"/>
        <v>0.009063325885</v>
      </c>
      <c r="AF1636" s="490">
        <f t="shared" si="3"/>
        <v>520193580770</v>
      </c>
      <c r="AG1636" s="493">
        <f t="shared" si="6"/>
        <v>2491306.351</v>
      </c>
      <c r="AH1636" s="493">
        <f t="shared" si="4"/>
        <v>520191089464</v>
      </c>
    </row>
    <row r="1637">
      <c r="T1637" s="494" t="s">
        <v>622</v>
      </c>
      <c r="AB1637" s="489">
        <v>1635.0</v>
      </c>
      <c r="AC1637" s="490">
        <f t="shared" si="5"/>
        <v>520193580770</v>
      </c>
      <c r="AD1637" s="491">
        <f t="shared" si="1"/>
        <v>1500</v>
      </c>
      <c r="AE1637" s="492">
        <f t="shared" si="2"/>
        <v>0.009063325885</v>
      </c>
      <c r="AF1637" s="490">
        <f t="shared" si="3"/>
        <v>524908266216</v>
      </c>
      <c r="AG1637" s="493">
        <f t="shared" si="6"/>
        <v>2492806.351</v>
      </c>
      <c r="AH1637" s="493">
        <f t="shared" si="4"/>
        <v>524905773410</v>
      </c>
    </row>
    <row r="1638">
      <c r="T1638" s="494" t="s">
        <v>622</v>
      </c>
      <c r="AB1638" s="489">
        <v>1636.0</v>
      </c>
      <c r="AC1638" s="490">
        <f t="shared" si="5"/>
        <v>524908266216</v>
      </c>
      <c r="AD1638" s="491">
        <f t="shared" si="1"/>
        <v>1500</v>
      </c>
      <c r="AE1638" s="492">
        <f t="shared" si="2"/>
        <v>0.009063325885</v>
      </c>
      <c r="AF1638" s="490">
        <f t="shared" si="3"/>
        <v>529665682393</v>
      </c>
      <c r="AG1638" s="493">
        <f t="shared" si="6"/>
        <v>2494306.351</v>
      </c>
      <c r="AH1638" s="493">
        <f t="shared" si="4"/>
        <v>529663188086</v>
      </c>
    </row>
    <row r="1639">
      <c r="T1639" s="494" t="s">
        <v>622</v>
      </c>
      <c r="AB1639" s="489">
        <v>1637.0</v>
      </c>
      <c r="AC1639" s="490">
        <f t="shared" si="5"/>
        <v>529665682393</v>
      </c>
      <c r="AD1639" s="491">
        <f t="shared" si="1"/>
        <v>1500</v>
      </c>
      <c r="AE1639" s="492">
        <f t="shared" si="2"/>
        <v>0.009063325885</v>
      </c>
      <c r="AF1639" s="490">
        <f t="shared" si="3"/>
        <v>534466216582</v>
      </c>
      <c r="AG1639" s="493">
        <f t="shared" si="6"/>
        <v>2495806.351</v>
      </c>
      <c r="AH1639" s="493">
        <f t="shared" si="4"/>
        <v>534463720776</v>
      </c>
    </row>
    <row r="1640">
      <c r="T1640" s="494" t="s">
        <v>622</v>
      </c>
      <c r="AB1640" s="489">
        <v>1638.0</v>
      </c>
      <c r="AC1640" s="490">
        <f t="shared" si="5"/>
        <v>534466216582</v>
      </c>
      <c r="AD1640" s="491">
        <f t="shared" si="1"/>
        <v>1500</v>
      </c>
      <c r="AE1640" s="492">
        <f t="shared" si="2"/>
        <v>0.009063325885</v>
      </c>
      <c r="AF1640" s="490">
        <f t="shared" si="3"/>
        <v>539310259578</v>
      </c>
      <c r="AG1640" s="493">
        <f t="shared" si="6"/>
        <v>2497306.351</v>
      </c>
      <c r="AH1640" s="493">
        <f t="shared" si="4"/>
        <v>539307762272</v>
      </c>
    </row>
    <row r="1641">
      <c r="T1641" s="494" t="s">
        <v>622</v>
      </c>
      <c r="AB1641" s="489">
        <v>1639.0</v>
      </c>
      <c r="AC1641" s="490">
        <f t="shared" si="5"/>
        <v>539310259578</v>
      </c>
      <c r="AD1641" s="491">
        <f t="shared" si="1"/>
        <v>1500</v>
      </c>
      <c r="AE1641" s="492">
        <f t="shared" si="2"/>
        <v>0.009063325885</v>
      </c>
      <c r="AF1641" s="490">
        <f t="shared" si="3"/>
        <v>544198205714</v>
      </c>
      <c r="AG1641" s="493">
        <f t="shared" si="6"/>
        <v>2498806.351</v>
      </c>
      <c r="AH1641" s="493">
        <f t="shared" si="4"/>
        <v>544195706907</v>
      </c>
    </row>
    <row r="1642">
      <c r="T1642" s="494" t="s">
        <v>622</v>
      </c>
      <c r="AB1642" s="489">
        <v>1640.0</v>
      </c>
      <c r="AC1642" s="490">
        <f t="shared" si="5"/>
        <v>544198205714</v>
      </c>
      <c r="AD1642" s="491">
        <f t="shared" si="1"/>
        <v>1500</v>
      </c>
      <c r="AE1642" s="492">
        <f t="shared" si="2"/>
        <v>0.009063325885</v>
      </c>
      <c r="AF1642" s="490">
        <f t="shared" si="3"/>
        <v>549130452898</v>
      </c>
      <c r="AG1642" s="493">
        <f t="shared" si="6"/>
        <v>2500306.351</v>
      </c>
      <c r="AH1642" s="493">
        <f t="shared" si="4"/>
        <v>549127952592</v>
      </c>
    </row>
    <row r="1643">
      <c r="T1643" s="494" t="s">
        <v>622</v>
      </c>
      <c r="AB1643" s="489">
        <v>1641.0</v>
      </c>
      <c r="AC1643" s="490">
        <f t="shared" si="5"/>
        <v>549130452898</v>
      </c>
      <c r="AD1643" s="491">
        <f t="shared" si="1"/>
        <v>1500</v>
      </c>
      <c r="AE1643" s="492">
        <f t="shared" si="2"/>
        <v>0.009063325885</v>
      </c>
      <c r="AF1643" s="490">
        <f t="shared" si="3"/>
        <v>554107402646</v>
      </c>
      <c r="AG1643" s="493">
        <f t="shared" si="6"/>
        <v>2501806.351</v>
      </c>
      <c r="AH1643" s="493">
        <f t="shared" si="4"/>
        <v>554104900840</v>
      </c>
    </row>
    <row r="1644">
      <c r="T1644" s="494" t="s">
        <v>622</v>
      </c>
      <c r="AB1644" s="489">
        <v>1642.0</v>
      </c>
      <c r="AC1644" s="490">
        <f t="shared" si="5"/>
        <v>554107402646</v>
      </c>
      <c r="AD1644" s="491">
        <f t="shared" si="1"/>
        <v>1500</v>
      </c>
      <c r="AE1644" s="492">
        <f t="shared" si="2"/>
        <v>0.009063325885</v>
      </c>
      <c r="AF1644" s="490">
        <f t="shared" si="3"/>
        <v>559129460112</v>
      </c>
      <c r="AG1644" s="493">
        <f t="shared" si="6"/>
        <v>2503306.351</v>
      </c>
      <c r="AH1644" s="493">
        <f t="shared" si="4"/>
        <v>559126956805</v>
      </c>
    </row>
    <row r="1645">
      <c r="T1645" s="494" t="s">
        <v>622</v>
      </c>
      <c r="AB1645" s="489">
        <v>1643.0</v>
      </c>
      <c r="AC1645" s="490">
        <f t="shared" si="5"/>
        <v>559129460112</v>
      </c>
      <c r="AD1645" s="491">
        <f t="shared" si="1"/>
        <v>1500</v>
      </c>
      <c r="AE1645" s="492">
        <f t="shared" si="2"/>
        <v>0.009063325885</v>
      </c>
      <c r="AF1645" s="490">
        <f t="shared" si="3"/>
        <v>564197034121</v>
      </c>
      <c r="AG1645" s="493">
        <f t="shared" si="6"/>
        <v>2504806.351</v>
      </c>
      <c r="AH1645" s="493">
        <f t="shared" si="4"/>
        <v>564194529314</v>
      </c>
    </row>
    <row r="1646">
      <c r="T1646" s="494" t="s">
        <v>622</v>
      </c>
      <c r="AB1646" s="489">
        <v>1644.0</v>
      </c>
      <c r="AC1646" s="490">
        <f t="shared" si="5"/>
        <v>564197034121</v>
      </c>
      <c r="AD1646" s="491">
        <f t="shared" si="1"/>
        <v>1500</v>
      </c>
      <c r="AE1646" s="492">
        <f t="shared" si="2"/>
        <v>0.009063325885</v>
      </c>
      <c r="AF1646" s="490">
        <f t="shared" si="3"/>
        <v>569310537204</v>
      </c>
      <c r="AG1646" s="493">
        <f t="shared" si="6"/>
        <v>2506306.351</v>
      </c>
      <c r="AH1646" s="493">
        <f t="shared" si="4"/>
        <v>569308030898</v>
      </c>
    </row>
    <row r="1647">
      <c r="T1647" s="494" t="s">
        <v>622</v>
      </c>
      <c r="AB1647" s="489">
        <v>1645.0</v>
      </c>
      <c r="AC1647" s="490">
        <f t="shared" si="5"/>
        <v>569310537204</v>
      </c>
      <c r="AD1647" s="491">
        <f t="shared" si="1"/>
        <v>1500</v>
      </c>
      <c r="AE1647" s="492">
        <f t="shared" si="2"/>
        <v>0.009063325885</v>
      </c>
      <c r="AF1647" s="490">
        <f t="shared" si="3"/>
        <v>574470385633</v>
      </c>
      <c r="AG1647" s="493">
        <f t="shared" si="6"/>
        <v>2507806.351</v>
      </c>
      <c r="AH1647" s="493">
        <f t="shared" si="4"/>
        <v>574467877826</v>
      </c>
    </row>
    <row r="1648">
      <c r="T1648" s="494" t="s">
        <v>622</v>
      </c>
      <c r="AB1648" s="489">
        <v>1646.0</v>
      </c>
      <c r="AC1648" s="490">
        <f t="shared" si="5"/>
        <v>574470385633</v>
      </c>
      <c r="AD1648" s="491">
        <f t="shared" si="1"/>
        <v>1500</v>
      </c>
      <c r="AE1648" s="492">
        <f t="shared" si="2"/>
        <v>0.009063325885</v>
      </c>
      <c r="AF1648" s="490">
        <f t="shared" si="3"/>
        <v>579676999449</v>
      </c>
      <c r="AG1648" s="493">
        <f t="shared" si="6"/>
        <v>2509306.351</v>
      </c>
      <c r="AH1648" s="493">
        <f t="shared" si="4"/>
        <v>579674490143</v>
      </c>
    </row>
    <row r="1649">
      <c r="T1649" s="494" t="s">
        <v>622</v>
      </c>
      <c r="AB1649" s="489">
        <v>1647.0</v>
      </c>
      <c r="AC1649" s="490">
        <f t="shared" si="5"/>
        <v>579676999449</v>
      </c>
      <c r="AD1649" s="491">
        <f t="shared" si="1"/>
        <v>1500</v>
      </c>
      <c r="AE1649" s="492">
        <f t="shared" si="2"/>
        <v>0.009063325885</v>
      </c>
      <c r="AF1649" s="490">
        <f t="shared" si="3"/>
        <v>584930802503</v>
      </c>
      <c r="AG1649" s="493">
        <f t="shared" si="6"/>
        <v>2510806.351</v>
      </c>
      <c r="AH1649" s="493">
        <f t="shared" si="4"/>
        <v>584928291697</v>
      </c>
    </row>
    <row r="1650">
      <c r="T1650" s="494" t="s">
        <v>622</v>
      </c>
      <c r="AB1650" s="489">
        <v>1648.0</v>
      </c>
      <c r="AC1650" s="490">
        <f t="shared" si="5"/>
        <v>584930802503</v>
      </c>
      <c r="AD1650" s="491">
        <f t="shared" si="1"/>
        <v>1500</v>
      </c>
      <c r="AE1650" s="492">
        <f t="shared" si="2"/>
        <v>0.009063325885</v>
      </c>
      <c r="AF1650" s="490">
        <f t="shared" si="3"/>
        <v>590232222487</v>
      </c>
      <c r="AG1650" s="493">
        <f t="shared" si="6"/>
        <v>2512306.351</v>
      </c>
      <c r="AH1650" s="493">
        <f t="shared" si="4"/>
        <v>590229710180</v>
      </c>
    </row>
    <row r="1651">
      <c r="T1651" s="494" t="s">
        <v>622</v>
      </c>
      <c r="AB1651" s="489">
        <v>1649.0</v>
      </c>
      <c r="AC1651" s="490">
        <f t="shared" si="5"/>
        <v>590232222487</v>
      </c>
      <c r="AD1651" s="491">
        <f t="shared" si="1"/>
        <v>1500</v>
      </c>
      <c r="AE1651" s="492">
        <f t="shared" si="2"/>
        <v>0.009063325885</v>
      </c>
      <c r="AF1651" s="490">
        <f t="shared" si="3"/>
        <v>595581690967</v>
      </c>
      <c r="AG1651" s="493">
        <f t="shared" si="6"/>
        <v>2513806.351</v>
      </c>
      <c r="AH1651" s="493">
        <f t="shared" si="4"/>
        <v>595579177160</v>
      </c>
    </row>
    <row r="1652">
      <c r="T1652" s="494" t="s">
        <v>622</v>
      </c>
      <c r="AB1652" s="489">
        <v>1650.0</v>
      </c>
      <c r="AC1652" s="490">
        <f t="shared" si="5"/>
        <v>595581690967</v>
      </c>
      <c r="AD1652" s="491">
        <f t="shared" si="1"/>
        <v>1500</v>
      </c>
      <c r="AE1652" s="492">
        <f t="shared" si="2"/>
        <v>0.009063325885</v>
      </c>
      <c r="AF1652" s="490">
        <f t="shared" si="3"/>
        <v>600979643423</v>
      </c>
      <c r="AG1652" s="493">
        <f t="shared" si="6"/>
        <v>2515306.351</v>
      </c>
      <c r="AH1652" s="493">
        <f t="shared" si="4"/>
        <v>600977128117</v>
      </c>
    </row>
    <row r="1653">
      <c r="T1653" s="494" t="s">
        <v>622</v>
      </c>
      <c r="AB1653" s="489">
        <v>1651.0</v>
      </c>
      <c r="AC1653" s="490">
        <f t="shared" si="5"/>
        <v>600979643423</v>
      </c>
      <c r="AD1653" s="491">
        <f t="shared" si="1"/>
        <v>1500</v>
      </c>
      <c r="AE1653" s="492">
        <f t="shared" si="2"/>
        <v>0.009063325885</v>
      </c>
      <c r="AF1653" s="490">
        <f t="shared" si="3"/>
        <v>606426519282</v>
      </c>
      <c r="AG1653" s="493">
        <f t="shared" si="6"/>
        <v>2516806.351</v>
      </c>
      <c r="AH1653" s="493">
        <f t="shared" si="4"/>
        <v>606424002476</v>
      </c>
    </row>
    <row r="1654">
      <c r="T1654" s="494" t="s">
        <v>622</v>
      </c>
      <c r="AB1654" s="489">
        <v>1652.0</v>
      </c>
      <c r="AC1654" s="490">
        <f t="shared" si="5"/>
        <v>606426519282</v>
      </c>
      <c r="AD1654" s="491">
        <f t="shared" si="1"/>
        <v>1500</v>
      </c>
      <c r="AE1654" s="492">
        <f t="shared" si="2"/>
        <v>0.009063325885</v>
      </c>
      <c r="AF1654" s="490">
        <f t="shared" si="3"/>
        <v>611922761952</v>
      </c>
      <c r="AG1654" s="493">
        <f t="shared" si="6"/>
        <v>2518306.351</v>
      </c>
      <c r="AH1654" s="493">
        <f t="shared" si="4"/>
        <v>611920243645</v>
      </c>
    </row>
    <row r="1655">
      <c r="T1655" s="494" t="s">
        <v>622</v>
      </c>
      <c r="AB1655" s="489">
        <v>1653.0</v>
      </c>
      <c r="AC1655" s="490">
        <f t="shared" si="5"/>
        <v>611922761952</v>
      </c>
      <c r="AD1655" s="491">
        <f t="shared" si="1"/>
        <v>1500</v>
      </c>
      <c r="AE1655" s="492">
        <f t="shared" si="2"/>
        <v>0.009063325885</v>
      </c>
      <c r="AF1655" s="490">
        <f t="shared" si="3"/>
        <v>617468818860</v>
      </c>
      <c r="AG1655" s="493">
        <f t="shared" si="6"/>
        <v>2519806.351</v>
      </c>
      <c r="AH1655" s="493">
        <f t="shared" si="4"/>
        <v>617466299053</v>
      </c>
    </row>
    <row r="1656">
      <c r="T1656" s="494" t="s">
        <v>622</v>
      </c>
      <c r="AB1656" s="489">
        <v>1654.0</v>
      </c>
      <c r="AC1656" s="490">
        <f t="shared" si="5"/>
        <v>617468818860</v>
      </c>
      <c r="AD1656" s="491">
        <f t="shared" si="1"/>
        <v>1500</v>
      </c>
      <c r="AE1656" s="492">
        <f t="shared" si="2"/>
        <v>0.009063325885</v>
      </c>
      <c r="AF1656" s="490">
        <f t="shared" si="3"/>
        <v>623065141489</v>
      </c>
      <c r="AG1656" s="493">
        <f t="shared" si="6"/>
        <v>2521306.351</v>
      </c>
      <c r="AH1656" s="493">
        <f t="shared" si="4"/>
        <v>623062620182</v>
      </c>
    </row>
    <row r="1657">
      <c r="T1657" s="494" t="s">
        <v>622</v>
      </c>
      <c r="AB1657" s="489">
        <v>1655.0</v>
      </c>
      <c r="AC1657" s="490">
        <f t="shared" si="5"/>
        <v>623065141489</v>
      </c>
      <c r="AD1657" s="491">
        <f t="shared" si="1"/>
        <v>1500</v>
      </c>
      <c r="AE1657" s="492">
        <f t="shared" si="2"/>
        <v>0.009063325885</v>
      </c>
      <c r="AF1657" s="490">
        <f t="shared" si="3"/>
        <v>628712185414</v>
      </c>
      <c r="AG1657" s="493">
        <f t="shared" si="6"/>
        <v>2522806.351</v>
      </c>
      <c r="AH1657" s="493">
        <f t="shared" si="4"/>
        <v>628709662607</v>
      </c>
    </row>
    <row r="1658">
      <c r="T1658" s="494" t="s">
        <v>622</v>
      </c>
      <c r="AB1658" s="489">
        <v>1656.0</v>
      </c>
      <c r="AC1658" s="490">
        <f t="shared" si="5"/>
        <v>628712185414</v>
      </c>
      <c r="AD1658" s="491">
        <f t="shared" si="1"/>
        <v>1500</v>
      </c>
      <c r="AE1658" s="492">
        <f t="shared" si="2"/>
        <v>0.009063325885</v>
      </c>
      <c r="AF1658" s="490">
        <f t="shared" si="3"/>
        <v>634410410338</v>
      </c>
      <c r="AG1658" s="493">
        <f t="shared" si="6"/>
        <v>2524306.351</v>
      </c>
      <c r="AH1658" s="493">
        <f t="shared" si="4"/>
        <v>634407886032</v>
      </c>
    </row>
    <row r="1659">
      <c r="T1659" s="494" t="s">
        <v>622</v>
      </c>
      <c r="AB1659" s="489">
        <v>1657.0</v>
      </c>
      <c r="AC1659" s="490">
        <f t="shared" si="5"/>
        <v>634410410338</v>
      </c>
      <c r="AD1659" s="491">
        <f t="shared" si="1"/>
        <v>1500</v>
      </c>
      <c r="AE1659" s="492">
        <f t="shared" si="2"/>
        <v>0.009063325885</v>
      </c>
      <c r="AF1659" s="490">
        <f t="shared" si="3"/>
        <v>640160280132</v>
      </c>
      <c r="AG1659" s="493">
        <f t="shared" si="6"/>
        <v>2525806.351</v>
      </c>
      <c r="AH1659" s="493">
        <f t="shared" si="4"/>
        <v>640157754326</v>
      </c>
    </row>
    <row r="1660">
      <c r="T1660" s="494" t="s">
        <v>622</v>
      </c>
      <c r="AB1660" s="489">
        <v>1658.0</v>
      </c>
      <c r="AC1660" s="490">
        <f t="shared" si="5"/>
        <v>640160280132</v>
      </c>
      <c r="AD1660" s="491">
        <f t="shared" si="1"/>
        <v>1500</v>
      </c>
      <c r="AE1660" s="492">
        <f t="shared" si="2"/>
        <v>0.009063325885</v>
      </c>
      <c r="AF1660" s="490">
        <f t="shared" si="3"/>
        <v>645962262869</v>
      </c>
      <c r="AG1660" s="493">
        <f t="shared" si="6"/>
        <v>2527306.351</v>
      </c>
      <c r="AH1660" s="493">
        <f t="shared" si="4"/>
        <v>645959735563</v>
      </c>
    </row>
    <row r="1661">
      <c r="T1661" s="494" t="s">
        <v>622</v>
      </c>
      <c r="AB1661" s="489">
        <v>1659.0</v>
      </c>
      <c r="AC1661" s="490">
        <f t="shared" si="5"/>
        <v>645962262869</v>
      </c>
      <c r="AD1661" s="491">
        <f t="shared" si="1"/>
        <v>1500</v>
      </c>
      <c r="AE1661" s="492">
        <f t="shared" si="2"/>
        <v>0.009063325885</v>
      </c>
      <c r="AF1661" s="490">
        <f t="shared" si="3"/>
        <v>651816830867</v>
      </c>
      <c r="AG1661" s="493">
        <f t="shared" si="6"/>
        <v>2528806.351</v>
      </c>
      <c r="AH1661" s="493">
        <f t="shared" si="4"/>
        <v>651814302061</v>
      </c>
    </row>
    <row r="1662">
      <c r="T1662" s="494" t="s">
        <v>622</v>
      </c>
      <c r="AB1662" s="489">
        <v>1660.0</v>
      </c>
      <c r="AC1662" s="490">
        <f t="shared" si="5"/>
        <v>651816830867</v>
      </c>
      <c r="AD1662" s="491">
        <f t="shared" si="1"/>
        <v>1500</v>
      </c>
      <c r="AE1662" s="492">
        <f t="shared" si="2"/>
        <v>0.009063325885</v>
      </c>
      <c r="AF1662" s="490">
        <f t="shared" si="3"/>
        <v>657724460723</v>
      </c>
      <c r="AG1662" s="493">
        <f t="shared" si="6"/>
        <v>2530306.351</v>
      </c>
      <c r="AH1662" s="493">
        <f t="shared" si="4"/>
        <v>657721930417</v>
      </c>
    </row>
    <row r="1663">
      <c r="T1663" s="494" t="s">
        <v>622</v>
      </c>
      <c r="AB1663" s="489">
        <v>1661.0</v>
      </c>
      <c r="AC1663" s="490">
        <f t="shared" si="5"/>
        <v>657724460723</v>
      </c>
      <c r="AD1663" s="491">
        <f t="shared" si="1"/>
        <v>1500</v>
      </c>
      <c r="AE1663" s="492">
        <f t="shared" si="2"/>
        <v>0.009063325885</v>
      </c>
      <c r="AF1663" s="490">
        <f t="shared" si="3"/>
        <v>663685633353</v>
      </c>
      <c r="AG1663" s="493">
        <f t="shared" si="6"/>
        <v>2531806.351</v>
      </c>
      <c r="AH1663" s="493">
        <f t="shared" si="4"/>
        <v>663683101547</v>
      </c>
    </row>
    <row r="1664">
      <c r="T1664" s="494" t="s">
        <v>622</v>
      </c>
      <c r="AB1664" s="489">
        <v>1662.0</v>
      </c>
      <c r="AC1664" s="490">
        <f t="shared" si="5"/>
        <v>663685633353</v>
      </c>
      <c r="AD1664" s="491">
        <f t="shared" si="1"/>
        <v>1500</v>
      </c>
      <c r="AE1664" s="492">
        <f t="shared" si="2"/>
        <v>0.009063325885</v>
      </c>
      <c r="AF1664" s="490">
        <f t="shared" si="3"/>
        <v>669700834033</v>
      </c>
      <c r="AG1664" s="493">
        <f t="shared" si="6"/>
        <v>2533306.351</v>
      </c>
      <c r="AH1664" s="493">
        <f t="shared" si="4"/>
        <v>669698300727</v>
      </c>
    </row>
    <row r="1665">
      <c r="T1665" s="494" t="s">
        <v>622</v>
      </c>
      <c r="AB1665" s="489">
        <v>1663.0</v>
      </c>
      <c r="AC1665" s="490">
        <f t="shared" si="5"/>
        <v>669700834033</v>
      </c>
      <c r="AD1665" s="491">
        <f t="shared" si="1"/>
        <v>1500</v>
      </c>
      <c r="AE1665" s="492">
        <f t="shared" si="2"/>
        <v>0.009063325885</v>
      </c>
      <c r="AF1665" s="490">
        <f t="shared" si="3"/>
        <v>675770552438</v>
      </c>
      <c r="AG1665" s="493">
        <f t="shared" si="6"/>
        <v>2534806.351</v>
      </c>
      <c r="AH1665" s="493">
        <f t="shared" si="4"/>
        <v>675768017631</v>
      </c>
    </row>
    <row r="1666">
      <c r="T1666" s="494" t="s">
        <v>622</v>
      </c>
      <c r="AB1666" s="489">
        <v>1664.0</v>
      </c>
      <c r="AC1666" s="490">
        <f t="shared" si="5"/>
        <v>675770552438</v>
      </c>
      <c r="AD1666" s="491">
        <f t="shared" si="1"/>
        <v>1500</v>
      </c>
      <c r="AE1666" s="492">
        <f t="shared" si="2"/>
        <v>0.009063325885</v>
      </c>
      <c r="AF1666" s="490">
        <f t="shared" si="3"/>
        <v>681895282678</v>
      </c>
      <c r="AG1666" s="493">
        <f t="shared" si="6"/>
        <v>2536306.351</v>
      </c>
      <c r="AH1666" s="493">
        <f t="shared" si="4"/>
        <v>681892746372</v>
      </c>
    </row>
    <row r="1667">
      <c r="T1667" s="494" t="s">
        <v>622</v>
      </c>
      <c r="AB1667" s="489">
        <v>1665.0</v>
      </c>
      <c r="AC1667" s="490">
        <f t="shared" si="5"/>
        <v>681895282678</v>
      </c>
      <c r="AD1667" s="491">
        <f t="shared" si="1"/>
        <v>1500</v>
      </c>
      <c r="AE1667" s="492">
        <f t="shared" si="2"/>
        <v>0.009063325885</v>
      </c>
      <c r="AF1667" s="490">
        <f t="shared" si="3"/>
        <v>688075523344</v>
      </c>
      <c r="AG1667" s="493">
        <f t="shared" si="6"/>
        <v>2537806.351</v>
      </c>
      <c r="AH1667" s="493">
        <f t="shared" si="4"/>
        <v>688072985538</v>
      </c>
    </row>
    <row r="1668">
      <c r="T1668" s="494" t="s">
        <v>622</v>
      </c>
      <c r="AB1668" s="489">
        <v>1666.0</v>
      </c>
      <c r="AC1668" s="490">
        <f t="shared" si="5"/>
        <v>688075523344</v>
      </c>
      <c r="AD1668" s="491">
        <f t="shared" si="1"/>
        <v>1500</v>
      </c>
      <c r="AE1668" s="492">
        <f t="shared" si="2"/>
        <v>0.009063325885</v>
      </c>
      <c r="AF1668" s="490">
        <f t="shared" si="3"/>
        <v>694311777546</v>
      </c>
      <c r="AG1668" s="493">
        <f t="shared" si="6"/>
        <v>2539306.351</v>
      </c>
      <c r="AH1668" s="493">
        <f t="shared" si="4"/>
        <v>694309238240</v>
      </c>
    </row>
    <row r="1669">
      <c r="T1669" s="494" t="s">
        <v>622</v>
      </c>
      <c r="AB1669" s="489">
        <v>1667.0</v>
      </c>
      <c r="AC1669" s="490">
        <f t="shared" si="5"/>
        <v>694311777546</v>
      </c>
      <c r="AD1669" s="491">
        <f t="shared" si="1"/>
        <v>1500</v>
      </c>
      <c r="AE1669" s="492">
        <f t="shared" si="2"/>
        <v>0.009063325885</v>
      </c>
      <c r="AF1669" s="490">
        <f t="shared" si="3"/>
        <v>700604552952</v>
      </c>
      <c r="AG1669" s="493">
        <f t="shared" si="6"/>
        <v>2540806.351</v>
      </c>
      <c r="AH1669" s="493">
        <f t="shared" si="4"/>
        <v>700602012145</v>
      </c>
    </row>
    <row r="1670">
      <c r="T1670" s="494" t="s">
        <v>622</v>
      </c>
      <c r="AB1670" s="489">
        <v>1668.0</v>
      </c>
      <c r="AC1670" s="490">
        <f t="shared" si="5"/>
        <v>700604552952</v>
      </c>
      <c r="AD1670" s="491">
        <f t="shared" si="1"/>
        <v>1500</v>
      </c>
      <c r="AE1670" s="492">
        <f t="shared" si="2"/>
        <v>0.009063325885</v>
      </c>
      <c r="AF1670" s="490">
        <f t="shared" si="3"/>
        <v>706954361832</v>
      </c>
      <c r="AG1670" s="493">
        <f t="shared" si="6"/>
        <v>2542306.351</v>
      </c>
      <c r="AH1670" s="493">
        <f t="shared" si="4"/>
        <v>706951819525</v>
      </c>
    </row>
    <row r="1671">
      <c r="T1671" s="494" t="s">
        <v>622</v>
      </c>
      <c r="AB1671" s="489">
        <v>1669.0</v>
      </c>
      <c r="AC1671" s="490">
        <f t="shared" si="5"/>
        <v>706954361832</v>
      </c>
      <c r="AD1671" s="491">
        <f t="shared" si="1"/>
        <v>1500</v>
      </c>
      <c r="AE1671" s="492">
        <f t="shared" si="2"/>
        <v>0.009063325885</v>
      </c>
      <c r="AF1671" s="490">
        <f t="shared" si="3"/>
        <v>713361721099</v>
      </c>
      <c r="AG1671" s="493">
        <f t="shared" si="6"/>
        <v>2543806.351</v>
      </c>
      <c r="AH1671" s="493">
        <f t="shared" si="4"/>
        <v>713359177293</v>
      </c>
    </row>
    <row r="1672">
      <c r="T1672" s="494" t="s">
        <v>622</v>
      </c>
      <c r="AB1672" s="489">
        <v>1670.0</v>
      </c>
      <c r="AC1672" s="490">
        <f t="shared" si="5"/>
        <v>713361721099</v>
      </c>
      <c r="AD1672" s="491">
        <f t="shared" si="1"/>
        <v>1500</v>
      </c>
      <c r="AE1672" s="492">
        <f t="shared" si="2"/>
        <v>0.009063325885</v>
      </c>
      <c r="AF1672" s="490">
        <f t="shared" si="3"/>
        <v>719827152351</v>
      </c>
      <c r="AG1672" s="493">
        <f t="shared" si="6"/>
        <v>2545306.351</v>
      </c>
      <c r="AH1672" s="493">
        <f t="shared" si="4"/>
        <v>719824607045</v>
      </c>
    </row>
    <row r="1673">
      <c r="T1673" s="494" t="s">
        <v>622</v>
      </c>
      <c r="AB1673" s="489">
        <v>1671.0</v>
      </c>
      <c r="AC1673" s="490">
        <f t="shared" si="5"/>
        <v>719827152351</v>
      </c>
      <c r="AD1673" s="491">
        <f t="shared" si="1"/>
        <v>1500</v>
      </c>
      <c r="AE1673" s="492">
        <f t="shared" si="2"/>
        <v>0.009063325885</v>
      </c>
      <c r="AF1673" s="490">
        <f t="shared" si="3"/>
        <v>726351181914</v>
      </c>
      <c r="AG1673" s="493">
        <f t="shared" si="6"/>
        <v>2546806.351</v>
      </c>
      <c r="AH1673" s="493">
        <f t="shared" si="4"/>
        <v>726348635108</v>
      </c>
    </row>
    <row r="1674">
      <c r="T1674" s="494" t="s">
        <v>622</v>
      </c>
      <c r="AB1674" s="489">
        <v>1672.0</v>
      </c>
      <c r="AC1674" s="490">
        <f t="shared" si="5"/>
        <v>726351181914</v>
      </c>
      <c r="AD1674" s="491">
        <f t="shared" si="1"/>
        <v>1500</v>
      </c>
      <c r="AE1674" s="492">
        <f t="shared" si="2"/>
        <v>0.009063325885</v>
      </c>
      <c r="AF1674" s="490">
        <f t="shared" si="3"/>
        <v>732934340883</v>
      </c>
      <c r="AG1674" s="493">
        <f t="shared" si="6"/>
        <v>2548306.351</v>
      </c>
      <c r="AH1674" s="493">
        <f t="shared" si="4"/>
        <v>732931792576</v>
      </c>
    </row>
    <row r="1675">
      <c r="T1675" s="494" t="s">
        <v>622</v>
      </c>
      <c r="AB1675" s="489">
        <v>1673.0</v>
      </c>
      <c r="AC1675" s="490">
        <f t="shared" si="5"/>
        <v>732934340883</v>
      </c>
      <c r="AD1675" s="491">
        <f t="shared" si="1"/>
        <v>1500</v>
      </c>
      <c r="AE1675" s="492">
        <f t="shared" si="2"/>
        <v>0.009063325885</v>
      </c>
      <c r="AF1675" s="490">
        <f t="shared" si="3"/>
        <v>739577165166</v>
      </c>
      <c r="AG1675" s="493">
        <f t="shared" si="6"/>
        <v>2549806.351</v>
      </c>
      <c r="AH1675" s="493">
        <f t="shared" si="4"/>
        <v>739574615360</v>
      </c>
    </row>
    <row r="1676">
      <c r="T1676" s="494" t="s">
        <v>622</v>
      </c>
      <c r="AB1676" s="489">
        <v>1674.0</v>
      </c>
      <c r="AC1676" s="490">
        <f t="shared" si="5"/>
        <v>739577165166</v>
      </c>
      <c r="AD1676" s="491">
        <f t="shared" si="1"/>
        <v>1500</v>
      </c>
      <c r="AE1676" s="492">
        <f t="shared" si="2"/>
        <v>0.009063325885</v>
      </c>
      <c r="AF1676" s="490">
        <f t="shared" si="3"/>
        <v>746280195532</v>
      </c>
      <c r="AG1676" s="493">
        <f t="shared" si="6"/>
        <v>2551306.351</v>
      </c>
      <c r="AH1676" s="493">
        <f t="shared" si="4"/>
        <v>746277644225</v>
      </c>
    </row>
    <row r="1677">
      <c r="T1677" s="494" t="s">
        <v>622</v>
      </c>
      <c r="AB1677" s="489">
        <v>1675.0</v>
      </c>
      <c r="AC1677" s="490">
        <f t="shared" si="5"/>
        <v>746280195532</v>
      </c>
      <c r="AD1677" s="491">
        <f t="shared" si="1"/>
        <v>1500</v>
      </c>
      <c r="AE1677" s="492">
        <f t="shared" si="2"/>
        <v>0.009063325885</v>
      </c>
      <c r="AF1677" s="490">
        <f t="shared" si="3"/>
        <v>753043977645</v>
      </c>
      <c r="AG1677" s="493">
        <f t="shared" si="6"/>
        <v>2552806.351</v>
      </c>
      <c r="AH1677" s="493">
        <f t="shared" si="4"/>
        <v>753041424839</v>
      </c>
    </row>
    <row r="1678">
      <c r="T1678" s="494" t="s">
        <v>622</v>
      </c>
      <c r="AB1678" s="489">
        <v>1676.0</v>
      </c>
      <c r="AC1678" s="490">
        <f t="shared" si="5"/>
        <v>753043977645</v>
      </c>
      <c r="AD1678" s="491">
        <f t="shared" si="1"/>
        <v>1500</v>
      </c>
      <c r="AE1678" s="492">
        <f t="shared" si="2"/>
        <v>0.009063325885</v>
      </c>
      <c r="AF1678" s="490">
        <f t="shared" si="3"/>
        <v>759869062120</v>
      </c>
      <c r="AG1678" s="493">
        <f t="shared" si="6"/>
        <v>2554306.351</v>
      </c>
      <c r="AH1678" s="493">
        <f t="shared" si="4"/>
        <v>759866507814</v>
      </c>
    </row>
    <row r="1679">
      <c r="T1679" s="494" t="s">
        <v>622</v>
      </c>
      <c r="AB1679" s="489">
        <v>1677.0</v>
      </c>
      <c r="AC1679" s="490">
        <f t="shared" si="5"/>
        <v>759869062120</v>
      </c>
      <c r="AD1679" s="491">
        <f t="shared" si="1"/>
        <v>1500</v>
      </c>
      <c r="AE1679" s="492">
        <f t="shared" si="2"/>
        <v>0.009063325885</v>
      </c>
      <c r="AF1679" s="490">
        <f t="shared" si="3"/>
        <v>766756004560</v>
      </c>
      <c r="AG1679" s="493">
        <f t="shared" si="6"/>
        <v>2555806.351</v>
      </c>
      <c r="AH1679" s="493">
        <f t="shared" si="4"/>
        <v>766753448754</v>
      </c>
    </row>
    <row r="1680">
      <c r="T1680" s="494" t="s">
        <v>622</v>
      </c>
      <c r="AB1680" s="489">
        <v>1678.0</v>
      </c>
      <c r="AC1680" s="490">
        <f t="shared" si="5"/>
        <v>766756004560</v>
      </c>
      <c r="AD1680" s="491">
        <f t="shared" si="1"/>
        <v>1500</v>
      </c>
      <c r="AE1680" s="492">
        <f t="shared" si="2"/>
        <v>0.009063325885</v>
      </c>
      <c r="AF1680" s="490">
        <f t="shared" si="3"/>
        <v>773705365604</v>
      </c>
      <c r="AG1680" s="493">
        <f t="shared" si="6"/>
        <v>2557306.351</v>
      </c>
      <c r="AH1680" s="493">
        <f t="shared" si="4"/>
        <v>773702808298</v>
      </c>
    </row>
    <row r="1681">
      <c r="T1681" s="494" t="s">
        <v>622</v>
      </c>
      <c r="AB1681" s="489">
        <v>1679.0</v>
      </c>
      <c r="AC1681" s="490">
        <f t="shared" si="5"/>
        <v>773705365604</v>
      </c>
      <c r="AD1681" s="491">
        <f t="shared" si="1"/>
        <v>1500</v>
      </c>
      <c r="AE1681" s="492">
        <f t="shared" si="2"/>
        <v>0.009063325885</v>
      </c>
      <c r="AF1681" s="490">
        <f t="shared" si="3"/>
        <v>780717710972</v>
      </c>
      <c r="AG1681" s="493">
        <f t="shared" si="6"/>
        <v>2558806.351</v>
      </c>
      <c r="AH1681" s="493">
        <f t="shared" si="4"/>
        <v>780715152165</v>
      </c>
    </row>
    <row r="1682">
      <c r="T1682" s="494" t="s">
        <v>622</v>
      </c>
      <c r="AB1682" s="489">
        <v>1680.0</v>
      </c>
      <c r="AC1682" s="490">
        <f t="shared" si="5"/>
        <v>780717710972</v>
      </c>
      <c r="AD1682" s="491">
        <f t="shared" si="1"/>
        <v>1500</v>
      </c>
      <c r="AE1682" s="492">
        <f t="shared" si="2"/>
        <v>0.009063325885</v>
      </c>
      <c r="AF1682" s="490">
        <f t="shared" si="3"/>
        <v>787793611510</v>
      </c>
      <c r="AG1682" s="493">
        <f t="shared" si="6"/>
        <v>2560306.351</v>
      </c>
      <c r="AH1682" s="493">
        <f t="shared" si="4"/>
        <v>787791051204</v>
      </c>
    </row>
    <row r="1683">
      <c r="T1683" s="494" t="s">
        <v>622</v>
      </c>
      <c r="AB1683" s="489">
        <v>1681.0</v>
      </c>
      <c r="AC1683" s="490">
        <f t="shared" si="5"/>
        <v>787793611510</v>
      </c>
      <c r="AD1683" s="491">
        <f t="shared" si="1"/>
        <v>1500</v>
      </c>
      <c r="AE1683" s="492">
        <f t="shared" si="2"/>
        <v>0.009063325885</v>
      </c>
      <c r="AF1683" s="490">
        <f t="shared" si="3"/>
        <v>794933643242</v>
      </c>
      <c r="AG1683" s="493">
        <f t="shared" si="6"/>
        <v>2561806.351</v>
      </c>
      <c r="AH1683" s="493">
        <f t="shared" si="4"/>
        <v>794931081435</v>
      </c>
    </row>
    <row r="1684">
      <c r="T1684" s="494" t="s">
        <v>622</v>
      </c>
      <c r="AB1684" s="489">
        <v>1682.0</v>
      </c>
      <c r="AC1684" s="490">
        <f t="shared" si="5"/>
        <v>794933643242</v>
      </c>
      <c r="AD1684" s="491">
        <f t="shared" si="1"/>
        <v>1500</v>
      </c>
      <c r="AE1684" s="492">
        <f t="shared" si="2"/>
        <v>0.009063325885</v>
      </c>
      <c r="AF1684" s="490">
        <f t="shared" si="3"/>
        <v>802138387408</v>
      </c>
      <c r="AG1684" s="493">
        <f t="shared" si="6"/>
        <v>2563306.351</v>
      </c>
      <c r="AH1684" s="493">
        <f t="shared" si="4"/>
        <v>802135824101</v>
      </c>
    </row>
    <row r="1685">
      <c r="T1685" s="494" t="s">
        <v>622</v>
      </c>
      <c r="AB1685" s="489">
        <v>1683.0</v>
      </c>
      <c r="AC1685" s="490">
        <f t="shared" si="5"/>
        <v>802138387408</v>
      </c>
      <c r="AD1685" s="491">
        <f t="shared" si="1"/>
        <v>1500</v>
      </c>
      <c r="AE1685" s="492">
        <f t="shared" si="2"/>
        <v>0.009063325885</v>
      </c>
      <c r="AF1685" s="490">
        <f t="shared" si="3"/>
        <v>809408430518</v>
      </c>
      <c r="AG1685" s="493">
        <f t="shared" si="6"/>
        <v>2564806.351</v>
      </c>
      <c r="AH1685" s="493">
        <f t="shared" si="4"/>
        <v>809405865711</v>
      </c>
    </row>
    <row r="1686">
      <c r="T1686" s="494" t="s">
        <v>622</v>
      </c>
      <c r="AB1686" s="489">
        <v>1684.0</v>
      </c>
      <c r="AC1686" s="490">
        <f t="shared" si="5"/>
        <v>809408430518</v>
      </c>
      <c r="AD1686" s="491">
        <f t="shared" si="1"/>
        <v>1500</v>
      </c>
      <c r="AE1686" s="492">
        <f t="shared" si="2"/>
        <v>0.009063325885</v>
      </c>
      <c r="AF1686" s="490">
        <f t="shared" si="3"/>
        <v>816744364397</v>
      </c>
      <c r="AG1686" s="493">
        <f t="shared" si="6"/>
        <v>2566306.351</v>
      </c>
      <c r="AH1686" s="493">
        <f t="shared" si="4"/>
        <v>816741798091</v>
      </c>
    </row>
    <row r="1687">
      <c r="T1687" s="494" t="s">
        <v>622</v>
      </c>
      <c r="AB1687" s="489">
        <v>1685.0</v>
      </c>
      <c r="AC1687" s="490">
        <f t="shared" si="5"/>
        <v>816744364397</v>
      </c>
      <c r="AD1687" s="491">
        <f t="shared" si="1"/>
        <v>1500</v>
      </c>
      <c r="AE1687" s="492">
        <f t="shared" si="2"/>
        <v>0.009063325885</v>
      </c>
      <c r="AF1687" s="490">
        <f t="shared" si="3"/>
        <v>824146786237</v>
      </c>
      <c r="AG1687" s="493">
        <f t="shared" si="6"/>
        <v>2567806.351</v>
      </c>
      <c r="AH1687" s="493">
        <f t="shared" si="4"/>
        <v>824144218430</v>
      </c>
    </row>
    <row r="1688">
      <c r="T1688" s="494" t="s">
        <v>622</v>
      </c>
      <c r="AB1688" s="489">
        <v>1686.0</v>
      </c>
      <c r="AC1688" s="490">
        <f t="shared" si="5"/>
        <v>824146786237</v>
      </c>
      <c r="AD1688" s="491">
        <f t="shared" si="1"/>
        <v>1500</v>
      </c>
      <c r="AE1688" s="492">
        <f t="shared" si="2"/>
        <v>0.009063325885</v>
      </c>
      <c r="AF1688" s="490">
        <f t="shared" si="3"/>
        <v>831616298638</v>
      </c>
      <c r="AG1688" s="493">
        <f t="shared" si="6"/>
        <v>2569306.351</v>
      </c>
      <c r="AH1688" s="493">
        <f t="shared" si="4"/>
        <v>831613729331</v>
      </c>
    </row>
    <row r="1689">
      <c r="T1689" s="494" t="s">
        <v>622</v>
      </c>
      <c r="AB1689" s="489">
        <v>1687.0</v>
      </c>
      <c r="AC1689" s="490">
        <f t="shared" si="5"/>
        <v>831616298638</v>
      </c>
      <c r="AD1689" s="491">
        <f t="shared" si="1"/>
        <v>1500</v>
      </c>
      <c r="AE1689" s="492">
        <f t="shared" si="2"/>
        <v>0.009063325885</v>
      </c>
      <c r="AF1689" s="490">
        <f t="shared" si="3"/>
        <v>839153509664</v>
      </c>
      <c r="AG1689" s="493">
        <f t="shared" si="6"/>
        <v>2570806.351</v>
      </c>
      <c r="AH1689" s="493">
        <f t="shared" si="4"/>
        <v>839150938857</v>
      </c>
    </row>
    <row r="1690">
      <c r="T1690" s="494" t="s">
        <v>622</v>
      </c>
      <c r="AB1690" s="489">
        <v>1688.0</v>
      </c>
      <c r="AC1690" s="490">
        <f t="shared" si="5"/>
        <v>839153509664</v>
      </c>
      <c r="AD1690" s="491">
        <f t="shared" si="1"/>
        <v>1500</v>
      </c>
      <c r="AE1690" s="492">
        <f t="shared" si="2"/>
        <v>0.009063325885</v>
      </c>
      <c r="AF1690" s="490">
        <f t="shared" si="3"/>
        <v>846759032889</v>
      </c>
      <c r="AG1690" s="493">
        <f t="shared" si="6"/>
        <v>2572306.351</v>
      </c>
      <c r="AH1690" s="493">
        <f t="shared" si="4"/>
        <v>846756460583</v>
      </c>
    </row>
    <row r="1691">
      <c r="T1691" s="494" t="s">
        <v>622</v>
      </c>
      <c r="AB1691" s="489">
        <v>1689.0</v>
      </c>
      <c r="AC1691" s="490">
        <f t="shared" si="5"/>
        <v>846759032889</v>
      </c>
      <c r="AD1691" s="491">
        <f t="shared" si="1"/>
        <v>1500</v>
      </c>
      <c r="AE1691" s="492">
        <f t="shared" si="2"/>
        <v>0.009063325885</v>
      </c>
      <c r="AF1691" s="490">
        <f t="shared" si="3"/>
        <v>854433487450</v>
      </c>
      <c r="AG1691" s="493">
        <f t="shared" si="6"/>
        <v>2573806.351</v>
      </c>
      <c r="AH1691" s="493">
        <f t="shared" si="4"/>
        <v>854430913644</v>
      </c>
    </row>
    <row r="1692">
      <c r="T1692" s="494" t="s">
        <v>622</v>
      </c>
      <c r="AB1692" s="489">
        <v>1690.0</v>
      </c>
      <c r="AC1692" s="490">
        <f t="shared" si="5"/>
        <v>854433487450</v>
      </c>
      <c r="AD1692" s="491">
        <f t="shared" si="1"/>
        <v>1500</v>
      </c>
      <c r="AE1692" s="492">
        <f t="shared" si="2"/>
        <v>0.009063325885</v>
      </c>
      <c r="AF1692" s="490">
        <f t="shared" si="3"/>
        <v>862177498094</v>
      </c>
      <c r="AG1692" s="493">
        <f t="shared" si="6"/>
        <v>2575306.351</v>
      </c>
      <c r="AH1692" s="493">
        <f t="shared" si="4"/>
        <v>862174922788</v>
      </c>
    </row>
    <row r="1693">
      <c r="T1693" s="494" t="s">
        <v>622</v>
      </c>
      <c r="AB1693" s="489">
        <v>1691.0</v>
      </c>
      <c r="AC1693" s="490">
        <f t="shared" si="5"/>
        <v>862177498094</v>
      </c>
      <c r="AD1693" s="491">
        <f t="shared" si="1"/>
        <v>1500</v>
      </c>
      <c r="AE1693" s="492">
        <f t="shared" si="2"/>
        <v>0.009063325885</v>
      </c>
      <c r="AF1693" s="490">
        <f t="shared" si="3"/>
        <v>869991695230</v>
      </c>
      <c r="AG1693" s="493">
        <f t="shared" si="6"/>
        <v>2576806.351</v>
      </c>
      <c r="AH1693" s="493">
        <f t="shared" si="4"/>
        <v>869989118424</v>
      </c>
    </row>
    <row r="1694">
      <c r="T1694" s="494" t="s">
        <v>622</v>
      </c>
      <c r="AB1694" s="489">
        <v>1692.0</v>
      </c>
      <c r="AC1694" s="490">
        <f t="shared" si="5"/>
        <v>869991695230</v>
      </c>
      <c r="AD1694" s="491">
        <f t="shared" si="1"/>
        <v>1500</v>
      </c>
      <c r="AE1694" s="492">
        <f t="shared" si="2"/>
        <v>0.009063325885</v>
      </c>
      <c r="AF1694" s="490">
        <f t="shared" si="3"/>
        <v>877876714982</v>
      </c>
      <c r="AG1694" s="493">
        <f t="shared" si="6"/>
        <v>2578306.351</v>
      </c>
      <c r="AH1694" s="493">
        <f t="shared" si="4"/>
        <v>877874136675</v>
      </c>
    </row>
    <row r="1695">
      <c r="T1695" s="494" t="s">
        <v>622</v>
      </c>
      <c r="AB1695" s="489">
        <v>1693.0</v>
      </c>
      <c r="AC1695" s="490">
        <f t="shared" si="5"/>
        <v>877876714982</v>
      </c>
      <c r="AD1695" s="491">
        <f t="shared" si="1"/>
        <v>1500</v>
      </c>
      <c r="AE1695" s="492">
        <f t="shared" si="2"/>
        <v>0.009063325885</v>
      </c>
      <c r="AF1695" s="490">
        <f t="shared" si="3"/>
        <v>885833199236</v>
      </c>
      <c r="AG1695" s="493">
        <f t="shared" si="6"/>
        <v>2579806.351</v>
      </c>
      <c r="AH1695" s="493">
        <f t="shared" si="4"/>
        <v>885830619430</v>
      </c>
    </row>
    <row r="1696">
      <c r="T1696" s="494" t="s">
        <v>622</v>
      </c>
      <c r="AB1696" s="489">
        <v>1694.0</v>
      </c>
      <c r="AC1696" s="490">
        <f t="shared" si="5"/>
        <v>885833199236</v>
      </c>
      <c r="AD1696" s="491">
        <f t="shared" si="1"/>
        <v>1500</v>
      </c>
      <c r="AE1696" s="492">
        <f t="shared" si="2"/>
        <v>0.009063325885</v>
      </c>
      <c r="AF1696" s="490">
        <f t="shared" si="3"/>
        <v>893861795701</v>
      </c>
      <c r="AG1696" s="493">
        <f t="shared" si="6"/>
        <v>2581306.351</v>
      </c>
      <c r="AH1696" s="493">
        <f t="shared" si="4"/>
        <v>893859214395</v>
      </c>
    </row>
    <row r="1697">
      <c r="T1697" s="494" t="s">
        <v>622</v>
      </c>
      <c r="AB1697" s="489">
        <v>1695.0</v>
      </c>
      <c r="AC1697" s="490">
        <f t="shared" si="5"/>
        <v>893861795701</v>
      </c>
      <c r="AD1697" s="491">
        <f t="shared" si="1"/>
        <v>1500</v>
      </c>
      <c r="AE1697" s="492">
        <f t="shared" si="2"/>
        <v>0.009063325885</v>
      </c>
      <c r="AF1697" s="490">
        <f t="shared" si="3"/>
        <v>901963157952</v>
      </c>
      <c r="AG1697" s="493">
        <f t="shared" si="6"/>
        <v>2582806.351</v>
      </c>
      <c r="AH1697" s="493">
        <f t="shared" si="4"/>
        <v>901960575145</v>
      </c>
    </row>
    <row r="1698">
      <c r="T1698" s="494" t="s">
        <v>622</v>
      </c>
      <c r="AB1698" s="489">
        <v>1696.0</v>
      </c>
      <c r="AC1698" s="490">
        <f t="shared" si="5"/>
        <v>901963157952</v>
      </c>
      <c r="AD1698" s="491">
        <f t="shared" si="1"/>
        <v>1500</v>
      </c>
      <c r="AE1698" s="492">
        <f t="shared" si="2"/>
        <v>0.009063325885</v>
      </c>
      <c r="AF1698" s="490">
        <f t="shared" si="3"/>
        <v>910137945488</v>
      </c>
      <c r="AG1698" s="493">
        <f t="shared" si="6"/>
        <v>2584306.351</v>
      </c>
      <c r="AH1698" s="493">
        <f t="shared" si="4"/>
        <v>910135361182</v>
      </c>
    </row>
    <row r="1699">
      <c r="T1699" s="494" t="s">
        <v>622</v>
      </c>
      <c r="AB1699" s="489">
        <v>1697.0</v>
      </c>
      <c r="AC1699" s="490">
        <f t="shared" si="5"/>
        <v>910137945488</v>
      </c>
      <c r="AD1699" s="491">
        <f t="shared" si="1"/>
        <v>1500</v>
      </c>
      <c r="AE1699" s="492">
        <f t="shared" si="2"/>
        <v>0.009063325885</v>
      </c>
      <c r="AF1699" s="490">
        <f t="shared" si="3"/>
        <v>918386823789</v>
      </c>
      <c r="AG1699" s="493">
        <f t="shared" si="6"/>
        <v>2585806.351</v>
      </c>
      <c r="AH1699" s="493">
        <f t="shared" si="4"/>
        <v>918384237983</v>
      </c>
    </row>
    <row r="1700">
      <c r="T1700" s="494" t="s">
        <v>622</v>
      </c>
      <c r="AB1700" s="489">
        <v>1698.0</v>
      </c>
      <c r="AC1700" s="490">
        <f t="shared" si="5"/>
        <v>918386823789</v>
      </c>
      <c r="AD1700" s="491">
        <f t="shared" si="1"/>
        <v>1500</v>
      </c>
      <c r="AE1700" s="492">
        <f t="shared" si="2"/>
        <v>0.009063325885</v>
      </c>
      <c r="AF1700" s="490">
        <f t="shared" si="3"/>
        <v>926710464361</v>
      </c>
      <c r="AG1700" s="493">
        <f t="shared" si="6"/>
        <v>2587306.351</v>
      </c>
      <c r="AH1700" s="493">
        <f t="shared" si="4"/>
        <v>926707877055</v>
      </c>
    </row>
    <row r="1701">
      <c r="T1701" s="494" t="s">
        <v>622</v>
      </c>
      <c r="AB1701" s="489">
        <v>1699.0</v>
      </c>
      <c r="AC1701" s="490">
        <f t="shared" si="5"/>
        <v>926710464361</v>
      </c>
      <c r="AD1701" s="491">
        <f t="shared" si="1"/>
        <v>1500</v>
      </c>
      <c r="AE1701" s="492">
        <f t="shared" si="2"/>
        <v>0.009063325885</v>
      </c>
      <c r="AF1701" s="490">
        <f t="shared" si="3"/>
        <v>935109544801</v>
      </c>
      <c r="AG1701" s="493">
        <f t="shared" si="6"/>
        <v>2588806.351</v>
      </c>
      <c r="AH1701" s="493">
        <f t="shared" si="4"/>
        <v>935106955995</v>
      </c>
    </row>
    <row r="1702">
      <c r="T1702" s="494" t="s">
        <v>622</v>
      </c>
      <c r="AB1702" s="489">
        <v>1700.0</v>
      </c>
      <c r="AC1702" s="490">
        <f t="shared" si="5"/>
        <v>935109544801</v>
      </c>
      <c r="AD1702" s="491">
        <f t="shared" si="1"/>
        <v>1500</v>
      </c>
      <c r="AE1702" s="492">
        <f t="shared" si="2"/>
        <v>0.009063325885</v>
      </c>
      <c r="AF1702" s="490">
        <f t="shared" si="3"/>
        <v>943584748844</v>
      </c>
      <c r="AG1702" s="493">
        <f t="shared" si="6"/>
        <v>2590306.351</v>
      </c>
      <c r="AH1702" s="493">
        <f t="shared" si="4"/>
        <v>943582158538</v>
      </c>
    </row>
    <row r="1703">
      <c r="T1703" s="494" t="s">
        <v>622</v>
      </c>
      <c r="AB1703" s="489">
        <v>1701.0</v>
      </c>
      <c r="AC1703" s="490">
        <f t="shared" si="5"/>
        <v>943584748844</v>
      </c>
      <c r="AD1703" s="491">
        <f t="shared" si="1"/>
        <v>1500</v>
      </c>
      <c r="AE1703" s="492">
        <f t="shared" si="2"/>
        <v>0.009063325885</v>
      </c>
      <c r="AF1703" s="490">
        <f t="shared" si="3"/>
        <v>952136766423</v>
      </c>
      <c r="AG1703" s="493">
        <f t="shared" si="6"/>
        <v>2591806.351</v>
      </c>
      <c r="AH1703" s="493">
        <f t="shared" si="4"/>
        <v>952134174617</v>
      </c>
    </row>
    <row r="1704">
      <c r="T1704" s="494" t="s">
        <v>622</v>
      </c>
      <c r="AB1704" s="489">
        <v>1702.0</v>
      </c>
      <c r="AC1704" s="490">
        <f t="shared" si="5"/>
        <v>952136766423</v>
      </c>
      <c r="AD1704" s="491">
        <f t="shared" si="1"/>
        <v>1500</v>
      </c>
      <c r="AE1704" s="492">
        <f t="shared" si="2"/>
        <v>0.009063325885</v>
      </c>
      <c r="AF1704" s="490">
        <f t="shared" si="3"/>
        <v>960766293724</v>
      </c>
      <c r="AG1704" s="493">
        <f t="shared" si="6"/>
        <v>2593306.351</v>
      </c>
      <c r="AH1704" s="493">
        <f t="shared" si="4"/>
        <v>960763700418</v>
      </c>
    </row>
    <row r="1705">
      <c r="T1705" s="494" t="s">
        <v>622</v>
      </c>
      <c r="AB1705" s="489">
        <v>1703.0</v>
      </c>
      <c r="AC1705" s="490">
        <f t="shared" si="5"/>
        <v>960766293724</v>
      </c>
      <c r="AD1705" s="491">
        <f t="shared" si="1"/>
        <v>1500</v>
      </c>
      <c r="AE1705" s="492">
        <f t="shared" si="2"/>
        <v>0.009063325885</v>
      </c>
      <c r="AF1705" s="490">
        <f t="shared" si="3"/>
        <v>969474033244</v>
      </c>
      <c r="AG1705" s="493">
        <f t="shared" si="6"/>
        <v>2594806.351</v>
      </c>
      <c r="AH1705" s="493">
        <f t="shared" si="4"/>
        <v>969471438437</v>
      </c>
    </row>
    <row r="1706">
      <c r="T1706" s="494" t="s">
        <v>622</v>
      </c>
      <c r="AB1706" s="489">
        <v>1704.0</v>
      </c>
      <c r="AC1706" s="490">
        <f t="shared" si="5"/>
        <v>969474033244</v>
      </c>
      <c r="AD1706" s="491">
        <f t="shared" si="1"/>
        <v>1500</v>
      </c>
      <c r="AE1706" s="492">
        <f t="shared" si="2"/>
        <v>0.009063325885</v>
      </c>
      <c r="AF1706" s="490">
        <f t="shared" si="3"/>
        <v>978260693844</v>
      </c>
      <c r="AG1706" s="493">
        <f t="shared" si="6"/>
        <v>2596306.351</v>
      </c>
      <c r="AH1706" s="493">
        <f t="shared" si="4"/>
        <v>978258097538</v>
      </c>
    </row>
    <row r="1707">
      <c r="T1707" s="494" t="s">
        <v>622</v>
      </c>
      <c r="AB1707" s="489">
        <v>1705.0</v>
      </c>
      <c r="AC1707" s="490">
        <f t="shared" si="5"/>
        <v>978260693844</v>
      </c>
      <c r="AD1707" s="491">
        <f t="shared" si="1"/>
        <v>1500</v>
      </c>
      <c r="AE1707" s="492">
        <f t="shared" si="2"/>
        <v>0.009063325885</v>
      </c>
      <c r="AF1707" s="490">
        <f t="shared" si="3"/>
        <v>987126990813</v>
      </c>
      <c r="AG1707" s="493">
        <f t="shared" si="6"/>
        <v>2597806.351</v>
      </c>
      <c r="AH1707" s="493">
        <f t="shared" si="4"/>
        <v>987124393007</v>
      </c>
    </row>
    <row r="1708">
      <c r="T1708" s="494" t="s">
        <v>622</v>
      </c>
      <c r="AB1708" s="489">
        <v>1706.0</v>
      </c>
      <c r="AC1708" s="490">
        <f t="shared" si="5"/>
        <v>987126990813</v>
      </c>
      <c r="AD1708" s="491">
        <f t="shared" si="1"/>
        <v>1500</v>
      </c>
      <c r="AE1708" s="492">
        <f t="shared" si="2"/>
        <v>0.009063325885</v>
      </c>
      <c r="AF1708" s="490">
        <f t="shared" si="3"/>
        <v>996073645921</v>
      </c>
      <c r="AG1708" s="493">
        <f t="shared" si="6"/>
        <v>2599306.351</v>
      </c>
      <c r="AH1708" s="493">
        <f t="shared" si="4"/>
        <v>996071046614</v>
      </c>
    </row>
    <row r="1709">
      <c r="T1709" s="494" t="s">
        <v>622</v>
      </c>
      <c r="AB1709" s="489">
        <v>1707.0</v>
      </c>
      <c r="AC1709" s="490">
        <f t="shared" si="5"/>
        <v>996073645921</v>
      </c>
      <c r="AD1709" s="491">
        <f t="shared" si="1"/>
        <v>1500</v>
      </c>
      <c r="AE1709" s="492">
        <f t="shared" si="2"/>
        <v>0.009063325885</v>
      </c>
      <c r="AF1709" s="490">
        <f t="shared" si="3"/>
        <v>1005101387479</v>
      </c>
      <c r="AG1709" s="493">
        <f t="shared" si="6"/>
        <v>2600806.351</v>
      </c>
      <c r="AH1709" s="493">
        <f t="shared" si="4"/>
        <v>1005098786673</v>
      </c>
    </row>
    <row r="1710">
      <c r="T1710" s="494" t="s">
        <v>622</v>
      </c>
      <c r="AB1710" s="489">
        <v>1708.0</v>
      </c>
      <c r="AC1710" s="490">
        <f t="shared" si="5"/>
        <v>1005101387479</v>
      </c>
      <c r="AD1710" s="491">
        <f t="shared" si="1"/>
        <v>1500</v>
      </c>
      <c r="AE1710" s="492">
        <f t="shared" si="2"/>
        <v>0.009063325885</v>
      </c>
      <c r="AF1710" s="490">
        <f t="shared" si="3"/>
        <v>1014210950401</v>
      </c>
      <c r="AG1710" s="493">
        <f t="shared" si="6"/>
        <v>2602306.351</v>
      </c>
      <c r="AH1710" s="493">
        <f t="shared" si="4"/>
        <v>1014208348095</v>
      </c>
    </row>
    <row r="1711">
      <c r="T1711" s="494" t="s">
        <v>622</v>
      </c>
      <c r="AB1711" s="489">
        <v>1709.0</v>
      </c>
      <c r="AC1711" s="490">
        <f t="shared" si="5"/>
        <v>1014210950401</v>
      </c>
      <c r="AD1711" s="491">
        <f t="shared" si="1"/>
        <v>1500</v>
      </c>
      <c r="AE1711" s="492">
        <f t="shared" si="2"/>
        <v>0.009063325885</v>
      </c>
      <c r="AF1711" s="490">
        <f t="shared" si="3"/>
        <v>1023403076261</v>
      </c>
      <c r="AG1711" s="493">
        <f t="shared" si="6"/>
        <v>2603806.351</v>
      </c>
      <c r="AH1711" s="493">
        <f t="shared" si="4"/>
        <v>1023400472455</v>
      </c>
    </row>
    <row r="1712">
      <c r="T1712" s="494" t="s">
        <v>622</v>
      </c>
      <c r="AB1712" s="489">
        <v>1710.0</v>
      </c>
      <c r="AC1712" s="490">
        <f t="shared" si="5"/>
        <v>1023403076261</v>
      </c>
      <c r="AD1712" s="491">
        <f t="shared" si="1"/>
        <v>1500</v>
      </c>
      <c r="AE1712" s="492">
        <f t="shared" si="2"/>
        <v>0.009063325885</v>
      </c>
      <c r="AF1712" s="490">
        <f t="shared" si="3"/>
        <v>1032678513353</v>
      </c>
      <c r="AG1712" s="493">
        <f t="shared" si="6"/>
        <v>2605306.351</v>
      </c>
      <c r="AH1712" s="493">
        <f t="shared" si="4"/>
        <v>1032675908047</v>
      </c>
    </row>
    <row r="1713">
      <c r="T1713" s="494" t="s">
        <v>622</v>
      </c>
      <c r="AB1713" s="489">
        <v>1711.0</v>
      </c>
      <c r="AC1713" s="490">
        <f t="shared" si="5"/>
        <v>1032678513353</v>
      </c>
      <c r="AD1713" s="491">
        <f t="shared" si="1"/>
        <v>1500</v>
      </c>
      <c r="AE1713" s="492">
        <f t="shared" si="2"/>
        <v>0.009063325885</v>
      </c>
      <c r="AF1713" s="490">
        <f t="shared" si="3"/>
        <v>1042038016754</v>
      </c>
      <c r="AG1713" s="493">
        <f t="shared" si="6"/>
        <v>2606806.351</v>
      </c>
      <c r="AH1713" s="493">
        <f t="shared" si="4"/>
        <v>1042035409948</v>
      </c>
    </row>
    <row r="1714">
      <c r="T1714" s="494" t="s">
        <v>622</v>
      </c>
      <c r="AB1714" s="489">
        <v>1712.0</v>
      </c>
      <c r="AC1714" s="490">
        <f t="shared" si="5"/>
        <v>1042038016754</v>
      </c>
      <c r="AD1714" s="491">
        <f t="shared" si="1"/>
        <v>1500</v>
      </c>
      <c r="AE1714" s="492">
        <f t="shared" si="2"/>
        <v>0.009063325885</v>
      </c>
      <c r="AF1714" s="490">
        <f t="shared" si="3"/>
        <v>1051482348385</v>
      </c>
      <c r="AG1714" s="493">
        <f t="shared" si="6"/>
        <v>2608306.351</v>
      </c>
      <c r="AH1714" s="493">
        <f t="shared" si="4"/>
        <v>1051479740078</v>
      </c>
    </row>
    <row r="1715">
      <c r="T1715" s="494" t="s">
        <v>622</v>
      </c>
      <c r="AB1715" s="489">
        <v>1713.0</v>
      </c>
      <c r="AC1715" s="490">
        <f t="shared" si="5"/>
        <v>1051482348385</v>
      </c>
      <c r="AD1715" s="491">
        <f t="shared" si="1"/>
        <v>1500</v>
      </c>
      <c r="AE1715" s="492">
        <f t="shared" si="2"/>
        <v>0.009063325885</v>
      </c>
      <c r="AF1715" s="490">
        <f t="shared" si="3"/>
        <v>1061012277071</v>
      </c>
      <c r="AG1715" s="493">
        <f t="shared" si="6"/>
        <v>2609806.351</v>
      </c>
      <c r="AH1715" s="493">
        <f t="shared" si="4"/>
        <v>1061009667264</v>
      </c>
    </row>
    <row r="1716">
      <c r="T1716" s="494" t="s">
        <v>622</v>
      </c>
      <c r="AB1716" s="489">
        <v>1714.0</v>
      </c>
      <c r="AC1716" s="490">
        <f t="shared" si="5"/>
        <v>1061012277071</v>
      </c>
      <c r="AD1716" s="491">
        <f t="shared" si="1"/>
        <v>1500</v>
      </c>
      <c r="AE1716" s="492">
        <f t="shared" si="2"/>
        <v>0.009063325885</v>
      </c>
      <c r="AF1716" s="490">
        <f t="shared" si="3"/>
        <v>1070628578606</v>
      </c>
      <c r="AG1716" s="493">
        <f t="shared" si="6"/>
        <v>2611306.351</v>
      </c>
      <c r="AH1716" s="493">
        <f t="shared" si="4"/>
        <v>1070625967299</v>
      </c>
    </row>
    <row r="1717">
      <c r="T1717" s="494" t="s">
        <v>622</v>
      </c>
      <c r="AB1717" s="489">
        <v>1715.0</v>
      </c>
      <c r="AC1717" s="490">
        <f t="shared" si="5"/>
        <v>1070628578606</v>
      </c>
      <c r="AD1717" s="491">
        <f t="shared" si="1"/>
        <v>1500</v>
      </c>
      <c r="AE1717" s="492">
        <f t="shared" si="2"/>
        <v>0.009063325885</v>
      </c>
      <c r="AF1717" s="490">
        <f t="shared" si="3"/>
        <v>1080332035816</v>
      </c>
      <c r="AG1717" s="493">
        <f t="shared" si="6"/>
        <v>2612806.351</v>
      </c>
      <c r="AH1717" s="493">
        <f t="shared" si="4"/>
        <v>1080329423009</v>
      </c>
    </row>
    <row r="1718">
      <c r="T1718" s="494" t="s">
        <v>622</v>
      </c>
      <c r="AB1718" s="489">
        <v>1716.0</v>
      </c>
      <c r="AC1718" s="490">
        <f t="shared" si="5"/>
        <v>1080332035816</v>
      </c>
      <c r="AD1718" s="491">
        <f t="shared" si="1"/>
        <v>1500</v>
      </c>
      <c r="AE1718" s="492">
        <f t="shared" si="2"/>
        <v>0.009063325885</v>
      </c>
      <c r="AF1718" s="490">
        <f t="shared" si="3"/>
        <v>1090123438620</v>
      </c>
      <c r="AG1718" s="493">
        <f t="shared" si="6"/>
        <v>2614306.351</v>
      </c>
      <c r="AH1718" s="493">
        <f t="shared" si="4"/>
        <v>1090120824314</v>
      </c>
    </row>
    <row r="1719">
      <c r="T1719" s="494" t="s">
        <v>622</v>
      </c>
      <c r="AB1719" s="489">
        <v>1717.0</v>
      </c>
      <c r="AC1719" s="490">
        <f t="shared" si="5"/>
        <v>1090123438620</v>
      </c>
      <c r="AD1719" s="491">
        <f t="shared" si="1"/>
        <v>1500</v>
      </c>
      <c r="AE1719" s="492">
        <f t="shared" si="2"/>
        <v>0.009063325885</v>
      </c>
      <c r="AF1719" s="490">
        <f t="shared" si="3"/>
        <v>1100003584099</v>
      </c>
      <c r="AG1719" s="493">
        <f t="shared" si="6"/>
        <v>2615806.351</v>
      </c>
      <c r="AH1719" s="493">
        <f t="shared" si="4"/>
        <v>1100000968293</v>
      </c>
    </row>
    <row r="1720">
      <c r="T1720" s="494" t="s">
        <v>622</v>
      </c>
      <c r="AB1720" s="489">
        <v>1718.0</v>
      </c>
      <c r="AC1720" s="490">
        <f t="shared" si="5"/>
        <v>1100003584099</v>
      </c>
      <c r="AD1720" s="491">
        <f t="shared" si="1"/>
        <v>1500</v>
      </c>
      <c r="AE1720" s="492">
        <f t="shared" si="2"/>
        <v>0.009063325885</v>
      </c>
      <c r="AF1720" s="490">
        <f t="shared" si="3"/>
        <v>1109973276557</v>
      </c>
      <c r="AG1720" s="493">
        <f t="shared" si="6"/>
        <v>2617306.351</v>
      </c>
      <c r="AH1720" s="493">
        <f t="shared" si="4"/>
        <v>1109970659251</v>
      </c>
    </row>
    <row r="1721">
      <c r="T1721" s="494" t="s">
        <v>622</v>
      </c>
      <c r="AB1721" s="489">
        <v>1719.0</v>
      </c>
      <c r="AC1721" s="490">
        <f t="shared" si="5"/>
        <v>1109973276557</v>
      </c>
      <c r="AD1721" s="491">
        <f t="shared" si="1"/>
        <v>1500</v>
      </c>
      <c r="AE1721" s="492">
        <f t="shared" si="2"/>
        <v>0.009063325885</v>
      </c>
      <c r="AF1721" s="490">
        <f t="shared" si="3"/>
        <v>1120033327586</v>
      </c>
      <c r="AG1721" s="493">
        <f t="shared" si="6"/>
        <v>2618806.351</v>
      </c>
      <c r="AH1721" s="493">
        <f t="shared" si="4"/>
        <v>1120030708780</v>
      </c>
    </row>
    <row r="1722">
      <c r="T1722" s="494" t="s">
        <v>622</v>
      </c>
      <c r="AB1722" s="489">
        <v>1720.0</v>
      </c>
      <c r="AC1722" s="490">
        <f t="shared" si="5"/>
        <v>1120033327586</v>
      </c>
      <c r="AD1722" s="491">
        <f t="shared" si="1"/>
        <v>1500</v>
      </c>
      <c r="AE1722" s="492">
        <f t="shared" si="2"/>
        <v>0.009063325885</v>
      </c>
      <c r="AF1722" s="490">
        <f t="shared" si="3"/>
        <v>1130184556136</v>
      </c>
      <c r="AG1722" s="493">
        <f t="shared" si="6"/>
        <v>2620306.351</v>
      </c>
      <c r="AH1722" s="493">
        <f t="shared" si="4"/>
        <v>1130181935830</v>
      </c>
    </row>
    <row r="1723">
      <c r="T1723" s="494" t="s">
        <v>622</v>
      </c>
      <c r="AB1723" s="489">
        <v>1721.0</v>
      </c>
      <c r="AC1723" s="490">
        <f t="shared" si="5"/>
        <v>1130184556136</v>
      </c>
      <c r="AD1723" s="491">
        <f t="shared" si="1"/>
        <v>1500</v>
      </c>
      <c r="AE1723" s="492">
        <f t="shared" si="2"/>
        <v>0.009063325885</v>
      </c>
      <c r="AF1723" s="490">
        <f t="shared" si="3"/>
        <v>1140427788579</v>
      </c>
      <c r="AG1723" s="493">
        <f t="shared" si="6"/>
        <v>2621806.351</v>
      </c>
      <c r="AH1723" s="493">
        <f t="shared" si="4"/>
        <v>1140425166772</v>
      </c>
    </row>
    <row r="1724">
      <c r="T1724" s="494" t="s">
        <v>622</v>
      </c>
      <c r="AB1724" s="489">
        <v>1722.0</v>
      </c>
      <c r="AC1724" s="490">
        <f t="shared" si="5"/>
        <v>1140427788579</v>
      </c>
      <c r="AD1724" s="491">
        <f t="shared" si="1"/>
        <v>1500</v>
      </c>
      <c r="AE1724" s="492">
        <f t="shared" si="2"/>
        <v>0.009063325885</v>
      </c>
      <c r="AF1724" s="490">
        <f t="shared" si="3"/>
        <v>1150763858775</v>
      </c>
      <c r="AG1724" s="493">
        <f t="shared" si="6"/>
        <v>2623306.351</v>
      </c>
      <c r="AH1724" s="493">
        <f t="shared" si="4"/>
        <v>1150761235469</v>
      </c>
    </row>
    <row r="1725">
      <c r="T1725" s="494" t="s">
        <v>622</v>
      </c>
      <c r="AB1725" s="489">
        <v>1723.0</v>
      </c>
      <c r="AC1725" s="490">
        <f t="shared" si="5"/>
        <v>1150763858775</v>
      </c>
      <c r="AD1725" s="491">
        <f t="shared" si="1"/>
        <v>1500</v>
      </c>
      <c r="AE1725" s="492">
        <f t="shared" si="2"/>
        <v>0.009063325885</v>
      </c>
      <c r="AF1725" s="490">
        <f t="shared" si="3"/>
        <v>1161193608144</v>
      </c>
      <c r="AG1725" s="493">
        <f t="shared" si="6"/>
        <v>2624806.351</v>
      </c>
      <c r="AH1725" s="493">
        <f t="shared" si="4"/>
        <v>1161190983338</v>
      </c>
    </row>
    <row r="1726">
      <c r="T1726" s="494" t="s">
        <v>622</v>
      </c>
      <c r="AB1726" s="489">
        <v>1724.0</v>
      </c>
      <c r="AC1726" s="490">
        <f t="shared" si="5"/>
        <v>1161193608144</v>
      </c>
      <c r="AD1726" s="491">
        <f t="shared" si="1"/>
        <v>1500</v>
      </c>
      <c r="AE1726" s="492">
        <f t="shared" si="2"/>
        <v>0.009063325885</v>
      </c>
      <c r="AF1726" s="490">
        <f t="shared" si="3"/>
        <v>1171717885730</v>
      </c>
      <c r="AG1726" s="493">
        <f t="shared" si="6"/>
        <v>2626306.351</v>
      </c>
      <c r="AH1726" s="493">
        <f t="shared" si="4"/>
        <v>1171715259424</v>
      </c>
    </row>
    <row r="1727">
      <c r="T1727" s="494" t="s">
        <v>622</v>
      </c>
      <c r="AB1727" s="489">
        <v>1725.0</v>
      </c>
      <c r="AC1727" s="490">
        <f t="shared" si="5"/>
        <v>1171717885730</v>
      </c>
      <c r="AD1727" s="491">
        <f t="shared" si="1"/>
        <v>1500</v>
      </c>
      <c r="AE1727" s="492">
        <f t="shared" si="2"/>
        <v>0.009063325885</v>
      </c>
      <c r="AF1727" s="490">
        <f t="shared" si="3"/>
        <v>1182337548274</v>
      </c>
      <c r="AG1727" s="493">
        <f t="shared" si="6"/>
        <v>2627806.351</v>
      </c>
      <c r="AH1727" s="493">
        <f t="shared" si="4"/>
        <v>1182334920468</v>
      </c>
    </row>
    <row r="1728">
      <c r="T1728" s="494" t="s">
        <v>622</v>
      </c>
      <c r="AB1728" s="489">
        <v>1726.0</v>
      </c>
      <c r="AC1728" s="490">
        <f t="shared" si="5"/>
        <v>1182337548274</v>
      </c>
      <c r="AD1728" s="491">
        <f t="shared" si="1"/>
        <v>1500</v>
      </c>
      <c r="AE1728" s="492">
        <f t="shared" si="2"/>
        <v>0.009063325885</v>
      </c>
      <c r="AF1728" s="490">
        <f t="shared" si="3"/>
        <v>1193053460280</v>
      </c>
      <c r="AG1728" s="493">
        <f t="shared" si="6"/>
        <v>2629306.351</v>
      </c>
      <c r="AH1728" s="493">
        <f t="shared" si="4"/>
        <v>1193050830974</v>
      </c>
    </row>
    <row r="1729">
      <c r="T1729" s="494" t="s">
        <v>622</v>
      </c>
      <c r="AB1729" s="489">
        <v>1727.0</v>
      </c>
      <c r="AC1729" s="490">
        <f t="shared" si="5"/>
        <v>1193053460280</v>
      </c>
      <c r="AD1729" s="491">
        <f t="shared" si="1"/>
        <v>1500</v>
      </c>
      <c r="AE1729" s="492">
        <f t="shared" si="2"/>
        <v>0.009063325885</v>
      </c>
      <c r="AF1729" s="490">
        <f t="shared" si="3"/>
        <v>1203866494089</v>
      </c>
      <c r="AG1729" s="493">
        <f t="shared" si="6"/>
        <v>2630806.351</v>
      </c>
      <c r="AH1729" s="493">
        <f t="shared" si="4"/>
        <v>1203863863283</v>
      </c>
    </row>
    <row r="1730">
      <c r="T1730" s="494" t="s">
        <v>622</v>
      </c>
      <c r="AB1730" s="489">
        <v>1728.0</v>
      </c>
      <c r="AC1730" s="490">
        <f t="shared" si="5"/>
        <v>1203866494089</v>
      </c>
      <c r="AD1730" s="491">
        <f t="shared" si="1"/>
        <v>1500</v>
      </c>
      <c r="AE1730" s="492">
        <f t="shared" si="2"/>
        <v>0.009063325885</v>
      </c>
      <c r="AF1730" s="490">
        <f t="shared" si="3"/>
        <v>1214777529947</v>
      </c>
      <c r="AG1730" s="493">
        <f t="shared" si="6"/>
        <v>2632306.351</v>
      </c>
      <c r="AH1730" s="493">
        <f t="shared" si="4"/>
        <v>1214774897641</v>
      </c>
    </row>
    <row r="1731">
      <c r="T1731" s="494" t="s">
        <v>622</v>
      </c>
      <c r="AB1731" s="489">
        <v>1729.0</v>
      </c>
      <c r="AC1731" s="490">
        <f t="shared" si="5"/>
        <v>1214777529947</v>
      </c>
      <c r="AD1731" s="491">
        <f t="shared" si="1"/>
        <v>1500</v>
      </c>
      <c r="AE1731" s="492">
        <f t="shared" si="2"/>
        <v>0.009063325885</v>
      </c>
      <c r="AF1731" s="490">
        <f t="shared" si="3"/>
        <v>1225787456079</v>
      </c>
      <c r="AG1731" s="493">
        <f t="shared" si="6"/>
        <v>2633806.351</v>
      </c>
      <c r="AH1731" s="493">
        <f t="shared" si="4"/>
        <v>1225784822273</v>
      </c>
    </row>
    <row r="1732">
      <c r="T1732" s="494" t="s">
        <v>622</v>
      </c>
      <c r="AB1732" s="489">
        <v>1730.0</v>
      </c>
      <c r="AC1732" s="490">
        <f t="shared" si="5"/>
        <v>1225787456079</v>
      </c>
      <c r="AD1732" s="491">
        <f t="shared" si="1"/>
        <v>1500</v>
      </c>
      <c r="AE1732" s="492">
        <f t="shared" si="2"/>
        <v>0.009063325885</v>
      </c>
      <c r="AF1732" s="490">
        <f t="shared" si="3"/>
        <v>1236897168759</v>
      </c>
      <c r="AG1732" s="493">
        <f t="shared" si="6"/>
        <v>2635306.351</v>
      </c>
      <c r="AH1732" s="493">
        <f t="shared" si="4"/>
        <v>1236894533453</v>
      </c>
    </row>
    <row r="1733">
      <c r="T1733" s="494" t="s">
        <v>622</v>
      </c>
      <c r="AB1733" s="489">
        <v>1731.0</v>
      </c>
      <c r="AC1733" s="490">
        <f t="shared" si="5"/>
        <v>1236897168759</v>
      </c>
      <c r="AD1733" s="491">
        <f t="shared" si="1"/>
        <v>1500</v>
      </c>
      <c r="AE1733" s="492">
        <f t="shared" si="2"/>
        <v>0.009063325885</v>
      </c>
      <c r="AF1733" s="490">
        <f t="shared" si="3"/>
        <v>1248107572386</v>
      </c>
      <c r="AG1733" s="493">
        <f t="shared" si="6"/>
        <v>2636806.351</v>
      </c>
      <c r="AH1733" s="493">
        <f t="shared" si="4"/>
        <v>1248104935580</v>
      </c>
    </row>
    <row r="1734">
      <c r="T1734" s="494" t="s">
        <v>622</v>
      </c>
      <c r="AB1734" s="489">
        <v>1732.0</v>
      </c>
      <c r="AC1734" s="490">
        <f t="shared" si="5"/>
        <v>1248107572386</v>
      </c>
      <c r="AD1734" s="491">
        <f t="shared" si="1"/>
        <v>1500</v>
      </c>
      <c r="AE1734" s="492">
        <f t="shared" si="2"/>
        <v>0.009063325885</v>
      </c>
      <c r="AF1734" s="490">
        <f t="shared" si="3"/>
        <v>1259419579554</v>
      </c>
      <c r="AG1734" s="493">
        <f t="shared" si="6"/>
        <v>2638306.351</v>
      </c>
      <c r="AH1734" s="493">
        <f t="shared" si="4"/>
        <v>1259416941248</v>
      </c>
    </row>
    <row r="1735">
      <c r="T1735" s="494" t="s">
        <v>622</v>
      </c>
      <c r="AB1735" s="489">
        <v>1733.0</v>
      </c>
      <c r="AC1735" s="490">
        <f t="shared" si="5"/>
        <v>1259419579554</v>
      </c>
      <c r="AD1735" s="491">
        <f t="shared" si="1"/>
        <v>1500</v>
      </c>
      <c r="AE1735" s="492">
        <f t="shared" si="2"/>
        <v>0.009063325885</v>
      </c>
      <c r="AF1735" s="490">
        <f t="shared" si="3"/>
        <v>1270834111130</v>
      </c>
      <c r="AG1735" s="493">
        <f t="shared" si="6"/>
        <v>2639806.351</v>
      </c>
      <c r="AH1735" s="493">
        <f t="shared" si="4"/>
        <v>1270831471323</v>
      </c>
    </row>
    <row r="1736">
      <c r="T1736" s="494" t="s">
        <v>622</v>
      </c>
      <c r="AB1736" s="489">
        <v>1734.0</v>
      </c>
      <c r="AC1736" s="490">
        <f t="shared" si="5"/>
        <v>1270834111130</v>
      </c>
      <c r="AD1736" s="491">
        <f t="shared" si="1"/>
        <v>1500</v>
      </c>
      <c r="AE1736" s="492">
        <f t="shared" si="2"/>
        <v>0.009063325885</v>
      </c>
      <c r="AF1736" s="490">
        <f t="shared" si="3"/>
        <v>1282352096325</v>
      </c>
      <c r="AG1736" s="493">
        <f t="shared" si="6"/>
        <v>2641306.351</v>
      </c>
      <c r="AH1736" s="493">
        <f t="shared" si="4"/>
        <v>1282349455019</v>
      </c>
    </row>
    <row r="1737">
      <c r="T1737" s="494" t="s">
        <v>622</v>
      </c>
      <c r="AB1737" s="489">
        <v>1735.0</v>
      </c>
      <c r="AC1737" s="490">
        <f t="shared" si="5"/>
        <v>1282352096325</v>
      </c>
      <c r="AD1737" s="491">
        <f t="shared" si="1"/>
        <v>1500</v>
      </c>
      <c r="AE1737" s="492">
        <f t="shared" si="2"/>
        <v>0.009063325885</v>
      </c>
      <c r="AF1737" s="490">
        <f t="shared" si="3"/>
        <v>1293974472773</v>
      </c>
      <c r="AG1737" s="493">
        <f t="shared" si="6"/>
        <v>2642806.351</v>
      </c>
      <c r="AH1737" s="493">
        <f t="shared" si="4"/>
        <v>1293971829967</v>
      </c>
    </row>
    <row r="1738">
      <c r="T1738" s="494" t="s">
        <v>622</v>
      </c>
      <c r="AB1738" s="489">
        <v>1736.0</v>
      </c>
      <c r="AC1738" s="490">
        <f t="shared" si="5"/>
        <v>1293974472773</v>
      </c>
      <c r="AD1738" s="491">
        <f t="shared" si="1"/>
        <v>1500</v>
      </c>
      <c r="AE1738" s="492">
        <f t="shared" si="2"/>
        <v>0.009063325885</v>
      </c>
      <c r="AF1738" s="490">
        <f t="shared" si="3"/>
        <v>1305702186607</v>
      </c>
      <c r="AG1738" s="493">
        <f t="shared" si="6"/>
        <v>2644306.351</v>
      </c>
      <c r="AH1738" s="493">
        <f t="shared" si="4"/>
        <v>1305699542301</v>
      </c>
    </row>
    <row r="1739">
      <c r="T1739" s="494" t="s">
        <v>622</v>
      </c>
      <c r="AB1739" s="489">
        <v>1737.0</v>
      </c>
      <c r="AC1739" s="490">
        <f t="shared" si="5"/>
        <v>1305702186607</v>
      </c>
      <c r="AD1739" s="491">
        <f t="shared" si="1"/>
        <v>1500</v>
      </c>
      <c r="AE1739" s="492">
        <f t="shared" si="2"/>
        <v>0.009063325885</v>
      </c>
      <c r="AF1739" s="490">
        <f t="shared" si="3"/>
        <v>1317536192533</v>
      </c>
      <c r="AG1739" s="493">
        <f t="shared" si="6"/>
        <v>2645806.351</v>
      </c>
      <c r="AH1739" s="493">
        <f t="shared" si="4"/>
        <v>1317533546727</v>
      </c>
    </row>
    <row r="1740">
      <c r="T1740" s="494" t="s">
        <v>622</v>
      </c>
      <c r="AB1740" s="489">
        <v>1738.0</v>
      </c>
      <c r="AC1740" s="490">
        <f t="shared" si="5"/>
        <v>1317536192533</v>
      </c>
      <c r="AD1740" s="491">
        <f t="shared" si="1"/>
        <v>1500</v>
      </c>
      <c r="AE1740" s="492">
        <f t="shared" si="2"/>
        <v>0.009063325885</v>
      </c>
      <c r="AF1740" s="490">
        <f t="shared" si="3"/>
        <v>1329477453912</v>
      </c>
      <c r="AG1740" s="493">
        <f t="shared" si="6"/>
        <v>2647306.351</v>
      </c>
      <c r="AH1740" s="493">
        <f t="shared" si="4"/>
        <v>1329474806605</v>
      </c>
    </row>
    <row r="1741">
      <c r="T1741" s="494" t="s">
        <v>622</v>
      </c>
      <c r="AB1741" s="489">
        <v>1739.0</v>
      </c>
      <c r="AC1741" s="490">
        <f t="shared" si="5"/>
        <v>1329477453912</v>
      </c>
      <c r="AD1741" s="491">
        <f t="shared" si="1"/>
        <v>1500</v>
      </c>
      <c r="AE1741" s="492">
        <f t="shared" si="2"/>
        <v>0.009063325885</v>
      </c>
      <c r="AF1741" s="490">
        <f t="shared" si="3"/>
        <v>1341526942833</v>
      </c>
      <c r="AG1741" s="493">
        <f t="shared" si="6"/>
        <v>2648806.351</v>
      </c>
      <c r="AH1741" s="493">
        <f t="shared" si="4"/>
        <v>1341524294027</v>
      </c>
    </row>
    <row r="1742">
      <c r="T1742" s="494" t="s">
        <v>622</v>
      </c>
      <c r="AB1742" s="489">
        <v>1740.0</v>
      </c>
      <c r="AC1742" s="490">
        <f t="shared" si="5"/>
        <v>1341526942833</v>
      </c>
      <c r="AD1742" s="491">
        <f t="shared" si="1"/>
        <v>1500</v>
      </c>
      <c r="AE1742" s="492">
        <f t="shared" si="2"/>
        <v>0.009063325885</v>
      </c>
      <c r="AF1742" s="490">
        <f t="shared" si="3"/>
        <v>1353685640200</v>
      </c>
      <c r="AG1742" s="493">
        <f t="shared" si="6"/>
        <v>2650306.351</v>
      </c>
      <c r="AH1742" s="493">
        <f t="shared" si="4"/>
        <v>1353682989893</v>
      </c>
    </row>
    <row r="1743">
      <c r="T1743" s="494" t="s">
        <v>622</v>
      </c>
      <c r="AB1743" s="489">
        <v>1741.0</v>
      </c>
      <c r="AC1743" s="490">
        <f t="shared" si="5"/>
        <v>1353685640200</v>
      </c>
      <c r="AD1743" s="491">
        <f t="shared" si="1"/>
        <v>1500</v>
      </c>
      <c r="AE1743" s="492">
        <f t="shared" si="2"/>
        <v>0.009063325885</v>
      </c>
      <c r="AF1743" s="490">
        <f t="shared" si="3"/>
        <v>1365954535803</v>
      </c>
      <c r="AG1743" s="493">
        <f t="shared" si="6"/>
        <v>2651806.351</v>
      </c>
      <c r="AH1743" s="493">
        <f t="shared" si="4"/>
        <v>1365951883997</v>
      </c>
    </row>
    <row r="1744">
      <c r="T1744" s="494" t="s">
        <v>622</v>
      </c>
      <c r="AB1744" s="489">
        <v>1742.0</v>
      </c>
      <c r="AC1744" s="490">
        <f t="shared" si="5"/>
        <v>1365954535803</v>
      </c>
      <c r="AD1744" s="491">
        <f t="shared" si="1"/>
        <v>1500</v>
      </c>
      <c r="AE1744" s="492">
        <f t="shared" si="2"/>
        <v>0.009063325885</v>
      </c>
      <c r="AF1744" s="490">
        <f t="shared" si="3"/>
        <v>1378334628405</v>
      </c>
      <c r="AG1744" s="493">
        <f t="shared" si="6"/>
        <v>2653306.351</v>
      </c>
      <c r="AH1744" s="493">
        <f t="shared" si="4"/>
        <v>1378331975099</v>
      </c>
    </row>
    <row r="1745">
      <c r="T1745" s="494" t="s">
        <v>622</v>
      </c>
      <c r="AB1745" s="489">
        <v>1743.0</v>
      </c>
      <c r="AC1745" s="490">
        <f t="shared" si="5"/>
        <v>1378334628405</v>
      </c>
      <c r="AD1745" s="491">
        <f t="shared" si="1"/>
        <v>1500</v>
      </c>
      <c r="AE1745" s="492">
        <f t="shared" si="2"/>
        <v>0.009063325885</v>
      </c>
      <c r="AF1745" s="490">
        <f t="shared" si="3"/>
        <v>1390826925821</v>
      </c>
      <c r="AG1745" s="493">
        <f t="shared" si="6"/>
        <v>2654806.351</v>
      </c>
      <c r="AH1745" s="493">
        <f t="shared" si="4"/>
        <v>1390824271015</v>
      </c>
    </row>
    <row r="1746">
      <c r="T1746" s="494" t="s">
        <v>622</v>
      </c>
      <c r="AB1746" s="489">
        <v>1744.0</v>
      </c>
      <c r="AC1746" s="490">
        <f t="shared" si="5"/>
        <v>1390826925821</v>
      </c>
      <c r="AD1746" s="491">
        <f t="shared" si="1"/>
        <v>1500</v>
      </c>
      <c r="AE1746" s="492">
        <f t="shared" si="2"/>
        <v>0.009063325885</v>
      </c>
      <c r="AF1746" s="490">
        <f t="shared" si="3"/>
        <v>1403432445000</v>
      </c>
      <c r="AG1746" s="493">
        <f t="shared" si="6"/>
        <v>2656306.351</v>
      </c>
      <c r="AH1746" s="493">
        <f t="shared" si="4"/>
        <v>1403429788693</v>
      </c>
    </row>
    <row r="1747">
      <c r="T1747" s="494" t="s">
        <v>622</v>
      </c>
      <c r="AB1747" s="489">
        <v>1745.0</v>
      </c>
      <c r="AC1747" s="490">
        <f t="shared" si="5"/>
        <v>1403432445000</v>
      </c>
      <c r="AD1747" s="491">
        <f t="shared" si="1"/>
        <v>1500</v>
      </c>
      <c r="AE1747" s="492">
        <f t="shared" si="2"/>
        <v>0.009063325885</v>
      </c>
      <c r="AF1747" s="490">
        <f t="shared" si="3"/>
        <v>1416152212106</v>
      </c>
      <c r="AG1747" s="493">
        <f t="shared" si="6"/>
        <v>2657806.351</v>
      </c>
      <c r="AH1747" s="493">
        <f t="shared" si="4"/>
        <v>1416149554300</v>
      </c>
    </row>
    <row r="1748">
      <c r="T1748" s="494" t="s">
        <v>622</v>
      </c>
      <c r="AB1748" s="489">
        <v>1746.0</v>
      </c>
      <c r="AC1748" s="490">
        <f t="shared" si="5"/>
        <v>1416152212106</v>
      </c>
      <c r="AD1748" s="491">
        <f t="shared" si="1"/>
        <v>1500</v>
      </c>
      <c r="AE1748" s="492">
        <f t="shared" si="2"/>
        <v>0.009063325885</v>
      </c>
      <c r="AF1748" s="490">
        <f t="shared" si="3"/>
        <v>1428987262608</v>
      </c>
      <c r="AG1748" s="493">
        <f t="shared" si="6"/>
        <v>2659306.351</v>
      </c>
      <c r="AH1748" s="493">
        <f t="shared" si="4"/>
        <v>1428984603301</v>
      </c>
    </row>
    <row r="1749">
      <c r="T1749" s="494" t="s">
        <v>622</v>
      </c>
      <c r="AB1749" s="489">
        <v>1747.0</v>
      </c>
      <c r="AC1749" s="490">
        <f t="shared" si="5"/>
        <v>1428987262608</v>
      </c>
      <c r="AD1749" s="491">
        <f t="shared" si="1"/>
        <v>1500</v>
      </c>
      <c r="AE1749" s="492">
        <f t="shared" si="2"/>
        <v>0.009063325885</v>
      </c>
      <c r="AF1749" s="490">
        <f t="shared" si="3"/>
        <v>1441938641354</v>
      </c>
      <c r="AG1749" s="493">
        <f t="shared" si="6"/>
        <v>2660806.351</v>
      </c>
      <c r="AH1749" s="493">
        <f t="shared" si="4"/>
        <v>1441935980548</v>
      </c>
    </row>
    <row r="1750">
      <c r="T1750" s="494" t="s">
        <v>622</v>
      </c>
      <c r="AB1750" s="489">
        <v>1748.0</v>
      </c>
      <c r="AC1750" s="490">
        <f t="shared" si="5"/>
        <v>1441938641354</v>
      </c>
      <c r="AD1750" s="491">
        <f t="shared" si="1"/>
        <v>1500</v>
      </c>
      <c r="AE1750" s="492">
        <f t="shared" si="2"/>
        <v>0.009063325885</v>
      </c>
      <c r="AF1750" s="490">
        <f t="shared" si="3"/>
        <v>1455007402667</v>
      </c>
      <c r="AG1750" s="493">
        <f t="shared" si="6"/>
        <v>2662306.351</v>
      </c>
      <c r="AH1750" s="493">
        <f t="shared" si="4"/>
        <v>1455004740361</v>
      </c>
    </row>
    <row r="1751">
      <c r="T1751" s="494" t="s">
        <v>622</v>
      </c>
      <c r="AB1751" s="489">
        <v>1749.0</v>
      </c>
      <c r="AC1751" s="490">
        <f t="shared" si="5"/>
        <v>1455007402667</v>
      </c>
      <c r="AD1751" s="491">
        <f t="shared" si="1"/>
        <v>1500</v>
      </c>
      <c r="AE1751" s="492">
        <f t="shared" si="2"/>
        <v>0.009063325885</v>
      </c>
      <c r="AF1751" s="490">
        <f t="shared" si="3"/>
        <v>1468194610423</v>
      </c>
      <c r="AG1751" s="493">
        <f t="shared" si="6"/>
        <v>2663806.351</v>
      </c>
      <c r="AH1751" s="493">
        <f t="shared" si="4"/>
        <v>1468191946616</v>
      </c>
    </row>
    <row r="1752">
      <c r="T1752" s="494" t="s">
        <v>622</v>
      </c>
      <c r="AB1752" s="489">
        <v>1750.0</v>
      </c>
      <c r="AC1752" s="490">
        <f t="shared" si="5"/>
        <v>1468194610423</v>
      </c>
      <c r="AD1752" s="491">
        <f t="shared" si="1"/>
        <v>1500</v>
      </c>
      <c r="AE1752" s="492">
        <f t="shared" si="2"/>
        <v>0.009063325885</v>
      </c>
      <c r="AF1752" s="490">
        <f t="shared" si="3"/>
        <v>1481501338140</v>
      </c>
      <c r="AG1752" s="493">
        <f t="shared" si="6"/>
        <v>2665306.351</v>
      </c>
      <c r="AH1752" s="493">
        <f t="shared" si="4"/>
        <v>1481498672833</v>
      </c>
    </row>
    <row r="1753">
      <c r="T1753" s="494" t="s">
        <v>622</v>
      </c>
      <c r="AB1753" s="489">
        <v>1751.0</v>
      </c>
      <c r="AC1753" s="490">
        <f t="shared" si="5"/>
        <v>1481501338140</v>
      </c>
      <c r="AD1753" s="491">
        <f t="shared" si="1"/>
        <v>1500</v>
      </c>
      <c r="AE1753" s="492">
        <f t="shared" si="2"/>
        <v>0.009063325885</v>
      </c>
      <c r="AF1753" s="490">
        <f t="shared" si="3"/>
        <v>1494928669066</v>
      </c>
      <c r="AG1753" s="493">
        <f t="shared" si="6"/>
        <v>2666806.351</v>
      </c>
      <c r="AH1753" s="493">
        <f t="shared" si="4"/>
        <v>1494926002260</v>
      </c>
    </row>
    <row r="1754">
      <c r="T1754" s="494" t="s">
        <v>622</v>
      </c>
      <c r="AB1754" s="489">
        <v>1752.0</v>
      </c>
      <c r="AC1754" s="490">
        <f t="shared" si="5"/>
        <v>1494928669066</v>
      </c>
      <c r="AD1754" s="491">
        <f t="shared" si="1"/>
        <v>1500</v>
      </c>
      <c r="AE1754" s="492">
        <f t="shared" si="2"/>
        <v>0.009063325885</v>
      </c>
      <c r="AF1754" s="490">
        <f t="shared" si="3"/>
        <v>1508477696269</v>
      </c>
      <c r="AG1754" s="493">
        <f t="shared" si="6"/>
        <v>2668306.351</v>
      </c>
      <c r="AH1754" s="493">
        <f t="shared" si="4"/>
        <v>1508475027963</v>
      </c>
    </row>
    <row r="1755">
      <c r="T1755" s="494" t="s">
        <v>622</v>
      </c>
      <c r="AB1755" s="489">
        <v>1753.0</v>
      </c>
      <c r="AC1755" s="490">
        <f t="shared" si="5"/>
        <v>1508477696269</v>
      </c>
      <c r="AD1755" s="491">
        <f t="shared" si="1"/>
        <v>1500</v>
      </c>
      <c r="AE1755" s="492">
        <f t="shared" si="2"/>
        <v>0.009063325885</v>
      </c>
      <c r="AF1755" s="490">
        <f t="shared" si="3"/>
        <v>1522149522721</v>
      </c>
      <c r="AG1755" s="493">
        <f t="shared" si="6"/>
        <v>2669806.351</v>
      </c>
      <c r="AH1755" s="493">
        <f t="shared" si="4"/>
        <v>1522146852915</v>
      </c>
    </row>
    <row r="1756">
      <c r="T1756" s="494" t="s">
        <v>622</v>
      </c>
      <c r="AB1756" s="489">
        <v>1754.0</v>
      </c>
      <c r="AC1756" s="490">
        <f t="shared" si="5"/>
        <v>1522149522721</v>
      </c>
      <c r="AD1756" s="491">
        <f t="shared" si="1"/>
        <v>1500</v>
      </c>
      <c r="AE1756" s="492">
        <f t="shared" si="2"/>
        <v>0.009063325885</v>
      </c>
      <c r="AF1756" s="490">
        <f t="shared" si="3"/>
        <v>1535945261391</v>
      </c>
      <c r="AG1756" s="493">
        <f t="shared" si="6"/>
        <v>2671306.351</v>
      </c>
      <c r="AH1756" s="493">
        <f t="shared" si="4"/>
        <v>1535942590085</v>
      </c>
    </row>
    <row r="1757">
      <c r="T1757" s="494" t="s">
        <v>622</v>
      </c>
      <c r="AB1757" s="489">
        <v>1755.0</v>
      </c>
      <c r="AC1757" s="490">
        <f t="shared" si="5"/>
        <v>1535945261391</v>
      </c>
      <c r="AD1757" s="491">
        <f t="shared" si="1"/>
        <v>1500</v>
      </c>
      <c r="AE1757" s="492">
        <f t="shared" si="2"/>
        <v>0.009063325885</v>
      </c>
      <c r="AF1757" s="490">
        <f t="shared" si="3"/>
        <v>1549866035337</v>
      </c>
      <c r="AG1757" s="493">
        <f t="shared" si="6"/>
        <v>2672806.351</v>
      </c>
      <c r="AH1757" s="493">
        <f t="shared" si="4"/>
        <v>1549863362530</v>
      </c>
    </row>
    <row r="1758">
      <c r="T1758" s="494" t="s">
        <v>622</v>
      </c>
      <c r="AB1758" s="489">
        <v>1756.0</v>
      </c>
      <c r="AC1758" s="490">
        <f t="shared" si="5"/>
        <v>1549866035337</v>
      </c>
      <c r="AD1758" s="491">
        <f t="shared" si="1"/>
        <v>1500</v>
      </c>
      <c r="AE1758" s="492">
        <f t="shared" si="2"/>
        <v>0.009063325885</v>
      </c>
      <c r="AF1758" s="490">
        <f t="shared" si="3"/>
        <v>1563912977793</v>
      </c>
      <c r="AG1758" s="493">
        <f t="shared" si="6"/>
        <v>2674306.351</v>
      </c>
      <c r="AH1758" s="493">
        <f t="shared" si="4"/>
        <v>1563910303487</v>
      </c>
    </row>
    <row r="1759">
      <c r="T1759" s="494" t="s">
        <v>622</v>
      </c>
      <c r="AB1759" s="489">
        <v>1757.0</v>
      </c>
      <c r="AC1759" s="490">
        <f t="shared" si="5"/>
        <v>1563912977793</v>
      </c>
      <c r="AD1759" s="491">
        <f t="shared" si="1"/>
        <v>1500</v>
      </c>
      <c r="AE1759" s="492">
        <f t="shared" si="2"/>
        <v>0.009063325885</v>
      </c>
      <c r="AF1759" s="490">
        <f t="shared" si="3"/>
        <v>1578087232267</v>
      </c>
      <c r="AG1759" s="493">
        <f t="shared" si="6"/>
        <v>2675806.351</v>
      </c>
      <c r="AH1759" s="493">
        <f t="shared" si="4"/>
        <v>1578084556461</v>
      </c>
    </row>
    <row r="1760">
      <c r="T1760" s="494" t="s">
        <v>622</v>
      </c>
      <c r="AB1760" s="489">
        <v>1758.0</v>
      </c>
      <c r="AC1760" s="490">
        <f t="shared" si="5"/>
        <v>1578087232267</v>
      </c>
      <c r="AD1760" s="491">
        <f t="shared" si="1"/>
        <v>1500</v>
      </c>
      <c r="AE1760" s="492">
        <f t="shared" si="2"/>
        <v>0.009063325885</v>
      </c>
      <c r="AF1760" s="490">
        <f t="shared" si="3"/>
        <v>1592389952628</v>
      </c>
      <c r="AG1760" s="493">
        <f t="shared" si="6"/>
        <v>2677306.351</v>
      </c>
      <c r="AH1760" s="493">
        <f t="shared" si="4"/>
        <v>1592387275322</v>
      </c>
    </row>
    <row r="1761">
      <c r="T1761" s="494" t="s">
        <v>622</v>
      </c>
      <c r="AB1761" s="489">
        <v>1759.0</v>
      </c>
      <c r="AC1761" s="490">
        <f t="shared" si="5"/>
        <v>1592389952628</v>
      </c>
      <c r="AD1761" s="491">
        <f t="shared" si="1"/>
        <v>1500</v>
      </c>
      <c r="AE1761" s="492">
        <f t="shared" si="2"/>
        <v>0.009063325885</v>
      </c>
      <c r="AF1761" s="490">
        <f t="shared" si="3"/>
        <v>1606822303205</v>
      </c>
      <c r="AG1761" s="493">
        <f t="shared" si="6"/>
        <v>2678806.351</v>
      </c>
      <c r="AH1761" s="493">
        <f t="shared" si="4"/>
        <v>1606819624399</v>
      </c>
    </row>
    <row r="1762">
      <c r="T1762" s="494" t="s">
        <v>622</v>
      </c>
      <c r="AB1762" s="489">
        <v>1760.0</v>
      </c>
      <c r="AC1762" s="490">
        <f t="shared" si="5"/>
        <v>1606822303205</v>
      </c>
      <c r="AD1762" s="491">
        <f t="shared" si="1"/>
        <v>1500</v>
      </c>
      <c r="AE1762" s="492">
        <f t="shared" si="2"/>
        <v>0.009063325885</v>
      </c>
      <c r="AF1762" s="490">
        <f t="shared" si="3"/>
        <v>1621385458878</v>
      </c>
      <c r="AG1762" s="493">
        <f t="shared" si="6"/>
        <v>2680306.351</v>
      </c>
      <c r="AH1762" s="493">
        <f t="shared" si="4"/>
        <v>1621382778572</v>
      </c>
    </row>
    <row r="1763">
      <c r="T1763" s="494" t="s">
        <v>622</v>
      </c>
      <c r="AB1763" s="489">
        <v>1761.0</v>
      </c>
      <c r="AC1763" s="490">
        <f t="shared" si="5"/>
        <v>1621385458878</v>
      </c>
      <c r="AD1763" s="491">
        <f t="shared" si="1"/>
        <v>1500</v>
      </c>
      <c r="AE1763" s="492">
        <f t="shared" si="2"/>
        <v>0.009063325885</v>
      </c>
      <c r="AF1763" s="490">
        <f t="shared" si="3"/>
        <v>1636080605178</v>
      </c>
      <c r="AG1763" s="493">
        <f t="shared" si="6"/>
        <v>2681806.351</v>
      </c>
      <c r="AH1763" s="493">
        <f t="shared" si="4"/>
        <v>1636077923371</v>
      </c>
    </row>
    <row r="1764">
      <c r="T1764" s="494" t="s">
        <v>622</v>
      </c>
      <c r="AB1764" s="489">
        <v>1762.0</v>
      </c>
      <c r="AC1764" s="490">
        <f t="shared" si="5"/>
        <v>1636080605178</v>
      </c>
      <c r="AD1764" s="491">
        <f t="shared" si="1"/>
        <v>1500</v>
      </c>
      <c r="AE1764" s="492">
        <f t="shared" si="2"/>
        <v>0.009063325885</v>
      </c>
      <c r="AF1764" s="490">
        <f t="shared" si="3"/>
        <v>1650908938377</v>
      </c>
      <c r="AG1764" s="493">
        <f t="shared" si="6"/>
        <v>2683306.351</v>
      </c>
      <c r="AH1764" s="493">
        <f t="shared" si="4"/>
        <v>1650906255070</v>
      </c>
    </row>
    <row r="1765">
      <c r="T1765" s="494" t="s">
        <v>622</v>
      </c>
      <c r="AB1765" s="489">
        <v>1763.0</v>
      </c>
      <c r="AC1765" s="490">
        <f t="shared" si="5"/>
        <v>1650908938377</v>
      </c>
      <c r="AD1765" s="491">
        <f t="shared" si="1"/>
        <v>1500</v>
      </c>
      <c r="AE1765" s="492">
        <f t="shared" si="2"/>
        <v>0.009063325885</v>
      </c>
      <c r="AF1765" s="490">
        <f t="shared" si="3"/>
        <v>1665871665592</v>
      </c>
      <c r="AG1765" s="493">
        <f t="shared" si="6"/>
        <v>2684806.351</v>
      </c>
      <c r="AH1765" s="493">
        <f t="shared" si="4"/>
        <v>1665868980785</v>
      </c>
    </row>
    <row r="1766">
      <c r="T1766" s="494" t="s">
        <v>622</v>
      </c>
      <c r="AB1766" s="489">
        <v>1764.0</v>
      </c>
      <c r="AC1766" s="490">
        <f t="shared" si="5"/>
        <v>1665871665592</v>
      </c>
      <c r="AD1766" s="491">
        <f t="shared" si="1"/>
        <v>1500</v>
      </c>
      <c r="AE1766" s="492">
        <f t="shared" si="2"/>
        <v>0.009063325885</v>
      </c>
      <c r="AF1766" s="490">
        <f t="shared" si="3"/>
        <v>1680970004880</v>
      </c>
      <c r="AG1766" s="493">
        <f t="shared" si="6"/>
        <v>2686306.351</v>
      </c>
      <c r="AH1766" s="493">
        <f t="shared" si="4"/>
        <v>1680967318573</v>
      </c>
    </row>
    <row r="1767">
      <c r="T1767" s="494" t="s">
        <v>622</v>
      </c>
      <c r="AB1767" s="489">
        <v>1765.0</v>
      </c>
      <c r="AC1767" s="490">
        <f t="shared" si="5"/>
        <v>1680970004880</v>
      </c>
      <c r="AD1767" s="491">
        <f t="shared" si="1"/>
        <v>1500</v>
      </c>
      <c r="AE1767" s="492">
        <f t="shared" si="2"/>
        <v>0.009063325885</v>
      </c>
      <c r="AF1767" s="490">
        <f t="shared" si="3"/>
        <v>1696205185337</v>
      </c>
      <c r="AG1767" s="493">
        <f t="shared" si="6"/>
        <v>2687806.351</v>
      </c>
      <c r="AH1767" s="493">
        <f t="shared" si="4"/>
        <v>1696202497531</v>
      </c>
    </row>
    <row r="1768">
      <c r="T1768" s="494" t="s">
        <v>622</v>
      </c>
      <c r="AB1768" s="489">
        <v>1766.0</v>
      </c>
      <c r="AC1768" s="490">
        <f t="shared" si="5"/>
        <v>1696205185337</v>
      </c>
      <c r="AD1768" s="491">
        <f t="shared" si="1"/>
        <v>1500</v>
      </c>
      <c r="AE1768" s="492">
        <f t="shared" si="2"/>
        <v>0.009063325885</v>
      </c>
      <c r="AF1768" s="490">
        <f t="shared" si="3"/>
        <v>1711578447200</v>
      </c>
      <c r="AG1768" s="493">
        <f t="shared" si="6"/>
        <v>2689306.351</v>
      </c>
      <c r="AH1768" s="493">
        <f t="shared" si="4"/>
        <v>1711575757893</v>
      </c>
    </row>
    <row r="1769">
      <c r="T1769" s="494" t="s">
        <v>622</v>
      </c>
      <c r="AB1769" s="489">
        <v>1767.0</v>
      </c>
      <c r="AC1769" s="490">
        <f t="shared" si="5"/>
        <v>1711578447200</v>
      </c>
      <c r="AD1769" s="491">
        <f t="shared" si="1"/>
        <v>1500</v>
      </c>
      <c r="AE1769" s="492">
        <f t="shared" si="2"/>
        <v>0.009063325885</v>
      </c>
      <c r="AF1769" s="490">
        <f t="shared" si="3"/>
        <v>1727091041945</v>
      </c>
      <c r="AG1769" s="493">
        <f t="shared" si="6"/>
        <v>2690806.351</v>
      </c>
      <c r="AH1769" s="493">
        <f t="shared" si="4"/>
        <v>1727088351138</v>
      </c>
    </row>
    <row r="1770">
      <c r="T1770" s="494" t="s">
        <v>622</v>
      </c>
      <c r="AB1770" s="489">
        <v>1768.0</v>
      </c>
      <c r="AC1770" s="490">
        <f t="shared" si="5"/>
        <v>1727091041945</v>
      </c>
      <c r="AD1770" s="491">
        <f t="shared" si="1"/>
        <v>1500</v>
      </c>
      <c r="AE1770" s="492">
        <f t="shared" si="2"/>
        <v>0.009063325885</v>
      </c>
      <c r="AF1770" s="490">
        <f t="shared" si="3"/>
        <v>1742744232391</v>
      </c>
      <c r="AG1770" s="493">
        <f t="shared" si="6"/>
        <v>2692306.351</v>
      </c>
      <c r="AH1770" s="493">
        <f t="shared" si="4"/>
        <v>1742741540085</v>
      </c>
    </row>
    <row r="1771">
      <c r="T1771" s="494" t="s">
        <v>622</v>
      </c>
      <c r="AB1771" s="489">
        <v>1769.0</v>
      </c>
      <c r="AC1771" s="490">
        <f t="shared" si="5"/>
        <v>1742744232391</v>
      </c>
      <c r="AD1771" s="491">
        <f t="shared" si="1"/>
        <v>1500</v>
      </c>
      <c r="AE1771" s="492">
        <f t="shared" si="2"/>
        <v>0.009063325885</v>
      </c>
      <c r="AF1771" s="490">
        <f t="shared" si="3"/>
        <v>1758539292803</v>
      </c>
      <c r="AG1771" s="493">
        <f t="shared" si="6"/>
        <v>2693806.351</v>
      </c>
      <c r="AH1771" s="493">
        <f t="shared" si="4"/>
        <v>1758536598997</v>
      </c>
    </row>
    <row r="1772">
      <c r="T1772" s="494" t="s">
        <v>622</v>
      </c>
      <c r="AB1772" s="489">
        <v>1770.0</v>
      </c>
      <c r="AC1772" s="490">
        <f t="shared" si="5"/>
        <v>1758539292803</v>
      </c>
      <c r="AD1772" s="491">
        <f t="shared" si="1"/>
        <v>1500</v>
      </c>
      <c r="AE1772" s="492">
        <f t="shared" si="2"/>
        <v>0.009063325885</v>
      </c>
      <c r="AF1772" s="490">
        <f t="shared" si="3"/>
        <v>1774477508996</v>
      </c>
      <c r="AG1772" s="493">
        <f t="shared" si="6"/>
        <v>2695306.351</v>
      </c>
      <c r="AH1772" s="493">
        <f t="shared" si="4"/>
        <v>1774474813690</v>
      </c>
    </row>
    <row r="1773">
      <c r="T1773" s="494" t="s">
        <v>622</v>
      </c>
      <c r="AB1773" s="489">
        <v>1771.0</v>
      </c>
      <c r="AC1773" s="490">
        <f t="shared" si="5"/>
        <v>1774477508996</v>
      </c>
      <c r="AD1773" s="491">
        <f t="shared" si="1"/>
        <v>1500</v>
      </c>
      <c r="AE1773" s="492">
        <f t="shared" si="2"/>
        <v>0.009063325885</v>
      </c>
      <c r="AF1773" s="490">
        <f t="shared" si="3"/>
        <v>1790560178436</v>
      </c>
      <c r="AG1773" s="493">
        <f t="shared" si="6"/>
        <v>2696806.351</v>
      </c>
      <c r="AH1773" s="493">
        <f t="shared" si="4"/>
        <v>1790557481629</v>
      </c>
    </row>
    <row r="1774">
      <c r="T1774" s="494" t="s">
        <v>622</v>
      </c>
      <c r="AB1774" s="489">
        <v>1772.0</v>
      </c>
      <c r="AC1774" s="490">
        <f t="shared" si="5"/>
        <v>1790560178436</v>
      </c>
      <c r="AD1774" s="491">
        <f t="shared" si="1"/>
        <v>1500</v>
      </c>
      <c r="AE1774" s="492">
        <f t="shared" si="2"/>
        <v>0.009063325885</v>
      </c>
      <c r="AF1774" s="490">
        <f t="shared" si="3"/>
        <v>1806788610350</v>
      </c>
      <c r="AG1774" s="493">
        <f t="shared" si="6"/>
        <v>2698306.351</v>
      </c>
      <c r="AH1774" s="493">
        <f t="shared" si="4"/>
        <v>1806785912043</v>
      </c>
    </row>
    <row r="1775">
      <c r="T1775" s="494" t="s">
        <v>622</v>
      </c>
      <c r="AB1775" s="489">
        <v>1773.0</v>
      </c>
      <c r="AC1775" s="490">
        <f t="shared" si="5"/>
        <v>1806788610350</v>
      </c>
      <c r="AD1775" s="491">
        <f t="shared" si="1"/>
        <v>1500</v>
      </c>
      <c r="AE1775" s="492">
        <f t="shared" si="2"/>
        <v>0.009063325885</v>
      </c>
      <c r="AF1775" s="490">
        <f t="shared" si="3"/>
        <v>1823164125831</v>
      </c>
      <c r="AG1775" s="493">
        <f t="shared" si="6"/>
        <v>2699806.351</v>
      </c>
      <c r="AH1775" s="493">
        <f t="shared" si="4"/>
        <v>1823161426025</v>
      </c>
    </row>
    <row r="1776">
      <c r="T1776" s="494" t="s">
        <v>622</v>
      </c>
      <c r="AB1776" s="489">
        <v>1774.0</v>
      </c>
      <c r="AC1776" s="490">
        <f t="shared" si="5"/>
        <v>1823164125831</v>
      </c>
      <c r="AD1776" s="491">
        <f t="shared" si="1"/>
        <v>1500</v>
      </c>
      <c r="AE1776" s="492">
        <f t="shared" si="2"/>
        <v>0.009063325885</v>
      </c>
      <c r="AF1776" s="490">
        <f t="shared" si="3"/>
        <v>1839688057945</v>
      </c>
      <c r="AG1776" s="493">
        <f t="shared" si="6"/>
        <v>2701306.351</v>
      </c>
      <c r="AH1776" s="493">
        <f t="shared" si="4"/>
        <v>1839685356639</v>
      </c>
    </row>
    <row r="1777">
      <c r="T1777" s="494" t="s">
        <v>622</v>
      </c>
      <c r="AB1777" s="489">
        <v>1775.0</v>
      </c>
      <c r="AC1777" s="490">
        <f t="shared" si="5"/>
        <v>1839688057945</v>
      </c>
      <c r="AD1777" s="491">
        <f t="shared" si="1"/>
        <v>1500</v>
      </c>
      <c r="AE1777" s="492">
        <f t="shared" si="2"/>
        <v>0.009063325885</v>
      </c>
      <c r="AF1777" s="490">
        <f t="shared" si="3"/>
        <v>1856361751841</v>
      </c>
      <c r="AG1777" s="493">
        <f t="shared" si="6"/>
        <v>2702806.351</v>
      </c>
      <c r="AH1777" s="493">
        <f t="shared" si="4"/>
        <v>1856359049035</v>
      </c>
    </row>
    <row r="1778">
      <c r="T1778" s="494" t="s">
        <v>622</v>
      </c>
      <c r="AB1778" s="489">
        <v>1776.0</v>
      </c>
      <c r="AC1778" s="490">
        <f t="shared" si="5"/>
        <v>1856361751841</v>
      </c>
      <c r="AD1778" s="491">
        <f t="shared" si="1"/>
        <v>1500</v>
      </c>
      <c r="AE1778" s="492">
        <f t="shared" si="2"/>
        <v>0.009063325885</v>
      </c>
      <c r="AF1778" s="490">
        <f t="shared" si="3"/>
        <v>1873186564859</v>
      </c>
      <c r="AG1778" s="493">
        <f t="shared" si="6"/>
        <v>2704306.351</v>
      </c>
      <c r="AH1778" s="493">
        <f t="shared" si="4"/>
        <v>1873183860553</v>
      </c>
    </row>
    <row r="1779">
      <c r="T1779" s="494" t="s">
        <v>622</v>
      </c>
      <c r="AB1779" s="489">
        <v>1777.0</v>
      </c>
      <c r="AC1779" s="490">
        <f t="shared" si="5"/>
        <v>1873186564859</v>
      </c>
      <c r="AD1779" s="491">
        <f t="shared" si="1"/>
        <v>1500</v>
      </c>
      <c r="AE1779" s="492">
        <f t="shared" si="2"/>
        <v>0.009063325885</v>
      </c>
      <c r="AF1779" s="490">
        <f t="shared" si="3"/>
        <v>1890163866640</v>
      </c>
      <c r="AG1779" s="493">
        <f t="shared" si="6"/>
        <v>2705806.351</v>
      </c>
      <c r="AH1779" s="493">
        <f t="shared" si="4"/>
        <v>1890161160833</v>
      </c>
    </row>
    <row r="1780">
      <c r="T1780" s="494" t="s">
        <v>622</v>
      </c>
      <c r="AB1780" s="489">
        <v>1778.0</v>
      </c>
      <c r="AC1780" s="490">
        <f t="shared" si="5"/>
        <v>1890163866640</v>
      </c>
      <c r="AD1780" s="491">
        <f t="shared" si="1"/>
        <v>1500</v>
      </c>
      <c r="AE1780" s="492">
        <f t="shared" si="2"/>
        <v>0.009063325885</v>
      </c>
      <c r="AF1780" s="490">
        <f t="shared" si="3"/>
        <v>1907295039239</v>
      </c>
      <c r="AG1780" s="493">
        <f t="shared" si="6"/>
        <v>2707306.351</v>
      </c>
      <c r="AH1780" s="493">
        <f t="shared" si="4"/>
        <v>1907292331933</v>
      </c>
    </row>
    <row r="1781">
      <c r="T1781" s="494" t="s">
        <v>622</v>
      </c>
      <c r="AB1781" s="489">
        <v>1779.0</v>
      </c>
      <c r="AC1781" s="490">
        <f t="shared" si="5"/>
        <v>1907295039239</v>
      </c>
      <c r="AD1781" s="491">
        <f t="shared" si="1"/>
        <v>1500</v>
      </c>
      <c r="AE1781" s="492">
        <f t="shared" si="2"/>
        <v>0.009063325885</v>
      </c>
      <c r="AF1781" s="490">
        <f t="shared" si="3"/>
        <v>1924581477239</v>
      </c>
      <c r="AG1781" s="493">
        <f t="shared" si="6"/>
        <v>2708806.351</v>
      </c>
      <c r="AH1781" s="493">
        <f t="shared" si="4"/>
        <v>1924578768433</v>
      </c>
    </row>
    <row r="1782">
      <c r="T1782" s="494" t="s">
        <v>622</v>
      </c>
      <c r="AB1782" s="489">
        <v>1780.0</v>
      </c>
      <c r="AC1782" s="490">
        <f t="shared" si="5"/>
        <v>1924581477239</v>
      </c>
      <c r="AD1782" s="491">
        <f t="shared" si="1"/>
        <v>1500</v>
      </c>
      <c r="AE1782" s="492">
        <f t="shared" si="2"/>
        <v>0.009063325885</v>
      </c>
      <c r="AF1782" s="490">
        <f t="shared" si="3"/>
        <v>1942024587860</v>
      </c>
      <c r="AG1782" s="493">
        <f t="shared" si="6"/>
        <v>2710306.351</v>
      </c>
      <c r="AH1782" s="493">
        <f t="shared" si="4"/>
        <v>1942021877553</v>
      </c>
    </row>
    <row r="1783">
      <c r="T1783" s="494" t="s">
        <v>622</v>
      </c>
      <c r="AB1783" s="489">
        <v>1781.0</v>
      </c>
      <c r="AC1783" s="490">
        <f t="shared" si="5"/>
        <v>1942024587860</v>
      </c>
      <c r="AD1783" s="491">
        <f t="shared" si="1"/>
        <v>1500</v>
      </c>
      <c r="AE1783" s="492">
        <f t="shared" si="2"/>
        <v>0.009063325885</v>
      </c>
      <c r="AF1783" s="490">
        <f t="shared" si="3"/>
        <v>1959625791076</v>
      </c>
      <c r="AG1783" s="493">
        <f t="shared" si="6"/>
        <v>2711806.351</v>
      </c>
      <c r="AH1783" s="493">
        <f t="shared" si="4"/>
        <v>1959623079270</v>
      </c>
    </row>
    <row r="1784">
      <c r="T1784" s="494" t="s">
        <v>622</v>
      </c>
      <c r="AB1784" s="489">
        <v>1782.0</v>
      </c>
      <c r="AC1784" s="490">
        <f t="shared" si="5"/>
        <v>1959625791076</v>
      </c>
      <c r="AD1784" s="491">
        <f t="shared" si="1"/>
        <v>1500</v>
      </c>
      <c r="AE1784" s="492">
        <f t="shared" si="2"/>
        <v>0.009063325885</v>
      </c>
      <c r="AF1784" s="490">
        <f t="shared" si="3"/>
        <v>1977386519734</v>
      </c>
      <c r="AG1784" s="493">
        <f t="shared" si="6"/>
        <v>2713306.351</v>
      </c>
      <c r="AH1784" s="493">
        <f t="shared" si="4"/>
        <v>1977383806427</v>
      </c>
    </row>
    <row r="1785">
      <c r="T1785" s="494" t="s">
        <v>622</v>
      </c>
      <c r="AB1785" s="489">
        <v>1783.0</v>
      </c>
      <c r="AC1785" s="490">
        <f t="shared" si="5"/>
        <v>1977386519734</v>
      </c>
      <c r="AD1785" s="491">
        <f t="shared" si="1"/>
        <v>1500</v>
      </c>
      <c r="AE1785" s="492">
        <f t="shared" si="2"/>
        <v>0.009063325885</v>
      </c>
      <c r="AF1785" s="490">
        <f t="shared" si="3"/>
        <v>1995308219663</v>
      </c>
      <c r="AG1785" s="493">
        <f t="shared" si="6"/>
        <v>2714806.351</v>
      </c>
      <c r="AH1785" s="493">
        <f t="shared" si="4"/>
        <v>1995305504857</v>
      </c>
    </row>
    <row r="1786">
      <c r="T1786" s="494" t="s">
        <v>622</v>
      </c>
      <c r="AB1786" s="489">
        <v>1784.0</v>
      </c>
      <c r="AC1786" s="490">
        <f t="shared" si="5"/>
        <v>1995308219663</v>
      </c>
      <c r="AD1786" s="491">
        <f t="shared" si="1"/>
        <v>1500</v>
      </c>
      <c r="AE1786" s="492">
        <f t="shared" si="2"/>
        <v>0.009063325885</v>
      </c>
      <c r="AF1786" s="490">
        <f t="shared" si="3"/>
        <v>2013392349799</v>
      </c>
      <c r="AG1786" s="493">
        <f t="shared" si="6"/>
        <v>2716306.351</v>
      </c>
      <c r="AH1786" s="493">
        <f t="shared" si="4"/>
        <v>2013389633493</v>
      </c>
    </row>
    <row r="1787">
      <c r="T1787" s="494" t="s">
        <v>622</v>
      </c>
      <c r="AB1787" s="489">
        <v>1785.0</v>
      </c>
      <c r="AC1787" s="490">
        <f t="shared" si="5"/>
        <v>2013392349799</v>
      </c>
      <c r="AD1787" s="491">
        <f t="shared" si="1"/>
        <v>1500</v>
      </c>
      <c r="AE1787" s="492">
        <f t="shared" si="2"/>
        <v>0.009063325885</v>
      </c>
      <c r="AF1787" s="490">
        <f t="shared" si="3"/>
        <v>2031640382300</v>
      </c>
      <c r="AG1787" s="493">
        <f t="shared" si="6"/>
        <v>2717806.351</v>
      </c>
      <c r="AH1787" s="493">
        <f t="shared" si="4"/>
        <v>2031637664493</v>
      </c>
    </row>
    <row r="1788">
      <c r="T1788" s="494" t="s">
        <v>622</v>
      </c>
      <c r="AB1788" s="489">
        <v>1786.0</v>
      </c>
      <c r="AC1788" s="490">
        <f t="shared" si="5"/>
        <v>2031640382300</v>
      </c>
      <c r="AD1788" s="491">
        <f t="shared" si="1"/>
        <v>1500</v>
      </c>
      <c r="AE1788" s="492">
        <f t="shared" si="2"/>
        <v>0.009063325885</v>
      </c>
      <c r="AF1788" s="490">
        <f t="shared" si="3"/>
        <v>2050053802666</v>
      </c>
      <c r="AG1788" s="493">
        <f t="shared" si="6"/>
        <v>2719306.351</v>
      </c>
      <c r="AH1788" s="493">
        <f t="shared" si="4"/>
        <v>2050051083359</v>
      </c>
    </row>
    <row r="1789">
      <c r="T1789" s="494" t="s">
        <v>622</v>
      </c>
      <c r="AB1789" s="489">
        <v>1787.0</v>
      </c>
      <c r="AC1789" s="490">
        <f t="shared" si="5"/>
        <v>2050053802666</v>
      </c>
      <c r="AD1789" s="491">
        <f t="shared" si="1"/>
        <v>1500</v>
      </c>
      <c r="AE1789" s="492">
        <f t="shared" si="2"/>
        <v>0.009063325885</v>
      </c>
      <c r="AF1789" s="490">
        <f t="shared" si="3"/>
        <v>2068634109861</v>
      </c>
      <c r="AG1789" s="493">
        <f t="shared" si="6"/>
        <v>2720806.351</v>
      </c>
      <c r="AH1789" s="493">
        <f t="shared" si="4"/>
        <v>2068631389055</v>
      </c>
    </row>
    <row r="1790">
      <c r="T1790" s="494" t="s">
        <v>622</v>
      </c>
      <c r="AB1790" s="489">
        <v>1788.0</v>
      </c>
      <c r="AC1790" s="490">
        <f t="shared" si="5"/>
        <v>2068634109861</v>
      </c>
      <c r="AD1790" s="491">
        <f t="shared" si="1"/>
        <v>1500</v>
      </c>
      <c r="AE1790" s="492">
        <f t="shared" si="2"/>
        <v>0.009063325885</v>
      </c>
      <c r="AF1790" s="490">
        <f t="shared" si="3"/>
        <v>2087382816436</v>
      </c>
      <c r="AG1790" s="493">
        <f t="shared" si="6"/>
        <v>2722306.351</v>
      </c>
      <c r="AH1790" s="493">
        <f t="shared" si="4"/>
        <v>2087380094130</v>
      </c>
    </row>
    <row r="1791">
      <c r="T1791" s="494" t="s">
        <v>622</v>
      </c>
      <c r="AB1791" s="489">
        <v>1789.0</v>
      </c>
      <c r="AC1791" s="490">
        <f t="shared" si="5"/>
        <v>2087382816436</v>
      </c>
      <c r="AD1791" s="491">
        <f t="shared" si="1"/>
        <v>1500</v>
      </c>
      <c r="AE1791" s="492">
        <f t="shared" si="2"/>
        <v>0.009063325885</v>
      </c>
      <c r="AF1791" s="490">
        <f t="shared" si="3"/>
        <v>2106301448648</v>
      </c>
      <c r="AG1791" s="493">
        <f t="shared" si="6"/>
        <v>2723806.351</v>
      </c>
      <c r="AH1791" s="493">
        <f t="shared" si="4"/>
        <v>2106298724842</v>
      </c>
    </row>
    <row r="1792">
      <c r="T1792" s="494" t="s">
        <v>622</v>
      </c>
      <c r="AB1792" s="489">
        <v>1790.0</v>
      </c>
      <c r="AC1792" s="490">
        <f t="shared" si="5"/>
        <v>2106301448648</v>
      </c>
      <c r="AD1792" s="491">
        <f t="shared" si="1"/>
        <v>1500</v>
      </c>
      <c r="AE1792" s="492">
        <f t="shared" si="2"/>
        <v>0.009063325885</v>
      </c>
      <c r="AF1792" s="490">
        <f t="shared" si="3"/>
        <v>2125391546590</v>
      </c>
      <c r="AG1792" s="493">
        <f t="shared" si="6"/>
        <v>2725306.351</v>
      </c>
      <c r="AH1792" s="493">
        <f t="shared" si="4"/>
        <v>2125388821283</v>
      </c>
    </row>
    <row r="1793">
      <c r="T1793" s="494" t="s">
        <v>622</v>
      </c>
      <c r="AB1793" s="489">
        <v>1791.0</v>
      </c>
      <c r="AC1793" s="490">
        <f t="shared" si="5"/>
        <v>2125391546590</v>
      </c>
      <c r="AD1793" s="491">
        <f t="shared" si="1"/>
        <v>1500</v>
      </c>
      <c r="AE1793" s="492">
        <f t="shared" si="2"/>
        <v>0.009063325885</v>
      </c>
      <c r="AF1793" s="490">
        <f t="shared" si="3"/>
        <v>2144654664310</v>
      </c>
      <c r="AG1793" s="493">
        <f t="shared" si="6"/>
        <v>2726806.351</v>
      </c>
      <c r="AH1793" s="493">
        <f t="shared" si="4"/>
        <v>2144651937504</v>
      </c>
    </row>
    <row r="1794">
      <c r="T1794" s="494" t="s">
        <v>622</v>
      </c>
      <c r="AB1794" s="489">
        <v>1792.0</v>
      </c>
      <c r="AC1794" s="490">
        <f t="shared" si="5"/>
        <v>2144654664310</v>
      </c>
      <c r="AD1794" s="491">
        <f t="shared" si="1"/>
        <v>1500</v>
      </c>
      <c r="AE1794" s="492">
        <f t="shared" si="2"/>
        <v>0.009063325885</v>
      </c>
      <c r="AF1794" s="490">
        <f t="shared" si="3"/>
        <v>2164092369944</v>
      </c>
      <c r="AG1794" s="493">
        <f t="shared" si="6"/>
        <v>2728306.351</v>
      </c>
      <c r="AH1794" s="493">
        <f t="shared" si="4"/>
        <v>2164089641637</v>
      </c>
    </row>
    <row r="1795">
      <c r="T1795" s="494" t="s">
        <v>622</v>
      </c>
      <c r="AB1795" s="489">
        <v>1793.0</v>
      </c>
      <c r="AC1795" s="490">
        <f t="shared" si="5"/>
        <v>2164092369944</v>
      </c>
      <c r="AD1795" s="491">
        <f t="shared" si="1"/>
        <v>1500</v>
      </c>
      <c r="AE1795" s="492">
        <f t="shared" si="2"/>
        <v>0.009063325885</v>
      </c>
      <c r="AF1795" s="490">
        <f t="shared" si="3"/>
        <v>2183706245838</v>
      </c>
      <c r="AG1795" s="493">
        <f t="shared" si="6"/>
        <v>2729806.351</v>
      </c>
      <c r="AH1795" s="493">
        <f t="shared" si="4"/>
        <v>2183703516031</v>
      </c>
    </row>
    <row r="1796">
      <c r="T1796" s="494" t="s">
        <v>622</v>
      </c>
      <c r="AB1796" s="489">
        <v>1794.0</v>
      </c>
      <c r="AC1796" s="490">
        <f t="shared" si="5"/>
        <v>2183706245838</v>
      </c>
      <c r="AD1796" s="491">
        <f t="shared" si="1"/>
        <v>1500</v>
      </c>
      <c r="AE1796" s="492">
        <f t="shared" si="2"/>
        <v>0.009063325885</v>
      </c>
      <c r="AF1796" s="490">
        <f t="shared" si="3"/>
        <v>2203497888681</v>
      </c>
      <c r="AG1796" s="493">
        <f t="shared" si="6"/>
        <v>2731306.351</v>
      </c>
      <c r="AH1796" s="493">
        <f t="shared" si="4"/>
        <v>2203495157375</v>
      </c>
    </row>
    <row r="1797">
      <c r="T1797" s="494" t="s">
        <v>622</v>
      </c>
      <c r="AB1797" s="489">
        <v>1795.0</v>
      </c>
      <c r="AC1797" s="490">
        <f t="shared" si="5"/>
        <v>2203497888681</v>
      </c>
      <c r="AD1797" s="491">
        <f t="shared" si="1"/>
        <v>1500</v>
      </c>
      <c r="AE1797" s="492">
        <f t="shared" si="2"/>
        <v>0.009063325885</v>
      </c>
      <c r="AF1797" s="490">
        <f t="shared" si="3"/>
        <v>2223468909633</v>
      </c>
      <c r="AG1797" s="493">
        <f t="shared" si="6"/>
        <v>2732806.351</v>
      </c>
      <c r="AH1797" s="493">
        <f t="shared" si="4"/>
        <v>2223466176827</v>
      </c>
    </row>
    <row r="1798">
      <c r="T1798" s="494" t="s">
        <v>622</v>
      </c>
      <c r="AB1798" s="489">
        <v>1796.0</v>
      </c>
      <c r="AC1798" s="490">
        <f t="shared" si="5"/>
        <v>2223468909633</v>
      </c>
      <c r="AD1798" s="491">
        <f t="shared" si="1"/>
        <v>1500</v>
      </c>
      <c r="AE1798" s="492">
        <f t="shared" si="2"/>
        <v>0.009063325885</v>
      </c>
      <c r="AF1798" s="490">
        <f t="shared" si="3"/>
        <v>2243620934457</v>
      </c>
      <c r="AG1798" s="493">
        <f t="shared" si="6"/>
        <v>2734306.351</v>
      </c>
      <c r="AH1798" s="493">
        <f t="shared" si="4"/>
        <v>2243618200150</v>
      </c>
    </row>
    <row r="1799">
      <c r="T1799" s="494" t="s">
        <v>622</v>
      </c>
      <c r="AB1799" s="489">
        <v>1797.0</v>
      </c>
      <c r="AC1799" s="490">
        <f t="shared" si="5"/>
        <v>2243620934457</v>
      </c>
      <c r="AD1799" s="491">
        <f t="shared" si="1"/>
        <v>1500</v>
      </c>
      <c r="AE1799" s="492">
        <f t="shared" si="2"/>
        <v>0.009063325885</v>
      </c>
      <c r="AF1799" s="490">
        <f t="shared" si="3"/>
        <v>2263955603648</v>
      </c>
      <c r="AG1799" s="493">
        <f t="shared" si="6"/>
        <v>2735806.351</v>
      </c>
      <c r="AH1799" s="493">
        <f t="shared" si="4"/>
        <v>2263952867842</v>
      </c>
    </row>
    <row r="1800">
      <c r="T1800" s="494" t="s">
        <v>622</v>
      </c>
      <c r="AB1800" s="489">
        <v>1798.0</v>
      </c>
      <c r="AC1800" s="490">
        <f t="shared" si="5"/>
        <v>2263955603648</v>
      </c>
      <c r="AD1800" s="491">
        <f t="shared" si="1"/>
        <v>1500</v>
      </c>
      <c r="AE1800" s="492">
        <f t="shared" si="2"/>
        <v>0.009063325885</v>
      </c>
      <c r="AF1800" s="490">
        <f t="shared" si="3"/>
        <v>2284474572574</v>
      </c>
      <c r="AG1800" s="493">
        <f t="shared" si="6"/>
        <v>2737306.351</v>
      </c>
      <c r="AH1800" s="493">
        <f t="shared" si="4"/>
        <v>2284471835267</v>
      </c>
    </row>
    <row r="1801">
      <c r="T1801" s="494" t="s">
        <v>622</v>
      </c>
      <c r="AB1801" s="489">
        <v>1799.0</v>
      </c>
      <c r="AC1801" s="490">
        <f t="shared" si="5"/>
        <v>2284474572574</v>
      </c>
      <c r="AD1801" s="491">
        <f t="shared" si="1"/>
        <v>1500</v>
      </c>
      <c r="AE1801" s="492">
        <f t="shared" si="2"/>
        <v>0.009063325885</v>
      </c>
      <c r="AF1801" s="490">
        <f t="shared" si="3"/>
        <v>2305179511601</v>
      </c>
      <c r="AG1801" s="493">
        <f t="shared" si="6"/>
        <v>2738806.351</v>
      </c>
      <c r="AH1801" s="493">
        <f t="shared" si="4"/>
        <v>2305176772795</v>
      </c>
    </row>
    <row r="1802">
      <c r="T1802" s="494" t="s">
        <v>622</v>
      </c>
      <c r="AB1802" s="489">
        <v>1800.0</v>
      </c>
      <c r="AC1802" s="490">
        <f t="shared" si="5"/>
        <v>2305179511601</v>
      </c>
      <c r="AD1802" s="491">
        <f t="shared" si="1"/>
        <v>1500</v>
      </c>
      <c r="AE1802" s="492">
        <f t="shared" si="2"/>
        <v>0.009063325885</v>
      </c>
      <c r="AF1802" s="490">
        <f t="shared" si="3"/>
        <v>2326072106238</v>
      </c>
      <c r="AG1802" s="493">
        <f t="shared" si="6"/>
        <v>2740306.351</v>
      </c>
      <c r="AH1802" s="493">
        <f t="shared" si="4"/>
        <v>2326069365932</v>
      </c>
    </row>
    <row r="1803">
      <c r="T1803" s="494" t="s">
        <v>622</v>
      </c>
      <c r="AB1803" s="489">
        <v>1801.0</v>
      </c>
      <c r="AC1803" s="490">
        <f t="shared" si="5"/>
        <v>2326072106238</v>
      </c>
      <c r="AD1803" s="491">
        <f t="shared" si="1"/>
        <v>1500</v>
      </c>
      <c r="AE1803" s="492">
        <f t="shared" si="2"/>
        <v>0.009063325885</v>
      </c>
      <c r="AF1803" s="490">
        <f t="shared" si="3"/>
        <v>2347154057270</v>
      </c>
      <c r="AG1803" s="493">
        <f t="shared" si="6"/>
        <v>2741806.351</v>
      </c>
      <c r="AH1803" s="493">
        <f t="shared" si="4"/>
        <v>2347151315463</v>
      </c>
    </row>
    <row r="1804">
      <c r="T1804" s="494" t="s">
        <v>622</v>
      </c>
      <c r="AB1804" s="489">
        <v>1802.0</v>
      </c>
      <c r="AC1804" s="490">
        <f t="shared" si="5"/>
        <v>2347154057270</v>
      </c>
      <c r="AD1804" s="491">
        <f t="shared" si="1"/>
        <v>1500</v>
      </c>
      <c r="AE1804" s="492">
        <f t="shared" si="2"/>
        <v>0.009063325885</v>
      </c>
      <c r="AF1804" s="490">
        <f t="shared" si="3"/>
        <v>2368427080893</v>
      </c>
      <c r="AG1804" s="493">
        <f t="shared" si="6"/>
        <v>2743306.351</v>
      </c>
      <c r="AH1804" s="493">
        <f t="shared" si="4"/>
        <v>2368424337587</v>
      </c>
    </row>
    <row r="1805">
      <c r="T1805" s="494" t="s">
        <v>622</v>
      </c>
      <c r="AB1805" s="489">
        <v>1803.0</v>
      </c>
      <c r="AC1805" s="490">
        <f t="shared" si="5"/>
        <v>2368427080893</v>
      </c>
      <c r="AD1805" s="491">
        <f t="shared" si="1"/>
        <v>1500</v>
      </c>
      <c r="AE1805" s="492">
        <f t="shared" si="2"/>
        <v>0.009063325885</v>
      </c>
      <c r="AF1805" s="490">
        <f t="shared" si="3"/>
        <v>2389892908862</v>
      </c>
      <c r="AG1805" s="493">
        <f t="shared" si="6"/>
        <v>2744806.351</v>
      </c>
      <c r="AH1805" s="493">
        <f t="shared" si="4"/>
        <v>2389890164056</v>
      </c>
    </row>
    <row r="1806">
      <c r="T1806" s="494" t="s">
        <v>622</v>
      </c>
      <c r="AB1806" s="489">
        <v>1804.0</v>
      </c>
      <c r="AC1806" s="490">
        <f t="shared" si="5"/>
        <v>2389892908862</v>
      </c>
      <c r="AD1806" s="491">
        <f t="shared" si="1"/>
        <v>1500</v>
      </c>
      <c r="AE1806" s="492">
        <f t="shared" si="2"/>
        <v>0.009063325885</v>
      </c>
      <c r="AF1806" s="490">
        <f t="shared" si="3"/>
        <v>2411553288626</v>
      </c>
      <c r="AG1806" s="493">
        <f t="shared" si="6"/>
        <v>2746306.351</v>
      </c>
      <c r="AH1806" s="493">
        <f t="shared" si="4"/>
        <v>2411550542319</v>
      </c>
    </row>
    <row r="1807">
      <c r="T1807" s="494" t="s">
        <v>622</v>
      </c>
      <c r="AB1807" s="489">
        <v>1805.0</v>
      </c>
      <c r="AC1807" s="490">
        <f t="shared" si="5"/>
        <v>2411553288626</v>
      </c>
      <c r="AD1807" s="491">
        <f t="shared" si="1"/>
        <v>1500</v>
      </c>
      <c r="AE1807" s="492">
        <f t="shared" si="2"/>
        <v>0.009063325885</v>
      </c>
      <c r="AF1807" s="490">
        <f t="shared" si="3"/>
        <v>2433409983470</v>
      </c>
      <c r="AG1807" s="493">
        <f t="shared" si="6"/>
        <v>2747806.351</v>
      </c>
      <c r="AH1807" s="493">
        <f t="shared" si="4"/>
        <v>2433407235664</v>
      </c>
    </row>
    <row r="1808">
      <c r="T1808" s="494" t="s">
        <v>622</v>
      </c>
      <c r="AB1808" s="489">
        <v>1806.0</v>
      </c>
      <c r="AC1808" s="490">
        <f t="shared" si="5"/>
        <v>2433409983470</v>
      </c>
      <c r="AD1808" s="491">
        <f t="shared" si="1"/>
        <v>1500</v>
      </c>
      <c r="AE1808" s="492">
        <f t="shared" si="2"/>
        <v>0.009063325885</v>
      </c>
      <c r="AF1808" s="490">
        <f t="shared" si="3"/>
        <v>2455464772662</v>
      </c>
      <c r="AG1808" s="493">
        <f t="shared" si="6"/>
        <v>2749306.351</v>
      </c>
      <c r="AH1808" s="493">
        <f t="shared" si="4"/>
        <v>2455462023356</v>
      </c>
    </row>
    <row r="1809">
      <c r="T1809" s="494" t="s">
        <v>622</v>
      </c>
      <c r="AB1809" s="489">
        <v>1807.0</v>
      </c>
      <c r="AC1809" s="490">
        <f t="shared" si="5"/>
        <v>2455464772662</v>
      </c>
      <c r="AD1809" s="491">
        <f t="shared" si="1"/>
        <v>1500</v>
      </c>
      <c r="AE1809" s="492">
        <f t="shared" si="2"/>
        <v>0.009063325885</v>
      </c>
      <c r="AF1809" s="490">
        <f t="shared" si="3"/>
        <v>2477719451596</v>
      </c>
      <c r="AG1809" s="493">
        <f t="shared" si="6"/>
        <v>2750806.351</v>
      </c>
      <c r="AH1809" s="493">
        <f t="shared" si="4"/>
        <v>2477716700790</v>
      </c>
    </row>
    <row r="1810">
      <c r="T1810" s="494" t="s">
        <v>622</v>
      </c>
      <c r="AB1810" s="489">
        <v>1808.0</v>
      </c>
      <c r="AC1810" s="490">
        <f t="shared" si="5"/>
        <v>2477719451596</v>
      </c>
      <c r="AD1810" s="491">
        <f t="shared" si="1"/>
        <v>1500</v>
      </c>
      <c r="AE1810" s="492">
        <f t="shared" si="2"/>
        <v>0.009063325885</v>
      </c>
      <c r="AF1810" s="490">
        <f t="shared" si="3"/>
        <v>2500175831938</v>
      </c>
      <c r="AG1810" s="493">
        <f t="shared" si="6"/>
        <v>2752306.351</v>
      </c>
      <c r="AH1810" s="493">
        <f t="shared" si="4"/>
        <v>2500173079632</v>
      </c>
    </row>
    <row r="1811">
      <c r="T1811" s="494" t="s">
        <v>622</v>
      </c>
      <c r="AB1811" s="489">
        <v>1809.0</v>
      </c>
      <c r="AC1811" s="490">
        <f t="shared" si="5"/>
        <v>2500175831938</v>
      </c>
      <c r="AD1811" s="491">
        <f t="shared" si="1"/>
        <v>1500</v>
      </c>
      <c r="AE1811" s="492">
        <f t="shared" si="2"/>
        <v>0.009063325885</v>
      </c>
      <c r="AF1811" s="490">
        <f t="shared" si="3"/>
        <v>2522835741773</v>
      </c>
      <c r="AG1811" s="493">
        <f t="shared" si="6"/>
        <v>2753806.351</v>
      </c>
      <c r="AH1811" s="493">
        <f t="shared" si="4"/>
        <v>2522832987966</v>
      </c>
    </row>
    <row r="1812">
      <c r="T1812" s="494" t="s">
        <v>622</v>
      </c>
      <c r="AB1812" s="489">
        <v>1810.0</v>
      </c>
      <c r="AC1812" s="490">
        <f t="shared" si="5"/>
        <v>2522835741773</v>
      </c>
      <c r="AD1812" s="491">
        <f t="shared" si="1"/>
        <v>1500</v>
      </c>
      <c r="AE1812" s="492">
        <f t="shared" si="2"/>
        <v>0.009063325885</v>
      </c>
      <c r="AF1812" s="490">
        <f t="shared" si="3"/>
        <v>2545701025755</v>
      </c>
      <c r="AG1812" s="493">
        <f t="shared" si="6"/>
        <v>2755306.351</v>
      </c>
      <c r="AH1812" s="493">
        <f t="shared" si="4"/>
        <v>2545698270449</v>
      </c>
    </row>
    <row r="1813">
      <c r="T1813" s="494" t="s">
        <v>622</v>
      </c>
      <c r="AB1813" s="489">
        <v>1811.0</v>
      </c>
      <c r="AC1813" s="490">
        <f t="shared" si="5"/>
        <v>2545701025755</v>
      </c>
      <c r="AD1813" s="491">
        <f t="shared" si="1"/>
        <v>1500</v>
      </c>
      <c r="AE1813" s="492">
        <f t="shared" si="2"/>
        <v>0.009063325885</v>
      </c>
      <c r="AF1813" s="490">
        <f t="shared" si="3"/>
        <v>2568773545257</v>
      </c>
      <c r="AG1813" s="493">
        <f t="shared" si="6"/>
        <v>2756806.351</v>
      </c>
      <c r="AH1813" s="493">
        <f t="shared" si="4"/>
        <v>2568770788451</v>
      </c>
    </row>
    <row r="1814">
      <c r="T1814" s="494" t="s">
        <v>622</v>
      </c>
      <c r="AB1814" s="489">
        <v>1812.0</v>
      </c>
      <c r="AC1814" s="490">
        <f t="shared" si="5"/>
        <v>2568773545257</v>
      </c>
      <c r="AD1814" s="491">
        <f t="shared" si="1"/>
        <v>1500</v>
      </c>
      <c r="AE1814" s="492">
        <f t="shared" si="2"/>
        <v>0.009063325885</v>
      </c>
      <c r="AF1814" s="490">
        <f t="shared" si="3"/>
        <v>2592055178523</v>
      </c>
      <c r="AG1814" s="493">
        <f t="shared" si="6"/>
        <v>2758306.351</v>
      </c>
      <c r="AH1814" s="493">
        <f t="shared" si="4"/>
        <v>2592052420217</v>
      </c>
    </row>
    <row r="1815">
      <c r="T1815" s="494" t="s">
        <v>622</v>
      </c>
      <c r="AB1815" s="489">
        <v>1813.0</v>
      </c>
      <c r="AC1815" s="490">
        <f t="shared" si="5"/>
        <v>2592055178523</v>
      </c>
      <c r="AD1815" s="491">
        <f t="shared" si="1"/>
        <v>1500</v>
      </c>
      <c r="AE1815" s="492">
        <f t="shared" si="2"/>
        <v>0.009063325885</v>
      </c>
      <c r="AF1815" s="490">
        <f t="shared" si="3"/>
        <v>2615547820818</v>
      </c>
      <c r="AG1815" s="493">
        <f t="shared" si="6"/>
        <v>2759806.351</v>
      </c>
      <c r="AH1815" s="493">
        <f t="shared" si="4"/>
        <v>2615545061012</v>
      </c>
    </row>
    <row r="1816">
      <c r="T1816" s="494" t="s">
        <v>622</v>
      </c>
      <c r="AB1816" s="489">
        <v>1814.0</v>
      </c>
      <c r="AC1816" s="490">
        <f t="shared" si="5"/>
        <v>2615547820818</v>
      </c>
      <c r="AD1816" s="491">
        <f t="shared" si="1"/>
        <v>1500</v>
      </c>
      <c r="AE1816" s="492">
        <f t="shared" si="2"/>
        <v>0.009063325885</v>
      </c>
      <c r="AF1816" s="490">
        <f t="shared" si="3"/>
        <v>2639253384586</v>
      </c>
      <c r="AG1816" s="493">
        <f t="shared" si="6"/>
        <v>2761306.351</v>
      </c>
      <c r="AH1816" s="493">
        <f t="shared" si="4"/>
        <v>2639250623280</v>
      </c>
    </row>
    <row r="1817">
      <c r="T1817" s="494" t="s">
        <v>622</v>
      </c>
      <c r="AB1817" s="489">
        <v>1815.0</v>
      </c>
      <c r="AC1817" s="490">
        <f t="shared" si="5"/>
        <v>2639253384586</v>
      </c>
      <c r="AD1817" s="491">
        <f t="shared" si="1"/>
        <v>1500</v>
      </c>
      <c r="AE1817" s="492">
        <f t="shared" si="2"/>
        <v>0.009063325885</v>
      </c>
      <c r="AF1817" s="490">
        <f t="shared" si="3"/>
        <v>2663173799604</v>
      </c>
      <c r="AG1817" s="493">
        <f t="shared" si="6"/>
        <v>2762806.351</v>
      </c>
      <c r="AH1817" s="493">
        <f t="shared" si="4"/>
        <v>2663171036798</v>
      </c>
    </row>
    <row r="1818">
      <c r="T1818" s="494" t="s">
        <v>622</v>
      </c>
      <c r="AB1818" s="489">
        <v>1816.0</v>
      </c>
      <c r="AC1818" s="490">
        <f t="shared" si="5"/>
        <v>2663173799604</v>
      </c>
      <c r="AD1818" s="491">
        <f t="shared" si="1"/>
        <v>1500</v>
      </c>
      <c r="AE1818" s="492">
        <f t="shared" si="2"/>
        <v>0.009063325885</v>
      </c>
      <c r="AF1818" s="490">
        <f t="shared" si="3"/>
        <v>2687311013139</v>
      </c>
      <c r="AG1818" s="493">
        <f t="shared" si="6"/>
        <v>2764306.351</v>
      </c>
      <c r="AH1818" s="493">
        <f t="shared" si="4"/>
        <v>2687308248832</v>
      </c>
    </row>
    <row r="1819">
      <c r="T1819" s="494" t="s">
        <v>622</v>
      </c>
      <c r="AB1819" s="489">
        <v>1817.0</v>
      </c>
      <c r="AC1819" s="490">
        <f t="shared" si="5"/>
        <v>2687311013139</v>
      </c>
      <c r="AD1819" s="491">
        <f t="shared" si="1"/>
        <v>1500</v>
      </c>
      <c r="AE1819" s="492">
        <f t="shared" si="2"/>
        <v>0.009063325885</v>
      </c>
      <c r="AF1819" s="490">
        <f t="shared" si="3"/>
        <v>2711666990105</v>
      </c>
      <c r="AG1819" s="493">
        <f t="shared" si="6"/>
        <v>2765806.351</v>
      </c>
      <c r="AH1819" s="493">
        <f t="shared" si="4"/>
        <v>2711664224299</v>
      </c>
    </row>
    <row r="1820">
      <c r="T1820" s="494" t="s">
        <v>622</v>
      </c>
      <c r="AB1820" s="489">
        <v>1818.0</v>
      </c>
      <c r="AC1820" s="490">
        <f t="shared" si="5"/>
        <v>2711666990105</v>
      </c>
      <c r="AD1820" s="491">
        <f t="shared" si="1"/>
        <v>1500</v>
      </c>
      <c r="AE1820" s="492">
        <f t="shared" si="2"/>
        <v>0.009063325885</v>
      </c>
      <c r="AF1820" s="490">
        <f t="shared" si="3"/>
        <v>2736243713229</v>
      </c>
      <c r="AG1820" s="493">
        <f t="shared" si="6"/>
        <v>2767306.351</v>
      </c>
      <c r="AH1820" s="493">
        <f t="shared" si="4"/>
        <v>2736240945922</v>
      </c>
    </row>
    <row r="1821">
      <c r="T1821" s="494" t="s">
        <v>622</v>
      </c>
      <c r="AB1821" s="489">
        <v>1819.0</v>
      </c>
      <c r="AC1821" s="490">
        <f t="shared" si="5"/>
        <v>2736243713229</v>
      </c>
      <c r="AD1821" s="491">
        <f t="shared" si="1"/>
        <v>1500</v>
      </c>
      <c r="AE1821" s="492">
        <f t="shared" si="2"/>
        <v>0.009063325885</v>
      </c>
      <c r="AF1821" s="490">
        <f t="shared" si="3"/>
        <v>2761043183203</v>
      </c>
      <c r="AG1821" s="493">
        <f t="shared" si="6"/>
        <v>2768806.351</v>
      </c>
      <c r="AH1821" s="493">
        <f t="shared" si="4"/>
        <v>2761040414396</v>
      </c>
    </row>
    <row r="1822">
      <c r="T1822" s="494" t="s">
        <v>622</v>
      </c>
      <c r="AB1822" s="489">
        <v>1820.0</v>
      </c>
      <c r="AC1822" s="490">
        <f t="shared" si="5"/>
        <v>2761043183203</v>
      </c>
      <c r="AD1822" s="491">
        <f t="shared" si="1"/>
        <v>1500</v>
      </c>
      <c r="AE1822" s="492">
        <f t="shared" si="2"/>
        <v>0.009063325885</v>
      </c>
      <c r="AF1822" s="490">
        <f t="shared" si="3"/>
        <v>2786067418855</v>
      </c>
      <c r="AG1822" s="493">
        <f t="shared" si="6"/>
        <v>2770306.351</v>
      </c>
      <c r="AH1822" s="493">
        <f t="shared" si="4"/>
        <v>2786064648549</v>
      </c>
    </row>
    <row r="1823">
      <c r="T1823" s="494" t="s">
        <v>622</v>
      </c>
      <c r="AB1823" s="489">
        <v>1821.0</v>
      </c>
      <c r="AC1823" s="490">
        <f t="shared" si="5"/>
        <v>2786067418855</v>
      </c>
      <c r="AD1823" s="491">
        <f t="shared" si="1"/>
        <v>1500</v>
      </c>
      <c r="AE1823" s="492">
        <f t="shared" si="2"/>
        <v>0.009063325885</v>
      </c>
      <c r="AF1823" s="490">
        <f t="shared" si="3"/>
        <v>2811318457310</v>
      </c>
      <c r="AG1823" s="493">
        <f t="shared" si="6"/>
        <v>2771806.351</v>
      </c>
      <c r="AH1823" s="493">
        <f t="shared" si="4"/>
        <v>2811315685503</v>
      </c>
    </row>
    <row r="1824">
      <c r="T1824" s="494" t="s">
        <v>622</v>
      </c>
      <c r="AB1824" s="489">
        <v>1822.0</v>
      </c>
      <c r="AC1824" s="490">
        <f t="shared" si="5"/>
        <v>2811318457310</v>
      </c>
      <c r="AD1824" s="491">
        <f t="shared" si="1"/>
        <v>1500</v>
      </c>
      <c r="AE1824" s="492">
        <f t="shared" si="2"/>
        <v>0.009063325885</v>
      </c>
      <c r="AF1824" s="490">
        <f t="shared" si="3"/>
        <v>2836798354155</v>
      </c>
      <c r="AG1824" s="493">
        <f t="shared" si="6"/>
        <v>2773306.351</v>
      </c>
      <c r="AH1824" s="493">
        <f t="shared" si="4"/>
        <v>2836795580849</v>
      </c>
    </row>
    <row r="1825">
      <c r="T1825" s="494" t="s">
        <v>622</v>
      </c>
      <c r="AB1825" s="489">
        <v>1823.0</v>
      </c>
      <c r="AC1825" s="490">
        <f t="shared" si="5"/>
        <v>2836798354155</v>
      </c>
      <c r="AD1825" s="491">
        <f t="shared" si="1"/>
        <v>1500</v>
      </c>
      <c r="AE1825" s="492">
        <f t="shared" si="2"/>
        <v>0.009063325885</v>
      </c>
      <c r="AF1825" s="490">
        <f t="shared" si="3"/>
        <v>2862509183609</v>
      </c>
      <c r="AG1825" s="493">
        <f t="shared" si="6"/>
        <v>2774806.351</v>
      </c>
      <c r="AH1825" s="493">
        <f t="shared" si="4"/>
        <v>2862506408803</v>
      </c>
    </row>
    <row r="1826">
      <c r="T1826" s="494" t="s">
        <v>622</v>
      </c>
      <c r="AB1826" s="489">
        <v>1824.0</v>
      </c>
      <c r="AC1826" s="490">
        <f t="shared" si="5"/>
        <v>2862509183609</v>
      </c>
      <c r="AD1826" s="491">
        <f t="shared" si="1"/>
        <v>1500</v>
      </c>
      <c r="AE1826" s="492">
        <f t="shared" si="2"/>
        <v>0.009063325885</v>
      </c>
      <c r="AF1826" s="490">
        <f t="shared" si="3"/>
        <v>2888453038689</v>
      </c>
      <c r="AG1826" s="493">
        <f t="shared" si="6"/>
        <v>2776306.351</v>
      </c>
      <c r="AH1826" s="493">
        <f t="shared" si="4"/>
        <v>2888450262383</v>
      </c>
    </row>
    <row r="1827">
      <c r="T1827" s="494" t="s">
        <v>622</v>
      </c>
      <c r="AB1827" s="489">
        <v>1825.0</v>
      </c>
      <c r="AC1827" s="490">
        <f t="shared" si="5"/>
        <v>2888453038689</v>
      </c>
      <c r="AD1827" s="491">
        <f t="shared" si="1"/>
        <v>1500</v>
      </c>
      <c r="AE1827" s="492">
        <f t="shared" si="2"/>
        <v>0.009063325885</v>
      </c>
      <c r="AF1827" s="490">
        <f t="shared" si="3"/>
        <v>2914632031383</v>
      </c>
      <c r="AG1827" s="493">
        <f t="shared" si="6"/>
        <v>2777806.351</v>
      </c>
      <c r="AH1827" s="493">
        <f t="shared" si="4"/>
        <v>2914629253576</v>
      </c>
    </row>
    <row r="1828">
      <c r="T1828" s="494" t="s">
        <v>622</v>
      </c>
      <c r="AB1828" s="489">
        <v>1826.0</v>
      </c>
      <c r="AC1828" s="490">
        <f t="shared" si="5"/>
        <v>2914632031383</v>
      </c>
      <c r="AD1828" s="491">
        <f t="shared" si="1"/>
        <v>1500</v>
      </c>
      <c r="AE1828" s="492">
        <f t="shared" si="2"/>
        <v>0.009063325885</v>
      </c>
      <c r="AF1828" s="490">
        <f t="shared" si="3"/>
        <v>2941048292818</v>
      </c>
      <c r="AG1828" s="493">
        <f t="shared" si="6"/>
        <v>2779306.351</v>
      </c>
      <c r="AH1828" s="493">
        <f t="shared" si="4"/>
        <v>2941045513512</v>
      </c>
    </row>
    <row r="1829">
      <c r="T1829" s="494" t="s">
        <v>622</v>
      </c>
      <c r="AB1829" s="489">
        <v>1827.0</v>
      </c>
      <c r="AC1829" s="490">
        <f t="shared" si="5"/>
        <v>2941048292818</v>
      </c>
      <c r="AD1829" s="491">
        <f t="shared" si="1"/>
        <v>1500</v>
      </c>
      <c r="AE1829" s="492">
        <f t="shared" si="2"/>
        <v>0.009063325885</v>
      </c>
      <c r="AF1829" s="490">
        <f t="shared" si="3"/>
        <v>2967703973440</v>
      </c>
      <c r="AG1829" s="493">
        <f t="shared" si="6"/>
        <v>2780806.351</v>
      </c>
      <c r="AH1829" s="493">
        <f t="shared" si="4"/>
        <v>2967701192634</v>
      </c>
    </row>
    <row r="1830">
      <c r="T1830" s="494" t="s">
        <v>622</v>
      </c>
      <c r="AB1830" s="489">
        <v>1828.0</v>
      </c>
      <c r="AC1830" s="490">
        <f t="shared" si="5"/>
        <v>2967703973440</v>
      </c>
      <c r="AD1830" s="491">
        <f t="shared" si="1"/>
        <v>1500</v>
      </c>
      <c r="AE1830" s="492">
        <f t="shared" si="2"/>
        <v>0.009063325885</v>
      </c>
      <c r="AF1830" s="490">
        <f t="shared" si="3"/>
        <v>2994601243182</v>
      </c>
      <c r="AG1830" s="493">
        <f t="shared" si="6"/>
        <v>2782306.351</v>
      </c>
      <c r="AH1830" s="493">
        <f t="shared" si="4"/>
        <v>2994598460875</v>
      </c>
    </row>
    <row r="1831">
      <c r="T1831" s="494" t="s">
        <v>622</v>
      </c>
      <c r="AB1831" s="489">
        <v>1829.0</v>
      </c>
      <c r="AC1831" s="490">
        <f t="shared" si="5"/>
        <v>2994601243182</v>
      </c>
      <c r="AD1831" s="491">
        <f t="shared" si="1"/>
        <v>1500</v>
      </c>
      <c r="AE1831" s="492">
        <f t="shared" si="2"/>
        <v>0.009063325885</v>
      </c>
      <c r="AF1831" s="490">
        <f t="shared" si="3"/>
        <v>3021742291645</v>
      </c>
      <c r="AG1831" s="493">
        <f t="shared" si="6"/>
        <v>2783806.351</v>
      </c>
      <c r="AH1831" s="493">
        <f t="shared" si="4"/>
        <v>3021739507838</v>
      </c>
    </row>
    <row r="1832">
      <c r="T1832" s="494" t="s">
        <v>622</v>
      </c>
      <c r="AB1832" s="489">
        <v>1830.0</v>
      </c>
      <c r="AC1832" s="490">
        <f t="shared" si="5"/>
        <v>3021742291645</v>
      </c>
      <c r="AD1832" s="491">
        <f t="shared" si="1"/>
        <v>1500</v>
      </c>
      <c r="AE1832" s="492">
        <f t="shared" si="2"/>
        <v>0.009063325885</v>
      </c>
      <c r="AF1832" s="490">
        <f t="shared" si="3"/>
        <v>3049129328275</v>
      </c>
      <c r="AG1832" s="493">
        <f t="shared" si="6"/>
        <v>2785306.351</v>
      </c>
      <c r="AH1832" s="493">
        <f t="shared" si="4"/>
        <v>3049126542968</v>
      </c>
    </row>
    <row r="1833">
      <c r="T1833" s="494" t="s">
        <v>622</v>
      </c>
      <c r="AB1833" s="489">
        <v>1831.0</v>
      </c>
      <c r="AC1833" s="490">
        <f t="shared" si="5"/>
        <v>3049129328275</v>
      </c>
      <c r="AD1833" s="491">
        <f t="shared" si="1"/>
        <v>1500</v>
      </c>
      <c r="AE1833" s="492">
        <f t="shared" si="2"/>
        <v>0.009063325885</v>
      </c>
      <c r="AF1833" s="490">
        <f t="shared" si="3"/>
        <v>3076764582543</v>
      </c>
      <c r="AG1833" s="493">
        <f t="shared" si="6"/>
        <v>2786806.351</v>
      </c>
      <c r="AH1833" s="493">
        <f t="shared" si="4"/>
        <v>3076761795736</v>
      </c>
    </row>
    <row r="1834">
      <c r="T1834" s="494" t="s">
        <v>622</v>
      </c>
      <c r="AB1834" s="489">
        <v>1832.0</v>
      </c>
      <c r="AC1834" s="490">
        <f t="shared" si="5"/>
        <v>3076764582543</v>
      </c>
      <c r="AD1834" s="491">
        <f t="shared" si="1"/>
        <v>1500</v>
      </c>
      <c r="AE1834" s="492">
        <f t="shared" si="2"/>
        <v>0.009063325885</v>
      </c>
      <c r="AF1834" s="490">
        <f t="shared" si="3"/>
        <v>3104650304126</v>
      </c>
      <c r="AG1834" s="493">
        <f t="shared" si="6"/>
        <v>2788306.351</v>
      </c>
      <c r="AH1834" s="493">
        <f t="shared" si="4"/>
        <v>3104647515820</v>
      </c>
    </row>
    <row r="1835">
      <c r="T1835" s="494" t="s">
        <v>622</v>
      </c>
      <c r="AB1835" s="489">
        <v>1833.0</v>
      </c>
      <c r="AC1835" s="490">
        <f t="shared" si="5"/>
        <v>3104650304126</v>
      </c>
      <c r="AD1835" s="491">
        <f t="shared" si="1"/>
        <v>1500</v>
      </c>
      <c r="AE1835" s="492">
        <f t="shared" si="2"/>
        <v>0.009063325885</v>
      </c>
      <c r="AF1835" s="490">
        <f t="shared" si="3"/>
        <v>3132788763091</v>
      </c>
      <c r="AG1835" s="493">
        <f t="shared" si="6"/>
        <v>2789806.351</v>
      </c>
      <c r="AH1835" s="493">
        <f t="shared" si="4"/>
        <v>3132785973285</v>
      </c>
    </row>
    <row r="1836">
      <c r="T1836" s="494" t="s">
        <v>622</v>
      </c>
      <c r="AB1836" s="489">
        <v>1834.0</v>
      </c>
      <c r="AC1836" s="490">
        <f t="shared" si="5"/>
        <v>3132788763091</v>
      </c>
      <c r="AD1836" s="491">
        <f t="shared" si="1"/>
        <v>1500</v>
      </c>
      <c r="AE1836" s="492">
        <f t="shared" si="2"/>
        <v>0.009063325885</v>
      </c>
      <c r="AF1836" s="490">
        <f t="shared" si="3"/>
        <v>3161182250081</v>
      </c>
      <c r="AG1836" s="493">
        <f t="shared" si="6"/>
        <v>2791306.351</v>
      </c>
      <c r="AH1836" s="493">
        <f t="shared" si="4"/>
        <v>3161179458774</v>
      </c>
    </row>
    <row r="1837">
      <c r="T1837" s="494" t="s">
        <v>622</v>
      </c>
      <c r="AB1837" s="489">
        <v>1835.0</v>
      </c>
      <c r="AC1837" s="490">
        <f t="shared" si="5"/>
        <v>3161182250081</v>
      </c>
      <c r="AD1837" s="491">
        <f t="shared" si="1"/>
        <v>1500</v>
      </c>
      <c r="AE1837" s="492">
        <f t="shared" si="2"/>
        <v>0.009063325885</v>
      </c>
      <c r="AF1837" s="490">
        <f t="shared" si="3"/>
        <v>3189833076495</v>
      </c>
      <c r="AG1837" s="493">
        <f t="shared" si="6"/>
        <v>2792806.351</v>
      </c>
      <c r="AH1837" s="493">
        <f t="shared" si="4"/>
        <v>3189830283689</v>
      </c>
    </row>
    <row r="1838">
      <c r="T1838" s="494" t="s">
        <v>622</v>
      </c>
      <c r="AB1838" s="489">
        <v>1836.0</v>
      </c>
      <c r="AC1838" s="490">
        <f t="shared" si="5"/>
        <v>3189833076495</v>
      </c>
      <c r="AD1838" s="491">
        <f t="shared" si="1"/>
        <v>1500</v>
      </c>
      <c r="AE1838" s="492">
        <f t="shared" si="2"/>
        <v>0.009063325885</v>
      </c>
      <c r="AF1838" s="490">
        <f t="shared" si="3"/>
        <v>3218743574687</v>
      </c>
      <c r="AG1838" s="493">
        <f t="shared" si="6"/>
        <v>2794306.351</v>
      </c>
      <c r="AH1838" s="493">
        <f t="shared" si="4"/>
        <v>3218740780380</v>
      </c>
    </row>
    <row r="1839">
      <c r="T1839" s="494" t="s">
        <v>622</v>
      </c>
      <c r="AB1839" s="489">
        <v>1837.0</v>
      </c>
      <c r="AC1839" s="490">
        <f t="shared" si="5"/>
        <v>3218743574687</v>
      </c>
      <c r="AD1839" s="491">
        <f t="shared" si="1"/>
        <v>1500</v>
      </c>
      <c r="AE1839" s="492">
        <f t="shared" si="2"/>
        <v>0.009063325885</v>
      </c>
      <c r="AF1839" s="490">
        <f t="shared" si="3"/>
        <v>3247916098145</v>
      </c>
      <c r="AG1839" s="493">
        <f t="shared" si="6"/>
        <v>2795806.351</v>
      </c>
      <c r="AH1839" s="493">
        <f t="shared" si="4"/>
        <v>3247913302338</v>
      </c>
    </row>
    <row r="1840">
      <c r="T1840" s="494" t="s">
        <v>622</v>
      </c>
      <c r="AB1840" s="489">
        <v>1838.0</v>
      </c>
      <c r="AC1840" s="490">
        <f t="shared" si="5"/>
        <v>3247916098145</v>
      </c>
      <c r="AD1840" s="491">
        <f t="shared" si="1"/>
        <v>1500</v>
      </c>
      <c r="AE1840" s="492">
        <f t="shared" si="2"/>
        <v>0.009063325885</v>
      </c>
      <c r="AF1840" s="490">
        <f t="shared" si="3"/>
        <v>3277353021689</v>
      </c>
      <c r="AG1840" s="493">
        <f t="shared" si="6"/>
        <v>2797306.351</v>
      </c>
      <c r="AH1840" s="493">
        <f t="shared" si="4"/>
        <v>3277350224383</v>
      </c>
    </row>
    <row r="1841">
      <c r="T1841" s="494" t="s">
        <v>622</v>
      </c>
      <c r="AB1841" s="489">
        <v>1839.0</v>
      </c>
      <c r="AC1841" s="490">
        <f t="shared" si="5"/>
        <v>3277353021689</v>
      </c>
      <c r="AD1841" s="491">
        <f t="shared" si="1"/>
        <v>1500</v>
      </c>
      <c r="AE1841" s="492">
        <f t="shared" si="2"/>
        <v>0.009063325885</v>
      </c>
      <c r="AF1841" s="490">
        <f t="shared" si="3"/>
        <v>3307056741666</v>
      </c>
      <c r="AG1841" s="493">
        <f t="shared" si="6"/>
        <v>2798806.351</v>
      </c>
      <c r="AH1841" s="493">
        <f t="shared" si="4"/>
        <v>3307053942859</v>
      </c>
    </row>
    <row r="1842">
      <c r="T1842" s="494" t="s">
        <v>622</v>
      </c>
      <c r="AB1842" s="489">
        <v>1840.0</v>
      </c>
      <c r="AC1842" s="490">
        <f t="shared" si="5"/>
        <v>3307056741666</v>
      </c>
      <c r="AD1842" s="491">
        <f t="shared" si="1"/>
        <v>1500</v>
      </c>
      <c r="AE1842" s="492">
        <f t="shared" si="2"/>
        <v>0.009063325885</v>
      </c>
      <c r="AF1842" s="490">
        <f t="shared" si="3"/>
        <v>3337029676136</v>
      </c>
      <c r="AG1842" s="493">
        <f t="shared" si="6"/>
        <v>2800306.351</v>
      </c>
      <c r="AH1842" s="493">
        <f t="shared" si="4"/>
        <v>3337026875829</v>
      </c>
    </row>
    <row r="1843">
      <c r="T1843" s="494" t="s">
        <v>622</v>
      </c>
      <c r="AB1843" s="489">
        <v>1841.0</v>
      </c>
      <c r="AC1843" s="490">
        <f t="shared" si="5"/>
        <v>3337029676136</v>
      </c>
      <c r="AD1843" s="491">
        <f t="shared" si="1"/>
        <v>1500</v>
      </c>
      <c r="AE1843" s="492">
        <f t="shared" si="2"/>
        <v>0.009063325885</v>
      </c>
      <c r="AF1843" s="490">
        <f t="shared" si="3"/>
        <v>3367274265079</v>
      </c>
      <c r="AG1843" s="493">
        <f t="shared" si="6"/>
        <v>2801806.351</v>
      </c>
      <c r="AH1843" s="493">
        <f t="shared" si="4"/>
        <v>3367271463273</v>
      </c>
    </row>
    <row r="1844">
      <c r="T1844" s="494" t="s">
        <v>622</v>
      </c>
      <c r="AB1844" s="489">
        <v>1842.0</v>
      </c>
      <c r="AC1844" s="490">
        <f t="shared" si="5"/>
        <v>3367274265079</v>
      </c>
      <c r="AD1844" s="491">
        <f t="shared" si="1"/>
        <v>1500</v>
      </c>
      <c r="AE1844" s="492">
        <f t="shared" si="2"/>
        <v>0.009063325885</v>
      </c>
      <c r="AF1844" s="490">
        <f t="shared" si="3"/>
        <v>3397792970588</v>
      </c>
      <c r="AG1844" s="493">
        <f t="shared" si="6"/>
        <v>2803306.351</v>
      </c>
      <c r="AH1844" s="493">
        <f t="shared" si="4"/>
        <v>3397790167281</v>
      </c>
    </row>
    <row r="1845">
      <c r="T1845" s="494" t="s">
        <v>622</v>
      </c>
      <c r="AB1845" s="489">
        <v>1843.0</v>
      </c>
      <c r="AC1845" s="490">
        <f t="shared" si="5"/>
        <v>3397792970588</v>
      </c>
      <c r="AD1845" s="491">
        <f t="shared" si="1"/>
        <v>1500</v>
      </c>
      <c r="AE1845" s="492">
        <f t="shared" si="2"/>
        <v>0.009063325885</v>
      </c>
      <c r="AF1845" s="490">
        <f t="shared" si="3"/>
        <v>3428588277070</v>
      </c>
      <c r="AG1845" s="493">
        <f t="shared" si="6"/>
        <v>2804806.351</v>
      </c>
      <c r="AH1845" s="493">
        <f t="shared" si="4"/>
        <v>3428585472264</v>
      </c>
    </row>
    <row r="1846">
      <c r="T1846" s="494" t="s">
        <v>622</v>
      </c>
      <c r="AB1846" s="489">
        <v>1844.0</v>
      </c>
      <c r="AC1846" s="490">
        <f t="shared" si="5"/>
        <v>3428588277070</v>
      </c>
      <c r="AD1846" s="491">
        <f t="shared" si="1"/>
        <v>1500</v>
      </c>
      <c r="AE1846" s="492">
        <f t="shared" si="2"/>
        <v>0.009063325885</v>
      </c>
      <c r="AF1846" s="490">
        <f t="shared" si="3"/>
        <v>3459662691451</v>
      </c>
      <c r="AG1846" s="493">
        <f t="shared" si="6"/>
        <v>2806306.351</v>
      </c>
      <c r="AH1846" s="493">
        <f t="shared" si="4"/>
        <v>3459659885145</v>
      </c>
    </row>
    <row r="1847">
      <c r="T1847" s="494" t="s">
        <v>622</v>
      </c>
      <c r="AB1847" s="489">
        <v>1845.0</v>
      </c>
      <c r="AC1847" s="490">
        <f t="shared" si="5"/>
        <v>3459662691451</v>
      </c>
      <c r="AD1847" s="491">
        <f t="shared" si="1"/>
        <v>1500</v>
      </c>
      <c r="AE1847" s="492">
        <f t="shared" si="2"/>
        <v>0.009063325885</v>
      </c>
      <c r="AF1847" s="490">
        <f t="shared" si="3"/>
        <v>3491018743376</v>
      </c>
      <c r="AG1847" s="493">
        <f t="shared" si="6"/>
        <v>2807806.351</v>
      </c>
      <c r="AH1847" s="493">
        <f t="shared" si="4"/>
        <v>3491015935570</v>
      </c>
    </row>
    <row r="1848">
      <c r="T1848" s="494" t="s">
        <v>622</v>
      </c>
      <c r="AB1848" s="489">
        <v>1846.0</v>
      </c>
      <c r="AC1848" s="490">
        <f t="shared" si="5"/>
        <v>3491018743376</v>
      </c>
      <c r="AD1848" s="491">
        <f t="shared" si="1"/>
        <v>1500</v>
      </c>
      <c r="AE1848" s="492">
        <f t="shared" si="2"/>
        <v>0.009063325885</v>
      </c>
      <c r="AF1848" s="490">
        <f t="shared" si="3"/>
        <v>3522658985419</v>
      </c>
      <c r="AG1848" s="493">
        <f t="shared" si="6"/>
        <v>2809306.351</v>
      </c>
      <c r="AH1848" s="493">
        <f t="shared" si="4"/>
        <v>3522656176112</v>
      </c>
    </row>
    <row r="1849">
      <c r="T1849" s="494" t="s">
        <v>622</v>
      </c>
      <c r="AB1849" s="489">
        <v>1847.0</v>
      </c>
      <c r="AC1849" s="490">
        <f t="shared" si="5"/>
        <v>3522658985419</v>
      </c>
      <c r="AD1849" s="491">
        <f t="shared" si="1"/>
        <v>1500</v>
      </c>
      <c r="AE1849" s="492">
        <f t="shared" si="2"/>
        <v>0.009063325885</v>
      </c>
      <c r="AF1849" s="490">
        <f t="shared" si="3"/>
        <v>3554585993286</v>
      </c>
      <c r="AG1849" s="493">
        <f t="shared" si="6"/>
        <v>2810806.351</v>
      </c>
      <c r="AH1849" s="493">
        <f t="shared" si="4"/>
        <v>3554583182479</v>
      </c>
    </row>
    <row r="1850">
      <c r="T1850" s="494" t="s">
        <v>622</v>
      </c>
      <c r="AB1850" s="489">
        <v>1848.0</v>
      </c>
      <c r="AC1850" s="490">
        <f t="shared" si="5"/>
        <v>3554585993286</v>
      </c>
      <c r="AD1850" s="491">
        <f t="shared" si="1"/>
        <v>1500</v>
      </c>
      <c r="AE1850" s="492">
        <f t="shared" si="2"/>
        <v>0.009063325885</v>
      </c>
      <c r="AF1850" s="490">
        <f t="shared" si="3"/>
        <v>3586802366029</v>
      </c>
      <c r="AG1850" s="493">
        <f t="shared" si="6"/>
        <v>2812306.351</v>
      </c>
      <c r="AH1850" s="493">
        <f t="shared" si="4"/>
        <v>3586799553723</v>
      </c>
    </row>
    <row r="1851">
      <c r="T1851" s="494" t="s">
        <v>622</v>
      </c>
      <c r="AB1851" s="489">
        <v>1849.0</v>
      </c>
      <c r="AC1851" s="490">
        <f t="shared" si="5"/>
        <v>3586802366029</v>
      </c>
      <c r="AD1851" s="491">
        <f t="shared" si="1"/>
        <v>1500</v>
      </c>
      <c r="AE1851" s="492">
        <f t="shared" si="2"/>
        <v>0.009063325885</v>
      </c>
      <c r="AF1851" s="490">
        <f t="shared" si="3"/>
        <v>3619310726258</v>
      </c>
      <c r="AG1851" s="493">
        <f t="shared" si="6"/>
        <v>2813806.351</v>
      </c>
      <c r="AH1851" s="493">
        <f t="shared" si="4"/>
        <v>3619307912452</v>
      </c>
    </row>
    <row r="1852">
      <c r="T1852" s="494" t="s">
        <v>622</v>
      </c>
      <c r="AB1852" s="489">
        <v>1850.0</v>
      </c>
      <c r="AC1852" s="490">
        <f t="shared" si="5"/>
        <v>3619310726258</v>
      </c>
      <c r="AD1852" s="491">
        <f t="shared" si="1"/>
        <v>1500</v>
      </c>
      <c r="AE1852" s="492">
        <f t="shared" si="2"/>
        <v>0.009063325885</v>
      </c>
      <c r="AF1852" s="490">
        <f t="shared" si="3"/>
        <v>3652113720350</v>
      </c>
      <c r="AG1852" s="493">
        <f t="shared" si="6"/>
        <v>2815306.351</v>
      </c>
      <c r="AH1852" s="493">
        <f t="shared" si="4"/>
        <v>3652110905043</v>
      </c>
    </row>
    <row r="1853">
      <c r="T1853" s="494" t="s">
        <v>622</v>
      </c>
      <c r="AB1853" s="489">
        <v>1851.0</v>
      </c>
      <c r="AC1853" s="490">
        <f t="shared" si="5"/>
        <v>3652113720350</v>
      </c>
      <c r="AD1853" s="491">
        <f t="shared" si="1"/>
        <v>1500</v>
      </c>
      <c r="AE1853" s="492">
        <f t="shared" si="2"/>
        <v>0.009063325885</v>
      </c>
      <c r="AF1853" s="490">
        <f t="shared" si="3"/>
        <v>3685214018667</v>
      </c>
      <c r="AG1853" s="493">
        <f t="shared" si="6"/>
        <v>2816806.351</v>
      </c>
      <c r="AH1853" s="493">
        <f t="shared" si="4"/>
        <v>3685211201860</v>
      </c>
    </row>
    <row r="1854">
      <c r="T1854" s="494" t="s">
        <v>622</v>
      </c>
      <c r="AB1854" s="489">
        <v>1852.0</v>
      </c>
      <c r="AC1854" s="490">
        <f t="shared" si="5"/>
        <v>3685214018667</v>
      </c>
      <c r="AD1854" s="491">
        <f t="shared" si="1"/>
        <v>1500</v>
      </c>
      <c r="AE1854" s="492">
        <f t="shared" si="2"/>
        <v>0.009063325885</v>
      </c>
      <c r="AF1854" s="490">
        <f t="shared" si="3"/>
        <v>3718614315774</v>
      </c>
      <c r="AG1854" s="493">
        <f t="shared" si="6"/>
        <v>2818306.351</v>
      </c>
      <c r="AH1854" s="493">
        <f t="shared" si="4"/>
        <v>3718611497468</v>
      </c>
    </row>
    <row r="1855">
      <c r="T1855" s="494" t="s">
        <v>622</v>
      </c>
      <c r="AB1855" s="489">
        <v>1853.0</v>
      </c>
      <c r="AC1855" s="490">
        <f t="shared" si="5"/>
        <v>3718614315774</v>
      </c>
      <c r="AD1855" s="491">
        <f t="shared" si="1"/>
        <v>1500</v>
      </c>
      <c r="AE1855" s="492">
        <f t="shared" si="2"/>
        <v>0.009063325885</v>
      </c>
      <c r="AF1855" s="490">
        <f t="shared" si="3"/>
        <v>3752317330659</v>
      </c>
      <c r="AG1855" s="493">
        <f t="shared" si="6"/>
        <v>2819806.351</v>
      </c>
      <c r="AH1855" s="493">
        <f t="shared" si="4"/>
        <v>3752314510853</v>
      </c>
    </row>
    <row r="1856">
      <c r="T1856" s="494" t="s">
        <v>622</v>
      </c>
      <c r="AB1856" s="489">
        <v>1854.0</v>
      </c>
      <c r="AC1856" s="490">
        <f t="shared" si="5"/>
        <v>3752317330659</v>
      </c>
      <c r="AD1856" s="491">
        <f t="shared" si="1"/>
        <v>1500</v>
      </c>
      <c r="AE1856" s="492">
        <f t="shared" si="2"/>
        <v>0.009063325885</v>
      </c>
      <c r="AF1856" s="490">
        <f t="shared" si="3"/>
        <v>3786325806951</v>
      </c>
      <c r="AG1856" s="493">
        <f t="shared" si="6"/>
        <v>2821306.351</v>
      </c>
      <c r="AH1856" s="493">
        <f t="shared" si="4"/>
        <v>3786322985645</v>
      </c>
    </row>
    <row r="1857">
      <c r="T1857" s="494" t="s">
        <v>622</v>
      </c>
      <c r="AB1857" s="489">
        <v>1855.0</v>
      </c>
      <c r="AC1857" s="490">
        <f t="shared" si="5"/>
        <v>3786325806951</v>
      </c>
      <c r="AD1857" s="491">
        <f t="shared" si="1"/>
        <v>1500</v>
      </c>
      <c r="AE1857" s="492">
        <f t="shared" si="2"/>
        <v>0.009063325885</v>
      </c>
      <c r="AF1857" s="490">
        <f t="shared" si="3"/>
        <v>3820642513146</v>
      </c>
      <c r="AG1857" s="493">
        <f t="shared" si="6"/>
        <v>2822806.351</v>
      </c>
      <c r="AH1857" s="493">
        <f t="shared" si="4"/>
        <v>3820639690340</v>
      </c>
    </row>
    <row r="1858">
      <c r="T1858" s="494" t="s">
        <v>622</v>
      </c>
      <c r="AB1858" s="489">
        <v>1856.0</v>
      </c>
      <c r="AC1858" s="490">
        <f t="shared" si="5"/>
        <v>3820642513146</v>
      </c>
      <c r="AD1858" s="491">
        <f t="shared" si="1"/>
        <v>1500</v>
      </c>
      <c r="AE1858" s="492">
        <f t="shared" si="2"/>
        <v>0.009063325885</v>
      </c>
      <c r="AF1858" s="490">
        <f t="shared" si="3"/>
        <v>3855270242834</v>
      </c>
      <c r="AG1858" s="493">
        <f t="shared" si="6"/>
        <v>2824306.351</v>
      </c>
      <c r="AH1858" s="493">
        <f t="shared" si="4"/>
        <v>3855267418527</v>
      </c>
    </row>
    <row r="1859">
      <c r="T1859" s="494" t="s">
        <v>622</v>
      </c>
      <c r="AB1859" s="489">
        <v>1857.0</v>
      </c>
      <c r="AC1859" s="490">
        <f t="shared" si="5"/>
        <v>3855270242834</v>
      </c>
      <c r="AD1859" s="491">
        <f t="shared" si="1"/>
        <v>1500</v>
      </c>
      <c r="AE1859" s="492">
        <f t="shared" si="2"/>
        <v>0.009063325885</v>
      </c>
      <c r="AF1859" s="490">
        <f t="shared" si="3"/>
        <v>3890211814920</v>
      </c>
      <c r="AG1859" s="493">
        <f t="shared" si="6"/>
        <v>2825806.351</v>
      </c>
      <c r="AH1859" s="493">
        <f t="shared" si="4"/>
        <v>3890208989113</v>
      </c>
    </row>
    <row r="1860">
      <c r="T1860" s="494" t="s">
        <v>622</v>
      </c>
      <c r="AB1860" s="489">
        <v>1858.0</v>
      </c>
      <c r="AC1860" s="490">
        <f t="shared" si="5"/>
        <v>3890211814920</v>
      </c>
      <c r="AD1860" s="491">
        <f t="shared" si="1"/>
        <v>1500</v>
      </c>
      <c r="AE1860" s="492">
        <f t="shared" si="2"/>
        <v>0.009063325885</v>
      </c>
      <c r="AF1860" s="490">
        <f t="shared" si="3"/>
        <v>3925470073860</v>
      </c>
      <c r="AG1860" s="493">
        <f t="shared" si="6"/>
        <v>2827306.351</v>
      </c>
      <c r="AH1860" s="493">
        <f t="shared" si="4"/>
        <v>3925467246554</v>
      </c>
    </row>
    <row r="1861">
      <c r="T1861" s="494" t="s">
        <v>622</v>
      </c>
      <c r="AB1861" s="489">
        <v>1859.0</v>
      </c>
      <c r="AC1861" s="490">
        <f t="shared" si="5"/>
        <v>3925470073860</v>
      </c>
      <c r="AD1861" s="491">
        <f t="shared" si="1"/>
        <v>1500</v>
      </c>
      <c r="AE1861" s="492">
        <f t="shared" si="2"/>
        <v>0.009063325885</v>
      </c>
      <c r="AF1861" s="490">
        <f t="shared" si="3"/>
        <v>3961047889892</v>
      </c>
      <c r="AG1861" s="493">
        <f t="shared" si="6"/>
        <v>2828806.351</v>
      </c>
      <c r="AH1861" s="493">
        <f t="shared" si="4"/>
        <v>3961045061085</v>
      </c>
    </row>
    <row r="1862">
      <c r="T1862" s="494" t="s">
        <v>622</v>
      </c>
      <c r="AB1862" s="489">
        <v>1860.0</v>
      </c>
      <c r="AC1862" s="490">
        <f t="shared" si="5"/>
        <v>3961047889892</v>
      </c>
      <c r="AD1862" s="491">
        <f t="shared" si="1"/>
        <v>1500</v>
      </c>
      <c r="AE1862" s="492">
        <f t="shared" si="2"/>
        <v>0.009063325885</v>
      </c>
      <c r="AF1862" s="490">
        <f t="shared" si="3"/>
        <v>3996948159264</v>
      </c>
      <c r="AG1862" s="493">
        <f t="shared" si="6"/>
        <v>2830306.351</v>
      </c>
      <c r="AH1862" s="493">
        <f t="shared" si="4"/>
        <v>3996945328958</v>
      </c>
    </row>
    <row r="1863">
      <c r="T1863" s="494" t="s">
        <v>622</v>
      </c>
      <c r="AB1863" s="489">
        <v>1861.0</v>
      </c>
      <c r="AC1863" s="490">
        <f t="shared" si="5"/>
        <v>3996948159264</v>
      </c>
      <c r="AD1863" s="491">
        <f t="shared" si="1"/>
        <v>1500</v>
      </c>
      <c r="AE1863" s="492">
        <f t="shared" si="2"/>
        <v>0.009063325885</v>
      </c>
      <c r="AF1863" s="490">
        <f t="shared" si="3"/>
        <v>4033173804478</v>
      </c>
      <c r="AG1863" s="493">
        <f t="shared" si="6"/>
        <v>2831806.351</v>
      </c>
      <c r="AH1863" s="493">
        <f t="shared" si="4"/>
        <v>4033170972671</v>
      </c>
    </row>
    <row r="1864">
      <c r="T1864" s="494" t="s">
        <v>622</v>
      </c>
      <c r="AB1864" s="489">
        <v>1862.0</v>
      </c>
      <c r="AC1864" s="490">
        <f t="shared" si="5"/>
        <v>4033173804478</v>
      </c>
      <c r="AD1864" s="491">
        <f t="shared" si="1"/>
        <v>1500</v>
      </c>
      <c r="AE1864" s="492">
        <f t="shared" si="2"/>
        <v>0.009063325885</v>
      </c>
      <c r="AF1864" s="490">
        <f t="shared" si="3"/>
        <v>4069727774519</v>
      </c>
      <c r="AG1864" s="493">
        <f t="shared" si="6"/>
        <v>2833306.351</v>
      </c>
      <c r="AH1864" s="493">
        <f t="shared" si="4"/>
        <v>4069724941213</v>
      </c>
    </row>
    <row r="1865">
      <c r="T1865" s="494" t="s">
        <v>622</v>
      </c>
      <c r="AB1865" s="489">
        <v>1863.0</v>
      </c>
      <c r="AC1865" s="490">
        <f t="shared" si="5"/>
        <v>4069727774519</v>
      </c>
      <c r="AD1865" s="491">
        <f t="shared" si="1"/>
        <v>1500</v>
      </c>
      <c r="AE1865" s="492">
        <f t="shared" si="2"/>
        <v>0.009063325885</v>
      </c>
      <c r="AF1865" s="490">
        <f t="shared" si="3"/>
        <v>4106613045103</v>
      </c>
      <c r="AG1865" s="493">
        <f t="shared" si="6"/>
        <v>2834806.351</v>
      </c>
      <c r="AH1865" s="493">
        <f t="shared" si="4"/>
        <v>4106610210297</v>
      </c>
    </row>
    <row r="1866">
      <c r="T1866" s="494" t="s">
        <v>622</v>
      </c>
      <c r="AB1866" s="489">
        <v>1864.0</v>
      </c>
      <c r="AC1866" s="490">
        <f t="shared" si="5"/>
        <v>4106613045103</v>
      </c>
      <c r="AD1866" s="491">
        <f t="shared" si="1"/>
        <v>1500</v>
      </c>
      <c r="AE1866" s="492">
        <f t="shared" si="2"/>
        <v>0.009063325885</v>
      </c>
      <c r="AF1866" s="490">
        <f t="shared" si="3"/>
        <v>4143832618915</v>
      </c>
      <c r="AG1866" s="493">
        <f t="shared" si="6"/>
        <v>2836306.351</v>
      </c>
      <c r="AH1866" s="493">
        <f t="shared" si="4"/>
        <v>4143829782608</v>
      </c>
    </row>
    <row r="1867">
      <c r="T1867" s="494" t="s">
        <v>622</v>
      </c>
      <c r="AB1867" s="489">
        <v>1865.0</v>
      </c>
      <c r="AC1867" s="490">
        <f t="shared" si="5"/>
        <v>4143832618915</v>
      </c>
      <c r="AD1867" s="491">
        <f t="shared" si="1"/>
        <v>1500</v>
      </c>
      <c r="AE1867" s="492">
        <f t="shared" si="2"/>
        <v>0.009063325885</v>
      </c>
      <c r="AF1867" s="490">
        <f t="shared" si="3"/>
        <v>4181389525853</v>
      </c>
      <c r="AG1867" s="493">
        <f t="shared" si="6"/>
        <v>2837806.351</v>
      </c>
      <c r="AH1867" s="493">
        <f t="shared" si="4"/>
        <v>4181386688047</v>
      </c>
    </row>
    <row r="1868">
      <c r="T1868" s="494" t="s">
        <v>622</v>
      </c>
      <c r="AB1868" s="489">
        <v>1866.0</v>
      </c>
      <c r="AC1868" s="490">
        <f t="shared" si="5"/>
        <v>4181389525853</v>
      </c>
      <c r="AD1868" s="491">
        <f t="shared" si="1"/>
        <v>1500</v>
      </c>
      <c r="AE1868" s="492">
        <f t="shared" si="2"/>
        <v>0.009063325885</v>
      </c>
      <c r="AF1868" s="490">
        <f t="shared" si="3"/>
        <v>4219286823279</v>
      </c>
      <c r="AG1868" s="493">
        <f t="shared" si="6"/>
        <v>2839306.351</v>
      </c>
      <c r="AH1868" s="493">
        <f t="shared" si="4"/>
        <v>4219283983972</v>
      </c>
    </row>
    <row r="1869">
      <c r="T1869" s="494" t="s">
        <v>622</v>
      </c>
      <c r="AB1869" s="489">
        <v>1867.0</v>
      </c>
      <c r="AC1869" s="490">
        <f t="shared" si="5"/>
        <v>4219286823279</v>
      </c>
      <c r="AD1869" s="491">
        <f t="shared" si="1"/>
        <v>1500</v>
      </c>
      <c r="AE1869" s="492">
        <f t="shared" si="2"/>
        <v>0.009063325885</v>
      </c>
      <c r="AF1869" s="490">
        <f t="shared" si="3"/>
        <v>4257527596261</v>
      </c>
      <c r="AG1869" s="493">
        <f t="shared" si="6"/>
        <v>2840806.351</v>
      </c>
      <c r="AH1869" s="493">
        <f t="shared" si="4"/>
        <v>4257524755454</v>
      </c>
    </row>
    <row r="1870">
      <c r="T1870" s="494" t="s">
        <v>622</v>
      </c>
      <c r="AB1870" s="489">
        <v>1868.0</v>
      </c>
      <c r="AC1870" s="490">
        <f t="shared" si="5"/>
        <v>4257527596261</v>
      </c>
      <c r="AD1870" s="491">
        <f t="shared" si="1"/>
        <v>1500</v>
      </c>
      <c r="AE1870" s="492">
        <f t="shared" si="2"/>
        <v>0.009063325885</v>
      </c>
      <c r="AF1870" s="490">
        <f t="shared" si="3"/>
        <v>4296114957830</v>
      </c>
      <c r="AG1870" s="493">
        <f t="shared" si="6"/>
        <v>2842306.351</v>
      </c>
      <c r="AH1870" s="493">
        <f t="shared" si="4"/>
        <v>4296112115524</v>
      </c>
    </row>
    <row r="1871">
      <c r="T1871" s="494" t="s">
        <v>622</v>
      </c>
      <c r="AB1871" s="489">
        <v>1869.0</v>
      </c>
      <c r="AC1871" s="490">
        <f t="shared" si="5"/>
        <v>4296114957830</v>
      </c>
      <c r="AD1871" s="491">
        <f t="shared" si="1"/>
        <v>1500</v>
      </c>
      <c r="AE1871" s="492">
        <f t="shared" si="2"/>
        <v>0.009063325885</v>
      </c>
      <c r="AF1871" s="490">
        <f t="shared" si="3"/>
        <v>4335052049233</v>
      </c>
      <c r="AG1871" s="493">
        <f t="shared" si="6"/>
        <v>2843806.351</v>
      </c>
      <c r="AH1871" s="493">
        <f t="shared" si="4"/>
        <v>4335049205427</v>
      </c>
    </row>
    <row r="1872">
      <c r="T1872" s="494" t="s">
        <v>622</v>
      </c>
      <c r="AB1872" s="489">
        <v>1870.0</v>
      </c>
      <c r="AC1872" s="490">
        <f t="shared" si="5"/>
        <v>4335052049233</v>
      </c>
      <c r="AD1872" s="491">
        <f t="shared" si="1"/>
        <v>1500</v>
      </c>
      <c r="AE1872" s="492">
        <f t="shared" si="2"/>
        <v>0.009063325885</v>
      </c>
      <c r="AF1872" s="490">
        <f t="shared" si="3"/>
        <v>4374342040184</v>
      </c>
      <c r="AG1872" s="493">
        <f t="shared" si="6"/>
        <v>2845306.351</v>
      </c>
      <c r="AH1872" s="493">
        <f t="shared" si="4"/>
        <v>4374339194878</v>
      </c>
    </row>
    <row r="1873">
      <c r="T1873" s="494" t="s">
        <v>622</v>
      </c>
      <c r="AB1873" s="489">
        <v>1871.0</v>
      </c>
      <c r="AC1873" s="490">
        <f t="shared" si="5"/>
        <v>4374342040184</v>
      </c>
      <c r="AD1873" s="491">
        <f t="shared" si="1"/>
        <v>1500</v>
      </c>
      <c r="AE1873" s="492">
        <f t="shared" si="2"/>
        <v>0.009063325885</v>
      </c>
      <c r="AF1873" s="490">
        <f t="shared" si="3"/>
        <v>4413988129127</v>
      </c>
      <c r="AG1873" s="493">
        <f t="shared" si="6"/>
        <v>2846806.351</v>
      </c>
      <c r="AH1873" s="493">
        <f t="shared" si="4"/>
        <v>4413985282321</v>
      </c>
    </row>
    <row r="1874">
      <c r="T1874" s="494" t="s">
        <v>622</v>
      </c>
      <c r="AB1874" s="489">
        <v>1872.0</v>
      </c>
      <c r="AC1874" s="490">
        <f t="shared" si="5"/>
        <v>4413988129127</v>
      </c>
      <c r="AD1874" s="491">
        <f t="shared" si="1"/>
        <v>1500</v>
      </c>
      <c r="AE1874" s="492">
        <f t="shared" si="2"/>
        <v>0.009063325885</v>
      </c>
      <c r="AF1874" s="490">
        <f t="shared" si="3"/>
        <v>4453993543494</v>
      </c>
      <c r="AG1874" s="493">
        <f t="shared" si="6"/>
        <v>2848306.351</v>
      </c>
      <c r="AH1874" s="493">
        <f t="shared" si="4"/>
        <v>4453990695188</v>
      </c>
    </row>
    <row r="1875">
      <c r="T1875" s="494" t="s">
        <v>622</v>
      </c>
      <c r="AB1875" s="489">
        <v>1873.0</v>
      </c>
      <c r="AC1875" s="490">
        <f t="shared" si="5"/>
        <v>4453993543494</v>
      </c>
      <c r="AD1875" s="491">
        <f t="shared" si="1"/>
        <v>1500</v>
      </c>
      <c r="AE1875" s="492">
        <f t="shared" si="2"/>
        <v>0.009063325885</v>
      </c>
      <c r="AF1875" s="490">
        <f t="shared" si="3"/>
        <v>4494361539969</v>
      </c>
      <c r="AG1875" s="493">
        <f t="shared" si="6"/>
        <v>2849806.351</v>
      </c>
      <c r="AH1875" s="493">
        <f t="shared" si="4"/>
        <v>4494358690163</v>
      </c>
    </row>
    <row r="1876">
      <c r="T1876" s="494" t="s">
        <v>622</v>
      </c>
      <c r="AB1876" s="489">
        <v>1874.0</v>
      </c>
      <c r="AC1876" s="490">
        <f t="shared" si="5"/>
        <v>4494361539969</v>
      </c>
      <c r="AD1876" s="491">
        <f t="shared" si="1"/>
        <v>1500</v>
      </c>
      <c r="AE1876" s="492">
        <f t="shared" si="2"/>
        <v>0.009063325885</v>
      </c>
      <c r="AF1876" s="490">
        <f t="shared" si="3"/>
        <v>4535095404751</v>
      </c>
      <c r="AG1876" s="493">
        <f t="shared" si="6"/>
        <v>2851306.351</v>
      </c>
      <c r="AH1876" s="493">
        <f t="shared" si="4"/>
        <v>4535092553445</v>
      </c>
    </row>
    <row r="1877">
      <c r="T1877" s="494" t="s">
        <v>622</v>
      </c>
      <c r="AB1877" s="489">
        <v>1875.0</v>
      </c>
      <c r="AC1877" s="490">
        <f t="shared" si="5"/>
        <v>4535095404751</v>
      </c>
      <c r="AD1877" s="491">
        <f t="shared" si="1"/>
        <v>1500</v>
      </c>
      <c r="AE1877" s="492">
        <f t="shared" si="2"/>
        <v>0.009063325885</v>
      </c>
      <c r="AF1877" s="490">
        <f t="shared" si="3"/>
        <v>4576198453825</v>
      </c>
      <c r="AG1877" s="493">
        <f t="shared" si="6"/>
        <v>2852806.351</v>
      </c>
      <c r="AH1877" s="493">
        <f t="shared" si="4"/>
        <v>4576195601018</v>
      </c>
    </row>
    <row r="1878">
      <c r="T1878" s="494" t="s">
        <v>622</v>
      </c>
      <c r="AB1878" s="489">
        <v>1876.0</v>
      </c>
      <c r="AC1878" s="490">
        <f t="shared" si="5"/>
        <v>4576198453825</v>
      </c>
      <c r="AD1878" s="491">
        <f t="shared" si="1"/>
        <v>1500</v>
      </c>
      <c r="AE1878" s="492">
        <f t="shared" si="2"/>
        <v>0.009063325885</v>
      </c>
      <c r="AF1878" s="490">
        <f t="shared" si="3"/>
        <v>4617674033227</v>
      </c>
      <c r="AG1878" s="493">
        <f t="shared" si="6"/>
        <v>2854306.351</v>
      </c>
      <c r="AH1878" s="493">
        <f t="shared" si="4"/>
        <v>4617671178920</v>
      </c>
    </row>
    <row r="1879">
      <c r="T1879" s="494" t="s">
        <v>622</v>
      </c>
      <c r="AB1879" s="489">
        <v>1877.0</v>
      </c>
      <c r="AC1879" s="490">
        <f t="shared" si="5"/>
        <v>4617674033227</v>
      </c>
      <c r="AD1879" s="491">
        <f t="shared" si="1"/>
        <v>1500</v>
      </c>
      <c r="AE1879" s="492">
        <f t="shared" si="2"/>
        <v>0.009063325885</v>
      </c>
      <c r="AF1879" s="490">
        <f t="shared" si="3"/>
        <v>4659525519321</v>
      </c>
      <c r="AG1879" s="493">
        <f t="shared" si="6"/>
        <v>2855806.351</v>
      </c>
      <c r="AH1879" s="493">
        <f t="shared" si="4"/>
        <v>4659522663515</v>
      </c>
    </row>
    <row r="1880">
      <c r="T1880" s="494" t="s">
        <v>622</v>
      </c>
      <c r="AB1880" s="489">
        <v>1878.0</v>
      </c>
      <c r="AC1880" s="490">
        <f t="shared" si="5"/>
        <v>4659525519321</v>
      </c>
      <c r="AD1880" s="491">
        <f t="shared" si="1"/>
        <v>1500</v>
      </c>
      <c r="AE1880" s="492">
        <f t="shared" si="2"/>
        <v>0.009063325885</v>
      </c>
      <c r="AF1880" s="490">
        <f t="shared" si="3"/>
        <v>4701756319072</v>
      </c>
      <c r="AG1880" s="493">
        <f t="shared" si="6"/>
        <v>2857306.351</v>
      </c>
      <c r="AH1880" s="493">
        <f t="shared" si="4"/>
        <v>4701753461766</v>
      </c>
    </row>
    <row r="1881">
      <c r="T1881" s="494" t="s">
        <v>622</v>
      </c>
      <c r="AB1881" s="489">
        <v>1879.0</v>
      </c>
      <c r="AC1881" s="490">
        <f t="shared" si="5"/>
        <v>4701756319072</v>
      </c>
      <c r="AD1881" s="491">
        <f t="shared" si="1"/>
        <v>1500</v>
      </c>
      <c r="AE1881" s="492">
        <f t="shared" si="2"/>
        <v>0.009063325885</v>
      </c>
      <c r="AF1881" s="490">
        <f t="shared" si="3"/>
        <v>4744369870325</v>
      </c>
      <c r="AG1881" s="493">
        <f t="shared" si="6"/>
        <v>2858806.351</v>
      </c>
      <c r="AH1881" s="493">
        <f t="shared" si="4"/>
        <v>4744367011518</v>
      </c>
    </row>
    <row r="1882">
      <c r="T1882" s="494" t="s">
        <v>622</v>
      </c>
      <c r="AB1882" s="489">
        <v>1880.0</v>
      </c>
      <c r="AC1882" s="490">
        <f t="shared" si="5"/>
        <v>4744369870325</v>
      </c>
      <c r="AD1882" s="491">
        <f t="shared" si="1"/>
        <v>1500</v>
      </c>
      <c r="AE1882" s="492">
        <f t="shared" si="2"/>
        <v>0.009063325885</v>
      </c>
      <c r="AF1882" s="490">
        <f t="shared" si="3"/>
        <v>4787369642079</v>
      </c>
      <c r="AG1882" s="493">
        <f t="shared" si="6"/>
        <v>2860306.351</v>
      </c>
      <c r="AH1882" s="493">
        <f t="shared" si="4"/>
        <v>4787366781772</v>
      </c>
    </row>
    <row r="1883">
      <c r="T1883" s="494" t="s">
        <v>622</v>
      </c>
      <c r="AB1883" s="489">
        <v>1881.0</v>
      </c>
      <c r="AC1883" s="490">
        <f t="shared" si="5"/>
        <v>4787369642079</v>
      </c>
      <c r="AD1883" s="491">
        <f t="shared" si="1"/>
        <v>1500</v>
      </c>
      <c r="AE1883" s="492">
        <f t="shared" si="2"/>
        <v>0.009063325885</v>
      </c>
      <c r="AF1883" s="490">
        <f t="shared" si="3"/>
        <v>4830759134777</v>
      </c>
      <c r="AG1883" s="493">
        <f t="shared" si="6"/>
        <v>2861806.351</v>
      </c>
      <c r="AH1883" s="493">
        <f t="shared" si="4"/>
        <v>4830756272971</v>
      </c>
    </row>
    <row r="1884">
      <c r="T1884" s="494" t="s">
        <v>622</v>
      </c>
      <c r="AB1884" s="489">
        <v>1882.0</v>
      </c>
      <c r="AC1884" s="490">
        <f t="shared" si="5"/>
        <v>4830759134777</v>
      </c>
      <c r="AD1884" s="491">
        <f t="shared" si="1"/>
        <v>1500</v>
      </c>
      <c r="AE1884" s="492">
        <f t="shared" si="2"/>
        <v>0.009063325885</v>
      </c>
      <c r="AF1884" s="490">
        <f t="shared" si="3"/>
        <v>4874541880588</v>
      </c>
      <c r="AG1884" s="493">
        <f t="shared" si="6"/>
        <v>2863306.351</v>
      </c>
      <c r="AH1884" s="493">
        <f t="shared" si="4"/>
        <v>4874539017282</v>
      </c>
    </row>
    <row r="1885">
      <c r="T1885" s="494" t="s">
        <v>622</v>
      </c>
      <c r="AB1885" s="489">
        <v>1883.0</v>
      </c>
      <c r="AC1885" s="490">
        <f t="shared" si="5"/>
        <v>4874541880588</v>
      </c>
      <c r="AD1885" s="491">
        <f t="shared" si="1"/>
        <v>1500</v>
      </c>
      <c r="AE1885" s="492">
        <f t="shared" si="2"/>
        <v>0.009063325885</v>
      </c>
      <c r="AF1885" s="490">
        <f t="shared" si="3"/>
        <v>4918721443693</v>
      </c>
      <c r="AG1885" s="493">
        <f t="shared" si="6"/>
        <v>2864806.351</v>
      </c>
      <c r="AH1885" s="493">
        <f t="shared" si="4"/>
        <v>4918718578886</v>
      </c>
    </row>
    <row r="1886">
      <c r="T1886" s="494" t="s">
        <v>622</v>
      </c>
      <c r="AB1886" s="489">
        <v>1884.0</v>
      </c>
      <c r="AC1886" s="490">
        <f t="shared" si="5"/>
        <v>4918721443693</v>
      </c>
      <c r="AD1886" s="491">
        <f t="shared" si="1"/>
        <v>1500</v>
      </c>
      <c r="AE1886" s="492">
        <f t="shared" si="2"/>
        <v>0.009063325885</v>
      </c>
      <c r="AF1886" s="490">
        <f t="shared" si="3"/>
        <v>4963301420575</v>
      </c>
      <c r="AG1886" s="493">
        <f t="shared" si="6"/>
        <v>2866306.351</v>
      </c>
      <c r="AH1886" s="493">
        <f t="shared" si="4"/>
        <v>4963298554268</v>
      </c>
    </row>
    <row r="1887">
      <c r="T1887" s="494" t="s">
        <v>622</v>
      </c>
      <c r="AB1887" s="489">
        <v>1885.0</v>
      </c>
      <c r="AC1887" s="490">
        <f t="shared" si="5"/>
        <v>4963301420575</v>
      </c>
      <c r="AD1887" s="491">
        <f t="shared" si="1"/>
        <v>1500</v>
      </c>
      <c r="AE1887" s="492">
        <f t="shared" si="2"/>
        <v>0.009063325885</v>
      </c>
      <c r="AF1887" s="490">
        <f t="shared" si="3"/>
        <v>5008285440315</v>
      </c>
      <c r="AG1887" s="493">
        <f t="shared" si="6"/>
        <v>2867806.351</v>
      </c>
      <c r="AH1887" s="493">
        <f t="shared" si="4"/>
        <v>5008282572509</v>
      </c>
    </row>
    <row r="1888">
      <c r="T1888" s="494" t="s">
        <v>622</v>
      </c>
      <c r="AB1888" s="489">
        <v>1886.0</v>
      </c>
      <c r="AC1888" s="490">
        <f t="shared" si="5"/>
        <v>5008285440315</v>
      </c>
      <c r="AD1888" s="491">
        <f t="shared" si="1"/>
        <v>1500</v>
      </c>
      <c r="AE1888" s="492">
        <f t="shared" si="2"/>
        <v>0.009063325885</v>
      </c>
      <c r="AF1888" s="490">
        <f t="shared" si="3"/>
        <v>5053677164887</v>
      </c>
      <c r="AG1888" s="493">
        <f t="shared" si="6"/>
        <v>2869306.351</v>
      </c>
      <c r="AH1888" s="493">
        <f t="shared" si="4"/>
        <v>5053674295580</v>
      </c>
    </row>
    <row r="1889">
      <c r="T1889" s="494" t="s">
        <v>622</v>
      </c>
      <c r="AB1889" s="489">
        <v>1887.0</v>
      </c>
      <c r="AC1889" s="490">
        <f t="shared" si="5"/>
        <v>5053677164887</v>
      </c>
      <c r="AD1889" s="491">
        <f t="shared" si="1"/>
        <v>1500</v>
      </c>
      <c r="AE1889" s="492">
        <f t="shared" si="2"/>
        <v>0.009063325885</v>
      </c>
      <c r="AF1889" s="490">
        <f t="shared" si="3"/>
        <v>5099480289450</v>
      </c>
      <c r="AG1889" s="493">
        <f t="shared" si="6"/>
        <v>2870806.351</v>
      </c>
      <c r="AH1889" s="493">
        <f t="shared" si="4"/>
        <v>5099477418644</v>
      </c>
    </row>
    <row r="1890">
      <c r="T1890" s="494" t="s">
        <v>622</v>
      </c>
      <c r="AB1890" s="489">
        <v>1888.0</v>
      </c>
      <c r="AC1890" s="490">
        <f t="shared" si="5"/>
        <v>5099480289450</v>
      </c>
      <c r="AD1890" s="491">
        <f t="shared" si="1"/>
        <v>1500</v>
      </c>
      <c r="AE1890" s="492">
        <f t="shared" si="2"/>
        <v>0.009063325885</v>
      </c>
      <c r="AF1890" s="490">
        <f t="shared" si="3"/>
        <v>5145698542658</v>
      </c>
      <c r="AG1890" s="493">
        <f t="shared" si="6"/>
        <v>2872306.351</v>
      </c>
      <c r="AH1890" s="493">
        <f t="shared" si="4"/>
        <v>5145695670352</v>
      </c>
    </row>
    <row r="1891">
      <c r="T1891" s="494" t="s">
        <v>622</v>
      </c>
      <c r="AB1891" s="489">
        <v>1889.0</v>
      </c>
      <c r="AC1891" s="490">
        <f t="shared" si="5"/>
        <v>5145698542658</v>
      </c>
      <c r="AD1891" s="491">
        <f t="shared" si="1"/>
        <v>1500</v>
      </c>
      <c r="AE1891" s="492">
        <f t="shared" si="2"/>
        <v>0.009063325885</v>
      </c>
      <c r="AF1891" s="490">
        <f t="shared" si="3"/>
        <v>5192335686957</v>
      </c>
      <c r="AG1891" s="493">
        <f t="shared" si="6"/>
        <v>2873806.351</v>
      </c>
      <c r="AH1891" s="493">
        <f t="shared" si="4"/>
        <v>5192332813150</v>
      </c>
    </row>
    <row r="1892">
      <c r="T1892" s="494" t="s">
        <v>622</v>
      </c>
      <c r="AB1892" s="489">
        <v>1890.0</v>
      </c>
      <c r="AC1892" s="490">
        <f t="shared" si="5"/>
        <v>5192335686957</v>
      </c>
      <c r="AD1892" s="491">
        <f t="shared" si="1"/>
        <v>1500</v>
      </c>
      <c r="AE1892" s="492">
        <f t="shared" si="2"/>
        <v>0.009063325885</v>
      </c>
      <c r="AF1892" s="490">
        <f t="shared" si="3"/>
        <v>5239395518892</v>
      </c>
      <c r="AG1892" s="493">
        <f t="shared" si="6"/>
        <v>2875306.351</v>
      </c>
      <c r="AH1892" s="493">
        <f t="shared" si="4"/>
        <v>5239392643586</v>
      </c>
    </row>
    <row r="1893">
      <c r="T1893" s="494" t="s">
        <v>622</v>
      </c>
      <c r="AB1893" s="489">
        <v>1891.0</v>
      </c>
      <c r="AC1893" s="490">
        <f t="shared" si="5"/>
        <v>5239395518892</v>
      </c>
      <c r="AD1893" s="491">
        <f t="shared" si="1"/>
        <v>1500</v>
      </c>
      <c r="AE1893" s="492">
        <f t="shared" si="2"/>
        <v>0.009063325885</v>
      </c>
      <c r="AF1893" s="490">
        <f t="shared" si="3"/>
        <v>5286881869421</v>
      </c>
      <c r="AG1893" s="493">
        <f t="shared" si="6"/>
        <v>2876806.351</v>
      </c>
      <c r="AH1893" s="493">
        <f t="shared" si="4"/>
        <v>5286878992615</v>
      </c>
    </row>
    <row r="1894">
      <c r="T1894" s="494" t="s">
        <v>622</v>
      </c>
      <c r="AB1894" s="489">
        <v>1892.0</v>
      </c>
      <c r="AC1894" s="490">
        <f t="shared" si="5"/>
        <v>5286881869421</v>
      </c>
      <c r="AD1894" s="491">
        <f t="shared" si="1"/>
        <v>1500</v>
      </c>
      <c r="AE1894" s="492">
        <f t="shared" si="2"/>
        <v>0.009063325885</v>
      </c>
      <c r="AF1894" s="490">
        <f t="shared" si="3"/>
        <v>5334798604220</v>
      </c>
      <c r="AG1894" s="493">
        <f t="shared" si="6"/>
        <v>2878306.351</v>
      </c>
      <c r="AH1894" s="493">
        <f t="shared" si="4"/>
        <v>5334795725913</v>
      </c>
    </row>
    <row r="1895">
      <c r="T1895" s="494" t="s">
        <v>622</v>
      </c>
      <c r="AB1895" s="489">
        <v>1893.0</v>
      </c>
      <c r="AC1895" s="490">
        <f t="shared" si="5"/>
        <v>5334798604220</v>
      </c>
      <c r="AD1895" s="491">
        <f t="shared" si="1"/>
        <v>1500</v>
      </c>
      <c r="AE1895" s="492">
        <f t="shared" si="2"/>
        <v>0.009063325885</v>
      </c>
      <c r="AF1895" s="490">
        <f t="shared" si="3"/>
        <v>5383149624001</v>
      </c>
      <c r="AG1895" s="493">
        <f t="shared" si="6"/>
        <v>2879806.351</v>
      </c>
      <c r="AH1895" s="493">
        <f t="shared" si="4"/>
        <v>5383146744195</v>
      </c>
    </row>
    <row r="1896">
      <c r="T1896" s="494" t="s">
        <v>622</v>
      </c>
      <c r="AB1896" s="489">
        <v>1894.0</v>
      </c>
      <c r="AC1896" s="490">
        <f t="shared" si="5"/>
        <v>5383149624001</v>
      </c>
      <c r="AD1896" s="491">
        <f t="shared" si="1"/>
        <v>1500</v>
      </c>
      <c r="AE1896" s="492">
        <f t="shared" si="2"/>
        <v>0.009063325885</v>
      </c>
      <c r="AF1896" s="490">
        <f t="shared" si="3"/>
        <v>5431938864832</v>
      </c>
      <c r="AG1896" s="493">
        <f t="shared" si="6"/>
        <v>2881306.351</v>
      </c>
      <c r="AH1896" s="493">
        <f t="shared" si="4"/>
        <v>5431935983525</v>
      </c>
    </row>
    <row r="1897">
      <c r="T1897" s="494" t="s">
        <v>622</v>
      </c>
      <c r="AB1897" s="489">
        <v>1895.0</v>
      </c>
      <c r="AC1897" s="490">
        <f t="shared" si="5"/>
        <v>5431938864832</v>
      </c>
      <c r="AD1897" s="491">
        <f t="shared" si="1"/>
        <v>1500</v>
      </c>
      <c r="AE1897" s="492">
        <f t="shared" si="2"/>
        <v>0.009063325885</v>
      </c>
      <c r="AF1897" s="490">
        <f t="shared" si="3"/>
        <v>5481170298451</v>
      </c>
      <c r="AG1897" s="493">
        <f t="shared" si="6"/>
        <v>2882806.351</v>
      </c>
      <c r="AH1897" s="493">
        <f t="shared" si="4"/>
        <v>5481167415645</v>
      </c>
    </row>
    <row r="1898">
      <c r="T1898" s="494" t="s">
        <v>622</v>
      </c>
      <c r="AB1898" s="489">
        <v>1896.0</v>
      </c>
      <c r="AC1898" s="490">
        <f t="shared" si="5"/>
        <v>5481170298451</v>
      </c>
      <c r="AD1898" s="491">
        <f t="shared" si="1"/>
        <v>1500</v>
      </c>
      <c r="AE1898" s="492">
        <f t="shared" si="2"/>
        <v>0.009063325885</v>
      </c>
      <c r="AF1898" s="490">
        <f t="shared" si="3"/>
        <v>5530847932598</v>
      </c>
      <c r="AG1898" s="493">
        <f t="shared" si="6"/>
        <v>2884306.351</v>
      </c>
      <c r="AH1898" s="493">
        <f t="shared" si="4"/>
        <v>5530845048292</v>
      </c>
    </row>
    <row r="1899">
      <c r="T1899" s="494" t="s">
        <v>622</v>
      </c>
      <c r="AB1899" s="489">
        <v>1897.0</v>
      </c>
      <c r="AC1899" s="490">
        <f t="shared" si="5"/>
        <v>5530847932598</v>
      </c>
      <c r="AD1899" s="491">
        <f t="shared" si="1"/>
        <v>1500</v>
      </c>
      <c r="AE1899" s="492">
        <f t="shared" si="2"/>
        <v>0.009063325885</v>
      </c>
      <c r="AF1899" s="490">
        <f t="shared" si="3"/>
        <v>5580975811332</v>
      </c>
      <c r="AG1899" s="493">
        <f t="shared" si="6"/>
        <v>2885806.351</v>
      </c>
      <c r="AH1899" s="493">
        <f t="shared" si="4"/>
        <v>5580972925526</v>
      </c>
    </row>
    <row r="1900">
      <c r="T1900" s="494" t="s">
        <v>622</v>
      </c>
      <c r="AB1900" s="489">
        <v>1898.0</v>
      </c>
      <c r="AC1900" s="490">
        <f t="shared" si="5"/>
        <v>5580975811332</v>
      </c>
      <c r="AD1900" s="491">
        <f t="shared" si="1"/>
        <v>1500</v>
      </c>
      <c r="AE1900" s="492">
        <f t="shared" si="2"/>
        <v>0.009063325885</v>
      </c>
      <c r="AF1900" s="490">
        <f t="shared" si="3"/>
        <v>5631558015367</v>
      </c>
      <c r="AG1900" s="493">
        <f t="shared" si="6"/>
        <v>2887306.351</v>
      </c>
      <c r="AH1900" s="493">
        <f t="shared" si="4"/>
        <v>5631555128061</v>
      </c>
    </row>
    <row r="1901">
      <c r="T1901" s="494" t="s">
        <v>622</v>
      </c>
      <c r="AB1901" s="489">
        <v>1899.0</v>
      </c>
      <c r="AC1901" s="490">
        <f t="shared" si="5"/>
        <v>5631558015367</v>
      </c>
      <c r="AD1901" s="491">
        <f t="shared" si="1"/>
        <v>1500</v>
      </c>
      <c r="AE1901" s="492">
        <f t="shared" si="2"/>
        <v>0.009063325885</v>
      </c>
      <c r="AF1901" s="490">
        <f t="shared" si="3"/>
        <v>5682598662401</v>
      </c>
      <c r="AG1901" s="493">
        <f t="shared" si="6"/>
        <v>2888806.351</v>
      </c>
      <c r="AH1901" s="493">
        <f t="shared" si="4"/>
        <v>5682595773595</v>
      </c>
    </row>
    <row r="1902">
      <c r="T1902" s="494" t="s">
        <v>622</v>
      </c>
      <c r="AB1902" s="489">
        <v>1900.0</v>
      </c>
      <c r="AC1902" s="490">
        <f t="shared" si="5"/>
        <v>5682598662401</v>
      </c>
      <c r="AD1902" s="491">
        <f t="shared" si="1"/>
        <v>1500</v>
      </c>
      <c r="AE1902" s="492">
        <f t="shared" si="2"/>
        <v>0.009063325885</v>
      </c>
      <c r="AF1902" s="490">
        <f t="shared" si="3"/>
        <v>5734101907453</v>
      </c>
      <c r="AG1902" s="493">
        <f t="shared" si="6"/>
        <v>2890306.351</v>
      </c>
      <c r="AH1902" s="493">
        <f t="shared" si="4"/>
        <v>5734099017146</v>
      </c>
    </row>
    <row r="1903">
      <c r="T1903" s="494" t="s">
        <v>622</v>
      </c>
      <c r="AB1903" s="489">
        <v>1901.0</v>
      </c>
      <c r="AC1903" s="490">
        <f t="shared" si="5"/>
        <v>5734101907453</v>
      </c>
      <c r="AD1903" s="491">
        <f t="shared" si="1"/>
        <v>1500</v>
      </c>
      <c r="AE1903" s="492">
        <f t="shared" si="2"/>
        <v>0.009063325885</v>
      </c>
      <c r="AF1903" s="490">
        <f t="shared" si="3"/>
        <v>5786071943198</v>
      </c>
      <c r="AG1903" s="493">
        <f t="shared" si="6"/>
        <v>2891806.351</v>
      </c>
      <c r="AH1903" s="493">
        <f t="shared" si="4"/>
        <v>5786069051392</v>
      </c>
    </row>
    <row r="1904">
      <c r="T1904" s="494" t="s">
        <v>622</v>
      </c>
      <c r="AB1904" s="489">
        <v>1902.0</v>
      </c>
      <c r="AC1904" s="490">
        <f t="shared" si="5"/>
        <v>5786071943198</v>
      </c>
      <c r="AD1904" s="491">
        <f t="shared" si="1"/>
        <v>1500</v>
      </c>
      <c r="AE1904" s="492">
        <f t="shared" si="2"/>
        <v>0.009063325885</v>
      </c>
      <c r="AF1904" s="490">
        <f t="shared" si="3"/>
        <v>5838513000314</v>
      </c>
      <c r="AG1904" s="493">
        <f t="shared" si="6"/>
        <v>2893306.351</v>
      </c>
      <c r="AH1904" s="493">
        <f t="shared" si="4"/>
        <v>5838510107008</v>
      </c>
    </row>
    <row r="1905">
      <c r="T1905" s="494" t="s">
        <v>622</v>
      </c>
      <c r="AB1905" s="489">
        <v>1903.0</v>
      </c>
      <c r="AC1905" s="490">
        <f t="shared" si="5"/>
        <v>5838513000314</v>
      </c>
      <c r="AD1905" s="491">
        <f t="shared" si="1"/>
        <v>1500</v>
      </c>
      <c r="AE1905" s="492">
        <f t="shared" si="2"/>
        <v>0.009063325885</v>
      </c>
      <c r="AF1905" s="490">
        <f t="shared" si="3"/>
        <v>5891429347820</v>
      </c>
      <c r="AG1905" s="493">
        <f t="shared" si="6"/>
        <v>2894806.351</v>
      </c>
      <c r="AH1905" s="493">
        <f t="shared" si="4"/>
        <v>5891426453014</v>
      </c>
    </row>
    <row r="1906">
      <c r="T1906" s="494" t="s">
        <v>622</v>
      </c>
      <c r="AB1906" s="489">
        <v>1904.0</v>
      </c>
      <c r="AC1906" s="490">
        <f t="shared" si="5"/>
        <v>5891429347820</v>
      </c>
      <c r="AD1906" s="491">
        <f t="shared" si="1"/>
        <v>1500</v>
      </c>
      <c r="AE1906" s="492">
        <f t="shared" si="2"/>
        <v>0.009063325885</v>
      </c>
      <c r="AF1906" s="490">
        <f t="shared" si="3"/>
        <v>5944825293429</v>
      </c>
      <c r="AG1906" s="493">
        <f t="shared" si="6"/>
        <v>2896306.351</v>
      </c>
      <c r="AH1906" s="493">
        <f t="shared" si="4"/>
        <v>5944822397122</v>
      </c>
    </row>
    <row r="1907">
      <c r="T1907" s="494" t="s">
        <v>622</v>
      </c>
      <c r="AB1907" s="489">
        <v>1905.0</v>
      </c>
      <c r="AC1907" s="490">
        <f t="shared" si="5"/>
        <v>5944825293429</v>
      </c>
      <c r="AD1907" s="491">
        <f t="shared" si="1"/>
        <v>1500</v>
      </c>
      <c r="AE1907" s="492">
        <f t="shared" si="2"/>
        <v>0.009063325885</v>
      </c>
      <c r="AF1907" s="490">
        <f t="shared" si="3"/>
        <v>5998705183893</v>
      </c>
      <c r="AG1907" s="493">
        <f t="shared" si="6"/>
        <v>2897806.351</v>
      </c>
      <c r="AH1907" s="493">
        <f t="shared" si="4"/>
        <v>5998702286087</v>
      </c>
    </row>
    <row r="1908">
      <c r="T1908" s="494" t="s">
        <v>622</v>
      </c>
      <c r="AB1908" s="489">
        <v>1906.0</v>
      </c>
      <c r="AC1908" s="490">
        <f t="shared" si="5"/>
        <v>5998705183893</v>
      </c>
      <c r="AD1908" s="491">
        <f t="shared" si="1"/>
        <v>1500</v>
      </c>
      <c r="AE1908" s="492">
        <f t="shared" si="2"/>
        <v>0.009063325885</v>
      </c>
      <c r="AF1908" s="490">
        <f t="shared" si="3"/>
        <v>6053073405363</v>
      </c>
      <c r="AG1908" s="493">
        <f t="shared" si="6"/>
        <v>2899306.351</v>
      </c>
      <c r="AH1908" s="493">
        <f t="shared" si="4"/>
        <v>6053070506057</v>
      </c>
    </row>
    <row r="1909">
      <c r="T1909" s="494" t="s">
        <v>622</v>
      </c>
      <c r="AB1909" s="489">
        <v>1907.0</v>
      </c>
      <c r="AC1909" s="490">
        <f t="shared" si="5"/>
        <v>6053073405363</v>
      </c>
      <c r="AD1909" s="491">
        <f t="shared" si="1"/>
        <v>1500</v>
      </c>
      <c r="AE1909" s="492">
        <f t="shared" si="2"/>
        <v>0.009063325885</v>
      </c>
      <c r="AF1909" s="490">
        <f t="shared" si="3"/>
        <v>6107934383743</v>
      </c>
      <c r="AG1909" s="493">
        <f t="shared" si="6"/>
        <v>2900806.351</v>
      </c>
      <c r="AH1909" s="493">
        <f t="shared" si="4"/>
        <v>6107931482936</v>
      </c>
    </row>
    <row r="1910">
      <c r="T1910" s="494" t="s">
        <v>622</v>
      </c>
      <c r="AB1910" s="489">
        <v>1908.0</v>
      </c>
      <c r="AC1910" s="490">
        <f t="shared" si="5"/>
        <v>6107934383743</v>
      </c>
      <c r="AD1910" s="491">
        <f t="shared" si="1"/>
        <v>1500</v>
      </c>
      <c r="AE1910" s="492">
        <f t="shared" si="2"/>
        <v>0.009063325885</v>
      </c>
      <c r="AF1910" s="490">
        <f t="shared" si="3"/>
        <v>6163292585047</v>
      </c>
      <c r="AG1910" s="493">
        <f t="shared" si="6"/>
        <v>2902306.351</v>
      </c>
      <c r="AH1910" s="493">
        <f t="shared" si="4"/>
        <v>6163289682741</v>
      </c>
    </row>
    <row r="1911">
      <c r="T1911" s="494" t="s">
        <v>622</v>
      </c>
      <c r="AB1911" s="489">
        <v>1909.0</v>
      </c>
      <c r="AC1911" s="490">
        <f t="shared" si="5"/>
        <v>6163292585047</v>
      </c>
      <c r="AD1911" s="491">
        <f t="shared" si="1"/>
        <v>1500</v>
      </c>
      <c r="AE1911" s="492">
        <f t="shared" si="2"/>
        <v>0.009063325885</v>
      </c>
      <c r="AF1911" s="490">
        <f t="shared" si="3"/>
        <v>6219152515771</v>
      </c>
      <c r="AG1911" s="493">
        <f t="shared" si="6"/>
        <v>2903806.351</v>
      </c>
      <c r="AH1911" s="493">
        <f t="shared" si="4"/>
        <v>6219149611964</v>
      </c>
    </row>
    <row r="1912">
      <c r="T1912" s="494" t="s">
        <v>622</v>
      </c>
      <c r="AB1912" s="489">
        <v>1910.0</v>
      </c>
      <c r="AC1912" s="490">
        <f t="shared" si="5"/>
        <v>6219152515771</v>
      </c>
      <c r="AD1912" s="491">
        <f t="shared" si="1"/>
        <v>1500</v>
      </c>
      <c r="AE1912" s="492">
        <f t="shared" si="2"/>
        <v>0.009063325885</v>
      </c>
      <c r="AF1912" s="490">
        <f t="shared" si="3"/>
        <v>6275518723250</v>
      </c>
      <c r="AG1912" s="493">
        <f t="shared" si="6"/>
        <v>2905306.351</v>
      </c>
      <c r="AH1912" s="493">
        <f t="shared" si="4"/>
        <v>6275515817944</v>
      </c>
    </row>
    <row r="1913">
      <c r="T1913" s="494" t="s">
        <v>622</v>
      </c>
      <c r="AB1913" s="489">
        <v>1911.0</v>
      </c>
      <c r="AC1913" s="490">
        <f t="shared" si="5"/>
        <v>6275518723250</v>
      </c>
      <c r="AD1913" s="491">
        <f t="shared" si="1"/>
        <v>1500</v>
      </c>
      <c r="AE1913" s="492">
        <f t="shared" si="2"/>
        <v>0.009063325885</v>
      </c>
      <c r="AF1913" s="490">
        <f t="shared" si="3"/>
        <v>6332395796037</v>
      </c>
      <c r="AG1913" s="493">
        <f t="shared" si="6"/>
        <v>2906806.351</v>
      </c>
      <c r="AH1913" s="493">
        <f t="shared" si="4"/>
        <v>6332392889231</v>
      </c>
    </row>
    <row r="1914">
      <c r="T1914" s="494" t="s">
        <v>622</v>
      </c>
      <c r="AB1914" s="489">
        <v>1912.0</v>
      </c>
      <c r="AC1914" s="490">
        <f t="shared" si="5"/>
        <v>6332395796037</v>
      </c>
      <c r="AD1914" s="491">
        <f t="shared" si="1"/>
        <v>1500</v>
      </c>
      <c r="AE1914" s="492">
        <f t="shared" si="2"/>
        <v>0.009063325885</v>
      </c>
      <c r="AF1914" s="490">
        <f t="shared" si="3"/>
        <v>6389788364270</v>
      </c>
      <c r="AG1914" s="493">
        <f t="shared" si="6"/>
        <v>2908306.351</v>
      </c>
      <c r="AH1914" s="493">
        <f t="shared" si="4"/>
        <v>6389785455964</v>
      </c>
    </row>
    <row r="1915">
      <c r="T1915" s="494" t="s">
        <v>622</v>
      </c>
      <c r="AB1915" s="489">
        <v>1913.0</v>
      </c>
      <c r="AC1915" s="490">
        <f t="shared" si="5"/>
        <v>6389788364270</v>
      </c>
      <c r="AD1915" s="491">
        <f t="shared" si="1"/>
        <v>1500</v>
      </c>
      <c r="AE1915" s="492">
        <f t="shared" si="2"/>
        <v>0.009063325885</v>
      </c>
      <c r="AF1915" s="490">
        <f t="shared" si="3"/>
        <v>6447701100052</v>
      </c>
      <c r="AG1915" s="493">
        <f t="shared" si="6"/>
        <v>2909806.351</v>
      </c>
      <c r="AH1915" s="493">
        <f t="shared" si="4"/>
        <v>6447698190246</v>
      </c>
    </row>
    <row r="1916">
      <c r="T1916" s="494" t="s">
        <v>622</v>
      </c>
      <c r="AB1916" s="489">
        <v>1914.0</v>
      </c>
      <c r="AC1916" s="490">
        <f t="shared" si="5"/>
        <v>6447701100052</v>
      </c>
      <c r="AD1916" s="491">
        <f t="shared" si="1"/>
        <v>1500</v>
      </c>
      <c r="AE1916" s="492">
        <f t="shared" si="2"/>
        <v>0.009063325885</v>
      </c>
      <c r="AF1916" s="490">
        <f t="shared" si="3"/>
        <v>6506138717832</v>
      </c>
      <c r="AG1916" s="493">
        <f t="shared" si="6"/>
        <v>2911306.351</v>
      </c>
      <c r="AH1916" s="493">
        <f t="shared" si="4"/>
        <v>6506135806525</v>
      </c>
    </row>
    <row r="1917">
      <c r="T1917" s="494" t="s">
        <v>622</v>
      </c>
      <c r="AB1917" s="489">
        <v>1915.0</v>
      </c>
      <c r="AC1917" s="490">
        <f t="shared" si="5"/>
        <v>6506138717832</v>
      </c>
      <c r="AD1917" s="491">
        <f t="shared" si="1"/>
        <v>1500</v>
      </c>
      <c r="AE1917" s="492">
        <f t="shared" si="2"/>
        <v>0.009063325885</v>
      </c>
      <c r="AF1917" s="490">
        <f t="shared" si="3"/>
        <v>6565105974785</v>
      </c>
      <c r="AG1917" s="493">
        <f t="shared" si="6"/>
        <v>2912806.351</v>
      </c>
      <c r="AH1917" s="493">
        <f t="shared" si="4"/>
        <v>6565103061979</v>
      </c>
    </row>
    <row r="1918">
      <c r="T1918" s="494" t="s">
        <v>622</v>
      </c>
      <c r="AB1918" s="489">
        <v>1916.0</v>
      </c>
      <c r="AC1918" s="490">
        <f t="shared" si="5"/>
        <v>6565105974785</v>
      </c>
      <c r="AD1918" s="491">
        <f t="shared" si="1"/>
        <v>1500</v>
      </c>
      <c r="AE1918" s="492">
        <f t="shared" si="2"/>
        <v>0.009063325885</v>
      </c>
      <c r="AF1918" s="490">
        <f t="shared" si="3"/>
        <v>6624607671205</v>
      </c>
      <c r="AG1918" s="493">
        <f t="shared" si="6"/>
        <v>2914306.351</v>
      </c>
      <c r="AH1918" s="493">
        <f t="shared" si="4"/>
        <v>6624604756898</v>
      </c>
    </row>
    <row r="1919">
      <c r="T1919" s="494" t="s">
        <v>622</v>
      </c>
      <c r="AB1919" s="489">
        <v>1917.0</v>
      </c>
      <c r="AC1919" s="490">
        <f t="shared" si="5"/>
        <v>6624607671205</v>
      </c>
      <c r="AD1919" s="491">
        <f t="shared" si="1"/>
        <v>1500</v>
      </c>
      <c r="AE1919" s="492">
        <f t="shared" si="2"/>
        <v>0.009063325885</v>
      </c>
      <c r="AF1919" s="490">
        <f t="shared" si="3"/>
        <v>6684648650890</v>
      </c>
      <c r="AG1919" s="493">
        <f t="shared" si="6"/>
        <v>2915806.351</v>
      </c>
      <c r="AH1919" s="493">
        <f t="shared" si="4"/>
        <v>6684645735084</v>
      </c>
    </row>
    <row r="1920">
      <c r="T1920" s="494" t="s">
        <v>622</v>
      </c>
      <c r="AB1920" s="489">
        <v>1918.0</v>
      </c>
      <c r="AC1920" s="490">
        <f t="shared" si="5"/>
        <v>6684648650890</v>
      </c>
      <c r="AD1920" s="491">
        <f t="shared" si="1"/>
        <v>1500</v>
      </c>
      <c r="AE1920" s="492">
        <f t="shared" si="2"/>
        <v>0.009063325885</v>
      </c>
      <c r="AF1920" s="490">
        <f t="shared" si="3"/>
        <v>6745233801540</v>
      </c>
      <c r="AG1920" s="493">
        <f t="shared" si="6"/>
        <v>2917306.351</v>
      </c>
      <c r="AH1920" s="493">
        <f t="shared" si="4"/>
        <v>6745230884234</v>
      </c>
    </row>
    <row r="1921">
      <c r="T1921" s="494" t="s">
        <v>622</v>
      </c>
      <c r="AB1921" s="489">
        <v>1919.0</v>
      </c>
      <c r="AC1921" s="490">
        <f t="shared" si="5"/>
        <v>6745233801540</v>
      </c>
      <c r="AD1921" s="491">
        <f t="shared" si="1"/>
        <v>1500</v>
      </c>
      <c r="AE1921" s="492">
        <f t="shared" si="2"/>
        <v>0.009063325885</v>
      </c>
      <c r="AF1921" s="490">
        <f t="shared" si="3"/>
        <v>6806368055155</v>
      </c>
      <c r="AG1921" s="493">
        <f t="shared" si="6"/>
        <v>2918806.351</v>
      </c>
      <c r="AH1921" s="493">
        <f t="shared" si="4"/>
        <v>6806365136348</v>
      </c>
    </row>
    <row r="1922">
      <c r="T1922" s="494" t="s">
        <v>622</v>
      </c>
      <c r="AB1922" s="489">
        <v>1920.0</v>
      </c>
      <c r="AC1922" s="490">
        <f t="shared" si="5"/>
        <v>6806368055155</v>
      </c>
      <c r="AD1922" s="491">
        <f t="shared" si="1"/>
        <v>1500</v>
      </c>
      <c r="AE1922" s="492">
        <f t="shared" si="2"/>
        <v>0.009063325885</v>
      </c>
      <c r="AF1922" s="490">
        <f t="shared" si="3"/>
        <v>6868056388433</v>
      </c>
      <c r="AG1922" s="493">
        <f t="shared" si="6"/>
        <v>2920306.351</v>
      </c>
      <c r="AH1922" s="493">
        <f t="shared" si="4"/>
        <v>6868053468126</v>
      </c>
    </row>
    <row r="1923">
      <c r="T1923" s="494" t="s">
        <v>622</v>
      </c>
      <c r="AB1923" s="489">
        <v>1921.0</v>
      </c>
      <c r="AC1923" s="490">
        <f t="shared" si="5"/>
        <v>6868056388433</v>
      </c>
      <c r="AD1923" s="491">
        <f t="shared" si="1"/>
        <v>1500</v>
      </c>
      <c r="AE1923" s="492">
        <f t="shared" si="2"/>
        <v>0.009063325885</v>
      </c>
      <c r="AF1923" s="490">
        <f t="shared" si="3"/>
        <v>6930303823178</v>
      </c>
      <c r="AG1923" s="493">
        <f t="shared" si="6"/>
        <v>2921806.351</v>
      </c>
      <c r="AH1923" s="493">
        <f t="shared" si="4"/>
        <v>6930300901372</v>
      </c>
    </row>
    <row r="1924">
      <c r="T1924" s="494" t="s">
        <v>622</v>
      </c>
      <c r="AB1924" s="489">
        <v>1922.0</v>
      </c>
      <c r="AC1924" s="490">
        <f t="shared" si="5"/>
        <v>6930303823178</v>
      </c>
      <c r="AD1924" s="491">
        <f t="shared" si="1"/>
        <v>1500</v>
      </c>
      <c r="AE1924" s="492">
        <f t="shared" si="2"/>
        <v>0.009063325885</v>
      </c>
      <c r="AF1924" s="490">
        <f t="shared" si="3"/>
        <v>6993115426710</v>
      </c>
      <c r="AG1924" s="493">
        <f t="shared" si="6"/>
        <v>2923306.351</v>
      </c>
      <c r="AH1924" s="493">
        <f t="shared" si="4"/>
        <v>6993112503404</v>
      </c>
    </row>
    <row r="1925">
      <c r="T1925" s="494" t="s">
        <v>622</v>
      </c>
      <c r="AB1925" s="489">
        <v>1923.0</v>
      </c>
      <c r="AC1925" s="490">
        <f t="shared" si="5"/>
        <v>6993115426710</v>
      </c>
      <c r="AD1925" s="491">
        <f t="shared" si="1"/>
        <v>1500</v>
      </c>
      <c r="AE1925" s="492">
        <f t="shared" si="2"/>
        <v>0.009063325885</v>
      </c>
      <c r="AF1925" s="490">
        <f t="shared" si="3"/>
        <v>7056496312275</v>
      </c>
      <c r="AG1925" s="493">
        <f t="shared" si="6"/>
        <v>2924806.351</v>
      </c>
      <c r="AH1925" s="493">
        <f t="shared" si="4"/>
        <v>7056493387468</v>
      </c>
    </row>
    <row r="1926">
      <c r="T1926" s="494" t="s">
        <v>622</v>
      </c>
      <c r="AB1926" s="489">
        <v>1924.0</v>
      </c>
      <c r="AC1926" s="490">
        <f t="shared" si="5"/>
        <v>7056496312275</v>
      </c>
      <c r="AD1926" s="491">
        <f t="shared" si="1"/>
        <v>1500</v>
      </c>
      <c r="AE1926" s="492">
        <f t="shared" si="2"/>
        <v>0.009063325885</v>
      </c>
      <c r="AF1926" s="490">
        <f t="shared" si="3"/>
        <v>7120451639460</v>
      </c>
      <c r="AG1926" s="493">
        <f t="shared" si="6"/>
        <v>2926306.351</v>
      </c>
      <c r="AH1926" s="493">
        <f t="shared" si="4"/>
        <v>7120448713154</v>
      </c>
    </row>
    <row r="1927">
      <c r="T1927" s="494" t="s">
        <v>622</v>
      </c>
      <c r="AB1927" s="489">
        <v>1925.0</v>
      </c>
      <c r="AC1927" s="490">
        <f t="shared" si="5"/>
        <v>7120451639460</v>
      </c>
      <c r="AD1927" s="491">
        <f t="shared" si="1"/>
        <v>1500</v>
      </c>
      <c r="AE1927" s="492">
        <f t="shared" si="2"/>
        <v>0.009063325885</v>
      </c>
      <c r="AF1927" s="490">
        <f t="shared" si="3"/>
        <v>7184986614617</v>
      </c>
      <c r="AG1927" s="493">
        <f t="shared" si="6"/>
        <v>2927806.351</v>
      </c>
      <c r="AH1927" s="493">
        <f t="shared" si="4"/>
        <v>7184983686811</v>
      </c>
    </row>
    <row r="1928">
      <c r="T1928" s="494" t="s">
        <v>622</v>
      </c>
      <c r="AB1928" s="489">
        <v>1926.0</v>
      </c>
      <c r="AC1928" s="490">
        <f t="shared" si="5"/>
        <v>7184986614617</v>
      </c>
      <c r="AD1928" s="491">
        <f t="shared" si="1"/>
        <v>1500</v>
      </c>
      <c r="AE1928" s="492">
        <f t="shared" si="2"/>
        <v>0.009063325885</v>
      </c>
      <c r="AF1928" s="490">
        <f t="shared" si="3"/>
        <v>7250106491286</v>
      </c>
      <c r="AG1928" s="493">
        <f t="shared" si="6"/>
        <v>2929306.351</v>
      </c>
      <c r="AH1928" s="493">
        <f t="shared" si="4"/>
        <v>7250103561979</v>
      </c>
    </row>
    <row r="1929">
      <c r="T1929" s="494" t="s">
        <v>622</v>
      </c>
      <c r="AB1929" s="489">
        <v>1927.0</v>
      </c>
      <c r="AC1929" s="490">
        <f t="shared" si="5"/>
        <v>7250106491286</v>
      </c>
      <c r="AD1929" s="491">
        <f t="shared" si="1"/>
        <v>1500</v>
      </c>
      <c r="AE1929" s="492">
        <f t="shared" si="2"/>
        <v>0.009063325885</v>
      </c>
      <c r="AF1929" s="490">
        <f t="shared" si="3"/>
        <v>7315816570618</v>
      </c>
      <c r="AG1929" s="493">
        <f t="shared" si="6"/>
        <v>2930806.351</v>
      </c>
      <c r="AH1929" s="493">
        <f t="shared" si="4"/>
        <v>7315813639812</v>
      </c>
    </row>
    <row r="1930">
      <c r="T1930" s="494" t="s">
        <v>622</v>
      </c>
      <c r="AB1930" s="489">
        <v>1928.0</v>
      </c>
      <c r="AC1930" s="490">
        <f t="shared" si="5"/>
        <v>7315816570618</v>
      </c>
      <c r="AD1930" s="491">
        <f t="shared" si="1"/>
        <v>1500</v>
      </c>
      <c r="AE1930" s="492">
        <f t="shared" si="2"/>
        <v>0.009063325885</v>
      </c>
      <c r="AF1930" s="490">
        <f t="shared" si="3"/>
        <v>7382122201813</v>
      </c>
      <c r="AG1930" s="493">
        <f t="shared" si="6"/>
        <v>2932306.351</v>
      </c>
      <c r="AH1930" s="493">
        <f t="shared" si="4"/>
        <v>7382119269507</v>
      </c>
    </row>
    <row r="1931">
      <c r="T1931" s="494" t="s">
        <v>622</v>
      </c>
      <c r="AB1931" s="489">
        <v>1929.0</v>
      </c>
      <c r="AC1931" s="490">
        <f t="shared" si="5"/>
        <v>7382122201813</v>
      </c>
      <c r="AD1931" s="491">
        <f t="shared" si="1"/>
        <v>1500</v>
      </c>
      <c r="AE1931" s="492">
        <f t="shared" si="2"/>
        <v>0.009063325885</v>
      </c>
      <c r="AF1931" s="490">
        <f t="shared" si="3"/>
        <v>7449028782552</v>
      </c>
      <c r="AG1931" s="493">
        <f t="shared" si="6"/>
        <v>2933806.351</v>
      </c>
      <c r="AH1931" s="493">
        <f t="shared" si="4"/>
        <v>7449025848745</v>
      </c>
    </row>
    <row r="1932">
      <c r="T1932" s="494" t="s">
        <v>622</v>
      </c>
      <c r="AB1932" s="489">
        <v>1930.0</v>
      </c>
      <c r="AC1932" s="490">
        <f t="shared" si="5"/>
        <v>7449028782552</v>
      </c>
      <c r="AD1932" s="491">
        <f t="shared" si="1"/>
        <v>1500</v>
      </c>
      <c r="AE1932" s="492">
        <f t="shared" si="2"/>
        <v>0.009063325885</v>
      </c>
      <c r="AF1932" s="490">
        <f t="shared" si="3"/>
        <v>7516541759436</v>
      </c>
      <c r="AG1932" s="493">
        <f t="shared" si="6"/>
        <v>2935306.351</v>
      </c>
      <c r="AH1932" s="493">
        <f t="shared" si="4"/>
        <v>7516538824129</v>
      </c>
    </row>
    <row r="1933">
      <c r="T1933" s="494" t="s">
        <v>622</v>
      </c>
      <c r="AB1933" s="489">
        <v>1931.0</v>
      </c>
      <c r="AC1933" s="490">
        <f t="shared" si="5"/>
        <v>7516541759436</v>
      </c>
      <c r="AD1933" s="491">
        <f t="shared" si="1"/>
        <v>1500</v>
      </c>
      <c r="AE1933" s="492">
        <f t="shared" si="2"/>
        <v>0.009063325885</v>
      </c>
      <c r="AF1933" s="490">
        <f t="shared" si="3"/>
        <v>7584666628430</v>
      </c>
      <c r="AG1933" s="493">
        <f t="shared" si="6"/>
        <v>2936806.351</v>
      </c>
      <c r="AH1933" s="493">
        <f t="shared" si="4"/>
        <v>7584663691624</v>
      </c>
    </row>
    <row r="1934">
      <c r="T1934" s="494" t="s">
        <v>622</v>
      </c>
      <c r="AB1934" s="489">
        <v>1932.0</v>
      </c>
      <c r="AC1934" s="490">
        <f t="shared" si="5"/>
        <v>7584666628430</v>
      </c>
      <c r="AD1934" s="491">
        <f t="shared" si="1"/>
        <v>1500</v>
      </c>
      <c r="AE1934" s="492">
        <f t="shared" si="2"/>
        <v>0.009063325885</v>
      </c>
      <c r="AF1934" s="490">
        <f t="shared" si="3"/>
        <v>7653408935314</v>
      </c>
      <c r="AG1934" s="493">
        <f t="shared" si="6"/>
        <v>2938306.351</v>
      </c>
      <c r="AH1934" s="493">
        <f t="shared" si="4"/>
        <v>7653405997007</v>
      </c>
    </row>
    <row r="1935">
      <c r="T1935" s="494" t="s">
        <v>622</v>
      </c>
      <c r="AB1935" s="489">
        <v>1933.0</v>
      </c>
      <c r="AC1935" s="490">
        <f t="shared" si="5"/>
        <v>7653408935314</v>
      </c>
      <c r="AD1935" s="491">
        <f t="shared" si="1"/>
        <v>1500</v>
      </c>
      <c r="AE1935" s="492">
        <f t="shared" si="2"/>
        <v>0.009063325885</v>
      </c>
      <c r="AF1935" s="490">
        <f t="shared" si="3"/>
        <v>7722774276126</v>
      </c>
      <c r="AG1935" s="493">
        <f t="shared" si="6"/>
        <v>2939806.351</v>
      </c>
      <c r="AH1935" s="493">
        <f t="shared" si="4"/>
        <v>7722771336320</v>
      </c>
    </row>
    <row r="1936">
      <c r="T1936" s="494" t="s">
        <v>622</v>
      </c>
      <c r="AB1936" s="489">
        <v>1934.0</v>
      </c>
      <c r="AC1936" s="490">
        <f t="shared" si="5"/>
        <v>7722774276126</v>
      </c>
      <c r="AD1936" s="491">
        <f t="shared" si="1"/>
        <v>1500</v>
      </c>
      <c r="AE1936" s="492">
        <f t="shared" si="2"/>
        <v>0.009063325885</v>
      </c>
      <c r="AF1936" s="490">
        <f t="shared" si="3"/>
        <v>7792768297628</v>
      </c>
      <c r="AG1936" s="493">
        <f t="shared" si="6"/>
        <v>2941306.351</v>
      </c>
      <c r="AH1936" s="493">
        <f t="shared" si="4"/>
        <v>7792765356322</v>
      </c>
    </row>
    <row r="1937">
      <c r="T1937" s="494" t="s">
        <v>622</v>
      </c>
      <c r="AB1937" s="489">
        <v>1935.0</v>
      </c>
      <c r="AC1937" s="490">
        <f t="shared" si="5"/>
        <v>7792768297628</v>
      </c>
      <c r="AD1937" s="491">
        <f t="shared" si="1"/>
        <v>1500</v>
      </c>
      <c r="AE1937" s="492">
        <f t="shared" si="2"/>
        <v>0.009063325885</v>
      </c>
      <c r="AF1937" s="490">
        <f t="shared" si="3"/>
        <v>7863396697756</v>
      </c>
      <c r="AG1937" s="493">
        <f t="shared" si="6"/>
        <v>2942806.351</v>
      </c>
      <c r="AH1937" s="493">
        <f t="shared" si="4"/>
        <v>7863393754950</v>
      </c>
    </row>
    <row r="1938">
      <c r="T1938" s="494" t="s">
        <v>622</v>
      </c>
      <c r="AB1938" s="489">
        <v>1936.0</v>
      </c>
      <c r="AC1938" s="490">
        <f t="shared" si="5"/>
        <v>7863396697756</v>
      </c>
      <c r="AD1938" s="491">
        <f t="shared" si="1"/>
        <v>1500</v>
      </c>
      <c r="AE1938" s="492">
        <f t="shared" si="2"/>
        <v>0.009063325885</v>
      </c>
      <c r="AF1938" s="490">
        <f t="shared" si="3"/>
        <v>7934665226092</v>
      </c>
      <c r="AG1938" s="493">
        <f t="shared" si="6"/>
        <v>2944306.351</v>
      </c>
      <c r="AH1938" s="493">
        <f t="shared" si="4"/>
        <v>7934662281786</v>
      </c>
    </row>
    <row r="1939">
      <c r="T1939" s="494" t="s">
        <v>622</v>
      </c>
      <c r="AB1939" s="489">
        <v>1937.0</v>
      </c>
      <c r="AC1939" s="490">
        <f t="shared" si="5"/>
        <v>7934665226092</v>
      </c>
      <c r="AD1939" s="491">
        <f t="shared" si="1"/>
        <v>1500</v>
      </c>
      <c r="AE1939" s="492">
        <f t="shared" si="2"/>
        <v>0.009063325885</v>
      </c>
      <c r="AF1939" s="490">
        <f t="shared" si="3"/>
        <v>8006579684325</v>
      </c>
      <c r="AG1939" s="493">
        <f t="shared" si="6"/>
        <v>2945806.351</v>
      </c>
      <c r="AH1939" s="493">
        <f t="shared" si="4"/>
        <v>8006576738519</v>
      </c>
    </row>
    <row r="1940">
      <c r="T1940" s="494" t="s">
        <v>622</v>
      </c>
      <c r="AB1940" s="489">
        <v>1938.0</v>
      </c>
      <c r="AC1940" s="490">
        <f t="shared" si="5"/>
        <v>8006579684325</v>
      </c>
      <c r="AD1940" s="491">
        <f t="shared" si="1"/>
        <v>1500</v>
      </c>
      <c r="AE1940" s="492">
        <f t="shared" si="2"/>
        <v>0.009063325885</v>
      </c>
      <c r="AF1940" s="490">
        <f t="shared" si="3"/>
        <v>8079145926729</v>
      </c>
      <c r="AG1940" s="493">
        <f t="shared" si="6"/>
        <v>2947306.351</v>
      </c>
      <c r="AH1940" s="493">
        <f t="shared" si="4"/>
        <v>8079142979423</v>
      </c>
    </row>
    <row r="1941">
      <c r="T1941" s="494" t="s">
        <v>622</v>
      </c>
      <c r="AB1941" s="489">
        <v>1939.0</v>
      </c>
      <c r="AC1941" s="490">
        <f t="shared" si="5"/>
        <v>8079145926729</v>
      </c>
      <c r="AD1941" s="491">
        <f t="shared" si="1"/>
        <v>1500</v>
      </c>
      <c r="AE1941" s="492">
        <f t="shared" si="2"/>
        <v>0.009063325885</v>
      </c>
      <c r="AF1941" s="490">
        <f t="shared" si="3"/>
        <v>8152369860636</v>
      </c>
      <c r="AG1941" s="493">
        <f t="shared" si="6"/>
        <v>2948806.351</v>
      </c>
      <c r="AH1941" s="493">
        <f t="shared" si="4"/>
        <v>8152366911830</v>
      </c>
    </row>
    <row r="1942">
      <c r="T1942" s="494" t="s">
        <v>622</v>
      </c>
      <c r="AB1942" s="489">
        <v>1940.0</v>
      </c>
      <c r="AC1942" s="490">
        <f t="shared" si="5"/>
        <v>8152369860636</v>
      </c>
      <c r="AD1942" s="491">
        <f t="shared" si="1"/>
        <v>1500</v>
      </c>
      <c r="AE1942" s="492">
        <f t="shared" si="2"/>
        <v>0.009063325885</v>
      </c>
      <c r="AF1942" s="490">
        <f t="shared" si="3"/>
        <v>8226257446919</v>
      </c>
      <c r="AG1942" s="493">
        <f t="shared" si="6"/>
        <v>2950306.351</v>
      </c>
      <c r="AH1942" s="493">
        <f t="shared" si="4"/>
        <v>8226254496613</v>
      </c>
    </row>
    <row r="1943">
      <c r="T1943" s="494" t="s">
        <v>622</v>
      </c>
      <c r="AB1943" s="489">
        <v>1941.0</v>
      </c>
      <c r="AC1943" s="490">
        <f t="shared" si="5"/>
        <v>8226257446919</v>
      </c>
      <c r="AD1943" s="491">
        <f t="shared" si="1"/>
        <v>1500</v>
      </c>
      <c r="AE1943" s="492">
        <f t="shared" si="2"/>
        <v>0.009063325885</v>
      </c>
      <c r="AF1943" s="490">
        <f t="shared" si="3"/>
        <v>8300814700475</v>
      </c>
      <c r="AG1943" s="493">
        <f t="shared" si="6"/>
        <v>2951806.351</v>
      </c>
      <c r="AH1943" s="493">
        <f t="shared" si="4"/>
        <v>8300811748669</v>
      </c>
    </row>
    <row r="1944">
      <c r="T1944" s="494" t="s">
        <v>622</v>
      </c>
      <c r="AB1944" s="489">
        <v>1942.0</v>
      </c>
      <c r="AC1944" s="490">
        <f t="shared" si="5"/>
        <v>8300814700475</v>
      </c>
      <c r="AD1944" s="491">
        <f t="shared" si="1"/>
        <v>1500</v>
      </c>
      <c r="AE1944" s="492">
        <f t="shared" si="2"/>
        <v>0.009063325885</v>
      </c>
      <c r="AF1944" s="490">
        <f t="shared" si="3"/>
        <v>8376047690718</v>
      </c>
      <c r="AG1944" s="493">
        <f t="shared" si="6"/>
        <v>2953306.351</v>
      </c>
      <c r="AH1944" s="493">
        <f t="shared" si="4"/>
        <v>8376044737411</v>
      </c>
    </row>
    <row r="1945">
      <c r="T1945" s="494" t="s">
        <v>622</v>
      </c>
      <c r="AB1945" s="489">
        <v>1943.0</v>
      </c>
      <c r="AC1945" s="490">
        <f t="shared" si="5"/>
        <v>8376047690718</v>
      </c>
      <c r="AD1945" s="491">
        <f t="shared" si="1"/>
        <v>1500</v>
      </c>
      <c r="AE1945" s="492">
        <f t="shared" si="2"/>
        <v>0.009063325885</v>
      </c>
      <c r="AF1945" s="490">
        <f t="shared" si="3"/>
        <v>8451962542068</v>
      </c>
      <c r="AG1945" s="493">
        <f t="shared" si="6"/>
        <v>2954806.351</v>
      </c>
      <c r="AH1945" s="493">
        <f t="shared" si="4"/>
        <v>8451959587261</v>
      </c>
    </row>
    <row r="1946">
      <c r="T1946" s="494" t="s">
        <v>622</v>
      </c>
      <c r="AB1946" s="489">
        <v>1944.0</v>
      </c>
      <c r="AC1946" s="490">
        <f t="shared" si="5"/>
        <v>8451962542068</v>
      </c>
      <c r="AD1946" s="491">
        <f t="shared" si="1"/>
        <v>1500</v>
      </c>
      <c r="AE1946" s="492">
        <f t="shared" si="2"/>
        <v>0.009063325885</v>
      </c>
      <c r="AF1946" s="490">
        <f t="shared" si="3"/>
        <v>8528565434455</v>
      </c>
      <c r="AG1946" s="493">
        <f t="shared" si="6"/>
        <v>2956306.351</v>
      </c>
      <c r="AH1946" s="493">
        <f t="shared" si="4"/>
        <v>8528562478149</v>
      </c>
    </row>
    <row r="1947">
      <c r="T1947" s="494" t="s">
        <v>622</v>
      </c>
      <c r="AB1947" s="489">
        <v>1945.0</v>
      </c>
      <c r="AC1947" s="490">
        <f t="shared" si="5"/>
        <v>8528565434455</v>
      </c>
      <c r="AD1947" s="491">
        <f t="shared" si="1"/>
        <v>1500</v>
      </c>
      <c r="AE1947" s="492">
        <f t="shared" si="2"/>
        <v>0.009063325885</v>
      </c>
      <c r="AF1947" s="490">
        <f t="shared" si="3"/>
        <v>8605862603820</v>
      </c>
      <c r="AG1947" s="493">
        <f t="shared" si="6"/>
        <v>2957806.351</v>
      </c>
      <c r="AH1947" s="493">
        <f t="shared" si="4"/>
        <v>8605859646014</v>
      </c>
    </row>
    <row r="1948">
      <c r="T1948" s="494" t="s">
        <v>622</v>
      </c>
      <c r="AB1948" s="489">
        <v>1946.0</v>
      </c>
      <c r="AC1948" s="490">
        <f t="shared" si="5"/>
        <v>8605862603820</v>
      </c>
      <c r="AD1948" s="491">
        <f t="shared" si="1"/>
        <v>1500</v>
      </c>
      <c r="AE1948" s="492">
        <f t="shared" si="2"/>
        <v>0.009063325885</v>
      </c>
      <c r="AF1948" s="490">
        <f t="shared" si="3"/>
        <v>8683860342621</v>
      </c>
      <c r="AG1948" s="493">
        <f t="shared" si="6"/>
        <v>2959306.351</v>
      </c>
      <c r="AH1948" s="493">
        <f t="shared" si="4"/>
        <v>8683857383314</v>
      </c>
    </row>
    <row r="1949">
      <c r="T1949" s="494" t="s">
        <v>622</v>
      </c>
      <c r="AB1949" s="489">
        <v>1947.0</v>
      </c>
      <c r="AC1949" s="490">
        <f t="shared" si="5"/>
        <v>8683860342621</v>
      </c>
      <c r="AD1949" s="491">
        <f t="shared" si="1"/>
        <v>1500</v>
      </c>
      <c r="AE1949" s="492">
        <f t="shared" si="2"/>
        <v>0.009063325885</v>
      </c>
      <c r="AF1949" s="490">
        <f t="shared" si="3"/>
        <v>8762565000347</v>
      </c>
      <c r="AG1949" s="493">
        <f t="shared" si="6"/>
        <v>2960806.351</v>
      </c>
      <c r="AH1949" s="493">
        <f t="shared" si="4"/>
        <v>8762562039540</v>
      </c>
    </row>
    <row r="1950">
      <c r="T1950" s="494" t="s">
        <v>622</v>
      </c>
      <c r="AB1950" s="489">
        <v>1948.0</v>
      </c>
      <c r="AC1950" s="490">
        <f t="shared" si="5"/>
        <v>8762565000347</v>
      </c>
      <c r="AD1950" s="491">
        <f t="shared" si="1"/>
        <v>1500</v>
      </c>
      <c r="AE1950" s="492">
        <f t="shared" si="2"/>
        <v>0.009063325885</v>
      </c>
      <c r="AF1950" s="490">
        <f t="shared" si="3"/>
        <v>8841982984034</v>
      </c>
      <c r="AG1950" s="493">
        <f t="shared" si="6"/>
        <v>2962306.351</v>
      </c>
      <c r="AH1950" s="493">
        <f t="shared" si="4"/>
        <v>8841980021728</v>
      </c>
    </row>
    <row r="1951">
      <c r="T1951" s="494" t="s">
        <v>622</v>
      </c>
      <c r="AB1951" s="489">
        <v>1949.0</v>
      </c>
      <c r="AC1951" s="490">
        <f t="shared" si="5"/>
        <v>8841982984034</v>
      </c>
      <c r="AD1951" s="491">
        <f t="shared" si="1"/>
        <v>1500</v>
      </c>
      <c r="AE1951" s="492">
        <f t="shared" si="2"/>
        <v>0.009063325885</v>
      </c>
      <c r="AF1951" s="490">
        <f t="shared" si="3"/>
        <v>8922120758789</v>
      </c>
      <c r="AG1951" s="493">
        <f t="shared" si="6"/>
        <v>2963806.351</v>
      </c>
      <c r="AH1951" s="493">
        <f t="shared" si="4"/>
        <v>8922117794983</v>
      </c>
    </row>
    <row r="1952">
      <c r="T1952" s="494" t="s">
        <v>622</v>
      </c>
      <c r="AB1952" s="489">
        <v>1950.0</v>
      </c>
      <c r="AC1952" s="490">
        <f t="shared" si="5"/>
        <v>8922120758789</v>
      </c>
      <c r="AD1952" s="491">
        <f t="shared" si="1"/>
        <v>1500</v>
      </c>
      <c r="AE1952" s="492">
        <f t="shared" si="2"/>
        <v>0.009063325885</v>
      </c>
      <c r="AF1952" s="490">
        <f t="shared" si="3"/>
        <v>9002984848312</v>
      </c>
      <c r="AG1952" s="493">
        <f t="shared" si="6"/>
        <v>2965306.351</v>
      </c>
      <c r="AH1952" s="493">
        <f t="shared" si="4"/>
        <v>9002981883006</v>
      </c>
    </row>
    <row r="1953">
      <c r="T1953" s="494" t="s">
        <v>622</v>
      </c>
      <c r="AB1953" s="489">
        <v>1951.0</v>
      </c>
      <c r="AC1953" s="490">
        <f t="shared" si="5"/>
        <v>9002984848312</v>
      </c>
      <c r="AD1953" s="491">
        <f t="shared" si="1"/>
        <v>1500</v>
      </c>
      <c r="AE1953" s="492">
        <f t="shared" si="2"/>
        <v>0.009063325885</v>
      </c>
      <c r="AF1953" s="490">
        <f t="shared" si="3"/>
        <v>9084581835431</v>
      </c>
      <c r="AG1953" s="493">
        <f t="shared" si="6"/>
        <v>2966806.351</v>
      </c>
      <c r="AH1953" s="493">
        <f t="shared" si="4"/>
        <v>9084578868625</v>
      </c>
    </row>
    <row r="1954">
      <c r="T1954" s="494" t="s">
        <v>622</v>
      </c>
      <c r="AB1954" s="489">
        <v>1952.0</v>
      </c>
      <c r="AC1954" s="490">
        <f t="shared" si="5"/>
        <v>9084581835431</v>
      </c>
      <c r="AD1954" s="491">
        <f t="shared" si="1"/>
        <v>1500</v>
      </c>
      <c r="AE1954" s="492">
        <f t="shared" si="2"/>
        <v>0.009063325885</v>
      </c>
      <c r="AF1954" s="490">
        <f t="shared" si="3"/>
        <v>9166918362635</v>
      </c>
      <c r="AG1954" s="493">
        <f t="shared" si="6"/>
        <v>2968306.351</v>
      </c>
      <c r="AH1954" s="493">
        <f t="shared" si="4"/>
        <v>9166915394329</v>
      </c>
    </row>
    <row r="1955">
      <c r="T1955" s="494" t="s">
        <v>622</v>
      </c>
      <c r="AB1955" s="489">
        <v>1953.0</v>
      </c>
      <c r="AC1955" s="490">
        <f t="shared" si="5"/>
        <v>9166918362635</v>
      </c>
      <c r="AD1955" s="491">
        <f t="shared" si="1"/>
        <v>1500</v>
      </c>
      <c r="AE1955" s="492">
        <f t="shared" si="2"/>
        <v>0.009063325885</v>
      </c>
      <c r="AF1955" s="490">
        <f t="shared" si="3"/>
        <v>9250001132618</v>
      </c>
      <c r="AG1955" s="493">
        <f t="shared" si="6"/>
        <v>2969806.351</v>
      </c>
      <c r="AH1955" s="493">
        <f t="shared" si="4"/>
        <v>9249998162812</v>
      </c>
    </row>
    <row r="1956">
      <c r="T1956" s="494" t="s">
        <v>622</v>
      </c>
      <c r="AB1956" s="489">
        <v>1954.0</v>
      </c>
      <c r="AC1956" s="490">
        <f t="shared" si="5"/>
        <v>9250001132618</v>
      </c>
      <c r="AD1956" s="491">
        <f t="shared" si="1"/>
        <v>1500</v>
      </c>
      <c r="AE1956" s="492">
        <f t="shared" si="2"/>
        <v>0.009063325885</v>
      </c>
      <c r="AF1956" s="490">
        <f t="shared" si="3"/>
        <v>9333836908820</v>
      </c>
      <c r="AG1956" s="493">
        <f t="shared" si="6"/>
        <v>2971306.351</v>
      </c>
      <c r="AH1956" s="493">
        <f t="shared" si="4"/>
        <v>9333833937514</v>
      </c>
    </row>
    <row r="1957">
      <c r="T1957" s="494" t="s">
        <v>622</v>
      </c>
      <c r="AB1957" s="489">
        <v>1955.0</v>
      </c>
      <c r="AC1957" s="490">
        <f t="shared" si="5"/>
        <v>9333836908820</v>
      </c>
      <c r="AD1957" s="491">
        <f t="shared" si="1"/>
        <v>1500</v>
      </c>
      <c r="AE1957" s="492">
        <f t="shared" si="2"/>
        <v>0.009063325885</v>
      </c>
      <c r="AF1957" s="490">
        <f t="shared" si="3"/>
        <v>9418432515983</v>
      </c>
      <c r="AG1957" s="493">
        <f t="shared" si="6"/>
        <v>2972806.351</v>
      </c>
      <c r="AH1957" s="493">
        <f t="shared" si="4"/>
        <v>9418429543177</v>
      </c>
    </row>
    <row r="1958">
      <c r="T1958" s="494" t="s">
        <v>622</v>
      </c>
      <c r="AB1958" s="489">
        <v>1956.0</v>
      </c>
      <c r="AC1958" s="490">
        <f t="shared" si="5"/>
        <v>9418432515983</v>
      </c>
      <c r="AD1958" s="491">
        <f t="shared" si="1"/>
        <v>1500</v>
      </c>
      <c r="AE1958" s="492">
        <f t="shared" si="2"/>
        <v>0.009063325885</v>
      </c>
      <c r="AF1958" s="490">
        <f t="shared" si="3"/>
        <v>9503794840703</v>
      </c>
      <c r="AG1958" s="493">
        <f t="shared" si="6"/>
        <v>2974306.351</v>
      </c>
      <c r="AH1958" s="493">
        <f t="shared" si="4"/>
        <v>9503791866396</v>
      </c>
    </row>
    <row r="1959">
      <c r="T1959" s="494" t="s">
        <v>622</v>
      </c>
      <c r="AB1959" s="489">
        <v>1957.0</v>
      </c>
      <c r="AC1959" s="490">
        <f t="shared" si="5"/>
        <v>9503794840703</v>
      </c>
      <c r="AD1959" s="491">
        <f t="shared" si="1"/>
        <v>1500</v>
      </c>
      <c r="AE1959" s="492">
        <f t="shared" si="2"/>
        <v>0.009063325885</v>
      </c>
      <c r="AF1959" s="490">
        <f t="shared" si="3"/>
        <v>9589930831989</v>
      </c>
      <c r="AG1959" s="493">
        <f t="shared" si="6"/>
        <v>2975806.351</v>
      </c>
      <c r="AH1959" s="493">
        <f t="shared" si="4"/>
        <v>9589927856183</v>
      </c>
    </row>
    <row r="1960">
      <c r="T1960" s="494" t="s">
        <v>622</v>
      </c>
      <c r="AB1960" s="489">
        <v>1958.0</v>
      </c>
      <c r="AC1960" s="490">
        <f t="shared" si="5"/>
        <v>9589930831989</v>
      </c>
      <c r="AD1960" s="491">
        <f t="shared" si="1"/>
        <v>1500</v>
      </c>
      <c r="AE1960" s="492">
        <f t="shared" si="2"/>
        <v>0.009063325885</v>
      </c>
      <c r="AF1960" s="490">
        <f t="shared" si="3"/>
        <v>9676847501835</v>
      </c>
      <c r="AG1960" s="493">
        <f t="shared" si="6"/>
        <v>2977306.351</v>
      </c>
      <c r="AH1960" s="493">
        <f t="shared" si="4"/>
        <v>9676844524529</v>
      </c>
    </row>
    <row r="1961">
      <c r="T1961" s="494" t="s">
        <v>622</v>
      </c>
      <c r="AB1961" s="489">
        <v>1959.0</v>
      </c>
      <c r="AC1961" s="490">
        <f t="shared" si="5"/>
        <v>9676847501835</v>
      </c>
      <c r="AD1961" s="491">
        <f t="shared" si="1"/>
        <v>1500</v>
      </c>
      <c r="AE1961" s="492">
        <f t="shared" si="2"/>
        <v>0.009063325885</v>
      </c>
      <c r="AF1961" s="490">
        <f t="shared" si="3"/>
        <v>9764551925784</v>
      </c>
      <c r="AG1961" s="493">
        <f t="shared" si="6"/>
        <v>2978806.351</v>
      </c>
      <c r="AH1961" s="493">
        <f t="shared" si="4"/>
        <v>9764548946978</v>
      </c>
    </row>
    <row r="1962">
      <c r="T1962" s="494" t="s">
        <v>622</v>
      </c>
      <c r="AB1962" s="489">
        <v>1960.0</v>
      </c>
      <c r="AC1962" s="490">
        <f t="shared" si="5"/>
        <v>9764551925784</v>
      </c>
      <c r="AD1962" s="491">
        <f t="shared" si="1"/>
        <v>1500</v>
      </c>
      <c r="AE1962" s="492">
        <f t="shared" si="2"/>
        <v>0.009063325885</v>
      </c>
      <c r="AF1962" s="490">
        <f t="shared" si="3"/>
        <v>9853051243510</v>
      </c>
      <c r="AG1962" s="493">
        <f t="shared" si="6"/>
        <v>2980306.351</v>
      </c>
      <c r="AH1962" s="493">
        <f t="shared" si="4"/>
        <v>9853048263203</v>
      </c>
    </row>
    <row r="1963">
      <c r="T1963" s="494" t="s">
        <v>622</v>
      </c>
      <c r="AB1963" s="489">
        <v>1961.0</v>
      </c>
      <c r="AC1963" s="490">
        <f t="shared" si="5"/>
        <v>9853051243510</v>
      </c>
      <c r="AD1963" s="491">
        <f t="shared" si="1"/>
        <v>1500</v>
      </c>
      <c r="AE1963" s="492">
        <f t="shared" si="2"/>
        <v>0.009063325885</v>
      </c>
      <c r="AF1963" s="490">
        <f t="shared" si="3"/>
        <v>9942352659392</v>
      </c>
      <c r="AG1963" s="493">
        <f t="shared" si="6"/>
        <v>2981806.351</v>
      </c>
      <c r="AH1963" s="493">
        <f t="shared" si="4"/>
        <v>9942349677586</v>
      </c>
    </row>
    <row r="1964">
      <c r="T1964" s="494" t="s">
        <v>622</v>
      </c>
      <c r="AB1964" s="489">
        <v>1962.0</v>
      </c>
      <c r="AC1964" s="490">
        <f t="shared" si="5"/>
        <v>9942352659392</v>
      </c>
      <c r="AD1964" s="491">
        <f t="shared" si="1"/>
        <v>1500</v>
      </c>
      <c r="AE1964" s="492">
        <f t="shared" si="2"/>
        <v>0.009063325885</v>
      </c>
      <c r="AF1964" s="490">
        <f t="shared" si="3"/>
        <v>10032463443109</v>
      </c>
      <c r="AG1964" s="493">
        <f t="shared" si="6"/>
        <v>2983306.351</v>
      </c>
      <c r="AH1964" s="493">
        <f t="shared" si="4"/>
        <v>10032460459803</v>
      </c>
    </row>
    <row r="1965">
      <c r="T1965" s="494" t="s">
        <v>622</v>
      </c>
      <c r="AB1965" s="489">
        <v>1963.0</v>
      </c>
      <c r="AC1965" s="490">
        <f t="shared" si="5"/>
        <v>10032463443109</v>
      </c>
      <c r="AD1965" s="491">
        <f t="shared" si="1"/>
        <v>1500</v>
      </c>
      <c r="AE1965" s="492">
        <f t="shared" si="2"/>
        <v>0.009063325885</v>
      </c>
      <c r="AF1965" s="490">
        <f t="shared" si="3"/>
        <v>10123390930224</v>
      </c>
      <c r="AG1965" s="493">
        <f t="shared" si="6"/>
        <v>2984806.351</v>
      </c>
      <c r="AH1965" s="493">
        <f t="shared" si="4"/>
        <v>10123387945418</v>
      </c>
    </row>
    <row r="1966">
      <c r="T1966" s="494" t="s">
        <v>622</v>
      </c>
      <c r="AB1966" s="489">
        <v>1964.0</v>
      </c>
      <c r="AC1966" s="490">
        <f t="shared" si="5"/>
        <v>10123390930224</v>
      </c>
      <c r="AD1966" s="491">
        <f t="shared" si="1"/>
        <v>1500</v>
      </c>
      <c r="AE1966" s="492">
        <f t="shared" si="2"/>
        <v>0.009063325885</v>
      </c>
      <c r="AF1966" s="490">
        <f t="shared" si="3"/>
        <v>10215142522787</v>
      </c>
      <c r="AG1966" s="493">
        <f t="shared" si="6"/>
        <v>2986306.351</v>
      </c>
      <c r="AH1966" s="493">
        <f t="shared" si="4"/>
        <v>10215139536481</v>
      </c>
    </row>
    <row r="1967">
      <c r="T1967" s="494" t="s">
        <v>622</v>
      </c>
      <c r="AB1967" s="489">
        <v>1965.0</v>
      </c>
      <c r="AC1967" s="490">
        <f t="shared" si="5"/>
        <v>10215142522787</v>
      </c>
      <c r="AD1967" s="491">
        <f t="shared" si="1"/>
        <v>1500</v>
      </c>
      <c r="AE1967" s="492">
        <f t="shared" si="2"/>
        <v>0.009063325885</v>
      </c>
      <c r="AF1967" s="490">
        <f t="shared" si="3"/>
        <v>10307725689934</v>
      </c>
      <c r="AG1967" s="493">
        <f t="shared" si="6"/>
        <v>2987806.351</v>
      </c>
      <c r="AH1967" s="493">
        <f t="shared" si="4"/>
        <v>10307722702128</v>
      </c>
    </row>
    <row r="1968">
      <c r="T1968" s="494" t="s">
        <v>622</v>
      </c>
      <c r="AB1968" s="489">
        <v>1966.0</v>
      </c>
      <c r="AC1968" s="490">
        <f t="shared" si="5"/>
        <v>10307725689934</v>
      </c>
      <c r="AD1968" s="491">
        <f t="shared" si="1"/>
        <v>1500</v>
      </c>
      <c r="AE1968" s="492">
        <f t="shared" si="2"/>
        <v>0.009063325885</v>
      </c>
      <c r="AF1968" s="490">
        <f t="shared" si="3"/>
        <v>10401147968496</v>
      </c>
      <c r="AG1968" s="493">
        <f t="shared" si="6"/>
        <v>2989306.351</v>
      </c>
      <c r="AH1968" s="493">
        <f t="shared" si="4"/>
        <v>10401144979190</v>
      </c>
    </row>
    <row r="1969">
      <c r="T1969" s="494" t="s">
        <v>622</v>
      </c>
      <c r="AB1969" s="489">
        <v>1967.0</v>
      </c>
      <c r="AC1969" s="490">
        <f t="shared" si="5"/>
        <v>10401147968496</v>
      </c>
      <c r="AD1969" s="491">
        <f t="shared" si="1"/>
        <v>1500</v>
      </c>
      <c r="AE1969" s="492">
        <f t="shared" si="2"/>
        <v>0.009063325885</v>
      </c>
      <c r="AF1969" s="490">
        <f t="shared" si="3"/>
        <v>10495416963614</v>
      </c>
      <c r="AG1969" s="493">
        <f t="shared" si="6"/>
        <v>2990806.351</v>
      </c>
      <c r="AH1969" s="493">
        <f t="shared" si="4"/>
        <v>10495413972807</v>
      </c>
    </row>
    <row r="1970">
      <c r="T1970" s="494" t="s">
        <v>622</v>
      </c>
      <c r="AB1970" s="489">
        <v>1968.0</v>
      </c>
      <c r="AC1970" s="490">
        <f t="shared" si="5"/>
        <v>10495416963614</v>
      </c>
      <c r="AD1970" s="491">
        <f t="shared" si="1"/>
        <v>1500</v>
      </c>
      <c r="AE1970" s="492">
        <f t="shared" si="2"/>
        <v>0.009063325885</v>
      </c>
      <c r="AF1970" s="490">
        <f t="shared" si="3"/>
        <v>10590540349355</v>
      </c>
      <c r="AG1970" s="493">
        <f t="shared" si="6"/>
        <v>2992306.351</v>
      </c>
      <c r="AH1970" s="493">
        <f t="shared" si="4"/>
        <v>10590537357048</v>
      </c>
    </row>
    <row r="1971">
      <c r="T1971" s="494" t="s">
        <v>622</v>
      </c>
      <c r="AB1971" s="489">
        <v>1969.0</v>
      </c>
      <c r="AC1971" s="490">
        <f t="shared" si="5"/>
        <v>10590540349355</v>
      </c>
      <c r="AD1971" s="491">
        <f t="shared" si="1"/>
        <v>1500</v>
      </c>
      <c r="AE1971" s="492">
        <f t="shared" si="2"/>
        <v>0.009063325885</v>
      </c>
      <c r="AF1971" s="490">
        <f t="shared" si="3"/>
        <v>10686525869340</v>
      </c>
      <c r="AG1971" s="493">
        <f t="shared" si="6"/>
        <v>2993806.351</v>
      </c>
      <c r="AH1971" s="493">
        <f t="shared" si="4"/>
        <v>10686522875534</v>
      </c>
    </row>
    <row r="1972">
      <c r="T1972" s="494" t="s">
        <v>622</v>
      </c>
      <c r="AB1972" s="489">
        <v>1970.0</v>
      </c>
      <c r="AC1972" s="490">
        <f t="shared" si="5"/>
        <v>10686525869340</v>
      </c>
      <c r="AD1972" s="491">
        <f t="shared" si="1"/>
        <v>1500</v>
      </c>
      <c r="AE1972" s="492">
        <f t="shared" si="2"/>
        <v>0.009063325885</v>
      </c>
      <c r="AF1972" s="490">
        <f t="shared" si="3"/>
        <v>10783381337374</v>
      </c>
      <c r="AG1972" s="493">
        <f t="shared" si="6"/>
        <v>2995306.351</v>
      </c>
      <c r="AH1972" s="493">
        <f t="shared" si="4"/>
        <v>10783378342067</v>
      </c>
    </row>
    <row r="1973">
      <c r="T1973" s="494" t="s">
        <v>622</v>
      </c>
      <c r="AB1973" s="489">
        <v>1971.0</v>
      </c>
      <c r="AC1973" s="490">
        <f t="shared" si="5"/>
        <v>10783381337374</v>
      </c>
      <c r="AD1973" s="491">
        <f t="shared" si="1"/>
        <v>1500</v>
      </c>
      <c r="AE1973" s="492">
        <f t="shared" si="2"/>
        <v>0.009063325885</v>
      </c>
      <c r="AF1973" s="490">
        <f t="shared" si="3"/>
        <v>10881114638078</v>
      </c>
      <c r="AG1973" s="493">
        <f t="shared" si="6"/>
        <v>2996806.351</v>
      </c>
      <c r="AH1973" s="493">
        <f t="shared" si="4"/>
        <v>10881111641271</v>
      </c>
    </row>
    <row r="1974">
      <c r="T1974" s="494" t="s">
        <v>622</v>
      </c>
      <c r="AB1974" s="489">
        <v>1972.0</v>
      </c>
      <c r="AC1974" s="490">
        <f t="shared" si="5"/>
        <v>10881114638078</v>
      </c>
      <c r="AD1974" s="491">
        <f t="shared" si="1"/>
        <v>1500</v>
      </c>
      <c r="AE1974" s="492">
        <f t="shared" si="2"/>
        <v>0.009063325885</v>
      </c>
      <c r="AF1974" s="490">
        <f t="shared" si="3"/>
        <v>10979733727536</v>
      </c>
      <c r="AG1974" s="493">
        <f t="shared" si="6"/>
        <v>2998306.351</v>
      </c>
      <c r="AH1974" s="493">
        <f t="shared" si="4"/>
        <v>10979730729229</v>
      </c>
    </row>
    <row r="1975">
      <c r="T1975" s="494" t="s">
        <v>622</v>
      </c>
      <c r="AB1975" s="489">
        <v>1973.0</v>
      </c>
      <c r="AC1975" s="490">
        <f t="shared" si="5"/>
        <v>10979733727536</v>
      </c>
      <c r="AD1975" s="491">
        <f t="shared" si="1"/>
        <v>1500</v>
      </c>
      <c r="AE1975" s="492">
        <f t="shared" si="2"/>
        <v>0.009063325885</v>
      </c>
      <c r="AF1975" s="490">
        <f t="shared" si="3"/>
        <v>11079246633940</v>
      </c>
      <c r="AG1975" s="493">
        <f t="shared" si="6"/>
        <v>2999806.351</v>
      </c>
      <c r="AH1975" s="493">
        <f t="shared" si="4"/>
        <v>11079243634134</v>
      </c>
    </row>
    <row r="1976">
      <c r="T1976" s="494" t="s">
        <v>622</v>
      </c>
      <c r="AB1976" s="489">
        <v>1974.0</v>
      </c>
      <c r="AC1976" s="490">
        <f t="shared" si="5"/>
        <v>11079246633940</v>
      </c>
      <c r="AD1976" s="491">
        <f t="shared" si="1"/>
        <v>1500</v>
      </c>
      <c r="AE1976" s="492">
        <f t="shared" si="2"/>
        <v>0.009063325885</v>
      </c>
      <c r="AF1976" s="490">
        <f t="shared" si="3"/>
        <v>11179661458245</v>
      </c>
      <c r="AG1976" s="493">
        <f t="shared" si="6"/>
        <v>3001306.351</v>
      </c>
      <c r="AH1976" s="493">
        <f t="shared" si="4"/>
        <v>11179658456938</v>
      </c>
    </row>
    <row r="1977">
      <c r="T1977" s="494" t="s">
        <v>622</v>
      </c>
      <c r="AB1977" s="489">
        <v>1975.0</v>
      </c>
      <c r="AC1977" s="490">
        <f t="shared" si="5"/>
        <v>11179661458245</v>
      </c>
      <c r="AD1977" s="491">
        <f t="shared" si="1"/>
        <v>1500</v>
      </c>
      <c r="AE1977" s="492">
        <f t="shared" si="2"/>
        <v>0.009063325885</v>
      </c>
      <c r="AF1977" s="490">
        <f t="shared" si="3"/>
        <v>11280986374826</v>
      </c>
      <c r="AG1977" s="493">
        <f t="shared" si="6"/>
        <v>3002806.351</v>
      </c>
      <c r="AH1977" s="493">
        <f t="shared" si="4"/>
        <v>11280983372019</v>
      </c>
    </row>
    <row r="1978">
      <c r="T1978" s="494" t="s">
        <v>622</v>
      </c>
      <c r="AB1978" s="489">
        <v>1976.0</v>
      </c>
      <c r="AC1978" s="490">
        <f t="shared" si="5"/>
        <v>11280986374826</v>
      </c>
      <c r="AD1978" s="491">
        <f t="shared" si="1"/>
        <v>1500</v>
      </c>
      <c r="AE1978" s="492">
        <f t="shared" si="2"/>
        <v>0.009063325885</v>
      </c>
      <c r="AF1978" s="490">
        <f t="shared" si="3"/>
        <v>11383229632146</v>
      </c>
      <c r="AG1978" s="493">
        <f t="shared" si="6"/>
        <v>3004306.351</v>
      </c>
      <c r="AH1978" s="493">
        <f t="shared" si="4"/>
        <v>11383226627840</v>
      </c>
    </row>
    <row r="1979">
      <c r="T1979" s="494" t="s">
        <v>622</v>
      </c>
      <c r="AB1979" s="489">
        <v>1977.0</v>
      </c>
      <c r="AC1979" s="490">
        <f t="shared" si="5"/>
        <v>11383229632146</v>
      </c>
      <c r="AD1979" s="491">
        <f t="shared" si="1"/>
        <v>1500</v>
      </c>
      <c r="AE1979" s="492">
        <f t="shared" si="2"/>
        <v>0.009063325885</v>
      </c>
      <c r="AF1979" s="490">
        <f t="shared" si="3"/>
        <v>11486399553427</v>
      </c>
      <c r="AG1979" s="493">
        <f t="shared" si="6"/>
        <v>3005806.351</v>
      </c>
      <c r="AH1979" s="493">
        <f t="shared" si="4"/>
        <v>11486396547621</v>
      </c>
    </row>
    <row r="1980">
      <c r="T1980" s="494" t="s">
        <v>622</v>
      </c>
      <c r="AB1980" s="489">
        <v>1978.0</v>
      </c>
      <c r="AC1980" s="490">
        <f t="shared" si="5"/>
        <v>11486399553427</v>
      </c>
      <c r="AD1980" s="491">
        <f t="shared" si="1"/>
        <v>1500</v>
      </c>
      <c r="AE1980" s="492">
        <f t="shared" si="2"/>
        <v>0.009063325885</v>
      </c>
      <c r="AF1980" s="490">
        <f t="shared" si="3"/>
        <v>11590504537326</v>
      </c>
      <c r="AG1980" s="493">
        <f t="shared" si="6"/>
        <v>3007306.351</v>
      </c>
      <c r="AH1980" s="493">
        <f t="shared" si="4"/>
        <v>11590501530020</v>
      </c>
    </row>
    <row r="1981">
      <c r="T1981" s="494" t="s">
        <v>622</v>
      </c>
      <c r="AB1981" s="489">
        <v>1979.0</v>
      </c>
      <c r="AC1981" s="490">
        <f t="shared" si="5"/>
        <v>11590504537326</v>
      </c>
      <c r="AD1981" s="491">
        <f t="shared" si="1"/>
        <v>1500</v>
      </c>
      <c r="AE1981" s="492">
        <f t="shared" si="2"/>
        <v>0.009063325885</v>
      </c>
      <c r="AF1981" s="490">
        <f t="shared" si="3"/>
        <v>11695553058621</v>
      </c>
      <c r="AG1981" s="493">
        <f t="shared" si="6"/>
        <v>3008806.351</v>
      </c>
      <c r="AH1981" s="493">
        <f t="shared" si="4"/>
        <v>11695550049815</v>
      </c>
    </row>
    <row r="1982">
      <c r="T1982" s="494" t="s">
        <v>622</v>
      </c>
      <c r="AB1982" s="489">
        <v>1980.0</v>
      </c>
      <c r="AC1982" s="490">
        <f t="shared" si="5"/>
        <v>11695553058621</v>
      </c>
      <c r="AD1982" s="491">
        <f t="shared" si="1"/>
        <v>1500</v>
      </c>
      <c r="AE1982" s="492">
        <f t="shared" si="2"/>
        <v>0.009063325885</v>
      </c>
      <c r="AF1982" s="490">
        <f t="shared" si="3"/>
        <v>11801553668898</v>
      </c>
      <c r="AG1982" s="493">
        <f t="shared" si="6"/>
        <v>3010306.351</v>
      </c>
      <c r="AH1982" s="493">
        <f t="shared" si="4"/>
        <v>11801550658591</v>
      </c>
    </row>
    <row r="1983">
      <c r="T1983" s="494" t="s">
        <v>622</v>
      </c>
      <c r="AB1983" s="489">
        <v>1981.0</v>
      </c>
      <c r="AC1983" s="490">
        <f t="shared" si="5"/>
        <v>11801553668898</v>
      </c>
      <c r="AD1983" s="491">
        <f t="shared" si="1"/>
        <v>1500</v>
      </c>
      <c r="AE1983" s="492">
        <f t="shared" si="2"/>
        <v>0.009063325885</v>
      </c>
      <c r="AF1983" s="490">
        <f t="shared" si="3"/>
        <v>11908514997249</v>
      </c>
      <c r="AG1983" s="493">
        <f t="shared" si="6"/>
        <v>3011806.351</v>
      </c>
      <c r="AH1983" s="493">
        <f t="shared" si="4"/>
        <v>11908511985443</v>
      </c>
    </row>
    <row r="1984">
      <c r="T1984" s="494" t="s">
        <v>622</v>
      </c>
      <c r="AB1984" s="489">
        <v>1982.0</v>
      </c>
      <c r="AC1984" s="490">
        <f t="shared" si="5"/>
        <v>11908514997249</v>
      </c>
      <c r="AD1984" s="491">
        <f t="shared" si="1"/>
        <v>1500</v>
      </c>
      <c r="AE1984" s="492">
        <f t="shared" si="2"/>
        <v>0.009063325885</v>
      </c>
      <c r="AF1984" s="490">
        <f t="shared" si="3"/>
        <v>12016445750977</v>
      </c>
      <c r="AG1984" s="493">
        <f t="shared" si="6"/>
        <v>3013306.351</v>
      </c>
      <c r="AH1984" s="493">
        <f t="shared" si="4"/>
        <v>12016442737671</v>
      </c>
    </row>
    <row r="1985">
      <c r="T1985" s="494" t="s">
        <v>622</v>
      </c>
      <c r="AB1985" s="489">
        <v>1983.0</v>
      </c>
      <c r="AC1985" s="490">
        <f t="shared" si="5"/>
        <v>12016445750977</v>
      </c>
      <c r="AD1985" s="491">
        <f t="shared" si="1"/>
        <v>1500</v>
      </c>
      <c r="AE1985" s="492">
        <f t="shared" si="2"/>
        <v>0.009063325885</v>
      </c>
      <c r="AF1985" s="490">
        <f t="shared" si="3"/>
        <v>12125354716299</v>
      </c>
      <c r="AG1985" s="493">
        <f t="shared" si="6"/>
        <v>3014806.351</v>
      </c>
      <c r="AH1985" s="493">
        <f t="shared" si="4"/>
        <v>12125351701492</v>
      </c>
    </row>
    <row r="1986">
      <c r="T1986" s="494" t="s">
        <v>622</v>
      </c>
      <c r="AB1986" s="489">
        <v>1984.0</v>
      </c>
      <c r="AC1986" s="490">
        <f t="shared" si="5"/>
        <v>12125354716299</v>
      </c>
      <c r="AD1986" s="491">
        <f t="shared" si="1"/>
        <v>1500</v>
      </c>
      <c r="AE1986" s="492">
        <f t="shared" si="2"/>
        <v>0.009063325885</v>
      </c>
      <c r="AF1986" s="490">
        <f t="shared" si="3"/>
        <v>12235250759065</v>
      </c>
      <c r="AG1986" s="493">
        <f t="shared" si="6"/>
        <v>3016306.351</v>
      </c>
      <c r="AH1986" s="493">
        <f t="shared" si="4"/>
        <v>12235247742759</v>
      </c>
    </row>
    <row r="1987">
      <c r="T1987" s="494" t="s">
        <v>622</v>
      </c>
      <c r="AB1987" s="489">
        <v>1985.0</v>
      </c>
      <c r="AC1987" s="490">
        <f t="shared" si="5"/>
        <v>12235250759065</v>
      </c>
      <c r="AD1987" s="491">
        <f t="shared" si="1"/>
        <v>1500</v>
      </c>
      <c r="AE1987" s="492">
        <f t="shared" si="2"/>
        <v>0.009063325885</v>
      </c>
      <c r="AF1987" s="490">
        <f t="shared" si="3"/>
        <v>12346142825480</v>
      </c>
      <c r="AG1987" s="493">
        <f t="shared" si="6"/>
        <v>3017806.351</v>
      </c>
      <c r="AH1987" s="493">
        <f t="shared" si="4"/>
        <v>12346139807674</v>
      </c>
    </row>
    <row r="1988">
      <c r="T1988" s="494" t="s">
        <v>622</v>
      </c>
      <c r="AB1988" s="489">
        <v>1986.0</v>
      </c>
      <c r="AC1988" s="490">
        <f t="shared" si="5"/>
        <v>12346142825480</v>
      </c>
      <c r="AD1988" s="491">
        <f t="shared" si="1"/>
        <v>1500</v>
      </c>
      <c r="AE1988" s="492">
        <f t="shared" si="2"/>
        <v>0.009063325885</v>
      </c>
      <c r="AF1988" s="490">
        <f t="shared" si="3"/>
        <v>12458039942832</v>
      </c>
      <c r="AG1988" s="493">
        <f t="shared" si="6"/>
        <v>3019306.351</v>
      </c>
      <c r="AH1988" s="493">
        <f t="shared" si="4"/>
        <v>12458036923525</v>
      </c>
    </row>
    <row r="1989">
      <c r="T1989" s="494" t="s">
        <v>622</v>
      </c>
      <c r="AB1989" s="489">
        <v>1987.0</v>
      </c>
      <c r="AC1989" s="490">
        <f t="shared" si="5"/>
        <v>12458039942832</v>
      </c>
      <c r="AD1989" s="491">
        <f t="shared" si="1"/>
        <v>1500</v>
      </c>
      <c r="AE1989" s="492">
        <f t="shared" si="2"/>
        <v>0.009063325885</v>
      </c>
      <c r="AF1989" s="490">
        <f t="shared" si="3"/>
        <v>12570951220223</v>
      </c>
      <c r="AG1989" s="493">
        <f t="shared" si="6"/>
        <v>3020806.351</v>
      </c>
      <c r="AH1989" s="493">
        <f t="shared" si="4"/>
        <v>12570948199417</v>
      </c>
    </row>
    <row r="1990">
      <c r="T1990" s="494" t="s">
        <v>622</v>
      </c>
      <c r="AB1990" s="489">
        <v>1988.0</v>
      </c>
      <c r="AC1990" s="490">
        <f t="shared" si="5"/>
        <v>12570951220223</v>
      </c>
      <c r="AD1990" s="491">
        <f t="shared" si="1"/>
        <v>1500</v>
      </c>
      <c r="AE1990" s="492">
        <f t="shared" si="2"/>
        <v>0.009063325885</v>
      </c>
      <c r="AF1990" s="490">
        <f t="shared" si="3"/>
        <v>12684885849318</v>
      </c>
      <c r="AG1990" s="493">
        <f t="shared" si="6"/>
        <v>3022306.351</v>
      </c>
      <c r="AH1990" s="493">
        <f t="shared" si="4"/>
        <v>12684882827011</v>
      </c>
    </row>
    <row r="1991">
      <c r="T1991" s="494" t="s">
        <v>622</v>
      </c>
      <c r="AB1991" s="489">
        <v>1989.0</v>
      </c>
      <c r="AC1991" s="490">
        <f t="shared" si="5"/>
        <v>12684885849318</v>
      </c>
      <c r="AD1991" s="491">
        <f t="shared" si="1"/>
        <v>1500</v>
      </c>
      <c r="AE1991" s="492">
        <f t="shared" si="2"/>
        <v>0.009063325885</v>
      </c>
      <c r="AF1991" s="490">
        <f t="shared" si="3"/>
        <v>12799853105085</v>
      </c>
      <c r="AG1991" s="493">
        <f t="shared" si="6"/>
        <v>3023806.351</v>
      </c>
      <c r="AH1991" s="493">
        <f t="shared" si="4"/>
        <v>12799850081279</v>
      </c>
    </row>
    <row r="1992">
      <c r="T1992" s="494" t="s">
        <v>622</v>
      </c>
      <c r="AB1992" s="489">
        <v>1990.0</v>
      </c>
      <c r="AC1992" s="490">
        <f t="shared" si="5"/>
        <v>12799853105085</v>
      </c>
      <c r="AD1992" s="491">
        <f t="shared" si="1"/>
        <v>1500</v>
      </c>
      <c r="AE1992" s="492">
        <f t="shared" si="2"/>
        <v>0.009063325885</v>
      </c>
      <c r="AF1992" s="490">
        <f t="shared" si="3"/>
        <v>12915862346558</v>
      </c>
      <c r="AG1992" s="493">
        <f t="shared" si="6"/>
        <v>3025306.351</v>
      </c>
      <c r="AH1992" s="493">
        <f t="shared" si="4"/>
        <v>12915859321252</v>
      </c>
    </row>
    <row r="1993">
      <c r="T1993" s="494" t="s">
        <v>622</v>
      </c>
      <c r="AB1993" s="489">
        <v>1991.0</v>
      </c>
      <c r="AC1993" s="490">
        <f t="shared" si="5"/>
        <v>12915862346558</v>
      </c>
      <c r="AD1993" s="491">
        <f t="shared" si="1"/>
        <v>1500</v>
      </c>
      <c r="AE1993" s="492">
        <f t="shared" si="2"/>
        <v>0.009063325885</v>
      </c>
      <c r="AF1993" s="490">
        <f t="shared" si="3"/>
        <v>13032923017592</v>
      </c>
      <c r="AG1993" s="493">
        <f t="shared" si="6"/>
        <v>3026806.351</v>
      </c>
      <c r="AH1993" s="493">
        <f t="shared" si="4"/>
        <v>13032919990786</v>
      </c>
    </row>
    <row r="1994">
      <c r="T1994" s="494" t="s">
        <v>622</v>
      </c>
      <c r="AB1994" s="489">
        <v>1992.0</v>
      </c>
      <c r="AC1994" s="490">
        <f t="shared" si="5"/>
        <v>13032923017592</v>
      </c>
      <c r="AD1994" s="491">
        <f t="shared" si="1"/>
        <v>1500</v>
      </c>
      <c r="AE1994" s="492">
        <f t="shared" si="2"/>
        <v>0.009063325885</v>
      </c>
      <c r="AF1994" s="490">
        <f t="shared" si="3"/>
        <v>13151044647636</v>
      </c>
      <c r="AG1994" s="493">
        <f t="shared" si="6"/>
        <v>3028306.351</v>
      </c>
      <c r="AH1994" s="493">
        <f t="shared" si="4"/>
        <v>13151041619330</v>
      </c>
    </row>
    <row r="1995">
      <c r="T1995" s="494" t="s">
        <v>622</v>
      </c>
      <c r="AB1995" s="489">
        <v>1993.0</v>
      </c>
      <c r="AC1995" s="490">
        <f t="shared" si="5"/>
        <v>13151044647636</v>
      </c>
      <c r="AD1995" s="491">
        <f t="shared" si="1"/>
        <v>1500</v>
      </c>
      <c r="AE1995" s="492">
        <f t="shared" si="2"/>
        <v>0.009063325885</v>
      </c>
      <c r="AF1995" s="490">
        <f t="shared" si="3"/>
        <v>13270236852507</v>
      </c>
      <c r="AG1995" s="493">
        <f t="shared" si="6"/>
        <v>3029806.351</v>
      </c>
      <c r="AH1995" s="493">
        <f t="shared" si="4"/>
        <v>13270233822701</v>
      </c>
    </row>
    <row r="1996">
      <c r="T1996" s="494" t="s">
        <v>622</v>
      </c>
      <c r="AB1996" s="489">
        <v>1994.0</v>
      </c>
      <c r="AC1996" s="490">
        <f t="shared" si="5"/>
        <v>13270236852507</v>
      </c>
      <c r="AD1996" s="491">
        <f t="shared" si="1"/>
        <v>1500</v>
      </c>
      <c r="AE1996" s="492">
        <f t="shared" si="2"/>
        <v>0.009063325885</v>
      </c>
      <c r="AF1996" s="490">
        <f t="shared" si="3"/>
        <v>13390509335174</v>
      </c>
      <c r="AG1996" s="493">
        <f t="shared" si="6"/>
        <v>3031306.351</v>
      </c>
      <c r="AH1996" s="493">
        <f t="shared" si="4"/>
        <v>13390506303867</v>
      </c>
    </row>
    <row r="1997">
      <c r="T1997" s="494" t="s">
        <v>622</v>
      </c>
      <c r="AB1997" s="489">
        <v>1995.0</v>
      </c>
      <c r="AC1997" s="490">
        <f t="shared" si="5"/>
        <v>13390509335174</v>
      </c>
      <c r="AD1997" s="491">
        <f t="shared" si="1"/>
        <v>1500</v>
      </c>
      <c r="AE1997" s="492">
        <f t="shared" si="2"/>
        <v>0.009063325885</v>
      </c>
      <c r="AF1997" s="490">
        <f t="shared" si="3"/>
        <v>13511871886546</v>
      </c>
      <c r="AG1997" s="493">
        <f t="shared" si="6"/>
        <v>3032806.351</v>
      </c>
      <c r="AH1997" s="493">
        <f t="shared" si="4"/>
        <v>13511868853739</v>
      </c>
    </row>
    <row r="1998">
      <c r="T1998" s="494" t="s">
        <v>622</v>
      </c>
      <c r="AB1998" s="489">
        <v>1996.0</v>
      </c>
      <c r="AC1998" s="490">
        <f t="shared" si="5"/>
        <v>13511871886546</v>
      </c>
      <c r="AD1998" s="491">
        <f t="shared" si="1"/>
        <v>1500</v>
      </c>
      <c r="AE1998" s="492">
        <f t="shared" si="2"/>
        <v>0.009063325885</v>
      </c>
      <c r="AF1998" s="490">
        <f t="shared" si="3"/>
        <v>13634334386271</v>
      </c>
      <c r="AG1998" s="493">
        <f t="shared" si="6"/>
        <v>3034306.351</v>
      </c>
      <c r="AH1998" s="493">
        <f t="shared" si="4"/>
        <v>13634331351965</v>
      </c>
    </row>
  </sheetData>
  <mergeCells count="57">
    <mergeCell ref="J3:M4"/>
    <mergeCell ref="N3:Q4"/>
    <mergeCell ref="J5:M5"/>
    <mergeCell ref="N5:Q5"/>
    <mergeCell ref="J6:M7"/>
    <mergeCell ref="N6:Q7"/>
    <mergeCell ref="R6:R7"/>
    <mergeCell ref="B1:R1"/>
    <mergeCell ref="B2:E2"/>
    <mergeCell ref="F2:I2"/>
    <mergeCell ref="J2:M2"/>
    <mergeCell ref="N2:Q2"/>
    <mergeCell ref="F3:I4"/>
    <mergeCell ref="R3:R4"/>
    <mergeCell ref="B3:E4"/>
    <mergeCell ref="B5:E5"/>
    <mergeCell ref="F5:I5"/>
    <mergeCell ref="B6:E7"/>
    <mergeCell ref="F6:I7"/>
    <mergeCell ref="B9:Q11"/>
    <mergeCell ref="L14:O14"/>
    <mergeCell ref="L15:O16"/>
    <mergeCell ref="L17:O17"/>
    <mergeCell ref="L18:O19"/>
    <mergeCell ref="L21:O21"/>
    <mergeCell ref="L22:O23"/>
    <mergeCell ref="L24:O24"/>
    <mergeCell ref="L25:O26"/>
    <mergeCell ref="L28:O28"/>
    <mergeCell ref="L29:M29"/>
    <mergeCell ref="N29:O29"/>
    <mergeCell ref="L30:M31"/>
    <mergeCell ref="N30:O31"/>
    <mergeCell ref="L32:M32"/>
    <mergeCell ref="N32:O32"/>
    <mergeCell ref="L33:M34"/>
    <mergeCell ref="N33:O34"/>
    <mergeCell ref="L35:O36"/>
    <mergeCell ref="B43:R44"/>
    <mergeCell ref="L46:M46"/>
    <mergeCell ref="L47:M47"/>
    <mergeCell ref="L48:M48"/>
    <mergeCell ref="L57:M57"/>
    <mergeCell ref="L58:M58"/>
    <mergeCell ref="N58:O58"/>
    <mergeCell ref="L60:P60"/>
    <mergeCell ref="L61:M61"/>
    <mergeCell ref="N61:O61"/>
    <mergeCell ref="L62:M62"/>
    <mergeCell ref="N62:O62"/>
    <mergeCell ref="L49:M49"/>
    <mergeCell ref="L50:M50"/>
    <mergeCell ref="L51:M51"/>
    <mergeCell ref="L54:M54"/>
    <mergeCell ref="N54:P54"/>
    <mergeCell ref="L56:P56"/>
    <mergeCell ref="N57:O57"/>
  </mergeCells>
  <conditionalFormatting sqref="L35:O36">
    <cfRule type="containsText" dxfId="12" priority="1" operator="containsText" text="early">
      <formula>NOT(ISERROR(SEARCH(("early"),(L35))))</formula>
    </cfRule>
  </conditionalFormatting>
  <conditionalFormatting sqref="L35:O36">
    <cfRule type="containsText" dxfId="11" priority="2" operator="containsText" text="late">
      <formula>NOT(ISERROR(SEARCH(("late"),(L35))))</formula>
    </cfRule>
  </conditionalFormatting>
  <dataValidations>
    <dataValidation type="list" allowBlank="1" showErrorMessage="1" sqref="N54">
      <formula1>"Great Depression (1929),Dot-Com Bubble (2000),Financial Crisis (2008),COVID-19 Crash (2020),Custom Scenario"</formula1>
    </dataValidation>
    <dataValidation type="list" allowBlank="1" sqref="D47:D76">
      <formula1>"(Select),US Bonds,International Market,Value Stocks,Growth,Foundational"</formula1>
    </dataValidation>
    <dataValidation type="list" allowBlank="1" showErrorMessage="1" sqref="F3 F6">
      <formula1>"Annual,Semiannual,Quaterly,Monthly,Weekly,Diary"</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BC9D"/>
    <outlinePr summaryBelow="0" summaryRight="0"/>
  </sheetPr>
  <sheetViews>
    <sheetView workbookViewId="0"/>
  </sheetViews>
  <sheetFormatPr customHeight="1" defaultColWidth="12.63" defaultRowHeight="15.75"/>
  <cols>
    <col customWidth="1" min="4" max="4" width="14.13"/>
    <col customWidth="1" min="6" max="6" width="11.63"/>
    <col customWidth="1" min="7" max="7" width="6.13"/>
    <col customWidth="1" min="8" max="8" width="32.38"/>
    <col customWidth="1" min="9" max="9" width="29.13"/>
    <col customWidth="1" min="10" max="10" width="5.13"/>
    <col customWidth="1" min="11" max="11" width="26.25"/>
    <col customWidth="1" min="12" max="12" width="21.75"/>
    <col customWidth="1" min="13" max="13" width="13.38"/>
    <col customWidth="1" min="14" max="14" width="23.25"/>
    <col customWidth="1" min="15" max="15" width="17.13"/>
    <col customWidth="1" min="16" max="16" width="13.13"/>
    <col customWidth="1" min="17" max="17" width="10.0"/>
    <col customWidth="1" min="19" max="19" width="18.88"/>
    <col customWidth="1" min="20" max="20" width="32.25"/>
    <col customWidth="1" min="21" max="21" width="14.0"/>
    <col customWidth="1" min="22" max="22" width="16.75"/>
    <col customWidth="1" min="23" max="23" width="34.38"/>
    <col customWidth="1" min="24" max="24" width="22.25"/>
    <col customWidth="1" min="25" max="25" width="19.25"/>
    <col customWidth="1" min="26" max="26" width="23.13"/>
    <col customWidth="1" min="27" max="27" width="34.38"/>
    <col customWidth="1" min="28" max="28" width="21.5"/>
    <col customWidth="1" min="29" max="29" width="17.75"/>
    <col customWidth="1" min="30" max="30" width="13.63"/>
    <col customWidth="1" min="31" max="31" width="33.38"/>
    <col customWidth="1" min="32" max="32" width="14.0"/>
    <col customWidth="1" min="33" max="33" width="18.88"/>
    <col customWidth="1" min="34" max="34" width="18.13"/>
    <col customWidth="1" min="35" max="35" width="32.5"/>
    <col customWidth="1" min="36" max="36" width="13.88"/>
    <col customWidth="1" min="37" max="37" width="18.63"/>
    <col customWidth="1" min="38" max="38" width="14.0"/>
    <col customWidth="1" min="39" max="39" width="16.13"/>
    <col customWidth="1" min="40" max="40" width="13.75"/>
    <col customWidth="1" min="41" max="44" width="14.0"/>
    <col customWidth="1" min="45" max="45" width="29.5"/>
    <col customWidth="1" min="46" max="50" width="14.0"/>
    <col customWidth="1" min="51" max="51" width="17.5"/>
    <col customWidth="1" min="52" max="59" width="14.0"/>
  </cols>
  <sheetData>
    <row r="1">
      <c r="A1" s="553" t="s">
        <v>71</v>
      </c>
      <c r="B1" s="13"/>
      <c r="C1" s="554" t="s">
        <v>72</v>
      </c>
      <c r="D1" s="13"/>
      <c r="E1" s="554" t="s">
        <v>86</v>
      </c>
      <c r="F1" s="14"/>
      <c r="H1" s="555" t="s">
        <v>652</v>
      </c>
      <c r="I1" s="5"/>
      <c r="J1" s="5"/>
      <c r="K1" s="5"/>
      <c r="L1" s="6"/>
      <c r="N1" s="556" t="s">
        <v>653</v>
      </c>
      <c r="Q1" s="557"/>
      <c r="R1" s="558" t="s">
        <v>654</v>
      </c>
      <c r="V1" s="559" t="s">
        <v>77</v>
      </c>
      <c r="W1" s="560" t="s">
        <v>71</v>
      </c>
      <c r="X1" s="561" t="str">
        <f>A2</f>
        <v>MSFT</v>
      </c>
      <c r="Y1" s="562"/>
      <c r="Z1" s="563">
        <f>Z5+Z10+Z15</f>
        <v>756.505641</v>
      </c>
      <c r="AA1" s="564"/>
      <c r="AB1" s="556" t="s">
        <v>655</v>
      </c>
      <c r="AD1" s="565"/>
      <c r="AE1" s="565"/>
      <c r="AF1" s="565"/>
      <c r="AG1" s="565"/>
      <c r="AH1" s="565"/>
      <c r="AI1" s="565"/>
      <c r="AJ1" s="565"/>
      <c r="AK1" s="565"/>
      <c r="AL1" s="565"/>
      <c r="AM1" s="565"/>
      <c r="AP1" s="566"/>
      <c r="AQ1" s="566"/>
      <c r="AR1" s="566"/>
      <c r="AS1" s="566"/>
      <c r="AT1" s="566"/>
      <c r="AU1" s="566"/>
      <c r="AV1" s="566"/>
      <c r="AW1" s="566"/>
      <c r="AX1" s="566"/>
      <c r="AY1" s="566"/>
      <c r="AZ1" s="566"/>
      <c r="BA1" s="566"/>
      <c r="BB1" s="566"/>
      <c r="BC1" s="566"/>
      <c r="BD1" s="566"/>
      <c r="BE1" s="566"/>
      <c r="BF1" s="566"/>
      <c r="BG1" s="566"/>
    </row>
    <row r="2">
      <c r="A2" s="567" t="s">
        <v>104</v>
      </c>
      <c r="C2" s="568" t="s">
        <v>510</v>
      </c>
      <c r="E2" s="568" t="s">
        <v>511</v>
      </c>
      <c r="F2" s="17"/>
      <c r="H2" s="569" t="s">
        <v>656</v>
      </c>
      <c r="I2" s="14"/>
      <c r="J2" s="570"/>
      <c r="K2" s="571" t="s">
        <v>77</v>
      </c>
      <c r="L2" s="6"/>
      <c r="N2" s="572" t="s">
        <v>625</v>
      </c>
      <c r="O2" s="572" t="s">
        <v>657</v>
      </c>
      <c r="P2" s="573" t="s">
        <v>658</v>
      </c>
      <c r="Q2" s="557"/>
      <c r="R2" s="572" t="s">
        <v>625</v>
      </c>
      <c r="S2" s="572" t="s">
        <v>659</v>
      </c>
      <c r="T2" s="574" t="s">
        <v>660</v>
      </c>
      <c r="V2" s="34"/>
      <c r="W2" s="575" t="s">
        <v>661</v>
      </c>
      <c r="X2" s="576">
        <f>A22</f>
        <v>410.68</v>
      </c>
      <c r="Y2" s="577"/>
      <c r="Z2" s="17"/>
      <c r="AA2" s="564"/>
      <c r="AB2" s="565"/>
      <c r="AC2" s="565"/>
      <c r="AD2" s="565"/>
      <c r="AE2" s="565"/>
      <c r="AF2" s="565"/>
      <c r="AG2" s="565"/>
      <c r="AH2" s="565"/>
      <c r="AI2" s="565"/>
      <c r="AJ2" s="565"/>
      <c r="AK2" s="565"/>
      <c r="AL2" s="565"/>
      <c r="AM2" s="565"/>
      <c r="AP2" s="574"/>
      <c r="AQ2" s="574"/>
      <c r="AR2" s="574"/>
      <c r="AS2" s="574"/>
      <c r="AT2" s="574"/>
      <c r="AU2" s="574"/>
      <c r="AV2" s="574"/>
      <c r="AW2" s="574"/>
      <c r="AX2" s="574"/>
      <c r="AY2" s="574"/>
      <c r="AZ2" s="574"/>
      <c r="BA2" s="574"/>
      <c r="BB2" s="574"/>
      <c r="BC2" s="574"/>
      <c r="BD2" s="574"/>
      <c r="BE2" s="574"/>
      <c r="BF2" s="574"/>
      <c r="BG2" s="574"/>
    </row>
    <row r="3" ht="20.25" customHeight="1">
      <c r="A3" s="29"/>
      <c r="B3" s="30"/>
      <c r="C3" s="30"/>
      <c r="D3" s="30"/>
      <c r="E3" s="30"/>
      <c r="F3" s="31"/>
      <c r="H3" s="578" t="s">
        <v>629</v>
      </c>
      <c r="I3" s="579" t="s">
        <v>662</v>
      </c>
      <c r="J3" s="570"/>
      <c r="K3" s="580" t="s">
        <v>663</v>
      </c>
      <c r="L3" s="581" t="s">
        <v>664</v>
      </c>
      <c r="N3" s="572">
        <f>AB22</f>
        <v>2025</v>
      </c>
      <c r="O3" s="582">
        <f>AB25</f>
        <v>71611000000</v>
      </c>
      <c r="P3" s="583">
        <f t="shared" ref="P3:P11" si="1">IFERROR((O3-O4)/abs(O4),"")</f>
        <v>-0.03321137827</v>
      </c>
      <c r="Q3" s="570"/>
      <c r="R3" s="584">
        <v>1.0</v>
      </c>
      <c r="S3" s="585">
        <f>O3*(1+$L$10)</f>
        <v>75195616212</v>
      </c>
      <c r="T3" s="585">
        <f t="shared" ref="T3:T11" si="2">S3/(1+$I$19)^R3</f>
        <v>70075775551</v>
      </c>
      <c r="V3" s="34"/>
      <c r="W3" s="586" t="s">
        <v>665</v>
      </c>
      <c r="X3" s="587">
        <f>O3/K7</f>
        <v>9.634198843</v>
      </c>
      <c r="Y3" s="588"/>
      <c r="Z3" s="589">
        <f>IFERROR((Z1-X2)/X2,"")</f>
        <v>0.8420805517</v>
      </c>
      <c r="AA3" s="590"/>
      <c r="AB3" s="590"/>
      <c r="AC3" s="590"/>
      <c r="AD3" s="590"/>
      <c r="AE3" s="590"/>
      <c r="AF3" s="590"/>
      <c r="AG3" s="590"/>
      <c r="AH3" s="590"/>
      <c r="AI3" s="590"/>
      <c r="AJ3" s="590"/>
      <c r="AK3" s="590"/>
      <c r="AL3" s="590"/>
      <c r="AM3" s="590"/>
      <c r="AP3" s="585"/>
      <c r="AQ3" s="585"/>
      <c r="AR3" s="585"/>
      <c r="AS3" s="585"/>
      <c r="AT3" s="585"/>
      <c r="AU3" s="585"/>
      <c r="AV3" s="585"/>
      <c r="AW3" s="585"/>
      <c r="AX3" s="585"/>
      <c r="AY3" s="585"/>
      <c r="AZ3" s="585"/>
      <c r="BA3" s="585"/>
      <c r="BB3" s="585"/>
      <c r="BC3" s="585"/>
      <c r="BD3" s="585"/>
      <c r="BE3" s="585"/>
      <c r="BF3" s="585"/>
      <c r="BG3" s="585"/>
    </row>
    <row r="4">
      <c r="A4" s="591" t="s">
        <v>77</v>
      </c>
      <c r="B4" s="30"/>
      <c r="C4" s="30"/>
      <c r="D4" s="30"/>
      <c r="E4" s="30"/>
      <c r="F4" s="31"/>
      <c r="H4" s="592">
        <v>1.108</v>
      </c>
      <c r="I4" s="593">
        <f>AB47</f>
        <v>128528000000</v>
      </c>
      <c r="J4" s="570"/>
      <c r="K4" s="594">
        <f>AB51</f>
        <v>30242000000</v>
      </c>
      <c r="L4" s="593">
        <f>AB49</f>
        <v>60588000000</v>
      </c>
      <c r="N4" s="572">
        <f>AA22</f>
        <v>2024</v>
      </c>
      <c r="O4" s="582">
        <f>AA25</f>
        <v>74071000000</v>
      </c>
      <c r="P4" s="583">
        <f t="shared" si="1"/>
        <v>0.2454140395</v>
      </c>
      <c r="Q4" s="570"/>
      <c r="R4" s="584">
        <v>2.0</v>
      </c>
      <c r="S4" s="585">
        <f t="shared" ref="S4:S11" si="3">S3*(1+$L$10)</f>
        <v>78959666776</v>
      </c>
      <c r="T4" s="585">
        <f t="shared" si="2"/>
        <v>68573463840</v>
      </c>
      <c r="V4" s="29"/>
      <c r="W4" s="595" t="s">
        <v>666</v>
      </c>
      <c r="X4" s="596"/>
      <c r="Y4" s="597"/>
      <c r="Z4" s="31"/>
      <c r="AA4" s="590"/>
      <c r="AB4" s="590"/>
      <c r="AC4" s="590"/>
      <c r="AD4" s="590"/>
      <c r="AE4" s="590"/>
      <c r="AF4" s="590"/>
      <c r="AG4" s="590"/>
      <c r="AH4" s="590"/>
      <c r="AI4" s="590"/>
      <c r="AJ4" s="590"/>
      <c r="AK4" s="590"/>
      <c r="AL4" s="590"/>
      <c r="AM4" s="590"/>
      <c r="AP4" s="585"/>
      <c r="AQ4" s="585"/>
      <c r="AR4" s="585"/>
      <c r="AS4" s="585"/>
      <c r="AT4" s="585"/>
      <c r="AU4" s="585"/>
      <c r="AV4" s="585"/>
      <c r="AW4" s="585"/>
      <c r="AX4" s="585"/>
      <c r="AY4" s="585"/>
      <c r="AZ4" s="585"/>
      <c r="BA4" s="585"/>
      <c r="BB4" s="585"/>
      <c r="BC4" s="585"/>
      <c r="BD4" s="585"/>
      <c r="BE4" s="585"/>
      <c r="BF4" s="585"/>
      <c r="BG4" s="585"/>
    </row>
    <row r="5" ht="15.0" customHeight="1">
      <c r="A5" s="598" t="s">
        <v>667</v>
      </c>
      <c r="B5" s="13"/>
      <c r="C5" s="599" t="s">
        <v>668</v>
      </c>
      <c r="D5" s="13"/>
      <c r="E5" s="599" t="s">
        <v>669</v>
      </c>
      <c r="F5" s="14"/>
      <c r="H5" s="34"/>
      <c r="I5" s="17"/>
      <c r="J5" s="570"/>
      <c r="K5" s="29"/>
      <c r="L5" s="31"/>
      <c r="N5" s="572">
        <f>Z22</f>
        <v>2023</v>
      </c>
      <c r="O5" s="582">
        <f>Z25</f>
        <v>59475000000</v>
      </c>
      <c r="P5" s="583">
        <f t="shared" si="1"/>
        <v>-0.08709266451</v>
      </c>
      <c r="Q5" s="570"/>
      <c r="R5" s="584">
        <v>3.0</v>
      </c>
      <c r="S5" s="585">
        <f t="shared" si="3"/>
        <v>82912133599</v>
      </c>
      <c r="T5" s="585">
        <f t="shared" si="2"/>
        <v>67103359272</v>
      </c>
      <c r="V5" s="600"/>
      <c r="W5" s="600"/>
      <c r="X5" s="601"/>
      <c r="Y5" s="590"/>
      <c r="Z5" s="602">
        <f>Z6*X9</f>
        <v>373.4913955</v>
      </c>
      <c r="AA5" s="590"/>
      <c r="AB5" s="590"/>
      <c r="AC5" s="590"/>
      <c r="AD5" s="590"/>
      <c r="AE5" s="590"/>
      <c r="AF5" s="590"/>
      <c r="AG5" s="590"/>
      <c r="AH5" s="590"/>
      <c r="AI5" s="590"/>
      <c r="AJ5" s="590"/>
      <c r="AK5" s="590"/>
      <c r="AL5" s="590"/>
      <c r="AM5" s="603" t="s">
        <v>670</v>
      </c>
      <c r="AP5" s="585"/>
      <c r="AQ5" s="585"/>
      <c r="AR5" s="585"/>
      <c r="AS5" s="585"/>
      <c r="AT5" s="585"/>
      <c r="AU5" s="585"/>
      <c r="AV5" s="585"/>
      <c r="AW5" s="585"/>
      <c r="AX5" s="585"/>
      <c r="AY5" s="585"/>
      <c r="AZ5" s="585"/>
      <c r="BA5" s="585"/>
      <c r="BB5" s="585"/>
      <c r="BC5" s="585"/>
      <c r="BD5" s="585"/>
      <c r="BE5" s="585"/>
      <c r="BF5" s="585"/>
      <c r="BG5" s="585"/>
    </row>
    <row r="6" ht="24.75" customHeight="1">
      <c r="A6" s="34"/>
      <c r="F6" s="17"/>
      <c r="H6" s="580" t="s">
        <v>671</v>
      </c>
      <c r="I6" s="581" t="s">
        <v>672</v>
      </c>
      <c r="J6" s="570"/>
      <c r="K6" s="580" t="s">
        <v>673</v>
      </c>
      <c r="L6" s="581" t="s">
        <v>674</v>
      </c>
      <c r="N6" s="572">
        <f>Y22</f>
        <v>2022</v>
      </c>
      <c r="O6" s="582">
        <f>Y25</f>
        <v>65149000000</v>
      </c>
      <c r="P6" s="583">
        <f t="shared" si="1"/>
        <v>0.1609287573</v>
      </c>
      <c r="Q6" s="570"/>
      <c r="R6" s="584">
        <v>4.0</v>
      </c>
      <c r="S6" s="585">
        <f t="shared" si="3"/>
        <v>87062448191</v>
      </c>
      <c r="T6" s="585">
        <f t="shared" si="2"/>
        <v>65664771376</v>
      </c>
      <c r="V6" s="604" t="s">
        <v>675</v>
      </c>
      <c r="W6" s="605" t="s">
        <v>676</v>
      </c>
      <c r="X6" s="606">
        <f>L10</f>
        <v>0.05005678195</v>
      </c>
      <c r="Y6" s="607"/>
      <c r="Z6" s="608">
        <f>SUM(AC9:AM9)</f>
        <v>746.9827909</v>
      </c>
      <c r="AA6" s="607"/>
      <c r="AB6" s="605" t="s">
        <v>625</v>
      </c>
      <c r="AC6" s="609">
        <v>1.0</v>
      </c>
      <c r="AD6" s="609">
        <f t="shared" ref="AD6:AL6" si="4">AC6+1</f>
        <v>2</v>
      </c>
      <c r="AE6" s="609">
        <f t="shared" si="4"/>
        <v>3</v>
      </c>
      <c r="AF6" s="609">
        <f t="shared" si="4"/>
        <v>4</v>
      </c>
      <c r="AG6" s="609">
        <f t="shared" si="4"/>
        <v>5</v>
      </c>
      <c r="AH6" s="609">
        <f t="shared" si="4"/>
        <v>6</v>
      </c>
      <c r="AI6" s="609">
        <f t="shared" si="4"/>
        <v>7</v>
      </c>
      <c r="AJ6" s="609">
        <f t="shared" si="4"/>
        <v>8</v>
      </c>
      <c r="AK6" s="609">
        <f t="shared" si="4"/>
        <v>9</v>
      </c>
      <c r="AL6" s="609">
        <f t="shared" si="4"/>
        <v>10</v>
      </c>
      <c r="AM6" s="610">
        <f>AL6</f>
        <v>10</v>
      </c>
      <c r="AP6" s="585"/>
      <c r="AQ6" s="585"/>
      <c r="AR6" s="585"/>
      <c r="AS6" s="585"/>
      <c r="AT6" s="585"/>
      <c r="AU6" s="585"/>
      <c r="AV6" s="585"/>
      <c r="AW6" s="585"/>
      <c r="AX6" s="585"/>
      <c r="AY6" s="585"/>
      <c r="AZ6" s="585"/>
      <c r="BA6" s="585"/>
      <c r="BB6" s="585"/>
      <c r="BC6" s="585"/>
      <c r="BD6" s="585"/>
      <c r="BE6" s="585"/>
      <c r="BF6" s="585"/>
      <c r="BG6" s="585"/>
    </row>
    <row r="7">
      <c r="A7" s="611" t="s">
        <v>677</v>
      </c>
      <c r="B7" s="30"/>
      <c r="C7" s="611" t="s">
        <v>678</v>
      </c>
      <c r="D7" s="30"/>
      <c r="E7" s="611" t="s">
        <v>679</v>
      </c>
      <c r="F7" s="31"/>
      <c r="H7" s="612">
        <f>AB36</f>
        <v>53.89014675</v>
      </c>
      <c r="I7" s="613">
        <f>IFERROR((I4/H7)/L4,"")</f>
        <v>0.03936423054</v>
      </c>
      <c r="J7" s="570"/>
      <c r="K7" s="614">
        <f>AB43</f>
        <v>7433000000</v>
      </c>
      <c r="L7" s="615">
        <f>T13-L4+K4</f>
        <v>1805481323375</v>
      </c>
      <c r="N7" s="572">
        <f>X22</f>
        <v>2021</v>
      </c>
      <c r="O7" s="582">
        <f>X25</f>
        <v>56118000000</v>
      </c>
      <c r="P7" s="583" t="str">
        <f t="shared" si="1"/>
        <v/>
      </c>
      <c r="Q7" s="570"/>
      <c r="R7" s="584">
        <v>5.0</v>
      </c>
      <c r="S7" s="585">
        <f t="shared" si="3"/>
        <v>91420514177</v>
      </c>
      <c r="T7" s="585">
        <f t="shared" si="2"/>
        <v>64257024487</v>
      </c>
      <c r="V7" s="616"/>
      <c r="W7" s="617" t="s">
        <v>680</v>
      </c>
      <c r="X7" s="618">
        <f>X6*A13</f>
        <v>0.03503974736</v>
      </c>
      <c r="Y7" s="619"/>
      <c r="AA7" s="619"/>
      <c r="AB7" s="620"/>
      <c r="AC7" s="620"/>
      <c r="AD7" s="620"/>
      <c r="AE7" s="620"/>
      <c r="AF7" s="620"/>
      <c r="AG7" s="620"/>
      <c r="AH7" s="620"/>
      <c r="AI7" s="620"/>
      <c r="AJ7" s="620"/>
      <c r="AK7" s="620"/>
      <c r="AL7" s="620"/>
      <c r="AM7" s="621"/>
      <c r="AP7" s="585"/>
      <c r="AQ7" s="585"/>
      <c r="AR7" s="585"/>
      <c r="AS7" s="585"/>
      <c r="AT7" s="585"/>
      <c r="AU7" s="585"/>
      <c r="AV7" s="585"/>
      <c r="AW7" s="585"/>
      <c r="AX7" s="585"/>
      <c r="AY7" s="585"/>
      <c r="AZ7" s="585"/>
      <c r="BA7" s="585"/>
      <c r="BB7" s="585"/>
      <c r="BC7" s="585"/>
      <c r="BD7" s="585"/>
      <c r="BE7" s="585"/>
      <c r="BF7" s="585"/>
      <c r="BG7" s="585"/>
    </row>
    <row r="8">
      <c r="A8" s="622">
        <f>IFERROR(__xludf.DUMMYFUNCTION("IFERROR(IF(ISBLANK($A$2), ""$0.00"", MIN(FILTER({K14, Z1}, {K14, Z1} &gt; 0))))
"),242.90075654183048)</f>
        <v>242.9007565</v>
      </c>
      <c r="C8" s="623" t="str">
        <f>IfError(IF(isblank($A$2),"$0.00",N26),"")</f>
        <v/>
      </c>
      <c r="E8" s="623">
        <f>P25</f>
        <v>238.7954717</v>
      </c>
      <c r="F8" s="17"/>
      <c r="H8" s="34"/>
      <c r="I8" s="17"/>
      <c r="J8" s="570"/>
      <c r="K8" s="29"/>
      <c r="L8" s="31"/>
      <c r="N8" s="572">
        <v>2019.0</v>
      </c>
      <c r="O8" s="624">
        <f t="shared" ref="O8:O12" si="7">Q8*1000000</f>
        <v>0</v>
      </c>
      <c r="P8" s="583" t="str">
        <f t="shared" si="1"/>
        <v/>
      </c>
      <c r="Q8" s="625"/>
      <c r="R8" s="584">
        <v>6.0</v>
      </c>
      <c r="S8" s="585">
        <f t="shared" si="3"/>
        <v>95996730920</v>
      </c>
      <c r="T8" s="585">
        <f t="shared" si="2"/>
        <v>62879457423</v>
      </c>
      <c r="V8" s="616"/>
      <c r="W8" s="617" t="s">
        <v>681</v>
      </c>
      <c r="X8" s="626">
        <f>X2/X3</f>
        <v>42.62731201</v>
      </c>
      <c r="Y8" s="619"/>
      <c r="Z8" s="627">
        <f>IFERROR((Z6-X2)/X2,"")</f>
        <v>0.8188925463</v>
      </c>
      <c r="AA8" s="619"/>
      <c r="AB8" s="628" t="str">
        <f>W3</f>
        <v>FCF/PS</v>
      </c>
      <c r="AC8" s="629">
        <f>X3*(1+$X$6)</f>
        <v>10.11645583</v>
      </c>
      <c r="AD8" s="629">
        <f t="shared" ref="AD8:AG8" si="5">AC8*(1+$X$6)</f>
        <v>10.62285306</v>
      </c>
      <c r="AE8" s="629">
        <f t="shared" si="5"/>
        <v>11.1545989</v>
      </c>
      <c r="AF8" s="629">
        <f t="shared" si="5"/>
        <v>11.71296222</v>
      </c>
      <c r="AG8" s="629">
        <f t="shared" si="5"/>
        <v>12.29927542</v>
      </c>
      <c r="AH8" s="629">
        <f t="shared" ref="AH8:AL8" si="6">AG8*(1+$X$7)</f>
        <v>12.73023892</v>
      </c>
      <c r="AI8" s="629">
        <f t="shared" si="6"/>
        <v>13.17630328</v>
      </c>
      <c r="AJ8" s="629">
        <f t="shared" si="6"/>
        <v>13.63799761</v>
      </c>
      <c r="AK8" s="629">
        <f t="shared" si="6"/>
        <v>14.11586961</v>
      </c>
      <c r="AL8" s="629">
        <f t="shared" si="6"/>
        <v>14.61048611</v>
      </c>
      <c r="AM8" s="630">
        <f>AL8*X8</f>
        <v>622.80575</v>
      </c>
      <c r="AP8" s="585"/>
      <c r="AQ8" s="585"/>
      <c r="AR8" s="585"/>
      <c r="AS8" s="585"/>
      <c r="AT8" s="585"/>
      <c r="AU8" s="585"/>
      <c r="AV8" s="585"/>
      <c r="AW8" s="585"/>
      <c r="AX8" s="585"/>
      <c r="AY8" s="585"/>
      <c r="AZ8" s="585"/>
      <c r="BA8" s="585"/>
      <c r="BB8" s="585"/>
      <c r="BC8" s="585"/>
      <c r="BD8" s="585"/>
      <c r="BE8" s="585"/>
      <c r="BF8" s="585"/>
      <c r="BG8" s="585"/>
    </row>
    <row r="9">
      <c r="F9" s="17"/>
      <c r="H9" s="580" t="s">
        <v>682</v>
      </c>
      <c r="I9" s="581" t="s">
        <v>683</v>
      </c>
      <c r="J9" s="570"/>
      <c r="K9" s="631" t="s">
        <v>684</v>
      </c>
      <c r="L9" s="632" t="s">
        <v>685</v>
      </c>
      <c r="N9" s="572">
        <v>2018.0</v>
      </c>
      <c r="O9" s="624">
        <f t="shared" si="7"/>
        <v>0</v>
      </c>
      <c r="P9" s="583" t="str">
        <f t="shared" si="1"/>
        <v/>
      </c>
      <c r="Q9" s="625"/>
      <c r="R9" s="584">
        <v>7.0</v>
      </c>
      <c r="S9" s="585">
        <f t="shared" si="3"/>
        <v>100802018348</v>
      </c>
      <c r="T9" s="585">
        <f t="shared" si="2"/>
        <v>61531423177</v>
      </c>
      <c r="V9" s="633"/>
      <c r="W9" s="634" t="s">
        <v>686</v>
      </c>
      <c r="X9" s="635">
        <v>0.5</v>
      </c>
      <c r="Y9" s="636"/>
      <c r="Z9" s="30"/>
      <c r="AA9" s="636"/>
      <c r="AB9" s="637" t="s">
        <v>687</v>
      </c>
      <c r="AC9" s="638">
        <f t="shared" ref="AC9:AM9" si="8">AC8*(1+$X$4)^($AC$6-AC6-1)</f>
        <v>10.11645583</v>
      </c>
      <c r="AD9" s="638">
        <f t="shared" si="8"/>
        <v>10.62285306</v>
      </c>
      <c r="AE9" s="638">
        <f t="shared" si="8"/>
        <v>11.1545989</v>
      </c>
      <c r="AF9" s="638">
        <f t="shared" si="8"/>
        <v>11.71296222</v>
      </c>
      <c r="AG9" s="638">
        <f t="shared" si="8"/>
        <v>12.29927542</v>
      </c>
      <c r="AH9" s="638">
        <f t="shared" si="8"/>
        <v>12.73023892</v>
      </c>
      <c r="AI9" s="638">
        <f t="shared" si="8"/>
        <v>13.17630328</v>
      </c>
      <c r="AJ9" s="638">
        <f t="shared" si="8"/>
        <v>13.63799761</v>
      </c>
      <c r="AK9" s="638">
        <f t="shared" si="8"/>
        <v>14.11586961</v>
      </c>
      <c r="AL9" s="638">
        <f t="shared" si="8"/>
        <v>14.61048611</v>
      </c>
      <c r="AM9" s="639">
        <f t="shared" si="8"/>
        <v>622.80575</v>
      </c>
      <c r="AP9" s="585"/>
      <c r="AQ9" s="585"/>
      <c r="AR9" s="585"/>
      <c r="AS9" s="585"/>
      <c r="AT9" s="585"/>
      <c r="AU9" s="585"/>
      <c r="AV9" s="585"/>
      <c r="AW9" s="585"/>
      <c r="AX9" s="585"/>
      <c r="AY9" s="585"/>
      <c r="AZ9" s="585"/>
      <c r="BA9" s="585"/>
      <c r="BB9" s="585"/>
      <c r="BC9" s="585"/>
      <c r="BD9" s="585"/>
      <c r="BE9" s="585"/>
      <c r="BF9" s="585"/>
      <c r="BG9" s="585"/>
    </row>
    <row r="10">
      <c r="A10" s="598" t="s">
        <v>688</v>
      </c>
      <c r="B10" s="13"/>
      <c r="C10" s="640" t="s">
        <v>77</v>
      </c>
      <c r="D10" s="13"/>
      <c r="E10" s="641" t="s">
        <v>689</v>
      </c>
      <c r="F10" s="14"/>
      <c r="H10" s="642">
        <f>4.25%+H4*(9.9%-4.25%)</f>
        <v>0.105102</v>
      </c>
      <c r="I10" s="643">
        <f>I7*(1-21%)</f>
        <v>0.03109774213</v>
      </c>
      <c r="J10" s="570"/>
      <c r="K10" s="644">
        <f>TRIMMEAN(P3:P11, 0.2)</f>
        <v>0.0715096885</v>
      </c>
      <c r="L10" s="645">
        <f>K10*A13</f>
        <v>0.05005678195</v>
      </c>
      <c r="N10" s="572">
        <v>2017.0</v>
      </c>
      <c r="O10" s="624">
        <f t="shared" si="7"/>
        <v>0</v>
      </c>
      <c r="P10" s="583" t="str">
        <f t="shared" si="1"/>
        <v/>
      </c>
      <c r="Q10" s="625"/>
      <c r="R10" s="584">
        <v>8.0</v>
      </c>
      <c r="S10" s="585">
        <f t="shared" si="3"/>
        <v>105847843000</v>
      </c>
      <c r="T10" s="585">
        <f t="shared" si="2"/>
        <v>60212288613</v>
      </c>
      <c r="V10" s="646"/>
      <c r="W10" s="647"/>
      <c r="X10" s="648"/>
      <c r="Y10" s="648"/>
      <c r="Z10" s="602">
        <f>Z11*X14</f>
        <v>248.4778671</v>
      </c>
      <c r="AA10" s="648"/>
      <c r="AB10" s="647"/>
      <c r="AC10" s="647"/>
      <c r="AD10" s="647"/>
      <c r="AE10" s="647"/>
      <c r="AF10" s="647"/>
      <c r="AG10" s="647"/>
      <c r="AH10" s="647"/>
      <c r="AI10" s="647"/>
      <c r="AJ10" s="647"/>
      <c r="AK10" s="647"/>
      <c r="AL10" s="647"/>
      <c r="AM10" s="649"/>
      <c r="AP10" s="585"/>
      <c r="AQ10" s="585"/>
      <c r="AR10" s="585"/>
      <c r="AS10" s="585"/>
      <c r="AT10" s="585"/>
      <c r="AU10" s="585"/>
      <c r="AV10" s="585"/>
      <c r="AW10" s="585"/>
      <c r="AX10" s="585"/>
      <c r="AY10" s="585"/>
      <c r="AZ10" s="585"/>
      <c r="BA10" s="585"/>
      <c r="BB10" s="585"/>
      <c r="BC10" s="585"/>
      <c r="BD10" s="585"/>
      <c r="BE10" s="585"/>
      <c r="BF10" s="585"/>
      <c r="BG10" s="585"/>
    </row>
    <row r="11">
      <c r="A11" s="34"/>
      <c r="F11" s="17"/>
      <c r="H11" s="29"/>
      <c r="I11" s="31"/>
      <c r="J11" s="570"/>
      <c r="K11" s="34"/>
      <c r="L11" s="17"/>
      <c r="N11" s="572">
        <v>2016.0</v>
      </c>
      <c r="O11" s="624">
        <f t="shared" si="7"/>
        <v>0</v>
      </c>
      <c r="P11" s="583" t="str">
        <f t="shared" si="1"/>
        <v/>
      </c>
      <c r="Q11" s="625"/>
      <c r="R11" s="584">
        <v>9.0</v>
      </c>
      <c r="S11" s="585">
        <f t="shared" si="3"/>
        <v>111146245397</v>
      </c>
      <c r="T11" s="585">
        <f t="shared" si="2"/>
        <v>58921434169</v>
      </c>
      <c r="V11" s="650" t="s">
        <v>690</v>
      </c>
      <c r="W11" s="651" t="s">
        <v>676</v>
      </c>
      <c r="X11" s="652">
        <f>X6*1.25</f>
        <v>0.06257097744</v>
      </c>
      <c r="Y11" s="653"/>
      <c r="Z11" s="654">
        <f>SUM(AC14:AM14)</f>
        <v>993.9114683</v>
      </c>
      <c r="AA11" s="653"/>
      <c r="AB11" s="655"/>
      <c r="AC11" s="655"/>
      <c r="AD11" s="655"/>
      <c r="AE11" s="655"/>
      <c r="AF11" s="655"/>
      <c r="AG11" s="655"/>
      <c r="AH11" s="655"/>
      <c r="AI11" s="655"/>
      <c r="AJ11" s="655"/>
      <c r="AK11" s="655"/>
      <c r="AL11" s="655"/>
      <c r="AM11" s="656"/>
      <c r="AP11" s="585"/>
      <c r="AQ11" s="585"/>
      <c r="AR11" s="585"/>
      <c r="AS11" s="585"/>
      <c r="AT11" s="585"/>
      <c r="AU11" s="585"/>
      <c r="AV11" s="585"/>
      <c r="AW11" s="585"/>
      <c r="AX11" s="585"/>
      <c r="AY11" s="585"/>
      <c r="AZ11" s="585"/>
      <c r="BA11" s="585"/>
      <c r="BB11" s="585"/>
      <c r="BC11" s="585"/>
      <c r="BD11" s="585"/>
      <c r="BE11" s="585"/>
      <c r="BF11" s="585"/>
      <c r="BG11" s="585"/>
    </row>
    <row r="12">
      <c r="A12" s="29"/>
      <c r="B12" s="30"/>
      <c r="C12" s="30"/>
      <c r="D12" s="30"/>
      <c r="E12" s="30"/>
      <c r="F12" s="31"/>
      <c r="H12" s="580" t="s">
        <v>691</v>
      </c>
      <c r="I12" s="581" t="s">
        <v>692</v>
      </c>
      <c r="J12" s="570"/>
      <c r="K12" s="657" t="s">
        <v>77</v>
      </c>
      <c r="L12" s="658" t="s">
        <v>689</v>
      </c>
      <c r="N12" s="572">
        <v>2015.0</v>
      </c>
      <c r="O12" s="624">
        <f t="shared" si="7"/>
        <v>0</v>
      </c>
      <c r="P12" s="583"/>
      <c r="Q12" s="625"/>
      <c r="R12" s="584" t="s">
        <v>693</v>
      </c>
      <c r="S12" s="585">
        <f>(S11*1.025)/($I$19-0.025)</f>
        <v>2370398807850</v>
      </c>
      <c r="T12" s="585">
        <f>S12/(1+$I$19)^R11</f>
        <v>1256608325468</v>
      </c>
      <c r="V12" s="659"/>
      <c r="W12" s="660" t="s">
        <v>680</v>
      </c>
      <c r="X12" s="661">
        <f>X11*A13</f>
        <v>0.04379968421</v>
      </c>
      <c r="Y12" s="662"/>
      <c r="AA12" s="662"/>
      <c r="AB12" s="663"/>
      <c r="AC12" s="663"/>
      <c r="AD12" s="663"/>
      <c r="AE12" s="663"/>
      <c r="AF12" s="663"/>
      <c r="AG12" s="663"/>
      <c r="AH12" s="663"/>
      <c r="AI12" s="663"/>
      <c r="AJ12" s="663"/>
      <c r="AK12" s="663"/>
      <c r="AL12" s="663"/>
      <c r="AM12" s="664"/>
      <c r="AP12" s="585"/>
      <c r="AQ12" s="585"/>
      <c r="AR12" s="585"/>
      <c r="AS12" s="585"/>
      <c r="AT12" s="585"/>
      <c r="AU12" s="585"/>
      <c r="AV12" s="585"/>
      <c r="AW12" s="585"/>
      <c r="AX12" s="585"/>
      <c r="AY12" s="585"/>
      <c r="AZ12" s="585"/>
      <c r="BA12" s="585"/>
      <c r="BB12" s="585"/>
      <c r="BC12" s="585"/>
      <c r="BD12" s="585"/>
      <c r="BE12" s="585"/>
      <c r="BF12" s="585"/>
      <c r="BG12" s="585"/>
    </row>
    <row r="13">
      <c r="A13" s="665">
        <v>0.7</v>
      </c>
      <c r="B13" s="13"/>
      <c r="C13" s="666">
        <f>IFERROR(__xludf.DUMMYFUNCTION("IFERROR(IF(ISBLANK(A2),""$0.00"",IF(COUNTIF(A8:F9,""&gt;0"")=3,IF(A17=""Growth"",C17,IF(A17=""Value Stocks"",E17,AVERAGE(FILTER(FLATTEN(A8:F9),FLATTEN(A8:F9)&gt;0)))),AVERAGE(FILTER(FLATTEN(A8:F9),FLATTEN(A8:F9)&gt;0)))))
"),240.84811411997185)</f>
        <v>240.8481141</v>
      </c>
      <c r="D13" s="13"/>
      <c r="E13" s="667">
        <f>IfError(IF(isblank(A2),"0.00%",($A$22-$C$13)/$C$13),"")</f>
        <v>0.7051410243</v>
      </c>
      <c r="F13" s="14"/>
      <c r="H13" s="668">
        <f>K7*$A$22</f>
        <v>3052584440000</v>
      </c>
      <c r="I13" s="615">
        <f>L4-K4</f>
        <v>30346000000</v>
      </c>
      <c r="K13" s="34"/>
      <c r="L13" s="17"/>
      <c r="N13" s="572"/>
      <c r="O13" s="669"/>
      <c r="P13" s="570"/>
      <c r="Q13" s="583"/>
      <c r="R13" s="670" t="s">
        <v>0</v>
      </c>
      <c r="S13" s="670"/>
      <c r="T13" s="671">
        <f>SUM(T3:T12)</f>
        <v>1835827323375</v>
      </c>
      <c r="V13" s="659"/>
      <c r="W13" s="660" t="s">
        <v>681</v>
      </c>
      <c r="X13" s="672">
        <f>X8*1.25</f>
        <v>53.28414001</v>
      </c>
      <c r="Y13" s="662"/>
      <c r="Z13" s="673">
        <f>IFERROR((Z11-X2)/X2,"")</f>
        <v>1.420160388</v>
      </c>
      <c r="AA13" s="662"/>
      <c r="AB13" s="674" t="str">
        <f>W3</f>
        <v>FCF/PS</v>
      </c>
      <c r="AC13" s="675">
        <f>X3*(1+$X$11)</f>
        <v>10.23702008</v>
      </c>
      <c r="AD13" s="675">
        <f t="shared" ref="AD13:AG13" si="9">AC13*(1+$X$11)</f>
        <v>10.87756043</v>
      </c>
      <c r="AE13" s="675">
        <f t="shared" si="9"/>
        <v>11.55818002</v>
      </c>
      <c r="AF13" s="675">
        <f t="shared" si="9"/>
        <v>12.28138664</v>
      </c>
      <c r="AG13" s="675">
        <f t="shared" si="9"/>
        <v>13.04984501</v>
      </c>
      <c r="AH13" s="675">
        <f t="shared" ref="AH13:AL13" si="10">AG13*(1+$X$12)</f>
        <v>13.6214241</v>
      </c>
      <c r="AI13" s="675">
        <f t="shared" si="10"/>
        <v>14.21803817</v>
      </c>
      <c r="AJ13" s="675">
        <f t="shared" si="10"/>
        <v>14.84078376</v>
      </c>
      <c r="AK13" s="675">
        <f t="shared" si="10"/>
        <v>15.4908054</v>
      </c>
      <c r="AL13" s="675">
        <f t="shared" si="10"/>
        <v>16.16929778</v>
      </c>
      <c r="AM13" s="676">
        <f>AL13*X13</f>
        <v>861.5671269</v>
      </c>
      <c r="AP13" s="677"/>
      <c r="AQ13" s="677"/>
      <c r="AR13" s="677"/>
      <c r="AS13" s="677"/>
      <c r="AT13" s="677"/>
      <c r="AU13" s="677"/>
      <c r="AV13" s="677"/>
      <c r="AW13" s="677"/>
      <c r="AX13" s="677"/>
      <c r="AY13" s="677"/>
      <c r="AZ13" s="677"/>
      <c r="BA13" s="677"/>
      <c r="BB13" s="677"/>
      <c r="BC13" s="677"/>
      <c r="BD13" s="677"/>
      <c r="BE13" s="677"/>
      <c r="BF13" s="677"/>
      <c r="BG13" s="677"/>
    </row>
    <row r="14" ht="19.5" customHeight="1">
      <c r="A14" s="34"/>
      <c r="F14" s="17"/>
      <c r="H14" s="34"/>
      <c r="I14" s="17"/>
      <c r="K14" s="678">
        <f>IfError(IF(isblank($A$2),"$0.00",L7/K7),"")</f>
        <v>242.9007565</v>
      </c>
      <c r="L14" s="679">
        <f>IfError(IF(isblank($A$2),"0.00%",(A22-K14)/A22),"")</f>
        <v>0.4085400883</v>
      </c>
      <c r="V14" s="680"/>
      <c r="W14" s="681" t="s">
        <v>686</v>
      </c>
      <c r="X14" s="682">
        <v>0.25</v>
      </c>
      <c r="Y14" s="683"/>
      <c r="Z14" s="684"/>
      <c r="AA14" s="683"/>
      <c r="AB14" s="685" t="str">
        <f>AB9</f>
        <v>Present Value</v>
      </c>
      <c r="AC14" s="686">
        <f t="shared" ref="AC14:AM14" si="11">AC13*(1+$X$4)^($AC$6-AC6-1)</f>
        <v>10.23702008</v>
      </c>
      <c r="AD14" s="686">
        <f t="shared" si="11"/>
        <v>10.87756043</v>
      </c>
      <c r="AE14" s="686">
        <f t="shared" si="11"/>
        <v>11.55818002</v>
      </c>
      <c r="AF14" s="686">
        <f t="shared" si="11"/>
        <v>12.28138664</v>
      </c>
      <c r="AG14" s="686">
        <f t="shared" si="11"/>
        <v>13.04984501</v>
      </c>
      <c r="AH14" s="686">
        <f t="shared" si="11"/>
        <v>13.6214241</v>
      </c>
      <c r="AI14" s="686">
        <f t="shared" si="11"/>
        <v>14.21803817</v>
      </c>
      <c r="AJ14" s="686">
        <f t="shared" si="11"/>
        <v>14.84078376</v>
      </c>
      <c r="AK14" s="686">
        <f t="shared" si="11"/>
        <v>15.4908054</v>
      </c>
      <c r="AL14" s="686">
        <f t="shared" si="11"/>
        <v>16.16929778</v>
      </c>
      <c r="AM14" s="687">
        <f t="shared" si="11"/>
        <v>861.5671269</v>
      </c>
    </row>
    <row r="15" ht="18.0" customHeight="1">
      <c r="A15" s="29"/>
      <c r="B15" s="30"/>
      <c r="C15" s="30"/>
      <c r="D15" s="30"/>
      <c r="E15" s="30"/>
      <c r="F15" s="31"/>
      <c r="H15" s="580" t="s">
        <v>694</v>
      </c>
      <c r="I15" s="581" t="s">
        <v>695</v>
      </c>
      <c r="J15" s="570"/>
      <c r="K15" s="34"/>
      <c r="L15" s="17"/>
      <c r="N15" s="631" t="s">
        <v>684</v>
      </c>
      <c r="V15" s="688"/>
      <c r="W15" s="689"/>
      <c r="X15" s="690"/>
      <c r="Y15" s="690"/>
      <c r="Z15" s="602">
        <f>Z16*X19</f>
        <v>134.5363785</v>
      </c>
      <c r="AA15" s="690"/>
      <c r="AB15" s="689"/>
      <c r="AC15" s="689"/>
      <c r="AD15" s="689"/>
      <c r="AE15" s="689"/>
      <c r="AF15" s="689"/>
      <c r="AG15" s="689"/>
      <c r="AH15" s="689"/>
      <c r="AI15" s="689"/>
      <c r="AJ15" s="689"/>
      <c r="AK15" s="689"/>
      <c r="AL15" s="689"/>
      <c r="AM15" s="691"/>
    </row>
    <row r="16">
      <c r="A16" s="692" t="s">
        <v>87</v>
      </c>
      <c r="B16" s="13"/>
      <c r="C16" s="693" t="s">
        <v>696</v>
      </c>
      <c r="D16" s="13"/>
      <c r="E16" s="693" t="s">
        <v>697</v>
      </c>
      <c r="F16" s="14"/>
      <c r="H16" s="642">
        <f>H13/(H13+I13)</f>
        <v>0.9901567679</v>
      </c>
      <c r="I16" s="643">
        <f>I13/(H13+I13)</f>
        <v>0.009843232142</v>
      </c>
      <c r="J16" s="570"/>
      <c r="K16" s="34"/>
      <c r="L16" s="17"/>
      <c r="N16" s="644">
        <f>AVERAGE(P3:P11)</f>
        <v>0.0715096885</v>
      </c>
      <c r="P16" s="694" t="s">
        <v>698</v>
      </c>
      <c r="V16" s="695" t="s">
        <v>699</v>
      </c>
      <c r="W16" s="696" t="s">
        <v>676</v>
      </c>
      <c r="X16" s="697">
        <f>X6*0.75</f>
        <v>0.03754258646</v>
      </c>
      <c r="Y16" s="698"/>
      <c r="Z16" s="699">
        <f>SUM(AC19:AM19)</f>
        <v>538.1455138</v>
      </c>
      <c r="AA16" s="698"/>
      <c r="AB16" s="700"/>
      <c r="AC16" s="700"/>
      <c r="AD16" s="700"/>
      <c r="AE16" s="700"/>
      <c r="AF16" s="700"/>
      <c r="AG16" s="700"/>
      <c r="AH16" s="700"/>
      <c r="AI16" s="700"/>
      <c r="AJ16" s="700"/>
      <c r="AK16" s="700"/>
      <c r="AL16" s="700"/>
      <c r="AM16" s="701"/>
      <c r="AP16" s="702"/>
      <c r="AQ16" s="702"/>
      <c r="AR16" s="702"/>
      <c r="AS16" s="702"/>
      <c r="AT16" s="702"/>
      <c r="AU16" s="702"/>
      <c r="AV16" s="702"/>
      <c r="AW16" s="702"/>
      <c r="AX16" s="702"/>
      <c r="AY16" s="702"/>
      <c r="AZ16" s="702"/>
      <c r="BA16" s="702"/>
      <c r="BB16" s="702"/>
      <c r="BC16" s="702"/>
      <c r="BD16" s="702"/>
      <c r="BE16" s="702"/>
      <c r="BF16" s="702"/>
      <c r="BG16" s="702"/>
    </row>
    <row r="17" ht="17.25" customHeight="1">
      <c r="A17" s="703" t="s">
        <v>103</v>
      </c>
      <c r="C17" s="622" t="str">
        <f>if(COUNTIF(A8:F9,"&gt;0")=3,A8*0.6+C8*0.3+E8*0.1,"")</f>
        <v/>
      </c>
      <c r="E17" s="622" t="str">
        <f>if(COUNTIF(A8:F9,"&gt;0")=3, $A$8*0.2+$C$8*0.3+$E$8*0.5,"")</f>
        <v/>
      </c>
      <c r="H17" s="29"/>
      <c r="I17" s="31"/>
      <c r="J17" s="570"/>
      <c r="K17" s="29"/>
      <c r="L17" s="31"/>
      <c r="N17" s="34"/>
      <c r="P17" s="704" t="s">
        <v>700</v>
      </c>
      <c r="Q17" s="13"/>
      <c r="R17" s="13"/>
      <c r="S17" s="13"/>
      <c r="T17" s="705" t="str">
        <f>$A$2</f>
        <v>MSFT</v>
      </c>
      <c r="V17" s="659"/>
      <c r="W17" s="706" t="s">
        <v>680</v>
      </c>
      <c r="X17" s="707">
        <f>X16*A13</f>
        <v>0.02627981052</v>
      </c>
      <c r="Y17" s="708"/>
      <c r="AA17" s="708"/>
      <c r="AB17" s="709"/>
      <c r="AC17" s="709"/>
      <c r="AD17" s="709"/>
      <c r="AE17" s="709"/>
      <c r="AF17" s="709"/>
      <c r="AG17" s="709"/>
      <c r="AH17" s="709"/>
      <c r="AI17" s="709"/>
      <c r="AJ17" s="709"/>
      <c r="AK17" s="709"/>
      <c r="AL17" s="709"/>
      <c r="AM17" s="710"/>
      <c r="AP17" s="711"/>
      <c r="AQ17" s="711"/>
      <c r="AR17" s="711"/>
      <c r="AS17" s="711"/>
      <c r="AT17" s="711"/>
      <c r="AU17" s="711"/>
      <c r="AV17" s="711"/>
      <c r="AW17" s="711"/>
      <c r="AX17" s="711"/>
      <c r="AY17" s="711"/>
      <c r="AZ17" s="711"/>
      <c r="BA17" s="711"/>
      <c r="BB17" s="711"/>
      <c r="BC17" s="711"/>
      <c r="BD17" s="711"/>
      <c r="BE17" s="711"/>
      <c r="BF17" s="711"/>
      <c r="BG17" s="711"/>
    </row>
    <row r="18" ht="21.75" customHeight="1">
      <c r="H18" s="580" t="s">
        <v>656</v>
      </c>
      <c r="I18" s="712" t="s">
        <v>701</v>
      </c>
      <c r="J18" s="570"/>
      <c r="K18" s="713">
        <f>H16*H10+I16*I10</f>
        <v>0.1043735589</v>
      </c>
      <c r="L18" s="714" t="s">
        <v>702</v>
      </c>
      <c r="P18" s="715" t="s">
        <v>301</v>
      </c>
      <c r="T18" s="716">
        <f>IFERROR(__xludf.DUMMYFUNCTION("IF(ISBLANK($T$17),"""", googlefinance($T$17, ""eps""))"),15.98)</f>
        <v>15.98</v>
      </c>
      <c r="V18" s="659"/>
      <c r="W18" s="706" t="s">
        <v>681</v>
      </c>
      <c r="X18" s="717">
        <f>X8*0.75</f>
        <v>31.970484</v>
      </c>
      <c r="Y18" s="718"/>
      <c r="Z18" s="719">
        <f>IFERROR((Z16-X2)/X2,"")</f>
        <v>0.310376726</v>
      </c>
      <c r="AA18" s="718"/>
      <c r="AB18" s="720" t="str">
        <f>W3</f>
        <v>FCF/PS</v>
      </c>
      <c r="AC18" s="721">
        <f>X3*(1+$X$16)</f>
        <v>9.995891586</v>
      </c>
      <c r="AD18" s="721">
        <f t="shared" ref="AD18:AG18" si="12">AC18*(1+$X$16)</f>
        <v>10.37116321</v>
      </c>
      <c r="AE18" s="721">
        <f t="shared" si="12"/>
        <v>10.7605235</v>
      </c>
      <c r="AF18" s="721">
        <f t="shared" si="12"/>
        <v>11.16450139</v>
      </c>
      <c r="AG18" s="721">
        <f t="shared" si="12"/>
        <v>11.58364564</v>
      </c>
      <c r="AH18" s="721">
        <f t="shared" ref="AH18:AL18" si="13">AG18*(1+$X$17)</f>
        <v>11.88806166</v>
      </c>
      <c r="AI18" s="721">
        <f t="shared" si="13"/>
        <v>12.20047766</v>
      </c>
      <c r="AJ18" s="721">
        <f t="shared" si="13"/>
        <v>12.52110391</v>
      </c>
      <c r="AK18" s="721">
        <f t="shared" si="13"/>
        <v>12.85015614</v>
      </c>
      <c r="AL18" s="721">
        <f t="shared" si="13"/>
        <v>13.18785581</v>
      </c>
      <c r="AM18" s="722">
        <f>AL18*X18</f>
        <v>421.6221333</v>
      </c>
      <c r="AP18" s="723"/>
      <c r="AQ18" s="723"/>
      <c r="AR18" s="723"/>
      <c r="AS18" s="723"/>
      <c r="AT18" s="723"/>
      <c r="AU18" s="723"/>
      <c r="AV18" s="723"/>
      <c r="AW18" s="723"/>
      <c r="AX18" s="723"/>
      <c r="AY18" s="723"/>
      <c r="AZ18" s="723"/>
      <c r="BA18" s="723"/>
      <c r="BB18" s="723"/>
      <c r="BC18" s="723"/>
      <c r="BD18" s="723"/>
      <c r="BE18" s="723"/>
      <c r="BF18" s="723"/>
      <c r="BG18" s="723"/>
    </row>
    <row r="19" ht="20.25" customHeight="1">
      <c r="A19" s="724" t="s">
        <v>703</v>
      </c>
      <c r="H19" s="642">
        <f>(H16*H10)+(I16*I10)</f>
        <v>0.1043735589</v>
      </c>
      <c r="I19" s="725">
        <f>H19*A13</f>
        <v>0.07306149124</v>
      </c>
      <c r="J19" s="570"/>
      <c r="P19" s="715" t="s">
        <v>704</v>
      </c>
      <c r="T19" s="726">
        <v>7.0</v>
      </c>
      <c r="V19" s="680"/>
      <c r="W19" s="727" t="s">
        <v>686</v>
      </c>
      <c r="X19" s="728">
        <v>0.25</v>
      </c>
      <c r="Y19" s="729"/>
      <c r="Z19" s="684"/>
      <c r="AA19" s="729"/>
      <c r="AB19" s="730" t="str">
        <f>AB9</f>
        <v>Present Value</v>
      </c>
      <c r="AC19" s="731">
        <f t="shared" ref="AC19:AM19" si="14">AC18*(1+$X$4)^($AC$6-AC6-1)</f>
        <v>9.995891586</v>
      </c>
      <c r="AD19" s="731">
        <f t="shared" si="14"/>
        <v>10.37116321</v>
      </c>
      <c r="AE19" s="731">
        <f t="shared" si="14"/>
        <v>10.7605235</v>
      </c>
      <c r="AF19" s="731">
        <f t="shared" si="14"/>
        <v>11.16450139</v>
      </c>
      <c r="AG19" s="731">
        <f t="shared" si="14"/>
        <v>11.58364564</v>
      </c>
      <c r="AH19" s="731">
        <f t="shared" si="14"/>
        <v>11.88806166</v>
      </c>
      <c r="AI19" s="731">
        <f t="shared" si="14"/>
        <v>12.20047766</v>
      </c>
      <c r="AJ19" s="731">
        <f t="shared" si="14"/>
        <v>12.52110391</v>
      </c>
      <c r="AK19" s="731">
        <f t="shared" si="14"/>
        <v>12.85015614</v>
      </c>
      <c r="AL19" s="731">
        <f t="shared" si="14"/>
        <v>13.18785581</v>
      </c>
      <c r="AM19" s="732">
        <f t="shared" si="14"/>
        <v>421.6221333</v>
      </c>
      <c r="AP19" s="733"/>
      <c r="AQ19" s="733"/>
      <c r="AR19" s="733"/>
      <c r="AS19" s="733"/>
      <c r="AT19" s="733"/>
      <c r="AU19" s="733"/>
      <c r="AV19" s="733"/>
      <c r="AW19" s="733"/>
      <c r="AX19" s="733"/>
      <c r="AY19" s="733"/>
      <c r="AZ19" s="733"/>
      <c r="BA19" s="733"/>
      <c r="BB19" s="733"/>
      <c r="BC19" s="733"/>
      <c r="BD19" s="733"/>
      <c r="BE19" s="733"/>
      <c r="BF19" s="733"/>
      <c r="BG19" s="733"/>
    </row>
    <row r="20">
      <c r="A20" s="34"/>
      <c r="H20" s="29"/>
      <c r="I20" s="31"/>
      <c r="J20" s="570"/>
      <c r="K20" s="734" t="s">
        <v>705</v>
      </c>
      <c r="L20" s="735" t="s">
        <v>706</v>
      </c>
      <c r="P20" s="715" t="s">
        <v>707</v>
      </c>
      <c r="T20" s="736">
        <v>11.0</v>
      </c>
      <c r="U20" s="733"/>
      <c r="V20" s="737"/>
      <c r="W20" s="702"/>
      <c r="X20" s="738">
        <f>X9+X14+X19</f>
        <v>1</v>
      </c>
      <c r="Y20" s="739"/>
      <c r="Z20" s="739"/>
      <c r="AA20" s="739"/>
      <c r="AB20" s="739"/>
      <c r="AC20" s="739"/>
      <c r="AD20" s="739"/>
      <c r="AE20" s="739"/>
      <c r="AF20" s="739"/>
      <c r="AG20" s="739"/>
      <c r="AH20" s="739"/>
      <c r="AI20" s="739"/>
      <c r="AJ20" s="739"/>
      <c r="AK20" s="739"/>
      <c r="AL20" s="739"/>
      <c r="AM20" s="739"/>
      <c r="AV20" s="733"/>
      <c r="AW20" s="733"/>
      <c r="AX20" s="733"/>
      <c r="AY20" s="733"/>
      <c r="AZ20" s="733"/>
      <c r="BA20" s="733"/>
      <c r="BB20" s="733"/>
      <c r="BC20" s="733"/>
      <c r="BD20" s="733"/>
      <c r="BE20" s="733"/>
      <c r="BF20" s="733"/>
      <c r="BG20" s="733"/>
    </row>
    <row r="21" ht="24.0" customHeight="1">
      <c r="A21" s="740" t="s">
        <v>76</v>
      </c>
      <c r="B21" s="13"/>
      <c r="C21" s="741" t="s">
        <v>708</v>
      </c>
      <c r="D21" s="13"/>
      <c r="E21" s="741" t="s">
        <v>709</v>
      </c>
      <c r="F21" s="14"/>
      <c r="H21" s="742"/>
      <c r="I21" s="570"/>
      <c r="J21" s="570"/>
      <c r="P21" s="715" t="s">
        <v>710</v>
      </c>
      <c r="T21" s="726">
        <v>1.0</v>
      </c>
      <c r="U21" s="711"/>
      <c r="V21" s="733"/>
      <c r="W21" s="711"/>
      <c r="X21" s="733"/>
      <c r="Y21" s="733"/>
      <c r="Z21" s="733"/>
      <c r="AA21" s="733"/>
      <c r="AB21" s="733"/>
      <c r="AC21" s="733"/>
      <c r="AD21" s="733"/>
      <c r="AE21" s="733"/>
      <c r="AF21" s="733"/>
      <c r="AG21" s="733"/>
      <c r="AH21" s="733"/>
      <c r="AI21" s="733"/>
      <c r="AJ21" s="733"/>
      <c r="AK21" s="733"/>
      <c r="AL21" s="733"/>
      <c r="AM21" s="733"/>
      <c r="AN21" s="733"/>
      <c r="AO21" s="733"/>
      <c r="AP21" s="743"/>
      <c r="AQ21" s="744"/>
      <c r="AR21" s="744"/>
      <c r="BG21" s="733"/>
    </row>
    <row r="22">
      <c r="A22" s="745">
        <f>IFERROR(__xludf.DUMMYFUNCTION("IF(ISBLANK($A$2),"""", googlefinance($A$2, ""price""))"),410.68)</f>
        <v>410.68</v>
      </c>
      <c r="C22" s="746">
        <f>IFERROR(__xludf.DUMMYFUNCTION("IF(ISBLANK($A$2),"""", googlefinance($A$2, ""change""))"),5.48)</f>
        <v>5.48</v>
      </c>
      <c r="E22" s="746">
        <f>IFERROR(__xludf.DUMMYFUNCTION("IF(ISBLANK($A$2),"""", googlefinance($A$2, ""pe""))"),25.7)</f>
        <v>25.7</v>
      </c>
      <c r="F22" s="17"/>
      <c r="H22" s="570"/>
      <c r="I22" s="570"/>
      <c r="J22" s="570"/>
      <c r="P22" s="747" t="s">
        <v>711</v>
      </c>
      <c r="T22" s="726">
        <v>4.4</v>
      </c>
      <c r="U22" s="723"/>
      <c r="W22" s="748"/>
      <c r="X22" s="749">
        <v>2021.0</v>
      </c>
      <c r="Y22" s="749">
        <v>2022.0</v>
      </c>
      <c r="Z22" s="749">
        <v>2023.0</v>
      </c>
      <c r="AA22" s="749">
        <v>2024.0</v>
      </c>
      <c r="AB22" s="750">
        <v>2025.0</v>
      </c>
      <c r="AE22" s="751" t="s">
        <v>103</v>
      </c>
      <c r="AF22" s="752" t="s">
        <v>712</v>
      </c>
      <c r="AG22" s="753" t="s">
        <v>713</v>
      </c>
      <c r="AH22" s="754">
        <f>IF(COUNT(AG23:AG25)=ROWS(AG23:AG25), AVERAGE(AG23:AG25), "N/A")</f>
        <v>7</v>
      </c>
      <c r="AI22" s="751" t="s">
        <v>103</v>
      </c>
      <c r="AJ22" s="752" t="s">
        <v>714</v>
      </c>
      <c r="AK22" s="753" t="s">
        <v>715</v>
      </c>
      <c r="AL22" s="754">
        <f>IF(COUNT(AK23:AK25)=ROWS(AK23:AK25), AVERAGE(AK23:AK25), "N/A")</f>
        <v>8.666666667</v>
      </c>
      <c r="AM22" s="753" t="s">
        <v>716</v>
      </c>
      <c r="AN22" s="754">
        <f>IF(COUNT(AM23:AM25)=ROWS(AM23:AM25), AVERAGE(AM23:AM25), "N/A")</f>
        <v>8.166666667</v>
      </c>
      <c r="AO22" s="755" t="s">
        <v>717</v>
      </c>
      <c r="BG22" s="733"/>
    </row>
    <row r="23">
      <c r="A23" s="34"/>
      <c r="F23" s="17"/>
      <c r="H23" s="239" t="s">
        <v>718</v>
      </c>
      <c r="I23" s="13"/>
      <c r="J23" s="13"/>
      <c r="K23" s="13"/>
      <c r="L23" s="13"/>
      <c r="M23" s="14"/>
      <c r="N23" s="756" t="s">
        <v>77</v>
      </c>
      <c r="P23" s="747" t="s">
        <v>719</v>
      </c>
      <c r="T23" s="757">
        <f>IFERROR(__xludf.DUMMYFUNCTION("IMPORTXML(""https://fred.stlouisfed.org/series/AAA"", ""/html/body/div[1]/div[1]/div/div[2]/div[1]/div[2]/div[1]/span[2]"")
"),5.3)</f>
        <v>5.3</v>
      </c>
      <c r="U23" s="733"/>
      <c r="W23" s="758" t="s">
        <v>720</v>
      </c>
      <c r="X23" s="759">
        <v>1.68088E11</v>
      </c>
      <c r="Y23" s="760">
        <v>1.9827E11</v>
      </c>
      <c r="Z23" s="760">
        <v>2.11915E11</v>
      </c>
      <c r="AA23" s="760">
        <v>2.45122E11</v>
      </c>
      <c r="AB23" s="761">
        <v>2.81724E11</v>
      </c>
      <c r="AD23" s="197"/>
      <c r="AE23" s="762" t="s">
        <v>721</v>
      </c>
      <c r="AF23" s="763">
        <f>iferror($AB$24,"")</f>
        <v>0.1493215623</v>
      </c>
      <c r="AG23" s="764">
        <f>IF(OR(AF23="", ISBLANK(AF23)), "N/A",
   IF(AF23 &lt; 0, 0,
   IF(AF23 &lt; 0.01, 1,
   IF(AF23 &lt; 0.03, 3,
   IF(AF23 &lt; 0.06, 5,
   IF(AF23 &lt; 0.09, 7,
   IF(AF23 &lt; 0.14, 9, 10)))))))
</f>
        <v>10</v>
      </c>
      <c r="AH23" s="765"/>
      <c r="AI23" s="762" t="s">
        <v>722</v>
      </c>
      <c r="AJ23" s="187">
        <f>IFERROR(IF(XOR($AB$23&lt;0,$X$23&lt;0),AVERAGE(Y24:AB24),($AB$23/$X$23)^(1/4)-1),"")
</f>
        <v>0.1378153385</v>
      </c>
      <c r="AK23" s="764">
        <f>IF(OR(AJ23="", ISBLANK(AJ23)), "N/A",
   IF(AJ23 &lt; 0, 0,
   IF(AJ23 &lt; 0.01, 1,
   IF(AJ23 &lt; 0.03, 3,
   IF(AJ23 &lt; 0.06, 5,
   IF(AJ23 &lt; 0.09, 7,
   IF(AJ23 &lt; 0.14, 9, 10)))))))
</f>
        <v>9</v>
      </c>
      <c r="AL23" s="765"/>
      <c r="AM23" s="766">
        <f t="shared" ref="AM23:AM25" si="16">IF(COUNT(AK23,AG23)=2,0.7*AK23+0.3*AG23,"N/A")
</f>
        <v>9.3</v>
      </c>
      <c r="AN23" s="765"/>
      <c r="AO23" s="1" t="s">
        <v>723</v>
      </c>
      <c r="AP23" s="767"/>
      <c r="BG23" s="733"/>
    </row>
    <row r="24">
      <c r="A24" s="768" t="s">
        <v>724</v>
      </c>
      <c r="C24" s="255" t="s">
        <v>83</v>
      </c>
      <c r="E24" s="255" t="s">
        <v>725</v>
      </c>
      <c r="F24" s="17"/>
      <c r="H24" s="29"/>
      <c r="I24" s="30"/>
      <c r="J24" s="30"/>
      <c r="K24" s="30"/>
      <c r="L24" s="30"/>
      <c r="M24" s="31"/>
      <c r="N24" s="769"/>
      <c r="P24" s="770" t="s">
        <v>77</v>
      </c>
      <c r="Q24" s="13"/>
      <c r="R24" s="14"/>
      <c r="S24" s="771" t="s">
        <v>689</v>
      </c>
      <c r="T24" s="14"/>
      <c r="W24" s="772" t="s">
        <v>726</v>
      </c>
      <c r="X24" s="773"/>
      <c r="Y24" s="774">
        <f t="shared" ref="Y24:AB24" si="15">IfError(IF(isblank($A$2),"",(Y23-X23)/X23),"")</f>
        <v>0.1795607063</v>
      </c>
      <c r="Z24" s="774">
        <f t="shared" si="15"/>
        <v>0.06882029556</v>
      </c>
      <c r="AA24" s="774">
        <f t="shared" si="15"/>
        <v>0.1566996201</v>
      </c>
      <c r="AB24" s="775">
        <f t="shared" si="15"/>
        <v>0.1493215623</v>
      </c>
      <c r="AD24" s="197"/>
      <c r="AE24" s="762" t="s">
        <v>727</v>
      </c>
      <c r="AF24" s="776">
        <f>iferror($AB$29,"")</f>
        <v>0.1559322034</v>
      </c>
      <c r="AG24" s="764">
        <f>IF(OR(AF24="", ISBLANK(AF24)), "N/A",
   IF(AF24 &lt; -0.1, 0,
   IF(AF24 &lt; 0, 1,
   IF(AF24 &lt; 0.03, 3,
   IF(AF24 &lt; 0.06, 5,
   IF(AF24 &lt; 0.09, 7,
   IF(AF24 &lt; 0.13, 9, 10)))))))
</f>
        <v>10</v>
      </c>
      <c r="AH24" s="777"/>
      <c r="AI24" s="762" t="s">
        <v>728</v>
      </c>
      <c r="AJ24" s="187">
        <f>IFERROR(IF(XOR($AB$28&lt;0,$X$28&lt;0),AVERAGE(Y29:AB29),($AB$28/$X$28)^(1/4)-1),"")
</f>
        <v>0.1409185006</v>
      </c>
      <c r="AK24" s="764">
        <f>IF(OR(AJ24="", ISBLANK(AJ24)), "N/A",
   IF(AJ24 &lt; -0.1, 0,
   IF(AJ24 &lt; 0, 1,
   IF(AJ24 &lt; 0.03, 3,
   IF(AJ24 &lt; 0.06, 5,
   IF(AJ24 &lt; 0.09, 7,
   IF(AJ24 &lt; 0.13, 9, 10)))))))
</f>
        <v>10</v>
      </c>
      <c r="AL24" s="777"/>
      <c r="AM24" s="766">
        <f t="shared" si="16"/>
        <v>10</v>
      </c>
      <c r="AN24" s="777"/>
      <c r="AO24" s="1" t="s">
        <v>729</v>
      </c>
      <c r="AP24" s="767"/>
      <c r="AQ24" s="778"/>
      <c r="BG24" s="779"/>
    </row>
    <row r="25">
      <c r="A25" s="745">
        <f>IFERROR(__xludf.DUMMYFUNCTION("IF(ISBLANK($A$2),"""", googlefinance($A$2, ""low52""))"),344.79)</f>
        <v>344.79</v>
      </c>
      <c r="C25" s="780" t="str">
        <f>IFERROR(__xludf.DUMMYFUNCTION("IF(ISBLANK(A2),"""",IFERROR(SPARKLINE((A22-A25)/(E25-A25),{""charttype"",""bar"";""max"",1;""min"",0;""color1"",""4285f4""}),""n/a""))"),"")</f>
        <v/>
      </c>
      <c r="E25" s="781">
        <f>IFERROR(__xludf.DUMMYFUNCTION("IF(ISBLANK($A$2),"""", googlefinance($A$2, ""high52""))"),555.45)</f>
        <v>555.45</v>
      </c>
      <c r="F25" s="17"/>
      <c r="H25" s="782" t="s">
        <v>71</v>
      </c>
      <c r="I25" s="783" t="s">
        <v>730</v>
      </c>
      <c r="J25" s="783" t="s">
        <v>76</v>
      </c>
      <c r="L25" s="783" t="s">
        <v>301</v>
      </c>
      <c r="M25" s="783" t="s">
        <v>300</v>
      </c>
      <c r="N25" s="87"/>
      <c r="P25" s="784">
        <f>(T18*(T19+T21*T20)*T22)/T23</f>
        <v>238.7954717</v>
      </c>
      <c r="R25" s="17"/>
      <c r="S25" s="667">
        <f>IfError(IF(isblank($A$2),"0.00%",($A$22-P25)/$A$22),"")</f>
        <v>0.4185363989</v>
      </c>
      <c r="T25" s="14"/>
      <c r="U25" s="733"/>
      <c r="W25" s="758" t="s">
        <v>657</v>
      </c>
      <c r="X25" s="785">
        <v>5.6118E10</v>
      </c>
      <c r="Y25" s="786">
        <v>6.5149E10</v>
      </c>
      <c r="Z25" s="786">
        <v>5.9475E10</v>
      </c>
      <c r="AA25" s="786">
        <v>7.4071E10</v>
      </c>
      <c r="AB25" s="787">
        <v>7.1611E10</v>
      </c>
      <c r="AE25" s="788" t="s">
        <v>731</v>
      </c>
      <c r="AF25" s="789">
        <f>iferror($AB$27,"")</f>
        <v>-0.03347151244</v>
      </c>
      <c r="AG25" s="790">
        <f>IF(OR(AF25="", ISBLANK(AF25)), "N/A",
   IF(AF25 &lt; -0.1, 0,
   IF(AF25 &lt; 0, 1,
   IF(AF25 &lt; 0.03, 3,
   IF(AF25 &lt; 0.06, 5,
   IF(AF25 &lt; 0.09, 7,
   IF(AF25 &lt; 0.18, 9, 10))))))
)</f>
        <v>1</v>
      </c>
      <c r="AH25" s="791"/>
      <c r="AI25" s="792" t="s">
        <v>732</v>
      </c>
      <c r="AJ25" s="793">
        <f>IFERROR(IF(XOR($AB$26&lt;0,$X$26&lt;0),AVERAGE(Y27:AB27),($AB$26/$X$26)^(1/4)-1),"")
</f>
        <v>0.06689564585</v>
      </c>
      <c r="AK25" s="790">
        <f>IF(OR(AJ25="", ISBLANK(AJ25)), "N/A",
   IF(AJ25 &lt; -0.1, 0,
   IF(AJ25 &lt; 0, 1,
   IF(AJ25 &lt; 0.03, 3,
   IF(AJ25 &lt; 0.06, 5,
   IF(AJ25 &lt; 0.09, 7,
   IF(AJ25 &lt; 0.18, 9, 10))))))
)</f>
        <v>7</v>
      </c>
      <c r="AL25" s="791"/>
      <c r="AM25" s="766">
        <f t="shared" si="16"/>
        <v>5.2</v>
      </c>
      <c r="AN25" s="791"/>
      <c r="AO25" s="1" t="s">
        <v>733</v>
      </c>
      <c r="BG25" s="767"/>
    </row>
    <row r="26">
      <c r="A26" s="29"/>
      <c r="B26" s="30"/>
      <c r="C26" s="30"/>
      <c r="D26" s="30"/>
      <c r="E26" s="30"/>
      <c r="F26" s="31"/>
      <c r="H26" s="794"/>
      <c r="I26" s="795" t="str">
        <f>IFERROR(__xludf.DUMMYFUNCTION("IF(ISBLANK(H26),"""", googlefinance(H26, ""name""))"),"")</f>
        <v/>
      </c>
      <c r="J26" s="796" t="str">
        <f>IFERROR(__xludf.DUMMYFUNCTION("IF(ISBLANK(H26),"""", googlefinance(H26, ""price""))"),"")</f>
        <v/>
      </c>
      <c r="L26" s="796" t="str">
        <f>IFERROR(__xludf.DUMMYFUNCTION("IF(ISBLANK(H26),"""", googlefinance(H26, ""eps""))"),"")</f>
        <v/>
      </c>
      <c r="M26" s="797" t="str">
        <f>IFERROR(__xludf.DUMMYFUNCTION("IFERROR(IF(ISBLANK(H26),"""", googlefinance(H26, ""pe"")),"""")"),"")</f>
        <v/>
      </c>
      <c r="N26" s="798" t="str">
        <f>iferror(MIN(K30:K31),"")</f>
        <v/>
      </c>
      <c r="P26" s="29"/>
      <c r="Q26" s="30"/>
      <c r="R26" s="31"/>
      <c r="S26" s="30"/>
      <c r="T26" s="31"/>
      <c r="U26" s="799"/>
      <c r="W26" s="772" t="s">
        <v>734</v>
      </c>
      <c r="X26" s="785">
        <v>7.435802305551875</v>
      </c>
      <c r="Y26" s="786">
        <v>8.691168623265742</v>
      </c>
      <c r="Z26" s="786">
        <v>7.987510072522159</v>
      </c>
      <c r="AA26" s="786">
        <v>9.967837437760732</v>
      </c>
      <c r="AB26" s="787">
        <v>9.634198842997444</v>
      </c>
      <c r="AD26" s="197"/>
      <c r="AE26" s="800" t="s">
        <v>735</v>
      </c>
      <c r="AF26" s="801" t="s">
        <v>69</v>
      </c>
      <c r="AG26" s="802" t="s">
        <v>713</v>
      </c>
      <c r="AH26" s="754">
        <f>IF(COUNT(AG27:AG29)=ROWS(AG27:AG29),AVERAGE(AG27:AG29),"N/A")
</f>
        <v>10</v>
      </c>
      <c r="AI26" s="800" t="s">
        <v>735</v>
      </c>
      <c r="AJ26" s="803" t="s">
        <v>714</v>
      </c>
      <c r="AK26" s="802" t="s">
        <v>715</v>
      </c>
      <c r="AL26" s="754">
        <f>IF(COUNT(AK27:AK29)=ROWS(AK27:AK29),AVERAGE(AK27:AK29),"N/A")
</f>
        <v>10</v>
      </c>
      <c r="AM26" s="753" t="s">
        <v>715</v>
      </c>
      <c r="AN26" s="754">
        <f>IF(COUNT(AM27:AM29)=ROWS(AM27:AM29),AVERAGE(AM27:AM29),"N/A")
</f>
        <v>10</v>
      </c>
      <c r="BG26" s="767"/>
    </row>
    <row r="27">
      <c r="A27" s="804" t="str">
        <f>IFERROR(__xludf.DUMMYFUNCTION("IfError(IF(isblank($A$2),"""",SPARKLINE(INDEX(GOOGLEFINANCE($A$2, ""close"", TODAY()-365, TODAY(), ""DAILY""), , 2))
))"),"")</f>
        <v/>
      </c>
      <c r="F27" s="17"/>
      <c r="H27" s="794"/>
      <c r="I27" s="795" t="str">
        <f>IFERROR(__xludf.DUMMYFUNCTION("IF(ISBLANK(H27),"""", googlefinance(H27, ""name""))"),"")</f>
        <v/>
      </c>
      <c r="J27" s="796" t="str">
        <f>IFERROR(__xludf.DUMMYFUNCTION("IF(ISBLANK(H27),"""", googlefinance(H27, ""price""))"),"")</f>
        <v/>
      </c>
      <c r="L27" s="796" t="str">
        <f>IFERROR(__xludf.DUMMYFUNCTION("IF(ISBLANK(H27),"""", googlefinance(H27, ""eps""))"),"")</f>
        <v/>
      </c>
      <c r="M27" s="797" t="str">
        <f>IFERROR(__xludf.DUMMYFUNCTION("IFERROR(IF(ISBLANK(H27),"""", googlefinance(H27, ""pe"")),"""")"),"")</f>
        <v/>
      </c>
      <c r="N27" s="769"/>
      <c r="U27" s="733"/>
      <c r="W27" s="772" t="s">
        <v>736</v>
      </c>
      <c r="X27" s="773"/>
      <c r="Y27" s="774">
        <f t="shared" ref="Y27:AB27" si="17">IfError(IF(isblank($A$2),"",(Y26-X26)/X26),"")</f>
        <v>0.1688272854</v>
      </c>
      <c r="Z27" s="774">
        <f t="shared" si="17"/>
        <v>-0.08096247826</v>
      </c>
      <c r="AA27" s="774">
        <f t="shared" si="17"/>
        <v>0.247927996</v>
      </c>
      <c r="AB27" s="775">
        <f t="shared" si="17"/>
        <v>-0.03347151244</v>
      </c>
      <c r="AE27" s="762" t="s">
        <v>737</v>
      </c>
      <c r="AF27" s="187">
        <f>iferror($AB$30,"")</f>
        <v>0.6882374239</v>
      </c>
      <c r="AG27" s="764">
        <f>IF(OR(AF27="", ISBLANK(AF27)), "N/A",
   IF(AF27 &lt; 0, 0,
   IF(AF27 &lt; 0.2, 1,
   IF(AF27 &lt; 0.3, 3,
   IF(AF27 &lt; 0.4, 5,
   IF(AF27 &lt; 0.5, 7,
   IF(AF27 &lt; 0.6, 9, 10))))))
)</f>
        <v>10</v>
      </c>
      <c r="AH27" s="765"/>
      <c r="AI27" s="762" t="s">
        <v>738</v>
      </c>
      <c r="AJ27" s="187">
        <f>iferror(AVERAGE($X$30:$AB$30),"")</f>
        <v>0.6896714947</v>
      </c>
      <c r="AK27" s="764">
        <f>IF(OR(AJ27="", ISBLANK(AJ27)), "N/A",
   IF(AJ27 &lt; 0, 0,
   IF(AJ27 &lt; 0.2, 1,
   IF(AJ27 &lt; 0.3, 3,
   IF(AJ27 &lt; 0.4, 5,
   IF(AJ27 &lt; 0.5, 7,
   IF(AJ27 &lt; 0.6, 9, 10))))))
)</f>
        <v>10</v>
      </c>
      <c r="AL27" s="765"/>
      <c r="AM27" s="766">
        <f t="shared" ref="AM27:AM29" si="18">IF(COUNT(AK27,AG27)=2,0.7*AK27+0.3*AG27,"N/A")
</f>
        <v>10</v>
      </c>
      <c r="AN27" s="765"/>
      <c r="AO27" s="1" t="s">
        <v>739</v>
      </c>
    </row>
    <row r="28">
      <c r="A28" s="34"/>
      <c r="F28" s="17"/>
      <c r="H28" s="794"/>
      <c r="I28" s="795" t="str">
        <f>IFERROR(__xludf.DUMMYFUNCTION("IF(ISBLANK(H28),"""", googlefinance(H28, ""name""))"),"")</f>
        <v/>
      </c>
      <c r="J28" s="796" t="str">
        <f>IFERROR(__xludf.DUMMYFUNCTION("IF(ISBLANK(H28),"""", googlefinance(H28, ""price""))"),"")</f>
        <v/>
      </c>
      <c r="L28" s="796" t="str">
        <f>IFERROR(__xludf.DUMMYFUNCTION("IF(ISBLANK(H28),"""", googlefinance(H28, ""eps""))"),"")</f>
        <v/>
      </c>
      <c r="M28" s="797" t="str">
        <f>IFERROR(__xludf.DUMMYFUNCTION("IFERROR(IF(ISBLANK(H28),"""", googlefinance(H28, ""pe"")),"""")"),"")</f>
        <v/>
      </c>
      <c r="N28" s="756" t="s">
        <v>689</v>
      </c>
      <c r="P28" s="805" t="s">
        <v>740</v>
      </c>
      <c r="Q28" s="806"/>
      <c r="R28" s="806"/>
      <c r="S28" s="807"/>
      <c r="T28" s="808"/>
      <c r="U28" s="779"/>
      <c r="W28" s="772" t="s">
        <v>301</v>
      </c>
      <c r="X28" s="785">
        <v>8.05</v>
      </c>
      <c r="Y28" s="786">
        <v>9.65</v>
      </c>
      <c r="Z28" s="786">
        <v>9.68</v>
      </c>
      <c r="AA28" s="786">
        <v>11.8</v>
      </c>
      <c r="AB28" s="787">
        <v>13.64</v>
      </c>
      <c r="AD28" s="197"/>
      <c r="AE28" s="762" t="s">
        <v>741</v>
      </c>
      <c r="AF28" s="809">
        <f>iferror($AB$31,"")</f>
        <v>0.3614601525</v>
      </c>
      <c r="AG28" s="764">
        <f>IF(OR(AF28="", ISBLANK(AF28)), "N/A",
IF(AF28 &lt; 0, 0,
   IF(AF28 &lt; 0.03, 1,
   IF(AF28 &lt; 0.06, 3,
   IF(AF28 &lt; 0.1, 5,
   IF(AF28 &lt; 0.15, 7,
   IF(AF28 &lt; 0.2, 9, 10))))))
)</f>
        <v>10</v>
      </c>
      <c r="AH28" s="810"/>
      <c r="AI28" s="762" t="s">
        <v>742</v>
      </c>
      <c r="AJ28" s="187">
        <f>iferror(AVERAGE($X$31:$AB$31),"")</f>
        <v>0.3587726049</v>
      </c>
      <c r="AK28" s="764">
        <f>IF(OR(AJ28="", ISBLANK(AJ28)), "N/A",
IF(AJ28 &lt; 0, 0,
   IF(AJ28 &lt; 0.03, 1,
   IF(AJ28 &lt; 0.06, 3,
   IF(AJ28 &lt; 0.1, 5,
   IF(AJ28 &lt; 0.15, 7,
   IF(AJ28 &lt; 0.2, 9, 10))))))
)</f>
        <v>10</v>
      </c>
      <c r="AL28" s="810"/>
      <c r="AM28" s="766">
        <f t="shared" si="18"/>
        <v>10</v>
      </c>
      <c r="AN28" s="810"/>
      <c r="AO28" s="1" t="s">
        <v>743</v>
      </c>
    </row>
    <row r="29">
      <c r="A29" s="34"/>
      <c r="F29" s="17"/>
      <c r="H29" s="811"/>
      <c r="I29" s="795" t="str">
        <f>IFERROR(__xludf.DUMMYFUNCTION("IF(ISBLANK(H29),"""", googlefinance(H29, ""name""))"),"")</f>
        <v/>
      </c>
      <c r="J29" s="796" t="str">
        <f>IFERROR(__xludf.DUMMYFUNCTION("IF(ISBLANK(H29),"""", googlefinance(H29, ""price""))"),"")</f>
        <v/>
      </c>
      <c r="L29" s="796" t="str">
        <f>IFERROR(__xludf.DUMMYFUNCTION("IF(ISBLANK(H29),"""", googlefinance(H29, ""eps""))"),"")</f>
        <v/>
      </c>
      <c r="M29" s="797" t="str">
        <f>IFERROR(__xludf.DUMMYFUNCTION("IFERROR(IF(ISBLANK(H29),"""", googlefinance(H29, ""pe"")),"""")"),"")</f>
        <v/>
      </c>
      <c r="N29" s="87"/>
      <c r="P29" s="812" t="s">
        <v>744</v>
      </c>
      <c r="Q29" s="269"/>
      <c r="R29" s="269"/>
      <c r="S29" s="813"/>
      <c r="T29" s="814"/>
      <c r="U29" s="767"/>
      <c r="W29" s="772" t="s">
        <v>745</v>
      </c>
      <c r="X29" s="773"/>
      <c r="Y29" s="774">
        <f t="shared" ref="Y29:AB29" si="19">IfError(IF(isblank($A$2),"",(Y28-X28)/X28),"")</f>
        <v>0.198757764</v>
      </c>
      <c r="Z29" s="774">
        <f t="shared" si="19"/>
        <v>0.00310880829</v>
      </c>
      <c r="AA29" s="774">
        <f t="shared" si="19"/>
        <v>0.2190082645</v>
      </c>
      <c r="AB29" s="775">
        <f t="shared" si="19"/>
        <v>0.1559322034</v>
      </c>
      <c r="AD29" s="197"/>
      <c r="AE29" s="815" t="s">
        <v>746</v>
      </c>
      <c r="AF29" s="187">
        <f>iferror($AB$32,"")</f>
        <v>0.2541884965</v>
      </c>
      <c r="AG29" s="764">
        <f>IF(OR(AF29="", ISBLANK(AF29)), "N/A",
   IF(AF29 &lt; 0, 0,
   IF(AF29 &lt; 0.05, 1,
   IF(AF29 &lt; 0.08, 3,
   IF(AF29 &lt; 0.12, 5,
   IF(AF29 &lt; 0.18, 7,
   IF(AF29 &lt; 0.25, 9, 10))))))
)</f>
        <v>10</v>
      </c>
      <c r="AH29" s="816"/>
      <c r="AI29" s="574" t="s">
        <v>747</v>
      </c>
      <c r="AJ29" s="187">
        <f>iferror(AVERAGE($X$32:$AB$32),"")</f>
        <v>0.299894346</v>
      </c>
      <c r="AK29" s="764">
        <f>IF(OR(AJ29="", ISBLANK(AJ29)), "N/A",
   IF(AJ29 &lt; 0, 0,
   IF(AJ29 &lt; 0.05, 1,
   IF(AJ29 &lt; 0.08, 3,
   IF(AJ29 &lt; 0.12, 5,
   IF(AJ29 &lt; 0.18, 7,
   IF(AJ29 &lt; 0.25, 9, 10))))))
)</f>
        <v>10</v>
      </c>
      <c r="AL29" s="816"/>
      <c r="AM29" s="766">
        <f t="shared" si="18"/>
        <v>10</v>
      </c>
      <c r="AN29" s="810"/>
      <c r="AO29" s="1" t="s">
        <v>748</v>
      </c>
    </row>
    <row r="30">
      <c r="A30" s="34"/>
      <c r="F30" s="17"/>
      <c r="H30" s="817" t="s">
        <v>749</v>
      </c>
      <c r="I30" s="818" t="str">
        <f>average(M26:M29)</f>
        <v>#DIV/0!</v>
      </c>
      <c r="J30" s="819" t="s">
        <v>750</v>
      </c>
      <c r="K30" s="818" t="str">
        <f>I30*M30</f>
        <v>#DIV/0!</v>
      </c>
      <c r="L30" s="817" t="s">
        <v>751</v>
      </c>
      <c r="M30" s="820">
        <f>IFERROR(__xludf.DUMMYFUNCTION("IF(ISBLANK($A$2),"""", googlefinance($A$2, ""eps""))"),15.98)</f>
        <v>15.98</v>
      </c>
      <c r="N30" s="679">
        <f>IfError(IF(isblank($A$2),"0.00%",($A$22-N26)/$A$22),"")</f>
        <v>1</v>
      </c>
      <c r="P30" s="812" t="s">
        <v>752</v>
      </c>
      <c r="Q30" s="269"/>
      <c r="R30" s="269"/>
      <c r="S30" s="813"/>
      <c r="T30" s="814"/>
      <c r="U30" s="767"/>
      <c r="W30" s="758" t="s">
        <v>737</v>
      </c>
      <c r="X30" s="821">
        <v>0.689258007710247</v>
      </c>
      <c r="Y30" s="822">
        <v>0.684016744842891</v>
      </c>
      <c r="Z30" s="822">
        <v>0.6892008588349102</v>
      </c>
      <c r="AA30" s="822">
        <v>0.6976444382797138</v>
      </c>
      <c r="AB30" s="823">
        <v>0.6882374238616519</v>
      </c>
      <c r="AE30" s="751" t="s">
        <v>753</v>
      </c>
      <c r="AF30" s="824" t="s">
        <v>69</v>
      </c>
      <c r="AG30" s="753" t="s">
        <v>713</v>
      </c>
      <c r="AH30" s="754">
        <f>IF(COUNT(AG31:AG33)=ROWS(AG31:AG33),AVERAGE(AG31:AG33),"N/A")
</f>
        <v>9.666666667</v>
      </c>
      <c r="AI30" s="751" t="s">
        <v>753</v>
      </c>
      <c r="AJ30" s="752" t="s">
        <v>714</v>
      </c>
      <c r="AK30" s="753" t="s">
        <v>715</v>
      </c>
      <c r="AL30" s="754">
        <f>IF(COUNT(AK31:AK33)=ROWS(AK31:AK33),AVERAGE(AK31:AK33),"N/A")
</f>
        <v>8.666666667</v>
      </c>
      <c r="AM30" s="753" t="s">
        <v>715</v>
      </c>
      <c r="AN30" s="754">
        <f>IF(COUNT(AM31:AM33)=ROWS(AM31:AM33),AVERAGE(AM31:AM33),"N/A")
</f>
        <v>8.966666667</v>
      </c>
    </row>
    <row r="31">
      <c r="A31" s="34"/>
      <c r="F31" s="17"/>
      <c r="H31" s="825" t="s">
        <v>754</v>
      </c>
      <c r="I31" s="826" t="str">
        <f>MEDIAN(M26:M29)</f>
        <v>#NUM!</v>
      </c>
      <c r="J31" s="827" t="s">
        <v>755</v>
      </c>
      <c r="K31" s="828" t="str">
        <f>I31*M30</f>
        <v>#NUM!</v>
      </c>
      <c r="L31" s="29"/>
      <c r="M31" s="87"/>
      <c r="N31" s="31"/>
      <c r="P31" s="812" t="s">
        <v>756</v>
      </c>
      <c r="Q31" s="269"/>
      <c r="R31" s="269"/>
      <c r="S31" s="813"/>
      <c r="T31" s="814"/>
      <c r="W31" s="758" t="s">
        <v>741</v>
      </c>
      <c r="X31" s="821">
        <v>0.36451739564989766</v>
      </c>
      <c r="Y31" s="822">
        <v>0.3668633681343622</v>
      </c>
      <c r="Z31" s="822">
        <v>0.3414623787839464</v>
      </c>
      <c r="AA31" s="822">
        <v>0.35955972944084985</v>
      </c>
      <c r="AB31" s="823">
        <v>0.3614601524896707</v>
      </c>
      <c r="AE31" s="762" t="s">
        <v>757</v>
      </c>
      <c r="AF31" s="829">
        <f>iferror($AB$34,"")</f>
        <v>-0.3783086126</v>
      </c>
      <c r="AG31" s="764">
        <f>IF(OR(AF31="", ISBLANK(AF31)), "N/A",
   IF(AF31 &lt;= -0.25, 10,
   IF(AF31 &lt;= -0.15, 9,
   IF(AF31 &lt; 0, 7,
   IF(AF31 &lt; 0.05, 5,
   IF(AF31 &lt; 0.1, 3,
   IF(AF31 &lt; 0.15, 1, 0))))))
)</f>
        <v>10</v>
      </c>
      <c r="AH31" s="765"/>
      <c r="AI31" s="762" t="s">
        <v>758</v>
      </c>
      <c r="AJ31" s="187">
        <f>IFERROR(IF(XOR($AB$33&lt;0,$X$33&lt;0),AVERAGE(Y34:AB34),($AB$33/$X$33)^(1/4)-1),"")
</f>
        <v>-0.1323721838</v>
      </c>
      <c r="AK31" s="764">
        <f>IF(OR(AJ31="", ISBLANK(AJ31)), "N/A",
   IF(AJ31 &lt;= -0.25, 10,
   IF(AJ31 &lt;= -0.15, 9,
   IF(AJ31 &lt; 0, 7,
   IF(AJ31 &lt; 0.05, 5,
   IF(AJ31 &lt; 0.1, 3,
   IF(AJ31 &lt; 0.15, 1, 0))))))
)</f>
        <v>7</v>
      </c>
      <c r="AL31" s="765"/>
      <c r="AM31" s="766">
        <f t="shared" ref="AM31:AM33" si="20">IF(COUNT(AK31,AG31)=2,0.7*AK31+0.3*AG31,"N/A")
</f>
        <v>7.9</v>
      </c>
      <c r="AN31" s="765"/>
      <c r="AO31" s="1" t="s">
        <v>759</v>
      </c>
    </row>
    <row r="32">
      <c r="A32" s="34"/>
      <c r="F32" s="17"/>
      <c r="M32" s="778"/>
      <c r="N32" s="799"/>
      <c r="P32" s="830" t="s">
        <v>760</v>
      </c>
      <c r="Q32" s="269"/>
      <c r="R32" s="269"/>
      <c r="S32" s="813"/>
      <c r="T32" s="814"/>
      <c r="W32" s="758" t="s">
        <v>746</v>
      </c>
      <c r="X32" s="821">
        <v>0.33386083480081863</v>
      </c>
      <c r="Y32" s="822">
        <v>0.3285872799717557</v>
      </c>
      <c r="Z32" s="822">
        <v>0.2806549795908737</v>
      </c>
      <c r="AA32" s="822">
        <v>0.3021801388696241</v>
      </c>
      <c r="AB32" s="823">
        <v>0.2541884965427156</v>
      </c>
      <c r="AE32" s="762" t="s">
        <v>761</v>
      </c>
      <c r="AF32" s="831">
        <f>iferror($AB$35,"")</f>
        <v>0.4237617126</v>
      </c>
      <c r="AG32" s="764">
        <f>IF(OR(AF32="", ISBLANK(AF32)), "N/A",
   IF(AF32 &lt; 0, 10,
   IF(AF32 &lt; 1, 9,
   IF(AF32 &lt; 2, 7,
   IF(AF32 &lt; 3, 5,
   IF(AF32 &lt; 4, 3,
   IF(AF32 &lt; 5, 1, 0))))))
)</f>
        <v>9</v>
      </c>
      <c r="AH32" s="810"/>
      <c r="AI32" s="762" t="s">
        <v>762</v>
      </c>
      <c r="AJ32" s="832">
        <f>iferror(average($X$35:$AB$35),"")</f>
        <v>0.6376735797</v>
      </c>
      <c r="AK32" s="764">
        <f>IF(OR(AJ32="", ISBLANK(AJ32)), "N/A",
   IF(AJ32 &lt; 0, 10,
   IF(AJ32 &lt; 1, 9,
   IF(AJ32 &lt; 2, 7,
   IF(AJ32 &lt; 3, 5,
   IF(AJ32 &lt; 4, 3,
   IF(AJ32 &lt; 5, 1, 0))))))
)</f>
        <v>9</v>
      </c>
      <c r="AL32" s="810"/>
      <c r="AM32" s="766">
        <f t="shared" si="20"/>
        <v>9</v>
      </c>
      <c r="AN32" s="810"/>
      <c r="AO32" s="1" t="s">
        <v>763</v>
      </c>
    </row>
    <row r="33">
      <c r="A33" s="34"/>
      <c r="F33" s="17"/>
      <c r="H33" s="833" t="s">
        <v>78</v>
      </c>
      <c r="I33" s="834">
        <f>IF(ISBLANK($A$2),"", AN44)</f>
        <v>8.566666667</v>
      </c>
      <c r="J33" s="74"/>
      <c r="K33" s="835" t="str">
        <f>IF(I33="N/A","N/A",IF(ISBLANK(I33),"",IF(I33&gt;=9,"Elite 🚀",IF(I33&gt;=8,"High Quality ✅",IF(I33&gt;=6,"Above Average 👍",IF(I33&gt;=4,"Below Average 📉","Poor Quality 🚨"))))))</f>
        <v>High Quality ✅</v>
      </c>
      <c r="L33" s="836" t="s">
        <v>87</v>
      </c>
      <c r="M33" s="837" t="s">
        <v>713</v>
      </c>
      <c r="N33" s="837" t="s">
        <v>715</v>
      </c>
      <c r="P33" s="830" t="s">
        <v>764</v>
      </c>
      <c r="Q33" s="269"/>
      <c r="R33" s="269"/>
      <c r="S33" s="813"/>
      <c r="T33" s="814"/>
      <c r="W33" s="758" t="s">
        <v>765</v>
      </c>
      <c r="X33" s="785">
        <v>5.3551E10</v>
      </c>
      <c r="Y33" s="786">
        <v>4.7339E10</v>
      </c>
      <c r="Z33" s="786">
        <v>2.5261E10</v>
      </c>
      <c r="AA33" s="786">
        <v>4.8812E10</v>
      </c>
      <c r="AB33" s="787">
        <v>3.0346E10</v>
      </c>
      <c r="AE33" s="838" t="s">
        <v>671</v>
      </c>
      <c r="AF33" s="839">
        <f>iferror($AB$36,"")</f>
        <v>53.89014675</v>
      </c>
      <c r="AG33" s="840">
        <f>IF(OR(AF33="", ISBLANK(AF33)), "N/A",
   IF(AF33 &lt; 5, 0,
   IF(AF33 &lt; 7, 1,
   IF(AF33 &lt; 9, 3,
   IF(AF33 &lt; 11, 5,
   IF(AF33 &lt; 13, 7,
   IF(AF33 &lt; 16, 9, 10))))))
)</f>
        <v>10</v>
      </c>
      <c r="AH33" s="841"/>
      <c r="AI33" s="840" t="s">
        <v>766</v>
      </c>
      <c r="AJ33" s="842">
        <f>iferror(average($X$36:$AB$36),"")</f>
        <v>41.27548098</v>
      </c>
      <c r="AK33" s="840">
        <f>IF(OR(AJ33="", ISBLANK(AJ33)), "N/A",
   IF(AJ33 &lt; 5, 0,
   IF(AJ33 &lt; 7, 1,
   IF(AJ33 &lt; 9, 3,
   IF(AJ33 &lt; 11, 5,
   IF(AJ33 &lt; 13, 7,
   IF(AJ33 &lt; 16, 9, 10))))))
)</f>
        <v>10</v>
      </c>
      <c r="AL33" s="841"/>
      <c r="AM33" s="766">
        <f t="shared" si="20"/>
        <v>10</v>
      </c>
      <c r="AN33" s="841"/>
      <c r="AO33" s="1" t="s">
        <v>767</v>
      </c>
    </row>
    <row r="34">
      <c r="A34" s="29"/>
      <c r="B34" s="30"/>
      <c r="C34" s="30"/>
      <c r="D34" s="30"/>
      <c r="E34" s="30"/>
      <c r="F34" s="31"/>
      <c r="H34" s="448"/>
      <c r="I34" s="77"/>
      <c r="J34" s="79"/>
      <c r="K34" s="106"/>
      <c r="L34" s="843" t="s">
        <v>103</v>
      </c>
      <c r="M34" s="844">
        <f>AH22</f>
        <v>7</v>
      </c>
      <c r="N34" s="844">
        <f>AL22</f>
        <v>8.666666667</v>
      </c>
      <c r="P34" s="845" t="s">
        <v>768</v>
      </c>
      <c r="Q34" s="269"/>
      <c r="R34" s="269"/>
      <c r="S34" s="813"/>
      <c r="T34" s="814"/>
      <c r="W34" s="758" t="s">
        <v>769</v>
      </c>
      <c r="X34" s="773"/>
      <c r="Y34" s="774">
        <f t="shared" ref="Y34:AB34" si="21">IfError(IF(isblank($A$2),"",(Y33-X33)/X33),"")</f>
        <v>-0.1160015686</v>
      </c>
      <c r="Z34" s="774">
        <f t="shared" si="21"/>
        <v>-0.4663807854</v>
      </c>
      <c r="AA34" s="774">
        <f t="shared" si="21"/>
        <v>0.9323067179</v>
      </c>
      <c r="AB34" s="775">
        <f t="shared" si="21"/>
        <v>-0.3783086126</v>
      </c>
      <c r="AE34" s="751" t="s">
        <v>770</v>
      </c>
      <c r="AF34" s="824" t="s">
        <v>69</v>
      </c>
      <c r="AG34" s="753" t="s">
        <v>713</v>
      </c>
      <c r="AH34" s="754">
        <f>IF(COUNT(AG35:AG39)=ROWS(AG35:AG39),0.25*AG35+0.25*AG36+0.2*AG37+0.2*AG38+0.1*AG39,"N/A")
</f>
        <v>5.7</v>
      </c>
      <c r="AI34" s="751" t="s">
        <v>770</v>
      </c>
      <c r="AJ34" s="752" t="s">
        <v>714</v>
      </c>
      <c r="AK34" s="753" t="s">
        <v>715</v>
      </c>
      <c r="AL34" s="754">
        <f>IF(COUNT(AK35:AK39)=ROWS(AK35:AK39),0.25*AK35+0.25*AK36+0.2*AK37+0.2*AK38+0.1*AK39,"N/A")
</f>
        <v>5.7</v>
      </c>
      <c r="AM34" s="753" t="s">
        <v>715</v>
      </c>
      <c r="AN34" s="754">
        <f>IF(COUNT(AM35:AM39)=ROWS(AM35:AM39),0.25*AM35+0.25*AM36+0.2*AM37+0.2*AM38+0.1*AM39,"N/A")
</f>
        <v>5.7</v>
      </c>
    </row>
    <row r="35">
      <c r="A35" s="239" t="s">
        <v>771</v>
      </c>
      <c r="B35" s="13"/>
      <c r="C35" s="13"/>
      <c r="D35" s="13"/>
      <c r="E35" s="13"/>
      <c r="F35" s="14"/>
      <c r="H35" s="846" t="s">
        <v>103</v>
      </c>
      <c r="I35" s="847" t="str">
        <f>IFERROR(__xludf.DUMMYFUNCTION("SPARKLINE(J35, {""charttype"",""bar""; ""color1"", IF(J35 &gt;= 9, ""gold"", IF(J35 &gt;= 8, ""green"", IF(J35 &gt;= 6, ""blue"", IF(J35 &gt;= 4, ""orange"", ""red"")))); ""max"",10})"),"")</f>
        <v/>
      </c>
      <c r="J35" s="848">
        <f>AN22</f>
        <v>8.166666667</v>
      </c>
      <c r="K35" s="849" t="str">
        <f>IF(I33="N/A","Relative new company and/or not enough data reported.",IFS(
  I33&gt;=9,"A top-tier company with outstanding fundamentals. Strong growth, profitability, and financial efficiency, with a well-managed balance sheet.",
  I33&gt;=8,"A strong company with excellent fundamentals and few weaknesses. Reliable growth, profitability, and shareholder returns.",
  I33&gt;=6,"A good business with positive attributes but some weaknesses, such as inconsistent profitability or moderate growth challenges.",
  I33&gt;=4,"A company with mixed fundamentals and notable concerns. Potential weaknesses in debt, profitability, or growth.",
  TRUE,"A struggling business with significant weaknesses. High risk due to declining revenue, excessive debt, or poor profitability."
))
</f>
        <v>A strong company with excellent fundamentals and few weaknesses. Reliable growth, profitability, and shareholder returns.</v>
      </c>
      <c r="L35" s="843" t="s">
        <v>735</v>
      </c>
      <c r="M35" s="844">
        <f>AH26</f>
        <v>10</v>
      </c>
      <c r="N35" s="844">
        <f>AL26</f>
        <v>10</v>
      </c>
      <c r="P35" s="830" t="s">
        <v>772</v>
      </c>
      <c r="Q35" s="269"/>
      <c r="R35" s="269"/>
      <c r="S35" s="813"/>
      <c r="T35" s="814"/>
      <c r="W35" s="758" t="s">
        <v>761</v>
      </c>
      <c r="X35" s="850">
        <v>0.9542571011083788</v>
      </c>
      <c r="Y35" s="851">
        <v>0.7266266558197363</v>
      </c>
      <c r="Z35" s="851">
        <v>0.42473308112652375</v>
      </c>
      <c r="AA35" s="851">
        <v>0.6589893480579444</v>
      </c>
      <c r="AB35" s="852">
        <v>0.4237617125860552</v>
      </c>
      <c r="AE35" s="762" t="s">
        <v>773</v>
      </c>
      <c r="AF35" s="829">
        <f>iferror($AB$37,"")</f>
        <v>0.006513492346</v>
      </c>
      <c r="AG35" s="764">
        <f>IF(OR(AF35="", ISBLANK(AF35)), 0,
   IF(AF35 &lt;= 0, 1,
   IF(AF35 &lt; 0.01, 3,
   IF(AF35 &lt; 0.02, 5,
   IF(AF35 &lt; 0.04, 7,
   IF(AF35 &lt; 0.06, 9,
   IF(AF35 &lt; 0.08, 10,
   IF(AF35 &lt; 0.1, 7, 3)))))))
)</f>
        <v>3</v>
      </c>
      <c r="AH35" s="853"/>
      <c r="AI35" s="762" t="s">
        <v>774</v>
      </c>
      <c r="AJ35" s="187">
        <f>iferror(AVERAGE($X$37:$AB$37),"")</f>
        <v>0.007647464664</v>
      </c>
      <c r="AK35" s="764">
        <f>IF(OR(AJ35="", ISBLANK(AJ35)), 0,
   IF(AJ35 &lt;= 0, 1,
   IF(AJ35 &lt; 0.01, 3,
   IF(AJ35 &lt; 0.02, 5,
   IF(AJ35 &lt; 0.04, 7,
   IF(AJ35 &lt; 0.06, 9,
   IF(AJ35 &lt; 0.08, 10,
   IF(AJ35 &lt; 0.1, 7, 3)))))))
)</f>
        <v>3</v>
      </c>
      <c r="AL35" s="853"/>
      <c r="AM35" s="766">
        <f t="shared" ref="AM35:AM39" si="22">IF(COUNT(AK35,AG35)=2,0.7*AK35+0.3*AG35,"N/A")
</f>
        <v>3</v>
      </c>
      <c r="AN35" s="853"/>
      <c r="AO35" s="1" t="s">
        <v>775</v>
      </c>
    </row>
    <row r="36">
      <c r="A36" s="34"/>
      <c r="F36" s="17"/>
      <c r="H36" s="854" t="s">
        <v>735</v>
      </c>
      <c r="I36" s="847" t="str">
        <f>IFERROR(__xludf.DUMMYFUNCTION("SPARKLINE(J36, {""charttype"",""bar""; ""color1"", IF(J36 &gt;= 9, ""gold"", IF(J36 &gt;= 8, ""green"", IF(J36 &gt;= 6, ""blue"", IF(J36 &gt;= 4, ""orange"", ""red"")))); ""max"",10})"),"")</f>
        <v/>
      </c>
      <c r="J36" s="855">
        <f>AN26</f>
        <v>10</v>
      </c>
      <c r="K36" s="856"/>
      <c r="L36" s="843" t="s">
        <v>753</v>
      </c>
      <c r="M36" s="844">
        <f>AH30</f>
        <v>9.666666667</v>
      </c>
      <c r="N36" s="844">
        <f>AL30</f>
        <v>8.666666667</v>
      </c>
      <c r="P36" s="830" t="s">
        <v>776</v>
      </c>
      <c r="Q36" s="269"/>
      <c r="R36" s="269"/>
      <c r="S36" s="269"/>
      <c r="T36" s="814"/>
      <c r="W36" s="758" t="s">
        <v>671</v>
      </c>
      <c r="X36" s="850">
        <v>29.80221653878943</v>
      </c>
      <c r="Y36" s="851">
        <v>40.41832283082889</v>
      </c>
      <c r="Z36" s="851">
        <v>44.98119918699187</v>
      </c>
      <c r="AA36" s="851">
        <v>37.285519591141394</v>
      </c>
      <c r="AB36" s="852">
        <v>53.89014675052411</v>
      </c>
      <c r="AE36" s="815" t="s">
        <v>777</v>
      </c>
      <c r="AF36" s="829">
        <f>iferror($AB$40,"")</f>
        <v>0.1058527513</v>
      </c>
      <c r="AG36" s="67">
        <f>IF(OR(AF36="", ISBLANK(AF36)), 0, 
   IF(AF36 &lt; -0.05, 0,
   IF(AF36 &lt; 0, 1,
   IF(AF36 &lt; 0.04, 3,
   IF(AF36 &lt; 0.08, 5,
   IF(AF36 &lt; 0.12, 7,
   IF(AF36 &lt; 0.16, 9, 10))))))
)</f>
        <v>7</v>
      </c>
      <c r="AH36" s="816"/>
      <c r="AI36" s="574" t="s">
        <v>778</v>
      </c>
      <c r="AJ36" s="187">
        <f>IFERROR(IF(XOR($AB$39&lt;0,$X$39&lt;0),AVERAGE(Y40:AB40),($AB$39/$X$39)^(1/4)-1),"")
</f>
        <v>0.102977389</v>
      </c>
      <c r="AK36" s="67">
        <f>IF(OR(AJ36="", ISBLANK(AJ36)), 0, 
   IF(AJ36 &lt; -0.05, 0,
   IF(AJ36 &lt; 0, 1,
   IF(AJ36 &lt; 0.04, 3,
   IF(AJ36 &lt; 0.08, 5,
   IF(AJ36 &lt; 0.12, 7,
   IF(AJ36 &lt; 0.16, 9, 10))))))
)</f>
        <v>7</v>
      </c>
      <c r="AL36" s="816"/>
      <c r="AM36" s="766">
        <f t="shared" si="22"/>
        <v>7</v>
      </c>
      <c r="AN36" s="816"/>
      <c r="AO36" s="1" t="s">
        <v>779</v>
      </c>
    </row>
    <row r="37">
      <c r="A37" s="768" t="s">
        <v>780</v>
      </c>
      <c r="E37" s="255" t="s">
        <v>661</v>
      </c>
      <c r="H37" s="854" t="s">
        <v>753</v>
      </c>
      <c r="I37" s="847" t="str">
        <f>IFERROR(__xludf.DUMMYFUNCTION("SPARKLINE(J37, {""charttype"",""bar""; ""color1"", IF(J37 &gt;= 9, ""gold"", IF(J37 &gt;= 8, ""green"", IF(J37 &gt;= 6, ""blue"", IF(J37 &gt;= 4, ""orange"", ""red"")))); ""max"",10})"),"")</f>
        <v/>
      </c>
      <c r="J37" s="857">
        <f>AN30</f>
        <v>8.966666667</v>
      </c>
      <c r="K37" s="856"/>
      <c r="L37" s="843" t="s">
        <v>770</v>
      </c>
      <c r="M37" s="844">
        <f>AH34</f>
        <v>5.7</v>
      </c>
      <c r="N37" s="844">
        <f>AL34</f>
        <v>5.7</v>
      </c>
      <c r="O37" s="858"/>
      <c r="P37" s="830" t="s">
        <v>781</v>
      </c>
      <c r="Q37" s="269"/>
      <c r="R37" s="269"/>
      <c r="S37" s="269"/>
      <c r="T37" s="814"/>
      <c r="W37" s="758" t="s">
        <v>773</v>
      </c>
      <c r="X37" s="821">
        <v>0.008080774286967414</v>
      </c>
      <c r="Y37" s="822">
        <v>0.009419811891732594</v>
      </c>
      <c r="Z37" s="822">
        <v>0.00780861528783952</v>
      </c>
      <c r="AA37" s="822">
        <v>0.006414629506176681</v>
      </c>
      <c r="AB37" s="823">
        <v>0.00651349234561735</v>
      </c>
      <c r="AE37" s="762" t="s">
        <v>782</v>
      </c>
      <c r="AF37" s="829">
        <f>iferror($AB$41,"")</f>
        <v>0.2364875481</v>
      </c>
      <c r="AG37" s="764">
        <f>IF(OR(AF37="", ISBLANK(AF37)), "N/A",
   IF(AF37 &gt;= 1.2, 0,
   IF(AF37 &gt;= 1, 1,
   IF(AF37 &gt;= 0.8, 3,
   IF(AF37 &gt;= 0.6, 5,
   IF(AF37 &gt;= 0.4, 10,
   IF(AF37 &gt;= 0.3, 9,
   IF(AF37 &gt;= 0.2, 7, 5)))))))
)</f>
        <v>7</v>
      </c>
      <c r="AH37" s="810"/>
      <c r="AI37" s="762" t="s">
        <v>783</v>
      </c>
      <c r="AJ37" s="187">
        <f>iferror(average($X$41:$AB$41),"")</f>
        <v>0.2552178446</v>
      </c>
      <c r="AK37" s="764">
        <f>IF(OR(AJ37="", ISBLANK(AJ37)), "N/A",
   IF(AJ37 &gt;= 1.2, 0,
   IF(AJ37 &gt;= 1, 1,
   IF(AJ37 &gt;= 0.8, 3,
   IF(AJ37 &gt;= 0.6, 5,
   IF(AJ37 &gt;= 0.4, 10,
   IF(AJ37 &gt;= 0.3, 9,
   IF(AJ37 &gt;= 0.2, 7, 5)))))))
)</f>
        <v>7</v>
      </c>
      <c r="AL37" s="810"/>
      <c r="AM37" s="766">
        <f t="shared" si="22"/>
        <v>7</v>
      </c>
      <c r="AN37" s="810"/>
      <c r="AO37" s="1" t="s">
        <v>784</v>
      </c>
    </row>
    <row r="38">
      <c r="A38" s="859" t="s">
        <v>785</v>
      </c>
      <c r="E38" s="860"/>
      <c r="H38" s="854" t="s">
        <v>770</v>
      </c>
      <c r="I38" s="847" t="str">
        <f>IFERROR(__xludf.DUMMYFUNCTION("SPARKLINE(J38, {""charttype"",""bar""; ""color1"", IF(J38 &gt;= 9, ""gold"", IF(J38 &gt;= 8, ""green"", IF(J38 &gt;= 6, ""blue"", IF(J38 &gt;= 4, ""orange"", ""red"")))); ""max"",10})"),"")</f>
        <v/>
      </c>
      <c r="J38" s="857">
        <f>AN34</f>
        <v>5.7</v>
      </c>
      <c r="K38" s="856"/>
      <c r="L38" s="843" t="s">
        <v>786</v>
      </c>
      <c r="M38" s="844">
        <f>AH40</f>
        <v>10</v>
      </c>
      <c r="N38" s="844">
        <f>AL40</f>
        <v>10</v>
      </c>
      <c r="P38" s="861" t="s">
        <v>787</v>
      </c>
      <c r="Q38" s="862"/>
      <c r="R38" s="862"/>
      <c r="S38" s="862"/>
      <c r="T38" s="863"/>
      <c r="W38" s="758" t="s">
        <v>788</v>
      </c>
      <c r="X38" s="785">
        <v>1.6521E10</v>
      </c>
      <c r="Y38" s="786">
        <v>1.8135E10</v>
      </c>
      <c r="Z38" s="786">
        <v>1.98E10</v>
      </c>
      <c r="AA38" s="786">
        <v>2.1771E10</v>
      </c>
      <c r="AB38" s="787">
        <v>2.4082E10</v>
      </c>
      <c r="AE38" s="762" t="s">
        <v>789</v>
      </c>
      <c r="AF38" s="829">
        <f>iferror($AB$42,"")</f>
        <v>0.3362891176</v>
      </c>
      <c r="AG38" s="764">
        <f>IF(OR(AF38="", ISBLANK(AF38)), "N/A",
   IF(AF38 &lt; 0.3, 10,
   IF(AF38 &lt; 0.4, 9,
   IF(AF38 &lt; 0.5, 7,
   IF(AF38 &lt; 0.6, 5,
   IF(AF38 &lt; 0.7, 3,
   IF(AF38 &lt; 0.8, 1, 0))))))
)</f>
        <v>9</v>
      </c>
      <c r="AH38" s="810"/>
      <c r="AI38" s="762" t="s">
        <v>790</v>
      </c>
      <c r="AJ38" s="187">
        <f>iferror(average($X$42:$AB$42),"")</f>
        <v>0.3071764465</v>
      </c>
      <c r="AK38" s="764">
        <f>IF(OR(AJ38="", ISBLANK(AJ38)), "N/A",
   IF(AJ38 &lt; 0.3, 10,
   IF(AJ38 &lt; 0.4, 9,
   IF(AJ38 &lt; 0.5, 7,
   IF(AJ38 &lt; 0.6, 5,
   IF(AJ38 &lt; 0.7, 3,
   IF(AJ38 &lt; 0.8, 1, 0))))))
)</f>
        <v>9</v>
      </c>
      <c r="AL38" s="810"/>
      <c r="AM38" s="766">
        <f t="shared" si="22"/>
        <v>9</v>
      </c>
      <c r="AN38" s="810"/>
      <c r="AO38" s="1" t="s">
        <v>791</v>
      </c>
    </row>
    <row r="39">
      <c r="A39" s="859" t="s">
        <v>792</v>
      </c>
      <c r="E39" s="864"/>
      <c r="H39" s="865" t="s">
        <v>786</v>
      </c>
      <c r="I39" s="866" t="str">
        <f>IFERROR(__xludf.DUMMYFUNCTION("SPARKLINE(J39, {""charttype"",""bar""; ""color1"", IF(J39 &gt;= 9, ""gold"", IF(J39 &gt;= 8, ""green"", IF(J39 &gt;= 6, ""blue"", IF(J39 &gt;= 4, ""orange"", ""red"")))); ""max"",10})"),"")</f>
        <v/>
      </c>
      <c r="J39" s="867">
        <f>AN40</f>
        <v>10</v>
      </c>
      <c r="K39" s="106"/>
      <c r="L39" s="868" t="s">
        <v>793</v>
      </c>
      <c r="M39" s="869">
        <f>AH44</f>
        <v>8.473333333</v>
      </c>
      <c r="N39" s="869">
        <f>AL44</f>
        <v>8.606666667</v>
      </c>
      <c r="O39" s="799"/>
      <c r="W39" s="758" t="s">
        <v>794</v>
      </c>
      <c r="X39" s="785">
        <v>2.1890817543394725</v>
      </c>
      <c r="Y39" s="786">
        <v>2.419290288153682</v>
      </c>
      <c r="Z39" s="786">
        <v>2.6591458501208702</v>
      </c>
      <c r="AA39" s="786">
        <v>2.929753734356076</v>
      </c>
      <c r="AB39" s="787">
        <v>3.239876227633526</v>
      </c>
      <c r="AE39" s="815" t="s">
        <v>795</v>
      </c>
      <c r="AF39" s="187">
        <f>iferror($AB$44,"")</f>
        <v>0.0002691427802</v>
      </c>
      <c r="AG39" s="67">
        <f>IF(OR(AF39="", ISBLANK(AF39)), "N/A",
   IF(AF39 &lt;= -0.025, 10,
   IF(AF39 &lt;= -0.02, 9,
   IF(AF39 &lt;= -0.015, 7,
   IF(AF39 &lt;= -0.01, 5,
   IF(AF39 &lt;= -0.005, 3, 0)))))
)</f>
        <v>0</v>
      </c>
      <c r="AH39" s="816"/>
      <c r="AI39" s="574" t="s">
        <v>796</v>
      </c>
      <c r="AJ39" s="187">
        <f>IFERROR(IF(XOR($AB$43&lt;0,$X$43&lt;0),AVERAGE(Y44:AB44),($AB$43/$X$43)^(1/4)-1),"")
</f>
        <v>-0.003797916492</v>
      </c>
      <c r="AK39" s="67">
        <f>IF(OR(AJ39="", ISBLANK(AJ39)), "N/A",
   IF(AJ39 &lt;= -0.025, 10,
   IF(AJ39 &lt;= -0.02, 9,
   IF(AJ39 &lt;= -0.015, 7,
   IF(AJ39 &lt;= -0.01, 5,
   IF(AJ39 &lt;= -0.005, 3, 0)))))
)</f>
        <v>0</v>
      </c>
      <c r="AL39" s="816"/>
      <c r="AM39" s="766">
        <f t="shared" si="22"/>
        <v>0</v>
      </c>
      <c r="AN39" s="816"/>
      <c r="AO39" s="1" t="s">
        <v>797</v>
      </c>
    </row>
    <row r="40">
      <c r="A40" s="870" t="s">
        <v>798</v>
      </c>
      <c r="E40" s="864"/>
      <c r="H40" s="871"/>
      <c r="I40" s="871"/>
      <c r="J40" s="871"/>
      <c r="K40" s="872"/>
      <c r="L40" s="799"/>
      <c r="M40" s="799"/>
      <c r="N40" s="799"/>
      <c r="O40" s="799"/>
      <c r="W40" s="758" t="s">
        <v>799</v>
      </c>
      <c r="X40" s="873" t="str">
        <f t="shared" ref="X40:AB40" si="23">IfError(IF(isblank($A$2),"",(X39-W39)/W39),"")</f>
        <v/>
      </c>
      <c r="Y40" s="822">
        <f t="shared" si="23"/>
        <v>0.1051621454</v>
      </c>
      <c r="Z40" s="822">
        <f t="shared" si="23"/>
        <v>0.09914294417</v>
      </c>
      <c r="AA40" s="822">
        <f t="shared" si="23"/>
        <v>0.101764965</v>
      </c>
      <c r="AB40" s="823">
        <f t="shared" si="23"/>
        <v>0.1058527513</v>
      </c>
      <c r="AE40" s="751" t="s">
        <v>786</v>
      </c>
      <c r="AF40" s="824" t="s">
        <v>69</v>
      </c>
      <c r="AG40" s="753" t="s">
        <v>713</v>
      </c>
      <c r="AH40" s="754">
        <f>IF(COUNT(AG41:AG43)=ROWS(AG41:AG43),AVERAGE(AG41:AG43),"N/A")
</f>
        <v>10</v>
      </c>
      <c r="AI40" s="751" t="s">
        <v>786</v>
      </c>
      <c r="AJ40" s="752" t="s">
        <v>714</v>
      </c>
      <c r="AK40" s="753" t="s">
        <v>715</v>
      </c>
      <c r="AL40" s="754">
        <f>IF(COUNT(AK41:AK43)=ROWS(AK41:AK43),AVERAGE(AK41:AK43),"N/A")
</f>
        <v>10</v>
      </c>
      <c r="AM40" s="753" t="s">
        <v>715</v>
      </c>
      <c r="AN40" s="754">
        <f>IF(COUNT(AM41:AM43)=ROWS(AM41:AM43),AVERAGE(AM41:AM43),"N/A")
</f>
        <v>10</v>
      </c>
    </row>
    <row r="41">
      <c r="A41" s="870"/>
      <c r="E41" s="864"/>
      <c r="H41" s="871"/>
      <c r="I41" s="871"/>
      <c r="J41" s="871"/>
      <c r="K41" s="872"/>
      <c r="L41" s="799"/>
      <c r="M41" s="799"/>
      <c r="N41" s="799"/>
      <c r="O41" s="799"/>
      <c r="W41" s="758" t="s">
        <v>782</v>
      </c>
      <c r="X41" s="821">
        <v>0.269638164874084</v>
      </c>
      <c r="Y41" s="822">
        <v>0.24931947537738183</v>
      </c>
      <c r="Z41" s="822">
        <v>0.2736280593137187</v>
      </c>
      <c r="AA41" s="822">
        <v>0.24701597531088318</v>
      </c>
      <c r="AB41" s="823">
        <v>0.23648754811846964</v>
      </c>
      <c r="AE41" s="762" t="s">
        <v>800</v>
      </c>
      <c r="AF41" s="776">
        <f>iferror($AB$45,"")</f>
        <v>0.1645097035</v>
      </c>
      <c r="AG41" s="764">
        <f>IF(OR(AF41="", ISBLANK(AF41)), "N/A",
   IF(AF41 &lt; 0, 0,
   IF(AF41 &lt; 0.02, 1,
   IF(AF41 &lt; 0.04, 3,
   IF(AF41 &lt; 0.06, 5,
   IF(AF41 &lt; 0.08, 7,
   IF(AF41 &lt; 0.1, 9, 10))))))
)</f>
        <v>10</v>
      </c>
      <c r="AH41" s="810"/>
      <c r="AI41" s="874" t="s">
        <v>801</v>
      </c>
      <c r="AJ41" s="187">
        <f>iferror(AVERAGE($X$45:$AB$45),"")</f>
        <v>0.1790352854</v>
      </c>
      <c r="AK41" s="764">
        <f>IF(OR(AJ41="", ISBLANK(AJ41)), "N/A",
   IF(AJ41 &lt; 0, 0,
   IF(AJ41 &lt; 0.02, 1,
   IF(AJ41 &lt; 0.04, 3,
   IF(AJ41 &lt; 0.06, 5,
   IF(AJ41 &lt; 0.08, 7,
   IF(AJ41 &lt; 0.1, 9, 10))))))
)</f>
        <v>10</v>
      </c>
      <c r="AL41" s="810"/>
      <c r="AM41" s="766">
        <f t="shared" ref="AM41:AM43" si="24">IF(COUNT(AK41,AG41)=2,0.7*AK41+0.3*AG41,"N/A")
</f>
        <v>10</v>
      </c>
      <c r="AN41" s="810"/>
      <c r="AO41" s="1" t="s">
        <v>802</v>
      </c>
    </row>
    <row r="42">
      <c r="A42" s="255" t="s">
        <v>803</v>
      </c>
      <c r="E42" s="786" t="str">
        <f>IFERROR(AVERAGE(E38:F41),"")</f>
        <v/>
      </c>
      <c r="H42" s="875"/>
      <c r="I42" s="690"/>
      <c r="J42" s="876"/>
      <c r="K42" s="877"/>
      <c r="L42" s="799"/>
      <c r="M42" s="799"/>
      <c r="N42" s="799"/>
      <c r="O42" s="799"/>
      <c r="W42" s="758" t="s">
        <v>789</v>
      </c>
      <c r="X42" s="821">
        <v>0.2943975195124559</v>
      </c>
      <c r="Y42" s="822">
        <v>0.27836190885508605</v>
      </c>
      <c r="Z42" s="822">
        <v>0.3329129886506936</v>
      </c>
      <c r="AA42" s="822">
        <v>0.2939206977089549</v>
      </c>
      <c r="AB42" s="823">
        <v>0.33628911759366575</v>
      </c>
      <c r="AE42" s="762" t="s">
        <v>804</v>
      </c>
      <c r="AF42" s="809">
        <f>iferror($AB$46,"")</f>
        <v>0.2964722734</v>
      </c>
      <c r="AG42" s="764">
        <f>IF(OR(AF42="", ISBLANK(AF42)), "N/A",
   IF(AF42 &lt; 0, 0,
   IF(AF42 &lt; 0.05, 1,
   IF(AF42 &lt; 0.1, 3,
   IF(AF42 &lt; 0.15, 5,
   IF(AF42 &lt; 0.2, 7,
   IF(AF42 &lt; 0.25, 9, 10))))))
)</f>
        <v>10</v>
      </c>
      <c r="AH42" s="810"/>
      <c r="AI42" s="874" t="s">
        <v>805</v>
      </c>
      <c r="AJ42" s="187">
        <f>iferror(AVERAGE($X$46:$AB$46),"")</f>
        <v>0.3687835749</v>
      </c>
      <c r="AK42" s="764">
        <f>IF(OR(AJ42="", ISBLANK(AJ42)), "N/A",
   IF(AJ42 &lt; 0, 0,
   IF(AJ42 &lt; 0.05, 1,
   IF(AJ42 &lt; 0.1, 3,
   IF(AJ42 &lt; 0.15, 5,
   IF(AJ42 &lt; 0.2, 7,
   IF(AJ42 &lt; 0.25, 9, 10))))))
)</f>
        <v>10</v>
      </c>
      <c r="AL42" s="810"/>
      <c r="AM42" s="766">
        <f t="shared" si="24"/>
        <v>10</v>
      </c>
      <c r="AN42" s="810"/>
      <c r="AO42" s="1" t="s">
        <v>806</v>
      </c>
    </row>
    <row r="43">
      <c r="H43" s="875"/>
      <c r="I43" s="690"/>
      <c r="J43" s="185"/>
      <c r="K43" s="877"/>
      <c r="L43" s="799"/>
      <c r="M43" s="799"/>
      <c r="N43" s="799"/>
      <c r="O43" s="799"/>
      <c r="W43" s="758" t="s">
        <v>673</v>
      </c>
      <c r="X43" s="785">
        <v>7.547E9</v>
      </c>
      <c r="Y43" s="786">
        <v>7.496E9</v>
      </c>
      <c r="Z43" s="786">
        <v>7.446E9</v>
      </c>
      <c r="AA43" s="786">
        <v>7.431E9</v>
      </c>
      <c r="AB43" s="787">
        <v>7.433E9</v>
      </c>
      <c r="AE43" s="788" t="s">
        <v>807</v>
      </c>
      <c r="AF43" s="878">
        <f>iferror($AB$52,"")</f>
        <v>0.2202006954</v>
      </c>
      <c r="AG43" s="790">
        <f>IF(OR(AF43="", ISBLANK(AF43)), "N/A",
   IF(AF43 &lt; 0, 0,
   IF(AF43 &lt; 0.05, 1,
   IF(AF43 &lt; 0.08, 3,
   IF(AF43 &lt; 0.1, 5,
   IF(AF43 &lt; 0.12, 7,
   IF(AF43 &lt; 0.15, 9, 10))))))
)</f>
        <v>10</v>
      </c>
      <c r="AH43" s="879"/>
      <c r="AI43" s="788" t="s">
        <v>808</v>
      </c>
      <c r="AJ43" s="793">
        <f>iferror(average($X$52:$AB$52),"")</f>
        <v>0.2358350942</v>
      </c>
      <c r="AK43" s="790">
        <f>IF(OR(AJ43="", ISBLANK(AJ43)), "N/A",
   IF(AJ43 &lt; 0, 0,
   IF(AJ43 &lt; 0.05, 1,
   IF(AJ43 &lt; 0.08, 3,
   IF(AJ43 &lt; 0.1, 5,
   IF(AJ43 &lt; 0.12, 7,
   IF(AJ43 &lt; 0.15, 9, 10))))))
)</f>
        <v>10</v>
      </c>
      <c r="AL43" s="879"/>
      <c r="AM43" s="766">
        <f t="shared" si="24"/>
        <v>10</v>
      </c>
      <c r="AN43" s="879"/>
      <c r="AO43" s="1" t="s">
        <v>809</v>
      </c>
    </row>
    <row r="44">
      <c r="A44" s="880" t="s">
        <v>810</v>
      </c>
      <c r="L44" s="880" t="s">
        <v>811</v>
      </c>
      <c r="V44" s="880"/>
      <c r="W44" s="758" t="s">
        <v>812</v>
      </c>
      <c r="X44" s="873"/>
      <c r="Y44" s="822">
        <f t="shared" ref="Y44:AB44" si="25">IfError(IF(isblank($A$2),"",(Y43-X43)/X43),"")</f>
        <v>-0.006757652047</v>
      </c>
      <c r="Z44" s="822">
        <f t="shared" si="25"/>
        <v>-0.00667022412</v>
      </c>
      <c r="AA44" s="822">
        <f t="shared" si="25"/>
        <v>-0.002014504432</v>
      </c>
      <c r="AB44" s="823">
        <f t="shared" si="25"/>
        <v>0.0002691427802</v>
      </c>
      <c r="AE44" s="881"/>
      <c r="AF44" s="882" t="s">
        <v>813</v>
      </c>
      <c r="AG44" s="545"/>
      <c r="AH44" s="883">
        <f>IF(COUNT(AH22,AH26,AH30,AH34,AH40)=5,AVERAGE(AH22,AH26,AH30,AH34,AH40),"N/A")
</f>
        <v>8.473333333</v>
      </c>
      <c r="AI44" s="884"/>
      <c r="AJ44" s="885" t="s">
        <v>814</v>
      </c>
      <c r="AK44" s="545"/>
      <c r="AL44" s="883">
        <f>IF(COUNT(AL22,AL26,AL30,AL34,AL40)=5,AVERAGE(AL22,AL26,AL30,AL34,AL40),"N/A")
</f>
        <v>8.606666667</v>
      </c>
      <c r="AM44" s="883"/>
      <c r="AN44" s="883">
        <f>IF(COUNT(AN22,AN26,AN30,AN34,AN40)=5,AVERAGE(AN22,AN26,AN30,AN34,AN40),"N/A")
</f>
        <v>8.566666667</v>
      </c>
      <c r="AO44" s="488"/>
      <c r="AP44" s="886"/>
    </row>
    <row r="45" ht="17.25" customHeight="1">
      <c r="V45" s="880"/>
      <c r="W45" s="758" t="s">
        <v>800</v>
      </c>
      <c r="X45" s="821">
        <v>0.18356757015869782</v>
      </c>
      <c r="Y45" s="822">
        <v>0.19936958666812848</v>
      </c>
      <c r="Z45" s="822">
        <v>0.175643726819038</v>
      </c>
      <c r="AA45" s="822">
        <v>0.17208583985957596</v>
      </c>
      <c r="AB45" s="823">
        <v>0.16450970350709124</v>
      </c>
    </row>
    <row r="46">
      <c r="D46" s="887"/>
      <c r="H46" s="875"/>
      <c r="I46" s="690"/>
      <c r="J46" s="876"/>
      <c r="K46" s="877"/>
      <c r="W46" s="758" t="s">
        <v>804</v>
      </c>
      <c r="X46" s="821">
        <v>0.4315223821731414</v>
      </c>
      <c r="Y46" s="822">
        <v>0.4367546925099975</v>
      </c>
      <c r="Z46" s="822">
        <v>0.35088714643856406</v>
      </c>
      <c r="AA46" s="822">
        <v>0.32828137978299815</v>
      </c>
      <c r="AB46" s="823">
        <v>0.2964722734140952</v>
      </c>
      <c r="AE46" s="888"/>
      <c r="AF46" s="889"/>
      <c r="AG46" s="574" t="s">
        <v>815</v>
      </c>
      <c r="AH46" s="574" t="s">
        <v>107</v>
      </c>
      <c r="AI46" s="574" t="s">
        <v>816</v>
      </c>
      <c r="AJ46" s="1" t="s">
        <v>817</v>
      </c>
      <c r="AK46" s="1" t="s">
        <v>382</v>
      </c>
      <c r="AL46" s="1" t="s">
        <v>100</v>
      </c>
      <c r="AM46" s="574" t="s">
        <v>322</v>
      </c>
      <c r="AN46" s="574" t="s">
        <v>104</v>
      </c>
      <c r="AO46" s="574" t="s">
        <v>350</v>
      </c>
      <c r="AP46" s="574" t="s">
        <v>595</v>
      </c>
      <c r="AQ46" s="890" t="s">
        <v>818</v>
      </c>
    </row>
    <row r="47">
      <c r="W47" s="758" t="s">
        <v>662</v>
      </c>
      <c r="X47" s="785">
        <v>6.9916E10</v>
      </c>
      <c r="Y47" s="786">
        <v>8.3383E10</v>
      </c>
      <c r="Z47" s="786">
        <v>8.8523E10</v>
      </c>
      <c r="AA47" s="786">
        <v>1.09433E11</v>
      </c>
      <c r="AB47" s="787">
        <v>1.28528E11</v>
      </c>
      <c r="AE47" s="888" t="s">
        <v>103</v>
      </c>
      <c r="AF47" s="891">
        <f>AN22</f>
        <v>8.166666667</v>
      </c>
      <c r="AG47" s="574">
        <v>7.0</v>
      </c>
      <c r="AH47" s="574">
        <v>5.0</v>
      </c>
      <c r="AI47" s="574">
        <v>9.0</v>
      </c>
      <c r="AJ47" s="1">
        <v>9.0</v>
      </c>
      <c r="AK47" s="1">
        <v>9.0</v>
      </c>
      <c r="AL47" s="1">
        <v>10.0</v>
      </c>
      <c r="AM47" s="574">
        <v>8.0</v>
      </c>
      <c r="AN47" s="574">
        <v>9.0</v>
      </c>
      <c r="AO47" s="574">
        <v>9.0</v>
      </c>
      <c r="AP47" s="574">
        <v>6.0</v>
      </c>
      <c r="AQ47" s="1" t="s">
        <v>819</v>
      </c>
    </row>
    <row r="48">
      <c r="W48" s="758" t="s">
        <v>820</v>
      </c>
      <c r="X48" s="821">
        <v>0.13826615285083402</v>
      </c>
      <c r="Y48" s="822">
        <v>0.13113383343685794</v>
      </c>
      <c r="Z48" s="822">
        <v>0.18978625253328257</v>
      </c>
      <c r="AA48" s="822">
        <v>0.18231326597827197</v>
      </c>
      <c r="AB48" s="823">
        <v>0.17629644009803683</v>
      </c>
      <c r="AE48" s="892" t="s">
        <v>735</v>
      </c>
      <c r="AF48" s="891">
        <f>AN26</f>
        <v>10</v>
      </c>
      <c r="AG48" s="574">
        <v>4.0</v>
      </c>
      <c r="AH48" s="574">
        <v>1.0</v>
      </c>
      <c r="AI48" s="574">
        <v>9.0</v>
      </c>
      <c r="AJ48" s="1">
        <v>3.0</v>
      </c>
      <c r="AK48" s="1">
        <v>6.0</v>
      </c>
      <c r="AL48" s="1">
        <v>9.0</v>
      </c>
      <c r="AM48" s="574">
        <v>5.0</v>
      </c>
      <c r="AN48" s="574">
        <v>10.0</v>
      </c>
      <c r="AO48" s="574">
        <v>6.0</v>
      </c>
      <c r="AP48" s="574">
        <v>7.0</v>
      </c>
    </row>
    <row r="49">
      <c r="W49" s="758" t="s">
        <v>664</v>
      </c>
      <c r="X49" s="785">
        <v>6.7775E10</v>
      </c>
      <c r="Y49" s="786">
        <v>6.127E10</v>
      </c>
      <c r="Z49" s="786">
        <v>5.9965E10</v>
      </c>
      <c r="AA49" s="786">
        <v>6.7127E10</v>
      </c>
      <c r="AB49" s="787">
        <v>6.0588E10</v>
      </c>
      <c r="AE49" s="892" t="s">
        <v>753</v>
      </c>
      <c r="AF49" s="893">
        <f>AN30</f>
        <v>8.966666667</v>
      </c>
      <c r="AG49" s="574">
        <v>8.0</v>
      </c>
      <c r="AH49" s="574">
        <v>6.0</v>
      </c>
      <c r="AI49" s="574">
        <v>9.0</v>
      </c>
      <c r="AJ49" s="1">
        <v>10.0</v>
      </c>
      <c r="AK49" s="1">
        <v>10.0</v>
      </c>
      <c r="AL49" s="1">
        <v>7.0</v>
      </c>
      <c r="AM49" s="574">
        <v>7.0</v>
      </c>
      <c r="AN49" s="574">
        <v>9.0</v>
      </c>
      <c r="AO49" s="574">
        <v>7.0</v>
      </c>
      <c r="AP49" s="574">
        <v>10.0</v>
      </c>
    </row>
    <row r="50">
      <c r="W50" s="758" t="s">
        <v>821</v>
      </c>
      <c r="X50" s="785">
        <v>1.41988E11</v>
      </c>
      <c r="Y50" s="786">
        <v>1.66542E11</v>
      </c>
      <c r="Z50" s="786">
        <v>2.06223E11</v>
      </c>
      <c r="AA50" s="786">
        <v>2.68477E11</v>
      </c>
      <c r="AB50" s="787">
        <v>3.43479E11</v>
      </c>
      <c r="AE50" s="892" t="s">
        <v>770</v>
      </c>
      <c r="AF50" s="891">
        <f>AN34</f>
        <v>5.7</v>
      </c>
      <c r="AG50" s="894">
        <v>9.0</v>
      </c>
      <c r="AH50" s="894">
        <v>9.0</v>
      </c>
      <c r="AI50" s="894">
        <v>7.0</v>
      </c>
      <c r="AJ50" s="1">
        <v>8.0</v>
      </c>
      <c r="AK50" s="895">
        <v>7.0</v>
      </c>
      <c r="AL50" s="895">
        <v>3.0</v>
      </c>
      <c r="AM50" s="894">
        <v>8.0</v>
      </c>
      <c r="AN50" s="894">
        <v>7.0</v>
      </c>
      <c r="AO50" s="894">
        <v>7.0</v>
      </c>
      <c r="AP50" s="894">
        <v>8.0</v>
      </c>
    </row>
    <row r="51">
      <c r="W51" s="758" t="s">
        <v>822</v>
      </c>
      <c r="X51" s="785">
        <v>1.4224E10</v>
      </c>
      <c r="Y51" s="786">
        <v>1.3931E10</v>
      </c>
      <c r="Z51" s="786">
        <v>3.4704E10</v>
      </c>
      <c r="AA51" s="786">
        <v>1.8315E10</v>
      </c>
      <c r="AB51" s="787">
        <v>3.0242E10</v>
      </c>
      <c r="AE51" s="892" t="s">
        <v>786</v>
      </c>
      <c r="AF51" s="891">
        <f>AN40</f>
        <v>10</v>
      </c>
      <c r="AG51" s="894">
        <v>10.0</v>
      </c>
      <c r="AH51" s="894">
        <v>8.0</v>
      </c>
      <c r="AI51" s="894">
        <v>10.0</v>
      </c>
      <c r="AJ51" s="1">
        <v>10.0</v>
      </c>
      <c r="AK51" s="895">
        <v>8.0</v>
      </c>
      <c r="AL51" s="895">
        <v>9.0</v>
      </c>
      <c r="AM51" s="894">
        <v>10.0</v>
      </c>
      <c r="AN51" s="894">
        <v>10.0</v>
      </c>
      <c r="AO51" s="894">
        <v>9.0</v>
      </c>
      <c r="AP51" s="894">
        <v>9.0</v>
      </c>
    </row>
    <row r="52">
      <c r="W52" s="896" t="s">
        <v>807</v>
      </c>
      <c r="X52" s="897">
        <v>0.23795581118541945</v>
      </c>
      <c r="Y52" s="898">
        <v>0.26585984054183737</v>
      </c>
      <c r="Z52" s="898">
        <v>0.22909136998599766</v>
      </c>
      <c r="AA52" s="898">
        <v>0.2260677541103377</v>
      </c>
      <c r="AB52" s="899">
        <v>0.2202006954205621</v>
      </c>
      <c r="AE52" s="888" t="s">
        <v>814</v>
      </c>
      <c r="AF52" s="900">
        <f>AN44</f>
        <v>8.566666667</v>
      </c>
      <c r="AG52" s="574">
        <v>7.75</v>
      </c>
      <c r="AH52" s="574">
        <v>6.0</v>
      </c>
      <c r="AI52" s="574">
        <v>8.8</v>
      </c>
      <c r="AJ52" s="1">
        <v>8.3</v>
      </c>
      <c r="AK52" s="1">
        <v>8.15</v>
      </c>
      <c r="AL52" s="1">
        <v>7.65</v>
      </c>
      <c r="AM52" s="574">
        <v>7.75</v>
      </c>
      <c r="AN52" s="574">
        <v>8.95</v>
      </c>
      <c r="AO52" s="574">
        <v>7.75</v>
      </c>
      <c r="AP52" s="574">
        <v>7.95</v>
      </c>
    </row>
    <row r="53">
      <c r="AG53" s="901"/>
      <c r="AH53" s="901"/>
      <c r="AI53" s="901"/>
      <c r="AJ53" s="901"/>
      <c r="AK53" s="901"/>
      <c r="AL53" s="901"/>
      <c r="AM53" s="901"/>
      <c r="AN53" s="901"/>
      <c r="AO53" s="901"/>
      <c r="AP53" s="901"/>
    </row>
    <row r="54">
      <c r="AF54" s="1" t="s">
        <v>103</v>
      </c>
      <c r="AG54" s="902" t="s">
        <v>714</v>
      </c>
      <c r="AH54" s="902" t="s">
        <v>714</v>
      </c>
      <c r="AI54" s="902" t="s">
        <v>714</v>
      </c>
      <c r="AJ54" s="902" t="s">
        <v>714</v>
      </c>
      <c r="AK54" s="902" t="s">
        <v>714</v>
      </c>
      <c r="AL54" s="902" t="s">
        <v>714</v>
      </c>
      <c r="AM54" s="902" t="s">
        <v>714</v>
      </c>
      <c r="AN54" s="902" t="s">
        <v>714</v>
      </c>
      <c r="AO54" s="902" t="s">
        <v>714</v>
      </c>
      <c r="AP54" s="902" t="s">
        <v>714</v>
      </c>
    </row>
    <row r="55">
      <c r="AF55" s="1" t="s">
        <v>722</v>
      </c>
      <c r="AG55" s="197">
        <v>0.07773542462862304</v>
      </c>
      <c r="AH55" s="197">
        <v>0.03307286031145851</v>
      </c>
      <c r="AI55" s="197">
        <v>0.13435819932195092</v>
      </c>
      <c r="AJ55" s="197">
        <v>0.05273449839696909</v>
      </c>
      <c r="AK55" s="197">
        <v>0.11622028688393637</v>
      </c>
      <c r="AL55" s="197">
        <v>0.17676790710897228</v>
      </c>
      <c r="AM55" s="197">
        <v>0.04825218966614231</v>
      </c>
      <c r="AN55" s="197">
        <v>0.14419534154650138</v>
      </c>
      <c r="AO55" s="197">
        <v>0.08251487385466705</v>
      </c>
      <c r="AP55" s="197">
        <v>0.09700600876508703</v>
      </c>
    </row>
    <row r="56">
      <c r="V56" s="903"/>
      <c r="W56" s="677"/>
      <c r="X56" s="677"/>
      <c r="Y56" s="677"/>
      <c r="Z56" s="677"/>
      <c r="AA56" s="677"/>
      <c r="AF56" s="1" t="s">
        <v>728</v>
      </c>
      <c r="AG56" s="197">
        <v>0.05887198520617698</v>
      </c>
      <c r="AH56" s="197">
        <v>0.004550743243256994</v>
      </c>
      <c r="AI56" s="197">
        <v>0.18692861820780782</v>
      </c>
      <c r="AJ56" s="197">
        <v>0.21219602933565995</v>
      </c>
      <c r="AK56" s="197">
        <v>0.41629435304985285</v>
      </c>
      <c r="AL56" s="197">
        <v>0.28378141561230263</v>
      </c>
      <c r="AM56" s="197">
        <v>0.057106379799865215</v>
      </c>
      <c r="AN56" s="197">
        <v>0.19478682811559178</v>
      </c>
      <c r="AO56" s="197">
        <v>0.23239537592729897</v>
      </c>
      <c r="AP56" s="197">
        <v>0.059662438874017676</v>
      </c>
    </row>
    <row r="57">
      <c r="V57" s="903"/>
      <c r="W57" s="904"/>
      <c r="X57" s="904"/>
      <c r="Y57" s="904"/>
      <c r="Z57" s="904"/>
      <c r="AA57" s="904"/>
      <c r="AF57" s="1" t="s">
        <v>732</v>
      </c>
      <c r="AG57" s="197">
        <v>0.139094478232888</v>
      </c>
      <c r="AH57" s="197">
        <v>0.004234467396600605</v>
      </c>
      <c r="AI57" s="197">
        <v>0.26684339404566493</v>
      </c>
      <c r="AJ57" s="197">
        <v>0.19625440934527227</v>
      </c>
      <c r="AK57" s="197">
        <v>0.2369421835871126</v>
      </c>
      <c r="AL57" s="197">
        <v>0.1675027959161799</v>
      </c>
      <c r="AM57" s="197">
        <v>0.019773240847013485</v>
      </c>
      <c r="AN57" s="197">
        <v>0.13796826904803305</v>
      </c>
      <c r="AO57" s="197">
        <v>0.4846330517894881</v>
      </c>
      <c r="AP57" s="197">
        <v>0.08379757631139695</v>
      </c>
    </row>
    <row r="58">
      <c r="AG58" s="905"/>
      <c r="AH58" s="905"/>
      <c r="AI58" s="905"/>
      <c r="AK58" s="905"/>
      <c r="AL58" s="905"/>
      <c r="AM58" s="905"/>
      <c r="AN58" s="905"/>
      <c r="AO58" s="905"/>
      <c r="AP58" s="905"/>
    </row>
    <row r="59">
      <c r="A59" s="880" t="s">
        <v>823</v>
      </c>
      <c r="L59" s="880"/>
      <c r="V59" s="880"/>
    </row>
    <row r="60">
      <c r="V60" s="880"/>
      <c r="AF60" s="1" t="s">
        <v>735</v>
      </c>
      <c r="AG60" s="902" t="s">
        <v>714</v>
      </c>
      <c r="AH60" s="902" t="s">
        <v>714</v>
      </c>
      <c r="AI60" s="902" t="s">
        <v>714</v>
      </c>
      <c r="AJ60" s="902" t="s">
        <v>714</v>
      </c>
      <c r="AK60" s="902" t="s">
        <v>714</v>
      </c>
      <c r="AL60" s="902" t="s">
        <v>714</v>
      </c>
      <c r="AM60" s="902" t="s">
        <v>714</v>
      </c>
      <c r="AN60" s="902" t="s">
        <v>714</v>
      </c>
      <c r="AO60" s="902" t="s">
        <v>714</v>
      </c>
      <c r="AP60" s="902" t="s">
        <v>714</v>
      </c>
    </row>
    <row r="61">
      <c r="AF61" s="1" t="s">
        <v>738</v>
      </c>
      <c r="AG61" s="197">
        <v>0.30033799006502543</v>
      </c>
      <c r="AH61" s="197">
        <v>0.27807092857701426</v>
      </c>
      <c r="AI61" s="197">
        <v>0.5758610567712714</v>
      </c>
      <c r="AJ61" s="197">
        <v>0.20235402798801821</v>
      </c>
      <c r="AK61" s="197">
        <v>0.3170189235308528</v>
      </c>
      <c r="AL61" s="197">
        <v>0.5614462070023428</v>
      </c>
      <c r="AM61" s="197">
        <v>0.3358175371842405</v>
      </c>
      <c r="AN61" s="197">
        <v>0.6875860139191483</v>
      </c>
      <c r="AO61" s="197">
        <v>0.44462065057584815</v>
      </c>
      <c r="AP61" s="197">
        <v>0.3410413488955846</v>
      </c>
    </row>
    <row r="62">
      <c r="AF62" s="1" t="s">
        <v>742</v>
      </c>
      <c r="AG62" s="197">
        <v>0.10266709446886649</v>
      </c>
      <c r="AH62" s="197">
        <v>0.04292035689479774</v>
      </c>
      <c r="AI62" s="197">
        <v>0.2490365174626453</v>
      </c>
      <c r="AJ62" s="197">
        <v>0.0701611238981794</v>
      </c>
      <c r="AK62" s="197">
        <v>0.12651656201771883</v>
      </c>
      <c r="AL62" s="197">
        <v>0.2507754944288457</v>
      </c>
      <c r="AM62" s="197">
        <v>0.10135626016678685</v>
      </c>
      <c r="AN62" s="197">
        <v>0.3484055473067513</v>
      </c>
      <c r="AO62" s="197">
        <v>0.10717471759703534</v>
      </c>
      <c r="AP62" s="197">
        <v>0.19991719747988476</v>
      </c>
    </row>
    <row r="63">
      <c r="AF63" s="1" t="s">
        <v>747</v>
      </c>
      <c r="AG63" s="197">
        <v>0.09626582266105935</v>
      </c>
      <c r="AH63" s="197">
        <v>0.04458448263853763</v>
      </c>
      <c r="AI63" s="197">
        <v>0.23219172574663807</v>
      </c>
      <c r="AJ63" s="197">
        <v>0.07094902861874486</v>
      </c>
      <c r="AK63" s="197">
        <v>0.11253661461250916</v>
      </c>
      <c r="AL63" s="197">
        <v>0.22819212794331004</v>
      </c>
      <c r="AM63" s="197">
        <v>0.10190706236103493</v>
      </c>
      <c r="AN63" s="197">
        <v>0.31231434688784787</v>
      </c>
      <c r="AO63" s="197">
        <v>0.09801249173198659</v>
      </c>
      <c r="AP63" s="197">
        <v>0.1479710810971568</v>
      </c>
    </row>
    <row r="64">
      <c r="A64" s="906"/>
      <c r="B64" s="906"/>
      <c r="C64" s="906"/>
      <c r="D64" s="906"/>
      <c r="E64" s="906"/>
      <c r="F64" s="906"/>
      <c r="G64" s="906"/>
      <c r="H64" s="906"/>
      <c r="I64" s="906"/>
      <c r="J64" s="906"/>
      <c r="K64" s="906"/>
      <c r="L64" s="906"/>
      <c r="M64" s="906"/>
      <c r="N64" s="906"/>
      <c r="AG64" s="905"/>
      <c r="AH64" s="905"/>
      <c r="AI64" s="905"/>
      <c r="AK64" s="905"/>
      <c r="AL64" s="905"/>
      <c r="AM64" s="905"/>
      <c r="AN64" s="905"/>
      <c r="AO64" s="905"/>
      <c r="AP64" s="905"/>
    </row>
    <row r="65">
      <c r="A65" s="906"/>
      <c r="B65" s="906"/>
      <c r="C65" s="906"/>
      <c r="D65" s="906"/>
      <c r="E65" s="906"/>
      <c r="F65" s="906"/>
      <c r="G65" s="906"/>
      <c r="H65" s="906"/>
      <c r="I65" s="906"/>
      <c r="J65" s="906"/>
      <c r="K65" s="906"/>
      <c r="L65" s="906"/>
      <c r="M65" s="906"/>
      <c r="N65" s="906"/>
    </row>
    <row r="66">
      <c r="AF66" s="1" t="s">
        <v>753</v>
      </c>
      <c r="AG66" s="902" t="s">
        <v>714</v>
      </c>
      <c r="AH66" s="902" t="s">
        <v>714</v>
      </c>
      <c r="AI66" s="902" t="s">
        <v>714</v>
      </c>
      <c r="AJ66" s="902" t="s">
        <v>714</v>
      </c>
      <c r="AK66" s="902" t="s">
        <v>714</v>
      </c>
      <c r="AL66" s="902" t="s">
        <v>714</v>
      </c>
      <c r="AM66" s="902" t="s">
        <v>714</v>
      </c>
      <c r="AN66" s="902" t="s">
        <v>714</v>
      </c>
      <c r="AO66" s="902" t="s">
        <v>714</v>
      </c>
      <c r="AP66" s="902" t="s">
        <v>714</v>
      </c>
    </row>
    <row r="67">
      <c r="AF67" s="1" t="s">
        <v>758</v>
      </c>
      <c r="AG67" s="197">
        <v>0.19288017590137696</v>
      </c>
      <c r="AH67" s="197">
        <v>-0.4830875628392205</v>
      </c>
      <c r="AI67" s="197">
        <v>-0.06868228000463061</v>
      </c>
      <c r="AJ67" s="312">
        <v>-0.13651511800335991</v>
      </c>
      <c r="AK67" s="197">
        <v>-0.3777658790031325</v>
      </c>
      <c r="AL67" s="197"/>
      <c r="AM67" s="197">
        <v>0.1429679402717794</v>
      </c>
      <c r="AN67" s="197">
        <v>-0.03979918127188531</v>
      </c>
      <c r="AO67" s="197">
        <v>-0.1817595035834073</v>
      </c>
      <c r="AP67" s="197">
        <v>-0.3946651556012203</v>
      </c>
    </row>
    <row r="68">
      <c r="AE68" s="764"/>
      <c r="AF68" s="1" t="s">
        <v>762</v>
      </c>
      <c r="AG68" s="312">
        <v>2.7752127882091813</v>
      </c>
      <c r="AH68" s="312">
        <v>-0.781250178910836</v>
      </c>
      <c r="AI68" s="312">
        <v>1.243472971933682</v>
      </c>
      <c r="AJ68" s="312">
        <v>-0.20872672722023172</v>
      </c>
      <c r="AK68" s="312">
        <v>4.414523198325789</v>
      </c>
      <c r="AL68" s="312">
        <v>0.04954981196488986</v>
      </c>
      <c r="AM68" s="312">
        <v>3.1725375720420343</v>
      </c>
      <c r="AN68" s="312">
        <v>0.806809905038761</v>
      </c>
      <c r="AO68" s="312">
        <v>1.2045518934055848</v>
      </c>
      <c r="AP68" s="312">
        <v>-0.21582532406985133</v>
      </c>
    </row>
    <row r="69">
      <c r="AE69" s="67"/>
      <c r="AF69" s="1" t="s">
        <v>766</v>
      </c>
      <c r="AG69" s="312">
        <v>36.82092200412227</v>
      </c>
      <c r="AH69" s="312">
        <v>12.180731583320872</v>
      </c>
      <c r="AI69" s="312">
        <v>17.18806194867982</v>
      </c>
      <c r="AJ69" s="312">
        <v>28.473266522599992</v>
      </c>
      <c r="AK69" s="312">
        <v>18.33985046255678</v>
      </c>
      <c r="AL69" s="312">
        <v>203.2360201601514</v>
      </c>
      <c r="AM69" s="312">
        <v>13.195519126961454</v>
      </c>
      <c r="AN69" s="312">
        <v>34.58537135166533</v>
      </c>
      <c r="AO69" s="312">
        <v>13.16899150165608</v>
      </c>
      <c r="AP69" s="312">
        <v>2625.6687672249936</v>
      </c>
    </row>
    <row r="70">
      <c r="AE70" s="764"/>
    </row>
    <row r="71">
      <c r="AE71" s="764"/>
    </row>
    <row r="72">
      <c r="AE72" s="67"/>
      <c r="AF72" s="895" t="s">
        <v>770</v>
      </c>
      <c r="AG72" s="907" t="s">
        <v>714</v>
      </c>
      <c r="AH72" s="907" t="s">
        <v>714</v>
      </c>
      <c r="AI72" s="907" t="s">
        <v>714</v>
      </c>
      <c r="AJ72" s="902" t="s">
        <v>714</v>
      </c>
      <c r="AK72" s="907" t="s">
        <v>714</v>
      </c>
      <c r="AL72" s="907" t="s">
        <v>714</v>
      </c>
      <c r="AM72" s="907" t="s">
        <v>714</v>
      </c>
      <c r="AN72" s="907" t="s">
        <v>714</v>
      </c>
      <c r="AO72" s="907" t="s">
        <v>714</v>
      </c>
      <c r="AP72" s="907" t="s">
        <v>714</v>
      </c>
    </row>
    <row r="73">
      <c r="AF73" s="895" t="s">
        <v>774</v>
      </c>
      <c r="AG73" s="908">
        <v>0.009761623118704306</v>
      </c>
      <c r="AH73" s="908">
        <v>0.023026158778415018</v>
      </c>
      <c r="AI73" s="908">
        <v>0.022547936324577918</v>
      </c>
      <c r="AJ73" s="197">
        <v>0.05878204460180193</v>
      </c>
      <c r="AK73" s="908">
        <v>0.01893552271726032</v>
      </c>
      <c r="AL73" s="908">
        <v>6.249848050439563E-4</v>
      </c>
      <c r="AM73" s="908">
        <v>0.022041669990490287</v>
      </c>
      <c r="AN73" s="908">
        <v>0.008299552984668269</v>
      </c>
      <c r="AO73" s="908">
        <v>0.010849077531167577</v>
      </c>
      <c r="AP73" s="908">
        <v>0.0038654635501972736</v>
      </c>
    </row>
    <row r="74">
      <c r="AD74" s="488"/>
      <c r="AF74" s="895" t="s">
        <v>778</v>
      </c>
      <c r="AG74" s="908">
        <v>0.19831180139720872</v>
      </c>
      <c r="AH74" s="908">
        <v>0.13447854430836959</v>
      </c>
      <c r="AI74" s="908">
        <v>0.06801587233261941</v>
      </c>
      <c r="AJ74" s="197">
        <v>0.3053455043657636</v>
      </c>
      <c r="AK74" s="908">
        <v>0.0716290707735534</v>
      </c>
      <c r="AL74" s="908"/>
      <c r="AM74" s="908">
        <v>0.10697093222743925</v>
      </c>
      <c r="AN74" s="908">
        <v>0.10165089238359903</v>
      </c>
      <c r="AO74" s="908">
        <v>0.11296499144507899</v>
      </c>
      <c r="AP74" s="908">
        <v>0.364192705421267</v>
      </c>
    </row>
    <row r="75">
      <c r="A75" s="880" t="s">
        <v>824</v>
      </c>
      <c r="L75" s="880" t="s">
        <v>825</v>
      </c>
      <c r="V75" s="880"/>
      <c r="AF75" s="895" t="s">
        <v>783</v>
      </c>
      <c r="AG75" s="908">
        <v>0.27386997687691417</v>
      </c>
      <c r="AH75" s="908">
        <v>0.4353725779961481</v>
      </c>
      <c r="AI75" s="908">
        <v>0.3955239656813851</v>
      </c>
      <c r="AJ75" s="197">
        <v>0.4525863366915955</v>
      </c>
      <c r="AK75" s="908">
        <v>0.3929248517135649</v>
      </c>
      <c r="AL75" s="908">
        <v>0.014708643800315627</v>
      </c>
      <c r="AM75" s="908">
        <v>0.5076955476548929</v>
      </c>
      <c r="AN75" s="908">
        <v>0.276288258012182</v>
      </c>
      <c r="AO75" s="908">
        <v>0.3878200114221833</v>
      </c>
      <c r="AP75" s="908">
        <v>0.12446509512478869</v>
      </c>
    </row>
    <row r="76">
      <c r="V76" s="880"/>
      <c r="AF76" s="895" t="s">
        <v>790</v>
      </c>
      <c r="AG76" s="908">
        <v>0.3042432856614491</v>
      </c>
      <c r="AH76" s="908">
        <v>0.012828633331704819</v>
      </c>
      <c r="AI76" s="908">
        <v>0.4307286267242981</v>
      </c>
      <c r="AJ76" s="197">
        <v>0.4355311101642546</v>
      </c>
      <c r="AK76" s="908">
        <v>0.41198236182353104</v>
      </c>
      <c r="AL76" s="908">
        <v>0.02023802979495355</v>
      </c>
      <c r="AM76" s="908">
        <v>0.5168593443316849</v>
      </c>
      <c r="AN76" s="908">
        <v>0.3068461553325805</v>
      </c>
      <c r="AO76" s="908">
        <v>0.49361220910480874</v>
      </c>
      <c r="AP76" s="908">
        <v>0.17079788987756295</v>
      </c>
    </row>
    <row r="77">
      <c r="AF77" s="895" t="s">
        <v>796</v>
      </c>
      <c r="AG77" s="908">
        <v>-0.013349000103718867</v>
      </c>
      <c r="AH77" s="908">
        <v>-0.020710456206536887</v>
      </c>
      <c r="AI77" s="908">
        <v>-0.004211553174215177</v>
      </c>
      <c r="AJ77" s="197">
        <v>-0.0012179475032220166</v>
      </c>
      <c r="AK77" s="908">
        <v>-0.027486463360848368</v>
      </c>
      <c r="AL77" s="908">
        <v>-0.02219727432414864</v>
      </c>
      <c r="AM77" s="908">
        <v>-0.02015421601893097</v>
      </c>
      <c r="AN77" s="908">
        <v>-0.0059330129268329035</v>
      </c>
      <c r="AO77" s="908">
        <v>-0.006674166861424524</v>
      </c>
      <c r="AP77" s="908">
        <v>-0.02354729342393158</v>
      </c>
    </row>
    <row r="78">
      <c r="AF78" s="909"/>
      <c r="AG78" s="909"/>
      <c r="AH78" s="909"/>
      <c r="AI78" s="909"/>
      <c r="AK78" s="909"/>
      <c r="AL78" s="909"/>
      <c r="AM78" s="909"/>
      <c r="AN78" s="909"/>
      <c r="AO78" s="909"/>
      <c r="AP78" s="909"/>
    </row>
    <row r="80">
      <c r="AF80" s="895" t="s">
        <v>786</v>
      </c>
      <c r="AG80" s="907" t="s">
        <v>714</v>
      </c>
      <c r="AH80" s="907" t="s">
        <v>714</v>
      </c>
      <c r="AI80" s="907" t="s">
        <v>714</v>
      </c>
      <c r="AJ80" s="902" t="s">
        <v>714</v>
      </c>
      <c r="AK80" s="907" t="s">
        <v>714</v>
      </c>
      <c r="AL80" s="907" t="s">
        <v>714</v>
      </c>
      <c r="AM80" s="907" t="s">
        <v>714</v>
      </c>
      <c r="AN80" s="907" t="s">
        <v>714</v>
      </c>
      <c r="AO80" s="907" t="s">
        <v>714</v>
      </c>
      <c r="AP80" s="907" t="s">
        <v>714</v>
      </c>
    </row>
    <row r="81">
      <c r="AF81" s="895" t="s">
        <v>801</v>
      </c>
      <c r="AG81" s="908">
        <v>0.18074681357250472</v>
      </c>
      <c r="AH81" s="908">
        <v>0.08240128381663801</v>
      </c>
      <c r="AI81" s="908">
        <v>0.19096315078439052</v>
      </c>
      <c r="AJ81" s="197">
        <v>0.17643357778803123</v>
      </c>
      <c r="AK81" s="908">
        <v>0.08791821831557822</v>
      </c>
      <c r="AL81" s="908">
        <v>0.18151235560764545</v>
      </c>
      <c r="AM81" s="908">
        <v>0.197316172270177</v>
      </c>
      <c r="AN81" s="908">
        <v>0.17552556735475816</v>
      </c>
      <c r="AO81" s="908">
        <v>0.1334720726606623</v>
      </c>
      <c r="AP81" s="908">
        <v>0.21575094871619255</v>
      </c>
    </row>
    <row r="82">
      <c r="AF82" s="895" t="s">
        <v>805</v>
      </c>
      <c r="AG82" s="908">
        <v>0.5052680769836005</v>
      </c>
      <c r="AH82" s="908">
        <v>0.335705793724826</v>
      </c>
      <c r="AI82" s="908">
        <v>0.6406934112077038</v>
      </c>
      <c r="AJ82" s="197">
        <v>0.3088761675002033</v>
      </c>
      <c r="AK82" s="908">
        <v>0.4190994425485304</v>
      </c>
      <c r="AL82" s="908">
        <v>0.25712501308918656</v>
      </c>
      <c r="AM82" s="908">
        <v>4.379202718870169</v>
      </c>
      <c r="AN82" s="908">
        <v>0.38434880370812446</v>
      </c>
      <c r="AO82" s="908">
        <v>0.3832981716866331</v>
      </c>
      <c r="AP82" s="908">
        <v>0.2827029191169499</v>
      </c>
    </row>
    <row r="83">
      <c r="AF83" s="895" t="s">
        <v>808</v>
      </c>
      <c r="AG83" s="908">
        <v>0.2508411949520681</v>
      </c>
      <c r="AH83" s="908">
        <v>0.22001768471082891</v>
      </c>
      <c r="AI83" s="908">
        <v>0.37089831016430114</v>
      </c>
      <c r="AJ83" s="197">
        <v>0.3657317914980135</v>
      </c>
      <c r="AK83" s="908">
        <v>0.19538179985914012</v>
      </c>
      <c r="AL83" s="908">
        <v>0.23834934039004302</v>
      </c>
      <c r="AM83" s="908">
        <v>0.34364808552635306</v>
      </c>
      <c r="AN83" s="908">
        <v>0.2980664652963874</v>
      </c>
      <c r="AO83" s="908">
        <v>0.2628449373489145</v>
      </c>
      <c r="AP83" s="908">
        <v>0.29351356337235</v>
      </c>
    </row>
    <row r="92">
      <c r="A92" s="910" t="s">
        <v>826</v>
      </c>
      <c r="H92" s="911" t="s">
        <v>827</v>
      </c>
      <c r="I92" s="912" t="s">
        <v>828</v>
      </c>
      <c r="J92" s="913"/>
      <c r="K92" s="913"/>
      <c r="L92" s="910" t="s">
        <v>826</v>
      </c>
      <c r="AU92" s="910" t="s">
        <v>826</v>
      </c>
    </row>
    <row r="93">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c r="AY93" s="799"/>
      <c r="AZ93" s="799"/>
      <c r="BA93" s="799"/>
      <c r="BB93" s="799"/>
      <c r="BC93" s="799"/>
      <c r="BD93" s="799"/>
      <c r="BE93" s="799"/>
      <c r="BF93" s="799"/>
      <c r="BG93" s="799"/>
    </row>
    <row r="94">
      <c r="H94" s="799"/>
      <c r="I94" s="799"/>
      <c r="J94" s="799"/>
      <c r="K94" s="799"/>
      <c r="L94" s="799"/>
      <c r="M94" s="799"/>
      <c r="N94" s="799"/>
      <c r="O94" s="799"/>
      <c r="P94" s="799"/>
      <c r="Q94" s="799"/>
      <c r="R94" s="799"/>
      <c r="S94" s="799"/>
      <c r="T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799"/>
      <c r="AY94" s="799"/>
      <c r="AZ94" s="799"/>
      <c r="BA94" s="799"/>
      <c r="BB94" s="799"/>
      <c r="BC94" s="799"/>
      <c r="BD94" s="799"/>
      <c r="BE94" s="799"/>
      <c r="BF94" s="799"/>
      <c r="BG94" s="799"/>
    </row>
    <row r="95">
      <c r="H95" s="799"/>
      <c r="I95" s="799"/>
      <c r="J95" s="799"/>
      <c r="K95" s="799"/>
      <c r="L95" s="799"/>
      <c r="M95" s="799"/>
      <c r="N95" s="799"/>
      <c r="O95" s="799"/>
      <c r="P95" s="799"/>
      <c r="Q95" s="799"/>
      <c r="R95" s="799"/>
      <c r="S95" s="799"/>
      <c r="T95" s="799"/>
      <c r="U95" s="799"/>
      <c r="V95" s="799"/>
      <c r="W95" s="799"/>
      <c r="X95" s="799"/>
      <c r="Y95" s="799"/>
      <c r="Z95" s="799"/>
      <c r="AA95" s="799"/>
      <c r="AB95" s="799"/>
      <c r="AC95" s="799"/>
      <c r="AD95" s="799"/>
      <c r="AE95" s="799"/>
      <c r="AF95" s="799"/>
      <c r="AG95" s="799"/>
      <c r="AH95" s="799"/>
      <c r="AI95" s="799"/>
      <c r="AJ95" s="799"/>
      <c r="AK95" s="799"/>
      <c r="AL95" s="799"/>
      <c r="AM95" s="799"/>
      <c r="AN95" s="799"/>
      <c r="AO95" s="799"/>
      <c r="AP95" s="799"/>
      <c r="AQ95" s="799"/>
      <c r="AR95" s="799"/>
      <c r="AS95" s="799"/>
      <c r="AT95" s="799"/>
      <c r="AU95" s="799"/>
      <c r="AV95" s="799"/>
      <c r="AW95" s="799"/>
      <c r="AX95" s="799"/>
      <c r="AY95" s="799"/>
      <c r="AZ95" s="799"/>
      <c r="BA95" s="799"/>
      <c r="BB95" s="799"/>
      <c r="BC95" s="799"/>
      <c r="BD95" s="799"/>
      <c r="BE95" s="799"/>
      <c r="BF95" s="799"/>
      <c r="BG95" s="799"/>
    </row>
    <row r="96">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row>
    <row r="97">
      <c r="H97" s="799"/>
      <c r="I97" s="799"/>
      <c r="J97" s="799"/>
      <c r="K97" s="799"/>
      <c r="L97" s="799"/>
      <c r="M97" s="799"/>
      <c r="N97" s="799"/>
      <c r="O97" s="799"/>
      <c r="P97" s="799"/>
      <c r="Q97" s="799"/>
      <c r="R97" s="799"/>
      <c r="S97" s="799"/>
      <c r="T97" s="799"/>
      <c r="U97" s="799"/>
      <c r="V97" s="799"/>
      <c r="W97" s="799"/>
      <c r="X97" s="799"/>
      <c r="Y97" s="799"/>
      <c r="Z97" s="799"/>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799"/>
      <c r="AX97" s="799"/>
      <c r="AY97" s="799"/>
      <c r="AZ97" s="799"/>
      <c r="BA97" s="799"/>
      <c r="BB97" s="799"/>
      <c r="BC97" s="799"/>
      <c r="BD97" s="799"/>
      <c r="BE97" s="799"/>
      <c r="BF97" s="799"/>
      <c r="BG97" s="799"/>
    </row>
    <row r="98">
      <c r="H98" s="799"/>
      <c r="I98" s="799"/>
      <c r="J98" s="799"/>
      <c r="K98" s="799"/>
      <c r="L98" s="799"/>
      <c r="M98" s="799"/>
      <c r="N98" s="799"/>
      <c r="O98" s="799"/>
      <c r="P98" s="799"/>
      <c r="Q98" s="799"/>
      <c r="R98" s="799"/>
      <c r="S98" s="799"/>
      <c r="T98" s="799"/>
      <c r="U98" s="799"/>
      <c r="V98" s="799"/>
      <c r="W98" s="799"/>
      <c r="X98" s="799"/>
      <c r="Y98" s="799"/>
      <c r="Z98" s="799"/>
      <c r="AA98" s="799"/>
      <c r="AB98" s="799"/>
      <c r="AC98" s="799"/>
      <c r="AD98" s="799"/>
      <c r="AE98" s="799"/>
      <c r="AF98" s="799"/>
      <c r="AG98" s="799"/>
      <c r="AH98" s="799"/>
      <c r="AI98" s="799"/>
      <c r="AJ98" s="799"/>
      <c r="AK98" s="799"/>
      <c r="AL98" s="799"/>
      <c r="AM98" s="799"/>
      <c r="AN98" s="799"/>
      <c r="AO98" s="799"/>
      <c r="AP98" s="799"/>
      <c r="AQ98" s="799"/>
      <c r="AR98" s="799"/>
      <c r="AS98" s="799"/>
      <c r="AT98" s="799"/>
      <c r="AU98" s="799"/>
      <c r="AV98" s="799"/>
      <c r="AW98" s="799"/>
      <c r="AX98" s="799"/>
      <c r="AY98" s="799"/>
      <c r="AZ98" s="799"/>
      <c r="BA98" s="799"/>
      <c r="BB98" s="799"/>
      <c r="BC98" s="799"/>
      <c r="BD98" s="799"/>
      <c r="BE98" s="799"/>
      <c r="BF98" s="799"/>
      <c r="BG98" s="799"/>
    </row>
    <row r="99">
      <c r="H99" s="799"/>
      <c r="I99" s="799"/>
      <c r="J99" s="799"/>
      <c r="K99" s="799"/>
      <c r="L99" s="799"/>
      <c r="M99" s="799"/>
      <c r="N99" s="799"/>
      <c r="O99" s="799"/>
      <c r="P99" s="799"/>
      <c r="Q99" s="799"/>
      <c r="R99" s="799"/>
      <c r="S99" s="799"/>
      <c r="T99" s="799"/>
      <c r="U99" s="799"/>
      <c r="V99" s="799"/>
      <c r="W99" s="799"/>
      <c r="X99" s="799"/>
      <c r="Y99" s="799"/>
      <c r="Z99" s="799"/>
      <c r="AA99" s="799"/>
      <c r="AB99" s="799"/>
      <c r="AC99" s="799"/>
      <c r="AD99" s="799"/>
      <c r="AE99" s="799"/>
      <c r="AF99" s="799"/>
      <c r="AG99" s="799"/>
      <c r="AH99" s="799"/>
      <c r="AI99" s="799"/>
      <c r="AJ99" s="799"/>
      <c r="AK99" s="799"/>
      <c r="AL99" s="799"/>
      <c r="AM99" s="799"/>
      <c r="AN99" s="799"/>
      <c r="AO99" s="799"/>
      <c r="AP99" s="799"/>
      <c r="AQ99" s="799"/>
      <c r="AR99" s="799"/>
      <c r="AS99" s="799"/>
      <c r="AT99" s="799"/>
      <c r="AU99" s="799"/>
      <c r="AV99" s="799"/>
      <c r="AW99" s="799"/>
      <c r="AX99" s="799"/>
      <c r="AY99" s="799"/>
      <c r="AZ99" s="799"/>
      <c r="BA99" s="799"/>
      <c r="BB99" s="799"/>
      <c r="BC99" s="799"/>
      <c r="BD99" s="799"/>
      <c r="BE99" s="799"/>
      <c r="BF99" s="799"/>
      <c r="BG99" s="799"/>
    </row>
    <row r="100">
      <c r="H100" s="799"/>
      <c r="I100" s="799"/>
      <c r="J100" s="799"/>
      <c r="K100" s="799"/>
      <c r="L100" s="799"/>
      <c r="M100" s="799"/>
      <c r="N100" s="799"/>
      <c r="O100" s="799"/>
      <c r="P100" s="799"/>
      <c r="Q100" s="799"/>
      <c r="R100" s="799"/>
      <c r="S100" s="799"/>
      <c r="T100" s="799"/>
      <c r="U100" s="799"/>
      <c r="V100" s="799"/>
      <c r="W100" s="799"/>
      <c r="X100" s="799"/>
      <c r="Y100" s="799"/>
      <c r="Z100" s="799"/>
      <c r="AA100" s="799"/>
      <c r="AB100" s="799"/>
      <c r="AC100" s="799"/>
      <c r="AD100" s="799"/>
      <c r="AE100" s="799"/>
      <c r="AF100" s="799"/>
      <c r="AG100" s="799"/>
      <c r="AH100" s="799"/>
      <c r="AI100" s="799"/>
      <c r="AJ100" s="799"/>
      <c r="AK100" s="799"/>
      <c r="AL100" s="799"/>
      <c r="AM100" s="799"/>
      <c r="AN100" s="799"/>
      <c r="AO100" s="799"/>
      <c r="AP100" s="799"/>
      <c r="AQ100" s="799"/>
      <c r="AR100" s="799"/>
      <c r="AS100" s="799"/>
      <c r="AT100" s="799"/>
      <c r="AU100" s="799"/>
      <c r="AV100" s="799"/>
      <c r="AW100" s="799"/>
      <c r="AX100" s="799"/>
      <c r="AY100" s="799"/>
      <c r="AZ100" s="799"/>
      <c r="BA100" s="799"/>
      <c r="BB100" s="799"/>
      <c r="BC100" s="799"/>
      <c r="BD100" s="799"/>
      <c r="BE100" s="799"/>
      <c r="BF100" s="799"/>
      <c r="BG100" s="799"/>
    </row>
    <row r="101">
      <c r="H101" s="799"/>
      <c r="I101" s="799"/>
      <c r="J101" s="799"/>
      <c r="K101" s="799"/>
      <c r="L101" s="799"/>
      <c r="M101" s="799"/>
      <c r="N101" s="799"/>
      <c r="O101" s="799"/>
      <c r="P101" s="799"/>
      <c r="Q101" s="799"/>
      <c r="R101" s="799"/>
      <c r="S101" s="799"/>
      <c r="T101" s="799"/>
      <c r="U101" s="799"/>
      <c r="V101" s="799"/>
      <c r="W101" s="799"/>
      <c r="X101" s="799"/>
      <c r="Y101" s="799"/>
      <c r="Z101" s="799"/>
      <c r="AA101" s="799"/>
      <c r="AB101" s="799"/>
      <c r="AC101" s="799"/>
      <c r="AD101" s="799"/>
      <c r="AE101" s="799"/>
      <c r="AF101" s="799"/>
      <c r="AG101" s="799"/>
      <c r="AH101" s="799"/>
      <c r="AI101" s="799"/>
      <c r="AJ101" s="799"/>
      <c r="AK101" s="799"/>
      <c r="AL101" s="799"/>
      <c r="AM101" s="799"/>
      <c r="AN101" s="799"/>
      <c r="AO101" s="799"/>
      <c r="AP101" s="799"/>
      <c r="AQ101" s="799"/>
      <c r="AR101" s="799"/>
      <c r="AS101" s="799"/>
      <c r="AT101" s="799"/>
      <c r="AU101" s="799"/>
      <c r="AV101" s="799"/>
      <c r="AW101" s="799"/>
      <c r="AX101" s="799"/>
      <c r="AY101" s="799"/>
      <c r="AZ101" s="799"/>
      <c r="BA101" s="799"/>
      <c r="BB101" s="799"/>
      <c r="BC101" s="799"/>
      <c r="BD101" s="799"/>
      <c r="BE101" s="799"/>
      <c r="BF101" s="799"/>
      <c r="BG101" s="799"/>
    </row>
    <row r="102">
      <c r="H102" s="799"/>
      <c r="I102" s="799"/>
      <c r="J102" s="799"/>
      <c r="K102" s="799"/>
      <c r="L102" s="799"/>
      <c r="M102" s="799"/>
      <c r="N102" s="799"/>
      <c r="O102" s="799"/>
      <c r="P102" s="799"/>
      <c r="Q102" s="799"/>
      <c r="R102" s="799"/>
      <c r="S102" s="799"/>
      <c r="T102" s="799"/>
      <c r="U102" s="799"/>
      <c r="V102" s="799"/>
      <c r="W102" s="799"/>
      <c r="X102" s="799"/>
      <c r="Y102" s="799"/>
      <c r="Z102" s="799"/>
      <c r="AA102" s="799"/>
      <c r="AB102" s="799"/>
      <c r="AC102" s="799"/>
      <c r="AD102" s="799"/>
      <c r="AE102" s="799"/>
      <c r="AF102" s="799"/>
      <c r="AG102" s="799"/>
      <c r="AH102" s="799"/>
      <c r="AI102" s="799"/>
      <c r="AJ102" s="799"/>
      <c r="AK102" s="799"/>
      <c r="AL102" s="799"/>
      <c r="AM102" s="799"/>
      <c r="AN102" s="799"/>
      <c r="AO102" s="799"/>
      <c r="AP102" s="799"/>
      <c r="AQ102" s="799"/>
      <c r="AR102" s="799"/>
      <c r="AS102" s="799"/>
      <c r="AT102" s="799"/>
      <c r="AU102" s="799"/>
      <c r="AV102" s="799"/>
      <c r="AW102" s="799"/>
      <c r="AX102" s="799"/>
      <c r="AY102" s="799"/>
      <c r="AZ102" s="799"/>
      <c r="BA102" s="799"/>
      <c r="BB102" s="799"/>
      <c r="BC102" s="799"/>
      <c r="BD102" s="799"/>
      <c r="BE102" s="799"/>
      <c r="BF102" s="799"/>
      <c r="BG102" s="799"/>
    </row>
    <row r="103">
      <c r="H103" s="799"/>
      <c r="I103" s="799"/>
      <c r="J103" s="799"/>
      <c r="K103" s="799"/>
      <c r="L103" s="799"/>
      <c r="M103" s="799"/>
      <c r="N103" s="799"/>
      <c r="O103" s="799"/>
      <c r="P103" s="799"/>
      <c r="Q103" s="799"/>
      <c r="R103" s="799"/>
      <c r="S103" s="799"/>
      <c r="T103" s="799"/>
      <c r="U103" s="799"/>
      <c r="V103" s="799"/>
      <c r="W103" s="799"/>
      <c r="X103" s="799"/>
      <c r="Y103" s="799"/>
      <c r="Z103" s="799"/>
      <c r="AA103" s="799"/>
      <c r="AB103" s="799"/>
      <c r="AC103" s="799"/>
      <c r="AD103" s="799"/>
      <c r="AE103" s="799"/>
      <c r="AF103" s="799"/>
      <c r="AG103" s="799"/>
      <c r="AH103" s="799"/>
      <c r="AI103" s="799"/>
      <c r="AJ103" s="799"/>
      <c r="AK103" s="799"/>
      <c r="AL103" s="799"/>
      <c r="AM103" s="799"/>
      <c r="AN103" s="799"/>
      <c r="AO103" s="799"/>
      <c r="AP103" s="799"/>
      <c r="AQ103" s="799"/>
      <c r="AR103" s="799"/>
      <c r="AS103" s="799"/>
      <c r="AT103" s="799"/>
      <c r="AU103" s="799"/>
      <c r="AV103" s="799"/>
      <c r="AW103" s="799"/>
      <c r="AX103" s="799"/>
      <c r="AY103" s="799"/>
      <c r="AZ103" s="799"/>
      <c r="BA103" s="799"/>
      <c r="BB103" s="799"/>
      <c r="BC103" s="799"/>
      <c r="BD103" s="799"/>
      <c r="BE103" s="799"/>
      <c r="BF103" s="799"/>
      <c r="BG103" s="799"/>
    </row>
    <row r="104">
      <c r="H104" s="799"/>
      <c r="I104" s="799"/>
      <c r="J104" s="799"/>
      <c r="K104" s="799"/>
      <c r="L104" s="799"/>
      <c r="M104" s="799"/>
      <c r="N104" s="799"/>
      <c r="O104" s="799"/>
      <c r="P104" s="799"/>
      <c r="Q104" s="799"/>
      <c r="R104" s="799"/>
      <c r="S104" s="799"/>
      <c r="T104" s="799"/>
      <c r="U104" s="799"/>
      <c r="V104" s="799"/>
      <c r="W104" s="799"/>
      <c r="X104" s="799"/>
      <c r="Y104" s="799"/>
      <c r="Z104" s="799"/>
      <c r="AA104" s="799"/>
      <c r="AB104" s="799"/>
      <c r="AC104" s="799"/>
      <c r="AD104" s="799"/>
      <c r="AE104" s="799"/>
      <c r="AF104" s="799"/>
      <c r="AG104" s="799"/>
      <c r="AH104" s="799"/>
      <c r="AI104" s="799"/>
      <c r="AJ104" s="799"/>
      <c r="AK104" s="799"/>
      <c r="AL104" s="799"/>
      <c r="AM104" s="799"/>
      <c r="AN104" s="799"/>
      <c r="AO104" s="799"/>
      <c r="AP104" s="799"/>
      <c r="AQ104" s="799"/>
      <c r="AR104" s="799"/>
      <c r="AS104" s="799"/>
      <c r="AT104" s="799"/>
      <c r="AU104" s="799"/>
      <c r="AV104" s="799"/>
      <c r="AW104" s="799"/>
      <c r="AX104" s="799"/>
      <c r="AY104" s="799"/>
      <c r="AZ104" s="799"/>
      <c r="BA104" s="799"/>
      <c r="BB104" s="799"/>
      <c r="BC104" s="799"/>
      <c r="BD104" s="799"/>
      <c r="BE104" s="799"/>
      <c r="BF104" s="799"/>
      <c r="BG104" s="799"/>
    </row>
    <row r="105">
      <c r="H105" s="799"/>
      <c r="I105" s="799"/>
      <c r="J105" s="799"/>
      <c r="K105" s="799"/>
      <c r="L105" s="799"/>
      <c r="M105" s="799"/>
      <c r="N105" s="799"/>
      <c r="O105" s="799"/>
      <c r="P105" s="799"/>
      <c r="Q105" s="799"/>
      <c r="R105" s="799"/>
      <c r="S105" s="799"/>
      <c r="T105" s="799"/>
      <c r="U105" s="799"/>
      <c r="V105" s="799"/>
      <c r="W105" s="799"/>
      <c r="X105" s="799"/>
      <c r="Y105" s="799"/>
      <c r="Z105" s="799"/>
      <c r="AA105" s="799"/>
      <c r="AB105" s="799"/>
      <c r="AC105" s="799"/>
      <c r="AD105" s="799"/>
      <c r="AE105" s="799"/>
      <c r="AF105" s="799"/>
      <c r="AG105" s="799"/>
      <c r="AH105" s="799"/>
      <c r="AI105" s="799"/>
      <c r="AJ105" s="799"/>
      <c r="AK105" s="799"/>
      <c r="AL105" s="799"/>
      <c r="AM105" s="799"/>
      <c r="AN105" s="799"/>
      <c r="AO105" s="799"/>
      <c r="AP105" s="799"/>
      <c r="AQ105" s="799"/>
      <c r="AR105" s="799"/>
      <c r="AS105" s="799"/>
      <c r="AT105" s="799"/>
      <c r="AU105" s="799"/>
      <c r="AV105" s="799"/>
      <c r="AW105" s="799"/>
      <c r="AX105" s="799"/>
      <c r="AY105" s="799"/>
      <c r="AZ105" s="799"/>
      <c r="BA105" s="799"/>
      <c r="BB105" s="799"/>
      <c r="BC105" s="799"/>
      <c r="BD105" s="799"/>
      <c r="BE105" s="799"/>
      <c r="BF105" s="799"/>
      <c r="BG105" s="799"/>
    </row>
    <row r="106">
      <c r="H106" s="799"/>
      <c r="I106" s="799"/>
      <c r="J106" s="799"/>
      <c r="K106" s="799"/>
      <c r="L106" s="799"/>
      <c r="M106" s="799"/>
      <c r="N106" s="799"/>
      <c r="O106" s="799"/>
      <c r="P106" s="799"/>
      <c r="Q106" s="799"/>
      <c r="R106" s="799"/>
      <c r="S106" s="799"/>
      <c r="T106" s="799"/>
      <c r="U106" s="799"/>
      <c r="V106" s="799"/>
      <c r="W106" s="799"/>
      <c r="X106" s="799"/>
      <c r="Y106" s="799"/>
      <c r="Z106" s="799"/>
      <c r="AA106" s="799"/>
      <c r="AB106" s="799"/>
      <c r="AC106" s="799"/>
      <c r="AD106" s="799"/>
      <c r="AE106" s="799"/>
      <c r="AF106" s="799"/>
      <c r="AG106" s="799"/>
      <c r="AH106" s="799"/>
      <c r="AI106" s="799"/>
      <c r="AJ106" s="799"/>
      <c r="AK106" s="799"/>
      <c r="AL106" s="799"/>
      <c r="AM106" s="799"/>
      <c r="AN106" s="799"/>
      <c r="AO106" s="799"/>
      <c r="AP106" s="799"/>
      <c r="AQ106" s="799"/>
      <c r="AR106" s="799"/>
      <c r="AS106" s="799"/>
      <c r="AT106" s="799"/>
      <c r="AU106" s="799"/>
      <c r="AV106" s="799"/>
      <c r="AW106" s="799"/>
      <c r="AX106" s="799"/>
      <c r="AY106" s="799"/>
      <c r="AZ106" s="799"/>
      <c r="BA106" s="799"/>
      <c r="BB106" s="799"/>
      <c r="BC106" s="799"/>
      <c r="BD106" s="799"/>
      <c r="BE106" s="799"/>
      <c r="BF106" s="799"/>
      <c r="BG106" s="799"/>
    </row>
    <row r="107">
      <c r="H107" s="799"/>
      <c r="I107" s="799"/>
      <c r="J107" s="799"/>
      <c r="K107" s="799"/>
      <c r="L107" s="799"/>
      <c r="M107" s="799"/>
      <c r="N107" s="799"/>
      <c r="O107" s="799"/>
      <c r="P107" s="799"/>
      <c r="Q107" s="799"/>
      <c r="R107" s="799"/>
      <c r="S107" s="799"/>
      <c r="T107" s="799"/>
      <c r="U107" s="799"/>
      <c r="V107" s="799"/>
      <c r="W107" s="799"/>
      <c r="X107" s="799"/>
      <c r="Y107" s="799"/>
      <c r="Z107" s="799"/>
      <c r="AA107" s="799"/>
      <c r="AB107" s="799"/>
      <c r="AC107" s="799"/>
      <c r="AD107" s="799"/>
      <c r="AE107" s="799"/>
      <c r="AF107" s="799"/>
      <c r="AG107" s="799"/>
      <c r="AH107" s="799"/>
      <c r="AI107" s="799"/>
      <c r="AJ107" s="799"/>
      <c r="AK107" s="799"/>
      <c r="AL107" s="799"/>
      <c r="AM107" s="799"/>
      <c r="AN107" s="799"/>
      <c r="AO107" s="799"/>
      <c r="AP107" s="799"/>
      <c r="AQ107" s="799"/>
      <c r="AR107" s="799"/>
      <c r="AS107" s="799"/>
      <c r="AT107" s="799"/>
      <c r="AU107" s="799"/>
      <c r="AV107" s="799"/>
      <c r="AW107" s="799"/>
      <c r="AX107" s="799"/>
      <c r="AY107" s="799"/>
      <c r="AZ107" s="799"/>
      <c r="BA107" s="799"/>
      <c r="BB107" s="799"/>
      <c r="BC107" s="799"/>
      <c r="BD107" s="799"/>
      <c r="BE107" s="799"/>
      <c r="BF107" s="799"/>
      <c r="BG107" s="799"/>
    </row>
    <row r="108">
      <c r="H108" s="799"/>
      <c r="I108" s="799"/>
      <c r="J108" s="799"/>
      <c r="K108" s="799"/>
      <c r="L108" s="799"/>
      <c r="M108" s="799"/>
      <c r="N108" s="799"/>
      <c r="O108" s="799"/>
      <c r="P108" s="799"/>
      <c r="Q108" s="799"/>
      <c r="R108" s="799"/>
      <c r="S108" s="799"/>
      <c r="T108" s="799"/>
      <c r="U108" s="799"/>
      <c r="V108" s="799"/>
      <c r="W108" s="799"/>
      <c r="X108" s="799"/>
      <c r="Y108" s="799"/>
      <c r="Z108" s="799"/>
      <c r="AA108" s="799"/>
      <c r="AB108" s="799"/>
      <c r="AC108" s="799"/>
      <c r="AD108" s="799"/>
      <c r="AE108" s="799"/>
      <c r="AF108" s="799"/>
      <c r="AG108" s="799"/>
      <c r="AH108" s="799"/>
      <c r="AI108" s="799"/>
      <c r="AJ108" s="799"/>
      <c r="AK108" s="799"/>
      <c r="AL108" s="799"/>
      <c r="AM108" s="799"/>
      <c r="AN108" s="799"/>
      <c r="AO108" s="799"/>
      <c r="AP108" s="799"/>
      <c r="AQ108" s="799"/>
      <c r="AR108" s="799"/>
      <c r="AS108" s="799"/>
      <c r="AT108" s="799"/>
      <c r="AU108" s="799"/>
      <c r="AV108" s="799"/>
      <c r="AW108" s="799"/>
      <c r="AX108" s="799"/>
      <c r="AY108" s="799"/>
      <c r="AZ108" s="799"/>
      <c r="BA108" s="799"/>
      <c r="BB108" s="799"/>
      <c r="BC108" s="799"/>
      <c r="BD108" s="799"/>
      <c r="BE108" s="799"/>
      <c r="BF108" s="799"/>
      <c r="BG108" s="799"/>
    </row>
    <row r="109">
      <c r="H109" s="799"/>
      <c r="I109" s="799"/>
      <c r="J109" s="799"/>
      <c r="K109" s="799"/>
      <c r="L109" s="799"/>
      <c r="M109" s="799"/>
      <c r="N109" s="799"/>
      <c r="O109" s="799"/>
      <c r="P109" s="799"/>
      <c r="Q109" s="799"/>
      <c r="R109" s="799"/>
      <c r="S109" s="799"/>
      <c r="T109" s="799"/>
      <c r="U109" s="799"/>
      <c r="V109" s="799"/>
      <c r="W109" s="799"/>
      <c r="X109" s="799"/>
      <c r="Y109" s="799"/>
      <c r="Z109" s="799"/>
      <c r="AA109" s="799"/>
      <c r="AB109" s="799"/>
      <c r="AC109" s="799"/>
      <c r="AD109" s="799"/>
      <c r="AE109" s="799"/>
      <c r="AF109" s="799"/>
      <c r="AG109" s="799"/>
      <c r="AH109" s="799"/>
      <c r="AI109" s="799"/>
      <c r="AJ109" s="799"/>
      <c r="AK109" s="799"/>
      <c r="AL109" s="799"/>
      <c r="AM109" s="799"/>
      <c r="AN109" s="799"/>
      <c r="AO109" s="799"/>
      <c r="AP109" s="799"/>
      <c r="AQ109" s="799"/>
      <c r="AR109" s="799"/>
      <c r="AS109" s="799"/>
      <c r="AT109" s="799"/>
      <c r="AU109" s="799"/>
      <c r="AV109" s="799"/>
      <c r="AW109" s="799"/>
      <c r="AX109" s="799"/>
      <c r="AY109" s="799"/>
      <c r="AZ109" s="799"/>
      <c r="BA109" s="799"/>
      <c r="BB109" s="799"/>
      <c r="BC109" s="799"/>
      <c r="BD109" s="799"/>
      <c r="BE109" s="799"/>
      <c r="BF109" s="799"/>
      <c r="BG109" s="799"/>
    </row>
    <row r="110">
      <c r="H110" s="799"/>
      <c r="I110" s="799"/>
      <c r="J110" s="799"/>
      <c r="K110" s="799"/>
      <c r="L110" s="799"/>
      <c r="M110" s="799"/>
      <c r="N110" s="799"/>
      <c r="O110" s="799"/>
      <c r="P110" s="799"/>
      <c r="Q110" s="799"/>
      <c r="R110" s="799"/>
      <c r="S110" s="799"/>
      <c r="T110" s="799"/>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c r="AP110" s="799"/>
      <c r="AQ110" s="799"/>
      <c r="AR110" s="799"/>
      <c r="AS110" s="799"/>
      <c r="AT110" s="799"/>
      <c r="AU110" s="799"/>
      <c r="AV110" s="799"/>
      <c r="AW110" s="799"/>
      <c r="AX110" s="799"/>
      <c r="AY110" s="799"/>
      <c r="AZ110" s="799"/>
      <c r="BA110" s="799"/>
      <c r="BB110" s="799"/>
      <c r="BC110" s="799"/>
      <c r="BD110" s="799"/>
      <c r="BE110" s="799"/>
      <c r="BF110" s="799"/>
      <c r="BG110" s="799"/>
    </row>
    <row r="111">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row>
    <row r="112">
      <c r="H112" s="799"/>
      <c r="I112" s="799"/>
      <c r="J112" s="799"/>
      <c r="K112" s="799"/>
      <c r="L112" s="799"/>
      <c r="M112" s="799"/>
      <c r="N112" s="799"/>
      <c r="O112" s="799"/>
      <c r="P112" s="799"/>
      <c r="Q112" s="799"/>
      <c r="R112" s="799"/>
      <c r="S112" s="799"/>
      <c r="T112" s="799"/>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c r="AP112" s="799"/>
      <c r="AQ112" s="799"/>
      <c r="AR112" s="799"/>
      <c r="AS112" s="799"/>
      <c r="AT112" s="799"/>
      <c r="AU112" s="799"/>
      <c r="AV112" s="799"/>
      <c r="AW112" s="799"/>
      <c r="AX112" s="799"/>
      <c r="AY112" s="799"/>
      <c r="AZ112" s="799"/>
      <c r="BA112" s="799"/>
      <c r="BB112" s="799"/>
      <c r="BC112" s="799"/>
      <c r="BD112" s="799"/>
      <c r="BE112" s="799"/>
      <c r="BF112" s="799"/>
      <c r="BG112" s="799"/>
    </row>
    <row r="113">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row>
    <row r="114">
      <c r="H114" s="799"/>
      <c r="I114" s="799"/>
      <c r="J114" s="799"/>
      <c r="K114" s="799"/>
      <c r="L114" s="799"/>
      <c r="M114" s="799"/>
      <c r="N114" s="799"/>
      <c r="O114" s="799"/>
      <c r="P114" s="799"/>
      <c r="Q114" s="799"/>
      <c r="R114" s="799"/>
      <c r="S114" s="799"/>
      <c r="T114" s="799"/>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c r="AP114" s="799"/>
      <c r="AQ114" s="799"/>
      <c r="AR114" s="799"/>
      <c r="AS114" s="799"/>
      <c r="AT114" s="799"/>
      <c r="AU114" s="799"/>
      <c r="AV114" s="799"/>
      <c r="AW114" s="799"/>
      <c r="AX114" s="799"/>
      <c r="AY114" s="799"/>
      <c r="AZ114" s="799"/>
      <c r="BA114" s="799"/>
      <c r="BB114" s="799"/>
      <c r="BC114" s="799"/>
      <c r="BD114" s="799"/>
      <c r="BE114" s="799"/>
      <c r="BF114" s="799"/>
      <c r="BG114" s="799"/>
    </row>
    <row r="115">
      <c r="H115" s="799"/>
      <c r="I115" s="799"/>
      <c r="J115" s="799"/>
      <c r="K115" s="799"/>
      <c r="L115" s="799"/>
      <c r="M115" s="799"/>
      <c r="N115" s="799"/>
      <c r="O115" s="799"/>
      <c r="P115" s="799"/>
      <c r="Q115" s="799"/>
      <c r="R115" s="799"/>
      <c r="S115" s="799"/>
      <c r="T115" s="799"/>
      <c r="U115" s="799"/>
      <c r="V115" s="799"/>
      <c r="W115" s="799"/>
      <c r="X115" s="799"/>
      <c r="Y115" s="799"/>
      <c r="Z115" s="799"/>
      <c r="AA115" s="799"/>
      <c r="AB115" s="799"/>
      <c r="AC115" s="799"/>
      <c r="AD115" s="799"/>
      <c r="AE115" s="799"/>
      <c r="AF115" s="799"/>
      <c r="AG115" s="799"/>
      <c r="AH115" s="799"/>
      <c r="AI115" s="799"/>
      <c r="AJ115" s="799"/>
      <c r="AK115" s="799"/>
      <c r="AL115" s="590">
        <f>AB25</f>
        <v>71611000000</v>
      </c>
      <c r="AM115" s="799"/>
      <c r="AN115" s="799"/>
      <c r="AO115" s="799"/>
      <c r="AP115" s="799"/>
      <c r="AQ115" s="799"/>
      <c r="AR115" s="799"/>
      <c r="AS115" s="799"/>
      <c r="AT115" s="799"/>
      <c r="AU115" s="799"/>
      <c r="AV115" s="799"/>
      <c r="AW115" s="799"/>
      <c r="AX115" s="799"/>
      <c r="AY115" s="799"/>
      <c r="AZ115" s="799"/>
      <c r="BA115" s="799"/>
      <c r="BB115" s="799"/>
      <c r="BC115" s="799"/>
      <c r="BD115" s="799"/>
      <c r="BE115" s="799"/>
      <c r="BF115" s="799"/>
      <c r="BG115" s="799"/>
    </row>
    <row r="116">
      <c r="H116" s="799"/>
      <c r="I116" s="799"/>
      <c r="J116" s="799"/>
      <c r="K116" s="799"/>
      <c r="L116" s="799"/>
      <c r="M116" s="799"/>
      <c r="N116" s="799"/>
      <c r="O116" s="799"/>
      <c r="P116" s="799"/>
      <c r="Q116" s="799"/>
      <c r="R116" s="799"/>
      <c r="S116" s="799"/>
      <c r="T116" s="799"/>
      <c r="U116" s="799"/>
      <c r="V116" s="799"/>
      <c r="W116" s="799"/>
      <c r="X116" s="799"/>
      <c r="Y116" s="799"/>
      <c r="Z116" s="799"/>
      <c r="AA116" s="799"/>
      <c r="AB116" s="799"/>
      <c r="AC116" s="799"/>
      <c r="AD116" s="799"/>
      <c r="AE116" s="799"/>
      <c r="AF116" s="799"/>
      <c r="AG116" s="799"/>
      <c r="AH116" s="799"/>
      <c r="AI116" s="799"/>
      <c r="AJ116" s="799"/>
      <c r="AK116" s="799"/>
      <c r="AL116" s="590">
        <f>AA25</f>
        <v>74071000000</v>
      </c>
      <c r="AM116" s="799"/>
      <c r="AN116" s="799"/>
      <c r="AO116" s="799"/>
      <c r="AP116" s="799"/>
      <c r="AQ116" s="799"/>
      <c r="AR116" s="799"/>
      <c r="AS116" s="799"/>
      <c r="AT116" s="799"/>
      <c r="AU116" s="799"/>
      <c r="AV116" s="799"/>
      <c r="AW116" s="799"/>
      <c r="AX116" s="799"/>
      <c r="AY116" s="799"/>
      <c r="AZ116" s="799"/>
      <c r="BA116" s="799"/>
      <c r="BB116" s="799"/>
      <c r="BC116" s="799"/>
      <c r="BD116" s="799"/>
      <c r="BE116" s="799"/>
      <c r="BF116" s="799"/>
      <c r="BG116" s="799"/>
    </row>
    <row r="117">
      <c r="H117" s="799"/>
      <c r="I117" s="799"/>
      <c r="J117" s="799"/>
      <c r="K117" s="799"/>
      <c r="L117" s="799"/>
      <c r="M117" s="799"/>
      <c r="N117" s="799"/>
      <c r="O117" s="799"/>
      <c r="P117" s="799"/>
      <c r="Q117" s="799"/>
      <c r="R117" s="799"/>
      <c r="S117" s="799"/>
      <c r="T117" s="799"/>
      <c r="U117" s="799"/>
      <c r="V117" s="799"/>
      <c r="W117" s="799"/>
      <c r="X117" s="799"/>
      <c r="Y117" s="799"/>
      <c r="Z117" s="799"/>
      <c r="AA117" s="799"/>
      <c r="AB117" s="799"/>
      <c r="AC117" s="799"/>
      <c r="AD117" s="799"/>
      <c r="AE117" s="799"/>
      <c r="AF117" s="799"/>
      <c r="AG117" s="799"/>
      <c r="AH117" s="799"/>
      <c r="AI117" s="799"/>
      <c r="AJ117" s="799"/>
      <c r="AK117" s="799"/>
      <c r="AL117" s="590">
        <f>Z25</f>
        <v>59475000000</v>
      </c>
      <c r="AM117" s="799"/>
      <c r="AN117" s="799"/>
      <c r="AO117" s="799"/>
      <c r="AP117" s="799"/>
      <c r="AQ117" s="799"/>
      <c r="AR117" s="799"/>
      <c r="AS117" s="799"/>
      <c r="AT117" s="799"/>
      <c r="AU117" s="799"/>
      <c r="AV117" s="799"/>
      <c r="AW117" s="799"/>
      <c r="AX117" s="799"/>
      <c r="AY117" s="799"/>
      <c r="AZ117" s="799"/>
      <c r="BA117" s="799"/>
      <c r="BB117" s="799"/>
      <c r="BC117" s="799"/>
      <c r="BD117" s="799"/>
      <c r="BE117" s="799"/>
      <c r="BF117" s="799"/>
      <c r="BG117" s="799"/>
    </row>
    <row r="118">
      <c r="H118" s="799"/>
      <c r="I118" s="799"/>
      <c r="J118" s="799"/>
      <c r="K118" s="799"/>
      <c r="L118" s="799"/>
      <c r="M118" s="799"/>
      <c r="N118" s="799"/>
      <c r="O118" s="799"/>
      <c r="P118" s="799"/>
      <c r="Q118" s="799"/>
      <c r="R118" s="799"/>
      <c r="S118" s="799"/>
      <c r="T118" s="799"/>
      <c r="U118" s="799"/>
      <c r="V118" s="799"/>
      <c r="W118" s="799"/>
      <c r="X118" s="799"/>
      <c r="Y118" s="799"/>
      <c r="Z118" s="799"/>
      <c r="AA118" s="799"/>
      <c r="AB118" s="799"/>
      <c r="AC118" s="799"/>
      <c r="AD118" s="799"/>
      <c r="AE118" s="799"/>
      <c r="AF118" s="799"/>
      <c r="AG118" s="799"/>
      <c r="AH118" s="799"/>
      <c r="AI118" s="799"/>
      <c r="AJ118" s="799"/>
      <c r="AK118" s="799"/>
      <c r="AL118" s="590">
        <f>Y25</f>
        <v>65149000000</v>
      </c>
      <c r="AM118" s="799"/>
      <c r="AN118" s="799"/>
      <c r="AO118" s="799"/>
      <c r="AP118" s="799"/>
      <c r="AQ118" s="799"/>
      <c r="AR118" s="799"/>
      <c r="AS118" s="799"/>
      <c r="AT118" s="799"/>
      <c r="AU118" s="799"/>
      <c r="AV118" s="799"/>
      <c r="AW118" s="799"/>
      <c r="AX118" s="799"/>
      <c r="AY118" s="799"/>
      <c r="AZ118" s="799"/>
      <c r="BA118" s="799"/>
      <c r="BB118" s="799"/>
      <c r="BC118" s="799"/>
      <c r="BD118" s="799"/>
      <c r="BE118" s="799"/>
      <c r="BF118" s="799"/>
      <c r="BG118" s="799"/>
    </row>
    <row r="119">
      <c r="H119" s="799"/>
      <c r="I119" s="799"/>
      <c r="J119" s="799"/>
      <c r="K119" s="799"/>
      <c r="L119" s="799"/>
      <c r="M119" s="799"/>
      <c r="N119" s="799"/>
      <c r="O119" s="799"/>
      <c r="P119" s="799"/>
      <c r="Q119" s="799"/>
      <c r="R119" s="799"/>
      <c r="S119" s="799"/>
      <c r="T119" s="799"/>
      <c r="U119" s="799"/>
      <c r="V119" s="799"/>
      <c r="W119" s="799"/>
      <c r="X119" s="799"/>
      <c r="Y119" s="799"/>
      <c r="Z119" s="799"/>
      <c r="AA119" s="799"/>
      <c r="AB119" s="799"/>
      <c r="AC119" s="799"/>
      <c r="AD119" s="799"/>
      <c r="AE119" s="799"/>
      <c r="AF119" s="799"/>
      <c r="AG119" s="799"/>
      <c r="AH119" s="799"/>
      <c r="AI119" s="799"/>
      <c r="AJ119" s="799"/>
      <c r="AK119" s="799"/>
      <c r="AL119" s="590">
        <f>X25</f>
        <v>56118000000</v>
      </c>
      <c r="AM119" s="799"/>
      <c r="AN119" s="799"/>
      <c r="AO119" s="799"/>
      <c r="AP119" s="799"/>
      <c r="AQ119" s="799"/>
      <c r="AR119" s="799"/>
      <c r="AS119" s="799"/>
      <c r="AT119" s="799"/>
      <c r="AU119" s="799"/>
      <c r="AV119" s="799"/>
      <c r="AW119" s="799"/>
      <c r="AX119" s="799"/>
      <c r="AY119" s="799"/>
      <c r="AZ119" s="799"/>
      <c r="BA119" s="799"/>
      <c r="BB119" s="799"/>
      <c r="BC119" s="799"/>
      <c r="BD119" s="799"/>
      <c r="BE119" s="799"/>
      <c r="BF119" s="799"/>
      <c r="BG119" s="799"/>
    </row>
    <row r="120">
      <c r="H120" s="799"/>
      <c r="I120" s="799"/>
      <c r="J120" s="799"/>
      <c r="K120" s="799"/>
      <c r="L120" s="799"/>
      <c r="M120" s="799"/>
      <c r="N120" s="799"/>
      <c r="O120" s="799"/>
      <c r="P120" s="799"/>
      <c r="Q120" s="799"/>
      <c r="R120" s="799"/>
      <c r="S120" s="799"/>
      <c r="T120" s="799"/>
      <c r="U120" s="799"/>
      <c r="V120" s="799"/>
      <c r="W120" s="799"/>
      <c r="X120" s="799"/>
      <c r="Y120" s="799"/>
      <c r="Z120" s="799"/>
      <c r="AA120" s="799"/>
      <c r="AB120" s="799"/>
      <c r="AC120" s="799"/>
      <c r="AD120" s="799"/>
      <c r="AE120" s="799"/>
      <c r="AF120" s="799"/>
      <c r="AG120" s="799"/>
      <c r="AH120" s="799"/>
      <c r="AI120" s="799"/>
      <c r="AJ120" s="799"/>
      <c r="AK120" s="799"/>
      <c r="AL120" s="799"/>
      <c r="AM120" s="799"/>
      <c r="AN120" s="799"/>
      <c r="AO120" s="799"/>
      <c r="AP120" s="799"/>
      <c r="AQ120" s="799"/>
      <c r="AR120" s="799"/>
      <c r="AS120" s="799"/>
      <c r="AT120" s="799"/>
      <c r="AU120" s="799"/>
      <c r="AV120" s="799"/>
      <c r="AW120" s="799"/>
      <c r="AX120" s="799"/>
      <c r="AY120" s="799"/>
      <c r="AZ120" s="799"/>
      <c r="BA120" s="799"/>
      <c r="BB120" s="799"/>
      <c r="BC120" s="799"/>
      <c r="BD120" s="799"/>
      <c r="BE120" s="799"/>
      <c r="BF120" s="799"/>
      <c r="BG120" s="799"/>
    </row>
    <row r="121">
      <c r="H121" s="799"/>
      <c r="I121" s="799"/>
      <c r="J121" s="799"/>
      <c r="K121" s="799"/>
      <c r="L121" s="799"/>
      <c r="M121" s="799"/>
      <c r="N121" s="799"/>
      <c r="O121" s="799"/>
      <c r="P121" s="799"/>
      <c r="Q121" s="799"/>
      <c r="R121" s="799"/>
      <c r="S121" s="799"/>
      <c r="T121" s="799"/>
      <c r="U121" s="799"/>
      <c r="V121" s="799"/>
      <c r="W121" s="799"/>
      <c r="X121" s="799"/>
      <c r="Y121" s="799"/>
      <c r="Z121" s="799"/>
      <c r="AA121" s="799"/>
      <c r="AB121" s="799"/>
      <c r="AC121" s="799"/>
      <c r="AD121" s="799"/>
      <c r="AE121" s="799"/>
      <c r="AF121" s="799"/>
      <c r="AG121" s="799"/>
      <c r="AH121" s="799"/>
      <c r="AI121" s="799"/>
      <c r="AJ121" s="799"/>
      <c r="AK121" s="799"/>
      <c r="AL121" s="799"/>
      <c r="AM121" s="799"/>
      <c r="AN121" s="799"/>
      <c r="AO121" s="799"/>
      <c r="AP121" s="799"/>
      <c r="AQ121" s="799"/>
      <c r="AR121" s="799"/>
      <c r="AS121" s="799"/>
      <c r="AT121" s="799"/>
      <c r="AU121" s="799"/>
      <c r="AV121" s="799"/>
      <c r="AW121" s="799"/>
      <c r="AX121" s="799"/>
      <c r="AY121" s="799"/>
      <c r="AZ121" s="799"/>
      <c r="BA121" s="799"/>
      <c r="BB121" s="799"/>
      <c r="BC121" s="799"/>
      <c r="BD121" s="799"/>
      <c r="BE121" s="799"/>
      <c r="BF121" s="799"/>
      <c r="BG121" s="799"/>
    </row>
    <row r="122">
      <c r="H122" s="799"/>
      <c r="I122" s="799"/>
      <c r="J122" s="799"/>
      <c r="K122" s="799"/>
      <c r="L122" s="799"/>
      <c r="M122" s="799"/>
      <c r="N122" s="799"/>
      <c r="O122" s="799"/>
      <c r="P122" s="799"/>
      <c r="Q122" s="799"/>
      <c r="R122" s="799"/>
      <c r="S122" s="799"/>
      <c r="T122" s="799"/>
      <c r="U122" s="799"/>
      <c r="V122" s="799"/>
      <c r="W122" s="799"/>
      <c r="X122" s="799"/>
      <c r="Y122" s="799"/>
      <c r="Z122" s="799"/>
      <c r="AA122" s="799"/>
      <c r="AB122" s="799"/>
      <c r="AC122" s="799"/>
      <c r="AD122" s="799"/>
      <c r="AE122" s="799"/>
      <c r="AF122" s="799"/>
      <c r="AG122" s="799"/>
      <c r="AH122" s="799"/>
      <c r="AI122" s="799"/>
      <c r="AJ122" s="799"/>
      <c r="AK122" s="799"/>
      <c r="AL122" s="799"/>
      <c r="AM122" s="799"/>
      <c r="AN122" s="799"/>
      <c r="AO122" s="799"/>
      <c r="AP122" s="799"/>
      <c r="AQ122" s="799"/>
      <c r="AR122" s="799"/>
      <c r="AS122" s="799"/>
      <c r="AT122" s="799"/>
      <c r="AU122" s="799"/>
      <c r="AV122" s="799"/>
      <c r="AW122" s="799"/>
      <c r="AX122" s="799"/>
      <c r="AY122" s="799"/>
      <c r="AZ122" s="799"/>
      <c r="BA122" s="799"/>
      <c r="BB122" s="799"/>
      <c r="BC122" s="799"/>
      <c r="BD122" s="799"/>
      <c r="BE122" s="799"/>
      <c r="BF122" s="799"/>
      <c r="BG122" s="799"/>
    </row>
    <row r="123">
      <c r="H123" s="799"/>
      <c r="I123" s="799"/>
      <c r="J123" s="799"/>
      <c r="K123" s="799"/>
      <c r="L123" s="799"/>
      <c r="M123" s="799"/>
      <c r="N123" s="799"/>
      <c r="O123" s="799"/>
      <c r="P123" s="799"/>
      <c r="Q123" s="799"/>
      <c r="R123" s="799"/>
      <c r="S123" s="799"/>
      <c r="T123" s="799"/>
      <c r="U123" s="799"/>
      <c r="V123" s="799"/>
      <c r="W123" s="799"/>
      <c r="X123" s="799"/>
      <c r="Y123" s="799"/>
      <c r="Z123" s="799"/>
      <c r="AA123" s="799"/>
      <c r="AB123" s="799"/>
      <c r="AC123" s="799"/>
      <c r="AD123" s="799"/>
      <c r="AE123" s="799"/>
      <c r="AF123" s="799"/>
      <c r="AG123" s="799"/>
      <c r="AH123" s="799"/>
      <c r="AI123" s="799"/>
      <c r="AJ123" s="799"/>
      <c r="AK123" s="799"/>
      <c r="AL123" s="799"/>
      <c r="AM123" s="799"/>
      <c r="AN123" s="799"/>
      <c r="AO123" s="799"/>
      <c r="AP123" s="799"/>
      <c r="AQ123" s="799"/>
      <c r="AR123" s="799"/>
      <c r="AS123" s="799"/>
      <c r="AT123" s="799"/>
      <c r="AU123" s="799"/>
      <c r="AV123" s="799"/>
      <c r="AW123" s="799"/>
      <c r="AX123" s="799"/>
      <c r="AY123" s="799"/>
      <c r="AZ123" s="799"/>
      <c r="BA123" s="799"/>
      <c r="BB123" s="799"/>
      <c r="BC123" s="799"/>
      <c r="BD123" s="799"/>
      <c r="BE123" s="799"/>
      <c r="BF123" s="799"/>
      <c r="BG123" s="799"/>
    </row>
    <row r="124">
      <c r="H124" s="799"/>
      <c r="I124" s="799"/>
      <c r="J124" s="799"/>
      <c r="K124" s="799"/>
      <c r="L124" s="799"/>
      <c r="M124" s="799"/>
      <c r="N124" s="799"/>
      <c r="O124" s="799"/>
      <c r="P124" s="799"/>
      <c r="Q124" s="799"/>
      <c r="R124" s="799"/>
      <c r="S124" s="799"/>
      <c r="T124" s="799"/>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799"/>
      <c r="BF124" s="799"/>
      <c r="BG124" s="799"/>
    </row>
    <row r="125">
      <c r="H125" s="799"/>
      <c r="I125" s="799"/>
      <c r="J125" s="799"/>
      <c r="K125" s="799"/>
      <c r="L125" s="799"/>
      <c r="M125" s="799"/>
      <c r="N125" s="799"/>
      <c r="O125" s="799"/>
      <c r="P125" s="799"/>
      <c r="Q125" s="799"/>
      <c r="R125" s="799"/>
      <c r="S125" s="799"/>
      <c r="T125" s="799"/>
      <c r="U125" s="799"/>
      <c r="V125" s="799"/>
      <c r="W125" s="799"/>
      <c r="X125" s="799"/>
      <c r="Y125" s="799"/>
      <c r="Z125" s="799"/>
      <c r="AA125" s="799"/>
      <c r="AB125" s="799"/>
      <c r="AC125" s="799"/>
      <c r="AD125" s="799"/>
      <c r="AE125" s="799"/>
      <c r="AF125" s="799"/>
      <c r="AG125" s="799"/>
      <c r="AH125" s="799"/>
      <c r="AI125" s="799"/>
      <c r="AJ125" s="799"/>
      <c r="AK125" s="799"/>
      <c r="AL125" s="799"/>
      <c r="AM125" s="799"/>
      <c r="AN125" s="799"/>
      <c r="AO125" s="799"/>
      <c r="AP125" s="799"/>
      <c r="AQ125" s="799"/>
      <c r="AR125" s="799"/>
      <c r="AS125" s="799"/>
      <c r="AT125" s="799"/>
      <c r="AU125" s="799"/>
      <c r="AV125" s="799"/>
      <c r="AW125" s="799"/>
      <c r="AX125" s="799"/>
      <c r="AY125" s="799"/>
      <c r="AZ125" s="799"/>
      <c r="BA125" s="799"/>
      <c r="BB125" s="799"/>
      <c r="BC125" s="799"/>
      <c r="BD125" s="799"/>
      <c r="BE125" s="799"/>
      <c r="BF125" s="799"/>
      <c r="BG125" s="799"/>
    </row>
    <row r="126">
      <c r="H126" s="799"/>
      <c r="I126" s="799"/>
      <c r="J126" s="799"/>
      <c r="K126" s="799"/>
      <c r="L126" s="799"/>
      <c r="M126" s="799"/>
      <c r="N126" s="799"/>
      <c r="O126" s="799"/>
      <c r="P126" s="799"/>
      <c r="Q126" s="799"/>
      <c r="R126" s="799"/>
      <c r="S126" s="799"/>
      <c r="T126" s="799"/>
      <c r="U126" s="799"/>
      <c r="V126" s="799"/>
      <c r="W126" s="799"/>
      <c r="X126" s="799"/>
      <c r="Y126" s="799"/>
      <c r="Z126" s="799"/>
      <c r="AA126" s="799"/>
      <c r="AB126" s="799"/>
      <c r="AC126" s="799"/>
      <c r="AD126" s="799"/>
      <c r="AE126" s="799"/>
      <c r="AF126" s="799"/>
      <c r="AG126" s="799"/>
      <c r="AH126" s="799"/>
      <c r="AI126" s="799"/>
      <c r="AJ126" s="799"/>
      <c r="AK126" s="799"/>
      <c r="AL126" s="799"/>
      <c r="AM126" s="799"/>
      <c r="AN126" s="799"/>
      <c r="AO126" s="799"/>
      <c r="AP126" s="799"/>
      <c r="AQ126" s="799"/>
      <c r="AR126" s="799"/>
      <c r="AS126" s="799"/>
      <c r="AT126" s="799"/>
      <c r="AU126" s="799"/>
      <c r="AV126" s="799"/>
      <c r="AW126" s="799"/>
      <c r="AX126" s="799"/>
      <c r="AY126" s="799"/>
      <c r="AZ126" s="799"/>
      <c r="BA126" s="799"/>
      <c r="BB126" s="799"/>
      <c r="BC126" s="799"/>
      <c r="BD126" s="799"/>
      <c r="BE126" s="799"/>
      <c r="BF126" s="799"/>
      <c r="BG126" s="799"/>
    </row>
    <row r="127">
      <c r="H127" s="799"/>
      <c r="I127" s="799"/>
      <c r="J127" s="799"/>
      <c r="K127" s="799"/>
      <c r="L127" s="799"/>
      <c r="M127" s="799"/>
      <c r="N127" s="799"/>
      <c r="O127" s="799"/>
      <c r="P127" s="799"/>
      <c r="Q127" s="799"/>
      <c r="R127" s="799"/>
      <c r="S127" s="799"/>
      <c r="T127" s="799"/>
      <c r="U127" s="799"/>
      <c r="V127" s="799"/>
      <c r="W127" s="799"/>
      <c r="X127" s="799"/>
      <c r="Y127" s="799"/>
      <c r="Z127" s="799"/>
      <c r="AA127" s="799"/>
      <c r="AB127" s="799"/>
      <c r="AC127" s="799"/>
      <c r="AD127" s="799"/>
      <c r="AE127" s="799"/>
      <c r="AF127" s="799"/>
      <c r="AG127" s="799"/>
      <c r="AH127" s="799"/>
      <c r="AI127" s="799"/>
      <c r="AJ127" s="799"/>
      <c r="AK127" s="799"/>
      <c r="AL127" s="799"/>
      <c r="AM127" s="799"/>
      <c r="AN127" s="799"/>
      <c r="AO127" s="799"/>
      <c r="AP127" s="799"/>
      <c r="AQ127" s="799"/>
      <c r="AR127" s="799"/>
      <c r="AS127" s="799"/>
      <c r="AT127" s="799"/>
      <c r="AU127" s="799"/>
      <c r="AV127" s="799"/>
      <c r="AW127" s="799"/>
      <c r="AX127" s="799"/>
      <c r="AY127" s="799"/>
      <c r="AZ127" s="799"/>
      <c r="BA127" s="799"/>
      <c r="BB127" s="799"/>
      <c r="BC127" s="799"/>
      <c r="BD127" s="799"/>
      <c r="BE127" s="799"/>
      <c r="BF127" s="799"/>
      <c r="BG127" s="799"/>
    </row>
    <row r="128">
      <c r="H128" s="799"/>
      <c r="I128" s="799"/>
      <c r="J128" s="799"/>
      <c r="K128" s="799"/>
      <c r="L128" s="799"/>
      <c r="M128" s="799"/>
      <c r="N128" s="799"/>
      <c r="O128" s="799"/>
      <c r="P128" s="799"/>
      <c r="Q128" s="799"/>
      <c r="R128" s="799"/>
      <c r="S128" s="799"/>
      <c r="T128" s="799"/>
      <c r="U128" s="799"/>
      <c r="V128" s="799"/>
      <c r="W128" s="799"/>
      <c r="X128" s="799"/>
      <c r="Y128" s="799"/>
      <c r="Z128" s="799"/>
      <c r="AA128" s="799"/>
      <c r="AB128" s="799"/>
      <c r="AC128" s="799"/>
      <c r="AD128" s="799"/>
      <c r="AE128" s="799"/>
      <c r="AF128" s="799"/>
      <c r="AG128" s="799"/>
      <c r="AH128" s="799"/>
      <c r="AI128" s="799"/>
      <c r="AJ128" s="799"/>
      <c r="AK128" s="799"/>
      <c r="AL128" s="799"/>
      <c r="AM128" s="799"/>
      <c r="AN128" s="799"/>
      <c r="AO128" s="799"/>
      <c r="AP128" s="799"/>
      <c r="AQ128" s="799"/>
      <c r="AR128" s="799"/>
      <c r="AS128" s="799"/>
      <c r="AT128" s="799"/>
      <c r="AU128" s="799"/>
      <c r="AV128" s="799"/>
      <c r="AW128" s="799"/>
      <c r="AX128" s="799"/>
      <c r="AY128" s="799"/>
      <c r="AZ128" s="799"/>
      <c r="BA128" s="799"/>
      <c r="BB128" s="799"/>
      <c r="BC128" s="799"/>
      <c r="BD128" s="799"/>
      <c r="BE128" s="799"/>
      <c r="BF128" s="799"/>
      <c r="BG128" s="799"/>
    </row>
    <row r="12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799"/>
      <c r="AE129" s="799"/>
      <c r="AF129" s="799"/>
      <c r="AG129" s="799"/>
      <c r="AH129" s="799"/>
      <c r="AI129" s="799"/>
      <c r="AJ129" s="799"/>
      <c r="AK129" s="799"/>
      <c r="AL129" s="799"/>
      <c r="AM129" s="799"/>
      <c r="AN129" s="799"/>
      <c r="AO129" s="799"/>
      <c r="AP129" s="799"/>
      <c r="AQ129" s="799"/>
      <c r="AR129" s="799"/>
      <c r="AS129" s="799"/>
      <c r="AT129" s="799"/>
      <c r="AU129" s="799"/>
      <c r="AV129" s="799"/>
      <c r="AW129" s="799"/>
      <c r="AX129" s="799"/>
      <c r="AY129" s="799"/>
      <c r="AZ129" s="799"/>
      <c r="BA129" s="799"/>
      <c r="BB129" s="799"/>
      <c r="BC129" s="799"/>
      <c r="BD129" s="799"/>
      <c r="BE129" s="799"/>
      <c r="BF129" s="799"/>
      <c r="BG129" s="799"/>
    </row>
    <row r="130">
      <c r="H130" s="799"/>
      <c r="I130" s="799"/>
      <c r="J130" s="799"/>
      <c r="K130" s="799"/>
      <c r="L130" s="799"/>
      <c r="M130" s="799"/>
      <c r="N130" s="799"/>
      <c r="O130" s="799"/>
      <c r="P130" s="799"/>
      <c r="Q130" s="799"/>
      <c r="R130" s="799"/>
      <c r="S130" s="799"/>
      <c r="T130" s="799"/>
      <c r="U130" s="799"/>
      <c r="V130" s="799"/>
      <c r="W130" s="799"/>
      <c r="X130" s="799"/>
      <c r="Y130" s="799"/>
      <c r="Z130" s="799"/>
      <c r="AA130" s="799"/>
      <c r="AB130" s="799"/>
      <c r="AC130" s="799"/>
      <c r="AD130" s="799"/>
      <c r="AE130" s="799"/>
      <c r="AF130" s="799"/>
      <c r="AG130" s="799"/>
      <c r="AH130" s="799"/>
      <c r="AI130" s="799"/>
      <c r="AJ130" s="799"/>
      <c r="AK130" s="799"/>
      <c r="AL130" s="799"/>
      <c r="AM130" s="799"/>
      <c r="AN130" s="799"/>
      <c r="AO130" s="799"/>
      <c r="AP130" s="799"/>
      <c r="AQ130" s="799"/>
      <c r="AR130" s="799"/>
      <c r="AS130" s="799"/>
      <c r="AT130" s="799"/>
      <c r="AU130" s="799"/>
      <c r="AV130" s="799"/>
      <c r="AW130" s="799"/>
      <c r="AX130" s="799"/>
      <c r="AY130" s="799"/>
      <c r="AZ130" s="799"/>
      <c r="BA130" s="799"/>
      <c r="BB130" s="799"/>
      <c r="BC130" s="799"/>
      <c r="BD130" s="799"/>
      <c r="BE130" s="799"/>
      <c r="BF130" s="799"/>
      <c r="BG130" s="799"/>
    </row>
    <row r="131">
      <c r="H131" s="799"/>
      <c r="I131" s="799"/>
      <c r="J131" s="799"/>
      <c r="K131" s="799"/>
      <c r="L131" s="799"/>
      <c r="M131" s="799"/>
      <c r="N131" s="799"/>
      <c r="O131" s="799"/>
      <c r="P131" s="799"/>
      <c r="Q131" s="799"/>
      <c r="R131" s="799"/>
      <c r="S131" s="799"/>
      <c r="T131" s="799"/>
      <c r="U131" s="799"/>
      <c r="V131" s="799"/>
      <c r="W131" s="799"/>
      <c r="X131" s="799"/>
      <c r="Y131" s="799"/>
      <c r="Z131" s="799"/>
      <c r="AA131" s="799"/>
      <c r="AB131" s="799"/>
      <c r="AC131" s="799"/>
      <c r="AD131" s="799"/>
      <c r="AE131" s="799"/>
      <c r="AF131" s="799"/>
      <c r="AG131" s="799"/>
      <c r="AH131" s="799"/>
      <c r="AI131" s="799"/>
      <c r="AJ131" s="799"/>
      <c r="AK131" s="799"/>
      <c r="AL131" s="799"/>
      <c r="AM131" s="799"/>
      <c r="AN131" s="799"/>
      <c r="AO131" s="799"/>
      <c r="AP131" s="799"/>
      <c r="AQ131" s="799"/>
      <c r="AR131" s="799"/>
      <c r="AS131" s="799"/>
      <c r="AT131" s="799"/>
      <c r="AU131" s="799"/>
      <c r="AV131" s="799"/>
      <c r="AW131" s="799"/>
      <c r="AX131" s="799"/>
      <c r="AY131" s="799"/>
      <c r="AZ131" s="799"/>
      <c r="BA131" s="799"/>
      <c r="BB131" s="799"/>
      <c r="BC131" s="799"/>
      <c r="BD131" s="799"/>
      <c r="BE131" s="799"/>
      <c r="BF131" s="799"/>
      <c r="BG131" s="799"/>
    </row>
    <row r="132">
      <c r="H132" s="799"/>
      <c r="I132" s="799"/>
      <c r="J132" s="799"/>
      <c r="K132" s="799"/>
      <c r="L132" s="799"/>
      <c r="M132" s="799"/>
      <c r="N132" s="799"/>
      <c r="O132" s="799"/>
      <c r="P132" s="799"/>
      <c r="Q132" s="799"/>
      <c r="R132" s="799"/>
      <c r="S132" s="799"/>
      <c r="T132" s="799"/>
      <c r="U132" s="799"/>
      <c r="V132" s="799"/>
      <c r="W132" s="799"/>
      <c r="X132" s="799"/>
      <c r="Y132" s="799"/>
      <c r="Z132" s="799"/>
      <c r="AA132" s="799"/>
      <c r="AB132" s="799"/>
      <c r="AC132" s="799"/>
      <c r="AD132" s="799"/>
      <c r="AE132" s="799"/>
      <c r="AF132" s="799"/>
      <c r="AG132" s="799"/>
      <c r="AH132" s="799"/>
      <c r="AI132" s="799"/>
      <c r="AJ132" s="799"/>
      <c r="AK132" s="799"/>
      <c r="AL132" s="799"/>
      <c r="AM132" s="799"/>
      <c r="AN132" s="799"/>
      <c r="AO132" s="799"/>
      <c r="AP132" s="799"/>
      <c r="AQ132" s="799"/>
      <c r="AR132" s="799"/>
      <c r="AS132" s="799"/>
      <c r="AT132" s="799"/>
      <c r="AU132" s="799"/>
      <c r="AV132" s="799"/>
      <c r="AW132" s="799"/>
      <c r="AX132" s="799"/>
      <c r="AY132" s="799"/>
      <c r="AZ132" s="799"/>
      <c r="BA132" s="799"/>
      <c r="BB132" s="799"/>
      <c r="BC132" s="799"/>
      <c r="BD132" s="799"/>
      <c r="BE132" s="799"/>
      <c r="BF132" s="799"/>
      <c r="BG132" s="799"/>
    </row>
    <row r="133">
      <c r="H133" s="799"/>
      <c r="I133" s="799"/>
      <c r="J133" s="799"/>
      <c r="K133" s="799"/>
      <c r="L133" s="799"/>
      <c r="M133" s="799"/>
      <c r="N133" s="799"/>
      <c r="O133" s="799"/>
      <c r="P133" s="799"/>
      <c r="Q133" s="799"/>
      <c r="R133" s="799"/>
      <c r="S133" s="799"/>
      <c r="T133" s="799"/>
      <c r="U133" s="799"/>
      <c r="V133" s="799"/>
      <c r="W133" s="799"/>
      <c r="X133" s="799"/>
      <c r="Y133" s="799"/>
      <c r="Z133" s="799"/>
      <c r="AA133" s="799"/>
      <c r="AB133" s="799"/>
      <c r="AC133" s="799"/>
      <c r="AD133" s="799"/>
      <c r="AE133" s="799"/>
      <c r="AF133" s="799"/>
      <c r="AG133" s="799"/>
      <c r="AH133" s="799"/>
      <c r="AI133" s="799"/>
      <c r="AJ133" s="799"/>
      <c r="AK133" s="799"/>
      <c r="AL133" s="799"/>
      <c r="AM133" s="799"/>
      <c r="AN133" s="799"/>
      <c r="AO133" s="799"/>
      <c r="AP133" s="799"/>
      <c r="AQ133" s="799"/>
      <c r="AR133" s="799"/>
      <c r="AS133" s="799"/>
      <c r="AT133" s="799"/>
      <c r="AU133" s="799"/>
      <c r="AV133" s="799"/>
      <c r="AW133" s="799"/>
      <c r="AX133" s="799"/>
      <c r="AY133" s="799"/>
      <c r="AZ133" s="799"/>
      <c r="BA133" s="799"/>
      <c r="BB133" s="799"/>
      <c r="BC133" s="799"/>
      <c r="BD133" s="799"/>
      <c r="BE133" s="799"/>
      <c r="BF133" s="799"/>
      <c r="BG133" s="799"/>
    </row>
    <row r="134">
      <c r="H134" s="799"/>
      <c r="I134" s="799"/>
      <c r="J134" s="799"/>
      <c r="K134" s="799"/>
      <c r="L134" s="799"/>
      <c r="M134" s="799"/>
      <c r="N134" s="799"/>
      <c r="O134" s="799"/>
      <c r="P134" s="799"/>
      <c r="Q134" s="799"/>
      <c r="R134" s="799"/>
      <c r="S134" s="799"/>
      <c r="T134" s="799"/>
      <c r="U134" s="799"/>
      <c r="V134" s="799"/>
      <c r="W134" s="799"/>
      <c r="X134" s="799"/>
      <c r="Y134" s="799"/>
      <c r="Z134" s="799"/>
      <c r="AA134" s="799"/>
      <c r="AB134" s="799"/>
      <c r="AC134" s="799"/>
      <c r="AD134" s="799"/>
      <c r="AE134" s="799"/>
      <c r="AF134" s="799"/>
      <c r="AG134" s="799"/>
      <c r="AH134" s="799"/>
      <c r="AI134" s="799"/>
      <c r="AJ134" s="799"/>
      <c r="AK134" s="799"/>
      <c r="AL134" s="799"/>
      <c r="AM134" s="799"/>
      <c r="AN134" s="799"/>
      <c r="AO134" s="799"/>
      <c r="AP134" s="799"/>
      <c r="AQ134" s="799"/>
      <c r="AR134" s="799"/>
      <c r="AS134" s="799"/>
      <c r="AT134" s="799"/>
      <c r="AU134" s="799"/>
      <c r="AV134" s="799"/>
      <c r="AW134" s="799"/>
      <c r="AX134" s="799"/>
      <c r="AY134" s="799"/>
      <c r="AZ134" s="799"/>
      <c r="BA134" s="799"/>
      <c r="BB134" s="799"/>
      <c r="BC134" s="799"/>
      <c r="BD134" s="799"/>
      <c r="BE134" s="799"/>
      <c r="BF134" s="799"/>
      <c r="BG134" s="799"/>
    </row>
    <row r="135">
      <c r="H135" s="799"/>
      <c r="I135" s="799"/>
      <c r="J135" s="799"/>
      <c r="K135" s="799"/>
      <c r="L135" s="799"/>
      <c r="M135" s="799"/>
      <c r="N135" s="799"/>
      <c r="O135" s="799"/>
      <c r="P135" s="799"/>
      <c r="Q135" s="799"/>
      <c r="R135" s="799"/>
      <c r="S135" s="799"/>
      <c r="T135" s="799"/>
      <c r="U135" s="799"/>
      <c r="V135" s="799"/>
      <c r="W135" s="799"/>
      <c r="X135" s="799"/>
      <c r="Y135" s="799"/>
      <c r="Z135" s="799"/>
      <c r="AA135" s="799"/>
      <c r="AB135" s="799"/>
      <c r="AC135" s="799"/>
      <c r="AD135" s="799"/>
      <c r="AE135" s="799"/>
      <c r="AF135" s="799"/>
      <c r="AG135" s="799"/>
      <c r="AH135" s="799"/>
      <c r="AI135" s="799"/>
      <c r="AJ135" s="799"/>
      <c r="AK135" s="799"/>
      <c r="AL135" s="799"/>
      <c r="AM135" s="799"/>
      <c r="AN135" s="799"/>
      <c r="AO135" s="799"/>
      <c r="AP135" s="799"/>
      <c r="AQ135" s="799"/>
      <c r="AR135" s="799"/>
      <c r="AS135" s="799"/>
      <c r="AT135" s="799"/>
      <c r="AU135" s="799"/>
      <c r="AV135" s="799"/>
      <c r="AW135" s="799"/>
      <c r="AX135" s="799"/>
      <c r="AY135" s="799"/>
      <c r="AZ135" s="799"/>
      <c r="BA135" s="799"/>
      <c r="BB135" s="799"/>
      <c r="BC135" s="799"/>
      <c r="BD135" s="799"/>
      <c r="BE135" s="799"/>
      <c r="BF135" s="799"/>
      <c r="BG135" s="799"/>
    </row>
    <row r="136">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row>
    <row r="137">
      <c r="H137" s="799"/>
      <c r="I137" s="799"/>
      <c r="J137" s="799"/>
      <c r="K137" s="799"/>
      <c r="L137" s="799"/>
      <c r="M137" s="799"/>
      <c r="N137" s="799"/>
      <c r="O137" s="799"/>
      <c r="P137" s="799"/>
      <c r="Q137" s="799"/>
      <c r="R137" s="799"/>
      <c r="S137" s="799"/>
      <c r="T137" s="799"/>
      <c r="U137" s="799"/>
      <c r="V137" s="799"/>
      <c r="W137" s="799"/>
      <c r="X137" s="799"/>
      <c r="Y137" s="799"/>
      <c r="Z137" s="799"/>
      <c r="AA137" s="799"/>
      <c r="AB137" s="799"/>
      <c r="AC137" s="799"/>
      <c r="AD137" s="799"/>
      <c r="AE137" s="799"/>
      <c r="AF137" s="799"/>
      <c r="AG137" s="799"/>
      <c r="AH137" s="799"/>
      <c r="AI137" s="799"/>
      <c r="AJ137" s="799"/>
      <c r="AK137" s="799"/>
      <c r="AL137" s="799"/>
      <c r="AM137" s="799"/>
      <c r="AN137" s="799"/>
      <c r="AO137" s="799"/>
      <c r="AP137" s="799"/>
      <c r="AQ137" s="799"/>
      <c r="AR137" s="799"/>
      <c r="AS137" s="799"/>
      <c r="AT137" s="799"/>
      <c r="AU137" s="799"/>
      <c r="AV137" s="799"/>
      <c r="AW137" s="799"/>
      <c r="AX137" s="799"/>
      <c r="AY137" s="799"/>
      <c r="AZ137" s="799"/>
      <c r="BA137" s="799"/>
      <c r="BB137" s="799"/>
      <c r="BC137" s="799"/>
      <c r="BD137" s="799"/>
      <c r="BE137" s="799"/>
      <c r="BF137" s="799"/>
      <c r="BG137" s="799"/>
    </row>
    <row r="138">
      <c r="H138" s="799"/>
      <c r="I138" s="799"/>
      <c r="J138" s="799"/>
      <c r="K138" s="799"/>
      <c r="L138" s="799"/>
      <c r="M138" s="799"/>
      <c r="N138" s="799"/>
      <c r="O138" s="799"/>
      <c r="P138" s="799"/>
      <c r="Q138" s="799"/>
      <c r="R138" s="799"/>
      <c r="S138" s="799"/>
      <c r="T138" s="799"/>
      <c r="U138" s="799"/>
      <c r="V138" s="799"/>
      <c r="W138" s="799"/>
      <c r="X138" s="799"/>
      <c r="Y138" s="799"/>
      <c r="Z138" s="799"/>
      <c r="AA138" s="799"/>
      <c r="AB138" s="799"/>
      <c r="AC138" s="799"/>
      <c r="AD138" s="799"/>
      <c r="AE138" s="799"/>
      <c r="AF138" s="799"/>
      <c r="AG138" s="799"/>
      <c r="AH138" s="799"/>
      <c r="AI138" s="799"/>
      <c r="AJ138" s="799"/>
      <c r="AK138" s="799"/>
      <c r="AL138" s="799"/>
      <c r="AM138" s="799"/>
      <c r="AN138" s="799"/>
      <c r="AO138" s="799"/>
      <c r="AP138" s="799"/>
      <c r="AQ138" s="799"/>
      <c r="AR138" s="799"/>
      <c r="AS138" s="799"/>
      <c r="AT138" s="799"/>
      <c r="AU138" s="799"/>
      <c r="AV138" s="799"/>
      <c r="AW138" s="799"/>
      <c r="AX138" s="799"/>
      <c r="AY138" s="799"/>
      <c r="AZ138" s="799"/>
      <c r="BA138" s="799"/>
      <c r="BB138" s="799"/>
      <c r="BC138" s="799"/>
      <c r="BD138" s="799"/>
      <c r="BE138" s="799"/>
      <c r="BF138" s="799"/>
      <c r="BG138" s="799"/>
    </row>
    <row r="139">
      <c r="H139" s="799"/>
      <c r="I139" s="799"/>
      <c r="J139" s="799"/>
      <c r="K139" s="799"/>
      <c r="L139" s="799"/>
      <c r="M139" s="799"/>
      <c r="N139" s="799"/>
      <c r="O139" s="799"/>
      <c r="P139" s="799"/>
      <c r="Q139" s="799"/>
      <c r="R139" s="799"/>
      <c r="S139" s="799"/>
      <c r="T139" s="799"/>
      <c r="U139" s="799"/>
      <c r="V139" s="799"/>
      <c r="W139" s="799"/>
      <c r="X139" s="799"/>
      <c r="Y139" s="799"/>
      <c r="Z139" s="799"/>
      <c r="AA139" s="799"/>
      <c r="AB139" s="799"/>
      <c r="AC139" s="799"/>
      <c r="AD139" s="799"/>
      <c r="AE139" s="799"/>
      <c r="AF139" s="799"/>
      <c r="AG139" s="799"/>
      <c r="AH139" s="799"/>
      <c r="AI139" s="799"/>
      <c r="AJ139" s="799"/>
      <c r="AK139" s="799"/>
      <c r="AL139" s="799"/>
      <c r="AM139" s="799"/>
      <c r="AN139" s="799"/>
      <c r="AO139" s="799"/>
      <c r="AP139" s="799"/>
      <c r="AQ139" s="799"/>
      <c r="AR139" s="799"/>
      <c r="AS139" s="799"/>
      <c r="AT139" s="799"/>
      <c r="AU139" s="799"/>
      <c r="AV139" s="799"/>
      <c r="AW139" s="799"/>
      <c r="AX139" s="799"/>
      <c r="AY139" s="799"/>
      <c r="AZ139" s="799"/>
      <c r="BA139" s="799"/>
      <c r="BB139" s="799"/>
      <c r="BC139" s="799"/>
      <c r="BD139" s="799"/>
      <c r="BE139" s="799"/>
      <c r="BF139" s="799"/>
      <c r="BG139" s="799"/>
    </row>
    <row r="140">
      <c r="H140" s="799"/>
      <c r="I140" s="799"/>
      <c r="J140" s="799"/>
      <c r="K140" s="799"/>
      <c r="L140" s="799"/>
      <c r="M140" s="799"/>
      <c r="N140" s="799"/>
      <c r="O140" s="799"/>
      <c r="P140" s="799"/>
      <c r="Q140" s="799"/>
      <c r="R140" s="799"/>
      <c r="S140" s="799"/>
      <c r="T140" s="799"/>
      <c r="U140" s="799"/>
      <c r="V140" s="799"/>
      <c r="W140" s="799"/>
      <c r="X140" s="799"/>
      <c r="Y140" s="799"/>
      <c r="Z140" s="799"/>
      <c r="AA140" s="799"/>
      <c r="AB140" s="799"/>
      <c r="AC140" s="799"/>
      <c r="AD140" s="799"/>
      <c r="AE140" s="799"/>
      <c r="AF140" s="799"/>
      <c r="AG140" s="799"/>
      <c r="AH140" s="799"/>
      <c r="AI140" s="799"/>
      <c r="AJ140" s="799"/>
      <c r="AK140" s="799"/>
      <c r="AL140" s="799"/>
      <c r="AM140" s="799"/>
      <c r="AN140" s="799"/>
      <c r="AO140" s="799"/>
      <c r="AP140" s="799"/>
      <c r="AQ140" s="799"/>
      <c r="AR140" s="799"/>
      <c r="AS140" s="799"/>
      <c r="AT140" s="799"/>
      <c r="AU140" s="799"/>
      <c r="AV140" s="799"/>
      <c r="AW140" s="799"/>
      <c r="AX140" s="799"/>
      <c r="AY140" s="799"/>
      <c r="AZ140" s="799"/>
      <c r="BA140" s="799"/>
      <c r="BB140" s="799"/>
      <c r="BC140" s="799"/>
      <c r="BD140" s="799"/>
      <c r="BE140" s="799"/>
      <c r="BF140" s="799"/>
      <c r="BG140" s="799"/>
    </row>
    <row r="141">
      <c r="H141" s="799"/>
      <c r="I141" s="799"/>
      <c r="J141" s="799"/>
      <c r="K141" s="799"/>
      <c r="L141" s="799"/>
      <c r="M141" s="799"/>
      <c r="N141" s="799"/>
      <c r="O141" s="799"/>
      <c r="P141" s="799"/>
      <c r="Q141" s="799"/>
      <c r="R141" s="799"/>
      <c r="S141" s="799"/>
      <c r="T141" s="799"/>
      <c r="U141" s="799"/>
      <c r="V141" s="799"/>
      <c r="W141" s="799"/>
      <c r="X141" s="799"/>
      <c r="Y141" s="799"/>
      <c r="Z141" s="799"/>
      <c r="AA141" s="799"/>
      <c r="AB141" s="799"/>
      <c r="AC141" s="799"/>
      <c r="AD141" s="799"/>
      <c r="AE141" s="799"/>
      <c r="AF141" s="799"/>
      <c r="AG141" s="799"/>
      <c r="AH141" s="799"/>
      <c r="AI141" s="799"/>
      <c r="AJ141" s="799"/>
      <c r="AK141" s="799"/>
      <c r="AL141" s="799"/>
      <c r="AM141" s="799"/>
      <c r="AN141" s="799"/>
      <c r="AO141" s="799"/>
      <c r="AP141" s="799"/>
      <c r="AQ141" s="799"/>
      <c r="AR141" s="799"/>
      <c r="AS141" s="799"/>
      <c r="AT141" s="799"/>
      <c r="AU141" s="799"/>
      <c r="AV141" s="799"/>
      <c r="AW141" s="799"/>
      <c r="AX141" s="799"/>
      <c r="AY141" s="799"/>
      <c r="AZ141" s="799"/>
      <c r="BA141" s="799"/>
      <c r="BB141" s="799"/>
      <c r="BC141" s="799"/>
      <c r="BD141" s="799"/>
      <c r="BE141" s="799"/>
      <c r="BF141" s="799"/>
      <c r="BG141" s="799"/>
    </row>
    <row r="142">
      <c r="H142" s="799"/>
      <c r="I142" s="799"/>
      <c r="J142" s="799"/>
      <c r="K142" s="799"/>
      <c r="L142" s="799"/>
      <c r="M142" s="799"/>
      <c r="N142" s="799"/>
      <c r="O142" s="799"/>
      <c r="P142" s="799"/>
      <c r="Q142" s="799"/>
      <c r="R142" s="799"/>
      <c r="S142" s="799"/>
      <c r="T142" s="799"/>
      <c r="U142" s="799"/>
      <c r="V142" s="799"/>
      <c r="W142" s="799"/>
      <c r="X142" s="799"/>
      <c r="Y142" s="799"/>
      <c r="Z142" s="799"/>
      <c r="AA142" s="799"/>
      <c r="AB142" s="799"/>
      <c r="AC142" s="799"/>
      <c r="AD142" s="799"/>
      <c r="AE142" s="799"/>
      <c r="AF142" s="799"/>
      <c r="AG142" s="799"/>
      <c r="AH142" s="799"/>
      <c r="AI142" s="799"/>
      <c r="AJ142" s="799"/>
      <c r="AK142" s="799"/>
      <c r="AL142" s="799"/>
      <c r="AM142" s="799"/>
      <c r="AN142" s="799"/>
      <c r="AO142" s="799"/>
      <c r="AP142" s="799"/>
      <c r="AQ142" s="799"/>
      <c r="AR142" s="799"/>
      <c r="AS142" s="799"/>
      <c r="AT142" s="799"/>
      <c r="AU142" s="799"/>
      <c r="AV142" s="799"/>
      <c r="AW142" s="799"/>
      <c r="AX142" s="799"/>
      <c r="AY142" s="799"/>
      <c r="AZ142" s="799"/>
      <c r="BA142" s="799"/>
      <c r="BB142" s="799"/>
      <c r="BC142" s="799"/>
      <c r="BD142" s="799"/>
      <c r="BE142" s="799"/>
      <c r="BF142" s="799"/>
      <c r="BG142" s="799"/>
    </row>
    <row r="143">
      <c r="H143" s="799"/>
      <c r="I143" s="799"/>
      <c r="J143" s="799"/>
      <c r="K143" s="799"/>
      <c r="L143" s="799"/>
      <c r="M143" s="799"/>
      <c r="N143" s="799"/>
      <c r="O143" s="799"/>
      <c r="P143" s="799"/>
      <c r="Q143" s="799"/>
      <c r="R143" s="799"/>
      <c r="S143" s="799"/>
      <c r="T143" s="799"/>
      <c r="U143" s="799"/>
      <c r="V143" s="799"/>
      <c r="W143" s="799"/>
      <c r="X143" s="799"/>
      <c r="Y143" s="799"/>
      <c r="Z143" s="799"/>
      <c r="AA143" s="799"/>
      <c r="AB143" s="799"/>
      <c r="AC143" s="799"/>
      <c r="AD143" s="799"/>
      <c r="AE143" s="799"/>
      <c r="AF143" s="799"/>
      <c r="AG143" s="799"/>
      <c r="AH143" s="799"/>
      <c r="AI143" s="799"/>
      <c r="AJ143" s="799"/>
      <c r="AK143" s="799"/>
      <c r="AL143" s="799"/>
      <c r="AM143" s="799"/>
      <c r="AN143" s="799"/>
      <c r="AO143" s="799"/>
      <c r="AP143" s="799"/>
      <c r="AQ143" s="799"/>
      <c r="AR143" s="799"/>
      <c r="AS143" s="799"/>
      <c r="AT143" s="799"/>
      <c r="AU143" s="799"/>
      <c r="AV143" s="799"/>
      <c r="AW143" s="799"/>
      <c r="AX143" s="799"/>
      <c r="AY143" s="799"/>
      <c r="AZ143" s="799"/>
      <c r="BA143" s="799"/>
      <c r="BB143" s="799"/>
      <c r="BC143" s="799"/>
      <c r="BD143" s="799"/>
      <c r="BE143" s="799"/>
      <c r="BF143" s="799"/>
      <c r="BG143" s="799"/>
    </row>
    <row r="144">
      <c r="H144" s="799"/>
      <c r="I144" s="799"/>
      <c r="J144" s="799"/>
      <c r="K144" s="799"/>
      <c r="L144" s="799"/>
      <c r="M144" s="799"/>
      <c r="N144" s="799"/>
      <c r="O144" s="799"/>
      <c r="P144" s="799"/>
      <c r="Q144" s="799"/>
      <c r="R144" s="799"/>
      <c r="S144" s="799"/>
      <c r="T144" s="799"/>
      <c r="U144" s="799"/>
      <c r="V144" s="799"/>
      <c r="W144" s="799"/>
      <c r="X144" s="799"/>
      <c r="Y144" s="799"/>
      <c r="Z144" s="799"/>
      <c r="AA144" s="799"/>
      <c r="AB144" s="799"/>
      <c r="AC144" s="799"/>
      <c r="AD144" s="799"/>
      <c r="AE144" s="799"/>
      <c r="AF144" s="799"/>
      <c r="AG144" s="799"/>
      <c r="AH144" s="799"/>
      <c r="AI144" s="799"/>
      <c r="AJ144" s="799"/>
      <c r="AK144" s="799"/>
      <c r="AL144" s="799"/>
      <c r="AM144" s="799"/>
      <c r="AN144" s="799"/>
      <c r="AO144" s="799"/>
      <c r="AP144" s="799"/>
      <c r="AQ144" s="799"/>
      <c r="AR144" s="799"/>
      <c r="AS144" s="799"/>
      <c r="AT144" s="799"/>
      <c r="AU144" s="799"/>
      <c r="AV144" s="799"/>
      <c r="AW144" s="799"/>
      <c r="AX144" s="799"/>
      <c r="AY144" s="799"/>
      <c r="AZ144" s="799"/>
      <c r="BA144" s="799"/>
      <c r="BB144" s="799"/>
      <c r="BC144" s="799"/>
      <c r="BD144" s="799"/>
      <c r="BE144" s="799"/>
      <c r="BF144" s="799"/>
      <c r="BG144" s="799"/>
    </row>
    <row r="145">
      <c r="H145" s="799"/>
      <c r="I145" s="799"/>
      <c r="J145" s="799"/>
      <c r="K145" s="799"/>
      <c r="L145" s="799"/>
      <c r="M145" s="799"/>
      <c r="N145" s="799"/>
      <c r="O145" s="799"/>
      <c r="P145" s="799"/>
      <c r="Q145" s="799"/>
      <c r="R145" s="799"/>
      <c r="S145" s="799"/>
      <c r="T145" s="799"/>
      <c r="U145" s="799"/>
      <c r="V145" s="799"/>
      <c r="W145" s="799"/>
      <c r="X145" s="799"/>
      <c r="Y145" s="799"/>
      <c r="Z145" s="799"/>
      <c r="AA145" s="799"/>
      <c r="AB145" s="799"/>
      <c r="AC145" s="799"/>
      <c r="AD145" s="799"/>
      <c r="AE145" s="799"/>
      <c r="AF145" s="799"/>
      <c r="AG145" s="799"/>
      <c r="AH145" s="799"/>
      <c r="AI145" s="799"/>
      <c r="AJ145" s="799"/>
      <c r="AK145" s="799"/>
      <c r="AL145" s="799"/>
      <c r="AM145" s="799"/>
      <c r="AN145" s="799"/>
      <c r="AO145" s="799"/>
      <c r="AP145" s="799"/>
      <c r="AQ145" s="799"/>
      <c r="AR145" s="799"/>
      <c r="AS145" s="799"/>
      <c r="AT145" s="799"/>
      <c r="AU145" s="799"/>
      <c r="AV145" s="799"/>
      <c r="AW145" s="799"/>
      <c r="AX145" s="799"/>
      <c r="AY145" s="799"/>
      <c r="AZ145" s="799"/>
      <c r="BA145" s="799"/>
      <c r="BB145" s="799"/>
      <c r="BC145" s="799"/>
      <c r="BD145" s="799"/>
      <c r="BE145" s="799"/>
      <c r="BF145" s="799"/>
      <c r="BG145" s="799"/>
    </row>
    <row r="146">
      <c r="H146" s="799"/>
      <c r="I146" s="799"/>
      <c r="J146" s="799"/>
      <c r="K146" s="799"/>
      <c r="L146" s="799"/>
      <c r="M146" s="799"/>
      <c r="N146" s="799"/>
      <c r="O146" s="799"/>
      <c r="P146" s="799"/>
      <c r="Q146" s="799"/>
      <c r="R146" s="799"/>
      <c r="S146" s="799"/>
      <c r="T146" s="799"/>
      <c r="U146" s="799"/>
      <c r="V146" s="799"/>
      <c r="W146" s="799"/>
      <c r="X146" s="799"/>
      <c r="Y146" s="799"/>
      <c r="Z146" s="799"/>
      <c r="AA146" s="799"/>
      <c r="AB146" s="799"/>
      <c r="AC146" s="799"/>
      <c r="AD146" s="799"/>
      <c r="AE146" s="799"/>
      <c r="AF146" s="799"/>
      <c r="AG146" s="799"/>
      <c r="AH146" s="799"/>
      <c r="AI146" s="799"/>
      <c r="AJ146" s="799"/>
      <c r="AK146" s="799"/>
      <c r="AL146" s="799"/>
      <c r="AM146" s="799"/>
      <c r="AN146" s="799"/>
      <c r="AO146" s="799"/>
      <c r="AP146" s="799"/>
      <c r="AQ146" s="799"/>
      <c r="AR146" s="799"/>
      <c r="AS146" s="799"/>
      <c r="AT146" s="799"/>
      <c r="AU146" s="799"/>
      <c r="AV146" s="799"/>
      <c r="AW146" s="799"/>
      <c r="AX146" s="799"/>
      <c r="AY146" s="799"/>
      <c r="AZ146" s="799"/>
      <c r="BA146" s="799"/>
      <c r="BB146" s="799"/>
      <c r="BC146" s="799"/>
      <c r="BD146" s="799"/>
      <c r="BE146" s="799"/>
      <c r="BF146" s="799"/>
      <c r="BG146" s="799"/>
    </row>
    <row r="147">
      <c r="H147" s="799"/>
      <c r="I147" s="799"/>
      <c r="J147" s="799"/>
      <c r="K147" s="799"/>
      <c r="L147" s="799"/>
      <c r="M147" s="799"/>
      <c r="N147" s="799"/>
      <c r="O147" s="799"/>
      <c r="P147" s="799"/>
      <c r="Q147" s="799"/>
      <c r="R147" s="799"/>
      <c r="S147" s="799"/>
      <c r="T147" s="799"/>
      <c r="U147" s="799"/>
      <c r="V147" s="799"/>
      <c r="W147" s="799"/>
      <c r="X147" s="799"/>
      <c r="Y147" s="799"/>
      <c r="Z147" s="799"/>
      <c r="AA147" s="799"/>
      <c r="AB147" s="799"/>
      <c r="AC147" s="799"/>
      <c r="AD147" s="799"/>
      <c r="AE147" s="799"/>
      <c r="AF147" s="799"/>
      <c r="AG147" s="799"/>
      <c r="AH147" s="799"/>
      <c r="AI147" s="799"/>
      <c r="AJ147" s="799"/>
      <c r="AK147" s="799"/>
      <c r="AL147" s="799"/>
      <c r="AM147" s="799"/>
      <c r="AN147" s="799"/>
      <c r="AO147" s="799"/>
      <c r="AP147" s="799"/>
      <c r="AQ147" s="799"/>
      <c r="AR147" s="799"/>
      <c r="AS147" s="799"/>
      <c r="AT147" s="799"/>
      <c r="AU147" s="799"/>
      <c r="AV147" s="799"/>
      <c r="AW147" s="799"/>
      <c r="AX147" s="799"/>
      <c r="AY147" s="799"/>
      <c r="AZ147" s="799"/>
      <c r="BA147" s="799"/>
      <c r="BB147" s="799"/>
      <c r="BC147" s="799"/>
      <c r="BD147" s="799"/>
      <c r="BE147" s="799"/>
      <c r="BF147" s="799"/>
      <c r="BG147" s="799"/>
    </row>
    <row r="148">
      <c r="H148" s="799"/>
      <c r="I148" s="799"/>
      <c r="J148" s="799"/>
      <c r="K148" s="799"/>
      <c r="L148" s="799"/>
      <c r="M148" s="799"/>
      <c r="N148" s="799"/>
      <c r="O148" s="799"/>
      <c r="P148" s="799"/>
      <c r="Q148" s="799"/>
      <c r="R148" s="799"/>
      <c r="S148" s="799"/>
      <c r="T148" s="799"/>
      <c r="U148" s="799"/>
      <c r="V148" s="799"/>
      <c r="W148" s="799"/>
      <c r="X148" s="799"/>
      <c r="Y148" s="799"/>
      <c r="Z148" s="799"/>
      <c r="AA148" s="799"/>
      <c r="AB148" s="799"/>
      <c r="AC148" s="799"/>
      <c r="AD148" s="799"/>
      <c r="AE148" s="799"/>
      <c r="AF148" s="799"/>
      <c r="AG148" s="799"/>
      <c r="AH148" s="799"/>
      <c r="AI148" s="799"/>
      <c r="AJ148" s="799"/>
      <c r="AK148" s="799"/>
      <c r="AL148" s="799"/>
      <c r="AM148" s="799"/>
      <c r="AN148" s="799"/>
      <c r="AO148" s="799"/>
      <c r="AP148" s="799"/>
      <c r="AQ148" s="799"/>
      <c r="AR148" s="799"/>
      <c r="AS148" s="799"/>
      <c r="AT148" s="799"/>
      <c r="AU148" s="799"/>
      <c r="AV148" s="799"/>
      <c r="AW148" s="799"/>
      <c r="AX148" s="799"/>
      <c r="AY148" s="799"/>
      <c r="AZ148" s="799"/>
      <c r="BA148" s="799"/>
      <c r="BB148" s="799"/>
      <c r="BC148" s="799"/>
      <c r="BD148" s="799"/>
      <c r="BE148" s="799"/>
      <c r="BF148" s="799"/>
      <c r="BG148" s="799"/>
    </row>
    <row r="149">
      <c r="H149" s="799"/>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799"/>
      <c r="AL149" s="799"/>
      <c r="AM149" s="799"/>
      <c r="AN149" s="799"/>
      <c r="AO149" s="799"/>
      <c r="AP149" s="799"/>
      <c r="AQ149" s="799"/>
      <c r="AR149" s="799"/>
      <c r="AS149" s="799"/>
      <c r="AT149" s="799"/>
      <c r="AU149" s="799"/>
      <c r="AV149" s="799"/>
      <c r="AW149" s="799"/>
      <c r="AX149" s="799"/>
      <c r="AY149" s="799"/>
      <c r="AZ149" s="799"/>
      <c r="BA149" s="799"/>
      <c r="BB149" s="799"/>
      <c r="BC149" s="799"/>
      <c r="BD149" s="799"/>
      <c r="BE149" s="799"/>
      <c r="BF149" s="799"/>
      <c r="BG149" s="799"/>
    </row>
    <row r="150">
      <c r="H150" s="799"/>
      <c r="I150" s="799"/>
      <c r="J150" s="799"/>
      <c r="K150" s="799"/>
      <c r="L150" s="799"/>
      <c r="M150" s="799"/>
      <c r="N150" s="799"/>
      <c r="O150" s="799"/>
      <c r="P150" s="799"/>
      <c r="Q150" s="799"/>
      <c r="R150" s="799"/>
      <c r="S150" s="799"/>
      <c r="T150" s="799"/>
      <c r="U150" s="799"/>
      <c r="V150" s="799"/>
      <c r="W150" s="799"/>
      <c r="X150" s="799"/>
      <c r="Y150" s="799"/>
      <c r="Z150" s="799"/>
      <c r="AA150" s="799"/>
      <c r="AB150" s="799"/>
      <c r="AC150" s="799"/>
      <c r="AD150" s="799"/>
      <c r="AE150" s="799"/>
      <c r="AF150" s="799"/>
      <c r="AG150" s="799"/>
      <c r="AH150" s="799"/>
      <c r="AI150" s="799"/>
      <c r="AJ150" s="799"/>
      <c r="AK150" s="799"/>
      <c r="AL150" s="799"/>
      <c r="AM150" s="799"/>
      <c r="AN150" s="799"/>
      <c r="AO150" s="799"/>
      <c r="AP150" s="799"/>
      <c r="AQ150" s="799"/>
      <c r="AR150" s="799"/>
      <c r="AS150" s="799"/>
      <c r="AT150" s="799"/>
      <c r="AU150" s="799"/>
      <c r="AV150" s="799"/>
      <c r="AW150" s="799"/>
      <c r="AX150" s="799"/>
      <c r="AY150" s="799"/>
      <c r="AZ150" s="799"/>
      <c r="BA150" s="799"/>
      <c r="BB150" s="799"/>
      <c r="BC150" s="799"/>
      <c r="BD150" s="799"/>
      <c r="BE150" s="799"/>
      <c r="BF150" s="799"/>
      <c r="BG150" s="799"/>
    </row>
    <row r="151">
      <c r="H151" s="799"/>
      <c r="I151" s="799"/>
      <c r="J151" s="799"/>
      <c r="K151" s="799"/>
      <c r="L151" s="799"/>
      <c r="M151" s="799"/>
      <c r="N151" s="799"/>
      <c r="O151" s="799"/>
      <c r="P151" s="799"/>
      <c r="Q151" s="799"/>
      <c r="R151" s="799"/>
      <c r="S151" s="799"/>
      <c r="T151" s="799"/>
      <c r="U151" s="799"/>
      <c r="V151" s="799"/>
      <c r="W151" s="799"/>
      <c r="X151" s="799"/>
      <c r="Y151" s="799"/>
      <c r="Z151" s="799"/>
      <c r="AA151" s="799"/>
      <c r="AB151" s="799"/>
      <c r="AC151" s="799"/>
      <c r="AD151" s="799"/>
      <c r="AE151" s="799"/>
      <c r="AF151" s="799"/>
      <c r="AG151" s="799"/>
      <c r="AH151" s="799"/>
      <c r="AI151" s="799"/>
      <c r="AJ151" s="799"/>
      <c r="AK151" s="799"/>
      <c r="AL151" s="799"/>
      <c r="AM151" s="799"/>
      <c r="AN151" s="799"/>
      <c r="AO151" s="799"/>
      <c r="AP151" s="799"/>
      <c r="AQ151" s="799"/>
      <c r="AR151" s="799"/>
      <c r="AS151" s="799"/>
      <c r="AT151" s="799"/>
      <c r="AU151" s="799"/>
      <c r="AV151" s="799"/>
      <c r="AW151" s="799"/>
      <c r="AX151" s="799"/>
      <c r="AY151" s="799"/>
      <c r="AZ151" s="799"/>
      <c r="BA151" s="799"/>
      <c r="BB151" s="799"/>
      <c r="BC151" s="799"/>
      <c r="BD151" s="799"/>
      <c r="BE151" s="799"/>
      <c r="BF151" s="799"/>
      <c r="BG151" s="799"/>
    </row>
    <row r="152">
      <c r="H152" s="799"/>
      <c r="I152" s="799"/>
      <c r="J152" s="799"/>
      <c r="K152" s="799"/>
      <c r="L152" s="799"/>
      <c r="M152" s="799"/>
      <c r="N152" s="799"/>
      <c r="O152" s="799"/>
      <c r="P152" s="799"/>
      <c r="Q152" s="799"/>
      <c r="R152" s="799"/>
      <c r="S152" s="799"/>
      <c r="T152" s="799"/>
      <c r="U152" s="799"/>
      <c r="V152" s="799"/>
      <c r="W152" s="799"/>
      <c r="X152" s="799"/>
      <c r="Y152" s="799"/>
      <c r="Z152" s="799"/>
      <c r="AA152" s="799"/>
      <c r="AB152" s="799"/>
      <c r="AC152" s="799"/>
      <c r="AD152" s="799"/>
      <c r="AE152" s="799"/>
      <c r="AF152" s="799"/>
      <c r="AG152" s="799"/>
      <c r="AH152" s="799"/>
      <c r="AI152" s="799"/>
      <c r="AJ152" s="799"/>
      <c r="AK152" s="799"/>
      <c r="AL152" s="799"/>
      <c r="AM152" s="799"/>
      <c r="AN152" s="799"/>
      <c r="AO152" s="799"/>
      <c r="AP152" s="799"/>
      <c r="AQ152" s="799"/>
      <c r="AR152" s="799"/>
      <c r="AS152" s="799"/>
      <c r="AT152" s="799"/>
      <c r="AU152" s="799"/>
      <c r="AV152" s="799"/>
      <c r="AW152" s="799"/>
      <c r="AX152" s="799"/>
      <c r="AY152" s="799"/>
      <c r="AZ152" s="799"/>
      <c r="BA152" s="799"/>
      <c r="BB152" s="799"/>
      <c r="BC152" s="799"/>
      <c r="BD152" s="799"/>
      <c r="BE152" s="799"/>
      <c r="BF152" s="799"/>
      <c r="BG152" s="799"/>
    </row>
    <row r="153">
      <c r="H153" s="799"/>
      <c r="I153" s="799"/>
      <c r="J153" s="799"/>
      <c r="K153" s="799"/>
      <c r="L153" s="799"/>
      <c r="M153" s="799"/>
      <c r="N153" s="799"/>
      <c r="O153" s="799"/>
      <c r="P153" s="799"/>
      <c r="Q153" s="799"/>
      <c r="R153" s="799"/>
      <c r="S153" s="799"/>
      <c r="T153" s="799"/>
      <c r="U153" s="799"/>
      <c r="V153" s="799"/>
      <c r="W153" s="799"/>
      <c r="X153" s="799"/>
      <c r="Y153" s="799"/>
      <c r="Z153" s="799"/>
      <c r="AA153" s="799"/>
      <c r="AB153" s="799"/>
      <c r="AC153" s="799"/>
      <c r="AD153" s="799"/>
      <c r="AE153" s="799"/>
      <c r="AF153" s="799"/>
      <c r="AG153" s="799"/>
      <c r="AH153" s="799"/>
      <c r="AI153" s="799"/>
      <c r="AJ153" s="799"/>
      <c r="AK153" s="799"/>
      <c r="AL153" s="799"/>
      <c r="AM153" s="799"/>
      <c r="AN153" s="799"/>
      <c r="AO153" s="799"/>
      <c r="AP153" s="799"/>
      <c r="AQ153" s="799"/>
      <c r="AR153" s="799"/>
      <c r="AS153" s="799"/>
      <c r="AT153" s="799"/>
      <c r="AU153" s="799"/>
      <c r="AV153" s="799"/>
      <c r="AW153" s="799"/>
      <c r="AX153" s="799"/>
      <c r="AY153" s="799"/>
      <c r="AZ153" s="799"/>
      <c r="BA153" s="799"/>
      <c r="BB153" s="799"/>
      <c r="BC153" s="799"/>
      <c r="BD153" s="799"/>
      <c r="BE153" s="799"/>
      <c r="BF153" s="799"/>
      <c r="BG153" s="799"/>
    </row>
    <row r="154">
      <c r="H154" s="799"/>
      <c r="I154" s="799"/>
      <c r="J154" s="799"/>
      <c r="K154" s="799"/>
      <c r="L154" s="799"/>
      <c r="M154" s="799"/>
      <c r="N154" s="799"/>
      <c r="O154" s="799"/>
      <c r="P154" s="799"/>
      <c r="Q154" s="799"/>
      <c r="R154" s="799"/>
      <c r="S154" s="799"/>
      <c r="T154" s="799"/>
      <c r="U154" s="799"/>
      <c r="V154" s="799"/>
      <c r="W154" s="799"/>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row>
    <row r="155">
      <c r="H155" s="799"/>
      <c r="I155" s="799"/>
      <c r="J155" s="799"/>
      <c r="K155" s="799"/>
      <c r="L155" s="799"/>
      <c r="M155" s="799"/>
      <c r="N155" s="799"/>
      <c r="O155" s="799"/>
      <c r="P155" s="799"/>
      <c r="Q155" s="799"/>
      <c r="R155" s="799"/>
      <c r="S155" s="799"/>
      <c r="T155" s="799"/>
      <c r="U155" s="799"/>
      <c r="V155" s="799"/>
      <c r="W155" s="799"/>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row>
    <row r="156">
      <c r="H156" s="799"/>
      <c r="I156" s="799"/>
      <c r="J156" s="799"/>
      <c r="K156" s="799"/>
      <c r="L156" s="799"/>
      <c r="M156" s="799"/>
      <c r="N156" s="799"/>
      <c r="O156" s="799"/>
      <c r="P156" s="799"/>
      <c r="Q156" s="799"/>
      <c r="R156" s="799"/>
      <c r="S156" s="799"/>
      <c r="T156" s="799"/>
      <c r="U156" s="799"/>
      <c r="V156" s="799"/>
      <c r="W156" s="799"/>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row>
    <row r="157">
      <c r="H157" s="799"/>
      <c r="I157" s="799"/>
      <c r="J157" s="799"/>
      <c r="K157" s="799"/>
      <c r="L157" s="799"/>
      <c r="M157" s="799"/>
      <c r="N157" s="799"/>
      <c r="O157" s="799"/>
      <c r="P157" s="799"/>
      <c r="Q157" s="799"/>
      <c r="R157" s="799"/>
      <c r="S157" s="799"/>
      <c r="T157" s="799"/>
      <c r="U157" s="799"/>
      <c r="V157" s="799"/>
      <c r="W157" s="799"/>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row>
    <row r="158">
      <c r="H158" s="799"/>
      <c r="I158" s="799"/>
      <c r="J158" s="799"/>
      <c r="K158" s="799"/>
      <c r="L158" s="799"/>
      <c r="M158" s="799"/>
      <c r="N158" s="799"/>
      <c r="O158" s="799"/>
      <c r="P158" s="799"/>
      <c r="Q158" s="799"/>
      <c r="R158" s="799"/>
      <c r="S158" s="799"/>
      <c r="T158" s="799"/>
      <c r="U158" s="799"/>
      <c r="V158" s="799"/>
      <c r="W158" s="799"/>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row>
    <row r="159">
      <c r="H159" s="799"/>
      <c r="I159" s="799"/>
      <c r="J159" s="799"/>
      <c r="K159" s="799"/>
      <c r="L159" s="799"/>
      <c r="M159" s="799"/>
      <c r="N159" s="799"/>
      <c r="O159" s="799"/>
      <c r="P159" s="799"/>
      <c r="Q159" s="799"/>
      <c r="R159" s="799"/>
      <c r="S159" s="799"/>
      <c r="T159" s="799"/>
      <c r="U159" s="799"/>
      <c r="V159" s="799"/>
      <c r="W159" s="799"/>
      <c r="X159" s="799"/>
      <c r="Y159" s="799"/>
      <c r="Z159" s="799"/>
      <c r="AA159" s="799"/>
      <c r="AB159" s="799"/>
      <c r="AC159" s="799"/>
      <c r="AD159" s="799"/>
      <c r="AE159" s="799"/>
      <c r="AF159" s="799"/>
      <c r="AG159" s="799"/>
      <c r="AH159" s="799"/>
      <c r="AI159" s="799"/>
      <c r="AJ159" s="799"/>
      <c r="AK159" s="799"/>
      <c r="AL159" s="799"/>
      <c r="AM159" s="799"/>
      <c r="AN159" s="799"/>
      <c r="AO159" s="799"/>
      <c r="AP159" s="799"/>
      <c r="AQ159" s="799"/>
      <c r="AR159" s="799"/>
      <c r="AS159" s="799"/>
      <c r="AT159" s="799"/>
      <c r="AU159" s="799"/>
      <c r="AV159" s="799"/>
      <c r="AW159" s="799"/>
      <c r="AX159" s="799"/>
      <c r="AY159" s="799"/>
      <c r="AZ159" s="799"/>
      <c r="BA159" s="799"/>
      <c r="BB159" s="799"/>
      <c r="BC159" s="799"/>
      <c r="BD159" s="799"/>
      <c r="BE159" s="799"/>
      <c r="BF159" s="799"/>
      <c r="BG159" s="799"/>
    </row>
    <row r="160">
      <c r="H160" s="799"/>
      <c r="I160" s="799"/>
      <c r="J160" s="799"/>
      <c r="K160" s="799"/>
      <c r="L160" s="799"/>
      <c r="M160" s="799"/>
      <c r="N160" s="799"/>
      <c r="O160" s="799"/>
      <c r="P160" s="799"/>
      <c r="Q160" s="799"/>
      <c r="R160" s="799"/>
      <c r="S160" s="799"/>
      <c r="T160" s="799"/>
      <c r="U160" s="799"/>
      <c r="V160" s="799"/>
      <c r="W160" s="799"/>
      <c r="X160" s="799"/>
      <c r="Y160" s="799"/>
      <c r="Z160" s="799"/>
      <c r="AA160" s="799"/>
      <c r="AB160" s="799"/>
      <c r="AC160" s="799"/>
      <c r="AD160" s="799"/>
      <c r="AE160" s="799"/>
      <c r="AF160" s="799"/>
      <c r="AG160" s="799"/>
      <c r="AH160" s="799"/>
      <c r="AI160" s="799"/>
      <c r="AJ160" s="799"/>
      <c r="AK160" s="799"/>
      <c r="AL160" s="799"/>
      <c r="AM160" s="799"/>
      <c r="AN160" s="799"/>
      <c r="AO160" s="799"/>
      <c r="AP160" s="799"/>
      <c r="AQ160" s="799"/>
      <c r="AR160" s="799"/>
      <c r="AS160" s="799"/>
      <c r="AT160" s="799"/>
      <c r="AU160" s="799"/>
      <c r="AV160" s="799"/>
      <c r="AW160" s="799"/>
      <c r="AX160" s="799"/>
      <c r="AY160" s="799"/>
      <c r="AZ160" s="799"/>
      <c r="BA160" s="799"/>
      <c r="BB160" s="799"/>
      <c r="BC160" s="799"/>
      <c r="BD160" s="799"/>
      <c r="BE160" s="799"/>
      <c r="BF160" s="799"/>
      <c r="BG160" s="799"/>
    </row>
    <row r="161">
      <c r="H161" s="799"/>
      <c r="I161" s="799"/>
      <c r="J161" s="799"/>
      <c r="K161" s="799"/>
      <c r="L161" s="799"/>
      <c r="M161" s="799"/>
      <c r="N161" s="799"/>
      <c r="O161" s="799"/>
      <c r="P161" s="799"/>
      <c r="Q161" s="799"/>
      <c r="R161" s="799"/>
      <c r="S161" s="799"/>
      <c r="T161" s="799"/>
      <c r="U161" s="799"/>
      <c r="V161" s="799"/>
      <c r="W161" s="799"/>
      <c r="X161" s="799"/>
      <c r="Y161" s="799"/>
      <c r="Z161" s="799"/>
      <c r="AA161" s="799"/>
      <c r="AB161" s="799"/>
      <c r="AC161" s="799"/>
      <c r="AD161" s="799"/>
      <c r="AE161" s="799"/>
      <c r="AF161" s="799"/>
      <c r="AG161" s="799"/>
      <c r="AH161" s="799"/>
      <c r="AI161" s="799"/>
      <c r="AJ161" s="799"/>
      <c r="AK161" s="799"/>
      <c r="AL161" s="799"/>
      <c r="AM161" s="799"/>
      <c r="AN161" s="799"/>
      <c r="AO161" s="799"/>
      <c r="AP161" s="799"/>
      <c r="AQ161" s="799"/>
      <c r="AR161" s="799"/>
      <c r="AS161" s="799"/>
      <c r="AT161" s="799"/>
      <c r="AU161" s="799"/>
      <c r="AV161" s="799"/>
      <c r="AW161" s="799"/>
      <c r="AX161" s="799"/>
      <c r="AY161" s="799"/>
      <c r="AZ161" s="799"/>
      <c r="BA161" s="799"/>
      <c r="BB161" s="799"/>
      <c r="BC161" s="799"/>
      <c r="BD161" s="799"/>
      <c r="BE161" s="799"/>
      <c r="BF161" s="799"/>
      <c r="BG161" s="799"/>
    </row>
    <row r="162">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row>
    <row r="163">
      <c r="H163" s="799"/>
      <c r="I163" s="799"/>
      <c r="J163" s="799"/>
      <c r="K163" s="799"/>
      <c r="L163" s="799"/>
      <c r="M163" s="799"/>
      <c r="N163" s="799"/>
      <c r="O163" s="799"/>
      <c r="P163" s="799"/>
      <c r="Q163" s="799"/>
      <c r="R163" s="799"/>
      <c r="S163" s="799"/>
      <c r="T163" s="799"/>
      <c r="U163" s="799"/>
      <c r="V163" s="799"/>
      <c r="W163" s="799"/>
      <c r="X163" s="799"/>
      <c r="Y163" s="799"/>
      <c r="Z163" s="799"/>
      <c r="AA163" s="799"/>
      <c r="AB163" s="799"/>
      <c r="AC163" s="799"/>
      <c r="AD163" s="799"/>
      <c r="AE163" s="799"/>
      <c r="AF163" s="799"/>
      <c r="AG163" s="799"/>
      <c r="AH163" s="799"/>
      <c r="AI163" s="799"/>
      <c r="AJ163" s="799"/>
      <c r="AK163" s="799"/>
      <c r="AL163" s="799"/>
      <c r="AM163" s="799"/>
      <c r="AN163" s="799"/>
      <c r="AO163" s="799"/>
      <c r="AP163" s="799"/>
      <c r="AQ163" s="799"/>
      <c r="AR163" s="799"/>
      <c r="AS163" s="799"/>
      <c r="AT163" s="799"/>
      <c r="AU163" s="799"/>
      <c r="AV163" s="799"/>
      <c r="AW163" s="799"/>
      <c r="AX163" s="799"/>
      <c r="AY163" s="799"/>
      <c r="AZ163" s="799"/>
      <c r="BA163" s="799"/>
      <c r="BB163" s="799"/>
      <c r="BC163" s="799"/>
      <c r="BD163" s="799"/>
      <c r="BE163" s="799"/>
      <c r="BF163" s="799"/>
      <c r="BG163" s="799"/>
    </row>
    <row r="164">
      <c r="H164" s="799"/>
      <c r="I164" s="799"/>
      <c r="J164" s="799"/>
      <c r="K164" s="799"/>
      <c r="L164" s="799"/>
      <c r="M164" s="799"/>
      <c r="N164" s="799"/>
      <c r="O164" s="799"/>
      <c r="P164" s="799"/>
      <c r="Q164" s="799"/>
      <c r="R164" s="799"/>
      <c r="S164" s="799"/>
      <c r="T164" s="799"/>
      <c r="U164" s="799"/>
      <c r="V164" s="799"/>
      <c r="W164" s="799"/>
      <c r="X164" s="799"/>
      <c r="Y164" s="799"/>
      <c r="Z164" s="799"/>
      <c r="AA164" s="799"/>
      <c r="AB164" s="799"/>
      <c r="AC164" s="799"/>
      <c r="AD164" s="799"/>
      <c r="AE164" s="799"/>
      <c r="AF164" s="799"/>
      <c r="AG164" s="799"/>
      <c r="AH164" s="799"/>
      <c r="AI164" s="799"/>
      <c r="AJ164" s="799"/>
      <c r="AK164" s="799"/>
      <c r="AL164" s="799"/>
      <c r="AM164" s="799"/>
      <c r="AN164" s="799"/>
      <c r="AO164" s="799"/>
      <c r="AP164" s="799"/>
      <c r="AQ164" s="799"/>
      <c r="AR164" s="799"/>
      <c r="AS164" s="799"/>
      <c r="AT164" s="799"/>
      <c r="AU164" s="799"/>
      <c r="AV164" s="799"/>
      <c r="AW164" s="799"/>
      <c r="AX164" s="799"/>
      <c r="AY164" s="799"/>
      <c r="AZ164" s="799"/>
      <c r="BA164" s="799"/>
      <c r="BB164" s="799"/>
      <c r="BC164" s="799"/>
      <c r="BD164" s="799"/>
      <c r="BE164" s="799"/>
      <c r="BF164" s="799"/>
      <c r="BG164" s="799"/>
    </row>
    <row r="165">
      <c r="H165" s="799"/>
      <c r="I165" s="799"/>
      <c r="J165" s="799"/>
      <c r="K165" s="799"/>
      <c r="L165" s="799"/>
      <c r="M165" s="799"/>
      <c r="N165" s="799"/>
      <c r="O165" s="799"/>
      <c r="P165" s="799"/>
      <c r="Q165" s="799"/>
      <c r="R165" s="799"/>
      <c r="S165" s="799"/>
      <c r="T165" s="799"/>
      <c r="U165" s="799"/>
      <c r="V165" s="799"/>
      <c r="W165" s="799"/>
      <c r="X165" s="799"/>
      <c r="Y165" s="799"/>
      <c r="Z165" s="799"/>
      <c r="AA165" s="799"/>
      <c r="AB165" s="799"/>
      <c r="AC165" s="799"/>
      <c r="AD165" s="799"/>
      <c r="AE165" s="799"/>
      <c r="AF165" s="799"/>
      <c r="AG165" s="799"/>
      <c r="AH165" s="799"/>
      <c r="AI165" s="799"/>
      <c r="AJ165" s="799"/>
      <c r="AK165" s="799"/>
      <c r="AL165" s="799"/>
      <c r="AM165" s="799"/>
      <c r="AN165" s="799"/>
      <c r="AO165" s="799"/>
      <c r="AP165" s="799"/>
      <c r="AQ165" s="799"/>
      <c r="AR165" s="799"/>
      <c r="AS165" s="799"/>
      <c r="AT165" s="799"/>
      <c r="AU165" s="799"/>
      <c r="AV165" s="799"/>
      <c r="AW165" s="799"/>
      <c r="AX165" s="799"/>
      <c r="AY165" s="799"/>
      <c r="AZ165" s="799"/>
      <c r="BA165" s="799"/>
      <c r="BB165" s="799"/>
      <c r="BC165" s="799"/>
      <c r="BD165" s="799"/>
      <c r="BE165" s="799"/>
      <c r="BF165" s="799"/>
      <c r="BG165" s="799"/>
    </row>
    <row r="166">
      <c r="H166" s="799"/>
      <c r="I166" s="799"/>
      <c r="J166" s="799"/>
      <c r="K166" s="799"/>
      <c r="L166" s="799"/>
      <c r="M166" s="799"/>
      <c r="N166" s="799"/>
      <c r="O166" s="799"/>
      <c r="P166" s="799"/>
      <c r="Q166" s="799"/>
      <c r="R166" s="799"/>
      <c r="S166" s="799"/>
      <c r="T166" s="799"/>
      <c r="U166" s="799"/>
      <c r="V166" s="799"/>
      <c r="W166" s="799"/>
      <c r="X166" s="799"/>
      <c r="Y166" s="799"/>
      <c r="Z166" s="799"/>
      <c r="AA166" s="799"/>
      <c r="AB166" s="799"/>
      <c r="AC166" s="799"/>
      <c r="AD166" s="799"/>
      <c r="AE166" s="799"/>
      <c r="AF166" s="799"/>
      <c r="AG166" s="799"/>
      <c r="AH166" s="799"/>
      <c r="AI166" s="799"/>
      <c r="AJ166" s="799"/>
      <c r="AK166" s="799"/>
      <c r="AL166" s="799"/>
      <c r="AM166" s="799"/>
      <c r="AN166" s="799"/>
      <c r="AO166" s="799"/>
      <c r="AP166" s="799"/>
      <c r="AQ166" s="799"/>
      <c r="AR166" s="799"/>
      <c r="AS166" s="799"/>
      <c r="AT166" s="799"/>
      <c r="AU166" s="799"/>
      <c r="AV166" s="799"/>
      <c r="AW166" s="799"/>
      <c r="AX166" s="799"/>
      <c r="AY166" s="799"/>
      <c r="AZ166" s="799"/>
      <c r="BA166" s="799"/>
      <c r="BB166" s="799"/>
      <c r="BC166" s="799"/>
      <c r="BD166" s="799"/>
      <c r="BE166" s="799"/>
      <c r="BF166" s="799"/>
      <c r="BG166" s="799"/>
    </row>
    <row r="167">
      <c r="H167" s="799"/>
      <c r="I167" s="799"/>
      <c r="J167" s="799"/>
      <c r="K167" s="799"/>
      <c r="L167" s="799"/>
      <c r="M167" s="799"/>
      <c r="N167" s="799"/>
      <c r="O167" s="799"/>
      <c r="P167" s="799"/>
      <c r="Q167" s="799"/>
      <c r="R167" s="799"/>
      <c r="S167" s="799"/>
      <c r="T167" s="799"/>
      <c r="U167" s="799"/>
      <c r="V167" s="799"/>
      <c r="W167" s="799"/>
      <c r="X167" s="799"/>
      <c r="Y167" s="799"/>
      <c r="Z167" s="799"/>
      <c r="AA167" s="799"/>
      <c r="AB167" s="799"/>
      <c r="AC167" s="799"/>
      <c r="AD167" s="799"/>
      <c r="AE167" s="799"/>
      <c r="AF167" s="799"/>
      <c r="AG167" s="799"/>
      <c r="AH167" s="799"/>
      <c r="AI167" s="799"/>
      <c r="AJ167" s="799"/>
      <c r="AK167" s="799"/>
      <c r="AL167" s="799"/>
      <c r="AM167" s="799"/>
      <c r="AN167" s="799"/>
      <c r="AO167" s="799"/>
      <c r="AP167" s="799"/>
      <c r="AQ167" s="799"/>
      <c r="AR167" s="799"/>
      <c r="AS167" s="799"/>
      <c r="AT167" s="799"/>
      <c r="AU167" s="799"/>
      <c r="AV167" s="799"/>
      <c r="AW167" s="799"/>
      <c r="AX167" s="799"/>
      <c r="AY167" s="799"/>
      <c r="AZ167" s="799"/>
      <c r="BA167" s="799"/>
      <c r="BB167" s="799"/>
      <c r="BC167" s="799"/>
      <c r="BD167" s="799"/>
      <c r="BE167" s="799"/>
      <c r="BF167" s="799"/>
      <c r="BG167" s="799"/>
    </row>
    <row r="168">
      <c r="H168" s="799"/>
      <c r="I168" s="799"/>
      <c r="J168" s="799"/>
      <c r="K168" s="799"/>
      <c r="L168" s="799"/>
      <c r="M168" s="799"/>
      <c r="N168" s="799"/>
      <c r="O168" s="799"/>
      <c r="P168" s="799"/>
      <c r="Q168" s="799"/>
      <c r="R168" s="799"/>
      <c r="S168" s="799"/>
      <c r="T168" s="799"/>
      <c r="U168" s="799"/>
      <c r="V168" s="799"/>
      <c r="W168" s="799"/>
      <c r="X168" s="799"/>
      <c r="Y168" s="799"/>
      <c r="Z168" s="799"/>
      <c r="AA168" s="799"/>
      <c r="AB168" s="799"/>
      <c r="AC168" s="799"/>
      <c r="AD168" s="799"/>
      <c r="AE168" s="799"/>
      <c r="AF168" s="799"/>
      <c r="AG168" s="799"/>
      <c r="AH168" s="799"/>
      <c r="AI168" s="799"/>
      <c r="AJ168" s="799"/>
      <c r="AK168" s="799"/>
      <c r="AL168" s="799"/>
      <c r="AM168" s="799"/>
      <c r="AN168" s="799"/>
      <c r="AO168" s="799"/>
      <c r="AP168" s="799"/>
      <c r="AQ168" s="799"/>
      <c r="AR168" s="799"/>
      <c r="AS168" s="799"/>
      <c r="AT168" s="799"/>
      <c r="AU168" s="799"/>
      <c r="AV168" s="799"/>
      <c r="AW168" s="799"/>
      <c r="AX168" s="799"/>
      <c r="AY168" s="799"/>
      <c r="AZ168" s="799"/>
      <c r="BA168" s="799"/>
      <c r="BB168" s="799"/>
      <c r="BC168" s="799"/>
      <c r="BD168" s="799"/>
      <c r="BE168" s="799"/>
      <c r="BF168" s="799"/>
      <c r="BG168" s="799"/>
    </row>
    <row r="169">
      <c r="H169" s="799"/>
      <c r="I169" s="799"/>
      <c r="J169" s="799"/>
      <c r="K169" s="799"/>
      <c r="L169" s="799"/>
      <c r="M169" s="799"/>
      <c r="N169" s="799"/>
      <c r="O169" s="799"/>
      <c r="P169" s="799"/>
      <c r="Q169" s="799"/>
      <c r="R169" s="799"/>
      <c r="S169" s="799"/>
      <c r="T169" s="799"/>
      <c r="U169" s="799"/>
      <c r="V169" s="799"/>
      <c r="W169" s="799"/>
      <c r="X169" s="799"/>
      <c r="Y169" s="799"/>
      <c r="Z169" s="799"/>
      <c r="AA169" s="799"/>
      <c r="AB169" s="799"/>
      <c r="AC169" s="799"/>
      <c r="AD169" s="799"/>
      <c r="AE169" s="799"/>
      <c r="AF169" s="799"/>
      <c r="AG169" s="799"/>
      <c r="AH169" s="799"/>
      <c r="AI169" s="799"/>
      <c r="AJ169" s="799"/>
      <c r="AK169" s="799"/>
      <c r="AL169" s="799"/>
      <c r="AM169" s="799"/>
      <c r="AN169" s="799"/>
      <c r="AO169" s="799"/>
      <c r="AP169" s="799"/>
      <c r="AQ169" s="799"/>
      <c r="AR169" s="799"/>
      <c r="AS169" s="799"/>
      <c r="AT169" s="799"/>
      <c r="AU169" s="799"/>
      <c r="AV169" s="799"/>
      <c r="AW169" s="799"/>
      <c r="AX169" s="799"/>
      <c r="AY169" s="799"/>
      <c r="AZ169" s="799"/>
      <c r="BA169" s="799"/>
      <c r="BB169" s="799"/>
      <c r="BC169" s="799"/>
      <c r="BD169" s="799"/>
      <c r="BE169" s="799"/>
      <c r="BF169" s="799"/>
      <c r="BG169" s="799"/>
    </row>
    <row r="170">
      <c r="H170" s="799"/>
      <c r="I170" s="799"/>
      <c r="J170" s="799"/>
      <c r="K170" s="799"/>
      <c r="L170" s="799"/>
      <c r="M170" s="799"/>
      <c r="N170" s="799"/>
      <c r="O170" s="799"/>
      <c r="P170" s="799"/>
      <c r="Q170" s="799"/>
      <c r="R170" s="799"/>
      <c r="S170" s="799"/>
      <c r="T170" s="799"/>
      <c r="U170" s="799"/>
      <c r="V170" s="799"/>
      <c r="W170" s="799"/>
      <c r="X170" s="799"/>
      <c r="Y170" s="799"/>
      <c r="Z170" s="799"/>
      <c r="AA170" s="799"/>
      <c r="AB170" s="799"/>
      <c r="AC170" s="799"/>
      <c r="AD170" s="799"/>
      <c r="AE170" s="799"/>
      <c r="AF170" s="799"/>
      <c r="AG170" s="799"/>
      <c r="AH170" s="799"/>
      <c r="AI170" s="799"/>
      <c r="AJ170" s="799"/>
      <c r="AK170" s="799"/>
      <c r="AL170" s="799"/>
      <c r="AM170" s="799"/>
      <c r="AN170" s="799"/>
      <c r="AO170" s="799"/>
      <c r="AP170" s="799"/>
      <c r="AQ170" s="799"/>
      <c r="AR170" s="799"/>
      <c r="AS170" s="799"/>
      <c r="AT170" s="799"/>
      <c r="AU170" s="799"/>
      <c r="AV170" s="799"/>
      <c r="AW170" s="799"/>
      <c r="AX170" s="799"/>
      <c r="AY170" s="799"/>
      <c r="AZ170" s="799"/>
      <c r="BA170" s="799"/>
      <c r="BB170" s="799"/>
      <c r="BC170" s="799"/>
      <c r="BD170" s="799"/>
      <c r="BE170" s="799"/>
      <c r="BF170" s="799"/>
      <c r="BG170" s="799"/>
    </row>
    <row r="171">
      <c r="H171" s="799"/>
      <c r="I171" s="799"/>
      <c r="J171" s="799"/>
      <c r="K171" s="799"/>
      <c r="L171" s="799"/>
      <c r="M171" s="799"/>
      <c r="N171" s="799"/>
      <c r="O171" s="799"/>
      <c r="P171" s="799"/>
      <c r="Q171" s="799"/>
      <c r="R171" s="799"/>
      <c r="S171" s="799"/>
      <c r="T171" s="799"/>
      <c r="U171" s="799"/>
      <c r="V171" s="799"/>
      <c r="W171" s="799"/>
      <c r="X171" s="799"/>
      <c r="Y171" s="799"/>
      <c r="Z171" s="799"/>
      <c r="AA171" s="799"/>
      <c r="AB171" s="799"/>
      <c r="AC171" s="799"/>
      <c r="AD171" s="799"/>
      <c r="AE171" s="799"/>
      <c r="AF171" s="799"/>
      <c r="AG171" s="799"/>
      <c r="AH171" s="799"/>
      <c r="AI171" s="799"/>
      <c r="AJ171" s="799"/>
      <c r="AK171" s="799"/>
      <c r="AL171" s="799"/>
      <c r="AM171" s="799"/>
      <c r="AN171" s="799"/>
      <c r="AO171" s="799"/>
      <c r="AP171" s="799"/>
      <c r="AQ171" s="799"/>
      <c r="AR171" s="799"/>
      <c r="AS171" s="799"/>
      <c r="AT171" s="799"/>
      <c r="AU171" s="799"/>
      <c r="AV171" s="799"/>
      <c r="AW171" s="799"/>
      <c r="AX171" s="799"/>
      <c r="AY171" s="799"/>
      <c r="AZ171" s="799"/>
      <c r="BA171" s="799"/>
      <c r="BB171" s="799"/>
      <c r="BC171" s="799"/>
      <c r="BD171" s="799"/>
      <c r="BE171" s="799"/>
      <c r="BF171" s="799"/>
      <c r="BG171" s="799"/>
    </row>
    <row r="172">
      <c r="H172" s="799"/>
      <c r="I172" s="799"/>
      <c r="J172" s="799"/>
      <c r="K172" s="799"/>
      <c r="L172" s="799"/>
      <c r="M172" s="799"/>
      <c r="N172" s="799"/>
      <c r="O172" s="799"/>
      <c r="P172" s="799"/>
      <c r="Q172" s="799"/>
      <c r="R172" s="799"/>
      <c r="S172" s="799"/>
      <c r="T172" s="799"/>
      <c r="U172" s="799"/>
      <c r="V172" s="799"/>
      <c r="W172" s="799"/>
      <c r="X172" s="799"/>
      <c r="Y172" s="799"/>
      <c r="Z172" s="799"/>
      <c r="AA172" s="799"/>
      <c r="AB172" s="799"/>
      <c r="AC172" s="799"/>
      <c r="AD172" s="799"/>
      <c r="AE172" s="799"/>
      <c r="AF172" s="799"/>
      <c r="AG172" s="799"/>
      <c r="AH172" s="799"/>
      <c r="AI172" s="799"/>
      <c r="AJ172" s="799"/>
      <c r="AK172" s="799"/>
      <c r="AL172" s="799"/>
      <c r="AM172" s="799"/>
      <c r="AN172" s="799"/>
      <c r="AO172" s="799"/>
      <c r="AP172" s="799"/>
      <c r="AQ172" s="799"/>
      <c r="AR172" s="799"/>
      <c r="AS172" s="799"/>
      <c r="AT172" s="799"/>
      <c r="AU172" s="799"/>
      <c r="AV172" s="799"/>
      <c r="AW172" s="799"/>
      <c r="AX172" s="799"/>
      <c r="AY172" s="799"/>
      <c r="AZ172" s="799"/>
      <c r="BA172" s="799"/>
      <c r="BB172" s="799"/>
      <c r="BC172" s="799"/>
      <c r="BD172" s="799"/>
      <c r="BE172" s="799"/>
      <c r="BF172" s="799"/>
      <c r="BG172" s="799"/>
    </row>
    <row r="173">
      <c r="H173" s="799"/>
      <c r="I173" s="799"/>
      <c r="J173" s="799"/>
      <c r="K173" s="799"/>
      <c r="L173" s="799"/>
      <c r="M173" s="799"/>
      <c r="N173" s="799"/>
      <c r="O173" s="799"/>
      <c r="P173" s="799"/>
      <c r="Q173" s="799"/>
      <c r="R173" s="799"/>
      <c r="S173" s="799"/>
      <c r="T173" s="799"/>
      <c r="U173" s="799"/>
      <c r="V173" s="799"/>
      <c r="W173" s="799"/>
      <c r="X173" s="799"/>
      <c r="Y173" s="799"/>
      <c r="Z173" s="799"/>
      <c r="AA173" s="799"/>
      <c r="AB173" s="799"/>
      <c r="AC173" s="799"/>
      <c r="AD173" s="799"/>
      <c r="AE173" s="799"/>
      <c r="AF173" s="799"/>
      <c r="AG173" s="799"/>
      <c r="AH173" s="799"/>
      <c r="AI173" s="799"/>
      <c r="AJ173" s="799"/>
      <c r="AK173" s="799"/>
      <c r="AL173" s="799"/>
      <c r="AM173" s="799"/>
      <c r="AN173" s="799"/>
      <c r="AO173" s="799"/>
      <c r="AP173" s="799"/>
      <c r="AQ173" s="799"/>
      <c r="AR173" s="799"/>
      <c r="AS173" s="799"/>
      <c r="AT173" s="799"/>
      <c r="AU173" s="799"/>
      <c r="AV173" s="799"/>
      <c r="AW173" s="799"/>
      <c r="AX173" s="799"/>
      <c r="AY173" s="799"/>
      <c r="AZ173" s="799"/>
      <c r="BA173" s="799"/>
      <c r="BB173" s="799"/>
      <c r="BC173" s="799"/>
      <c r="BD173" s="799"/>
      <c r="BE173" s="799"/>
      <c r="BF173" s="799"/>
      <c r="BG173" s="799"/>
    </row>
    <row r="174">
      <c r="H174" s="799"/>
      <c r="I174" s="799"/>
      <c r="J174" s="799"/>
      <c r="K174" s="799"/>
      <c r="L174" s="799"/>
      <c r="M174" s="799"/>
      <c r="N174" s="799"/>
      <c r="O174" s="799"/>
      <c r="P174" s="799"/>
      <c r="Q174" s="799"/>
      <c r="R174" s="799"/>
      <c r="S174" s="799"/>
      <c r="T174" s="799"/>
      <c r="U174" s="799"/>
      <c r="V174" s="799"/>
      <c r="W174" s="799"/>
      <c r="X174" s="799"/>
      <c r="Y174" s="799"/>
      <c r="Z174" s="799"/>
      <c r="AA174" s="799"/>
      <c r="AB174" s="799"/>
      <c r="AC174" s="799"/>
      <c r="AD174" s="799"/>
      <c r="AE174" s="799"/>
      <c r="AF174" s="799"/>
      <c r="AG174" s="799"/>
      <c r="AH174" s="799"/>
      <c r="AI174" s="799"/>
      <c r="AJ174" s="799"/>
      <c r="AK174" s="799"/>
      <c r="AL174" s="799"/>
      <c r="AM174" s="799"/>
      <c r="AN174" s="799"/>
      <c r="AO174" s="799"/>
      <c r="AP174" s="799"/>
      <c r="AQ174" s="799"/>
      <c r="AR174" s="799"/>
      <c r="AS174" s="799"/>
      <c r="AT174" s="799"/>
      <c r="AU174" s="799"/>
      <c r="AV174" s="799"/>
      <c r="AW174" s="799"/>
      <c r="AX174" s="799"/>
      <c r="AY174" s="799"/>
      <c r="AZ174" s="799"/>
      <c r="BA174" s="799"/>
      <c r="BB174" s="799"/>
      <c r="BC174" s="799"/>
      <c r="BD174" s="799"/>
      <c r="BE174" s="799"/>
      <c r="BF174" s="799"/>
      <c r="BG174" s="799"/>
    </row>
    <row r="175">
      <c r="H175" s="799"/>
      <c r="I175" s="799"/>
      <c r="J175" s="799"/>
      <c r="K175" s="799"/>
      <c r="L175" s="799"/>
      <c r="M175" s="799"/>
      <c r="N175" s="799"/>
      <c r="O175" s="799"/>
      <c r="P175" s="799"/>
      <c r="Q175" s="799"/>
      <c r="R175" s="799"/>
      <c r="S175" s="799"/>
      <c r="T175" s="799"/>
      <c r="U175" s="799"/>
      <c r="V175" s="799"/>
      <c r="W175" s="799"/>
      <c r="X175" s="799"/>
      <c r="Y175" s="799"/>
      <c r="Z175" s="799"/>
      <c r="AA175" s="799"/>
      <c r="AB175" s="799"/>
      <c r="AC175" s="799"/>
      <c r="AD175" s="799"/>
      <c r="AE175" s="799"/>
      <c r="AF175" s="799"/>
      <c r="AG175" s="799"/>
      <c r="AH175" s="799"/>
      <c r="AI175" s="799"/>
      <c r="AJ175" s="799"/>
      <c r="AK175" s="799"/>
      <c r="AL175" s="799"/>
      <c r="AM175" s="799"/>
      <c r="AN175" s="799"/>
      <c r="AO175" s="799"/>
      <c r="AP175" s="799"/>
      <c r="AQ175" s="799"/>
      <c r="AR175" s="799"/>
      <c r="AS175" s="799"/>
      <c r="AT175" s="799"/>
      <c r="AU175" s="799"/>
      <c r="AV175" s="799"/>
      <c r="AW175" s="799"/>
      <c r="AX175" s="799"/>
      <c r="AY175" s="799"/>
      <c r="AZ175" s="799"/>
      <c r="BA175" s="799"/>
      <c r="BB175" s="799"/>
      <c r="BC175" s="799"/>
      <c r="BD175" s="799"/>
      <c r="BE175" s="799"/>
      <c r="BF175" s="799"/>
      <c r="BG175" s="799"/>
    </row>
    <row r="176">
      <c r="H176" s="799"/>
      <c r="I176" s="799"/>
      <c r="J176" s="799"/>
      <c r="K176" s="799"/>
      <c r="L176" s="799"/>
      <c r="M176" s="799"/>
      <c r="N176" s="799"/>
      <c r="O176" s="799"/>
      <c r="P176" s="799"/>
      <c r="Q176" s="799"/>
      <c r="R176" s="799"/>
      <c r="S176" s="799"/>
      <c r="T176" s="799"/>
      <c r="U176" s="799"/>
      <c r="V176" s="799"/>
      <c r="W176" s="799"/>
      <c r="X176" s="799"/>
      <c r="Y176" s="799"/>
      <c r="Z176" s="799"/>
      <c r="AA176" s="799"/>
      <c r="AB176" s="799"/>
      <c r="AC176" s="799"/>
      <c r="AD176" s="799"/>
      <c r="AE176" s="799"/>
      <c r="AF176" s="799"/>
      <c r="AG176" s="799"/>
      <c r="AH176" s="799"/>
      <c r="AI176" s="799"/>
      <c r="AJ176" s="799"/>
      <c r="AK176" s="799"/>
      <c r="AL176" s="799"/>
      <c r="AM176" s="799"/>
      <c r="AN176" s="799"/>
      <c r="AO176" s="799"/>
      <c r="AP176" s="799"/>
      <c r="AQ176" s="799"/>
      <c r="AR176" s="799"/>
      <c r="AS176" s="799"/>
      <c r="AT176" s="799"/>
      <c r="AU176" s="799"/>
      <c r="AV176" s="799"/>
      <c r="AW176" s="799"/>
      <c r="AX176" s="799"/>
      <c r="AY176" s="799"/>
      <c r="AZ176" s="799"/>
      <c r="BA176" s="799"/>
      <c r="BB176" s="799"/>
      <c r="BC176" s="799"/>
      <c r="BD176" s="799"/>
      <c r="BE176" s="799"/>
      <c r="BF176" s="799"/>
      <c r="BG176" s="799"/>
    </row>
    <row r="177">
      <c r="H177" s="799"/>
      <c r="I177" s="799"/>
      <c r="J177" s="799"/>
      <c r="K177" s="799"/>
      <c r="L177" s="799"/>
      <c r="M177" s="799"/>
      <c r="N177" s="799"/>
      <c r="O177" s="799"/>
      <c r="P177" s="799"/>
      <c r="Q177" s="799"/>
      <c r="R177" s="799"/>
      <c r="S177" s="799"/>
      <c r="T177" s="799"/>
      <c r="U177" s="799"/>
      <c r="V177" s="799"/>
      <c r="W177" s="799"/>
      <c r="X177" s="799"/>
      <c r="Y177" s="799"/>
      <c r="Z177" s="799"/>
      <c r="AA177" s="799"/>
      <c r="AB177" s="799"/>
      <c r="AC177" s="799"/>
      <c r="AD177" s="799"/>
      <c r="AE177" s="799"/>
      <c r="AF177" s="799"/>
      <c r="AG177" s="799"/>
      <c r="AH177" s="799"/>
      <c r="AI177" s="799"/>
      <c r="AJ177" s="799"/>
      <c r="AK177" s="799"/>
      <c r="AL177" s="799"/>
      <c r="AM177" s="799"/>
      <c r="AN177" s="799"/>
      <c r="AO177" s="799"/>
      <c r="AP177" s="799"/>
      <c r="AQ177" s="799"/>
      <c r="AR177" s="799"/>
      <c r="AS177" s="799"/>
      <c r="AT177" s="799"/>
      <c r="AU177" s="799"/>
      <c r="AV177" s="799"/>
      <c r="AW177" s="799"/>
      <c r="AX177" s="799"/>
      <c r="AY177" s="799"/>
      <c r="AZ177" s="799"/>
      <c r="BA177" s="799"/>
      <c r="BB177" s="799"/>
      <c r="BC177" s="799"/>
      <c r="BD177" s="799"/>
      <c r="BE177" s="799"/>
      <c r="BF177" s="799"/>
      <c r="BG177" s="799"/>
    </row>
    <row r="178">
      <c r="H178" s="799"/>
      <c r="I178" s="799"/>
      <c r="J178" s="799"/>
      <c r="K178" s="799"/>
      <c r="L178" s="799"/>
      <c r="M178" s="799"/>
      <c r="N178" s="799"/>
      <c r="O178" s="799"/>
      <c r="P178" s="799"/>
      <c r="Q178" s="799"/>
      <c r="R178" s="799"/>
      <c r="S178" s="799"/>
      <c r="T178" s="799"/>
      <c r="U178" s="799"/>
      <c r="V178" s="799"/>
      <c r="W178" s="799"/>
      <c r="X178" s="799"/>
      <c r="Y178" s="799"/>
      <c r="Z178" s="799"/>
      <c r="AA178" s="799"/>
      <c r="AB178" s="799"/>
      <c r="AC178" s="799"/>
      <c r="AD178" s="799"/>
      <c r="AE178" s="799"/>
      <c r="AF178" s="799"/>
      <c r="AG178" s="799"/>
      <c r="AH178" s="799"/>
      <c r="AI178" s="799"/>
      <c r="AJ178" s="799"/>
      <c r="AK178" s="799"/>
      <c r="AL178" s="799"/>
      <c r="AM178" s="799"/>
      <c r="AN178" s="799"/>
      <c r="AO178" s="799"/>
      <c r="AP178" s="799"/>
      <c r="AQ178" s="799"/>
      <c r="AR178" s="799"/>
      <c r="AS178" s="799"/>
      <c r="AT178" s="799"/>
      <c r="AU178" s="799"/>
      <c r="AV178" s="799"/>
      <c r="AW178" s="799"/>
      <c r="AX178" s="799"/>
      <c r="AY178" s="799"/>
      <c r="AZ178" s="799"/>
      <c r="BA178" s="799"/>
      <c r="BB178" s="799"/>
      <c r="BC178" s="799"/>
      <c r="BD178" s="799"/>
      <c r="BE178" s="799"/>
      <c r="BF178" s="799"/>
      <c r="BG178" s="799"/>
    </row>
    <row r="179">
      <c r="H179" s="799"/>
      <c r="I179" s="799"/>
      <c r="J179" s="799"/>
      <c r="K179" s="799"/>
      <c r="L179" s="799"/>
      <c r="M179" s="799"/>
      <c r="N179" s="799"/>
      <c r="O179" s="799"/>
      <c r="P179" s="799"/>
      <c r="Q179" s="799"/>
      <c r="R179" s="799"/>
      <c r="S179" s="799"/>
      <c r="T179" s="799"/>
      <c r="U179" s="799"/>
      <c r="V179" s="799"/>
      <c r="W179" s="799"/>
      <c r="X179" s="799"/>
      <c r="Y179" s="799"/>
      <c r="Z179" s="799"/>
      <c r="AA179" s="799"/>
      <c r="AB179" s="799"/>
      <c r="AC179" s="799"/>
      <c r="AD179" s="799"/>
      <c r="AE179" s="799"/>
      <c r="AF179" s="799"/>
      <c r="AG179" s="799"/>
      <c r="AH179" s="799"/>
      <c r="AI179" s="799"/>
      <c r="AJ179" s="799"/>
      <c r="AK179" s="799"/>
      <c r="AL179" s="799"/>
      <c r="AM179" s="799"/>
      <c r="AN179" s="799"/>
      <c r="AO179" s="799"/>
      <c r="AP179" s="799"/>
      <c r="AQ179" s="799"/>
      <c r="AR179" s="799"/>
      <c r="AS179" s="799"/>
      <c r="AT179" s="799"/>
      <c r="AU179" s="799"/>
      <c r="AV179" s="799"/>
      <c r="AW179" s="799"/>
      <c r="AX179" s="799"/>
      <c r="AY179" s="799"/>
      <c r="AZ179" s="799"/>
      <c r="BA179" s="799"/>
      <c r="BB179" s="799"/>
      <c r="BC179" s="799"/>
      <c r="BD179" s="799"/>
      <c r="BE179" s="799"/>
      <c r="BF179" s="799"/>
      <c r="BG179" s="799"/>
    </row>
    <row r="180">
      <c r="H180" s="799"/>
      <c r="I180" s="799"/>
      <c r="J180" s="799"/>
      <c r="K180" s="799"/>
      <c r="L180" s="799"/>
      <c r="M180" s="799"/>
      <c r="N180" s="799"/>
      <c r="O180" s="799"/>
      <c r="P180" s="799"/>
      <c r="Q180" s="799"/>
      <c r="R180" s="799"/>
      <c r="S180" s="799"/>
      <c r="T180" s="799"/>
      <c r="U180" s="799"/>
      <c r="V180" s="799"/>
      <c r="W180" s="799"/>
      <c r="X180" s="799"/>
      <c r="Y180" s="799"/>
      <c r="Z180" s="799"/>
      <c r="AA180" s="799"/>
      <c r="AB180" s="799"/>
      <c r="AC180" s="799"/>
      <c r="AD180" s="799"/>
      <c r="AE180" s="799"/>
      <c r="AF180" s="799"/>
      <c r="AG180" s="799"/>
      <c r="AH180" s="799"/>
      <c r="AI180" s="799"/>
      <c r="AJ180" s="799"/>
      <c r="AK180" s="799"/>
      <c r="AL180" s="799"/>
      <c r="AM180" s="799"/>
      <c r="AN180" s="799"/>
      <c r="AO180" s="799"/>
      <c r="AP180" s="799"/>
      <c r="AQ180" s="799"/>
      <c r="AR180" s="799"/>
      <c r="AS180" s="799"/>
      <c r="AT180" s="799"/>
      <c r="AU180" s="799"/>
      <c r="AV180" s="799"/>
      <c r="AW180" s="799"/>
      <c r="AX180" s="799"/>
      <c r="AY180" s="799"/>
      <c r="AZ180" s="799"/>
      <c r="BA180" s="799"/>
      <c r="BB180" s="799"/>
      <c r="BC180" s="799"/>
      <c r="BD180" s="799"/>
      <c r="BE180" s="799"/>
      <c r="BF180" s="799"/>
      <c r="BG180" s="799"/>
    </row>
    <row r="181">
      <c r="H181" s="799"/>
      <c r="I181" s="799"/>
      <c r="J181" s="799"/>
      <c r="K181" s="799"/>
      <c r="L181" s="799"/>
      <c r="M181" s="799"/>
      <c r="N181" s="799"/>
      <c r="O181" s="799"/>
      <c r="P181" s="799"/>
      <c r="Q181" s="799"/>
      <c r="R181" s="799"/>
      <c r="S181" s="799"/>
      <c r="T181" s="799"/>
      <c r="U181" s="799"/>
      <c r="V181" s="799"/>
      <c r="W181" s="799"/>
      <c r="X181" s="799"/>
      <c r="Y181" s="799"/>
      <c r="Z181" s="799"/>
      <c r="AA181" s="799"/>
      <c r="AB181" s="799"/>
      <c r="AC181" s="799"/>
      <c r="AD181" s="799"/>
      <c r="AE181" s="799"/>
      <c r="AF181" s="799"/>
      <c r="AG181" s="799"/>
      <c r="AH181" s="799"/>
      <c r="AI181" s="799"/>
      <c r="AJ181" s="799"/>
      <c r="AK181" s="799"/>
      <c r="AL181" s="799"/>
      <c r="AM181" s="799"/>
      <c r="AN181" s="799"/>
      <c r="AO181" s="799"/>
      <c r="AP181" s="799"/>
      <c r="AQ181" s="799"/>
      <c r="AR181" s="799"/>
      <c r="AS181" s="799"/>
      <c r="AT181" s="799"/>
      <c r="AU181" s="799"/>
      <c r="AV181" s="799"/>
      <c r="AW181" s="799"/>
      <c r="AX181" s="799"/>
      <c r="AY181" s="799"/>
      <c r="AZ181" s="799"/>
      <c r="BA181" s="799"/>
      <c r="BB181" s="799"/>
      <c r="BC181" s="799"/>
      <c r="BD181" s="799"/>
      <c r="BE181" s="799"/>
      <c r="BF181" s="799"/>
      <c r="BG181" s="799"/>
    </row>
    <row r="182">
      <c r="H182" s="799"/>
      <c r="I182" s="799"/>
      <c r="J182" s="799"/>
      <c r="K182" s="799"/>
      <c r="L182" s="799"/>
      <c r="M182" s="799"/>
      <c r="N182" s="799"/>
      <c r="O182" s="799"/>
      <c r="P182" s="799"/>
      <c r="Q182" s="799"/>
      <c r="R182" s="799"/>
      <c r="S182" s="799"/>
      <c r="T182" s="799"/>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99"/>
      <c r="AU182" s="799"/>
      <c r="AV182" s="799"/>
      <c r="AW182" s="799"/>
      <c r="AX182" s="799"/>
      <c r="AY182" s="799"/>
      <c r="AZ182" s="799"/>
      <c r="BA182" s="799"/>
      <c r="BB182" s="799"/>
      <c r="BC182" s="799"/>
      <c r="BD182" s="799"/>
      <c r="BE182" s="799"/>
      <c r="BF182" s="799"/>
      <c r="BG182" s="799"/>
    </row>
    <row r="183">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99"/>
      <c r="AU183" s="799"/>
      <c r="AV183" s="799"/>
      <c r="AW183" s="799"/>
      <c r="AX183" s="799"/>
      <c r="AY183" s="799"/>
      <c r="AZ183" s="799"/>
      <c r="BA183" s="799"/>
      <c r="BB183" s="799"/>
      <c r="BC183" s="799"/>
      <c r="BD183" s="799"/>
      <c r="BE183" s="799"/>
      <c r="BF183" s="799"/>
      <c r="BG183" s="799"/>
    </row>
    <row r="184">
      <c r="H184" s="799"/>
      <c r="I184" s="799"/>
      <c r="J184" s="799"/>
      <c r="K184" s="799"/>
      <c r="L184" s="799"/>
      <c r="M184" s="799"/>
      <c r="N184" s="799"/>
      <c r="O184" s="799"/>
      <c r="P184" s="799"/>
      <c r="Q184" s="799"/>
      <c r="R184" s="799"/>
      <c r="S184" s="799"/>
      <c r="T184" s="799"/>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99"/>
      <c r="AU184" s="799"/>
      <c r="AV184" s="799"/>
      <c r="AW184" s="799"/>
      <c r="AX184" s="799"/>
      <c r="AY184" s="799"/>
      <c r="AZ184" s="799"/>
      <c r="BA184" s="799"/>
      <c r="BB184" s="799"/>
      <c r="BC184" s="799"/>
      <c r="BD184" s="799"/>
      <c r="BE184" s="799"/>
      <c r="BF184" s="799"/>
      <c r="BG184" s="799"/>
    </row>
    <row r="185">
      <c r="H185" s="799"/>
      <c r="I185" s="799"/>
      <c r="J185" s="799"/>
      <c r="K185" s="799"/>
      <c r="L185" s="799"/>
      <c r="M185" s="799"/>
      <c r="N185" s="799"/>
      <c r="O185" s="799"/>
      <c r="P185" s="799"/>
      <c r="Q185" s="799"/>
      <c r="R185" s="799"/>
      <c r="S185" s="799"/>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99"/>
      <c r="AU185" s="799"/>
      <c r="AV185" s="799"/>
      <c r="AW185" s="799"/>
      <c r="AX185" s="799"/>
      <c r="AY185" s="799"/>
      <c r="AZ185" s="799"/>
      <c r="BA185" s="799"/>
      <c r="BB185" s="799"/>
      <c r="BC185" s="799"/>
      <c r="BD185" s="799"/>
      <c r="BE185" s="799"/>
      <c r="BF185" s="799"/>
      <c r="BG185" s="799"/>
    </row>
    <row r="186">
      <c r="H186" s="799"/>
      <c r="I186" s="799"/>
      <c r="J186" s="799"/>
      <c r="K186" s="799"/>
      <c r="L186" s="799"/>
      <c r="M186" s="799"/>
      <c r="N186" s="799"/>
      <c r="O186" s="799"/>
      <c r="P186" s="799"/>
      <c r="Q186" s="799"/>
      <c r="R186" s="799"/>
      <c r="S186" s="799"/>
      <c r="T186" s="799"/>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99"/>
      <c r="AU186" s="799"/>
      <c r="AV186" s="799"/>
      <c r="AW186" s="799"/>
      <c r="AX186" s="799"/>
      <c r="AY186" s="799"/>
      <c r="AZ186" s="799"/>
      <c r="BA186" s="799"/>
      <c r="BB186" s="799"/>
      <c r="BC186" s="799"/>
      <c r="BD186" s="799"/>
      <c r="BE186" s="799"/>
      <c r="BF186" s="799"/>
      <c r="BG186" s="799"/>
    </row>
    <row r="187">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row>
    <row r="188">
      <c r="H188" s="799"/>
      <c r="I188" s="799"/>
      <c r="J188" s="799"/>
      <c r="K188" s="799"/>
      <c r="L188" s="799"/>
      <c r="M188" s="799"/>
      <c r="N188" s="799"/>
      <c r="O188" s="799"/>
      <c r="P188" s="799"/>
      <c r="Q188" s="799"/>
      <c r="R188" s="799"/>
      <c r="S188" s="799"/>
      <c r="T188" s="799"/>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99"/>
      <c r="AU188" s="799"/>
      <c r="AV188" s="799"/>
      <c r="AW188" s="799"/>
      <c r="AX188" s="799"/>
      <c r="AY188" s="799"/>
      <c r="AZ188" s="799"/>
      <c r="BA188" s="799"/>
      <c r="BB188" s="799"/>
      <c r="BC188" s="799"/>
      <c r="BD188" s="799"/>
      <c r="BE188" s="799"/>
      <c r="BF188" s="799"/>
      <c r="BG188" s="799"/>
    </row>
    <row r="18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99"/>
      <c r="AU189" s="799"/>
      <c r="AV189" s="799"/>
      <c r="AW189" s="799"/>
      <c r="AX189" s="799"/>
      <c r="AY189" s="799"/>
      <c r="AZ189" s="799"/>
      <c r="BA189" s="799"/>
      <c r="BB189" s="799"/>
      <c r="BC189" s="799"/>
      <c r="BD189" s="799"/>
      <c r="BE189" s="799"/>
      <c r="BF189" s="799"/>
      <c r="BG189" s="799"/>
    </row>
    <row r="190">
      <c r="H190" s="799"/>
      <c r="I190" s="799"/>
      <c r="J190" s="799"/>
      <c r="K190" s="799"/>
      <c r="L190" s="799"/>
      <c r="M190" s="799"/>
      <c r="N190" s="799"/>
      <c r="O190" s="799"/>
      <c r="P190" s="799"/>
      <c r="Q190" s="799"/>
      <c r="R190" s="799"/>
      <c r="S190" s="799"/>
      <c r="T190" s="799"/>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99"/>
      <c r="AU190" s="799"/>
      <c r="AV190" s="799"/>
      <c r="AW190" s="799"/>
      <c r="AX190" s="799"/>
      <c r="AY190" s="799"/>
      <c r="AZ190" s="799"/>
      <c r="BA190" s="799"/>
      <c r="BB190" s="799"/>
      <c r="BC190" s="799"/>
      <c r="BD190" s="799"/>
      <c r="BE190" s="799"/>
      <c r="BF190" s="799"/>
      <c r="BG190" s="799"/>
    </row>
    <row r="191">
      <c r="H191" s="799"/>
      <c r="I191" s="799"/>
      <c r="J191" s="799"/>
      <c r="K191" s="799"/>
      <c r="L191" s="799"/>
      <c r="M191" s="799"/>
      <c r="N191" s="799"/>
      <c r="O191" s="799"/>
      <c r="P191" s="799"/>
      <c r="Q191" s="799"/>
      <c r="R191" s="799"/>
      <c r="S191" s="799"/>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99"/>
      <c r="AU191" s="799"/>
      <c r="AV191" s="799"/>
      <c r="AW191" s="799"/>
      <c r="AX191" s="799"/>
      <c r="AY191" s="799"/>
      <c r="AZ191" s="799"/>
      <c r="BA191" s="799"/>
      <c r="BB191" s="799"/>
      <c r="BC191" s="799"/>
      <c r="BD191" s="799"/>
      <c r="BE191" s="799"/>
      <c r="BF191" s="799"/>
      <c r="BG191" s="799"/>
    </row>
    <row r="192">
      <c r="H192" s="799"/>
      <c r="I192" s="799"/>
      <c r="J192" s="799"/>
      <c r="K192" s="799"/>
      <c r="L192" s="799"/>
      <c r="M192" s="799"/>
      <c r="N192" s="799"/>
      <c r="O192" s="799"/>
      <c r="P192" s="799"/>
      <c r="Q192" s="799"/>
      <c r="R192" s="799"/>
      <c r="S192" s="799"/>
      <c r="T192" s="799"/>
      <c r="U192" s="799"/>
      <c r="V192" s="799"/>
      <c r="W192" s="799"/>
      <c r="X192" s="799"/>
      <c r="Y192" s="799"/>
      <c r="Z192" s="799"/>
      <c r="AA192" s="799"/>
      <c r="AB192" s="799"/>
      <c r="AC192" s="799"/>
      <c r="AD192" s="799"/>
      <c r="AE192" s="799"/>
      <c r="AF192" s="799"/>
      <c r="AG192" s="799"/>
      <c r="AH192" s="799"/>
      <c r="AI192" s="799"/>
      <c r="AJ192" s="799"/>
      <c r="AK192" s="799"/>
      <c r="AL192" s="799"/>
      <c r="AM192" s="799"/>
      <c r="AN192" s="799"/>
      <c r="AO192" s="799"/>
      <c r="AP192" s="799"/>
      <c r="AQ192" s="799"/>
      <c r="AR192" s="799"/>
      <c r="AS192" s="799"/>
      <c r="AT192" s="799"/>
      <c r="AU192" s="799"/>
      <c r="AV192" s="799"/>
      <c r="AW192" s="799"/>
      <c r="AX192" s="799"/>
      <c r="AY192" s="799"/>
      <c r="AZ192" s="799"/>
      <c r="BA192" s="799"/>
      <c r="BB192" s="799"/>
      <c r="BC192" s="799"/>
      <c r="BD192" s="799"/>
      <c r="BE192" s="799"/>
      <c r="BF192" s="799"/>
      <c r="BG192" s="799"/>
    </row>
    <row r="193">
      <c r="H193" s="799"/>
      <c r="I193" s="799"/>
      <c r="J193" s="799"/>
      <c r="K193" s="799"/>
      <c r="L193" s="799"/>
      <c r="M193" s="799"/>
      <c r="N193" s="799"/>
      <c r="O193" s="799"/>
      <c r="P193" s="799"/>
      <c r="Q193" s="799"/>
      <c r="R193" s="799"/>
      <c r="S193" s="799"/>
      <c r="T193" s="799"/>
      <c r="U193" s="799"/>
      <c r="V193" s="799"/>
      <c r="W193" s="799"/>
      <c r="X193" s="799"/>
      <c r="Y193" s="799"/>
      <c r="Z193" s="799"/>
      <c r="AA193" s="799"/>
      <c r="AB193" s="799"/>
      <c r="AC193" s="799"/>
      <c r="AD193" s="799"/>
      <c r="AE193" s="799"/>
      <c r="AF193" s="799"/>
      <c r="AG193" s="799"/>
      <c r="AH193" s="799"/>
      <c r="AI193" s="799"/>
      <c r="AJ193" s="799"/>
      <c r="AK193" s="799"/>
      <c r="AL193" s="799"/>
      <c r="AM193" s="799"/>
      <c r="AN193" s="799"/>
      <c r="AO193" s="799"/>
      <c r="AP193" s="799"/>
      <c r="AQ193" s="799"/>
      <c r="AR193" s="799"/>
      <c r="AS193" s="799"/>
      <c r="AT193" s="799"/>
      <c r="AU193" s="799"/>
      <c r="AV193" s="799"/>
      <c r="AW193" s="799"/>
      <c r="AX193" s="799"/>
      <c r="AY193" s="799"/>
      <c r="AZ193" s="799"/>
      <c r="BA193" s="799"/>
      <c r="BB193" s="799"/>
      <c r="BC193" s="799"/>
      <c r="BD193" s="799"/>
      <c r="BE193" s="799"/>
      <c r="BF193" s="799"/>
      <c r="BG193" s="799"/>
    </row>
    <row r="194">
      <c r="H194" s="799"/>
      <c r="I194" s="799"/>
      <c r="J194" s="799"/>
      <c r="K194" s="799"/>
      <c r="L194" s="799"/>
      <c r="M194" s="799"/>
      <c r="N194" s="799"/>
      <c r="O194" s="799"/>
      <c r="P194" s="799"/>
      <c r="Q194" s="799"/>
      <c r="R194" s="799"/>
      <c r="S194" s="799"/>
      <c r="T194" s="799"/>
      <c r="U194" s="799"/>
      <c r="V194" s="799"/>
      <c r="W194" s="799"/>
      <c r="X194" s="799"/>
      <c r="Y194" s="799"/>
      <c r="Z194" s="799"/>
      <c r="AA194" s="799"/>
      <c r="AB194" s="799"/>
      <c r="AC194" s="799"/>
      <c r="AD194" s="799"/>
      <c r="AE194" s="799"/>
      <c r="AF194" s="799"/>
      <c r="AG194" s="799"/>
      <c r="AH194" s="799"/>
      <c r="AI194" s="799"/>
      <c r="AJ194" s="799"/>
      <c r="AK194" s="799"/>
      <c r="AL194" s="799"/>
      <c r="AM194" s="799"/>
      <c r="AN194" s="799"/>
      <c r="AO194" s="799"/>
      <c r="AP194" s="799"/>
      <c r="AQ194" s="799"/>
      <c r="AR194" s="799"/>
      <c r="AS194" s="799"/>
      <c r="AT194" s="799"/>
      <c r="AU194" s="799"/>
      <c r="AV194" s="799"/>
      <c r="AW194" s="799"/>
      <c r="AX194" s="799"/>
      <c r="AY194" s="799"/>
      <c r="AZ194" s="799"/>
      <c r="BA194" s="799"/>
      <c r="BB194" s="799"/>
      <c r="BC194" s="799"/>
      <c r="BD194" s="799"/>
      <c r="BE194" s="799"/>
      <c r="BF194" s="799"/>
      <c r="BG194" s="799"/>
    </row>
    <row r="195">
      <c r="H195" s="799"/>
      <c r="I195" s="799"/>
      <c r="J195" s="799"/>
      <c r="K195" s="799"/>
      <c r="L195" s="799"/>
      <c r="M195" s="799"/>
      <c r="N195" s="799"/>
      <c r="O195" s="799"/>
      <c r="P195" s="799"/>
      <c r="Q195" s="799"/>
      <c r="R195" s="799"/>
      <c r="S195" s="799"/>
      <c r="T195" s="799"/>
      <c r="U195" s="799"/>
      <c r="V195" s="799"/>
      <c r="W195" s="799"/>
      <c r="X195" s="799"/>
      <c r="Y195" s="799"/>
      <c r="Z195" s="799"/>
      <c r="AA195" s="799"/>
      <c r="AB195" s="799"/>
      <c r="AC195" s="799"/>
      <c r="AD195" s="799"/>
      <c r="AE195" s="799"/>
      <c r="AF195" s="799"/>
      <c r="AG195" s="799"/>
      <c r="AH195" s="799"/>
      <c r="AI195" s="799"/>
      <c r="AJ195" s="799"/>
      <c r="AK195" s="799"/>
      <c r="AL195" s="799"/>
      <c r="AM195" s="799"/>
      <c r="AN195" s="799"/>
      <c r="AO195" s="799"/>
      <c r="AP195" s="799"/>
      <c r="AQ195" s="799"/>
      <c r="AR195" s="799"/>
      <c r="AS195" s="799"/>
      <c r="AT195" s="799"/>
      <c r="AU195" s="799"/>
      <c r="AV195" s="799"/>
      <c r="AW195" s="799"/>
      <c r="AX195" s="799"/>
      <c r="AY195" s="799"/>
      <c r="AZ195" s="799"/>
      <c r="BA195" s="799"/>
      <c r="BB195" s="799"/>
      <c r="BC195" s="799"/>
      <c r="BD195" s="799"/>
      <c r="BE195" s="799"/>
      <c r="BF195" s="799"/>
      <c r="BG195" s="799"/>
    </row>
    <row r="196">
      <c r="H196" s="799"/>
      <c r="I196" s="799"/>
      <c r="J196" s="799"/>
      <c r="K196" s="799"/>
      <c r="L196" s="799"/>
      <c r="M196" s="799"/>
      <c r="N196" s="799"/>
      <c r="O196" s="799"/>
      <c r="P196" s="799"/>
      <c r="Q196" s="799"/>
      <c r="R196" s="799"/>
      <c r="S196" s="799"/>
      <c r="T196" s="799"/>
      <c r="U196" s="799"/>
      <c r="V196" s="799"/>
      <c r="W196" s="799"/>
      <c r="X196" s="799"/>
      <c r="Y196" s="799"/>
      <c r="Z196" s="799"/>
      <c r="AA196" s="799"/>
      <c r="AB196" s="799"/>
      <c r="AC196" s="799"/>
      <c r="AD196" s="799"/>
      <c r="AE196" s="799"/>
      <c r="AF196" s="799"/>
      <c r="AG196" s="799"/>
      <c r="AH196" s="799"/>
      <c r="AI196" s="799"/>
      <c r="AJ196" s="799"/>
      <c r="AK196" s="799"/>
      <c r="AL196" s="799"/>
      <c r="AM196" s="799"/>
      <c r="AN196" s="799"/>
      <c r="AO196" s="799"/>
      <c r="AP196" s="799"/>
      <c r="AQ196" s="799"/>
      <c r="AR196" s="799"/>
      <c r="AS196" s="799"/>
      <c r="AT196" s="799"/>
      <c r="AU196" s="799"/>
      <c r="AV196" s="799"/>
      <c r="AW196" s="799"/>
      <c r="AX196" s="799"/>
      <c r="AY196" s="799"/>
      <c r="AZ196" s="799"/>
      <c r="BA196" s="799"/>
      <c r="BB196" s="799"/>
      <c r="BC196" s="799"/>
      <c r="BD196" s="799"/>
      <c r="BE196" s="799"/>
      <c r="BF196" s="799"/>
      <c r="BG196" s="799"/>
    </row>
    <row r="197">
      <c r="H197" s="799"/>
      <c r="I197" s="799"/>
      <c r="J197" s="799"/>
      <c r="K197" s="799"/>
      <c r="L197" s="799"/>
      <c r="M197" s="799"/>
      <c r="N197" s="799"/>
      <c r="O197" s="799"/>
      <c r="P197" s="799"/>
      <c r="Q197" s="799"/>
      <c r="R197" s="799"/>
      <c r="S197" s="799"/>
      <c r="T197" s="799"/>
      <c r="U197" s="799"/>
      <c r="V197" s="799"/>
      <c r="W197" s="799"/>
      <c r="X197" s="799"/>
      <c r="Y197" s="799"/>
      <c r="Z197" s="799"/>
      <c r="AA197" s="799"/>
      <c r="AB197" s="799"/>
      <c r="AC197" s="799"/>
      <c r="AD197" s="799"/>
      <c r="AE197" s="799"/>
      <c r="AF197" s="799"/>
      <c r="AG197" s="799"/>
      <c r="AH197" s="799"/>
      <c r="AI197" s="799"/>
      <c r="AJ197" s="799"/>
      <c r="AK197" s="799"/>
      <c r="AL197" s="799"/>
      <c r="AM197" s="799"/>
      <c r="AN197" s="799"/>
      <c r="AO197" s="799"/>
      <c r="AP197" s="799"/>
      <c r="AQ197" s="799"/>
      <c r="AR197" s="799"/>
      <c r="AS197" s="799"/>
      <c r="AT197" s="799"/>
      <c r="AU197" s="799"/>
      <c r="AV197" s="799"/>
      <c r="AW197" s="799"/>
      <c r="AX197" s="799"/>
      <c r="AY197" s="799"/>
      <c r="AZ197" s="799"/>
      <c r="BA197" s="799"/>
      <c r="BB197" s="799"/>
      <c r="BC197" s="799"/>
      <c r="BD197" s="799"/>
      <c r="BE197" s="799"/>
      <c r="BF197" s="799"/>
      <c r="BG197" s="799"/>
    </row>
    <row r="198">
      <c r="H198" s="799"/>
      <c r="I198" s="799"/>
      <c r="J198" s="799"/>
      <c r="K198" s="799"/>
      <c r="L198" s="799"/>
      <c r="M198" s="799"/>
      <c r="N198" s="799"/>
      <c r="O198" s="799"/>
      <c r="P198" s="799"/>
      <c r="Q198" s="799"/>
      <c r="R198" s="799"/>
      <c r="S198" s="799"/>
      <c r="T198" s="799"/>
      <c r="U198" s="799"/>
      <c r="V198" s="799"/>
      <c r="W198" s="799"/>
      <c r="X198" s="799"/>
      <c r="Y198" s="799"/>
      <c r="Z198" s="799"/>
      <c r="AA198" s="799"/>
      <c r="AB198" s="799"/>
      <c r="AC198" s="799"/>
      <c r="AD198" s="799"/>
      <c r="AE198" s="799"/>
      <c r="AF198" s="799"/>
      <c r="AG198" s="799"/>
      <c r="AH198" s="799"/>
      <c r="AI198" s="799"/>
      <c r="AJ198" s="799"/>
      <c r="AK198" s="799"/>
      <c r="AL198" s="799"/>
      <c r="AM198" s="799"/>
      <c r="AN198" s="799"/>
      <c r="AO198" s="799"/>
      <c r="AP198" s="799"/>
      <c r="AQ198" s="799"/>
      <c r="AR198" s="799"/>
      <c r="AS198" s="799"/>
      <c r="AT198" s="799"/>
      <c r="AU198" s="799"/>
      <c r="AV198" s="799"/>
      <c r="AW198" s="799"/>
      <c r="AX198" s="799"/>
      <c r="AY198" s="799"/>
      <c r="AZ198" s="799"/>
      <c r="BA198" s="799"/>
      <c r="BB198" s="799"/>
      <c r="BC198" s="799"/>
      <c r="BD198" s="799"/>
      <c r="BE198" s="799"/>
      <c r="BF198" s="799"/>
      <c r="BG198" s="799"/>
    </row>
    <row r="199">
      <c r="H199" s="799"/>
      <c r="I199" s="799"/>
      <c r="J199" s="799"/>
      <c r="K199" s="799"/>
      <c r="L199" s="799"/>
      <c r="M199" s="799"/>
      <c r="N199" s="799"/>
      <c r="O199" s="799"/>
      <c r="P199" s="799"/>
      <c r="Q199" s="799"/>
      <c r="R199" s="799"/>
      <c r="S199" s="799"/>
      <c r="T199" s="799"/>
      <c r="U199" s="799"/>
      <c r="V199" s="799"/>
      <c r="W199" s="799"/>
      <c r="X199" s="799"/>
      <c r="Y199" s="799"/>
      <c r="Z199" s="799"/>
      <c r="AA199" s="799"/>
      <c r="AB199" s="799"/>
      <c r="AC199" s="799"/>
      <c r="AD199" s="799"/>
      <c r="AE199" s="799"/>
      <c r="AF199" s="799"/>
      <c r="AG199" s="799"/>
      <c r="AH199" s="799"/>
      <c r="AI199" s="799"/>
      <c r="AJ199" s="799"/>
      <c r="AK199" s="799"/>
      <c r="AL199" s="799"/>
      <c r="AM199" s="799"/>
      <c r="AN199" s="799"/>
      <c r="AO199" s="799"/>
      <c r="AP199" s="799"/>
      <c r="AQ199" s="799"/>
      <c r="AR199" s="799"/>
      <c r="AS199" s="799"/>
      <c r="AT199" s="799"/>
      <c r="AU199" s="799"/>
      <c r="AV199" s="799"/>
      <c r="AW199" s="799"/>
      <c r="AX199" s="799"/>
      <c r="AY199" s="799"/>
      <c r="AZ199" s="799"/>
      <c r="BA199" s="799"/>
      <c r="BB199" s="799"/>
      <c r="BC199" s="799"/>
      <c r="BD199" s="799"/>
      <c r="BE199" s="799"/>
      <c r="BF199" s="799"/>
      <c r="BG199" s="799"/>
    </row>
    <row r="200">
      <c r="H200" s="799"/>
      <c r="I200" s="799"/>
      <c r="J200" s="799"/>
      <c r="K200" s="799"/>
      <c r="L200" s="799"/>
      <c r="M200" s="799"/>
      <c r="N200" s="799"/>
      <c r="O200" s="799"/>
      <c r="P200" s="799"/>
      <c r="Q200" s="799"/>
      <c r="R200" s="799"/>
      <c r="S200" s="799"/>
      <c r="T200" s="799"/>
      <c r="U200" s="799"/>
      <c r="V200" s="799"/>
      <c r="W200" s="799"/>
      <c r="X200" s="799"/>
      <c r="Y200" s="799"/>
      <c r="Z200" s="799"/>
      <c r="AA200" s="799"/>
      <c r="AB200" s="799"/>
      <c r="AC200" s="799"/>
      <c r="AD200" s="799"/>
      <c r="AE200" s="799"/>
      <c r="AF200" s="799"/>
      <c r="AG200" s="799"/>
      <c r="AH200" s="799"/>
      <c r="AI200" s="799"/>
      <c r="AJ200" s="799"/>
      <c r="AK200" s="799"/>
      <c r="AL200" s="799"/>
      <c r="AM200" s="799"/>
      <c r="AN200" s="799"/>
      <c r="AO200" s="799"/>
      <c r="AP200" s="799"/>
      <c r="AQ200" s="799"/>
      <c r="AR200" s="799"/>
      <c r="AS200" s="799"/>
      <c r="AT200" s="799"/>
      <c r="AU200" s="799"/>
      <c r="AV200" s="799"/>
      <c r="AW200" s="799"/>
      <c r="AX200" s="799"/>
      <c r="AY200" s="799"/>
      <c r="AZ200" s="799"/>
      <c r="BA200" s="799"/>
      <c r="BB200" s="799"/>
      <c r="BC200" s="799"/>
      <c r="BD200" s="799"/>
      <c r="BE200" s="799"/>
      <c r="BF200" s="799"/>
      <c r="BG200" s="799"/>
    </row>
    <row r="201">
      <c r="H201" s="799"/>
      <c r="I201" s="799"/>
      <c r="J201" s="799"/>
      <c r="K201" s="799"/>
      <c r="L201" s="799"/>
      <c r="M201" s="799"/>
      <c r="N201" s="799"/>
      <c r="O201" s="799"/>
      <c r="P201" s="799"/>
      <c r="Q201" s="799"/>
      <c r="R201" s="799"/>
      <c r="S201" s="799"/>
      <c r="T201" s="799"/>
      <c r="U201" s="799"/>
      <c r="V201" s="799"/>
      <c r="W201" s="799"/>
      <c r="X201" s="799"/>
      <c r="Y201" s="799"/>
      <c r="Z201" s="799"/>
      <c r="AA201" s="799"/>
      <c r="AB201" s="799"/>
      <c r="AC201" s="799"/>
      <c r="AD201" s="799"/>
      <c r="AE201" s="799"/>
      <c r="AF201" s="799"/>
      <c r="AG201" s="799"/>
      <c r="AH201" s="799"/>
      <c r="AI201" s="799"/>
      <c r="AJ201" s="799"/>
      <c r="AK201" s="799"/>
      <c r="AL201" s="799"/>
      <c r="AM201" s="799"/>
      <c r="AN201" s="799"/>
      <c r="AO201" s="799"/>
      <c r="AP201" s="799"/>
      <c r="AQ201" s="799"/>
      <c r="AR201" s="799"/>
      <c r="AS201" s="799"/>
      <c r="AT201" s="799"/>
      <c r="AU201" s="799"/>
      <c r="AV201" s="799"/>
      <c r="AW201" s="799"/>
      <c r="AX201" s="799"/>
      <c r="AY201" s="799"/>
      <c r="AZ201" s="799"/>
      <c r="BA201" s="799"/>
      <c r="BB201" s="799"/>
      <c r="BC201" s="799"/>
      <c r="BD201" s="799"/>
      <c r="BE201" s="799"/>
      <c r="BF201" s="799"/>
      <c r="BG201" s="799"/>
    </row>
    <row r="202">
      <c r="H202" s="799"/>
      <c r="I202" s="799"/>
      <c r="J202" s="799"/>
      <c r="K202" s="799"/>
      <c r="L202" s="799"/>
      <c r="M202" s="799"/>
      <c r="N202" s="799"/>
      <c r="O202" s="799"/>
      <c r="P202" s="799"/>
      <c r="Q202" s="799"/>
      <c r="R202" s="799"/>
      <c r="S202" s="799"/>
      <c r="T202" s="799"/>
      <c r="U202" s="799"/>
      <c r="V202" s="799"/>
      <c r="W202" s="799"/>
      <c r="X202" s="799"/>
      <c r="Y202" s="799"/>
      <c r="Z202" s="799"/>
      <c r="AA202" s="799"/>
      <c r="AB202" s="799"/>
      <c r="AC202" s="799"/>
      <c r="AD202" s="799"/>
      <c r="AE202" s="799"/>
      <c r="AF202" s="799"/>
      <c r="AG202" s="799"/>
      <c r="AH202" s="799"/>
      <c r="AI202" s="799"/>
      <c r="AJ202" s="799"/>
      <c r="AK202" s="799"/>
      <c r="AL202" s="799"/>
      <c r="AM202" s="799"/>
      <c r="AN202" s="799"/>
      <c r="AO202" s="799"/>
      <c r="AP202" s="799"/>
      <c r="AQ202" s="799"/>
      <c r="AR202" s="799"/>
      <c r="AS202" s="799"/>
      <c r="AT202" s="799"/>
      <c r="AU202" s="799"/>
      <c r="AV202" s="799"/>
      <c r="AW202" s="799"/>
      <c r="AX202" s="799"/>
      <c r="AY202" s="799"/>
      <c r="AZ202" s="799"/>
      <c r="BA202" s="799"/>
      <c r="BB202" s="799"/>
      <c r="BC202" s="799"/>
      <c r="BD202" s="799"/>
      <c r="BE202" s="799"/>
      <c r="BF202" s="799"/>
      <c r="BG202" s="799"/>
    </row>
    <row r="203">
      <c r="H203" s="799"/>
      <c r="I203" s="799"/>
      <c r="J203" s="799"/>
      <c r="K203" s="799"/>
      <c r="L203" s="799"/>
      <c r="M203" s="799"/>
      <c r="N203" s="799"/>
      <c r="O203" s="799"/>
      <c r="P203" s="799"/>
      <c r="Q203" s="799"/>
      <c r="R203" s="799"/>
      <c r="S203" s="799"/>
      <c r="T203" s="799"/>
      <c r="U203" s="799"/>
      <c r="V203" s="799"/>
      <c r="W203" s="799"/>
      <c r="X203" s="799"/>
      <c r="Y203" s="799"/>
      <c r="Z203" s="799"/>
      <c r="AA203" s="799"/>
      <c r="AB203" s="799"/>
      <c r="AC203" s="799"/>
      <c r="AD203" s="799"/>
      <c r="AE203" s="799"/>
      <c r="AF203" s="799"/>
      <c r="AG203" s="799"/>
      <c r="AH203" s="799"/>
      <c r="AI203" s="799"/>
      <c r="AJ203" s="799"/>
      <c r="AK203" s="799"/>
      <c r="AL203" s="799"/>
      <c r="AM203" s="799"/>
      <c r="AN203" s="799"/>
      <c r="AO203" s="799"/>
      <c r="AP203" s="799"/>
      <c r="AQ203" s="799"/>
      <c r="AR203" s="799"/>
      <c r="AS203" s="799"/>
      <c r="AT203" s="799"/>
      <c r="AU203" s="799"/>
      <c r="AV203" s="799"/>
      <c r="AW203" s="799"/>
      <c r="AX203" s="799"/>
      <c r="AY203" s="799"/>
      <c r="AZ203" s="799"/>
      <c r="BA203" s="799"/>
      <c r="BB203" s="799"/>
      <c r="BC203" s="799"/>
      <c r="BD203" s="799"/>
      <c r="BE203" s="799"/>
      <c r="BF203" s="799"/>
      <c r="BG203" s="799"/>
    </row>
    <row r="204">
      <c r="H204" s="799"/>
      <c r="I204" s="799"/>
      <c r="J204" s="799"/>
      <c r="K204" s="799"/>
      <c r="L204" s="799"/>
      <c r="M204" s="799"/>
      <c r="N204" s="799"/>
      <c r="O204" s="799"/>
      <c r="P204" s="799"/>
      <c r="Q204" s="799"/>
      <c r="R204" s="799"/>
      <c r="S204" s="799"/>
      <c r="T204" s="799"/>
      <c r="U204" s="799"/>
      <c r="V204" s="799"/>
      <c r="W204" s="799"/>
      <c r="X204" s="799"/>
      <c r="Y204" s="799"/>
      <c r="Z204" s="799"/>
      <c r="AA204" s="799"/>
      <c r="AB204" s="799"/>
      <c r="AC204" s="799"/>
      <c r="AD204" s="799"/>
      <c r="AE204" s="799"/>
      <c r="AF204" s="799"/>
      <c r="AG204" s="799"/>
      <c r="AH204" s="799"/>
      <c r="AI204" s="799"/>
      <c r="AJ204" s="799"/>
      <c r="AK204" s="799"/>
      <c r="AL204" s="799"/>
      <c r="AM204" s="799"/>
      <c r="AN204" s="799"/>
      <c r="AO204" s="799"/>
      <c r="AP204" s="799"/>
      <c r="AQ204" s="799"/>
      <c r="AR204" s="799"/>
      <c r="AS204" s="799"/>
      <c r="AT204" s="799"/>
      <c r="AU204" s="799"/>
      <c r="AV204" s="799"/>
      <c r="AW204" s="799"/>
      <c r="AX204" s="799"/>
      <c r="AY204" s="799"/>
      <c r="AZ204" s="799"/>
      <c r="BA204" s="799"/>
      <c r="BB204" s="799"/>
      <c r="BC204" s="799"/>
      <c r="BD204" s="799"/>
      <c r="BE204" s="799"/>
      <c r="BF204" s="799"/>
      <c r="BG204" s="799"/>
    </row>
    <row r="205">
      <c r="H205" s="799"/>
      <c r="I205" s="799"/>
      <c r="J205" s="799"/>
      <c r="K205" s="799"/>
      <c r="L205" s="799"/>
      <c r="M205" s="799"/>
      <c r="N205" s="799"/>
      <c r="O205" s="799"/>
      <c r="P205" s="799"/>
      <c r="Q205" s="799"/>
      <c r="R205" s="799"/>
      <c r="S205" s="799"/>
      <c r="T205" s="799"/>
      <c r="U205" s="799"/>
      <c r="V205" s="799"/>
      <c r="W205" s="799"/>
      <c r="X205" s="799"/>
      <c r="Y205" s="799"/>
      <c r="Z205" s="799"/>
      <c r="AA205" s="799"/>
      <c r="AB205" s="799"/>
      <c r="AC205" s="799"/>
      <c r="AD205" s="799"/>
      <c r="AE205" s="799"/>
      <c r="AF205" s="799"/>
      <c r="AG205" s="799"/>
      <c r="AH205" s="799"/>
      <c r="AI205" s="799"/>
      <c r="AJ205" s="799"/>
      <c r="AK205" s="799"/>
      <c r="AL205" s="799"/>
      <c r="AM205" s="799"/>
      <c r="AN205" s="799"/>
      <c r="AO205" s="799"/>
      <c r="AP205" s="799"/>
      <c r="AQ205" s="799"/>
      <c r="AR205" s="799"/>
      <c r="AS205" s="799"/>
      <c r="AT205" s="799"/>
      <c r="AU205" s="799"/>
      <c r="AV205" s="799"/>
      <c r="AW205" s="799"/>
      <c r="AX205" s="799"/>
      <c r="AY205" s="799"/>
      <c r="AZ205" s="799"/>
      <c r="BA205" s="799"/>
      <c r="BB205" s="799"/>
      <c r="BC205" s="799"/>
      <c r="BD205" s="799"/>
      <c r="BE205" s="799"/>
      <c r="BF205" s="799"/>
      <c r="BG205" s="799"/>
    </row>
    <row r="206">
      <c r="H206" s="799"/>
      <c r="I206" s="799"/>
      <c r="J206" s="799"/>
      <c r="K206" s="799"/>
      <c r="L206" s="799"/>
      <c r="M206" s="799"/>
      <c r="N206" s="799"/>
      <c r="O206" s="799"/>
      <c r="P206" s="799"/>
      <c r="Q206" s="799"/>
      <c r="R206" s="799"/>
      <c r="S206" s="799"/>
      <c r="T206" s="799"/>
      <c r="U206" s="799"/>
      <c r="V206" s="799"/>
      <c r="W206" s="799"/>
      <c r="X206" s="799"/>
      <c r="Y206" s="799"/>
      <c r="Z206" s="799"/>
      <c r="AA206" s="799"/>
      <c r="AB206" s="799"/>
      <c r="AC206" s="799"/>
      <c r="AD206" s="799"/>
      <c r="AE206" s="799"/>
      <c r="AF206" s="799"/>
      <c r="AG206" s="799"/>
      <c r="AH206" s="799"/>
      <c r="AI206" s="799"/>
      <c r="AJ206" s="799"/>
      <c r="AK206" s="799"/>
      <c r="AL206" s="799"/>
      <c r="AM206" s="799"/>
      <c r="AN206" s="799"/>
      <c r="AO206" s="799"/>
      <c r="AP206" s="799"/>
      <c r="AQ206" s="799"/>
      <c r="AR206" s="799"/>
      <c r="AS206" s="799"/>
      <c r="AT206" s="799"/>
      <c r="AU206" s="799"/>
      <c r="AV206" s="799"/>
      <c r="AW206" s="799"/>
      <c r="AX206" s="799"/>
      <c r="AY206" s="799"/>
      <c r="AZ206" s="799"/>
      <c r="BA206" s="799"/>
      <c r="BB206" s="799"/>
      <c r="BC206" s="799"/>
      <c r="BD206" s="799"/>
      <c r="BE206" s="799"/>
      <c r="BF206" s="799"/>
      <c r="BG206" s="799"/>
    </row>
    <row r="207">
      <c r="H207" s="799"/>
      <c r="I207" s="799"/>
      <c r="J207" s="799"/>
      <c r="K207" s="799"/>
      <c r="L207" s="799"/>
      <c r="M207" s="799"/>
      <c r="N207" s="799"/>
      <c r="O207" s="799"/>
      <c r="P207" s="799"/>
      <c r="Q207" s="799"/>
      <c r="R207" s="799"/>
      <c r="S207" s="799"/>
      <c r="T207" s="799"/>
      <c r="U207" s="799"/>
      <c r="V207" s="799"/>
      <c r="W207" s="799"/>
      <c r="X207" s="799"/>
      <c r="Y207" s="799"/>
      <c r="Z207" s="799"/>
      <c r="AA207" s="799"/>
      <c r="AB207" s="799"/>
      <c r="AC207" s="799"/>
      <c r="AD207" s="799"/>
      <c r="AE207" s="799"/>
      <c r="AF207" s="799"/>
      <c r="AG207" s="799"/>
      <c r="AH207" s="799"/>
      <c r="AI207" s="799"/>
      <c r="AJ207" s="799"/>
      <c r="AK207" s="799"/>
      <c r="AL207" s="799"/>
      <c r="AM207" s="799"/>
      <c r="AN207" s="799"/>
      <c r="AO207" s="799"/>
      <c r="AP207" s="799"/>
      <c r="AQ207" s="799"/>
      <c r="AR207" s="799"/>
      <c r="AS207" s="799"/>
      <c r="AT207" s="799"/>
      <c r="AU207" s="799"/>
      <c r="AV207" s="799"/>
      <c r="AW207" s="799"/>
      <c r="AX207" s="799"/>
      <c r="AY207" s="799"/>
      <c r="AZ207" s="799"/>
      <c r="BA207" s="799"/>
      <c r="BB207" s="799"/>
      <c r="BC207" s="799"/>
      <c r="BD207" s="799"/>
      <c r="BE207" s="799"/>
      <c r="BF207" s="799"/>
      <c r="BG207" s="799"/>
    </row>
    <row r="208">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c r="AE208" s="799"/>
      <c r="AF208" s="799"/>
      <c r="AG208" s="799"/>
      <c r="AH208" s="799"/>
      <c r="AI208" s="799"/>
      <c r="AJ208" s="799"/>
      <c r="AK208" s="799"/>
      <c r="AL208" s="799"/>
      <c r="AM208" s="799"/>
      <c r="AN208" s="799"/>
      <c r="AO208" s="799"/>
      <c r="AP208" s="799"/>
      <c r="AQ208" s="799"/>
      <c r="AR208" s="799"/>
      <c r="AS208" s="799"/>
      <c r="AT208" s="799"/>
      <c r="AU208" s="799"/>
      <c r="AV208" s="799"/>
      <c r="AW208" s="799"/>
      <c r="AX208" s="799"/>
      <c r="AY208" s="799"/>
      <c r="AZ208" s="799"/>
      <c r="BA208" s="799"/>
      <c r="BB208" s="799"/>
      <c r="BC208" s="799"/>
      <c r="BD208" s="799"/>
      <c r="BE208" s="799"/>
      <c r="BF208" s="799"/>
      <c r="BG208" s="799"/>
    </row>
    <row r="209">
      <c r="H209" s="799"/>
      <c r="I209" s="799"/>
      <c r="J209" s="799"/>
      <c r="K209" s="799"/>
      <c r="L209" s="799"/>
      <c r="M209" s="799"/>
      <c r="N209" s="799"/>
      <c r="O209" s="799"/>
      <c r="P209" s="799"/>
      <c r="Q209" s="799"/>
      <c r="R209" s="799"/>
      <c r="S209" s="799"/>
      <c r="T209" s="799"/>
      <c r="U209" s="799"/>
      <c r="V209" s="799"/>
      <c r="W209" s="799"/>
      <c r="X209" s="799"/>
      <c r="Y209" s="799"/>
      <c r="Z209" s="799"/>
      <c r="AA209" s="799"/>
      <c r="AB209" s="799"/>
      <c r="AC209" s="799"/>
      <c r="AD209" s="799"/>
      <c r="AE209" s="799"/>
      <c r="AF209" s="799"/>
      <c r="AG209" s="799"/>
      <c r="AH209" s="799"/>
      <c r="AI209" s="799"/>
      <c r="AJ209" s="799"/>
      <c r="AK209" s="799"/>
      <c r="AL209" s="799"/>
      <c r="AM209" s="799"/>
      <c r="AN209" s="799"/>
      <c r="AO209" s="799"/>
      <c r="AP209" s="799"/>
      <c r="AQ209" s="799"/>
      <c r="AR209" s="799"/>
      <c r="AS209" s="799"/>
      <c r="AT209" s="799"/>
      <c r="AU209" s="799"/>
      <c r="AV209" s="799"/>
      <c r="AW209" s="799"/>
      <c r="AX209" s="799"/>
      <c r="AY209" s="799"/>
      <c r="AZ209" s="799"/>
      <c r="BA209" s="799"/>
      <c r="BB209" s="799"/>
      <c r="BC209" s="799"/>
      <c r="BD209" s="799"/>
      <c r="BE209" s="799"/>
      <c r="BF209" s="799"/>
      <c r="BG209" s="799"/>
    </row>
    <row r="210">
      <c r="H210" s="799"/>
      <c r="I210" s="799"/>
      <c r="J210" s="799"/>
      <c r="K210" s="799"/>
      <c r="L210" s="799"/>
      <c r="M210" s="799"/>
      <c r="N210" s="799"/>
      <c r="O210" s="799"/>
      <c r="P210" s="799"/>
      <c r="Q210" s="799"/>
      <c r="R210" s="799"/>
      <c r="S210" s="799"/>
      <c r="T210" s="799"/>
      <c r="U210" s="799"/>
      <c r="V210" s="799"/>
      <c r="W210" s="799"/>
      <c r="X210" s="799"/>
      <c r="Y210" s="799"/>
      <c r="Z210" s="799"/>
      <c r="AA210" s="799"/>
      <c r="AB210" s="799"/>
      <c r="AC210" s="799"/>
      <c r="AD210" s="799"/>
      <c r="AE210" s="799"/>
      <c r="AF210" s="799"/>
      <c r="AG210" s="799"/>
      <c r="AH210" s="799"/>
      <c r="AI210" s="799"/>
      <c r="AJ210" s="799"/>
      <c r="AK210" s="799"/>
      <c r="AL210" s="799"/>
      <c r="AM210" s="799"/>
      <c r="AN210" s="799"/>
      <c r="AO210" s="799"/>
      <c r="AP210" s="799"/>
      <c r="AQ210" s="799"/>
      <c r="AR210" s="799"/>
      <c r="AS210" s="799"/>
      <c r="AT210" s="799"/>
      <c r="AU210" s="799"/>
      <c r="AV210" s="799"/>
      <c r="AW210" s="799"/>
      <c r="AX210" s="799"/>
      <c r="AY210" s="799"/>
      <c r="AZ210" s="799"/>
      <c r="BA210" s="799"/>
      <c r="BB210" s="799"/>
      <c r="BC210" s="799"/>
      <c r="BD210" s="799"/>
      <c r="BE210" s="799"/>
      <c r="BF210" s="799"/>
      <c r="BG210" s="799"/>
    </row>
    <row r="211">
      <c r="H211" s="799"/>
      <c r="I211" s="799"/>
      <c r="J211" s="799"/>
      <c r="K211" s="799"/>
      <c r="L211" s="799"/>
      <c r="M211" s="799"/>
      <c r="N211" s="799"/>
      <c r="O211" s="799"/>
      <c r="P211" s="799"/>
      <c r="Q211" s="799"/>
      <c r="R211" s="799"/>
      <c r="S211" s="799"/>
      <c r="T211" s="799"/>
      <c r="U211" s="799"/>
      <c r="V211" s="799"/>
      <c r="W211" s="799"/>
      <c r="X211" s="799"/>
      <c r="Y211" s="799"/>
      <c r="Z211" s="799"/>
      <c r="AA211" s="799"/>
      <c r="AB211" s="799"/>
      <c r="AC211" s="799"/>
      <c r="AD211" s="799"/>
      <c r="AE211" s="799"/>
      <c r="AF211" s="799"/>
      <c r="AG211" s="799"/>
      <c r="AH211" s="799"/>
      <c r="AI211" s="799"/>
      <c r="AJ211" s="799"/>
      <c r="AK211" s="799"/>
      <c r="AL211" s="799"/>
      <c r="AM211" s="799"/>
      <c r="AN211" s="799"/>
      <c r="AO211" s="799"/>
      <c r="AP211" s="799"/>
      <c r="AQ211" s="799"/>
      <c r="AR211" s="799"/>
      <c r="AS211" s="799"/>
      <c r="AT211" s="799"/>
      <c r="AU211" s="799"/>
      <c r="AV211" s="799"/>
      <c r="AW211" s="799"/>
      <c r="AX211" s="799"/>
      <c r="AY211" s="799"/>
      <c r="AZ211" s="799"/>
      <c r="BA211" s="799"/>
      <c r="BB211" s="799"/>
      <c r="BC211" s="799"/>
      <c r="BD211" s="799"/>
      <c r="BE211" s="799"/>
      <c r="BF211" s="799"/>
      <c r="BG211" s="799"/>
    </row>
    <row r="212">
      <c r="H212" s="799"/>
      <c r="I212" s="799"/>
      <c r="J212" s="799"/>
      <c r="K212" s="799"/>
      <c r="L212" s="799"/>
      <c r="M212" s="799"/>
      <c r="N212" s="799"/>
      <c r="O212" s="799"/>
      <c r="P212" s="799"/>
      <c r="Q212" s="799"/>
      <c r="R212" s="799"/>
      <c r="S212" s="799"/>
      <c r="T212" s="799"/>
      <c r="U212" s="799"/>
      <c r="V212" s="799"/>
      <c r="W212" s="799"/>
      <c r="X212" s="799"/>
      <c r="Y212" s="799"/>
      <c r="Z212" s="799"/>
      <c r="AA212" s="799"/>
      <c r="AB212" s="799"/>
      <c r="AC212" s="799"/>
      <c r="AD212" s="799"/>
      <c r="AE212" s="799"/>
      <c r="AF212" s="799"/>
      <c r="AG212" s="799"/>
      <c r="AH212" s="799"/>
      <c r="AI212" s="799"/>
      <c r="AJ212" s="799"/>
      <c r="AK212" s="799"/>
      <c r="AL212" s="799"/>
      <c r="AM212" s="799"/>
      <c r="AN212" s="799"/>
      <c r="AO212" s="799"/>
      <c r="AP212" s="799"/>
      <c r="AQ212" s="799"/>
      <c r="AR212" s="799"/>
      <c r="AS212" s="799"/>
      <c r="AT212" s="799"/>
      <c r="AU212" s="799"/>
      <c r="AV212" s="799"/>
      <c r="AW212" s="799"/>
      <c r="AX212" s="799"/>
      <c r="AY212" s="799"/>
      <c r="AZ212" s="799"/>
      <c r="BA212" s="799"/>
      <c r="BB212" s="799"/>
      <c r="BC212" s="799"/>
      <c r="BD212" s="799"/>
      <c r="BE212" s="799"/>
      <c r="BF212" s="799"/>
      <c r="BG212" s="799"/>
    </row>
    <row r="213">
      <c r="H213" s="799"/>
      <c r="I213" s="799"/>
      <c r="J213" s="799"/>
      <c r="K213" s="799"/>
      <c r="L213" s="799"/>
      <c r="M213" s="799"/>
      <c r="N213" s="799"/>
      <c r="O213" s="799"/>
      <c r="P213" s="799"/>
      <c r="Q213" s="799"/>
      <c r="R213" s="799"/>
      <c r="S213" s="799"/>
      <c r="T213" s="799"/>
      <c r="U213" s="799"/>
      <c r="V213" s="799"/>
      <c r="W213" s="799"/>
      <c r="X213" s="799"/>
      <c r="Y213" s="799"/>
      <c r="Z213" s="799"/>
      <c r="AA213" s="799"/>
      <c r="AB213" s="799"/>
      <c r="AC213" s="799"/>
      <c r="AD213" s="799"/>
      <c r="AE213" s="799"/>
      <c r="AF213" s="799"/>
      <c r="AG213" s="799"/>
      <c r="AH213" s="799"/>
      <c r="AI213" s="799"/>
      <c r="AJ213" s="799"/>
      <c r="AK213" s="799"/>
      <c r="AL213" s="799"/>
      <c r="AM213" s="799"/>
      <c r="AN213" s="799"/>
      <c r="AO213" s="799"/>
      <c r="AP213" s="799"/>
      <c r="AQ213" s="799"/>
      <c r="AR213" s="799"/>
      <c r="AS213" s="799"/>
      <c r="AT213" s="799"/>
      <c r="AU213" s="799"/>
      <c r="AV213" s="799"/>
      <c r="AW213" s="799"/>
      <c r="AX213" s="799"/>
      <c r="AY213" s="799"/>
      <c r="AZ213" s="799"/>
      <c r="BA213" s="799"/>
      <c r="BB213" s="799"/>
      <c r="BC213" s="799"/>
      <c r="BD213" s="799"/>
      <c r="BE213" s="799"/>
      <c r="BF213" s="799"/>
      <c r="BG213" s="799"/>
    </row>
    <row r="214">
      <c r="H214" s="799"/>
      <c r="I214" s="799"/>
      <c r="J214" s="799"/>
      <c r="K214" s="799"/>
      <c r="L214" s="799"/>
      <c r="M214" s="799"/>
      <c r="N214" s="799"/>
      <c r="O214" s="799"/>
      <c r="P214" s="799"/>
      <c r="Q214" s="799"/>
      <c r="R214" s="799"/>
      <c r="S214" s="799"/>
      <c r="T214" s="799"/>
      <c r="U214" s="799"/>
      <c r="V214" s="799"/>
      <c r="W214" s="799"/>
      <c r="X214" s="799"/>
      <c r="Y214" s="799"/>
      <c r="Z214" s="799"/>
      <c r="AA214" s="799"/>
      <c r="AB214" s="799"/>
      <c r="AC214" s="799"/>
      <c r="AD214" s="799"/>
      <c r="AE214" s="799"/>
      <c r="AF214" s="799"/>
      <c r="AG214" s="799"/>
      <c r="AH214" s="799"/>
      <c r="AI214" s="799"/>
      <c r="AJ214" s="799"/>
      <c r="AK214" s="799"/>
      <c r="AL214" s="799"/>
      <c r="AM214" s="799"/>
      <c r="AN214" s="799"/>
      <c r="AO214" s="799"/>
      <c r="AP214" s="799"/>
      <c r="AQ214" s="799"/>
      <c r="AR214" s="799"/>
      <c r="AS214" s="799"/>
      <c r="AT214" s="799"/>
      <c r="AU214" s="799"/>
      <c r="AV214" s="799"/>
      <c r="AW214" s="799"/>
      <c r="AX214" s="799"/>
      <c r="AY214" s="799"/>
      <c r="AZ214" s="799"/>
      <c r="BA214" s="799"/>
      <c r="BB214" s="799"/>
      <c r="BC214" s="799"/>
      <c r="BD214" s="799"/>
      <c r="BE214" s="799"/>
      <c r="BF214" s="799"/>
      <c r="BG214" s="799"/>
    </row>
    <row r="215">
      <c r="H215" s="799"/>
      <c r="I215" s="799"/>
      <c r="J215" s="799"/>
      <c r="K215" s="799"/>
      <c r="L215" s="799"/>
      <c r="M215" s="799"/>
      <c r="N215" s="799"/>
      <c r="O215" s="799"/>
      <c r="P215" s="799"/>
      <c r="Q215" s="799"/>
      <c r="R215" s="799"/>
      <c r="S215" s="799"/>
      <c r="T215" s="799"/>
      <c r="U215" s="799"/>
      <c r="V215" s="799"/>
      <c r="W215" s="799"/>
      <c r="X215" s="799"/>
      <c r="Y215" s="799"/>
      <c r="Z215" s="799"/>
      <c r="AA215" s="799"/>
      <c r="AB215" s="799"/>
      <c r="AC215" s="799"/>
      <c r="AD215" s="799"/>
      <c r="AE215" s="799"/>
      <c r="AF215" s="799"/>
      <c r="AG215" s="799"/>
      <c r="AH215" s="799"/>
      <c r="AI215" s="799"/>
      <c r="AJ215" s="799"/>
      <c r="AK215" s="799"/>
      <c r="AL215" s="799"/>
      <c r="AM215" s="799"/>
      <c r="AN215" s="799"/>
      <c r="AO215" s="799"/>
      <c r="AP215" s="799"/>
      <c r="AQ215" s="799"/>
      <c r="AR215" s="799"/>
      <c r="AS215" s="799"/>
      <c r="AT215" s="799"/>
      <c r="AU215" s="799"/>
      <c r="AV215" s="799"/>
      <c r="AW215" s="799"/>
      <c r="AX215" s="799"/>
      <c r="AY215" s="799"/>
      <c r="AZ215" s="799"/>
      <c r="BA215" s="799"/>
      <c r="BB215" s="799"/>
      <c r="BC215" s="799"/>
      <c r="BD215" s="799"/>
      <c r="BE215" s="799"/>
      <c r="BF215" s="799"/>
      <c r="BG215" s="799"/>
    </row>
    <row r="216">
      <c r="H216" s="799"/>
      <c r="I216" s="799"/>
      <c r="J216" s="799"/>
      <c r="K216" s="799"/>
      <c r="L216" s="799"/>
      <c r="M216" s="799"/>
      <c r="N216" s="799"/>
      <c r="O216" s="799"/>
      <c r="P216" s="799"/>
      <c r="Q216" s="799"/>
      <c r="R216" s="799"/>
      <c r="S216" s="799"/>
      <c r="T216" s="799"/>
      <c r="U216" s="799"/>
      <c r="V216" s="799"/>
      <c r="W216" s="799"/>
      <c r="X216" s="799"/>
      <c r="Y216" s="799"/>
      <c r="Z216" s="799"/>
      <c r="AA216" s="799"/>
      <c r="AB216" s="799"/>
      <c r="AC216" s="799"/>
      <c r="AD216" s="799"/>
      <c r="AE216" s="799"/>
      <c r="AF216" s="799"/>
      <c r="AG216" s="799"/>
      <c r="AH216" s="799"/>
      <c r="AI216" s="799"/>
      <c r="AJ216" s="799"/>
      <c r="AK216" s="799"/>
      <c r="AL216" s="799"/>
      <c r="AM216" s="799"/>
      <c r="AN216" s="799"/>
      <c r="AO216" s="799"/>
      <c r="AP216" s="799"/>
      <c r="AQ216" s="799"/>
      <c r="AR216" s="799"/>
      <c r="AS216" s="799"/>
      <c r="AT216" s="799"/>
      <c r="AU216" s="799"/>
      <c r="AV216" s="799"/>
      <c r="AW216" s="799"/>
      <c r="AX216" s="799"/>
      <c r="AY216" s="799"/>
      <c r="AZ216" s="799"/>
      <c r="BA216" s="799"/>
      <c r="BB216" s="799"/>
      <c r="BC216" s="799"/>
      <c r="BD216" s="799"/>
      <c r="BE216" s="799"/>
      <c r="BF216" s="799"/>
      <c r="BG216" s="799"/>
    </row>
    <row r="217">
      <c r="H217" s="799"/>
      <c r="I217" s="799"/>
      <c r="J217" s="799"/>
      <c r="K217" s="799"/>
      <c r="L217" s="799"/>
      <c r="M217" s="799"/>
      <c r="N217" s="799"/>
      <c r="O217" s="799"/>
      <c r="P217" s="799"/>
      <c r="Q217" s="799"/>
      <c r="R217" s="799"/>
      <c r="S217" s="799"/>
      <c r="T217" s="799"/>
      <c r="U217" s="799"/>
      <c r="V217" s="799"/>
      <c r="W217" s="799"/>
      <c r="X217" s="799"/>
      <c r="Y217" s="799"/>
      <c r="Z217" s="799"/>
      <c r="AA217" s="799"/>
      <c r="AB217" s="799"/>
      <c r="AC217" s="799"/>
      <c r="AD217" s="799"/>
      <c r="AE217" s="799"/>
      <c r="AF217" s="799"/>
      <c r="AG217" s="799"/>
      <c r="AH217" s="799"/>
      <c r="AI217" s="799"/>
      <c r="AJ217" s="799"/>
      <c r="AK217" s="799"/>
      <c r="AL217" s="799"/>
      <c r="AM217" s="799"/>
      <c r="AN217" s="799"/>
      <c r="AO217" s="799"/>
      <c r="AP217" s="799"/>
      <c r="AQ217" s="799"/>
      <c r="AR217" s="799"/>
      <c r="AS217" s="799"/>
      <c r="AT217" s="799"/>
      <c r="AU217" s="799"/>
      <c r="AV217" s="799"/>
      <c r="AW217" s="799"/>
      <c r="AX217" s="799"/>
      <c r="AY217" s="799"/>
      <c r="AZ217" s="799"/>
      <c r="BA217" s="799"/>
      <c r="BB217" s="799"/>
      <c r="BC217" s="799"/>
      <c r="BD217" s="799"/>
      <c r="BE217" s="799"/>
      <c r="BF217" s="799"/>
      <c r="BG217" s="799"/>
    </row>
    <row r="218">
      <c r="H218" s="799"/>
      <c r="I218" s="799"/>
      <c r="J218" s="799"/>
      <c r="K218" s="799"/>
      <c r="L218" s="799"/>
      <c r="M218" s="799"/>
      <c r="N218" s="799"/>
      <c r="O218" s="799"/>
      <c r="P218" s="799"/>
      <c r="Q218" s="799"/>
      <c r="R218" s="799"/>
      <c r="S218" s="799"/>
      <c r="T218" s="799"/>
      <c r="U218" s="799"/>
      <c r="V218" s="799"/>
      <c r="W218" s="799"/>
      <c r="X218" s="799"/>
      <c r="Y218" s="799"/>
      <c r="Z218" s="799"/>
      <c r="AA218" s="799"/>
      <c r="AB218" s="799"/>
      <c r="AC218" s="799"/>
      <c r="AD218" s="799"/>
      <c r="AE218" s="799"/>
      <c r="AF218" s="799"/>
      <c r="AG218" s="799"/>
      <c r="AH218" s="799"/>
      <c r="AI218" s="799"/>
      <c r="AJ218" s="799"/>
      <c r="AK218" s="799"/>
      <c r="AL218" s="799"/>
      <c r="AM218" s="799"/>
      <c r="AN218" s="799"/>
      <c r="AO218" s="799"/>
      <c r="AP218" s="799"/>
      <c r="AQ218" s="799"/>
      <c r="AR218" s="799"/>
      <c r="AS218" s="799"/>
      <c r="AT218" s="799"/>
      <c r="AU218" s="799"/>
      <c r="AV218" s="799"/>
      <c r="AW218" s="799"/>
      <c r="AX218" s="799"/>
      <c r="AY218" s="799"/>
      <c r="AZ218" s="799"/>
      <c r="BA218" s="799"/>
      <c r="BB218" s="799"/>
      <c r="BC218" s="799"/>
      <c r="BD218" s="799"/>
      <c r="BE218" s="799"/>
      <c r="BF218" s="799"/>
      <c r="BG218" s="799"/>
    </row>
    <row r="219">
      <c r="H219" s="799"/>
      <c r="I219" s="799"/>
      <c r="J219" s="799"/>
      <c r="K219" s="799"/>
      <c r="L219" s="799"/>
      <c r="M219" s="799"/>
      <c r="N219" s="799"/>
      <c r="O219" s="799"/>
      <c r="P219" s="799"/>
      <c r="Q219" s="799"/>
      <c r="R219" s="799"/>
      <c r="S219" s="799"/>
      <c r="T219" s="799"/>
      <c r="U219" s="799"/>
      <c r="V219" s="799"/>
      <c r="W219" s="799"/>
      <c r="X219" s="799"/>
      <c r="Y219" s="799"/>
      <c r="Z219" s="799"/>
      <c r="AA219" s="799"/>
      <c r="AB219" s="799"/>
      <c r="AC219" s="799"/>
      <c r="AD219" s="799"/>
      <c r="AE219" s="799"/>
      <c r="AF219" s="799"/>
      <c r="AG219" s="799"/>
      <c r="AH219" s="799"/>
      <c r="AI219" s="799"/>
      <c r="AJ219" s="799"/>
      <c r="AK219" s="799"/>
      <c r="AL219" s="799"/>
      <c r="AM219" s="799"/>
      <c r="AN219" s="799"/>
      <c r="AO219" s="799"/>
      <c r="AP219" s="799"/>
      <c r="AQ219" s="799"/>
      <c r="AR219" s="799"/>
      <c r="AS219" s="799"/>
      <c r="AT219" s="799"/>
      <c r="AU219" s="799"/>
      <c r="AV219" s="799"/>
      <c r="AW219" s="799"/>
      <c r="AX219" s="799"/>
      <c r="AY219" s="799"/>
      <c r="AZ219" s="799"/>
      <c r="BA219" s="799"/>
      <c r="BB219" s="799"/>
      <c r="BC219" s="799"/>
      <c r="BD219" s="799"/>
      <c r="BE219" s="799"/>
      <c r="BF219" s="799"/>
      <c r="BG219" s="799"/>
    </row>
    <row r="220">
      <c r="H220" s="799"/>
      <c r="I220" s="799"/>
      <c r="J220" s="799"/>
      <c r="K220" s="799"/>
      <c r="L220" s="799"/>
      <c r="M220" s="799"/>
      <c r="N220" s="799"/>
      <c r="O220" s="799"/>
      <c r="P220" s="799"/>
      <c r="Q220" s="799"/>
      <c r="R220" s="799"/>
      <c r="S220" s="799"/>
      <c r="T220" s="799"/>
      <c r="U220" s="799"/>
      <c r="V220" s="799"/>
      <c r="W220" s="799"/>
      <c r="X220" s="799"/>
      <c r="Y220" s="799"/>
      <c r="Z220" s="799"/>
      <c r="AA220" s="799"/>
      <c r="AB220" s="799"/>
      <c r="AC220" s="799"/>
      <c r="AD220" s="799"/>
      <c r="AE220" s="799"/>
      <c r="AF220" s="799"/>
      <c r="AG220" s="799"/>
      <c r="AH220" s="799"/>
      <c r="AI220" s="799"/>
      <c r="AJ220" s="799"/>
      <c r="AK220" s="799"/>
      <c r="AL220" s="799"/>
      <c r="AM220" s="799"/>
      <c r="AN220" s="799"/>
      <c r="AO220" s="799"/>
      <c r="AP220" s="799"/>
      <c r="AQ220" s="799"/>
      <c r="AR220" s="799"/>
      <c r="AS220" s="799"/>
      <c r="AT220" s="799"/>
      <c r="AU220" s="799"/>
      <c r="AV220" s="799"/>
      <c r="AW220" s="799"/>
      <c r="AX220" s="799"/>
      <c r="AY220" s="799"/>
      <c r="AZ220" s="799"/>
      <c r="BA220" s="799"/>
      <c r="BB220" s="799"/>
      <c r="BC220" s="799"/>
      <c r="BD220" s="799"/>
      <c r="BE220" s="799"/>
      <c r="BF220" s="799"/>
      <c r="BG220" s="799"/>
    </row>
    <row r="221">
      <c r="H221" s="799"/>
      <c r="I221" s="799"/>
      <c r="J221" s="799"/>
      <c r="K221" s="799"/>
      <c r="L221" s="799"/>
      <c r="M221" s="799"/>
      <c r="N221" s="799"/>
      <c r="O221" s="799"/>
      <c r="P221" s="799"/>
      <c r="Q221" s="799"/>
      <c r="R221" s="799"/>
      <c r="S221" s="799"/>
      <c r="T221" s="799"/>
      <c r="U221" s="799"/>
      <c r="V221" s="799"/>
      <c r="W221" s="799"/>
      <c r="X221" s="799"/>
      <c r="Y221" s="799"/>
      <c r="Z221" s="799"/>
      <c r="AA221" s="799"/>
      <c r="AB221" s="799"/>
      <c r="AC221" s="799"/>
      <c r="AD221" s="799"/>
      <c r="AE221" s="799"/>
      <c r="AF221" s="799"/>
      <c r="AG221" s="799"/>
      <c r="AH221" s="799"/>
      <c r="AI221" s="799"/>
      <c r="AJ221" s="799"/>
      <c r="AK221" s="799"/>
      <c r="AL221" s="799"/>
      <c r="AM221" s="799"/>
      <c r="AN221" s="799"/>
      <c r="AO221" s="799"/>
      <c r="AP221" s="799"/>
      <c r="AQ221" s="799"/>
      <c r="AR221" s="799"/>
      <c r="AS221" s="799"/>
      <c r="AT221" s="799"/>
      <c r="AU221" s="799"/>
      <c r="AV221" s="799"/>
      <c r="AW221" s="799"/>
      <c r="AX221" s="799"/>
      <c r="AY221" s="799"/>
      <c r="AZ221" s="799"/>
      <c r="BA221" s="799"/>
      <c r="BB221" s="799"/>
      <c r="BC221" s="799"/>
      <c r="BD221" s="799"/>
      <c r="BE221" s="799"/>
      <c r="BF221" s="799"/>
      <c r="BG221" s="799"/>
    </row>
    <row r="222">
      <c r="H222" s="799"/>
      <c r="I222" s="799"/>
      <c r="J222" s="799"/>
      <c r="K222" s="799"/>
      <c r="L222" s="799"/>
      <c r="M222" s="799"/>
      <c r="N222" s="799"/>
      <c r="O222" s="799"/>
      <c r="P222" s="799"/>
      <c r="Q222" s="799"/>
      <c r="R222" s="799"/>
      <c r="S222" s="799"/>
      <c r="T222" s="799"/>
      <c r="U222" s="799"/>
      <c r="V222" s="799"/>
      <c r="W222" s="799"/>
      <c r="X222" s="799"/>
      <c r="Y222" s="799"/>
      <c r="Z222" s="799"/>
      <c r="AA222" s="799"/>
      <c r="AB222" s="799"/>
      <c r="AC222" s="799"/>
      <c r="AD222" s="799"/>
      <c r="AE222" s="799"/>
      <c r="AF222" s="799"/>
      <c r="AG222" s="799"/>
      <c r="AH222" s="799"/>
      <c r="AI222" s="799"/>
      <c r="AJ222" s="799"/>
      <c r="AK222" s="799"/>
      <c r="AL222" s="799"/>
      <c r="AM222" s="799"/>
      <c r="AN222" s="799"/>
      <c r="AO222" s="799"/>
      <c r="AP222" s="799"/>
      <c r="AQ222" s="799"/>
      <c r="AR222" s="799"/>
      <c r="AS222" s="799"/>
      <c r="AT222" s="799"/>
      <c r="AU222" s="799"/>
      <c r="AV222" s="799"/>
      <c r="AW222" s="799"/>
      <c r="AX222" s="799"/>
      <c r="AY222" s="799"/>
      <c r="AZ222" s="799"/>
      <c r="BA222" s="799"/>
      <c r="BB222" s="799"/>
      <c r="BC222" s="799"/>
      <c r="BD222" s="799"/>
      <c r="BE222" s="799"/>
      <c r="BF222" s="799"/>
      <c r="BG222" s="799"/>
    </row>
    <row r="223">
      <c r="H223" s="799"/>
      <c r="I223" s="799"/>
      <c r="J223" s="799"/>
      <c r="K223" s="799"/>
      <c r="L223" s="799"/>
      <c r="M223" s="799"/>
      <c r="N223" s="799"/>
      <c r="O223" s="799"/>
      <c r="P223" s="799"/>
      <c r="Q223" s="799"/>
      <c r="R223" s="799"/>
      <c r="S223" s="799"/>
      <c r="T223" s="799"/>
      <c r="U223" s="799"/>
      <c r="V223" s="799"/>
      <c r="W223" s="799"/>
      <c r="X223" s="799"/>
      <c r="Y223" s="799"/>
      <c r="Z223" s="799"/>
      <c r="AA223" s="799"/>
      <c r="AB223" s="799"/>
      <c r="AC223" s="799"/>
      <c r="AD223" s="799"/>
      <c r="AE223" s="799"/>
      <c r="AF223" s="799"/>
      <c r="AG223" s="799"/>
      <c r="AH223" s="799"/>
      <c r="AI223" s="799"/>
      <c r="AJ223" s="799"/>
      <c r="AK223" s="799"/>
      <c r="AL223" s="799"/>
      <c r="AM223" s="799"/>
      <c r="AN223" s="799"/>
      <c r="AO223" s="799"/>
      <c r="AP223" s="799"/>
      <c r="AQ223" s="799"/>
      <c r="AR223" s="799"/>
      <c r="AS223" s="799"/>
      <c r="AT223" s="799"/>
      <c r="AU223" s="799"/>
      <c r="AV223" s="799"/>
      <c r="AW223" s="799"/>
      <c r="AX223" s="799"/>
      <c r="AY223" s="799"/>
      <c r="AZ223" s="799"/>
      <c r="BA223" s="799"/>
      <c r="BB223" s="799"/>
      <c r="BC223" s="799"/>
      <c r="BD223" s="799"/>
      <c r="BE223" s="799"/>
      <c r="BF223" s="799"/>
      <c r="BG223" s="799"/>
    </row>
    <row r="224">
      <c r="H224" s="799"/>
      <c r="I224" s="799"/>
      <c r="J224" s="799"/>
      <c r="K224" s="799"/>
      <c r="L224" s="799"/>
      <c r="M224" s="799"/>
      <c r="N224" s="799"/>
      <c r="O224" s="799"/>
      <c r="P224" s="799"/>
      <c r="Q224" s="799"/>
      <c r="R224" s="799"/>
      <c r="S224" s="799"/>
      <c r="T224" s="799"/>
      <c r="U224" s="799"/>
      <c r="V224" s="799"/>
      <c r="W224" s="799"/>
      <c r="X224" s="799"/>
      <c r="Y224" s="799"/>
      <c r="Z224" s="799"/>
      <c r="AA224" s="799"/>
      <c r="AB224" s="799"/>
      <c r="AC224" s="799"/>
      <c r="AD224" s="799"/>
      <c r="AE224" s="799"/>
      <c r="AF224" s="799"/>
      <c r="AG224" s="799"/>
      <c r="AH224" s="799"/>
      <c r="AI224" s="799"/>
      <c r="AJ224" s="799"/>
      <c r="AK224" s="799"/>
      <c r="AL224" s="799"/>
      <c r="AM224" s="799"/>
      <c r="AN224" s="799"/>
      <c r="AO224" s="799"/>
      <c r="AP224" s="799"/>
      <c r="AQ224" s="799"/>
      <c r="AR224" s="799"/>
      <c r="AS224" s="799"/>
      <c r="AT224" s="799"/>
      <c r="AU224" s="799"/>
      <c r="AV224" s="799"/>
      <c r="AW224" s="799"/>
      <c r="AX224" s="799"/>
      <c r="AY224" s="799"/>
      <c r="AZ224" s="799"/>
      <c r="BA224" s="799"/>
      <c r="BB224" s="799"/>
      <c r="BC224" s="799"/>
      <c r="BD224" s="799"/>
      <c r="BE224" s="799"/>
      <c r="BF224" s="799"/>
      <c r="BG224" s="799"/>
    </row>
    <row r="225">
      <c r="H225" s="799"/>
      <c r="I225" s="799"/>
      <c r="J225" s="799"/>
      <c r="K225" s="799"/>
      <c r="L225" s="799"/>
      <c r="M225" s="799"/>
      <c r="N225" s="799"/>
      <c r="O225" s="799"/>
      <c r="P225" s="799"/>
      <c r="Q225" s="799"/>
      <c r="R225" s="799"/>
      <c r="S225" s="799"/>
      <c r="T225" s="799"/>
      <c r="U225" s="799"/>
      <c r="V225" s="799"/>
      <c r="W225" s="799"/>
      <c r="X225" s="799"/>
      <c r="Y225" s="799"/>
      <c r="Z225" s="799"/>
      <c r="AA225" s="799"/>
      <c r="AB225" s="799"/>
      <c r="AC225" s="799"/>
      <c r="AD225" s="799"/>
      <c r="AE225" s="799"/>
      <c r="AF225" s="799"/>
      <c r="AG225" s="799"/>
      <c r="AH225" s="799"/>
      <c r="AI225" s="799"/>
      <c r="AJ225" s="799"/>
      <c r="AK225" s="799"/>
      <c r="AL225" s="799"/>
      <c r="AM225" s="799"/>
      <c r="AN225" s="799"/>
      <c r="AO225" s="799"/>
      <c r="AP225" s="799"/>
      <c r="AQ225" s="799"/>
      <c r="AR225" s="799"/>
      <c r="AS225" s="799"/>
      <c r="AT225" s="799"/>
      <c r="AU225" s="799"/>
      <c r="AV225" s="799"/>
      <c r="AW225" s="799"/>
      <c r="AX225" s="799"/>
      <c r="AY225" s="799"/>
      <c r="AZ225" s="799"/>
      <c r="BA225" s="799"/>
      <c r="BB225" s="799"/>
      <c r="BC225" s="799"/>
      <c r="BD225" s="799"/>
      <c r="BE225" s="799"/>
      <c r="BF225" s="799"/>
      <c r="BG225" s="799"/>
    </row>
    <row r="226">
      <c r="H226" s="799"/>
      <c r="I226" s="799"/>
      <c r="J226" s="799"/>
      <c r="K226" s="799"/>
      <c r="L226" s="799"/>
      <c r="M226" s="799"/>
      <c r="N226" s="799"/>
      <c r="O226" s="799"/>
      <c r="P226" s="799"/>
      <c r="Q226" s="799"/>
      <c r="R226" s="799"/>
      <c r="S226" s="799"/>
      <c r="T226" s="799"/>
      <c r="U226" s="799"/>
      <c r="V226" s="799"/>
      <c r="W226" s="799"/>
      <c r="X226" s="799"/>
      <c r="Y226" s="799"/>
      <c r="Z226" s="799"/>
      <c r="AA226" s="799"/>
      <c r="AB226" s="799"/>
      <c r="AC226" s="799"/>
      <c r="AD226" s="799"/>
      <c r="AE226" s="799"/>
      <c r="AF226" s="799"/>
      <c r="AG226" s="799"/>
      <c r="AH226" s="799"/>
      <c r="AI226" s="799"/>
      <c r="AJ226" s="799"/>
      <c r="AK226" s="799"/>
      <c r="AL226" s="799"/>
      <c r="AM226" s="799"/>
      <c r="AN226" s="799"/>
      <c r="AO226" s="799"/>
      <c r="AP226" s="799"/>
      <c r="AQ226" s="799"/>
      <c r="AR226" s="799"/>
      <c r="AS226" s="799"/>
      <c r="AT226" s="799"/>
      <c r="AU226" s="799"/>
      <c r="AV226" s="799"/>
      <c r="AW226" s="799"/>
      <c r="AX226" s="799"/>
      <c r="AY226" s="799"/>
      <c r="AZ226" s="799"/>
      <c r="BA226" s="799"/>
      <c r="BB226" s="799"/>
      <c r="BC226" s="799"/>
      <c r="BD226" s="799"/>
      <c r="BE226" s="799"/>
      <c r="BF226" s="799"/>
      <c r="BG226" s="799"/>
    </row>
    <row r="227">
      <c r="H227" s="799"/>
      <c r="I227" s="799"/>
      <c r="J227" s="799"/>
      <c r="K227" s="799"/>
      <c r="L227" s="799"/>
      <c r="M227" s="799"/>
      <c r="N227" s="799"/>
      <c r="O227" s="799"/>
      <c r="P227" s="799"/>
      <c r="Q227" s="799"/>
      <c r="R227" s="799"/>
      <c r="S227" s="799"/>
      <c r="T227" s="799"/>
      <c r="U227" s="799"/>
      <c r="V227" s="799"/>
      <c r="W227" s="799"/>
      <c r="X227" s="799"/>
      <c r="Y227" s="799"/>
      <c r="Z227" s="799"/>
      <c r="AA227" s="799"/>
      <c r="AB227" s="799"/>
      <c r="AC227" s="799"/>
      <c r="AD227" s="799"/>
      <c r="AE227" s="799"/>
      <c r="AF227" s="799"/>
      <c r="AG227" s="799"/>
      <c r="AH227" s="799"/>
      <c r="AI227" s="799"/>
      <c r="AJ227" s="799"/>
      <c r="AK227" s="799"/>
      <c r="AL227" s="799"/>
      <c r="AM227" s="799"/>
      <c r="AN227" s="799"/>
      <c r="AO227" s="799"/>
      <c r="AP227" s="799"/>
      <c r="AQ227" s="799"/>
      <c r="AR227" s="799"/>
      <c r="AS227" s="799"/>
      <c r="AT227" s="799"/>
      <c r="AU227" s="799"/>
      <c r="AV227" s="799"/>
      <c r="AW227" s="799"/>
      <c r="AX227" s="799"/>
      <c r="AY227" s="799"/>
      <c r="AZ227" s="799"/>
      <c r="BA227" s="799"/>
      <c r="BB227" s="799"/>
      <c r="BC227" s="799"/>
      <c r="BD227" s="799"/>
      <c r="BE227" s="799"/>
      <c r="BF227" s="799"/>
      <c r="BG227" s="799"/>
    </row>
    <row r="228">
      <c r="H228" s="799"/>
      <c r="I228" s="799"/>
      <c r="J228" s="799"/>
      <c r="K228" s="799"/>
      <c r="L228" s="799"/>
      <c r="M228" s="799"/>
      <c r="N228" s="799"/>
      <c r="O228" s="799"/>
      <c r="P228" s="799"/>
      <c r="Q228" s="799"/>
      <c r="R228" s="799"/>
      <c r="S228" s="799"/>
      <c r="T228" s="799"/>
      <c r="U228" s="799"/>
      <c r="V228" s="799"/>
      <c r="W228" s="799"/>
      <c r="X228" s="799"/>
      <c r="Y228" s="799"/>
      <c r="Z228" s="799"/>
      <c r="AA228" s="799"/>
      <c r="AB228" s="799"/>
      <c r="AC228" s="799"/>
      <c r="AD228" s="799"/>
      <c r="AE228" s="799"/>
      <c r="AF228" s="799"/>
      <c r="AG228" s="799"/>
      <c r="AH228" s="799"/>
      <c r="AI228" s="799"/>
      <c r="AJ228" s="799"/>
      <c r="AK228" s="799"/>
      <c r="AL228" s="799"/>
      <c r="AM228" s="799"/>
      <c r="AN228" s="799"/>
      <c r="AO228" s="799"/>
      <c r="AP228" s="799"/>
      <c r="AQ228" s="799"/>
      <c r="AR228" s="799"/>
      <c r="AS228" s="799"/>
      <c r="AT228" s="799"/>
      <c r="AU228" s="799"/>
      <c r="AV228" s="799"/>
      <c r="AW228" s="799"/>
      <c r="AX228" s="799"/>
      <c r="AY228" s="799"/>
      <c r="AZ228" s="799"/>
      <c r="BA228" s="799"/>
      <c r="BB228" s="799"/>
      <c r="BC228" s="799"/>
      <c r="BD228" s="799"/>
      <c r="BE228" s="799"/>
      <c r="BF228" s="799"/>
      <c r="BG228" s="799"/>
    </row>
    <row r="229">
      <c r="H229" s="799"/>
      <c r="I229" s="799"/>
      <c r="J229" s="799"/>
      <c r="K229" s="799"/>
      <c r="L229" s="799"/>
      <c r="M229" s="799"/>
      <c r="N229" s="799"/>
      <c r="O229" s="799"/>
      <c r="P229" s="799"/>
      <c r="Q229" s="799"/>
      <c r="R229" s="799"/>
      <c r="S229" s="799"/>
      <c r="T229" s="799"/>
      <c r="U229" s="799"/>
      <c r="V229" s="799"/>
      <c r="W229" s="799"/>
      <c r="X229" s="799"/>
      <c r="Y229" s="799"/>
      <c r="Z229" s="799"/>
      <c r="AA229" s="799"/>
      <c r="AB229" s="799"/>
      <c r="AC229" s="799"/>
      <c r="AD229" s="799"/>
      <c r="AE229" s="799"/>
      <c r="AF229" s="799"/>
      <c r="AG229" s="799"/>
      <c r="AH229" s="799"/>
      <c r="AI229" s="799"/>
      <c r="AJ229" s="799"/>
      <c r="AK229" s="799"/>
      <c r="AL229" s="799"/>
      <c r="AM229" s="799"/>
      <c r="AN229" s="799"/>
      <c r="AO229" s="799"/>
      <c r="AP229" s="799"/>
      <c r="AQ229" s="799"/>
      <c r="AR229" s="799"/>
      <c r="AS229" s="799"/>
      <c r="AT229" s="799"/>
      <c r="AU229" s="799"/>
      <c r="AV229" s="799"/>
      <c r="AW229" s="799"/>
      <c r="AX229" s="799"/>
      <c r="AY229" s="799"/>
      <c r="AZ229" s="799"/>
      <c r="BA229" s="799"/>
      <c r="BB229" s="799"/>
      <c r="BC229" s="799"/>
      <c r="BD229" s="799"/>
      <c r="BE229" s="799"/>
      <c r="BF229" s="799"/>
      <c r="BG229" s="799"/>
    </row>
    <row r="230">
      <c r="H230" s="799"/>
      <c r="I230" s="799"/>
      <c r="J230" s="799"/>
      <c r="K230" s="799"/>
      <c r="L230" s="799"/>
      <c r="M230" s="799"/>
      <c r="N230" s="799"/>
      <c r="O230" s="799"/>
      <c r="P230" s="799"/>
      <c r="Q230" s="799"/>
      <c r="R230" s="799"/>
      <c r="S230" s="799"/>
      <c r="T230" s="799"/>
      <c r="U230" s="799"/>
      <c r="V230" s="799"/>
      <c r="W230" s="799"/>
      <c r="X230" s="799"/>
      <c r="Y230" s="799"/>
      <c r="Z230" s="799"/>
      <c r="AA230" s="799"/>
      <c r="AB230" s="799"/>
      <c r="AC230" s="799"/>
      <c r="AD230" s="799"/>
      <c r="AE230" s="799"/>
      <c r="AF230" s="799"/>
      <c r="AG230" s="799"/>
      <c r="AH230" s="799"/>
      <c r="AI230" s="799"/>
      <c r="AJ230" s="799"/>
      <c r="AK230" s="799"/>
      <c r="AL230" s="799"/>
      <c r="AM230" s="799"/>
      <c r="AN230" s="799"/>
      <c r="AO230" s="799"/>
      <c r="AP230" s="799"/>
      <c r="AQ230" s="799"/>
      <c r="AR230" s="799"/>
      <c r="AS230" s="799"/>
      <c r="AT230" s="799"/>
      <c r="AU230" s="799"/>
      <c r="AV230" s="799"/>
      <c r="AW230" s="799"/>
      <c r="AX230" s="799"/>
      <c r="AY230" s="799"/>
      <c r="AZ230" s="799"/>
      <c r="BA230" s="799"/>
      <c r="BB230" s="799"/>
      <c r="BC230" s="799"/>
      <c r="BD230" s="799"/>
      <c r="BE230" s="799"/>
      <c r="BF230" s="799"/>
      <c r="BG230" s="799"/>
    </row>
    <row r="231">
      <c r="H231" s="799"/>
      <c r="I231" s="799"/>
      <c r="J231" s="799"/>
      <c r="K231" s="799"/>
      <c r="L231" s="799"/>
      <c r="M231" s="799"/>
      <c r="N231" s="799"/>
      <c r="O231" s="799"/>
      <c r="P231" s="799"/>
      <c r="Q231" s="799"/>
      <c r="R231" s="799"/>
      <c r="S231" s="799"/>
      <c r="T231" s="799"/>
      <c r="U231" s="799"/>
      <c r="V231" s="799"/>
      <c r="W231" s="799"/>
      <c r="X231" s="799"/>
      <c r="Y231" s="799"/>
      <c r="Z231" s="799"/>
      <c r="AA231" s="799"/>
      <c r="AB231" s="799"/>
      <c r="AC231" s="799"/>
      <c r="AD231" s="799"/>
      <c r="AE231" s="799"/>
      <c r="AF231" s="799"/>
      <c r="AG231" s="799"/>
      <c r="AH231" s="799"/>
      <c r="AI231" s="799"/>
      <c r="AJ231" s="799"/>
      <c r="AK231" s="799"/>
      <c r="AL231" s="799"/>
      <c r="AM231" s="799"/>
      <c r="AN231" s="799"/>
      <c r="AO231" s="799"/>
      <c r="AP231" s="799"/>
      <c r="AQ231" s="799"/>
      <c r="AR231" s="799"/>
      <c r="AS231" s="799"/>
      <c r="AT231" s="799"/>
      <c r="AU231" s="799"/>
      <c r="AV231" s="799"/>
      <c r="AW231" s="799"/>
      <c r="AX231" s="799"/>
      <c r="AY231" s="799"/>
      <c r="AZ231" s="799"/>
      <c r="BA231" s="799"/>
      <c r="BB231" s="799"/>
      <c r="BC231" s="799"/>
      <c r="BD231" s="799"/>
      <c r="BE231" s="799"/>
      <c r="BF231" s="799"/>
      <c r="BG231" s="799"/>
    </row>
    <row r="232">
      <c r="H232" s="799"/>
      <c r="I232" s="799"/>
      <c r="J232" s="799"/>
      <c r="K232" s="799"/>
      <c r="L232" s="799"/>
      <c r="M232" s="799"/>
      <c r="N232" s="799"/>
      <c r="O232" s="799"/>
      <c r="P232" s="799"/>
      <c r="Q232" s="799"/>
      <c r="R232" s="799"/>
      <c r="S232" s="799"/>
      <c r="T232" s="799"/>
      <c r="U232" s="799"/>
      <c r="V232" s="799"/>
      <c r="W232" s="799"/>
      <c r="X232" s="799"/>
      <c r="Y232" s="799"/>
      <c r="Z232" s="799"/>
      <c r="AA232" s="799"/>
      <c r="AB232" s="799"/>
      <c r="AC232" s="799"/>
      <c r="AD232" s="799"/>
      <c r="AE232" s="799"/>
      <c r="AF232" s="799"/>
      <c r="AG232" s="799"/>
      <c r="AH232" s="799"/>
      <c r="AI232" s="799"/>
      <c r="AJ232" s="799"/>
      <c r="AK232" s="799"/>
      <c r="AL232" s="799"/>
      <c r="AM232" s="799"/>
      <c r="AN232" s="799"/>
      <c r="AO232" s="799"/>
      <c r="AP232" s="799"/>
      <c r="AQ232" s="799"/>
      <c r="AR232" s="799"/>
      <c r="AS232" s="799"/>
      <c r="AT232" s="799"/>
      <c r="AU232" s="799"/>
      <c r="AV232" s="799"/>
      <c r="AW232" s="799"/>
      <c r="AX232" s="799"/>
      <c r="AY232" s="799"/>
      <c r="AZ232" s="799"/>
      <c r="BA232" s="799"/>
      <c r="BB232" s="799"/>
      <c r="BC232" s="799"/>
      <c r="BD232" s="799"/>
      <c r="BE232" s="799"/>
      <c r="BF232" s="799"/>
      <c r="BG232" s="799"/>
    </row>
    <row r="233">
      <c r="H233" s="799"/>
      <c r="I233" s="799"/>
      <c r="J233" s="799"/>
      <c r="K233" s="799"/>
      <c r="L233" s="799"/>
      <c r="M233" s="799"/>
      <c r="N233" s="799"/>
      <c r="O233" s="799"/>
      <c r="P233" s="799"/>
      <c r="Q233" s="799"/>
      <c r="R233" s="799"/>
      <c r="S233" s="799"/>
      <c r="T233" s="799"/>
      <c r="U233" s="799"/>
      <c r="V233" s="799"/>
      <c r="W233" s="799"/>
      <c r="X233" s="799"/>
      <c r="Y233" s="799"/>
      <c r="Z233" s="799"/>
      <c r="AA233" s="799"/>
      <c r="AB233" s="799"/>
      <c r="AC233" s="799"/>
      <c r="AD233" s="799"/>
      <c r="AE233" s="799"/>
      <c r="AF233" s="799"/>
      <c r="AG233" s="799"/>
      <c r="AH233" s="799"/>
      <c r="AI233" s="799"/>
      <c r="AJ233" s="799"/>
      <c r="AK233" s="799"/>
      <c r="AL233" s="799"/>
      <c r="AM233" s="799"/>
      <c r="AN233" s="799"/>
      <c r="AO233" s="799"/>
      <c r="AP233" s="799"/>
      <c r="AQ233" s="799"/>
      <c r="AR233" s="799"/>
      <c r="AS233" s="799"/>
      <c r="AT233" s="799"/>
      <c r="AU233" s="799"/>
      <c r="AV233" s="799"/>
      <c r="AW233" s="799"/>
      <c r="AX233" s="799"/>
      <c r="AY233" s="799"/>
      <c r="AZ233" s="799"/>
      <c r="BA233" s="799"/>
      <c r="BB233" s="799"/>
      <c r="BC233" s="799"/>
      <c r="BD233" s="799"/>
      <c r="BE233" s="799"/>
      <c r="BF233" s="799"/>
      <c r="BG233" s="799"/>
    </row>
    <row r="234">
      <c r="H234" s="799"/>
      <c r="I234" s="799"/>
      <c r="J234" s="799"/>
      <c r="K234" s="799"/>
      <c r="L234" s="799"/>
      <c r="M234" s="799"/>
      <c r="N234" s="799"/>
      <c r="O234" s="799"/>
      <c r="P234" s="799"/>
      <c r="Q234" s="799"/>
      <c r="R234" s="799"/>
      <c r="S234" s="799"/>
      <c r="T234" s="799"/>
      <c r="U234" s="799"/>
      <c r="V234" s="799"/>
      <c r="W234" s="799"/>
      <c r="X234" s="799"/>
      <c r="Y234" s="799"/>
      <c r="Z234" s="799"/>
      <c r="AA234" s="799"/>
      <c r="AB234" s="799"/>
      <c r="AC234" s="799"/>
      <c r="AD234" s="799"/>
      <c r="AE234" s="799"/>
      <c r="AF234" s="799"/>
      <c r="AG234" s="799"/>
      <c r="AH234" s="799"/>
      <c r="AI234" s="799"/>
      <c r="AJ234" s="799"/>
      <c r="AK234" s="799"/>
      <c r="AL234" s="799"/>
      <c r="AM234" s="799"/>
      <c r="AN234" s="799"/>
      <c r="AO234" s="799"/>
      <c r="AP234" s="799"/>
      <c r="AQ234" s="799"/>
      <c r="AR234" s="799"/>
      <c r="AS234" s="799"/>
      <c r="AT234" s="799"/>
      <c r="AU234" s="799"/>
      <c r="AV234" s="799"/>
      <c r="AW234" s="799"/>
      <c r="AX234" s="799"/>
      <c r="AY234" s="799"/>
      <c r="AZ234" s="799"/>
      <c r="BA234" s="799"/>
      <c r="BB234" s="799"/>
      <c r="BC234" s="799"/>
      <c r="BD234" s="799"/>
      <c r="BE234" s="799"/>
      <c r="BF234" s="799"/>
      <c r="BG234" s="799"/>
    </row>
    <row r="235">
      <c r="H235" s="799"/>
      <c r="I235" s="799"/>
      <c r="J235" s="799"/>
      <c r="K235" s="799"/>
      <c r="L235" s="799"/>
      <c r="M235" s="799"/>
      <c r="N235" s="799"/>
      <c r="O235" s="799"/>
      <c r="P235" s="799"/>
      <c r="Q235" s="799"/>
      <c r="R235" s="799"/>
      <c r="S235" s="799"/>
      <c r="T235" s="799"/>
      <c r="U235" s="799"/>
      <c r="V235" s="799"/>
      <c r="W235" s="799"/>
      <c r="X235" s="799"/>
      <c r="Y235" s="799"/>
      <c r="Z235" s="799"/>
      <c r="AA235" s="799"/>
      <c r="AB235" s="799"/>
      <c r="AC235" s="799"/>
      <c r="AD235" s="799"/>
      <c r="AE235" s="799"/>
      <c r="AF235" s="799"/>
      <c r="AG235" s="799"/>
      <c r="AH235" s="799"/>
      <c r="AI235" s="799"/>
      <c r="AJ235" s="799"/>
      <c r="AK235" s="799"/>
      <c r="AL235" s="799"/>
      <c r="AM235" s="799"/>
      <c r="AN235" s="799"/>
      <c r="AO235" s="799"/>
      <c r="AP235" s="799"/>
      <c r="AQ235" s="799"/>
      <c r="AR235" s="799"/>
      <c r="AS235" s="799"/>
      <c r="AT235" s="799"/>
      <c r="AU235" s="799"/>
      <c r="AV235" s="799"/>
      <c r="AW235" s="799"/>
      <c r="AX235" s="799"/>
      <c r="AY235" s="799"/>
      <c r="AZ235" s="799"/>
      <c r="BA235" s="799"/>
      <c r="BB235" s="799"/>
      <c r="BC235" s="799"/>
      <c r="BD235" s="799"/>
      <c r="BE235" s="799"/>
      <c r="BF235" s="799"/>
      <c r="BG235" s="799"/>
    </row>
    <row r="236">
      <c r="H236" s="799"/>
      <c r="I236" s="799"/>
      <c r="J236" s="799"/>
      <c r="K236" s="799"/>
      <c r="L236" s="799"/>
      <c r="M236" s="799"/>
      <c r="N236" s="799"/>
      <c r="O236" s="799"/>
      <c r="P236" s="799"/>
      <c r="Q236" s="799"/>
      <c r="R236" s="799"/>
      <c r="S236" s="799"/>
      <c r="T236" s="799"/>
      <c r="U236" s="799"/>
      <c r="V236" s="799"/>
      <c r="W236" s="799"/>
      <c r="X236" s="799"/>
      <c r="Y236" s="799"/>
      <c r="Z236" s="799"/>
      <c r="AA236" s="799"/>
      <c r="AB236" s="799"/>
      <c r="AC236" s="799"/>
      <c r="AD236" s="799"/>
      <c r="AE236" s="799"/>
      <c r="AF236" s="799"/>
      <c r="AG236" s="799"/>
      <c r="AH236" s="799"/>
      <c r="AI236" s="799"/>
      <c r="AJ236" s="799"/>
      <c r="AK236" s="799"/>
      <c r="AL236" s="799"/>
      <c r="AM236" s="799"/>
      <c r="AN236" s="799"/>
      <c r="AO236" s="799"/>
      <c r="AP236" s="799"/>
      <c r="AQ236" s="799"/>
      <c r="AR236" s="799"/>
      <c r="AS236" s="799"/>
      <c r="AT236" s="799"/>
      <c r="AU236" s="799"/>
      <c r="AV236" s="799"/>
      <c r="AW236" s="799"/>
      <c r="AX236" s="799"/>
      <c r="AY236" s="799"/>
      <c r="AZ236" s="799"/>
      <c r="BA236" s="799"/>
      <c r="BB236" s="799"/>
      <c r="BC236" s="799"/>
      <c r="BD236" s="799"/>
      <c r="BE236" s="799"/>
      <c r="BF236" s="799"/>
      <c r="BG236" s="799"/>
    </row>
    <row r="237">
      <c r="H237" s="799"/>
      <c r="I237" s="799"/>
      <c r="J237" s="799"/>
      <c r="K237" s="799"/>
      <c r="L237" s="799"/>
      <c r="M237" s="799"/>
      <c r="N237" s="799"/>
      <c r="O237" s="799"/>
      <c r="P237" s="799"/>
      <c r="Q237" s="799"/>
      <c r="R237" s="799"/>
      <c r="S237" s="799"/>
      <c r="T237" s="799"/>
      <c r="U237" s="799"/>
      <c r="V237" s="799"/>
      <c r="W237" s="799"/>
      <c r="X237" s="799"/>
      <c r="Y237" s="799"/>
      <c r="Z237" s="799"/>
      <c r="AA237" s="799"/>
      <c r="AB237" s="799"/>
      <c r="AC237" s="799"/>
      <c r="AD237" s="799"/>
      <c r="AE237" s="799"/>
      <c r="AF237" s="799"/>
      <c r="AG237" s="799"/>
      <c r="AH237" s="799"/>
      <c r="AI237" s="799"/>
      <c r="AJ237" s="799"/>
      <c r="AK237" s="799"/>
      <c r="AL237" s="799"/>
      <c r="AM237" s="799"/>
      <c r="AN237" s="799"/>
      <c r="AO237" s="799"/>
      <c r="AP237" s="799"/>
      <c r="AQ237" s="799"/>
      <c r="AR237" s="799"/>
      <c r="AS237" s="799"/>
      <c r="AT237" s="799"/>
      <c r="AU237" s="799"/>
      <c r="AV237" s="799"/>
      <c r="AW237" s="799"/>
      <c r="AX237" s="799"/>
      <c r="AY237" s="799"/>
      <c r="AZ237" s="799"/>
      <c r="BA237" s="799"/>
      <c r="BB237" s="799"/>
      <c r="BC237" s="799"/>
      <c r="BD237" s="799"/>
      <c r="BE237" s="799"/>
      <c r="BF237" s="799"/>
      <c r="BG237" s="799"/>
    </row>
    <row r="238">
      <c r="H238" s="799"/>
      <c r="I238" s="799"/>
      <c r="J238" s="799"/>
      <c r="K238" s="799"/>
      <c r="L238" s="799"/>
      <c r="M238" s="799"/>
      <c r="N238" s="799"/>
      <c r="O238" s="799"/>
      <c r="P238" s="799"/>
      <c r="Q238" s="799"/>
      <c r="R238" s="799"/>
      <c r="S238" s="799"/>
      <c r="T238" s="799"/>
      <c r="U238" s="799"/>
      <c r="V238" s="799"/>
      <c r="W238" s="799"/>
      <c r="X238" s="799"/>
      <c r="Y238" s="799"/>
      <c r="Z238" s="799"/>
      <c r="AA238" s="799"/>
      <c r="AB238" s="799"/>
      <c r="AC238" s="799"/>
      <c r="AD238" s="799"/>
      <c r="AE238" s="799"/>
      <c r="AF238" s="799"/>
      <c r="AG238" s="799"/>
      <c r="AH238" s="799"/>
      <c r="AI238" s="799"/>
      <c r="AJ238" s="799"/>
      <c r="AK238" s="799"/>
      <c r="AL238" s="799"/>
      <c r="AM238" s="799"/>
      <c r="AN238" s="799"/>
      <c r="AO238" s="799"/>
      <c r="AP238" s="799"/>
      <c r="AQ238" s="799"/>
      <c r="AR238" s="799"/>
      <c r="AS238" s="799"/>
      <c r="AT238" s="799"/>
      <c r="AU238" s="799"/>
      <c r="AV238" s="799"/>
      <c r="AW238" s="799"/>
      <c r="AX238" s="799"/>
      <c r="AY238" s="799"/>
      <c r="AZ238" s="799"/>
      <c r="BA238" s="799"/>
      <c r="BB238" s="799"/>
      <c r="BC238" s="799"/>
      <c r="BD238" s="799"/>
      <c r="BE238" s="799"/>
      <c r="BF238" s="799"/>
      <c r="BG238" s="799"/>
    </row>
    <row r="239">
      <c r="H239" s="799"/>
      <c r="I239" s="799"/>
      <c r="J239" s="799"/>
      <c r="K239" s="799"/>
      <c r="L239" s="799"/>
      <c r="M239" s="799"/>
      <c r="N239" s="799"/>
      <c r="O239" s="799"/>
      <c r="P239" s="799"/>
      <c r="Q239" s="799"/>
      <c r="R239" s="799"/>
      <c r="S239" s="799"/>
      <c r="T239" s="799"/>
      <c r="U239" s="799"/>
      <c r="V239" s="799"/>
      <c r="W239" s="799"/>
      <c r="X239" s="799"/>
      <c r="Y239" s="799"/>
      <c r="Z239" s="799"/>
      <c r="AA239" s="799"/>
      <c r="AB239" s="799"/>
      <c r="AC239" s="799"/>
      <c r="AD239" s="799"/>
      <c r="AE239" s="799"/>
      <c r="AF239" s="799"/>
      <c r="AG239" s="799"/>
      <c r="AH239" s="799"/>
      <c r="AI239" s="799"/>
      <c r="AJ239" s="799"/>
      <c r="AK239" s="799"/>
      <c r="AL239" s="799"/>
      <c r="AM239" s="799"/>
      <c r="AN239" s="799"/>
      <c r="AO239" s="799"/>
      <c r="AP239" s="799"/>
      <c r="AQ239" s="799"/>
      <c r="AR239" s="799"/>
      <c r="AS239" s="799"/>
      <c r="AT239" s="799"/>
      <c r="AU239" s="799"/>
      <c r="AV239" s="799"/>
      <c r="AW239" s="799"/>
      <c r="AX239" s="799"/>
      <c r="AY239" s="799"/>
      <c r="AZ239" s="799"/>
      <c r="BA239" s="799"/>
      <c r="BB239" s="799"/>
      <c r="BC239" s="799"/>
      <c r="BD239" s="799"/>
      <c r="BE239" s="799"/>
      <c r="BF239" s="799"/>
      <c r="BG239" s="799"/>
    </row>
    <row r="240">
      <c r="H240" s="799"/>
      <c r="I240" s="799"/>
      <c r="J240" s="799"/>
      <c r="K240" s="799"/>
      <c r="L240" s="799"/>
      <c r="M240" s="799"/>
      <c r="N240" s="799"/>
      <c r="O240" s="799"/>
      <c r="P240" s="799"/>
      <c r="Q240" s="799"/>
      <c r="R240" s="799"/>
      <c r="S240" s="799"/>
      <c r="T240" s="799"/>
      <c r="U240" s="799"/>
      <c r="V240" s="799"/>
      <c r="W240" s="799"/>
      <c r="X240" s="799"/>
      <c r="Y240" s="799"/>
      <c r="Z240" s="799"/>
      <c r="AA240" s="799"/>
      <c r="AB240" s="799"/>
      <c r="AC240" s="799"/>
      <c r="AD240" s="799"/>
      <c r="AE240" s="799"/>
      <c r="AF240" s="799"/>
      <c r="AG240" s="799"/>
      <c r="AH240" s="799"/>
      <c r="AI240" s="799"/>
      <c r="AJ240" s="799"/>
      <c r="AK240" s="799"/>
      <c r="AL240" s="799"/>
      <c r="AM240" s="799"/>
      <c r="AN240" s="799"/>
      <c r="AO240" s="799"/>
      <c r="AP240" s="799"/>
      <c r="AQ240" s="799"/>
      <c r="AR240" s="799"/>
      <c r="AS240" s="799"/>
      <c r="AT240" s="799"/>
      <c r="AU240" s="799"/>
      <c r="AV240" s="799"/>
      <c r="AW240" s="799"/>
      <c r="AX240" s="799"/>
      <c r="AY240" s="799"/>
      <c r="AZ240" s="799"/>
      <c r="BA240" s="799"/>
      <c r="BB240" s="799"/>
      <c r="BC240" s="799"/>
      <c r="BD240" s="799"/>
      <c r="BE240" s="799"/>
      <c r="BF240" s="799"/>
      <c r="BG240" s="799"/>
    </row>
    <row r="241">
      <c r="H241" s="799"/>
      <c r="I241" s="799"/>
      <c r="J241" s="799"/>
      <c r="K241" s="799"/>
      <c r="L241" s="799"/>
      <c r="M241" s="799"/>
      <c r="N241" s="799"/>
      <c r="O241" s="799"/>
      <c r="P241" s="799"/>
      <c r="Q241" s="799"/>
      <c r="R241" s="799"/>
      <c r="S241" s="799"/>
      <c r="T241" s="799"/>
      <c r="U241" s="799"/>
      <c r="V241" s="799"/>
      <c r="W241" s="799"/>
      <c r="X241" s="799"/>
      <c r="Y241" s="799"/>
      <c r="Z241" s="799"/>
      <c r="AA241" s="799"/>
      <c r="AB241" s="799"/>
      <c r="AC241" s="799"/>
      <c r="AD241" s="799"/>
      <c r="AE241" s="799"/>
      <c r="AF241" s="799"/>
      <c r="AG241" s="799"/>
      <c r="AH241" s="799"/>
      <c r="AI241" s="799"/>
      <c r="AJ241" s="799"/>
      <c r="AK241" s="799"/>
      <c r="AL241" s="799"/>
      <c r="AM241" s="799"/>
      <c r="AN241" s="799"/>
      <c r="AO241" s="799"/>
      <c r="AP241" s="799"/>
      <c r="AQ241" s="799"/>
      <c r="AR241" s="799"/>
      <c r="AS241" s="799"/>
      <c r="AT241" s="799"/>
      <c r="AU241" s="799"/>
      <c r="AV241" s="799"/>
      <c r="AW241" s="799"/>
      <c r="AX241" s="799"/>
      <c r="AY241" s="799"/>
      <c r="AZ241" s="799"/>
      <c r="BA241" s="799"/>
      <c r="BB241" s="799"/>
      <c r="BC241" s="799"/>
      <c r="BD241" s="799"/>
      <c r="BE241" s="799"/>
      <c r="BF241" s="799"/>
      <c r="BG241" s="799"/>
    </row>
    <row r="242">
      <c r="H242" s="799"/>
      <c r="I242" s="799"/>
      <c r="J242" s="799"/>
      <c r="K242" s="799"/>
      <c r="L242" s="799"/>
      <c r="M242" s="799"/>
      <c r="N242" s="799"/>
      <c r="O242" s="799"/>
      <c r="P242" s="799"/>
      <c r="Q242" s="799"/>
      <c r="R242" s="799"/>
      <c r="S242" s="799"/>
      <c r="T242" s="799"/>
      <c r="U242" s="799"/>
      <c r="V242" s="799"/>
      <c r="W242" s="799"/>
      <c r="X242" s="799"/>
      <c r="Y242" s="799"/>
      <c r="Z242" s="799"/>
      <c r="AA242" s="799"/>
      <c r="AB242" s="799"/>
      <c r="AC242" s="799"/>
      <c r="AD242" s="799"/>
      <c r="AE242" s="799"/>
      <c r="AF242" s="799"/>
      <c r="AG242" s="799"/>
      <c r="AH242" s="799"/>
      <c r="AI242" s="799"/>
      <c r="AJ242" s="799"/>
      <c r="AK242" s="799"/>
      <c r="AL242" s="799"/>
      <c r="AM242" s="799"/>
      <c r="AN242" s="799"/>
      <c r="AO242" s="799"/>
      <c r="AP242" s="799"/>
      <c r="AQ242" s="799"/>
      <c r="AR242" s="799"/>
      <c r="AS242" s="799"/>
      <c r="AT242" s="799"/>
      <c r="AU242" s="799"/>
      <c r="AV242" s="799"/>
      <c r="AW242" s="799"/>
      <c r="AX242" s="799"/>
      <c r="AY242" s="799"/>
      <c r="AZ242" s="799"/>
      <c r="BA242" s="799"/>
      <c r="BB242" s="799"/>
      <c r="BC242" s="799"/>
      <c r="BD242" s="799"/>
      <c r="BE242" s="799"/>
      <c r="BF242" s="799"/>
      <c r="BG242" s="799"/>
    </row>
    <row r="243">
      <c r="H243" s="799"/>
      <c r="I243" s="799"/>
      <c r="J243" s="799"/>
      <c r="K243" s="799"/>
      <c r="L243" s="799"/>
      <c r="M243" s="799"/>
      <c r="N243" s="799"/>
      <c r="O243" s="799"/>
      <c r="P243" s="799"/>
      <c r="Q243" s="799"/>
      <c r="R243" s="799"/>
      <c r="S243" s="799"/>
      <c r="T243" s="799"/>
      <c r="U243" s="799"/>
      <c r="V243" s="799"/>
      <c r="W243" s="799"/>
      <c r="X243" s="799"/>
      <c r="Y243" s="799"/>
      <c r="Z243" s="799"/>
      <c r="AA243" s="799"/>
      <c r="AB243" s="799"/>
      <c r="AC243" s="799"/>
      <c r="AD243" s="799"/>
      <c r="AE243" s="799"/>
      <c r="AF243" s="799"/>
      <c r="AG243" s="799"/>
      <c r="AH243" s="799"/>
      <c r="AI243" s="799"/>
      <c r="AJ243" s="799"/>
      <c r="AK243" s="799"/>
      <c r="AL243" s="799"/>
      <c r="AM243" s="799"/>
      <c r="AN243" s="799"/>
      <c r="AO243" s="799"/>
      <c r="AP243" s="799"/>
      <c r="AQ243" s="799"/>
      <c r="AR243" s="799"/>
      <c r="AS243" s="799"/>
      <c r="AT243" s="799"/>
      <c r="AU243" s="799"/>
      <c r="AV243" s="799"/>
      <c r="AW243" s="799"/>
      <c r="AX243" s="799"/>
      <c r="AY243" s="799"/>
      <c r="AZ243" s="799"/>
      <c r="BA243" s="799"/>
      <c r="BB243" s="799"/>
      <c r="BC243" s="799"/>
      <c r="BD243" s="799"/>
      <c r="BE243" s="799"/>
      <c r="BF243" s="799"/>
      <c r="BG243" s="799"/>
    </row>
    <row r="244">
      <c r="H244" s="799"/>
      <c r="I244" s="799"/>
      <c r="J244" s="799"/>
      <c r="K244" s="799"/>
      <c r="L244" s="799"/>
      <c r="M244" s="799"/>
      <c r="N244" s="799"/>
      <c r="O244" s="799"/>
      <c r="P244" s="799"/>
      <c r="Q244" s="799"/>
      <c r="R244" s="799"/>
      <c r="S244" s="799"/>
      <c r="T244" s="799"/>
      <c r="U244" s="799"/>
      <c r="V244" s="799"/>
      <c r="W244" s="799"/>
      <c r="X244" s="799"/>
      <c r="Y244" s="799"/>
      <c r="Z244" s="799"/>
      <c r="AA244" s="799"/>
      <c r="AB244" s="799"/>
      <c r="AC244" s="799"/>
      <c r="AD244" s="799"/>
      <c r="AE244" s="799"/>
      <c r="AF244" s="799"/>
      <c r="AG244" s="799"/>
      <c r="AH244" s="799"/>
      <c r="AI244" s="799"/>
      <c r="AJ244" s="799"/>
      <c r="AK244" s="799"/>
      <c r="AL244" s="799"/>
      <c r="AM244" s="799"/>
      <c r="AN244" s="799"/>
      <c r="AO244" s="799"/>
      <c r="AP244" s="799"/>
      <c r="AQ244" s="799"/>
      <c r="AR244" s="799"/>
      <c r="AS244" s="799"/>
      <c r="AT244" s="799"/>
      <c r="AU244" s="799"/>
      <c r="AV244" s="799"/>
      <c r="AW244" s="799"/>
      <c r="AX244" s="799"/>
      <c r="AY244" s="799"/>
      <c r="AZ244" s="799"/>
      <c r="BA244" s="799"/>
      <c r="BB244" s="799"/>
      <c r="BC244" s="799"/>
      <c r="BD244" s="799"/>
      <c r="BE244" s="799"/>
      <c r="BF244" s="799"/>
      <c r="BG244" s="799"/>
    </row>
    <row r="245">
      <c r="H245" s="799"/>
      <c r="I245" s="799"/>
      <c r="J245" s="799"/>
      <c r="K245" s="799"/>
      <c r="L245" s="799"/>
      <c r="M245" s="799"/>
      <c r="N245" s="799"/>
      <c r="O245" s="799"/>
      <c r="P245" s="799"/>
      <c r="Q245" s="799"/>
      <c r="R245" s="799"/>
      <c r="S245" s="799"/>
      <c r="T245" s="799"/>
      <c r="U245" s="799"/>
      <c r="V245" s="799"/>
      <c r="W245" s="799"/>
      <c r="X245" s="799"/>
      <c r="Y245" s="799"/>
      <c r="Z245" s="799"/>
      <c r="AA245" s="799"/>
      <c r="AB245" s="799"/>
      <c r="AC245" s="799"/>
      <c r="AD245" s="799"/>
      <c r="AE245" s="799"/>
      <c r="AF245" s="799"/>
      <c r="AG245" s="799"/>
      <c r="AH245" s="799"/>
      <c r="AI245" s="799"/>
      <c r="AJ245" s="799"/>
      <c r="AK245" s="799"/>
      <c r="AL245" s="799"/>
      <c r="AM245" s="799"/>
      <c r="AN245" s="799"/>
      <c r="AO245" s="799"/>
      <c r="AP245" s="799"/>
      <c r="AQ245" s="799"/>
      <c r="AR245" s="799"/>
      <c r="AS245" s="799"/>
      <c r="AT245" s="799"/>
      <c r="AU245" s="799"/>
      <c r="AV245" s="799"/>
      <c r="AW245" s="799"/>
      <c r="AX245" s="799"/>
      <c r="AY245" s="799"/>
      <c r="AZ245" s="799"/>
      <c r="BA245" s="799"/>
      <c r="BB245" s="799"/>
      <c r="BC245" s="799"/>
      <c r="BD245" s="799"/>
      <c r="BE245" s="799"/>
      <c r="BF245" s="799"/>
      <c r="BG245" s="799"/>
    </row>
    <row r="246">
      <c r="H246" s="799"/>
      <c r="I246" s="799"/>
      <c r="J246" s="799"/>
      <c r="K246" s="799"/>
      <c r="L246" s="799"/>
      <c r="M246" s="799"/>
      <c r="N246" s="799"/>
      <c r="O246" s="799"/>
      <c r="P246" s="799"/>
      <c r="Q246" s="799"/>
      <c r="R246" s="799"/>
      <c r="S246" s="799"/>
      <c r="T246" s="799"/>
      <c r="U246" s="799"/>
      <c r="V246" s="799"/>
      <c r="W246" s="799"/>
      <c r="X246" s="799"/>
      <c r="Y246" s="799"/>
      <c r="Z246" s="799"/>
      <c r="AA246" s="799"/>
      <c r="AB246" s="799"/>
      <c r="AC246" s="799"/>
      <c r="AD246" s="799"/>
      <c r="AE246" s="799"/>
      <c r="AF246" s="799"/>
      <c r="AG246" s="799"/>
      <c r="AH246" s="799"/>
      <c r="AI246" s="799"/>
      <c r="AJ246" s="799"/>
      <c r="AK246" s="799"/>
      <c r="AL246" s="799"/>
      <c r="AM246" s="799"/>
      <c r="AN246" s="799"/>
      <c r="AO246" s="799"/>
      <c r="AP246" s="799"/>
      <c r="AQ246" s="799"/>
      <c r="AR246" s="799"/>
      <c r="AS246" s="799"/>
      <c r="AT246" s="799"/>
      <c r="AU246" s="799"/>
      <c r="AV246" s="799"/>
      <c r="AW246" s="799"/>
      <c r="AX246" s="799"/>
      <c r="AY246" s="799"/>
      <c r="AZ246" s="799"/>
      <c r="BA246" s="799"/>
      <c r="BB246" s="799"/>
      <c r="BC246" s="799"/>
      <c r="BD246" s="799"/>
      <c r="BE246" s="799"/>
      <c r="BF246" s="799"/>
      <c r="BG246" s="799"/>
    </row>
    <row r="247">
      <c r="H247" s="799"/>
      <c r="I247" s="799"/>
      <c r="J247" s="799"/>
      <c r="K247" s="799"/>
      <c r="L247" s="799"/>
      <c r="M247" s="799"/>
      <c r="N247" s="799"/>
      <c r="O247" s="799"/>
      <c r="P247" s="799"/>
      <c r="Q247" s="799"/>
      <c r="R247" s="799"/>
      <c r="S247" s="799"/>
      <c r="T247" s="799"/>
      <c r="U247" s="799"/>
      <c r="V247" s="799"/>
      <c r="W247" s="799"/>
      <c r="X247" s="799"/>
      <c r="Y247" s="799"/>
      <c r="Z247" s="799"/>
      <c r="AA247" s="799"/>
      <c r="AB247" s="799"/>
      <c r="AC247" s="799"/>
      <c r="AD247" s="799"/>
      <c r="AE247" s="799"/>
      <c r="AF247" s="799"/>
      <c r="AG247" s="799"/>
      <c r="AH247" s="799"/>
      <c r="AI247" s="799"/>
      <c r="AJ247" s="799"/>
      <c r="AK247" s="799"/>
      <c r="AL247" s="799"/>
      <c r="AM247" s="799"/>
      <c r="AN247" s="799"/>
      <c r="AO247" s="799"/>
      <c r="AP247" s="799"/>
      <c r="AQ247" s="799"/>
      <c r="AR247" s="799"/>
      <c r="AS247" s="799"/>
      <c r="AT247" s="799"/>
      <c r="AU247" s="799"/>
      <c r="AV247" s="799"/>
      <c r="AW247" s="799"/>
      <c r="AX247" s="799"/>
      <c r="AY247" s="799"/>
      <c r="AZ247" s="799"/>
      <c r="BA247" s="799"/>
      <c r="BB247" s="799"/>
      <c r="BC247" s="799"/>
      <c r="BD247" s="799"/>
      <c r="BE247" s="799"/>
      <c r="BF247" s="799"/>
      <c r="BG247" s="799"/>
    </row>
    <row r="248">
      <c r="H248" s="799"/>
      <c r="I248" s="799"/>
      <c r="J248" s="799"/>
      <c r="K248" s="799"/>
      <c r="L248" s="799"/>
      <c r="M248" s="799"/>
      <c r="N248" s="799"/>
      <c r="O248" s="799"/>
      <c r="P248" s="799"/>
      <c r="Q248" s="799"/>
      <c r="R248" s="799"/>
      <c r="S248" s="799"/>
      <c r="T248" s="799"/>
      <c r="U248" s="799"/>
      <c r="V248" s="799"/>
      <c r="W248" s="799"/>
      <c r="X248" s="799"/>
      <c r="Y248" s="799"/>
      <c r="Z248" s="799"/>
      <c r="AA248" s="799"/>
      <c r="AB248" s="799"/>
      <c r="AC248" s="799"/>
      <c r="AD248" s="799"/>
      <c r="AE248" s="799"/>
      <c r="AF248" s="799"/>
      <c r="AG248" s="799"/>
      <c r="AH248" s="799"/>
      <c r="AI248" s="799"/>
      <c r="AJ248" s="799"/>
      <c r="AK248" s="799"/>
      <c r="AL248" s="799"/>
      <c r="AM248" s="799"/>
      <c r="AN248" s="799"/>
      <c r="AO248" s="799"/>
      <c r="AP248" s="799"/>
      <c r="AQ248" s="799"/>
      <c r="AR248" s="799"/>
      <c r="AS248" s="799"/>
      <c r="AT248" s="799"/>
      <c r="AU248" s="799"/>
      <c r="AV248" s="799"/>
      <c r="AW248" s="799"/>
      <c r="AX248" s="799"/>
      <c r="AY248" s="799"/>
      <c r="AZ248" s="799"/>
      <c r="BA248" s="799"/>
      <c r="BB248" s="799"/>
      <c r="BC248" s="799"/>
      <c r="BD248" s="799"/>
      <c r="BE248" s="799"/>
      <c r="BF248" s="799"/>
      <c r="BG248" s="799"/>
    </row>
    <row r="249">
      <c r="H249" s="799"/>
      <c r="I249" s="799"/>
      <c r="J249" s="799"/>
      <c r="K249" s="799"/>
      <c r="L249" s="799"/>
      <c r="M249" s="799"/>
      <c r="N249" s="799"/>
      <c r="O249" s="799"/>
      <c r="P249" s="799"/>
      <c r="Q249" s="799"/>
      <c r="R249" s="799"/>
      <c r="S249" s="799"/>
      <c r="T249" s="799"/>
      <c r="U249" s="799"/>
      <c r="V249" s="799"/>
      <c r="W249" s="799"/>
      <c r="X249" s="799"/>
      <c r="Y249" s="799"/>
      <c r="Z249" s="799"/>
      <c r="AA249" s="799"/>
      <c r="AB249" s="799"/>
      <c r="AC249" s="799"/>
      <c r="AD249" s="799"/>
      <c r="AE249" s="799"/>
      <c r="AF249" s="799"/>
      <c r="AG249" s="799"/>
      <c r="AH249" s="799"/>
      <c r="AI249" s="799"/>
      <c r="AJ249" s="799"/>
      <c r="AK249" s="799"/>
      <c r="AL249" s="799"/>
      <c r="AM249" s="799"/>
      <c r="AN249" s="799"/>
      <c r="AO249" s="799"/>
      <c r="AP249" s="799"/>
      <c r="AQ249" s="799"/>
      <c r="AR249" s="799"/>
      <c r="AS249" s="799"/>
      <c r="AT249" s="799"/>
      <c r="AU249" s="799"/>
      <c r="AV249" s="799"/>
      <c r="AW249" s="799"/>
      <c r="AX249" s="799"/>
      <c r="AY249" s="799"/>
      <c r="AZ249" s="799"/>
      <c r="BA249" s="799"/>
      <c r="BB249" s="799"/>
      <c r="BC249" s="799"/>
      <c r="BD249" s="799"/>
      <c r="BE249" s="799"/>
      <c r="BF249" s="799"/>
      <c r="BG249" s="799"/>
    </row>
    <row r="250">
      <c r="H250" s="799"/>
      <c r="I250" s="799"/>
      <c r="J250" s="799"/>
      <c r="K250" s="799"/>
      <c r="L250" s="799"/>
      <c r="M250" s="799"/>
      <c r="N250" s="799"/>
      <c r="O250" s="799"/>
      <c r="P250" s="799"/>
      <c r="Q250" s="799"/>
      <c r="R250" s="799"/>
      <c r="S250" s="799"/>
      <c r="T250" s="799"/>
      <c r="U250" s="799"/>
      <c r="V250" s="799"/>
      <c r="W250" s="799"/>
      <c r="X250" s="799"/>
      <c r="Y250" s="799"/>
      <c r="Z250" s="799"/>
      <c r="AA250" s="799"/>
      <c r="AB250" s="799"/>
      <c r="AC250" s="799"/>
      <c r="AD250" s="799"/>
      <c r="AE250" s="799"/>
      <c r="AF250" s="799"/>
      <c r="AG250" s="799"/>
      <c r="AH250" s="799"/>
      <c r="AI250" s="799"/>
      <c r="AJ250" s="799"/>
      <c r="AK250" s="799"/>
      <c r="AL250" s="799"/>
      <c r="AM250" s="799"/>
      <c r="AN250" s="799"/>
      <c r="AO250" s="799"/>
      <c r="AP250" s="799"/>
      <c r="AQ250" s="799"/>
      <c r="AR250" s="799"/>
      <c r="AS250" s="799"/>
      <c r="AT250" s="799"/>
      <c r="AU250" s="799"/>
      <c r="AV250" s="799"/>
      <c r="AW250" s="799"/>
      <c r="AX250" s="799"/>
      <c r="AY250" s="799"/>
      <c r="AZ250" s="799"/>
      <c r="BA250" s="799"/>
      <c r="BB250" s="799"/>
      <c r="BC250" s="799"/>
      <c r="BD250" s="799"/>
      <c r="BE250" s="799"/>
      <c r="BF250" s="799"/>
      <c r="BG250" s="799"/>
    </row>
    <row r="251">
      <c r="H251" s="799"/>
      <c r="I251" s="799"/>
      <c r="J251" s="799"/>
      <c r="K251" s="799"/>
      <c r="L251" s="799"/>
      <c r="M251" s="799"/>
      <c r="N251" s="799"/>
      <c r="O251" s="799"/>
      <c r="P251" s="799"/>
      <c r="Q251" s="799"/>
      <c r="R251" s="799"/>
      <c r="S251" s="799"/>
      <c r="T251" s="799"/>
      <c r="U251" s="799"/>
      <c r="V251" s="799"/>
      <c r="W251" s="799"/>
      <c r="X251" s="799"/>
      <c r="Y251" s="799"/>
      <c r="Z251" s="799"/>
      <c r="AA251" s="799"/>
      <c r="AB251" s="799"/>
      <c r="AC251" s="799"/>
      <c r="AD251" s="799"/>
      <c r="AE251" s="799"/>
      <c r="AF251" s="799"/>
      <c r="AG251" s="799"/>
      <c r="AH251" s="799"/>
      <c r="AI251" s="799"/>
      <c r="AJ251" s="799"/>
      <c r="AK251" s="799"/>
      <c r="AL251" s="799"/>
      <c r="AM251" s="799"/>
      <c r="AN251" s="799"/>
      <c r="AO251" s="799"/>
      <c r="AP251" s="799"/>
      <c r="AQ251" s="799"/>
      <c r="AR251" s="799"/>
      <c r="AS251" s="799"/>
      <c r="AT251" s="799"/>
      <c r="AU251" s="799"/>
      <c r="AV251" s="799"/>
      <c r="AW251" s="799"/>
      <c r="AX251" s="799"/>
      <c r="AY251" s="799"/>
      <c r="AZ251" s="799"/>
      <c r="BA251" s="799"/>
      <c r="BB251" s="799"/>
      <c r="BC251" s="799"/>
      <c r="BD251" s="799"/>
      <c r="BE251" s="799"/>
      <c r="BF251" s="799"/>
      <c r="BG251" s="799"/>
    </row>
    <row r="252">
      <c r="H252" s="799"/>
      <c r="I252" s="799"/>
      <c r="J252" s="799"/>
      <c r="K252" s="799"/>
      <c r="L252" s="799"/>
      <c r="M252" s="799"/>
      <c r="N252" s="799"/>
      <c r="O252" s="799"/>
      <c r="P252" s="799"/>
      <c r="Q252" s="799"/>
      <c r="R252" s="799"/>
      <c r="S252" s="799"/>
      <c r="T252" s="799"/>
      <c r="U252" s="799"/>
      <c r="V252" s="799"/>
      <c r="W252" s="799"/>
      <c r="X252" s="799"/>
      <c r="Y252" s="799"/>
      <c r="Z252" s="799"/>
      <c r="AA252" s="799"/>
      <c r="AB252" s="799"/>
      <c r="AC252" s="799"/>
      <c r="AD252" s="799"/>
      <c r="AE252" s="799"/>
      <c r="AF252" s="799"/>
      <c r="AG252" s="799"/>
      <c r="AH252" s="799"/>
      <c r="AI252" s="799"/>
      <c r="AJ252" s="799"/>
      <c r="AK252" s="799"/>
      <c r="AL252" s="799"/>
      <c r="AM252" s="799"/>
      <c r="AN252" s="799"/>
      <c r="AO252" s="799"/>
      <c r="AP252" s="799"/>
      <c r="AQ252" s="799"/>
      <c r="AR252" s="799"/>
      <c r="AS252" s="799"/>
      <c r="AT252" s="799"/>
      <c r="AU252" s="799"/>
      <c r="AV252" s="799"/>
      <c r="AW252" s="799"/>
      <c r="AX252" s="799"/>
      <c r="AY252" s="799"/>
      <c r="AZ252" s="799"/>
      <c r="BA252" s="799"/>
      <c r="BB252" s="799"/>
      <c r="BC252" s="799"/>
      <c r="BD252" s="799"/>
      <c r="BE252" s="799"/>
      <c r="BF252" s="799"/>
      <c r="BG252" s="799"/>
    </row>
    <row r="253">
      <c r="H253" s="799"/>
      <c r="I253" s="799"/>
      <c r="J253" s="799"/>
      <c r="K253" s="799"/>
      <c r="L253" s="799"/>
      <c r="M253" s="799"/>
      <c r="N253" s="799"/>
      <c r="O253" s="799"/>
      <c r="P253" s="799"/>
      <c r="Q253" s="799"/>
      <c r="R253" s="799"/>
      <c r="S253" s="799"/>
      <c r="T253" s="799"/>
      <c r="U253" s="799"/>
      <c r="V253" s="799"/>
      <c r="W253" s="799"/>
      <c r="X253" s="799"/>
      <c r="Y253" s="799"/>
      <c r="Z253" s="799"/>
      <c r="AA253" s="799"/>
      <c r="AB253" s="799"/>
      <c r="AC253" s="799"/>
      <c r="AD253" s="799"/>
      <c r="AE253" s="799"/>
      <c r="AF253" s="799"/>
      <c r="AG253" s="799"/>
      <c r="AH253" s="799"/>
      <c r="AI253" s="799"/>
      <c r="AJ253" s="799"/>
      <c r="AK253" s="799"/>
      <c r="AL253" s="799"/>
      <c r="AM253" s="799"/>
      <c r="AN253" s="799"/>
      <c r="AO253" s="799"/>
      <c r="AP253" s="799"/>
      <c r="AQ253" s="799"/>
      <c r="AR253" s="799"/>
      <c r="AS253" s="799"/>
      <c r="AT253" s="799"/>
      <c r="AU253" s="799"/>
      <c r="AV253" s="799"/>
      <c r="AW253" s="799"/>
      <c r="AX253" s="799"/>
      <c r="AY253" s="799"/>
      <c r="AZ253" s="799"/>
      <c r="BA253" s="799"/>
      <c r="BB253" s="799"/>
      <c r="BC253" s="799"/>
      <c r="BD253" s="799"/>
      <c r="BE253" s="799"/>
      <c r="BF253" s="799"/>
      <c r="BG253" s="799"/>
    </row>
    <row r="254">
      <c r="H254" s="799"/>
      <c r="I254" s="799"/>
      <c r="J254" s="799"/>
      <c r="K254" s="799"/>
      <c r="L254" s="799"/>
      <c r="M254" s="799"/>
      <c r="N254" s="799"/>
      <c r="O254" s="799"/>
      <c r="P254" s="799"/>
      <c r="Q254" s="799"/>
      <c r="R254" s="799"/>
      <c r="S254" s="799"/>
      <c r="T254" s="799"/>
      <c r="U254" s="799"/>
      <c r="V254" s="799"/>
      <c r="W254" s="799"/>
      <c r="X254" s="799"/>
      <c r="Y254" s="799"/>
      <c r="Z254" s="799"/>
      <c r="AA254" s="799"/>
      <c r="AB254" s="799"/>
      <c r="AC254" s="799"/>
      <c r="AD254" s="799"/>
      <c r="AE254" s="799"/>
      <c r="AF254" s="799"/>
      <c r="AG254" s="799"/>
      <c r="AH254" s="799"/>
      <c r="AI254" s="799"/>
      <c r="AJ254" s="799"/>
      <c r="AK254" s="799"/>
      <c r="AL254" s="799"/>
      <c r="AM254" s="799"/>
      <c r="AN254" s="799"/>
      <c r="AO254" s="799"/>
      <c r="AP254" s="799"/>
      <c r="AQ254" s="799"/>
      <c r="AR254" s="799"/>
      <c r="AS254" s="799"/>
      <c r="AT254" s="799"/>
      <c r="AU254" s="799"/>
      <c r="AV254" s="799"/>
      <c r="AW254" s="799"/>
      <c r="AX254" s="799"/>
      <c r="AY254" s="799"/>
      <c r="AZ254" s="799"/>
      <c r="BA254" s="799"/>
      <c r="BB254" s="799"/>
      <c r="BC254" s="799"/>
      <c r="BD254" s="799"/>
      <c r="BE254" s="799"/>
      <c r="BF254" s="799"/>
      <c r="BG254" s="799"/>
    </row>
    <row r="255">
      <c r="H255" s="799"/>
      <c r="I255" s="799"/>
      <c r="J255" s="799"/>
      <c r="K255" s="799"/>
      <c r="L255" s="799"/>
      <c r="M255" s="799"/>
      <c r="N255" s="799"/>
      <c r="O255" s="799"/>
      <c r="P255" s="799"/>
      <c r="Q255" s="799"/>
      <c r="R255" s="799"/>
      <c r="S255" s="799"/>
      <c r="T255" s="799"/>
      <c r="U255" s="799"/>
      <c r="V255" s="799"/>
      <c r="W255" s="799"/>
      <c r="X255" s="799"/>
      <c r="Y255" s="799"/>
      <c r="Z255" s="799"/>
      <c r="AA255" s="799"/>
      <c r="AB255" s="799"/>
      <c r="AC255" s="799"/>
      <c r="AD255" s="799"/>
      <c r="AE255" s="799"/>
      <c r="AF255" s="799"/>
      <c r="AG255" s="799"/>
      <c r="AH255" s="799"/>
      <c r="AI255" s="799"/>
      <c r="AJ255" s="799"/>
      <c r="AK255" s="799"/>
      <c r="AL255" s="799"/>
      <c r="AM255" s="799"/>
      <c r="AN255" s="799"/>
      <c r="AO255" s="799"/>
      <c r="AP255" s="799"/>
      <c r="AQ255" s="799"/>
      <c r="AR255" s="799"/>
      <c r="AS255" s="799"/>
      <c r="AT255" s="799"/>
      <c r="AU255" s="799"/>
      <c r="AV255" s="799"/>
      <c r="AW255" s="799"/>
      <c r="AX255" s="799"/>
      <c r="AY255" s="799"/>
      <c r="AZ255" s="799"/>
      <c r="BA255" s="799"/>
      <c r="BB255" s="799"/>
      <c r="BC255" s="799"/>
      <c r="BD255" s="799"/>
      <c r="BE255" s="799"/>
      <c r="BF255" s="799"/>
      <c r="BG255" s="799"/>
    </row>
    <row r="256">
      <c r="H256" s="799"/>
      <c r="I256" s="799"/>
      <c r="J256" s="799"/>
      <c r="K256" s="799"/>
      <c r="L256" s="799"/>
      <c r="M256" s="799"/>
      <c r="N256" s="799"/>
      <c r="O256" s="799"/>
      <c r="P256" s="799"/>
      <c r="Q256" s="799"/>
      <c r="R256" s="799"/>
      <c r="S256" s="799"/>
      <c r="T256" s="799"/>
      <c r="U256" s="799"/>
      <c r="V256" s="799"/>
      <c r="W256" s="799"/>
      <c r="X256" s="799"/>
      <c r="Y256" s="799"/>
      <c r="Z256" s="799"/>
      <c r="AA256" s="799"/>
      <c r="AB256" s="799"/>
      <c r="AC256" s="799"/>
      <c r="AD256" s="799"/>
      <c r="AE256" s="799"/>
      <c r="AF256" s="799"/>
      <c r="AG256" s="799"/>
      <c r="AH256" s="799"/>
      <c r="AI256" s="799"/>
      <c r="AJ256" s="799"/>
      <c r="AK256" s="799"/>
      <c r="AL256" s="799"/>
      <c r="AM256" s="799"/>
      <c r="AN256" s="799"/>
      <c r="AO256" s="799"/>
      <c r="AP256" s="799"/>
      <c r="AQ256" s="799"/>
      <c r="AR256" s="799"/>
      <c r="AS256" s="799"/>
      <c r="AT256" s="799"/>
      <c r="AU256" s="799"/>
      <c r="AV256" s="799"/>
      <c r="AW256" s="799"/>
      <c r="AX256" s="799"/>
      <c r="AY256" s="799"/>
      <c r="AZ256" s="799"/>
      <c r="BA256" s="799"/>
      <c r="BB256" s="799"/>
      <c r="BC256" s="799"/>
      <c r="BD256" s="799"/>
      <c r="BE256" s="799"/>
      <c r="BF256" s="799"/>
      <c r="BG256" s="799"/>
    </row>
    <row r="257">
      <c r="H257" s="799"/>
      <c r="I257" s="799"/>
      <c r="J257" s="799"/>
      <c r="K257" s="799"/>
      <c r="L257" s="799"/>
      <c r="M257" s="799"/>
      <c r="N257" s="799"/>
      <c r="O257" s="799"/>
      <c r="P257" s="799"/>
      <c r="Q257" s="799"/>
      <c r="R257" s="799"/>
      <c r="S257" s="799"/>
      <c r="T257" s="799"/>
      <c r="U257" s="799"/>
      <c r="V257" s="799"/>
      <c r="W257" s="799"/>
      <c r="X257" s="799"/>
      <c r="Y257" s="799"/>
      <c r="Z257" s="799"/>
      <c r="AA257" s="799"/>
      <c r="AB257" s="799"/>
      <c r="AC257" s="799"/>
      <c r="AD257" s="799"/>
      <c r="AE257" s="799"/>
      <c r="AF257" s="799"/>
      <c r="AG257" s="799"/>
      <c r="AH257" s="799"/>
      <c r="AI257" s="799"/>
      <c r="AJ257" s="799"/>
      <c r="AK257" s="799"/>
      <c r="AL257" s="799"/>
      <c r="AM257" s="799"/>
      <c r="AN257" s="799"/>
      <c r="AO257" s="799"/>
      <c r="AP257" s="799"/>
      <c r="AQ257" s="799"/>
      <c r="AR257" s="799"/>
      <c r="AS257" s="799"/>
      <c r="AT257" s="799"/>
      <c r="AU257" s="799"/>
      <c r="AV257" s="799"/>
      <c r="AW257" s="799"/>
      <c r="AX257" s="799"/>
      <c r="AY257" s="799"/>
      <c r="AZ257" s="799"/>
      <c r="BA257" s="799"/>
      <c r="BB257" s="799"/>
      <c r="BC257" s="799"/>
      <c r="BD257" s="799"/>
      <c r="BE257" s="799"/>
      <c r="BF257" s="799"/>
      <c r="BG257" s="799"/>
    </row>
    <row r="258">
      <c r="H258" s="799"/>
      <c r="I258" s="799"/>
      <c r="J258" s="799"/>
      <c r="K258" s="799"/>
      <c r="L258" s="799"/>
      <c r="M258" s="799"/>
      <c r="N258" s="799"/>
      <c r="O258" s="799"/>
      <c r="P258" s="799"/>
      <c r="Q258" s="799"/>
      <c r="R258" s="799"/>
      <c r="S258" s="799"/>
      <c r="T258" s="799"/>
      <c r="U258" s="799"/>
      <c r="V258" s="799"/>
      <c r="W258" s="799"/>
      <c r="X258" s="799"/>
      <c r="Y258" s="799"/>
      <c r="Z258" s="799"/>
      <c r="AA258" s="799"/>
      <c r="AB258" s="799"/>
      <c r="AC258" s="799"/>
      <c r="AD258" s="799"/>
      <c r="AE258" s="799"/>
      <c r="AF258" s="799"/>
      <c r="AG258" s="799"/>
      <c r="AH258" s="799"/>
      <c r="AI258" s="799"/>
      <c r="AJ258" s="799"/>
      <c r="AK258" s="799"/>
      <c r="AL258" s="799"/>
      <c r="AM258" s="799"/>
      <c r="AN258" s="799"/>
      <c r="AO258" s="799"/>
      <c r="AP258" s="799"/>
      <c r="AQ258" s="799"/>
      <c r="AR258" s="799"/>
      <c r="AS258" s="799"/>
      <c r="AT258" s="799"/>
      <c r="AU258" s="799"/>
      <c r="AV258" s="799"/>
      <c r="AW258" s="799"/>
      <c r="AX258" s="799"/>
      <c r="AY258" s="799"/>
      <c r="AZ258" s="799"/>
      <c r="BA258" s="799"/>
      <c r="BB258" s="799"/>
      <c r="BC258" s="799"/>
      <c r="BD258" s="799"/>
      <c r="BE258" s="799"/>
      <c r="BF258" s="799"/>
      <c r="BG258" s="799"/>
    </row>
    <row r="259">
      <c r="H259" s="799"/>
      <c r="I259" s="799"/>
      <c r="J259" s="799"/>
      <c r="K259" s="799"/>
      <c r="L259" s="799"/>
      <c r="M259" s="799"/>
      <c r="N259" s="799"/>
      <c r="O259" s="799"/>
      <c r="P259" s="799"/>
      <c r="Q259" s="799"/>
      <c r="R259" s="799"/>
      <c r="S259" s="799"/>
      <c r="T259" s="799"/>
      <c r="U259" s="799"/>
      <c r="V259" s="799"/>
      <c r="W259" s="799"/>
      <c r="X259" s="799"/>
      <c r="Y259" s="799"/>
      <c r="Z259" s="799"/>
      <c r="AA259" s="799"/>
      <c r="AB259" s="799"/>
      <c r="AC259" s="799"/>
      <c r="AD259" s="799"/>
      <c r="AE259" s="799"/>
      <c r="AF259" s="799"/>
      <c r="AG259" s="799"/>
      <c r="AH259" s="799"/>
      <c r="AI259" s="799"/>
      <c r="AJ259" s="799"/>
      <c r="AK259" s="799"/>
      <c r="AL259" s="799"/>
      <c r="AM259" s="799"/>
      <c r="AN259" s="799"/>
      <c r="AO259" s="799"/>
      <c r="AP259" s="799"/>
      <c r="AQ259" s="799"/>
      <c r="AR259" s="799"/>
      <c r="AS259" s="799"/>
      <c r="AT259" s="799"/>
      <c r="AU259" s="799"/>
      <c r="AV259" s="799"/>
      <c r="AW259" s="799"/>
      <c r="AX259" s="799"/>
      <c r="AY259" s="799"/>
      <c r="AZ259" s="799"/>
      <c r="BA259" s="799"/>
      <c r="BB259" s="799"/>
      <c r="BC259" s="799"/>
      <c r="BD259" s="799"/>
      <c r="BE259" s="799"/>
      <c r="BF259" s="799"/>
      <c r="BG259" s="799"/>
    </row>
    <row r="260">
      <c r="H260" s="799"/>
      <c r="I260" s="799"/>
      <c r="J260" s="799"/>
      <c r="K260" s="799"/>
      <c r="L260" s="799"/>
      <c r="M260" s="799"/>
      <c r="N260" s="799"/>
      <c r="O260" s="799"/>
      <c r="P260" s="799"/>
      <c r="Q260" s="799"/>
      <c r="R260" s="799"/>
      <c r="S260" s="799"/>
      <c r="T260" s="799"/>
      <c r="U260" s="799"/>
      <c r="V260" s="799"/>
      <c r="W260" s="799"/>
      <c r="X260" s="799"/>
      <c r="Y260" s="799"/>
      <c r="Z260" s="799"/>
      <c r="AA260" s="799"/>
      <c r="AB260" s="799"/>
      <c r="AC260" s="799"/>
      <c r="AD260" s="799"/>
      <c r="AE260" s="799"/>
      <c r="AF260" s="799"/>
      <c r="AG260" s="799"/>
      <c r="AH260" s="799"/>
      <c r="AI260" s="799"/>
      <c r="AJ260" s="799"/>
      <c r="AK260" s="799"/>
      <c r="AL260" s="799"/>
      <c r="AM260" s="799"/>
      <c r="AN260" s="799"/>
      <c r="AO260" s="799"/>
      <c r="AP260" s="799"/>
      <c r="AQ260" s="799"/>
      <c r="AR260" s="799"/>
      <c r="AS260" s="799"/>
      <c r="AT260" s="799"/>
      <c r="AU260" s="799"/>
      <c r="AV260" s="799"/>
      <c r="AW260" s="799"/>
      <c r="AX260" s="799"/>
      <c r="AY260" s="799"/>
      <c r="AZ260" s="799"/>
      <c r="BA260" s="799"/>
      <c r="BB260" s="799"/>
      <c r="BC260" s="799"/>
      <c r="BD260" s="799"/>
      <c r="BE260" s="799"/>
      <c r="BF260" s="799"/>
      <c r="BG260" s="799"/>
    </row>
    <row r="261">
      <c r="H261" s="799"/>
      <c r="I261" s="799"/>
      <c r="J261" s="799"/>
      <c r="K261" s="799"/>
      <c r="L261" s="799"/>
      <c r="M261" s="799"/>
      <c r="N261" s="799"/>
      <c r="O261" s="799"/>
      <c r="P261" s="799"/>
      <c r="Q261" s="799"/>
      <c r="R261" s="799"/>
      <c r="S261" s="799"/>
      <c r="T261" s="799"/>
      <c r="U261" s="799"/>
      <c r="V261" s="799"/>
      <c r="W261" s="799"/>
      <c r="X261" s="799"/>
      <c r="Y261" s="799"/>
      <c r="Z261" s="799"/>
      <c r="AA261" s="799"/>
      <c r="AB261" s="799"/>
      <c r="AC261" s="799"/>
      <c r="AD261" s="799"/>
      <c r="AE261" s="799"/>
      <c r="AF261" s="799"/>
      <c r="AG261" s="799"/>
      <c r="AH261" s="799"/>
      <c r="AI261" s="799"/>
      <c r="AJ261" s="799"/>
      <c r="AK261" s="799"/>
      <c r="AL261" s="799"/>
      <c r="AM261" s="799"/>
      <c r="AN261" s="799"/>
      <c r="AO261" s="799"/>
      <c r="AP261" s="799"/>
      <c r="AQ261" s="799"/>
      <c r="AR261" s="799"/>
      <c r="AS261" s="799"/>
      <c r="AT261" s="799"/>
      <c r="AU261" s="799"/>
      <c r="AV261" s="799"/>
      <c r="AW261" s="799"/>
      <c r="AX261" s="799"/>
      <c r="AY261" s="799"/>
      <c r="AZ261" s="799"/>
      <c r="BA261" s="799"/>
      <c r="BB261" s="799"/>
      <c r="BC261" s="799"/>
      <c r="BD261" s="799"/>
      <c r="BE261" s="799"/>
      <c r="BF261" s="799"/>
      <c r="BG261" s="799"/>
    </row>
    <row r="262">
      <c r="H262" s="799"/>
      <c r="I262" s="799"/>
      <c r="J262" s="799"/>
      <c r="K262" s="799"/>
      <c r="L262" s="799"/>
      <c r="M262" s="799"/>
      <c r="N262" s="799"/>
      <c r="O262" s="799"/>
      <c r="P262" s="799"/>
      <c r="Q262" s="799"/>
      <c r="R262" s="799"/>
      <c r="S262" s="799"/>
      <c r="T262" s="799"/>
      <c r="U262" s="799"/>
      <c r="V262" s="799"/>
      <c r="W262" s="799"/>
      <c r="X262" s="799"/>
      <c r="Y262" s="799"/>
      <c r="Z262" s="799"/>
      <c r="AA262" s="799"/>
      <c r="AB262" s="799"/>
      <c r="AC262" s="799"/>
      <c r="AD262" s="799"/>
      <c r="AE262" s="799"/>
      <c r="AF262" s="799"/>
      <c r="AG262" s="799"/>
      <c r="AH262" s="799"/>
      <c r="AI262" s="799"/>
      <c r="AJ262" s="799"/>
      <c r="AK262" s="799"/>
      <c r="AL262" s="799"/>
      <c r="AM262" s="799"/>
      <c r="AN262" s="799"/>
      <c r="AO262" s="799"/>
      <c r="AP262" s="799"/>
      <c r="AQ262" s="799"/>
      <c r="AR262" s="799"/>
      <c r="AS262" s="799"/>
      <c r="AT262" s="799"/>
      <c r="AU262" s="799"/>
      <c r="AV262" s="799"/>
      <c r="AW262" s="799"/>
      <c r="AX262" s="799"/>
      <c r="AY262" s="799"/>
      <c r="AZ262" s="799"/>
      <c r="BA262" s="799"/>
      <c r="BB262" s="799"/>
      <c r="BC262" s="799"/>
      <c r="BD262" s="799"/>
      <c r="BE262" s="799"/>
      <c r="BF262" s="799"/>
      <c r="BG262" s="799"/>
    </row>
    <row r="263">
      <c r="H263" s="799"/>
      <c r="I263" s="799"/>
      <c r="J263" s="799"/>
      <c r="K263" s="799"/>
      <c r="L263" s="799"/>
      <c r="M263" s="799"/>
      <c r="N263" s="799"/>
      <c r="O263" s="799"/>
      <c r="P263" s="799"/>
      <c r="Q263" s="799"/>
      <c r="R263" s="799"/>
      <c r="S263" s="799"/>
      <c r="T263" s="799"/>
      <c r="U263" s="799"/>
      <c r="V263" s="799"/>
      <c r="W263" s="799"/>
      <c r="X263" s="799"/>
      <c r="Y263" s="799"/>
      <c r="Z263" s="799"/>
      <c r="AA263" s="799"/>
      <c r="AB263" s="799"/>
      <c r="AC263" s="799"/>
      <c r="AD263" s="799"/>
      <c r="AE263" s="799"/>
      <c r="AF263" s="799"/>
      <c r="AG263" s="799"/>
      <c r="AH263" s="799"/>
      <c r="AI263" s="799"/>
      <c r="AJ263" s="799"/>
      <c r="AK263" s="799"/>
      <c r="AL263" s="799"/>
      <c r="AM263" s="799"/>
      <c r="AN263" s="799"/>
      <c r="AO263" s="799"/>
      <c r="AP263" s="799"/>
      <c r="AQ263" s="799"/>
      <c r="AR263" s="799"/>
      <c r="AS263" s="799"/>
      <c r="AT263" s="799"/>
      <c r="AU263" s="799"/>
      <c r="AV263" s="799"/>
      <c r="AW263" s="799"/>
      <c r="AX263" s="799"/>
      <c r="AY263" s="799"/>
      <c r="AZ263" s="799"/>
      <c r="BA263" s="799"/>
      <c r="BB263" s="799"/>
      <c r="BC263" s="799"/>
      <c r="BD263" s="799"/>
      <c r="BE263" s="799"/>
      <c r="BF263" s="799"/>
      <c r="BG263" s="799"/>
    </row>
    <row r="264">
      <c r="H264" s="799"/>
      <c r="I264" s="799"/>
      <c r="J264" s="799"/>
      <c r="K264" s="799"/>
      <c r="L264" s="799"/>
      <c r="M264" s="799"/>
      <c r="N264" s="799"/>
      <c r="O264" s="799"/>
      <c r="P264" s="799"/>
      <c r="Q264" s="799"/>
      <c r="R264" s="799"/>
      <c r="S264" s="799"/>
      <c r="T264" s="799"/>
      <c r="U264" s="799"/>
      <c r="V264" s="799"/>
      <c r="W264" s="799"/>
      <c r="X264" s="799"/>
      <c r="Y264" s="799"/>
      <c r="Z264" s="799"/>
      <c r="AA264" s="799"/>
      <c r="AB264" s="799"/>
      <c r="AC264" s="799"/>
      <c r="AD264" s="799"/>
      <c r="AE264" s="799"/>
      <c r="AF264" s="799"/>
      <c r="AG264" s="799"/>
      <c r="AH264" s="799"/>
      <c r="AI264" s="799"/>
      <c r="AJ264" s="799"/>
      <c r="AK264" s="799"/>
      <c r="AL264" s="799"/>
      <c r="AM264" s="799"/>
      <c r="AN264" s="799"/>
      <c r="AO264" s="799"/>
      <c r="AP264" s="799"/>
      <c r="AQ264" s="799"/>
      <c r="AR264" s="799"/>
      <c r="AS264" s="799"/>
      <c r="AT264" s="799"/>
      <c r="AU264" s="799"/>
      <c r="AV264" s="799"/>
      <c r="AW264" s="799"/>
      <c r="AX264" s="799"/>
      <c r="AY264" s="799"/>
      <c r="AZ264" s="799"/>
      <c r="BA264" s="799"/>
      <c r="BB264" s="799"/>
      <c r="BC264" s="799"/>
      <c r="BD264" s="799"/>
      <c r="BE264" s="799"/>
      <c r="BF264" s="799"/>
      <c r="BG264" s="799"/>
    </row>
    <row r="265">
      <c r="H265" s="799"/>
      <c r="I265" s="799"/>
      <c r="J265" s="799"/>
      <c r="K265" s="799"/>
      <c r="L265" s="799"/>
      <c r="M265" s="799"/>
      <c r="N265" s="799"/>
      <c r="O265" s="799"/>
      <c r="P265" s="799"/>
      <c r="Q265" s="799"/>
      <c r="R265" s="799"/>
      <c r="S265" s="799"/>
      <c r="T265" s="799"/>
      <c r="U265" s="799"/>
      <c r="V265" s="799"/>
      <c r="W265" s="799"/>
      <c r="X265" s="799"/>
      <c r="Y265" s="799"/>
      <c r="Z265" s="799"/>
      <c r="AA265" s="799"/>
      <c r="AB265" s="799"/>
      <c r="AC265" s="799"/>
      <c r="AD265" s="799"/>
      <c r="AE265" s="799"/>
      <c r="AF265" s="799"/>
      <c r="AG265" s="799"/>
      <c r="AH265" s="799"/>
      <c r="AI265" s="799"/>
      <c r="AJ265" s="799"/>
      <c r="AK265" s="799"/>
      <c r="AL265" s="799"/>
      <c r="AM265" s="799"/>
      <c r="AN265" s="799"/>
      <c r="AO265" s="799"/>
      <c r="AP265" s="799"/>
      <c r="AQ265" s="799"/>
      <c r="AR265" s="799"/>
      <c r="AS265" s="799"/>
      <c r="AT265" s="799"/>
      <c r="AU265" s="799"/>
      <c r="AV265" s="799"/>
      <c r="AW265" s="799"/>
      <c r="AX265" s="799"/>
      <c r="AY265" s="799"/>
      <c r="AZ265" s="799"/>
      <c r="BA265" s="799"/>
      <c r="BB265" s="799"/>
      <c r="BC265" s="799"/>
      <c r="BD265" s="799"/>
      <c r="BE265" s="799"/>
      <c r="BF265" s="799"/>
      <c r="BG265" s="799"/>
    </row>
    <row r="266">
      <c r="H266" s="799"/>
      <c r="I266" s="799"/>
      <c r="J266" s="799"/>
      <c r="K266" s="799"/>
      <c r="L266" s="799"/>
      <c r="M266" s="799"/>
      <c r="N266" s="799"/>
      <c r="O266" s="799"/>
      <c r="P266" s="799"/>
      <c r="Q266" s="799"/>
      <c r="R266" s="799"/>
      <c r="S266" s="799"/>
      <c r="T266" s="799"/>
      <c r="U266" s="799"/>
      <c r="V266" s="799"/>
      <c r="W266" s="799"/>
      <c r="X266" s="799"/>
      <c r="Y266" s="799"/>
      <c r="Z266" s="799"/>
      <c r="AA266" s="799"/>
      <c r="AB266" s="799"/>
      <c r="AC266" s="799"/>
      <c r="AD266" s="799"/>
      <c r="AE266" s="799"/>
      <c r="AF266" s="799"/>
      <c r="AG266" s="799"/>
      <c r="AH266" s="799"/>
      <c r="AI266" s="799"/>
      <c r="AJ266" s="799"/>
      <c r="AK266" s="799"/>
      <c r="AL266" s="799"/>
      <c r="AM266" s="799"/>
      <c r="AN266" s="799"/>
      <c r="AO266" s="799"/>
      <c r="AP266" s="799"/>
      <c r="AQ266" s="799"/>
      <c r="AR266" s="799"/>
      <c r="AS266" s="799"/>
      <c r="AT266" s="799"/>
      <c r="AU266" s="799"/>
      <c r="AV266" s="799"/>
      <c r="AW266" s="799"/>
      <c r="AX266" s="799"/>
      <c r="AY266" s="799"/>
      <c r="AZ266" s="799"/>
      <c r="BA266" s="799"/>
      <c r="BB266" s="799"/>
      <c r="BC266" s="799"/>
      <c r="BD266" s="799"/>
      <c r="BE266" s="799"/>
      <c r="BF266" s="799"/>
      <c r="BG266" s="799"/>
    </row>
    <row r="267">
      <c r="H267" s="799"/>
      <c r="I267" s="799"/>
      <c r="J267" s="799"/>
      <c r="K267" s="799"/>
      <c r="L267" s="799"/>
      <c r="M267" s="799"/>
      <c r="N267" s="799"/>
      <c r="O267" s="799"/>
      <c r="P267" s="799"/>
      <c r="Q267" s="799"/>
      <c r="R267" s="799"/>
      <c r="S267" s="799"/>
      <c r="T267" s="799"/>
      <c r="U267" s="799"/>
      <c r="V267" s="799"/>
      <c r="W267" s="799"/>
      <c r="X267" s="799"/>
      <c r="Y267" s="799"/>
      <c r="Z267" s="799"/>
      <c r="AA267" s="799"/>
      <c r="AB267" s="799"/>
      <c r="AC267" s="799"/>
      <c r="AD267" s="799"/>
      <c r="AE267" s="799"/>
      <c r="AF267" s="799"/>
      <c r="AG267" s="799"/>
      <c r="AH267" s="799"/>
      <c r="AI267" s="799"/>
      <c r="AJ267" s="799"/>
      <c r="AK267" s="799"/>
      <c r="AL267" s="799"/>
      <c r="AM267" s="799"/>
      <c r="AN267" s="799"/>
      <c r="AO267" s="799"/>
      <c r="AP267" s="799"/>
      <c r="AQ267" s="799"/>
      <c r="AR267" s="799"/>
      <c r="AS267" s="799"/>
      <c r="AT267" s="799"/>
      <c r="AU267" s="799"/>
      <c r="AV267" s="799"/>
      <c r="AW267" s="799"/>
      <c r="AX267" s="799"/>
      <c r="AY267" s="799"/>
      <c r="AZ267" s="799"/>
      <c r="BA267" s="799"/>
      <c r="BB267" s="799"/>
      <c r="BC267" s="799"/>
      <c r="BD267" s="799"/>
      <c r="BE267" s="799"/>
      <c r="BF267" s="799"/>
      <c r="BG267" s="799"/>
    </row>
    <row r="268">
      <c r="H268" s="799"/>
      <c r="I268" s="799"/>
      <c r="J268" s="799"/>
      <c r="K268" s="799"/>
      <c r="L268" s="799"/>
      <c r="M268" s="799"/>
      <c r="N268" s="799"/>
      <c r="O268" s="799"/>
      <c r="P268" s="799"/>
      <c r="Q268" s="799"/>
      <c r="R268" s="799"/>
      <c r="S268" s="799"/>
      <c r="T268" s="799"/>
      <c r="U268" s="799"/>
      <c r="V268" s="799"/>
      <c r="W268" s="799"/>
      <c r="X268" s="799"/>
      <c r="Y268" s="799"/>
      <c r="Z268" s="799"/>
      <c r="AA268" s="799"/>
      <c r="AB268" s="799"/>
      <c r="AC268" s="799"/>
      <c r="AD268" s="799"/>
      <c r="AE268" s="799"/>
      <c r="AF268" s="799"/>
      <c r="AG268" s="799"/>
      <c r="AH268" s="799"/>
      <c r="AI268" s="799"/>
      <c r="AJ268" s="799"/>
      <c r="AK268" s="799"/>
      <c r="AL268" s="799"/>
      <c r="AM268" s="799"/>
      <c r="AN268" s="799"/>
      <c r="AO268" s="799"/>
      <c r="AP268" s="799"/>
      <c r="AQ268" s="799"/>
      <c r="AR268" s="799"/>
      <c r="AS268" s="799"/>
      <c r="AT268" s="799"/>
      <c r="AU268" s="799"/>
      <c r="AV268" s="799"/>
      <c r="AW268" s="799"/>
      <c r="AX268" s="799"/>
      <c r="AY268" s="799"/>
      <c r="AZ268" s="799"/>
      <c r="BA268" s="799"/>
      <c r="BB268" s="799"/>
      <c r="BC268" s="799"/>
      <c r="BD268" s="799"/>
      <c r="BE268" s="799"/>
      <c r="BF268" s="799"/>
      <c r="BG268" s="799"/>
    </row>
    <row r="269">
      <c r="H269" s="799"/>
      <c r="I269" s="799"/>
      <c r="J269" s="799"/>
      <c r="K269" s="799"/>
      <c r="L269" s="799"/>
      <c r="M269" s="799"/>
      <c r="N269" s="799"/>
      <c r="O269" s="799"/>
      <c r="P269" s="799"/>
      <c r="Q269" s="799"/>
      <c r="R269" s="799"/>
      <c r="S269" s="799"/>
      <c r="T269" s="799"/>
      <c r="U269" s="799"/>
      <c r="V269" s="799"/>
      <c r="W269" s="799"/>
      <c r="X269" s="799"/>
      <c r="Y269" s="799"/>
      <c r="Z269" s="799"/>
      <c r="AA269" s="799"/>
      <c r="AB269" s="799"/>
      <c r="AC269" s="799"/>
      <c r="AD269" s="799"/>
      <c r="AE269" s="799"/>
      <c r="AF269" s="799"/>
      <c r="AG269" s="799"/>
      <c r="AH269" s="799"/>
      <c r="AI269" s="799"/>
      <c r="AJ269" s="799"/>
      <c r="AK269" s="799"/>
      <c r="AL269" s="799"/>
      <c r="AM269" s="799"/>
      <c r="AN269" s="799"/>
      <c r="AO269" s="799"/>
      <c r="AP269" s="799"/>
      <c r="AQ269" s="799"/>
      <c r="AR269" s="799"/>
      <c r="AS269" s="799"/>
      <c r="AT269" s="799"/>
      <c r="AU269" s="799"/>
      <c r="AV269" s="799"/>
      <c r="AW269" s="799"/>
      <c r="AX269" s="799"/>
      <c r="AY269" s="799"/>
      <c r="AZ269" s="799"/>
      <c r="BA269" s="799"/>
      <c r="BB269" s="799"/>
      <c r="BC269" s="799"/>
      <c r="BD269" s="799"/>
      <c r="BE269" s="799"/>
      <c r="BF269" s="799"/>
      <c r="BG269" s="799"/>
    </row>
    <row r="270">
      <c r="H270" s="799"/>
      <c r="I270" s="799"/>
      <c r="J270" s="799"/>
      <c r="K270" s="799"/>
      <c r="L270" s="799"/>
      <c r="M270" s="799"/>
      <c r="N270" s="799"/>
      <c r="O270" s="799"/>
      <c r="P270" s="799"/>
      <c r="Q270" s="799"/>
      <c r="R270" s="799"/>
      <c r="S270" s="799"/>
      <c r="T270" s="799"/>
      <c r="U270" s="799"/>
      <c r="V270" s="799"/>
      <c r="W270" s="799"/>
      <c r="X270" s="799"/>
      <c r="Y270" s="799"/>
      <c r="Z270" s="799"/>
      <c r="AA270" s="799"/>
      <c r="AB270" s="799"/>
      <c r="AC270" s="799"/>
      <c r="AD270" s="799"/>
      <c r="AE270" s="799"/>
      <c r="AF270" s="799"/>
      <c r="AG270" s="799"/>
      <c r="AH270" s="799"/>
      <c r="AI270" s="799"/>
      <c r="AJ270" s="799"/>
      <c r="AK270" s="799"/>
      <c r="AL270" s="799"/>
      <c r="AM270" s="799"/>
      <c r="AN270" s="799"/>
      <c r="AO270" s="799"/>
      <c r="AP270" s="799"/>
      <c r="AQ270" s="799"/>
      <c r="AR270" s="799"/>
      <c r="AS270" s="799"/>
      <c r="AT270" s="799"/>
      <c r="AU270" s="799"/>
      <c r="AV270" s="799"/>
      <c r="AW270" s="799"/>
      <c r="AX270" s="799"/>
      <c r="AY270" s="799"/>
      <c r="AZ270" s="799"/>
      <c r="BA270" s="799"/>
      <c r="BB270" s="799"/>
      <c r="BC270" s="799"/>
      <c r="BD270" s="799"/>
      <c r="BE270" s="799"/>
      <c r="BF270" s="799"/>
      <c r="BG270" s="799"/>
    </row>
    <row r="271">
      <c r="H271" s="799"/>
      <c r="I271" s="799"/>
      <c r="J271" s="799"/>
      <c r="K271" s="799"/>
      <c r="L271" s="799"/>
      <c r="M271" s="799"/>
      <c r="N271" s="799"/>
      <c r="O271" s="799"/>
      <c r="P271" s="799"/>
      <c r="Q271" s="799"/>
      <c r="R271" s="799"/>
      <c r="S271" s="799"/>
      <c r="T271" s="799"/>
      <c r="U271" s="799"/>
      <c r="V271" s="799"/>
      <c r="W271" s="799"/>
      <c r="X271" s="799"/>
      <c r="Y271" s="799"/>
      <c r="Z271" s="799"/>
      <c r="AA271" s="799"/>
      <c r="AB271" s="799"/>
      <c r="AC271" s="799"/>
      <c r="AD271" s="799"/>
      <c r="AE271" s="799"/>
      <c r="AF271" s="799"/>
      <c r="AG271" s="799"/>
      <c r="AH271" s="799"/>
      <c r="AI271" s="799"/>
      <c r="AJ271" s="799"/>
      <c r="AK271" s="799"/>
      <c r="AL271" s="799"/>
      <c r="AM271" s="799"/>
      <c r="AN271" s="799"/>
      <c r="AO271" s="799"/>
      <c r="AP271" s="799"/>
      <c r="AQ271" s="799"/>
      <c r="AR271" s="799"/>
      <c r="AS271" s="799"/>
      <c r="AT271" s="799"/>
      <c r="AU271" s="799"/>
      <c r="AV271" s="799"/>
      <c r="AW271" s="799"/>
      <c r="AX271" s="799"/>
      <c r="AY271" s="799"/>
      <c r="AZ271" s="799"/>
      <c r="BA271" s="799"/>
      <c r="BB271" s="799"/>
      <c r="BC271" s="799"/>
      <c r="BD271" s="799"/>
      <c r="BE271" s="799"/>
      <c r="BF271" s="799"/>
      <c r="BG271" s="799"/>
    </row>
    <row r="272">
      <c r="H272" s="799"/>
      <c r="I272" s="799"/>
      <c r="J272" s="799"/>
      <c r="K272" s="799"/>
      <c r="L272" s="799"/>
      <c r="M272" s="799"/>
      <c r="N272" s="799"/>
      <c r="O272" s="799"/>
      <c r="P272" s="799"/>
      <c r="Q272" s="799"/>
      <c r="R272" s="799"/>
      <c r="S272" s="799"/>
      <c r="T272" s="799"/>
      <c r="U272" s="799"/>
      <c r="V272" s="799"/>
      <c r="W272" s="799"/>
      <c r="X272" s="799"/>
      <c r="Y272" s="799"/>
      <c r="Z272" s="799"/>
      <c r="AA272" s="799"/>
      <c r="AB272" s="799"/>
      <c r="AC272" s="799"/>
      <c r="AD272" s="799"/>
      <c r="AE272" s="799"/>
      <c r="AF272" s="799"/>
      <c r="AG272" s="799"/>
      <c r="AH272" s="799"/>
      <c r="AI272" s="799"/>
      <c r="AJ272" s="799"/>
      <c r="AK272" s="799"/>
      <c r="AL272" s="799"/>
      <c r="AM272" s="799"/>
      <c r="AN272" s="799"/>
      <c r="AO272" s="799"/>
      <c r="AP272" s="799"/>
      <c r="AQ272" s="799"/>
      <c r="AR272" s="799"/>
      <c r="AS272" s="799"/>
      <c r="AT272" s="799"/>
      <c r="AU272" s="799"/>
      <c r="AV272" s="799"/>
      <c r="AW272" s="799"/>
      <c r="AX272" s="799"/>
      <c r="AY272" s="799"/>
      <c r="AZ272" s="799"/>
      <c r="BA272" s="799"/>
      <c r="BB272" s="799"/>
      <c r="BC272" s="799"/>
      <c r="BD272" s="799"/>
      <c r="BE272" s="799"/>
      <c r="BF272" s="799"/>
      <c r="BG272" s="799"/>
    </row>
    <row r="273">
      <c r="H273" s="799"/>
      <c r="I273" s="799"/>
      <c r="J273" s="799"/>
      <c r="K273" s="799"/>
      <c r="L273" s="799"/>
      <c r="M273" s="799"/>
      <c r="N273" s="799"/>
      <c r="O273" s="799"/>
      <c r="P273" s="799"/>
      <c r="Q273" s="799"/>
      <c r="R273" s="799"/>
      <c r="S273" s="799"/>
      <c r="T273" s="799"/>
      <c r="U273" s="799"/>
      <c r="V273" s="799"/>
      <c r="W273" s="799"/>
      <c r="X273" s="799"/>
      <c r="Y273" s="799"/>
      <c r="Z273" s="799"/>
      <c r="AA273" s="799"/>
      <c r="AB273" s="799"/>
      <c r="AC273" s="799"/>
      <c r="AD273" s="799"/>
      <c r="AE273" s="799"/>
      <c r="AF273" s="799"/>
      <c r="AG273" s="799"/>
      <c r="AH273" s="799"/>
      <c r="AI273" s="799"/>
      <c r="AJ273" s="799"/>
      <c r="AK273" s="799"/>
      <c r="AL273" s="799"/>
      <c r="AM273" s="799"/>
      <c r="AN273" s="799"/>
      <c r="AO273" s="799"/>
      <c r="AP273" s="799"/>
      <c r="AQ273" s="799"/>
      <c r="AR273" s="799"/>
      <c r="AS273" s="799"/>
      <c r="AT273" s="799"/>
      <c r="AU273" s="799"/>
      <c r="AV273" s="799"/>
      <c r="AW273" s="799"/>
      <c r="AX273" s="799"/>
      <c r="AY273" s="799"/>
      <c r="AZ273" s="799"/>
      <c r="BA273" s="799"/>
      <c r="BB273" s="799"/>
      <c r="BC273" s="799"/>
      <c r="BD273" s="799"/>
      <c r="BE273" s="799"/>
      <c r="BF273" s="799"/>
      <c r="BG273" s="799"/>
    </row>
    <row r="274">
      <c r="H274" s="799"/>
      <c r="I274" s="799"/>
      <c r="J274" s="799"/>
      <c r="K274" s="799"/>
      <c r="L274" s="799"/>
      <c r="M274" s="799"/>
      <c r="N274" s="799"/>
      <c r="O274" s="799"/>
      <c r="P274" s="799"/>
      <c r="Q274" s="799"/>
      <c r="R274" s="799"/>
      <c r="S274" s="799"/>
      <c r="T274" s="799"/>
      <c r="U274" s="799"/>
      <c r="V274" s="799"/>
      <c r="W274" s="799"/>
      <c r="X274" s="799"/>
      <c r="Y274" s="799"/>
      <c r="Z274" s="799"/>
      <c r="AA274" s="799"/>
      <c r="AB274" s="799"/>
      <c r="AC274" s="799"/>
      <c r="AD274" s="799"/>
      <c r="AE274" s="799"/>
      <c r="AF274" s="799"/>
      <c r="AG274" s="799"/>
      <c r="AH274" s="799"/>
      <c r="AI274" s="799"/>
      <c r="AJ274" s="799"/>
      <c r="AK274" s="799"/>
      <c r="AL274" s="799"/>
      <c r="AM274" s="799"/>
      <c r="AN274" s="799"/>
      <c r="AO274" s="799"/>
      <c r="AP274" s="799"/>
      <c r="AQ274" s="799"/>
      <c r="AR274" s="799"/>
      <c r="AS274" s="799"/>
      <c r="AT274" s="799"/>
      <c r="AU274" s="799"/>
      <c r="AV274" s="799"/>
      <c r="AW274" s="799"/>
      <c r="AX274" s="799"/>
      <c r="AY274" s="799"/>
      <c r="AZ274" s="799"/>
      <c r="BA274" s="799"/>
      <c r="BB274" s="799"/>
      <c r="BC274" s="799"/>
      <c r="BD274" s="799"/>
      <c r="BE274" s="799"/>
      <c r="BF274" s="799"/>
      <c r="BG274" s="799"/>
    </row>
    <row r="275">
      <c r="H275" s="799"/>
      <c r="I275" s="799"/>
      <c r="J275" s="799"/>
      <c r="K275" s="799"/>
      <c r="L275" s="799"/>
      <c r="M275" s="799"/>
      <c r="N275" s="799"/>
      <c r="O275" s="799"/>
      <c r="P275" s="799"/>
      <c r="Q275" s="799"/>
      <c r="R275" s="799"/>
      <c r="S275" s="799"/>
      <c r="T275" s="799"/>
      <c r="U275" s="799"/>
      <c r="V275" s="799"/>
      <c r="W275" s="799"/>
      <c r="X275" s="799"/>
      <c r="Y275" s="799"/>
      <c r="Z275" s="799"/>
      <c r="AA275" s="799"/>
      <c r="AB275" s="799"/>
      <c r="AC275" s="799"/>
      <c r="AD275" s="799"/>
      <c r="AE275" s="799"/>
      <c r="AF275" s="799"/>
      <c r="AG275" s="799"/>
      <c r="AH275" s="799"/>
      <c r="AI275" s="799"/>
      <c r="AJ275" s="799"/>
      <c r="AK275" s="799"/>
      <c r="AL275" s="799"/>
      <c r="AM275" s="799"/>
      <c r="AN275" s="799"/>
      <c r="AO275" s="799"/>
      <c r="AP275" s="799"/>
      <c r="AQ275" s="799"/>
      <c r="AR275" s="799"/>
      <c r="AS275" s="799"/>
      <c r="AT275" s="799"/>
      <c r="AU275" s="799"/>
      <c r="AV275" s="799"/>
      <c r="AW275" s="799"/>
      <c r="AX275" s="799"/>
      <c r="AY275" s="799"/>
      <c r="AZ275" s="799"/>
      <c r="BA275" s="799"/>
      <c r="BB275" s="799"/>
      <c r="BC275" s="799"/>
      <c r="BD275" s="799"/>
      <c r="BE275" s="799"/>
      <c r="BF275" s="799"/>
      <c r="BG275" s="799"/>
    </row>
    <row r="276">
      <c r="H276" s="799"/>
      <c r="I276" s="799"/>
      <c r="J276" s="799"/>
      <c r="K276" s="799"/>
      <c r="L276" s="799"/>
      <c r="M276" s="799"/>
      <c r="N276" s="799"/>
      <c r="O276" s="799"/>
      <c r="P276" s="799"/>
      <c r="Q276" s="799"/>
      <c r="R276" s="799"/>
      <c r="S276" s="799"/>
      <c r="T276" s="799"/>
      <c r="U276" s="799"/>
      <c r="V276" s="799"/>
      <c r="W276" s="799"/>
      <c r="X276" s="799"/>
      <c r="Y276" s="799"/>
      <c r="Z276" s="799"/>
      <c r="AA276" s="799"/>
      <c r="AB276" s="799"/>
      <c r="AC276" s="799"/>
      <c r="AD276" s="799"/>
      <c r="AE276" s="799"/>
      <c r="AF276" s="799"/>
      <c r="AG276" s="799"/>
      <c r="AH276" s="799"/>
      <c r="AI276" s="799"/>
      <c r="AJ276" s="799"/>
      <c r="AK276" s="799"/>
      <c r="AL276" s="799"/>
      <c r="AM276" s="799"/>
      <c r="AN276" s="799"/>
      <c r="AO276" s="799"/>
      <c r="AP276" s="799"/>
      <c r="AQ276" s="799"/>
      <c r="AR276" s="799"/>
      <c r="AS276" s="799"/>
      <c r="AT276" s="799"/>
      <c r="AU276" s="799"/>
      <c r="AV276" s="799"/>
      <c r="AW276" s="799"/>
      <c r="AX276" s="799"/>
      <c r="AY276" s="799"/>
      <c r="AZ276" s="799"/>
      <c r="BA276" s="799"/>
      <c r="BB276" s="799"/>
      <c r="BC276" s="799"/>
      <c r="BD276" s="799"/>
      <c r="BE276" s="799"/>
      <c r="BF276" s="799"/>
      <c r="BG276" s="799"/>
    </row>
    <row r="277">
      <c r="H277" s="799"/>
      <c r="I277" s="799"/>
      <c r="J277" s="799"/>
      <c r="K277" s="799"/>
      <c r="L277" s="799"/>
      <c r="M277" s="799"/>
      <c r="N277" s="799"/>
      <c r="O277" s="799"/>
      <c r="P277" s="799"/>
      <c r="Q277" s="799"/>
      <c r="R277" s="799"/>
      <c r="S277" s="799"/>
      <c r="T277" s="799"/>
      <c r="U277" s="799"/>
      <c r="V277" s="799"/>
      <c r="W277" s="799"/>
      <c r="X277" s="799"/>
      <c r="Y277" s="799"/>
      <c r="Z277" s="799"/>
      <c r="AA277" s="799"/>
      <c r="AB277" s="799"/>
      <c r="AC277" s="799"/>
      <c r="AD277" s="799"/>
      <c r="AE277" s="799"/>
      <c r="AF277" s="799"/>
      <c r="AG277" s="799"/>
      <c r="AH277" s="799"/>
      <c r="AI277" s="799"/>
      <c r="AJ277" s="799"/>
      <c r="AK277" s="799"/>
      <c r="AL277" s="799"/>
      <c r="AM277" s="799"/>
      <c r="AN277" s="799"/>
      <c r="AO277" s="799"/>
      <c r="AP277" s="799"/>
      <c r="AQ277" s="799"/>
      <c r="AR277" s="799"/>
      <c r="AS277" s="799"/>
      <c r="AT277" s="799"/>
      <c r="AU277" s="799"/>
      <c r="AV277" s="799"/>
      <c r="AW277" s="799"/>
      <c r="AX277" s="799"/>
      <c r="AY277" s="799"/>
      <c r="AZ277" s="799"/>
      <c r="BA277" s="799"/>
      <c r="BB277" s="799"/>
      <c r="BC277" s="799"/>
      <c r="BD277" s="799"/>
      <c r="BE277" s="799"/>
      <c r="BF277" s="799"/>
      <c r="BG277" s="799"/>
    </row>
    <row r="278">
      <c r="H278" s="799"/>
      <c r="I278" s="799"/>
      <c r="J278" s="799"/>
      <c r="K278" s="799"/>
      <c r="L278" s="799"/>
      <c r="M278" s="799"/>
      <c r="N278" s="799"/>
      <c r="O278" s="799"/>
      <c r="P278" s="799"/>
      <c r="Q278" s="799"/>
      <c r="R278" s="799"/>
      <c r="S278" s="799"/>
      <c r="T278" s="799"/>
      <c r="U278" s="799"/>
      <c r="V278" s="799"/>
      <c r="W278" s="799"/>
      <c r="X278" s="799"/>
      <c r="Y278" s="799"/>
      <c r="Z278" s="799"/>
      <c r="AA278" s="799"/>
      <c r="AB278" s="799"/>
      <c r="AC278" s="799"/>
      <c r="AD278" s="799"/>
      <c r="AE278" s="799"/>
      <c r="AF278" s="799"/>
      <c r="AG278" s="799"/>
      <c r="AH278" s="799"/>
      <c r="AI278" s="799"/>
      <c r="AJ278" s="799"/>
      <c r="AK278" s="799"/>
      <c r="AL278" s="799"/>
      <c r="AM278" s="799"/>
      <c r="AN278" s="799"/>
      <c r="AO278" s="799"/>
      <c r="AP278" s="799"/>
      <c r="AQ278" s="799"/>
      <c r="AR278" s="799"/>
      <c r="AS278" s="799"/>
      <c r="AT278" s="799"/>
      <c r="AU278" s="799"/>
      <c r="AV278" s="799"/>
      <c r="AW278" s="799"/>
      <c r="AX278" s="799"/>
      <c r="AY278" s="799"/>
      <c r="AZ278" s="799"/>
      <c r="BA278" s="799"/>
      <c r="BB278" s="799"/>
      <c r="BC278" s="799"/>
      <c r="BD278" s="799"/>
      <c r="BE278" s="799"/>
      <c r="BF278" s="799"/>
      <c r="BG278" s="799"/>
    </row>
    <row r="279">
      <c r="H279" s="799"/>
      <c r="I279" s="799"/>
      <c r="J279" s="799"/>
      <c r="K279" s="799"/>
      <c r="L279" s="799"/>
      <c r="M279" s="799"/>
      <c r="N279" s="799"/>
      <c r="O279" s="799"/>
      <c r="P279" s="799"/>
      <c r="Q279" s="799"/>
      <c r="R279" s="799"/>
      <c r="S279" s="799"/>
      <c r="T279" s="799"/>
      <c r="U279" s="799"/>
      <c r="V279" s="799"/>
      <c r="W279" s="799"/>
      <c r="X279" s="799"/>
      <c r="Y279" s="799"/>
      <c r="Z279" s="799"/>
      <c r="AA279" s="799"/>
      <c r="AB279" s="799"/>
      <c r="AC279" s="799"/>
      <c r="AD279" s="799"/>
      <c r="AE279" s="799"/>
      <c r="AF279" s="799"/>
      <c r="AG279" s="799"/>
      <c r="AH279" s="799"/>
      <c r="AI279" s="799"/>
      <c r="AJ279" s="799"/>
      <c r="AK279" s="799"/>
      <c r="AL279" s="799"/>
      <c r="AM279" s="799"/>
      <c r="AN279" s="799"/>
      <c r="AO279" s="799"/>
      <c r="AP279" s="799"/>
      <c r="AQ279" s="799"/>
      <c r="AR279" s="799"/>
      <c r="AS279" s="799"/>
      <c r="AT279" s="799"/>
      <c r="AU279" s="799"/>
      <c r="AV279" s="799"/>
      <c r="AW279" s="799"/>
      <c r="AX279" s="799"/>
      <c r="AY279" s="799"/>
      <c r="AZ279" s="799"/>
      <c r="BA279" s="799"/>
      <c r="BB279" s="799"/>
      <c r="BC279" s="799"/>
      <c r="BD279" s="799"/>
      <c r="BE279" s="799"/>
      <c r="BF279" s="799"/>
      <c r="BG279" s="799"/>
    </row>
    <row r="280">
      <c r="H280" s="799"/>
      <c r="I280" s="799"/>
      <c r="J280" s="799"/>
      <c r="K280" s="799"/>
      <c r="L280" s="799"/>
      <c r="M280" s="799"/>
      <c r="N280" s="799"/>
      <c r="O280" s="799"/>
      <c r="P280" s="799"/>
      <c r="Q280" s="799"/>
      <c r="R280" s="799"/>
      <c r="S280" s="799"/>
      <c r="T280" s="799"/>
      <c r="U280" s="799"/>
      <c r="V280" s="799"/>
      <c r="W280" s="799"/>
      <c r="X280" s="799"/>
      <c r="Y280" s="799"/>
      <c r="Z280" s="799"/>
      <c r="AA280" s="799"/>
      <c r="AB280" s="799"/>
      <c r="AC280" s="799"/>
      <c r="AD280" s="799"/>
      <c r="AE280" s="799"/>
      <c r="AF280" s="799"/>
      <c r="AG280" s="799"/>
      <c r="AH280" s="799"/>
      <c r="AI280" s="799"/>
      <c r="AJ280" s="799"/>
      <c r="AK280" s="799"/>
      <c r="AL280" s="799"/>
      <c r="AM280" s="799"/>
      <c r="AN280" s="799"/>
      <c r="AO280" s="799"/>
      <c r="AP280" s="799"/>
      <c r="AQ280" s="799"/>
      <c r="AR280" s="799"/>
      <c r="AS280" s="799"/>
      <c r="AT280" s="799"/>
      <c r="AU280" s="799"/>
      <c r="AV280" s="799"/>
      <c r="AW280" s="799"/>
      <c r="AX280" s="799"/>
      <c r="AY280" s="799"/>
      <c r="AZ280" s="799"/>
      <c r="BA280" s="799"/>
      <c r="BB280" s="799"/>
      <c r="BC280" s="799"/>
      <c r="BD280" s="799"/>
      <c r="BE280" s="799"/>
      <c r="BF280" s="799"/>
      <c r="BG280" s="799"/>
    </row>
    <row r="281">
      <c r="H281" s="799"/>
      <c r="I281" s="799"/>
      <c r="J281" s="799"/>
      <c r="K281" s="799"/>
      <c r="L281" s="799"/>
      <c r="M281" s="799"/>
      <c r="N281" s="799"/>
      <c r="O281" s="799"/>
      <c r="P281" s="799"/>
      <c r="Q281" s="799"/>
      <c r="R281" s="799"/>
      <c r="S281" s="799"/>
      <c r="T281" s="799"/>
      <c r="U281" s="799"/>
      <c r="V281" s="799"/>
      <c r="W281" s="799"/>
      <c r="X281" s="799"/>
      <c r="Y281" s="799"/>
      <c r="Z281" s="799"/>
      <c r="AA281" s="799"/>
      <c r="AB281" s="799"/>
      <c r="AC281" s="799"/>
      <c r="AD281" s="799"/>
      <c r="AE281" s="799"/>
      <c r="AF281" s="799"/>
      <c r="AG281" s="799"/>
      <c r="AH281" s="799"/>
      <c r="AI281" s="799"/>
      <c r="AJ281" s="799"/>
      <c r="AK281" s="799"/>
      <c r="AL281" s="799"/>
      <c r="AM281" s="799"/>
      <c r="AN281" s="799"/>
      <c r="AO281" s="799"/>
      <c r="AP281" s="799"/>
      <c r="AQ281" s="799"/>
      <c r="AR281" s="799"/>
      <c r="AS281" s="799"/>
      <c r="AT281" s="799"/>
      <c r="AU281" s="799"/>
      <c r="AV281" s="799"/>
      <c r="AW281" s="799"/>
      <c r="AX281" s="799"/>
      <c r="AY281" s="799"/>
      <c r="AZ281" s="799"/>
      <c r="BA281" s="799"/>
      <c r="BB281" s="799"/>
      <c r="BC281" s="799"/>
      <c r="BD281" s="799"/>
      <c r="BE281" s="799"/>
      <c r="BF281" s="799"/>
      <c r="BG281" s="799"/>
    </row>
    <row r="282">
      <c r="H282" s="799"/>
      <c r="I282" s="799"/>
      <c r="J282" s="799"/>
      <c r="K282" s="799"/>
      <c r="L282" s="799"/>
      <c r="M282" s="799"/>
      <c r="N282" s="799"/>
      <c r="O282" s="799"/>
      <c r="P282" s="799"/>
      <c r="Q282" s="799"/>
      <c r="R282" s="799"/>
      <c r="S282" s="799"/>
      <c r="T282" s="799"/>
      <c r="U282" s="799"/>
      <c r="V282" s="799"/>
      <c r="W282" s="799"/>
      <c r="X282" s="799"/>
      <c r="Y282" s="799"/>
      <c r="Z282" s="799"/>
      <c r="AA282" s="799"/>
      <c r="AB282" s="799"/>
      <c r="AC282" s="799"/>
      <c r="AD282" s="799"/>
      <c r="AE282" s="799"/>
      <c r="AF282" s="799"/>
      <c r="AG282" s="799"/>
      <c r="AH282" s="799"/>
      <c r="AI282" s="799"/>
      <c r="AJ282" s="799"/>
      <c r="AK282" s="799"/>
      <c r="AL282" s="799"/>
      <c r="AM282" s="799"/>
      <c r="AN282" s="799"/>
      <c r="AO282" s="799"/>
      <c r="AP282" s="799"/>
      <c r="AQ282" s="799"/>
      <c r="AR282" s="799"/>
      <c r="AS282" s="799"/>
      <c r="AT282" s="799"/>
      <c r="AU282" s="799"/>
      <c r="AV282" s="799"/>
      <c r="AW282" s="799"/>
      <c r="AX282" s="799"/>
      <c r="AY282" s="799"/>
      <c r="AZ282" s="799"/>
      <c r="BA282" s="799"/>
      <c r="BB282" s="799"/>
      <c r="BC282" s="799"/>
      <c r="BD282" s="799"/>
      <c r="BE282" s="799"/>
      <c r="BF282" s="799"/>
      <c r="BG282" s="799"/>
    </row>
    <row r="283">
      <c r="H283" s="799"/>
      <c r="I283" s="799"/>
      <c r="J283" s="799"/>
      <c r="K283" s="799"/>
      <c r="L283" s="799"/>
      <c r="M283" s="799"/>
      <c r="N283" s="799"/>
      <c r="O283" s="799"/>
      <c r="P283" s="799"/>
      <c r="Q283" s="799"/>
      <c r="R283" s="799"/>
      <c r="S283" s="799"/>
      <c r="T283" s="799"/>
      <c r="U283" s="799"/>
      <c r="V283" s="799"/>
      <c r="W283" s="799"/>
      <c r="X283" s="799"/>
      <c r="Y283" s="799"/>
      <c r="Z283" s="799"/>
      <c r="AA283" s="799"/>
      <c r="AB283" s="799"/>
      <c r="AC283" s="799"/>
      <c r="AD283" s="799"/>
      <c r="AE283" s="799"/>
      <c r="AF283" s="799"/>
      <c r="AG283" s="799"/>
      <c r="AH283" s="799"/>
      <c r="AI283" s="799"/>
      <c r="AJ283" s="799"/>
      <c r="AK283" s="799"/>
      <c r="AL283" s="799"/>
      <c r="AM283" s="799"/>
      <c r="AN283" s="799"/>
      <c r="AO283" s="799"/>
      <c r="AP283" s="799"/>
      <c r="AQ283" s="799"/>
      <c r="AR283" s="799"/>
      <c r="AS283" s="799"/>
      <c r="AT283" s="799"/>
      <c r="AU283" s="799"/>
      <c r="AV283" s="799"/>
      <c r="AW283" s="799"/>
      <c r="AX283" s="799"/>
      <c r="AY283" s="799"/>
      <c r="AZ283" s="799"/>
      <c r="BA283" s="799"/>
      <c r="BB283" s="799"/>
      <c r="BC283" s="799"/>
      <c r="BD283" s="799"/>
      <c r="BE283" s="799"/>
      <c r="BF283" s="799"/>
      <c r="BG283" s="799"/>
    </row>
    <row r="284">
      <c r="H284" s="799"/>
      <c r="I284" s="799"/>
      <c r="J284" s="799"/>
      <c r="K284" s="799"/>
      <c r="L284" s="799"/>
      <c r="M284" s="799"/>
      <c r="N284" s="799"/>
      <c r="O284" s="799"/>
      <c r="P284" s="799"/>
      <c r="Q284" s="799"/>
      <c r="R284" s="799"/>
      <c r="S284" s="799"/>
      <c r="T284" s="799"/>
      <c r="U284" s="799"/>
      <c r="V284" s="799"/>
      <c r="W284" s="799"/>
      <c r="X284" s="799"/>
      <c r="Y284" s="799"/>
      <c r="Z284" s="799"/>
      <c r="AA284" s="799"/>
      <c r="AB284" s="799"/>
      <c r="AC284" s="799"/>
      <c r="AD284" s="799"/>
      <c r="AE284" s="799"/>
      <c r="AF284" s="799"/>
      <c r="AG284" s="799"/>
      <c r="AH284" s="799"/>
      <c r="AI284" s="799"/>
      <c r="AJ284" s="799"/>
      <c r="AK284" s="799"/>
      <c r="AL284" s="799"/>
      <c r="AM284" s="799"/>
      <c r="AN284" s="799"/>
      <c r="AO284" s="799"/>
      <c r="AP284" s="799"/>
      <c r="AQ284" s="799"/>
      <c r="AR284" s="799"/>
      <c r="AS284" s="799"/>
      <c r="AT284" s="799"/>
      <c r="AU284" s="799"/>
      <c r="AV284" s="799"/>
      <c r="AW284" s="799"/>
      <c r="AX284" s="799"/>
      <c r="AY284" s="799"/>
      <c r="AZ284" s="799"/>
      <c r="BA284" s="799"/>
      <c r="BB284" s="799"/>
      <c r="BC284" s="799"/>
      <c r="BD284" s="799"/>
      <c r="BE284" s="799"/>
      <c r="BF284" s="799"/>
      <c r="BG284" s="799"/>
    </row>
    <row r="285">
      <c r="H285" s="799"/>
      <c r="I285" s="799"/>
      <c r="J285" s="799"/>
      <c r="K285" s="799"/>
      <c r="L285" s="799"/>
      <c r="M285" s="799"/>
      <c r="N285" s="799"/>
      <c r="O285" s="799"/>
      <c r="P285" s="799"/>
      <c r="Q285" s="799"/>
      <c r="R285" s="799"/>
      <c r="S285" s="799"/>
      <c r="T285" s="799"/>
      <c r="U285" s="799"/>
      <c r="V285" s="799"/>
      <c r="W285" s="799"/>
      <c r="X285" s="799"/>
      <c r="Y285" s="799"/>
      <c r="Z285" s="799"/>
      <c r="AA285" s="799"/>
      <c r="AB285" s="799"/>
      <c r="AC285" s="799"/>
      <c r="AD285" s="799"/>
      <c r="AE285" s="799"/>
      <c r="AF285" s="799"/>
      <c r="AG285" s="799"/>
      <c r="AH285" s="799"/>
      <c r="AI285" s="799"/>
      <c r="AJ285" s="799"/>
      <c r="AK285" s="799"/>
      <c r="AL285" s="799"/>
      <c r="AM285" s="799"/>
      <c r="AN285" s="799"/>
      <c r="AO285" s="799"/>
      <c r="AP285" s="799"/>
      <c r="AQ285" s="799"/>
      <c r="AR285" s="799"/>
      <c r="AS285" s="799"/>
      <c r="AT285" s="799"/>
      <c r="AU285" s="799"/>
      <c r="AV285" s="799"/>
      <c r="AW285" s="799"/>
      <c r="AX285" s="799"/>
      <c r="AY285" s="799"/>
      <c r="AZ285" s="799"/>
      <c r="BA285" s="799"/>
      <c r="BB285" s="799"/>
      <c r="BC285" s="799"/>
      <c r="BD285" s="799"/>
      <c r="BE285" s="799"/>
      <c r="BF285" s="799"/>
      <c r="BG285" s="799"/>
    </row>
    <row r="286">
      <c r="H286" s="799"/>
      <c r="I286" s="799"/>
      <c r="J286" s="799"/>
      <c r="K286" s="799"/>
      <c r="L286" s="799"/>
      <c r="M286" s="799"/>
      <c r="N286" s="799"/>
      <c r="O286" s="799"/>
      <c r="P286" s="799"/>
      <c r="Q286" s="799"/>
      <c r="R286" s="799"/>
      <c r="S286" s="799"/>
      <c r="T286" s="799"/>
      <c r="U286" s="799"/>
      <c r="V286" s="799"/>
      <c r="W286" s="799"/>
      <c r="X286" s="799"/>
      <c r="Y286" s="799"/>
      <c r="Z286" s="799"/>
      <c r="AA286" s="799"/>
      <c r="AB286" s="799"/>
      <c r="AC286" s="799"/>
      <c r="AD286" s="799"/>
      <c r="AE286" s="799"/>
      <c r="AF286" s="799"/>
      <c r="AG286" s="799"/>
      <c r="AH286" s="799"/>
      <c r="AI286" s="799"/>
      <c r="AJ286" s="799"/>
      <c r="AK286" s="799"/>
      <c r="AL286" s="799"/>
      <c r="AM286" s="799"/>
      <c r="AN286" s="799"/>
      <c r="AO286" s="799"/>
      <c r="AP286" s="799"/>
      <c r="AQ286" s="799"/>
      <c r="AR286" s="799"/>
      <c r="AS286" s="799"/>
      <c r="AT286" s="799"/>
      <c r="AU286" s="799"/>
      <c r="AV286" s="799"/>
      <c r="AW286" s="799"/>
      <c r="AX286" s="799"/>
      <c r="AY286" s="799"/>
      <c r="AZ286" s="799"/>
      <c r="BA286" s="799"/>
      <c r="BB286" s="799"/>
      <c r="BC286" s="799"/>
      <c r="BD286" s="799"/>
      <c r="BE286" s="799"/>
      <c r="BF286" s="799"/>
      <c r="BG286" s="799"/>
    </row>
    <row r="287">
      <c r="H287" s="799"/>
      <c r="I287" s="799"/>
      <c r="J287" s="799"/>
      <c r="K287" s="799"/>
      <c r="L287" s="799"/>
      <c r="M287" s="799"/>
      <c r="N287" s="799"/>
      <c r="O287" s="799"/>
      <c r="P287" s="799"/>
      <c r="Q287" s="799"/>
      <c r="R287" s="799"/>
      <c r="S287" s="799"/>
      <c r="T287" s="799"/>
      <c r="U287" s="799"/>
      <c r="V287" s="799"/>
      <c r="W287" s="799"/>
      <c r="X287" s="799"/>
      <c r="Y287" s="799"/>
      <c r="Z287" s="799"/>
      <c r="AA287" s="799"/>
      <c r="AB287" s="799"/>
      <c r="AC287" s="799"/>
      <c r="AD287" s="799"/>
      <c r="AE287" s="799"/>
      <c r="AF287" s="799"/>
      <c r="AG287" s="799"/>
      <c r="AH287" s="799"/>
      <c r="AI287" s="799"/>
      <c r="AJ287" s="799"/>
      <c r="AK287" s="799"/>
      <c r="AL287" s="799"/>
      <c r="AM287" s="799"/>
      <c r="AN287" s="799"/>
      <c r="AO287" s="799"/>
      <c r="AP287" s="799"/>
      <c r="AQ287" s="799"/>
      <c r="AR287" s="799"/>
      <c r="AS287" s="799"/>
      <c r="AT287" s="799"/>
      <c r="AU287" s="799"/>
      <c r="AV287" s="799"/>
      <c r="AW287" s="799"/>
      <c r="AX287" s="799"/>
      <c r="AY287" s="799"/>
      <c r="AZ287" s="799"/>
      <c r="BA287" s="799"/>
      <c r="BB287" s="799"/>
      <c r="BC287" s="799"/>
      <c r="BD287" s="799"/>
      <c r="BE287" s="799"/>
      <c r="BF287" s="799"/>
      <c r="BG287" s="799"/>
    </row>
    <row r="288">
      <c r="H288" s="799"/>
      <c r="I288" s="799"/>
      <c r="J288" s="799"/>
      <c r="K288" s="799"/>
      <c r="L288" s="799"/>
      <c r="M288" s="799"/>
      <c r="N288" s="799"/>
      <c r="O288" s="799"/>
      <c r="P288" s="799"/>
      <c r="Q288" s="799"/>
      <c r="R288" s="799"/>
      <c r="S288" s="799"/>
      <c r="T288" s="799"/>
      <c r="U288" s="799"/>
      <c r="V288" s="799"/>
      <c r="W288" s="799"/>
      <c r="X288" s="799"/>
      <c r="Y288" s="799"/>
      <c r="Z288" s="799"/>
      <c r="AA288" s="799"/>
      <c r="AB288" s="799"/>
      <c r="AC288" s="799"/>
      <c r="AD288" s="799"/>
      <c r="AE288" s="799"/>
      <c r="AF288" s="799"/>
      <c r="AG288" s="799"/>
      <c r="AH288" s="799"/>
      <c r="AI288" s="799"/>
      <c r="AJ288" s="799"/>
      <c r="AK288" s="799"/>
      <c r="AL288" s="799"/>
      <c r="AM288" s="799"/>
      <c r="AN288" s="799"/>
      <c r="AO288" s="799"/>
      <c r="AP288" s="799"/>
      <c r="AQ288" s="799"/>
      <c r="AR288" s="799"/>
      <c r="AS288" s="799"/>
      <c r="AT288" s="799"/>
      <c r="AU288" s="799"/>
      <c r="AV288" s="799"/>
      <c r="AW288" s="799"/>
      <c r="AX288" s="799"/>
      <c r="AY288" s="799"/>
      <c r="AZ288" s="799"/>
      <c r="BA288" s="799"/>
      <c r="BB288" s="799"/>
      <c r="BC288" s="799"/>
      <c r="BD288" s="799"/>
      <c r="BE288" s="799"/>
      <c r="BF288" s="799"/>
      <c r="BG288" s="799"/>
    </row>
    <row r="289">
      <c r="H289" s="799"/>
      <c r="I289" s="799"/>
      <c r="J289" s="799"/>
      <c r="K289" s="799"/>
      <c r="L289" s="799"/>
      <c r="M289" s="799"/>
      <c r="N289" s="799"/>
      <c r="O289" s="799"/>
      <c r="P289" s="799"/>
      <c r="Q289" s="799"/>
      <c r="R289" s="799"/>
      <c r="S289" s="799"/>
      <c r="T289" s="799"/>
      <c r="U289" s="799"/>
      <c r="V289" s="799"/>
      <c r="W289" s="799"/>
      <c r="X289" s="799"/>
      <c r="Y289" s="799"/>
      <c r="Z289" s="799"/>
      <c r="AA289" s="799"/>
      <c r="AB289" s="799"/>
      <c r="AC289" s="799"/>
      <c r="AD289" s="799"/>
      <c r="AE289" s="799"/>
      <c r="AF289" s="799"/>
      <c r="AG289" s="799"/>
      <c r="AH289" s="799"/>
      <c r="AI289" s="799"/>
      <c r="AJ289" s="799"/>
      <c r="AK289" s="799"/>
      <c r="AL289" s="799"/>
      <c r="AM289" s="799"/>
      <c r="AN289" s="799"/>
      <c r="AO289" s="799"/>
      <c r="AP289" s="799"/>
      <c r="AQ289" s="799"/>
      <c r="AR289" s="799"/>
      <c r="AS289" s="799"/>
      <c r="AT289" s="799"/>
      <c r="AU289" s="799"/>
      <c r="AV289" s="799"/>
      <c r="AW289" s="799"/>
      <c r="AX289" s="799"/>
      <c r="AY289" s="799"/>
      <c r="AZ289" s="799"/>
      <c r="BA289" s="799"/>
      <c r="BB289" s="799"/>
      <c r="BC289" s="799"/>
      <c r="BD289" s="799"/>
      <c r="BE289" s="799"/>
      <c r="BF289" s="799"/>
      <c r="BG289" s="799"/>
    </row>
    <row r="290">
      <c r="H290" s="799"/>
      <c r="I290" s="799"/>
      <c r="J290" s="799"/>
      <c r="K290" s="799"/>
      <c r="L290" s="799"/>
      <c r="M290" s="799"/>
      <c r="N290" s="799"/>
      <c r="O290" s="799"/>
      <c r="P290" s="799"/>
      <c r="Q290" s="799"/>
      <c r="R290" s="799"/>
      <c r="S290" s="799"/>
      <c r="T290" s="799"/>
      <c r="U290" s="799"/>
      <c r="V290" s="799"/>
      <c r="W290" s="799"/>
      <c r="X290" s="799"/>
      <c r="Y290" s="799"/>
      <c r="Z290" s="799"/>
      <c r="AA290" s="799"/>
      <c r="AB290" s="799"/>
      <c r="AC290" s="799"/>
      <c r="AD290" s="799"/>
      <c r="AE290" s="799"/>
      <c r="AF290" s="799"/>
      <c r="AG290" s="799"/>
      <c r="AH290" s="799"/>
      <c r="AI290" s="799"/>
      <c r="AJ290" s="799"/>
      <c r="AK290" s="799"/>
      <c r="AL290" s="799"/>
      <c r="AM290" s="799"/>
      <c r="AN290" s="799"/>
      <c r="AO290" s="799"/>
      <c r="AP290" s="799"/>
      <c r="AQ290" s="799"/>
      <c r="AR290" s="799"/>
      <c r="AS290" s="799"/>
      <c r="AT290" s="799"/>
      <c r="AU290" s="799"/>
      <c r="AV290" s="799"/>
      <c r="AW290" s="799"/>
      <c r="AX290" s="799"/>
      <c r="AY290" s="799"/>
      <c r="AZ290" s="799"/>
      <c r="BA290" s="799"/>
      <c r="BB290" s="799"/>
      <c r="BC290" s="799"/>
      <c r="BD290" s="799"/>
      <c r="BE290" s="799"/>
      <c r="BF290" s="799"/>
      <c r="BG290" s="799"/>
    </row>
    <row r="291">
      <c r="H291" s="799"/>
      <c r="I291" s="799"/>
      <c r="J291" s="799"/>
      <c r="K291" s="799"/>
      <c r="L291" s="799"/>
      <c r="M291" s="799"/>
      <c r="N291" s="799"/>
      <c r="O291" s="799"/>
      <c r="P291" s="799"/>
      <c r="Q291" s="799"/>
      <c r="R291" s="799"/>
      <c r="S291" s="799"/>
      <c r="T291" s="799"/>
      <c r="U291" s="799"/>
      <c r="V291" s="799"/>
      <c r="W291" s="799"/>
      <c r="X291" s="799"/>
      <c r="Y291" s="799"/>
      <c r="Z291" s="799"/>
      <c r="AA291" s="799"/>
      <c r="AB291" s="799"/>
      <c r="AC291" s="799"/>
      <c r="AD291" s="799"/>
      <c r="AE291" s="799"/>
      <c r="AF291" s="799"/>
      <c r="AG291" s="799"/>
      <c r="AH291" s="799"/>
      <c r="AI291" s="799"/>
      <c r="AJ291" s="799"/>
      <c r="AK291" s="799"/>
      <c r="AL291" s="799"/>
      <c r="AM291" s="799"/>
      <c r="AN291" s="799"/>
      <c r="AO291" s="799"/>
      <c r="AP291" s="799"/>
      <c r="AQ291" s="799"/>
      <c r="AR291" s="799"/>
      <c r="AS291" s="799"/>
      <c r="AT291" s="799"/>
      <c r="AU291" s="799"/>
      <c r="AV291" s="799"/>
      <c r="AW291" s="799"/>
      <c r="AX291" s="799"/>
      <c r="AY291" s="799"/>
      <c r="AZ291" s="799"/>
      <c r="BA291" s="799"/>
      <c r="BB291" s="799"/>
      <c r="BC291" s="799"/>
      <c r="BD291" s="799"/>
      <c r="BE291" s="799"/>
      <c r="BF291" s="799"/>
      <c r="BG291" s="799"/>
    </row>
    <row r="292">
      <c r="H292" s="799"/>
      <c r="I292" s="799"/>
      <c r="J292" s="799"/>
      <c r="K292" s="799"/>
      <c r="L292" s="799"/>
      <c r="M292" s="799"/>
      <c r="N292" s="799"/>
      <c r="O292" s="799"/>
      <c r="P292" s="799"/>
      <c r="Q292" s="799"/>
      <c r="R292" s="799"/>
      <c r="S292" s="799"/>
      <c r="T292" s="799"/>
      <c r="U292" s="799"/>
      <c r="V292" s="799"/>
      <c r="W292" s="799"/>
      <c r="X292" s="799"/>
      <c r="Y292" s="799"/>
      <c r="Z292" s="799"/>
      <c r="AA292" s="799"/>
      <c r="AB292" s="799"/>
      <c r="AC292" s="799"/>
      <c r="AD292" s="799"/>
      <c r="AE292" s="799"/>
      <c r="AF292" s="799"/>
      <c r="AG292" s="799"/>
      <c r="AH292" s="799"/>
      <c r="AI292" s="799"/>
      <c r="AJ292" s="799"/>
      <c r="AK292" s="799"/>
      <c r="AL292" s="799"/>
      <c r="AM292" s="799"/>
      <c r="AN292" s="799"/>
      <c r="AO292" s="799"/>
      <c r="AP292" s="799"/>
      <c r="AQ292" s="799"/>
      <c r="AR292" s="799"/>
      <c r="AS292" s="799"/>
      <c r="AT292" s="799"/>
      <c r="AU292" s="799"/>
      <c r="AV292" s="799"/>
      <c r="AW292" s="799"/>
      <c r="AX292" s="799"/>
      <c r="AY292" s="799"/>
      <c r="AZ292" s="799"/>
      <c r="BA292" s="799"/>
      <c r="BB292" s="799"/>
      <c r="BC292" s="799"/>
      <c r="BD292" s="799"/>
      <c r="BE292" s="799"/>
      <c r="BF292" s="799"/>
      <c r="BG292" s="799"/>
    </row>
    <row r="293">
      <c r="H293" s="799"/>
      <c r="I293" s="799"/>
      <c r="J293" s="799"/>
      <c r="K293" s="799"/>
      <c r="L293" s="799"/>
      <c r="M293" s="799"/>
      <c r="N293" s="799"/>
      <c r="O293" s="799"/>
      <c r="P293" s="799"/>
      <c r="Q293" s="799"/>
      <c r="R293" s="799"/>
      <c r="S293" s="799"/>
      <c r="T293" s="799"/>
      <c r="U293" s="799"/>
      <c r="V293" s="799"/>
      <c r="W293" s="799"/>
      <c r="X293" s="799"/>
      <c r="Y293" s="799"/>
      <c r="Z293" s="799"/>
      <c r="AA293" s="799"/>
      <c r="AB293" s="799"/>
      <c r="AC293" s="799"/>
      <c r="AD293" s="799"/>
      <c r="AE293" s="799"/>
      <c r="AF293" s="799"/>
      <c r="AG293" s="799"/>
      <c r="AH293" s="799"/>
      <c r="AI293" s="799"/>
      <c r="AJ293" s="799"/>
      <c r="AK293" s="799"/>
      <c r="AL293" s="799"/>
      <c r="AM293" s="799"/>
      <c r="AN293" s="799"/>
      <c r="AO293" s="799"/>
      <c r="AP293" s="799"/>
      <c r="AQ293" s="799"/>
      <c r="AR293" s="799"/>
      <c r="AS293" s="799"/>
      <c r="AT293" s="799"/>
      <c r="AU293" s="799"/>
      <c r="AV293" s="799"/>
      <c r="AW293" s="799"/>
      <c r="AX293" s="799"/>
      <c r="AY293" s="799"/>
      <c r="AZ293" s="799"/>
      <c r="BA293" s="799"/>
      <c r="BB293" s="799"/>
      <c r="BC293" s="799"/>
      <c r="BD293" s="799"/>
      <c r="BE293" s="799"/>
      <c r="BF293" s="799"/>
      <c r="BG293" s="799"/>
    </row>
    <row r="294">
      <c r="H294" s="799"/>
      <c r="I294" s="799"/>
      <c r="J294" s="799"/>
      <c r="K294" s="799"/>
      <c r="L294" s="799"/>
      <c r="M294" s="799"/>
      <c r="N294" s="799"/>
      <c r="O294" s="799"/>
      <c r="P294" s="799"/>
      <c r="Q294" s="799"/>
      <c r="R294" s="799"/>
      <c r="S294" s="799"/>
      <c r="T294" s="799"/>
      <c r="U294" s="799"/>
      <c r="V294" s="799"/>
      <c r="W294" s="799"/>
      <c r="X294" s="799"/>
      <c r="Y294" s="799"/>
      <c r="Z294" s="799"/>
      <c r="AA294" s="799"/>
      <c r="AB294" s="799"/>
      <c r="AC294" s="799"/>
      <c r="AD294" s="799"/>
      <c r="AE294" s="799"/>
      <c r="AF294" s="799"/>
      <c r="AG294" s="799"/>
      <c r="AH294" s="799"/>
      <c r="AI294" s="799"/>
      <c r="AJ294" s="799"/>
      <c r="AK294" s="799"/>
      <c r="AL294" s="799"/>
      <c r="AM294" s="799"/>
      <c r="AN294" s="799"/>
      <c r="AO294" s="799"/>
      <c r="AP294" s="799"/>
      <c r="AQ294" s="799"/>
      <c r="AR294" s="799"/>
      <c r="AS294" s="799"/>
      <c r="AT294" s="799"/>
      <c r="AU294" s="799"/>
      <c r="AV294" s="799"/>
      <c r="AW294" s="799"/>
      <c r="AX294" s="799"/>
      <c r="AY294" s="799"/>
      <c r="AZ294" s="799"/>
      <c r="BA294" s="799"/>
      <c r="BB294" s="799"/>
      <c r="BC294" s="799"/>
      <c r="BD294" s="799"/>
      <c r="BE294" s="799"/>
      <c r="BF294" s="799"/>
      <c r="BG294" s="799"/>
    </row>
    <row r="295">
      <c r="H295" s="799"/>
      <c r="I295" s="799"/>
      <c r="J295" s="799"/>
      <c r="K295" s="799"/>
      <c r="L295" s="799"/>
      <c r="M295" s="799"/>
      <c r="N295" s="799"/>
      <c r="O295" s="799"/>
      <c r="P295" s="799"/>
      <c r="Q295" s="799"/>
      <c r="R295" s="799"/>
      <c r="S295" s="799"/>
      <c r="T295" s="799"/>
      <c r="U295" s="799"/>
      <c r="V295" s="799"/>
      <c r="W295" s="799"/>
      <c r="X295" s="799"/>
      <c r="Y295" s="799"/>
      <c r="Z295" s="799"/>
      <c r="AA295" s="799"/>
      <c r="AB295" s="799"/>
      <c r="AC295" s="799"/>
      <c r="AD295" s="799"/>
      <c r="AE295" s="799"/>
      <c r="AF295" s="799"/>
      <c r="AG295" s="799"/>
      <c r="AH295" s="799"/>
      <c r="AI295" s="799"/>
      <c r="AJ295" s="799"/>
      <c r="AK295" s="799"/>
      <c r="AL295" s="799"/>
      <c r="AM295" s="799"/>
      <c r="AN295" s="799"/>
      <c r="AO295" s="799"/>
      <c r="AP295" s="799"/>
      <c r="AQ295" s="799"/>
      <c r="AR295" s="799"/>
      <c r="AS295" s="799"/>
      <c r="AT295" s="799"/>
      <c r="AU295" s="799"/>
      <c r="AV295" s="799"/>
      <c r="AW295" s="799"/>
      <c r="AX295" s="799"/>
      <c r="AY295" s="799"/>
      <c r="AZ295" s="799"/>
      <c r="BA295" s="799"/>
      <c r="BB295" s="799"/>
      <c r="BC295" s="799"/>
      <c r="BD295" s="799"/>
      <c r="BE295" s="799"/>
      <c r="BF295" s="799"/>
      <c r="BG295" s="799"/>
    </row>
    <row r="296">
      <c r="H296" s="799"/>
      <c r="I296" s="799"/>
      <c r="J296" s="799"/>
      <c r="K296" s="799"/>
      <c r="L296" s="799"/>
      <c r="M296" s="799"/>
      <c r="N296" s="799"/>
      <c r="O296" s="799"/>
      <c r="P296" s="799"/>
      <c r="Q296" s="799"/>
      <c r="R296" s="799"/>
      <c r="S296" s="799"/>
      <c r="T296" s="799"/>
      <c r="U296" s="799"/>
      <c r="V296" s="799"/>
      <c r="W296" s="799"/>
      <c r="X296" s="799"/>
      <c r="Y296" s="799"/>
      <c r="Z296" s="799"/>
      <c r="AA296" s="799"/>
      <c r="AB296" s="799"/>
      <c r="AC296" s="799"/>
      <c r="AD296" s="799"/>
      <c r="AE296" s="799"/>
      <c r="AF296" s="799"/>
      <c r="AG296" s="799"/>
      <c r="AH296" s="799"/>
      <c r="AI296" s="799"/>
      <c r="AJ296" s="799"/>
      <c r="AK296" s="799"/>
      <c r="AL296" s="799"/>
      <c r="AM296" s="799"/>
      <c r="AN296" s="799"/>
      <c r="AO296" s="799"/>
      <c r="AP296" s="799"/>
      <c r="AQ296" s="799"/>
      <c r="AR296" s="799"/>
      <c r="AS296" s="799"/>
      <c r="AT296" s="799"/>
      <c r="AU296" s="799"/>
      <c r="AV296" s="799"/>
      <c r="AW296" s="799"/>
      <c r="AX296" s="799"/>
      <c r="AY296" s="799"/>
      <c r="AZ296" s="799"/>
      <c r="BA296" s="799"/>
      <c r="BB296" s="799"/>
      <c r="BC296" s="799"/>
      <c r="BD296" s="799"/>
      <c r="BE296" s="799"/>
      <c r="BF296" s="799"/>
      <c r="BG296" s="799"/>
    </row>
    <row r="297">
      <c r="H297" s="799"/>
      <c r="I297" s="799"/>
      <c r="J297" s="799"/>
      <c r="K297" s="799"/>
      <c r="L297" s="799"/>
      <c r="M297" s="799"/>
      <c r="N297" s="799"/>
      <c r="O297" s="799"/>
      <c r="P297" s="799"/>
      <c r="Q297" s="799"/>
      <c r="R297" s="799"/>
      <c r="S297" s="799"/>
      <c r="T297" s="799"/>
      <c r="U297" s="799"/>
      <c r="V297" s="799"/>
      <c r="W297" s="799"/>
      <c r="X297" s="799"/>
      <c r="Y297" s="799"/>
      <c r="Z297" s="799"/>
      <c r="AA297" s="799"/>
      <c r="AB297" s="799"/>
      <c r="AC297" s="799"/>
      <c r="AD297" s="799"/>
      <c r="AE297" s="799"/>
      <c r="AF297" s="799"/>
      <c r="AG297" s="799"/>
      <c r="AH297" s="799"/>
      <c r="AI297" s="799"/>
      <c r="AJ297" s="799"/>
      <c r="AK297" s="799"/>
      <c r="AL297" s="799"/>
      <c r="AM297" s="799"/>
      <c r="AN297" s="799"/>
      <c r="AO297" s="799"/>
      <c r="AP297" s="799"/>
      <c r="AQ297" s="799"/>
      <c r="AR297" s="799"/>
      <c r="AS297" s="799"/>
      <c r="AT297" s="799"/>
      <c r="AU297" s="799"/>
      <c r="AV297" s="799"/>
      <c r="AW297" s="799"/>
      <c r="AX297" s="799"/>
      <c r="AY297" s="799"/>
      <c r="AZ297" s="799"/>
      <c r="BA297" s="799"/>
      <c r="BB297" s="799"/>
      <c r="BC297" s="799"/>
      <c r="BD297" s="799"/>
      <c r="BE297" s="799"/>
      <c r="BF297" s="799"/>
      <c r="BG297" s="799"/>
    </row>
    <row r="298">
      <c r="H298" s="799"/>
      <c r="I298" s="799"/>
      <c r="J298" s="799"/>
      <c r="K298" s="799"/>
      <c r="L298" s="799"/>
      <c r="M298" s="799"/>
      <c r="N298" s="799"/>
      <c r="O298" s="799"/>
      <c r="P298" s="799"/>
      <c r="Q298" s="799"/>
      <c r="R298" s="799"/>
      <c r="S298" s="799"/>
      <c r="T298" s="799"/>
      <c r="U298" s="799"/>
      <c r="V298" s="799"/>
      <c r="W298" s="799"/>
      <c r="X298" s="799"/>
      <c r="Y298" s="799"/>
      <c r="Z298" s="799"/>
      <c r="AA298" s="799"/>
      <c r="AB298" s="799"/>
      <c r="AC298" s="799"/>
      <c r="AD298" s="799"/>
      <c r="AE298" s="799"/>
      <c r="AF298" s="799"/>
      <c r="AG298" s="799"/>
      <c r="AH298" s="799"/>
      <c r="AI298" s="799"/>
      <c r="AJ298" s="799"/>
      <c r="AK298" s="799"/>
      <c r="AL298" s="799"/>
      <c r="AM298" s="799"/>
      <c r="AN298" s="799"/>
      <c r="AO298" s="799"/>
      <c r="AP298" s="799"/>
      <c r="AQ298" s="799"/>
      <c r="AR298" s="799"/>
      <c r="AS298" s="799"/>
      <c r="AT298" s="799"/>
      <c r="AU298" s="799"/>
      <c r="AV298" s="799"/>
      <c r="AW298" s="799"/>
      <c r="AX298" s="799"/>
      <c r="AY298" s="799"/>
      <c r="AZ298" s="799"/>
      <c r="BA298" s="799"/>
      <c r="BB298" s="799"/>
      <c r="BC298" s="799"/>
      <c r="BD298" s="799"/>
      <c r="BE298" s="799"/>
      <c r="BF298" s="799"/>
      <c r="BG298" s="799"/>
    </row>
    <row r="299">
      <c r="H299" s="799"/>
      <c r="I299" s="799"/>
      <c r="J299" s="799"/>
      <c r="K299" s="799"/>
      <c r="L299" s="799"/>
      <c r="M299" s="799"/>
      <c r="N299" s="799"/>
      <c r="O299" s="799"/>
      <c r="P299" s="799"/>
      <c r="Q299" s="799"/>
      <c r="R299" s="799"/>
      <c r="S299" s="799"/>
      <c r="T299" s="799"/>
      <c r="U299" s="799"/>
      <c r="V299" s="799"/>
      <c r="W299" s="799"/>
      <c r="X299" s="799"/>
      <c r="Y299" s="799"/>
      <c r="Z299" s="799"/>
      <c r="AA299" s="799"/>
      <c r="AB299" s="799"/>
      <c r="AC299" s="799"/>
      <c r="AD299" s="799"/>
      <c r="AE299" s="799"/>
      <c r="AF299" s="799"/>
      <c r="AG299" s="799"/>
      <c r="AH299" s="799"/>
      <c r="AI299" s="799"/>
      <c r="AJ299" s="799"/>
      <c r="AK299" s="799"/>
      <c r="AL299" s="799"/>
      <c r="AM299" s="799"/>
      <c r="AN299" s="799"/>
      <c r="AO299" s="799"/>
      <c r="AP299" s="799"/>
      <c r="AQ299" s="799"/>
      <c r="AR299" s="799"/>
      <c r="AS299" s="799"/>
      <c r="AT299" s="799"/>
      <c r="AU299" s="799"/>
      <c r="AV299" s="799"/>
      <c r="AW299" s="799"/>
      <c r="AX299" s="799"/>
      <c r="AY299" s="799"/>
      <c r="AZ299" s="799"/>
      <c r="BA299" s="799"/>
      <c r="BB299" s="799"/>
      <c r="BC299" s="799"/>
      <c r="BD299" s="799"/>
      <c r="BE299" s="799"/>
      <c r="BF299" s="799"/>
      <c r="BG299" s="799"/>
    </row>
    <row r="300">
      <c r="H300" s="799"/>
      <c r="I300" s="799"/>
      <c r="J300" s="799"/>
      <c r="K300" s="799"/>
      <c r="L300" s="799"/>
      <c r="M300" s="799"/>
      <c r="N300" s="799"/>
      <c r="O300" s="799"/>
      <c r="P300" s="799"/>
      <c r="Q300" s="799"/>
      <c r="R300" s="799"/>
      <c r="S300" s="799"/>
      <c r="T300" s="799"/>
      <c r="U300" s="799"/>
      <c r="V300" s="799"/>
      <c r="W300" s="799"/>
      <c r="X300" s="799"/>
      <c r="Y300" s="799"/>
      <c r="Z300" s="799"/>
      <c r="AA300" s="799"/>
      <c r="AB300" s="799"/>
      <c r="AC300" s="799"/>
      <c r="AD300" s="799"/>
      <c r="AE300" s="799"/>
      <c r="AF300" s="799"/>
      <c r="AG300" s="799"/>
      <c r="AH300" s="799"/>
      <c r="AI300" s="799"/>
      <c r="AJ300" s="799"/>
      <c r="AK300" s="799"/>
      <c r="AL300" s="799"/>
      <c r="AM300" s="799"/>
      <c r="AN300" s="799"/>
      <c r="AO300" s="799"/>
      <c r="AP300" s="799"/>
      <c r="AQ300" s="799"/>
      <c r="AR300" s="799"/>
      <c r="AS300" s="799"/>
      <c r="AT300" s="799"/>
      <c r="AU300" s="799"/>
      <c r="AV300" s="799"/>
      <c r="AW300" s="799"/>
      <c r="AX300" s="799"/>
      <c r="AY300" s="799"/>
      <c r="AZ300" s="799"/>
      <c r="BA300" s="799"/>
      <c r="BB300" s="799"/>
      <c r="BC300" s="799"/>
      <c r="BD300" s="799"/>
      <c r="BE300" s="799"/>
      <c r="BF300" s="799"/>
      <c r="BG300" s="799"/>
    </row>
    <row r="301">
      <c r="H301" s="799"/>
      <c r="I301" s="799"/>
      <c r="J301" s="799"/>
      <c r="K301" s="799"/>
      <c r="L301" s="799"/>
      <c r="M301" s="799"/>
      <c r="N301" s="799"/>
      <c r="O301" s="799"/>
      <c r="P301" s="799"/>
      <c r="Q301" s="799"/>
      <c r="R301" s="799"/>
      <c r="S301" s="799"/>
      <c r="T301" s="799"/>
      <c r="U301" s="799"/>
      <c r="V301" s="799"/>
      <c r="W301" s="799"/>
      <c r="X301" s="799"/>
      <c r="Y301" s="799"/>
      <c r="Z301" s="799"/>
      <c r="AA301" s="799"/>
      <c r="AB301" s="799"/>
      <c r="AC301" s="799"/>
      <c r="AD301" s="799"/>
      <c r="AE301" s="799"/>
      <c r="AF301" s="799"/>
      <c r="AG301" s="799"/>
      <c r="AH301" s="799"/>
      <c r="AI301" s="799"/>
      <c r="AJ301" s="799"/>
      <c r="AK301" s="799"/>
      <c r="AL301" s="799"/>
      <c r="AM301" s="799"/>
      <c r="AN301" s="799"/>
      <c r="AO301" s="799"/>
      <c r="AP301" s="799"/>
      <c r="AQ301" s="799"/>
      <c r="AR301" s="799"/>
      <c r="AS301" s="799"/>
      <c r="AT301" s="799"/>
      <c r="AU301" s="799"/>
      <c r="AV301" s="799"/>
      <c r="AW301" s="799"/>
      <c r="AX301" s="799"/>
      <c r="AY301" s="799"/>
      <c r="AZ301" s="799"/>
      <c r="BA301" s="799"/>
      <c r="BB301" s="799"/>
      <c r="BC301" s="799"/>
      <c r="BD301" s="799"/>
      <c r="BE301" s="799"/>
      <c r="BF301" s="799"/>
      <c r="BG301" s="799"/>
    </row>
    <row r="302">
      <c r="H302" s="799"/>
      <c r="I302" s="799"/>
      <c r="J302" s="799"/>
      <c r="K302" s="799"/>
      <c r="L302" s="799"/>
      <c r="M302" s="799"/>
      <c r="N302" s="799"/>
      <c r="O302" s="799"/>
      <c r="P302" s="799"/>
      <c r="Q302" s="799"/>
      <c r="R302" s="799"/>
      <c r="S302" s="799"/>
      <c r="T302" s="799"/>
      <c r="U302" s="799"/>
      <c r="V302" s="799"/>
      <c r="W302" s="799"/>
      <c r="X302" s="799"/>
      <c r="Y302" s="799"/>
      <c r="Z302" s="799"/>
      <c r="AA302" s="799"/>
      <c r="AB302" s="799"/>
      <c r="AC302" s="799"/>
      <c r="AD302" s="799"/>
      <c r="AE302" s="799"/>
      <c r="AF302" s="799"/>
      <c r="AG302" s="799"/>
      <c r="AH302" s="799"/>
      <c r="AI302" s="799"/>
      <c r="AJ302" s="799"/>
      <c r="AK302" s="799"/>
      <c r="AL302" s="799"/>
      <c r="AM302" s="799"/>
      <c r="AN302" s="799"/>
      <c r="AO302" s="799"/>
      <c r="AP302" s="799"/>
      <c r="AQ302" s="799"/>
      <c r="AR302" s="799"/>
      <c r="AS302" s="799"/>
      <c r="AT302" s="799"/>
      <c r="AU302" s="799"/>
      <c r="AV302" s="799"/>
      <c r="AW302" s="799"/>
      <c r="AX302" s="799"/>
      <c r="AY302" s="799"/>
      <c r="AZ302" s="799"/>
      <c r="BA302" s="799"/>
      <c r="BB302" s="799"/>
      <c r="BC302" s="799"/>
      <c r="BD302" s="799"/>
      <c r="BE302" s="799"/>
      <c r="BF302" s="799"/>
      <c r="BG302" s="799"/>
    </row>
    <row r="303">
      <c r="H303" s="799"/>
      <c r="I303" s="799"/>
      <c r="J303" s="799"/>
      <c r="K303" s="799"/>
      <c r="L303" s="799"/>
      <c r="M303" s="799"/>
      <c r="N303" s="799"/>
      <c r="O303" s="799"/>
      <c r="P303" s="799"/>
      <c r="Q303" s="799"/>
      <c r="R303" s="799"/>
      <c r="S303" s="799"/>
      <c r="T303" s="799"/>
      <c r="U303" s="799"/>
      <c r="V303" s="799"/>
      <c r="W303" s="799"/>
      <c r="X303" s="799"/>
      <c r="Y303" s="799"/>
      <c r="Z303" s="799"/>
      <c r="AA303" s="799"/>
      <c r="AB303" s="799"/>
      <c r="AC303" s="799"/>
      <c r="AD303" s="799"/>
      <c r="AE303" s="799"/>
      <c r="AF303" s="799"/>
      <c r="AG303" s="799"/>
      <c r="AH303" s="799"/>
      <c r="AI303" s="799"/>
      <c r="AJ303" s="799"/>
      <c r="AK303" s="799"/>
      <c r="AL303" s="799"/>
      <c r="AM303" s="799"/>
      <c r="AN303" s="799"/>
      <c r="AO303" s="799"/>
      <c r="AP303" s="799"/>
      <c r="AQ303" s="799"/>
      <c r="AR303" s="799"/>
      <c r="AS303" s="799"/>
      <c r="AT303" s="799"/>
      <c r="AU303" s="799"/>
      <c r="AV303" s="799"/>
      <c r="AW303" s="799"/>
      <c r="AX303" s="799"/>
      <c r="AY303" s="799"/>
      <c r="AZ303" s="799"/>
      <c r="BA303" s="799"/>
      <c r="BB303" s="799"/>
      <c r="BC303" s="799"/>
      <c r="BD303" s="799"/>
      <c r="BE303" s="799"/>
      <c r="BF303" s="799"/>
      <c r="BG303" s="799"/>
    </row>
    <row r="304">
      <c r="H304" s="799"/>
      <c r="I304" s="799"/>
      <c r="J304" s="799"/>
      <c r="K304" s="799"/>
      <c r="L304" s="799"/>
      <c r="M304" s="799"/>
      <c r="N304" s="799"/>
      <c r="O304" s="799"/>
      <c r="P304" s="799"/>
      <c r="Q304" s="799"/>
      <c r="R304" s="799"/>
      <c r="S304" s="799"/>
      <c r="T304" s="799"/>
      <c r="U304" s="799"/>
      <c r="V304" s="799"/>
      <c r="W304" s="799"/>
      <c r="X304" s="799"/>
      <c r="Y304" s="799"/>
      <c r="Z304" s="799"/>
      <c r="AA304" s="799"/>
      <c r="AB304" s="799"/>
      <c r="AC304" s="799"/>
      <c r="AD304" s="799"/>
      <c r="AE304" s="799"/>
      <c r="AF304" s="799"/>
      <c r="AG304" s="799"/>
      <c r="AH304" s="799"/>
      <c r="AI304" s="799"/>
      <c r="AJ304" s="799"/>
      <c r="AK304" s="799"/>
      <c r="AL304" s="799"/>
      <c r="AM304" s="799"/>
      <c r="AN304" s="799"/>
      <c r="AO304" s="799"/>
      <c r="AP304" s="799"/>
      <c r="AQ304" s="799"/>
      <c r="AR304" s="799"/>
      <c r="AS304" s="799"/>
      <c r="AT304" s="799"/>
      <c r="AU304" s="799"/>
      <c r="AV304" s="799"/>
      <c r="AW304" s="799"/>
      <c r="AX304" s="799"/>
      <c r="AY304" s="799"/>
      <c r="AZ304" s="799"/>
      <c r="BA304" s="799"/>
      <c r="BB304" s="799"/>
      <c r="BC304" s="799"/>
      <c r="BD304" s="799"/>
      <c r="BE304" s="799"/>
      <c r="BF304" s="799"/>
      <c r="BG304" s="799"/>
    </row>
    <row r="305">
      <c r="H305" s="799"/>
      <c r="I305" s="799"/>
      <c r="J305" s="799"/>
      <c r="K305" s="799"/>
      <c r="L305" s="799"/>
      <c r="M305" s="799"/>
      <c r="N305" s="799"/>
      <c r="O305" s="799"/>
      <c r="P305" s="799"/>
      <c r="Q305" s="799"/>
      <c r="R305" s="799"/>
      <c r="S305" s="799"/>
      <c r="T305" s="799"/>
      <c r="U305" s="799"/>
      <c r="V305" s="799"/>
      <c r="W305" s="799"/>
      <c r="X305" s="799"/>
      <c r="Y305" s="799"/>
      <c r="Z305" s="799"/>
      <c r="AA305" s="799"/>
      <c r="AB305" s="799"/>
      <c r="AC305" s="799"/>
      <c r="AD305" s="799"/>
      <c r="AE305" s="799"/>
      <c r="AF305" s="799"/>
      <c r="AG305" s="799"/>
      <c r="AH305" s="799"/>
      <c r="AI305" s="799"/>
      <c r="AJ305" s="799"/>
      <c r="AK305" s="799"/>
      <c r="AL305" s="799"/>
      <c r="AM305" s="799"/>
      <c r="AN305" s="799"/>
      <c r="AO305" s="799"/>
      <c r="AP305" s="799"/>
      <c r="AQ305" s="799"/>
      <c r="AR305" s="799"/>
      <c r="AS305" s="799"/>
      <c r="AT305" s="799"/>
      <c r="AU305" s="799"/>
      <c r="AV305" s="799"/>
      <c r="AW305" s="799"/>
      <c r="AX305" s="799"/>
      <c r="AY305" s="799"/>
      <c r="AZ305" s="799"/>
      <c r="BA305" s="799"/>
      <c r="BB305" s="799"/>
      <c r="BC305" s="799"/>
      <c r="BD305" s="799"/>
      <c r="BE305" s="799"/>
      <c r="BF305" s="799"/>
      <c r="BG305" s="799"/>
    </row>
    <row r="306">
      <c r="H306" s="799"/>
      <c r="I306" s="799"/>
      <c r="J306" s="799"/>
      <c r="K306" s="799"/>
      <c r="L306" s="799"/>
      <c r="M306" s="799"/>
      <c r="N306" s="799"/>
      <c r="O306" s="799"/>
      <c r="P306" s="799"/>
      <c r="Q306" s="799"/>
      <c r="R306" s="799"/>
      <c r="S306" s="799"/>
      <c r="T306" s="799"/>
      <c r="U306" s="799"/>
      <c r="V306" s="799"/>
      <c r="W306" s="799"/>
      <c r="X306" s="799"/>
      <c r="Y306" s="799"/>
      <c r="Z306" s="799"/>
      <c r="AA306" s="799"/>
      <c r="AB306" s="799"/>
      <c r="AC306" s="799"/>
      <c r="AD306" s="799"/>
      <c r="AE306" s="799"/>
      <c r="AF306" s="799"/>
      <c r="AG306" s="799"/>
      <c r="AH306" s="799"/>
      <c r="AI306" s="799"/>
      <c r="AJ306" s="799"/>
      <c r="AK306" s="799"/>
      <c r="AL306" s="799"/>
      <c r="AM306" s="799"/>
      <c r="AN306" s="799"/>
      <c r="AO306" s="799"/>
      <c r="AP306" s="799"/>
      <c r="AQ306" s="799"/>
      <c r="AR306" s="799"/>
      <c r="AS306" s="799"/>
      <c r="AT306" s="799"/>
      <c r="AU306" s="799"/>
      <c r="AV306" s="799"/>
      <c r="AW306" s="799"/>
      <c r="AX306" s="799"/>
      <c r="AY306" s="799"/>
      <c r="AZ306" s="799"/>
      <c r="BA306" s="799"/>
      <c r="BB306" s="799"/>
      <c r="BC306" s="799"/>
      <c r="BD306" s="799"/>
      <c r="BE306" s="799"/>
      <c r="BF306" s="799"/>
      <c r="BG306" s="799"/>
    </row>
    <row r="307">
      <c r="H307" s="799"/>
      <c r="I307" s="799"/>
      <c r="J307" s="799"/>
      <c r="K307" s="799"/>
      <c r="L307" s="799"/>
      <c r="M307" s="799"/>
      <c r="N307" s="799"/>
      <c r="O307" s="799"/>
      <c r="P307" s="799"/>
      <c r="Q307" s="799"/>
      <c r="R307" s="799"/>
      <c r="S307" s="799"/>
      <c r="T307" s="799"/>
      <c r="U307" s="799"/>
      <c r="V307" s="799"/>
      <c r="W307" s="799"/>
      <c r="X307" s="799"/>
      <c r="Y307" s="799"/>
      <c r="Z307" s="799"/>
      <c r="AA307" s="799"/>
      <c r="AB307" s="799"/>
      <c r="AC307" s="799"/>
      <c r="AD307" s="799"/>
      <c r="AE307" s="799"/>
      <c r="AF307" s="799"/>
      <c r="AG307" s="799"/>
      <c r="AH307" s="799"/>
      <c r="AI307" s="799"/>
      <c r="AJ307" s="799"/>
      <c r="AK307" s="799"/>
      <c r="AL307" s="799"/>
      <c r="AM307" s="799"/>
      <c r="AN307" s="799"/>
      <c r="AO307" s="799"/>
      <c r="AP307" s="799"/>
      <c r="AQ307" s="799"/>
      <c r="AR307" s="799"/>
      <c r="AS307" s="799"/>
      <c r="AT307" s="799"/>
      <c r="AU307" s="799"/>
      <c r="AV307" s="799"/>
      <c r="AW307" s="799"/>
      <c r="AX307" s="799"/>
      <c r="AY307" s="799"/>
      <c r="AZ307" s="799"/>
      <c r="BA307" s="799"/>
      <c r="BB307" s="799"/>
      <c r="BC307" s="799"/>
      <c r="BD307" s="799"/>
      <c r="BE307" s="799"/>
      <c r="BF307" s="799"/>
      <c r="BG307" s="799"/>
    </row>
    <row r="308">
      <c r="H308" s="799"/>
      <c r="I308" s="799"/>
      <c r="J308" s="799"/>
      <c r="K308" s="799"/>
      <c r="L308" s="799"/>
      <c r="M308" s="799"/>
      <c r="N308" s="799"/>
      <c r="O308" s="799"/>
      <c r="P308" s="799"/>
      <c r="Q308" s="799"/>
      <c r="R308" s="799"/>
      <c r="S308" s="799"/>
      <c r="T308" s="799"/>
      <c r="U308" s="799"/>
      <c r="V308" s="799"/>
      <c r="W308" s="799"/>
      <c r="X308" s="799"/>
      <c r="Y308" s="799"/>
      <c r="Z308" s="799"/>
      <c r="AA308" s="799"/>
      <c r="AB308" s="799"/>
      <c r="AC308" s="799"/>
      <c r="AD308" s="799"/>
      <c r="AE308" s="799"/>
      <c r="AF308" s="799"/>
      <c r="AG308" s="799"/>
      <c r="AH308" s="799"/>
      <c r="AI308" s="799"/>
      <c r="AJ308" s="799"/>
      <c r="AK308" s="799"/>
      <c r="AL308" s="799"/>
      <c r="AM308" s="799"/>
      <c r="AN308" s="799"/>
      <c r="AO308" s="799"/>
      <c r="AP308" s="799"/>
      <c r="AQ308" s="799"/>
      <c r="AR308" s="799"/>
      <c r="AS308" s="799"/>
      <c r="AT308" s="799"/>
      <c r="AU308" s="799"/>
      <c r="AV308" s="799"/>
      <c r="AW308" s="799"/>
      <c r="AX308" s="799"/>
      <c r="AY308" s="799"/>
      <c r="AZ308" s="799"/>
      <c r="BA308" s="799"/>
      <c r="BB308" s="799"/>
      <c r="BC308" s="799"/>
      <c r="BD308" s="799"/>
      <c r="BE308" s="799"/>
      <c r="BF308" s="799"/>
      <c r="BG308" s="799"/>
    </row>
    <row r="309">
      <c r="H309" s="799"/>
      <c r="I309" s="799"/>
      <c r="J309" s="799"/>
      <c r="K309" s="799"/>
      <c r="L309" s="799"/>
      <c r="M309" s="799"/>
      <c r="N309" s="799"/>
      <c r="O309" s="799"/>
      <c r="P309" s="799"/>
      <c r="Q309" s="799"/>
      <c r="R309" s="799"/>
      <c r="S309" s="799"/>
      <c r="T309" s="799"/>
      <c r="U309" s="799"/>
      <c r="V309" s="799"/>
      <c r="W309" s="799"/>
      <c r="X309" s="799"/>
      <c r="Y309" s="799"/>
      <c r="Z309" s="799"/>
      <c r="AA309" s="799"/>
      <c r="AB309" s="799"/>
      <c r="AC309" s="799"/>
      <c r="AD309" s="799"/>
      <c r="AE309" s="799"/>
      <c r="AF309" s="799"/>
      <c r="AG309" s="799"/>
      <c r="AH309" s="799"/>
      <c r="AI309" s="799"/>
      <c r="AJ309" s="799"/>
      <c r="AK309" s="799"/>
      <c r="AL309" s="799"/>
      <c r="AM309" s="799"/>
      <c r="AN309" s="799"/>
      <c r="AO309" s="799"/>
      <c r="AP309" s="799"/>
      <c r="AQ309" s="799"/>
      <c r="AR309" s="799"/>
      <c r="AS309" s="799"/>
      <c r="AT309" s="799"/>
      <c r="AU309" s="799"/>
      <c r="AV309" s="799"/>
      <c r="AW309" s="799"/>
      <c r="AX309" s="799"/>
      <c r="AY309" s="799"/>
      <c r="AZ309" s="799"/>
      <c r="BA309" s="799"/>
      <c r="BB309" s="799"/>
      <c r="BC309" s="799"/>
      <c r="BD309" s="799"/>
      <c r="BE309" s="799"/>
      <c r="BF309" s="799"/>
      <c r="BG309" s="799"/>
    </row>
    <row r="310">
      <c r="H310" s="799"/>
      <c r="I310" s="799"/>
      <c r="J310" s="799"/>
      <c r="K310" s="799"/>
      <c r="L310" s="799"/>
      <c r="M310" s="799"/>
      <c r="N310" s="799"/>
      <c r="O310" s="799"/>
      <c r="P310" s="799"/>
      <c r="Q310" s="799"/>
      <c r="R310" s="799"/>
      <c r="S310" s="799"/>
      <c r="T310" s="799"/>
      <c r="U310" s="799"/>
      <c r="V310" s="799"/>
      <c r="W310" s="799"/>
      <c r="X310" s="799"/>
      <c r="Y310" s="799"/>
      <c r="Z310" s="799"/>
      <c r="AA310" s="799"/>
      <c r="AB310" s="799"/>
      <c r="AC310" s="799"/>
      <c r="AD310" s="799"/>
      <c r="AE310" s="799"/>
      <c r="AF310" s="799"/>
      <c r="AG310" s="799"/>
      <c r="AH310" s="799"/>
      <c r="AI310" s="799"/>
      <c r="AJ310" s="799"/>
      <c r="AK310" s="799"/>
      <c r="AL310" s="799"/>
      <c r="AM310" s="799"/>
      <c r="AN310" s="799"/>
      <c r="AO310" s="799"/>
      <c r="AP310" s="799"/>
      <c r="AQ310" s="799"/>
      <c r="AR310" s="799"/>
      <c r="AS310" s="799"/>
      <c r="AT310" s="799"/>
      <c r="AU310" s="799"/>
      <c r="AV310" s="799"/>
      <c r="AW310" s="799"/>
      <c r="AX310" s="799"/>
      <c r="AY310" s="799"/>
      <c r="AZ310" s="799"/>
      <c r="BA310" s="799"/>
      <c r="BB310" s="799"/>
      <c r="BC310" s="799"/>
      <c r="BD310" s="799"/>
      <c r="BE310" s="799"/>
      <c r="BF310" s="799"/>
      <c r="BG310" s="799"/>
    </row>
    <row r="311">
      <c r="H311" s="799"/>
      <c r="I311" s="799"/>
      <c r="J311" s="799"/>
      <c r="K311" s="799"/>
      <c r="L311" s="799"/>
      <c r="M311" s="799"/>
      <c r="N311" s="799"/>
      <c r="O311" s="799"/>
      <c r="P311" s="799"/>
      <c r="Q311" s="799"/>
      <c r="R311" s="799"/>
      <c r="S311" s="799"/>
      <c r="T311" s="799"/>
      <c r="U311" s="799"/>
      <c r="V311" s="799"/>
      <c r="W311" s="799"/>
      <c r="X311" s="799"/>
      <c r="Y311" s="799"/>
      <c r="Z311" s="799"/>
      <c r="AA311" s="799"/>
      <c r="AB311" s="799"/>
      <c r="AC311" s="799"/>
      <c r="AD311" s="799"/>
      <c r="AE311" s="799"/>
      <c r="AF311" s="799"/>
      <c r="AG311" s="799"/>
      <c r="AH311" s="799"/>
      <c r="AI311" s="799"/>
      <c r="AJ311" s="799"/>
      <c r="AK311" s="799"/>
      <c r="AL311" s="799"/>
      <c r="AM311" s="799"/>
      <c r="AN311" s="799"/>
      <c r="AO311" s="799"/>
      <c r="AP311" s="799"/>
      <c r="AQ311" s="799"/>
      <c r="AR311" s="799"/>
      <c r="AS311" s="799"/>
      <c r="AT311" s="799"/>
      <c r="AU311" s="799"/>
      <c r="AV311" s="799"/>
      <c r="AW311" s="799"/>
      <c r="AX311" s="799"/>
      <c r="AY311" s="799"/>
      <c r="AZ311" s="799"/>
      <c r="BA311" s="799"/>
      <c r="BB311" s="799"/>
      <c r="BC311" s="799"/>
      <c r="BD311" s="799"/>
      <c r="BE311" s="799"/>
      <c r="BF311" s="799"/>
      <c r="BG311" s="799"/>
    </row>
    <row r="312">
      <c r="H312" s="799"/>
      <c r="I312" s="799"/>
      <c r="J312" s="799"/>
      <c r="K312" s="799"/>
      <c r="L312" s="799"/>
      <c r="M312" s="799"/>
      <c r="N312" s="799"/>
      <c r="O312" s="799"/>
      <c r="P312" s="799"/>
      <c r="Q312" s="799"/>
      <c r="R312" s="799"/>
      <c r="S312" s="799"/>
      <c r="T312" s="799"/>
      <c r="U312" s="799"/>
      <c r="V312" s="799"/>
      <c r="W312" s="799"/>
      <c r="X312" s="799"/>
      <c r="Y312" s="799"/>
      <c r="Z312" s="799"/>
      <c r="AA312" s="799"/>
      <c r="AB312" s="799"/>
      <c r="AC312" s="799"/>
      <c r="AD312" s="799"/>
      <c r="AE312" s="799"/>
      <c r="AF312" s="799"/>
      <c r="AG312" s="799"/>
      <c r="AH312" s="799"/>
      <c r="AI312" s="799"/>
      <c r="AJ312" s="799"/>
      <c r="AK312" s="799"/>
      <c r="AL312" s="799"/>
      <c r="AM312" s="799"/>
      <c r="AN312" s="799"/>
      <c r="AO312" s="799"/>
      <c r="AP312" s="799"/>
      <c r="AQ312" s="799"/>
      <c r="AR312" s="799"/>
      <c r="AS312" s="799"/>
      <c r="AT312" s="799"/>
      <c r="AU312" s="799"/>
      <c r="AV312" s="799"/>
      <c r="AW312" s="799"/>
      <c r="AX312" s="799"/>
      <c r="AY312" s="799"/>
      <c r="AZ312" s="799"/>
      <c r="BA312" s="799"/>
      <c r="BB312" s="799"/>
      <c r="BC312" s="799"/>
      <c r="BD312" s="799"/>
      <c r="BE312" s="799"/>
      <c r="BF312" s="799"/>
      <c r="BG312" s="799"/>
    </row>
    <row r="313">
      <c r="H313" s="799"/>
      <c r="I313" s="799"/>
      <c r="J313" s="799"/>
      <c r="K313" s="799"/>
      <c r="L313" s="799"/>
      <c r="M313" s="799"/>
      <c r="N313" s="799"/>
      <c r="O313" s="799"/>
      <c r="P313" s="799"/>
      <c r="Q313" s="799"/>
      <c r="R313" s="799"/>
      <c r="S313" s="799"/>
      <c r="T313" s="799"/>
      <c r="U313" s="799"/>
      <c r="V313" s="799"/>
      <c r="W313" s="799"/>
      <c r="X313" s="799"/>
      <c r="Y313" s="799"/>
      <c r="Z313" s="799"/>
      <c r="AA313" s="799"/>
      <c r="AB313" s="799"/>
      <c r="AC313" s="799"/>
      <c r="AD313" s="799"/>
      <c r="AE313" s="799"/>
      <c r="AF313" s="799"/>
      <c r="AG313" s="799"/>
      <c r="AH313" s="799"/>
      <c r="AI313" s="799"/>
      <c r="AJ313" s="799"/>
      <c r="AK313" s="799"/>
      <c r="AL313" s="799"/>
      <c r="AM313" s="799"/>
      <c r="AN313" s="799"/>
      <c r="AO313" s="799"/>
      <c r="AP313" s="799"/>
      <c r="AQ313" s="799"/>
      <c r="AR313" s="799"/>
      <c r="AS313" s="799"/>
      <c r="AT313" s="799"/>
      <c r="AU313" s="799"/>
      <c r="AV313" s="799"/>
      <c r="AW313" s="799"/>
      <c r="AX313" s="799"/>
      <c r="AY313" s="799"/>
      <c r="AZ313" s="799"/>
      <c r="BA313" s="799"/>
      <c r="BB313" s="799"/>
      <c r="BC313" s="799"/>
      <c r="BD313" s="799"/>
      <c r="BE313" s="799"/>
      <c r="BF313" s="799"/>
      <c r="BG313" s="799"/>
    </row>
    <row r="314">
      <c r="H314" s="799"/>
      <c r="I314" s="799"/>
      <c r="J314" s="799"/>
      <c r="K314" s="799"/>
      <c r="L314" s="799"/>
      <c r="M314" s="799"/>
      <c r="N314" s="799"/>
      <c r="O314" s="799"/>
      <c r="P314" s="799"/>
      <c r="Q314" s="799"/>
      <c r="R314" s="799"/>
      <c r="S314" s="799"/>
      <c r="T314" s="799"/>
      <c r="U314" s="799"/>
      <c r="V314" s="799"/>
      <c r="W314" s="799"/>
      <c r="X314" s="799"/>
      <c r="Y314" s="799"/>
      <c r="Z314" s="799"/>
      <c r="AA314" s="799"/>
      <c r="AB314" s="799"/>
      <c r="AC314" s="799"/>
      <c r="AD314" s="799"/>
      <c r="AE314" s="799"/>
      <c r="AF314" s="799"/>
      <c r="AG314" s="799"/>
      <c r="AH314" s="799"/>
      <c r="AI314" s="799"/>
      <c r="AJ314" s="799"/>
      <c r="AK314" s="799"/>
      <c r="AL314" s="799"/>
      <c r="AM314" s="799"/>
      <c r="AN314" s="799"/>
      <c r="AO314" s="799"/>
      <c r="AP314" s="799"/>
      <c r="AQ314" s="799"/>
      <c r="AR314" s="799"/>
      <c r="AS314" s="799"/>
      <c r="AT314" s="799"/>
      <c r="AU314" s="799"/>
      <c r="AV314" s="799"/>
      <c r="AW314" s="799"/>
      <c r="AX314" s="799"/>
      <c r="AY314" s="799"/>
      <c r="AZ314" s="799"/>
      <c r="BA314" s="799"/>
      <c r="BB314" s="799"/>
      <c r="BC314" s="799"/>
      <c r="BD314" s="799"/>
      <c r="BE314" s="799"/>
      <c r="BF314" s="799"/>
      <c r="BG314" s="799"/>
    </row>
    <row r="315">
      <c r="H315" s="799"/>
      <c r="I315" s="799"/>
      <c r="J315" s="799"/>
      <c r="K315" s="799"/>
      <c r="L315" s="799"/>
      <c r="M315" s="799"/>
      <c r="N315" s="799"/>
      <c r="O315" s="799"/>
      <c r="P315" s="799"/>
      <c r="Q315" s="799"/>
      <c r="R315" s="799"/>
      <c r="S315" s="799"/>
      <c r="T315" s="799"/>
      <c r="U315" s="799"/>
      <c r="V315" s="799"/>
      <c r="W315" s="799"/>
      <c r="X315" s="799"/>
      <c r="Y315" s="799"/>
      <c r="Z315" s="799"/>
      <c r="AA315" s="799"/>
      <c r="AB315" s="799"/>
      <c r="AC315" s="799"/>
      <c r="AD315" s="799"/>
      <c r="AE315" s="799"/>
      <c r="AF315" s="799"/>
      <c r="AG315" s="799"/>
      <c r="AH315" s="799"/>
      <c r="AI315" s="799"/>
      <c r="AJ315" s="799"/>
      <c r="AK315" s="799"/>
      <c r="AL315" s="799"/>
      <c r="AM315" s="799"/>
      <c r="AN315" s="799"/>
      <c r="AO315" s="799"/>
      <c r="AP315" s="799"/>
      <c r="AQ315" s="799"/>
      <c r="AR315" s="799"/>
      <c r="AS315" s="799"/>
      <c r="AT315" s="799"/>
      <c r="AU315" s="799"/>
      <c r="AV315" s="799"/>
      <c r="AW315" s="799"/>
      <c r="AX315" s="799"/>
      <c r="AY315" s="799"/>
      <c r="AZ315" s="799"/>
      <c r="BA315" s="799"/>
      <c r="BB315" s="799"/>
      <c r="BC315" s="799"/>
      <c r="BD315" s="799"/>
      <c r="BE315" s="799"/>
      <c r="BF315" s="799"/>
      <c r="BG315" s="799"/>
    </row>
    <row r="316">
      <c r="H316" s="799"/>
      <c r="I316" s="799"/>
      <c r="J316" s="799"/>
      <c r="K316" s="799"/>
      <c r="L316" s="799"/>
      <c r="M316" s="799"/>
      <c r="N316" s="799"/>
      <c r="O316" s="799"/>
      <c r="P316" s="799"/>
      <c r="Q316" s="799"/>
      <c r="R316" s="799"/>
      <c r="S316" s="799"/>
      <c r="T316" s="799"/>
      <c r="U316" s="799"/>
      <c r="V316" s="799"/>
      <c r="W316" s="799"/>
      <c r="X316" s="799"/>
      <c r="Y316" s="799"/>
      <c r="Z316" s="799"/>
      <c r="AA316" s="799"/>
      <c r="AB316" s="799"/>
      <c r="AC316" s="799"/>
      <c r="AD316" s="799"/>
      <c r="AE316" s="799"/>
      <c r="AF316" s="799"/>
      <c r="AG316" s="799"/>
      <c r="AH316" s="799"/>
      <c r="AI316" s="799"/>
      <c r="AJ316" s="799"/>
      <c r="AK316" s="799"/>
      <c r="AL316" s="799"/>
      <c r="AM316" s="799"/>
      <c r="AN316" s="799"/>
      <c r="AO316" s="799"/>
      <c r="AP316" s="799"/>
      <c r="AQ316" s="799"/>
      <c r="AR316" s="799"/>
      <c r="AS316" s="799"/>
      <c r="AT316" s="799"/>
      <c r="AU316" s="799"/>
      <c r="AV316" s="799"/>
      <c r="AW316" s="799"/>
      <c r="AX316" s="799"/>
      <c r="AY316" s="799"/>
      <c r="AZ316" s="799"/>
      <c r="BA316" s="799"/>
      <c r="BB316" s="799"/>
      <c r="BC316" s="799"/>
      <c r="BD316" s="799"/>
      <c r="BE316" s="799"/>
      <c r="BF316" s="799"/>
      <c r="BG316" s="799"/>
    </row>
    <row r="317">
      <c r="H317" s="799"/>
      <c r="I317" s="799"/>
      <c r="J317" s="799"/>
      <c r="K317" s="799"/>
      <c r="L317" s="799"/>
      <c r="M317" s="799"/>
      <c r="N317" s="799"/>
      <c r="O317" s="799"/>
      <c r="P317" s="799"/>
      <c r="Q317" s="799"/>
      <c r="R317" s="799"/>
      <c r="S317" s="799"/>
      <c r="T317" s="799"/>
      <c r="U317" s="799"/>
      <c r="V317" s="799"/>
      <c r="W317" s="799"/>
      <c r="X317" s="799"/>
      <c r="Y317" s="799"/>
      <c r="Z317" s="799"/>
      <c r="AA317" s="799"/>
      <c r="AB317" s="799"/>
      <c r="AC317" s="799"/>
      <c r="AD317" s="799"/>
      <c r="AE317" s="799"/>
      <c r="AF317" s="799"/>
      <c r="AG317" s="799"/>
      <c r="AH317" s="799"/>
      <c r="AI317" s="799"/>
      <c r="AJ317" s="799"/>
      <c r="AK317" s="799"/>
      <c r="AL317" s="799"/>
      <c r="AM317" s="799"/>
      <c r="AN317" s="799"/>
      <c r="AO317" s="799"/>
      <c r="AP317" s="799"/>
      <c r="AQ317" s="799"/>
      <c r="AR317" s="799"/>
      <c r="AS317" s="799"/>
      <c r="AT317" s="799"/>
      <c r="AU317" s="799"/>
      <c r="AV317" s="799"/>
      <c r="AW317" s="799"/>
      <c r="AX317" s="799"/>
      <c r="AY317" s="799"/>
      <c r="AZ317" s="799"/>
      <c r="BA317" s="799"/>
      <c r="BB317" s="799"/>
      <c r="BC317" s="799"/>
      <c r="BD317" s="799"/>
      <c r="BE317" s="799"/>
      <c r="BF317" s="799"/>
      <c r="BG317" s="799"/>
    </row>
    <row r="318">
      <c r="H318" s="799"/>
      <c r="I318" s="799"/>
      <c r="J318" s="799"/>
      <c r="K318" s="799"/>
      <c r="L318" s="799"/>
      <c r="M318" s="799"/>
      <c r="N318" s="799"/>
      <c r="O318" s="799"/>
      <c r="P318" s="799"/>
      <c r="Q318" s="799"/>
      <c r="R318" s="799"/>
      <c r="S318" s="799"/>
      <c r="T318" s="799"/>
      <c r="U318" s="799"/>
      <c r="V318" s="799"/>
      <c r="W318" s="799"/>
      <c r="X318" s="799"/>
      <c r="Y318" s="799"/>
      <c r="Z318" s="799"/>
      <c r="AA318" s="799"/>
      <c r="AB318" s="799"/>
      <c r="AC318" s="799"/>
      <c r="AD318" s="799"/>
      <c r="AE318" s="799"/>
      <c r="AF318" s="799"/>
      <c r="AG318" s="799"/>
      <c r="AH318" s="799"/>
      <c r="AI318" s="799"/>
      <c r="AJ318" s="799"/>
      <c r="AK318" s="799"/>
      <c r="AL318" s="799"/>
      <c r="AM318" s="799"/>
      <c r="AN318" s="799"/>
      <c r="AO318" s="799"/>
      <c r="AP318" s="799"/>
      <c r="AQ318" s="799"/>
      <c r="AR318" s="799"/>
      <c r="AS318" s="799"/>
      <c r="AT318" s="799"/>
      <c r="AU318" s="799"/>
      <c r="AV318" s="799"/>
      <c r="AW318" s="799"/>
      <c r="AX318" s="799"/>
      <c r="AY318" s="799"/>
      <c r="AZ318" s="799"/>
      <c r="BA318" s="799"/>
      <c r="BB318" s="799"/>
      <c r="BC318" s="799"/>
      <c r="BD318" s="799"/>
      <c r="BE318" s="799"/>
      <c r="BF318" s="799"/>
      <c r="BG318" s="799"/>
    </row>
    <row r="319">
      <c r="H319" s="799"/>
      <c r="I319" s="799"/>
      <c r="J319" s="799"/>
      <c r="K319" s="799"/>
      <c r="L319" s="799"/>
      <c r="M319" s="799"/>
      <c r="N319" s="799"/>
      <c r="O319" s="799"/>
      <c r="P319" s="799"/>
      <c r="Q319" s="799"/>
      <c r="R319" s="799"/>
      <c r="S319" s="799"/>
      <c r="T319" s="799"/>
      <c r="U319" s="799"/>
      <c r="V319" s="799"/>
      <c r="W319" s="799"/>
      <c r="X319" s="799"/>
      <c r="Y319" s="799"/>
      <c r="Z319" s="799"/>
      <c r="AA319" s="799"/>
      <c r="AB319" s="799"/>
      <c r="AC319" s="799"/>
      <c r="AD319" s="799"/>
      <c r="AE319" s="799"/>
      <c r="AF319" s="799"/>
      <c r="AG319" s="799"/>
      <c r="AH319" s="799"/>
      <c r="AI319" s="799"/>
      <c r="AJ319" s="799"/>
      <c r="AK319" s="799"/>
      <c r="AL319" s="799"/>
      <c r="AM319" s="799"/>
      <c r="AN319" s="799"/>
      <c r="AO319" s="799"/>
      <c r="AP319" s="799"/>
      <c r="AQ319" s="799"/>
      <c r="AR319" s="799"/>
      <c r="AS319" s="799"/>
      <c r="AT319" s="799"/>
      <c r="AU319" s="799"/>
      <c r="AV319" s="799"/>
      <c r="AW319" s="799"/>
      <c r="AX319" s="799"/>
      <c r="AY319" s="799"/>
      <c r="AZ319" s="799"/>
      <c r="BA319" s="799"/>
      <c r="BB319" s="799"/>
      <c r="BC319" s="799"/>
      <c r="BD319" s="799"/>
      <c r="BE319" s="799"/>
      <c r="BF319" s="799"/>
      <c r="BG319" s="799"/>
    </row>
    <row r="320">
      <c r="H320" s="799"/>
      <c r="I320" s="799"/>
      <c r="J320" s="799"/>
      <c r="K320" s="799"/>
      <c r="L320" s="799"/>
      <c r="M320" s="799"/>
      <c r="N320" s="799"/>
      <c r="O320" s="799"/>
      <c r="P320" s="799"/>
      <c r="Q320" s="799"/>
      <c r="R320" s="799"/>
      <c r="S320" s="799"/>
      <c r="T320" s="799"/>
      <c r="U320" s="799"/>
      <c r="V320" s="799"/>
      <c r="W320" s="799"/>
      <c r="X320" s="799"/>
      <c r="Y320" s="799"/>
      <c r="Z320" s="799"/>
      <c r="AA320" s="799"/>
      <c r="AB320" s="799"/>
      <c r="AC320" s="799"/>
      <c r="AD320" s="799"/>
      <c r="AE320" s="799"/>
      <c r="AF320" s="799"/>
      <c r="AG320" s="799"/>
      <c r="AH320" s="799"/>
      <c r="AI320" s="799"/>
      <c r="AJ320" s="799"/>
      <c r="AK320" s="799"/>
      <c r="AL320" s="799"/>
      <c r="AM320" s="799"/>
      <c r="AN320" s="799"/>
      <c r="AO320" s="799"/>
      <c r="AP320" s="799"/>
      <c r="AQ320" s="799"/>
      <c r="AR320" s="799"/>
      <c r="AS320" s="799"/>
      <c r="AT320" s="799"/>
      <c r="AU320" s="799"/>
      <c r="AV320" s="799"/>
      <c r="AW320" s="799"/>
      <c r="AX320" s="799"/>
      <c r="AY320" s="799"/>
      <c r="AZ320" s="799"/>
      <c r="BA320" s="799"/>
      <c r="BB320" s="799"/>
      <c r="BC320" s="799"/>
      <c r="BD320" s="799"/>
      <c r="BE320" s="799"/>
      <c r="BF320" s="799"/>
      <c r="BG320" s="799"/>
    </row>
    <row r="321">
      <c r="H321" s="799"/>
      <c r="I321" s="799"/>
      <c r="J321" s="799"/>
      <c r="K321" s="799"/>
      <c r="L321" s="799"/>
      <c r="M321" s="799"/>
      <c r="N321" s="799"/>
      <c r="O321" s="799"/>
      <c r="P321" s="799"/>
      <c r="Q321" s="799"/>
      <c r="R321" s="799"/>
      <c r="S321" s="799"/>
      <c r="T321" s="799"/>
      <c r="U321" s="799"/>
      <c r="V321" s="799"/>
      <c r="W321" s="799"/>
      <c r="X321" s="799"/>
      <c r="Y321" s="799"/>
      <c r="Z321" s="799"/>
      <c r="AA321" s="799"/>
      <c r="AB321" s="799"/>
      <c r="AC321" s="799"/>
      <c r="AD321" s="799"/>
      <c r="AE321" s="799"/>
      <c r="AF321" s="799"/>
      <c r="AG321" s="799"/>
      <c r="AH321" s="799"/>
      <c r="AI321" s="799"/>
      <c r="AJ321" s="799"/>
      <c r="AK321" s="799"/>
      <c r="AL321" s="799"/>
      <c r="AM321" s="799"/>
      <c r="AN321" s="799"/>
      <c r="AO321" s="799"/>
      <c r="AP321" s="799"/>
      <c r="AQ321" s="799"/>
      <c r="AR321" s="799"/>
      <c r="AS321" s="799"/>
      <c r="AT321" s="799"/>
      <c r="AU321" s="799"/>
      <c r="AV321" s="799"/>
      <c r="AW321" s="799"/>
      <c r="AX321" s="799"/>
      <c r="AY321" s="799"/>
      <c r="AZ321" s="799"/>
      <c r="BA321" s="799"/>
      <c r="BB321" s="799"/>
      <c r="BC321" s="799"/>
      <c r="BD321" s="799"/>
      <c r="BE321" s="799"/>
      <c r="BF321" s="799"/>
      <c r="BG321" s="799"/>
    </row>
    <row r="322">
      <c r="H322" s="799"/>
      <c r="I322" s="799"/>
      <c r="J322" s="799"/>
      <c r="K322" s="799"/>
      <c r="L322" s="799"/>
      <c r="M322" s="799"/>
      <c r="N322" s="799"/>
      <c r="O322" s="799"/>
      <c r="P322" s="799"/>
      <c r="Q322" s="799"/>
      <c r="R322" s="799"/>
      <c r="S322" s="799"/>
      <c r="T322" s="799"/>
      <c r="U322" s="799"/>
      <c r="V322" s="799"/>
      <c r="W322" s="799"/>
      <c r="X322" s="799"/>
      <c r="Y322" s="799"/>
      <c r="Z322" s="799"/>
      <c r="AA322" s="799"/>
      <c r="AB322" s="799"/>
      <c r="AC322" s="799"/>
      <c r="AD322" s="799"/>
      <c r="AE322" s="799"/>
      <c r="AF322" s="799"/>
      <c r="AG322" s="799"/>
      <c r="AH322" s="799"/>
      <c r="AI322" s="799"/>
      <c r="AJ322" s="799"/>
      <c r="AK322" s="799"/>
      <c r="AL322" s="799"/>
      <c r="AM322" s="799"/>
      <c r="AN322" s="799"/>
      <c r="AO322" s="799"/>
      <c r="AP322" s="799"/>
      <c r="AQ322" s="799"/>
      <c r="AR322" s="799"/>
      <c r="AS322" s="799"/>
      <c r="AT322" s="799"/>
      <c r="AU322" s="799"/>
      <c r="AV322" s="799"/>
      <c r="AW322" s="799"/>
      <c r="AX322" s="799"/>
      <c r="AY322" s="799"/>
      <c r="AZ322" s="799"/>
      <c r="BA322" s="799"/>
      <c r="BB322" s="799"/>
      <c r="BC322" s="799"/>
      <c r="BD322" s="799"/>
      <c r="BE322" s="799"/>
      <c r="BF322" s="799"/>
      <c r="BG322" s="799"/>
    </row>
    <row r="323">
      <c r="H323" s="799"/>
      <c r="I323" s="799"/>
      <c r="J323" s="799"/>
      <c r="K323" s="799"/>
      <c r="L323" s="799"/>
      <c r="M323" s="799"/>
      <c r="N323" s="799"/>
      <c r="O323" s="799"/>
      <c r="P323" s="799"/>
      <c r="Q323" s="799"/>
      <c r="R323" s="799"/>
      <c r="S323" s="799"/>
      <c r="T323" s="799"/>
      <c r="U323" s="799"/>
      <c r="V323" s="799"/>
      <c r="W323" s="799"/>
      <c r="X323" s="799"/>
      <c r="Y323" s="799"/>
      <c r="Z323" s="799"/>
      <c r="AA323" s="799"/>
      <c r="AB323" s="799"/>
      <c r="AC323" s="799"/>
      <c r="AD323" s="799"/>
      <c r="AE323" s="799"/>
      <c r="AF323" s="799"/>
      <c r="AG323" s="799"/>
      <c r="AH323" s="799"/>
      <c r="AI323" s="799"/>
      <c r="AJ323" s="799"/>
      <c r="AK323" s="799"/>
      <c r="AL323" s="799"/>
      <c r="AM323" s="799"/>
      <c r="AN323" s="799"/>
      <c r="AO323" s="799"/>
      <c r="AP323" s="799"/>
      <c r="AQ323" s="799"/>
      <c r="AR323" s="799"/>
      <c r="AS323" s="799"/>
      <c r="AT323" s="799"/>
      <c r="AU323" s="799"/>
      <c r="AV323" s="799"/>
      <c r="AW323" s="799"/>
      <c r="AX323" s="799"/>
      <c r="AY323" s="799"/>
      <c r="AZ323" s="799"/>
      <c r="BA323" s="799"/>
      <c r="BB323" s="799"/>
      <c r="BC323" s="799"/>
      <c r="BD323" s="799"/>
      <c r="BE323" s="799"/>
      <c r="BF323" s="799"/>
      <c r="BG323" s="799"/>
    </row>
    <row r="324">
      <c r="H324" s="799"/>
      <c r="I324" s="799"/>
      <c r="J324" s="799"/>
      <c r="K324" s="799"/>
      <c r="L324" s="799"/>
      <c r="M324" s="799"/>
      <c r="N324" s="799"/>
      <c r="O324" s="799"/>
      <c r="P324" s="799"/>
      <c r="Q324" s="799"/>
      <c r="R324" s="799"/>
      <c r="S324" s="799"/>
      <c r="T324" s="799"/>
      <c r="U324" s="799"/>
      <c r="V324" s="799"/>
      <c r="W324" s="799"/>
      <c r="X324" s="799"/>
      <c r="Y324" s="799"/>
      <c r="Z324" s="799"/>
      <c r="AA324" s="799"/>
      <c r="AB324" s="799"/>
      <c r="AC324" s="799"/>
      <c r="AD324" s="799"/>
      <c r="AE324" s="799"/>
      <c r="AF324" s="799"/>
      <c r="AG324" s="799"/>
      <c r="AH324" s="799"/>
      <c r="AI324" s="799"/>
      <c r="AJ324" s="799"/>
      <c r="AK324" s="799"/>
      <c r="AL324" s="799"/>
      <c r="AM324" s="799"/>
      <c r="AN324" s="799"/>
      <c r="AO324" s="799"/>
      <c r="AP324" s="799"/>
      <c r="AQ324" s="799"/>
      <c r="AR324" s="799"/>
      <c r="AS324" s="799"/>
      <c r="AT324" s="799"/>
      <c r="AU324" s="799"/>
      <c r="AV324" s="799"/>
      <c r="AW324" s="799"/>
      <c r="AX324" s="799"/>
      <c r="AY324" s="799"/>
      <c r="AZ324" s="799"/>
      <c r="BA324" s="799"/>
      <c r="BB324" s="799"/>
      <c r="BC324" s="799"/>
      <c r="BD324" s="799"/>
      <c r="BE324" s="799"/>
      <c r="BF324" s="799"/>
      <c r="BG324" s="799"/>
    </row>
    <row r="325">
      <c r="H325" s="799"/>
      <c r="I325" s="799"/>
      <c r="J325" s="799"/>
      <c r="K325" s="799"/>
      <c r="L325" s="799"/>
      <c r="M325" s="799"/>
      <c r="N325" s="799"/>
      <c r="O325" s="799"/>
      <c r="P325" s="799"/>
      <c r="Q325" s="799"/>
      <c r="R325" s="799"/>
      <c r="S325" s="799"/>
      <c r="T325" s="799"/>
      <c r="U325" s="799"/>
      <c r="V325" s="799"/>
      <c r="W325" s="799"/>
      <c r="X325" s="799"/>
      <c r="Y325" s="799"/>
      <c r="Z325" s="799"/>
      <c r="AA325" s="799"/>
      <c r="AB325" s="799"/>
      <c r="AC325" s="799"/>
      <c r="AD325" s="799"/>
      <c r="AE325" s="799"/>
      <c r="AF325" s="799"/>
      <c r="AG325" s="799"/>
      <c r="AH325" s="799"/>
      <c r="AI325" s="799"/>
      <c r="AJ325" s="799"/>
      <c r="AK325" s="799"/>
      <c r="AL325" s="799"/>
      <c r="AM325" s="799"/>
      <c r="AN325" s="799"/>
      <c r="AO325" s="799"/>
      <c r="AP325" s="799"/>
      <c r="AQ325" s="799"/>
      <c r="AR325" s="799"/>
      <c r="AS325" s="799"/>
      <c r="AT325" s="799"/>
      <c r="AU325" s="799"/>
      <c r="AV325" s="799"/>
      <c r="AW325" s="799"/>
      <c r="AX325" s="799"/>
      <c r="AY325" s="799"/>
      <c r="AZ325" s="799"/>
      <c r="BA325" s="799"/>
      <c r="BB325" s="799"/>
      <c r="BC325" s="799"/>
      <c r="BD325" s="799"/>
      <c r="BE325" s="799"/>
      <c r="BF325" s="799"/>
      <c r="BG325" s="799"/>
    </row>
    <row r="326">
      <c r="H326" s="799"/>
      <c r="I326" s="799"/>
      <c r="J326" s="799"/>
      <c r="K326" s="799"/>
      <c r="L326" s="799"/>
      <c r="M326" s="799"/>
      <c r="N326" s="799"/>
      <c r="O326" s="799"/>
      <c r="P326" s="799"/>
      <c r="Q326" s="799"/>
      <c r="R326" s="799"/>
      <c r="S326" s="799"/>
      <c r="T326" s="799"/>
      <c r="U326" s="799"/>
      <c r="V326" s="799"/>
      <c r="W326" s="799"/>
      <c r="X326" s="799"/>
      <c r="Y326" s="799"/>
      <c r="Z326" s="799"/>
      <c r="AA326" s="799"/>
      <c r="AB326" s="799"/>
      <c r="AC326" s="799"/>
      <c r="AD326" s="799"/>
      <c r="AE326" s="799"/>
      <c r="AF326" s="799"/>
      <c r="AG326" s="799"/>
      <c r="AH326" s="799"/>
      <c r="AI326" s="799"/>
      <c r="AJ326" s="799"/>
      <c r="AK326" s="799"/>
      <c r="AL326" s="799"/>
      <c r="AM326" s="799"/>
      <c r="AN326" s="799"/>
      <c r="AO326" s="799"/>
      <c r="AP326" s="799"/>
      <c r="AQ326" s="799"/>
      <c r="AR326" s="799"/>
      <c r="AS326" s="799"/>
      <c r="AT326" s="799"/>
      <c r="AU326" s="799"/>
      <c r="AV326" s="799"/>
      <c r="AW326" s="799"/>
      <c r="AX326" s="799"/>
      <c r="AY326" s="799"/>
      <c r="AZ326" s="799"/>
      <c r="BA326" s="799"/>
      <c r="BB326" s="799"/>
      <c r="BC326" s="799"/>
      <c r="BD326" s="799"/>
      <c r="BE326" s="799"/>
      <c r="BF326" s="799"/>
      <c r="BG326" s="799"/>
    </row>
    <row r="327">
      <c r="H327" s="799"/>
      <c r="I327" s="799"/>
      <c r="J327" s="799"/>
      <c r="K327" s="799"/>
      <c r="L327" s="799"/>
      <c r="M327" s="799"/>
      <c r="N327" s="799"/>
      <c r="O327" s="799"/>
      <c r="P327" s="799"/>
      <c r="Q327" s="799"/>
      <c r="R327" s="799"/>
      <c r="S327" s="799"/>
      <c r="T327" s="799"/>
      <c r="U327" s="799"/>
      <c r="V327" s="799"/>
      <c r="W327" s="799"/>
      <c r="X327" s="799"/>
      <c r="Y327" s="799"/>
      <c r="Z327" s="799"/>
      <c r="AA327" s="799"/>
      <c r="AB327" s="799"/>
      <c r="AC327" s="799"/>
      <c r="AD327" s="799"/>
      <c r="AE327" s="799"/>
      <c r="AF327" s="799"/>
      <c r="AG327" s="799"/>
      <c r="AH327" s="799"/>
      <c r="AI327" s="799"/>
      <c r="AJ327" s="799"/>
      <c r="AK327" s="799"/>
      <c r="AL327" s="799"/>
      <c r="AM327" s="799"/>
      <c r="AN327" s="799"/>
      <c r="AO327" s="799"/>
      <c r="AP327" s="799"/>
      <c r="AQ327" s="799"/>
      <c r="AR327" s="799"/>
      <c r="AS327" s="799"/>
      <c r="AT327" s="799"/>
      <c r="AU327" s="799"/>
      <c r="AV327" s="799"/>
      <c r="AW327" s="799"/>
      <c r="AX327" s="799"/>
      <c r="AY327" s="799"/>
      <c r="AZ327" s="799"/>
      <c r="BA327" s="799"/>
      <c r="BB327" s="799"/>
      <c r="BC327" s="799"/>
      <c r="BD327" s="799"/>
      <c r="BE327" s="799"/>
      <c r="BF327" s="799"/>
      <c r="BG327" s="799"/>
    </row>
    <row r="328">
      <c r="H328" s="799"/>
      <c r="I328" s="799"/>
      <c r="J328" s="799"/>
      <c r="K328" s="799"/>
      <c r="L328" s="799"/>
      <c r="M328" s="799"/>
      <c r="N328" s="799"/>
      <c r="O328" s="799"/>
      <c r="P328" s="799"/>
      <c r="Q328" s="799"/>
      <c r="R328" s="799"/>
      <c r="S328" s="799"/>
      <c r="T328" s="799"/>
      <c r="U328" s="799"/>
      <c r="V328" s="799"/>
      <c r="W328" s="799"/>
      <c r="X328" s="799"/>
      <c r="Y328" s="799"/>
      <c r="Z328" s="799"/>
      <c r="AA328" s="799"/>
      <c r="AB328" s="799"/>
      <c r="AC328" s="799"/>
      <c r="AD328" s="799"/>
      <c r="AE328" s="799"/>
      <c r="AF328" s="799"/>
      <c r="AG328" s="799"/>
      <c r="AH328" s="799"/>
      <c r="AI328" s="799"/>
      <c r="AJ328" s="799"/>
      <c r="AK328" s="799"/>
      <c r="AL328" s="799"/>
      <c r="AM328" s="799"/>
      <c r="AN328" s="799"/>
      <c r="AO328" s="799"/>
      <c r="AP328" s="799"/>
      <c r="AQ328" s="799"/>
      <c r="AR328" s="799"/>
      <c r="AS328" s="799"/>
      <c r="AT328" s="799"/>
      <c r="AU328" s="799"/>
      <c r="AV328" s="799"/>
      <c r="AW328" s="799"/>
      <c r="AX328" s="799"/>
      <c r="AY328" s="799"/>
      <c r="AZ328" s="799"/>
      <c r="BA328" s="799"/>
      <c r="BB328" s="799"/>
      <c r="BC328" s="799"/>
      <c r="BD328" s="799"/>
      <c r="BE328" s="799"/>
      <c r="BF328" s="799"/>
      <c r="BG328" s="799"/>
    </row>
    <row r="329">
      <c r="H329" s="799"/>
      <c r="I329" s="799"/>
      <c r="J329" s="799"/>
      <c r="K329" s="799"/>
      <c r="L329" s="799"/>
      <c r="M329" s="799"/>
      <c r="N329" s="799"/>
      <c r="O329" s="799"/>
      <c r="P329" s="799"/>
      <c r="Q329" s="799"/>
      <c r="R329" s="799"/>
      <c r="S329" s="799"/>
      <c r="T329" s="799"/>
      <c r="U329" s="799"/>
      <c r="V329" s="799"/>
      <c r="W329" s="799"/>
      <c r="X329" s="799"/>
      <c r="Y329" s="799"/>
      <c r="Z329" s="799"/>
      <c r="AA329" s="799"/>
      <c r="AB329" s="799"/>
      <c r="AC329" s="799"/>
      <c r="AD329" s="799"/>
      <c r="AE329" s="799"/>
      <c r="AF329" s="799"/>
      <c r="AG329" s="799"/>
      <c r="AH329" s="799"/>
      <c r="AI329" s="799"/>
      <c r="AJ329" s="799"/>
      <c r="AK329" s="799"/>
      <c r="AL329" s="799"/>
      <c r="AM329" s="799"/>
      <c r="AN329" s="799"/>
      <c r="AO329" s="799"/>
      <c r="AP329" s="799"/>
      <c r="AQ329" s="799"/>
      <c r="AR329" s="799"/>
      <c r="AS329" s="799"/>
      <c r="AT329" s="799"/>
      <c r="AU329" s="799"/>
      <c r="AV329" s="799"/>
      <c r="AW329" s="799"/>
      <c r="AX329" s="799"/>
      <c r="AY329" s="799"/>
      <c r="AZ329" s="799"/>
      <c r="BA329" s="799"/>
      <c r="BB329" s="799"/>
      <c r="BC329" s="799"/>
      <c r="BD329" s="799"/>
      <c r="BE329" s="799"/>
      <c r="BF329" s="799"/>
      <c r="BG329" s="799"/>
    </row>
    <row r="330">
      <c r="H330" s="799"/>
      <c r="I330" s="799"/>
      <c r="J330" s="799"/>
      <c r="K330" s="799"/>
      <c r="L330" s="799"/>
      <c r="M330" s="799"/>
      <c r="N330" s="799"/>
      <c r="O330" s="799"/>
      <c r="P330" s="799"/>
      <c r="Q330" s="799"/>
      <c r="R330" s="799"/>
      <c r="S330" s="799"/>
      <c r="T330" s="799"/>
      <c r="U330" s="799"/>
      <c r="V330" s="799"/>
      <c r="W330" s="799"/>
      <c r="X330" s="799"/>
      <c r="Y330" s="799"/>
      <c r="Z330" s="799"/>
      <c r="AA330" s="799"/>
      <c r="AB330" s="799"/>
      <c r="AC330" s="799"/>
      <c r="AD330" s="799"/>
      <c r="AE330" s="799"/>
      <c r="AF330" s="799"/>
      <c r="AG330" s="799"/>
      <c r="AH330" s="799"/>
      <c r="AI330" s="799"/>
      <c r="AJ330" s="799"/>
      <c r="AK330" s="799"/>
      <c r="AL330" s="799"/>
      <c r="AM330" s="799"/>
      <c r="AN330" s="799"/>
      <c r="AO330" s="799"/>
      <c r="AP330" s="799"/>
      <c r="AQ330" s="799"/>
      <c r="AR330" s="799"/>
      <c r="AS330" s="799"/>
      <c r="AT330" s="799"/>
      <c r="AU330" s="799"/>
      <c r="AV330" s="799"/>
      <c r="AW330" s="799"/>
      <c r="AX330" s="799"/>
      <c r="AY330" s="799"/>
      <c r="AZ330" s="799"/>
      <c r="BA330" s="799"/>
      <c r="BB330" s="799"/>
      <c r="BC330" s="799"/>
      <c r="BD330" s="799"/>
      <c r="BE330" s="799"/>
      <c r="BF330" s="799"/>
      <c r="BG330" s="799"/>
    </row>
    <row r="331">
      <c r="H331" s="799"/>
      <c r="I331" s="799"/>
      <c r="J331" s="799"/>
      <c r="K331" s="799"/>
      <c r="L331" s="799"/>
      <c r="M331" s="799"/>
      <c r="N331" s="799"/>
      <c r="O331" s="799"/>
      <c r="P331" s="799"/>
      <c r="Q331" s="799"/>
      <c r="R331" s="799"/>
      <c r="S331" s="799"/>
      <c r="T331" s="799"/>
      <c r="U331" s="799"/>
      <c r="V331" s="799"/>
      <c r="W331" s="799"/>
      <c r="X331" s="799"/>
      <c r="Y331" s="799"/>
      <c r="Z331" s="799"/>
      <c r="AA331" s="799"/>
      <c r="AB331" s="799"/>
      <c r="AC331" s="799"/>
      <c r="AD331" s="799"/>
      <c r="AE331" s="799"/>
      <c r="AF331" s="799"/>
      <c r="AG331" s="799"/>
      <c r="AH331" s="799"/>
      <c r="AI331" s="799"/>
      <c r="AJ331" s="799"/>
      <c r="AK331" s="799"/>
      <c r="AL331" s="799"/>
      <c r="AM331" s="799"/>
      <c r="AN331" s="799"/>
      <c r="AO331" s="799"/>
      <c r="AP331" s="799"/>
      <c r="AQ331" s="799"/>
      <c r="AR331" s="799"/>
      <c r="AS331" s="799"/>
      <c r="AT331" s="799"/>
      <c r="AU331" s="799"/>
      <c r="AV331" s="799"/>
      <c r="AW331" s="799"/>
      <c r="AX331" s="799"/>
      <c r="AY331" s="799"/>
      <c r="AZ331" s="799"/>
      <c r="BA331" s="799"/>
      <c r="BB331" s="799"/>
      <c r="BC331" s="799"/>
      <c r="BD331" s="799"/>
      <c r="BE331" s="799"/>
      <c r="BF331" s="799"/>
      <c r="BG331" s="799"/>
    </row>
    <row r="332">
      <c r="H332" s="799"/>
      <c r="I332" s="799"/>
      <c r="J332" s="799"/>
      <c r="K332" s="799"/>
      <c r="L332" s="799"/>
      <c r="M332" s="799"/>
      <c r="N332" s="799"/>
      <c r="O332" s="799"/>
      <c r="P332" s="799"/>
      <c r="Q332" s="799"/>
      <c r="R332" s="799"/>
      <c r="S332" s="799"/>
      <c r="T332" s="799"/>
      <c r="U332" s="799"/>
      <c r="V332" s="799"/>
      <c r="W332" s="799"/>
      <c r="X332" s="799"/>
      <c r="Y332" s="799"/>
      <c r="Z332" s="799"/>
      <c r="AA332" s="799"/>
      <c r="AB332" s="799"/>
      <c r="AC332" s="799"/>
      <c r="AD332" s="799"/>
      <c r="AE332" s="799"/>
      <c r="AF332" s="799"/>
      <c r="AG332" s="799"/>
      <c r="AH332" s="799"/>
      <c r="AI332" s="799"/>
      <c r="AJ332" s="799"/>
      <c r="AK332" s="799"/>
      <c r="AL332" s="799"/>
      <c r="AM332" s="799"/>
      <c r="AN332" s="799"/>
      <c r="AO332" s="799"/>
      <c r="AP332" s="799"/>
      <c r="AQ332" s="799"/>
      <c r="AR332" s="799"/>
      <c r="AS332" s="799"/>
      <c r="AT332" s="799"/>
      <c r="AU332" s="799"/>
      <c r="AV332" s="799"/>
      <c r="AW332" s="799"/>
      <c r="AX332" s="799"/>
      <c r="AY332" s="799"/>
      <c r="AZ332" s="799"/>
      <c r="BA332" s="799"/>
      <c r="BB332" s="799"/>
      <c r="BC332" s="799"/>
      <c r="BD332" s="799"/>
      <c r="BE332" s="799"/>
      <c r="BF332" s="799"/>
      <c r="BG332" s="799"/>
    </row>
    <row r="333">
      <c r="H333" s="799"/>
      <c r="I333" s="799"/>
      <c r="J333" s="799"/>
      <c r="K333" s="799"/>
      <c r="L333" s="799"/>
      <c r="M333" s="799"/>
      <c r="N333" s="799"/>
      <c r="O333" s="799"/>
      <c r="P333" s="799"/>
      <c r="Q333" s="799"/>
      <c r="R333" s="799"/>
      <c r="S333" s="799"/>
      <c r="T333" s="799"/>
      <c r="U333" s="799"/>
      <c r="V333" s="799"/>
      <c r="W333" s="799"/>
      <c r="X333" s="799"/>
      <c r="Y333" s="799"/>
      <c r="Z333" s="799"/>
      <c r="AA333" s="799"/>
      <c r="AB333" s="799"/>
      <c r="AC333" s="799"/>
      <c r="AD333" s="799"/>
      <c r="AE333" s="799"/>
      <c r="AF333" s="799"/>
      <c r="AG333" s="799"/>
      <c r="AH333" s="799"/>
      <c r="AI333" s="799"/>
      <c r="AJ333" s="799"/>
      <c r="AK333" s="799"/>
      <c r="AL333" s="799"/>
      <c r="AM333" s="799"/>
      <c r="AN333" s="799"/>
      <c r="AO333" s="799"/>
      <c r="AP333" s="799"/>
      <c r="AQ333" s="799"/>
      <c r="AR333" s="799"/>
      <c r="AS333" s="799"/>
      <c r="AT333" s="799"/>
      <c r="AU333" s="799"/>
      <c r="AV333" s="799"/>
      <c r="AW333" s="799"/>
      <c r="AX333" s="799"/>
      <c r="AY333" s="799"/>
      <c r="AZ333" s="799"/>
      <c r="BA333" s="799"/>
      <c r="BB333" s="799"/>
      <c r="BC333" s="799"/>
      <c r="BD333" s="799"/>
      <c r="BE333" s="799"/>
      <c r="BF333" s="799"/>
      <c r="BG333" s="799"/>
    </row>
    <row r="334">
      <c r="H334" s="799"/>
      <c r="I334" s="799"/>
      <c r="J334" s="799"/>
      <c r="K334" s="799"/>
      <c r="L334" s="799"/>
      <c r="M334" s="799"/>
      <c r="N334" s="799"/>
      <c r="O334" s="799"/>
      <c r="P334" s="799"/>
      <c r="Q334" s="799"/>
      <c r="R334" s="799"/>
      <c r="S334" s="799"/>
      <c r="T334" s="799"/>
      <c r="U334" s="799"/>
      <c r="V334" s="799"/>
      <c r="W334" s="799"/>
      <c r="X334" s="799"/>
      <c r="Y334" s="799"/>
      <c r="Z334" s="799"/>
      <c r="AA334" s="799"/>
      <c r="AB334" s="799"/>
      <c r="AC334" s="799"/>
      <c r="AD334" s="799"/>
      <c r="AE334" s="799"/>
      <c r="AF334" s="799"/>
      <c r="AG334" s="799"/>
      <c r="AH334" s="799"/>
      <c r="AI334" s="799"/>
      <c r="AJ334" s="799"/>
      <c r="AK334" s="799"/>
      <c r="AL334" s="799"/>
      <c r="AM334" s="799"/>
      <c r="AN334" s="799"/>
      <c r="AO334" s="799"/>
      <c r="AP334" s="799"/>
      <c r="AQ334" s="799"/>
      <c r="AR334" s="799"/>
      <c r="AS334" s="799"/>
      <c r="AT334" s="799"/>
      <c r="AU334" s="799"/>
      <c r="AV334" s="799"/>
      <c r="AW334" s="799"/>
      <c r="AX334" s="799"/>
      <c r="AY334" s="799"/>
      <c r="AZ334" s="799"/>
      <c r="BA334" s="799"/>
      <c r="BB334" s="799"/>
      <c r="BC334" s="799"/>
      <c r="BD334" s="799"/>
      <c r="BE334" s="799"/>
      <c r="BF334" s="799"/>
      <c r="BG334" s="799"/>
    </row>
    <row r="335">
      <c r="H335" s="799"/>
      <c r="I335" s="799"/>
      <c r="J335" s="799"/>
      <c r="K335" s="799"/>
      <c r="L335" s="799"/>
      <c r="M335" s="799"/>
      <c r="N335" s="799"/>
      <c r="O335" s="799"/>
      <c r="P335" s="799"/>
      <c r="Q335" s="799"/>
      <c r="R335" s="799"/>
      <c r="S335" s="799"/>
      <c r="T335" s="799"/>
      <c r="U335" s="799"/>
      <c r="V335" s="799"/>
      <c r="W335" s="799"/>
      <c r="X335" s="799"/>
      <c r="Y335" s="799"/>
      <c r="Z335" s="799"/>
      <c r="AA335" s="799"/>
      <c r="AB335" s="799"/>
      <c r="AC335" s="799"/>
      <c r="AD335" s="799"/>
      <c r="AE335" s="799"/>
      <c r="AF335" s="799"/>
      <c r="AG335" s="799"/>
      <c r="AH335" s="799"/>
      <c r="AI335" s="799"/>
      <c r="AJ335" s="799"/>
      <c r="AK335" s="799"/>
      <c r="AL335" s="799"/>
      <c r="AM335" s="799"/>
      <c r="AN335" s="799"/>
      <c r="AO335" s="799"/>
      <c r="AP335" s="799"/>
      <c r="AQ335" s="799"/>
      <c r="AR335" s="799"/>
      <c r="AS335" s="799"/>
      <c r="AT335" s="799"/>
      <c r="AU335" s="799"/>
      <c r="AV335" s="799"/>
      <c r="AW335" s="799"/>
      <c r="AX335" s="799"/>
      <c r="AY335" s="799"/>
      <c r="AZ335" s="799"/>
      <c r="BA335" s="799"/>
      <c r="BB335" s="799"/>
      <c r="BC335" s="799"/>
      <c r="BD335" s="799"/>
      <c r="BE335" s="799"/>
      <c r="BF335" s="799"/>
      <c r="BG335" s="799"/>
    </row>
    <row r="336">
      <c r="H336" s="799"/>
      <c r="I336" s="799"/>
      <c r="J336" s="799"/>
      <c r="K336" s="799"/>
      <c r="L336" s="799"/>
      <c r="M336" s="799"/>
      <c r="N336" s="799"/>
      <c r="O336" s="799"/>
      <c r="P336" s="799"/>
      <c r="Q336" s="799"/>
      <c r="R336" s="799"/>
      <c r="S336" s="799"/>
      <c r="T336" s="799"/>
      <c r="U336" s="799"/>
      <c r="V336" s="799"/>
      <c r="W336" s="799"/>
      <c r="X336" s="799"/>
      <c r="Y336" s="799"/>
      <c r="Z336" s="799"/>
      <c r="AA336" s="799"/>
      <c r="AB336" s="799"/>
      <c r="AC336" s="799"/>
      <c r="AD336" s="799"/>
      <c r="AE336" s="799"/>
      <c r="AF336" s="799"/>
      <c r="AG336" s="799"/>
      <c r="AH336" s="799"/>
      <c r="AI336" s="799"/>
      <c r="AJ336" s="799"/>
      <c r="AK336" s="799"/>
      <c r="AL336" s="799"/>
      <c r="AM336" s="799"/>
      <c r="AN336" s="799"/>
      <c r="AO336" s="799"/>
      <c r="AP336" s="799"/>
      <c r="AQ336" s="799"/>
      <c r="AR336" s="799"/>
      <c r="AS336" s="799"/>
      <c r="AT336" s="799"/>
      <c r="AU336" s="799"/>
      <c r="AV336" s="799"/>
      <c r="AW336" s="799"/>
      <c r="AX336" s="799"/>
      <c r="AY336" s="799"/>
      <c r="AZ336" s="799"/>
      <c r="BA336" s="799"/>
      <c r="BB336" s="799"/>
      <c r="BC336" s="799"/>
      <c r="BD336" s="799"/>
      <c r="BE336" s="799"/>
      <c r="BF336" s="799"/>
      <c r="BG336" s="799"/>
    </row>
    <row r="337">
      <c r="H337" s="799"/>
      <c r="I337" s="799"/>
      <c r="J337" s="799"/>
      <c r="K337" s="799"/>
      <c r="L337" s="799"/>
      <c r="M337" s="799"/>
      <c r="N337" s="799"/>
      <c r="O337" s="799"/>
      <c r="P337" s="799"/>
      <c r="Q337" s="799"/>
      <c r="R337" s="799"/>
      <c r="S337" s="799"/>
      <c r="T337" s="799"/>
      <c r="U337" s="799"/>
      <c r="V337" s="799"/>
      <c r="W337" s="799"/>
      <c r="X337" s="799"/>
      <c r="Y337" s="799"/>
      <c r="Z337" s="799"/>
      <c r="AA337" s="799"/>
      <c r="AB337" s="799"/>
      <c r="AC337" s="799"/>
      <c r="AD337" s="799"/>
      <c r="AE337" s="799"/>
      <c r="AF337" s="799"/>
      <c r="AG337" s="799"/>
      <c r="AH337" s="799"/>
      <c r="AI337" s="799"/>
      <c r="AJ337" s="799"/>
      <c r="AK337" s="799"/>
      <c r="AL337" s="799"/>
      <c r="AM337" s="799"/>
      <c r="AN337" s="799"/>
      <c r="AO337" s="799"/>
      <c r="AP337" s="799"/>
      <c r="AQ337" s="799"/>
      <c r="AR337" s="799"/>
      <c r="AS337" s="799"/>
      <c r="AT337" s="799"/>
      <c r="AU337" s="799"/>
      <c r="AV337" s="799"/>
      <c r="AW337" s="799"/>
      <c r="AX337" s="799"/>
      <c r="AY337" s="799"/>
      <c r="AZ337" s="799"/>
      <c r="BA337" s="799"/>
      <c r="BB337" s="799"/>
      <c r="BC337" s="799"/>
      <c r="BD337" s="799"/>
      <c r="BE337" s="799"/>
      <c r="BF337" s="799"/>
      <c r="BG337" s="799"/>
    </row>
    <row r="338">
      <c r="H338" s="799"/>
      <c r="I338" s="799"/>
      <c r="J338" s="799"/>
      <c r="K338" s="799"/>
      <c r="L338" s="799"/>
      <c r="M338" s="799"/>
      <c r="N338" s="799"/>
      <c r="O338" s="799"/>
      <c r="P338" s="799"/>
      <c r="Q338" s="799"/>
      <c r="R338" s="799"/>
      <c r="S338" s="799"/>
      <c r="T338" s="799"/>
      <c r="U338" s="799"/>
      <c r="V338" s="799"/>
      <c r="W338" s="799"/>
      <c r="X338" s="799"/>
      <c r="Y338" s="799"/>
      <c r="Z338" s="799"/>
      <c r="AA338" s="799"/>
      <c r="AB338" s="799"/>
      <c r="AC338" s="799"/>
      <c r="AD338" s="799"/>
      <c r="AE338" s="799"/>
      <c r="AF338" s="799"/>
      <c r="AG338" s="799"/>
      <c r="AH338" s="799"/>
      <c r="AI338" s="799"/>
      <c r="AJ338" s="799"/>
      <c r="AK338" s="799"/>
      <c r="AL338" s="799"/>
      <c r="AM338" s="799"/>
      <c r="AN338" s="799"/>
      <c r="AO338" s="799"/>
      <c r="AP338" s="799"/>
      <c r="AQ338" s="799"/>
      <c r="AR338" s="799"/>
      <c r="AS338" s="799"/>
      <c r="AT338" s="799"/>
      <c r="AU338" s="799"/>
      <c r="AV338" s="799"/>
      <c r="AW338" s="799"/>
      <c r="AX338" s="799"/>
      <c r="AY338" s="799"/>
      <c r="AZ338" s="799"/>
      <c r="BA338" s="799"/>
      <c r="BB338" s="799"/>
      <c r="BC338" s="799"/>
      <c r="BD338" s="799"/>
      <c r="BE338" s="799"/>
      <c r="BF338" s="799"/>
      <c r="BG338" s="799"/>
    </row>
    <row r="339">
      <c r="H339" s="799"/>
      <c r="I339" s="799"/>
      <c r="J339" s="799"/>
      <c r="K339" s="799"/>
      <c r="L339" s="799"/>
      <c r="M339" s="799"/>
      <c r="N339" s="799"/>
      <c r="O339" s="799"/>
      <c r="P339" s="799"/>
      <c r="Q339" s="799"/>
      <c r="R339" s="799"/>
      <c r="S339" s="799"/>
      <c r="T339" s="799"/>
      <c r="U339" s="799"/>
      <c r="V339" s="799"/>
      <c r="W339" s="799"/>
      <c r="X339" s="799"/>
      <c r="Y339" s="799"/>
      <c r="Z339" s="799"/>
      <c r="AA339" s="799"/>
      <c r="AB339" s="799"/>
      <c r="AC339" s="799"/>
      <c r="AD339" s="799"/>
      <c r="AE339" s="799"/>
      <c r="AF339" s="799"/>
      <c r="AG339" s="799"/>
      <c r="AH339" s="799"/>
      <c r="AI339" s="799"/>
      <c r="AJ339" s="799"/>
      <c r="AK339" s="799"/>
      <c r="AL339" s="799"/>
      <c r="AM339" s="799"/>
      <c r="AN339" s="799"/>
      <c r="AO339" s="799"/>
      <c r="AP339" s="799"/>
      <c r="AQ339" s="799"/>
      <c r="AR339" s="799"/>
      <c r="AS339" s="799"/>
      <c r="AT339" s="799"/>
      <c r="AU339" s="799"/>
      <c r="AV339" s="799"/>
      <c r="AW339" s="799"/>
      <c r="AX339" s="799"/>
      <c r="AY339" s="799"/>
      <c r="AZ339" s="799"/>
      <c r="BA339" s="799"/>
      <c r="BB339" s="799"/>
      <c r="BC339" s="799"/>
      <c r="BD339" s="799"/>
      <c r="BE339" s="799"/>
      <c r="BF339" s="799"/>
      <c r="BG339" s="799"/>
    </row>
    <row r="340">
      <c r="H340" s="799"/>
      <c r="I340" s="799"/>
      <c r="J340" s="799"/>
      <c r="K340" s="799"/>
      <c r="L340" s="799"/>
      <c r="M340" s="799"/>
      <c r="N340" s="799"/>
      <c r="O340" s="799"/>
      <c r="P340" s="799"/>
      <c r="Q340" s="799"/>
      <c r="R340" s="799"/>
      <c r="S340" s="799"/>
      <c r="T340" s="799"/>
      <c r="U340" s="799"/>
      <c r="V340" s="799"/>
      <c r="W340" s="799"/>
      <c r="X340" s="799"/>
      <c r="Y340" s="799"/>
      <c r="Z340" s="799"/>
      <c r="AA340" s="799"/>
      <c r="AB340" s="799"/>
      <c r="AC340" s="799"/>
      <c r="AD340" s="799"/>
      <c r="AE340" s="799"/>
      <c r="AF340" s="799"/>
      <c r="AG340" s="799"/>
      <c r="AH340" s="799"/>
      <c r="AI340" s="799"/>
      <c r="AJ340" s="799"/>
      <c r="AK340" s="799"/>
      <c r="AL340" s="799"/>
      <c r="AM340" s="799"/>
      <c r="AN340" s="799"/>
      <c r="AO340" s="799"/>
      <c r="AP340" s="799"/>
      <c r="AQ340" s="799"/>
      <c r="AR340" s="799"/>
      <c r="AS340" s="799"/>
      <c r="AT340" s="799"/>
      <c r="AU340" s="799"/>
      <c r="AV340" s="799"/>
      <c r="AW340" s="799"/>
      <c r="AX340" s="799"/>
      <c r="AY340" s="799"/>
      <c r="AZ340" s="799"/>
      <c r="BA340" s="799"/>
      <c r="BB340" s="799"/>
      <c r="BC340" s="799"/>
      <c r="BD340" s="799"/>
      <c r="BE340" s="799"/>
      <c r="BF340" s="799"/>
      <c r="BG340" s="799"/>
    </row>
    <row r="341">
      <c r="H341" s="799"/>
      <c r="I341" s="799"/>
      <c r="J341" s="799"/>
      <c r="K341" s="799"/>
      <c r="L341" s="799"/>
      <c r="M341" s="799"/>
      <c r="N341" s="799"/>
      <c r="O341" s="799"/>
      <c r="P341" s="799"/>
      <c r="Q341" s="799"/>
      <c r="R341" s="799"/>
      <c r="S341" s="799"/>
      <c r="T341" s="799"/>
      <c r="U341" s="799"/>
      <c r="V341" s="799"/>
      <c r="W341" s="799"/>
      <c r="X341" s="799"/>
      <c r="Y341" s="799"/>
      <c r="Z341" s="799"/>
      <c r="AA341" s="799"/>
      <c r="AB341" s="799"/>
      <c r="AC341" s="799"/>
      <c r="AD341" s="799"/>
      <c r="AE341" s="799"/>
      <c r="AF341" s="799"/>
      <c r="AG341" s="799"/>
      <c r="AH341" s="799"/>
      <c r="AI341" s="799"/>
      <c r="AJ341" s="799"/>
      <c r="AK341" s="799"/>
      <c r="AL341" s="799"/>
      <c r="AM341" s="799"/>
      <c r="AN341" s="799"/>
      <c r="AO341" s="799"/>
      <c r="AP341" s="799"/>
      <c r="AQ341" s="799"/>
      <c r="AR341" s="799"/>
      <c r="AS341" s="799"/>
      <c r="AT341" s="799"/>
      <c r="AU341" s="799"/>
      <c r="AV341" s="799"/>
      <c r="AW341" s="799"/>
      <c r="AX341" s="799"/>
      <c r="AY341" s="799"/>
      <c r="AZ341" s="799"/>
      <c r="BA341" s="799"/>
      <c r="BB341" s="799"/>
      <c r="BC341" s="799"/>
      <c r="BD341" s="799"/>
      <c r="BE341" s="799"/>
      <c r="BF341" s="799"/>
      <c r="BG341" s="799"/>
    </row>
    <row r="342">
      <c r="H342" s="799"/>
      <c r="I342" s="799"/>
      <c r="J342" s="799"/>
      <c r="K342" s="799"/>
      <c r="L342" s="799"/>
      <c r="M342" s="799"/>
      <c r="N342" s="799"/>
      <c r="O342" s="799"/>
      <c r="P342" s="799"/>
      <c r="Q342" s="799"/>
      <c r="R342" s="799"/>
      <c r="S342" s="799"/>
      <c r="T342" s="799"/>
      <c r="U342" s="799"/>
      <c r="V342" s="799"/>
      <c r="W342" s="799"/>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c r="AV342" s="799"/>
      <c r="AW342" s="799"/>
      <c r="AX342" s="799"/>
      <c r="AY342" s="799"/>
      <c r="AZ342" s="799"/>
      <c r="BA342" s="799"/>
      <c r="BB342" s="799"/>
      <c r="BC342" s="799"/>
      <c r="BD342" s="799"/>
      <c r="BE342" s="799"/>
      <c r="BF342" s="799"/>
      <c r="BG342" s="799"/>
    </row>
    <row r="343">
      <c r="H343" s="799"/>
      <c r="I343" s="799"/>
      <c r="J343" s="799"/>
      <c r="K343" s="799"/>
      <c r="L343" s="799"/>
      <c r="M343" s="799"/>
      <c r="N343" s="799"/>
      <c r="O343" s="799"/>
      <c r="P343" s="799"/>
      <c r="Q343" s="799"/>
      <c r="R343" s="799"/>
      <c r="S343" s="799"/>
      <c r="T343" s="799"/>
      <c r="U343" s="799"/>
      <c r="V343" s="799"/>
      <c r="W343" s="799"/>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c r="AV343" s="799"/>
      <c r="AW343" s="799"/>
      <c r="AX343" s="799"/>
      <c r="AY343" s="799"/>
      <c r="AZ343" s="799"/>
      <c r="BA343" s="799"/>
      <c r="BB343" s="799"/>
      <c r="BC343" s="799"/>
      <c r="BD343" s="799"/>
      <c r="BE343" s="799"/>
      <c r="BF343" s="799"/>
      <c r="BG343" s="799"/>
    </row>
    <row r="344">
      <c r="H344" s="799"/>
      <c r="I344" s="799"/>
      <c r="J344" s="799"/>
      <c r="K344" s="799"/>
      <c r="L344" s="799"/>
      <c r="M344" s="799"/>
      <c r="N344" s="799"/>
      <c r="O344" s="799"/>
      <c r="P344" s="799"/>
      <c r="Q344" s="799"/>
      <c r="R344" s="799"/>
      <c r="S344" s="799"/>
      <c r="T344" s="799"/>
      <c r="U344" s="799"/>
      <c r="V344" s="799"/>
      <c r="W344" s="799"/>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c r="AV344" s="799"/>
      <c r="AW344" s="799"/>
      <c r="AX344" s="799"/>
      <c r="AY344" s="799"/>
      <c r="AZ344" s="799"/>
      <c r="BA344" s="799"/>
      <c r="BB344" s="799"/>
      <c r="BC344" s="799"/>
      <c r="BD344" s="799"/>
      <c r="BE344" s="799"/>
      <c r="BF344" s="799"/>
      <c r="BG344" s="799"/>
    </row>
    <row r="345">
      <c r="H345" s="799"/>
      <c r="I345" s="799"/>
      <c r="J345" s="799"/>
      <c r="K345" s="799"/>
      <c r="L345" s="799"/>
      <c r="M345" s="799"/>
      <c r="N345" s="799"/>
      <c r="O345" s="799"/>
      <c r="P345" s="799"/>
      <c r="Q345" s="799"/>
      <c r="R345" s="799"/>
      <c r="S345" s="799"/>
      <c r="T345" s="799"/>
      <c r="U345" s="799"/>
      <c r="V345" s="799"/>
      <c r="W345" s="799"/>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c r="AV345" s="799"/>
      <c r="AW345" s="799"/>
      <c r="AX345" s="799"/>
      <c r="AY345" s="799"/>
      <c r="AZ345" s="799"/>
      <c r="BA345" s="799"/>
      <c r="BB345" s="799"/>
      <c r="BC345" s="799"/>
      <c r="BD345" s="799"/>
      <c r="BE345" s="799"/>
      <c r="BF345" s="799"/>
      <c r="BG345" s="799"/>
    </row>
    <row r="346">
      <c r="H346" s="799"/>
      <c r="I346" s="799"/>
      <c r="J346" s="799"/>
      <c r="K346" s="799"/>
      <c r="L346" s="799"/>
      <c r="M346" s="799"/>
      <c r="N346" s="799"/>
      <c r="O346" s="799"/>
      <c r="P346" s="799"/>
      <c r="Q346" s="799"/>
      <c r="R346" s="799"/>
      <c r="S346" s="799"/>
      <c r="T346" s="799"/>
      <c r="U346" s="799"/>
      <c r="V346" s="799"/>
      <c r="W346" s="799"/>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799"/>
      <c r="AX346" s="799"/>
      <c r="AY346" s="799"/>
      <c r="AZ346" s="799"/>
      <c r="BA346" s="799"/>
      <c r="BB346" s="799"/>
      <c r="BC346" s="799"/>
      <c r="BD346" s="799"/>
      <c r="BE346" s="799"/>
      <c r="BF346" s="799"/>
      <c r="BG346" s="799"/>
    </row>
    <row r="347">
      <c r="H347" s="799"/>
      <c r="I347" s="799"/>
      <c r="J347" s="799"/>
      <c r="K347" s="799"/>
      <c r="L347" s="799"/>
      <c r="M347" s="799"/>
      <c r="N347" s="799"/>
      <c r="O347" s="799"/>
      <c r="P347" s="799"/>
      <c r="Q347" s="799"/>
      <c r="R347" s="799"/>
      <c r="S347" s="799"/>
      <c r="T347" s="799"/>
      <c r="U347" s="799"/>
      <c r="V347" s="799"/>
      <c r="W347" s="799"/>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799"/>
      <c r="AX347" s="799"/>
      <c r="AY347" s="799"/>
      <c r="AZ347" s="799"/>
      <c r="BA347" s="799"/>
      <c r="BB347" s="799"/>
      <c r="BC347" s="799"/>
      <c r="BD347" s="799"/>
      <c r="BE347" s="799"/>
      <c r="BF347" s="799"/>
      <c r="BG347" s="799"/>
    </row>
    <row r="348">
      <c r="H348" s="799"/>
      <c r="I348" s="799"/>
      <c r="J348" s="799"/>
      <c r="K348" s="799"/>
      <c r="L348" s="799"/>
      <c r="M348" s="799"/>
      <c r="N348" s="799"/>
      <c r="O348" s="799"/>
      <c r="P348" s="799"/>
      <c r="Q348" s="799"/>
      <c r="R348" s="799"/>
      <c r="S348" s="799"/>
      <c r="T348" s="799"/>
      <c r="U348" s="799"/>
      <c r="V348" s="799"/>
      <c r="W348" s="799"/>
      <c r="X348" s="799"/>
      <c r="Y348" s="799"/>
      <c r="Z348" s="799"/>
      <c r="AA348" s="799"/>
      <c r="AB348" s="799"/>
      <c r="AC348" s="799"/>
      <c r="AD348" s="799"/>
      <c r="AE348" s="799"/>
      <c r="AF348" s="799"/>
      <c r="AG348" s="799"/>
      <c r="AH348" s="799"/>
      <c r="AI348" s="799"/>
      <c r="AJ348" s="799"/>
      <c r="AK348" s="799"/>
      <c r="AL348" s="799"/>
      <c r="AM348" s="799"/>
      <c r="AN348" s="799"/>
      <c r="AO348" s="799"/>
      <c r="AP348" s="799"/>
      <c r="AQ348" s="799"/>
      <c r="AR348" s="799"/>
      <c r="AS348" s="799"/>
      <c r="AT348" s="799"/>
      <c r="AU348" s="799"/>
      <c r="AV348" s="799"/>
      <c r="AW348" s="799"/>
      <c r="AX348" s="799"/>
      <c r="AY348" s="799"/>
      <c r="AZ348" s="799"/>
      <c r="BA348" s="799"/>
      <c r="BB348" s="799"/>
      <c r="BC348" s="799"/>
      <c r="BD348" s="799"/>
      <c r="BE348" s="799"/>
      <c r="BF348" s="799"/>
      <c r="BG348" s="799"/>
    </row>
    <row r="349">
      <c r="H349" s="799"/>
      <c r="I349" s="799"/>
      <c r="J349" s="799"/>
      <c r="K349" s="799"/>
      <c r="L349" s="799"/>
      <c r="M349" s="799"/>
      <c r="N349" s="799"/>
      <c r="O349" s="799"/>
      <c r="P349" s="799"/>
      <c r="Q349" s="799"/>
      <c r="R349" s="799"/>
      <c r="S349" s="799"/>
      <c r="T349" s="799"/>
      <c r="U349" s="799"/>
      <c r="V349" s="799"/>
      <c r="W349" s="799"/>
      <c r="X349" s="799"/>
      <c r="Y349" s="799"/>
      <c r="Z349" s="799"/>
      <c r="AA349" s="799"/>
      <c r="AB349" s="799"/>
      <c r="AC349" s="799"/>
      <c r="AD349" s="799"/>
      <c r="AE349" s="799"/>
      <c r="AF349" s="799"/>
      <c r="AG349" s="799"/>
      <c r="AH349" s="799"/>
      <c r="AI349" s="799"/>
      <c r="AJ349" s="799"/>
      <c r="AK349" s="799"/>
      <c r="AL349" s="799"/>
      <c r="AM349" s="799"/>
      <c r="AN349" s="799"/>
      <c r="AO349" s="799"/>
      <c r="AP349" s="799"/>
      <c r="AQ349" s="799"/>
      <c r="AR349" s="799"/>
      <c r="AS349" s="799"/>
      <c r="AT349" s="799"/>
      <c r="AU349" s="799"/>
      <c r="AV349" s="799"/>
      <c r="AW349" s="799"/>
      <c r="AX349" s="799"/>
      <c r="AY349" s="799"/>
      <c r="AZ349" s="799"/>
      <c r="BA349" s="799"/>
      <c r="BB349" s="799"/>
      <c r="BC349" s="799"/>
      <c r="BD349" s="799"/>
      <c r="BE349" s="799"/>
      <c r="BF349" s="799"/>
      <c r="BG349" s="799"/>
    </row>
    <row r="350">
      <c r="H350" s="799"/>
      <c r="I350" s="799"/>
      <c r="J350" s="799"/>
      <c r="K350" s="799"/>
      <c r="L350" s="799"/>
      <c r="M350" s="799"/>
      <c r="N350" s="799"/>
      <c r="O350" s="799"/>
      <c r="P350" s="799"/>
      <c r="Q350" s="799"/>
      <c r="R350" s="799"/>
      <c r="S350" s="799"/>
      <c r="T350" s="799"/>
      <c r="U350" s="799"/>
      <c r="V350" s="799"/>
      <c r="W350" s="799"/>
      <c r="X350" s="799"/>
      <c r="Y350" s="799"/>
      <c r="Z350" s="799"/>
      <c r="AA350" s="799"/>
      <c r="AB350" s="799"/>
      <c r="AC350" s="799"/>
      <c r="AD350" s="799"/>
      <c r="AE350" s="799"/>
      <c r="AF350" s="799"/>
      <c r="AG350" s="799"/>
      <c r="AH350" s="799"/>
      <c r="AI350" s="799"/>
      <c r="AJ350" s="799"/>
      <c r="AK350" s="799"/>
      <c r="AL350" s="799"/>
      <c r="AM350" s="799"/>
      <c r="AN350" s="799"/>
      <c r="AO350" s="799"/>
      <c r="AP350" s="799"/>
      <c r="AQ350" s="799"/>
      <c r="AR350" s="799"/>
      <c r="AS350" s="799"/>
      <c r="AT350" s="799"/>
      <c r="AU350" s="799"/>
      <c r="AV350" s="799"/>
      <c r="AW350" s="799"/>
      <c r="AX350" s="799"/>
      <c r="AY350" s="799"/>
      <c r="AZ350" s="799"/>
      <c r="BA350" s="799"/>
      <c r="BB350" s="799"/>
      <c r="BC350" s="799"/>
      <c r="BD350" s="799"/>
      <c r="BE350" s="799"/>
      <c r="BF350" s="799"/>
      <c r="BG350" s="799"/>
    </row>
    <row r="351">
      <c r="H351" s="799"/>
      <c r="I351" s="799"/>
      <c r="J351" s="799"/>
      <c r="K351" s="799"/>
      <c r="L351" s="799"/>
      <c r="M351" s="799"/>
      <c r="N351" s="799"/>
      <c r="O351" s="799"/>
      <c r="P351" s="799"/>
      <c r="Q351" s="799"/>
      <c r="R351" s="799"/>
      <c r="S351" s="799"/>
      <c r="T351" s="799"/>
      <c r="U351" s="799"/>
      <c r="V351" s="799"/>
      <c r="W351" s="799"/>
      <c r="X351" s="799"/>
      <c r="Y351" s="799"/>
      <c r="Z351" s="799"/>
      <c r="AA351" s="799"/>
      <c r="AB351" s="799"/>
      <c r="AC351" s="799"/>
      <c r="AD351" s="799"/>
      <c r="AE351" s="799"/>
      <c r="AF351" s="799"/>
      <c r="AG351" s="799"/>
      <c r="AH351" s="799"/>
      <c r="AI351" s="799"/>
      <c r="AJ351" s="799"/>
      <c r="AK351" s="799"/>
      <c r="AL351" s="799"/>
      <c r="AM351" s="799"/>
      <c r="AN351" s="799"/>
      <c r="AO351" s="799"/>
      <c r="AP351" s="799"/>
      <c r="AQ351" s="799"/>
      <c r="AR351" s="799"/>
      <c r="AS351" s="799"/>
      <c r="AT351" s="799"/>
      <c r="AU351" s="799"/>
      <c r="AV351" s="799"/>
      <c r="AW351" s="799"/>
      <c r="AX351" s="799"/>
      <c r="AY351" s="799"/>
      <c r="AZ351" s="799"/>
      <c r="BA351" s="799"/>
      <c r="BB351" s="799"/>
      <c r="BC351" s="799"/>
      <c r="BD351" s="799"/>
      <c r="BE351" s="799"/>
      <c r="BF351" s="799"/>
      <c r="BG351" s="799"/>
    </row>
    <row r="352">
      <c r="H352" s="799"/>
      <c r="I352" s="799"/>
      <c r="J352" s="799"/>
      <c r="K352" s="799"/>
      <c r="L352" s="799"/>
      <c r="M352" s="799"/>
      <c r="N352" s="799"/>
      <c r="O352" s="799"/>
      <c r="P352" s="799"/>
      <c r="Q352" s="799"/>
      <c r="R352" s="799"/>
      <c r="S352" s="799"/>
      <c r="T352" s="799"/>
      <c r="U352" s="799"/>
      <c r="V352" s="799"/>
      <c r="W352" s="799"/>
      <c r="X352" s="799"/>
      <c r="Y352" s="799"/>
      <c r="Z352" s="799"/>
      <c r="AA352" s="799"/>
      <c r="AB352" s="799"/>
      <c r="AC352" s="799"/>
      <c r="AD352" s="799"/>
      <c r="AE352" s="799"/>
      <c r="AF352" s="799"/>
      <c r="AG352" s="799"/>
      <c r="AH352" s="799"/>
      <c r="AI352" s="799"/>
      <c r="AJ352" s="799"/>
      <c r="AK352" s="799"/>
      <c r="AL352" s="799"/>
      <c r="AM352" s="799"/>
      <c r="AN352" s="799"/>
      <c r="AO352" s="799"/>
      <c r="AP352" s="799"/>
      <c r="AQ352" s="799"/>
      <c r="AR352" s="799"/>
      <c r="AS352" s="799"/>
      <c r="AT352" s="799"/>
      <c r="AU352" s="799"/>
      <c r="AV352" s="799"/>
      <c r="AW352" s="799"/>
      <c r="AX352" s="799"/>
      <c r="AY352" s="799"/>
      <c r="AZ352" s="799"/>
      <c r="BA352" s="799"/>
      <c r="BB352" s="799"/>
      <c r="BC352" s="799"/>
      <c r="BD352" s="799"/>
      <c r="BE352" s="799"/>
      <c r="BF352" s="799"/>
      <c r="BG352" s="799"/>
    </row>
    <row r="353">
      <c r="H353" s="799"/>
      <c r="I353" s="799"/>
      <c r="J353" s="799"/>
      <c r="K353" s="799"/>
      <c r="L353" s="799"/>
      <c r="M353" s="799"/>
      <c r="N353" s="799"/>
      <c r="O353" s="799"/>
      <c r="P353" s="799"/>
      <c r="Q353" s="799"/>
      <c r="R353" s="799"/>
      <c r="S353" s="799"/>
      <c r="T353" s="799"/>
      <c r="U353" s="799"/>
      <c r="V353" s="799"/>
      <c r="W353" s="799"/>
      <c r="X353" s="799"/>
      <c r="Y353" s="799"/>
      <c r="Z353" s="799"/>
      <c r="AA353" s="799"/>
      <c r="AB353" s="799"/>
      <c r="AC353" s="799"/>
      <c r="AD353" s="799"/>
      <c r="AE353" s="799"/>
      <c r="AF353" s="799"/>
      <c r="AG353" s="799"/>
      <c r="AH353" s="799"/>
      <c r="AI353" s="799"/>
      <c r="AJ353" s="799"/>
      <c r="AK353" s="799"/>
      <c r="AL353" s="799"/>
      <c r="AM353" s="799"/>
      <c r="AN353" s="799"/>
      <c r="AO353" s="799"/>
      <c r="AP353" s="799"/>
      <c r="AQ353" s="799"/>
      <c r="AR353" s="799"/>
      <c r="AS353" s="799"/>
      <c r="AT353" s="799"/>
      <c r="AU353" s="799"/>
      <c r="AV353" s="799"/>
      <c r="AW353" s="799"/>
      <c r="AX353" s="799"/>
      <c r="AY353" s="799"/>
      <c r="AZ353" s="799"/>
      <c r="BA353" s="799"/>
      <c r="BB353" s="799"/>
      <c r="BC353" s="799"/>
      <c r="BD353" s="799"/>
      <c r="BE353" s="799"/>
      <c r="BF353" s="799"/>
      <c r="BG353" s="799"/>
    </row>
    <row r="354">
      <c r="H354" s="799"/>
      <c r="I354" s="799"/>
      <c r="J354" s="799"/>
      <c r="K354" s="799"/>
      <c r="L354" s="799"/>
      <c r="M354" s="799"/>
      <c r="N354" s="799"/>
      <c r="O354" s="799"/>
      <c r="P354" s="799"/>
      <c r="Q354" s="799"/>
      <c r="R354" s="799"/>
      <c r="S354" s="799"/>
      <c r="T354" s="799"/>
      <c r="U354" s="799"/>
      <c r="V354" s="799"/>
      <c r="W354" s="799"/>
      <c r="X354" s="799"/>
      <c r="Y354" s="799"/>
      <c r="Z354" s="799"/>
      <c r="AA354" s="799"/>
      <c r="AB354" s="799"/>
      <c r="AC354" s="799"/>
      <c r="AD354" s="799"/>
      <c r="AE354" s="799"/>
      <c r="AF354" s="799"/>
      <c r="AG354" s="799"/>
      <c r="AH354" s="799"/>
      <c r="AI354" s="799"/>
      <c r="AJ354" s="799"/>
      <c r="AK354" s="799"/>
      <c r="AL354" s="799"/>
      <c r="AM354" s="799"/>
      <c r="AN354" s="799"/>
      <c r="AO354" s="799"/>
      <c r="AP354" s="799"/>
      <c r="AQ354" s="799"/>
      <c r="AR354" s="799"/>
      <c r="AS354" s="799"/>
      <c r="AT354" s="799"/>
      <c r="AU354" s="799"/>
      <c r="AV354" s="799"/>
      <c r="AW354" s="799"/>
      <c r="AX354" s="799"/>
      <c r="AY354" s="799"/>
      <c r="AZ354" s="799"/>
      <c r="BA354" s="799"/>
      <c r="BB354" s="799"/>
      <c r="BC354" s="799"/>
      <c r="BD354" s="799"/>
      <c r="BE354" s="799"/>
      <c r="BF354" s="799"/>
      <c r="BG354" s="799"/>
    </row>
    <row r="355">
      <c r="H355" s="799"/>
      <c r="I355" s="799"/>
      <c r="J355" s="799"/>
      <c r="K355" s="799"/>
      <c r="L355" s="799"/>
      <c r="M355" s="799"/>
      <c r="N355" s="799"/>
      <c r="O355" s="799"/>
      <c r="P355" s="799"/>
      <c r="Q355" s="799"/>
      <c r="R355" s="799"/>
      <c r="S355" s="799"/>
      <c r="T355" s="799"/>
      <c r="U355" s="799"/>
      <c r="V355" s="799"/>
      <c r="W355" s="799"/>
      <c r="X355" s="799"/>
      <c r="Y355" s="799"/>
      <c r="Z355" s="799"/>
      <c r="AA355" s="799"/>
      <c r="AB355" s="799"/>
      <c r="AC355" s="799"/>
      <c r="AD355" s="799"/>
      <c r="AE355" s="799"/>
      <c r="AF355" s="799"/>
      <c r="AG355" s="799"/>
      <c r="AH355" s="799"/>
      <c r="AI355" s="799"/>
      <c r="AJ355" s="799"/>
      <c r="AK355" s="799"/>
      <c r="AL355" s="799"/>
      <c r="AM355" s="799"/>
      <c r="AN355" s="799"/>
      <c r="AO355" s="799"/>
      <c r="AP355" s="799"/>
      <c r="AQ355" s="799"/>
      <c r="AR355" s="799"/>
      <c r="AS355" s="799"/>
      <c r="AT355" s="799"/>
      <c r="AU355" s="799"/>
      <c r="AV355" s="799"/>
      <c r="AW355" s="799"/>
      <c r="AX355" s="799"/>
      <c r="AY355" s="799"/>
      <c r="AZ355" s="799"/>
      <c r="BA355" s="799"/>
      <c r="BB355" s="799"/>
      <c r="BC355" s="799"/>
      <c r="BD355" s="799"/>
      <c r="BE355" s="799"/>
      <c r="BF355" s="799"/>
      <c r="BG355" s="799"/>
    </row>
    <row r="356">
      <c r="H356" s="799"/>
      <c r="I356" s="799"/>
      <c r="J356" s="799"/>
      <c r="K356" s="799"/>
      <c r="L356" s="799"/>
      <c r="M356" s="799"/>
      <c r="N356" s="799"/>
      <c r="O356" s="799"/>
      <c r="P356" s="799"/>
      <c r="Q356" s="799"/>
      <c r="R356" s="799"/>
      <c r="S356" s="799"/>
      <c r="T356" s="799"/>
      <c r="U356" s="799"/>
      <c r="V356" s="799"/>
      <c r="W356" s="799"/>
      <c r="X356" s="799"/>
      <c r="Y356" s="799"/>
      <c r="Z356" s="799"/>
      <c r="AA356" s="799"/>
      <c r="AB356" s="799"/>
      <c r="AC356" s="799"/>
      <c r="AD356" s="799"/>
      <c r="AE356" s="799"/>
      <c r="AF356" s="799"/>
      <c r="AG356" s="799"/>
      <c r="AH356" s="799"/>
      <c r="AI356" s="799"/>
      <c r="AJ356" s="799"/>
      <c r="AK356" s="799"/>
      <c r="AL356" s="799"/>
      <c r="AM356" s="799"/>
      <c r="AN356" s="799"/>
      <c r="AO356" s="799"/>
      <c r="AP356" s="799"/>
      <c r="AQ356" s="799"/>
      <c r="AR356" s="799"/>
      <c r="AS356" s="799"/>
      <c r="AT356" s="799"/>
      <c r="AU356" s="799"/>
      <c r="AV356" s="799"/>
      <c r="AW356" s="799"/>
      <c r="AX356" s="799"/>
      <c r="AY356" s="799"/>
      <c r="AZ356" s="799"/>
      <c r="BA356" s="799"/>
      <c r="BB356" s="799"/>
      <c r="BC356" s="799"/>
      <c r="BD356" s="799"/>
      <c r="BE356" s="799"/>
      <c r="BF356" s="799"/>
      <c r="BG356" s="799"/>
    </row>
    <row r="357">
      <c r="H357" s="799"/>
      <c r="I357" s="799"/>
      <c r="J357" s="799"/>
      <c r="K357" s="799"/>
      <c r="L357" s="799"/>
      <c r="M357" s="799"/>
      <c r="N357" s="799"/>
      <c r="O357" s="799"/>
      <c r="P357" s="799"/>
      <c r="Q357" s="799"/>
      <c r="R357" s="799"/>
      <c r="S357" s="799"/>
      <c r="T357" s="799"/>
      <c r="U357" s="799"/>
      <c r="V357" s="799"/>
      <c r="W357" s="799"/>
      <c r="X357" s="799"/>
      <c r="Y357" s="799"/>
      <c r="Z357" s="799"/>
      <c r="AA357" s="799"/>
      <c r="AB357" s="799"/>
      <c r="AC357" s="799"/>
      <c r="AD357" s="799"/>
      <c r="AE357" s="799"/>
      <c r="AF357" s="799"/>
      <c r="AG357" s="799"/>
      <c r="AH357" s="799"/>
      <c r="AI357" s="799"/>
      <c r="AJ357" s="799"/>
      <c r="AK357" s="799"/>
      <c r="AL357" s="799"/>
      <c r="AM357" s="799"/>
      <c r="AN357" s="799"/>
      <c r="AO357" s="799"/>
      <c r="AP357" s="799"/>
      <c r="AQ357" s="799"/>
      <c r="AR357" s="799"/>
      <c r="AS357" s="799"/>
      <c r="AT357" s="799"/>
      <c r="AU357" s="799"/>
      <c r="AV357" s="799"/>
      <c r="AW357" s="799"/>
      <c r="AX357" s="799"/>
      <c r="AY357" s="799"/>
      <c r="AZ357" s="799"/>
      <c r="BA357" s="799"/>
      <c r="BB357" s="799"/>
      <c r="BC357" s="799"/>
      <c r="BD357" s="799"/>
      <c r="BE357" s="799"/>
      <c r="BF357" s="799"/>
      <c r="BG357" s="799"/>
    </row>
    <row r="358">
      <c r="H358" s="799"/>
      <c r="I358" s="799"/>
      <c r="J358" s="799"/>
      <c r="K358" s="799"/>
      <c r="L358" s="799"/>
      <c r="M358" s="799"/>
      <c r="N358" s="799"/>
      <c r="O358" s="799"/>
      <c r="P358" s="799"/>
      <c r="Q358" s="799"/>
      <c r="R358" s="799"/>
      <c r="S358" s="799"/>
      <c r="T358" s="799"/>
      <c r="U358" s="799"/>
      <c r="V358" s="799"/>
      <c r="W358" s="799"/>
      <c r="X358" s="799"/>
      <c r="Y358" s="799"/>
      <c r="Z358" s="799"/>
      <c r="AA358" s="799"/>
      <c r="AB358" s="799"/>
      <c r="AC358" s="799"/>
      <c r="AD358" s="799"/>
      <c r="AE358" s="799"/>
      <c r="AF358" s="799"/>
      <c r="AG358" s="799"/>
      <c r="AH358" s="799"/>
      <c r="AI358" s="799"/>
      <c r="AJ358" s="799"/>
      <c r="AK358" s="799"/>
      <c r="AL358" s="799"/>
      <c r="AM358" s="799"/>
      <c r="AN358" s="799"/>
      <c r="AO358" s="799"/>
      <c r="AP358" s="799"/>
      <c r="AQ358" s="799"/>
      <c r="AR358" s="799"/>
      <c r="AS358" s="799"/>
      <c r="AT358" s="799"/>
      <c r="AU358" s="799"/>
      <c r="AV358" s="799"/>
      <c r="AW358" s="799"/>
      <c r="AX358" s="799"/>
      <c r="AY358" s="799"/>
      <c r="AZ358" s="799"/>
      <c r="BA358" s="799"/>
      <c r="BB358" s="799"/>
      <c r="BC358" s="799"/>
      <c r="BD358" s="799"/>
      <c r="BE358" s="799"/>
      <c r="BF358" s="799"/>
      <c r="BG358" s="799"/>
    </row>
    <row r="359">
      <c r="H359" s="799"/>
      <c r="I359" s="799"/>
      <c r="J359" s="799"/>
      <c r="K359" s="799"/>
      <c r="L359" s="799"/>
      <c r="M359" s="799"/>
      <c r="N359" s="799"/>
      <c r="O359" s="799"/>
      <c r="P359" s="799"/>
      <c r="Q359" s="799"/>
      <c r="R359" s="799"/>
      <c r="S359" s="799"/>
      <c r="T359" s="799"/>
      <c r="U359" s="799"/>
      <c r="V359" s="799"/>
      <c r="W359" s="799"/>
      <c r="X359" s="799"/>
      <c r="Y359" s="799"/>
      <c r="Z359" s="799"/>
      <c r="AA359" s="799"/>
      <c r="AB359" s="799"/>
      <c r="AC359" s="799"/>
      <c r="AD359" s="799"/>
      <c r="AE359" s="799"/>
      <c r="AF359" s="799"/>
      <c r="AG359" s="799"/>
      <c r="AH359" s="799"/>
      <c r="AI359" s="799"/>
      <c r="AJ359" s="799"/>
      <c r="AK359" s="799"/>
      <c r="AL359" s="799"/>
      <c r="AM359" s="799"/>
      <c r="AN359" s="799"/>
      <c r="AO359" s="799"/>
      <c r="AP359" s="799"/>
      <c r="AQ359" s="799"/>
      <c r="AR359" s="799"/>
      <c r="AS359" s="799"/>
      <c r="AT359" s="799"/>
      <c r="AU359" s="799"/>
      <c r="AV359" s="799"/>
      <c r="AW359" s="799"/>
      <c r="AX359" s="799"/>
      <c r="AY359" s="799"/>
      <c r="AZ359" s="799"/>
      <c r="BA359" s="799"/>
      <c r="BB359" s="799"/>
      <c r="BC359" s="799"/>
      <c r="BD359" s="799"/>
      <c r="BE359" s="799"/>
      <c r="BF359" s="799"/>
      <c r="BG359" s="799"/>
    </row>
    <row r="360">
      <c r="H360" s="799"/>
      <c r="I360" s="799"/>
      <c r="J360" s="799"/>
      <c r="K360" s="799"/>
      <c r="L360" s="799"/>
      <c r="M360" s="799"/>
      <c r="N360" s="799"/>
      <c r="O360" s="799"/>
      <c r="P360" s="799"/>
      <c r="Q360" s="799"/>
      <c r="R360" s="799"/>
      <c r="S360" s="799"/>
      <c r="T360" s="799"/>
      <c r="U360" s="799"/>
      <c r="V360" s="799"/>
      <c r="W360" s="799"/>
      <c r="X360" s="799"/>
      <c r="Y360" s="799"/>
      <c r="Z360" s="799"/>
      <c r="AA360" s="799"/>
      <c r="AB360" s="799"/>
      <c r="AC360" s="799"/>
      <c r="AD360" s="799"/>
      <c r="AE360" s="799"/>
      <c r="AF360" s="799"/>
      <c r="AG360" s="799"/>
      <c r="AH360" s="799"/>
      <c r="AI360" s="799"/>
      <c r="AJ360" s="799"/>
      <c r="AK360" s="799"/>
      <c r="AL360" s="799"/>
      <c r="AM360" s="799"/>
      <c r="AN360" s="799"/>
      <c r="AO360" s="799"/>
      <c r="AP360" s="799"/>
      <c r="AQ360" s="799"/>
      <c r="AR360" s="799"/>
      <c r="AS360" s="799"/>
      <c r="AT360" s="799"/>
      <c r="AU360" s="799"/>
      <c r="AV360" s="799"/>
      <c r="AW360" s="799"/>
      <c r="AX360" s="799"/>
      <c r="AY360" s="799"/>
      <c r="AZ360" s="799"/>
      <c r="BA360" s="799"/>
      <c r="BB360" s="799"/>
      <c r="BC360" s="799"/>
      <c r="BD360" s="799"/>
      <c r="BE360" s="799"/>
      <c r="BF360" s="799"/>
      <c r="BG360" s="799"/>
    </row>
    <row r="361">
      <c r="H361" s="799"/>
      <c r="I361" s="799"/>
      <c r="J361" s="799"/>
      <c r="K361" s="799"/>
      <c r="L361" s="799"/>
      <c r="M361" s="799"/>
      <c r="N361" s="799"/>
      <c r="O361" s="799"/>
      <c r="P361" s="799"/>
      <c r="Q361" s="799"/>
      <c r="R361" s="799"/>
      <c r="S361" s="799"/>
      <c r="T361" s="799"/>
      <c r="U361" s="799"/>
      <c r="V361" s="799"/>
      <c r="W361" s="799"/>
      <c r="X361" s="799"/>
      <c r="Y361" s="799"/>
      <c r="Z361" s="799"/>
      <c r="AA361" s="799"/>
      <c r="AB361" s="799"/>
      <c r="AC361" s="799"/>
      <c r="AD361" s="799"/>
      <c r="AE361" s="799"/>
      <c r="AF361" s="799"/>
      <c r="AG361" s="799"/>
      <c r="AH361" s="799"/>
      <c r="AI361" s="799"/>
      <c r="AJ361" s="799"/>
      <c r="AK361" s="799"/>
      <c r="AL361" s="799"/>
      <c r="AM361" s="799"/>
      <c r="AN361" s="799"/>
      <c r="AO361" s="799"/>
      <c r="AP361" s="799"/>
      <c r="AQ361" s="799"/>
      <c r="AR361" s="799"/>
      <c r="AS361" s="799"/>
      <c r="AT361" s="799"/>
      <c r="AU361" s="799"/>
      <c r="AV361" s="799"/>
      <c r="AW361" s="799"/>
      <c r="AX361" s="799"/>
      <c r="AY361" s="799"/>
      <c r="AZ361" s="799"/>
      <c r="BA361" s="799"/>
      <c r="BB361" s="799"/>
      <c r="BC361" s="799"/>
      <c r="BD361" s="799"/>
      <c r="BE361" s="799"/>
      <c r="BF361" s="799"/>
      <c r="BG361" s="799"/>
    </row>
    <row r="362">
      <c r="H362" s="799"/>
      <c r="I362" s="799"/>
      <c r="J362" s="799"/>
      <c r="K362" s="799"/>
      <c r="L362" s="799"/>
      <c r="M362" s="799"/>
      <c r="N362" s="799"/>
      <c r="O362" s="799"/>
      <c r="P362" s="799"/>
      <c r="Q362" s="799"/>
      <c r="R362" s="799"/>
      <c r="S362" s="799"/>
      <c r="T362" s="799"/>
      <c r="U362" s="799"/>
      <c r="V362" s="799"/>
      <c r="W362" s="799"/>
      <c r="X362" s="799"/>
      <c r="Y362" s="799"/>
      <c r="Z362" s="799"/>
      <c r="AA362" s="799"/>
      <c r="AB362" s="799"/>
      <c r="AC362" s="799"/>
      <c r="AD362" s="799"/>
      <c r="AE362" s="799"/>
      <c r="AF362" s="799"/>
      <c r="AG362" s="799"/>
      <c r="AH362" s="799"/>
      <c r="AI362" s="799"/>
      <c r="AJ362" s="799"/>
      <c r="AK362" s="799"/>
      <c r="AL362" s="799"/>
      <c r="AM362" s="799"/>
      <c r="AN362" s="799"/>
      <c r="AO362" s="799"/>
      <c r="AP362" s="799"/>
      <c r="AQ362" s="799"/>
      <c r="AR362" s="799"/>
      <c r="AS362" s="799"/>
      <c r="AT362" s="799"/>
      <c r="AU362" s="799"/>
      <c r="AV362" s="799"/>
      <c r="AW362" s="799"/>
      <c r="AX362" s="799"/>
      <c r="AY362" s="799"/>
      <c r="AZ362" s="799"/>
      <c r="BA362" s="799"/>
      <c r="BB362" s="799"/>
      <c r="BC362" s="799"/>
      <c r="BD362" s="799"/>
      <c r="BE362" s="799"/>
      <c r="BF362" s="799"/>
      <c r="BG362" s="799"/>
    </row>
    <row r="363">
      <c r="H363" s="799"/>
      <c r="I363" s="799"/>
      <c r="J363" s="799"/>
      <c r="K363" s="799"/>
      <c r="L363" s="799"/>
      <c r="M363" s="799"/>
      <c r="N363" s="799"/>
      <c r="O363" s="799"/>
      <c r="P363" s="799"/>
      <c r="Q363" s="799"/>
      <c r="R363" s="799"/>
      <c r="S363" s="799"/>
      <c r="T363" s="799"/>
      <c r="U363" s="799"/>
      <c r="V363" s="799"/>
      <c r="W363" s="799"/>
      <c r="X363" s="799"/>
      <c r="Y363" s="799"/>
      <c r="Z363" s="799"/>
      <c r="AA363" s="799"/>
      <c r="AB363" s="799"/>
      <c r="AC363" s="799"/>
      <c r="AD363" s="799"/>
      <c r="AE363" s="799"/>
      <c r="AF363" s="799"/>
      <c r="AG363" s="799"/>
      <c r="AH363" s="799"/>
      <c r="AI363" s="799"/>
      <c r="AJ363" s="799"/>
      <c r="AK363" s="799"/>
      <c r="AL363" s="799"/>
      <c r="AM363" s="799"/>
      <c r="AN363" s="799"/>
      <c r="AO363" s="799"/>
      <c r="AP363" s="799"/>
      <c r="AQ363" s="799"/>
      <c r="AR363" s="799"/>
      <c r="AS363" s="799"/>
      <c r="AT363" s="799"/>
      <c r="AU363" s="799"/>
      <c r="AV363" s="799"/>
      <c r="AW363" s="799"/>
      <c r="AX363" s="799"/>
      <c r="AY363" s="799"/>
      <c r="AZ363" s="799"/>
      <c r="BA363" s="799"/>
      <c r="BB363" s="799"/>
      <c r="BC363" s="799"/>
      <c r="BD363" s="799"/>
      <c r="BE363" s="799"/>
      <c r="BF363" s="799"/>
      <c r="BG363" s="799"/>
    </row>
    <row r="364">
      <c r="H364" s="799"/>
      <c r="I364" s="799"/>
      <c r="J364" s="799"/>
      <c r="K364" s="799"/>
      <c r="L364" s="799"/>
      <c r="M364" s="799"/>
      <c r="N364" s="799"/>
      <c r="O364" s="799"/>
      <c r="P364" s="799"/>
      <c r="Q364" s="799"/>
      <c r="R364" s="799"/>
      <c r="S364" s="799"/>
      <c r="T364" s="799"/>
      <c r="U364" s="799"/>
      <c r="V364" s="799"/>
      <c r="W364" s="799"/>
      <c r="X364" s="799"/>
      <c r="Y364" s="799"/>
      <c r="Z364" s="799"/>
      <c r="AA364" s="799"/>
      <c r="AB364" s="799"/>
      <c r="AC364" s="799"/>
      <c r="AD364" s="799"/>
      <c r="AE364" s="799"/>
      <c r="AF364" s="799"/>
      <c r="AG364" s="799"/>
      <c r="AH364" s="799"/>
      <c r="AI364" s="799"/>
      <c r="AJ364" s="799"/>
      <c r="AK364" s="799"/>
      <c r="AL364" s="799"/>
      <c r="AM364" s="799"/>
      <c r="AN364" s="799"/>
      <c r="AO364" s="799"/>
      <c r="AP364" s="799"/>
      <c r="AQ364" s="799"/>
      <c r="AR364" s="799"/>
      <c r="AS364" s="799"/>
      <c r="AT364" s="799"/>
      <c r="AU364" s="799"/>
      <c r="AV364" s="799"/>
      <c r="AW364" s="799"/>
      <c r="AX364" s="799"/>
      <c r="AY364" s="799"/>
      <c r="AZ364" s="799"/>
      <c r="BA364" s="799"/>
      <c r="BB364" s="799"/>
      <c r="BC364" s="799"/>
      <c r="BD364" s="799"/>
      <c r="BE364" s="799"/>
      <c r="BF364" s="799"/>
      <c r="BG364" s="799"/>
    </row>
    <row r="365">
      <c r="H365" s="799"/>
      <c r="I365" s="799"/>
      <c r="J365" s="799"/>
      <c r="K365" s="799"/>
      <c r="L365" s="799"/>
      <c r="M365" s="799"/>
      <c r="N365" s="799"/>
      <c r="O365" s="799"/>
      <c r="P365" s="799"/>
      <c r="Q365" s="799"/>
      <c r="R365" s="799"/>
      <c r="S365" s="799"/>
      <c r="T365" s="799"/>
      <c r="U365" s="799"/>
      <c r="V365" s="799"/>
      <c r="W365" s="799"/>
      <c r="X365" s="799"/>
      <c r="Y365" s="799"/>
      <c r="Z365" s="799"/>
      <c r="AA365" s="799"/>
      <c r="AB365" s="799"/>
      <c r="AC365" s="799"/>
      <c r="AD365" s="799"/>
      <c r="AE365" s="799"/>
      <c r="AF365" s="799"/>
      <c r="AG365" s="799"/>
      <c r="AH365" s="799"/>
      <c r="AI365" s="799"/>
      <c r="AJ365" s="799"/>
      <c r="AK365" s="799"/>
      <c r="AL365" s="799"/>
      <c r="AM365" s="799"/>
      <c r="AN365" s="799"/>
      <c r="AO365" s="799"/>
      <c r="AP365" s="799"/>
      <c r="AQ365" s="799"/>
      <c r="AR365" s="799"/>
      <c r="AS365" s="799"/>
      <c r="AT365" s="799"/>
      <c r="AU365" s="799"/>
      <c r="AV365" s="799"/>
      <c r="AW365" s="799"/>
      <c r="AX365" s="799"/>
      <c r="AY365" s="799"/>
      <c r="AZ365" s="799"/>
      <c r="BA365" s="799"/>
      <c r="BB365" s="799"/>
      <c r="BC365" s="799"/>
      <c r="BD365" s="799"/>
      <c r="BE365" s="799"/>
      <c r="BF365" s="799"/>
      <c r="BG365" s="799"/>
    </row>
    <row r="366">
      <c r="H366" s="799"/>
      <c r="I366" s="799"/>
      <c r="J366" s="799"/>
      <c r="K366" s="799"/>
      <c r="L366" s="799"/>
      <c r="M366" s="799"/>
      <c r="N366" s="799"/>
      <c r="O366" s="799"/>
      <c r="P366" s="799"/>
      <c r="Q366" s="799"/>
      <c r="R366" s="799"/>
      <c r="S366" s="799"/>
      <c r="T366" s="799"/>
      <c r="U366" s="799"/>
      <c r="V366" s="799"/>
      <c r="W366" s="799"/>
      <c r="X366" s="799"/>
      <c r="Y366" s="799"/>
      <c r="Z366" s="799"/>
      <c r="AA366" s="799"/>
      <c r="AB366" s="799"/>
      <c r="AC366" s="799"/>
      <c r="AD366" s="799"/>
      <c r="AE366" s="799"/>
      <c r="AF366" s="799"/>
      <c r="AG366" s="799"/>
      <c r="AH366" s="799"/>
      <c r="AI366" s="799"/>
      <c r="AJ366" s="799"/>
      <c r="AK366" s="799"/>
      <c r="AL366" s="799"/>
      <c r="AM366" s="799"/>
      <c r="AN366" s="799"/>
      <c r="AO366" s="799"/>
      <c r="AP366" s="799"/>
      <c r="AQ366" s="799"/>
      <c r="AR366" s="799"/>
      <c r="AS366" s="799"/>
      <c r="AT366" s="799"/>
      <c r="AU366" s="799"/>
      <c r="AV366" s="799"/>
      <c r="AW366" s="799"/>
      <c r="AX366" s="799"/>
      <c r="AY366" s="799"/>
      <c r="AZ366" s="799"/>
      <c r="BA366" s="799"/>
      <c r="BB366" s="799"/>
      <c r="BC366" s="799"/>
      <c r="BD366" s="799"/>
      <c r="BE366" s="799"/>
      <c r="BF366" s="799"/>
      <c r="BG366" s="799"/>
    </row>
    <row r="367">
      <c r="H367" s="799"/>
      <c r="I367" s="799"/>
      <c r="J367" s="799"/>
      <c r="K367" s="799"/>
      <c r="L367" s="799"/>
      <c r="M367" s="799"/>
      <c r="N367" s="799"/>
      <c r="O367" s="799"/>
      <c r="P367" s="799"/>
      <c r="Q367" s="799"/>
      <c r="R367" s="799"/>
      <c r="S367" s="799"/>
      <c r="T367" s="799"/>
      <c r="U367" s="799"/>
      <c r="V367" s="799"/>
      <c r="W367" s="799"/>
      <c r="X367" s="799"/>
      <c r="Y367" s="799"/>
      <c r="Z367" s="799"/>
      <c r="AA367" s="799"/>
      <c r="AB367" s="799"/>
      <c r="AC367" s="799"/>
      <c r="AD367" s="799"/>
      <c r="AE367" s="799"/>
      <c r="AF367" s="799"/>
      <c r="AG367" s="799"/>
      <c r="AH367" s="799"/>
      <c r="AI367" s="799"/>
      <c r="AJ367" s="799"/>
      <c r="AK367" s="799"/>
      <c r="AL367" s="799"/>
      <c r="AM367" s="799"/>
      <c r="AN367" s="799"/>
      <c r="AO367" s="799"/>
      <c r="AP367" s="799"/>
      <c r="AQ367" s="799"/>
      <c r="AR367" s="799"/>
      <c r="AS367" s="799"/>
      <c r="AT367" s="799"/>
      <c r="AU367" s="799"/>
      <c r="AV367" s="799"/>
      <c r="AW367" s="799"/>
      <c r="AX367" s="799"/>
      <c r="AY367" s="799"/>
      <c r="AZ367" s="799"/>
      <c r="BA367" s="799"/>
      <c r="BB367" s="799"/>
      <c r="BC367" s="799"/>
      <c r="BD367" s="799"/>
      <c r="BE367" s="799"/>
      <c r="BF367" s="799"/>
      <c r="BG367" s="799"/>
    </row>
    <row r="368">
      <c r="H368" s="799"/>
      <c r="I368" s="799"/>
      <c r="J368" s="799"/>
      <c r="K368" s="799"/>
      <c r="L368" s="799"/>
      <c r="M368" s="799"/>
      <c r="N368" s="799"/>
      <c r="O368" s="799"/>
      <c r="P368" s="799"/>
      <c r="Q368" s="799"/>
      <c r="R368" s="799"/>
      <c r="S368" s="799"/>
      <c r="T368" s="799"/>
      <c r="U368" s="799"/>
      <c r="V368" s="799"/>
      <c r="W368" s="799"/>
      <c r="X368" s="799"/>
      <c r="Y368" s="799"/>
      <c r="Z368" s="799"/>
      <c r="AA368" s="799"/>
      <c r="AB368" s="799"/>
      <c r="AC368" s="799"/>
      <c r="AD368" s="799"/>
      <c r="AE368" s="799"/>
      <c r="AF368" s="799"/>
      <c r="AG368" s="799"/>
      <c r="AH368" s="799"/>
      <c r="AI368" s="799"/>
      <c r="AJ368" s="799"/>
      <c r="AK368" s="799"/>
      <c r="AL368" s="799"/>
      <c r="AM368" s="799"/>
      <c r="AN368" s="799"/>
      <c r="AO368" s="799"/>
      <c r="AP368" s="799"/>
      <c r="AQ368" s="799"/>
      <c r="AR368" s="799"/>
      <c r="AS368" s="799"/>
      <c r="AT368" s="799"/>
      <c r="AU368" s="799"/>
      <c r="AV368" s="799"/>
      <c r="AW368" s="799"/>
      <c r="AX368" s="799"/>
      <c r="AY368" s="799"/>
      <c r="AZ368" s="799"/>
      <c r="BA368" s="799"/>
      <c r="BB368" s="799"/>
      <c r="BC368" s="799"/>
      <c r="BD368" s="799"/>
      <c r="BE368" s="799"/>
      <c r="BF368" s="799"/>
      <c r="BG368" s="799"/>
    </row>
    <row r="369">
      <c r="H369" s="799"/>
      <c r="I369" s="799"/>
      <c r="J369" s="799"/>
      <c r="K369" s="799"/>
      <c r="L369" s="799"/>
      <c r="M369" s="799"/>
      <c r="N369" s="799"/>
      <c r="O369" s="799"/>
      <c r="P369" s="799"/>
      <c r="Q369" s="799"/>
      <c r="R369" s="799"/>
      <c r="S369" s="799"/>
      <c r="T369" s="799"/>
      <c r="U369" s="799"/>
      <c r="V369" s="799"/>
      <c r="W369" s="799"/>
      <c r="X369" s="799"/>
      <c r="Y369" s="799"/>
      <c r="Z369" s="799"/>
      <c r="AA369" s="799"/>
      <c r="AB369" s="799"/>
      <c r="AC369" s="799"/>
      <c r="AD369" s="799"/>
      <c r="AE369" s="799"/>
      <c r="AF369" s="799"/>
      <c r="AG369" s="799"/>
      <c r="AH369" s="799"/>
      <c r="AI369" s="799"/>
      <c r="AJ369" s="799"/>
      <c r="AK369" s="799"/>
      <c r="AL369" s="799"/>
      <c r="AM369" s="799"/>
      <c r="AN369" s="799"/>
      <c r="AO369" s="799"/>
      <c r="AP369" s="799"/>
      <c r="AQ369" s="799"/>
      <c r="AR369" s="799"/>
      <c r="AS369" s="799"/>
      <c r="AT369" s="799"/>
      <c r="AU369" s="799"/>
      <c r="AV369" s="799"/>
      <c r="AW369" s="799"/>
      <c r="AX369" s="799"/>
      <c r="AY369" s="799"/>
      <c r="AZ369" s="799"/>
      <c r="BA369" s="799"/>
      <c r="BB369" s="799"/>
      <c r="BC369" s="799"/>
      <c r="BD369" s="799"/>
      <c r="BE369" s="799"/>
      <c r="BF369" s="799"/>
      <c r="BG369" s="799"/>
    </row>
    <row r="370">
      <c r="H370" s="799"/>
      <c r="I370" s="799"/>
      <c r="J370" s="799"/>
      <c r="K370" s="799"/>
      <c r="L370" s="799"/>
      <c r="M370" s="799"/>
      <c r="N370" s="799"/>
      <c r="O370" s="799"/>
      <c r="P370" s="799"/>
      <c r="Q370" s="799"/>
      <c r="R370" s="799"/>
      <c r="S370" s="799"/>
      <c r="T370" s="799"/>
      <c r="U370" s="799"/>
      <c r="V370" s="799"/>
      <c r="W370" s="799"/>
      <c r="X370" s="799"/>
      <c r="Y370" s="799"/>
      <c r="Z370" s="799"/>
      <c r="AA370" s="799"/>
      <c r="AB370" s="799"/>
      <c r="AC370" s="799"/>
      <c r="AD370" s="799"/>
      <c r="AE370" s="799"/>
      <c r="AF370" s="799"/>
      <c r="AG370" s="799"/>
      <c r="AH370" s="799"/>
      <c r="AI370" s="799"/>
      <c r="AJ370" s="799"/>
      <c r="AK370" s="799"/>
      <c r="AL370" s="799"/>
      <c r="AM370" s="799"/>
      <c r="AN370" s="799"/>
      <c r="AO370" s="799"/>
      <c r="AP370" s="799"/>
      <c r="AQ370" s="799"/>
      <c r="AR370" s="799"/>
      <c r="AS370" s="799"/>
      <c r="AT370" s="799"/>
      <c r="AU370" s="799"/>
      <c r="AV370" s="799"/>
      <c r="AW370" s="799"/>
      <c r="AX370" s="799"/>
      <c r="AY370" s="799"/>
      <c r="AZ370" s="799"/>
      <c r="BA370" s="799"/>
      <c r="BB370" s="799"/>
      <c r="BC370" s="799"/>
      <c r="BD370" s="799"/>
      <c r="BE370" s="799"/>
      <c r="BF370" s="799"/>
      <c r="BG370" s="799"/>
    </row>
    <row r="371">
      <c r="H371" s="799"/>
      <c r="I371" s="799"/>
      <c r="J371" s="799"/>
      <c r="K371" s="799"/>
      <c r="L371" s="799"/>
      <c r="M371" s="799"/>
      <c r="N371" s="799"/>
      <c r="O371" s="799"/>
      <c r="P371" s="799"/>
      <c r="Q371" s="799"/>
      <c r="R371" s="799"/>
      <c r="S371" s="799"/>
      <c r="T371" s="799"/>
      <c r="U371" s="799"/>
      <c r="V371" s="799"/>
      <c r="W371" s="799"/>
      <c r="X371" s="799"/>
      <c r="Y371" s="799"/>
      <c r="Z371" s="799"/>
      <c r="AA371" s="799"/>
      <c r="AB371" s="799"/>
      <c r="AC371" s="799"/>
      <c r="AD371" s="799"/>
      <c r="AE371" s="799"/>
      <c r="AF371" s="799"/>
      <c r="AG371" s="799"/>
      <c r="AH371" s="799"/>
      <c r="AI371" s="799"/>
      <c r="AJ371" s="799"/>
      <c r="AK371" s="799"/>
      <c r="AL371" s="799"/>
      <c r="AM371" s="799"/>
      <c r="AN371" s="799"/>
      <c r="AO371" s="799"/>
      <c r="AP371" s="799"/>
      <c r="AQ371" s="799"/>
      <c r="AR371" s="799"/>
      <c r="AS371" s="799"/>
      <c r="AT371" s="799"/>
      <c r="AU371" s="799"/>
      <c r="AV371" s="799"/>
      <c r="AW371" s="799"/>
      <c r="AX371" s="799"/>
      <c r="AY371" s="799"/>
      <c r="AZ371" s="799"/>
      <c r="BA371" s="799"/>
      <c r="BB371" s="799"/>
      <c r="BC371" s="799"/>
      <c r="BD371" s="799"/>
      <c r="BE371" s="799"/>
      <c r="BF371" s="799"/>
      <c r="BG371" s="799"/>
    </row>
    <row r="372">
      <c r="H372" s="799"/>
      <c r="I372" s="799"/>
      <c r="J372" s="799"/>
      <c r="K372" s="799"/>
      <c r="L372" s="799"/>
      <c r="M372" s="799"/>
      <c r="N372" s="799"/>
      <c r="O372" s="799"/>
      <c r="P372" s="799"/>
      <c r="Q372" s="799"/>
      <c r="R372" s="799"/>
      <c r="S372" s="799"/>
      <c r="T372" s="799"/>
      <c r="U372" s="799"/>
      <c r="V372" s="799"/>
      <c r="W372" s="799"/>
      <c r="X372" s="799"/>
      <c r="Y372" s="799"/>
      <c r="Z372" s="799"/>
      <c r="AA372" s="799"/>
      <c r="AB372" s="799"/>
      <c r="AC372" s="799"/>
      <c r="AD372" s="799"/>
      <c r="AE372" s="799"/>
      <c r="AF372" s="799"/>
      <c r="AG372" s="799"/>
      <c r="AH372" s="799"/>
      <c r="AI372" s="799"/>
      <c r="AJ372" s="799"/>
      <c r="AK372" s="799"/>
      <c r="AL372" s="799"/>
      <c r="AM372" s="799"/>
      <c r="AN372" s="799"/>
      <c r="AO372" s="799"/>
      <c r="AP372" s="799"/>
      <c r="AQ372" s="799"/>
      <c r="AR372" s="799"/>
      <c r="AS372" s="799"/>
      <c r="AT372" s="799"/>
      <c r="AU372" s="799"/>
      <c r="AV372" s="799"/>
      <c r="AW372" s="799"/>
      <c r="AX372" s="799"/>
      <c r="AY372" s="799"/>
      <c r="AZ372" s="799"/>
      <c r="BA372" s="799"/>
      <c r="BB372" s="799"/>
      <c r="BC372" s="799"/>
      <c r="BD372" s="799"/>
      <c r="BE372" s="799"/>
      <c r="BF372" s="799"/>
      <c r="BG372" s="799"/>
    </row>
    <row r="373">
      <c r="H373" s="799"/>
      <c r="I373" s="799"/>
      <c r="J373" s="799"/>
      <c r="K373" s="799"/>
      <c r="L373" s="799"/>
      <c r="M373" s="799"/>
      <c r="N373" s="799"/>
      <c r="O373" s="799"/>
      <c r="P373" s="799"/>
      <c r="Q373" s="799"/>
      <c r="R373" s="799"/>
      <c r="S373" s="799"/>
      <c r="T373" s="799"/>
      <c r="U373" s="799"/>
      <c r="V373" s="799"/>
      <c r="W373" s="799"/>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799"/>
      <c r="AX373" s="799"/>
      <c r="AY373" s="799"/>
      <c r="AZ373" s="799"/>
      <c r="BA373" s="799"/>
      <c r="BB373" s="799"/>
      <c r="BC373" s="799"/>
      <c r="BD373" s="799"/>
      <c r="BE373" s="799"/>
      <c r="BF373" s="799"/>
      <c r="BG373" s="799"/>
    </row>
    <row r="374">
      <c r="H374" s="799"/>
      <c r="I374" s="799"/>
      <c r="J374" s="799"/>
      <c r="K374" s="799"/>
      <c r="L374" s="799"/>
      <c r="M374" s="799"/>
      <c r="N374" s="799"/>
      <c r="O374" s="799"/>
      <c r="P374" s="799"/>
      <c r="Q374" s="799"/>
      <c r="R374" s="799"/>
      <c r="S374" s="799"/>
      <c r="T374" s="799"/>
      <c r="U374" s="799"/>
      <c r="V374" s="799"/>
      <c r="W374" s="799"/>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799"/>
      <c r="AX374" s="799"/>
      <c r="AY374" s="799"/>
      <c r="AZ374" s="799"/>
      <c r="BA374" s="799"/>
      <c r="BB374" s="799"/>
      <c r="BC374" s="799"/>
      <c r="BD374" s="799"/>
      <c r="BE374" s="799"/>
      <c r="BF374" s="799"/>
      <c r="BG374" s="799"/>
    </row>
    <row r="375">
      <c r="H375" s="799"/>
      <c r="I375" s="799"/>
      <c r="J375" s="799"/>
      <c r="K375" s="799"/>
      <c r="L375" s="799"/>
      <c r="M375" s="799"/>
      <c r="N375" s="799"/>
      <c r="O375" s="799"/>
      <c r="P375" s="799"/>
      <c r="Q375" s="799"/>
      <c r="R375" s="799"/>
      <c r="S375" s="799"/>
      <c r="T375" s="799"/>
      <c r="U375" s="799"/>
      <c r="V375" s="799"/>
      <c r="W375" s="799"/>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799"/>
      <c r="AX375" s="799"/>
      <c r="AY375" s="799"/>
      <c r="AZ375" s="799"/>
      <c r="BA375" s="799"/>
      <c r="BB375" s="799"/>
      <c r="BC375" s="799"/>
      <c r="BD375" s="799"/>
      <c r="BE375" s="799"/>
      <c r="BF375" s="799"/>
      <c r="BG375" s="799"/>
    </row>
    <row r="376">
      <c r="H376" s="799"/>
      <c r="I376" s="799"/>
      <c r="J376" s="799"/>
      <c r="K376" s="799"/>
      <c r="L376" s="799"/>
      <c r="M376" s="799"/>
      <c r="N376" s="799"/>
      <c r="O376" s="799"/>
      <c r="P376" s="799"/>
      <c r="Q376" s="799"/>
      <c r="R376" s="799"/>
      <c r="S376" s="799"/>
      <c r="T376" s="799"/>
      <c r="U376" s="799"/>
      <c r="V376" s="799"/>
      <c r="W376" s="799"/>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799"/>
      <c r="AX376" s="799"/>
      <c r="AY376" s="799"/>
      <c r="AZ376" s="799"/>
      <c r="BA376" s="799"/>
      <c r="BB376" s="799"/>
      <c r="BC376" s="799"/>
      <c r="BD376" s="799"/>
      <c r="BE376" s="799"/>
      <c r="BF376" s="799"/>
      <c r="BG376" s="799"/>
    </row>
    <row r="377">
      <c r="H377" s="799"/>
      <c r="I377" s="799"/>
      <c r="J377" s="799"/>
      <c r="K377" s="799"/>
      <c r="L377" s="799"/>
      <c r="M377" s="799"/>
      <c r="N377" s="799"/>
      <c r="O377" s="799"/>
      <c r="P377" s="799"/>
      <c r="Q377" s="799"/>
      <c r="R377" s="799"/>
      <c r="S377" s="799"/>
      <c r="T377" s="799"/>
      <c r="U377" s="799"/>
      <c r="V377" s="799"/>
      <c r="W377" s="799"/>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799"/>
      <c r="AX377" s="799"/>
      <c r="AY377" s="799"/>
      <c r="AZ377" s="799"/>
      <c r="BA377" s="799"/>
      <c r="BB377" s="799"/>
      <c r="BC377" s="799"/>
      <c r="BD377" s="799"/>
      <c r="BE377" s="799"/>
      <c r="BF377" s="799"/>
      <c r="BG377" s="799"/>
    </row>
    <row r="378">
      <c r="H378" s="799"/>
      <c r="I378" s="799"/>
      <c r="J378" s="799"/>
      <c r="K378" s="799"/>
      <c r="L378" s="799"/>
      <c r="M378" s="799"/>
      <c r="N378" s="799"/>
      <c r="O378" s="799"/>
      <c r="P378" s="799"/>
      <c r="Q378" s="799"/>
      <c r="R378" s="799"/>
      <c r="S378" s="799"/>
      <c r="T378" s="799"/>
      <c r="U378" s="799"/>
      <c r="V378" s="799"/>
      <c r="W378" s="799"/>
      <c r="X378" s="799"/>
      <c r="Y378" s="799"/>
      <c r="Z378" s="799"/>
      <c r="AA378" s="799"/>
      <c r="AB378" s="799"/>
      <c r="AC378" s="799"/>
      <c r="AD378" s="799"/>
      <c r="AE378" s="799"/>
      <c r="AF378" s="799"/>
      <c r="AG378" s="799"/>
      <c r="AH378" s="799"/>
      <c r="AI378" s="799"/>
      <c r="AJ378" s="799"/>
      <c r="AK378" s="799"/>
      <c r="AL378" s="799"/>
      <c r="AM378" s="799"/>
      <c r="AN378" s="799"/>
      <c r="AO378" s="799"/>
      <c r="AP378" s="799"/>
      <c r="AQ378" s="799"/>
      <c r="AR378" s="799"/>
      <c r="AS378" s="799"/>
      <c r="AT378" s="799"/>
      <c r="AU378" s="799"/>
      <c r="AV378" s="799"/>
      <c r="AW378" s="799"/>
      <c r="AX378" s="799"/>
      <c r="AY378" s="799"/>
      <c r="AZ378" s="799"/>
      <c r="BA378" s="799"/>
      <c r="BB378" s="799"/>
      <c r="BC378" s="799"/>
      <c r="BD378" s="799"/>
      <c r="BE378" s="799"/>
      <c r="BF378" s="799"/>
      <c r="BG378" s="799"/>
    </row>
    <row r="379">
      <c r="H379" s="799"/>
      <c r="I379" s="799"/>
      <c r="J379" s="799"/>
      <c r="K379" s="799"/>
      <c r="L379" s="799"/>
      <c r="M379" s="799"/>
      <c r="N379" s="799"/>
      <c r="O379" s="799"/>
      <c r="P379" s="799"/>
      <c r="Q379" s="799"/>
      <c r="R379" s="799"/>
      <c r="S379" s="799"/>
      <c r="T379" s="799"/>
      <c r="U379" s="799"/>
      <c r="V379" s="799"/>
      <c r="W379" s="799"/>
      <c r="X379" s="799"/>
      <c r="Y379" s="799"/>
      <c r="Z379" s="799"/>
      <c r="AA379" s="799"/>
      <c r="AB379" s="799"/>
      <c r="AC379" s="799"/>
      <c r="AD379" s="799"/>
      <c r="AE379" s="799"/>
      <c r="AF379" s="799"/>
      <c r="AG379" s="799"/>
      <c r="AH379" s="799"/>
      <c r="AI379" s="799"/>
      <c r="AJ379" s="799"/>
      <c r="AK379" s="799"/>
      <c r="AL379" s="799"/>
      <c r="AM379" s="799"/>
      <c r="AN379" s="799"/>
      <c r="AO379" s="799"/>
      <c r="AP379" s="799"/>
      <c r="AQ379" s="799"/>
      <c r="AR379" s="799"/>
      <c r="AS379" s="799"/>
      <c r="AT379" s="799"/>
      <c r="AU379" s="799"/>
      <c r="AV379" s="799"/>
      <c r="AW379" s="799"/>
      <c r="AX379" s="799"/>
      <c r="AY379" s="799"/>
      <c r="AZ379" s="799"/>
      <c r="BA379" s="799"/>
      <c r="BB379" s="799"/>
      <c r="BC379" s="799"/>
      <c r="BD379" s="799"/>
      <c r="BE379" s="799"/>
      <c r="BF379" s="799"/>
      <c r="BG379" s="799"/>
    </row>
    <row r="380">
      <c r="H380" s="799"/>
      <c r="I380" s="799"/>
      <c r="J380" s="799"/>
      <c r="K380" s="799"/>
      <c r="L380" s="799"/>
      <c r="M380" s="799"/>
      <c r="N380" s="799"/>
      <c r="O380" s="799"/>
      <c r="P380" s="799"/>
      <c r="Q380" s="799"/>
      <c r="R380" s="799"/>
      <c r="S380" s="799"/>
      <c r="T380" s="799"/>
      <c r="U380" s="799"/>
      <c r="V380" s="799"/>
      <c r="W380" s="799"/>
      <c r="X380" s="799"/>
      <c r="Y380" s="799"/>
      <c r="Z380" s="799"/>
      <c r="AA380" s="799"/>
      <c r="AB380" s="799"/>
      <c r="AC380" s="799"/>
      <c r="AD380" s="799"/>
      <c r="AE380" s="799"/>
      <c r="AF380" s="799"/>
      <c r="AG380" s="799"/>
      <c r="AH380" s="799"/>
      <c r="AI380" s="799"/>
      <c r="AJ380" s="799"/>
      <c r="AK380" s="799"/>
      <c r="AL380" s="799"/>
      <c r="AM380" s="799"/>
      <c r="AN380" s="799"/>
      <c r="AO380" s="799"/>
      <c r="AP380" s="799"/>
      <c r="AQ380" s="799"/>
      <c r="AR380" s="799"/>
      <c r="AS380" s="799"/>
      <c r="AT380" s="799"/>
      <c r="AU380" s="799"/>
      <c r="AV380" s="799"/>
      <c r="AW380" s="799"/>
      <c r="AX380" s="799"/>
      <c r="AY380" s="799"/>
      <c r="AZ380" s="799"/>
      <c r="BA380" s="799"/>
      <c r="BB380" s="799"/>
      <c r="BC380" s="799"/>
      <c r="BD380" s="799"/>
      <c r="BE380" s="799"/>
      <c r="BF380" s="799"/>
      <c r="BG380" s="799"/>
    </row>
    <row r="381">
      <c r="H381" s="799"/>
      <c r="I381" s="799"/>
      <c r="J381" s="799"/>
      <c r="K381" s="799"/>
      <c r="L381" s="799"/>
      <c r="M381" s="799"/>
      <c r="N381" s="799"/>
      <c r="O381" s="799"/>
      <c r="P381" s="799"/>
      <c r="Q381" s="799"/>
      <c r="R381" s="799"/>
      <c r="S381" s="799"/>
      <c r="T381" s="799"/>
      <c r="U381" s="799"/>
      <c r="V381" s="799"/>
      <c r="W381" s="799"/>
      <c r="X381" s="799"/>
      <c r="Y381" s="799"/>
      <c r="Z381" s="799"/>
      <c r="AA381" s="799"/>
      <c r="AB381" s="799"/>
      <c r="AC381" s="799"/>
      <c r="AD381" s="799"/>
      <c r="AE381" s="799"/>
      <c r="AF381" s="799"/>
      <c r="AG381" s="799"/>
      <c r="AH381" s="799"/>
      <c r="AI381" s="799"/>
      <c r="AJ381" s="799"/>
      <c r="AK381" s="799"/>
      <c r="AL381" s="799"/>
      <c r="AM381" s="799"/>
      <c r="AN381" s="799"/>
      <c r="AO381" s="799"/>
      <c r="AP381" s="799"/>
      <c r="AQ381" s="799"/>
      <c r="AR381" s="799"/>
      <c r="AS381" s="799"/>
      <c r="AT381" s="799"/>
      <c r="AU381" s="799"/>
      <c r="AV381" s="799"/>
      <c r="AW381" s="799"/>
      <c r="AX381" s="799"/>
      <c r="AY381" s="799"/>
      <c r="AZ381" s="799"/>
      <c r="BA381" s="799"/>
      <c r="BB381" s="799"/>
      <c r="BC381" s="799"/>
      <c r="BD381" s="799"/>
      <c r="BE381" s="799"/>
      <c r="BF381" s="799"/>
      <c r="BG381" s="799"/>
    </row>
    <row r="382">
      <c r="H382" s="799"/>
      <c r="I382" s="799"/>
      <c r="J382" s="799"/>
      <c r="K382" s="799"/>
      <c r="L382" s="799"/>
      <c r="M382" s="799"/>
      <c r="N382" s="799"/>
      <c r="O382" s="799"/>
      <c r="P382" s="799"/>
      <c r="Q382" s="799"/>
      <c r="R382" s="799"/>
      <c r="S382" s="799"/>
      <c r="T382" s="799"/>
      <c r="U382" s="799"/>
      <c r="V382" s="799"/>
      <c r="W382" s="799"/>
      <c r="X382" s="799"/>
      <c r="Y382" s="799"/>
      <c r="Z382" s="799"/>
      <c r="AA382" s="799"/>
      <c r="AB382" s="799"/>
      <c r="AC382" s="799"/>
      <c r="AD382" s="799"/>
      <c r="AE382" s="799"/>
      <c r="AF382" s="799"/>
      <c r="AG382" s="799"/>
      <c r="AH382" s="799"/>
      <c r="AI382" s="799"/>
      <c r="AJ382" s="799"/>
      <c r="AK382" s="799"/>
      <c r="AL382" s="799"/>
      <c r="AM382" s="799"/>
      <c r="AN382" s="799"/>
      <c r="AO382" s="799"/>
      <c r="AP382" s="799"/>
      <c r="AQ382" s="799"/>
      <c r="AR382" s="799"/>
      <c r="AS382" s="799"/>
      <c r="AT382" s="799"/>
      <c r="AU382" s="799"/>
      <c r="AV382" s="799"/>
      <c r="AW382" s="799"/>
      <c r="AX382" s="799"/>
      <c r="AY382" s="799"/>
      <c r="AZ382" s="799"/>
      <c r="BA382" s="799"/>
      <c r="BB382" s="799"/>
      <c r="BC382" s="799"/>
      <c r="BD382" s="799"/>
      <c r="BE382" s="799"/>
      <c r="BF382" s="799"/>
      <c r="BG382" s="799"/>
    </row>
    <row r="383">
      <c r="H383" s="799"/>
      <c r="I383" s="799"/>
      <c r="J383" s="799"/>
      <c r="K383" s="799"/>
      <c r="L383" s="799"/>
      <c r="M383" s="799"/>
      <c r="N383" s="799"/>
      <c r="O383" s="799"/>
      <c r="P383" s="799"/>
      <c r="Q383" s="799"/>
      <c r="R383" s="799"/>
      <c r="S383" s="799"/>
      <c r="T383" s="799"/>
      <c r="U383" s="799"/>
      <c r="V383" s="799"/>
      <c r="W383" s="799"/>
      <c r="X383" s="799"/>
      <c r="Y383" s="799"/>
      <c r="Z383" s="799"/>
      <c r="AA383" s="799"/>
      <c r="AB383" s="799"/>
      <c r="AC383" s="799"/>
      <c r="AD383" s="799"/>
      <c r="AE383" s="799"/>
      <c r="AF383" s="799"/>
      <c r="AG383" s="799"/>
      <c r="AH383" s="799"/>
      <c r="AI383" s="799"/>
      <c r="AJ383" s="799"/>
      <c r="AK383" s="799"/>
      <c r="AL383" s="799"/>
      <c r="AM383" s="799"/>
      <c r="AN383" s="799"/>
      <c r="AO383" s="799"/>
      <c r="AP383" s="799"/>
      <c r="AQ383" s="799"/>
      <c r="AR383" s="799"/>
      <c r="AS383" s="799"/>
      <c r="AT383" s="799"/>
      <c r="AU383" s="799"/>
      <c r="AV383" s="799"/>
      <c r="AW383" s="799"/>
      <c r="AX383" s="799"/>
      <c r="AY383" s="799"/>
      <c r="AZ383" s="799"/>
      <c r="BA383" s="799"/>
      <c r="BB383" s="799"/>
      <c r="BC383" s="799"/>
      <c r="BD383" s="799"/>
      <c r="BE383" s="799"/>
      <c r="BF383" s="799"/>
      <c r="BG383" s="799"/>
    </row>
    <row r="384">
      <c r="H384" s="799"/>
      <c r="I384" s="799"/>
      <c r="J384" s="799"/>
      <c r="K384" s="799"/>
      <c r="L384" s="799"/>
      <c r="M384" s="799"/>
      <c r="N384" s="799"/>
      <c r="O384" s="799"/>
      <c r="P384" s="799"/>
      <c r="Q384" s="799"/>
      <c r="R384" s="799"/>
      <c r="S384" s="799"/>
      <c r="T384" s="799"/>
      <c r="U384" s="799"/>
      <c r="V384" s="799"/>
      <c r="W384" s="799"/>
      <c r="X384" s="799"/>
      <c r="Y384" s="799"/>
      <c r="Z384" s="799"/>
      <c r="AA384" s="799"/>
      <c r="AB384" s="799"/>
      <c r="AC384" s="799"/>
      <c r="AD384" s="799"/>
      <c r="AE384" s="799"/>
      <c r="AF384" s="799"/>
      <c r="AG384" s="799"/>
      <c r="AH384" s="799"/>
      <c r="AI384" s="799"/>
      <c r="AJ384" s="799"/>
      <c r="AK384" s="799"/>
      <c r="AL384" s="799"/>
      <c r="AM384" s="799"/>
      <c r="AN384" s="799"/>
      <c r="AO384" s="799"/>
      <c r="AP384" s="799"/>
      <c r="AQ384" s="799"/>
      <c r="AR384" s="799"/>
      <c r="AS384" s="799"/>
      <c r="AT384" s="799"/>
      <c r="AU384" s="799"/>
      <c r="AV384" s="799"/>
      <c r="AW384" s="799"/>
      <c r="AX384" s="799"/>
      <c r="AY384" s="799"/>
      <c r="AZ384" s="799"/>
      <c r="BA384" s="799"/>
      <c r="BB384" s="799"/>
      <c r="BC384" s="799"/>
      <c r="BD384" s="799"/>
      <c r="BE384" s="799"/>
      <c r="BF384" s="799"/>
      <c r="BG384" s="799"/>
    </row>
    <row r="385">
      <c r="H385" s="799"/>
      <c r="I385" s="799"/>
      <c r="J385" s="799"/>
      <c r="K385" s="799"/>
      <c r="L385" s="799"/>
      <c r="M385" s="799"/>
      <c r="N385" s="799"/>
      <c r="O385" s="799"/>
      <c r="P385" s="799"/>
      <c r="Q385" s="799"/>
      <c r="R385" s="799"/>
      <c r="S385" s="799"/>
      <c r="T385" s="799"/>
      <c r="U385" s="799"/>
      <c r="V385" s="799"/>
      <c r="W385" s="799"/>
      <c r="X385" s="799"/>
      <c r="Y385" s="799"/>
      <c r="Z385" s="799"/>
      <c r="AA385" s="799"/>
      <c r="AB385" s="799"/>
      <c r="AC385" s="799"/>
      <c r="AD385" s="799"/>
      <c r="AE385" s="799"/>
      <c r="AF385" s="799"/>
      <c r="AG385" s="799"/>
      <c r="AH385" s="799"/>
      <c r="AI385" s="799"/>
      <c r="AJ385" s="799"/>
      <c r="AK385" s="799"/>
      <c r="AL385" s="799"/>
      <c r="AM385" s="799"/>
      <c r="AN385" s="799"/>
      <c r="AO385" s="799"/>
      <c r="AP385" s="799"/>
      <c r="AQ385" s="799"/>
      <c r="AR385" s="799"/>
      <c r="AS385" s="799"/>
      <c r="AT385" s="799"/>
      <c r="AU385" s="799"/>
      <c r="AV385" s="799"/>
      <c r="AW385" s="799"/>
      <c r="AX385" s="799"/>
      <c r="AY385" s="799"/>
      <c r="AZ385" s="799"/>
      <c r="BA385" s="799"/>
      <c r="BB385" s="799"/>
      <c r="BC385" s="799"/>
      <c r="BD385" s="799"/>
      <c r="BE385" s="799"/>
      <c r="BF385" s="799"/>
      <c r="BG385" s="799"/>
    </row>
    <row r="386">
      <c r="H386" s="799"/>
      <c r="I386" s="799"/>
      <c r="J386" s="799"/>
      <c r="K386" s="799"/>
      <c r="L386" s="799"/>
      <c r="M386" s="799"/>
      <c r="N386" s="799"/>
      <c r="O386" s="799"/>
      <c r="P386" s="799"/>
      <c r="Q386" s="799"/>
      <c r="R386" s="799"/>
      <c r="S386" s="799"/>
      <c r="T386" s="799"/>
      <c r="U386" s="799"/>
      <c r="V386" s="799"/>
      <c r="W386" s="799"/>
      <c r="X386" s="799"/>
      <c r="Y386" s="799"/>
      <c r="Z386" s="799"/>
      <c r="AA386" s="799"/>
      <c r="AB386" s="799"/>
      <c r="AC386" s="799"/>
      <c r="AD386" s="799"/>
      <c r="AE386" s="799"/>
      <c r="AF386" s="799"/>
      <c r="AG386" s="799"/>
      <c r="AH386" s="799"/>
      <c r="AI386" s="799"/>
      <c r="AJ386" s="799"/>
      <c r="AK386" s="799"/>
      <c r="AL386" s="799"/>
      <c r="AM386" s="799"/>
      <c r="AN386" s="799"/>
      <c r="AO386" s="799"/>
      <c r="AP386" s="799"/>
      <c r="AQ386" s="799"/>
      <c r="AR386" s="799"/>
      <c r="AS386" s="799"/>
      <c r="AT386" s="799"/>
      <c r="AU386" s="799"/>
      <c r="AV386" s="799"/>
      <c r="AW386" s="799"/>
      <c r="AX386" s="799"/>
      <c r="AY386" s="799"/>
      <c r="AZ386" s="799"/>
      <c r="BA386" s="799"/>
      <c r="BB386" s="799"/>
      <c r="BC386" s="799"/>
      <c r="BD386" s="799"/>
      <c r="BE386" s="799"/>
      <c r="BF386" s="799"/>
      <c r="BG386" s="799"/>
    </row>
    <row r="387">
      <c r="H387" s="799"/>
      <c r="I387" s="799"/>
      <c r="J387" s="799"/>
      <c r="K387" s="799"/>
      <c r="L387" s="799"/>
      <c r="M387" s="799"/>
      <c r="N387" s="799"/>
      <c r="O387" s="799"/>
      <c r="P387" s="799"/>
      <c r="Q387" s="799"/>
      <c r="R387" s="799"/>
      <c r="S387" s="799"/>
      <c r="T387" s="799"/>
      <c r="U387" s="799"/>
      <c r="V387" s="799"/>
      <c r="W387" s="799"/>
      <c r="X387" s="799"/>
      <c r="Y387" s="799"/>
      <c r="Z387" s="799"/>
      <c r="AA387" s="799"/>
      <c r="AB387" s="799"/>
      <c r="AC387" s="799"/>
      <c r="AD387" s="799"/>
      <c r="AE387" s="799"/>
      <c r="AF387" s="799"/>
      <c r="AG387" s="799"/>
      <c r="AH387" s="799"/>
      <c r="AI387" s="799"/>
      <c r="AJ387" s="799"/>
      <c r="AK387" s="799"/>
      <c r="AL387" s="799"/>
      <c r="AM387" s="799"/>
      <c r="AN387" s="799"/>
      <c r="AO387" s="799"/>
      <c r="AP387" s="799"/>
      <c r="AQ387" s="799"/>
      <c r="AR387" s="799"/>
      <c r="AS387" s="799"/>
      <c r="AT387" s="799"/>
      <c r="AU387" s="799"/>
      <c r="AV387" s="799"/>
      <c r="AW387" s="799"/>
      <c r="AX387" s="799"/>
      <c r="AY387" s="799"/>
      <c r="AZ387" s="799"/>
      <c r="BA387" s="799"/>
      <c r="BB387" s="799"/>
      <c r="BC387" s="799"/>
      <c r="BD387" s="799"/>
      <c r="BE387" s="799"/>
      <c r="BF387" s="799"/>
      <c r="BG387" s="799"/>
    </row>
    <row r="388">
      <c r="H388" s="799"/>
      <c r="I388" s="799"/>
      <c r="J388" s="799"/>
      <c r="K388" s="799"/>
      <c r="L388" s="799"/>
      <c r="M388" s="799"/>
      <c r="N388" s="799"/>
      <c r="O388" s="799"/>
      <c r="P388" s="799"/>
      <c r="Q388" s="799"/>
      <c r="R388" s="799"/>
      <c r="S388" s="799"/>
      <c r="T388" s="799"/>
      <c r="U388" s="799"/>
      <c r="V388" s="799"/>
      <c r="W388" s="799"/>
      <c r="X388" s="799"/>
      <c r="Y388" s="799"/>
      <c r="Z388" s="799"/>
      <c r="AA388" s="799"/>
      <c r="AB388" s="799"/>
      <c r="AC388" s="799"/>
      <c r="AD388" s="799"/>
      <c r="AE388" s="799"/>
      <c r="AF388" s="799"/>
      <c r="AG388" s="799"/>
      <c r="AH388" s="799"/>
      <c r="AI388" s="799"/>
      <c r="AJ388" s="799"/>
      <c r="AK388" s="799"/>
      <c r="AL388" s="799"/>
      <c r="AM388" s="799"/>
      <c r="AN388" s="799"/>
      <c r="AO388" s="799"/>
      <c r="AP388" s="799"/>
      <c r="AQ388" s="799"/>
      <c r="AR388" s="799"/>
      <c r="AS388" s="799"/>
      <c r="AT388" s="799"/>
      <c r="AU388" s="799"/>
      <c r="AV388" s="799"/>
      <c r="AW388" s="799"/>
      <c r="AX388" s="799"/>
      <c r="AY388" s="799"/>
      <c r="AZ388" s="799"/>
      <c r="BA388" s="799"/>
      <c r="BB388" s="799"/>
      <c r="BC388" s="799"/>
      <c r="BD388" s="799"/>
      <c r="BE388" s="799"/>
      <c r="BF388" s="799"/>
      <c r="BG388" s="799"/>
    </row>
    <row r="389">
      <c r="H389" s="799"/>
      <c r="I389" s="799"/>
      <c r="J389" s="799"/>
      <c r="K389" s="799"/>
      <c r="L389" s="799"/>
      <c r="M389" s="799"/>
      <c r="N389" s="799"/>
      <c r="O389" s="799"/>
      <c r="P389" s="799"/>
      <c r="Q389" s="799"/>
      <c r="R389" s="799"/>
      <c r="S389" s="799"/>
      <c r="T389" s="799"/>
      <c r="U389" s="799"/>
      <c r="V389" s="799"/>
      <c r="W389" s="799"/>
      <c r="X389" s="799"/>
      <c r="Y389" s="799"/>
      <c r="Z389" s="799"/>
      <c r="AA389" s="799"/>
      <c r="AB389" s="799"/>
      <c r="AC389" s="799"/>
      <c r="AD389" s="799"/>
      <c r="AE389" s="799"/>
      <c r="AF389" s="799"/>
      <c r="AG389" s="799"/>
      <c r="AH389" s="799"/>
      <c r="AI389" s="799"/>
      <c r="AJ389" s="799"/>
      <c r="AK389" s="799"/>
      <c r="AL389" s="799"/>
      <c r="AM389" s="799"/>
      <c r="AN389" s="799"/>
      <c r="AO389" s="799"/>
      <c r="AP389" s="799"/>
      <c r="AQ389" s="799"/>
      <c r="AR389" s="799"/>
      <c r="AS389" s="799"/>
      <c r="AT389" s="799"/>
      <c r="AU389" s="799"/>
      <c r="AV389" s="799"/>
      <c r="AW389" s="799"/>
      <c r="AX389" s="799"/>
      <c r="AY389" s="799"/>
      <c r="AZ389" s="799"/>
      <c r="BA389" s="799"/>
      <c r="BB389" s="799"/>
      <c r="BC389" s="799"/>
      <c r="BD389" s="799"/>
      <c r="BE389" s="799"/>
      <c r="BF389" s="799"/>
      <c r="BG389" s="799"/>
    </row>
    <row r="390">
      <c r="H390" s="799"/>
      <c r="I390" s="799"/>
      <c r="J390" s="799"/>
      <c r="K390" s="799"/>
      <c r="L390" s="799"/>
      <c r="M390" s="799"/>
      <c r="N390" s="799"/>
      <c r="O390" s="799"/>
      <c r="P390" s="799"/>
      <c r="Q390" s="799"/>
      <c r="R390" s="799"/>
      <c r="S390" s="799"/>
      <c r="T390" s="799"/>
      <c r="U390" s="799"/>
      <c r="V390" s="799"/>
      <c r="W390" s="799"/>
      <c r="X390" s="799"/>
      <c r="Y390" s="799"/>
      <c r="Z390" s="799"/>
      <c r="AA390" s="799"/>
      <c r="AB390" s="799"/>
      <c r="AC390" s="799"/>
      <c r="AD390" s="799"/>
      <c r="AE390" s="799"/>
      <c r="AF390" s="799"/>
      <c r="AG390" s="799"/>
      <c r="AH390" s="799"/>
      <c r="AI390" s="799"/>
      <c r="AJ390" s="799"/>
      <c r="AK390" s="799"/>
      <c r="AL390" s="799"/>
      <c r="AM390" s="799"/>
      <c r="AN390" s="799"/>
      <c r="AO390" s="799"/>
      <c r="AP390" s="799"/>
      <c r="AQ390" s="799"/>
      <c r="AR390" s="799"/>
      <c r="AS390" s="799"/>
      <c r="AT390" s="799"/>
      <c r="AU390" s="799"/>
      <c r="AV390" s="799"/>
      <c r="AW390" s="799"/>
      <c r="AX390" s="799"/>
      <c r="AY390" s="799"/>
      <c r="AZ390" s="799"/>
      <c r="BA390" s="799"/>
      <c r="BB390" s="799"/>
      <c r="BC390" s="799"/>
      <c r="BD390" s="799"/>
      <c r="BE390" s="799"/>
      <c r="BF390" s="799"/>
      <c r="BG390" s="799"/>
    </row>
    <row r="391">
      <c r="H391" s="799"/>
      <c r="I391" s="799"/>
      <c r="J391" s="799"/>
      <c r="K391" s="799"/>
      <c r="L391" s="799"/>
      <c r="M391" s="799"/>
      <c r="N391" s="799"/>
      <c r="O391" s="799"/>
      <c r="P391" s="799"/>
      <c r="Q391" s="799"/>
      <c r="R391" s="799"/>
      <c r="S391" s="799"/>
      <c r="T391" s="799"/>
      <c r="U391" s="799"/>
      <c r="V391" s="799"/>
      <c r="W391" s="799"/>
      <c r="X391" s="799"/>
      <c r="Y391" s="799"/>
      <c r="Z391" s="799"/>
      <c r="AA391" s="799"/>
      <c r="AB391" s="799"/>
      <c r="AC391" s="799"/>
      <c r="AD391" s="799"/>
      <c r="AE391" s="799"/>
      <c r="AF391" s="799"/>
      <c r="AG391" s="799"/>
      <c r="AH391" s="799"/>
      <c r="AI391" s="799"/>
      <c r="AJ391" s="799"/>
      <c r="AK391" s="799"/>
      <c r="AL391" s="799"/>
      <c r="AM391" s="799"/>
      <c r="AN391" s="799"/>
      <c r="AO391" s="799"/>
      <c r="AP391" s="799"/>
      <c r="AQ391" s="799"/>
      <c r="AR391" s="799"/>
      <c r="AS391" s="799"/>
      <c r="AT391" s="799"/>
      <c r="AU391" s="799"/>
      <c r="AV391" s="799"/>
      <c r="AW391" s="799"/>
      <c r="AX391" s="799"/>
      <c r="AY391" s="799"/>
      <c r="AZ391" s="799"/>
      <c r="BA391" s="799"/>
      <c r="BB391" s="799"/>
      <c r="BC391" s="799"/>
      <c r="BD391" s="799"/>
      <c r="BE391" s="799"/>
      <c r="BF391" s="799"/>
      <c r="BG391" s="799"/>
    </row>
    <row r="392">
      <c r="H392" s="799"/>
      <c r="I392" s="799"/>
      <c r="J392" s="799"/>
      <c r="K392" s="799"/>
      <c r="L392" s="799"/>
      <c r="M392" s="799"/>
      <c r="N392" s="799"/>
      <c r="O392" s="799"/>
      <c r="P392" s="799"/>
      <c r="Q392" s="799"/>
      <c r="R392" s="799"/>
      <c r="S392" s="799"/>
      <c r="T392" s="799"/>
      <c r="U392" s="799"/>
      <c r="V392" s="799"/>
      <c r="W392" s="799"/>
      <c r="X392" s="799"/>
      <c r="Y392" s="799"/>
      <c r="Z392" s="799"/>
      <c r="AA392" s="799"/>
      <c r="AB392" s="799"/>
      <c r="AC392" s="799"/>
      <c r="AD392" s="799"/>
      <c r="AE392" s="799"/>
      <c r="AF392" s="799"/>
      <c r="AG392" s="799"/>
      <c r="AH392" s="799"/>
      <c r="AI392" s="799"/>
      <c r="AJ392" s="799"/>
      <c r="AK392" s="799"/>
      <c r="AL392" s="799"/>
      <c r="AM392" s="799"/>
      <c r="AN392" s="799"/>
      <c r="AO392" s="799"/>
      <c r="AP392" s="799"/>
      <c r="AQ392" s="799"/>
      <c r="AR392" s="799"/>
      <c r="AS392" s="799"/>
      <c r="AT392" s="799"/>
      <c r="AU392" s="799"/>
      <c r="AV392" s="799"/>
      <c r="AW392" s="799"/>
      <c r="AX392" s="799"/>
      <c r="AY392" s="799"/>
      <c r="AZ392" s="799"/>
      <c r="BA392" s="799"/>
      <c r="BB392" s="799"/>
      <c r="BC392" s="799"/>
      <c r="BD392" s="799"/>
      <c r="BE392" s="799"/>
      <c r="BF392" s="799"/>
      <c r="BG392" s="799"/>
    </row>
    <row r="393">
      <c r="H393" s="799"/>
      <c r="I393" s="799"/>
      <c r="J393" s="799"/>
      <c r="K393" s="799"/>
      <c r="L393" s="799"/>
      <c r="M393" s="799"/>
      <c r="N393" s="799"/>
      <c r="O393" s="799"/>
      <c r="P393" s="799"/>
      <c r="Q393" s="799"/>
      <c r="R393" s="799"/>
      <c r="S393" s="799"/>
      <c r="T393" s="799"/>
      <c r="U393" s="799"/>
      <c r="V393" s="799"/>
      <c r="W393" s="799"/>
      <c r="X393" s="799"/>
      <c r="Y393" s="799"/>
      <c r="Z393" s="799"/>
      <c r="AA393" s="799"/>
      <c r="AB393" s="799"/>
      <c r="AC393" s="799"/>
      <c r="AD393" s="799"/>
      <c r="AE393" s="799"/>
      <c r="AF393" s="799"/>
      <c r="AG393" s="799"/>
      <c r="AH393" s="799"/>
      <c r="AI393" s="799"/>
      <c r="AJ393" s="799"/>
      <c r="AK393" s="799"/>
      <c r="AL393" s="799"/>
      <c r="AM393" s="799"/>
      <c r="AN393" s="799"/>
      <c r="AO393" s="799"/>
      <c r="AP393" s="799"/>
      <c r="AQ393" s="799"/>
      <c r="AR393" s="799"/>
      <c r="AS393" s="799"/>
      <c r="AT393" s="799"/>
      <c r="AU393" s="799"/>
      <c r="AV393" s="799"/>
      <c r="AW393" s="799"/>
      <c r="AX393" s="799"/>
      <c r="AY393" s="799"/>
      <c r="AZ393" s="799"/>
      <c r="BA393" s="799"/>
      <c r="BB393" s="799"/>
      <c r="BC393" s="799"/>
      <c r="BD393" s="799"/>
      <c r="BE393" s="799"/>
      <c r="BF393" s="799"/>
      <c r="BG393" s="799"/>
    </row>
    <row r="394">
      <c r="H394" s="799"/>
      <c r="I394" s="799"/>
      <c r="J394" s="799"/>
      <c r="K394" s="799"/>
      <c r="L394" s="799"/>
      <c r="M394" s="799"/>
      <c r="N394" s="799"/>
      <c r="O394" s="799"/>
      <c r="P394" s="799"/>
      <c r="Q394" s="799"/>
      <c r="R394" s="799"/>
      <c r="S394" s="799"/>
      <c r="T394" s="799"/>
      <c r="U394" s="799"/>
      <c r="V394" s="799"/>
      <c r="W394" s="799"/>
      <c r="X394" s="799"/>
      <c r="Y394" s="799"/>
      <c r="Z394" s="799"/>
      <c r="AA394" s="799"/>
      <c r="AB394" s="799"/>
      <c r="AC394" s="799"/>
      <c r="AD394" s="799"/>
      <c r="AE394" s="799"/>
      <c r="AF394" s="799"/>
      <c r="AG394" s="799"/>
      <c r="AH394" s="799"/>
      <c r="AI394" s="799"/>
      <c r="AJ394" s="799"/>
      <c r="AK394" s="799"/>
      <c r="AL394" s="799"/>
      <c r="AM394" s="799"/>
      <c r="AN394" s="799"/>
      <c r="AO394" s="799"/>
      <c r="AP394" s="799"/>
      <c r="AQ394" s="799"/>
      <c r="AR394" s="799"/>
      <c r="AS394" s="799"/>
      <c r="AT394" s="799"/>
      <c r="AU394" s="799"/>
      <c r="AV394" s="799"/>
      <c r="AW394" s="799"/>
      <c r="AX394" s="799"/>
      <c r="AY394" s="799"/>
      <c r="AZ394" s="799"/>
      <c r="BA394" s="799"/>
      <c r="BB394" s="799"/>
      <c r="BC394" s="799"/>
      <c r="BD394" s="799"/>
      <c r="BE394" s="799"/>
      <c r="BF394" s="799"/>
      <c r="BG394" s="799"/>
    </row>
    <row r="395">
      <c r="H395" s="799"/>
      <c r="I395" s="799"/>
      <c r="J395" s="799"/>
      <c r="K395" s="799"/>
      <c r="L395" s="799"/>
      <c r="M395" s="799"/>
      <c r="N395" s="799"/>
      <c r="O395" s="799"/>
      <c r="P395" s="799"/>
      <c r="Q395" s="799"/>
      <c r="R395" s="799"/>
      <c r="S395" s="799"/>
      <c r="T395" s="799"/>
      <c r="U395" s="799"/>
      <c r="V395" s="799"/>
      <c r="W395" s="799"/>
      <c r="X395" s="799"/>
      <c r="Y395" s="799"/>
      <c r="Z395" s="799"/>
      <c r="AA395" s="799"/>
      <c r="AB395" s="799"/>
      <c r="AC395" s="799"/>
      <c r="AD395" s="799"/>
      <c r="AE395" s="799"/>
      <c r="AF395" s="799"/>
      <c r="AG395" s="799"/>
      <c r="AH395" s="799"/>
      <c r="AI395" s="799"/>
      <c r="AJ395" s="799"/>
      <c r="AK395" s="799"/>
      <c r="AL395" s="799"/>
      <c r="AM395" s="799"/>
      <c r="AN395" s="799"/>
      <c r="AO395" s="799"/>
      <c r="AP395" s="799"/>
      <c r="AQ395" s="799"/>
      <c r="AR395" s="799"/>
      <c r="AS395" s="799"/>
      <c r="AT395" s="799"/>
      <c r="AU395" s="799"/>
      <c r="AV395" s="799"/>
      <c r="AW395" s="799"/>
      <c r="AX395" s="799"/>
      <c r="AY395" s="799"/>
      <c r="AZ395" s="799"/>
      <c r="BA395" s="799"/>
      <c r="BB395" s="799"/>
      <c r="BC395" s="799"/>
      <c r="BD395" s="799"/>
      <c r="BE395" s="799"/>
      <c r="BF395" s="799"/>
      <c r="BG395" s="799"/>
    </row>
    <row r="396">
      <c r="H396" s="799"/>
      <c r="I396" s="799"/>
      <c r="J396" s="799"/>
      <c r="K396" s="799"/>
      <c r="L396" s="799"/>
      <c r="M396" s="799"/>
      <c r="N396" s="799"/>
      <c r="O396" s="799"/>
      <c r="P396" s="799"/>
      <c r="Q396" s="799"/>
      <c r="R396" s="799"/>
      <c r="S396" s="799"/>
      <c r="T396" s="799"/>
      <c r="U396" s="799"/>
      <c r="V396" s="799"/>
      <c r="W396" s="799"/>
      <c r="X396" s="799"/>
      <c r="Y396" s="799"/>
      <c r="Z396" s="799"/>
      <c r="AA396" s="799"/>
      <c r="AB396" s="799"/>
      <c r="AC396" s="799"/>
      <c r="AD396" s="799"/>
      <c r="AE396" s="799"/>
      <c r="AF396" s="799"/>
      <c r="AG396" s="799"/>
      <c r="AH396" s="799"/>
      <c r="AI396" s="799"/>
      <c r="AJ396" s="799"/>
      <c r="AK396" s="799"/>
      <c r="AL396" s="799"/>
      <c r="AM396" s="799"/>
      <c r="AN396" s="799"/>
      <c r="AO396" s="799"/>
      <c r="AP396" s="799"/>
      <c r="AQ396" s="799"/>
      <c r="AR396" s="799"/>
      <c r="AS396" s="799"/>
      <c r="AT396" s="799"/>
      <c r="AU396" s="799"/>
      <c r="AV396" s="799"/>
      <c r="AW396" s="799"/>
      <c r="AX396" s="799"/>
      <c r="AY396" s="799"/>
      <c r="AZ396" s="799"/>
      <c r="BA396" s="799"/>
      <c r="BB396" s="799"/>
      <c r="BC396" s="799"/>
      <c r="BD396" s="799"/>
      <c r="BE396" s="799"/>
      <c r="BF396" s="799"/>
      <c r="BG396" s="799"/>
    </row>
    <row r="397">
      <c r="H397" s="799"/>
      <c r="I397" s="799"/>
      <c r="J397" s="799"/>
      <c r="K397" s="799"/>
      <c r="L397" s="799"/>
      <c r="M397" s="799"/>
      <c r="N397" s="799"/>
      <c r="O397" s="799"/>
      <c r="P397" s="799"/>
      <c r="Q397" s="799"/>
      <c r="R397" s="799"/>
      <c r="S397" s="799"/>
      <c r="T397" s="799"/>
      <c r="U397" s="799"/>
      <c r="V397" s="799"/>
      <c r="W397" s="799"/>
      <c r="X397" s="799"/>
      <c r="Y397" s="799"/>
      <c r="Z397" s="799"/>
      <c r="AA397" s="799"/>
      <c r="AB397" s="799"/>
      <c r="AC397" s="799"/>
      <c r="AD397" s="799"/>
      <c r="AE397" s="799"/>
      <c r="AF397" s="799"/>
      <c r="AG397" s="799"/>
      <c r="AH397" s="799"/>
      <c r="AI397" s="799"/>
      <c r="AJ397" s="799"/>
      <c r="AK397" s="799"/>
      <c r="AL397" s="799"/>
      <c r="AM397" s="799"/>
      <c r="AN397" s="799"/>
      <c r="AO397" s="799"/>
      <c r="AP397" s="799"/>
      <c r="AQ397" s="799"/>
      <c r="AR397" s="799"/>
      <c r="AS397" s="799"/>
      <c r="AT397" s="799"/>
      <c r="AU397" s="799"/>
      <c r="AV397" s="799"/>
      <c r="AW397" s="799"/>
      <c r="AX397" s="799"/>
      <c r="AY397" s="799"/>
      <c r="AZ397" s="799"/>
      <c r="BA397" s="799"/>
      <c r="BB397" s="799"/>
      <c r="BC397" s="799"/>
      <c r="BD397" s="799"/>
      <c r="BE397" s="799"/>
      <c r="BF397" s="799"/>
      <c r="BG397" s="799"/>
    </row>
    <row r="398">
      <c r="H398" s="799"/>
      <c r="I398" s="799"/>
      <c r="J398" s="799"/>
      <c r="K398" s="799"/>
      <c r="L398" s="799"/>
      <c r="M398" s="799"/>
      <c r="N398" s="799"/>
      <c r="O398" s="799"/>
      <c r="P398" s="799"/>
      <c r="Q398" s="799"/>
      <c r="R398" s="799"/>
      <c r="S398" s="799"/>
      <c r="T398" s="799"/>
      <c r="U398" s="799"/>
      <c r="V398" s="799"/>
      <c r="W398" s="799"/>
      <c r="X398" s="799"/>
      <c r="Y398" s="799"/>
      <c r="Z398" s="799"/>
      <c r="AA398" s="799"/>
      <c r="AB398" s="799"/>
      <c r="AC398" s="799"/>
      <c r="AD398" s="799"/>
      <c r="AE398" s="799"/>
      <c r="AF398" s="799"/>
      <c r="AG398" s="799"/>
      <c r="AH398" s="799"/>
      <c r="AI398" s="799"/>
      <c r="AJ398" s="799"/>
      <c r="AK398" s="799"/>
      <c r="AL398" s="799"/>
      <c r="AM398" s="799"/>
      <c r="AN398" s="799"/>
      <c r="AO398" s="799"/>
      <c r="AP398" s="799"/>
      <c r="AQ398" s="799"/>
      <c r="AR398" s="799"/>
      <c r="AS398" s="799"/>
      <c r="AT398" s="799"/>
      <c r="AU398" s="799"/>
      <c r="AV398" s="799"/>
      <c r="AW398" s="799"/>
      <c r="AX398" s="799"/>
      <c r="AY398" s="799"/>
      <c r="AZ398" s="799"/>
      <c r="BA398" s="799"/>
      <c r="BB398" s="799"/>
      <c r="BC398" s="799"/>
      <c r="BD398" s="799"/>
      <c r="BE398" s="799"/>
      <c r="BF398" s="799"/>
      <c r="BG398" s="799"/>
    </row>
    <row r="399">
      <c r="H399" s="799"/>
      <c r="I399" s="799"/>
      <c r="J399" s="799"/>
      <c r="K399" s="799"/>
      <c r="L399" s="799"/>
      <c r="M399" s="799"/>
      <c r="N399" s="799"/>
      <c r="O399" s="799"/>
      <c r="P399" s="799"/>
      <c r="Q399" s="799"/>
      <c r="R399" s="799"/>
      <c r="S399" s="799"/>
      <c r="T399" s="799"/>
      <c r="U399" s="799"/>
      <c r="V399" s="799"/>
      <c r="W399" s="799"/>
      <c r="X399" s="799"/>
      <c r="Y399" s="799"/>
      <c r="Z399" s="799"/>
      <c r="AA399" s="799"/>
      <c r="AB399" s="799"/>
      <c r="AC399" s="799"/>
      <c r="AD399" s="799"/>
      <c r="AE399" s="799"/>
      <c r="AF399" s="799"/>
      <c r="AG399" s="799"/>
      <c r="AH399" s="799"/>
      <c r="AI399" s="799"/>
      <c r="AJ399" s="799"/>
      <c r="AK399" s="799"/>
      <c r="AL399" s="799"/>
      <c r="AM399" s="799"/>
      <c r="AN399" s="799"/>
      <c r="AO399" s="799"/>
      <c r="AP399" s="799"/>
      <c r="AQ399" s="799"/>
      <c r="AR399" s="799"/>
      <c r="AS399" s="799"/>
      <c r="AT399" s="799"/>
      <c r="AU399" s="799"/>
      <c r="AV399" s="799"/>
      <c r="AW399" s="799"/>
      <c r="AX399" s="799"/>
      <c r="AY399" s="799"/>
      <c r="AZ399" s="799"/>
      <c r="BA399" s="799"/>
      <c r="BB399" s="799"/>
      <c r="BC399" s="799"/>
      <c r="BD399" s="799"/>
      <c r="BE399" s="799"/>
      <c r="BF399" s="799"/>
      <c r="BG399" s="799"/>
    </row>
    <row r="400">
      <c r="H400" s="799"/>
      <c r="I400" s="799"/>
      <c r="J400" s="799"/>
      <c r="K400" s="799"/>
      <c r="L400" s="799"/>
      <c r="M400" s="799"/>
      <c r="N400" s="799"/>
      <c r="O400" s="799"/>
      <c r="P400" s="799"/>
      <c r="Q400" s="799"/>
      <c r="R400" s="799"/>
      <c r="S400" s="799"/>
      <c r="T400" s="799"/>
      <c r="U400" s="799"/>
      <c r="V400" s="799"/>
      <c r="W400" s="799"/>
      <c r="X400" s="799"/>
      <c r="Y400" s="799"/>
      <c r="Z400" s="799"/>
      <c r="AA400" s="799"/>
      <c r="AB400" s="799"/>
      <c r="AC400" s="799"/>
      <c r="AD400" s="799"/>
      <c r="AE400" s="799"/>
      <c r="AF400" s="799"/>
      <c r="AG400" s="799"/>
      <c r="AH400" s="799"/>
      <c r="AI400" s="799"/>
      <c r="AJ400" s="799"/>
      <c r="AK400" s="799"/>
      <c r="AL400" s="799"/>
      <c r="AM400" s="799"/>
      <c r="AN400" s="799"/>
      <c r="AO400" s="799"/>
      <c r="AP400" s="799"/>
      <c r="AQ400" s="799"/>
      <c r="AR400" s="799"/>
      <c r="AS400" s="799"/>
      <c r="AT400" s="799"/>
      <c r="AU400" s="799"/>
      <c r="AV400" s="799"/>
      <c r="AW400" s="799"/>
      <c r="AX400" s="799"/>
      <c r="AY400" s="799"/>
      <c r="AZ400" s="799"/>
      <c r="BA400" s="799"/>
      <c r="BB400" s="799"/>
      <c r="BC400" s="799"/>
      <c r="BD400" s="799"/>
      <c r="BE400" s="799"/>
      <c r="BF400" s="799"/>
      <c r="BG400" s="799"/>
    </row>
    <row r="401">
      <c r="H401" s="799"/>
      <c r="I401" s="799"/>
      <c r="J401" s="799"/>
      <c r="K401" s="799"/>
      <c r="L401" s="799"/>
      <c r="M401" s="799"/>
      <c r="N401" s="799"/>
      <c r="O401" s="799"/>
      <c r="P401" s="799"/>
      <c r="Q401" s="799"/>
      <c r="R401" s="799"/>
      <c r="S401" s="799"/>
      <c r="T401" s="799"/>
      <c r="U401" s="799"/>
      <c r="V401" s="799"/>
      <c r="W401" s="799"/>
      <c r="X401" s="799"/>
      <c r="Y401" s="799"/>
      <c r="Z401" s="799"/>
      <c r="AA401" s="799"/>
      <c r="AB401" s="799"/>
      <c r="AC401" s="799"/>
      <c r="AD401" s="799"/>
      <c r="AE401" s="799"/>
      <c r="AF401" s="799"/>
      <c r="AG401" s="799"/>
      <c r="AH401" s="799"/>
      <c r="AI401" s="799"/>
      <c r="AJ401" s="799"/>
      <c r="AK401" s="799"/>
      <c r="AL401" s="799"/>
      <c r="AM401" s="799"/>
      <c r="AN401" s="799"/>
      <c r="AO401" s="799"/>
      <c r="AP401" s="799"/>
      <c r="AQ401" s="799"/>
      <c r="AR401" s="799"/>
      <c r="AS401" s="799"/>
      <c r="AT401" s="799"/>
      <c r="AU401" s="799"/>
      <c r="AV401" s="799"/>
      <c r="AW401" s="799"/>
      <c r="AX401" s="799"/>
      <c r="AY401" s="799"/>
      <c r="AZ401" s="799"/>
      <c r="BA401" s="799"/>
      <c r="BB401" s="799"/>
      <c r="BC401" s="799"/>
      <c r="BD401" s="799"/>
      <c r="BE401" s="799"/>
      <c r="BF401" s="799"/>
      <c r="BG401" s="799"/>
    </row>
    <row r="402">
      <c r="H402" s="799"/>
      <c r="I402" s="799"/>
      <c r="J402" s="799"/>
      <c r="K402" s="799"/>
      <c r="L402" s="799"/>
      <c r="M402" s="799"/>
      <c r="N402" s="799"/>
      <c r="O402" s="799"/>
      <c r="P402" s="799"/>
      <c r="Q402" s="799"/>
      <c r="R402" s="799"/>
      <c r="S402" s="799"/>
      <c r="T402" s="799"/>
      <c r="U402" s="799"/>
      <c r="V402" s="799"/>
      <c r="W402" s="799"/>
      <c r="X402" s="799"/>
      <c r="Y402" s="799"/>
      <c r="Z402" s="799"/>
      <c r="AA402" s="799"/>
      <c r="AB402" s="799"/>
      <c r="AC402" s="799"/>
      <c r="AD402" s="799"/>
      <c r="AE402" s="799"/>
      <c r="AF402" s="799"/>
      <c r="AG402" s="799"/>
      <c r="AH402" s="799"/>
      <c r="AI402" s="799"/>
      <c r="AJ402" s="799"/>
      <c r="AK402" s="799"/>
      <c r="AL402" s="799"/>
      <c r="AM402" s="799"/>
      <c r="AN402" s="799"/>
      <c r="AO402" s="799"/>
      <c r="AP402" s="799"/>
      <c r="AQ402" s="799"/>
      <c r="AR402" s="799"/>
      <c r="AS402" s="799"/>
      <c r="AT402" s="799"/>
      <c r="AU402" s="799"/>
      <c r="AV402" s="799"/>
      <c r="AW402" s="799"/>
      <c r="AX402" s="799"/>
      <c r="AY402" s="799"/>
      <c r="AZ402" s="799"/>
      <c r="BA402" s="799"/>
      <c r="BB402" s="799"/>
      <c r="BC402" s="799"/>
      <c r="BD402" s="799"/>
      <c r="BE402" s="799"/>
      <c r="BF402" s="799"/>
      <c r="BG402" s="799"/>
    </row>
    <row r="403">
      <c r="H403" s="799"/>
      <c r="I403" s="799"/>
      <c r="J403" s="799"/>
      <c r="K403" s="799"/>
      <c r="L403" s="799"/>
      <c r="M403" s="799"/>
      <c r="N403" s="799"/>
      <c r="O403" s="799"/>
      <c r="P403" s="799"/>
      <c r="Q403" s="799"/>
      <c r="R403" s="799"/>
      <c r="S403" s="799"/>
      <c r="T403" s="799"/>
      <c r="U403" s="799"/>
      <c r="V403" s="799"/>
      <c r="W403" s="799"/>
      <c r="X403" s="799"/>
      <c r="Y403" s="799"/>
      <c r="Z403" s="799"/>
      <c r="AA403" s="799"/>
      <c r="AB403" s="799"/>
      <c r="AC403" s="799"/>
      <c r="AD403" s="799"/>
      <c r="AE403" s="799"/>
      <c r="AF403" s="799"/>
      <c r="AG403" s="799"/>
      <c r="AH403" s="799"/>
      <c r="AI403" s="799"/>
      <c r="AJ403" s="799"/>
      <c r="AK403" s="799"/>
      <c r="AL403" s="799"/>
      <c r="AM403" s="799"/>
      <c r="AN403" s="799"/>
      <c r="AO403" s="799"/>
      <c r="AP403" s="799"/>
      <c r="AQ403" s="799"/>
      <c r="AR403" s="799"/>
      <c r="AS403" s="799"/>
      <c r="AT403" s="799"/>
      <c r="AU403" s="799"/>
      <c r="AV403" s="799"/>
      <c r="AW403" s="799"/>
      <c r="AX403" s="799"/>
      <c r="AY403" s="799"/>
      <c r="AZ403" s="799"/>
      <c r="BA403" s="799"/>
      <c r="BB403" s="799"/>
      <c r="BC403" s="799"/>
      <c r="BD403" s="799"/>
      <c r="BE403" s="799"/>
      <c r="BF403" s="799"/>
      <c r="BG403" s="799"/>
    </row>
    <row r="404">
      <c r="H404" s="799"/>
      <c r="I404" s="799"/>
      <c r="J404" s="799"/>
      <c r="K404" s="799"/>
      <c r="L404" s="799"/>
      <c r="M404" s="799"/>
      <c r="N404" s="799"/>
      <c r="O404" s="799"/>
      <c r="P404" s="799"/>
      <c r="Q404" s="799"/>
      <c r="R404" s="799"/>
      <c r="S404" s="799"/>
      <c r="T404" s="799"/>
      <c r="U404" s="799"/>
      <c r="V404" s="799"/>
      <c r="W404" s="799"/>
      <c r="X404" s="799"/>
      <c r="Y404" s="799"/>
      <c r="Z404" s="799"/>
      <c r="AA404" s="799"/>
      <c r="AB404" s="799"/>
      <c r="AC404" s="799"/>
      <c r="AD404" s="799"/>
      <c r="AE404" s="799"/>
      <c r="AF404" s="799"/>
      <c r="AG404" s="799"/>
      <c r="AH404" s="799"/>
      <c r="AI404" s="799"/>
      <c r="AJ404" s="799"/>
      <c r="AK404" s="799"/>
      <c r="AL404" s="799"/>
      <c r="AM404" s="799"/>
      <c r="AN404" s="799"/>
      <c r="AO404" s="799"/>
      <c r="AP404" s="799"/>
      <c r="AQ404" s="799"/>
      <c r="AR404" s="799"/>
      <c r="AS404" s="799"/>
      <c r="AT404" s="799"/>
      <c r="AU404" s="799"/>
      <c r="AV404" s="799"/>
      <c r="AW404" s="799"/>
      <c r="AX404" s="799"/>
      <c r="AY404" s="799"/>
      <c r="AZ404" s="799"/>
      <c r="BA404" s="799"/>
      <c r="BB404" s="799"/>
      <c r="BC404" s="799"/>
      <c r="BD404" s="799"/>
      <c r="BE404" s="799"/>
      <c r="BF404" s="799"/>
      <c r="BG404" s="799"/>
    </row>
    <row r="405">
      <c r="H405" s="799"/>
      <c r="I405" s="799"/>
      <c r="J405" s="799"/>
      <c r="K405" s="799"/>
      <c r="L405" s="799"/>
      <c r="M405" s="799"/>
      <c r="N405" s="799"/>
      <c r="O405" s="799"/>
      <c r="P405" s="799"/>
      <c r="Q405" s="799"/>
      <c r="R405" s="799"/>
      <c r="S405" s="799"/>
      <c r="T405" s="799"/>
      <c r="U405" s="799"/>
      <c r="V405" s="799"/>
      <c r="W405" s="799"/>
      <c r="X405" s="799"/>
      <c r="Y405" s="799"/>
      <c r="Z405" s="799"/>
      <c r="AA405" s="799"/>
      <c r="AB405" s="799"/>
      <c r="AC405" s="799"/>
      <c r="AD405" s="799"/>
      <c r="AE405" s="799"/>
      <c r="AF405" s="799"/>
      <c r="AG405" s="799"/>
      <c r="AH405" s="799"/>
      <c r="AI405" s="799"/>
      <c r="AJ405" s="799"/>
      <c r="AK405" s="799"/>
      <c r="AL405" s="799"/>
      <c r="AM405" s="799"/>
      <c r="AN405" s="799"/>
      <c r="AO405" s="799"/>
      <c r="AP405" s="799"/>
      <c r="AQ405" s="799"/>
      <c r="AR405" s="799"/>
      <c r="AS405" s="799"/>
      <c r="AT405" s="799"/>
      <c r="AU405" s="799"/>
      <c r="AV405" s="799"/>
      <c r="AW405" s="799"/>
      <c r="AX405" s="799"/>
      <c r="AY405" s="799"/>
      <c r="AZ405" s="799"/>
      <c r="BA405" s="799"/>
      <c r="BB405" s="799"/>
      <c r="BC405" s="799"/>
      <c r="BD405" s="799"/>
      <c r="BE405" s="799"/>
      <c r="BF405" s="799"/>
      <c r="BG405" s="799"/>
    </row>
    <row r="406">
      <c r="H406" s="799"/>
      <c r="I406" s="799"/>
      <c r="J406" s="799"/>
      <c r="K406" s="799"/>
      <c r="L406" s="799"/>
      <c r="M406" s="799"/>
      <c r="N406" s="799"/>
      <c r="O406" s="799"/>
      <c r="P406" s="799"/>
      <c r="Q406" s="799"/>
      <c r="R406" s="799"/>
      <c r="S406" s="799"/>
      <c r="T406" s="799"/>
      <c r="U406" s="799"/>
      <c r="V406" s="799"/>
      <c r="W406" s="799"/>
      <c r="X406" s="799"/>
      <c r="Y406" s="799"/>
      <c r="Z406" s="799"/>
      <c r="AA406" s="799"/>
      <c r="AB406" s="799"/>
      <c r="AC406" s="799"/>
      <c r="AD406" s="799"/>
      <c r="AE406" s="799"/>
      <c r="AF406" s="799"/>
      <c r="AG406" s="799"/>
      <c r="AH406" s="799"/>
      <c r="AI406" s="799"/>
      <c r="AJ406" s="799"/>
      <c r="AK406" s="799"/>
      <c r="AL406" s="799"/>
      <c r="AM406" s="799"/>
      <c r="AN406" s="799"/>
      <c r="AO406" s="799"/>
      <c r="AP406" s="799"/>
      <c r="AQ406" s="799"/>
      <c r="AR406" s="799"/>
      <c r="AS406" s="799"/>
      <c r="AT406" s="799"/>
      <c r="AU406" s="799"/>
      <c r="AV406" s="799"/>
      <c r="AW406" s="799"/>
      <c r="AX406" s="799"/>
      <c r="AY406" s="799"/>
      <c r="AZ406" s="799"/>
      <c r="BA406" s="799"/>
      <c r="BB406" s="799"/>
      <c r="BC406" s="799"/>
      <c r="BD406" s="799"/>
      <c r="BE406" s="799"/>
      <c r="BF406" s="799"/>
      <c r="BG406" s="799"/>
    </row>
    <row r="407">
      <c r="H407" s="799"/>
      <c r="I407" s="799"/>
      <c r="J407" s="799"/>
      <c r="K407" s="799"/>
      <c r="L407" s="799"/>
      <c r="M407" s="799"/>
      <c r="N407" s="799"/>
      <c r="O407" s="799"/>
      <c r="P407" s="799"/>
      <c r="Q407" s="799"/>
      <c r="R407" s="799"/>
      <c r="S407" s="799"/>
      <c r="T407" s="799"/>
      <c r="U407" s="799"/>
      <c r="V407" s="799"/>
      <c r="W407" s="799"/>
      <c r="X407" s="799"/>
      <c r="Y407" s="799"/>
      <c r="Z407" s="799"/>
      <c r="AA407" s="799"/>
      <c r="AB407" s="799"/>
      <c r="AC407" s="799"/>
      <c r="AD407" s="799"/>
      <c r="AE407" s="799"/>
      <c r="AF407" s="799"/>
      <c r="AG407" s="799"/>
      <c r="AH407" s="799"/>
      <c r="AI407" s="799"/>
      <c r="AJ407" s="799"/>
      <c r="AK407" s="799"/>
      <c r="AL407" s="799"/>
      <c r="AM407" s="799"/>
      <c r="AN407" s="799"/>
      <c r="AO407" s="799"/>
      <c r="AP407" s="799"/>
      <c r="AQ407" s="799"/>
      <c r="AR407" s="799"/>
      <c r="AS407" s="799"/>
      <c r="AT407" s="799"/>
      <c r="AU407" s="799"/>
      <c r="AV407" s="799"/>
      <c r="AW407" s="799"/>
      <c r="AX407" s="799"/>
      <c r="AY407" s="799"/>
      <c r="AZ407" s="799"/>
      <c r="BA407" s="799"/>
      <c r="BB407" s="799"/>
      <c r="BC407" s="799"/>
      <c r="BD407" s="799"/>
      <c r="BE407" s="799"/>
      <c r="BF407" s="799"/>
      <c r="BG407" s="799"/>
    </row>
    <row r="408">
      <c r="H408" s="799"/>
      <c r="I408" s="799"/>
      <c r="J408" s="799"/>
      <c r="K408" s="799"/>
      <c r="L408" s="799"/>
      <c r="M408" s="799"/>
      <c r="N408" s="799"/>
      <c r="O408" s="799"/>
      <c r="P408" s="799"/>
      <c r="Q408" s="799"/>
      <c r="R408" s="799"/>
      <c r="S408" s="799"/>
      <c r="T408" s="799"/>
      <c r="U408" s="799"/>
      <c r="V408" s="799"/>
      <c r="W408" s="799"/>
      <c r="X408" s="799"/>
      <c r="Y408" s="799"/>
      <c r="Z408" s="799"/>
      <c r="AA408" s="799"/>
      <c r="AB408" s="799"/>
      <c r="AC408" s="799"/>
      <c r="AD408" s="799"/>
      <c r="AE408" s="799"/>
      <c r="AF408" s="799"/>
      <c r="AG408" s="799"/>
      <c r="AH408" s="799"/>
      <c r="AI408" s="799"/>
      <c r="AJ408" s="799"/>
      <c r="AK408" s="799"/>
      <c r="AL408" s="799"/>
      <c r="AM408" s="799"/>
      <c r="AN408" s="799"/>
      <c r="AO408" s="799"/>
      <c r="AP408" s="799"/>
      <c r="AQ408" s="799"/>
      <c r="AR408" s="799"/>
      <c r="AS408" s="799"/>
      <c r="AT408" s="799"/>
      <c r="AU408" s="799"/>
      <c r="AV408" s="799"/>
      <c r="AW408" s="799"/>
      <c r="AX408" s="799"/>
      <c r="AY408" s="799"/>
      <c r="AZ408" s="799"/>
      <c r="BA408" s="799"/>
      <c r="BB408" s="799"/>
      <c r="BC408" s="799"/>
      <c r="BD408" s="799"/>
      <c r="BE408" s="799"/>
      <c r="BF408" s="799"/>
      <c r="BG408" s="799"/>
    </row>
    <row r="409">
      <c r="H409" s="799"/>
      <c r="I409" s="799"/>
      <c r="J409" s="799"/>
      <c r="K409" s="799"/>
      <c r="L409" s="799"/>
      <c r="M409" s="799"/>
      <c r="N409" s="799"/>
      <c r="O409" s="799"/>
      <c r="P409" s="799"/>
      <c r="Q409" s="799"/>
      <c r="R409" s="799"/>
      <c r="S409" s="799"/>
      <c r="T409" s="799"/>
      <c r="U409" s="799"/>
      <c r="V409" s="799"/>
      <c r="W409" s="799"/>
      <c r="X409" s="799"/>
      <c r="Y409" s="799"/>
      <c r="Z409" s="799"/>
      <c r="AA409" s="799"/>
      <c r="AB409" s="799"/>
      <c r="AC409" s="799"/>
      <c r="AD409" s="799"/>
      <c r="AE409" s="799"/>
      <c r="AF409" s="799"/>
      <c r="AG409" s="799"/>
      <c r="AH409" s="799"/>
      <c r="AI409" s="799"/>
      <c r="AJ409" s="799"/>
      <c r="AK409" s="799"/>
      <c r="AL409" s="799"/>
      <c r="AM409" s="799"/>
      <c r="AN409" s="799"/>
      <c r="AO409" s="799"/>
      <c r="AP409" s="799"/>
      <c r="AQ409" s="799"/>
      <c r="AR409" s="799"/>
      <c r="AS409" s="799"/>
      <c r="AT409" s="799"/>
      <c r="AU409" s="799"/>
      <c r="AV409" s="799"/>
      <c r="AW409" s="799"/>
      <c r="AX409" s="799"/>
      <c r="AY409" s="799"/>
      <c r="AZ409" s="799"/>
      <c r="BA409" s="799"/>
      <c r="BB409" s="799"/>
      <c r="BC409" s="799"/>
      <c r="BD409" s="799"/>
      <c r="BE409" s="799"/>
      <c r="BF409" s="799"/>
      <c r="BG409" s="799"/>
    </row>
    <row r="410">
      <c r="H410" s="799"/>
      <c r="I410" s="799"/>
      <c r="J410" s="799"/>
      <c r="K410" s="799"/>
      <c r="L410" s="799"/>
      <c r="M410" s="799"/>
      <c r="N410" s="799"/>
      <c r="O410" s="799"/>
      <c r="P410" s="799"/>
      <c r="Q410" s="799"/>
      <c r="R410" s="799"/>
      <c r="S410" s="799"/>
      <c r="T410" s="799"/>
      <c r="U410" s="799"/>
      <c r="V410" s="799"/>
      <c r="W410" s="799"/>
      <c r="X410" s="799"/>
      <c r="Y410" s="799"/>
      <c r="Z410" s="799"/>
      <c r="AA410" s="799"/>
      <c r="AB410" s="799"/>
      <c r="AC410" s="799"/>
      <c r="AD410" s="799"/>
      <c r="AE410" s="799"/>
      <c r="AF410" s="799"/>
      <c r="AG410" s="799"/>
      <c r="AH410" s="799"/>
      <c r="AI410" s="799"/>
      <c r="AJ410" s="799"/>
      <c r="AK410" s="799"/>
      <c r="AL410" s="799"/>
      <c r="AM410" s="799"/>
      <c r="AN410" s="799"/>
      <c r="AO410" s="799"/>
      <c r="AP410" s="799"/>
      <c r="AQ410" s="799"/>
      <c r="AR410" s="799"/>
      <c r="AS410" s="799"/>
      <c r="AT410" s="799"/>
      <c r="AU410" s="799"/>
      <c r="AV410" s="799"/>
      <c r="AW410" s="799"/>
      <c r="AX410" s="799"/>
      <c r="AY410" s="799"/>
      <c r="AZ410" s="799"/>
      <c r="BA410" s="799"/>
      <c r="BB410" s="799"/>
      <c r="BC410" s="799"/>
      <c r="BD410" s="799"/>
      <c r="BE410" s="799"/>
      <c r="BF410" s="799"/>
      <c r="BG410" s="799"/>
    </row>
    <row r="411">
      <c r="H411" s="799"/>
      <c r="I411" s="799"/>
      <c r="J411" s="799"/>
      <c r="K411" s="799"/>
      <c r="L411" s="799"/>
      <c r="M411" s="799"/>
      <c r="N411" s="799"/>
      <c r="O411" s="799"/>
      <c r="P411" s="799"/>
      <c r="Q411" s="799"/>
      <c r="R411" s="799"/>
      <c r="S411" s="799"/>
      <c r="T411" s="799"/>
      <c r="U411" s="799"/>
      <c r="V411" s="799"/>
      <c r="W411" s="799"/>
      <c r="X411" s="799"/>
      <c r="Y411" s="799"/>
      <c r="Z411" s="799"/>
      <c r="AA411" s="799"/>
      <c r="AB411" s="799"/>
      <c r="AC411" s="799"/>
      <c r="AD411" s="799"/>
      <c r="AE411" s="799"/>
      <c r="AF411" s="799"/>
      <c r="AG411" s="799"/>
      <c r="AH411" s="799"/>
      <c r="AI411" s="799"/>
      <c r="AJ411" s="799"/>
      <c r="AK411" s="799"/>
      <c r="AL411" s="799"/>
      <c r="AM411" s="799"/>
      <c r="AN411" s="799"/>
      <c r="AO411" s="799"/>
      <c r="AP411" s="799"/>
      <c r="AQ411" s="799"/>
      <c r="AR411" s="799"/>
      <c r="AS411" s="799"/>
      <c r="AT411" s="799"/>
      <c r="AU411" s="799"/>
      <c r="AV411" s="799"/>
      <c r="AW411" s="799"/>
      <c r="AX411" s="799"/>
      <c r="AY411" s="799"/>
      <c r="AZ411" s="799"/>
      <c r="BA411" s="799"/>
      <c r="BB411" s="799"/>
      <c r="BC411" s="799"/>
      <c r="BD411" s="799"/>
      <c r="BE411" s="799"/>
      <c r="BF411" s="799"/>
      <c r="BG411" s="799"/>
    </row>
    <row r="412">
      <c r="H412" s="799"/>
      <c r="I412" s="799"/>
      <c r="J412" s="799"/>
      <c r="K412" s="799"/>
      <c r="L412" s="799"/>
      <c r="M412" s="799"/>
      <c r="N412" s="799"/>
      <c r="O412" s="799"/>
      <c r="P412" s="799"/>
      <c r="Q412" s="799"/>
      <c r="R412" s="799"/>
      <c r="S412" s="799"/>
      <c r="T412" s="799"/>
      <c r="U412" s="799"/>
      <c r="V412" s="799"/>
      <c r="W412" s="799"/>
      <c r="X412" s="799"/>
      <c r="Y412" s="799"/>
      <c r="Z412" s="799"/>
      <c r="AA412" s="799"/>
      <c r="AB412" s="799"/>
      <c r="AC412" s="799"/>
      <c r="AD412" s="799"/>
      <c r="AE412" s="799"/>
      <c r="AF412" s="799"/>
      <c r="AG412" s="799"/>
      <c r="AH412" s="799"/>
      <c r="AI412" s="799"/>
      <c r="AJ412" s="799"/>
      <c r="AK412" s="799"/>
      <c r="AL412" s="799"/>
      <c r="AM412" s="799"/>
      <c r="AN412" s="799"/>
      <c r="AO412" s="799"/>
      <c r="AP412" s="799"/>
      <c r="AQ412" s="799"/>
      <c r="AR412" s="799"/>
      <c r="AS412" s="799"/>
      <c r="AT412" s="799"/>
      <c r="AU412" s="799"/>
      <c r="AV412" s="799"/>
      <c r="AW412" s="799"/>
      <c r="AX412" s="799"/>
      <c r="AY412" s="799"/>
      <c r="AZ412" s="799"/>
      <c r="BA412" s="799"/>
      <c r="BB412" s="799"/>
      <c r="BC412" s="799"/>
      <c r="BD412" s="799"/>
      <c r="BE412" s="799"/>
      <c r="BF412" s="799"/>
      <c r="BG412" s="799"/>
    </row>
    <row r="413">
      <c r="H413" s="799"/>
      <c r="I413" s="799"/>
      <c r="J413" s="799"/>
      <c r="K413" s="799"/>
      <c r="L413" s="799"/>
      <c r="M413" s="799"/>
      <c r="N413" s="799"/>
      <c r="O413" s="799"/>
      <c r="P413" s="799"/>
      <c r="Q413" s="799"/>
      <c r="R413" s="799"/>
      <c r="S413" s="799"/>
      <c r="T413" s="799"/>
      <c r="U413" s="799"/>
      <c r="V413" s="799"/>
      <c r="W413" s="799"/>
      <c r="X413" s="799"/>
      <c r="Y413" s="799"/>
      <c r="Z413" s="799"/>
      <c r="AA413" s="799"/>
      <c r="AB413" s="799"/>
      <c r="AC413" s="799"/>
      <c r="AD413" s="799"/>
      <c r="AE413" s="799"/>
      <c r="AF413" s="799"/>
      <c r="AG413" s="799"/>
      <c r="AH413" s="799"/>
      <c r="AI413" s="799"/>
      <c r="AJ413" s="799"/>
      <c r="AK413" s="799"/>
      <c r="AL413" s="799"/>
      <c r="AM413" s="799"/>
      <c r="AN413" s="799"/>
      <c r="AO413" s="799"/>
      <c r="AP413" s="799"/>
      <c r="AQ413" s="799"/>
      <c r="AR413" s="799"/>
      <c r="AS413" s="799"/>
      <c r="AT413" s="799"/>
      <c r="AU413" s="799"/>
      <c r="AV413" s="799"/>
      <c r="AW413" s="799"/>
      <c r="AX413" s="799"/>
      <c r="AY413" s="799"/>
      <c r="AZ413" s="799"/>
      <c r="BA413" s="799"/>
      <c r="BB413" s="799"/>
      <c r="BC413" s="799"/>
      <c r="BD413" s="799"/>
      <c r="BE413" s="799"/>
      <c r="BF413" s="799"/>
      <c r="BG413" s="799"/>
    </row>
    <row r="414">
      <c r="H414" s="799"/>
      <c r="I414" s="799"/>
      <c r="J414" s="799"/>
      <c r="K414" s="799"/>
      <c r="L414" s="799"/>
      <c r="M414" s="799"/>
      <c r="N414" s="799"/>
      <c r="O414" s="799"/>
      <c r="P414" s="799"/>
      <c r="Q414" s="799"/>
      <c r="R414" s="799"/>
      <c r="S414" s="799"/>
      <c r="T414" s="799"/>
      <c r="U414" s="799"/>
      <c r="V414" s="799"/>
      <c r="W414" s="799"/>
      <c r="X414" s="799"/>
      <c r="Y414" s="799"/>
      <c r="Z414" s="799"/>
      <c r="AA414" s="799"/>
      <c r="AB414" s="799"/>
      <c r="AC414" s="799"/>
      <c r="AD414" s="799"/>
      <c r="AE414" s="799"/>
      <c r="AF414" s="799"/>
      <c r="AG414" s="799"/>
      <c r="AH414" s="799"/>
      <c r="AI414" s="799"/>
      <c r="AJ414" s="799"/>
      <c r="AK414" s="799"/>
      <c r="AL414" s="799"/>
      <c r="AM414" s="799"/>
      <c r="AN414" s="799"/>
      <c r="AO414" s="799"/>
      <c r="AP414" s="799"/>
      <c r="AQ414" s="799"/>
      <c r="AR414" s="799"/>
      <c r="AS414" s="799"/>
      <c r="AT414" s="799"/>
      <c r="AU414" s="799"/>
      <c r="AV414" s="799"/>
      <c r="AW414" s="799"/>
      <c r="AX414" s="799"/>
      <c r="AY414" s="799"/>
      <c r="AZ414" s="799"/>
      <c r="BA414" s="799"/>
      <c r="BB414" s="799"/>
      <c r="BC414" s="799"/>
      <c r="BD414" s="799"/>
      <c r="BE414" s="799"/>
      <c r="BF414" s="799"/>
      <c r="BG414" s="799"/>
    </row>
    <row r="415">
      <c r="H415" s="799"/>
      <c r="I415" s="799"/>
      <c r="J415" s="799"/>
      <c r="K415" s="799"/>
      <c r="L415" s="799"/>
      <c r="M415" s="799"/>
      <c r="N415" s="799"/>
      <c r="O415" s="799"/>
      <c r="P415" s="799"/>
      <c r="Q415" s="799"/>
      <c r="R415" s="799"/>
      <c r="S415" s="799"/>
      <c r="T415" s="799"/>
      <c r="U415" s="799"/>
      <c r="V415" s="799"/>
      <c r="W415" s="799"/>
      <c r="X415" s="799"/>
      <c r="Y415" s="799"/>
      <c r="Z415" s="799"/>
      <c r="AA415" s="799"/>
      <c r="AB415" s="799"/>
      <c r="AC415" s="799"/>
      <c r="AD415" s="799"/>
      <c r="AE415" s="799"/>
      <c r="AF415" s="799"/>
      <c r="AG415" s="799"/>
      <c r="AH415" s="799"/>
      <c r="AI415" s="799"/>
      <c r="AJ415" s="799"/>
      <c r="AK415" s="799"/>
      <c r="AL415" s="799"/>
      <c r="AM415" s="799"/>
      <c r="AN415" s="799"/>
      <c r="AO415" s="799"/>
      <c r="AP415" s="799"/>
      <c r="AQ415" s="799"/>
      <c r="AR415" s="799"/>
      <c r="AS415" s="799"/>
      <c r="AT415" s="799"/>
      <c r="AU415" s="799"/>
      <c r="AV415" s="799"/>
      <c r="AW415" s="799"/>
      <c r="AX415" s="799"/>
      <c r="AY415" s="799"/>
      <c r="AZ415" s="799"/>
      <c r="BA415" s="799"/>
      <c r="BB415" s="799"/>
      <c r="BC415" s="799"/>
      <c r="BD415" s="799"/>
      <c r="BE415" s="799"/>
      <c r="BF415" s="799"/>
      <c r="BG415" s="799"/>
    </row>
    <row r="416">
      <c r="H416" s="799"/>
      <c r="I416" s="799"/>
      <c r="J416" s="799"/>
      <c r="K416" s="799"/>
      <c r="L416" s="799"/>
      <c r="M416" s="799"/>
      <c r="N416" s="799"/>
      <c r="O416" s="799"/>
      <c r="P416" s="799"/>
      <c r="Q416" s="799"/>
      <c r="R416" s="799"/>
      <c r="S416" s="799"/>
      <c r="T416" s="799"/>
      <c r="U416" s="799"/>
      <c r="V416" s="799"/>
      <c r="W416" s="799"/>
      <c r="X416" s="799"/>
      <c r="Y416" s="799"/>
      <c r="Z416" s="799"/>
      <c r="AA416" s="799"/>
      <c r="AB416" s="799"/>
      <c r="AC416" s="799"/>
      <c r="AD416" s="799"/>
      <c r="AE416" s="799"/>
      <c r="AF416" s="799"/>
      <c r="AG416" s="799"/>
      <c r="AH416" s="799"/>
      <c r="AI416" s="799"/>
      <c r="AJ416" s="799"/>
      <c r="AK416" s="799"/>
      <c r="AL416" s="799"/>
      <c r="AM416" s="799"/>
      <c r="AN416" s="799"/>
      <c r="AO416" s="799"/>
      <c r="AP416" s="799"/>
      <c r="AQ416" s="799"/>
      <c r="AR416" s="799"/>
      <c r="AS416" s="799"/>
      <c r="AT416" s="799"/>
      <c r="AU416" s="799"/>
      <c r="AV416" s="799"/>
      <c r="AW416" s="799"/>
      <c r="AX416" s="799"/>
      <c r="AY416" s="799"/>
      <c r="AZ416" s="799"/>
      <c r="BA416" s="799"/>
      <c r="BB416" s="799"/>
      <c r="BC416" s="799"/>
      <c r="BD416" s="799"/>
      <c r="BE416" s="799"/>
      <c r="BF416" s="799"/>
      <c r="BG416" s="799"/>
    </row>
    <row r="417">
      <c r="H417" s="799"/>
      <c r="I417" s="799"/>
      <c r="J417" s="799"/>
      <c r="K417" s="799"/>
      <c r="L417" s="799"/>
      <c r="M417" s="799"/>
      <c r="N417" s="799"/>
      <c r="O417" s="799"/>
      <c r="P417" s="799"/>
      <c r="Q417" s="799"/>
      <c r="R417" s="799"/>
      <c r="S417" s="799"/>
      <c r="T417" s="799"/>
      <c r="U417" s="799"/>
      <c r="V417" s="799"/>
      <c r="W417" s="799"/>
      <c r="X417" s="799"/>
      <c r="Y417" s="799"/>
      <c r="Z417" s="799"/>
      <c r="AA417" s="799"/>
      <c r="AB417" s="799"/>
      <c r="AC417" s="799"/>
      <c r="AD417" s="799"/>
      <c r="AE417" s="799"/>
      <c r="AF417" s="799"/>
      <c r="AG417" s="799"/>
      <c r="AH417" s="799"/>
      <c r="AI417" s="799"/>
      <c r="AJ417" s="799"/>
      <c r="AK417" s="799"/>
      <c r="AL417" s="799"/>
      <c r="AM417" s="799"/>
      <c r="AN417" s="799"/>
      <c r="AO417" s="799"/>
      <c r="AP417" s="799"/>
      <c r="AQ417" s="799"/>
      <c r="AR417" s="799"/>
      <c r="AS417" s="799"/>
      <c r="AT417" s="799"/>
      <c r="AU417" s="799"/>
      <c r="AV417" s="799"/>
      <c r="AW417" s="799"/>
      <c r="AX417" s="799"/>
      <c r="AY417" s="799"/>
      <c r="AZ417" s="799"/>
      <c r="BA417" s="799"/>
      <c r="BB417" s="799"/>
      <c r="BC417" s="799"/>
      <c r="BD417" s="799"/>
      <c r="BE417" s="799"/>
      <c r="BF417" s="799"/>
      <c r="BG417" s="799"/>
    </row>
    <row r="418">
      <c r="H418" s="799"/>
      <c r="I418" s="799"/>
      <c r="J418" s="799"/>
      <c r="K418" s="799"/>
      <c r="L418" s="799"/>
      <c r="M418" s="799"/>
      <c r="N418" s="799"/>
      <c r="O418" s="799"/>
      <c r="P418" s="799"/>
      <c r="Q418" s="799"/>
      <c r="R418" s="799"/>
      <c r="S418" s="799"/>
      <c r="T418" s="799"/>
      <c r="U418" s="799"/>
      <c r="V418" s="799"/>
      <c r="W418" s="799"/>
      <c r="X418" s="799"/>
      <c r="Y418" s="799"/>
      <c r="Z418" s="799"/>
      <c r="AA418" s="799"/>
      <c r="AB418" s="799"/>
      <c r="AC418" s="799"/>
      <c r="AD418" s="799"/>
      <c r="AE418" s="799"/>
      <c r="AF418" s="799"/>
      <c r="AG418" s="799"/>
      <c r="AH418" s="799"/>
      <c r="AI418" s="799"/>
      <c r="AJ418" s="799"/>
      <c r="AK418" s="799"/>
      <c r="AL418" s="799"/>
      <c r="AM418" s="799"/>
      <c r="AN418" s="799"/>
      <c r="AO418" s="799"/>
      <c r="AP418" s="799"/>
      <c r="AQ418" s="799"/>
      <c r="AR418" s="799"/>
      <c r="AS418" s="799"/>
      <c r="AT418" s="799"/>
      <c r="AU418" s="799"/>
      <c r="AV418" s="799"/>
      <c r="AW418" s="799"/>
      <c r="AX418" s="799"/>
      <c r="AY418" s="799"/>
      <c r="AZ418" s="799"/>
      <c r="BA418" s="799"/>
      <c r="BB418" s="799"/>
      <c r="BC418" s="799"/>
      <c r="BD418" s="799"/>
      <c r="BE418" s="799"/>
      <c r="BF418" s="799"/>
      <c r="BG418" s="799"/>
    </row>
    <row r="419">
      <c r="H419" s="799"/>
      <c r="I419" s="799"/>
      <c r="J419" s="799"/>
      <c r="K419" s="799"/>
      <c r="L419" s="799"/>
      <c r="M419" s="799"/>
      <c r="N419" s="799"/>
      <c r="O419" s="799"/>
      <c r="P419" s="799"/>
      <c r="Q419" s="799"/>
      <c r="R419" s="799"/>
      <c r="S419" s="799"/>
      <c r="T419" s="799"/>
      <c r="U419" s="799"/>
      <c r="V419" s="799"/>
      <c r="W419" s="799"/>
      <c r="X419" s="799"/>
      <c r="Y419" s="799"/>
      <c r="Z419" s="799"/>
      <c r="AA419" s="799"/>
      <c r="AB419" s="799"/>
      <c r="AC419" s="799"/>
      <c r="AD419" s="799"/>
      <c r="AE419" s="799"/>
      <c r="AF419" s="799"/>
      <c r="AG419" s="799"/>
      <c r="AH419" s="799"/>
      <c r="AI419" s="799"/>
      <c r="AJ419" s="799"/>
      <c r="AK419" s="799"/>
      <c r="AL419" s="799"/>
      <c r="AM419" s="799"/>
      <c r="AN419" s="799"/>
      <c r="AO419" s="799"/>
      <c r="AP419" s="799"/>
      <c r="AQ419" s="799"/>
      <c r="AR419" s="799"/>
      <c r="AS419" s="799"/>
      <c r="AT419" s="799"/>
      <c r="AU419" s="799"/>
      <c r="AV419" s="799"/>
      <c r="AW419" s="799"/>
      <c r="AX419" s="799"/>
      <c r="AY419" s="799"/>
      <c r="AZ419" s="799"/>
      <c r="BA419" s="799"/>
      <c r="BB419" s="799"/>
      <c r="BC419" s="799"/>
      <c r="BD419" s="799"/>
      <c r="BE419" s="799"/>
      <c r="BF419" s="799"/>
      <c r="BG419" s="799"/>
    </row>
    <row r="420">
      <c r="H420" s="799"/>
      <c r="I420" s="799"/>
      <c r="J420" s="799"/>
      <c r="K420" s="799"/>
      <c r="L420" s="799"/>
      <c r="M420" s="799"/>
      <c r="N420" s="799"/>
      <c r="O420" s="799"/>
      <c r="P420" s="799"/>
      <c r="Q420" s="799"/>
      <c r="R420" s="799"/>
      <c r="S420" s="799"/>
      <c r="T420" s="799"/>
      <c r="U420" s="799"/>
      <c r="V420" s="799"/>
      <c r="W420" s="799"/>
      <c r="X420" s="799"/>
      <c r="Y420" s="799"/>
      <c r="Z420" s="799"/>
      <c r="AA420" s="799"/>
      <c r="AB420" s="799"/>
      <c r="AC420" s="799"/>
      <c r="AD420" s="799"/>
      <c r="AE420" s="799"/>
      <c r="AF420" s="799"/>
      <c r="AG420" s="799"/>
      <c r="AH420" s="799"/>
      <c r="AI420" s="799"/>
      <c r="AJ420" s="799"/>
      <c r="AK420" s="799"/>
      <c r="AL420" s="799"/>
      <c r="AM420" s="799"/>
      <c r="AN420" s="799"/>
      <c r="AO420" s="799"/>
      <c r="AP420" s="799"/>
      <c r="AQ420" s="799"/>
      <c r="AR420" s="799"/>
      <c r="AS420" s="799"/>
      <c r="AT420" s="799"/>
      <c r="AU420" s="799"/>
      <c r="AV420" s="799"/>
      <c r="AW420" s="799"/>
      <c r="AX420" s="799"/>
      <c r="AY420" s="799"/>
      <c r="AZ420" s="799"/>
      <c r="BA420" s="799"/>
      <c r="BB420" s="799"/>
      <c r="BC420" s="799"/>
      <c r="BD420" s="799"/>
      <c r="BE420" s="799"/>
      <c r="BF420" s="799"/>
      <c r="BG420" s="799"/>
    </row>
    <row r="421">
      <c r="H421" s="799"/>
      <c r="I421" s="799"/>
      <c r="J421" s="799"/>
      <c r="K421" s="799"/>
      <c r="L421" s="799"/>
      <c r="M421" s="799"/>
      <c r="N421" s="799"/>
      <c r="O421" s="799"/>
      <c r="P421" s="799"/>
      <c r="Q421" s="799"/>
      <c r="R421" s="799"/>
      <c r="S421" s="799"/>
      <c r="T421" s="799"/>
      <c r="U421" s="799"/>
      <c r="V421" s="799"/>
      <c r="W421" s="799"/>
      <c r="X421" s="799"/>
      <c r="Y421" s="799"/>
      <c r="Z421" s="799"/>
      <c r="AA421" s="799"/>
      <c r="AB421" s="799"/>
      <c r="AC421" s="799"/>
      <c r="AD421" s="799"/>
      <c r="AE421" s="799"/>
      <c r="AF421" s="799"/>
      <c r="AG421" s="799"/>
      <c r="AH421" s="799"/>
      <c r="AI421" s="799"/>
      <c r="AJ421" s="799"/>
      <c r="AK421" s="799"/>
      <c r="AL421" s="799"/>
      <c r="AM421" s="799"/>
      <c r="AN421" s="799"/>
      <c r="AO421" s="799"/>
      <c r="AP421" s="799"/>
      <c r="AQ421" s="799"/>
      <c r="AR421" s="799"/>
      <c r="AS421" s="799"/>
      <c r="AT421" s="799"/>
      <c r="AU421" s="799"/>
      <c r="AV421" s="799"/>
      <c r="AW421" s="799"/>
      <c r="AX421" s="799"/>
      <c r="AY421" s="799"/>
      <c r="AZ421" s="799"/>
      <c r="BA421" s="799"/>
      <c r="BB421" s="799"/>
      <c r="BC421" s="799"/>
      <c r="BD421" s="799"/>
      <c r="BE421" s="799"/>
      <c r="BF421" s="799"/>
      <c r="BG421" s="799"/>
    </row>
    <row r="422">
      <c r="H422" s="799"/>
      <c r="I422" s="799"/>
      <c r="J422" s="799"/>
      <c r="K422" s="799"/>
      <c r="L422" s="799"/>
      <c r="M422" s="799"/>
      <c r="N422" s="799"/>
      <c r="O422" s="799"/>
      <c r="P422" s="799"/>
      <c r="Q422" s="799"/>
      <c r="R422" s="799"/>
      <c r="S422" s="799"/>
      <c r="T422" s="799"/>
      <c r="U422" s="799"/>
      <c r="V422" s="799"/>
      <c r="W422" s="799"/>
      <c r="X422" s="799"/>
      <c r="Y422" s="799"/>
      <c r="Z422" s="799"/>
      <c r="AA422" s="799"/>
      <c r="AB422" s="799"/>
      <c r="AC422" s="799"/>
      <c r="AD422" s="799"/>
      <c r="AE422" s="799"/>
      <c r="AF422" s="799"/>
      <c r="AG422" s="799"/>
      <c r="AH422" s="799"/>
      <c r="AI422" s="799"/>
      <c r="AJ422" s="799"/>
      <c r="AK422" s="799"/>
      <c r="AL422" s="799"/>
      <c r="AM422" s="799"/>
      <c r="AN422" s="799"/>
      <c r="AO422" s="799"/>
      <c r="AP422" s="799"/>
      <c r="AQ422" s="799"/>
      <c r="AR422" s="799"/>
      <c r="AS422" s="799"/>
      <c r="AT422" s="799"/>
      <c r="AU422" s="799"/>
      <c r="AV422" s="799"/>
      <c r="AW422" s="799"/>
      <c r="AX422" s="799"/>
      <c r="AY422" s="799"/>
      <c r="AZ422" s="799"/>
      <c r="BA422" s="799"/>
      <c r="BB422" s="799"/>
      <c r="BC422" s="799"/>
      <c r="BD422" s="799"/>
      <c r="BE422" s="799"/>
      <c r="BF422" s="799"/>
      <c r="BG422" s="799"/>
    </row>
    <row r="423">
      <c r="H423" s="799"/>
      <c r="I423" s="799"/>
      <c r="J423" s="799"/>
      <c r="K423" s="799"/>
      <c r="L423" s="799"/>
      <c r="M423" s="799"/>
      <c r="N423" s="799"/>
      <c r="O423" s="799"/>
      <c r="P423" s="799"/>
      <c r="Q423" s="799"/>
      <c r="R423" s="799"/>
      <c r="S423" s="799"/>
      <c r="T423" s="799"/>
      <c r="U423" s="799"/>
      <c r="V423" s="799"/>
      <c r="W423" s="799"/>
      <c r="X423" s="799"/>
      <c r="Y423" s="799"/>
      <c r="Z423" s="799"/>
      <c r="AA423" s="799"/>
      <c r="AB423" s="799"/>
      <c r="AC423" s="799"/>
      <c r="AD423" s="799"/>
      <c r="AE423" s="799"/>
      <c r="AF423" s="799"/>
      <c r="AG423" s="799"/>
      <c r="AH423" s="799"/>
      <c r="AI423" s="799"/>
      <c r="AJ423" s="799"/>
      <c r="AK423" s="799"/>
      <c r="AL423" s="799"/>
      <c r="AM423" s="799"/>
      <c r="AN423" s="799"/>
      <c r="AO423" s="799"/>
      <c r="AP423" s="799"/>
      <c r="AQ423" s="799"/>
      <c r="AR423" s="799"/>
      <c r="AS423" s="799"/>
      <c r="AT423" s="799"/>
      <c r="AU423" s="799"/>
      <c r="AV423" s="799"/>
      <c r="AW423" s="799"/>
      <c r="AX423" s="799"/>
      <c r="AY423" s="799"/>
      <c r="AZ423" s="799"/>
      <c r="BA423" s="799"/>
      <c r="BB423" s="799"/>
      <c r="BC423" s="799"/>
      <c r="BD423" s="799"/>
      <c r="BE423" s="799"/>
      <c r="BF423" s="799"/>
      <c r="BG423" s="799"/>
    </row>
    <row r="424">
      <c r="H424" s="799"/>
      <c r="I424" s="799"/>
      <c r="J424" s="799"/>
      <c r="K424" s="799"/>
      <c r="L424" s="799"/>
      <c r="M424" s="799"/>
      <c r="N424" s="799"/>
      <c r="O424" s="799"/>
      <c r="P424" s="799"/>
      <c r="Q424" s="799"/>
      <c r="R424" s="799"/>
      <c r="S424" s="799"/>
      <c r="T424" s="799"/>
      <c r="U424" s="799"/>
      <c r="V424" s="799"/>
      <c r="W424" s="799"/>
      <c r="X424" s="799"/>
      <c r="Y424" s="799"/>
      <c r="Z424" s="799"/>
      <c r="AA424" s="799"/>
      <c r="AB424" s="799"/>
      <c r="AC424" s="799"/>
      <c r="AD424" s="799"/>
      <c r="AE424" s="799"/>
      <c r="AF424" s="799"/>
      <c r="AG424" s="799"/>
      <c r="AH424" s="799"/>
      <c r="AI424" s="799"/>
      <c r="AJ424" s="799"/>
      <c r="AK424" s="799"/>
      <c r="AL424" s="799"/>
      <c r="AM424" s="799"/>
      <c r="AN424" s="799"/>
      <c r="AO424" s="799"/>
      <c r="AP424" s="799"/>
      <c r="AQ424" s="799"/>
      <c r="AR424" s="799"/>
      <c r="AS424" s="799"/>
      <c r="AT424" s="799"/>
      <c r="AU424" s="799"/>
      <c r="AV424" s="799"/>
      <c r="AW424" s="799"/>
      <c r="AX424" s="799"/>
      <c r="AY424" s="799"/>
      <c r="AZ424" s="799"/>
      <c r="BA424" s="799"/>
      <c r="BB424" s="799"/>
      <c r="BC424" s="799"/>
      <c r="BD424" s="799"/>
      <c r="BE424" s="799"/>
      <c r="BF424" s="799"/>
      <c r="BG424" s="799"/>
    </row>
    <row r="425">
      <c r="H425" s="799"/>
      <c r="I425" s="799"/>
      <c r="J425" s="799"/>
      <c r="K425" s="799"/>
      <c r="L425" s="799"/>
      <c r="M425" s="799"/>
      <c r="N425" s="799"/>
      <c r="O425" s="799"/>
      <c r="P425" s="799"/>
      <c r="Q425" s="799"/>
      <c r="R425" s="799"/>
      <c r="S425" s="799"/>
      <c r="T425" s="799"/>
      <c r="U425" s="799"/>
      <c r="V425" s="799"/>
      <c r="W425" s="799"/>
      <c r="X425" s="799"/>
      <c r="Y425" s="799"/>
      <c r="Z425" s="799"/>
      <c r="AA425" s="799"/>
      <c r="AB425" s="799"/>
      <c r="AC425" s="799"/>
      <c r="AD425" s="799"/>
      <c r="AE425" s="799"/>
      <c r="AF425" s="799"/>
      <c r="AG425" s="799"/>
      <c r="AH425" s="799"/>
      <c r="AI425" s="799"/>
      <c r="AJ425" s="799"/>
      <c r="AK425" s="799"/>
      <c r="AL425" s="799"/>
      <c r="AM425" s="799"/>
      <c r="AN425" s="799"/>
      <c r="AO425" s="799"/>
      <c r="AP425" s="799"/>
      <c r="AQ425" s="799"/>
      <c r="AR425" s="799"/>
      <c r="AS425" s="799"/>
      <c r="AT425" s="799"/>
      <c r="AU425" s="799"/>
      <c r="AV425" s="799"/>
      <c r="AW425" s="799"/>
      <c r="AX425" s="799"/>
      <c r="AY425" s="799"/>
      <c r="AZ425" s="799"/>
      <c r="BA425" s="799"/>
      <c r="BB425" s="799"/>
      <c r="BC425" s="799"/>
      <c r="BD425" s="799"/>
      <c r="BE425" s="799"/>
      <c r="BF425" s="799"/>
      <c r="BG425" s="799"/>
    </row>
    <row r="426">
      <c r="H426" s="799"/>
      <c r="I426" s="799"/>
      <c r="J426" s="799"/>
      <c r="K426" s="799"/>
      <c r="L426" s="799"/>
      <c r="M426" s="799"/>
      <c r="N426" s="799"/>
      <c r="O426" s="799"/>
      <c r="P426" s="799"/>
      <c r="Q426" s="799"/>
      <c r="R426" s="799"/>
      <c r="S426" s="799"/>
      <c r="T426" s="799"/>
      <c r="U426" s="799"/>
      <c r="V426" s="799"/>
      <c r="W426" s="799"/>
      <c r="X426" s="799"/>
      <c r="Y426" s="799"/>
      <c r="Z426" s="799"/>
      <c r="AA426" s="799"/>
      <c r="AB426" s="799"/>
      <c r="AC426" s="799"/>
      <c r="AD426" s="799"/>
      <c r="AE426" s="799"/>
      <c r="AF426" s="799"/>
      <c r="AG426" s="799"/>
      <c r="AH426" s="799"/>
      <c r="AI426" s="799"/>
      <c r="AJ426" s="799"/>
      <c r="AK426" s="799"/>
      <c r="AL426" s="799"/>
      <c r="AM426" s="799"/>
      <c r="AN426" s="799"/>
      <c r="AO426" s="799"/>
      <c r="AP426" s="799"/>
      <c r="AQ426" s="799"/>
      <c r="AR426" s="799"/>
      <c r="AS426" s="799"/>
      <c r="AT426" s="799"/>
      <c r="AU426" s="799"/>
      <c r="AV426" s="799"/>
      <c r="AW426" s="799"/>
      <c r="AX426" s="799"/>
      <c r="AY426" s="799"/>
      <c r="AZ426" s="799"/>
      <c r="BA426" s="799"/>
      <c r="BB426" s="799"/>
      <c r="BC426" s="799"/>
      <c r="BD426" s="799"/>
      <c r="BE426" s="799"/>
      <c r="BF426" s="799"/>
      <c r="BG426" s="799"/>
    </row>
    <row r="427">
      <c r="H427" s="799"/>
      <c r="I427" s="799"/>
      <c r="J427" s="799"/>
      <c r="K427" s="799"/>
      <c r="L427" s="799"/>
      <c r="M427" s="799"/>
      <c r="N427" s="799"/>
      <c r="O427" s="799"/>
      <c r="P427" s="799"/>
      <c r="Q427" s="799"/>
      <c r="R427" s="799"/>
      <c r="S427" s="799"/>
      <c r="T427" s="799"/>
      <c r="U427" s="799"/>
      <c r="V427" s="799"/>
      <c r="W427" s="799"/>
      <c r="X427" s="799"/>
      <c r="Y427" s="799"/>
      <c r="Z427" s="799"/>
      <c r="AA427" s="799"/>
      <c r="AB427" s="799"/>
      <c r="AC427" s="799"/>
      <c r="AD427" s="799"/>
      <c r="AE427" s="799"/>
      <c r="AF427" s="799"/>
      <c r="AG427" s="799"/>
      <c r="AH427" s="799"/>
      <c r="AI427" s="799"/>
      <c r="AJ427" s="799"/>
      <c r="AK427" s="799"/>
      <c r="AL427" s="799"/>
      <c r="AM427" s="799"/>
      <c r="AN427" s="799"/>
      <c r="AO427" s="799"/>
      <c r="AP427" s="799"/>
      <c r="AQ427" s="799"/>
      <c r="AR427" s="799"/>
      <c r="AS427" s="799"/>
      <c r="AT427" s="799"/>
      <c r="AU427" s="799"/>
      <c r="AV427" s="799"/>
      <c r="AW427" s="799"/>
      <c r="AX427" s="799"/>
      <c r="AY427" s="799"/>
      <c r="AZ427" s="799"/>
      <c r="BA427" s="799"/>
      <c r="BB427" s="799"/>
      <c r="BC427" s="799"/>
      <c r="BD427" s="799"/>
      <c r="BE427" s="799"/>
      <c r="BF427" s="799"/>
      <c r="BG427" s="799"/>
    </row>
    <row r="428">
      <c r="H428" s="799"/>
      <c r="I428" s="799"/>
      <c r="J428" s="799"/>
      <c r="K428" s="799"/>
      <c r="L428" s="799"/>
      <c r="M428" s="799"/>
      <c r="N428" s="799"/>
      <c r="O428" s="799"/>
      <c r="P428" s="799"/>
      <c r="Q428" s="799"/>
      <c r="R428" s="799"/>
      <c r="S428" s="799"/>
      <c r="T428" s="799"/>
      <c r="U428" s="799"/>
      <c r="V428" s="799"/>
      <c r="W428" s="799"/>
      <c r="X428" s="799"/>
      <c r="Y428" s="799"/>
      <c r="Z428" s="799"/>
      <c r="AA428" s="799"/>
      <c r="AB428" s="799"/>
      <c r="AC428" s="799"/>
      <c r="AD428" s="799"/>
      <c r="AE428" s="799"/>
      <c r="AF428" s="799"/>
      <c r="AG428" s="799"/>
      <c r="AH428" s="799"/>
      <c r="AI428" s="799"/>
      <c r="AJ428" s="799"/>
      <c r="AK428" s="799"/>
      <c r="AL428" s="799"/>
      <c r="AM428" s="799"/>
      <c r="AN428" s="799"/>
      <c r="AO428" s="799"/>
      <c r="AP428" s="799"/>
      <c r="AQ428" s="799"/>
      <c r="AR428" s="799"/>
      <c r="AS428" s="799"/>
      <c r="AT428" s="799"/>
      <c r="AU428" s="799"/>
      <c r="AV428" s="799"/>
      <c r="AW428" s="799"/>
      <c r="AX428" s="799"/>
      <c r="AY428" s="799"/>
      <c r="AZ428" s="799"/>
      <c r="BA428" s="799"/>
      <c r="BB428" s="799"/>
      <c r="BC428" s="799"/>
      <c r="BD428" s="799"/>
      <c r="BE428" s="799"/>
      <c r="BF428" s="799"/>
      <c r="BG428" s="799"/>
    </row>
    <row r="429">
      <c r="H429" s="799"/>
      <c r="I429" s="799"/>
      <c r="J429" s="799"/>
      <c r="K429" s="799"/>
      <c r="L429" s="799"/>
      <c r="M429" s="799"/>
      <c r="N429" s="799"/>
      <c r="O429" s="799"/>
      <c r="P429" s="799"/>
      <c r="Q429" s="799"/>
      <c r="R429" s="799"/>
      <c r="S429" s="799"/>
      <c r="T429" s="799"/>
      <c r="U429" s="799"/>
      <c r="V429" s="799"/>
      <c r="W429" s="799"/>
      <c r="X429" s="799"/>
      <c r="Y429" s="799"/>
      <c r="Z429" s="799"/>
      <c r="AA429" s="799"/>
      <c r="AB429" s="799"/>
      <c r="AC429" s="799"/>
      <c r="AD429" s="799"/>
      <c r="AE429" s="799"/>
      <c r="AF429" s="799"/>
      <c r="AG429" s="799"/>
      <c r="AH429" s="799"/>
      <c r="AI429" s="799"/>
      <c r="AJ429" s="799"/>
      <c r="AK429" s="799"/>
      <c r="AL429" s="799"/>
      <c r="AM429" s="799"/>
      <c r="AN429" s="799"/>
      <c r="AO429" s="799"/>
      <c r="AP429" s="799"/>
      <c r="AQ429" s="799"/>
      <c r="AR429" s="799"/>
      <c r="AS429" s="799"/>
      <c r="AT429" s="799"/>
      <c r="AU429" s="799"/>
      <c r="AV429" s="799"/>
      <c r="AW429" s="799"/>
      <c r="AX429" s="799"/>
      <c r="AY429" s="799"/>
      <c r="AZ429" s="799"/>
      <c r="BA429" s="799"/>
      <c r="BB429" s="799"/>
      <c r="BC429" s="799"/>
      <c r="BD429" s="799"/>
      <c r="BE429" s="799"/>
      <c r="BF429" s="799"/>
      <c r="BG429" s="799"/>
    </row>
    <row r="430">
      <c r="H430" s="799"/>
      <c r="I430" s="799"/>
      <c r="J430" s="799"/>
      <c r="K430" s="799"/>
      <c r="L430" s="799"/>
      <c r="M430" s="799"/>
      <c r="N430" s="799"/>
      <c r="O430" s="799"/>
      <c r="P430" s="799"/>
      <c r="Q430" s="799"/>
      <c r="R430" s="799"/>
      <c r="S430" s="799"/>
      <c r="T430" s="799"/>
      <c r="U430" s="799"/>
      <c r="V430" s="799"/>
      <c r="W430" s="799"/>
      <c r="X430" s="799"/>
      <c r="Y430" s="799"/>
      <c r="Z430" s="799"/>
      <c r="AA430" s="799"/>
      <c r="AB430" s="799"/>
      <c r="AC430" s="799"/>
      <c r="AD430" s="799"/>
      <c r="AE430" s="799"/>
      <c r="AF430" s="799"/>
      <c r="AG430" s="799"/>
      <c r="AH430" s="799"/>
      <c r="AI430" s="799"/>
      <c r="AJ430" s="799"/>
      <c r="AK430" s="799"/>
      <c r="AL430" s="799"/>
      <c r="AM430" s="799"/>
      <c r="AN430" s="799"/>
      <c r="AO430" s="799"/>
      <c r="AP430" s="799"/>
      <c r="AQ430" s="799"/>
      <c r="AR430" s="799"/>
      <c r="AS430" s="799"/>
      <c r="AT430" s="799"/>
      <c r="AU430" s="799"/>
      <c r="AV430" s="799"/>
      <c r="AW430" s="799"/>
      <c r="AX430" s="799"/>
      <c r="AY430" s="799"/>
      <c r="AZ430" s="799"/>
      <c r="BA430" s="799"/>
      <c r="BB430" s="799"/>
      <c r="BC430" s="799"/>
      <c r="BD430" s="799"/>
      <c r="BE430" s="799"/>
      <c r="BF430" s="799"/>
      <c r="BG430" s="799"/>
    </row>
    <row r="431">
      <c r="H431" s="799"/>
      <c r="I431" s="799"/>
      <c r="J431" s="799"/>
      <c r="K431" s="799"/>
      <c r="L431" s="799"/>
      <c r="M431" s="799"/>
      <c r="N431" s="799"/>
      <c r="O431" s="799"/>
      <c r="P431" s="799"/>
      <c r="Q431" s="799"/>
      <c r="R431" s="799"/>
      <c r="S431" s="799"/>
      <c r="T431" s="799"/>
      <c r="U431" s="799"/>
      <c r="V431" s="799"/>
      <c r="W431" s="799"/>
      <c r="X431" s="799"/>
      <c r="Y431" s="799"/>
      <c r="Z431" s="799"/>
      <c r="AA431" s="799"/>
      <c r="AB431" s="799"/>
      <c r="AC431" s="799"/>
      <c r="AD431" s="799"/>
      <c r="AE431" s="799"/>
      <c r="AF431" s="799"/>
      <c r="AG431" s="799"/>
      <c r="AH431" s="799"/>
      <c r="AI431" s="799"/>
      <c r="AJ431" s="799"/>
      <c r="AK431" s="799"/>
      <c r="AL431" s="799"/>
      <c r="AM431" s="799"/>
      <c r="AN431" s="799"/>
      <c r="AO431" s="799"/>
      <c r="AP431" s="799"/>
      <c r="AQ431" s="799"/>
      <c r="AR431" s="799"/>
      <c r="AS431" s="799"/>
      <c r="AT431" s="799"/>
      <c r="AU431" s="799"/>
      <c r="AV431" s="799"/>
      <c r="AW431" s="799"/>
      <c r="AX431" s="799"/>
      <c r="AY431" s="799"/>
      <c r="AZ431" s="799"/>
      <c r="BA431" s="799"/>
      <c r="BB431" s="799"/>
      <c r="BC431" s="799"/>
      <c r="BD431" s="799"/>
      <c r="BE431" s="799"/>
      <c r="BF431" s="799"/>
      <c r="BG431" s="799"/>
    </row>
    <row r="432">
      <c r="H432" s="799"/>
      <c r="I432" s="799"/>
      <c r="J432" s="799"/>
      <c r="K432" s="799"/>
      <c r="L432" s="799"/>
      <c r="M432" s="799"/>
      <c r="N432" s="799"/>
      <c r="O432" s="799"/>
      <c r="P432" s="799"/>
      <c r="Q432" s="799"/>
      <c r="R432" s="799"/>
      <c r="S432" s="799"/>
      <c r="T432" s="799"/>
      <c r="U432" s="799"/>
      <c r="V432" s="799"/>
      <c r="W432" s="799"/>
      <c r="X432" s="799"/>
      <c r="Y432" s="799"/>
      <c r="Z432" s="799"/>
      <c r="AA432" s="799"/>
      <c r="AB432" s="799"/>
      <c r="AC432" s="799"/>
      <c r="AD432" s="799"/>
      <c r="AE432" s="799"/>
      <c r="AF432" s="799"/>
      <c r="AG432" s="799"/>
      <c r="AH432" s="799"/>
      <c r="AI432" s="799"/>
      <c r="AJ432" s="799"/>
      <c r="AK432" s="799"/>
      <c r="AL432" s="799"/>
      <c r="AM432" s="799"/>
      <c r="AN432" s="799"/>
      <c r="AO432" s="799"/>
      <c r="AP432" s="799"/>
      <c r="AQ432" s="799"/>
      <c r="AR432" s="799"/>
      <c r="AS432" s="799"/>
      <c r="AT432" s="799"/>
      <c r="AU432" s="799"/>
      <c r="AV432" s="799"/>
      <c r="AW432" s="799"/>
      <c r="AX432" s="799"/>
      <c r="AY432" s="799"/>
      <c r="AZ432" s="799"/>
      <c r="BA432" s="799"/>
      <c r="BB432" s="799"/>
      <c r="BC432" s="799"/>
      <c r="BD432" s="799"/>
      <c r="BE432" s="799"/>
      <c r="BF432" s="799"/>
      <c r="BG432" s="799"/>
    </row>
    <row r="433">
      <c r="H433" s="799"/>
      <c r="I433" s="799"/>
      <c r="J433" s="799"/>
      <c r="K433" s="799"/>
      <c r="L433" s="799"/>
      <c r="M433" s="799"/>
      <c r="N433" s="799"/>
      <c r="O433" s="799"/>
      <c r="P433" s="799"/>
      <c r="Q433" s="799"/>
      <c r="R433" s="799"/>
      <c r="S433" s="799"/>
      <c r="T433" s="799"/>
      <c r="U433" s="799"/>
      <c r="V433" s="799"/>
      <c r="W433" s="799"/>
      <c r="X433" s="799"/>
      <c r="Y433" s="799"/>
      <c r="Z433" s="799"/>
      <c r="AA433" s="799"/>
      <c r="AB433" s="799"/>
      <c r="AC433" s="799"/>
      <c r="AD433" s="799"/>
      <c r="AE433" s="799"/>
      <c r="AF433" s="799"/>
      <c r="AG433" s="799"/>
      <c r="AH433" s="799"/>
      <c r="AI433" s="799"/>
      <c r="AJ433" s="799"/>
      <c r="AK433" s="799"/>
      <c r="AL433" s="799"/>
      <c r="AM433" s="799"/>
      <c r="AN433" s="799"/>
      <c r="AO433" s="799"/>
      <c r="AP433" s="799"/>
      <c r="AQ433" s="799"/>
      <c r="AR433" s="799"/>
      <c r="AS433" s="799"/>
      <c r="AT433" s="799"/>
      <c r="AU433" s="799"/>
      <c r="AV433" s="799"/>
      <c r="AW433" s="799"/>
      <c r="AX433" s="799"/>
      <c r="AY433" s="799"/>
      <c r="AZ433" s="799"/>
      <c r="BA433" s="799"/>
      <c r="BB433" s="799"/>
      <c r="BC433" s="799"/>
      <c r="BD433" s="799"/>
      <c r="BE433" s="799"/>
      <c r="BF433" s="799"/>
      <c r="BG433" s="799"/>
    </row>
    <row r="434">
      <c r="H434" s="799"/>
      <c r="I434" s="799"/>
      <c r="J434" s="799"/>
      <c r="K434" s="799"/>
      <c r="L434" s="799"/>
      <c r="M434" s="799"/>
      <c r="N434" s="799"/>
      <c r="O434" s="799"/>
      <c r="P434" s="799"/>
      <c r="Q434" s="799"/>
      <c r="R434" s="799"/>
      <c r="S434" s="799"/>
      <c r="T434" s="799"/>
      <c r="U434" s="799"/>
      <c r="V434" s="799"/>
      <c r="W434" s="799"/>
      <c r="X434" s="799"/>
      <c r="Y434" s="799"/>
      <c r="Z434" s="799"/>
      <c r="AA434" s="799"/>
      <c r="AB434" s="799"/>
      <c r="AC434" s="799"/>
      <c r="AD434" s="799"/>
      <c r="AE434" s="799"/>
      <c r="AF434" s="799"/>
      <c r="AG434" s="799"/>
      <c r="AH434" s="799"/>
      <c r="AI434" s="799"/>
      <c r="AJ434" s="799"/>
      <c r="AK434" s="799"/>
      <c r="AL434" s="799"/>
      <c r="AM434" s="799"/>
      <c r="AN434" s="799"/>
      <c r="AO434" s="799"/>
      <c r="AP434" s="799"/>
      <c r="AQ434" s="799"/>
      <c r="AR434" s="799"/>
      <c r="AS434" s="799"/>
      <c r="AT434" s="799"/>
      <c r="AU434" s="799"/>
      <c r="AV434" s="799"/>
      <c r="AW434" s="799"/>
      <c r="AX434" s="799"/>
      <c r="AY434" s="799"/>
      <c r="AZ434" s="799"/>
      <c r="BA434" s="799"/>
      <c r="BB434" s="799"/>
      <c r="BC434" s="799"/>
      <c r="BD434" s="799"/>
      <c r="BE434" s="799"/>
      <c r="BF434" s="799"/>
      <c r="BG434" s="799"/>
    </row>
    <row r="435">
      <c r="H435" s="799"/>
      <c r="I435" s="799"/>
      <c r="J435" s="799"/>
      <c r="K435" s="799"/>
      <c r="L435" s="799"/>
      <c r="M435" s="799"/>
      <c r="N435" s="799"/>
      <c r="O435" s="799"/>
      <c r="P435" s="799"/>
      <c r="Q435" s="799"/>
      <c r="R435" s="799"/>
      <c r="S435" s="799"/>
      <c r="T435" s="799"/>
      <c r="U435" s="799"/>
      <c r="V435" s="799"/>
      <c r="W435" s="799"/>
      <c r="X435" s="799"/>
      <c r="Y435" s="799"/>
      <c r="Z435" s="799"/>
      <c r="AA435" s="799"/>
      <c r="AB435" s="799"/>
      <c r="AC435" s="799"/>
      <c r="AD435" s="799"/>
      <c r="AE435" s="799"/>
      <c r="AF435" s="799"/>
      <c r="AG435" s="799"/>
      <c r="AH435" s="799"/>
      <c r="AI435" s="799"/>
      <c r="AJ435" s="799"/>
      <c r="AK435" s="799"/>
      <c r="AL435" s="799"/>
      <c r="AM435" s="799"/>
      <c r="AN435" s="799"/>
      <c r="AO435" s="799"/>
      <c r="AP435" s="799"/>
      <c r="AQ435" s="799"/>
      <c r="AR435" s="799"/>
      <c r="AS435" s="799"/>
      <c r="AT435" s="799"/>
      <c r="AU435" s="799"/>
      <c r="AV435" s="799"/>
      <c r="AW435" s="799"/>
      <c r="AX435" s="799"/>
      <c r="AY435" s="799"/>
      <c r="AZ435" s="799"/>
      <c r="BA435" s="799"/>
      <c r="BB435" s="799"/>
      <c r="BC435" s="799"/>
      <c r="BD435" s="799"/>
      <c r="BE435" s="799"/>
      <c r="BF435" s="799"/>
      <c r="BG435" s="799"/>
    </row>
    <row r="436">
      <c r="H436" s="799"/>
      <c r="I436" s="799"/>
      <c r="J436" s="799"/>
      <c r="K436" s="799"/>
      <c r="L436" s="799"/>
      <c r="M436" s="799"/>
      <c r="N436" s="799"/>
      <c r="O436" s="799"/>
      <c r="P436" s="799"/>
      <c r="Q436" s="799"/>
      <c r="R436" s="799"/>
      <c r="S436" s="799"/>
      <c r="T436" s="799"/>
      <c r="U436" s="799"/>
      <c r="V436" s="799"/>
      <c r="W436" s="799"/>
      <c r="X436" s="799"/>
      <c r="Y436" s="799"/>
      <c r="Z436" s="799"/>
      <c r="AA436" s="799"/>
      <c r="AB436" s="799"/>
      <c r="AC436" s="799"/>
      <c r="AD436" s="799"/>
      <c r="AE436" s="799"/>
      <c r="AF436" s="799"/>
      <c r="AG436" s="799"/>
      <c r="AH436" s="799"/>
      <c r="AI436" s="799"/>
      <c r="AJ436" s="799"/>
      <c r="AK436" s="799"/>
      <c r="AL436" s="799"/>
      <c r="AM436" s="799"/>
      <c r="AN436" s="799"/>
      <c r="AO436" s="799"/>
      <c r="AP436" s="799"/>
      <c r="AQ436" s="799"/>
      <c r="AR436" s="799"/>
      <c r="AS436" s="799"/>
      <c r="AT436" s="799"/>
      <c r="AU436" s="799"/>
      <c r="AV436" s="799"/>
      <c r="AW436" s="799"/>
      <c r="AX436" s="799"/>
      <c r="AY436" s="799"/>
      <c r="AZ436" s="799"/>
      <c r="BA436" s="799"/>
      <c r="BB436" s="799"/>
      <c r="BC436" s="799"/>
      <c r="BD436" s="799"/>
      <c r="BE436" s="799"/>
      <c r="BF436" s="799"/>
      <c r="BG436" s="799"/>
    </row>
    <row r="437">
      <c r="H437" s="799"/>
      <c r="I437" s="799"/>
      <c r="J437" s="799"/>
      <c r="K437" s="799"/>
      <c r="L437" s="799"/>
      <c r="M437" s="799"/>
      <c r="N437" s="799"/>
      <c r="O437" s="799"/>
      <c r="P437" s="799"/>
      <c r="Q437" s="799"/>
      <c r="R437" s="799"/>
      <c r="S437" s="799"/>
      <c r="T437" s="799"/>
      <c r="U437" s="799"/>
      <c r="V437" s="799"/>
      <c r="W437" s="799"/>
      <c r="X437" s="799"/>
      <c r="Y437" s="799"/>
      <c r="Z437" s="799"/>
      <c r="AA437" s="799"/>
      <c r="AB437" s="799"/>
      <c r="AC437" s="799"/>
      <c r="AD437" s="799"/>
      <c r="AE437" s="799"/>
      <c r="AF437" s="799"/>
      <c r="AG437" s="799"/>
      <c r="AH437" s="799"/>
      <c r="AI437" s="799"/>
      <c r="AJ437" s="799"/>
      <c r="AK437" s="799"/>
      <c r="AL437" s="799"/>
      <c r="AM437" s="799"/>
      <c r="AN437" s="799"/>
      <c r="AO437" s="799"/>
      <c r="AP437" s="799"/>
      <c r="AQ437" s="799"/>
      <c r="AR437" s="799"/>
      <c r="AS437" s="799"/>
      <c r="AT437" s="799"/>
      <c r="AU437" s="799"/>
      <c r="AV437" s="799"/>
      <c r="AW437" s="799"/>
      <c r="AX437" s="799"/>
      <c r="AY437" s="799"/>
      <c r="AZ437" s="799"/>
      <c r="BA437" s="799"/>
      <c r="BB437" s="799"/>
      <c r="BC437" s="799"/>
      <c r="BD437" s="799"/>
      <c r="BE437" s="799"/>
      <c r="BF437" s="799"/>
      <c r="BG437" s="799"/>
    </row>
    <row r="438">
      <c r="H438" s="799"/>
      <c r="I438" s="799"/>
      <c r="J438" s="799"/>
      <c r="K438" s="799"/>
      <c r="L438" s="799"/>
      <c r="M438" s="799"/>
      <c r="N438" s="799"/>
      <c r="O438" s="799"/>
      <c r="P438" s="799"/>
      <c r="Q438" s="799"/>
      <c r="R438" s="799"/>
      <c r="S438" s="799"/>
      <c r="T438" s="799"/>
      <c r="U438" s="799"/>
      <c r="V438" s="799"/>
      <c r="W438" s="799"/>
      <c r="X438" s="799"/>
      <c r="Y438" s="799"/>
      <c r="Z438" s="799"/>
      <c r="AA438" s="799"/>
      <c r="AB438" s="799"/>
      <c r="AC438" s="799"/>
      <c r="AD438" s="799"/>
      <c r="AE438" s="799"/>
      <c r="AF438" s="799"/>
      <c r="AG438" s="799"/>
      <c r="AH438" s="799"/>
      <c r="AI438" s="799"/>
      <c r="AJ438" s="799"/>
      <c r="AK438" s="799"/>
      <c r="AL438" s="799"/>
      <c r="AM438" s="799"/>
      <c r="AN438" s="799"/>
      <c r="AO438" s="799"/>
      <c r="AP438" s="799"/>
      <c r="AQ438" s="799"/>
      <c r="AR438" s="799"/>
      <c r="AS438" s="799"/>
      <c r="AT438" s="799"/>
      <c r="AU438" s="799"/>
      <c r="AV438" s="799"/>
      <c r="AW438" s="799"/>
      <c r="AX438" s="799"/>
      <c r="AY438" s="799"/>
      <c r="AZ438" s="799"/>
      <c r="BA438" s="799"/>
      <c r="BB438" s="799"/>
      <c r="BC438" s="799"/>
      <c r="BD438" s="799"/>
      <c r="BE438" s="799"/>
      <c r="BF438" s="799"/>
      <c r="BG438" s="799"/>
    </row>
    <row r="439">
      <c r="H439" s="799"/>
      <c r="I439" s="799"/>
      <c r="J439" s="799"/>
      <c r="K439" s="799"/>
      <c r="L439" s="799"/>
      <c r="M439" s="799"/>
      <c r="N439" s="799"/>
      <c r="O439" s="799"/>
      <c r="P439" s="799"/>
      <c r="Q439" s="799"/>
      <c r="R439" s="799"/>
      <c r="S439" s="799"/>
      <c r="T439" s="799"/>
      <c r="U439" s="799"/>
      <c r="V439" s="799"/>
      <c r="W439" s="799"/>
      <c r="X439" s="799"/>
      <c r="Y439" s="799"/>
      <c r="Z439" s="799"/>
      <c r="AA439" s="799"/>
      <c r="AB439" s="799"/>
      <c r="AC439" s="799"/>
      <c r="AD439" s="799"/>
      <c r="AE439" s="799"/>
      <c r="AF439" s="799"/>
      <c r="AG439" s="799"/>
      <c r="AH439" s="799"/>
      <c r="AI439" s="799"/>
      <c r="AJ439" s="799"/>
      <c r="AK439" s="799"/>
      <c r="AL439" s="799"/>
      <c r="AM439" s="799"/>
      <c r="AN439" s="799"/>
      <c r="AO439" s="799"/>
      <c r="AP439" s="799"/>
      <c r="AQ439" s="799"/>
      <c r="AR439" s="799"/>
      <c r="AS439" s="799"/>
      <c r="AT439" s="799"/>
      <c r="AU439" s="799"/>
      <c r="AV439" s="799"/>
      <c r="AW439" s="799"/>
      <c r="AX439" s="799"/>
      <c r="AY439" s="799"/>
      <c r="AZ439" s="799"/>
      <c r="BA439" s="799"/>
      <c r="BB439" s="799"/>
      <c r="BC439" s="799"/>
      <c r="BD439" s="799"/>
      <c r="BE439" s="799"/>
      <c r="BF439" s="799"/>
      <c r="BG439" s="799"/>
    </row>
    <row r="440">
      <c r="H440" s="799"/>
      <c r="I440" s="799"/>
      <c r="J440" s="799"/>
      <c r="K440" s="799"/>
      <c r="L440" s="799"/>
      <c r="M440" s="799"/>
      <c r="N440" s="799"/>
      <c r="O440" s="799"/>
      <c r="P440" s="799"/>
      <c r="Q440" s="799"/>
      <c r="R440" s="799"/>
      <c r="S440" s="799"/>
      <c r="T440" s="799"/>
      <c r="U440" s="799"/>
      <c r="V440" s="799"/>
      <c r="W440" s="799"/>
      <c r="X440" s="799"/>
      <c r="Y440" s="799"/>
      <c r="Z440" s="799"/>
      <c r="AA440" s="799"/>
      <c r="AB440" s="799"/>
      <c r="AC440" s="799"/>
      <c r="AD440" s="799"/>
      <c r="AE440" s="799"/>
      <c r="AF440" s="799"/>
      <c r="AG440" s="799"/>
      <c r="AH440" s="799"/>
      <c r="AI440" s="799"/>
      <c r="AJ440" s="799"/>
      <c r="AK440" s="799"/>
      <c r="AL440" s="799"/>
      <c r="AM440" s="799"/>
      <c r="AN440" s="799"/>
      <c r="AO440" s="799"/>
      <c r="AP440" s="799"/>
      <c r="AQ440" s="799"/>
      <c r="AR440" s="799"/>
      <c r="AS440" s="799"/>
      <c r="AT440" s="799"/>
      <c r="AU440" s="799"/>
      <c r="AV440" s="799"/>
      <c r="AW440" s="799"/>
      <c r="AX440" s="799"/>
      <c r="AY440" s="799"/>
      <c r="AZ440" s="799"/>
      <c r="BA440" s="799"/>
      <c r="BB440" s="799"/>
      <c r="BC440" s="799"/>
      <c r="BD440" s="799"/>
      <c r="BE440" s="799"/>
      <c r="BF440" s="799"/>
      <c r="BG440" s="799"/>
    </row>
    <row r="441">
      <c r="H441" s="799"/>
      <c r="I441" s="799"/>
      <c r="J441" s="799"/>
      <c r="K441" s="799"/>
      <c r="L441" s="799"/>
      <c r="M441" s="799"/>
      <c r="N441" s="799"/>
      <c r="O441" s="799"/>
      <c r="P441" s="799"/>
      <c r="Q441" s="799"/>
      <c r="R441" s="799"/>
      <c r="S441" s="799"/>
      <c r="T441" s="799"/>
      <c r="U441" s="799"/>
      <c r="V441" s="799"/>
      <c r="W441" s="799"/>
      <c r="X441" s="799"/>
      <c r="Y441" s="799"/>
      <c r="Z441" s="799"/>
      <c r="AA441" s="799"/>
      <c r="AB441" s="799"/>
      <c r="AC441" s="799"/>
      <c r="AD441" s="799"/>
      <c r="AE441" s="799"/>
      <c r="AF441" s="799"/>
      <c r="AG441" s="799"/>
      <c r="AH441" s="799"/>
      <c r="AI441" s="799"/>
      <c r="AJ441" s="799"/>
      <c r="AK441" s="799"/>
      <c r="AL441" s="799"/>
      <c r="AM441" s="799"/>
      <c r="AN441" s="799"/>
      <c r="AO441" s="799"/>
      <c r="AP441" s="799"/>
      <c r="AQ441" s="799"/>
      <c r="AR441" s="799"/>
      <c r="AS441" s="799"/>
      <c r="AT441" s="799"/>
      <c r="AU441" s="799"/>
      <c r="AV441" s="799"/>
      <c r="AW441" s="799"/>
      <c r="AX441" s="799"/>
      <c r="AY441" s="799"/>
      <c r="AZ441" s="799"/>
      <c r="BA441" s="799"/>
      <c r="BB441" s="799"/>
      <c r="BC441" s="799"/>
      <c r="BD441" s="799"/>
      <c r="BE441" s="799"/>
      <c r="BF441" s="799"/>
      <c r="BG441" s="799"/>
    </row>
    <row r="442">
      <c r="H442" s="799"/>
      <c r="I442" s="799"/>
      <c r="J442" s="799"/>
      <c r="K442" s="799"/>
      <c r="L442" s="799"/>
      <c r="M442" s="799"/>
      <c r="N442" s="799"/>
      <c r="O442" s="799"/>
      <c r="P442" s="799"/>
      <c r="Q442" s="799"/>
      <c r="R442" s="799"/>
      <c r="S442" s="799"/>
      <c r="T442" s="799"/>
      <c r="U442" s="799"/>
      <c r="V442" s="799"/>
      <c r="W442" s="799"/>
      <c r="X442" s="799"/>
      <c r="Y442" s="799"/>
      <c r="Z442" s="799"/>
      <c r="AA442" s="799"/>
      <c r="AB442" s="799"/>
      <c r="AC442" s="799"/>
      <c r="AD442" s="799"/>
      <c r="AE442" s="799"/>
      <c r="AF442" s="799"/>
      <c r="AG442" s="799"/>
      <c r="AH442" s="799"/>
      <c r="AI442" s="799"/>
      <c r="AJ442" s="799"/>
      <c r="AK442" s="799"/>
      <c r="AL442" s="799"/>
      <c r="AM442" s="799"/>
      <c r="AN442" s="799"/>
      <c r="AO442" s="799"/>
      <c r="AP442" s="799"/>
      <c r="AQ442" s="799"/>
      <c r="AR442" s="799"/>
      <c r="AS442" s="799"/>
      <c r="AT442" s="799"/>
      <c r="AU442" s="799"/>
      <c r="AV442" s="799"/>
      <c r="AW442" s="799"/>
      <c r="AX442" s="799"/>
      <c r="AY442" s="799"/>
      <c r="AZ442" s="799"/>
      <c r="BA442" s="799"/>
      <c r="BB442" s="799"/>
      <c r="BC442" s="799"/>
      <c r="BD442" s="799"/>
      <c r="BE442" s="799"/>
      <c r="BF442" s="799"/>
      <c r="BG442" s="799"/>
    </row>
    <row r="443">
      <c r="H443" s="799"/>
      <c r="I443" s="799"/>
      <c r="J443" s="799"/>
      <c r="K443" s="799"/>
      <c r="L443" s="799"/>
      <c r="M443" s="799"/>
      <c r="N443" s="799"/>
      <c r="O443" s="799"/>
      <c r="P443" s="799"/>
      <c r="Q443" s="799"/>
      <c r="R443" s="799"/>
      <c r="S443" s="799"/>
      <c r="T443" s="799"/>
      <c r="U443" s="799"/>
      <c r="V443" s="799"/>
      <c r="W443" s="799"/>
      <c r="X443" s="799"/>
      <c r="Y443" s="799"/>
      <c r="Z443" s="799"/>
      <c r="AA443" s="799"/>
      <c r="AB443" s="799"/>
      <c r="AC443" s="799"/>
      <c r="AD443" s="799"/>
      <c r="AE443" s="799"/>
      <c r="AF443" s="799"/>
      <c r="AG443" s="799"/>
      <c r="AH443" s="799"/>
      <c r="AI443" s="799"/>
      <c r="AJ443" s="799"/>
      <c r="AK443" s="799"/>
      <c r="AL443" s="799"/>
      <c r="AM443" s="799"/>
      <c r="AN443" s="799"/>
      <c r="AO443" s="799"/>
      <c r="AP443" s="799"/>
      <c r="AQ443" s="799"/>
      <c r="AR443" s="799"/>
      <c r="AS443" s="799"/>
      <c r="AT443" s="799"/>
      <c r="AU443" s="799"/>
      <c r="AV443" s="799"/>
      <c r="AW443" s="799"/>
      <c r="AX443" s="799"/>
      <c r="AY443" s="799"/>
      <c r="AZ443" s="799"/>
      <c r="BA443" s="799"/>
      <c r="BB443" s="799"/>
      <c r="BC443" s="799"/>
      <c r="BD443" s="799"/>
      <c r="BE443" s="799"/>
      <c r="BF443" s="799"/>
      <c r="BG443" s="799"/>
    </row>
    <row r="444">
      <c r="H444" s="799"/>
      <c r="I444" s="799"/>
      <c r="J444" s="799"/>
      <c r="K444" s="799"/>
      <c r="L444" s="799"/>
      <c r="M444" s="799"/>
      <c r="N444" s="799"/>
      <c r="O444" s="799"/>
      <c r="P444" s="799"/>
      <c r="Q444" s="799"/>
      <c r="R444" s="799"/>
      <c r="S444" s="799"/>
      <c r="T444" s="799"/>
      <c r="U444" s="799"/>
      <c r="V444" s="799"/>
      <c r="W444" s="799"/>
      <c r="X444" s="799"/>
      <c r="Y444" s="799"/>
      <c r="Z444" s="799"/>
      <c r="AA444" s="799"/>
      <c r="AB444" s="799"/>
      <c r="AC444" s="799"/>
      <c r="AD444" s="799"/>
      <c r="AE444" s="799"/>
      <c r="AF444" s="799"/>
      <c r="AG444" s="799"/>
      <c r="AH444" s="799"/>
      <c r="AI444" s="799"/>
      <c r="AJ444" s="799"/>
      <c r="AK444" s="799"/>
      <c r="AL444" s="799"/>
      <c r="AM444" s="799"/>
      <c r="AN444" s="799"/>
      <c r="AO444" s="799"/>
      <c r="AP444" s="799"/>
      <c r="AQ444" s="799"/>
      <c r="AR444" s="799"/>
      <c r="AS444" s="799"/>
      <c r="AT444" s="799"/>
      <c r="AU444" s="799"/>
      <c r="AV444" s="799"/>
      <c r="AW444" s="799"/>
      <c r="AX444" s="799"/>
      <c r="AY444" s="799"/>
      <c r="AZ444" s="799"/>
      <c r="BA444" s="799"/>
      <c r="BB444" s="799"/>
      <c r="BC444" s="799"/>
      <c r="BD444" s="799"/>
      <c r="BE444" s="799"/>
      <c r="BF444" s="799"/>
      <c r="BG444" s="799"/>
    </row>
    <row r="445">
      <c r="H445" s="799"/>
      <c r="I445" s="799"/>
      <c r="J445" s="799"/>
      <c r="K445" s="799"/>
      <c r="L445" s="799"/>
      <c r="M445" s="799"/>
      <c r="N445" s="799"/>
      <c r="O445" s="799"/>
      <c r="P445" s="799"/>
      <c r="Q445" s="799"/>
      <c r="R445" s="799"/>
      <c r="S445" s="799"/>
      <c r="T445" s="799"/>
      <c r="U445" s="799"/>
      <c r="V445" s="799"/>
      <c r="W445" s="799"/>
      <c r="X445" s="799"/>
      <c r="Y445" s="799"/>
      <c r="Z445" s="799"/>
      <c r="AA445" s="799"/>
      <c r="AB445" s="799"/>
      <c r="AC445" s="799"/>
      <c r="AD445" s="799"/>
      <c r="AE445" s="799"/>
      <c r="AF445" s="799"/>
      <c r="AG445" s="799"/>
      <c r="AH445" s="799"/>
      <c r="AI445" s="799"/>
      <c r="AJ445" s="799"/>
      <c r="AK445" s="799"/>
      <c r="AL445" s="799"/>
      <c r="AM445" s="799"/>
      <c r="AN445" s="799"/>
      <c r="AO445" s="799"/>
      <c r="AP445" s="799"/>
      <c r="AQ445" s="799"/>
      <c r="AR445" s="799"/>
      <c r="AS445" s="799"/>
      <c r="AT445" s="799"/>
      <c r="AU445" s="799"/>
      <c r="AV445" s="799"/>
      <c r="AW445" s="799"/>
      <c r="AX445" s="799"/>
      <c r="AY445" s="799"/>
      <c r="AZ445" s="799"/>
      <c r="BA445" s="799"/>
      <c r="BB445" s="799"/>
      <c r="BC445" s="799"/>
      <c r="BD445" s="799"/>
      <c r="BE445" s="799"/>
      <c r="BF445" s="799"/>
      <c r="BG445" s="799"/>
    </row>
    <row r="446">
      <c r="H446" s="799"/>
      <c r="I446" s="799"/>
      <c r="J446" s="799"/>
      <c r="K446" s="799"/>
      <c r="L446" s="799"/>
      <c r="M446" s="799"/>
      <c r="N446" s="799"/>
      <c r="O446" s="799"/>
      <c r="P446" s="799"/>
      <c r="Q446" s="799"/>
      <c r="R446" s="799"/>
      <c r="S446" s="799"/>
      <c r="T446" s="799"/>
      <c r="U446" s="799"/>
      <c r="V446" s="799"/>
      <c r="W446" s="799"/>
      <c r="X446" s="799"/>
      <c r="Y446" s="799"/>
      <c r="Z446" s="799"/>
      <c r="AA446" s="799"/>
      <c r="AB446" s="799"/>
      <c r="AC446" s="799"/>
      <c r="AD446" s="799"/>
      <c r="AE446" s="799"/>
      <c r="AF446" s="799"/>
      <c r="AG446" s="799"/>
      <c r="AH446" s="799"/>
      <c r="AI446" s="799"/>
      <c r="AJ446" s="799"/>
      <c r="AK446" s="799"/>
      <c r="AL446" s="799"/>
      <c r="AM446" s="799"/>
      <c r="AN446" s="799"/>
      <c r="AO446" s="799"/>
      <c r="AP446" s="799"/>
      <c r="AQ446" s="799"/>
      <c r="AR446" s="799"/>
      <c r="AS446" s="799"/>
      <c r="AT446" s="799"/>
      <c r="AU446" s="799"/>
      <c r="AV446" s="799"/>
      <c r="AW446" s="799"/>
      <c r="AX446" s="799"/>
      <c r="AY446" s="799"/>
      <c r="AZ446" s="799"/>
      <c r="BA446" s="799"/>
      <c r="BB446" s="799"/>
      <c r="BC446" s="799"/>
      <c r="BD446" s="799"/>
      <c r="BE446" s="799"/>
      <c r="BF446" s="799"/>
      <c r="BG446" s="799"/>
    </row>
    <row r="447">
      <c r="H447" s="799"/>
      <c r="I447" s="799"/>
      <c r="J447" s="799"/>
      <c r="K447" s="799"/>
      <c r="L447" s="799"/>
      <c r="M447" s="799"/>
      <c r="N447" s="799"/>
      <c r="O447" s="799"/>
      <c r="P447" s="799"/>
      <c r="Q447" s="799"/>
      <c r="R447" s="799"/>
      <c r="S447" s="799"/>
      <c r="T447" s="799"/>
      <c r="U447" s="799"/>
      <c r="V447" s="799"/>
      <c r="W447" s="799"/>
      <c r="X447" s="799"/>
      <c r="Y447" s="799"/>
      <c r="Z447" s="799"/>
      <c r="AA447" s="799"/>
      <c r="AB447" s="799"/>
      <c r="AC447" s="799"/>
      <c r="AD447" s="799"/>
      <c r="AE447" s="799"/>
      <c r="AF447" s="799"/>
      <c r="AG447" s="799"/>
      <c r="AH447" s="799"/>
      <c r="AI447" s="799"/>
      <c r="AJ447" s="799"/>
      <c r="AK447" s="799"/>
      <c r="AL447" s="799"/>
      <c r="AM447" s="799"/>
      <c r="AN447" s="799"/>
      <c r="AO447" s="799"/>
      <c r="AP447" s="799"/>
      <c r="AQ447" s="799"/>
      <c r="AR447" s="799"/>
      <c r="AS447" s="799"/>
      <c r="AT447" s="799"/>
      <c r="AU447" s="799"/>
      <c r="AV447" s="799"/>
      <c r="AW447" s="799"/>
      <c r="AX447" s="799"/>
      <c r="AY447" s="799"/>
      <c r="AZ447" s="799"/>
      <c r="BA447" s="799"/>
      <c r="BB447" s="799"/>
      <c r="BC447" s="799"/>
      <c r="BD447" s="799"/>
      <c r="BE447" s="799"/>
      <c r="BF447" s="799"/>
      <c r="BG447" s="799"/>
    </row>
    <row r="448">
      <c r="H448" s="799"/>
      <c r="I448" s="799"/>
      <c r="J448" s="799"/>
      <c r="K448" s="799"/>
      <c r="L448" s="799"/>
      <c r="M448" s="799"/>
      <c r="N448" s="799"/>
      <c r="O448" s="799"/>
      <c r="P448" s="799"/>
      <c r="Q448" s="799"/>
      <c r="R448" s="799"/>
      <c r="S448" s="799"/>
      <c r="T448" s="799"/>
      <c r="U448" s="799"/>
      <c r="V448" s="799"/>
      <c r="W448" s="799"/>
      <c r="X448" s="799"/>
      <c r="Y448" s="799"/>
      <c r="Z448" s="799"/>
      <c r="AA448" s="799"/>
      <c r="AB448" s="799"/>
      <c r="AC448" s="799"/>
      <c r="AD448" s="799"/>
      <c r="AE448" s="799"/>
      <c r="AF448" s="799"/>
      <c r="AG448" s="799"/>
      <c r="AH448" s="799"/>
      <c r="AI448" s="799"/>
      <c r="AJ448" s="799"/>
      <c r="AK448" s="799"/>
      <c r="AL448" s="799"/>
      <c r="AM448" s="799"/>
      <c r="AN448" s="799"/>
      <c r="AO448" s="799"/>
      <c r="AP448" s="799"/>
      <c r="AQ448" s="799"/>
      <c r="AR448" s="799"/>
      <c r="AS448" s="799"/>
      <c r="AT448" s="799"/>
      <c r="AU448" s="799"/>
      <c r="AV448" s="799"/>
      <c r="AW448" s="799"/>
      <c r="AX448" s="799"/>
      <c r="AY448" s="799"/>
      <c r="AZ448" s="799"/>
      <c r="BA448" s="799"/>
      <c r="BB448" s="799"/>
      <c r="BC448" s="799"/>
      <c r="BD448" s="799"/>
      <c r="BE448" s="799"/>
      <c r="BF448" s="799"/>
      <c r="BG448" s="799"/>
    </row>
    <row r="449">
      <c r="H449" s="799"/>
      <c r="I449" s="799"/>
      <c r="J449" s="799"/>
      <c r="K449" s="799"/>
      <c r="L449" s="799"/>
      <c r="M449" s="799"/>
      <c r="N449" s="799"/>
      <c r="O449" s="799"/>
      <c r="P449" s="799"/>
      <c r="Q449" s="799"/>
      <c r="R449" s="799"/>
      <c r="S449" s="799"/>
      <c r="T449" s="799"/>
      <c r="U449" s="799"/>
      <c r="V449" s="799"/>
      <c r="W449" s="799"/>
      <c r="X449" s="799"/>
      <c r="Y449" s="799"/>
      <c r="Z449" s="799"/>
      <c r="AA449" s="799"/>
      <c r="AB449" s="799"/>
      <c r="AC449" s="799"/>
      <c r="AD449" s="799"/>
      <c r="AE449" s="799"/>
      <c r="AF449" s="799"/>
      <c r="AG449" s="799"/>
      <c r="AH449" s="799"/>
      <c r="AI449" s="799"/>
      <c r="AJ449" s="799"/>
      <c r="AK449" s="799"/>
      <c r="AL449" s="799"/>
      <c r="AM449" s="799"/>
      <c r="AN449" s="799"/>
      <c r="AO449" s="799"/>
      <c r="AP449" s="799"/>
      <c r="AQ449" s="799"/>
      <c r="AR449" s="799"/>
      <c r="AS449" s="799"/>
      <c r="AT449" s="799"/>
      <c r="AU449" s="799"/>
      <c r="AV449" s="799"/>
      <c r="AW449" s="799"/>
      <c r="AX449" s="799"/>
      <c r="AY449" s="799"/>
      <c r="AZ449" s="799"/>
      <c r="BA449" s="799"/>
      <c r="BB449" s="799"/>
      <c r="BC449" s="799"/>
      <c r="BD449" s="799"/>
      <c r="BE449" s="799"/>
      <c r="BF449" s="799"/>
      <c r="BG449" s="799"/>
    </row>
    <row r="450">
      <c r="H450" s="799"/>
      <c r="I450" s="799"/>
      <c r="J450" s="799"/>
      <c r="K450" s="799"/>
      <c r="L450" s="799"/>
      <c r="M450" s="799"/>
      <c r="N450" s="799"/>
      <c r="O450" s="799"/>
      <c r="P450" s="799"/>
      <c r="Q450" s="799"/>
      <c r="R450" s="799"/>
      <c r="S450" s="799"/>
      <c r="T450" s="799"/>
      <c r="U450" s="799"/>
      <c r="V450" s="799"/>
      <c r="W450" s="799"/>
      <c r="X450" s="799"/>
      <c r="Y450" s="799"/>
      <c r="Z450" s="799"/>
      <c r="AA450" s="799"/>
      <c r="AB450" s="799"/>
      <c r="AC450" s="799"/>
      <c r="AD450" s="799"/>
      <c r="AE450" s="799"/>
      <c r="AF450" s="799"/>
      <c r="AG450" s="799"/>
      <c r="AH450" s="799"/>
      <c r="AI450" s="799"/>
      <c r="AJ450" s="799"/>
      <c r="AK450" s="799"/>
      <c r="AL450" s="799"/>
      <c r="AM450" s="799"/>
      <c r="AN450" s="799"/>
      <c r="AO450" s="799"/>
      <c r="AP450" s="799"/>
      <c r="AQ450" s="799"/>
      <c r="AR450" s="799"/>
      <c r="AS450" s="799"/>
      <c r="AT450" s="799"/>
      <c r="AU450" s="799"/>
      <c r="AV450" s="799"/>
      <c r="AW450" s="799"/>
      <c r="AX450" s="799"/>
      <c r="AY450" s="799"/>
      <c r="AZ450" s="799"/>
      <c r="BA450" s="799"/>
      <c r="BB450" s="799"/>
      <c r="BC450" s="799"/>
      <c r="BD450" s="799"/>
      <c r="BE450" s="799"/>
      <c r="BF450" s="799"/>
      <c r="BG450" s="799"/>
    </row>
    <row r="451">
      <c r="H451" s="799"/>
      <c r="I451" s="799"/>
      <c r="J451" s="799"/>
      <c r="K451" s="799"/>
      <c r="L451" s="799"/>
      <c r="M451" s="799"/>
      <c r="N451" s="799"/>
      <c r="O451" s="799"/>
      <c r="P451" s="799"/>
      <c r="Q451" s="799"/>
      <c r="R451" s="799"/>
      <c r="S451" s="799"/>
      <c r="T451" s="799"/>
      <c r="U451" s="799"/>
      <c r="V451" s="799"/>
      <c r="W451" s="799"/>
      <c r="X451" s="799"/>
      <c r="Y451" s="799"/>
      <c r="Z451" s="799"/>
      <c r="AA451" s="799"/>
      <c r="AB451" s="799"/>
      <c r="AC451" s="799"/>
      <c r="AD451" s="799"/>
      <c r="AE451" s="799"/>
      <c r="AF451" s="799"/>
      <c r="AG451" s="799"/>
      <c r="AH451" s="799"/>
      <c r="AI451" s="799"/>
      <c r="AJ451" s="799"/>
      <c r="AK451" s="799"/>
      <c r="AL451" s="799"/>
      <c r="AM451" s="799"/>
      <c r="AN451" s="799"/>
      <c r="AO451" s="799"/>
      <c r="AP451" s="799"/>
      <c r="AQ451" s="799"/>
      <c r="AR451" s="799"/>
      <c r="AS451" s="799"/>
      <c r="AT451" s="799"/>
      <c r="AU451" s="799"/>
      <c r="AV451" s="799"/>
      <c r="AW451" s="799"/>
      <c r="AX451" s="799"/>
      <c r="AY451" s="799"/>
      <c r="AZ451" s="799"/>
      <c r="BA451" s="799"/>
      <c r="BB451" s="799"/>
      <c r="BC451" s="799"/>
      <c r="BD451" s="799"/>
      <c r="BE451" s="799"/>
      <c r="BF451" s="799"/>
      <c r="BG451" s="799"/>
    </row>
    <row r="452">
      <c r="H452" s="799"/>
      <c r="I452" s="799"/>
      <c r="J452" s="799"/>
      <c r="K452" s="799"/>
      <c r="L452" s="799"/>
      <c r="M452" s="799"/>
      <c r="N452" s="799"/>
      <c r="O452" s="799"/>
      <c r="P452" s="799"/>
      <c r="Q452" s="799"/>
      <c r="R452" s="799"/>
      <c r="S452" s="799"/>
      <c r="T452" s="799"/>
      <c r="U452" s="799"/>
      <c r="V452" s="799"/>
      <c r="W452" s="799"/>
      <c r="X452" s="799"/>
      <c r="Y452" s="799"/>
      <c r="Z452" s="799"/>
      <c r="AA452" s="799"/>
      <c r="AB452" s="799"/>
      <c r="AC452" s="799"/>
      <c r="AD452" s="799"/>
      <c r="AE452" s="799"/>
      <c r="AF452" s="799"/>
      <c r="AG452" s="799"/>
      <c r="AH452" s="799"/>
      <c r="AI452" s="799"/>
      <c r="AJ452" s="799"/>
      <c r="AK452" s="799"/>
      <c r="AL452" s="799"/>
      <c r="AM452" s="799"/>
      <c r="AN452" s="799"/>
      <c r="AO452" s="799"/>
      <c r="AP452" s="799"/>
      <c r="AQ452" s="799"/>
      <c r="AR452" s="799"/>
      <c r="AS452" s="799"/>
      <c r="AT452" s="799"/>
      <c r="AU452" s="799"/>
      <c r="AV452" s="799"/>
      <c r="AW452" s="799"/>
      <c r="AX452" s="799"/>
      <c r="AY452" s="799"/>
      <c r="AZ452" s="799"/>
      <c r="BA452" s="799"/>
      <c r="BB452" s="799"/>
      <c r="BC452" s="799"/>
      <c r="BD452" s="799"/>
      <c r="BE452" s="799"/>
      <c r="BF452" s="799"/>
      <c r="BG452" s="799"/>
    </row>
    <row r="453">
      <c r="H453" s="799"/>
      <c r="I453" s="799"/>
      <c r="J453" s="799"/>
      <c r="K453" s="799"/>
      <c r="L453" s="799"/>
      <c r="M453" s="799"/>
      <c r="N453" s="799"/>
      <c r="O453" s="799"/>
      <c r="P453" s="799"/>
      <c r="Q453" s="799"/>
      <c r="R453" s="799"/>
      <c r="S453" s="799"/>
      <c r="T453" s="799"/>
      <c r="U453" s="799"/>
      <c r="V453" s="799"/>
      <c r="W453" s="799"/>
      <c r="X453" s="799"/>
      <c r="Y453" s="799"/>
      <c r="Z453" s="799"/>
      <c r="AA453" s="799"/>
      <c r="AB453" s="799"/>
      <c r="AC453" s="799"/>
      <c r="AD453" s="799"/>
      <c r="AE453" s="799"/>
      <c r="AF453" s="799"/>
      <c r="AG453" s="799"/>
      <c r="AH453" s="799"/>
      <c r="AI453" s="799"/>
      <c r="AJ453" s="799"/>
      <c r="AK453" s="799"/>
      <c r="AL453" s="799"/>
      <c r="AM453" s="799"/>
      <c r="AN453" s="799"/>
      <c r="AO453" s="799"/>
      <c r="AP453" s="799"/>
      <c r="AQ453" s="799"/>
      <c r="AR453" s="799"/>
      <c r="AS453" s="799"/>
      <c r="AT453" s="799"/>
      <c r="AU453" s="799"/>
      <c r="AV453" s="799"/>
      <c r="AW453" s="799"/>
      <c r="AX453" s="799"/>
      <c r="AY453" s="799"/>
      <c r="AZ453" s="799"/>
      <c r="BA453" s="799"/>
      <c r="BB453" s="799"/>
      <c r="BC453" s="799"/>
      <c r="BD453" s="799"/>
      <c r="BE453" s="799"/>
      <c r="BF453" s="799"/>
      <c r="BG453" s="799"/>
    </row>
    <row r="454">
      <c r="H454" s="799"/>
      <c r="I454" s="799"/>
      <c r="J454" s="799"/>
      <c r="K454" s="799"/>
      <c r="L454" s="799"/>
      <c r="M454" s="799"/>
      <c r="N454" s="799"/>
      <c r="O454" s="799"/>
      <c r="P454" s="799"/>
      <c r="Q454" s="799"/>
      <c r="R454" s="799"/>
      <c r="S454" s="799"/>
      <c r="T454" s="799"/>
      <c r="U454" s="799"/>
      <c r="V454" s="799"/>
      <c r="W454" s="799"/>
      <c r="X454" s="799"/>
      <c r="Y454" s="799"/>
      <c r="Z454" s="799"/>
      <c r="AA454" s="799"/>
      <c r="AB454" s="799"/>
      <c r="AC454" s="799"/>
      <c r="AD454" s="799"/>
      <c r="AE454" s="799"/>
      <c r="AF454" s="799"/>
      <c r="AG454" s="799"/>
      <c r="AH454" s="799"/>
      <c r="AI454" s="799"/>
      <c r="AJ454" s="799"/>
      <c r="AK454" s="799"/>
      <c r="AL454" s="799"/>
      <c r="AM454" s="799"/>
      <c r="AN454" s="799"/>
      <c r="AO454" s="799"/>
      <c r="AP454" s="799"/>
      <c r="AQ454" s="799"/>
      <c r="AR454" s="799"/>
      <c r="AS454" s="799"/>
      <c r="AT454" s="799"/>
      <c r="AU454" s="799"/>
      <c r="AV454" s="799"/>
      <c r="AW454" s="799"/>
      <c r="AX454" s="799"/>
      <c r="AY454" s="799"/>
      <c r="AZ454" s="799"/>
      <c r="BA454" s="799"/>
      <c r="BB454" s="799"/>
      <c r="BC454" s="799"/>
      <c r="BD454" s="799"/>
      <c r="BE454" s="799"/>
      <c r="BF454" s="799"/>
      <c r="BG454" s="799"/>
    </row>
    <row r="455">
      <c r="H455" s="799"/>
      <c r="I455" s="799"/>
      <c r="J455" s="799"/>
      <c r="K455" s="799"/>
      <c r="L455" s="799"/>
      <c r="M455" s="799"/>
      <c r="N455" s="799"/>
      <c r="O455" s="799"/>
      <c r="P455" s="799"/>
      <c r="Q455" s="799"/>
      <c r="R455" s="799"/>
      <c r="S455" s="799"/>
      <c r="T455" s="799"/>
      <c r="U455" s="799"/>
      <c r="V455" s="799"/>
      <c r="W455" s="799"/>
      <c r="X455" s="799"/>
      <c r="Y455" s="799"/>
      <c r="Z455" s="799"/>
      <c r="AA455" s="799"/>
      <c r="AB455" s="799"/>
      <c r="AC455" s="799"/>
      <c r="AD455" s="799"/>
      <c r="AE455" s="799"/>
      <c r="AF455" s="799"/>
      <c r="AG455" s="799"/>
      <c r="AH455" s="799"/>
      <c r="AI455" s="799"/>
      <c r="AJ455" s="799"/>
      <c r="AK455" s="799"/>
      <c r="AL455" s="799"/>
      <c r="AM455" s="799"/>
      <c r="AN455" s="799"/>
      <c r="AO455" s="799"/>
      <c r="AP455" s="799"/>
      <c r="AQ455" s="799"/>
      <c r="AR455" s="799"/>
      <c r="AS455" s="799"/>
      <c r="AT455" s="799"/>
      <c r="AU455" s="799"/>
      <c r="AV455" s="799"/>
      <c r="AW455" s="799"/>
      <c r="AX455" s="799"/>
      <c r="AY455" s="799"/>
      <c r="AZ455" s="799"/>
      <c r="BA455" s="799"/>
      <c r="BB455" s="799"/>
      <c r="BC455" s="799"/>
      <c r="BD455" s="799"/>
      <c r="BE455" s="799"/>
      <c r="BF455" s="799"/>
      <c r="BG455" s="799"/>
    </row>
    <row r="456">
      <c r="H456" s="799"/>
      <c r="I456" s="799"/>
      <c r="J456" s="799"/>
      <c r="K456" s="799"/>
      <c r="L456" s="799"/>
      <c r="M456" s="799"/>
      <c r="N456" s="799"/>
      <c r="O456" s="799"/>
      <c r="P456" s="799"/>
      <c r="Q456" s="799"/>
      <c r="R456" s="799"/>
      <c r="S456" s="799"/>
      <c r="T456" s="799"/>
      <c r="U456" s="799"/>
      <c r="V456" s="799"/>
      <c r="W456" s="799"/>
      <c r="X456" s="799"/>
      <c r="Y456" s="799"/>
      <c r="Z456" s="799"/>
      <c r="AA456" s="799"/>
      <c r="AB456" s="799"/>
      <c r="AC456" s="799"/>
      <c r="AD456" s="799"/>
      <c r="AE456" s="799"/>
      <c r="AF456" s="799"/>
      <c r="AG456" s="799"/>
      <c r="AH456" s="799"/>
      <c r="AI456" s="799"/>
      <c r="AJ456" s="799"/>
      <c r="AK456" s="799"/>
      <c r="AL456" s="799"/>
      <c r="AM456" s="799"/>
      <c r="AN456" s="799"/>
      <c r="AO456" s="799"/>
      <c r="AP456" s="799"/>
      <c r="AQ456" s="799"/>
      <c r="AR456" s="799"/>
      <c r="AS456" s="799"/>
      <c r="AT456" s="799"/>
      <c r="AU456" s="799"/>
      <c r="AV456" s="799"/>
      <c r="AW456" s="799"/>
      <c r="AX456" s="799"/>
      <c r="AY456" s="799"/>
      <c r="AZ456" s="799"/>
      <c r="BA456" s="799"/>
      <c r="BB456" s="799"/>
      <c r="BC456" s="799"/>
      <c r="BD456" s="799"/>
      <c r="BE456" s="799"/>
      <c r="BF456" s="799"/>
      <c r="BG456" s="799"/>
    </row>
    <row r="457">
      <c r="H457" s="799"/>
      <c r="I457" s="799"/>
      <c r="J457" s="799"/>
      <c r="K457" s="799"/>
      <c r="L457" s="799"/>
      <c r="M457" s="799"/>
      <c r="N457" s="799"/>
      <c r="O457" s="799"/>
      <c r="P457" s="799"/>
      <c r="Q457" s="799"/>
      <c r="R457" s="799"/>
      <c r="S457" s="799"/>
      <c r="T457" s="799"/>
      <c r="U457" s="799"/>
      <c r="V457" s="799"/>
      <c r="W457" s="799"/>
      <c r="X457" s="799"/>
      <c r="Y457" s="799"/>
      <c r="Z457" s="799"/>
      <c r="AA457" s="799"/>
      <c r="AB457" s="799"/>
      <c r="AC457" s="799"/>
      <c r="AD457" s="799"/>
      <c r="AE457" s="799"/>
      <c r="AF457" s="799"/>
      <c r="AG457" s="799"/>
      <c r="AH457" s="799"/>
      <c r="AI457" s="799"/>
      <c r="AJ457" s="799"/>
      <c r="AK457" s="799"/>
      <c r="AL457" s="799"/>
      <c r="AM457" s="799"/>
      <c r="AN457" s="799"/>
      <c r="AO457" s="799"/>
      <c r="AP457" s="799"/>
      <c r="AQ457" s="799"/>
      <c r="AR457" s="799"/>
      <c r="AS457" s="799"/>
      <c r="AT457" s="799"/>
      <c r="AU457" s="799"/>
      <c r="AV457" s="799"/>
      <c r="AW457" s="799"/>
      <c r="AX457" s="799"/>
      <c r="AY457" s="799"/>
      <c r="AZ457" s="799"/>
      <c r="BA457" s="799"/>
      <c r="BB457" s="799"/>
      <c r="BC457" s="799"/>
      <c r="BD457" s="799"/>
      <c r="BE457" s="799"/>
      <c r="BF457" s="799"/>
      <c r="BG457" s="799"/>
    </row>
    <row r="458">
      <c r="H458" s="799"/>
      <c r="I458" s="799"/>
      <c r="J458" s="799"/>
      <c r="K458" s="799"/>
      <c r="L458" s="799"/>
      <c r="M458" s="799"/>
      <c r="N458" s="799"/>
      <c r="O458" s="799"/>
      <c r="P458" s="799"/>
      <c r="Q458" s="799"/>
      <c r="R458" s="799"/>
      <c r="S458" s="799"/>
      <c r="T458" s="799"/>
      <c r="U458" s="799"/>
      <c r="V458" s="799"/>
      <c r="W458" s="799"/>
      <c r="X458" s="799"/>
      <c r="Y458" s="799"/>
      <c r="Z458" s="799"/>
      <c r="AA458" s="799"/>
      <c r="AB458" s="799"/>
      <c r="AC458" s="799"/>
      <c r="AD458" s="799"/>
      <c r="AE458" s="799"/>
      <c r="AF458" s="799"/>
      <c r="AG458" s="799"/>
      <c r="AH458" s="799"/>
      <c r="AI458" s="799"/>
      <c r="AJ458" s="799"/>
      <c r="AK458" s="799"/>
      <c r="AL458" s="799"/>
      <c r="AM458" s="799"/>
      <c r="AN458" s="799"/>
      <c r="AO458" s="799"/>
      <c r="AP458" s="799"/>
      <c r="AQ458" s="799"/>
      <c r="AR458" s="799"/>
      <c r="AS458" s="799"/>
      <c r="AT458" s="799"/>
      <c r="AU458" s="799"/>
      <c r="AV458" s="799"/>
      <c r="AW458" s="799"/>
      <c r="AX458" s="799"/>
      <c r="AY458" s="799"/>
      <c r="AZ458" s="799"/>
      <c r="BA458" s="799"/>
      <c r="BB458" s="799"/>
      <c r="BC458" s="799"/>
      <c r="BD458" s="799"/>
      <c r="BE458" s="799"/>
      <c r="BF458" s="799"/>
      <c r="BG458" s="799"/>
    </row>
    <row r="459">
      <c r="H459" s="799"/>
      <c r="I459" s="799"/>
      <c r="J459" s="799"/>
      <c r="K459" s="799"/>
      <c r="L459" s="799"/>
      <c r="M459" s="799"/>
      <c r="N459" s="799"/>
      <c r="O459" s="799"/>
      <c r="P459" s="799"/>
      <c r="Q459" s="799"/>
      <c r="R459" s="799"/>
      <c r="S459" s="799"/>
      <c r="T459" s="799"/>
      <c r="U459" s="799"/>
      <c r="V459" s="799"/>
      <c r="W459" s="799"/>
      <c r="X459" s="799"/>
      <c r="Y459" s="799"/>
      <c r="Z459" s="799"/>
      <c r="AA459" s="799"/>
      <c r="AB459" s="799"/>
      <c r="AC459" s="799"/>
      <c r="AD459" s="799"/>
      <c r="AE459" s="799"/>
      <c r="AF459" s="799"/>
      <c r="AG459" s="799"/>
      <c r="AH459" s="799"/>
      <c r="AI459" s="799"/>
      <c r="AJ459" s="799"/>
      <c r="AK459" s="799"/>
      <c r="AL459" s="799"/>
      <c r="AM459" s="799"/>
      <c r="AN459" s="799"/>
      <c r="AO459" s="799"/>
      <c r="AP459" s="799"/>
      <c r="AQ459" s="799"/>
      <c r="AR459" s="799"/>
      <c r="AS459" s="799"/>
      <c r="AT459" s="799"/>
      <c r="AU459" s="799"/>
      <c r="AV459" s="799"/>
      <c r="AW459" s="799"/>
      <c r="AX459" s="799"/>
      <c r="AY459" s="799"/>
      <c r="AZ459" s="799"/>
      <c r="BA459" s="799"/>
      <c r="BB459" s="799"/>
      <c r="BC459" s="799"/>
      <c r="BD459" s="799"/>
      <c r="BE459" s="799"/>
      <c r="BF459" s="799"/>
      <c r="BG459" s="799"/>
    </row>
    <row r="460">
      <c r="H460" s="799"/>
      <c r="I460" s="799"/>
      <c r="J460" s="799"/>
      <c r="K460" s="799"/>
      <c r="L460" s="799"/>
      <c r="M460" s="799"/>
      <c r="N460" s="799"/>
      <c r="O460" s="799"/>
      <c r="P460" s="799"/>
      <c r="Q460" s="799"/>
      <c r="R460" s="799"/>
      <c r="S460" s="799"/>
      <c r="T460" s="799"/>
      <c r="U460" s="799"/>
      <c r="V460" s="799"/>
      <c r="W460" s="799"/>
      <c r="X460" s="799"/>
      <c r="Y460" s="799"/>
      <c r="Z460" s="799"/>
      <c r="AA460" s="799"/>
      <c r="AB460" s="799"/>
      <c r="AC460" s="799"/>
      <c r="AD460" s="799"/>
      <c r="AE460" s="799"/>
      <c r="AF460" s="799"/>
      <c r="AG460" s="799"/>
      <c r="AH460" s="799"/>
      <c r="AI460" s="799"/>
      <c r="AJ460" s="799"/>
      <c r="AK460" s="799"/>
      <c r="AL460" s="799"/>
      <c r="AM460" s="799"/>
      <c r="AN460" s="799"/>
      <c r="AO460" s="799"/>
      <c r="AP460" s="799"/>
      <c r="AQ460" s="799"/>
      <c r="AR460" s="799"/>
      <c r="AS460" s="799"/>
      <c r="AT460" s="799"/>
      <c r="AU460" s="799"/>
      <c r="AV460" s="799"/>
      <c r="AW460" s="799"/>
      <c r="AX460" s="799"/>
      <c r="AY460" s="799"/>
      <c r="AZ460" s="799"/>
      <c r="BA460" s="799"/>
      <c r="BB460" s="799"/>
      <c r="BC460" s="799"/>
      <c r="BD460" s="799"/>
      <c r="BE460" s="799"/>
      <c r="BF460" s="799"/>
      <c r="BG460" s="799"/>
    </row>
    <row r="461">
      <c r="H461" s="799"/>
      <c r="I461" s="799"/>
      <c r="J461" s="799"/>
      <c r="K461" s="799"/>
      <c r="L461" s="799"/>
      <c r="M461" s="799"/>
      <c r="N461" s="799"/>
      <c r="O461" s="799"/>
      <c r="P461" s="799"/>
      <c r="Q461" s="799"/>
      <c r="R461" s="799"/>
      <c r="S461" s="799"/>
      <c r="T461" s="799"/>
      <c r="U461" s="799"/>
      <c r="V461" s="799"/>
      <c r="W461" s="799"/>
      <c r="X461" s="799"/>
      <c r="Y461" s="799"/>
      <c r="Z461" s="799"/>
      <c r="AA461" s="799"/>
      <c r="AB461" s="799"/>
      <c r="AC461" s="799"/>
      <c r="AD461" s="799"/>
      <c r="AE461" s="799"/>
      <c r="AF461" s="799"/>
      <c r="AG461" s="799"/>
      <c r="AH461" s="799"/>
      <c r="AI461" s="799"/>
      <c r="AJ461" s="799"/>
      <c r="AK461" s="799"/>
      <c r="AL461" s="799"/>
      <c r="AM461" s="799"/>
      <c r="AN461" s="799"/>
      <c r="AO461" s="799"/>
      <c r="AP461" s="799"/>
      <c r="AQ461" s="799"/>
      <c r="AR461" s="799"/>
      <c r="AS461" s="799"/>
      <c r="AT461" s="799"/>
      <c r="AU461" s="799"/>
      <c r="AV461" s="799"/>
      <c r="AW461" s="799"/>
      <c r="AX461" s="799"/>
      <c r="AY461" s="799"/>
      <c r="AZ461" s="799"/>
      <c r="BA461" s="799"/>
      <c r="BB461" s="799"/>
      <c r="BC461" s="799"/>
      <c r="BD461" s="799"/>
      <c r="BE461" s="799"/>
      <c r="BF461" s="799"/>
      <c r="BG461" s="799"/>
    </row>
    <row r="462">
      <c r="H462" s="799"/>
      <c r="I462" s="799"/>
      <c r="J462" s="799"/>
      <c r="K462" s="799"/>
      <c r="L462" s="799"/>
      <c r="M462" s="799"/>
      <c r="N462" s="799"/>
      <c r="O462" s="799"/>
      <c r="P462" s="799"/>
      <c r="Q462" s="799"/>
      <c r="R462" s="799"/>
      <c r="S462" s="799"/>
      <c r="T462" s="799"/>
      <c r="U462" s="799"/>
      <c r="V462" s="799"/>
      <c r="W462" s="799"/>
      <c r="X462" s="799"/>
      <c r="Y462" s="799"/>
      <c r="Z462" s="799"/>
      <c r="AA462" s="799"/>
      <c r="AB462" s="799"/>
      <c r="AC462" s="799"/>
      <c r="AD462" s="799"/>
      <c r="AE462" s="799"/>
      <c r="AF462" s="799"/>
      <c r="AG462" s="799"/>
      <c r="AH462" s="799"/>
      <c r="AI462" s="799"/>
      <c r="AJ462" s="799"/>
      <c r="AK462" s="799"/>
      <c r="AL462" s="799"/>
      <c r="AM462" s="799"/>
      <c r="AN462" s="799"/>
      <c r="AO462" s="799"/>
      <c r="AP462" s="799"/>
      <c r="AQ462" s="799"/>
      <c r="AR462" s="799"/>
      <c r="AS462" s="799"/>
      <c r="AT462" s="799"/>
      <c r="AU462" s="799"/>
      <c r="AV462" s="799"/>
      <c r="AW462" s="799"/>
      <c r="AX462" s="799"/>
      <c r="AY462" s="799"/>
      <c r="AZ462" s="799"/>
      <c r="BA462" s="799"/>
      <c r="BB462" s="799"/>
      <c r="BC462" s="799"/>
      <c r="BD462" s="799"/>
      <c r="BE462" s="799"/>
      <c r="BF462" s="799"/>
      <c r="BG462" s="799"/>
    </row>
    <row r="463">
      <c r="H463" s="799"/>
      <c r="I463" s="799"/>
      <c r="J463" s="799"/>
      <c r="K463" s="799"/>
      <c r="L463" s="799"/>
      <c r="M463" s="799"/>
      <c r="N463" s="799"/>
      <c r="O463" s="799"/>
      <c r="P463" s="799"/>
      <c r="Q463" s="799"/>
      <c r="R463" s="799"/>
      <c r="S463" s="799"/>
      <c r="T463" s="799"/>
      <c r="U463" s="799"/>
      <c r="V463" s="799"/>
      <c r="W463" s="799"/>
      <c r="X463" s="799"/>
      <c r="Y463" s="799"/>
      <c r="Z463" s="799"/>
      <c r="AA463" s="799"/>
      <c r="AB463" s="799"/>
      <c r="AC463" s="799"/>
      <c r="AD463" s="799"/>
      <c r="AE463" s="799"/>
      <c r="AF463" s="799"/>
      <c r="AG463" s="799"/>
      <c r="AH463" s="799"/>
      <c r="AI463" s="799"/>
      <c r="AJ463" s="799"/>
      <c r="AK463" s="799"/>
      <c r="AL463" s="799"/>
      <c r="AM463" s="799"/>
      <c r="AN463" s="799"/>
      <c r="AO463" s="799"/>
      <c r="AP463" s="799"/>
      <c r="AQ463" s="799"/>
      <c r="AR463" s="799"/>
      <c r="AS463" s="799"/>
      <c r="AT463" s="799"/>
      <c r="AU463" s="799"/>
      <c r="AV463" s="799"/>
      <c r="AW463" s="799"/>
      <c r="AX463" s="799"/>
      <c r="AY463" s="799"/>
      <c r="AZ463" s="799"/>
      <c r="BA463" s="799"/>
      <c r="BB463" s="799"/>
      <c r="BC463" s="799"/>
      <c r="BD463" s="799"/>
      <c r="BE463" s="799"/>
      <c r="BF463" s="799"/>
      <c r="BG463" s="799"/>
    </row>
    <row r="464">
      <c r="H464" s="799"/>
      <c r="I464" s="799"/>
      <c r="J464" s="799"/>
      <c r="K464" s="799"/>
      <c r="L464" s="799"/>
      <c r="M464" s="799"/>
      <c r="N464" s="799"/>
      <c r="O464" s="799"/>
      <c r="P464" s="799"/>
      <c r="Q464" s="799"/>
      <c r="R464" s="799"/>
      <c r="S464" s="799"/>
      <c r="T464" s="799"/>
      <c r="U464" s="799"/>
      <c r="V464" s="799"/>
      <c r="W464" s="799"/>
      <c r="X464" s="799"/>
      <c r="Y464" s="799"/>
      <c r="Z464" s="799"/>
      <c r="AA464" s="799"/>
      <c r="AB464" s="799"/>
      <c r="AC464" s="799"/>
      <c r="AD464" s="799"/>
      <c r="AE464" s="799"/>
      <c r="AF464" s="799"/>
      <c r="AG464" s="799"/>
      <c r="AH464" s="799"/>
      <c r="AI464" s="799"/>
      <c r="AJ464" s="799"/>
      <c r="AK464" s="799"/>
      <c r="AL464" s="799"/>
      <c r="AM464" s="799"/>
      <c r="AN464" s="799"/>
      <c r="AO464" s="799"/>
      <c r="AP464" s="799"/>
      <c r="AQ464" s="799"/>
      <c r="AR464" s="799"/>
      <c r="AS464" s="799"/>
      <c r="AT464" s="799"/>
      <c r="AU464" s="799"/>
      <c r="AV464" s="799"/>
      <c r="AW464" s="799"/>
      <c r="AX464" s="799"/>
      <c r="AY464" s="799"/>
      <c r="AZ464" s="799"/>
      <c r="BA464" s="799"/>
      <c r="BB464" s="799"/>
      <c r="BC464" s="799"/>
      <c r="BD464" s="799"/>
      <c r="BE464" s="799"/>
      <c r="BF464" s="799"/>
      <c r="BG464" s="799"/>
    </row>
    <row r="465">
      <c r="H465" s="799"/>
      <c r="I465" s="799"/>
      <c r="J465" s="799"/>
      <c r="K465" s="799"/>
      <c r="L465" s="799"/>
      <c r="M465" s="799"/>
      <c r="N465" s="799"/>
      <c r="O465" s="799"/>
      <c r="P465" s="799"/>
      <c r="Q465" s="799"/>
      <c r="R465" s="799"/>
      <c r="S465" s="799"/>
      <c r="T465" s="799"/>
      <c r="U465" s="799"/>
      <c r="V465" s="799"/>
      <c r="W465" s="799"/>
      <c r="X465" s="799"/>
      <c r="Y465" s="799"/>
      <c r="Z465" s="799"/>
      <c r="AA465" s="799"/>
      <c r="AB465" s="799"/>
      <c r="AC465" s="799"/>
      <c r="AD465" s="799"/>
      <c r="AE465" s="799"/>
      <c r="AF465" s="799"/>
      <c r="AG465" s="799"/>
      <c r="AH465" s="799"/>
      <c r="AI465" s="799"/>
      <c r="AJ465" s="799"/>
      <c r="AK465" s="799"/>
      <c r="AL465" s="799"/>
      <c r="AM465" s="799"/>
      <c r="AN465" s="799"/>
      <c r="AO465" s="799"/>
      <c r="AP465" s="799"/>
      <c r="AQ465" s="799"/>
      <c r="AR465" s="799"/>
      <c r="AS465" s="799"/>
      <c r="AT465" s="799"/>
      <c r="AU465" s="799"/>
      <c r="AV465" s="799"/>
      <c r="AW465" s="799"/>
      <c r="AX465" s="799"/>
      <c r="AY465" s="799"/>
      <c r="AZ465" s="799"/>
      <c r="BA465" s="799"/>
      <c r="BB465" s="799"/>
      <c r="BC465" s="799"/>
      <c r="BD465" s="799"/>
      <c r="BE465" s="799"/>
      <c r="BF465" s="799"/>
      <c r="BG465" s="799"/>
    </row>
    <row r="466">
      <c r="H466" s="799"/>
      <c r="I466" s="799"/>
      <c r="J466" s="799"/>
      <c r="K466" s="799"/>
      <c r="L466" s="799"/>
      <c r="M466" s="799"/>
      <c r="N466" s="799"/>
      <c r="O466" s="799"/>
      <c r="P466" s="799"/>
      <c r="Q466" s="799"/>
      <c r="R466" s="799"/>
      <c r="S466" s="799"/>
      <c r="T466" s="799"/>
      <c r="U466" s="799"/>
      <c r="V466" s="799"/>
      <c r="W466" s="799"/>
      <c r="X466" s="799"/>
      <c r="Y466" s="799"/>
      <c r="Z466" s="799"/>
      <c r="AA466" s="799"/>
      <c r="AB466" s="799"/>
      <c r="AC466" s="799"/>
      <c r="AD466" s="799"/>
      <c r="AE466" s="799"/>
      <c r="AF466" s="799"/>
      <c r="AG466" s="799"/>
      <c r="AH466" s="799"/>
      <c r="AI466" s="799"/>
      <c r="AJ466" s="799"/>
      <c r="AK466" s="799"/>
      <c r="AL466" s="799"/>
      <c r="AM466" s="799"/>
      <c r="AN466" s="799"/>
      <c r="AO466" s="799"/>
      <c r="AP466" s="799"/>
      <c r="AQ466" s="799"/>
      <c r="AR466" s="799"/>
      <c r="AS466" s="799"/>
      <c r="AT466" s="799"/>
      <c r="AU466" s="799"/>
      <c r="AV466" s="799"/>
      <c r="AW466" s="799"/>
      <c r="AX466" s="799"/>
      <c r="AY466" s="799"/>
      <c r="AZ466" s="799"/>
      <c r="BA466" s="799"/>
      <c r="BB466" s="799"/>
      <c r="BC466" s="799"/>
      <c r="BD466" s="799"/>
      <c r="BE466" s="799"/>
      <c r="BF466" s="799"/>
      <c r="BG466" s="799"/>
    </row>
    <row r="467">
      <c r="H467" s="799"/>
      <c r="I467" s="799"/>
      <c r="J467" s="799"/>
      <c r="K467" s="799"/>
      <c r="L467" s="799"/>
      <c r="M467" s="799"/>
      <c r="N467" s="799"/>
      <c r="O467" s="799"/>
      <c r="P467" s="799"/>
      <c r="Q467" s="799"/>
      <c r="R467" s="799"/>
      <c r="S467" s="799"/>
      <c r="T467" s="799"/>
      <c r="U467" s="799"/>
      <c r="V467" s="799"/>
      <c r="W467" s="799"/>
      <c r="X467" s="799"/>
      <c r="Y467" s="799"/>
      <c r="Z467" s="799"/>
      <c r="AA467" s="799"/>
      <c r="AB467" s="799"/>
      <c r="AC467" s="799"/>
      <c r="AD467" s="799"/>
      <c r="AE467" s="799"/>
      <c r="AF467" s="799"/>
      <c r="AG467" s="799"/>
      <c r="AH467" s="799"/>
      <c r="AI467" s="799"/>
      <c r="AJ467" s="799"/>
      <c r="AK467" s="799"/>
      <c r="AL467" s="799"/>
      <c r="AM467" s="799"/>
      <c r="AN467" s="799"/>
      <c r="AO467" s="799"/>
      <c r="AP467" s="799"/>
      <c r="AQ467" s="799"/>
      <c r="AR467" s="799"/>
      <c r="AS467" s="799"/>
      <c r="AT467" s="799"/>
      <c r="AU467" s="799"/>
      <c r="AV467" s="799"/>
      <c r="AW467" s="799"/>
      <c r="AX467" s="799"/>
      <c r="AY467" s="799"/>
      <c r="AZ467" s="799"/>
      <c r="BA467" s="799"/>
      <c r="BB467" s="799"/>
      <c r="BC467" s="799"/>
      <c r="BD467" s="799"/>
      <c r="BE467" s="799"/>
      <c r="BF467" s="799"/>
      <c r="BG467" s="799"/>
    </row>
    <row r="468">
      <c r="H468" s="799"/>
      <c r="I468" s="799"/>
      <c r="J468" s="799"/>
      <c r="K468" s="799"/>
      <c r="L468" s="799"/>
      <c r="M468" s="799"/>
      <c r="N468" s="799"/>
      <c r="O468" s="799"/>
      <c r="P468" s="799"/>
      <c r="Q468" s="799"/>
      <c r="R468" s="799"/>
      <c r="S468" s="799"/>
      <c r="T468" s="799"/>
      <c r="U468" s="799"/>
      <c r="V468" s="799"/>
      <c r="W468" s="799"/>
      <c r="X468" s="799"/>
      <c r="Y468" s="799"/>
      <c r="Z468" s="799"/>
      <c r="AA468" s="799"/>
      <c r="AB468" s="799"/>
      <c r="AC468" s="799"/>
      <c r="AD468" s="799"/>
      <c r="AE468" s="799"/>
      <c r="AF468" s="799"/>
      <c r="AG468" s="799"/>
      <c r="AH468" s="799"/>
      <c r="AI468" s="799"/>
      <c r="AJ468" s="799"/>
      <c r="AK468" s="799"/>
      <c r="AL468" s="799"/>
      <c r="AM468" s="799"/>
      <c r="AN468" s="799"/>
      <c r="AO468" s="799"/>
      <c r="AP468" s="799"/>
      <c r="AQ468" s="799"/>
      <c r="AR468" s="799"/>
      <c r="AS468" s="799"/>
      <c r="AT468" s="799"/>
      <c r="AU468" s="799"/>
      <c r="AV468" s="799"/>
      <c r="AW468" s="799"/>
      <c r="AX468" s="799"/>
      <c r="AY468" s="799"/>
      <c r="AZ468" s="799"/>
      <c r="BA468" s="799"/>
      <c r="BB468" s="799"/>
      <c r="BC468" s="799"/>
      <c r="BD468" s="799"/>
      <c r="BE468" s="799"/>
      <c r="BF468" s="799"/>
      <c r="BG468" s="799"/>
    </row>
    <row r="469">
      <c r="H469" s="799"/>
      <c r="I469" s="799"/>
      <c r="J469" s="799"/>
      <c r="K469" s="799"/>
      <c r="L469" s="799"/>
      <c r="M469" s="799"/>
      <c r="N469" s="799"/>
      <c r="O469" s="799"/>
      <c r="P469" s="799"/>
      <c r="Q469" s="799"/>
      <c r="R469" s="799"/>
      <c r="S469" s="799"/>
      <c r="T469" s="799"/>
      <c r="U469" s="799"/>
      <c r="V469" s="799"/>
      <c r="W469" s="799"/>
      <c r="X469" s="799"/>
      <c r="Y469" s="799"/>
      <c r="Z469" s="799"/>
      <c r="AA469" s="799"/>
      <c r="AB469" s="799"/>
      <c r="AC469" s="799"/>
      <c r="AD469" s="799"/>
      <c r="AE469" s="799"/>
      <c r="AF469" s="799"/>
      <c r="AG469" s="799"/>
      <c r="AH469" s="799"/>
      <c r="AI469" s="799"/>
      <c r="AJ469" s="799"/>
      <c r="AK469" s="799"/>
      <c r="AL469" s="799"/>
      <c r="AM469" s="799"/>
      <c r="AN469" s="799"/>
      <c r="AO469" s="799"/>
      <c r="AP469" s="799"/>
      <c r="AQ469" s="799"/>
      <c r="AR469" s="799"/>
      <c r="AS469" s="799"/>
      <c r="AT469" s="799"/>
      <c r="AU469" s="799"/>
      <c r="AV469" s="799"/>
      <c r="AW469" s="799"/>
      <c r="AX469" s="799"/>
      <c r="AY469" s="799"/>
      <c r="AZ469" s="799"/>
      <c r="BA469" s="799"/>
      <c r="BB469" s="799"/>
      <c r="BC469" s="799"/>
      <c r="BD469" s="799"/>
      <c r="BE469" s="799"/>
      <c r="BF469" s="799"/>
      <c r="BG469" s="799"/>
    </row>
    <row r="470">
      <c r="H470" s="799"/>
      <c r="I470" s="799"/>
      <c r="J470" s="799"/>
      <c r="K470" s="799"/>
      <c r="L470" s="799"/>
      <c r="M470" s="799"/>
      <c r="N470" s="799"/>
      <c r="O470" s="799"/>
      <c r="P470" s="799"/>
      <c r="Q470" s="799"/>
      <c r="R470" s="799"/>
      <c r="S470" s="799"/>
      <c r="T470" s="799"/>
      <c r="U470" s="799"/>
      <c r="V470" s="799"/>
      <c r="W470" s="799"/>
      <c r="X470" s="799"/>
      <c r="Y470" s="799"/>
      <c r="Z470" s="799"/>
      <c r="AA470" s="799"/>
      <c r="AB470" s="799"/>
      <c r="AC470" s="799"/>
      <c r="AD470" s="799"/>
      <c r="AE470" s="799"/>
      <c r="AF470" s="799"/>
      <c r="AG470" s="799"/>
      <c r="AH470" s="799"/>
      <c r="AI470" s="799"/>
      <c r="AJ470" s="799"/>
      <c r="AK470" s="799"/>
      <c r="AL470" s="799"/>
      <c r="AM470" s="799"/>
      <c r="AN470" s="799"/>
      <c r="AO470" s="799"/>
      <c r="AP470" s="799"/>
      <c r="AQ470" s="799"/>
      <c r="AR470" s="799"/>
      <c r="AS470" s="799"/>
      <c r="AT470" s="799"/>
      <c r="AU470" s="799"/>
      <c r="AV470" s="799"/>
      <c r="AW470" s="799"/>
      <c r="AX470" s="799"/>
      <c r="AY470" s="799"/>
      <c r="AZ470" s="799"/>
      <c r="BA470" s="799"/>
      <c r="BB470" s="799"/>
      <c r="BC470" s="799"/>
      <c r="BD470" s="799"/>
      <c r="BE470" s="799"/>
      <c r="BF470" s="799"/>
      <c r="BG470" s="799"/>
    </row>
    <row r="471">
      <c r="H471" s="799"/>
      <c r="I471" s="799"/>
      <c r="J471" s="799"/>
      <c r="K471" s="799"/>
      <c r="L471" s="799"/>
      <c r="M471" s="799"/>
      <c r="N471" s="799"/>
      <c r="O471" s="799"/>
      <c r="P471" s="799"/>
      <c r="Q471" s="799"/>
      <c r="R471" s="799"/>
      <c r="S471" s="799"/>
      <c r="T471" s="799"/>
      <c r="U471" s="799"/>
      <c r="V471" s="799"/>
      <c r="W471" s="799"/>
      <c r="X471" s="799"/>
      <c r="Y471" s="799"/>
      <c r="Z471" s="799"/>
      <c r="AA471" s="799"/>
      <c r="AB471" s="799"/>
      <c r="AC471" s="799"/>
      <c r="AD471" s="799"/>
      <c r="AE471" s="799"/>
      <c r="AF471" s="799"/>
      <c r="AG471" s="799"/>
      <c r="AH471" s="799"/>
      <c r="AI471" s="799"/>
      <c r="AJ471" s="799"/>
      <c r="AK471" s="799"/>
      <c r="AL471" s="799"/>
      <c r="AM471" s="799"/>
      <c r="AN471" s="799"/>
      <c r="AO471" s="799"/>
      <c r="AP471" s="799"/>
      <c r="AQ471" s="799"/>
      <c r="AR471" s="799"/>
      <c r="AS471" s="799"/>
      <c r="AT471" s="799"/>
      <c r="AU471" s="799"/>
      <c r="AV471" s="799"/>
      <c r="AW471" s="799"/>
      <c r="AX471" s="799"/>
      <c r="AY471" s="799"/>
      <c r="AZ471" s="799"/>
      <c r="BA471" s="799"/>
      <c r="BB471" s="799"/>
      <c r="BC471" s="799"/>
      <c r="BD471" s="799"/>
      <c r="BE471" s="799"/>
      <c r="BF471" s="799"/>
      <c r="BG471" s="799"/>
    </row>
    <row r="472">
      <c r="H472" s="799"/>
      <c r="I472" s="799"/>
      <c r="J472" s="799"/>
      <c r="K472" s="799"/>
      <c r="L472" s="799"/>
      <c r="M472" s="799"/>
      <c r="N472" s="799"/>
      <c r="O472" s="799"/>
      <c r="P472" s="799"/>
      <c r="Q472" s="799"/>
      <c r="R472" s="799"/>
      <c r="S472" s="799"/>
      <c r="T472" s="799"/>
      <c r="U472" s="799"/>
      <c r="V472" s="799"/>
      <c r="W472" s="799"/>
      <c r="X472" s="799"/>
      <c r="Y472" s="799"/>
      <c r="Z472" s="799"/>
      <c r="AA472" s="799"/>
      <c r="AB472" s="799"/>
      <c r="AC472" s="799"/>
      <c r="AD472" s="799"/>
      <c r="AE472" s="799"/>
      <c r="AF472" s="799"/>
      <c r="AG472" s="799"/>
      <c r="AH472" s="799"/>
      <c r="AI472" s="799"/>
      <c r="AJ472" s="799"/>
      <c r="AK472" s="799"/>
      <c r="AL472" s="799"/>
      <c r="AM472" s="799"/>
      <c r="AN472" s="799"/>
      <c r="AO472" s="799"/>
      <c r="AP472" s="799"/>
      <c r="AQ472" s="799"/>
      <c r="AR472" s="799"/>
      <c r="AS472" s="799"/>
      <c r="AT472" s="799"/>
      <c r="AU472" s="799"/>
      <c r="AV472" s="799"/>
      <c r="AW472" s="799"/>
      <c r="AX472" s="799"/>
      <c r="AY472" s="799"/>
      <c r="AZ472" s="799"/>
      <c r="BA472" s="799"/>
      <c r="BB472" s="799"/>
      <c r="BC472" s="799"/>
      <c r="BD472" s="799"/>
      <c r="BE472" s="799"/>
      <c r="BF472" s="799"/>
      <c r="BG472" s="799"/>
    </row>
    <row r="473">
      <c r="H473" s="799"/>
      <c r="I473" s="799"/>
      <c r="J473" s="799"/>
      <c r="K473" s="799"/>
      <c r="L473" s="799"/>
      <c r="M473" s="799"/>
      <c r="N473" s="799"/>
      <c r="O473" s="799"/>
      <c r="P473" s="799"/>
      <c r="Q473" s="799"/>
      <c r="R473" s="799"/>
      <c r="S473" s="799"/>
      <c r="T473" s="799"/>
      <c r="U473" s="799"/>
      <c r="V473" s="799"/>
      <c r="W473" s="799"/>
      <c r="X473" s="799"/>
      <c r="Y473" s="799"/>
      <c r="Z473" s="799"/>
      <c r="AA473" s="799"/>
      <c r="AB473" s="799"/>
      <c r="AC473" s="799"/>
      <c r="AD473" s="799"/>
      <c r="AE473" s="799"/>
      <c r="AF473" s="799"/>
      <c r="AG473" s="799"/>
      <c r="AH473" s="799"/>
      <c r="AI473" s="799"/>
      <c r="AJ473" s="799"/>
      <c r="AK473" s="799"/>
      <c r="AL473" s="799"/>
      <c r="AM473" s="799"/>
      <c r="AN473" s="799"/>
      <c r="AO473" s="799"/>
      <c r="AP473" s="799"/>
      <c r="AQ473" s="799"/>
      <c r="AR473" s="799"/>
      <c r="AS473" s="799"/>
      <c r="AT473" s="799"/>
      <c r="AU473" s="799"/>
      <c r="AV473" s="799"/>
      <c r="AW473" s="799"/>
      <c r="AX473" s="799"/>
      <c r="AY473" s="799"/>
      <c r="AZ473" s="799"/>
      <c r="BA473" s="799"/>
      <c r="BB473" s="799"/>
      <c r="BC473" s="799"/>
      <c r="BD473" s="799"/>
      <c r="BE473" s="799"/>
      <c r="BF473" s="799"/>
      <c r="BG473" s="799"/>
    </row>
    <row r="474">
      <c r="H474" s="799"/>
      <c r="I474" s="799"/>
      <c r="J474" s="799"/>
      <c r="K474" s="799"/>
      <c r="L474" s="799"/>
      <c r="M474" s="799"/>
      <c r="N474" s="799"/>
      <c r="O474" s="799"/>
      <c r="P474" s="799"/>
      <c r="Q474" s="799"/>
      <c r="R474" s="799"/>
      <c r="S474" s="799"/>
      <c r="T474" s="799"/>
      <c r="U474" s="799"/>
      <c r="V474" s="799"/>
      <c r="W474" s="799"/>
      <c r="X474" s="799"/>
      <c r="Y474" s="799"/>
      <c r="Z474" s="799"/>
      <c r="AA474" s="799"/>
      <c r="AB474" s="799"/>
      <c r="AC474" s="799"/>
      <c r="AD474" s="799"/>
      <c r="AE474" s="799"/>
      <c r="AF474" s="799"/>
      <c r="AG474" s="799"/>
      <c r="AH474" s="799"/>
      <c r="AI474" s="799"/>
      <c r="AJ474" s="799"/>
      <c r="AK474" s="799"/>
      <c r="AL474" s="799"/>
      <c r="AM474" s="799"/>
      <c r="AN474" s="799"/>
      <c r="AO474" s="799"/>
      <c r="AP474" s="799"/>
      <c r="AQ474" s="799"/>
      <c r="AR474" s="799"/>
      <c r="AS474" s="799"/>
      <c r="AT474" s="799"/>
      <c r="AU474" s="799"/>
      <c r="AV474" s="799"/>
      <c r="AW474" s="799"/>
      <c r="AX474" s="799"/>
      <c r="AY474" s="799"/>
      <c r="AZ474" s="799"/>
      <c r="BA474" s="799"/>
      <c r="BB474" s="799"/>
      <c r="BC474" s="799"/>
      <c r="BD474" s="799"/>
      <c r="BE474" s="799"/>
      <c r="BF474" s="799"/>
      <c r="BG474" s="799"/>
    </row>
    <row r="475">
      <c r="H475" s="799"/>
      <c r="I475" s="799"/>
      <c r="J475" s="799"/>
      <c r="K475" s="799"/>
      <c r="L475" s="799"/>
      <c r="M475" s="799"/>
      <c r="N475" s="799"/>
      <c r="O475" s="799"/>
      <c r="P475" s="799"/>
      <c r="Q475" s="799"/>
      <c r="R475" s="799"/>
      <c r="S475" s="799"/>
      <c r="T475" s="799"/>
      <c r="U475" s="799"/>
      <c r="V475" s="799"/>
      <c r="W475" s="799"/>
      <c r="X475" s="799"/>
      <c r="Y475" s="799"/>
      <c r="Z475" s="799"/>
      <c r="AA475" s="799"/>
      <c r="AB475" s="799"/>
      <c r="AC475" s="799"/>
      <c r="AD475" s="799"/>
      <c r="AE475" s="799"/>
      <c r="AF475" s="799"/>
      <c r="AG475" s="799"/>
      <c r="AH475" s="799"/>
      <c r="AI475" s="799"/>
      <c r="AJ475" s="799"/>
      <c r="AK475" s="799"/>
      <c r="AL475" s="799"/>
      <c r="AM475" s="799"/>
      <c r="AN475" s="799"/>
      <c r="AO475" s="799"/>
      <c r="AP475" s="799"/>
      <c r="AQ475" s="799"/>
      <c r="AR475" s="799"/>
      <c r="AS475" s="799"/>
      <c r="AT475" s="799"/>
      <c r="AU475" s="799"/>
      <c r="AV475" s="799"/>
      <c r="AW475" s="799"/>
      <c r="AX475" s="799"/>
      <c r="AY475" s="799"/>
      <c r="AZ475" s="799"/>
      <c r="BA475" s="799"/>
      <c r="BB475" s="799"/>
      <c r="BC475" s="799"/>
      <c r="BD475" s="799"/>
      <c r="BE475" s="799"/>
      <c r="BF475" s="799"/>
      <c r="BG475" s="799"/>
    </row>
    <row r="476">
      <c r="H476" s="799"/>
      <c r="I476" s="799"/>
      <c r="J476" s="799"/>
      <c r="K476" s="799"/>
      <c r="L476" s="799"/>
      <c r="M476" s="799"/>
      <c r="N476" s="799"/>
      <c r="O476" s="799"/>
      <c r="P476" s="799"/>
      <c r="Q476" s="799"/>
      <c r="R476" s="799"/>
      <c r="S476" s="799"/>
      <c r="T476" s="799"/>
      <c r="U476" s="799"/>
      <c r="V476" s="799"/>
      <c r="W476" s="799"/>
      <c r="X476" s="799"/>
      <c r="Y476" s="799"/>
      <c r="Z476" s="799"/>
      <c r="AA476" s="799"/>
      <c r="AB476" s="799"/>
      <c r="AC476" s="799"/>
      <c r="AD476" s="799"/>
      <c r="AE476" s="799"/>
      <c r="AF476" s="799"/>
      <c r="AG476" s="799"/>
      <c r="AH476" s="799"/>
      <c r="AI476" s="799"/>
      <c r="AJ476" s="799"/>
      <c r="AK476" s="799"/>
      <c r="AL476" s="799"/>
      <c r="AM476" s="799"/>
      <c r="AN476" s="799"/>
      <c r="AO476" s="799"/>
      <c r="AP476" s="799"/>
      <c r="AQ476" s="799"/>
      <c r="AR476" s="799"/>
      <c r="AS476" s="799"/>
      <c r="AT476" s="799"/>
      <c r="AU476" s="799"/>
      <c r="AV476" s="799"/>
      <c r="AW476" s="799"/>
      <c r="AX476" s="799"/>
      <c r="AY476" s="799"/>
      <c r="AZ476" s="799"/>
      <c r="BA476" s="799"/>
      <c r="BB476" s="799"/>
      <c r="BC476" s="799"/>
      <c r="BD476" s="799"/>
      <c r="BE476" s="799"/>
      <c r="BF476" s="799"/>
      <c r="BG476" s="799"/>
    </row>
    <row r="477">
      <c r="H477" s="799"/>
      <c r="I477" s="799"/>
      <c r="J477" s="799"/>
      <c r="K477" s="799"/>
      <c r="L477" s="799"/>
      <c r="M477" s="799"/>
      <c r="N477" s="799"/>
      <c r="O477" s="799"/>
      <c r="P477" s="799"/>
      <c r="Q477" s="799"/>
      <c r="R477" s="799"/>
      <c r="S477" s="799"/>
      <c r="T477" s="799"/>
      <c r="U477" s="799"/>
      <c r="V477" s="799"/>
      <c r="W477" s="799"/>
      <c r="X477" s="799"/>
      <c r="Y477" s="799"/>
      <c r="Z477" s="799"/>
      <c r="AA477" s="799"/>
      <c r="AB477" s="799"/>
      <c r="AC477" s="799"/>
      <c r="AD477" s="799"/>
      <c r="AE477" s="799"/>
      <c r="AF477" s="799"/>
      <c r="AG477" s="799"/>
      <c r="AH477" s="799"/>
      <c r="AI477" s="799"/>
      <c r="AJ477" s="799"/>
      <c r="AK477" s="799"/>
      <c r="AL477" s="799"/>
      <c r="AM477" s="799"/>
      <c r="AN477" s="799"/>
      <c r="AO477" s="799"/>
      <c r="AP477" s="799"/>
      <c r="AQ477" s="799"/>
      <c r="AR477" s="799"/>
      <c r="AS477" s="799"/>
      <c r="AT477" s="799"/>
      <c r="AU477" s="799"/>
      <c r="AV477" s="799"/>
      <c r="AW477" s="799"/>
      <c r="AX477" s="799"/>
      <c r="AY477" s="799"/>
      <c r="AZ477" s="799"/>
      <c r="BA477" s="799"/>
      <c r="BB477" s="799"/>
      <c r="BC477" s="799"/>
      <c r="BD477" s="799"/>
      <c r="BE477" s="799"/>
      <c r="BF477" s="799"/>
      <c r="BG477" s="799"/>
    </row>
    <row r="478">
      <c r="H478" s="799"/>
      <c r="I478" s="799"/>
      <c r="J478" s="799"/>
      <c r="K478" s="799"/>
      <c r="L478" s="799"/>
      <c r="M478" s="799"/>
      <c r="N478" s="799"/>
      <c r="O478" s="799"/>
      <c r="P478" s="799"/>
      <c r="Q478" s="799"/>
      <c r="R478" s="799"/>
      <c r="S478" s="799"/>
      <c r="T478" s="799"/>
      <c r="U478" s="799"/>
      <c r="V478" s="799"/>
      <c r="W478" s="799"/>
      <c r="X478" s="799"/>
      <c r="Y478" s="799"/>
      <c r="Z478" s="799"/>
      <c r="AA478" s="799"/>
      <c r="AB478" s="799"/>
      <c r="AC478" s="799"/>
      <c r="AD478" s="799"/>
      <c r="AE478" s="799"/>
      <c r="AF478" s="799"/>
      <c r="AG478" s="799"/>
      <c r="AH478" s="799"/>
      <c r="AI478" s="799"/>
      <c r="AJ478" s="799"/>
      <c r="AK478" s="799"/>
      <c r="AL478" s="799"/>
      <c r="AM478" s="799"/>
      <c r="AN478" s="799"/>
      <c r="AO478" s="799"/>
      <c r="AP478" s="799"/>
      <c r="AQ478" s="799"/>
      <c r="AR478" s="799"/>
      <c r="AS478" s="799"/>
      <c r="AT478" s="799"/>
      <c r="AU478" s="799"/>
      <c r="AV478" s="799"/>
      <c r="AW478" s="799"/>
      <c r="AX478" s="799"/>
      <c r="AY478" s="799"/>
      <c r="AZ478" s="799"/>
      <c r="BA478" s="799"/>
      <c r="BB478" s="799"/>
      <c r="BC478" s="799"/>
      <c r="BD478" s="799"/>
      <c r="BE478" s="799"/>
      <c r="BF478" s="799"/>
      <c r="BG478" s="799"/>
    </row>
    <row r="479">
      <c r="H479" s="799"/>
      <c r="I479" s="799"/>
      <c r="J479" s="799"/>
      <c r="K479" s="799"/>
      <c r="L479" s="799"/>
      <c r="M479" s="799"/>
      <c r="N479" s="799"/>
      <c r="O479" s="799"/>
      <c r="P479" s="799"/>
      <c r="Q479" s="799"/>
      <c r="R479" s="799"/>
      <c r="S479" s="799"/>
      <c r="T479" s="799"/>
      <c r="U479" s="799"/>
      <c r="V479" s="799"/>
      <c r="W479" s="799"/>
      <c r="X479" s="799"/>
      <c r="Y479" s="799"/>
      <c r="Z479" s="799"/>
      <c r="AA479" s="799"/>
      <c r="AB479" s="799"/>
      <c r="AC479" s="799"/>
      <c r="AD479" s="799"/>
      <c r="AE479" s="799"/>
      <c r="AF479" s="799"/>
      <c r="AG479" s="799"/>
      <c r="AH479" s="799"/>
      <c r="AI479" s="799"/>
      <c r="AJ479" s="799"/>
      <c r="AK479" s="799"/>
      <c r="AL479" s="799"/>
      <c r="AM479" s="799"/>
      <c r="AN479" s="799"/>
      <c r="AO479" s="799"/>
      <c r="AP479" s="799"/>
      <c r="AQ479" s="799"/>
      <c r="AR479" s="799"/>
      <c r="AS479" s="799"/>
      <c r="AT479" s="799"/>
      <c r="AU479" s="799"/>
      <c r="AV479" s="799"/>
      <c r="AW479" s="799"/>
      <c r="AX479" s="799"/>
      <c r="AY479" s="799"/>
      <c r="AZ479" s="799"/>
      <c r="BA479" s="799"/>
      <c r="BB479" s="799"/>
      <c r="BC479" s="799"/>
      <c r="BD479" s="799"/>
      <c r="BE479" s="799"/>
      <c r="BF479" s="799"/>
      <c r="BG479" s="799"/>
    </row>
    <row r="480">
      <c r="H480" s="799"/>
      <c r="I480" s="799"/>
      <c r="J480" s="799"/>
      <c r="K480" s="799"/>
      <c r="L480" s="799"/>
      <c r="M480" s="799"/>
      <c r="N480" s="799"/>
      <c r="O480" s="799"/>
      <c r="P480" s="799"/>
      <c r="Q480" s="799"/>
      <c r="R480" s="799"/>
      <c r="S480" s="799"/>
      <c r="T480" s="799"/>
      <c r="U480" s="799"/>
      <c r="V480" s="799"/>
      <c r="W480" s="799"/>
      <c r="X480" s="799"/>
      <c r="Y480" s="799"/>
      <c r="Z480" s="799"/>
      <c r="AA480" s="799"/>
      <c r="AB480" s="799"/>
      <c r="AC480" s="799"/>
      <c r="AD480" s="799"/>
      <c r="AE480" s="799"/>
      <c r="AF480" s="799"/>
      <c r="AG480" s="799"/>
      <c r="AH480" s="799"/>
      <c r="AI480" s="799"/>
      <c r="AJ480" s="799"/>
      <c r="AK480" s="799"/>
      <c r="AL480" s="799"/>
      <c r="AM480" s="799"/>
      <c r="AN480" s="799"/>
      <c r="AO480" s="799"/>
      <c r="AP480" s="799"/>
      <c r="AQ480" s="799"/>
      <c r="AR480" s="799"/>
      <c r="AS480" s="799"/>
      <c r="AT480" s="799"/>
      <c r="AU480" s="799"/>
      <c r="AV480" s="799"/>
      <c r="AW480" s="799"/>
      <c r="AX480" s="799"/>
      <c r="AY480" s="799"/>
      <c r="AZ480" s="799"/>
      <c r="BA480" s="799"/>
      <c r="BB480" s="799"/>
      <c r="BC480" s="799"/>
      <c r="BD480" s="799"/>
      <c r="BE480" s="799"/>
      <c r="BF480" s="799"/>
      <c r="BG480" s="799"/>
    </row>
    <row r="481">
      <c r="H481" s="799"/>
      <c r="I481" s="799"/>
      <c r="J481" s="799"/>
      <c r="K481" s="799"/>
      <c r="L481" s="799"/>
      <c r="M481" s="799"/>
      <c r="N481" s="799"/>
      <c r="O481" s="799"/>
      <c r="P481" s="799"/>
      <c r="Q481" s="799"/>
      <c r="R481" s="799"/>
      <c r="S481" s="799"/>
      <c r="T481" s="799"/>
      <c r="U481" s="799"/>
      <c r="V481" s="799"/>
      <c r="W481" s="799"/>
      <c r="X481" s="799"/>
      <c r="Y481" s="799"/>
      <c r="Z481" s="799"/>
      <c r="AA481" s="799"/>
      <c r="AB481" s="799"/>
      <c r="AC481" s="799"/>
      <c r="AD481" s="799"/>
      <c r="AE481" s="799"/>
      <c r="AF481" s="799"/>
      <c r="AG481" s="799"/>
      <c r="AH481" s="799"/>
      <c r="AI481" s="799"/>
      <c r="AJ481" s="799"/>
      <c r="AK481" s="799"/>
      <c r="AL481" s="799"/>
      <c r="AM481" s="799"/>
      <c r="AN481" s="799"/>
      <c r="AO481" s="799"/>
      <c r="AP481" s="799"/>
      <c r="AQ481" s="799"/>
      <c r="AR481" s="799"/>
      <c r="AS481" s="799"/>
      <c r="AT481" s="799"/>
      <c r="AU481" s="799"/>
      <c r="AV481" s="799"/>
      <c r="AW481" s="799"/>
      <c r="AX481" s="799"/>
      <c r="AY481" s="799"/>
      <c r="AZ481" s="799"/>
      <c r="BA481" s="799"/>
      <c r="BB481" s="799"/>
      <c r="BC481" s="799"/>
      <c r="BD481" s="799"/>
      <c r="BE481" s="799"/>
      <c r="BF481" s="799"/>
      <c r="BG481" s="799"/>
    </row>
    <row r="482">
      <c r="H482" s="799"/>
      <c r="I482" s="799"/>
      <c r="J482" s="799"/>
      <c r="K482" s="799"/>
      <c r="L482" s="799"/>
      <c r="M482" s="799"/>
      <c r="N482" s="799"/>
      <c r="O482" s="799"/>
      <c r="P482" s="799"/>
      <c r="Q482" s="799"/>
      <c r="R482" s="799"/>
      <c r="S482" s="799"/>
      <c r="T482" s="799"/>
      <c r="U482" s="799"/>
      <c r="V482" s="799"/>
      <c r="W482" s="799"/>
      <c r="X482" s="799"/>
      <c r="Y482" s="799"/>
      <c r="Z482" s="799"/>
      <c r="AA482" s="799"/>
      <c r="AB482" s="799"/>
      <c r="AC482" s="799"/>
      <c r="AD482" s="799"/>
      <c r="AE482" s="799"/>
      <c r="AF482" s="799"/>
      <c r="AG482" s="799"/>
      <c r="AH482" s="799"/>
      <c r="AI482" s="799"/>
      <c r="AJ482" s="799"/>
      <c r="AK482" s="799"/>
      <c r="AL482" s="799"/>
      <c r="AM482" s="799"/>
      <c r="AN482" s="799"/>
      <c r="AO482" s="799"/>
      <c r="AP482" s="799"/>
      <c r="AQ482" s="799"/>
      <c r="AR482" s="799"/>
      <c r="AS482" s="799"/>
      <c r="AT482" s="799"/>
      <c r="AU482" s="799"/>
      <c r="AV482" s="799"/>
      <c r="AW482" s="799"/>
      <c r="AX482" s="799"/>
      <c r="AY482" s="799"/>
      <c r="AZ482" s="799"/>
      <c r="BA482" s="799"/>
      <c r="BB482" s="799"/>
      <c r="BC482" s="799"/>
      <c r="BD482" s="799"/>
      <c r="BE482" s="799"/>
      <c r="BF482" s="799"/>
      <c r="BG482" s="799"/>
    </row>
    <row r="483">
      <c r="H483" s="799"/>
      <c r="I483" s="799"/>
      <c r="J483" s="799"/>
      <c r="K483" s="799"/>
      <c r="L483" s="799"/>
      <c r="M483" s="799"/>
      <c r="N483" s="799"/>
      <c r="O483" s="799"/>
      <c r="P483" s="799"/>
      <c r="Q483" s="799"/>
      <c r="R483" s="799"/>
      <c r="S483" s="799"/>
      <c r="T483" s="799"/>
      <c r="U483" s="799"/>
      <c r="V483" s="799"/>
      <c r="W483" s="799"/>
      <c r="X483" s="799"/>
      <c r="Y483" s="799"/>
      <c r="Z483" s="799"/>
      <c r="AA483" s="799"/>
      <c r="AB483" s="799"/>
      <c r="AC483" s="799"/>
      <c r="AD483" s="799"/>
      <c r="AE483" s="799"/>
      <c r="AF483" s="799"/>
      <c r="AG483" s="799"/>
      <c r="AH483" s="799"/>
      <c r="AI483" s="799"/>
      <c r="AJ483" s="799"/>
      <c r="AK483" s="799"/>
      <c r="AL483" s="799"/>
      <c r="AM483" s="799"/>
      <c r="AN483" s="799"/>
      <c r="AO483" s="799"/>
      <c r="AP483" s="799"/>
      <c r="AQ483" s="799"/>
      <c r="AR483" s="799"/>
      <c r="AS483" s="799"/>
      <c r="AT483" s="799"/>
      <c r="AU483" s="799"/>
      <c r="AV483" s="799"/>
      <c r="AW483" s="799"/>
      <c r="AX483" s="799"/>
      <c r="AY483" s="799"/>
      <c r="AZ483" s="799"/>
      <c r="BA483" s="799"/>
      <c r="BB483" s="799"/>
      <c r="BC483" s="799"/>
      <c r="BD483" s="799"/>
      <c r="BE483" s="799"/>
      <c r="BF483" s="799"/>
      <c r="BG483" s="799"/>
    </row>
    <row r="484">
      <c r="H484" s="799"/>
      <c r="I484" s="799"/>
      <c r="J484" s="799"/>
      <c r="K484" s="799"/>
      <c r="L484" s="799"/>
      <c r="M484" s="799"/>
      <c r="N484" s="799"/>
      <c r="O484" s="799"/>
      <c r="P484" s="799"/>
      <c r="Q484" s="799"/>
      <c r="R484" s="799"/>
      <c r="S484" s="799"/>
      <c r="T484" s="799"/>
      <c r="U484" s="799"/>
      <c r="V484" s="799"/>
      <c r="W484" s="799"/>
      <c r="X484" s="799"/>
      <c r="Y484" s="799"/>
      <c r="Z484" s="799"/>
      <c r="AA484" s="799"/>
      <c r="AB484" s="799"/>
      <c r="AC484" s="799"/>
      <c r="AD484" s="799"/>
      <c r="AE484" s="799"/>
      <c r="AF484" s="799"/>
      <c r="AG484" s="799"/>
      <c r="AH484" s="799"/>
      <c r="AI484" s="799"/>
      <c r="AJ484" s="799"/>
      <c r="AK484" s="799"/>
      <c r="AL484" s="799"/>
      <c r="AM484" s="799"/>
      <c r="AN484" s="799"/>
      <c r="AO484" s="799"/>
      <c r="AP484" s="799"/>
      <c r="AQ484" s="799"/>
      <c r="AR484" s="799"/>
      <c r="AS484" s="799"/>
      <c r="AT484" s="799"/>
      <c r="AU484" s="799"/>
      <c r="AV484" s="799"/>
      <c r="AW484" s="799"/>
      <c r="AX484" s="799"/>
      <c r="AY484" s="799"/>
      <c r="AZ484" s="799"/>
      <c r="BA484" s="799"/>
      <c r="BB484" s="799"/>
      <c r="BC484" s="799"/>
      <c r="BD484" s="799"/>
      <c r="BE484" s="799"/>
      <c r="BF484" s="799"/>
      <c r="BG484" s="799"/>
    </row>
    <row r="485">
      <c r="H485" s="799"/>
      <c r="I485" s="799"/>
      <c r="J485" s="799"/>
      <c r="K485" s="799"/>
      <c r="L485" s="799"/>
      <c r="M485" s="799"/>
      <c r="N485" s="799"/>
      <c r="O485" s="799"/>
      <c r="P485" s="799"/>
      <c r="Q485" s="799"/>
      <c r="R485" s="799"/>
      <c r="S485" s="799"/>
      <c r="T485" s="799"/>
      <c r="U485" s="799"/>
      <c r="V485" s="799"/>
      <c r="W485" s="799"/>
      <c r="X485" s="799"/>
      <c r="Y485" s="799"/>
      <c r="Z485" s="799"/>
      <c r="AA485" s="799"/>
      <c r="AB485" s="799"/>
      <c r="AC485" s="799"/>
      <c r="AD485" s="799"/>
      <c r="AE485" s="799"/>
      <c r="AF485" s="799"/>
      <c r="AG485" s="799"/>
      <c r="AH485" s="799"/>
      <c r="AI485" s="799"/>
      <c r="AJ485" s="799"/>
      <c r="AK485" s="799"/>
      <c r="AL485" s="799"/>
      <c r="AM485" s="799"/>
      <c r="AN485" s="799"/>
      <c r="AO485" s="799"/>
      <c r="AP485" s="799"/>
      <c r="AQ485" s="799"/>
      <c r="AR485" s="799"/>
      <c r="AS485" s="799"/>
      <c r="AT485" s="799"/>
      <c r="AU485" s="799"/>
      <c r="AV485" s="799"/>
      <c r="AW485" s="799"/>
      <c r="AX485" s="799"/>
      <c r="AY485" s="799"/>
      <c r="AZ485" s="799"/>
      <c r="BA485" s="799"/>
      <c r="BB485" s="799"/>
      <c r="BC485" s="799"/>
      <c r="BD485" s="799"/>
      <c r="BE485" s="799"/>
      <c r="BF485" s="799"/>
      <c r="BG485" s="799"/>
    </row>
    <row r="486">
      <c r="H486" s="799"/>
      <c r="I486" s="799"/>
      <c r="J486" s="799"/>
      <c r="K486" s="799"/>
      <c r="L486" s="799"/>
      <c r="M486" s="799"/>
      <c r="N486" s="799"/>
      <c r="O486" s="799"/>
      <c r="P486" s="799"/>
      <c r="Q486" s="799"/>
      <c r="R486" s="799"/>
      <c r="S486" s="799"/>
      <c r="T486" s="799"/>
      <c r="U486" s="799"/>
      <c r="V486" s="799"/>
      <c r="W486" s="799"/>
      <c r="X486" s="799"/>
      <c r="Y486" s="799"/>
      <c r="Z486" s="799"/>
      <c r="AA486" s="799"/>
      <c r="AB486" s="799"/>
      <c r="AC486" s="799"/>
      <c r="AD486" s="799"/>
      <c r="AE486" s="799"/>
      <c r="AF486" s="799"/>
      <c r="AG486" s="799"/>
      <c r="AH486" s="799"/>
      <c r="AI486" s="799"/>
      <c r="AJ486" s="799"/>
      <c r="AK486" s="799"/>
      <c r="AL486" s="799"/>
      <c r="AM486" s="799"/>
      <c r="AN486" s="799"/>
      <c r="AO486" s="799"/>
      <c r="AP486" s="799"/>
      <c r="AQ486" s="799"/>
      <c r="AR486" s="799"/>
      <c r="AS486" s="799"/>
      <c r="AT486" s="799"/>
      <c r="AU486" s="799"/>
      <c r="AV486" s="799"/>
      <c r="AW486" s="799"/>
      <c r="AX486" s="799"/>
      <c r="AY486" s="799"/>
      <c r="AZ486" s="799"/>
      <c r="BA486" s="799"/>
      <c r="BB486" s="799"/>
      <c r="BC486" s="799"/>
      <c r="BD486" s="799"/>
      <c r="BE486" s="799"/>
      <c r="BF486" s="799"/>
      <c r="BG486" s="799"/>
    </row>
    <row r="487">
      <c r="H487" s="799"/>
      <c r="I487" s="799"/>
      <c r="J487" s="799"/>
      <c r="K487" s="799"/>
      <c r="L487" s="799"/>
      <c r="M487" s="799"/>
      <c r="N487" s="799"/>
      <c r="O487" s="799"/>
      <c r="P487" s="799"/>
      <c r="Q487" s="799"/>
      <c r="R487" s="799"/>
      <c r="S487" s="799"/>
      <c r="T487" s="799"/>
      <c r="U487" s="799"/>
      <c r="V487" s="799"/>
      <c r="W487" s="799"/>
      <c r="X487" s="799"/>
      <c r="Y487" s="799"/>
      <c r="Z487" s="799"/>
      <c r="AA487" s="799"/>
      <c r="AB487" s="799"/>
      <c r="AC487" s="799"/>
      <c r="AD487" s="799"/>
      <c r="AE487" s="799"/>
      <c r="AF487" s="799"/>
      <c r="AG487" s="799"/>
      <c r="AH487" s="799"/>
      <c r="AI487" s="799"/>
      <c r="AJ487" s="799"/>
      <c r="AK487" s="799"/>
      <c r="AL487" s="799"/>
      <c r="AM487" s="799"/>
      <c r="AN487" s="799"/>
      <c r="AO487" s="799"/>
      <c r="AP487" s="799"/>
      <c r="AQ487" s="799"/>
      <c r="AR487" s="799"/>
      <c r="AS487" s="799"/>
      <c r="AT487" s="799"/>
      <c r="AU487" s="799"/>
      <c r="AV487" s="799"/>
      <c r="AW487" s="799"/>
      <c r="AX487" s="799"/>
      <c r="AY487" s="799"/>
      <c r="AZ487" s="799"/>
      <c r="BA487" s="799"/>
      <c r="BB487" s="799"/>
      <c r="BC487" s="799"/>
      <c r="BD487" s="799"/>
      <c r="BE487" s="799"/>
      <c r="BF487" s="799"/>
      <c r="BG487" s="799"/>
    </row>
    <row r="488">
      <c r="H488" s="799"/>
      <c r="I488" s="799"/>
      <c r="J488" s="799"/>
      <c r="K488" s="799"/>
      <c r="L488" s="799"/>
      <c r="M488" s="799"/>
      <c r="N488" s="799"/>
      <c r="O488" s="799"/>
      <c r="P488" s="799"/>
      <c r="Q488" s="799"/>
      <c r="R488" s="799"/>
      <c r="S488" s="799"/>
      <c r="T488" s="799"/>
      <c r="U488" s="799"/>
      <c r="V488" s="799"/>
      <c r="W488" s="799"/>
      <c r="X488" s="799"/>
      <c r="Y488" s="799"/>
      <c r="Z488" s="799"/>
      <c r="AA488" s="799"/>
      <c r="AB488" s="799"/>
      <c r="AC488" s="799"/>
      <c r="AD488" s="799"/>
      <c r="AE488" s="799"/>
      <c r="AF488" s="799"/>
      <c r="AG488" s="799"/>
      <c r="AH488" s="799"/>
      <c r="AI488" s="799"/>
      <c r="AJ488" s="799"/>
      <c r="AK488" s="799"/>
      <c r="AL488" s="799"/>
      <c r="AM488" s="799"/>
      <c r="AN488" s="799"/>
      <c r="AO488" s="799"/>
      <c r="AP488" s="799"/>
      <c r="AQ488" s="799"/>
      <c r="AR488" s="799"/>
      <c r="AS488" s="799"/>
      <c r="AT488" s="799"/>
      <c r="AU488" s="799"/>
      <c r="AV488" s="799"/>
      <c r="AW488" s="799"/>
      <c r="AX488" s="799"/>
      <c r="AY488" s="799"/>
      <c r="AZ488" s="799"/>
      <c r="BA488" s="799"/>
      <c r="BB488" s="799"/>
      <c r="BC488" s="799"/>
      <c r="BD488" s="799"/>
      <c r="BE488" s="799"/>
      <c r="BF488" s="799"/>
      <c r="BG488" s="799"/>
    </row>
    <row r="489">
      <c r="H489" s="799"/>
      <c r="I489" s="799"/>
      <c r="J489" s="799"/>
      <c r="K489" s="799"/>
      <c r="L489" s="799"/>
      <c r="M489" s="799"/>
      <c r="N489" s="799"/>
      <c r="O489" s="799"/>
      <c r="P489" s="799"/>
      <c r="Q489" s="799"/>
      <c r="R489" s="799"/>
      <c r="S489" s="799"/>
      <c r="T489" s="799"/>
      <c r="U489" s="799"/>
      <c r="V489" s="799"/>
      <c r="W489" s="799"/>
      <c r="X489" s="799"/>
      <c r="Y489" s="799"/>
      <c r="Z489" s="799"/>
      <c r="AA489" s="799"/>
      <c r="AB489" s="799"/>
      <c r="AC489" s="799"/>
      <c r="AD489" s="799"/>
      <c r="AE489" s="799"/>
      <c r="AF489" s="799"/>
      <c r="AG489" s="799"/>
      <c r="AH489" s="799"/>
      <c r="AI489" s="799"/>
      <c r="AJ489" s="799"/>
      <c r="AK489" s="799"/>
      <c r="AL489" s="799"/>
      <c r="AM489" s="799"/>
      <c r="AN489" s="799"/>
      <c r="AO489" s="799"/>
      <c r="AP489" s="799"/>
      <c r="AQ489" s="799"/>
      <c r="AR489" s="799"/>
      <c r="AS489" s="799"/>
      <c r="AT489" s="799"/>
      <c r="AU489" s="799"/>
      <c r="AV489" s="799"/>
      <c r="AW489" s="799"/>
      <c r="AX489" s="799"/>
      <c r="AY489" s="799"/>
      <c r="AZ489" s="799"/>
      <c r="BA489" s="799"/>
      <c r="BB489" s="799"/>
      <c r="BC489" s="799"/>
      <c r="BD489" s="799"/>
      <c r="BE489" s="799"/>
      <c r="BF489" s="799"/>
      <c r="BG489" s="799"/>
    </row>
    <row r="490">
      <c r="H490" s="799"/>
      <c r="I490" s="799"/>
      <c r="J490" s="799"/>
      <c r="K490" s="799"/>
      <c r="L490" s="799"/>
      <c r="M490" s="799"/>
      <c r="N490" s="799"/>
      <c r="O490" s="799"/>
      <c r="P490" s="799"/>
      <c r="Q490" s="799"/>
      <c r="R490" s="799"/>
      <c r="S490" s="799"/>
      <c r="T490" s="799"/>
      <c r="U490" s="799"/>
      <c r="V490" s="799"/>
      <c r="W490" s="799"/>
      <c r="X490" s="799"/>
      <c r="Y490" s="799"/>
      <c r="Z490" s="799"/>
      <c r="AA490" s="799"/>
      <c r="AB490" s="799"/>
      <c r="AC490" s="799"/>
      <c r="AD490" s="799"/>
      <c r="AE490" s="799"/>
      <c r="AF490" s="799"/>
      <c r="AG490" s="799"/>
      <c r="AH490" s="799"/>
      <c r="AI490" s="799"/>
      <c r="AJ490" s="799"/>
      <c r="AK490" s="799"/>
      <c r="AL490" s="799"/>
      <c r="AM490" s="799"/>
      <c r="AN490" s="799"/>
      <c r="AO490" s="799"/>
      <c r="AP490" s="799"/>
      <c r="AQ490" s="799"/>
      <c r="AR490" s="799"/>
      <c r="AS490" s="799"/>
      <c r="AT490" s="799"/>
      <c r="AU490" s="799"/>
      <c r="AV490" s="799"/>
      <c r="AW490" s="799"/>
      <c r="AX490" s="799"/>
      <c r="AY490" s="799"/>
      <c r="AZ490" s="799"/>
      <c r="BA490" s="799"/>
      <c r="BB490" s="799"/>
      <c r="BC490" s="799"/>
      <c r="BD490" s="799"/>
      <c r="BE490" s="799"/>
      <c r="BF490" s="799"/>
      <c r="BG490" s="799"/>
    </row>
    <row r="491">
      <c r="H491" s="799"/>
      <c r="I491" s="799"/>
      <c r="J491" s="799"/>
      <c r="K491" s="799"/>
      <c r="L491" s="799"/>
      <c r="M491" s="799"/>
      <c r="N491" s="799"/>
      <c r="O491" s="799"/>
      <c r="P491" s="799"/>
      <c r="Q491" s="799"/>
      <c r="R491" s="799"/>
      <c r="S491" s="799"/>
      <c r="T491" s="799"/>
      <c r="U491" s="799"/>
      <c r="V491" s="799"/>
      <c r="W491" s="799"/>
      <c r="X491" s="799"/>
      <c r="Y491" s="799"/>
      <c r="Z491" s="799"/>
      <c r="AA491" s="799"/>
      <c r="AB491" s="799"/>
      <c r="AC491" s="799"/>
      <c r="AD491" s="799"/>
      <c r="AE491" s="799"/>
      <c r="AF491" s="799"/>
      <c r="AG491" s="799"/>
      <c r="AH491" s="799"/>
      <c r="AI491" s="799"/>
      <c r="AJ491" s="799"/>
      <c r="AK491" s="799"/>
      <c r="AL491" s="799"/>
      <c r="AM491" s="799"/>
      <c r="AN491" s="799"/>
      <c r="AO491" s="799"/>
      <c r="AP491" s="799"/>
      <c r="AQ491" s="799"/>
      <c r="AR491" s="799"/>
      <c r="AS491" s="799"/>
      <c r="AT491" s="799"/>
      <c r="AU491" s="799"/>
      <c r="AV491" s="799"/>
      <c r="AW491" s="799"/>
      <c r="AX491" s="799"/>
      <c r="AY491" s="799"/>
      <c r="AZ491" s="799"/>
      <c r="BA491" s="799"/>
      <c r="BB491" s="799"/>
      <c r="BC491" s="799"/>
      <c r="BD491" s="799"/>
      <c r="BE491" s="799"/>
      <c r="BF491" s="799"/>
      <c r="BG491" s="799"/>
    </row>
    <row r="492">
      <c r="H492" s="799"/>
      <c r="I492" s="799"/>
      <c r="J492" s="799"/>
      <c r="K492" s="799"/>
      <c r="L492" s="799"/>
      <c r="M492" s="799"/>
      <c r="N492" s="799"/>
      <c r="O492" s="799"/>
      <c r="P492" s="799"/>
      <c r="Q492" s="799"/>
      <c r="R492" s="799"/>
      <c r="S492" s="799"/>
      <c r="T492" s="799"/>
      <c r="U492" s="799"/>
      <c r="V492" s="799"/>
      <c r="W492" s="799"/>
      <c r="X492" s="799"/>
      <c r="Y492" s="799"/>
      <c r="Z492" s="799"/>
      <c r="AA492" s="799"/>
      <c r="AB492" s="799"/>
      <c r="AC492" s="799"/>
      <c r="AD492" s="799"/>
      <c r="AE492" s="799"/>
      <c r="AF492" s="799"/>
      <c r="AG492" s="799"/>
      <c r="AH492" s="799"/>
      <c r="AI492" s="799"/>
      <c r="AJ492" s="799"/>
      <c r="AK492" s="799"/>
      <c r="AL492" s="799"/>
      <c r="AM492" s="799"/>
      <c r="AN492" s="799"/>
      <c r="AO492" s="799"/>
      <c r="AP492" s="799"/>
      <c r="AQ492" s="799"/>
      <c r="AR492" s="799"/>
      <c r="AS492" s="799"/>
      <c r="AT492" s="799"/>
      <c r="AU492" s="799"/>
      <c r="AV492" s="799"/>
      <c r="AW492" s="799"/>
      <c r="AX492" s="799"/>
      <c r="AY492" s="799"/>
      <c r="AZ492" s="799"/>
      <c r="BA492" s="799"/>
      <c r="BB492" s="799"/>
      <c r="BC492" s="799"/>
      <c r="BD492" s="799"/>
      <c r="BE492" s="799"/>
      <c r="BF492" s="799"/>
      <c r="BG492" s="799"/>
    </row>
    <row r="493">
      <c r="H493" s="799"/>
      <c r="I493" s="799"/>
      <c r="J493" s="799"/>
      <c r="K493" s="799"/>
      <c r="L493" s="799"/>
      <c r="M493" s="799"/>
      <c r="N493" s="799"/>
      <c r="O493" s="799"/>
      <c r="P493" s="799"/>
      <c r="Q493" s="799"/>
      <c r="R493" s="799"/>
      <c r="S493" s="799"/>
      <c r="T493" s="799"/>
      <c r="U493" s="799"/>
      <c r="V493" s="799"/>
      <c r="W493" s="799"/>
      <c r="X493" s="799"/>
      <c r="Y493" s="799"/>
      <c r="Z493" s="799"/>
      <c r="AA493" s="799"/>
      <c r="AB493" s="799"/>
      <c r="AC493" s="799"/>
      <c r="AD493" s="799"/>
      <c r="AE493" s="799"/>
      <c r="AF493" s="799"/>
      <c r="AG493" s="799"/>
      <c r="AH493" s="799"/>
      <c r="AI493" s="799"/>
      <c r="AJ493" s="799"/>
      <c r="AK493" s="799"/>
      <c r="AL493" s="799"/>
      <c r="AM493" s="799"/>
      <c r="AN493" s="799"/>
      <c r="AO493" s="799"/>
      <c r="AP493" s="799"/>
      <c r="AQ493" s="799"/>
      <c r="AR493" s="799"/>
      <c r="AS493" s="799"/>
      <c r="AT493" s="799"/>
      <c r="AU493" s="799"/>
      <c r="AV493" s="799"/>
      <c r="AW493" s="799"/>
      <c r="AX493" s="799"/>
      <c r="AY493" s="799"/>
      <c r="AZ493" s="799"/>
      <c r="BA493" s="799"/>
      <c r="BB493" s="799"/>
      <c r="BC493" s="799"/>
      <c r="BD493" s="799"/>
      <c r="BE493" s="799"/>
      <c r="BF493" s="799"/>
      <c r="BG493" s="799"/>
    </row>
    <row r="494">
      <c r="H494" s="799"/>
      <c r="I494" s="799"/>
      <c r="J494" s="799"/>
      <c r="K494" s="799"/>
      <c r="L494" s="799"/>
      <c r="M494" s="799"/>
      <c r="N494" s="799"/>
      <c r="O494" s="799"/>
      <c r="P494" s="799"/>
      <c r="Q494" s="799"/>
      <c r="R494" s="799"/>
      <c r="S494" s="799"/>
      <c r="T494" s="799"/>
      <c r="U494" s="799"/>
      <c r="V494" s="799"/>
      <c r="W494" s="799"/>
      <c r="X494" s="799"/>
      <c r="Y494" s="799"/>
      <c r="Z494" s="799"/>
      <c r="AA494" s="799"/>
      <c r="AB494" s="799"/>
      <c r="AC494" s="799"/>
      <c r="AD494" s="799"/>
      <c r="AE494" s="799"/>
      <c r="AF494" s="799"/>
      <c r="AG494" s="799"/>
      <c r="AH494" s="799"/>
      <c r="AI494" s="799"/>
      <c r="AJ494" s="799"/>
      <c r="AK494" s="799"/>
      <c r="AL494" s="799"/>
      <c r="AM494" s="799"/>
      <c r="AN494" s="799"/>
      <c r="AO494" s="799"/>
      <c r="AP494" s="799"/>
      <c r="AQ494" s="799"/>
      <c r="AR494" s="799"/>
      <c r="AS494" s="799"/>
      <c r="AT494" s="799"/>
      <c r="AU494" s="799"/>
      <c r="AV494" s="799"/>
      <c r="AW494" s="799"/>
      <c r="AX494" s="799"/>
      <c r="AY494" s="799"/>
      <c r="AZ494" s="799"/>
      <c r="BA494" s="799"/>
      <c r="BB494" s="799"/>
      <c r="BC494" s="799"/>
      <c r="BD494" s="799"/>
      <c r="BE494" s="799"/>
      <c r="BF494" s="799"/>
      <c r="BG494" s="799"/>
    </row>
    <row r="495">
      <c r="H495" s="799"/>
      <c r="I495" s="799"/>
      <c r="J495" s="799"/>
      <c r="K495" s="799"/>
      <c r="L495" s="799"/>
      <c r="M495" s="799"/>
      <c r="N495" s="799"/>
      <c r="O495" s="799"/>
      <c r="P495" s="799"/>
      <c r="Q495" s="799"/>
      <c r="R495" s="799"/>
      <c r="S495" s="799"/>
      <c r="T495" s="799"/>
      <c r="U495" s="799"/>
      <c r="V495" s="799"/>
      <c r="W495" s="799"/>
      <c r="X495" s="799"/>
      <c r="Y495" s="799"/>
      <c r="Z495" s="799"/>
      <c r="AA495" s="799"/>
      <c r="AB495" s="799"/>
      <c r="AC495" s="799"/>
      <c r="AD495" s="799"/>
      <c r="AE495" s="799"/>
      <c r="AF495" s="799"/>
      <c r="AG495" s="799"/>
      <c r="AH495" s="799"/>
      <c r="AI495" s="799"/>
      <c r="AJ495" s="799"/>
      <c r="AK495" s="799"/>
      <c r="AL495" s="799"/>
      <c r="AM495" s="799"/>
      <c r="AN495" s="799"/>
      <c r="AO495" s="799"/>
      <c r="AP495" s="799"/>
      <c r="AQ495" s="799"/>
      <c r="AR495" s="799"/>
      <c r="AS495" s="799"/>
      <c r="AT495" s="799"/>
      <c r="AU495" s="799"/>
      <c r="AV495" s="799"/>
      <c r="AW495" s="799"/>
      <c r="AX495" s="799"/>
      <c r="AY495" s="799"/>
      <c r="AZ495" s="799"/>
      <c r="BA495" s="799"/>
      <c r="BB495" s="799"/>
      <c r="BC495" s="799"/>
      <c r="BD495" s="799"/>
      <c r="BE495" s="799"/>
      <c r="BF495" s="799"/>
      <c r="BG495" s="799"/>
    </row>
    <row r="496">
      <c r="H496" s="799"/>
      <c r="I496" s="799"/>
      <c r="J496" s="799"/>
      <c r="K496" s="799"/>
      <c r="L496" s="799"/>
      <c r="M496" s="799"/>
      <c r="N496" s="799"/>
      <c r="O496" s="799"/>
      <c r="P496" s="799"/>
      <c r="Q496" s="799"/>
      <c r="R496" s="799"/>
      <c r="S496" s="799"/>
      <c r="T496" s="799"/>
      <c r="U496" s="799"/>
      <c r="V496" s="799"/>
      <c r="W496" s="799"/>
      <c r="X496" s="799"/>
      <c r="Y496" s="799"/>
      <c r="Z496" s="799"/>
      <c r="AA496" s="799"/>
      <c r="AB496" s="799"/>
      <c r="AC496" s="799"/>
      <c r="AD496" s="799"/>
      <c r="AE496" s="799"/>
      <c r="AF496" s="799"/>
      <c r="AG496" s="799"/>
      <c r="AH496" s="799"/>
      <c r="AI496" s="799"/>
      <c r="AJ496" s="799"/>
      <c r="AK496" s="799"/>
      <c r="AL496" s="799"/>
      <c r="AM496" s="799"/>
      <c r="AN496" s="799"/>
      <c r="AO496" s="799"/>
      <c r="AP496" s="799"/>
      <c r="AQ496" s="799"/>
      <c r="AR496" s="799"/>
      <c r="AS496" s="799"/>
      <c r="AT496" s="799"/>
      <c r="AU496" s="799"/>
      <c r="AV496" s="799"/>
      <c r="AW496" s="799"/>
      <c r="AX496" s="799"/>
      <c r="AY496" s="799"/>
      <c r="AZ496" s="799"/>
      <c r="BA496" s="799"/>
      <c r="BB496" s="799"/>
      <c r="BC496" s="799"/>
      <c r="BD496" s="799"/>
      <c r="BE496" s="799"/>
      <c r="BF496" s="799"/>
      <c r="BG496" s="799"/>
    </row>
    <row r="497">
      <c r="H497" s="799"/>
      <c r="I497" s="799"/>
      <c r="J497" s="799"/>
      <c r="K497" s="799"/>
      <c r="L497" s="799"/>
      <c r="M497" s="799"/>
      <c r="N497" s="799"/>
      <c r="O497" s="799"/>
      <c r="P497" s="799"/>
      <c r="Q497" s="799"/>
      <c r="R497" s="799"/>
      <c r="S497" s="799"/>
      <c r="T497" s="799"/>
      <c r="U497" s="799"/>
      <c r="V497" s="799"/>
      <c r="W497" s="799"/>
      <c r="X497" s="799"/>
      <c r="Y497" s="799"/>
      <c r="Z497" s="799"/>
      <c r="AA497" s="799"/>
      <c r="AB497" s="799"/>
      <c r="AC497" s="799"/>
      <c r="AD497" s="799"/>
      <c r="AE497" s="799"/>
      <c r="AF497" s="799"/>
      <c r="AG497" s="799"/>
      <c r="AH497" s="799"/>
      <c r="AI497" s="799"/>
      <c r="AJ497" s="799"/>
      <c r="AK497" s="799"/>
      <c r="AL497" s="799"/>
      <c r="AM497" s="799"/>
      <c r="AN497" s="799"/>
      <c r="AO497" s="799"/>
      <c r="AP497" s="799"/>
      <c r="AQ497" s="799"/>
      <c r="AR497" s="799"/>
      <c r="AS497" s="799"/>
      <c r="AT497" s="799"/>
      <c r="AU497" s="799"/>
      <c r="AV497" s="799"/>
      <c r="AW497" s="799"/>
      <c r="AX497" s="799"/>
      <c r="AY497" s="799"/>
      <c r="AZ497" s="799"/>
      <c r="BA497" s="799"/>
      <c r="BB497" s="799"/>
      <c r="BC497" s="799"/>
      <c r="BD497" s="799"/>
      <c r="BE497" s="799"/>
      <c r="BF497" s="799"/>
      <c r="BG497" s="799"/>
    </row>
    <row r="498">
      <c r="H498" s="799"/>
      <c r="I498" s="799"/>
      <c r="J498" s="799"/>
      <c r="K498" s="799"/>
      <c r="L498" s="799"/>
      <c r="M498" s="799"/>
      <c r="N498" s="799"/>
      <c r="O498" s="799"/>
      <c r="P498" s="799"/>
      <c r="Q498" s="799"/>
      <c r="R498" s="799"/>
      <c r="S498" s="799"/>
      <c r="T498" s="799"/>
      <c r="U498" s="799"/>
      <c r="V498" s="799"/>
      <c r="W498" s="799"/>
      <c r="X498" s="799"/>
      <c r="Y498" s="799"/>
      <c r="Z498" s="799"/>
      <c r="AA498" s="799"/>
      <c r="AB498" s="799"/>
      <c r="AC498" s="799"/>
      <c r="AD498" s="799"/>
      <c r="AE498" s="799"/>
      <c r="AF498" s="799"/>
      <c r="AG498" s="799"/>
      <c r="AH498" s="799"/>
      <c r="AI498" s="799"/>
      <c r="AJ498" s="799"/>
      <c r="AK498" s="799"/>
      <c r="AL498" s="799"/>
      <c r="AM498" s="799"/>
      <c r="AN498" s="799"/>
      <c r="AO498" s="799"/>
      <c r="AP498" s="799"/>
      <c r="AQ498" s="799"/>
      <c r="AR498" s="799"/>
      <c r="AS498" s="799"/>
      <c r="AT498" s="799"/>
      <c r="AU498" s="799"/>
      <c r="AV498" s="799"/>
      <c r="AW498" s="799"/>
      <c r="AX498" s="799"/>
      <c r="AY498" s="799"/>
      <c r="AZ498" s="799"/>
      <c r="BA498" s="799"/>
      <c r="BB498" s="799"/>
      <c r="BC498" s="799"/>
      <c r="BD498" s="799"/>
      <c r="BE498" s="799"/>
      <c r="BF498" s="799"/>
      <c r="BG498" s="799"/>
    </row>
    <row r="499">
      <c r="H499" s="799"/>
      <c r="I499" s="799"/>
      <c r="J499" s="799"/>
      <c r="K499" s="799"/>
      <c r="L499" s="799"/>
      <c r="M499" s="799"/>
      <c r="N499" s="799"/>
      <c r="O499" s="799"/>
      <c r="P499" s="799"/>
      <c r="Q499" s="799"/>
      <c r="R499" s="799"/>
      <c r="S499" s="799"/>
      <c r="T499" s="799"/>
      <c r="U499" s="799"/>
      <c r="V499" s="799"/>
      <c r="W499" s="799"/>
      <c r="X499" s="799"/>
      <c r="Y499" s="799"/>
      <c r="Z499" s="799"/>
      <c r="AA499" s="799"/>
      <c r="AB499" s="799"/>
      <c r="AC499" s="799"/>
      <c r="AD499" s="799"/>
      <c r="AE499" s="799"/>
      <c r="AF499" s="799"/>
      <c r="AG499" s="799"/>
      <c r="AH499" s="799"/>
      <c r="AI499" s="799"/>
      <c r="AJ499" s="799"/>
      <c r="AK499" s="799"/>
      <c r="AL499" s="799"/>
      <c r="AM499" s="799"/>
      <c r="AN499" s="799"/>
      <c r="AO499" s="799"/>
      <c r="AP499" s="799"/>
      <c r="AQ499" s="799"/>
      <c r="AR499" s="799"/>
      <c r="AS499" s="799"/>
      <c r="AT499" s="799"/>
      <c r="AU499" s="799"/>
      <c r="AV499" s="799"/>
      <c r="AW499" s="799"/>
      <c r="AX499" s="799"/>
      <c r="AY499" s="799"/>
      <c r="AZ499" s="799"/>
      <c r="BA499" s="799"/>
      <c r="BB499" s="799"/>
      <c r="BC499" s="799"/>
      <c r="BD499" s="799"/>
      <c r="BE499" s="799"/>
      <c r="BF499" s="799"/>
      <c r="BG499" s="799"/>
    </row>
    <row r="500">
      <c r="H500" s="799"/>
      <c r="I500" s="799"/>
      <c r="J500" s="799"/>
      <c r="K500" s="799"/>
      <c r="L500" s="799"/>
      <c r="M500" s="799"/>
      <c r="N500" s="799"/>
      <c r="O500" s="799"/>
      <c r="P500" s="799"/>
      <c r="Q500" s="799"/>
      <c r="R500" s="799"/>
      <c r="S500" s="799"/>
      <c r="T500" s="799"/>
      <c r="U500" s="799"/>
      <c r="V500" s="799"/>
      <c r="W500" s="799"/>
      <c r="X500" s="799"/>
      <c r="Y500" s="799"/>
      <c r="Z500" s="799"/>
      <c r="AA500" s="799"/>
      <c r="AB500" s="799"/>
      <c r="AC500" s="799"/>
      <c r="AD500" s="799"/>
      <c r="AE500" s="799"/>
      <c r="AF500" s="799"/>
      <c r="AG500" s="799"/>
      <c r="AH500" s="799"/>
      <c r="AI500" s="799"/>
      <c r="AJ500" s="799"/>
      <c r="AK500" s="799"/>
      <c r="AL500" s="799"/>
      <c r="AM500" s="799"/>
      <c r="AN500" s="799"/>
      <c r="AO500" s="799"/>
      <c r="AP500" s="799"/>
      <c r="AQ500" s="799"/>
      <c r="AR500" s="799"/>
      <c r="AS500" s="799"/>
      <c r="AT500" s="799"/>
      <c r="AU500" s="799"/>
      <c r="AV500" s="799"/>
      <c r="AW500" s="799"/>
      <c r="AX500" s="799"/>
      <c r="AY500" s="799"/>
      <c r="AZ500" s="799"/>
      <c r="BA500" s="799"/>
      <c r="BB500" s="799"/>
      <c r="BC500" s="799"/>
      <c r="BD500" s="799"/>
      <c r="BE500" s="799"/>
      <c r="BF500" s="799"/>
      <c r="BG500" s="799"/>
    </row>
    <row r="501">
      <c r="H501" s="799"/>
      <c r="I501" s="799"/>
      <c r="J501" s="799"/>
      <c r="K501" s="799"/>
      <c r="L501" s="799"/>
      <c r="M501" s="799"/>
      <c r="N501" s="799"/>
      <c r="O501" s="799"/>
      <c r="P501" s="799"/>
      <c r="Q501" s="799"/>
      <c r="R501" s="799"/>
      <c r="S501" s="799"/>
      <c r="T501" s="799"/>
      <c r="U501" s="799"/>
      <c r="V501" s="799"/>
      <c r="W501" s="799"/>
      <c r="X501" s="799"/>
      <c r="Y501" s="799"/>
      <c r="Z501" s="799"/>
      <c r="AA501" s="799"/>
      <c r="AB501" s="799"/>
      <c r="AC501" s="799"/>
      <c r="AD501" s="799"/>
      <c r="AE501" s="799"/>
      <c r="AF501" s="799"/>
      <c r="AG501" s="799"/>
      <c r="AH501" s="799"/>
      <c r="AI501" s="799"/>
      <c r="AJ501" s="799"/>
      <c r="AK501" s="799"/>
      <c r="AL501" s="799"/>
      <c r="AM501" s="799"/>
      <c r="AN501" s="799"/>
      <c r="AO501" s="799"/>
      <c r="AP501" s="799"/>
      <c r="AQ501" s="799"/>
      <c r="AR501" s="799"/>
      <c r="AS501" s="799"/>
      <c r="AT501" s="799"/>
      <c r="AU501" s="799"/>
      <c r="AV501" s="799"/>
      <c r="AW501" s="799"/>
      <c r="AX501" s="799"/>
      <c r="AY501" s="799"/>
      <c r="AZ501" s="799"/>
      <c r="BA501" s="799"/>
      <c r="BB501" s="799"/>
      <c r="BC501" s="799"/>
      <c r="BD501" s="799"/>
      <c r="BE501" s="799"/>
      <c r="BF501" s="799"/>
      <c r="BG501" s="799"/>
    </row>
    <row r="502">
      <c r="H502" s="799"/>
      <c r="I502" s="799"/>
      <c r="J502" s="799"/>
      <c r="K502" s="799"/>
      <c r="L502" s="799"/>
      <c r="M502" s="799"/>
      <c r="N502" s="799"/>
      <c r="O502" s="799"/>
      <c r="P502" s="799"/>
      <c r="Q502" s="799"/>
      <c r="R502" s="799"/>
      <c r="S502" s="799"/>
      <c r="T502" s="799"/>
      <c r="U502" s="799"/>
      <c r="V502" s="799"/>
      <c r="W502" s="799"/>
      <c r="X502" s="799"/>
      <c r="Y502" s="799"/>
      <c r="Z502" s="799"/>
      <c r="AA502" s="799"/>
      <c r="AB502" s="799"/>
      <c r="AC502" s="799"/>
      <c r="AD502" s="799"/>
      <c r="AE502" s="799"/>
      <c r="AF502" s="799"/>
      <c r="AG502" s="799"/>
      <c r="AH502" s="799"/>
      <c r="AI502" s="799"/>
      <c r="AJ502" s="799"/>
      <c r="AK502" s="799"/>
      <c r="AL502" s="799"/>
      <c r="AM502" s="799"/>
      <c r="AN502" s="799"/>
      <c r="AO502" s="799"/>
      <c r="AP502" s="799"/>
      <c r="AQ502" s="799"/>
      <c r="AR502" s="799"/>
      <c r="AS502" s="799"/>
      <c r="AT502" s="799"/>
      <c r="AU502" s="799"/>
      <c r="AV502" s="799"/>
      <c r="AW502" s="799"/>
      <c r="AX502" s="799"/>
      <c r="AY502" s="799"/>
      <c r="AZ502" s="799"/>
      <c r="BA502" s="799"/>
      <c r="BB502" s="799"/>
      <c r="BC502" s="799"/>
      <c r="BD502" s="799"/>
      <c r="BE502" s="799"/>
      <c r="BF502" s="799"/>
      <c r="BG502" s="799"/>
    </row>
    <row r="503">
      <c r="H503" s="799"/>
      <c r="I503" s="799"/>
      <c r="J503" s="799"/>
      <c r="K503" s="799"/>
      <c r="L503" s="799"/>
      <c r="M503" s="799"/>
      <c r="N503" s="799"/>
      <c r="O503" s="799"/>
      <c r="P503" s="799"/>
      <c r="Q503" s="799"/>
      <c r="R503" s="799"/>
      <c r="S503" s="799"/>
      <c r="T503" s="799"/>
      <c r="U503" s="799"/>
      <c r="V503" s="799"/>
      <c r="W503" s="799"/>
      <c r="X503" s="799"/>
      <c r="Y503" s="799"/>
      <c r="Z503" s="799"/>
      <c r="AA503" s="799"/>
      <c r="AB503" s="799"/>
      <c r="AC503" s="799"/>
      <c r="AD503" s="799"/>
      <c r="AE503" s="799"/>
      <c r="AF503" s="799"/>
      <c r="AG503" s="799"/>
      <c r="AH503" s="799"/>
      <c r="AI503" s="799"/>
      <c r="AJ503" s="799"/>
      <c r="AK503" s="799"/>
      <c r="AL503" s="799"/>
      <c r="AM503" s="799"/>
      <c r="AN503" s="799"/>
      <c r="AO503" s="799"/>
      <c r="AP503" s="799"/>
      <c r="AQ503" s="799"/>
      <c r="AR503" s="799"/>
      <c r="AS503" s="799"/>
      <c r="AT503" s="799"/>
      <c r="AU503" s="799"/>
      <c r="AV503" s="799"/>
      <c r="AW503" s="799"/>
      <c r="AX503" s="799"/>
      <c r="AY503" s="799"/>
      <c r="AZ503" s="799"/>
      <c r="BA503" s="799"/>
      <c r="BB503" s="799"/>
      <c r="BC503" s="799"/>
      <c r="BD503" s="799"/>
      <c r="BE503" s="799"/>
      <c r="BF503" s="799"/>
      <c r="BG503" s="799"/>
    </row>
    <row r="504">
      <c r="H504" s="799"/>
      <c r="I504" s="799"/>
      <c r="J504" s="799"/>
      <c r="K504" s="799"/>
      <c r="L504" s="799"/>
      <c r="M504" s="799"/>
      <c r="N504" s="799"/>
      <c r="O504" s="799"/>
      <c r="P504" s="799"/>
      <c r="Q504" s="799"/>
      <c r="R504" s="799"/>
      <c r="S504" s="799"/>
      <c r="T504" s="799"/>
      <c r="U504" s="799"/>
      <c r="V504" s="799"/>
      <c r="W504" s="799"/>
      <c r="X504" s="799"/>
      <c r="Y504" s="799"/>
      <c r="Z504" s="799"/>
      <c r="AA504" s="799"/>
      <c r="AB504" s="799"/>
      <c r="AC504" s="799"/>
      <c r="AD504" s="799"/>
      <c r="AE504" s="799"/>
      <c r="AF504" s="799"/>
      <c r="AG504" s="799"/>
      <c r="AH504" s="799"/>
      <c r="AI504" s="799"/>
      <c r="AJ504" s="799"/>
      <c r="AK504" s="799"/>
      <c r="AL504" s="799"/>
      <c r="AM504" s="799"/>
      <c r="AN504" s="799"/>
      <c r="AO504" s="799"/>
      <c r="AP504" s="799"/>
      <c r="AQ504" s="799"/>
      <c r="AR504" s="799"/>
      <c r="AS504" s="799"/>
      <c r="AT504" s="799"/>
      <c r="AU504" s="799"/>
      <c r="AV504" s="799"/>
      <c r="AW504" s="799"/>
      <c r="AX504" s="799"/>
      <c r="AY504" s="799"/>
      <c r="AZ504" s="799"/>
      <c r="BA504" s="799"/>
      <c r="BB504" s="799"/>
      <c r="BC504" s="799"/>
      <c r="BD504" s="799"/>
      <c r="BE504" s="799"/>
      <c r="BF504" s="799"/>
      <c r="BG504" s="799"/>
    </row>
    <row r="505">
      <c r="H505" s="799"/>
      <c r="I505" s="799"/>
      <c r="J505" s="799"/>
      <c r="K505" s="799"/>
      <c r="L505" s="799"/>
      <c r="M505" s="799"/>
      <c r="N505" s="799"/>
      <c r="O505" s="799"/>
      <c r="P505" s="799"/>
      <c r="Q505" s="799"/>
      <c r="R505" s="799"/>
      <c r="S505" s="799"/>
      <c r="T505" s="799"/>
      <c r="U505" s="799"/>
      <c r="V505" s="799"/>
      <c r="W505" s="799"/>
      <c r="X505" s="799"/>
      <c r="Y505" s="799"/>
      <c r="Z505" s="799"/>
      <c r="AA505" s="799"/>
      <c r="AB505" s="799"/>
      <c r="AC505" s="799"/>
      <c r="AD505" s="799"/>
      <c r="AE505" s="799"/>
      <c r="AF505" s="799"/>
      <c r="AG505" s="799"/>
      <c r="AH505" s="799"/>
      <c r="AI505" s="799"/>
      <c r="AJ505" s="799"/>
      <c r="AK505" s="799"/>
      <c r="AL505" s="799"/>
      <c r="AM505" s="799"/>
      <c r="AN505" s="799"/>
      <c r="AO505" s="799"/>
      <c r="AP505" s="799"/>
      <c r="AQ505" s="799"/>
      <c r="AR505" s="799"/>
      <c r="AS505" s="799"/>
      <c r="AT505" s="799"/>
      <c r="AU505" s="799"/>
      <c r="AV505" s="799"/>
      <c r="AW505" s="799"/>
      <c r="AX505" s="799"/>
      <c r="AY505" s="799"/>
      <c r="AZ505" s="799"/>
      <c r="BA505" s="799"/>
      <c r="BB505" s="799"/>
      <c r="BC505" s="799"/>
      <c r="BD505" s="799"/>
      <c r="BE505" s="799"/>
      <c r="BF505" s="799"/>
      <c r="BG505" s="799"/>
    </row>
    <row r="506">
      <c r="H506" s="799"/>
      <c r="I506" s="799"/>
      <c r="J506" s="799"/>
      <c r="K506" s="799"/>
      <c r="L506" s="799"/>
      <c r="M506" s="799"/>
      <c r="N506" s="799"/>
      <c r="O506" s="799"/>
      <c r="P506" s="799"/>
      <c r="Q506" s="799"/>
      <c r="R506" s="799"/>
      <c r="S506" s="799"/>
      <c r="T506" s="799"/>
      <c r="U506" s="799"/>
      <c r="V506" s="799"/>
      <c r="W506" s="799"/>
      <c r="X506" s="799"/>
      <c r="Y506" s="799"/>
      <c r="Z506" s="799"/>
      <c r="AA506" s="799"/>
      <c r="AB506" s="799"/>
      <c r="AC506" s="799"/>
      <c r="AD506" s="799"/>
      <c r="AE506" s="799"/>
      <c r="AF506" s="799"/>
      <c r="AG506" s="799"/>
      <c r="AH506" s="799"/>
      <c r="AI506" s="799"/>
      <c r="AJ506" s="799"/>
      <c r="AK506" s="799"/>
      <c r="AL506" s="799"/>
      <c r="AM506" s="799"/>
      <c r="AN506" s="799"/>
      <c r="AO506" s="799"/>
      <c r="AP506" s="799"/>
      <c r="AQ506" s="799"/>
      <c r="AR506" s="799"/>
      <c r="AS506" s="799"/>
      <c r="AT506" s="799"/>
      <c r="AU506" s="799"/>
      <c r="AV506" s="799"/>
      <c r="AW506" s="799"/>
      <c r="AX506" s="799"/>
      <c r="AY506" s="799"/>
      <c r="AZ506" s="799"/>
      <c r="BA506" s="799"/>
      <c r="BB506" s="799"/>
      <c r="BC506" s="799"/>
      <c r="BD506" s="799"/>
      <c r="BE506" s="799"/>
      <c r="BF506" s="799"/>
      <c r="BG506" s="799"/>
    </row>
    <row r="507">
      <c r="H507" s="799"/>
      <c r="I507" s="799"/>
      <c r="J507" s="799"/>
      <c r="K507" s="799"/>
      <c r="L507" s="799"/>
      <c r="M507" s="799"/>
      <c r="N507" s="799"/>
      <c r="O507" s="799"/>
      <c r="P507" s="799"/>
      <c r="Q507" s="799"/>
      <c r="R507" s="799"/>
      <c r="S507" s="799"/>
      <c r="T507" s="799"/>
      <c r="U507" s="799"/>
      <c r="V507" s="799"/>
      <c r="W507" s="799"/>
      <c r="X507" s="799"/>
      <c r="Y507" s="799"/>
      <c r="Z507" s="799"/>
      <c r="AA507" s="799"/>
      <c r="AB507" s="799"/>
      <c r="AC507" s="799"/>
      <c r="AD507" s="799"/>
      <c r="AE507" s="799"/>
      <c r="AF507" s="799"/>
      <c r="AG507" s="799"/>
      <c r="AH507" s="799"/>
      <c r="AI507" s="799"/>
      <c r="AJ507" s="799"/>
      <c r="AK507" s="799"/>
      <c r="AL507" s="799"/>
      <c r="AM507" s="799"/>
      <c r="AN507" s="799"/>
      <c r="AO507" s="799"/>
      <c r="AP507" s="799"/>
      <c r="AQ507" s="799"/>
      <c r="AR507" s="799"/>
      <c r="AS507" s="799"/>
      <c r="AT507" s="799"/>
      <c r="AU507" s="799"/>
      <c r="AV507" s="799"/>
      <c r="AW507" s="799"/>
      <c r="AX507" s="799"/>
      <c r="AY507" s="799"/>
      <c r="AZ507" s="799"/>
      <c r="BA507" s="799"/>
      <c r="BB507" s="799"/>
      <c r="BC507" s="799"/>
      <c r="BD507" s="799"/>
      <c r="BE507" s="799"/>
      <c r="BF507" s="799"/>
      <c r="BG507" s="799"/>
    </row>
    <row r="508">
      <c r="H508" s="799"/>
      <c r="I508" s="799"/>
      <c r="J508" s="799"/>
      <c r="K508" s="799"/>
      <c r="L508" s="799"/>
      <c r="M508" s="799"/>
      <c r="N508" s="799"/>
      <c r="O508" s="799"/>
      <c r="P508" s="799"/>
      <c r="Q508" s="799"/>
      <c r="R508" s="799"/>
      <c r="S508" s="799"/>
      <c r="T508" s="799"/>
      <c r="U508" s="799"/>
      <c r="V508" s="799"/>
      <c r="W508" s="799"/>
      <c r="X508" s="799"/>
      <c r="Y508" s="799"/>
      <c r="Z508" s="799"/>
      <c r="AA508" s="799"/>
      <c r="AB508" s="799"/>
      <c r="AC508" s="799"/>
      <c r="AD508" s="799"/>
      <c r="AE508" s="799"/>
      <c r="AF508" s="799"/>
      <c r="AG508" s="799"/>
      <c r="AH508" s="799"/>
      <c r="AI508" s="799"/>
      <c r="AJ508" s="799"/>
      <c r="AK508" s="799"/>
      <c r="AL508" s="799"/>
      <c r="AM508" s="799"/>
      <c r="AN508" s="799"/>
      <c r="AO508" s="799"/>
      <c r="AP508" s="799"/>
      <c r="AQ508" s="799"/>
      <c r="AR508" s="799"/>
      <c r="AS508" s="799"/>
      <c r="AT508" s="799"/>
      <c r="AU508" s="799"/>
      <c r="AV508" s="799"/>
      <c r="AW508" s="799"/>
      <c r="AX508" s="799"/>
      <c r="AY508" s="799"/>
      <c r="AZ508" s="799"/>
      <c r="BA508" s="799"/>
      <c r="BB508" s="799"/>
      <c r="BC508" s="799"/>
      <c r="BD508" s="799"/>
      <c r="BE508" s="799"/>
      <c r="BF508" s="799"/>
      <c r="BG508" s="799"/>
    </row>
    <row r="509">
      <c r="H509" s="799"/>
      <c r="I509" s="799"/>
      <c r="J509" s="799"/>
      <c r="K509" s="799"/>
      <c r="L509" s="799"/>
      <c r="M509" s="799"/>
      <c r="N509" s="799"/>
      <c r="O509" s="799"/>
      <c r="P509" s="799"/>
      <c r="Q509" s="799"/>
      <c r="R509" s="799"/>
      <c r="S509" s="799"/>
      <c r="T509" s="799"/>
      <c r="U509" s="799"/>
      <c r="V509" s="799"/>
      <c r="W509" s="799"/>
      <c r="X509" s="799"/>
      <c r="Y509" s="799"/>
      <c r="Z509" s="799"/>
      <c r="AA509" s="799"/>
      <c r="AB509" s="799"/>
      <c r="AC509" s="799"/>
      <c r="AD509" s="799"/>
      <c r="AE509" s="799"/>
      <c r="AF509" s="799"/>
      <c r="AG509" s="799"/>
      <c r="AH509" s="799"/>
      <c r="AI509" s="799"/>
      <c r="AJ509" s="799"/>
      <c r="AK509" s="799"/>
      <c r="AL509" s="799"/>
      <c r="AM509" s="799"/>
      <c r="AN509" s="799"/>
      <c r="AO509" s="799"/>
      <c r="AP509" s="799"/>
      <c r="AQ509" s="799"/>
      <c r="AR509" s="799"/>
      <c r="AS509" s="799"/>
      <c r="AT509" s="799"/>
      <c r="AU509" s="799"/>
      <c r="AV509" s="799"/>
      <c r="AW509" s="799"/>
      <c r="AX509" s="799"/>
      <c r="AY509" s="799"/>
      <c r="AZ509" s="799"/>
      <c r="BA509" s="799"/>
      <c r="BB509" s="799"/>
      <c r="BC509" s="799"/>
      <c r="BD509" s="799"/>
      <c r="BE509" s="799"/>
      <c r="BF509" s="799"/>
      <c r="BG509" s="799"/>
    </row>
    <row r="510">
      <c r="H510" s="799"/>
      <c r="I510" s="799"/>
      <c r="J510" s="799"/>
      <c r="K510" s="799"/>
      <c r="L510" s="799"/>
      <c r="M510" s="799"/>
      <c r="N510" s="799"/>
      <c r="O510" s="799"/>
      <c r="P510" s="799"/>
      <c r="Q510" s="799"/>
      <c r="R510" s="799"/>
      <c r="S510" s="799"/>
      <c r="T510" s="799"/>
      <c r="U510" s="799"/>
      <c r="V510" s="799"/>
      <c r="W510" s="799"/>
      <c r="X510" s="799"/>
      <c r="Y510" s="799"/>
      <c r="Z510" s="799"/>
      <c r="AA510" s="799"/>
      <c r="AB510" s="799"/>
      <c r="AC510" s="799"/>
      <c r="AD510" s="799"/>
      <c r="AE510" s="799"/>
      <c r="AF510" s="799"/>
      <c r="AG510" s="799"/>
      <c r="AH510" s="799"/>
      <c r="AI510" s="799"/>
      <c r="AJ510" s="799"/>
      <c r="AK510" s="799"/>
      <c r="AL510" s="799"/>
      <c r="AM510" s="799"/>
      <c r="AN510" s="799"/>
      <c r="AO510" s="799"/>
      <c r="AP510" s="799"/>
      <c r="AQ510" s="799"/>
      <c r="AR510" s="799"/>
      <c r="AS510" s="799"/>
      <c r="AT510" s="799"/>
      <c r="AU510" s="799"/>
      <c r="AV510" s="799"/>
      <c r="AW510" s="799"/>
      <c r="AX510" s="799"/>
      <c r="AY510" s="799"/>
      <c r="AZ510" s="799"/>
      <c r="BA510" s="799"/>
      <c r="BB510" s="799"/>
      <c r="BC510" s="799"/>
      <c r="BD510" s="799"/>
      <c r="BE510" s="799"/>
      <c r="BF510" s="799"/>
      <c r="BG510" s="799"/>
    </row>
    <row r="511">
      <c r="H511" s="799"/>
      <c r="I511" s="799"/>
      <c r="J511" s="799"/>
      <c r="K511" s="799"/>
      <c r="L511" s="799"/>
      <c r="M511" s="799"/>
      <c r="N511" s="799"/>
      <c r="O511" s="799"/>
      <c r="P511" s="799"/>
      <c r="Q511" s="799"/>
      <c r="R511" s="799"/>
      <c r="S511" s="799"/>
      <c r="T511" s="799"/>
      <c r="U511" s="799"/>
      <c r="V511" s="799"/>
      <c r="W511" s="799"/>
      <c r="X511" s="799"/>
      <c r="Y511" s="799"/>
      <c r="Z511" s="799"/>
      <c r="AA511" s="799"/>
      <c r="AB511" s="799"/>
      <c r="AC511" s="799"/>
      <c r="AD511" s="799"/>
      <c r="AE511" s="799"/>
      <c r="AF511" s="799"/>
      <c r="AG511" s="799"/>
      <c r="AH511" s="799"/>
      <c r="AI511" s="799"/>
      <c r="AJ511" s="799"/>
      <c r="AK511" s="799"/>
      <c r="AL511" s="799"/>
      <c r="AM511" s="799"/>
      <c r="AN511" s="799"/>
      <c r="AO511" s="799"/>
      <c r="AP511" s="799"/>
      <c r="AQ511" s="799"/>
      <c r="AR511" s="799"/>
      <c r="AS511" s="799"/>
      <c r="AT511" s="799"/>
      <c r="AU511" s="799"/>
      <c r="AV511" s="799"/>
      <c r="AW511" s="799"/>
      <c r="AX511" s="799"/>
      <c r="AY511" s="799"/>
      <c r="AZ511" s="799"/>
      <c r="BA511" s="799"/>
      <c r="BB511" s="799"/>
      <c r="BC511" s="799"/>
      <c r="BD511" s="799"/>
      <c r="BE511" s="799"/>
      <c r="BF511" s="799"/>
      <c r="BG511" s="799"/>
    </row>
    <row r="512">
      <c r="H512" s="799"/>
      <c r="I512" s="799"/>
      <c r="J512" s="799"/>
      <c r="K512" s="799"/>
      <c r="L512" s="799"/>
      <c r="M512" s="799"/>
      <c r="N512" s="799"/>
      <c r="O512" s="799"/>
      <c r="P512" s="799"/>
      <c r="Q512" s="799"/>
      <c r="R512" s="799"/>
      <c r="S512" s="799"/>
      <c r="T512" s="799"/>
      <c r="U512" s="799"/>
      <c r="V512" s="799"/>
      <c r="W512" s="799"/>
      <c r="X512" s="799"/>
      <c r="Y512" s="799"/>
      <c r="Z512" s="799"/>
      <c r="AA512" s="799"/>
      <c r="AB512" s="799"/>
      <c r="AC512" s="799"/>
      <c r="AD512" s="799"/>
      <c r="AE512" s="799"/>
      <c r="AF512" s="799"/>
      <c r="AG512" s="799"/>
      <c r="AH512" s="799"/>
      <c r="AI512" s="799"/>
      <c r="AJ512" s="799"/>
      <c r="AK512" s="799"/>
      <c r="AL512" s="799"/>
      <c r="AM512" s="799"/>
      <c r="AN512" s="799"/>
      <c r="AO512" s="799"/>
      <c r="AP512" s="799"/>
      <c r="AQ512" s="799"/>
      <c r="AR512" s="799"/>
      <c r="AS512" s="799"/>
      <c r="AT512" s="799"/>
      <c r="AU512" s="799"/>
      <c r="AV512" s="799"/>
      <c r="AW512" s="799"/>
      <c r="AX512" s="799"/>
      <c r="AY512" s="799"/>
      <c r="AZ512" s="799"/>
      <c r="BA512" s="799"/>
      <c r="BB512" s="799"/>
      <c r="BC512" s="799"/>
      <c r="BD512" s="799"/>
      <c r="BE512" s="799"/>
      <c r="BF512" s="799"/>
      <c r="BG512" s="799"/>
    </row>
    <row r="513">
      <c r="H513" s="799"/>
      <c r="I513" s="799"/>
      <c r="J513" s="799"/>
      <c r="K513" s="799"/>
      <c r="L513" s="799"/>
      <c r="M513" s="799"/>
      <c r="N513" s="799"/>
      <c r="O513" s="799"/>
      <c r="P513" s="799"/>
      <c r="Q513" s="799"/>
      <c r="R513" s="799"/>
      <c r="S513" s="799"/>
      <c r="T513" s="799"/>
      <c r="U513" s="799"/>
      <c r="V513" s="799"/>
      <c r="W513" s="799"/>
      <c r="X513" s="799"/>
      <c r="Y513" s="799"/>
      <c r="Z513" s="799"/>
      <c r="AA513" s="799"/>
      <c r="AB513" s="799"/>
      <c r="AC513" s="799"/>
      <c r="AD513" s="799"/>
      <c r="AE513" s="799"/>
      <c r="AF513" s="799"/>
      <c r="AG513" s="799"/>
      <c r="AH513" s="799"/>
      <c r="AI513" s="799"/>
      <c r="AJ513" s="799"/>
      <c r="AK513" s="799"/>
      <c r="AL513" s="799"/>
      <c r="AM513" s="799"/>
      <c r="AN513" s="799"/>
      <c r="AO513" s="799"/>
      <c r="AP513" s="799"/>
      <c r="AQ513" s="799"/>
      <c r="AR513" s="799"/>
      <c r="AS513" s="799"/>
      <c r="AT513" s="799"/>
      <c r="AU513" s="799"/>
      <c r="AV513" s="799"/>
      <c r="AW513" s="799"/>
      <c r="AX513" s="799"/>
      <c r="AY513" s="799"/>
      <c r="AZ513" s="799"/>
      <c r="BA513" s="799"/>
      <c r="BB513" s="799"/>
      <c r="BC513" s="799"/>
      <c r="BD513" s="799"/>
      <c r="BE513" s="799"/>
      <c r="BF513" s="799"/>
      <c r="BG513" s="799"/>
    </row>
    <row r="514">
      <c r="H514" s="799"/>
      <c r="I514" s="799"/>
      <c r="J514" s="799"/>
      <c r="K514" s="799"/>
      <c r="L514" s="799"/>
      <c r="M514" s="799"/>
      <c r="N514" s="799"/>
      <c r="O514" s="799"/>
      <c r="P514" s="799"/>
      <c r="Q514" s="799"/>
      <c r="R514" s="799"/>
      <c r="S514" s="799"/>
      <c r="T514" s="799"/>
      <c r="U514" s="799"/>
      <c r="V514" s="799"/>
      <c r="W514" s="799"/>
      <c r="X514" s="799"/>
      <c r="Y514" s="799"/>
      <c r="Z514" s="799"/>
      <c r="AA514" s="799"/>
      <c r="AB514" s="799"/>
      <c r="AC514" s="799"/>
      <c r="AD514" s="799"/>
      <c r="AE514" s="799"/>
      <c r="AF514" s="799"/>
      <c r="AG514" s="799"/>
      <c r="AH514" s="799"/>
      <c r="AI514" s="799"/>
      <c r="AJ514" s="799"/>
      <c r="AK514" s="799"/>
      <c r="AL514" s="799"/>
      <c r="AM514" s="799"/>
      <c r="AN514" s="799"/>
      <c r="AO514" s="799"/>
      <c r="AP514" s="799"/>
      <c r="AQ514" s="799"/>
      <c r="AR514" s="799"/>
      <c r="AS514" s="799"/>
      <c r="AT514" s="799"/>
      <c r="AU514" s="799"/>
      <c r="AV514" s="799"/>
      <c r="AW514" s="799"/>
      <c r="AX514" s="799"/>
      <c r="AY514" s="799"/>
      <c r="AZ514" s="799"/>
      <c r="BA514" s="799"/>
      <c r="BB514" s="799"/>
      <c r="BC514" s="799"/>
      <c r="BD514" s="799"/>
      <c r="BE514" s="799"/>
      <c r="BF514" s="799"/>
      <c r="BG514" s="799"/>
    </row>
    <row r="515">
      <c r="H515" s="799"/>
      <c r="I515" s="799"/>
      <c r="J515" s="799"/>
      <c r="K515" s="799"/>
      <c r="L515" s="799"/>
      <c r="M515" s="799"/>
      <c r="N515" s="799"/>
      <c r="O515" s="799"/>
      <c r="P515" s="799"/>
      <c r="Q515" s="799"/>
      <c r="R515" s="799"/>
      <c r="S515" s="799"/>
      <c r="T515" s="799"/>
      <c r="U515" s="799"/>
      <c r="V515" s="799"/>
      <c r="W515" s="799"/>
      <c r="X515" s="799"/>
      <c r="Y515" s="799"/>
      <c r="Z515" s="799"/>
      <c r="AA515" s="799"/>
      <c r="AB515" s="799"/>
      <c r="AC515" s="799"/>
      <c r="AD515" s="799"/>
      <c r="AE515" s="799"/>
      <c r="AF515" s="799"/>
      <c r="AG515" s="799"/>
      <c r="AH515" s="799"/>
      <c r="AI515" s="799"/>
      <c r="AJ515" s="799"/>
      <c r="AK515" s="799"/>
      <c r="AL515" s="799"/>
      <c r="AM515" s="799"/>
      <c r="AN515" s="799"/>
      <c r="AO515" s="799"/>
      <c r="AP515" s="799"/>
      <c r="AQ515" s="799"/>
      <c r="AR515" s="799"/>
      <c r="AS515" s="799"/>
      <c r="AT515" s="799"/>
      <c r="AU515" s="799"/>
      <c r="AV515" s="799"/>
      <c r="AW515" s="799"/>
      <c r="AX515" s="799"/>
      <c r="AY515" s="799"/>
      <c r="AZ515" s="799"/>
      <c r="BA515" s="799"/>
      <c r="BB515" s="799"/>
      <c r="BC515" s="799"/>
      <c r="BD515" s="799"/>
      <c r="BE515" s="799"/>
      <c r="BF515" s="799"/>
      <c r="BG515" s="799"/>
    </row>
    <row r="516">
      <c r="H516" s="799"/>
      <c r="I516" s="799"/>
      <c r="J516" s="799"/>
      <c r="K516" s="799"/>
      <c r="L516" s="799"/>
      <c r="M516" s="799"/>
      <c r="N516" s="799"/>
      <c r="O516" s="799"/>
      <c r="P516" s="799"/>
      <c r="Q516" s="799"/>
      <c r="R516" s="799"/>
      <c r="S516" s="799"/>
      <c r="T516" s="799"/>
      <c r="U516" s="799"/>
      <c r="V516" s="799"/>
      <c r="W516" s="799"/>
      <c r="X516" s="799"/>
      <c r="Y516" s="799"/>
      <c r="Z516" s="799"/>
      <c r="AA516" s="799"/>
      <c r="AB516" s="799"/>
      <c r="AC516" s="799"/>
      <c r="AD516" s="799"/>
      <c r="AE516" s="799"/>
      <c r="AF516" s="799"/>
      <c r="AG516" s="799"/>
      <c r="AH516" s="799"/>
      <c r="AI516" s="799"/>
      <c r="AJ516" s="799"/>
      <c r="AK516" s="799"/>
      <c r="AL516" s="799"/>
      <c r="AM516" s="799"/>
      <c r="AN516" s="799"/>
      <c r="AO516" s="799"/>
      <c r="AP516" s="799"/>
      <c r="AQ516" s="799"/>
      <c r="AR516" s="799"/>
      <c r="AS516" s="799"/>
      <c r="AT516" s="799"/>
      <c r="AU516" s="799"/>
      <c r="AV516" s="799"/>
      <c r="AW516" s="799"/>
      <c r="AX516" s="799"/>
      <c r="AY516" s="799"/>
      <c r="AZ516" s="799"/>
      <c r="BA516" s="799"/>
      <c r="BB516" s="799"/>
      <c r="BC516" s="799"/>
      <c r="BD516" s="799"/>
      <c r="BE516" s="799"/>
      <c r="BF516" s="799"/>
      <c r="BG516" s="799"/>
    </row>
    <row r="517">
      <c r="H517" s="799"/>
      <c r="I517" s="799"/>
      <c r="J517" s="799"/>
      <c r="K517" s="799"/>
      <c r="L517" s="799"/>
      <c r="M517" s="799"/>
      <c r="N517" s="799"/>
      <c r="O517" s="799"/>
      <c r="P517" s="799"/>
      <c r="Q517" s="799"/>
      <c r="R517" s="799"/>
      <c r="S517" s="799"/>
      <c r="T517" s="799"/>
      <c r="U517" s="799"/>
      <c r="V517" s="799"/>
      <c r="W517" s="799"/>
      <c r="X517" s="799"/>
      <c r="Y517" s="799"/>
      <c r="Z517" s="799"/>
      <c r="AA517" s="799"/>
      <c r="AB517" s="799"/>
      <c r="AC517" s="799"/>
      <c r="AD517" s="799"/>
      <c r="AE517" s="799"/>
      <c r="AF517" s="799"/>
      <c r="AG517" s="799"/>
      <c r="AH517" s="799"/>
      <c r="AI517" s="799"/>
      <c r="AJ517" s="799"/>
      <c r="AK517" s="799"/>
      <c r="AL517" s="799"/>
      <c r="AM517" s="799"/>
      <c r="AN517" s="799"/>
      <c r="AO517" s="799"/>
      <c r="AP517" s="799"/>
      <c r="AQ517" s="799"/>
      <c r="AR517" s="799"/>
      <c r="AS517" s="799"/>
      <c r="AT517" s="799"/>
      <c r="AU517" s="799"/>
      <c r="AV517" s="799"/>
      <c r="AW517" s="799"/>
      <c r="AX517" s="799"/>
      <c r="AY517" s="799"/>
      <c r="AZ517" s="799"/>
      <c r="BA517" s="799"/>
      <c r="BB517" s="799"/>
      <c r="BC517" s="799"/>
      <c r="BD517" s="799"/>
      <c r="BE517" s="799"/>
      <c r="BF517" s="799"/>
      <c r="BG517" s="799"/>
    </row>
    <row r="518">
      <c r="H518" s="799"/>
      <c r="I518" s="799"/>
      <c r="J518" s="799"/>
      <c r="K518" s="799"/>
      <c r="L518" s="799"/>
      <c r="M518" s="799"/>
      <c r="N518" s="799"/>
      <c r="O518" s="799"/>
      <c r="P518" s="799"/>
      <c r="Q518" s="799"/>
      <c r="R518" s="799"/>
      <c r="S518" s="799"/>
      <c r="T518" s="799"/>
      <c r="U518" s="799"/>
      <c r="V518" s="799"/>
      <c r="W518" s="799"/>
      <c r="X518" s="799"/>
      <c r="Y518" s="799"/>
      <c r="Z518" s="799"/>
      <c r="AA518" s="799"/>
      <c r="AB518" s="799"/>
      <c r="AC518" s="799"/>
      <c r="AD518" s="799"/>
      <c r="AE518" s="799"/>
      <c r="AF518" s="799"/>
      <c r="AG518" s="799"/>
      <c r="AH518" s="799"/>
      <c r="AI518" s="799"/>
      <c r="AJ518" s="799"/>
      <c r="AK518" s="799"/>
      <c r="AL518" s="799"/>
      <c r="AM518" s="799"/>
      <c r="AN518" s="799"/>
      <c r="AO518" s="799"/>
      <c r="AP518" s="799"/>
      <c r="AQ518" s="799"/>
      <c r="AR518" s="799"/>
      <c r="AS518" s="799"/>
      <c r="AT518" s="799"/>
      <c r="AU518" s="799"/>
      <c r="AV518" s="799"/>
      <c r="AW518" s="799"/>
      <c r="AX518" s="799"/>
      <c r="AY518" s="799"/>
      <c r="AZ518" s="799"/>
      <c r="BA518" s="799"/>
      <c r="BB518" s="799"/>
      <c r="BC518" s="799"/>
      <c r="BD518" s="799"/>
      <c r="BE518" s="799"/>
      <c r="BF518" s="799"/>
      <c r="BG518" s="799"/>
    </row>
    <row r="519">
      <c r="H519" s="799"/>
      <c r="I519" s="799"/>
      <c r="J519" s="799"/>
      <c r="K519" s="799"/>
      <c r="L519" s="799"/>
      <c r="M519" s="799"/>
      <c r="N519" s="799"/>
      <c r="O519" s="799"/>
      <c r="P519" s="799"/>
      <c r="Q519" s="799"/>
      <c r="R519" s="799"/>
      <c r="S519" s="799"/>
      <c r="T519" s="799"/>
      <c r="U519" s="799"/>
      <c r="V519" s="799"/>
      <c r="W519" s="799"/>
      <c r="X519" s="799"/>
      <c r="Y519" s="799"/>
      <c r="Z519" s="799"/>
      <c r="AA519" s="799"/>
      <c r="AB519" s="799"/>
      <c r="AC519" s="799"/>
      <c r="AD519" s="799"/>
      <c r="AE519" s="799"/>
      <c r="AF519" s="799"/>
      <c r="AG519" s="799"/>
      <c r="AH519" s="799"/>
      <c r="AI519" s="799"/>
      <c r="AJ519" s="799"/>
      <c r="AK519" s="799"/>
      <c r="AL519" s="799"/>
      <c r="AM519" s="799"/>
      <c r="AN519" s="799"/>
      <c r="AO519" s="799"/>
      <c r="AP519" s="799"/>
      <c r="AQ519" s="799"/>
      <c r="AR519" s="799"/>
      <c r="AS519" s="799"/>
      <c r="AT519" s="799"/>
      <c r="AU519" s="799"/>
      <c r="AV519" s="799"/>
      <c r="AW519" s="799"/>
      <c r="AX519" s="799"/>
      <c r="AY519" s="799"/>
      <c r="AZ519" s="799"/>
      <c r="BA519" s="799"/>
      <c r="BB519" s="799"/>
      <c r="BC519" s="799"/>
      <c r="BD519" s="799"/>
      <c r="BE519" s="799"/>
      <c r="BF519" s="799"/>
      <c r="BG519" s="799"/>
    </row>
    <row r="520">
      <c r="H520" s="799"/>
      <c r="I520" s="799"/>
      <c r="J520" s="799"/>
      <c r="K520" s="799"/>
      <c r="L520" s="799"/>
      <c r="M520" s="799"/>
      <c r="N520" s="799"/>
      <c r="O520" s="799"/>
      <c r="P520" s="799"/>
      <c r="Q520" s="799"/>
      <c r="R520" s="799"/>
      <c r="S520" s="799"/>
      <c r="T520" s="799"/>
      <c r="U520" s="799"/>
      <c r="V520" s="799"/>
      <c r="W520" s="799"/>
      <c r="X520" s="799"/>
      <c r="Y520" s="799"/>
      <c r="Z520" s="799"/>
      <c r="AA520" s="799"/>
      <c r="AB520" s="799"/>
      <c r="AC520" s="799"/>
      <c r="AD520" s="799"/>
      <c r="AE520" s="799"/>
      <c r="AF520" s="799"/>
      <c r="AG520" s="799"/>
      <c r="AH520" s="799"/>
      <c r="AI520" s="799"/>
      <c r="AJ520" s="799"/>
      <c r="AK520" s="799"/>
      <c r="AL520" s="799"/>
      <c r="AM520" s="799"/>
      <c r="AN520" s="799"/>
      <c r="AO520" s="799"/>
      <c r="AP520" s="799"/>
      <c r="AQ520" s="799"/>
      <c r="AR520" s="799"/>
      <c r="AS520" s="799"/>
      <c r="AT520" s="799"/>
      <c r="AU520" s="799"/>
      <c r="AV520" s="799"/>
      <c r="AW520" s="799"/>
      <c r="AX520" s="799"/>
      <c r="AY520" s="799"/>
      <c r="AZ520" s="799"/>
      <c r="BA520" s="799"/>
      <c r="BB520" s="799"/>
      <c r="BC520" s="799"/>
      <c r="BD520" s="799"/>
      <c r="BE520" s="799"/>
      <c r="BF520" s="799"/>
      <c r="BG520" s="799"/>
    </row>
    <row r="521">
      <c r="H521" s="799"/>
      <c r="I521" s="799"/>
      <c r="J521" s="799"/>
      <c r="K521" s="799"/>
      <c r="L521" s="799"/>
      <c r="M521" s="799"/>
      <c r="N521" s="799"/>
      <c r="O521" s="799"/>
      <c r="P521" s="799"/>
      <c r="Q521" s="799"/>
      <c r="R521" s="799"/>
      <c r="S521" s="799"/>
      <c r="T521" s="799"/>
      <c r="U521" s="799"/>
      <c r="V521" s="799"/>
      <c r="W521" s="799"/>
      <c r="X521" s="799"/>
      <c r="Y521" s="799"/>
      <c r="Z521" s="799"/>
      <c r="AA521" s="799"/>
      <c r="AB521" s="799"/>
      <c r="AC521" s="799"/>
      <c r="AD521" s="799"/>
      <c r="AE521" s="799"/>
      <c r="AF521" s="799"/>
      <c r="AG521" s="799"/>
      <c r="AH521" s="799"/>
      <c r="AI521" s="799"/>
      <c r="AJ521" s="799"/>
      <c r="AK521" s="799"/>
      <c r="AL521" s="799"/>
      <c r="AM521" s="799"/>
      <c r="AN521" s="799"/>
      <c r="AO521" s="799"/>
      <c r="AP521" s="799"/>
      <c r="AQ521" s="799"/>
      <c r="AR521" s="799"/>
      <c r="AS521" s="799"/>
      <c r="AT521" s="799"/>
      <c r="AU521" s="799"/>
      <c r="AV521" s="799"/>
      <c r="AW521" s="799"/>
      <c r="AX521" s="799"/>
      <c r="AY521" s="799"/>
      <c r="AZ521" s="799"/>
      <c r="BA521" s="799"/>
      <c r="BB521" s="799"/>
      <c r="BC521" s="799"/>
      <c r="BD521" s="799"/>
      <c r="BE521" s="799"/>
      <c r="BF521" s="799"/>
      <c r="BG521" s="799"/>
    </row>
    <row r="522">
      <c r="H522" s="799"/>
      <c r="I522" s="799"/>
      <c r="J522" s="799"/>
      <c r="K522" s="799"/>
      <c r="L522" s="799"/>
      <c r="M522" s="799"/>
      <c r="N522" s="799"/>
      <c r="O522" s="799"/>
      <c r="P522" s="799"/>
      <c r="Q522" s="799"/>
      <c r="R522" s="799"/>
      <c r="S522" s="799"/>
      <c r="T522" s="799"/>
      <c r="U522" s="799"/>
      <c r="V522" s="799"/>
      <c r="W522" s="799"/>
      <c r="X522" s="799"/>
      <c r="Y522" s="799"/>
      <c r="Z522" s="799"/>
      <c r="AA522" s="799"/>
      <c r="AB522" s="799"/>
      <c r="AC522" s="799"/>
      <c r="AD522" s="799"/>
      <c r="AE522" s="799"/>
      <c r="AF522" s="799"/>
      <c r="AG522" s="799"/>
      <c r="AH522" s="799"/>
      <c r="AI522" s="799"/>
      <c r="AJ522" s="799"/>
      <c r="AK522" s="799"/>
      <c r="AL522" s="799"/>
      <c r="AM522" s="799"/>
      <c r="AN522" s="799"/>
      <c r="AO522" s="799"/>
      <c r="AP522" s="799"/>
      <c r="AQ522" s="799"/>
      <c r="AR522" s="799"/>
      <c r="AS522" s="799"/>
      <c r="AT522" s="799"/>
      <c r="AU522" s="799"/>
      <c r="AV522" s="799"/>
      <c r="AW522" s="799"/>
      <c r="AX522" s="799"/>
      <c r="AY522" s="799"/>
      <c r="AZ522" s="799"/>
      <c r="BA522" s="799"/>
      <c r="BB522" s="799"/>
      <c r="BC522" s="799"/>
      <c r="BD522" s="799"/>
      <c r="BE522" s="799"/>
      <c r="BF522" s="799"/>
      <c r="BG522" s="799"/>
    </row>
    <row r="523">
      <c r="H523" s="799"/>
      <c r="I523" s="799"/>
      <c r="J523" s="799"/>
      <c r="K523" s="799"/>
      <c r="L523" s="799"/>
      <c r="M523" s="799"/>
      <c r="N523" s="799"/>
      <c r="O523" s="799"/>
      <c r="P523" s="799"/>
      <c r="Q523" s="799"/>
      <c r="R523" s="799"/>
      <c r="S523" s="799"/>
      <c r="T523" s="799"/>
      <c r="U523" s="799"/>
      <c r="V523" s="799"/>
      <c r="W523" s="799"/>
      <c r="X523" s="799"/>
      <c r="Y523" s="799"/>
      <c r="Z523" s="799"/>
      <c r="AA523" s="799"/>
      <c r="AB523" s="799"/>
      <c r="AC523" s="799"/>
      <c r="AD523" s="799"/>
      <c r="AE523" s="799"/>
      <c r="AF523" s="799"/>
      <c r="AG523" s="799"/>
      <c r="AH523" s="799"/>
      <c r="AI523" s="799"/>
      <c r="AJ523" s="799"/>
      <c r="AK523" s="799"/>
      <c r="AL523" s="799"/>
      <c r="AM523" s="799"/>
      <c r="AN523" s="799"/>
      <c r="AO523" s="799"/>
      <c r="AP523" s="799"/>
      <c r="AQ523" s="799"/>
      <c r="AR523" s="799"/>
      <c r="AS523" s="799"/>
      <c r="AT523" s="799"/>
      <c r="AU523" s="799"/>
      <c r="AV523" s="799"/>
      <c r="AW523" s="799"/>
      <c r="AX523" s="799"/>
      <c r="AY523" s="799"/>
      <c r="AZ523" s="799"/>
      <c r="BA523" s="799"/>
      <c r="BB523" s="799"/>
      <c r="BC523" s="799"/>
      <c r="BD523" s="799"/>
      <c r="BE523" s="799"/>
      <c r="BF523" s="799"/>
      <c r="BG523" s="799"/>
    </row>
    <row r="524">
      <c r="H524" s="799"/>
      <c r="I524" s="799"/>
      <c r="J524" s="799"/>
      <c r="K524" s="799"/>
      <c r="L524" s="799"/>
      <c r="M524" s="799"/>
      <c r="N524" s="799"/>
      <c r="O524" s="799"/>
      <c r="P524" s="799"/>
      <c r="Q524" s="799"/>
      <c r="R524" s="799"/>
      <c r="S524" s="799"/>
      <c r="T524" s="799"/>
      <c r="U524" s="799"/>
      <c r="V524" s="799"/>
      <c r="W524" s="799"/>
      <c r="X524" s="799"/>
      <c r="Y524" s="799"/>
      <c r="Z524" s="799"/>
      <c r="AA524" s="799"/>
      <c r="AB524" s="799"/>
      <c r="AC524" s="799"/>
      <c r="AD524" s="799"/>
      <c r="AE524" s="799"/>
      <c r="AF524" s="799"/>
      <c r="AG524" s="799"/>
      <c r="AH524" s="799"/>
      <c r="AI524" s="799"/>
      <c r="AJ524" s="799"/>
      <c r="AK524" s="799"/>
      <c r="AL524" s="799"/>
      <c r="AM524" s="799"/>
      <c r="AN524" s="799"/>
      <c r="AO524" s="799"/>
      <c r="AP524" s="799"/>
      <c r="AQ524" s="799"/>
      <c r="AR524" s="799"/>
      <c r="AS524" s="799"/>
      <c r="AT524" s="799"/>
      <c r="AU524" s="799"/>
      <c r="AV524" s="799"/>
      <c r="AW524" s="799"/>
      <c r="AX524" s="799"/>
      <c r="AY524" s="799"/>
      <c r="AZ524" s="799"/>
      <c r="BA524" s="799"/>
      <c r="BB524" s="799"/>
      <c r="BC524" s="799"/>
      <c r="BD524" s="799"/>
      <c r="BE524" s="799"/>
      <c r="BF524" s="799"/>
      <c r="BG524" s="799"/>
    </row>
    <row r="525">
      <c r="H525" s="799"/>
      <c r="I525" s="799"/>
      <c r="J525" s="799"/>
      <c r="K525" s="799"/>
      <c r="L525" s="799"/>
      <c r="M525" s="799"/>
      <c r="N525" s="799"/>
      <c r="O525" s="799"/>
      <c r="P525" s="799"/>
      <c r="Q525" s="799"/>
      <c r="R525" s="799"/>
      <c r="S525" s="799"/>
      <c r="T525" s="799"/>
      <c r="U525" s="799"/>
      <c r="V525" s="799"/>
      <c r="W525" s="799"/>
      <c r="X525" s="799"/>
      <c r="Y525" s="799"/>
      <c r="Z525" s="799"/>
      <c r="AA525" s="799"/>
      <c r="AB525" s="799"/>
      <c r="AC525" s="799"/>
      <c r="AD525" s="799"/>
      <c r="AE525" s="799"/>
      <c r="AF525" s="799"/>
      <c r="AG525" s="799"/>
      <c r="AH525" s="799"/>
      <c r="AI525" s="799"/>
      <c r="AJ525" s="799"/>
      <c r="AK525" s="799"/>
      <c r="AL525" s="799"/>
      <c r="AM525" s="799"/>
      <c r="AN525" s="799"/>
      <c r="AO525" s="799"/>
      <c r="AP525" s="799"/>
      <c r="AQ525" s="799"/>
      <c r="AR525" s="799"/>
      <c r="AS525" s="799"/>
      <c r="AT525" s="799"/>
      <c r="AU525" s="799"/>
      <c r="AV525" s="799"/>
      <c r="AW525" s="799"/>
      <c r="AX525" s="799"/>
      <c r="AY525" s="799"/>
      <c r="AZ525" s="799"/>
      <c r="BA525" s="799"/>
      <c r="BB525" s="799"/>
      <c r="BC525" s="799"/>
      <c r="BD525" s="799"/>
      <c r="BE525" s="799"/>
      <c r="BF525" s="799"/>
      <c r="BG525" s="799"/>
    </row>
    <row r="526">
      <c r="H526" s="799"/>
      <c r="I526" s="799"/>
      <c r="J526" s="799"/>
      <c r="K526" s="799"/>
      <c r="L526" s="799"/>
      <c r="M526" s="799"/>
      <c r="N526" s="799"/>
      <c r="O526" s="799"/>
      <c r="P526" s="799"/>
      <c r="Q526" s="799"/>
      <c r="R526" s="799"/>
      <c r="S526" s="799"/>
      <c r="T526" s="799"/>
      <c r="U526" s="799"/>
      <c r="V526" s="799"/>
      <c r="W526" s="799"/>
      <c r="X526" s="799"/>
      <c r="Y526" s="799"/>
      <c r="Z526" s="799"/>
      <c r="AA526" s="799"/>
      <c r="AB526" s="799"/>
      <c r="AC526" s="799"/>
      <c r="AD526" s="799"/>
      <c r="AE526" s="799"/>
      <c r="AF526" s="799"/>
      <c r="AG526" s="799"/>
      <c r="AH526" s="799"/>
      <c r="AI526" s="799"/>
      <c r="AJ526" s="799"/>
      <c r="AK526" s="799"/>
      <c r="AL526" s="799"/>
      <c r="AM526" s="799"/>
      <c r="AN526" s="799"/>
      <c r="AO526" s="799"/>
      <c r="AP526" s="799"/>
      <c r="AQ526" s="799"/>
      <c r="AR526" s="799"/>
      <c r="AS526" s="799"/>
      <c r="AT526" s="799"/>
      <c r="AU526" s="799"/>
      <c r="AV526" s="799"/>
      <c r="AW526" s="799"/>
      <c r="AX526" s="799"/>
      <c r="AY526" s="799"/>
      <c r="AZ526" s="799"/>
      <c r="BA526" s="799"/>
      <c r="BB526" s="799"/>
      <c r="BC526" s="799"/>
      <c r="BD526" s="799"/>
      <c r="BE526" s="799"/>
      <c r="BF526" s="799"/>
      <c r="BG526" s="799"/>
    </row>
    <row r="527">
      <c r="H527" s="799"/>
      <c r="I527" s="799"/>
      <c r="J527" s="799"/>
      <c r="K527" s="799"/>
      <c r="L527" s="799"/>
      <c r="M527" s="799"/>
      <c r="N527" s="799"/>
      <c r="O527" s="799"/>
      <c r="P527" s="799"/>
      <c r="Q527" s="799"/>
      <c r="R527" s="799"/>
      <c r="S527" s="799"/>
      <c r="T527" s="799"/>
      <c r="U527" s="799"/>
      <c r="V527" s="799"/>
      <c r="W527" s="799"/>
      <c r="X527" s="799"/>
      <c r="Y527" s="799"/>
      <c r="Z527" s="799"/>
      <c r="AA527" s="799"/>
      <c r="AB527" s="799"/>
      <c r="AC527" s="799"/>
      <c r="AD527" s="799"/>
      <c r="AE527" s="799"/>
      <c r="AF527" s="799"/>
      <c r="AG527" s="799"/>
      <c r="AH527" s="799"/>
      <c r="AI527" s="799"/>
      <c r="AJ527" s="799"/>
      <c r="AK527" s="799"/>
      <c r="AL527" s="799"/>
      <c r="AM527" s="799"/>
      <c r="AN527" s="799"/>
      <c r="AO527" s="799"/>
      <c r="AP527" s="799"/>
      <c r="AQ527" s="799"/>
      <c r="AR527" s="799"/>
      <c r="AS527" s="799"/>
      <c r="AT527" s="799"/>
      <c r="AU527" s="799"/>
      <c r="AV527" s="799"/>
      <c r="AW527" s="799"/>
      <c r="AX527" s="799"/>
      <c r="AY527" s="799"/>
      <c r="AZ527" s="799"/>
      <c r="BA527" s="799"/>
      <c r="BB527" s="799"/>
      <c r="BC527" s="799"/>
      <c r="BD527" s="799"/>
      <c r="BE527" s="799"/>
      <c r="BF527" s="799"/>
      <c r="BG527" s="799"/>
    </row>
    <row r="528">
      <c r="H528" s="799"/>
      <c r="I528" s="799"/>
      <c r="J528" s="799"/>
      <c r="K528" s="799"/>
      <c r="L528" s="799"/>
      <c r="M528" s="799"/>
      <c r="N528" s="799"/>
      <c r="O528" s="799"/>
      <c r="P528" s="799"/>
      <c r="Q528" s="799"/>
      <c r="R528" s="799"/>
      <c r="S528" s="799"/>
      <c r="T528" s="799"/>
      <c r="U528" s="799"/>
      <c r="V528" s="799"/>
      <c r="W528" s="799"/>
      <c r="X528" s="799"/>
      <c r="Y528" s="799"/>
      <c r="Z528" s="799"/>
      <c r="AA528" s="799"/>
      <c r="AB528" s="799"/>
      <c r="AC528" s="799"/>
      <c r="AD528" s="799"/>
      <c r="AE528" s="799"/>
      <c r="AF528" s="799"/>
      <c r="AG528" s="799"/>
      <c r="AH528" s="799"/>
      <c r="AI528" s="799"/>
      <c r="AJ528" s="799"/>
      <c r="AK528" s="799"/>
      <c r="AL528" s="799"/>
      <c r="AM528" s="799"/>
      <c r="AN528" s="799"/>
      <c r="AO528" s="799"/>
      <c r="AP528" s="799"/>
      <c r="AQ528" s="799"/>
      <c r="AR528" s="799"/>
      <c r="AS528" s="799"/>
      <c r="AT528" s="799"/>
      <c r="AU528" s="799"/>
      <c r="AV528" s="799"/>
      <c r="AW528" s="799"/>
      <c r="AX528" s="799"/>
      <c r="AY528" s="799"/>
      <c r="AZ528" s="799"/>
      <c r="BA528" s="799"/>
      <c r="BB528" s="799"/>
      <c r="BC528" s="799"/>
      <c r="BD528" s="799"/>
      <c r="BE528" s="799"/>
      <c r="BF528" s="799"/>
      <c r="BG528" s="799"/>
    </row>
    <row r="529">
      <c r="H529" s="799"/>
      <c r="I529" s="799"/>
      <c r="J529" s="799"/>
      <c r="K529" s="799"/>
      <c r="L529" s="799"/>
      <c r="M529" s="799"/>
      <c r="N529" s="799"/>
      <c r="O529" s="799"/>
      <c r="P529" s="799"/>
      <c r="Q529" s="799"/>
      <c r="R529" s="799"/>
      <c r="S529" s="799"/>
      <c r="T529" s="799"/>
      <c r="U529" s="799"/>
      <c r="V529" s="799"/>
      <c r="W529" s="799"/>
      <c r="X529" s="799"/>
      <c r="Y529" s="799"/>
      <c r="Z529" s="799"/>
      <c r="AA529" s="799"/>
      <c r="AB529" s="799"/>
      <c r="AC529" s="799"/>
      <c r="AD529" s="799"/>
      <c r="AE529" s="799"/>
      <c r="AF529" s="799"/>
      <c r="AG529" s="799"/>
      <c r="AH529" s="799"/>
      <c r="AI529" s="799"/>
      <c r="AJ529" s="799"/>
      <c r="AK529" s="799"/>
      <c r="AL529" s="799"/>
      <c r="AM529" s="799"/>
      <c r="AN529" s="799"/>
      <c r="AO529" s="799"/>
      <c r="AP529" s="799"/>
      <c r="AQ529" s="799"/>
      <c r="AR529" s="799"/>
      <c r="AS529" s="799"/>
      <c r="AT529" s="799"/>
      <c r="AU529" s="799"/>
      <c r="AV529" s="799"/>
      <c r="AW529" s="799"/>
      <c r="AX529" s="799"/>
      <c r="AY529" s="799"/>
      <c r="AZ529" s="799"/>
      <c r="BA529" s="799"/>
      <c r="BB529" s="799"/>
      <c r="BC529" s="799"/>
      <c r="BD529" s="799"/>
      <c r="BE529" s="799"/>
      <c r="BF529" s="799"/>
      <c r="BG529" s="799"/>
    </row>
    <row r="530">
      <c r="H530" s="799"/>
      <c r="I530" s="799"/>
      <c r="J530" s="799"/>
      <c r="K530" s="799"/>
      <c r="L530" s="799"/>
      <c r="M530" s="799"/>
      <c r="N530" s="799"/>
      <c r="O530" s="799"/>
      <c r="P530" s="799"/>
      <c r="Q530" s="799"/>
      <c r="R530" s="799"/>
      <c r="S530" s="799"/>
      <c r="T530" s="799"/>
      <c r="U530" s="799"/>
      <c r="V530" s="799"/>
      <c r="W530" s="799"/>
      <c r="X530" s="799"/>
      <c r="Y530" s="799"/>
      <c r="Z530" s="799"/>
      <c r="AA530" s="799"/>
      <c r="AB530" s="799"/>
      <c r="AC530" s="799"/>
      <c r="AD530" s="799"/>
      <c r="AE530" s="799"/>
      <c r="AF530" s="799"/>
      <c r="AG530" s="799"/>
      <c r="AH530" s="799"/>
      <c r="AI530" s="799"/>
      <c r="AJ530" s="799"/>
      <c r="AK530" s="799"/>
      <c r="AL530" s="799"/>
      <c r="AM530" s="799"/>
      <c r="AN530" s="799"/>
      <c r="AO530" s="799"/>
      <c r="AP530" s="799"/>
      <c r="AQ530" s="799"/>
      <c r="AR530" s="799"/>
      <c r="AS530" s="799"/>
      <c r="AT530" s="799"/>
      <c r="AU530" s="799"/>
      <c r="AV530" s="799"/>
      <c r="AW530" s="799"/>
      <c r="AX530" s="799"/>
      <c r="AY530" s="799"/>
      <c r="AZ530" s="799"/>
      <c r="BA530" s="799"/>
      <c r="BB530" s="799"/>
      <c r="BC530" s="799"/>
      <c r="BD530" s="799"/>
      <c r="BE530" s="799"/>
      <c r="BF530" s="799"/>
      <c r="BG530" s="799"/>
    </row>
    <row r="531">
      <c r="H531" s="799"/>
      <c r="I531" s="799"/>
      <c r="J531" s="799"/>
      <c r="K531" s="799"/>
      <c r="L531" s="799"/>
      <c r="M531" s="799"/>
      <c r="N531" s="799"/>
      <c r="O531" s="799"/>
      <c r="P531" s="799"/>
      <c r="Q531" s="799"/>
      <c r="R531" s="799"/>
      <c r="S531" s="799"/>
      <c r="T531" s="799"/>
      <c r="U531" s="799"/>
      <c r="V531" s="799"/>
      <c r="W531" s="799"/>
      <c r="X531" s="799"/>
      <c r="Y531" s="799"/>
      <c r="Z531" s="799"/>
      <c r="AA531" s="799"/>
      <c r="AB531" s="799"/>
      <c r="AC531" s="799"/>
      <c r="AD531" s="799"/>
      <c r="AE531" s="799"/>
      <c r="AF531" s="799"/>
      <c r="AG531" s="799"/>
      <c r="AH531" s="799"/>
      <c r="AI531" s="799"/>
      <c r="AJ531" s="799"/>
      <c r="AK531" s="799"/>
      <c r="AL531" s="799"/>
      <c r="AM531" s="799"/>
      <c r="AN531" s="799"/>
      <c r="AO531" s="799"/>
      <c r="AP531" s="799"/>
      <c r="AQ531" s="799"/>
      <c r="AR531" s="799"/>
      <c r="AS531" s="799"/>
      <c r="AT531" s="799"/>
      <c r="AU531" s="799"/>
      <c r="AV531" s="799"/>
      <c r="AW531" s="799"/>
      <c r="AX531" s="799"/>
      <c r="AY531" s="799"/>
      <c r="AZ531" s="799"/>
      <c r="BA531" s="799"/>
      <c r="BB531" s="799"/>
      <c r="BC531" s="799"/>
      <c r="BD531" s="799"/>
      <c r="BE531" s="799"/>
      <c r="BF531" s="799"/>
      <c r="BG531" s="799"/>
    </row>
    <row r="532">
      <c r="H532" s="799"/>
      <c r="I532" s="799"/>
      <c r="J532" s="799"/>
      <c r="K532" s="799"/>
      <c r="L532" s="799"/>
      <c r="M532" s="799"/>
      <c r="N532" s="799"/>
      <c r="O532" s="799"/>
      <c r="P532" s="799"/>
      <c r="Q532" s="799"/>
      <c r="R532" s="799"/>
      <c r="S532" s="799"/>
      <c r="T532" s="799"/>
      <c r="U532" s="799"/>
      <c r="V532" s="799"/>
      <c r="W532" s="799"/>
      <c r="X532" s="799"/>
      <c r="Y532" s="799"/>
      <c r="Z532" s="799"/>
      <c r="AA532" s="799"/>
      <c r="AB532" s="799"/>
      <c r="AC532" s="799"/>
      <c r="AD532" s="799"/>
      <c r="AE532" s="799"/>
      <c r="AF532" s="799"/>
      <c r="AG532" s="799"/>
      <c r="AH532" s="799"/>
      <c r="AI532" s="799"/>
      <c r="AJ532" s="799"/>
      <c r="AK532" s="799"/>
      <c r="AL532" s="799"/>
      <c r="AM532" s="799"/>
      <c r="AN532" s="799"/>
      <c r="AO532" s="799"/>
      <c r="AP532" s="799"/>
      <c r="AQ532" s="799"/>
      <c r="AR532" s="799"/>
      <c r="AS532" s="799"/>
      <c r="AT532" s="799"/>
      <c r="AU532" s="799"/>
      <c r="AV532" s="799"/>
      <c r="AW532" s="799"/>
      <c r="AX532" s="799"/>
      <c r="AY532" s="799"/>
      <c r="AZ532" s="799"/>
      <c r="BA532" s="799"/>
      <c r="BB532" s="799"/>
      <c r="BC532" s="799"/>
      <c r="BD532" s="799"/>
      <c r="BE532" s="799"/>
      <c r="BF532" s="799"/>
      <c r="BG532" s="799"/>
    </row>
    <row r="533">
      <c r="H533" s="799"/>
      <c r="I533" s="799"/>
      <c r="J533" s="799"/>
      <c r="K533" s="799"/>
      <c r="L533" s="799"/>
      <c r="M533" s="799"/>
      <c r="N533" s="799"/>
      <c r="O533" s="799"/>
      <c r="P533" s="799"/>
      <c r="Q533" s="799"/>
      <c r="R533" s="799"/>
      <c r="S533" s="799"/>
      <c r="T533" s="799"/>
      <c r="U533" s="799"/>
      <c r="V533" s="799"/>
      <c r="W533" s="799"/>
      <c r="X533" s="799"/>
      <c r="Y533" s="799"/>
      <c r="Z533" s="799"/>
      <c r="AA533" s="799"/>
      <c r="AB533" s="799"/>
      <c r="AC533" s="799"/>
      <c r="AD533" s="799"/>
      <c r="AE533" s="799"/>
      <c r="AF533" s="799"/>
      <c r="AG533" s="799"/>
      <c r="AH533" s="799"/>
      <c r="AI533" s="799"/>
      <c r="AJ533" s="799"/>
      <c r="AK533" s="799"/>
      <c r="AL533" s="799"/>
      <c r="AM533" s="799"/>
      <c r="AN533" s="799"/>
      <c r="AO533" s="799"/>
      <c r="AP533" s="799"/>
      <c r="AQ533" s="799"/>
      <c r="AR533" s="799"/>
      <c r="AS533" s="799"/>
      <c r="AT533" s="799"/>
      <c r="AU533" s="799"/>
      <c r="AV533" s="799"/>
      <c r="AW533" s="799"/>
      <c r="AX533" s="799"/>
      <c r="AY533" s="799"/>
      <c r="AZ533" s="799"/>
      <c r="BA533" s="799"/>
      <c r="BB533" s="799"/>
      <c r="BC533" s="799"/>
      <c r="BD533" s="799"/>
      <c r="BE533" s="799"/>
      <c r="BF533" s="799"/>
      <c r="BG533" s="799"/>
    </row>
    <row r="534">
      <c r="H534" s="799"/>
      <c r="I534" s="799"/>
      <c r="J534" s="799"/>
      <c r="K534" s="799"/>
      <c r="L534" s="799"/>
      <c r="M534" s="799"/>
      <c r="N534" s="799"/>
      <c r="O534" s="799"/>
      <c r="P534" s="799"/>
      <c r="Q534" s="799"/>
      <c r="R534" s="799"/>
      <c r="S534" s="799"/>
      <c r="T534" s="799"/>
      <c r="U534" s="799"/>
      <c r="V534" s="799"/>
      <c r="W534" s="799"/>
      <c r="X534" s="799"/>
      <c r="Y534" s="799"/>
      <c r="Z534" s="799"/>
      <c r="AA534" s="799"/>
      <c r="AB534" s="799"/>
      <c r="AC534" s="799"/>
      <c r="AD534" s="799"/>
      <c r="AE534" s="799"/>
      <c r="AF534" s="799"/>
      <c r="AG534" s="799"/>
      <c r="AH534" s="799"/>
      <c r="AI534" s="799"/>
      <c r="AJ534" s="799"/>
      <c r="AK534" s="799"/>
      <c r="AL534" s="799"/>
      <c r="AM534" s="799"/>
      <c r="AN534" s="799"/>
      <c r="AO534" s="799"/>
      <c r="AP534" s="799"/>
      <c r="AQ534" s="799"/>
      <c r="AR534" s="799"/>
      <c r="AS534" s="799"/>
      <c r="AT534" s="799"/>
      <c r="AU534" s="799"/>
      <c r="AV534" s="799"/>
      <c r="AW534" s="799"/>
      <c r="AX534" s="799"/>
      <c r="AY534" s="799"/>
      <c r="AZ534" s="799"/>
      <c r="BA534" s="799"/>
      <c r="BB534" s="799"/>
      <c r="BC534" s="799"/>
      <c r="BD534" s="799"/>
      <c r="BE534" s="799"/>
      <c r="BF534" s="799"/>
      <c r="BG534" s="799"/>
    </row>
    <row r="535">
      <c r="H535" s="799"/>
      <c r="I535" s="799"/>
      <c r="J535" s="799"/>
      <c r="K535" s="799"/>
      <c r="L535" s="799"/>
      <c r="M535" s="799"/>
      <c r="N535" s="799"/>
      <c r="O535" s="799"/>
      <c r="P535" s="799"/>
      <c r="Q535" s="799"/>
      <c r="R535" s="799"/>
      <c r="S535" s="799"/>
      <c r="T535" s="799"/>
      <c r="U535" s="799"/>
      <c r="V535" s="799"/>
      <c r="W535" s="799"/>
      <c r="X535" s="799"/>
      <c r="Y535" s="799"/>
      <c r="Z535" s="799"/>
      <c r="AA535" s="799"/>
      <c r="AB535" s="799"/>
      <c r="AC535" s="799"/>
      <c r="AD535" s="799"/>
      <c r="AE535" s="799"/>
      <c r="AF535" s="799"/>
      <c r="AG535" s="799"/>
      <c r="AH535" s="799"/>
      <c r="AI535" s="799"/>
      <c r="AJ535" s="799"/>
      <c r="AK535" s="799"/>
      <c r="AL535" s="799"/>
      <c r="AM535" s="799"/>
      <c r="AN535" s="799"/>
      <c r="AO535" s="799"/>
      <c r="AP535" s="799"/>
      <c r="AQ535" s="799"/>
      <c r="AR535" s="799"/>
      <c r="AS535" s="799"/>
      <c r="AT535" s="799"/>
      <c r="AU535" s="799"/>
      <c r="AV535" s="799"/>
      <c r="AW535" s="799"/>
      <c r="AX535" s="799"/>
      <c r="AY535" s="799"/>
      <c r="AZ535" s="799"/>
      <c r="BA535" s="799"/>
      <c r="BB535" s="799"/>
      <c r="BC535" s="799"/>
      <c r="BD535" s="799"/>
      <c r="BE535" s="799"/>
      <c r="BF535" s="799"/>
      <c r="BG535" s="799"/>
    </row>
    <row r="536">
      <c r="H536" s="799"/>
      <c r="I536" s="799"/>
      <c r="J536" s="799"/>
      <c r="K536" s="799"/>
      <c r="L536" s="799"/>
      <c r="M536" s="799"/>
      <c r="N536" s="799"/>
      <c r="O536" s="799"/>
      <c r="P536" s="799"/>
      <c r="Q536" s="799"/>
      <c r="R536" s="799"/>
      <c r="S536" s="799"/>
      <c r="T536" s="799"/>
      <c r="U536" s="799"/>
      <c r="V536" s="799"/>
      <c r="W536" s="799"/>
      <c r="X536" s="799"/>
      <c r="Y536" s="799"/>
      <c r="Z536" s="799"/>
      <c r="AA536" s="799"/>
      <c r="AB536" s="799"/>
      <c r="AC536" s="799"/>
      <c r="AD536" s="799"/>
      <c r="AE536" s="799"/>
      <c r="AF536" s="799"/>
      <c r="AG536" s="799"/>
      <c r="AH536" s="799"/>
      <c r="AI536" s="799"/>
      <c r="AJ536" s="799"/>
      <c r="AK536" s="799"/>
      <c r="AL536" s="799"/>
      <c r="AM536" s="799"/>
      <c r="AN536" s="799"/>
      <c r="AO536" s="799"/>
      <c r="AP536" s="799"/>
      <c r="AQ536" s="799"/>
      <c r="AR536" s="799"/>
      <c r="AS536" s="799"/>
      <c r="AT536" s="799"/>
      <c r="AU536" s="799"/>
      <c r="AV536" s="799"/>
      <c r="AW536" s="799"/>
      <c r="AX536" s="799"/>
      <c r="AY536" s="799"/>
      <c r="AZ536" s="799"/>
      <c r="BA536" s="799"/>
      <c r="BB536" s="799"/>
      <c r="BC536" s="799"/>
      <c r="BD536" s="799"/>
      <c r="BE536" s="799"/>
      <c r="BF536" s="799"/>
      <c r="BG536" s="799"/>
    </row>
    <row r="537">
      <c r="H537" s="799"/>
      <c r="I537" s="799"/>
      <c r="J537" s="799"/>
      <c r="K537" s="799"/>
      <c r="L537" s="799"/>
      <c r="M537" s="799"/>
      <c r="N537" s="799"/>
      <c r="O537" s="799"/>
      <c r="P537" s="799"/>
      <c r="Q537" s="799"/>
      <c r="R537" s="799"/>
      <c r="S537" s="799"/>
      <c r="T537" s="799"/>
      <c r="U537" s="799"/>
      <c r="V537" s="799"/>
      <c r="W537" s="799"/>
      <c r="X537" s="799"/>
      <c r="Y537" s="799"/>
      <c r="Z537" s="799"/>
      <c r="AA537" s="799"/>
      <c r="AB537" s="799"/>
      <c r="AC537" s="799"/>
      <c r="AD537" s="799"/>
      <c r="AE537" s="799"/>
      <c r="AF537" s="799"/>
      <c r="AG537" s="799"/>
      <c r="AH537" s="799"/>
      <c r="AI537" s="799"/>
      <c r="AJ537" s="799"/>
      <c r="AK537" s="799"/>
      <c r="AL537" s="799"/>
      <c r="AM537" s="799"/>
      <c r="AN537" s="799"/>
      <c r="AO537" s="799"/>
      <c r="AP537" s="799"/>
      <c r="AQ537" s="799"/>
      <c r="AR537" s="799"/>
      <c r="AS537" s="799"/>
      <c r="AT537" s="799"/>
      <c r="AU537" s="799"/>
      <c r="AV537" s="799"/>
      <c r="AW537" s="799"/>
      <c r="AX537" s="799"/>
      <c r="AY537" s="799"/>
      <c r="AZ537" s="799"/>
      <c r="BA537" s="799"/>
      <c r="BB537" s="799"/>
      <c r="BC537" s="799"/>
      <c r="BD537" s="799"/>
      <c r="BE537" s="799"/>
      <c r="BF537" s="799"/>
      <c r="BG537" s="799"/>
    </row>
    <row r="538">
      <c r="H538" s="799"/>
      <c r="I538" s="799"/>
      <c r="J538" s="799"/>
      <c r="K538" s="799"/>
      <c r="L538" s="799"/>
      <c r="M538" s="799"/>
      <c r="N538" s="799"/>
      <c r="O538" s="799"/>
      <c r="P538" s="799"/>
      <c r="Q538" s="799"/>
      <c r="R538" s="799"/>
      <c r="S538" s="799"/>
      <c r="T538" s="799"/>
      <c r="U538" s="799"/>
      <c r="V538" s="799"/>
      <c r="W538" s="799"/>
      <c r="X538" s="799"/>
      <c r="Y538" s="799"/>
      <c r="Z538" s="799"/>
      <c r="AA538" s="799"/>
      <c r="AB538" s="799"/>
      <c r="AC538" s="799"/>
      <c r="AD538" s="799"/>
      <c r="AE538" s="799"/>
      <c r="AF538" s="799"/>
      <c r="AG538" s="799"/>
      <c r="AH538" s="799"/>
      <c r="AI538" s="799"/>
      <c r="AJ538" s="799"/>
      <c r="AK538" s="799"/>
      <c r="AL538" s="799"/>
      <c r="AM538" s="799"/>
      <c r="AN538" s="799"/>
      <c r="AO538" s="799"/>
      <c r="AP538" s="799"/>
      <c r="AQ538" s="799"/>
      <c r="AR538" s="799"/>
      <c r="AS538" s="799"/>
      <c r="AT538" s="799"/>
      <c r="AU538" s="799"/>
      <c r="AV538" s="799"/>
      <c r="AW538" s="799"/>
      <c r="AX538" s="799"/>
      <c r="AY538" s="799"/>
      <c r="AZ538" s="799"/>
      <c r="BA538" s="799"/>
      <c r="BB538" s="799"/>
      <c r="BC538" s="799"/>
      <c r="BD538" s="799"/>
      <c r="BE538" s="799"/>
      <c r="BF538" s="799"/>
      <c r="BG538" s="799"/>
    </row>
    <row r="539">
      <c r="H539" s="799"/>
      <c r="I539" s="799"/>
      <c r="J539" s="799"/>
      <c r="K539" s="799"/>
      <c r="L539" s="799"/>
      <c r="M539" s="799"/>
      <c r="N539" s="799"/>
      <c r="O539" s="799"/>
      <c r="P539" s="799"/>
      <c r="Q539" s="799"/>
      <c r="R539" s="799"/>
      <c r="S539" s="799"/>
      <c r="T539" s="799"/>
      <c r="U539" s="799"/>
      <c r="V539" s="799"/>
      <c r="W539" s="799"/>
      <c r="X539" s="799"/>
      <c r="Y539" s="799"/>
      <c r="Z539" s="799"/>
      <c r="AA539" s="799"/>
      <c r="AB539" s="799"/>
      <c r="AC539" s="799"/>
      <c r="AD539" s="799"/>
      <c r="AE539" s="799"/>
      <c r="AF539" s="799"/>
      <c r="AG539" s="799"/>
      <c r="AH539" s="799"/>
      <c r="AI539" s="799"/>
      <c r="AJ539" s="799"/>
      <c r="AK539" s="799"/>
      <c r="AL539" s="799"/>
      <c r="AM539" s="799"/>
      <c r="AN539" s="799"/>
      <c r="AO539" s="799"/>
      <c r="AP539" s="799"/>
      <c r="AQ539" s="799"/>
      <c r="AR539" s="799"/>
      <c r="AS539" s="799"/>
      <c r="AT539" s="799"/>
      <c r="AU539" s="799"/>
      <c r="AV539" s="799"/>
      <c r="AW539" s="799"/>
      <c r="AX539" s="799"/>
      <c r="AY539" s="799"/>
      <c r="AZ539" s="799"/>
      <c r="BA539" s="799"/>
      <c r="BB539" s="799"/>
      <c r="BC539" s="799"/>
      <c r="BD539" s="799"/>
      <c r="BE539" s="799"/>
      <c r="BF539" s="799"/>
      <c r="BG539" s="799"/>
    </row>
    <row r="540">
      <c r="H540" s="799"/>
      <c r="I540" s="799"/>
      <c r="J540" s="799"/>
      <c r="K540" s="799"/>
      <c r="L540" s="799"/>
      <c r="M540" s="799"/>
      <c r="N540" s="799"/>
      <c r="O540" s="799"/>
      <c r="P540" s="799"/>
      <c r="Q540" s="799"/>
      <c r="R540" s="799"/>
      <c r="S540" s="799"/>
      <c r="T540" s="799"/>
      <c r="U540" s="799"/>
      <c r="V540" s="799"/>
      <c r="W540" s="799"/>
      <c r="X540" s="799"/>
      <c r="Y540" s="799"/>
      <c r="Z540" s="799"/>
      <c r="AA540" s="799"/>
      <c r="AB540" s="799"/>
      <c r="AC540" s="799"/>
      <c r="AD540" s="799"/>
      <c r="AE540" s="799"/>
      <c r="AF540" s="799"/>
      <c r="AG540" s="799"/>
      <c r="AH540" s="799"/>
      <c r="AI540" s="799"/>
      <c r="AJ540" s="799"/>
      <c r="AK540" s="799"/>
      <c r="AL540" s="799"/>
      <c r="AM540" s="799"/>
      <c r="AN540" s="799"/>
      <c r="AO540" s="799"/>
      <c r="AP540" s="799"/>
      <c r="AQ540" s="799"/>
      <c r="AR540" s="799"/>
      <c r="AS540" s="799"/>
      <c r="AT540" s="799"/>
      <c r="AU540" s="799"/>
      <c r="AV540" s="799"/>
      <c r="AW540" s="799"/>
      <c r="AX540" s="799"/>
      <c r="AY540" s="799"/>
      <c r="AZ540" s="799"/>
      <c r="BA540" s="799"/>
      <c r="BB540" s="799"/>
      <c r="BC540" s="799"/>
      <c r="BD540" s="799"/>
      <c r="BE540" s="799"/>
      <c r="BF540" s="799"/>
      <c r="BG540" s="799"/>
    </row>
    <row r="541">
      <c r="H541" s="799"/>
      <c r="I541" s="799"/>
      <c r="J541" s="799"/>
      <c r="K541" s="799"/>
      <c r="L541" s="799"/>
      <c r="M541" s="799"/>
      <c r="N541" s="799"/>
      <c r="O541" s="799"/>
      <c r="P541" s="799"/>
      <c r="Q541" s="799"/>
      <c r="R541" s="799"/>
      <c r="S541" s="799"/>
      <c r="T541" s="799"/>
      <c r="U541" s="799"/>
      <c r="V541" s="799"/>
      <c r="W541" s="799"/>
      <c r="X541" s="799"/>
      <c r="Y541" s="799"/>
      <c r="Z541" s="799"/>
      <c r="AA541" s="799"/>
      <c r="AB541" s="799"/>
      <c r="AC541" s="799"/>
      <c r="AD541" s="799"/>
      <c r="AE541" s="799"/>
      <c r="AF541" s="799"/>
      <c r="AG541" s="799"/>
      <c r="AH541" s="799"/>
      <c r="AI541" s="799"/>
      <c r="AJ541" s="799"/>
      <c r="AK541" s="799"/>
      <c r="AL541" s="799"/>
      <c r="AM541" s="799"/>
      <c r="AN541" s="799"/>
      <c r="AO541" s="799"/>
      <c r="AP541" s="799"/>
      <c r="AQ541" s="799"/>
      <c r="AR541" s="799"/>
      <c r="AS541" s="799"/>
      <c r="AT541" s="799"/>
      <c r="AU541" s="799"/>
      <c r="AV541" s="799"/>
      <c r="AW541" s="799"/>
      <c r="AX541" s="799"/>
      <c r="AY541" s="799"/>
      <c r="AZ541" s="799"/>
      <c r="BA541" s="799"/>
      <c r="BB541" s="799"/>
      <c r="BC541" s="799"/>
      <c r="BD541" s="799"/>
      <c r="BE541" s="799"/>
      <c r="BF541" s="799"/>
      <c r="BG541" s="799"/>
    </row>
    <row r="542">
      <c r="H542" s="799"/>
      <c r="I542" s="799"/>
      <c r="J542" s="799"/>
      <c r="K542" s="799"/>
      <c r="L542" s="799"/>
      <c r="M542" s="799"/>
      <c r="N542" s="799"/>
      <c r="O542" s="799"/>
      <c r="P542" s="799"/>
      <c r="Q542" s="799"/>
      <c r="R542" s="799"/>
      <c r="S542" s="799"/>
      <c r="T542" s="799"/>
      <c r="U542" s="799"/>
      <c r="V542" s="799"/>
      <c r="W542" s="799"/>
      <c r="X542" s="799"/>
      <c r="Y542" s="799"/>
      <c r="Z542" s="799"/>
      <c r="AA542" s="799"/>
      <c r="AB542" s="799"/>
      <c r="AC542" s="799"/>
      <c r="AD542" s="799"/>
      <c r="AE542" s="799"/>
      <c r="AF542" s="799"/>
      <c r="AG542" s="799"/>
      <c r="AH542" s="799"/>
      <c r="AI542" s="799"/>
      <c r="AJ542" s="799"/>
      <c r="AK542" s="799"/>
      <c r="AL542" s="799"/>
      <c r="AM542" s="799"/>
      <c r="AN542" s="799"/>
      <c r="AO542" s="799"/>
      <c r="AP542" s="799"/>
      <c r="AQ542" s="799"/>
      <c r="AR542" s="799"/>
      <c r="AS542" s="799"/>
      <c r="AT542" s="799"/>
      <c r="AU542" s="799"/>
      <c r="AV542" s="799"/>
      <c r="AW542" s="799"/>
      <c r="AX542" s="799"/>
      <c r="AY542" s="799"/>
      <c r="AZ542" s="799"/>
      <c r="BA542" s="799"/>
      <c r="BB542" s="799"/>
      <c r="BC542" s="799"/>
      <c r="BD542" s="799"/>
      <c r="BE542" s="799"/>
      <c r="BF542" s="799"/>
      <c r="BG542" s="799"/>
    </row>
    <row r="543">
      <c r="H543" s="799"/>
      <c r="I543" s="799"/>
      <c r="J543" s="799"/>
      <c r="K543" s="799"/>
      <c r="L543" s="799"/>
      <c r="M543" s="799"/>
      <c r="N543" s="799"/>
      <c r="O543" s="799"/>
      <c r="P543" s="799"/>
      <c r="Q543" s="799"/>
      <c r="R543" s="799"/>
      <c r="S543" s="799"/>
      <c r="T543" s="799"/>
      <c r="U543" s="799"/>
      <c r="V543" s="799"/>
      <c r="W543" s="799"/>
      <c r="X543" s="799"/>
      <c r="Y543" s="799"/>
      <c r="Z543" s="799"/>
      <c r="AA543" s="799"/>
      <c r="AB543" s="799"/>
      <c r="AC543" s="799"/>
      <c r="AD543" s="799"/>
      <c r="AE543" s="799"/>
      <c r="AF543" s="799"/>
      <c r="AG543" s="799"/>
      <c r="AH543" s="799"/>
      <c r="AI543" s="799"/>
      <c r="AJ543" s="799"/>
      <c r="AK543" s="799"/>
      <c r="AL543" s="799"/>
      <c r="AM543" s="799"/>
      <c r="AN543" s="799"/>
      <c r="AO543" s="799"/>
      <c r="AP543" s="799"/>
      <c r="AQ543" s="799"/>
      <c r="AR543" s="799"/>
      <c r="AS543" s="799"/>
      <c r="AT543" s="799"/>
      <c r="AU543" s="799"/>
      <c r="AV543" s="799"/>
      <c r="AW543" s="799"/>
      <c r="AX543" s="799"/>
      <c r="AY543" s="799"/>
      <c r="AZ543" s="799"/>
      <c r="BA543" s="799"/>
      <c r="BB543" s="799"/>
      <c r="BC543" s="799"/>
      <c r="BD543" s="799"/>
      <c r="BE543" s="799"/>
      <c r="BF543" s="799"/>
      <c r="BG543" s="799"/>
    </row>
    <row r="544">
      <c r="H544" s="799"/>
      <c r="I544" s="799"/>
      <c r="J544" s="799"/>
      <c r="K544" s="799"/>
      <c r="L544" s="799"/>
      <c r="M544" s="799"/>
      <c r="N544" s="799"/>
      <c r="O544" s="799"/>
      <c r="P544" s="799"/>
      <c r="Q544" s="799"/>
      <c r="R544" s="799"/>
      <c r="S544" s="799"/>
      <c r="T544" s="799"/>
      <c r="U544" s="799"/>
      <c r="V544" s="799"/>
      <c r="W544" s="799"/>
      <c r="X544" s="799"/>
      <c r="Y544" s="799"/>
      <c r="Z544" s="799"/>
      <c r="AA544" s="799"/>
      <c r="AB544" s="799"/>
      <c r="AC544" s="799"/>
      <c r="AD544" s="799"/>
      <c r="AE544" s="799"/>
      <c r="AF544" s="799"/>
      <c r="AG544" s="799"/>
      <c r="AH544" s="799"/>
      <c r="AI544" s="799"/>
      <c r="AJ544" s="799"/>
      <c r="AK544" s="799"/>
      <c r="AL544" s="799"/>
      <c r="AM544" s="799"/>
      <c r="AN544" s="799"/>
      <c r="AO544" s="799"/>
      <c r="AP544" s="799"/>
      <c r="AQ544" s="799"/>
      <c r="AR544" s="799"/>
      <c r="AS544" s="799"/>
      <c r="AT544" s="799"/>
      <c r="AU544" s="799"/>
      <c r="AV544" s="799"/>
      <c r="AW544" s="799"/>
      <c r="AX544" s="799"/>
      <c r="AY544" s="799"/>
      <c r="AZ544" s="799"/>
      <c r="BA544" s="799"/>
      <c r="BB544" s="799"/>
      <c r="BC544" s="799"/>
      <c r="BD544" s="799"/>
      <c r="BE544" s="799"/>
      <c r="BF544" s="799"/>
      <c r="BG544" s="799"/>
    </row>
    <row r="545">
      <c r="H545" s="799"/>
      <c r="I545" s="799"/>
      <c r="J545" s="799"/>
      <c r="K545" s="799"/>
      <c r="L545" s="799"/>
      <c r="M545" s="799"/>
      <c r="N545" s="799"/>
      <c r="O545" s="799"/>
      <c r="P545" s="799"/>
      <c r="Q545" s="799"/>
      <c r="R545" s="799"/>
      <c r="S545" s="799"/>
      <c r="T545" s="799"/>
      <c r="U545" s="799"/>
      <c r="V545" s="799"/>
      <c r="W545" s="799"/>
      <c r="X545" s="799"/>
      <c r="Y545" s="799"/>
      <c r="Z545" s="799"/>
      <c r="AA545" s="799"/>
      <c r="AB545" s="799"/>
      <c r="AC545" s="799"/>
      <c r="AD545" s="799"/>
      <c r="AE545" s="799"/>
      <c r="AF545" s="799"/>
      <c r="AG545" s="799"/>
      <c r="AH545" s="799"/>
      <c r="AI545" s="799"/>
      <c r="AJ545" s="799"/>
      <c r="AK545" s="799"/>
      <c r="AL545" s="799"/>
      <c r="AM545" s="799"/>
      <c r="AN545" s="799"/>
      <c r="AO545" s="799"/>
      <c r="AP545" s="799"/>
      <c r="AQ545" s="799"/>
      <c r="AR545" s="799"/>
      <c r="AS545" s="799"/>
      <c r="AT545" s="799"/>
      <c r="AU545" s="799"/>
      <c r="AV545" s="799"/>
      <c r="AW545" s="799"/>
      <c r="AX545" s="799"/>
      <c r="AY545" s="799"/>
      <c r="AZ545" s="799"/>
      <c r="BA545" s="799"/>
      <c r="BB545" s="799"/>
      <c r="BC545" s="799"/>
      <c r="BD545" s="799"/>
      <c r="BE545" s="799"/>
      <c r="BF545" s="799"/>
      <c r="BG545" s="799"/>
    </row>
    <row r="546">
      <c r="H546" s="799"/>
      <c r="I546" s="799"/>
      <c r="J546" s="799"/>
      <c r="K546" s="799"/>
      <c r="L546" s="799"/>
      <c r="M546" s="799"/>
      <c r="N546" s="799"/>
      <c r="O546" s="799"/>
      <c r="P546" s="799"/>
      <c r="Q546" s="799"/>
      <c r="R546" s="799"/>
      <c r="S546" s="799"/>
      <c r="T546" s="799"/>
      <c r="U546" s="799"/>
      <c r="V546" s="799"/>
      <c r="W546" s="799"/>
      <c r="X546" s="799"/>
      <c r="Y546" s="799"/>
      <c r="Z546" s="799"/>
      <c r="AA546" s="799"/>
      <c r="AB546" s="799"/>
      <c r="AC546" s="799"/>
      <c r="AD546" s="799"/>
      <c r="AE546" s="799"/>
      <c r="AF546" s="799"/>
      <c r="AG546" s="799"/>
      <c r="AH546" s="799"/>
      <c r="AI546" s="799"/>
      <c r="AJ546" s="799"/>
      <c r="AK546" s="799"/>
      <c r="AL546" s="799"/>
      <c r="AM546" s="799"/>
      <c r="AN546" s="799"/>
      <c r="AO546" s="799"/>
      <c r="AP546" s="799"/>
      <c r="AQ546" s="799"/>
      <c r="AR546" s="799"/>
      <c r="AS546" s="799"/>
      <c r="AT546" s="799"/>
      <c r="AU546" s="799"/>
      <c r="AV546" s="799"/>
      <c r="AW546" s="799"/>
      <c r="AX546" s="799"/>
      <c r="AY546" s="799"/>
      <c r="AZ546" s="799"/>
      <c r="BA546" s="799"/>
      <c r="BB546" s="799"/>
      <c r="BC546" s="799"/>
      <c r="BD546" s="799"/>
      <c r="BE546" s="799"/>
      <c r="BF546" s="799"/>
      <c r="BG546" s="799"/>
    </row>
    <row r="547">
      <c r="H547" s="799"/>
      <c r="I547" s="799"/>
      <c r="J547" s="799"/>
      <c r="K547" s="799"/>
      <c r="L547" s="799"/>
      <c r="M547" s="799"/>
      <c r="N547" s="799"/>
      <c r="O547" s="799"/>
      <c r="P547" s="799"/>
      <c r="Q547" s="799"/>
      <c r="R547" s="799"/>
      <c r="S547" s="799"/>
      <c r="T547" s="799"/>
      <c r="U547" s="799"/>
      <c r="V547" s="799"/>
      <c r="W547" s="799"/>
      <c r="X547" s="799"/>
      <c r="Y547" s="799"/>
      <c r="Z547" s="799"/>
      <c r="AA547" s="799"/>
      <c r="AB547" s="799"/>
      <c r="AC547" s="799"/>
      <c r="AD547" s="799"/>
      <c r="AE547" s="799"/>
      <c r="AF547" s="799"/>
      <c r="AG547" s="799"/>
      <c r="AH547" s="799"/>
      <c r="AI547" s="799"/>
      <c r="AJ547" s="799"/>
      <c r="AK547" s="799"/>
      <c r="AL547" s="799"/>
      <c r="AM547" s="799"/>
      <c r="AN547" s="799"/>
      <c r="AO547" s="799"/>
      <c r="AP547" s="799"/>
      <c r="AQ547" s="799"/>
      <c r="AR547" s="799"/>
      <c r="AS547" s="799"/>
      <c r="AT547" s="799"/>
      <c r="AU547" s="799"/>
      <c r="AV547" s="799"/>
      <c r="AW547" s="799"/>
      <c r="AX547" s="799"/>
      <c r="AY547" s="799"/>
      <c r="AZ547" s="799"/>
      <c r="BA547" s="799"/>
      <c r="BB547" s="799"/>
      <c r="BC547" s="799"/>
      <c r="BD547" s="799"/>
      <c r="BE547" s="799"/>
      <c r="BF547" s="799"/>
      <c r="BG547" s="799"/>
    </row>
    <row r="548">
      <c r="H548" s="799"/>
      <c r="I548" s="799"/>
      <c r="J548" s="799"/>
      <c r="K548" s="799"/>
      <c r="L548" s="799"/>
      <c r="M548" s="799"/>
      <c r="N548" s="799"/>
      <c r="O548" s="799"/>
      <c r="P548" s="799"/>
      <c r="Q548" s="799"/>
      <c r="R548" s="799"/>
      <c r="S548" s="799"/>
      <c r="T548" s="799"/>
      <c r="U548" s="799"/>
      <c r="V548" s="799"/>
      <c r="W548" s="799"/>
      <c r="X548" s="799"/>
      <c r="Y548" s="799"/>
      <c r="Z548" s="799"/>
      <c r="AA548" s="799"/>
      <c r="AB548" s="799"/>
      <c r="AC548" s="799"/>
      <c r="AD548" s="799"/>
      <c r="AE548" s="799"/>
      <c r="AF548" s="799"/>
      <c r="AG548" s="799"/>
      <c r="AH548" s="799"/>
      <c r="AI548" s="799"/>
      <c r="AJ548" s="799"/>
      <c r="AK548" s="799"/>
      <c r="AL548" s="799"/>
      <c r="AM548" s="799"/>
      <c r="AN548" s="799"/>
      <c r="AO548" s="799"/>
      <c r="AP548" s="799"/>
      <c r="AQ548" s="799"/>
      <c r="AR548" s="799"/>
      <c r="AS548" s="799"/>
      <c r="AT548" s="799"/>
      <c r="AU548" s="799"/>
      <c r="AV548" s="799"/>
      <c r="AW548" s="799"/>
      <c r="AX548" s="799"/>
      <c r="AY548" s="799"/>
      <c r="AZ548" s="799"/>
      <c r="BA548" s="799"/>
      <c r="BB548" s="799"/>
      <c r="BC548" s="799"/>
      <c r="BD548" s="799"/>
      <c r="BE548" s="799"/>
      <c r="BF548" s="799"/>
      <c r="BG548" s="799"/>
    </row>
    <row r="549">
      <c r="H549" s="799"/>
      <c r="I549" s="799"/>
      <c r="J549" s="799"/>
      <c r="K549" s="799"/>
      <c r="L549" s="799"/>
      <c r="M549" s="799"/>
      <c r="N549" s="799"/>
      <c r="O549" s="799"/>
      <c r="P549" s="799"/>
      <c r="Q549" s="799"/>
      <c r="R549" s="799"/>
      <c r="S549" s="799"/>
      <c r="T549" s="799"/>
      <c r="U549" s="799"/>
      <c r="V549" s="799"/>
      <c r="W549" s="799"/>
      <c r="X549" s="799"/>
      <c r="Y549" s="799"/>
      <c r="Z549" s="799"/>
      <c r="AA549" s="799"/>
      <c r="AB549" s="799"/>
      <c r="AC549" s="799"/>
      <c r="AD549" s="799"/>
      <c r="AE549" s="799"/>
      <c r="AF549" s="799"/>
      <c r="AG549" s="799"/>
      <c r="AH549" s="799"/>
      <c r="AI549" s="799"/>
      <c r="AJ549" s="799"/>
      <c r="AK549" s="799"/>
      <c r="AL549" s="799"/>
      <c r="AM549" s="799"/>
      <c r="AN549" s="799"/>
      <c r="AO549" s="799"/>
      <c r="AP549" s="799"/>
      <c r="AQ549" s="799"/>
      <c r="AR549" s="799"/>
      <c r="AS549" s="799"/>
      <c r="AT549" s="799"/>
      <c r="AU549" s="799"/>
      <c r="AV549" s="799"/>
      <c r="AW549" s="799"/>
      <c r="AX549" s="799"/>
      <c r="AY549" s="799"/>
      <c r="AZ549" s="799"/>
      <c r="BA549" s="799"/>
      <c r="BB549" s="799"/>
      <c r="BC549" s="799"/>
      <c r="BD549" s="799"/>
      <c r="BE549" s="799"/>
      <c r="BF549" s="799"/>
      <c r="BG549" s="799"/>
    </row>
    <row r="550">
      <c r="H550" s="799"/>
      <c r="I550" s="799"/>
      <c r="J550" s="799"/>
      <c r="K550" s="799"/>
      <c r="L550" s="799"/>
      <c r="M550" s="799"/>
      <c r="N550" s="799"/>
      <c r="O550" s="799"/>
      <c r="P550" s="799"/>
      <c r="Q550" s="799"/>
      <c r="R550" s="799"/>
      <c r="S550" s="799"/>
      <c r="T550" s="799"/>
      <c r="U550" s="799"/>
      <c r="V550" s="799"/>
      <c r="W550" s="799"/>
      <c r="X550" s="799"/>
      <c r="Y550" s="799"/>
      <c r="Z550" s="799"/>
      <c r="AA550" s="799"/>
      <c r="AB550" s="799"/>
      <c r="AC550" s="799"/>
      <c r="AD550" s="799"/>
      <c r="AE550" s="799"/>
      <c r="AF550" s="799"/>
      <c r="AG550" s="799"/>
      <c r="AH550" s="799"/>
      <c r="AI550" s="799"/>
      <c r="AJ550" s="799"/>
      <c r="AK550" s="799"/>
      <c r="AL550" s="799"/>
      <c r="AM550" s="799"/>
      <c r="AN550" s="799"/>
      <c r="AO550" s="799"/>
      <c r="AP550" s="799"/>
      <c r="AQ550" s="799"/>
      <c r="AR550" s="799"/>
      <c r="AS550" s="799"/>
      <c r="AT550" s="799"/>
      <c r="AU550" s="799"/>
      <c r="AV550" s="799"/>
      <c r="AW550" s="799"/>
      <c r="AX550" s="799"/>
      <c r="AY550" s="799"/>
      <c r="AZ550" s="799"/>
      <c r="BA550" s="799"/>
      <c r="BB550" s="799"/>
      <c r="BC550" s="799"/>
      <c r="BD550" s="799"/>
      <c r="BE550" s="799"/>
      <c r="BF550" s="799"/>
      <c r="BG550" s="799"/>
    </row>
    <row r="551">
      <c r="H551" s="799"/>
      <c r="I551" s="799"/>
      <c r="J551" s="799"/>
      <c r="K551" s="799"/>
      <c r="L551" s="799"/>
      <c r="M551" s="799"/>
      <c r="N551" s="799"/>
      <c r="O551" s="799"/>
      <c r="P551" s="799"/>
      <c r="Q551" s="799"/>
      <c r="R551" s="799"/>
      <c r="S551" s="799"/>
      <c r="T551" s="799"/>
      <c r="U551" s="799"/>
      <c r="V551" s="799"/>
      <c r="W551" s="799"/>
      <c r="X551" s="799"/>
      <c r="Y551" s="799"/>
      <c r="Z551" s="799"/>
      <c r="AA551" s="799"/>
      <c r="AB551" s="799"/>
      <c r="AC551" s="799"/>
      <c r="AD551" s="799"/>
      <c r="AE551" s="799"/>
      <c r="AF551" s="799"/>
      <c r="AG551" s="799"/>
      <c r="AH551" s="799"/>
      <c r="AI551" s="799"/>
      <c r="AJ551" s="799"/>
      <c r="AK551" s="799"/>
      <c r="AL551" s="799"/>
      <c r="AM551" s="799"/>
      <c r="AN551" s="799"/>
      <c r="AO551" s="799"/>
      <c r="AP551" s="799"/>
      <c r="AQ551" s="799"/>
      <c r="AR551" s="799"/>
      <c r="AS551" s="799"/>
      <c r="AT551" s="799"/>
      <c r="AU551" s="799"/>
      <c r="AV551" s="799"/>
      <c r="AW551" s="799"/>
      <c r="AX551" s="799"/>
      <c r="AY551" s="799"/>
      <c r="AZ551" s="799"/>
      <c r="BA551" s="799"/>
      <c r="BB551" s="799"/>
      <c r="BC551" s="799"/>
      <c r="BD551" s="799"/>
      <c r="BE551" s="799"/>
      <c r="BF551" s="799"/>
      <c r="BG551" s="799"/>
    </row>
    <row r="552">
      <c r="H552" s="799"/>
      <c r="I552" s="799"/>
      <c r="J552" s="799"/>
      <c r="K552" s="799"/>
      <c r="L552" s="799"/>
      <c r="M552" s="799"/>
      <c r="N552" s="799"/>
      <c r="O552" s="799"/>
      <c r="P552" s="799"/>
      <c r="Q552" s="799"/>
      <c r="R552" s="799"/>
      <c r="S552" s="799"/>
      <c r="T552" s="799"/>
      <c r="U552" s="799"/>
      <c r="V552" s="799"/>
      <c r="W552" s="799"/>
      <c r="X552" s="799"/>
      <c r="Y552" s="799"/>
      <c r="Z552" s="799"/>
      <c r="AA552" s="799"/>
      <c r="AB552" s="799"/>
      <c r="AC552" s="799"/>
      <c r="AD552" s="799"/>
      <c r="AE552" s="799"/>
      <c r="AF552" s="799"/>
      <c r="AG552" s="799"/>
      <c r="AH552" s="799"/>
      <c r="AI552" s="799"/>
      <c r="AJ552" s="799"/>
      <c r="AK552" s="799"/>
      <c r="AL552" s="799"/>
      <c r="AM552" s="799"/>
      <c r="AN552" s="799"/>
      <c r="AO552" s="799"/>
      <c r="AP552" s="799"/>
      <c r="AQ552" s="799"/>
      <c r="AR552" s="799"/>
      <c r="AS552" s="799"/>
      <c r="AT552" s="799"/>
      <c r="AU552" s="799"/>
      <c r="AV552" s="799"/>
      <c r="AW552" s="799"/>
      <c r="AX552" s="799"/>
      <c r="AY552" s="799"/>
      <c r="AZ552" s="799"/>
      <c r="BA552" s="799"/>
      <c r="BB552" s="799"/>
      <c r="BC552" s="799"/>
      <c r="BD552" s="799"/>
      <c r="BE552" s="799"/>
      <c r="BF552" s="799"/>
      <c r="BG552" s="799"/>
    </row>
    <row r="553">
      <c r="H553" s="799"/>
      <c r="I553" s="799"/>
      <c r="J553" s="799"/>
      <c r="K553" s="799"/>
      <c r="L553" s="799"/>
      <c r="M553" s="799"/>
      <c r="N553" s="799"/>
      <c r="O553" s="799"/>
      <c r="P553" s="799"/>
      <c r="Q553" s="799"/>
      <c r="R553" s="799"/>
      <c r="S553" s="799"/>
      <c r="T553" s="799"/>
      <c r="U553" s="799"/>
      <c r="V553" s="799"/>
      <c r="W553" s="799"/>
      <c r="X553" s="799"/>
      <c r="Y553" s="799"/>
      <c r="Z553" s="799"/>
      <c r="AA553" s="799"/>
      <c r="AB553" s="799"/>
      <c r="AC553" s="799"/>
      <c r="AD553" s="799"/>
      <c r="AE553" s="799"/>
      <c r="AF553" s="799"/>
      <c r="AG553" s="799"/>
      <c r="AH553" s="799"/>
      <c r="AI553" s="799"/>
      <c r="AJ553" s="799"/>
      <c r="AK553" s="799"/>
      <c r="AL553" s="799"/>
      <c r="AM553" s="799"/>
      <c r="AN553" s="799"/>
      <c r="AO553" s="799"/>
      <c r="AP553" s="799"/>
      <c r="AQ553" s="799"/>
      <c r="AR553" s="799"/>
      <c r="AS553" s="799"/>
      <c r="AT553" s="799"/>
      <c r="AU553" s="799"/>
      <c r="AV553" s="799"/>
      <c r="AW553" s="799"/>
      <c r="AX553" s="799"/>
      <c r="AY553" s="799"/>
      <c r="AZ553" s="799"/>
      <c r="BA553" s="799"/>
      <c r="BB553" s="799"/>
      <c r="BC553" s="799"/>
      <c r="BD553" s="799"/>
      <c r="BE553" s="799"/>
      <c r="BF553" s="799"/>
      <c r="BG553" s="799"/>
    </row>
    <row r="554">
      <c r="H554" s="799"/>
      <c r="I554" s="799"/>
      <c r="J554" s="799"/>
      <c r="K554" s="799"/>
      <c r="L554" s="799"/>
      <c r="M554" s="799"/>
      <c r="N554" s="799"/>
      <c r="O554" s="799"/>
      <c r="P554" s="799"/>
      <c r="Q554" s="799"/>
      <c r="R554" s="799"/>
      <c r="S554" s="799"/>
      <c r="T554" s="799"/>
      <c r="U554" s="799"/>
      <c r="V554" s="799"/>
      <c r="W554" s="799"/>
      <c r="X554" s="799"/>
      <c r="Y554" s="799"/>
      <c r="Z554" s="799"/>
      <c r="AA554" s="799"/>
      <c r="AB554" s="799"/>
      <c r="AC554" s="799"/>
      <c r="AD554" s="799"/>
      <c r="AE554" s="799"/>
      <c r="AF554" s="799"/>
      <c r="AG554" s="799"/>
      <c r="AH554" s="799"/>
      <c r="AI554" s="799"/>
      <c r="AJ554" s="799"/>
      <c r="AK554" s="799"/>
      <c r="AL554" s="799"/>
      <c r="AM554" s="799"/>
      <c r="AN554" s="799"/>
      <c r="AO554" s="799"/>
      <c r="AP554" s="799"/>
      <c r="AQ554" s="799"/>
      <c r="AR554" s="799"/>
      <c r="AS554" s="799"/>
      <c r="AT554" s="799"/>
      <c r="AU554" s="799"/>
      <c r="AV554" s="799"/>
      <c r="AW554" s="799"/>
      <c r="AX554" s="799"/>
      <c r="AY554" s="799"/>
      <c r="AZ554" s="799"/>
      <c r="BA554" s="799"/>
      <c r="BB554" s="799"/>
      <c r="BC554" s="799"/>
      <c r="BD554" s="799"/>
      <c r="BE554" s="799"/>
      <c r="BF554" s="799"/>
      <c r="BG554" s="799"/>
    </row>
    <row r="555">
      <c r="H555" s="799"/>
      <c r="I555" s="799"/>
      <c r="J555" s="799"/>
      <c r="K555" s="799"/>
      <c r="L555" s="799"/>
      <c r="M555" s="799"/>
      <c r="N555" s="799"/>
      <c r="O555" s="799"/>
      <c r="P555" s="799"/>
      <c r="Q555" s="799"/>
      <c r="R555" s="799"/>
      <c r="S555" s="799"/>
      <c r="T555" s="799"/>
      <c r="U555" s="799"/>
      <c r="V555" s="799"/>
      <c r="W555" s="799"/>
      <c r="X555" s="799"/>
      <c r="Y555" s="799"/>
      <c r="Z555" s="799"/>
      <c r="AA555" s="799"/>
      <c r="AB555" s="799"/>
      <c r="AC555" s="799"/>
      <c r="AD555" s="799"/>
      <c r="AE555" s="799"/>
      <c r="AF555" s="799"/>
      <c r="AG555" s="799"/>
      <c r="AH555" s="799"/>
      <c r="AI555" s="799"/>
      <c r="AJ555" s="799"/>
      <c r="AK555" s="799"/>
      <c r="AL555" s="799"/>
      <c r="AM555" s="799"/>
      <c r="AN555" s="799"/>
      <c r="AO555" s="799"/>
      <c r="AP555" s="799"/>
      <c r="AQ555" s="799"/>
      <c r="AR555" s="799"/>
      <c r="AS555" s="799"/>
      <c r="AT555" s="799"/>
      <c r="AU555" s="799"/>
      <c r="AV555" s="799"/>
      <c r="AW555" s="799"/>
      <c r="AX555" s="799"/>
      <c r="AY555" s="799"/>
      <c r="AZ555" s="799"/>
      <c r="BA555" s="799"/>
      <c r="BB555" s="799"/>
      <c r="BC555" s="799"/>
      <c r="BD555" s="799"/>
      <c r="BE555" s="799"/>
      <c r="BF555" s="799"/>
      <c r="BG555" s="799"/>
    </row>
    <row r="556">
      <c r="H556" s="799"/>
      <c r="I556" s="799"/>
      <c r="J556" s="799"/>
      <c r="K556" s="799"/>
      <c r="L556" s="799"/>
      <c r="M556" s="799"/>
      <c r="N556" s="799"/>
      <c r="O556" s="799"/>
      <c r="P556" s="799"/>
      <c r="Q556" s="799"/>
      <c r="R556" s="799"/>
      <c r="S556" s="799"/>
      <c r="T556" s="799"/>
      <c r="U556" s="799"/>
      <c r="V556" s="799"/>
      <c r="W556" s="799"/>
      <c r="X556" s="799"/>
      <c r="Y556" s="799"/>
      <c r="Z556" s="799"/>
      <c r="AA556" s="799"/>
      <c r="AB556" s="799"/>
      <c r="AC556" s="799"/>
      <c r="AD556" s="799"/>
      <c r="AE556" s="799"/>
      <c r="AF556" s="799"/>
      <c r="AG556" s="799"/>
      <c r="AH556" s="799"/>
      <c r="AI556" s="799"/>
      <c r="AJ556" s="799"/>
      <c r="AK556" s="799"/>
      <c r="AL556" s="799"/>
      <c r="AM556" s="799"/>
      <c r="AN556" s="799"/>
      <c r="AO556" s="799"/>
      <c r="AP556" s="799"/>
      <c r="AQ556" s="799"/>
      <c r="AR556" s="799"/>
      <c r="AS556" s="799"/>
      <c r="AT556" s="799"/>
      <c r="AU556" s="799"/>
      <c r="AV556" s="799"/>
      <c r="AW556" s="799"/>
      <c r="AX556" s="799"/>
      <c r="AY556" s="799"/>
      <c r="AZ556" s="799"/>
      <c r="BA556" s="799"/>
      <c r="BB556" s="799"/>
      <c r="BC556" s="799"/>
      <c r="BD556" s="799"/>
      <c r="BE556" s="799"/>
      <c r="BF556" s="799"/>
      <c r="BG556" s="799"/>
    </row>
    <row r="557">
      <c r="H557" s="799"/>
      <c r="I557" s="799"/>
      <c r="J557" s="799"/>
      <c r="K557" s="799"/>
      <c r="L557" s="799"/>
      <c r="M557" s="799"/>
      <c r="N557" s="799"/>
      <c r="O557" s="799"/>
      <c r="P557" s="799"/>
      <c r="Q557" s="799"/>
      <c r="R557" s="799"/>
      <c r="S557" s="799"/>
      <c r="T557" s="799"/>
      <c r="U557" s="799"/>
      <c r="V557" s="799"/>
      <c r="W557" s="799"/>
      <c r="X557" s="799"/>
      <c r="Y557" s="799"/>
      <c r="Z557" s="799"/>
      <c r="AA557" s="799"/>
      <c r="AB557" s="799"/>
      <c r="AC557" s="799"/>
      <c r="AD557" s="799"/>
      <c r="AE557" s="799"/>
      <c r="AF557" s="799"/>
      <c r="AG557" s="799"/>
      <c r="AH557" s="799"/>
      <c r="AI557" s="799"/>
      <c r="AJ557" s="799"/>
      <c r="AK557" s="799"/>
      <c r="AL557" s="799"/>
      <c r="AM557" s="799"/>
      <c r="AN557" s="799"/>
      <c r="AO557" s="799"/>
      <c r="AP557" s="799"/>
      <c r="AQ557" s="799"/>
      <c r="AR557" s="799"/>
      <c r="AS557" s="799"/>
      <c r="AT557" s="799"/>
      <c r="AU557" s="799"/>
      <c r="AV557" s="799"/>
      <c r="AW557" s="799"/>
      <c r="AX557" s="799"/>
      <c r="AY557" s="799"/>
      <c r="AZ557" s="799"/>
      <c r="BA557" s="799"/>
      <c r="BB557" s="799"/>
      <c r="BC557" s="799"/>
      <c r="BD557" s="799"/>
      <c r="BE557" s="799"/>
      <c r="BF557" s="799"/>
      <c r="BG557" s="799"/>
    </row>
    <row r="558">
      <c r="H558" s="799"/>
      <c r="I558" s="799"/>
      <c r="J558" s="799"/>
      <c r="K558" s="799"/>
      <c r="L558" s="799"/>
      <c r="M558" s="799"/>
      <c r="N558" s="799"/>
      <c r="O558" s="799"/>
      <c r="P558" s="799"/>
      <c r="Q558" s="799"/>
      <c r="R558" s="799"/>
      <c r="S558" s="799"/>
      <c r="T558" s="799"/>
      <c r="U558" s="799"/>
      <c r="V558" s="799"/>
      <c r="W558" s="799"/>
      <c r="X558" s="799"/>
      <c r="Y558" s="799"/>
      <c r="Z558" s="799"/>
      <c r="AA558" s="799"/>
      <c r="AB558" s="799"/>
      <c r="AC558" s="799"/>
      <c r="AD558" s="799"/>
      <c r="AE558" s="799"/>
      <c r="AF558" s="799"/>
      <c r="AG558" s="799"/>
      <c r="AH558" s="799"/>
      <c r="AI558" s="799"/>
      <c r="AJ558" s="799"/>
      <c r="AK558" s="799"/>
      <c r="AL558" s="799"/>
      <c r="AM558" s="799"/>
      <c r="AN558" s="799"/>
      <c r="AO558" s="799"/>
      <c r="AP558" s="799"/>
      <c r="AQ558" s="799"/>
      <c r="AR558" s="799"/>
      <c r="AS558" s="799"/>
      <c r="AT558" s="799"/>
      <c r="AU558" s="799"/>
      <c r="AV558" s="799"/>
      <c r="AW558" s="799"/>
      <c r="AX558" s="799"/>
      <c r="AY558" s="799"/>
      <c r="AZ558" s="799"/>
      <c r="BA558" s="799"/>
      <c r="BB558" s="799"/>
      <c r="BC558" s="799"/>
      <c r="BD558" s="799"/>
      <c r="BE558" s="799"/>
      <c r="BF558" s="799"/>
      <c r="BG558" s="799"/>
    </row>
    <row r="559">
      <c r="H559" s="799"/>
      <c r="I559" s="799"/>
      <c r="J559" s="799"/>
      <c r="K559" s="799"/>
      <c r="L559" s="799"/>
      <c r="M559" s="799"/>
      <c r="N559" s="799"/>
      <c r="O559" s="799"/>
      <c r="P559" s="799"/>
      <c r="Q559" s="799"/>
      <c r="R559" s="799"/>
      <c r="S559" s="799"/>
      <c r="T559" s="799"/>
      <c r="U559" s="799"/>
      <c r="V559" s="799"/>
      <c r="W559" s="799"/>
      <c r="X559" s="799"/>
      <c r="Y559" s="799"/>
      <c r="Z559" s="799"/>
      <c r="AA559" s="799"/>
      <c r="AB559" s="799"/>
      <c r="AC559" s="799"/>
      <c r="AD559" s="799"/>
      <c r="AE559" s="799"/>
      <c r="AF559" s="799"/>
      <c r="AG559" s="799"/>
      <c r="AH559" s="799"/>
      <c r="AI559" s="799"/>
      <c r="AJ559" s="799"/>
      <c r="AK559" s="799"/>
      <c r="AL559" s="799"/>
      <c r="AM559" s="799"/>
      <c r="AN559" s="799"/>
      <c r="AO559" s="799"/>
      <c r="AP559" s="799"/>
      <c r="AQ559" s="799"/>
      <c r="AR559" s="799"/>
      <c r="AS559" s="799"/>
      <c r="AT559" s="799"/>
      <c r="AU559" s="799"/>
      <c r="AV559" s="799"/>
      <c r="AW559" s="799"/>
      <c r="AX559" s="799"/>
      <c r="AY559" s="799"/>
      <c r="AZ559" s="799"/>
      <c r="BA559" s="799"/>
      <c r="BB559" s="799"/>
      <c r="BC559" s="799"/>
      <c r="BD559" s="799"/>
      <c r="BE559" s="799"/>
      <c r="BF559" s="799"/>
      <c r="BG559" s="799"/>
    </row>
    <row r="560">
      <c r="H560" s="799"/>
      <c r="I560" s="799"/>
      <c r="J560" s="799"/>
      <c r="K560" s="799"/>
      <c r="L560" s="799"/>
      <c r="M560" s="799"/>
      <c r="N560" s="799"/>
      <c r="O560" s="799"/>
      <c r="P560" s="799"/>
      <c r="Q560" s="799"/>
      <c r="R560" s="799"/>
      <c r="S560" s="799"/>
      <c r="T560" s="799"/>
      <c r="U560" s="799"/>
      <c r="V560" s="799"/>
      <c r="W560" s="799"/>
      <c r="X560" s="799"/>
      <c r="Y560" s="799"/>
      <c r="Z560" s="799"/>
      <c r="AA560" s="799"/>
      <c r="AB560" s="799"/>
      <c r="AC560" s="799"/>
      <c r="AD560" s="799"/>
      <c r="AE560" s="799"/>
      <c r="AF560" s="799"/>
      <c r="AG560" s="799"/>
      <c r="AH560" s="799"/>
      <c r="AI560" s="799"/>
      <c r="AJ560" s="799"/>
      <c r="AK560" s="799"/>
      <c r="AL560" s="799"/>
      <c r="AM560" s="799"/>
      <c r="AN560" s="799"/>
      <c r="AO560" s="799"/>
      <c r="AP560" s="799"/>
      <c r="AQ560" s="799"/>
      <c r="AR560" s="799"/>
      <c r="AS560" s="799"/>
      <c r="AT560" s="799"/>
      <c r="AU560" s="799"/>
      <c r="AV560" s="799"/>
      <c r="AW560" s="799"/>
      <c r="AX560" s="799"/>
      <c r="AY560" s="799"/>
      <c r="AZ560" s="799"/>
      <c r="BA560" s="799"/>
      <c r="BB560" s="799"/>
      <c r="BC560" s="799"/>
      <c r="BD560" s="799"/>
      <c r="BE560" s="799"/>
      <c r="BF560" s="799"/>
      <c r="BG560" s="799"/>
    </row>
    <row r="561">
      <c r="H561" s="799"/>
      <c r="I561" s="799"/>
      <c r="J561" s="799"/>
      <c r="K561" s="799"/>
      <c r="L561" s="799"/>
      <c r="M561" s="799"/>
      <c r="N561" s="799"/>
      <c r="O561" s="799"/>
      <c r="P561" s="799"/>
      <c r="Q561" s="799"/>
      <c r="R561" s="799"/>
      <c r="S561" s="799"/>
      <c r="T561" s="799"/>
      <c r="U561" s="799"/>
      <c r="V561" s="799"/>
      <c r="W561" s="799"/>
      <c r="X561" s="799"/>
      <c r="Y561" s="799"/>
      <c r="Z561" s="799"/>
      <c r="AA561" s="799"/>
      <c r="AB561" s="799"/>
      <c r="AC561" s="799"/>
      <c r="AD561" s="799"/>
      <c r="AE561" s="799"/>
      <c r="AF561" s="799"/>
      <c r="AG561" s="799"/>
      <c r="AH561" s="799"/>
      <c r="AI561" s="799"/>
      <c r="AJ561" s="799"/>
      <c r="AK561" s="799"/>
      <c r="AL561" s="799"/>
      <c r="AM561" s="799"/>
      <c r="AN561" s="799"/>
      <c r="AO561" s="799"/>
      <c r="AP561" s="799"/>
      <c r="AQ561" s="799"/>
      <c r="AR561" s="799"/>
      <c r="AS561" s="799"/>
      <c r="AT561" s="799"/>
      <c r="AU561" s="799"/>
      <c r="AV561" s="799"/>
      <c r="AW561" s="799"/>
      <c r="AX561" s="799"/>
      <c r="AY561" s="799"/>
      <c r="AZ561" s="799"/>
      <c r="BA561" s="799"/>
      <c r="BB561" s="799"/>
      <c r="BC561" s="799"/>
      <c r="BD561" s="799"/>
      <c r="BE561" s="799"/>
      <c r="BF561" s="799"/>
      <c r="BG561" s="799"/>
    </row>
    <row r="562">
      <c r="H562" s="799"/>
      <c r="I562" s="799"/>
      <c r="J562" s="799"/>
      <c r="K562" s="799"/>
      <c r="L562" s="799"/>
      <c r="M562" s="799"/>
      <c r="N562" s="799"/>
      <c r="O562" s="799"/>
      <c r="P562" s="799"/>
      <c r="Q562" s="799"/>
      <c r="R562" s="799"/>
      <c r="S562" s="799"/>
      <c r="T562" s="799"/>
      <c r="U562" s="799"/>
      <c r="V562" s="799"/>
      <c r="W562" s="799"/>
      <c r="X562" s="799"/>
      <c r="Y562" s="799"/>
      <c r="Z562" s="799"/>
      <c r="AA562" s="799"/>
      <c r="AB562" s="799"/>
      <c r="AC562" s="799"/>
      <c r="AD562" s="799"/>
      <c r="AE562" s="799"/>
      <c r="AF562" s="799"/>
      <c r="AG562" s="799"/>
      <c r="AH562" s="799"/>
      <c r="AI562" s="799"/>
      <c r="AJ562" s="799"/>
      <c r="AK562" s="799"/>
      <c r="AL562" s="799"/>
      <c r="AM562" s="799"/>
      <c r="AN562" s="799"/>
      <c r="AO562" s="799"/>
      <c r="AP562" s="799"/>
      <c r="AQ562" s="799"/>
      <c r="AR562" s="799"/>
      <c r="AS562" s="799"/>
      <c r="AT562" s="799"/>
      <c r="AU562" s="799"/>
      <c r="AV562" s="799"/>
      <c r="AW562" s="799"/>
      <c r="AX562" s="799"/>
      <c r="AY562" s="799"/>
      <c r="AZ562" s="799"/>
      <c r="BA562" s="799"/>
      <c r="BB562" s="799"/>
      <c r="BC562" s="799"/>
      <c r="BD562" s="799"/>
      <c r="BE562" s="799"/>
      <c r="BF562" s="799"/>
      <c r="BG562" s="799"/>
    </row>
    <row r="563">
      <c r="H563" s="799"/>
      <c r="I563" s="799"/>
      <c r="J563" s="799"/>
      <c r="K563" s="799"/>
      <c r="L563" s="799"/>
      <c r="M563" s="799"/>
      <c r="N563" s="799"/>
      <c r="O563" s="799"/>
      <c r="P563" s="799"/>
      <c r="Q563" s="799"/>
      <c r="R563" s="799"/>
      <c r="S563" s="799"/>
      <c r="T563" s="799"/>
      <c r="U563" s="799"/>
      <c r="V563" s="799"/>
      <c r="W563" s="799"/>
      <c r="X563" s="799"/>
      <c r="Y563" s="799"/>
      <c r="Z563" s="799"/>
      <c r="AA563" s="799"/>
      <c r="AB563" s="799"/>
      <c r="AC563" s="799"/>
      <c r="AD563" s="799"/>
      <c r="AE563" s="799"/>
      <c r="AF563" s="799"/>
      <c r="AG563" s="799"/>
      <c r="AH563" s="799"/>
      <c r="AI563" s="799"/>
      <c r="AJ563" s="799"/>
      <c r="AK563" s="799"/>
      <c r="AL563" s="799"/>
      <c r="AM563" s="799"/>
      <c r="AN563" s="799"/>
      <c r="AO563" s="799"/>
      <c r="AP563" s="799"/>
      <c r="AQ563" s="799"/>
      <c r="AR563" s="799"/>
      <c r="AS563" s="799"/>
      <c r="AT563" s="799"/>
      <c r="AU563" s="799"/>
      <c r="AV563" s="799"/>
      <c r="AW563" s="799"/>
      <c r="AX563" s="799"/>
      <c r="AY563" s="799"/>
      <c r="AZ563" s="799"/>
      <c r="BA563" s="799"/>
      <c r="BB563" s="799"/>
      <c r="BC563" s="799"/>
      <c r="BD563" s="799"/>
      <c r="BE563" s="799"/>
      <c r="BF563" s="799"/>
      <c r="BG563" s="799"/>
    </row>
    <row r="564">
      <c r="H564" s="799"/>
      <c r="I564" s="799"/>
      <c r="J564" s="799"/>
      <c r="K564" s="799"/>
      <c r="L564" s="799"/>
      <c r="M564" s="799"/>
      <c r="N564" s="799"/>
      <c r="O564" s="799"/>
      <c r="P564" s="799"/>
      <c r="Q564" s="799"/>
      <c r="R564" s="799"/>
      <c r="S564" s="799"/>
      <c r="T564" s="799"/>
      <c r="U564" s="799"/>
      <c r="V564" s="799"/>
      <c r="W564" s="799"/>
      <c r="X564" s="799"/>
      <c r="Y564" s="799"/>
      <c r="Z564" s="799"/>
      <c r="AA564" s="799"/>
      <c r="AB564" s="799"/>
      <c r="AC564" s="799"/>
      <c r="AD564" s="799"/>
      <c r="AE564" s="799"/>
      <c r="AF564" s="799"/>
      <c r="AG564" s="799"/>
      <c r="AH564" s="799"/>
      <c r="AI564" s="799"/>
      <c r="AJ564" s="799"/>
      <c r="AK564" s="799"/>
      <c r="AL564" s="799"/>
      <c r="AM564" s="799"/>
      <c r="AN564" s="799"/>
      <c r="AO564" s="799"/>
      <c r="AP564" s="799"/>
      <c r="AQ564" s="799"/>
      <c r="AR564" s="799"/>
      <c r="AS564" s="799"/>
      <c r="AT564" s="799"/>
      <c r="AU564" s="799"/>
      <c r="AV564" s="799"/>
      <c r="AW564" s="799"/>
      <c r="AX564" s="799"/>
      <c r="AY564" s="799"/>
      <c r="AZ564" s="799"/>
      <c r="BA564" s="799"/>
      <c r="BB564" s="799"/>
      <c r="BC564" s="799"/>
      <c r="BD564" s="799"/>
      <c r="BE564" s="799"/>
      <c r="BF564" s="799"/>
      <c r="BG564" s="799"/>
    </row>
    <row r="565">
      <c r="H565" s="799"/>
      <c r="I565" s="799"/>
      <c r="J565" s="799"/>
      <c r="K565" s="799"/>
      <c r="L565" s="799"/>
      <c r="M565" s="799"/>
      <c r="N565" s="799"/>
      <c r="O565" s="799"/>
      <c r="P565" s="799"/>
      <c r="Q565" s="799"/>
      <c r="R565" s="799"/>
      <c r="S565" s="799"/>
      <c r="T565" s="799"/>
      <c r="U565" s="799"/>
      <c r="V565" s="799"/>
      <c r="W565" s="799"/>
      <c r="X565" s="799"/>
      <c r="Y565" s="799"/>
      <c r="Z565" s="799"/>
      <c r="AA565" s="799"/>
      <c r="AB565" s="799"/>
      <c r="AC565" s="799"/>
      <c r="AD565" s="799"/>
      <c r="AE565" s="799"/>
      <c r="AF565" s="799"/>
      <c r="AG565" s="799"/>
      <c r="AH565" s="799"/>
      <c r="AI565" s="799"/>
      <c r="AJ565" s="799"/>
      <c r="AK565" s="799"/>
      <c r="AL565" s="799"/>
      <c r="AM565" s="799"/>
      <c r="AN565" s="799"/>
      <c r="AO565" s="799"/>
      <c r="AP565" s="799"/>
      <c r="AQ565" s="799"/>
      <c r="AR565" s="799"/>
      <c r="AS565" s="799"/>
      <c r="AT565" s="799"/>
      <c r="AU565" s="799"/>
      <c r="AV565" s="799"/>
      <c r="AW565" s="799"/>
      <c r="AX565" s="799"/>
      <c r="AY565" s="799"/>
      <c r="AZ565" s="799"/>
      <c r="BA565" s="799"/>
      <c r="BB565" s="799"/>
      <c r="BC565" s="799"/>
      <c r="BD565" s="799"/>
      <c r="BE565" s="799"/>
      <c r="BF565" s="799"/>
      <c r="BG565" s="799"/>
    </row>
    <row r="566">
      <c r="H566" s="799"/>
      <c r="I566" s="799"/>
      <c r="J566" s="799"/>
      <c r="K566" s="799"/>
      <c r="L566" s="799"/>
      <c r="M566" s="799"/>
      <c r="N566" s="799"/>
      <c r="O566" s="799"/>
      <c r="P566" s="799"/>
      <c r="Q566" s="799"/>
      <c r="R566" s="799"/>
      <c r="S566" s="799"/>
      <c r="T566" s="799"/>
      <c r="U566" s="799"/>
      <c r="V566" s="799"/>
      <c r="W566" s="799"/>
      <c r="X566" s="799"/>
      <c r="Y566" s="799"/>
      <c r="Z566" s="799"/>
      <c r="AA566" s="799"/>
      <c r="AB566" s="799"/>
      <c r="AC566" s="799"/>
      <c r="AD566" s="799"/>
      <c r="AE566" s="799"/>
      <c r="AF566" s="799"/>
      <c r="AG566" s="799"/>
      <c r="AH566" s="799"/>
      <c r="AI566" s="799"/>
      <c r="AJ566" s="799"/>
      <c r="AK566" s="799"/>
      <c r="AL566" s="799"/>
      <c r="AM566" s="799"/>
      <c r="AN566" s="799"/>
      <c r="AO566" s="799"/>
      <c r="AP566" s="799"/>
      <c r="AQ566" s="799"/>
      <c r="AR566" s="799"/>
      <c r="AS566" s="799"/>
      <c r="AT566" s="799"/>
      <c r="AU566" s="799"/>
      <c r="AV566" s="799"/>
      <c r="AW566" s="799"/>
      <c r="AX566" s="799"/>
      <c r="AY566" s="799"/>
      <c r="AZ566" s="799"/>
      <c r="BA566" s="799"/>
      <c r="BB566" s="799"/>
      <c r="BC566" s="799"/>
      <c r="BD566" s="799"/>
      <c r="BE566" s="799"/>
      <c r="BF566" s="799"/>
      <c r="BG566" s="799"/>
    </row>
    <row r="567">
      <c r="H567" s="799"/>
      <c r="I567" s="799"/>
      <c r="J567" s="799"/>
      <c r="K567" s="799"/>
      <c r="L567" s="799"/>
      <c r="M567" s="799"/>
      <c r="N567" s="799"/>
      <c r="O567" s="799"/>
      <c r="P567" s="799"/>
      <c r="Q567" s="799"/>
      <c r="R567" s="799"/>
      <c r="S567" s="799"/>
      <c r="T567" s="799"/>
      <c r="U567" s="799"/>
      <c r="V567" s="799"/>
      <c r="W567" s="799"/>
      <c r="X567" s="799"/>
      <c r="Y567" s="799"/>
      <c r="Z567" s="799"/>
      <c r="AA567" s="799"/>
      <c r="AB567" s="799"/>
      <c r="AC567" s="799"/>
      <c r="AD567" s="799"/>
      <c r="AE567" s="799"/>
      <c r="AF567" s="799"/>
      <c r="AG567" s="799"/>
      <c r="AH567" s="799"/>
      <c r="AI567" s="799"/>
      <c r="AJ567" s="799"/>
      <c r="AK567" s="799"/>
      <c r="AL567" s="799"/>
      <c r="AM567" s="799"/>
      <c r="AN567" s="799"/>
      <c r="AO567" s="799"/>
      <c r="AP567" s="799"/>
      <c r="AQ567" s="799"/>
      <c r="AR567" s="799"/>
      <c r="AS567" s="799"/>
      <c r="AT567" s="799"/>
      <c r="AU567" s="799"/>
      <c r="AV567" s="799"/>
      <c r="AW567" s="799"/>
      <c r="AX567" s="799"/>
      <c r="AY567" s="799"/>
      <c r="AZ567" s="799"/>
      <c r="BA567" s="799"/>
      <c r="BB567" s="799"/>
      <c r="BC567" s="799"/>
      <c r="BD567" s="799"/>
      <c r="BE567" s="799"/>
      <c r="BF567" s="799"/>
      <c r="BG567" s="799"/>
    </row>
    <row r="568">
      <c r="H568" s="799"/>
      <c r="I568" s="799"/>
      <c r="J568" s="799"/>
      <c r="K568" s="799"/>
      <c r="L568" s="799"/>
      <c r="M568" s="799"/>
      <c r="N568" s="799"/>
      <c r="O568" s="799"/>
      <c r="P568" s="799"/>
      <c r="Q568" s="799"/>
      <c r="R568" s="799"/>
      <c r="S568" s="799"/>
      <c r="T568" s="799"/>
      <c r="U568" s="799"/>
      <c r="V568" s="799"/>
      <c r="W568" s="799"/>
      <c r="X568" s="799"/>
      <c r="Y568" s="799"/>
      <c r="Z568" s="799"/>
      <c r="AA568" s="799"/>
      <c r="AB568" s="799"/>
      <c r="AC568" s="799"/>
      <c r="AD568" s="799"/>
      <c r="AE568" s="799"/>
      <c r="AF568" s="799"/>
      <c r="AG568" s="799"/>
      <c r="AH568" s="799"/>
      <c r="AI568" s="799"/>
      <c r="AJ568" s="799"/>
      <c r="AK568" s="799"/>
      <c r="AL568" s="799"/>
      <c r="AM568" s="799"/>
      <c r="AN568" s="799"/>
      <c r="AO568" s="799"/>
      <c r="AP568" s="799"/>
      <c r="AQ568" s="799"/>
      <c r="AR568" s="799"/>
      <c r="AS568" s="799"/>
      <c r="AT568" s="799"/>
      <c r="AU568" s="799"/>
      <c r="AV568" s="799"/>
      <c r="AW568" s="799"/>
      <c r="AX568" s="799"/>
      <c r="AY568" s="799"/>
      <c r="AZ568" s="799"/>
      <c r="BA568" s="799"/>
      <c r="BB568" s="799"/>
      <c r="BC568" s="799"/>
      <c r="BD568" s="799"/>
      <c r="BE568" s="799"/>
      <c r="BF568" s="799"/>
      <c r="BG568" s="799"/>
    </row>
    <row r="569">
      <c r="H569" s="799"/>
      <c r="I569" s="799"/>
      <c r="J569" s="799"/>
      <c r="K569" s="799"/>
      <c r="L569" s="799"/>
      <c r="M569" s="799"/>
      <c r="N569" s="799"/>
      <c r="O569" s="799"/>
      <c r="P569" s="799"/>
      <c r="Q569" s="799"/>
      <c r="R569" s="799"/>
      <c r="S569" s="799"/>
      <c r="T569" s="799"/>
      <c r="U569" s="799"/>
      <c r="V569" s="799"/>
      <c r="W569" s="799"/>
      <c r="X569" s="799"/>
      <c r="Y569" s="799"/>
      <c r="Z569" s="799"/>
      <c r="AA569" s="799"/>
      <c r="AB569" s="799"/>
      <c r="AC569" s="799"/>
      <c r="AD569" s="799"/>
      <c r="AE569" s="799"/>
      <c r="AF569" s="799"/>
      <c r="AG569" s="799"/>
      <c r="AH569" s="799"/>
      <c r="AI569" s="799"/>
      <c r="AJ569" s="799"/>
      <c r="AK569" s="799"/>
      <c r="AL569" s="799"/>
      <c r="AM569" s="799"/>
      <c r="AN569" s="799"/>
      <c r="AO569" s="799"/>
      <c r="AP569" s="799"/>
      <c r="AQ569" s="799"/>
      <c r="AR569" s="799"/>
      <c r="AS569" s="799"/>
      <c r="AT569" s="799"/>
      <c r="AU569" s="799"/>
      <c r="AV569" s="799"/>
      <c r="AW569" s="799"/>
      <c r="AX569" s="799"/>
      <c r="AY569" s="799"/>
      <c r="AZ569" s="799"/>
      <c r="BA569" s="799"/>
      <c r="BB569" s="799"/>
      <c r="BC569" s="799"/>
      <c r="BD569" s="799"/>
      <c r="BE569" s="799"/>
      <c r="BF569" s="799"/>
      <c r="BG569" s="799"/>
    </row>
    <row r="570">
      <c r="H570" s="799"/>
      <c r="I570" s="799"/>
      <c r="J570" s="799"/>
      <c r="K570" s="799"/>
      <c r="L570" s="799"/>
      <c r="M570" s="799"/>
      <c r="N570" s="799"/>
      <c r="O570" s="799"/>
      <c r="P570" s="799"/>
      <c r="Q570" s="799"/>
      <c r="R570" s="799"/>
      <c r="S570" s="799"/>
      <c r="T570" s="799"/>
      <c r="U570" s="799"/>
      <c r="V570" s="799"/>
      <c r="W570" s="799"/>
      <c r="X570" s="799"/>
      <c r="Y570" s="799"/>
      <c r="Z570" s="799"/>
      <c r="AA570" s="799"/>
      <c r="AB570" s="799"/>
      <c r="AC570" s="799"/>
      <c r="AD570" s="799"/>
      <c r="AE570" s="799"/>
      <c r="AF570" s="799"/>
      <c r="AG570" s="799"/>
      <c r="AH570" s="799"/>
      <c r="AI570" s="799"/>
      <c r="AJ570" s="799"/>
      <c r="AK570" s="799"/>
      <c r="AL570" s="799"/>
      <c r="AM570" s="799"/>
      <c r="AN570" s="799"/>
      <c r="AO570" s="799"/>
      <c r="AP570" s="799"/>
      <c r="AQ570" s="799"/>
      <c r="AR570" s="799"/>
      <c r="AS570" s="799"/>
      <c r="AT570" s="799"/>
      <c r="AU570" s="799"/>
      <c r="AV570" s="799"/>
      <c r="AW570" s="799"/>
      <c r="AX570" s="799"/>
      <c r="AY570" s="799"/>
      <c r="AZ570" s="799"/>
      <c r="BA570" s="799"/>
      <c r="BB570" s="799"/>
      <c r="BC570" s="799"/>
      <c r="BD570" s="799"/>
      <c r="BE570" s="799"/>
      <c r="BF570" s="799"/>
      <c r="BG570" s="799"/>
    </row>
    <row r="571">
      <c r="H571" s="799"/>
      <c r="I571" s="799"/>
      <c r="J571" s="799"/>
      <c r="K571" s="799"/>
      <c r="L571" s="799"/>
      <c r="M571" s="799"/>
      <c r="N571" s="799"/>
      <c r="O571" s="799"/>
      <c r="P571" s="799"/>
      <c r="Q571" s="799"/>
      <c r="R571" s="799"/>
      <c r="S571" s="799"/>
      <c r="T571" s="799"/>
      <c r="U571" s="799"/>
      <c r="V571" s="799"/>
      <c r="W571" s="799"/>
      <c r="X571" s="799"/>
      <c r="Y571" s="799"/>
      <c r="Z571" s="799"/>
      <c r="AA571" s="799"/>
      <c r="AB571" s="799"/>
      <c r="AC571" s="799"/>
      <c r="AD571" s="799"/>
      <c r="AE571" s="799"/>
      <c r="AF571" s="799"/>
      <c r="AG571" s="799"/>
      <c r="AH571" s="799"/>
      <c r="AI571" s="799"/>
      <c r="AJ571" s="799"/>
      <c r="AK571" s="799"/>
      <c r="AL571" s="799"/>
      <c r="AM571" s="799"/>
      <c r="AN571" s="799"/>
      <c r="AO571" s="799"/>
      <c r="AP571" s="799"/>
      <c r="AQ571" s="799"/>
      <c r="AR571" s="799"/>
      <c r="AS571" s="799"/>
      <c r="AT571" s="799"/>
      <c r="AU571" s="799"/>
      <c r="AV571" s="799"/>
      <c r="AW571" s="799"/>
      <c r="AX571" s="799"/>
      <c r="AY571" s="799"/>
      <c r="AZ571" s="799"/>
      <c r="BA571" s="799"/>
      <c r="BB571" s="799"/>
      <c r="BC571" s="799"/>
      <c r="BD571" s="799"/>
      <c r="BE571" s="799"/>
      <c r="BF571" s="799"/>
      <c r="BG571" s="799"/>
    </row>
    <row r="572">
      <c r="H572" s="799"/>
      <c r="I572" s="799"/>
      <c r="J572" s="799"/>
      <c r="K572" s="799"/>
      <c r="L572" s="799"/>
      <c r="M572" s="799"/>
      <c r="N572" s="799"/>
      <c r="O572" s="799"/>
      <c r="P572" s="799"/>
      <c r="Q572" s="799"/>
      <c r="R572" s="799"/>
      <c r="S572" s="799"/>
      <c r="T572" s="799"/>
      <c r="U572" s="799"/>
      <c r="V572" s="799"/>
      <c r="W572" s="799"/>
      <c r="X572" s="799"/>
      <c r="Y572" s="799"/>
      <c r="Z572" s="799"/>
      <c r="AA572" s="799"/>
      <c r="AB572" s="799"/>
      <c r="AC572" s="799"/>
      <c r="AD572" s="799"/>
      <c r="AE572" s="799"/>
      <c r="AF572" s="799"/>
      <c r="AG572" s="799"/>
      <c r="AH572" s="799"/>
      <c r="AI572" s="799"/>
      <c r="AJ572" s="799"/>
      <c r="AK572" s="799"/>
      <c r="AL572" s="799"/>
      <c r="AM572" s="799"/>
      <c r="AN572" s="799"/>
      <c r="AO572" s="799"/>
      <c r="AP572" s="799"/>
      <c r="AQ572" s="799"/>
      <c r="AR572" s="799"/>
      <c r="AS572" s="799"/>
      <c r="AT572" s="799"/>
      <c r="AU572" s="799"/>
      <c r="AV572" s="799"/>
      <c r="AW572" s="799"/>
      <c r="AX572" s="799"/>
      <c r="AY572" s="799"/>
      <c r="AZ572" s="799"/>
      <c r="BA572" s="799"/>
      <c r="BB572" s="799"/>
      <c r="BC572" s="799"/>
      <c r="BD572" s="799"/>
      <c r="BE572" s="799"/>
      <c r="BF572" s="799"/>
      <c r="BG572" s="799"/>
    </row>
    <row r="573">
      <c r="H573" s="799"/>
      <c r="I573" s="799"/>
      <c r="J573" s="799"/>
      <c r="K573" s="799"/>
      <c r="L573" s="799"/>
      <c r="M573" s="799"/>
      <c r="N573" s="799"/>
      <c r="O573" s="799"/>
      <c r="P573" s="799"/>
      <c r="Q573" s="799"/>
      <c r="R573" s="799"/>
      <c r="S573" s="799"/>
      <c r="T573" s="799"/>
      <c r="U573" s="799"/>
      <c r="V573" s="799"/>
      <c r="W573" s="799"/>
      <c r="X573" s="799"/>
      <c r="Y573" s="799"/>
      <c r="Z573" s="799"/>
      <c r="AA573" s="799"/>
      <c r="AB573" s="799"/>
      <c r="AC573" s="799"/>
      <c r="AD573" s="799"/>
      <c r="AE573" s="799"/>
      <c r="AF573" s="799"/>
      <c r="AG573" s="799"/>
      <c r="AH573" s="799"/>
      <c r="AI573" s="799"/>
      <c r="AJ573" s="799"/>
      <c r="AK573" s="799"/>
      <c r="AL573" s="799"/>
      <c r="AM573" s="799"/>
      <c r="AN573" s="799"/>
      <c r="AO573" s="799"/>
      <c r="AP573" s="799"/>
      <c r="AQ573" s="799"/>
      <c r="AR573" s="799"/>
      <c r="AS573" s="799"/>
      <c r="AT573" s="799"/>
      <c r="AU573" s="799"/>
      <c r="AV573" s="799"/>
      <c r="AW573" s="799"/>
      <c r="AX573" s="799"/>
      <c r="AY573" s="799"/>
      <c r="AZ573" s="799"/>
      <c r="BA573" s="799"/>
      <c r="BB573" s="799"/>
      <c r="BC573" s="799"/>
      <c r="BD573" s="799"/>
      <c r="BE573" s="799"/>
      <c r="BF573" s="799"/>
      <c r="BG573" s="799"/>
    </row>
    <row r="574">
      <c r="H574" s="799"/>
      <c r="I574" s="799"/>
      <c r="J574" s="799"/>
      <c r="K574" s="799"/>
      <c r="L574" s="799"/>
      <c r="M574" s="799"/>
      <c r="N574" s="799"/>
      <c r="O574" s="799"/>
      <c r="P574" s="799"/>
      <c r="Q574" s="799"/>
      <c r="R574" s="799"/>
      <c r="S574" s="799"/>
      <c r="T574" s="799"/>
      <c r="U574" s="799"/>
      <c r="V574" s="799"/>
      <c r="W574" s="799"/>
      <c r="X574" s="799"/>
      <c r="Y574" s="799"/>
      <c r="Z574" s="799"/>
      <c r="AA574" s="799"/>
      <c r="AB574" s="799"/>
      <c r="AC574" s="799"/>
      <c r="AD574" s="799"/>
      <c r="AE574" s="799"/>
      <c r="AF574" s="799"/>
      <c r="AG574" s="799"/>
      <c r="AH574" s="799"/>
      <c r="AI574" s="799"/>
      <c r="AJ574" s="799"/>
      <c r="AK574" s="799"/>
      <c r="AL574" s="799"/>
      <c r="AM574" s="799"/>
      <c r="AN574" s="799"/>
      <c r="AO574" s="799"/>
      <c r="AP574" s="799"/>
      <c r="AQ574" s="799"/>
      <c r="AR574" s="799"/>
      <c r="AS574" s="799"/>
      <c r="AT574" s="799"/>
      <c r="AU574" s="799"/>
      <c r="AV574" s="799"/>
      <c r="AW574" s="799"/>
      <c r="AX574" s="799"/>
      <c r="AY574" s="799"/>
      <c r="AZ574" s="799"/>
      <c r="BA574" s="799"/>
      <c r="BB574" s="799"/>
      <c r="BC574" s="799"/>
      <c r="BD574" s="799"/>
      <c r="BE574" s="799"/>
      <c r="BF574" s="799"/>
      <c r="BG574" s="799"/>
    </row>
    <row r="575">
      <c r="H575" s="799"/>
      <c r="I575" s="799"/>
      <c r="J575" s="799"/>
      <c r="K575" s="799"/>
      <c r="L575" s="799"/>
      <c r="M575" s="799"/>
      <c r="N575" s="799"/>
      <c r="O575" s="799"/>
      <c r="P575" s="799"/>
      <c r="Q575" s="799"/>
      <c r="R575" s="799"/>
      <c r="S575" s="799"/>
      <c r="T575" s="799"/>
      <c r="U575" s="799"/>
      <c r="V575" s="799"/>
      <c r="W575" s="799"/>
      <c r="X575" s="799"/>
      <c r="Y575" s="799"/>
      <c r="Z575" s="799"/>
      <c r="AA575" s="799"/>
      <c r="AB575" s="799"/>
      <c r="AC575" s="799"/>
      <c r="AD575" s="799"/>
      <c r="AE575" s="799"/>
      <c r="AF575" s="799"/>
      <c r="AG575" s="799"/>
      <c r="AH575" s="799"/>
      <c r="AI575" s="799"/>
      <c r="AJ575" s="799"/>
      <c r="AK575" s="799"/>
      <c r="AL575" s="799"/>
      <c r="AM575" s="799"/>
      <c r="AN575" s="799"/>
      <c r="AO575" s="799"/>
      <c r="AP575" s="799"/>
      <c r="AQ575" s="799"/>
      <c r="AR575" s="799"/>
      <c r="AS575" s="799"/>
      <c r="AT575" s="799"/>
      <c r="AU575" s="799"/>
      <c r="AV575" s="799"/>
      <c r="AW575" s="799"/>
      <c r="AX575" s="799"/>
      <c r="AY575" s="799"/>
      <c r="AZ575" s="799"/>
      <c r="BA575" s="799"/>
      <c r="BB575" s="799"/>
      <c r="BC575" s="799"/>
      <c r="BD575" s="799"/>
      <c r="BE575" s="799"/>
      <c r="BF575" s="799"/>
      <c r="BG575" s="799"/>
    </row>
    <row r="576">
      <c r="H576" s="799"/>
      <c r="I576" s="799"/>
      <c r="J576" s="799"/>
      <c r="K576" s="799"/>
      <c r="L576" s="799"/>
      <c r="M576" s="799"/>
      <c r="N576" s="799"/>
      <c r="O576" s="799"/>
      <c r="P576" s="799"/>
      <c r="Q576" s="799"/>
      <c r="R576" s="799"/>
      <c r="S576" s="799"/>
      <c r="T576" s="799"/>
      <c r="U576" s="799"/>
      <c r="V576" s="799"/>
      <c r="W576" s="799"/>
      <c r="X576" s="799"/>
      <c r="Y576" s="799"/>
      <c r="Z576" s="799"/>
      <c r="AA576" s="799"/>
      <c r="AB576" s="799"/>
      <c r="AC576" s="799"/>
      <c r="AD576" s="799"/>
      <c r="AE576" s="799"/>
      <c r="AF576" s="799"/>
      <c r="AG576" s="799"/>
      <c r="AH576" s="799"/>
      <c r="AI576" s="799"/>
      <c r="AJ576" s="799"/>
      <c r="AK576" s="799"/>
      <c r="AL576" s="799"/>
      <c r="AM576" s="799"/>
      <c r="AN576" s="799"/>
      <c r="AO576" s="799"/>
      <c r="AP576" s="799"/>
      <c r="AQ576" s="799"/>
      <c r="AR576" s="799"/>
      <c r="AS576" s="799"/>
      <c r="AT576" s="799"/>
      <c r="AU576" s="799"/>
      <c r="AV576" s="799"/>
      <c r="AW576" s="799"/>
      <c r="AX576" s="799"/>
      <c r="AY576" s="799"/>
      <c r="AZ576" s="799"/>
      <c r="BA576" s="799"/>
      <c r="BB576" s="799"/>
      <c r="BC576" s="799"/>
      <c r="BD576" s="799"/>
      <c r="BE576" s="799"/>
      <c r="BF576" s="799"/>
      <c r="BG576" s="799"/>
    </row>
    <row r="577">
      <c r="H577" s="799"/>
      <c r="I577" s="799"/>
      <c r="J577" s="799"/>
      <c r="K577" s="799"/>
      <c r="L577" s="799"/>
      <c r="M577" s="799"/>
      <c r="N577" s="799"/>
      <c r="O577" s="799"/>
      <c r="P577" s="799"/>
      <c r="Q577" s="799"/>
      <c r="R577" s="799"/>
      <c r="S577" s="799"/>
      <c r="T577" s="799"/>
      <c r="U577" s="799"/>
      <c r="V577" s="799"/>
      <c r="W577" s="799"/>
      <c r="X577" s="799"/>
      <c r="Y577" s="799"/>
      <c r="Z577" s="799"/>
      <c r="AA577" s="799"/>
      <c r="AB577" s="799"/>
      <c r="AC577" s="799"/>
      <c r="AD577" s="799"/>
      <c r="AE577" s="799"/>
      <c r="AF577" s="799"/>
      <c r="AG577" s="799"/>
      <c r="AH577" s="799"/>
      <c r="AI577" s="799"/>
      <c r="AJ577" s="799"/>
      <c r="AK577" s="799"/>
      <c r="AL577" s="799"/>
      <c r="AM577" s="799"/>
      <c r="AN577" s="799"/>
      <c r="AO577" s="799"/>
      <c r="AP577" s="799"/>
      <c r="AQ577" s="799"/>
      <c r="AR577" s="799"/>
      <c r="AS577" s="799"/>
      <c r="AT577" s="799"/>
      <c r="AU577" s="799"/>
      <c r="AV577" s="799"/>
      <c r="AW577" s="799"/>
      <c r="AX577" s="799"/>
      <c r="AY577" s="799"/>
      <c r="AZ577" s="799"/>
      <c r="BA577" s="799"/>
      <c r="BB577" s="799"/>
      <c r="BC577" s="799"/>
      <c r="BD577" s="799"/>
      <c r="BE577" s="799"/>
      <c r="BF577" s="799"/>
      <c r="BG577" s="799"/>
    </row>
    <row r="578">
      <c r="H578" s="799"/>
      <c r="I578" s="799"/>
      <c r="J578" s="799"/>
      <c r="K578" s="799"/>
      <c r="L578" s="799"/>
      <c r="M578" s="799"/>
      <c r="N578" s="799"/>
      <c r="O578" s="799"/>
      <c r="P578" s="799"/>
      <c r="Q578" s="799"/>
      <c r="R578" s="799"/>
      <c r="S578" s="799"/>
      <c r="T578" s="799"/>
      <c r="U578" s="799"/>
      <c r="V578" s="799"/>
      <c r="W578" s="799"/>
      <c r="X578" s="799"/>
      <c r="Y578" s="799"/>
      <c r="Z578" s="799"/>
      <c r="AA578" s="799"/>
      <c r="AB578" s="799"/>
      <c r="AC578" s="799"/>
      <c r="AD578" s="799"/>
      <c r="AE578" s="799"/>
      <c r="AF578" s="799"/>
      <c r="AG578" s="799"/>
      <c r="AH578" s="799"/>
      <c r="AI578" s="799"/>
      <c r="AJ578" s="799"/>
      <c r="AK578" s="799"/>
      <c r="AL578" s="799"/>
      <c r="AM578" s="799"/>
      <c r="AN578" s="799"/>
      <c r="AO578" s="799"/>
      <c r="AP578" s="799"/>
      <c r="AQ578" s="799"/>
      <c r="AR578" s="799"/>
      <c r="AS578" s="799"/>
      <c r="AT578" s="799"/>
      <c r="AU578" s="799"/>
      <c r="AV578" s="799"/>
      <c r="AW578" s="799"/>
      <c r="AX578" s="799"/>
      <c r="AY578" s="799"/>
      <c r="AZ578" s="799"/>
      <c r="BA578" s="799"/>
      <c r="BB578" s="799"/>
      <c r="BC578" s="799"/>
      <c r="BD578" s="799"/>
      <c r="BE578" s="799"/>
      <c r="BF578" s="799"/>
      <c r="BG578" s="799"/>
    </row>
    <row r="579">
      <c r="H579" s="799"/>
      <c r="I579" s="799"/>
      <c r="J579" s="799"/>
      <c r="K579" s="799"/>
      <c r="L579" s="799"/>
      <c r="M579" s="799"/>
      <c r="N579" s="799"/>
      <c r="O579" s="799"/>
      <c r="P579" s="799"/>
      <c r="Q579" s="799"/>
      <c r="R579" s="799"/>
      <c r="S579" s="799"/>
      <c r="T579" s="799"/>
      <c r="U579" s="799"/>
      <c r="V579" s="799"/>
      <c r="W579" s="799"/>
      <c r="X579" s="799"/>
      <c r="Y579" s="799"/>
      <c r="Z579" s="799"/>
      <c r="AA579" s="799"/>
      <c r="AB579" s="799"/>
      <c r="AC579" s="799"/>
      <c r="AD579" s="799"/>
      <c r="AE579" s="799"/>
      <c r="AF579" s="799"/>
      <c r="AG579" s="799"/>
      <c r="AH579" s="799"/>
      <c r="AI579" s="799"/>
      <c r="AJ579" s="799"/>
      <c r="AK579" s="799"/>
      <c r="AL579" s="799"/>
      <c r="AM579" s="799"/>
      <c r="AN579" s="799"/>
      <c r="AO579" s="799"/>
      <c r="AP579" s="799"/>
      <c r="AQ579" s="799"/>
      <c r="AR579" s="799"/>
      <c r="AS579" s="799"/>
      <c r="AT579" s="799"/>
      <c r="AU579" s="799"/>
      <c r="AV579" s="799"/>
      <c r="AW579" s="799"/>
      <c r="AX579" s="799"/>
      <c r="AY579" s="799"/>
      <c r="AZ579" s="799"/>
      <c r="BA579" s="799"/>
      <c r="BB579" s="799"/>
      <c r="BC579" s="799"/>
      <c r="BD579" s="799"/>
      <c r="BE579" s="799"/>
      <c r="BF579" s="799"/>
      <c r="BG579" s="799"/>
    </row>
    <row r="580">
      <c r="H580" s="799"/>
      <c r="I580" s="799"/>
      <c r="J580" s="799"/>
      <c r="K580" s="799"/>
      <c r="L580" s="799"/>
      <c r="M580" s="799"/>
      <c r="N580" s="799"/>
      <c r="O580" s="799"/>
      <c r="P580" s="799"/>
      <c r="Q580" s="799"/>
      <c r="R580" s="799"/>
      <c r="S580" s="799"/>
      <c r="T580" s="799"/>
      <c r="U580" s="799"/>
      <c r="V580" s="799"/>
      <c r="W580" s="799"/>
      <c r="X580" s="799"/>
      <c r="Y580" s="799"/>
      <c r="Z580" s="799"/>
      <c r="AA580" s="799"/>
      <c r="AB580" s="799"/>
      <c r="AC580" s="799"/>
      <c r="AD580" s="799"/>
      <c r="AE580" s="799"/>
      <c r="AF580" s="799"/>
      <c r="AG580" s="799"/>
      <c r="AH580" s="799"/>
      <c r="AI580" s="799"/>
      <c r="AJ580" s="799"/>
      <c r="AK580" s="799"/>
      <c r="AL580" s="799"/>
      <c r="AM580" s="799"/>
      <c r="AN580" s="799"/>
      <c r="AO580" s="799"/>
      <c r="AP580" s="799"/>
      <c r="AQ580" s="799"/>
      <c r="AR580" s="799"/>
      <c r="AS580" s="799"/>
      <c r="AT580" s="799"/>
      <c r="AU580" s="799"/>
      <c r="AV580" s="799"/>
      <c r="AW580" s="799"/>
      <c r="AX580" s="799"/>
      <c r="AY580" s="799"/>
      <c r="AZ580" s="799"/>
      <c r="BA580" s="799"/>
      <c r="BB580" s="799"/>
      <c r="BC580" s="799"/>
      <c r="BD580" s="799"/>
      <c r="BE580" s="799"/>
      <c r="BF580" s="799"/>
      <c r="BG580" s="799"/>
    </row>
    <row r="581">
      <c r="H581" s="799"/>
      <c r="I581" s="799"/>
      <c r="J581" s="799"/>
      <c r="K581" s="799"/>
      <c r="L581" s="799"/>
      <c r="M581" s="799"/>
      <c r="N581" s="799"/>
      <c r="O581" s="799"/>
      <c r="P581" s="799"/>
      <c r="Q581" s="799"/>
      <c r="R581" s="799"/>
      <c r="S581" s="799"/>
      <c r="T581" s="799"/>
      <c r="U581" s="799"/>
      <c r="V581" s="799"/>
      <c r="W581" s="799"/>
      <c r="X581" s="799"/>
      <c r="Y581" s="799"/>
      <c r="Z581" s="799"/>
      <c r="AA581" s="799"/>
      <c r="AB581" s="799"/>
      <c r="AC581" s="799"/>
      <c r="AD581" s="799"/>
      <c r="AE581" s="799"/>
      <c r="AF581" s="799"/>
      <c r="AG581" s="799"/>
      <c r="AH581" s="799"/>
      <c r="AI581" s="799"/>
      <c r="AJ581" s="799"/>
      <c r="AK581" s="799"/>
      <c r="AL581" s="799"/>
      <c r="AM581" s="799"/>
      <c r="AN581" s="799"/>
      <c r="AO581" s="799"/>
      <c r="AP581" s="799"/>
      <c r="AQ581" s="799"/>
      <c r="AR581" s="799"/>
      <c r="AS581" s="799"/>
      <c r="AT581" s="799"/>
      <c r="AU581" s="799"/>
      <c r="AV581" s="799"/>
      <c r="AW581" s="799"/>
      <c r="AX581" s="799"/>
      <c r="AY581" s="799"/>
      <c r="AZ581" s="799"/>
      <c r="BA581" s="799"/>
      <c r="BB581" s="799"/>
      <c r="BC581" s="799"/>
      <c r="BD581" s="799"/>
      <c r="BE581" s="799"/>
      <c r="BF581" s="799"/>
      <c r="BG581" s="799"/>
    </row>
    <row r="582">
      <c r="H582" s="799"/>
      <c r="I582" s="799"/>
      <c r="J582" s="799"/>
      <c r="K582" s="799"/>
      <c r="L582" s="799"/>
      <c r="M582" s="799"/>
      <c r="N582" s="799"/>
      <c r="O582" s="799"/>
      <c r="P582" s="799"/>
      <c r="Q582" s="799"/>
      <c r="R582" s="799"/>
      <c r="S582" s="799"/>
      <c r="T582" s="799"/>
      <c r="U582" s="799"/>
      <c r="V582" s="799"/>
      <c r="W582" s="799"/>
      <c r="X582" s="799"/>
      <c r="Y582" s="799"/>
      <c r="Z582" s="799"/>
      <c r="AA582" s="799"/>
      <c r="AB582" s="799"/>
      <c r="AC582" s="799"/>
      <c r="AD582" s="799"/>
      <c r="AE582" s="799"/>
      <c r="AF582" s="799"/>
      <c r="AG582" s="799"/>
      <c r="AH582" s="799"/>
      <c r="AI582" s="799"/>
      <c r="AJ582" s="799"/>
      <c r="AK582" s="799"/>
      <c r="AL582" s="799"/>
      <c r="AM582" s="799"/>
      <c r="AN582" s="799"/>
      <c r="AO582" s="799"/>
      <c r="AP582" s="799"/>
      <c r="AQ582" s="799"/>
      <c r="AR582" s="799"/>
      <c r="AS582" s="799"/>
      <c r="AT582" s="799"/>
      <c r="AU582" s="799"/>
      <c r="AV582" s="799"/>
      <c r="AW582" s="799"/>
      <c r="AX582" s="799"/>
      <c r="AY582" s="799"/>
      <c r="AZ582" s="799"/>
      <c r="BA582" s="799"/>
      <c r="BB582" s="799"/>
      <c r="BC582" s="799"/>
      <c r="BD582" s="799"/>
      <c r="BE582" s="799"/>
      <c r="BF582" s="799"/>
      <c r="BG582" s="799"/>
    </row>
    <row r="583">
      <c r="H583" s="799"/>
      <c r="I583" s="799"/>
      <c r="J583" s="799"/>
      <c r="K583" s="799"/>
      <c r="L583" s="799"/>
      <c r="M583" s="799"/>
      <c r="N583" s="799"/>
      <c r="O583" s="799"/>
      <c r="P583" s="799"/>
      <c r="Q583" s="799"/>
      <c r="R583" s="799"/>
      <c r="S583" s="799"/>
      <c r="T583" s="799"/>
      <c r="U583" s="799"/>
      <c r="V583" s="799"/>
      <c r="W583" s="799"/>
      <c r="X583" s="799"/>
      <c r="Y583" s="799"/>
      <c r="Z583" s="799"/>
      <c r="AA583" s="799"/>
      <c r="AB583" s="799"/>
      <c r="AC583" s="799"/>
      <c r="AD583" s="799"/>
      <c r="AE583" s="799"/>
      <c r="AF583" s="799"/>
      <c r="AG583" s="799"/>
      <c r="AH583" s="799"/>
      <c r="AI583" s="799"/>
      <c r="AJ583" s="799"/>
      <c r="AK583" s="799"/>
      <c r="AL583" s="799"/>
      <c r="AM583" s="799"/>
      <c r="AN583" s="799"/>
      <c r="AO583" s="799"/>
      <c r="AP583" s="799"/>
      <c r="AQ583" s="799"/>
      <c r="AR583" s="799"/>
      <c r="AS583" s="799"/>
      <c r="AT583" s="799"/>
      <c r="AU583" s="799"/>
      <c r="AV583" s="799"/>
      <c r="AW583" s="799"/>
      <c r="AX583" s="799"/>
      <c r="AY583" s="799"/>
      <c r="AZ583" s="799"/>
      <c r="BA583" s="799"/>
      <c r="BB583" s="799"/>
      <c r="BC583" s="799"/>
      <c r="BD583" s="799"/>
      <c r="BE583" s="799"/>
      <c r="BF583" s="799"/>
      <c r="BG583" s="799"/>
    </row>
    <row r="584">
      <c r="H584" s="799"/>
      <c r="I584" s="799"/>
      <c r="J584" s="799"/>
      <c r="K584" s="799"/>
      <c r="L584" s="799"/>
      <c r="M584" s="799"/>
      <c r="N584" s="799"/>
      <c r="O584" s="799"/>
      <c r="P584" s="799"/>
      <c r="Q584" s="799"/>
      <c r="R584" s="799"/>
      <c r="S584" s="799"/>
      <c r="T584" s="799"/>
      <c r="U584" s="799"/>
      <c r="V584" s="799"/>
      <c r="W584" s="799"/>
      <c r="X584" s="799"/>
      <c r="Y584" s="799"/>
      <c r="Z584" s="799"/>
      <c r="AA584" s="799"/>
      <c r="AB584" s="799"/>
      <c r="AC584" s="799"/>
      <c r="AD584" s="799"/>
      <c r="AE584" s="799"/>
      <c r="AF584" s="799"/>
      <c r="AG584" s="799"/>
      <c r="AH584" s="799"/>
      <c r="AI584" s="799"/>
      <c r="AJ584" s="799"/>
      <c r="AK584" s="799"/>
      <c r="AL584" s="799"/>
      <c r="AM584" s="799"/>
      <c r="AN584" s="799"/>
      <c r="AO584" s="799"/>
      <c r="AP584" s="799"/>
      <c r="AQ584" s="799"/>
      <c r="AR584" s="799"/>
      <c r="AS584" s="799"/>
      <c r="AT584" s="799"/>
      <c r="AU584" s="799"/>
      <c r="AV584" s="799"/>
      <c r="AW584" s="799"/>
      <c r="AX584" s="799"/>
      <c r="AY584" s="799"/>
      <c r="AZ584" s="799"/>
      <c r="BA584" s="799"/>
      <c r="BB584" s="799"/>
      <c r="BC584" s="799"/>
      <c r="BD584" s="799"/>
      <c r="BE584" s="799"/>
      <c r="BF584" s="799"/>
      <c r="BG584" s="799"/>
    </row>
    <row r="585">
      <c r="H585" s="799"/>
      <c r="I585" s="799"/>
      <c r="J585" s="799"/>
      <c r="K585" s="799"/>
      <c r="L585" s="799"/>
      <c r="M585" s="799"/>
      <c r="N585" s="799"/>
      <c r="O585" s="799"/>
      <c r="P585" s="799"/>
      <c r="Q585" s="799"/>
      <c r="R585" s="799"/>
      <c r="S585" s="799"/>
      <c r="T585" s="799"/>
      <c r="U585" s="799"/>
      <c r="V585" s="799"/>
      <c r="W585" s="799"/>
      <c r="X585" s="799"/>
      <c r="Y585" s="799"/>
      <c r="Z585" s="799"/>
      <c r="AA585" s="799"/>
      <c r="AB585" s="799"/>
      <c r="AC585" s="799"/>
      <c r="AD585" s="799"/>
      <c r="AE585" s="799"/>
      <c r="AF585" s="799"/>
      <c r="AG585" s="799"/>
      <c r="AH585" s="799"/>
      <c r="AI585" s="799"/>
      <c r="AJ585" s="799"/>
      <c r="AK585" s="799"/>
      <c r="AL585" s="799"/>
      <c r="AM585" s="799"/>
      <c r="AN585" s="799"/>
      <c r="AO585" s="799"/>
      <c r="AP585" s="799"/>
      <c r="AQ585" s="799"/>
      <c r="AR585" s="799"/>
      <c r="AS585" s="799"/>
      <c r="AT585" s="799"/>
      <c r="AU585" s="799"/>
      <c r="AV585" s="799"/>
      <c r="AW585" s="799"/>
      <c r="AX585" s="799"/>
      <c r="AY585" s="799"/>
      <c r="AZ585" s="799"/>
      <c r="BA585" s="799"/>
      <c r="BB585" s="799"/>
      <c r="BC585" s="799"/>
      <c r="BD585" s="799"/>
      <c r="BE585" s="799"/>
      <c r="BF585" s="799"/>
      <c r="BG585" s="799"/>
    </row>
    <row r="586">
      <c r="H586" s="799"/>
      <c r="I586" s="799"/>
      <c r="J586" s="799"/>
      <c r="K586" s="799"/>
      <c r="L586" s="799"/>
      <c r="M586" s="799"/>
      <c r="N586" s="799"/>
      <c r="O586" s="799"/>
      <c r="P586" s="799"/>
      <c r="Q586" s="799"/>
      <c r="R586" s="799"/>
      <c r="S586" s="799"/>
      <c r="T586" s="799"/>
      <c r="U586" s="799"/>
      <c r="V586" s="799"/>
      <c r="W586" s="799"/>
      <c r="X586" s="799"/>
      <c r="Y586" s="799"/>
      <c r="Z586" s="799"/>
      <c r="AA586" s="799"/>
      <c r="AB586" s="799"/>
      <c r="AC586" s="799"/>
      <c r="AD586" s="799"/>
      <c r="AE586" s="799"/>
      <c r="AF586" s="799"/>
      <c r="AG586" s="799"/>
      <c r="AH586" s="799"/>
      <c r="AI586" s="799"/>
      <c r="AJ586" s="799"/>
      <c r="AK586" s="799"/>
      <c r="AL586" s="799"/>
      <c r="AM586" s="799"/>
      <c r="AN586" s="799"/>
      <c r="AO586" s="799"/>
      <c r="AP586" s="799"/>
      <c r="AQ586" s="799"/>
      <c r="AR586" s="799"/>
      <c r="AS586" s="799"/>
      <c r="AT586" s="799"/>
      <c r="AU586" s="799"/>
      <c r="AV586" s="799"/>
      <c r="AW586" s="799"/>
      <c r="AX586" s="799"/>
      <c r="AY586" s="799"/>
      <c r="AZ586" s="799"/>
      <c r="BA586" s="799"/>
      <c r="BB586" s="799"/>
      <c r="BC586" s="799"/>
      <c r="BD586" s="799"/>
      <c r="BE586" s="799"/>
      <c r="BF586" s="799"/>
      <c r="BG586" s="799"/>
    </row>
    <row r="587">
      <c r="H587" s="799"/>
      <c r="I587" s="799"/>
      <c r="J587" s="799"/>
      <c r="K587" s="799"/>
      <c r="L587" s="799"/>
      <c r="M587" s="799"/>
      <c r="N587" s="799"/>
      <c r="O587" s="799"/>
      <c r="P587" s="799"/>
      <c r="Q587" s="799"/>
      <c r="R587" s="799"/>
      <c r="S587" s="799"/>
      <c r="T587" s="799"/>
      <c r="U587" s="799"/>
      <c r="V587" s="799"/>
      <c r="W587" s="799"/>
      <c r="X587" s="799"/>
      <c r="Y587" s="799"/>
      <c r="Z587" s="799"/>
      <c r="AA587" s="799"/>
      <c r="AB587" s="799"/>
      <c r="AC587" s="799"/>
      <c r="AD587" s="799"/>
      <c r="AE587" s="799"/>
      <c r="AF587" s="799"/>
      <c r="AG587" s="799"/>
      <c r="AH587" s="799"/>
      <c r="AI587" s="799"/>
      <c r="AJ587" s="799"/>
      <c r="AK587" s="799"/>
      <c r="AL587" s="799"/>
      <c r="AM587" s="799"/>
      <c r="AN587" s="799"/>
      <c r="AO587" s="799"/>
      <c r="AP587" s="799"/>
      <c r="AQ587" s="799"/>
      <c r="AR587" s="799"/>
      <c r="AS587" s="799"/>
      <c r="AT587" s="799"/>
      <c r="AU587" s="799"/>
      <c r="AV587" s="799"/>
      <c r="AW587" s="799"/>
      <c r="AX587" s="799"/>
      <c r="AY587" s="799"/>
      <c r="AZ587" s="799"/>
      <c r="BA587" s="799"/>
      <c r="BB587" s="799"/>
      <c r="BC587" s="799"/>
      <c r="BD587" s="799"/>
      <c r="BE587" s="799"/>
      <c r="BF587" s="799"/>
      <c r="BG587" s="799"/>
    </row>
    <row r="588">
      <c r="H588" s="799"/>
      <c r="I588" s="799"/>
      <c r="J588" s="799"/>
      <c r="K588" s="799"/>
      <c r="L588" s="799"/>
      <c r="M588" s="799"/>
      <c r="N588" s="799"/>
      <c r="O588" s="799"/>
      <c r="P588" s="799"/>
      <c r="Q588" s="799"/>
      <c r="R588" s="799"/>
      <c r="S588" s="799"/>
      <c r="T588" s="799"/>
      <c r="U588" s="799"/>
      <c r="V588" s="799"/>
      <c r="W588" s="799"/>
      <c r="X588" s="799"/>
      <c r="Y588" s="799"/>
      <c r="Z588" s="799"/>
      <c r="AA588" s="799"/>
      <c r="AB588" s="799"/>
      <c r="AC588" s="799"/>
      <c r="AD588" s="799"/>
      <c r="AE588" s="799"/>
      <c r="AF588" s="799"/>
      <c r="AG588" s="799"/>
      <c r="AH588" s="799"/>
      <c r="AI588" s="799"/>
      <c r="AJ588" s="799"/>
      <c r="AK588" s="799"/>
      <c r="AL588" s="799"/>
      <c r="AM588" s="799"/>
      <c r="AN588" s="799"/>
      <c r="AO588" s="799"/>
      <c r="AP588" s="799"/>
      <c r="AQ588" s="799"/>
      <c r="AR588" s="799"/>
      <c r="AS588" s="799"/>
      <c r="AT588" s="799"/>
      <c r="AU588" s="799"/>
      <c r="AV588" s="799"/>
      <c r="AW588" s="799"/>
      <c r="AX588" s="799"/>
      <c r="AY588" s="799"/>
      <c r="AZ588" s="799"/>
      <c r="BA588" s="799"/>
      <c r="BB588" s="799"/>
      <c r="BC588" s="799"/>
      <c r="BD588" s="799"/>
      <c r="BE588" s="799"/>
      <c r="BF588" s="799"/>
      <c r="BG588" s="799"/>
    </row>
    <row r="589">
      <c r="H589" s="799"/>
      <c r="I589" s="799"/>
      <c r="J589" s="799"/>
      <c r="K589" s="799"/>
      <c r="L589" s="799"/>
      <c r="M589" s="799"/>
      <c r="N589" s="799"/>
      <c r="O589" s="799"/>
      <c r="P589" s="799"/>
      <c r="Q589" s="799"/>
      <c r="R589" s="799"/>
      <c r="S589" s="799"/>
      <c r="T589" s="799"/>
      <c r="U589" s="799"/>
      <c r="V589" s="799"/>
      <c r="W589" s="799"/>
      <c r="X589" s="799"/>
      <c r="Y589" s="799"/>
      <c r="Z589" s="799"/>
      <c r="AA589" s="799"/>
      <c r="AB589" s="799"/>
      <c r="AC589" s="799"/>
      <c r="AD589" s="799"/>
      <c r="AE589" s="799"/>
      <c r="AF589" s="799"/>
      <c r="AG589" s="799"/>
      <c r="AH589" s="799"/>
      <c r="AI589" s="799"/>
      <c r="AJ589" s="799"/>
      <c r="AK589" s="799"/>
      <c r="AL589" s="799"/>
      <c r="AM589" s="799"/>
      <c r="AN589" s="799"/>
      <c r="AO589" s="799"/>
      <c r="AP589" s="799"/>
      <c r="AQ589" s="799"/>
      <c r="AR589" s="799"/>
      <c r="AS589" s="799"/>
      <c r="AT589" s="799"/>
      <c r="AU589" s="799"/>
      <c r="AV589" s="799"/>
      <c r="AW589" s="799"/>
      <c r="AX589" s="799"/>
      <c r="AY589" s="799"/>
      <c r="AZ589" s="799"/>
      <c r="BA589" s="799"/>
      <c r="BB589" s="799"/>
      <c r="BC589" s="799"/>
      <c r="BD589" s="799"/>
      <c r="BE589" s="799"/>
      <c r="BF589" s="799"/>
      <c r="BG589" s="799"/>
    </row>
    <row r="590">
      <c r="H590" s="799"/>
      <c r="I590" s="799"/>
      <c r="J590" s="799"/>
      <c r="K590" s="799"/>
      <c r="L590" s="799"/>
      <c r="M590" s="799"/>
      <c r="N590" s="799"/>
      <c r="O590" s="799"/>
      <c r="P590" s="799"/>
      <c r="Q590" s="799"/>
      <c r="R590" s="799"/>
      <c r="S590" s="799"/>
      <c r="T590" s="799"/>
      <c r="U590" s="799"/>
      <c r="V590" s="799"/>
      <c r="W590" s="799"/>
      <c r="X590" s="799"/>
      <c r="Y590" s="799"/>
      <c r="Z590" s="799"/>
      <c r="AA590" s="799"/>
      <c r="AB590" s="799"/>
      <c r="AC590" s="799"/>
      <c r="AD590" s="799"/>
      <c r="AE590" s="799"/>
      <c r="AF590" s="799"/>
      <c r="AG590" s="799"/>
      <c r="AH590" s="799"/>
      <c r="AI590" s="799"/>
      <c r="AJ590" s="799"/>
      <c r="AK590" s="799"/>
      <c r="AL590" s="799"/>
      <c r="AM590" s="799"/>
      <c r="AN590" s="799"/>
      <c r="AO590" s="799"/>
      <c r="AP590" s="799"/>
      <c r="AQ590" s="799"/>
      <c r="AR590" s="799"/>
      <c r="AS590" s="799"/>
      <c r="AT590" s="799"/>
      <c r="AU590" s="799"/>
      <c r="AV590" s="799"/>
      <c r="AW590" s="799"/>
      <c r="AX590" s="799"/>
      <c r="AY590" s="799"/>
      <c r="AZ590" s="799"/>
      <c r="BA590" s="799"/>
      <c r="BB590" s="799"/>
      <c r="BC590" s="799"/>
      <c r="BD590" s="799"/>
      <c r="BE590" s="799"/>
      <c r="BF590" s="799"/>
      <c r="BG590" s="799"/>
    </row>
    <row r="591">
      <c r="H591" s="799"/>
      <c r="I591" s="799"/>
      <c r="J591" s="799"/>
      <c r="K591" s="799"/>
      <c r="L591" s="799"/>
      <c r="M591" s="799"/>
      <c r="N591" s="799"/>
      <c r="O591" s="799"/>
      <c r="P591" s="799"/>
      <c r="Q591" s="799"/>
      <c r="R591" s="799"/>
      <c r="S591" s="799"/>
      <c r="T591" s="799"/>
      <c r="U591" s="799"/>
      <c r="V591" s="799"/>
      <c r="W591" s="799"/>
      <c r="X591" s="799"/>
      <c r="Y591" s="799"/>
      <c r="Z591" s="799"/>
      <c r="AA591" s="799"/>
      <c r="AB591" s="799"/>
      <c r="AC591" s="799"/>
      <c r="AD591" s="799"/>
      <c r="AE591" s="799"/>
      <c r="AF591" s="799"/>
      <c r="AG591" s="799"/>
      <c r="AH591" s="799"/>
      <c r="AI591" s="799"/>
      <c r="AJ591" s="799"/>
      <c r="AK591" s="799"/>
      <c r="AL591" s="799"/>
      <c r="AM591" s="799"/>
      <c r="AN591" s="799"/>
      <c r="AO591" s="799"/>
      <c r="AP591" s="799"/>
      <c r="AQ591" s="799"/>
      <c r="AR591" s="799"/>
      <c r="AS591" s="799"/>
      <c r="AT591" s="799"/>
      <c r="AU591" s="799"/>
      <c r="AV591" s="799"/>
      <c r="AW591" s="799"/>
      <c r="AX591" s="799"/>
      <c r="AY591" s="799"/>
      <c r="AZ591" s="799"/>
      <c r="BA591" s="799"/>
      <c r="BB591" s="799"/>
      <c r="BC591" s="799"/>
      <c r="BD591" s="799"/>
      <c r="BE591" s="799"/>
      <c r="BF591" s="799"/>
      <c r="BG591" s="799"/>
    </row>
    <row r="592">
      <c r="H592" s="799"/>
      <c r="I592" s="799"/>
      <c r="J592" s="799"/>
      <c r="K592" s="799"/>
      <c r="L592" s="799"/>
      <c r="M592" s="799"/>
      <c r="N592" s="799"/>
      <c r="O592" s="799"/>
      <c r="P592" s="799"/>
      <c r="Q592" s="799"/>
      <c r="R592" s="799"/>
      <c r="S592" s="799"/>
      <c r="T592" s="799"/>
      <c r="U592" s="799"/>
      <c r="V592" s="799"/>
      <c r="W592" s="799"/>
      <c r="X592" s="799"/>
      <c r="Y592" s="799"/>
      <c r="Z592" s="799"/>
      <c r="AA592" s="799"/>
      <c r="AB592" s="799"/>
      <c r="AC592" s="799"/>
      <c r="AD592" s="799"/>
      <c r="AE592" s="799"/>
      <c r="AF592" s="799"/>
      <c r="AG592" s="799"/>
      <c r="AH592" s="799"/>
      <c r="AI592" s="799"/>
      <c r="AJ592" s="799"/>
      <c r="AK592" s="799"/>
      <c r="AL592" s="799"/>
      <c r="AM592" s="799"/>
      <c r="AN592" s="799"/>
      <c r="AO592" s="799"/>
      <c r="AP592" s="799"/>
      <c r="AQ592" s="799"/>
      <c r="AR592" s="799"/>
      <c r="AS592" s="799"/>
      <c r="AT592" s="799"/>
      <c r="AU592" s="799"/>
      <c r="AV592" s="799"/>
      <c r="AW592" s="799"/>
      <c r="AX592" s="799"/>
      <c r="AY592" s="799"/>
      <c r="AZ592" s="799"/>
      <c r="BA592" s="799"/>
      <c r="BB592" s="799"/>
      <c r="BC592" s="799"/>
      <c r="BD592" s="799"/>
      <c r="BE592" s="799"/>
      <c r="BF592" s="799"/>
      <c r="BG592" s="799"/>
    </row>
    <row r="593">
      <c r="H593" s="799"/>
      <c r="I593" s="799"/>
      <c r="J593" s="799"/>
      <c r="K593" s="799"/>
      <c r="L593" s="799"/>
      <c r="M593" s="799"/>
      <c r="N593" s="799"/>
      <c r="O593" s="799"/>
      <c r="P593" s="799"/>
      <c r="Q593" s="799"/>
      <c r="R593" s="799"/>
      <c r="S593" s="799"/>
      <c r="T593" s="799"/>
      <c r="U593" s="799"/>
      <c r="V593" s="799"/>
      <c r="W593" s="799"/>
      <c r="X593" s="799"/>
      <c r="Y593" s="799"/>
      <c r="Z593" s="799"/>
      <c r="AA593" s="799"/>
      <c r="AB593" s="799"/>
      <c r="AC593" s="799"/>
      <c r="AD593" s="799"/>
      <c r="AE593" s="799"/>
      <c r="AF593" s="799"/>
      <c r="AG593" s="799"/>
      <c r="AH593" s="799"/>
      <c r="AI593" s="799"/>
      <c r="AJ593" s="799"/>
      <c r="AK593" s="799"/>
      <c r="AL593" s="799"/>
      <c r="AM593" s="799"/>
      <c r="AN593" s="799"/>
      <c r="AO593" s="799"/>
      <c r="AP593" s="799"/>
      <c r="AQ593" s="799"/>
      <c r="AR593" s="799"/>
      <c r="AS593" s="799"/>
      <c r="AT593" s="799"/>
      <c r="AU593" s="799"/>
      <c r="AV593" s="799"/>
      <c r="AW593" s="799"/>
      <c r="AX593" s="799"/>
      <c r="AY593" s="799"/>
      <c r="AZ593" s="799"/>
      <c r="BA593" s="799"/>
      <c r="BB593" s="799"/>
      <c r="BC593" s="799"/>
      <c r="BD593" s="799"/>
      <c r="BE593" s="799"/>
      <c r="BF593" s="799"/>
      <c r="BG593" s="799"/>
    </row>
    <row r="594">
      <c r="H594" s="799"/>
      <c r="I594" s="799"/>
      <c r="J594" s="799"/>
      <c r="K594" s="799"/>
      <c r="L594" s="799"/>
      <c r="M594" s="799"/>
      <c r="N594" s="799"/>
      <c r="O594" s="799"/>
      <c r="P594" s="799"/>
      <c r="Q594" s="799"/>
      <c r="R594" s="799"/>
      <c r="S594" s="799"/>
      <c r="T594" s="799"/>
      <c r="U594" s="799"/>
      <c r="V594" s="799"/>
      <c r="W594" s="799"/>
      <c r="X594" s="799"/>
      <c r="Y594" s="799"/>
      <c r="Z594" s="799"/>
      <c r="AA594" s="799"/>
      <c r="AB594" s="799"/>
      <c r="AC594" s="799"/>
      <c r="AD594" s="799"/>
      <c r="AE594" s="799"/>
      <c r="AF594" s="799"/>
      <c r="AG594" s="799"/>
      <c r="AH594" s="799"/>
      <c r="AI594" s="799"/>
      <c r="AJ594" s="799"/>
      <c r="AK594" s="799"/>
      <c r="AL594" s="799"/>
      <c r="AM594" s="799"/>
      <c r="AN594" s="799"/>
      <c r="AO594" s="799"/>
      <c r="AP594" s="799"/>
      <c r="AQ594" s="799"/>
      <c r="AR594" s="799"/>
      <c r="AS594" s="799"/>
      <c r="AT594" s="799"/>
      <c r="AU594" s="799"/>
      <c r="AV594" s="799"/>
      <c r="AW594" s="799"/>
      <c r="AX594" s="799"/>
      <c r="AY594" s="799"/>
      <c r="AZ594" s="799"/>
      <c r="BA594" s="799"/>
      <c r="BB594" s="799"/>
      <c r="BC594" s="799"/>
      <c r="BD594" s="799"/>
      <c r="BE594" s="799"/>
      <c r="BF594" s="799"/>
      <c r="BG594" s="799"/>
    </row>
    <row r="595">
      <c r="H595" s="799"/>
      <c r="I595" s="799"/>
      <c r="J595" s="799"/>
      <c r="K595" s="799"/>
      <c r="L595" s="799"/>
      <c r="M595" s="799"/>
      <c r="N595" s="799"/>
      <c r="O595" s="799"/>
      <c r="P595" s="799"/>
      <c r="Q595" s="799"/>
      <c r="R595" s="799"/>
      <c r="S595" s="799"/>
      <c r="T595" s="799"/>
      <c r="U595" s="799"/>
      <c r="V595" s="799"/>
      <c r="W595" s="799"/>
      <c r="X595" s="799"/>
      <c r="Y595" s="799"/>
      <c r="Z595" s="799"/>
      <c r="AA595" s="799"/>
      <c r="AB595" s="799"/>
      <c r="AC595" s="799"/>
      <c r="AD595" s="799"/>
      <c r="AE595" s="799"/>
      <c r="AF595" s="799"/>
      <c r="AG595" s="799"/>
      <c r="AH595" s="799"/>
      <c r="AI595" s="799"/>
      <c r="AJ595" s="799"/>
      <c r="AK595" s="799"/>
      <c r="AL595" s="799"/>
      <c r="AM595" s="799"/>
      <c r="AN595" s="799"/>
      <c r="AO595" s="799"/>
      <c r="AP595" s="799"/>
      <c r="AQ595" s="799"/>
      <c r="AR595" s="799"/>
      <c r="AS595" s="799"/>
      <c r="AT595" s="799"/>
      <c r="AU595" s="799"/>
      <c r="AV595" s="799"/>
      <c r="AW595" s="799"/>
      <c r="AX595" s="799"/>
      <c r="AY595" s="799"/>
      <c r="AZ595" s="799"/>
      <c r="BA595" s="799"/>
      <c r="BB595" s="799"/>
      <c r="BC595" s="799"/>
      <c r="BD595" s="799"/>
      <c r="BE595" s="799"/>
      <c r="BF595" s="799"/>
      <c r="BG595" s="799"/>
    </row>
    <row r="596">
      <c r="H596" s="799"/>
      <c r="I596" s="799"/>
      <c r="J596" s="799"/>
      <c r="K596" s="799"/>
      <c r="L596" s="799"/>
      <c r="M596" s="799"/>
      <c r="N596" s="799"/>
      <c r="O596" s="799"/>
      <c r="P596" s="799"/>
      <c r="Q596" s="799"/>
      <c r="R596" s="799"/>
      <c r="S596" s="799"/>
      <c r="T596" s="799"/>
      <c r="U596" s="799"/>
      <c r="V596" s="799"/>
      <c r="W596" s="799"/>
      <c r="X596" s="799"/>
      <c r="Y596" s="799"/>
      <c r="Z596" s="799"/>
      <c r="AA596" s="799"/>
      <c r="AB596" s="799"/>
      <c r="AC596" s="799"/>
      <c r="AD596" s="799"/>
      <c r="AE596" s="799"/>
      <c r="AF596" s="799"/>
      <c r="AG596" s="799"/>
      <c r="AH596" s="799"/>
      <c r="AI596" s="799"/>
      <c r="AJ596" s="799"/>
      <c r="AK596" s="799"/>
      <c r="AL596" s="799"/>
      <c r="AM596" s="799"/>
      <c r="AN596" s="799"/>
      <c r="AO596" s="799"/>
      <c r="AP596" s="799"/>
      <c r="AQ596" s="799"/>
      <c r="AR596" s="799"/>
      <c r="AS596" s="799"/>
      <c r="AT596" s="799"/>
      <c r="AU596" s="799"/>
      <c r="AV596" s="799"/>
      <c r="AW596" s="799"/>
      <c r="AX596" s="799"/>
      <c r="AY596" s="799"/>
      <c r="AZ596" s="799"/>
      <c r="BA596" s="799"/>
      <c r="BB596" s="799"/>
      <c r="BC596" s="799"/>
      <c r="BD596" s="799"/>
      <c r="BE596" s="799"/>
      <c r="BF596" s="799"/>
      <c r="BG596" s="799"/>
    </row>
    <row r="597">
      <c r="H597" s="799"/>
      <c r="I597" s="799"/>
      <c r="J597" s="799"/>
      <c r="K597" s="799"/>
      <c r="L597" s="799"/>
      <c r="M597" s="799"/>
      <c r="N597" s="799"/>
      <c r="O597" s="799"/>
      <c r="P597" s="799"/>
      <c r="Q597" s="799"/>
      <c r="R597" s="799"/>
      <c r="S597" s="799"/>
      <c r="T597" s="799"/>
      <c r="U597" s="799"/>
      <c r="V597" s="799"/>
      <c r="W597" s="799"/>
      <c r="X597" s="799"/>
      <c r="Y597" s="799"/>
      <c r="Z597" s="799"/>
      <c r="AA597" s="799"/>
      <c r="AB597" s="799"/>
      <c r="AC597" s="799"/>
      <c r="AD597" s="799"/>
      <c r="AE597" s="799"/>
      <c r="AF597" s="799"/>
      <c r="AG597" s="799"/>
      <c r="AH597" s="799"/>
      <c r="AI597" s="799"/>
      <c r="AJ597" s="799"/>
      <c r="AK597" s="799"/>
      <c r="AL597" s="799"/>
      <c r="AM597" s="799"/>
      <c r="AN597" s="799"/>
      <c r="AO597" s="799"/>
      <c r="AP597" s="799"/>
      <c r="AQ597" s="799"/>
      <c r="AR597" s="799"/>
      <c r="AS597" s="799"/>
      <c r="AT597" s="799"/>
      <c r="AU597" s="799"/>
      <c r="AV597" s="799"/>
      <c r="AW597" s="799"/>
      <c r="AX597" s="799"/>
      <c r="AY597" s="799"/>
      <c r="AZ597" s="799"/>
      <c r="BA597" s="799"/>
      <c r="BB597" s="799"/>
      <c r="BC597" s="799"/>
      <c r="BD597" s="799"/>
      <c r="BE597" s="799"/>
      <c r="BF597" s="799"/>
      <c r="BG597" s="799"/>
    </row>
    <row r="598">
      <c r="H598" s="799"/>
      <c r="I598" s="799"/>
      <c r="J598" s="799"/>
      <c r="K598" s="799"/>
      <c r="L598" s="799"/>
      <c r="M598" s="799"/>
      <c r="N598" s="799"/>
      <c r="O598" s="799"/>
      <c r="P598" s="799"/>
      <c r="Q598" s="799"/>
      <c r="R598" s="799"/>
      <c r="S598" s="799"/>
      <c r="T598" s="799"/>
      <c r="U598" s="799"/>
      <c r="V598" s="799"/>
      <c r="W598" s="799"/>
      <c r="X598" s="799"/>
      <c r="Y598" s="799"/>
      <c r="Z598" s="799"/>
      <c r="AA598" s="799"/>
      <c r="AB598" s="799"/>
      <c r="AC598" s="799"/>
      <c r="AD598" s="799"/>
      <c r="AE598" s="799"/>
      <c r="AF598" s="799"/>
      <c r="AG598" s="799"/>
      <c r="AH598" s="799"/>
      <c r="AI598" s="799"/>
      <c r="AJ598" s="799"/>
      <c r="AK598" s="799"/>
      <c r="AL598" s="799"/>
      <c r="AM598" s="799"/>
      <c r="AN598" s="799"/>
      <c r="AO598" s="799"/>
      <c r="AP598" s="799"/>
      <c r="AQ598" s="799"/>
      <c r="AR598" s="799"/>
      <c r="AS598" s="799"/>
      <c r="AT598" s="799"/>
      <c r="AU598" s="799"/>
      <c r="AV598" s="799"/>
      <c r="AW598" s="799"/>
      <c r="AX598" s="799"/>
      <c r="AY598" s="799"/>
      <c r="AZ598" s="799"/>
      <c r="BA598" s="799"/>
      <c r="BB598" s="799"/>
      <c r="BC598" s="799"/>
      <c r="BD598" s="799"/>
      <c r="BE598" s="799"/>
      <c r="BF598" s="799"/>
      <c r="BG598" s="799"/>
    </row>
    <row r="599">
      <c r="H599" s="799"/>
      <c r="I599" s="799"/>
      <c r="J599" s="799"/>
      <c r="K599" s="799"/>
      <c r="L599" s="799"/>
      <c r="M599" s="799"/>
      <c r="N599" s="799"/>
      <c r="O599" s="799"/>
      <c r="P599" s="799"/>
      <c r="Q599" s="799"/>
      <c r="R599" s="799"/>
      <c r="S599" s="799"/>
      <c r="T599" s="799"/>
      <c r="U599" s="799"/>
      <c r="V599" s="799"/>
      <c r="W599" s="799"/>
      <c r="X599" s="799"/>
      <c r="Y599" s="799"/>
      <c r="Z599" s="799"/>
      <c r="AA599" s="799"/>
      <c r="AB599" s="799"/>
      <c r="AC599" s="799"/>
      <c r="AD599" s="799"/>
      <c r="AE599" s="799"/>
      <c r="AF599" s="799"/>
      <c r="AG599" s="799"/>
      <c r="AH599" s="799"/>
      <c r="AI599" s="799"/>
      <c r="AJ599" s="799"/>
      <c r="AK599" s="799"/>
      <c r="AL599" s="799"/>
      <c r="AM599" s="799"/>
      <c r="AN599" s="799"/>
      <c r="AO599" s="799"/>
      <c r="AP599" s="799"/>
      <c r="AQ599" s="799"/>
      <c r="AR599" s="799"/>
      <c r="AS599" s="799"/>
      <c r="AT599" s="799"/>
      <c r="AU599" s="799"/>
      <c r="AV599" s="799"/>
      <c r="AW599" s="799"/>
      <c r="AX599" s="799"/>
      <c r="AY599" s="799"/>
      <c r="AZ599" s="799"/>
      <c r="BA599" s="799"/>
      <c r="BB599" s="799"/>
      <c r="BC599" s="799"/>
      <c r="BD599" s="799"/>
      <c r="BE599" s="799"/>
      <c r="BF599" s="799"/>
      <c r="BG599" s="799"/>
    </row>
    <row r="600">
      <c r="H600" s="799"/>
      <c r="I600" s="799"/>
      <c r="J600" s="799"/>
      <c r="K600" s="799"/>
      <c r="L600" s="799"/>
      <c r="M600" s="799"/>
      <c r="N600" s="799"/>
      <c r="O600" s="799"/>
      <c r="P600" s="799"/>
      <c r="Q600" s="799"/>
      <c r="R600" s="799"/>
      <c r="S600" s="799"/>
      <c r="T600" s="799"/>
      <c r="U600" s="799"/>
      <c r="V600" s="799"/>
      <c r="W600" s="799"/>
      <c r="X600" s="799"/>
      <c r="Y600" s="799"/>
      <c r="Z600" s="799"/>
      <c r="AA600" s="799"/>
      <c r="AB600" s="799"/>
      <c r="AC600" s="799"/>
      <c r="AD600" s="799"/>
      <c r="AE600" s="799"/>
      <c r="AF600" s="799"/>
      <c r="AG600" s="799"/>
      <c r="AH600" s="799"/>
      <c r="AI600" s="799"/>
      <c r="AJ600" s="799"/>
      <c r="AK600" s="799"/>
      <c r="AL600" s="799"/>
      <c r="AM600" s="799"/>
      <c r="AN600" s="799"/>
      <c r="AO600" s="799"/>
      <c r="AP600" s="799"/>
      <c r="AQ600" s="799"/>
      <c r="AR600" s="799"/>
      <c r="AS600" s="799"/>
      <c r="AT600" s="799"/>
      <c r="AU600" s="799"/>
      <c r="AV600" s="799"/>
      <c r="AW600" s="799"/>
      <c r="AX600" s="799"/>
      <c r="AY600" s="799"/>
      <c r="AZ600" s="799"/>
      <c r="BA600" s="799"/>
      <c r="BB600" s="799"/>
      <c r="BC600" s="799"/>
      <c r="BD600" s="799"/>
      <c r="BE600" s="799"/>
      <c r="BF600" s="799"/>
      <c r="BG600" s="799"/>
    </row>
    <row r="601">
      <c r="H601" s="799"/>
      <c r="I601" s="799"/>
      <c r="J601" s="799"/>
      <c r="K601" s="799"/>
      <c r="L601" s="799"/>
      <c r="M601" s="799"/>
      <c r="N601" s="799"/>
      <c r="O601" s="799"/>
      <c r="P601" s="799"/>
      <c r="Q601" s="799"/>
      <c r="R601" s="799"/>
      <c r="S601" s="799"/>
      <c r="T601" s="799"/>
      <c r="U601" s="799"/>
      <c r="V601" s="799"/>
      <c r="W601" s="799"/>
      <c r="X601" s="799"/>
      <c r="Y601" s="799"/>
      <c r="Z601" s="799"/>
      <c r="AA601" s="799"/>
      <c r="AB601" s="799"/>
      <c r="AC601" s="799"/>
      <c r="AD601" s="799"/>
      <c r="AE601" s="799"/>
      <c r="AF601" s="799"/>
      <c r="AG601" s="799"/>
      <c r="AH601" s="799"/>
      <c r="AI601" s="799"/>
      <c r="AJ601" s="799"/>
      <c r="AK601" s="799"/>
      <c r="AL601" s="799"/>
      <c r="AM601" s="799"/>
      <c r="AN601" s="799"/>
      <c r="AO601" s="799"/>
      <c r="AP601" s="799"/>
      <c r="AQ601" s="799"/>
      <c r="AR601" s="799"/>
      <c r="AS601" s="799"/>
      <c r="AT601" s="799"/>
      <c r="AU601" s="799"/>
      <c r="AV601" s="799"/>
      <c r="AW601" s="799"/>
      <c r="AX601" s="799"/>
      <c r="AY601" s="799"/>
      <c r="AZ601" s="799"/>
      <c r="BA601" s="799"/>
      <c r="BB601" s="799"/>
      <c r="BC601" s="799"/>
      <c r="BD601" s="799"/>
      <c r="BE601" s="799"/>
      <c r="BF601" s="799"/>
      <c r="BG601" s="799"/>
    </row>
    <row r="602">
      <c r="H602" s="799"/>
      <c r="I602" s="799"/>
      <c r="J602" s="799"/>
      <c r="K602" s="799"/>
      <c r="L602" s="799"/>
      <c r="M602" s="799"/>
      <c r="N602" s="799"/>
      <c r="O602" s="799"/>
      <c r="P602" s="799"/>
      <c r="Q602" s="799"/>
      <c r="R602" s="799"/>
      <c r="S602" s="799"/>
      <c r="T602" s="799"/>
      <c r="U602" s="799"/>
      <c r="V602" s="799"/>
      <c r="W602" s="799"/>
      <c r="X602" s="799"/>
      <c r="Y602" s="799"/>
      <c r="Z602" s="799"/>
      <c r="AA602" s="799"/>
      <c r="AB602" s="799"/>
      <c r="AC602" s="799"/>
      <c r="AD602" s="799"/>
      <c r="AE602" s="799"/>
      <c r="AF602" s="799"/>
      <c r="AG602" s="799"/>
      <c r="AH602" s="799"/>
      <c r="AI602" s="799"/>
      <c r="AJ602" s="799"/>
      <c r="AK602" s="799"/>
      <c r="AL602" s="799"/>
      <c r="AM602" s="799"/>
      <c r="AN602" s="799"/>
      <c r="AO602" s="799"/>
      <c r="AP602" s="799"/>
      <c r="AQ602" s="799"/>
      <c r="AR602" s="799"/>
      <c r="AS602" s="799"/>
      <c r="AT602" s="799"/>
      <c r="AU602" s="799"/>
      <c r="AV602" s="799"/>
      <c r="AW602" s="799"/>
      <c r="AX602" s="799"/>
      <c r="AY602" s="799"/>
      <c r="AZ602" s="799"/>
      <c r="BA602" s="799"/>
      <c r="BB602" s="799"/>
      <c r="BC602" s="799"/>
      <c r="BD602" s="799"/>
      <c r="BE602" s="799"/>
      <c r="BF602" s="799"/>
      <c r="BG602" s="799"/>
    </row>
    <row r="603">
      <c r="H603" s="799"/>
      <c r="I603" s="799"/>
      <c r="J603" s="799"/>
      <c r="K603" s="799"/>
      <c r="L603" s="799"/>
      <c r="M603" s="799"/>
      <c r="N603" s="799"/>
      <c r="O603" s="799"/>
      <c r="P603" s="799"/>
      <c r="Q603" s="799"/>
      <c r="R603" s="799"/>
      <c r="S603" s="799"/>
      <c r="T603" s="799"/>
      <c r="U603" s="799"/>
      <c r="V603" s="799"/>
      <c r="W603" s="799"/>
      <c r="X603" s="799"/>
      <c r="Y603" s="799"/>
      <c r="Z603" s="799"/>
      <c r="AA603" s="799"/>
      <c r="AB603" s="799"/>
      <c r="AC603" s="799"/>
      <c r="AD603" s="799"/>
      <c r="AE603" s="799"/>
      <c r="AF603" s="799"/>
      <c r="AG603" s="799"/>
      <c r="AH603" s="799"/>
      <c r="AI603" s="799"/>
      <c r="AJ603" s="799"/>
      <c r="AK603" s="799"/>
      <c r="AL603" s="799"/>
      <c r="AM603" s="799"/>
      <c r="AN603" s="799"/>
      <c r="AO603" s="799"/>
      <c r="AP603" s="799"/>
      <c r="AQ603" s="799"/>
      <c r="AR603" s="799"/>
      <c r="AS603" s="799"/>
      <c r="AT603" s="799"/>
      <c r="AU603" s="799"/>
      <c r="AV603" s="799"/>
      <c r="AW603" s="799"/>
      <c r="AX603" s="799"/>
      <c r="AY603" s="799"/>
      <c r="AZ603" s="799"/>
      <c r="BA603" s="799"/>
      <c r="BB603" s="799"/>
      <c r="BC603" s="799"/>
      <c r="BD603" s="799"/>
      <c r="BE603" s="799"/>
      <c r="BF603" s="799"/>
      <c r="BG603" s="799"/>
    </row>
    <row r="604">
      <c r="H604" s="799"/>
      <c r="I604" s="799"/>
      <c r="J604" s="799"/>
      <c r="K604" s="799"/>
      <c r="L604" s="799"/>
      <c r="M604" s="799"/>
      <c r="N604" s="799"/>
      <c r="O604" s="799"/>
      <c r="P604" s="799"/>
      <c r="Q604" s="799"/>
      <c r="R604" s="799"/>
      <c r="S604" s="799"/>
      <c r="T604" s="799"/>
      <c r="U604" s="799"/>
      <c r="V604" s="799"/>
      <c r="W604" s="799"/>
      <c r="X604" s="799"/>
      <c r="Y604" s="799"/>
      <c r="Z604" s="799"/>
      <c r="AA604" s="799"/>
      <c r="AB604" s="799"/>
      <c r="AC604" s="799"/>
      <c r="AD604" s="799"/>
      <c r="AE604" s="799"/>
      <c r="AF604" s="799"/>
      <c r="AG604" s="799"/>
      <c r="AH604" s="799"/>
      <c r="AI604" s="799"/>
      <c r="AJ604" s="799"/>
      <c r="AK604" s="799"/>
      <c r="AL604" s="799"/>
      <c r="AM604" s="799"/>
      <c r="AN604" s="799"/>
      <c r="AO604" s="799"/>
      <c r="AP604" s="799"/>
      <c r="AQ604" s="799"/>
      <c r="AR604" s="799"/>
      <c r="AS604" s="799"/>
      <c r="AT604" s="799"/>
      <c r="AU604" s="799"/>
      <c r="AV604" s="799"/>
      <c r="AW604" s="799"/>
      <c r="AX604" s="799"/>
      <c r="AY604" s="799"/>
      <c r="AZ604" s="799"/>
      <c r="BA604" s="799"/>
      <c r="BB604" s="799"/>
      <c r="BC604" s="799"/>
      <c r="BD604" s="799"/>
      <c r="BE604" s="799"/>
      <c r="BF604" s="799"/>
      <c r="BG604" s="799"/>
    </row>
    <row r="605">
      <c r="H605" s="799"/>
      <c r="I605" s="799"/>
      <c r="J605" s="799"/>
      <c r="K605" s="799"/>
      <c r="L605" s="799"/>
      <c r="M605" s="799"/>
      <c r="N605" s="799"/>
      <c r="O605" s="799"/>
      <c r="P605" s="799"/>
      <c r="Q605" s="799"/>
      <c r="R605" s="799"/>
      <c r="S605" s="799"/>
      <c r="T605" s="799"/>
      <c r="U605" s="799"/>
      <c r="V605" s="799"/>
      <c r="W605" s="799"/>
      <c r="X605" s="799"/>
      <c r="Y605" s="799"/>
      <c r="Z605" s="799"/>
      <c r="AA605" s="799"/>
      <c r="AB605" s="799"/>
      <c r="AC605" s="799"/>
      <c r="AD605" s="799"/>
      <c r="AE605" s="799"/>
      <c r="AF605" s="799"/>
      <c r="AG605" s="799"/>
      <c r="AH605" s="799"/>
      <c r="AI605" s="799"/>
      <c r="AJ605" s="799"/>
      <c r="AK605" s="799"/>
      <c r="AL605" s="799"/>
      <c r="AM605" s="799"/>
      <c r="AN605" s="799"/>
      <c r="AO605" s="799"/>
      <c r="AP605" s="799"/>
      <c r="AQ605" s="799"/>
      <c r="AR605" s="799"/>
      <c r="AS605" s="799"/>
      <c r="AT605" s="799"/>
      <c r="AU605" s="799"/>
      <c r="AV605" s="799"/>
      <c r="AW605" s="799"/>
      <c r="AX605" s="799"/>
      <c r="AY605" s="799"/>
      <c r="AZ605" s="799"/>
      <c r="BA605" s="799"/>
      <c r="BB605" s="799"/>
      <c r="BC605" s="799"/>
      <c r="BD605" s="799"/>
      <c r="BE605" s="799"/>
      <c r="BF605" s="799"/>
      <c r="BG605" s="799"/>
    </row>
    <row r="606">
      <c r="H606" s="799"/>
      <c r="I606" s="799"/>
      <c r="J606" s="799"/>
      <c r="K606" s="799"/>
      <c r="L606" s="799"/>
      <c r="M606" s="799"/>
      <c r="N606" s="799"/>
      <c r="O606" s="799"/>
      <c r="P606" s="799"/>
      <c r="Q606" s="799"/>
      <c r="R606" s="799"/>
      <c r="S606" s="799"/>
      <c r="T606" s="799"/>
      <c r="U606" s="799"/>
      <c r="V606" s="799"/>
      <c r="W606" s="799"/>
      <c r="X606" s="799"/>
      <c r="Y606" s="799"/>
      <c r="Z606" s="799"/>
      <c r="AA606" s="799"/>
      <c r="AB606" s="799"/>
      <c r="AC606" s="799"/>
      <c r="AD606" s="799"/>
      <c r="AE606" s="799"/>
      <c r="AF606" s="799"/>
      <c r="AG606" s="799"/>
      <c r="AH606" s="799"/>
      <c r="AI606" s="799"/>
      <c r="AJ606" s="799"/>
      <c r="AK606" s="799"/>
      <c r="AL606" s="799"/>
      <c r="AM606" s="799"/>
      <c r="AN606" s="799"/>
      <c r="AO606" s="799"/>
      <c r="AP606" s="799"/>
      <c r="AQ606" s="799"/>
      <c r="AR606" s="799"/>
      <c r="AS606" s="799"/>
      <c r="AT606" s="799"/>
      <c r="AU606" s="799"/>
      <c r="AV606" s="799"/>
      <c r="AW606" s="799"/>
      <c r="AX606" s="799"/>
      <c r="AY606" s="799"/>
      <c r="AZ606" s="799"/>
      <c r="BA606" s="799"/>
      <c r="BB606" s="799"/>
      <c r="BC606" s="799"/>
      <c r="BD606" s="799"/>
      <c r="BE606" s="799"/>
      <c r="BF606" s="799"/>
      <c r="BG606" s="799"/>
    </row>
    <row r="607">
      <c r="H607" s="799"/>
      <c r="I607" s="799"/>
      <c r="J607" s="799"/>
      <c r="K607" s="799"/>
      <c r="L607" s="799"/>
      <c r="M607" s="799"/>
      <c r="N607" s="799"/>
      <c r="O607" s="799"/>
      <c r="P607" s="799"/>
      <c r="Q607" s="799"/>
      <c r="R607" s="799"/>
      <c r="S607" s="799"/>
      <c r="T607" s="799"/>
      <c r="U607" s="799"/>
      <c r="V607" s="799"/>
      <c r="W607" s="799"/>
      <c r="X607" s="799"/>
      <c r="Y607" s="799"/>
      <c r="Z607" s="799"/>
      <c r="AA607" s="799"/>
      <c r="AB607" s="799"/>
      <c r="AC607" s="799"/>
      <c r="AD607" s="799"/>
      <c r="AE607" s="799"/>
      <c r="AF607" s="799"/>
      <c r="AG607" s="799"/>
      <c r="AH607" s="799"/>
      <c r="AI607" s="799"/>
      <c r="AJ607" s="799"/>
      <c r="AK607" s="799"/>
      <c r="AL607" s="799"/>
      <c r="AM607" s="799"/>
      <c r="AN607" s="799"/>
      <c r="AO607" s="799"/>
      <c r="AP607" s="799"/>
      <c r="AQ607" s="799"/>
      <c r="AR607" s="799"/>
      <c r="AS607" s="799"/>
      <c r="AT607" s="799"/>
      <c r="AU607" s="799"/>
      <c r="AV607" s="799"/>
      <c r="AW607" s="799"/>
      <c r="AX607" s="799"/>
      <c r="AY607" s="799"/>
      <c r="AZ607" s="799"/>
      <c r="BA607" s="799"/>
      <c r="BB607" s="799"/>
      <c r="BC607" s="799"/>
      <c r="BD607" s="799"/>
      <c r="BE607" s="799"/>
      <c r="BF607" s="799"/>
      <c r="BG607" s="799"/>
    </row>
    <row r="608">
      <c r="H608" s="799"/>
      <c r="I608" s="799"/>
      <c r="J608" s="799"/>
      <c r="K608" s="799"/>
      <c r="L608" s="799"/>
      <c r="M608" s="799"/>
      <c r="N608" s="799"/>
      <c r="O608" s="799"/>
      <c r="P608" s="799"/>
      <c r="Q608" s="799"/>
      <c r="R608" s="799"/>
      <c r="S608" s="799"/>
      <c r="T608" s="799"/>
      <c r="U608" s="799"/>
      <c r="V608" s="799"/>
      <c r="W608" s="799"/>
      <c r="X608" s="799"/>
      <c r="Y608" s="799"/>
      <c r="Z608" s="799"/>
      <c r="AA608" s="799"/>
      <c r="AB608" s="799"/>
      <c r="AC608" s="799"/>
      <c r="AD608" s="799"/>
      <c r="AE608" s="799"/>
      <c r="AF608" s="799"/>
      <c r="AG608" s="799"/>
      <c r="AH608" s="799"/>
      <c r="AI608" s="799"/>
      <c r="AJ608" s="799"/>
      <c r="AK608" s="799"/>
      <c r="AL608" s="799"/>
      <c r="AM608" s="799"/>
      <c r="AN608" s="799"/>
      <c r="AO608" s="799"/>
      <c r="AP608" s="799"/>
      <c r="AQ608" s="799"/>
      <c r="AR608" s="799"/>
      <c r="AS608" s="799"/>
      <c r="AT608" s="799"/>
      <c r="AU608" s="799"/>
      <c r="AV608" s="799"/>
      <c r="AW608" s="799"/>
      <c r="AX608" s="799"/>
      <c r="AY608" s="799"/>
      <c r="AZ608" s="799"/>
      <c r="BA608" s="799"/>
      <c r="BB608" s="799"/>
      <c r="BC608" s="799"/>
      <c r="BD608" s="799"/>
      <c r="BE608" s="799"/>
      <c r="BF608" s="799"/>
      <c r="BG608" s="799"/>
    </row>
    <row r="609">
      <c r="H609" s="799"/>
      <c r="I609" s="799"/>
      <c r="J609" s="799"/>
      <c r="K609" s="799"/>
      <c r="L609" s="799"/>
      <c r="M609" s="799"/>
      <c r="N609" s="799"/>
      <c r="O609" s="799"/>
      <c r="P609" s="799"/>
      <c r="Q609" s="799"/>
      <c r="R609" s="799"/>
      <c r="S609" s="799"/>
      <c r="T609" s="799"/>
      <c r="U609" s="799"/>
      <c r="V609" s="799"/>
      <c r="W609" s="799"/>
      <c r="X609" s="799"/>
      <c r="Y609" s="799"/>
      <c r="Z609" s="799"/>
      <c r="AA609" s="799"/>
      <c r="AB609" s="799"/>
      <c r="AC609" s="799"/>
      <c r="AD609" s="799"/>
      <c r="AE609" s="799"/>
      <c r="AF609" s="799"/>
      <c r="AG609" s="799"/>
      <c r="AH609" s="799"/>
      <c r="AI609" s="799"/>
      <c r="AJ609" s="799"/>
      <c r="AK609" s="799"/>
      <c r="AL609" s="799"/>
      <c r="AM609" s="799"/>
      <c r="AN609" s="799"/>
      <c r="AO609" s="799"/>
      <c r="AP609" s="799"/>
      <c r="AQ609" s="799"/>
      <c r="AR609" s="799"/>
      <c r="AS609" s="799"/>
      <c r="AT609" s="799"/>
      <c r="AU609" s="799"/>
      <c r="AV609" s="799"/>
      <c r="AW609" s="799"/>
      <c r="AX609" s="799"/>
      <c r="AY609" s="799"/>
      <c r="AZ609" s="799"/>
      <c r="BA609" s="799"/>
      <c r="BB609" s="799"/>
      <c r="BC609" s="799"/>
      <c r="BD609" s="799"/>
      <c r="BE609" s="799"/>
      <c r="BF609" s="799"/>
      <c r="BG609" s="799"/>
    </row>
    <row r="610">
      <c r="H610" s="799"/>
      <c r="I610" s="799"/>
      <c r="J610" s="799"/>
      <c r="K610" s="799"/>
      <c r="L610" s="799"/>
      <c r="M610" s="799"/>
      <c r="N610" s="799"/>
      <c r="O610" s="799"/>
      <c r="P610" s="799"/>
      <c r="Q610" s="799"/>
      <c r="R610" s="799"/>
      <c r="S610" s="799"/>
      <c r="T610" s="799"/>
      <c r="U610" s="799"/>
      <c r="V610" s="799"/>
      <c r="W610" s="799"/>
      <c r="X610" s="799"/>
      <c r="Y610" s="799"/>
      <c r="Z610" s="799"/>
      <c r="AA610" s="799"/>
      <c r="AB610" s="799"/>
      <c r="AC610" s="799"/>
      <c r="AD610" s="799"/>
      <c r="AE610" s="799"/>
      <c r="AF610" s="799"/>
      <c r="AG610" s="799"/>
      <c r="AH610" s="799"/>
      <c r="AI610" s="799"/>
      <c r="AJ610" s="799"/>
      <c r="AK610" s="799"/>
      <c r="AL610" s="799"/>
      <c r="AM610" s="799"/>
      <c r="AN610" s="799"/>
      <c r="AO610" s="799"/>
      <c r="AP610" s="799"/>
      <c r="AQ610" s="799"/>
      <c r="AR610" s="799"/>
      <c r="AS610" s="799"/>
      <c r="AT610" s="799"/>
      <c r="AU610" s="799"/>
      <c r="AV610" s="799"/>
      <c r="AW610" s="799"/>
      <c r="AX610" s="799"/>
      <c r="AY610" s="799"/>
      <c r="AZ610" s="799"/>
      <c r="BA610" s="799"/>
      <c r="BB610" s="799"/>
      <c r="BC610" s="799"/>
      <c r="BD610" s="799"/>
      <c r="BE610" s="799"/>
      <c r="BF610" s="799"/>
      <c r="BG610" s="799"/>
    </row>
    <row r="611">
      <c r="H611" s="799"/>
      <c r="I611" s="799"/>
      <c r="J611" s="799"/>
      <c r="K611" s="799"/>
      <c r="L611" s="799"/>
      <c r="M611" s="799"/>
      <c r="N611" s="799"/>
      <c r="O611" s="799"/>
      <c r="P611" s="799"/>
      <c r="Q611" s="799"/>
      <c r="R611" s="799"/>
      <c r="S611" s="799"/>
      <c r="T611" s="799"/>
      <c r="U611" s="799"/>
      <c r="V611" s="799"/>
      <c r="W611" s="799"/>
      <c r="X611" s="799"/>
      <c r="Y611" s="799"/>
      <c r="Z611" s="799"/>
      <c r="AA611" s="799"/>
      <c r="AB611" s="799"/>
      <c r="AC611" s="799"/>
      <c r="AD611" s="799"/>
      <c r="AE611" s="799"/>
      <c r="AF611" s="799"/>
      <c r="AG611" s="799"/>
      <c r="AH611" s="799"/>
      <c r="AI611" s="799"/>
      <c r="AJ611" s="799"/>
      <c r="AK611" s="799"/>
      <c r="AL611" s="799"/>
      <c r="AM611" s="799"/>
      <c r="AN611" s="799"/>
      <c r="AO611" s="799"/>
      <c r="AP611" s="799"/>
      <c r="AQ611" s="799"/>
      <c r="AR611" s="799"/>
      <c r="AS611" s="799"/>
      <c r="AT611" s="799"/>
      <c r="AU611" s="799"/>
      <c r="AV611" s="799"/>
      <c r="AW611" s="799"/>
      <c r="AX611" s="799"/>
      <c r="AY611" s="799"/>
      <c r="AZ611" s="799"/>
      <c r="BA611" s="799"/>
      <c r="BB611" s="799"/>
      <c r="BC611" s="799"/>
      <c r="BD611" s="799"/>
      <c r="BE611" s="799"/>
      <c r="BF611" s="799"/>
      <c r="BG611" s="799"/>
    </row>
    <row r="612">
      <c r="H612" s="799"/>
      <c r="I612" s="799"/>
      <c r="J612" s="799"/>
      <c r="K612" s="799"/>
      <c r="L612" s="799"/>
      <c r="M612" s="799"/>
      <c r="N612" s="799"/>
      <c r="O612" s="799"/>
      <c r="P612" s="799"/>
      <c r="Q612" s="799"/>
      <c r="R612" s="799"/>
      <c r="S612" s="799"/>
      <c r="T612" s="799"/>
      <c r="U612" s="799"/>
      <c r="V612" s="799"/>
      <c r="W612" s="799"/>
      <c r="X612" s="799"/>
      <c r="Y612" s="799"/>
      <c r="Z612" s="799"/>
      <c r="AA612" s="799"/>
      <c r="AB612" s="799"/>
      <c r="AC612" s="799"/>
      <c r="AD612" s="799"/>
      <c r="AE612" s="799"/>
      <c r="AF612" s="799"/>
      <c r="AG612" s="799"/>
      <c r="AH612" s="799"/>
      <c r="AI612" s="799"/>
      <c r="AJ612" s="799"/>
      <c r="AK612" s="799"/>
      <c r="AL612" s="799"/>
      <c r="AM612" s="799"/>
      <c r="AN612" s="799"/>
      <c r="AO612" s="799"/>
      <c r="AP612" s="799"/>
      <c r="AQ612" s="799"/>
      <c r="AR612" s="799"/>
      <c r="AS612" s="799"/>
      <c r="AT612" s="799"/>
      <c r="AU612" s="799"/>
      <c r="AV612" s="799"/>
      <c r="AW612" s="799"/>
      <c r="AX612" s="799"/>
      <c r="AY612" s="799"/>
      <c r="AZ612" s="799"/>
      <c r="BA612" s="799"/>
      <c r="BB612" s="799"/>
      <c r="BC612" s="799"/>
      <c r="BD612" s="799"/>
      <c r="BE612" s="799"/>
      <c r="BF612" s="799"/>
      <c r="BG612" s="799"/>
    </row>
    <row r="613">
      <c r="H613" s="799"/>
      <c r="I613" s="799"/>
      <c r="J613" s="799"/>
      <c r="K613" s="799"/>
      <c r="L613" s="799"/>
      <c r="M613" s="799"/>
      <c r="N613" s="799"/>
      <c r="O613" s="799"/>
      <c r="P613" s="799"/>
      <c r="Q613" s="799"/>
      <c r="R613" s="799"/>
      <c r="S613" s="799"/>
      <c r="T613" s="799"/>
      <c r="U613" s="799"/>
      <c r="V613" s="799"/>
      <c r="W613" s="799"/>
      <c r="X613" s="799"/>
      <c r="Y613" s="799"/>
      <c r="Z613" s="799"/>
      <c r="AA613" s="799"/>
      <c r="AB613" s="799"/>
      <c r="AC613" s="799"/>
      <c r="AD613" s="799"/>
      <c r="AE613" s="799"/>
      <c r="AF613" s="799"/>
      <c r="AG613" s="799"/>
      <c r="AH613" s="799"/>
      <c r="AI613" s="799"/>
      <c r="AJ613" s="799"/>
      <c r="AK613" s="799"/>
      <c r="AL613" s="799"/>
      <c r="AM613" s="799"/>
      <c r="AN613" s="799"/>
      <c r="AO613" s="799"/>
      <c r="AP613" s="799"/>
      <c r="AQ613" s="799"/>
      <c r="AR613" s="799"/>
      <c r="AS613" s="799"/>
      <c r="AT613" s="799"/>
      <c r="AU613" s="799"/>
      <c r="AV613" s="799"/>
      <c r="AW613" s="799"/>
      <c r="AX613" s="799"/>
      <c r="AY613" s="799"/>
      <c r="AZ613" s="799"/>
      <c r="BA613" s="799"/>
      <c r="BB613" s="799"/>
      <c r="BC613" s="799"/>
      <c r="BD613" s="799"/>
      <c r="BE613" s="799"/>
      <c r="BF613" s="799"/>
      <c r="BG613" s="799"/>
    </row>
    <row r="614">
      <c r="H614" s="799"/>
      <c r="I614" s="799"/>
      <c r="J614" s="799"/>
      <c r="K614" s="799"/>
      <c r="L614" s="799"/>
      <c r="M614" s="799"/>
      <c r="N614" s="799"/>
      <c r="O614" s="799"/>
      <c r="P614" s="799"/>
      <c r="Q614" s="799"/>
      <c r="R614" s="799"/>
      <c r="S614" s="799"/>
      <c r="T614" s="799"/>
      <c r="U614" s="799"/>
      <c r="V614" s="799"/>
      <c r="W614" s="799"/>
      <c r="X614" s="799"/>
      <c r="Y614" s="799"/>
      <c r="Z614" s="799"/>
      <c r="AA614" s="799"/>
      <c r="AB614" s="799"/>
      <c r="AC614" s="799"/>
      <c r="AD614" s="799"/>
      <c r="AE614" s="799"/>
      <c r="AF614" s="799"/>
      <c r="AG614" s="799"/>
      <c r="AH614" s="799"/>
      <c r="AI614" s="799"/>
      <c r="AJ614" s="799"/>
      <c r="AK614" s="799"/>
      <c r="AL614" s="799"/>
      <c r="AM614" s="799"/>
      <c r="AN614" s="799"/>
      <c r="AO614" s="799"/>
      <c r="AP614" s="799"/>
      <c r="AQ614" s="799"/>
      <c r="AR614" s="799"/>
      <c r="AS614" s="799"/>
      <c r="AT614" s="799"/>
      <c r="AU614" s="799"/>
      <c r="AV614" s="799"/>
      <c r="AW614" s="799"/>
      <c r="AX614" s="799"/>
      <c r="AY614" s="799"/>
      <c r="AZ614" s="799"/>
      <c r="BA614" s="799"/>
      <c r="BB614" s="799"/>
      <c r="BC614" s="799"/>
      <c r="BD614" s="799"/>
      <c r="BE614" s="799"/>
      <c r="BF614" s="799"/>
      <c r="BG614" s="799"/>
    </row>
    <row r="615">
      <c r="H615" s="799"/>
      <c r="I615" s="799"/>
      <c r="J615" s="799"/>
      <c r="K615" s="799"/>
      <c r="L615" s="799"/>
      <c r="M615" s="799"/>
      <c r="N615" s="799"/>
      <c r="O615" s="799"/>
      <c r="P615" s="799"/>
      <c r="Q615" s="799"/>
      <c r="R615" s="799"/>
      <c r="S615" s="799"/>
      <c r="T615" s="799"/>
      <c r="U615" s="799"/>
      <c r="V615" s="799"/>
      <c r="W615" s="799"/>
      <c r="X615" s="799"/>
      <c r="Y615" s="799"/>
      <c r="Z615" s="799"/>
      <c r="AA615" s="799"/>
      <c r="AB615" s="799"/>
      <c r="AC615" s="799"/>
      <c r="AD615" s="799"/>
      <c r="AE615" s="799"/>
      <c r="AF615" s="799"/>
      <c r="AG615" s="799"/>
      <c r="AH615" s="799"/>
      <c r="AI615" s="799"/>
      <c r="AJ615" s="799"/>
      <c r="AK615" s="799"/>
      <c r="AL615" s="799"/>
      <c r="AM615" s="799"/>
      <c r="AN615" s="799"/>
      <c r="AO615" s="799"/>
      <c r="AP615" s="799"/>
      <c r="AQ615" s="799"/>
      <c r="AR615" s="799"/>
      <c r="AS615" s="799"/>
      <c r="AT615" s="799"/>
      <c r="AU615" s="799"/>
      <c r="AV615" s="799"/>
      <c r="AW615" s="799"/>
      <c r="AX615" s="799"/>
      <c r="AY615" s="799"/>
      <c r="AZ615" s="799"/>
      <c r="BA615" s="799"/>
      <c r="BB615" s="799"/>
      <c r="BC615" s="799"/>
      <c r="BD615" s="799"/>
      <c r="BE615" s="799"/>
      <c r="BF615" s="799"/>
      <c r="BG615" s="799"/>
    </row>
    <row r="616">
      <c r="H616" s="799"/>
      <c r="I616" s="799"/>
      <c r="J616" s="799"/>
      <c r="K616" s="799"/>
      <c r="L616" s="799"/>
      <c r="M616" s="799"/>
      <c r="N616" s="799"/>
      <c r="O616" s="799"/>
      <c r="P616" s="799"/>
      <c r="Q616" s="799"/>
      <c r="R616" s="799"/>
      <c r="S616" s="799"/>
      <c r="T616" s="799"/>
      <c r="U616" s="799"/>
      <c r="V616" s="799"/>
      <c r="W616" s="799"/>
      <c r="X616" s="799"/>
      <c r="Y616" s="799"/>
      <c r="Z616" s="799"/>
      <c r="AA616" s="799"/>
      <c r="AB616" s="799"/>
      <c r="AC616" s="799"/>
      <c r="AD616" s="799"/>
      <c r="AE616" s="799"/>
      <c r="AF616" s="799"/>
      <c r="AG616" s="799"/>
      <c r="AH616" s="799"/>
      <c r="AI616" s="799"/>
      <c r="AJ616" s="799"/>
      <c r="AK616" s="799"/>
      <c r="AL616" s="799"/>
      <c r="AM616" s="799"/>
      <c r="AN616" s="799"/>
      <c r="AO616" s="799"/>
      <c r="AP616" s="799"/>
      <c r="AQ616" s="799"/>
      <c r="AR616" s="799"/>
      <c r="AS616" s="799"/>
      <c r="AT616" s="799"/>
      <c r="AU616" s="799"/>
      <c r="AV616" s="799"/>
      <c r="AW616" s="799"/>
      <c r="AX616" s="799"/>
      <c r="AY616" s="799"/>
      <c r="AZ616" s="799"/>
      <c r="BA616" s="799"/>
      <c r="BB616" s="799"/>
      <c r="BC616" s="799"/>
      <c r="BD616" s="799"/>
      <c r="BE616" s="799"/>
      <c r="BF616" s="799"/>
      <c r="BG616" s="799"/>
    </row>
    <row r="617">
      <c r="H617" s="799"/>
      <c r="I617" s="799"/>
      <c r="J617" s="799"/>
      <c r="K617" s="799"/>
      <c r="L617" s="799"/>
      <c r="M617" s="799"/>
      <c r="N617" s="799"/>
      <c r="O617" s="799"/>
      <c r="P617" s="799"/>
      <c r="Q617" s="799"/>
      <c r="R617" s="799"/>
      <c r="S617" s="799"/>
      <c r="T617" s="799"/>
      <c r="U617" s="799"/>
      <c r="V617" s="799"/>
      <c r="W617" s="799"/>
      <c r="X617" s="799"/>
      <c r="Y617" s="799"/>
      <c r="Z617" s="799"/>
      <c r="AA617" s="799"/>
      <c r="AB617" s="799"/>
      <c r="AC617" s="799"/>
      <c r="AD617" s="799"/>
      <c r="AE617" s="799"/>
      <c r="AF617" s="799"/>
      <c r="AG617" s="799"/>
      <c r="AH617" s="799"/>
      <c r="AI617" s="799"/>
      <c r="AJ617" s="799"/>
      <c r="AK617" s="799"/>
      <c r="AL617" s="799"/>
      <c r="AM617" s="799"/>
      <c r="AN617" s="799"/>
      <c r="AO617" s="799"/>
      <c r="AP617" s="799"/>
      <c r="AQ617" s="799"/>
      <c r="AR617" s="799"/>
      <c r="AS617" s="799"/>
      <c r="AT617" s="799"/>
      <c r="AU617" s="799"/>
      <c r="AV617" s="799"/>
      <c r="AW617" s="799"/>
      <c r="AX617" s="799"/>
      <c r="AY617" s="799"/>
      <c r="AZ617" s="799"/>
      <c r="BA617" s="799"/>
      <c r="BB617" s="799"/>
      <c r="BC617" s="799"/>
      <c r="BD617" s="799"/>
      <c r="BE617" s="799"/>
      <c r="BF617" s="799"/>
      <c r="BG617" s="799"/>
    </row>
    <row r="618">
      <c r="H618" s="799"/>
      <c r="I618" s="799"/>
      <c r="J618" s="799"/>
      <c r="K618" s="799"/>
      <c r="L618" s="799"/>
      <c r="M618" s="799"/>
      <c r="N618" s="799"/>
      <c r="O618" s="799"/>
      <c r="P618" s="799"/>
      <c r="Q618" s="799"/>
      <c r="R618" s="799"/>
      <c r="S618" s="799"/>
      <c r="T618" s="799"/>
      <c r="U618" s="799"/>
      <c r="V618" s="799"/>
      <c r="W618" s="799"/>
      <c r="X618" s="799"/>
      <c r="Y618" s="799"/>
      <c r="Z618" s="799"/>
      <c r="AA618" s="799"/>
      <c r="AB618" s="799"/>
      <c r="AC618" s="799"/>
      <c r="AD618" s="799"/>
      <c r="AE618" s="799"/>
      <c r="AF618" s="799"/>
      <c r="AG618" s="799"/>
      <c r="AH618" s="799"/>
      <c r="AI618" s="799"/>
      <c r="AJ618" s="799"/>
      <c r="AK618" s="799"/>
      <c r="AL618" s="799"/>
      <c r="AM618" s="799"/>
      <c r="AN618" s="799"/>
      <c r="AO618" s="799"/>
      <c r="AP618" s="799"/>
      <c r="AQ618" s="799"/>
      <c r="AR618" s="799"/>
      <c r="AS618" s="799"/>
      <c r="AT618" s="799"/>
      <c r="AU618" s="799"/>
      <c r="AV618" s="799"/>
      <c r="AW618" s="799"/>
      <c r="AX618" s="799"/>
      <c r="AY618" s="799"/>
      <c r="AZ618" s="799"/>
      <c r="BA618" s="799"/>
      <c r="BB618" s="799"/>
      <c r="BC618" s="799"/>
      <c r="BD618" s="799"/>
      <c r="BE618" s="799"/>
      <c r="BF618" s="799"/>
      <c r="BG618" s="799"/>
    </row>
    <row r="619">
      <c r="H619" s="799"/>
      <c r="I619" s="799"/>
      <c r="J619" s="799"/>
      <c r="K619" s="799"/>
      <c r="L619" s="799"/>
      <c r="M619" s="799"/>
      <c r="N619" s="799"/>
      <c r="O619" s="799"/>
      <c r="P619" s="799"/>
      <c r="Q619" s="799"/>
      <c r="R619" s="799"/>
      <c r="S619" s="799"/>
      <c r="T619" s="799"/>
      <c r="U619" s="799"/>
      <c r="V619" s="799"/>
      <c r="W619" s="799"/>
      <c r="X619" s="799"/>
      <c r="Y619" s="799"/>
      <c r="Z619" s="799"/>
      <c r="AA619" s="799"/>
      <c r="AB619" s="799"/>
      <c r="AC619" s="799"/>
      <c r="AD619" s="799"/>
      <c r="AE619" s="799"/>
      <c r="AF619" s="799"/>
      <c r="AG619" s="799"/>
      <c r="AH619" s="799"/>
      <c r="AI619" s="799"/>
      <c r="AJ619" s="799"/>
      <c r="AK619" s="799"/>
      <c r="AL619" s="799"/>
      <c r="AM619" s="799"/>
      <c r="AN619" s="799"/>
      <c r="AO619" s="799"/>
      <c r="AP619" s="799"/>
      <c r="AQ619" s="799"/>
      <c r="AR619" s="799"/>
      <c r="AS619" s="799"/>
      <c r="AT619" s="799"/>
      <c r="AU619" s="799"/>
      <c r="AV619" s="799"/>
      <c r="AW619" s="799"/>
      <c r="AX619" s="799"/>
      <c r="AY619" s="799"/>
      <c r="AZ619" s="799"/>
      <c r="BA619" s="799"/>
      <c r="BB619" s="799"/>
      <c r="BC619" s="799"/>
      <c r="BD619" s="799"/>
      <c r="BE619" s="799"/>
      <c r="BF619" s="799"/>
      <c r="BG619" s="799"/>
    </row>
    <row r="620">
      <c r="H620" s="799"/>
      <c r="I620" s="799"/>
      <c r="J620" s="799"/>
      <c r="K620" s="799"/>
      <c r="L620" s="799"/>
      <c r="M620" s="799"/>
      <c r="N620" s="799"/>
      <c r="O620" s="799"/>
      <c r="P620" s="799"/>
      <c r="Q620" s="799"/>
      <c r="R620" s="799"/>
      <c r="S620" s="799"/>
      <c r="T620" s="799"/>
      <c r="U620" s="799"/>
      <c r="V620" s="799"/>
      <c r="W620" s="799"/>
      <c r="X620" s="799"/>
      <c r="Y620" s="799"/>
      <c r="Z620" s="799"/>
      <c r="AA620" s="799"/>
      <c r="AB620" s="799"/>
      <c r="AC620" s="799"/>
      <c r="AD620" s="799"/>
      <c r="AE620" s="799"/>
      <c r="AF620" s="799"/>
      <c r="AG620" s="799"/>
      <c r="AH620" s="799"/>
      <c r="AI620" s="799"/>
      <c r="AJ620" s="799"/>
      <c r="AK620" s="799"/>
      <c r="AL620" s="799"/>
      <c r="AM620" s="799"/>
      <c r="AN620" s="799"/>
      <c r="AO620" s="799"/>
      <c r="AP620" s="799"/>
      <c r="AQ620" s="799"/>
      <c r="AR620" s="799"/>
      <c r="AS620" s="799"/>
      <c r="AT620" s="799"/>
      <c r="AU620" s="799"/>
      <c r="AV620" s="799"/>
      <c r="AW620" s="799"/>
      <c r="AX620" s="799"/>
      <c r="AY620" s="799"/>
      <c r="AZ620" s="799"/>
      <c r="BA620" s="799"/>
      <c r="BB620" s="799"/>
      <c r="BC620" s="799"/>
      <c r="BD620" s="799"/>
      <c r="BE620" s="799"/>
      <c r="BF620" s="799"/>
      <c r="BG620" s="799"/>
    </row>
    <row r="621">
      <c r="H621" s="799"/>
      <c r="I621" s="799"/>
      <c r="J621" s="799"/>
      <c r="K621" s="799"/>
      <c r="L621" s="799"/>
      <c r="M621" s="799"/>
      <c r="N621" s="799"/>
      <c r="O621" s="799"/>
      <c r="P621" s="799"/>
      <c r="Q621" s="799"/>
      <c r="R621" s="799"/>
      <c r="S621" s="799"/>
      <c r="T621" s="799"/>
      <c r="U621" s="799"/>
      <c r="V621" s="799"/>
      <c r="W621" s="799"/>
      <c r="X621" s="799"/>
      <c r="Y621" s="799"/>
      <c r="Z621" s="799"/>
      <c r="AA621" s="799"/>
      <c r="AB621" s="799"/>
      <c r="AC621" s="799"/>
      <c r="AD621" s="799"/>
      <c r="AE621" s="799"/>
      <c r="AF621" s="799"/>
      <c r="AG621" s="799"/>
      <c r="AH621" s="799"/>
      <c r="AI621" s="799"/>
      <c r="AJ621" s="799"/>
      <c r="AK621" s="799"/>
      <c r="AL621" s="799"/>
      <c r="AM621" s="799"/>
      <c r="AN621" s="799"/>
      <c r="AO621" s="799"/>
      <c r="AP621" s="799"/>
      <c r="AQ621" s="799"/>
      <c r="AR621" s="799"/>
      <c r="AS621" s="799"/>
      <c r="AT621" s="799"/>
      <c r="AU621" s="799"/>
      <c r="AV621" s="799"/>
      <c r="AW621" s="799"/>
      <c r="AX621" s="799"/>
      <c r="AY621" s="799"/>
      <c r="AZ621" s="799"/>
      <c r="BA621" s="799"/>
      <c r="BB621" s="799"/>
      <c r="BC621" s="799"/>
      <c r="BD621" s="799"/>
      <c r="BE621" s="799"/>
      <c r="BF621" s="799"/>
      <c r="BG621" s="799"/>
    </row>
    <row r="622">
      <c r="H622" s="799"/>
      <c r="I622" s="799"/>
      <c r="J622" s="799"/>
      <c r="K622" s="799"/>
      <c r="L622" s="799"/>
      <c r="M622" s="799"/>
      <c r="N622" s="799"/>
      <c r="O622" s="799"/>
      <c r="P622" s="799"/>
      <c r="Q622" s="799"/>
      <c r="R622" s="799"/>
      <c r="S622" s="799"/>
      <c r="T622" s="799"/>
      <c r="U622" s="799"/>
      <c r="V622" s="799"/>
      <c r="W622" s="799"/>
      <c r="X622" s="799"/>
      <c r="Y622" s="799"/>
      <c r="Z622" s="799"/>
      <c r="AA622" s="799"/>
      <c r="AB622" s="799"/>
      <c r="AC622" s="799"/>
      <c r="AD622" s="799"/>
      <c r="AE622" s="799"/>
      <c r="AF622" s="799"/>
      <c r="AG622" s="799"/>
      <c r="AH622" s="799"/>
      <c r="AI622" s="799"/>
      <c r="AJ622" s="799"/>
      <c r="AK622" s="799"/>
      <c r="AL622" s="799"/>
      <c r="AM622" s="799"/>
      <c r="AN622" s="799"/>
      <c r="AO622" s="799"/>
      <c r="AP622" s="799"/>
      <c r="AQ622" s="799"/>
      <c r="AR622" s="799"/>
      <c r="AS622" s="799"/>
      <c r="AT622" s="799"/>
      <c r="AU622" s="799"/>
      <c r="AV622" s="799"/>
      <c r="AW622" s="799"/>
      <c r="AX622" s="799"/>
      <c r="AY622" s="799"/>
      <c r="AZ622" s="799"/>
      <c r="BA622" s="799"/>
      <c r="BB622" s="799"/>
      <c r="BC622" s="799"/>
      <c r="BD622" s="799"/>
      <c r="BE622" s="799"/>
      <c r="BF622" s="799"/>
      <c r="BG622" s="799"/>
    </row>
    <row r="623">
      <c r="H623" s="799"/>
      <c r="I623" s="799"/>
      <c r="J623" s="799"/>
      <c r="K623" s="799"/>
      <c r="L623" s="799"/>
      <c r="M623" s="799"/>
      <c r="N623" s="799"/>
      <c r="O623" s="799"/>
      <c r="P623" s="799"/>
      <c r="Q623" s="799"/>
      <c r="R623" s="799"/>
      <c r="S623" s="799"/>
      <c r="T623" s="799"/>
      <c r="U623" s="799"/>
      <c r="V623" s="799"/>
      <c r="W623" s="799"/>
      <c r="X623" s="799"/>
      <c r="Y623" s="799"/>
      <c r="Z623" s="799"/>
      <c r="AA623" s="799"/>
      <c r="AB623" s="799"/>
      <c r="AC623" s="799"/>
      <c r="AD623" s="799"/>
      <c r="AE623" s="799"/>
      <c r="AF623" s="799"/>
      <c r="AG623" s="799"/>
      <c r="AH623" s="799"/>
      <c r="AI623" s="799"/>
      <c r="AJ623" s="799"/>
      <c r="AK623" s="799"/>
      <c r="AL623" s="799"/>
      <c r="AM623" s="799"/>
      <c r="AN623" s="799"/>
      <c r="AO623" s="799"/>
      <c r="AP623" s="799"/>
      <c r="AQ623" s="799"/>
      <c r="AR623" s="799"/>
      <c r="AS623" s="799"/>
      <c r="AT623" s="799"/>
      <c r="AU623" s="799"/>
      <c r="AV623" s="799"/>
      <c r="AW623" s="799"/>
      <c r="AX623" s="799"/>
      <c r="AY623" s="799"/>
      <c r="AZ623" s="799"/>
      <c r="BA623" s="799"/>
      <c r="BB623" s="799"/>
      <c r="BC623" s="799"/>
      <c r="BD623" s="799"/>
      <c r="BE623" s="799"/>
      <c r="BF623" s="799"/>
      <c r="BG623" s="799"/>
    </row>
    <row r="624">
      <c r="H624" s="799"/>
      <c r="I624" s="799"/>
      <c r="J624" s="799"/>
      <c r="K624" s="799"/>
      <c r="L624" s="799"/>
      <c r="M624" s="799"/>
      <c r="N624" s="799"/>
      <c r="O624" s="799"/>
      <c r="P624" s="799"/>
      <c r="Q624" s="799"/>
      <c r="R624" s="799"/>
      <c r="S624" s="799"/>
      <c r="T624" s="799"/>
      <c r="U624" s="799"/>
      <c r="V624" s="799"/>
      <c r="W624" s="799"/>
      <c r="X624" s="799"/>
      <c r="Y624" s="799"/>
      <c r="Z624" s="799"/>
      <c r="AA624" s="799"/>
      <c r="AB624" s="799"/>
      <c r="AC624" s="799"/>
      <c r="AD624" s="799"/>
      <c r="AE624" s="799"/>
      <c r="AF624" s="799"/>
      <c r="AG624" s="799"/>
      <c r="AH624" s="799"/>
      <c r="AI624" s="799"/>
      <c r="AJ624" s="799"/>
      <c r="AK624" s="799"/>
      <c r="AL624" s="799"/>
      <c r="AM624" s="799"/>
      <c r="AN624" s="799"/>
      <c r="AO624" s="799"/>
      <c r="AP624" s="799"/>
      <c r="AQ624" s="799"/>
      <c r="AR624" s="799"/>
      <c r="AS624" s="799"/>
      <c r="AT624" s="799"/>
      <c r="AU624" s="799"/>
      <c r="AV624" s="799"/>
      <c r="AW624" s="799"/>
      <c r="AX624" s="799"/>
      <c r="AY624" s="799"/>
      <c r="AZ624" s="799"/>
      <c r="BA624" s="799"/>
      <c r="BB624" s="799"/>
      <c r="BC624" s="799"/>
      <c r="BD624" s="799"/>
      <c r="BE624" s="799"/>
      <c r="BF624" s="799"/>
      <c r="BG624" s="799"/>
    </row>
    <row r="625">
      <c r="H625" s="799"/>
      <c r="I625" s="799"/>
      <c r="J625" s="799"/>
      <c r="K625" s="799"/>
      <c r="L625" s="799"/>
      <c r="M625" s="799"/>
      <c r="N625" s="799"/>
      <c r="O625" s="799"/>
      <c r="P625" s="799"/>
      <c r="Q625" s="799"/>
      <c r="R625" s="799"/>
      <c r="S625" s="799"/>
      <c r="T625" s="799"/>
      <c r="U625" s="799"/>
      <c r="V625" s="799"/>
      <c r="W625" s="799"/>
      <c r="X625" s="799"/>
      <c r="Y625" s="799"/>
      <c r="Z625" s="799"/>
      <c r="AA625" s="799"/>
      <c r="AB625" s="799"/>
      <c r="AC625" s="799"/>
      <c r="AD625" s="799"/>
      <c r="AE625" s="799"/>
      <c r="AF625" s="799"/>
      <c r="AG625" s="799"/>
      <c r="AH625" s="799"/>
      <c r="AI625" s="799"/>
      <c r="AJ625" s="799"/>
      <c r="AK625" s="799"/>
      <c r="AL625" s="799"/>
      <c r="AM625" s="799"/>
      <c r="AN625" s="799"/>
      <c r="AO625" s="799"/>
      <c r="AP625" s="799"/>
      <c r="AQ625" s="799"/>
      <c r="AR625" s="799"/>
      <c r="AS625" s="799"/>
      <c r="AT625" s="799"/>
      <c r="AU625" s="799"/>
      <c r="AV625" s="799"/>
      <c r="AW625" s="799"/>
      <c r="AX625" s="799"/>
      <c r="AY625" s="799"/>
      <c r="AZ625" s="799"/>
      <c r="BA625" s="799"/>
      <c r="BB625" s="799"/>
      <c r="BC625" s="799"/>
      <c r="BD625" s="799"/>
      <c r="BE625" s="799"/>
      <c r="BF625" s="799"/>
      <c r="BG625" s="799"/>
    </row>
    <row r="626">
      <c r="H626" s="799"/>
      <c r="I626" s="799"/>
      <c r="J626" s="799"/>
      <c r="K626" s="799"/>
      <c r="L626" s="799"/>
      <c r="M626" s="799"/>
      <c r="N626" s="799"/>
      <c r="O626" s="799"/>
      <c r="P626" s="799"/>
      <c r="Q626" s="799"/>
      <c r="R626" s="799"/>
      <c r="S626" s="799"/>
      <c r="T626" s="799"/>
      <c r="U626" s="799"/>
      <c r="V626" s="799"/>
      <c r="W626" s="799"/>
      <c r="X626" s="799"/>
      <c r="Y626" s="799"/>
      <c r="Z626" s="799"/>
      <c r="AA626" s="799"/>
      <c r="AB626" s="799"/>
      <c r="AC626" s="799"/>
      <c r="AD626" s="799"/>
      <c r="AE626" s="799"/>
      <c r="AF626" s="799"/>
      <c r="AG626" s="799"/>
      <c r="AH626" s="799"/>
      <c r="AI626" s="799"/>
      <c r="AJ626" s="799"/>
      <c r="AK626" s="799"/>
      <c r="AL626" s="799"/>
      <c r="AM626" s="799"/>
      <c r="AN626" s="799"/>
      <c r="AO626" s="799"/>
      <c r="AP626" s="799"/>
      <c r="AQ626" s="799"/>
      <c r="AR626" s="799"/>
      <c r="AS626" s="799"/>
      <c r="AT626" s="799"/>
      <c r="AU626" s="799"/>
      <c r="AV626" s="799"/>
      <c r="AW626" s="799"/>
      <c r="AX626" s="799"/>
      <c r="AY626" s="799"/>
      <c r="AZ626" s="799"/>
      <c r="BA626" s="799"/>
      <c r="BB626" s="799"/>
      <c r="BC626" s="799"/>
      <c r="BD626" s="799"/>
      <c r="BE626" s="799"/>
      <c r="BF626" s="799"/>
      <c r="BG626" s="799"/>
    </row>
    <row r="627">
      <c r="H627" s="799"/>
      <c r="I627" s="799"/>
      <c r="J627" s="799"/>
      <c r="K627" s="799"/>
      <c r="L627" s="799"/>
      <c r="M627" s="799"/>
      <c r="N627" s="799"/>
      <c r="O627" s="799"/>
      <c r="P627" s="799"/>
      <c r="Q627" s="799"/>
      <c r="R627" s="799"/>
      <c r="S627" s="799"/>
      <c r="T627" s="799"/>
      <c r="U627" s="799"/>
      <c r="V627" s="799"/>
      <c r="W627" s="799"/>
      <c r="X627" s="799"/>
      <c r="Y627" s="799"/>
      <c r="Z627" s="799"/>
      <c r="AA627" s="799"/>
      <c r="AB627" s="799"/>
      <c r="AC627" s="799"/>
      <c r="AD627" s="799"/>
      <c r="AE627" s="799"/>
      <c r="AF627" s="799"/>
      <c r="AG627" s="799"/>
      <c r="AH627" s="799"/>
      <c r="AI627" s="799"/>
      <c r="AJ627" s="799"/>
      <c r="AK627" s="799"/>
      <c r="AL627" s="799"/>
      <c r="AM627" s="799"/>
      <c r="AN627" s="799"/>
      <c r="AO627" s="799"/>
      <c r="AP627" s="799"/>
      <c r="AQ627" s="799"/>
      <c r="AR627" s="799"/>
      <c r="AS627" s="799"/>
      <c r="AT627" s="799"/>
      <c r="AU627" s="799"/>
      <c r="AV627" s="799"/>
      <c r="AW627" s="799"/>
      <c r="AX627" s="799"/>
      <c r="AY627" s="799"/>
      <c r="AZ627" s="799"/>
      <c r="BA627" s="799"/>
      <c r="BB627" s="799"/>
      <c r="BC627" s="799"/>
      <c r="BD627" s="799"/>
      <c r="BE627" s="799"/>
      <c r="BF627" s="799"/>
      <c r="BG627" s="799"/>
    </row>
    <row r="628">
      <c r="H628" s="799"/>
      <c r="I628" s="799"/>
      <c r="J628" s="799"/>
      <c r="K628" s="799"/>
      <c r="L628" s="799"/>
      <c r="M628" s="799"/>
      <c r="N628" s="799"/>
      <c r="O628" s="799"/>
      <c r="P628" s="799"/>
      <c r="Q628" s="799"/>
      <c r="R628" s="799"/>
      <c r="S628" s="799"/>
      <c r="T628" s="799"/>
      <c r="U628" s="799"/>
      <c r="V628" s="799"/>
      <c r="W628" s="799"/>
      <c r="X628" s="799"/>
      <c r="Y628" s="799"/>
      <c r="Z628" s="799"/>
      <c r="AA628" s="799"/>
      <c r="AB628" s="799"/>
      <c r="AC628" s="799"/>
      <c r="AD628" s="799"/>
      <c r="AE628" s="799"/>
      <c r="AF628" s="799"/>
      <c r="AG628" s="799"/>
      <c r="AH628" s="799"/>
      <c r="AI628" s="799"/>
      <c r="AJ628" s="799"/>
      <c r="AK628" s="799"/>
      <c r="AL628" s="799"/>
      <c r="AM628" s="799"/>
      <c r="AN628" s="799"/>
      <c r="AO628" s="799"/>
      <c r="AP628" s="799"/>
      <c r="AQ628" s="799"/>
      <c r="AR628" s="799"/>
      <c r="AS628" s="799"/>
      <c r="AT628" s="799"/>
      <c r="AU628" s="799"/>
      <c r="AV628" s="799"/>
      <c r="AW628" s="799"/>
      <c r="AX628" s="799"/>
      <c r="AY628" s="799"/>
      <c r="AZ628" s="799"/>
      <c r="BA628" s="799"/>
      <c r="BB628" s="799"/>
      <c r="BC628" s="799"/>
      <c r="BD628" s="799"/>
      <c r="BE628" s="799"/>
      <c r="BF628" s="799"/>
      <c r="BG628" s="799"/>
    </row>
    <row r="629">
      <c r="H629" s="799"/>
      <c r="I629" s="799"/>
      <c r="J629" s="799"/>
      <c r="K629" s="799"/>
      <c r="L629" s="799"/>
      <c r="M629" s="799"/>
      <c r="N629" s="799"/>
      <c r="O629" s="799"/>
      <c r="P629" s="799"/>
      <c r="Q629" s="799"/>
      <c r="R629" s="799"/>
      <c r="S629" s="799"/>
      <c r="T629" s="799"/>
      <c r="U629" s="799"/>
      <c r="V629" s="799"/>
      <c r="W629" s="799"/>
      <c r="X629" s="799"/>
      <c r="Y629" s="799"/>
      <c r="Z629" s="799"/>
      <c r="AA629" s="799"/>
      <c r="AB629" s="799"/>
      <c r="AC629" s="799"/>
      <c r="AD629" s="799"/>
      <c r="AE629" s="799"/>
      <c r="AF629" s="799"/>
      <c r="AG629" s="799"/>
      <c r="AH629" s="799"/>
      <c r="AI629" s="799"/>
      <c r="AJ629" s="799"/>
      <c r="AK629" s="799"/>
      <c r="AL629" s="799"/>
      <c r="AM629" s="799"/>
      <c r="AN629" s="799"/>
      <c r="AO629" s="799"/>
      <c r="AP629" s="799"/>
      <c r="AQ629" s="799"/>
      <c r="AR629" s="799"/>
      <c r="AS629" s="799"/>
      <c r="AT629" s="799"/>
      <c r="AU629" s="799"/>
      <c r="AV629" s="799"/>
      <c r="AW629" s="799"/>
      <c r="AX629" s="799"/>
      <c r="AY629" s="799"/>
      <c r="AZ629" s="799"/>
      <c r="BA629" s="799"/>
      <c r="BB629" s="799"/>
      <c r="BC629" s="799"/>
      <c r="BD629" s="799"/>
      <c r="BE629" s="799"/>
      <c r="BF629" s="799"/>
      <c r="BG629" s="799"/>
    </row>
    <row r="630">
      <c r="H630" s="799"/>
      <c r="I630" s="799"/>
      <c r="J630" s="799"/>
      <c r="K630" s="799"/>
      <c r="L630" s="799"/>
      <c r="M630" s="799"/>
      <c r="N630" s="799"/>
      <c r="O630" s="799"/>
      <c r="P630" s="799"/>
      <c r="Q630" s="799"/>
      <c r="R630" s="799"/>
      <c r="S630" s="799"/>
      <c r="T630" s="799"/>
      <c r="U630" s="799"/>
      <c r="V630" s="799"/>
      <c r="W630" s="799"/>
      <c r="X630" s="799"/>
      <c r="Y630" s="799"/>
      <c r="Z630" s="799"/>
      <c r="AA630" s="799"/>
      <c r="AB630" s="799"/>
      <c r="AC630" s="799"/>
      <c r="AD630" s="799"/>
      <c r="AE630" s="799"/>
      <c r="AF630" s="799"/>
      <c r="AG630" s="799"/>
      <c r="AH630" s="799"/>
      <c r="AI630" s="799"/>
      <c r="AJ630" s="799"/>
      <c r="AK630" s="799"/>
      <c r="AL630" s="799"/>
      <c r="AM630" s="799"/>
      <c r="AN630" s="799"/>
      <c r="AO630" s="799"/>
      <c r="AP630" s="799"/>
      <c r="AQ630" s="799"/>
      <c r="AR630" s="799"/>
      <c r="AS630" s="799"/>
      <c r="AT630" s="799"/>
      <c r="AU630" s="799"/>
      <c r="AV630" s="799"/>
      <c r="AW630" s="799"/>
      <c r="AX630" s="799"/>
      <c r="AY630" s="799"/>
      <c r="AZ630" s="799"/>
      <c r="BA630" s="799"/>
      <c r="BB630" s="799"/>
      <c r="BC630" s="799"/>
      <c r="BD630" s="799"/>
      <c r="BE630" s="799"/>
      <c r="BF630" s="799"/>
      <c r="BG630" s="799"/>
    </row>
    <row r="631">
      <c r="H631" s="799"/>
      <c r="I631" s="799"/>
      <c r="J631" s="799"/>
      <c r="K631" s="799"/>
      <c r="L631" s="799"/>
      <c r="M631" s="799"/>
      <c r="N631" s="799"/>
      <c r="O631" s="799"/>
      <c r="P631" s="799"/>
      <c r="Q631" s="799"/>
      <c r="R631" s="799"/>
      <c r="S631" s="799"/>
      <c r="T631" s="799"/>
      <c r="U631" s="799"/>
      <c r="V631" s="799"/>
      <c r="W631" s="799"/>
      <c r="X631" s="799"/>
      <c r="Y631" s="799"/>
      <c r="Z631" s="799"/>
      <c r="AA631" s="799"/>
      <c r="AB631" s="799"/>
      <c r="AC631" s="799"/>
      <c r="AD631" s="799"/>
      <c r="AE631" s="799"/>
      <c r="AF631" s="799"/>
      <c r="AG631" s="799"/>
      <c r="AH631" s="799"/>
      <c r="AI631" s="799"/>
      <c r="AJ631" s="799"/>
      <c r="AK631" s="799"/>
      <c r="AL631" s="799"/>
      <c r="AM631" s="799"/>
      <c r="AN631" s="799"/>
      <c r="AO631" s="799"/>
      <c r="AP631" s="799"/>
      <c r="AQ631" s="799"/>
      <c r="AR631" s="799"/>
      <c r="AS631" s="799"/>
      <c r="AT631" s="799"/>
      <c r="AU631" s="799"/>
      <c r="AV631" s="799"/>
      <c r="AW631" s="799"/>
      <c r="AX631" s="799"/>
      <c r="AY631" s="799"/>
      <c r="AZ631" s="799"/>
      <c r="BA631" s="799"/>
      <c r="BB631" s="799"/>
      <c r="BC631" s="799"/>
      <c r="BD631" s="799"/>
      <c r="BE631" s="799"/>
      <c r="BF631" s="799"/>
      <c r="BG631" s="799"/>
    </row>
    <row r="632">
      <c r="H632" s="799"/>
      <c r="I632" s="799"/>
      <c r="J632" s="799"/>
      <c r="K632" s="799"/>
      <c r="L632" s="799"/>
      <c r="M632" s="799"/>
      <c r="N632" s="799"/>
      <c r="O632" s="799"/>
      <c r="P632" s="799"/>
      <c r="Q632" s="799"/>
      <c r="R632" s="799"/>
      <c r="S632" s="799"/>
      <c r="T632" s="799"/>
      <c r="U632" s="799"/>
      <c r="V632" s="799"/>
      <c r="W632" s="799"/>
      <c r="X632" s="799"/>
      <c r="Y632" s="799"/>
      <c r="Z632" s="799"/>
      <c r="AA632" s="799"/>
      <c r="AB632" s="799"/>
      <c r="AC632" s="799"/>
      <c r="AD632" s="799"/>
      <c r="AE632" s="799"/>
      <c r="AF632" s="799"/>
      <c r="AG632" s="799"/>
      <c r="AH632" s="799"/>
      <c r="AI632" s="799"/>
      <c r="AJ632" s="799"/>
      <c r="AK632" s="799"/>
      <c r="AL632" s="799"/>
      <c r="AM632" s="799"/>
      <c r="AN632" s="799"/>
      <c r="AO632" s="799"/>
      <c r="AP632" s="799"/>
      <c r="AQ632" s="799"/>
      <c r="AR632" s="799"/>
      <c r="AS632" s="799"/>
      <c r="AT632" s="799"/>
      <c r="AU632" s="799"/>
      <c r="AV632" s="799"/>
      <c r="AW632" s="799"/>
      <c r="AX632" s="799"/>
      <c r="AY632" s="799"/>
      <c r="AZ632" s="799"/>
      <c r="BA632" s="799"/>
      <c r="BB632" s="799"/>
      <c r="BC632" s="799"/>
      <c r="BD632" s="799"/>
      <c r="BE632" s="799"/>
      <c r="BF632" s="799"/>
      <c r="BG632" s="799"/>
    </row>
    <row r="633">
      <c r="H633" s="799"/>
      <c r="I633" s="799"/>
      <c r="J633" s="799"/>
      <c r="K633" s="799"/>
      <c r="L633" s="799"/>
      <c r="M633" s="799"/>
      <c r="N633" s="799"/>
      <c r="O633" s="799"/>
      <c r="P633" s="799"/>
      <c r="Q633" s="799"/>
      <c r="R633" s="799"/>
      <c r="S633" s="799"/>
      <c r="T633" s="799"/>
      <c r="U633" s="799"/>
      <c r="V633" s="799"/>
      <c r="W633" s="799"/>
      <c r="X633" s="799"/>
      <c r="Y633" s="799"/>
      <c r="Z633" s="799"/>
      <c r="AA633" s="799"/>
      <c r="AB633" s="799"/>
      <c r="AC633" s="799"/>
      <c r="AD633" s="799"/>
      <c r="AE633" s="799"/>
      <c r="AF633" s="799"/>
      <c r="AG633" s="799"/>
      <c r="AH633" s="799"/>
      <c r="AI633" s="799"/>
      <c r="AJ633" s="799"/>
      <c r="AK633" s="799"/>
      <c r="AL633" s="799"/>
      <c r="AM633" s="799"/>
      <c r="AN633" s="799"/>
      <c r="AO633" s="799"/>
      <c r="AP633" s="799"/>
      <c r="AQ633" s="799"/>
      <c r="AR633" s="799"/>
      <c r="AS633" s="799"/>
      <c r="AT633" s="799"/>
      <c r="AU633" s="799"/>
      <c r="AV633" s="799"/>
      <c r="AW633" s="799"/>
      <c r="AX633" s="799"/>
      <c r="AY633" s="799"/>
      <c r="AZ633" s="799"/>
      <c r="BA633" s="799"/>
      <c r="BB633" s="799"/>
      <c r="BC633" s="799"/>
      <c r="BD633" s="799"/>
      <c r="BE633" s="799"/>
      <c r="BF633" s="799"/>
      <c r="BG633" s="799"/>
    </row>
    <row r="634">
      <c r="H634" s="799"/>
      <c r="I634" s="799"/>
      <c r="J634" s="799"/>
      <c r="K634" s="799"/>
      <c r="L634" s="799"/>
      <c r="M634" s="799"/>
      <c r="N634" s="799"/>
      <c r="O634" s="799"/>
      <c r="P634" s="799"/>
      <c r="Q634" s="799"/>
      <c r="R634" s="799"/>
      <c r="S634" s="799"/>
      <c r="T634" s="799"/>
      <c r="U634" s="799"/>
      <c r="V634" s="799"/>
      <c r="W634" s="799"/>
      <c r="X634" s="799"/>
      <c r="Y634" s="799"/>
      <c r="Z634" s="799"/>
      <c r="AA634" s="799"/>
      <c r="AB634" s="799"/>
      <c r="AC634" s="799"/>
      <c r="AD634" s="799"/>
      <c r="AE634" s="799"/>
      <c r="AF634" s="799"/>
      <c r="AG634" s="799"/>
      <c r="AH634" s="799"/>
      <c r="AI634" s="799"/>
      <c r="AJ634" s="799"/>
      <c r="AK634" s="799"/>
      <c r="AL634" s="799"/>
      <c r="AM634" s="799"/>
      <c r="AN634" s="799"/>
      <c r="AO634" s="799"/>
      <c r="AP634" s="799"/>
      <c r="AQ634" s="799"/>
      <c r="AR634" s="799"/>
      <c r="AS634" s="799"/>
      <c r="AT634" s="799"/>
      <c r="AU634" s="799"/>
      <c r="AV634" s="799"/>
      <c r="AW634" s="799"/>
      <c r="AX634" s="799"/>
      <c r="AY634" s="799"/>
      <c r="AZ634" s="799"/>
      <c r="BA634" s="799"/>
      <c r="BB634" s="799"/>
      <c r="BC634" s="799"/>
      <c r="BD634" s="799"/>
      <c r="BE634" s="799"/>
      <c r="BF634" s="799"/>
      <c r="BG634" s="799"/>
    </row>
    <row r="635">
      <c r="H635" s="799"/>
      <c r="I635" s="799"/>
      <c r="J635" s="799"/>
      <c r="K635" s="799"/>
      <c r="L635" s="799"/>
      <c r="M635" s="799"/>
      <c r="N635" s="799"/>
      <c r="O635" s="799"/>
      <c r="P635" s="799"/>
      <c r="Q635" s="799"/>
      <c r="R635" s="799"/>
      <c r="S635" s="799"/>
      <c r="T635" s="799"/>
      <c r="U635" s="799"/>
      <c r="V635" s="799"/>
      <c r="W635" s="799"/>
      <c r="X635" s="799"/>
      <c r="Y635" s="799"/>
      <c r="Z635" s="799"/>
      <c r="AA635" s="799"/>
      <c r="AB635" s="799"/>
      <c r="AC635" s="799"/>
      <c r="AD635" s="799"/>
      <c r="AE635" s="799"/>
      <c r="AF635" s="799"/>
      <c r="AG635" s="799"/>
      <c r="AH635" s="799"/>
      <c r="AI635" s="799"/>
      <c r="AJ635" s="799"/>
      <c r="AK635" s="799"/>
      <c r="AL635" s="799"/>
      <c r="AM635" s="799"/>
      <c r="AN635" s="799"/>
      <c r="AO635" s="799"/>
      <c r="AP635" s="799"/>
      <c r="AQ635" s="799"/>
      <c r="AR635" s="799"/>
      <c r="AS635" s="799"/>
      <c r="AT635" s="799"/>
      <c r="AU635" s="799"/>
      <c r="AV635" s="799"/>
      <c r="AW635" s="799"/>
      <c r="AX635" s="799"/>
      <c r="AY635" s="799"/>
      <c r="AZ635" s="799"/>
      <c r="BA635" s="799"/>
      <c r="BB635" s="799"/>
      <c r="BC635" s="799"/>
      <c r="BD635" s="799"/>
      <c r="BE635" s="799"/>
      <c r="BF635" s="799"/>
      <c r="BG635" s="799"/>
    </row>
    <row r="636">
      <c r="H636" s="799"/>
      <c r="I636" s="799"/>
      <c r="J636" s="799"/>
      <c r="K636" s="799"/>
      <c r="L636" s="799"/>
      <c r="M636" s="799"/>
      <c r="N636" s="799"/>
      <c r="O636" s="799"/>
      <c r="P636" s="799"/>
      <c r="Q636" s="799"/>
      <c r="R636" s="799"/>
      <c r="S636" s="799"/>
      <c r="T636" s="799"/>
      <c r="U636" s="799"/>
      <c r="V636" s="799"/>
      <c r="W636" s="799"/>
      <c r="X636" s="799"/>
      <c r="Y636" s="799"/>
      <c r="Z636" s="799"/>
      <c r="AA636" s="799"/>
      <c r="AB636" s="799"/>
      <c r="AC636" s="799"/>
      <c r="AD636" s="799"/>
      <c r="AE636" s="799"/>
      <c r="AF636" s="799"/>
      <c r="AG636" s="799"/>
      <c r="AH636" s="799"/>
      <c r="AI636" s="799"/>
      <c r="AJ636" s="799"/>
      <c r="AK636" s="799"/>
      <c r="AL636" s="799"/>
      <c r="AM636" s="799"/>
      <c r="AN636" s="799"/>
      <c r="AO636" s="799"/>
      <c r="AP636" s="799"/>
      <c r="AQ636" s="799"/>
      <c r="AR636" s="799"/>
      <c r="AS636" s="799"/>
      <c r="AT636" s="799"/>
      <c r="AU636" s="799"/>
      <c r="AV636" s="799"/>
      <c r="AW636" s="799"/>
      <c r="AX636" s="799"/>
      <c r="AY636" s="799"/>
      <c r="AZ636" s="799"/>
      <c r="BA636" s="799"/>
      <c r="BB636" s="799"/>
      <c r="BC636" s="799"/>
      <c r="BD636" s="799"/>
      <c r="BE636" s="799"/>
      <c r="BF636" s="799"/>
      <c r="BG636" s="799"/>
    </row>
    <row r="637">
      <c r="H637" s="799"/>
      <c r="I637" s="799"/>
      <c r="J637" s="799"/>
      <c r="K637" s="799"/>
      <c r="L637" s="799"/>
      <c r="M637" s="799"/>
      <c r="N637" s="799"/>
      <c r="O637" s="799"/>
      <c r="P637" s="799"/>
      <c r="Q637" s="799"/>
      <c r="R637" s="799"/>
      <c r="S637" s="799"/>
      <c r="T637" s="799"/>
      <c r="U637" s="799"/>
      <c r="V637" s="799"/>
      <c r="W637" s="799"/>
      <c r="X637" s="799"/>
      <c r="Y637" s="799"/>
      <c r="Z637" s="799"/>
      <c r="AA637" s="799"/>
      <c r="AB637" s="799"/>
      <c r="AC637" s="799"/>
      <c r="AD637" s="799"/>
      <c r="AE637" s="799"/>
      <c r="AF637" s="799"/>
      <c r="AG637" s="799"/>
      <c r="AH637" s="799"/>
      <c r="AI637" s="799"/>
      <c r="AJ637" s="799"/>
      <c r="AK637" s="799"/>
      <c r="AL637" s="799"/>
      <c r="AM637" s="799"/>
      <c r="AN637" s="799"/>
      <c r="AO637" s="799"/>
      <c r="AP637" s="799"/>
      <c r="AQ637" s="799"/>
      <c r="AR637" s="799"/>
      <c r="AS637" s="799"/>
      <c r="AT637" s="799"/>
      <c r="AU637" s="799"/>
      <c r="AV637" s="799"/>
      <c r="AW637" s="799"/>
      <c r="AX637" s="799"/>
      <c r="AY637" s="799"/>
      <c r="AZ637" s="799"/>
      <c r="BA637" s="799"/>
      <c r="BB637" s="799"/>
      <c r="BC637" s="799"/>
      <c r="BD637" s="799"/>
      <c r="BE637" s="799"/>
      <c r="BF637" s="799"/>
      <c r="BG637" s="799"/>
    </row>
    <row r="638">
      <c r="H638" s="799"/>
      <c r="I638" s="799"/>
      <c r="J638" s="799"/>
      <c r="K638" s="799"/>
      <c r="L638" s="799"/>
      <c r="M638" s="799"/>
      <c r="N638" s="799"/>
      <c r="O638" s="799"/>
      <c r="P638" s="799"/>
      <c r="Q638" s="799"/>
      <c r="R638" s="799"/>
      <c r="S638" s="799"/>
      <c r="T638" s="799"/>
      <c r="U638" s="799"/>
      <c r="V638" s="799"/>
      <c r="W638" s="799"/>
      <c r="X638" s="799"/>
      <c r="Y638" s="799"/>
      <c r="Z638" s="799"/>
      <c r="AA638" s="799"/>
      <c r="AB638" s="799"/>
      <c r="AC638" s="799"/>
      <c r="AD638" s="799"/>
      <c r="AE638" s="799"/>
      <c r="AF638" s="799"/>
      <c r="AG638" s="799"/>
      <c r="AH638" s="799"/>
      <c r="AI638" s="799"/>
      <c r="AJ638" s="799"/>
      <c r="AK638" s="799"/>
      <c r="AL638" s="799"/>
      <c r="AM638" s="799"/>
      <c r="AN638" s="799"/>
      <c r="AO638" s="799"/>
      <c r="AP638" s="799"/>
      <c r="AQ638" s="799"/>
      <c r="AR638" s="799"/>
      <c r="AS638" s="799"/>
      <c r="AT638" s="799"/>
      <c r="AU638" s="799"/>
      <c r="AV638" s="799"/>
      <c r="AW638" s="799"/>
      <c r="AX638" s="799"/>
      <c r="AY638" s="799"/>
      <c r="AZ638" s="799"/>
      <c r="BA638" s="799"/>
      <c r="BB638" s="799"/>
      <c r="BC638" s="799"/>
      <c r="BD638" s="799"/>
      <c r="BE638" s="799"/>
      <c r="BF638" s="799"/>
      <c r="BG638" s="799"/>
    </row>
    <row r="639">
      <c r="H639" s="799"/>
      <c r="I639" s="799"/>
      <c r="J639" s="799"/>
      <c r="K639" s="799"/>
      <c r="L639" s="799"/>
      <c r="M639" s="799"/>
      <c r="N639" s="799"/>
      <c r="O639" s="799"/>
      <c r="P639" s="799"/>
      <c r="Q639" s="799"/>
      <c r="R639" s="799"/>
      <c r="S639" s="799"/>
      <c r="T639" s="799"/>
      <c r="U639" s="799"/>
      <c r="V639" s="799"/>
      <c r="W639" s="799"/>
      <c r="X639" s="799"/>
      <c r="Y639" s="799"/>
      <c r="Z639" s="799"/>
      <c r="AA639" s="799"/>
      <c r="AB639" s="799"/>
      <c r="AC639" s="799"/>
      <c r="AD639" s="799"/>
      <c r="AE639" s="799"/>
      <c r="AF639" s="799"/>
      <c r="AG639" s="799"/>
      <c r="AH639" s="799"/>
      <c r="AI639" s="799"/>
      <c r="AJ639" s="799"/>
      <c r="AK639" s="799"/>
      <c r="AL639" s="799"/>
      <c r="AM639" s="799"/>
      <c r="AN639" s="799"/>
      <c r="AO639" s="799"/>
      <c r="AP639" s="799"/>
      <c r="AQ639" s="799"/>
      <c r="AR639" s="799"/>
      <c r="AS639" s="799"/>
      <c r="AT639" s="799"/>
      <c r="AU639" s="799"/>
      <c r="AV639" s="799"/>
      <c r="AW639" s="799"/>
      <c r="AX639" s="799"/>
      <c r="AY639" s="799"/>
      <c r="AZ639" s="799"/>
      <c r="BA639" s="799"/>
      <c r="BB639" s="799"/>
      <c r="BC639" s="799"/>
      <c r="BD639" s="799"/>
      <c r="BE639" s="799"/>
      <c r="BF639" s="799"/>
      <c r="BG639" s="799"/>
    </row>
    <row r="640">
      <c r="H640" s="799"/>
      <c r="I640" s="799"/>
      <c r="J640" s="799"/>
      <c r="K640" s="799"/>
      <c r="L640" s="799"/>
      <c r="M640" s="799"/>
      <c r="N640" s="799"/>
      <c r="O640" s="799"/>
      <c r="P640" s="799"/>
      <c r="Q640" s="799"/>
      <c r="R640" s="799"/>
      <c r="S640" s="799"/>
      <c r="T640" s="799"/>
      <c r="U640" s="799"/>
      <c r="V640" s="799"/>
      <c r="W640" s="799"/>
      <c r="X640" s="799"/>
      <c r="Y640" s="799"/>
      <c r="Z640" s="799"/>
      <c r="AA640" s="799"/>
      <c r="AB640" s="799"/>
      <c r="AC640" s="799"/>
      <c r="AD640" s="799"/>
      <c r="AE640" s="799"/>
      <c r="AF640" s="799"/>
      <c r="AG640" s="799"/>
      <c r="AH640" s="799"/>
      <c r="AI640" s="799"/>
      <c r="AJ640" s="799"/>
      <c r="AK640" s="799"/>
      <c r="AL640" s="799"/>
      <c r="AM640" s="799"/>
      <c r="AN640" s="799"/>
      <c r="AO640" s="799"/>
      <c r="AP640" s="799"/>
      <c r="AQ640" s="799"/>
      <c r="AR640" s="799"/>
      <c r="AS640" s="799"/>
      <c r="AT640" s="799"/>
      <c r="AU640" s="799"/>
      <c r="AV640" s="799"/>
      <c r="AW640" s="799"/>
      <c r="AX640" s="799"/>
      <c r="AY640" s="799"/>
      <c r="AZ640" s="799"/>
      <c r="BA640" s="799"/>
      <c r="BB640" s="799"/>
      <c r="BC640" s="799"/>
      <c r="BD640" s="799"/>
      <c r="BE640" s="799"/>
      <c r="BF640" s="799"/>
      <c r="BG640" s="799"/>
    </row>
    <row r="641">
      <c r="H641" s="799"/>
      <c r="I641" s="799"/>
      <c r="J641" s="799"/>
      <c r="K641" s="799"/>
      <c r="L641" s="799"/>
      <c r="M641" s="799"/>
      <c r="N641" s="799"/>
      <c r="O641" s="799"/>
      <c r="P641" s="799"/>
      <c r="Q641" s="799"/>
      <c r="R641" s="799"/>
      <c r="S641" s="799"/>
      <c r="T641" s="799"/>
      <c r="U641" s="799"/>
      <c r="V641" s="799"/>
      <c r="W641" s="799"/>
      <c r="X641" s="799"/>
      <c r="Y641" s="799"/>
      <c r="Z641" s="799"/>
      <c r="AA641" s="799"/>
      <c r="AB641" s="799"/>
      <c r="AC641" s="799"/>
      <c r="AD641" s="799"/>
      <c r="AE641" s="799"/>
      <c r="AF641" s="799"/>
      <c r="AG641" s="799"/>
      <c r="AH641" s="799"/>
      <c r="AI641" s="799"/>
      <c r="AJ641" s="799"/>
      <c r="AK641" s="799"/>
      <c r="AL641" s="799"/>
      <c r="AM641" s="799"/>
      <c r="AN641" s="799"/>
      <c r="AO641" s="799"/>
      <c r="AP641" s="799"/>
      <c r="AQ641" s="799"/>
      <c r="AR641" s="799"/>
      <c r="AS641" s="799"/>
      <c r="AT641" s="799"/>
      <c r="AU641" s="799"/>
      <c r="AV641" s="799"/>
      <c r="AW641" s="799"/>
      <c r="AX641" s="799"/>
      <c r="AY641" s="799"/>
      <c r="AZ641" s="799"/>
      <c r="BA641" s="799"/>
      <c r="BB641" s="799"/>
      <c r="BC641" s="799"/>
      <c r="BD641" s="799"/>
      <c r="BE641" s="799"/>
      <c r="BF641" s="799"/>
      <c r="BG641" s="799"/>
    </row>
    <row r="642">
      <c r="H642" s="799"/>
      <c r="I642" s="799"/>
      <c r="J642" s="799"/>
      <c r="K642" s="799"/>
      <c r="L642" s="799"/>
      <c r="M642" s="799"/>
      <c r="N642" s="799"/>
      <c r="O642" s="799"/>
      <c r="P642" s="799"/>
      <c r="Q642" s="799"/>
      <c r="R642" s="799"/>
      <c r="S642" s="799"/>
      <c r="T642" s="799"/>
      <c r="U642" s="799"/>
      <c r="V642" s="799"/>
      <c r="W642" s="799"/>
      <c r="X642" s="799"/>
      <c r="Y642" s="799"/>
      <c r="Z642" s="799"/>
      <c r="AA642" s="799"/>
      <c r="AB642" s="799"/>
      <c r="AC642" s="799"/>
      <c r="AD642" s="799"/>
      <c r="AE642" s="799"/>
      <c r="AF642" s="799"/>
      <c r="AG642" s="799"/>
      <c r="AH642" s="799"/>
      <c r="AI642" s="799"/>
      <c r="AJ642" s="799"/>
      <c r="AK642" s="799"/>
      <c r="AL642" s="799"/>
      <c r="AM642" s="799"/>
      <c r="AN642" s="799"/>
      <c r="AO642" s="799"/>
      <c r="AP642" s="799"/>
      <c r="AQ642" s="799"/>
      <c r="AR642" s="799"/>
      <c r="AS642" s="799"/>
      <c r="AT642" s="799"/>
      <c r="AU642" s="799"/>
      <c r="AV642" s="799"/>
      <c r="AW642" s="799"/>
      <c r="AX642" s="799"/>
      <c r="AY642" s="799"/>
      <c r="AZ642" s="799"/>
      <c r="BA642" s="799"/>
      <c r="BB642" s="799"/>
      <c r="BC642" s="799"/>
      <c r="BD642" s="799"/>
      <c r="BE642" s="799"/>
      <c r="BF642" s="799"/>
      <c r="BG642" s="799"/>
    </row>
    <row r="643">
      <c r="H643" s="799"/>
      <c r="I643" s="799"/>
      <c r="J643" s="799"/>
      <c r="K643" s="799"/>
      <c r="L643" s="799"/>
      <c r="M643" s="799"/>
      <c r="N643" s="799"/>
      <c r="O643" s="799"/>
      <c r="P643" s="799"/>
      <c r="Q643" s="799"/>
      <c r="R643" s="799"/>
      <c r="S643" s="799"/>
      <c r="T643" s="799"/>
      <c r="U643" s="799"/>
      <c r="V643" s="799"/>
      <c r="W643" s="799"/>
      <c r="X643" s="799"/>
      <c r="Y643" s="799"/>
      <c r="Z643" s="799"/>
      <c r="AA643" s="799"/>
      <c r="AB643" s="799"/>
      <c r="AC643" s="799"/>
      <c r="AD643" s="799"/>
      <c r="AE643" s="799"/>
      <c r="AF643" s="799"/>
      <c r="AG643" s="799"/>
      <c r="AH643" s="799"/>
      <c r="AI643" s="799"/>
      <c r="AJ643" s="799"/>
      <c r="AK643" s="799"/>
      <c r="AL643" s="799"/>
      <c r="AM643" s="799"/>
      <c r="AN643" s="799"/>
      <c r="AO643" s="799"/>
      <c r="AP643" s="799"/>
      <c r="AQ643" s="799"/>
      <c r="AR643" s="799"/>
      <c r="AS643" s="799"/>
      <c r="AT643" s="799"/>
      <c r="AU643" s="799"/>
      <c r="AV643" s="799"/>
      <c r="AW643" s="799"/>
      <c r="AX643" s="799"/>
      <c r="AY643" s="799"/>
      <c r="AZ643" s="799"/>
      <c r="BA643" s="799"/>
      <c r="BB643" s="799"/>
      <c r="BC643" s="799"/>
      <c r="BD643" s="799"/>
      <c r="BE643" s="799"/>
      <c r="BF643" s="799"/>
      <c r="BG643" s="799"/>
    </row>
    <row r="644">
      <c r="H644" s="799"/>
      <c r="I644" s="799"/>
      <c r="J644" s="799"/>
      <c r="K644" s="799"/>
      <c r="L644" s="799"/>
      <c r="M644" s="799"/>
      <c r="N644" s="799"/>
      <c r="O644" s="799"/>
      <c r="P644" s="799"/>
      <c r="Q644" s="799"/>
      <c r="R644" s="799"/>
      <c r="S644" s="799"/>
      <c r="T644" s="799"/>
      <c r="U644" s="799"/>
      <c r="V644" s="799"/>
      <c r="W644" s="799"/>
      <c r="X644" s="799"/>
      <c r="Y644" s="799"/>
      <c r="Z644" s="799"/>
      <c r="AA644" s="799"/>
      <c r="AB644" s="799"/>
      <c r="AC644" s="799"/>
      <c r="AD644" s="799"/>
      <c r="AE644" s="799"/>
      <c r="AF644" s="799"/>
      <c r="AG644" s="799"/>
      <c r="AH644" s="799"/>
      <c r="AI644" s="799"/>
      <c r="AJ644" s="799"/>
      <c r="AK644" s="799"/>
      <c r="AL644" s="799"/>
      <c r="AM644" s="799"/>
      <c r="AN644" s="799"/>
      <c r="AO644" s="799"/>
      <c r="AP644" s="799"/>
      <c r="AQ644" s="799"/>
      <c r="AR644" s="799"/>
      <c r="AS644" s="799"/>
      <c r="AT644" s="799"/>
      <c r="AU644" s="799"/>
      <c r="AV644" s="799"/>
      <c r="AW644" s="799"/>
      <c r="AX644" s="799"/>
      <c r="AY644" s="799"/>
      <c r="AZ644" s="799"/>
      <c r="BA644" s="799"/>
      <c r="BB644" s="799"/>
      <c r="BC644" s="799"/>
      <c r="BD644" s="799"/>
      <c r="BE644" s="799"/>
      <c r="BF644" s="799"/>
      <c r="BG644" s="799"/>
    </row>
    <row r="645">
      <c r="H645" s="799"/>
      <c r="I645" s="799"/>
      <c r="J645" s="799"/>
      <c r="K645" s="799"/>
      <c r="L645" s="799"/>
      <c r="M645" s="799"/>
      <c r="N645" s="799"/>
      <c r="O645" s="799"/>
      <c r="P645" s="799"/>
      <c r="Q645" s="799"/>
      <c r="R645" s="799"/>
      <c r="S645" s="799"/>
      <c r="T645" s="799"/>
      <c r="U645" s="799"/>
      <c r="V645" s="799"/>
      <c r="W645" s="799"/>
      <c r="X645" s="799"/>
      <c r="Y645" s="799"/>
      <c r="Z645" s="799"/>
      <c r="AA645" s="799"/>
      <c r="AB645" s="799"/>
      <c r="AC645" s="799"/>
      <c r="AD645" s="799"/>
      <c r="AE645" s="799"/>
      <c r="AF645" s="799"/>
      <c r="AG645" s="799"/>
      <c r="AH645" s="799"/>
      <c r="AI645" s="799"/>
      <c r="AJ645" s="799"/>
      <c r="AK645" s="799"/>
      <c r="AL645" s="799"/>
      <c r="AM645" s="799"/>
      <c r="AN645" s="799"/>
      <c r="AO645" s="799"/>
      <c r="AP645" s="799"/>
      <c r="AQ645" s="799"/>
      <c r="AR645" s="799"/>
      <c r="AS645" s="799"/>
      <c r="AT645" s="799"/>
      <c r="AU645" s="799"/>
      <c r="AV645" s="799"/>
      <c r="AW645" s="799"/>
      <c r="AX645" s="799"/>
      <c r="AY645" s="799"/>
      <c r="AZ645" s="799"/>
      <c r="BA645" s="799"/>
      <c r="BB645" s="799"/>
      <c r="BC645" s="799"/>
      <c r="BD645" s="799"/>
      <c r="BE645" s="799"/>
      <c r="BF645" s="799"/>
      <c r="BG645" s="799"/>
    </row>
    <row r="646">
      <c r="H646" s="799"/>
      <c r="I646" s="799"/>
      <c r="J646" s="799"/>
      <c r="K646" s="799"/>
      <c r="L646" s="799"/>
      <c r="M646" s="799"/>
      <c r="N646" s="799"/>
      <c r="O646" s="799"/>
      <c r="P646" s="799"/>
      <c r="Q646" s="799"/>
      <c r="R646" s="799"/>
      <c r="S646" s="799"/>
      <c r="T646" s="799"/>
      <c r="U646" s="799"/>
      <c r="V646" s="799"/>
      <c r="W646" s="799"/>
      <c r="X646" s="799"/>
      <c r="Y646" s="799"/>
      <c r="Z646" s="799"/>
      <c r="AA646" s="799"/>
      <c r="AB646" s="799"/>
      <c r="AC646" s="799"/>
      <c r="AD646" s="799"/>
      <c r="AE646" s="799"/>
      <c r="AF646" s="799"/>
      <c r="AG646" s="799"/>
      <c r="AH646" s="799"/>
      <c r="AI646" s="799"/>
      <c r="AJ646" s="799"/>
      <c r="AK646" s="799"/>
      <c r="AL646" s="799"/>
      <c r="AM646" s="799"/>
      <c r="AN646" s="799"/>
      <c r="AO646" s="799"/>
      <c r="AP646" s="799"/>
      <c r="AQ646" s="799"/>
      <c r="AR646" s="799"/>
      <c r="AS646" s="799"/>
      <c r="AT646" s="799"/>
      <c r="AU646" s="799"/>
      <c r="AV646" s="799"/>
      <c r="AW646" s="799"/>
      <c r="AX646" s="799"/>
      <c r="AY646" s="799"/>
      <c r="AZ646" s="799"/>
      <c r="BA646" s="799"/>
      <c r="BB646" s="799"/>
      <c r="BC646" s="799"/>
      <c r="BD646" s="799"/>
      <c r="BE646" s="799"/>
      <c r="BF646" s="799"/>
      <c r="BG646" s="799"/>
    </row>
    <row r="647">
      <c r="H647" s="799"/>
      <c r="I647" s="799"/>
      <c r="J647" s="799"/>
      <c r="K647" s="799"/>
      <c r="L647" s="799"/>
      <c r="M647" s="799"/>
      <c r="N647" s="799"/>
      <c r="O647" s="799"/>
      <c r="P647" s="799"/>
      <c r="Q647" s="799"/>
      <c r="R647" s="799"/>
      <c r="S647" s="799"/>
      <c r="T647" s="799"/>
      <c r="U647" s="799"/>
      <c r="V647" s="799"/>
      <c r="W647" s="799"/>
      <c r="X647" s="799"/>
      <c r="Y647" s="799"/>
      <c r="Z647" s="799"/>
      <c r="AA647" s="799"/>
      <c r="AB647" s="799"/>
      <c r="AC647" s="799"/>
      <c r="AD647" s="799"/>
      <c r="AE647" s="799"/>
      <c r="AF647" s="799"/>
      <c r="AG647" s="799"/>
      <c r="AH647" s="799"/>
      <c r="AI647" s="799"/>
      <c r="AJ647" s="799"/>
      <c r="AK647" s="799"/>
      <c r="AL647" s="799"/>
      <c r="AM647" s="799"/>
      <c r="AN647" s="799"/>
      <c r="AO647" s="799"/>
      <c r="AP647" s="799"/>
      <c r="AQ647" s="799"/>
      <c r="AR647" s="799"/>
      <c r="AS647" s="799"/>
      <c r="AT647" s="799"/>
      <c r="AU647" s="799"/>
      <c r="AV647" s="799"/>
      <c r="AW647" s="799"/>
      <c r="AX647" s="799"/>
      <c r="AY647" s="799"/>
      <c r="AZ647" s="799"/>
      <c r="BA647" s="799"/>
      <c r="BB647" s="799"/>
      <c r="BC647" s="799"/>
      <c r="BD647" s="799"/>
      <c r="BE647" s="799"/>
      <c r="BF647" s="799"/>
      <c r="BG647" s="799"/>
    </row>
    <row r="648">
      <c r="H648" s="799"/>
      <c r="I648" s="799"/>
      <c r="J648" s="799"/>
      <c r="K648" s="799"/>
      <c r="L648" s="799"/>
      <c r="M648" s="799"/>
      <c r="N648" s="799"/>
      <c r="O648" s="799"/>
      <c r="P648" s="799"/>
      <c r="Q648" s="799"/>
      <c r="R648" s="799"/>
      <c r="S648" s="799"/>
      <c r="T648" s="799"/>
      <c r="U648" s="799"/>
      <c r="V648" s="799"/>
      <c r="W648" s="799"/>
      <c r="X648" s="799"/>
      <c r="Y648" s="799"/>
      <c r="Z648" s="799"/>
      <c r="AA648" s="799"/>
      <c r="AB648" s="799"/>
      <c r="AC648" s="799"/>
      <c r="AD648" s="799"/>
      <c r="AE648" s="799"/>
      <c r="AF648" s="799"/>
      <c r="AG648" s="799"/>
      <c r="AH648" s="799"/>
      <c r="AI648" s="799"/>
      <c r="AJ648" s="799"/>
      <c r="AK648" s="799"/>
      <c r="AL648" s="799"/>
      <c r="AM648" s="799"/>
      <c r="AN648" s="799"/>
      <c r="AO648" s="799"/>
      <c r="AP648" s="799"/>
      <c r="AQ648" s="799"/>
      <c r="AR648" s="799"/>
      <c r="AS648" s="799"/>
      <c r="AT648" s="799"/>
      <c r="AU648" s="799"/>
      <c r="AV648" s="799"/>
      <c r="AW648" s="799"/>
      <c r="AX648" s="799"/>
      <c r="AY648" s="799"/>
      <c r="AZ648" s="799"/>
      <c r="BA648" s="799"/>
      <c r="BB648" s="799"/>
      <c r="BC648" s="799"/>
      <c r="BD648" s="799"/>
      <c r="BE648" s="799"/>
      <c r="BF648" s="799"/>
      <c r="BG648" s="799"/>
    </row>
    <row r="649">
      <c r="H649" s="799"/>
      <c r="I649" s="799"/>
      <c r="J649" s="799"/>
      <c r="K649" s="799"/>
      <c r="L649" s="799"/>
      <c r="M649" s="799"/>
      <c r="N649" s="799"/>
      <c r="O649" s="799"/>
      <c r="P649" s="799"/>
      <c r="Q649" s="799"/>
      <c r="R649" s="799"/>
      <c r="S649" s="799"/>
      <c r="T649" s="799"/>
      <c r="U649" s="799"/>
      <c r="V649" s="799"/>
      <c r="W649" s="799"/>
      <c r="X649" s="799"/>
      <c r="Y649" s="799"/>
      <c r="Z649" s="799"/>
      <c r="AA649" s="799"/>
      <c r="AB649" s="799"/>
      <c r="AC649" s="799"/>
      <c r="AD649" s="799"/>
      <c r="AE649" s="799"/>
      <c r="AF649" s="799"/>
      <c r="AG649" s="799"/>
      <c r="AH649" s="799"/>
      <c r="AI649" s="799"/>
      <c r="AJ649" s="799"/>
      <c r="AK649" s="799"/>
      <c r="AL649" s="799"/>
      <c r="AM649" s="799"/>
      <c r="AN649" s="799"/>
      <c r="AO649" s="799"/>
      <c r="AP649" s="799"/>
      <c r="AQ649" s="799"/>
      <c r="AR649" s="799"/>
      <c r="AS649" s="799"/>
      <c r="AT649" s="799"/>
      <c r="AU649" s="799"/>
      <c r="AV649" s="799"/>
      <c r="AW649" s="799"/>
      <c r="AX649" s="799"/>
      <c r="AY649" s="799"/>
      <c r="AZ649" s="799"/>
      <c r="BA649" s="799"/>
      <c r="BB649" s="799"/>
      <c r="BC649" s="799"/>
      <c r="BD649" s="799"/>
      <c r="BE649" s="799"/>
      <c r="BF649" s="799"/>
      <c r="BG649" s="799"/>
    </row>
    <row r="650">
      <c r="H650" s="799"/>
      <c r="I650" s="799"/>
      <c r="J650" s="799"/>
      <c r="K650" s="799"/>
      <c r="L650" s="799"/>
      <c r="M650" s="799"/>
      <c r="N650" s="799"/>
      <c r="O650" s="799"/>
      <c r="P650" s="799"/>
      <c r="Q650" s="799"/>
      <c r="R650" s="799"/>
      <c r="S650" s="799"/>
      <c r="T650" s="799"/>
      <c r="U650" s="799"/>
      <c r="V650" s="799"/>
      <c r="W650" s="799"/>
      <c r="X650" s="799"/>
      <c r="Y650" s="799"/>
      <c r="Z650" s="799"/>
      <c r="AA650" s="799"/>
      <c r="AB650" s="799"/>
      <c r="AC650" s="799"/>
      <c r="AD650" s="799"/>
      <c r="AE650" s="799"/>
      <c r="AF650" s="799"/>
      <c r="AG650" s="799"/>
      <c r="AH650" s="799"/>
      <c r="AI650" s="799"/>
      <c r="AJ650" s="799"/>
      <c r="AK650" s="799"/>
      <c r="AL650" s="799"/>
      <c r="AM650" s="799"/>
      <c r="AN650" s="799"/>
      <c r="AO650" s="799"/>
      <c r="AP650" s="799"/>
      <c r="AQ650" s="799"/>
      <c r="AR650" s="799"/>
      <c r="AS650" s="799"/>
      <c r="AT650" s="799"/>
      <c r="AU650" s="799"/>
      <c r="AV650" s="799"/>
      <c r="AW650" s="799"/>
      <c r="AX650" s="799"/>
      <c r="AY650" s="799"/>
      <c r="AZ650" s="799"/>
      <c r="BA650" s="799"/>
      <c r="BB650" s="799"/>
      <c r="BC650" s="799"/>
      <c r="BD650" s="799"/>
      <c r="BE650" s="799"/>
      <c r="BF650" s="799"/>
      <c r="BG650" s="799"/>
    </row>
    <row r="651">
      <c r="H651" s="799"/>
      <c r="I651" s="799"/>
      <c r="J651" s="799"/>
      <c r="K651" s="799"/>
      <c r="L651" s="799"/>
      <c r="M651" s="799"/>
      <c r="N651" s="799"/>
      <c r="O651" s="799"/>
      <c r="P651" s="799"/>
      <c r="Q651" s="799"/>
      <c r="R651" s="799"/>
      <c r="S651" s="799"/>
      <c r="T651" s="799"/>
      <c r="U651" s="799"/>
      <c r="V651" s="799"/>
      <c r="W651" s="799"/>
      <c r="X651" s="799"/>
      <c r="Y651" s="799"/>
      <c r="Z651" s="799"/>
      <c r="AA651" s="799"/>
      <c r="AB651" s="799"/>
      <c r="AC651" s="799"/>
      <c r="AD651" s="799"/>
      <c r="AE651" s="799"/>
      <c r="AF651" s="799"/>
      <c r="AG651" s="799"/>
      <c r="AH651" s="799"/>
      <c r="AI651" s="799"/>
      <c r="AJ651" s="799"/>
      <c r="AK651" s="799"/>
      <c r="AL651" s="799"/>
      <c r="AM651" s="799"/>
      <c r="AN651" s="799"/>
      <c r="AO651" s="799"/>
      <c r="AP651" s="799"/>
      <c r="AQ651" s="799"/>
      <c r="AR651" s="799"/>
      <c r="AS651" s="799"/>
      <c r="AT651" s="799"/>
      <c r="AU651" s="799"/>
      <c r="AV651" s="799"/>
      <c r="AW651" s="799"/>
      <c r="AX651" s="799"/>
      <c r="AY651" s="799"/>
      <c r="AZ651" s="799"/>
      <c r="BA651" s="799"/>
      <c r="BB651" s="799"/>
      <c r="BC651" s="799"/>
      <c r="BD651" s="799"/>
      <c r="BE651" s="799"/>
      <c r="BF651" s="799"/>
      <c r="BG651" s="799"/>
    </row>
    <row r="652">
      <c r="H652" s="799"/>
      <c r="I652" s="799"/>
      <c r="J652" s="799"/>
      <c r="K652" s="799"/>
      <c r="L652" s="799"/>
      <c r="M652" s="799"/>
      <c r="N652" s="799"/>
      <c r="O652" s="799"/>
      <c r="P652" s="799"/>
      <c r="Q652" s="799"/>
      <c r="R652" s="799"/>
      <c r="S652" s="799"/>
      <c r="T652" s="799"/>
      <c r="U652" s="799"/>
      <c r="V652" s="799"/>
      <c r="W652" s="799"/>
      <c r="X652" s="799"/>
      <c r="Y652" s="799"/>
      <c r="Z652" s="799"/>
      <c r="AA652" s="799"/>
      <c r="AB652" s="799"/>
      <c r="AC652" s="799"/>
      <c r="AD652" s="799"/>
      <c r="AE652" s="799"/>
      <c r="AF652" s="799"/>
      <c r="AG652" s="799"/>
      <c r="AH652" s="799"/>
      <c r="AI652" s="799"/>
      <c r="AJ652" s="799"/>
      <c r="AK652" s="799"/>
      <c r="AL652" s="799"/>
      <c r="AM652" s="799"/>
      <c r="AN652" s="799"/>
      <c r="AO652" s="799"/>
      <c r="AP652" s="799"/>
      <c r="AQ652" s="799"/>
      <c r="AR652" s="799"/>
      <c r="AS652" s="799"/>
      <c r="AT652" s="799"/>
      <c r="AU652" s="799"/>
      <c r="AV652" s="799"/>
      <c r="AW652" s="799"/>
      <c r="AX652" s="799"/>
      <c r="AY652" s="799"/>
      <c r="AZ652" s="799"/>
      <c r="BA652" s="799"/>
      <c r="BB652" s="799"/>
      <c r="BC652" s="799"/>
      <c r="BD652" s="799"/>
      <c r="BE652" s="799"/>
      <c r="BF652" s="799"/>
      <c r="BG652" s="799"/>
    </row>
    <row r="653">
      <c r="H653" s="799"/>
      <c r="I653" s="799"/>
      <c r="J653" s="799"/>
      <c r="K653" s="799"/>
      <c r="L653" s="799"/>
      <c r="M653" s="799"/>
      <c r="N653" s="799"/>
      <c r="O653" s="799"/>
      <c r="P653" s="799"/>
      <c r="Q653" s="799"/>
      <c r="R653" s="799"/>
      <c r="S653" s="799"/>
      <c r="T653" s="799"/>
      <c r="U653" s="799"/>
      <c r="V653" s="799"/>
      <c r="W653" s="799"/>
      <c r="X653" s="799"/>
      <c r="Y653" s="799"/>
      <c r="Z653" s="799"/>
      <c r="AA653" s="799"/>
      <c r="AB653" s="799"/>
      <c r="AC653" s="799"/>
      <c r="AD653" s="799"/>
      <c r="AE653" s="799"/>
      <c r="AF653" s="799"/>
      <c r="AG653" s="799"/>
      <c r="AH653" s="799"/>
      <c r="AI653" s="799"/>
      <c r="AJ653" s="799"/>
      <c r="AK653" s="799"/>
      <c r="AL653" s="799"/>
      <c r="AM653" s="799"/>
      <c r="AN653" s="799"/>
      <c r="AO653" s="799"/>
      <c r="AP653" s="799"/>
      <c r="AQ653" s="799"/>
      <c r="AR653" s="799"/>
      <c r="AS653" s="799"/>
      <c r="AT653" s="799"/>
      <c r="AU653" s="799"/>
      <c r="AV653" s="799"/>
      <c r="AW653" s="799"/>
      <c r="AX653" s="799"/>
      <c r="AY653" s="799"/>
      <c r="AZ653" s="799"/>
      <c r="BA653" s="799"/>
      <c r="BB653" s="799"/>
      <c r="BC653" s="799"/>
      <c r="BD653" s="799"/>
      <c r="BE653" s="799"/>
      <c r="BF653" s="799"/>
      <c r="BG653" s="799"/>
    </row>
    <row r="654">
      <c r="H654" s="799"/>
      <c r="I654" s="799"/>
      <c r="J654" s="799"/>
      <c r="K654" s="799"/>
      <c r="L654" s="799"/>
      <c r="M654" s="799"/>
      <c r="N654" s="799"/>
      <c r="O654" s="799"/>
      <c r="P654" s="799"/>
      <c r="Q654" s="799"/>
      <c r="R654" s="799"/>
      <c r="S654" s="799"/>
      <c r="T654" s="799"/>
      <c r="U654" s="799"/>
      <c r="V654" s="799"/>
      <c r="W654" s="799"/>
      <c r="X654" s="799"/>
      <c r="Y654" s="799"/>
      <c r="Z654" s="799"/>
      <c r="AA654" s="799"/>
      <c r="AB654" s="799"/>
      <c r="AC654" s="799"/>
      <c r="AD654" s="799"/>
      <c r="AE654" s="799"/>
      <c r="AF654" s="799"/>
      <c r="AG654" s="799"/>
      <c r="AH654" s="799"/>
      <c r="AI654" s="799"/>
      <c r="AJ654" s="799"/>
      <c r="AK654" s="799"/>
      <c r="AL654" s="799"/>
      <c r="AM654" s="799"/>
      <c r="AN654" s="799"/>
      <c r="AO654" s="799"/>
      <c r="AP654" s="799"/>
      <c r="AQ654" s="799"/>
      <c r="AR654" s="799"/>
      <c r="AS654" s="799"/>
      <c r="AT654" s="799"/>
      <c r="AU654" s="799"/>
      <c r="AV654" s="799"/>
      <c r="AW654" s="799"/>
      <c r="AX654" s="799"/>
      <c r="AY654" s="799"/>
      <c r="AZ654" s="799"/>
      <c r="BA654" s="799"/>
      <c r="BB654" s="799"/>
      <c r="BC654" s="799"/>
      <c r="BD654" s="799"/>
      <c r="BE654" s="799"/>
      <c r="BF654" s="799"/>
      <c r="BG654" s="799"/>
    </row>
    <row r="655">
      <c r="H655" s="799"/>
      <c r="I655" s="799"/>
      <c r="J655" s="799"/>
      <c r="K655" s="799"/>
      <c r="L655" s="799"/>
      <c r="M655" s="799"/>
      <c r="N655" s="799"/>
      <c r="O655" s="799"/>
      <c r="P655" s="799"/>
      <c r="Q655" s="799"/>
      <c r="R655" s="799"/>
      <c r="S655" s="799"/>
      <c r="T655" s="799"/>
      <c r="U655" s="799"/>
      <c r="V655" s="799"/>
      <c r="W655" s="799"/>
      <c r="X655" s="799"/>
      <c r="Y655" s="799"/>
      <c r="Z655" s="799"/>
      <c r="AA655" s="799"/>
      <c r="AB655" s="799"/>
      <c r="AC655" s="799"/>
      <c r="AD655" s="799"/>
      <c r="AE655" s="799"/>
      <c r="AF655" s="799"/>
      <c r="AG655" s="799"/>
      <c r="AH655" s="799"/>
      <c r="AI655" s="799"/>
      <c r="AJ655" s="799"/>
      <c r="AK655" s="799"/>
      <c r="AL655" s="799"/>
      <c r="AM655" s="799"/>
      <c r="AN655" s="799"/>
      <c r="AO655" s="799"/>
      <c r="AP655" s="799"/>
      <c r="AQ655" s="799"/>
      <c r="AR655" s="799"/>
      <c r="AS655" s="799"/>
      <c r="AT655" s="799"/>
      <c r="AU655" s="799"/>
      <c r="AV655" s="799"/>
      <c r="AW655" s="799"/>
      <c r="AX655" s="799"/>
      <c r="AY655" s="799"/>
      <c r="AZ655" s="799"/>
      <c r="BA655" s="799"/>
      <c r="BB655" s="799"/>
      <c r="BC655" s="799"/>
      <c r="BD655" s="799"/>
      <c r="BE655" s="799"/>
      <c r="BF655" s="799"/>
      <c r="BG655" s="799"/>
    </row>
    <row r="656">
      <c r="H656" s="799"/>
      <c r="I656" s="799"/>
      <c r="J656" s="799"/>
      <c r="K656" s="799"/>
      <c r="L656" s="799"/>
      <c r="M656" s="799"/>
      <c r="N656" s="799"/>
      <c r="O656" s="799"/>
      <c r="P656" s="799"/>
      <c r="Q656" s="799"/>
      <c r="R656" s="799"/>
      <c r="S656" s="799"/>
      <c r="T656" s="799"/>
      <c r="U656" s="799"/>
      <c r="V656" s="799"/>
      <c r="W656" s="799"/>
      <c r="X656" s="799"/>
      <c r="Y656" s="799"/>
      <c r="Z656" s="799"/>
      <c r="AA656" s="799"/>
      <c r="AB656" s="799"/>
      <c r="AC656" s="799"/>
      <c r="AD656" s="799"/>
      <c r="AE656" s="799"/>
      <c r="AF656" s="799"/>
      <c r="AG656" s="799"/>
      <c r="AH656" s="799"/>
      <c r="AI656" s="799"/>
      <c r="AJ656" s="799"/>
      <c r="AK656" s="799"/>
      <c r="AL656" s="799"/>
      <c r="AM656" s="799"/>
      <c r="AN656" s="799"/>
      <c r="AO656" s="799"/>
      <c r="AP656" s="799"/>
      <c r="AQ656" s="799"/>
      <c r="AR656" s="799"/>
      <c r="AS656" s="799"/>
      <c r="AT656" s="799"/>
      <c r="AU656" s="799"/>
      <c r="AV656" s="799"/>
      <c r="AW656" s="799"/>
      <c r="AX656" s="799"/>
      <c r="AY656" s="799"/>
      <c r="AZ656" s="799"/>
      <c r="BA656" s="799"/>
      <c r="BB656" s="799"/>
      <c r="BC656" s="799"/>
      <c r="BD656" s="799"/>
      <c r="BE656" s="799"/>
      <c r="BF656" s="799"/>
      <c r="BG656" s="799"/>
    </row>
    <row r="657">
      <c r="H657" s="799"/>
      <c r="I657" s="799"/>
      <c r="J657" s="799"/>
      <c r="K657" s="799"/>
      <c r="L657" s="799"/>
      <c r="M657" s="799"/>
      <c r="N657" s="799"/>
      <c r="O657" s="799"/>
      <c r="P657" s="799"/>
      <c r="Q657" s="799"/>
      <c r="R657" s="799"/>
      <c r="S657" s="799"/>
      <c r="T657" s="799"/>
      <c r="U657" s="799"/>
      <c r="V657" s="799"/>
      <c r="W657" s="799"/>
      <c r="X657" s="799"/>
      <c r="Y657" s="799"/>
      <c r="Z657" s="799"/>
      <c r="AA657" s="799"/>
      <c r="AB657" s="799"/>
      <c r="AC657" s="799"/>
      <c r="AD657" s="799"/>
      <c r="AE657" s="799"/>
      <c r="AF657" s="799"/>
      <c r="AG657" s="799"/>
      <c r="AH657" s="799"/>
      <c r="AI657" s="799"/>
      <c r="AJ657" s="799"/>
      <c r="AK657" s="799"/>
      <c r="AL657" s="799"/>
      <c r="AM657" s="799"/>
      <c r="AN657" s="799"/>
      <c r="AO657" s="799"/>
      <c r="AP657" s="799"/>
      <c r="AQ657" s="799"/>
      <c r="AR657" s="799"/>
      <c r="AS657" s="799"/>
      <c r="AT657" s="799"/>
      <c r="AU657" s="799"/>
      <c r="AV657" s="799"/>
      <c r="AW657" s="799"/>
      <c r="AX657" s="799"/>
      <c r="AY657" s="799"/>
      <c r="AZ657" s="799"/>
      <c r="BA657" s="799"/>
      <c r="BB657" s="799"/>
      <c r="BC657" s="799"/>
      <c r="BD657" s="799"/>
      <c r="BE657" s="799"/>
      <c r="BF657" s="799"/>
      <c r="BG657" s="799"/>
    </row>
    <row r="658">
      <c r="H658" s="799"/>
      <c r="I658" s="799"/>
      <c r="J658" s="799"/>
      <c r="K658" s="799"/>
      <c r="L658" s="799"/>
      <c r="M658" s="799"/>
      <c r="N658" s="799"/>
      <c r="O658" s="799"/>
      <c r="P658" s="799"/>
      <c r="Q658" s="799"/>
      <c r="R658" s="799"/>
      <c r="S658" s="799"/>
      <c r="T658" s="799"/>
      <c r="U658" s="799"/>
      <c r="V658" s="799"/>
      <c r="W658" s="799"/>
      <c r="X658" s="799"/>
      <c r="Y658" s="799"/>
      <c r="Z658" s="799"/>
      <c r="AA658" s="799"/>
      <c r="AB658" s="799"/>
      <c r="AC658" s="799"/>
      <c r="AD658" s="799"/>
      <c r="AE658" s="799"/>
      <c r="AF658" s="799"/>
      <c r="AG658" s="799"/>
      <c r="AH658" s="799"/>
      <c r="AI658" s="799"/>
      <c r="AJ658" s="799"/>
      <c r="AK658" s="799"/>
      <c r="AL658" s="799"/>
      <c r="AM658" s="799"/>
      <c r="AN658" s="799"/>
      <c r="AO658" s="799"/>
      <c r="AP658" s="799"/>
      <c r="AQ658" s="799"/>
      <c r="AR658" s="799"/>
      <c r="AS658" s="799"/>
      <c r="AT658" s="799"/>
      <c r="AU658" s="799"/>
      <c r="AV658" s="799"/>
      <c r="AW658" s="799"/>
      <c r="AX658" s="799"/>
      <c r="AY658" s="799"/>
      <c r="AZ658" s="799"/>
      <c r="BA658" s="799"/>
      <c r="BB658" s="799"/>
      <c r="BC658" s="799"/>
      <c r="BD658" s="799"/>
      <c r="BE658" s="799"/>
      <c r="BF658" s="799"/>
      <c r="BG658" s="799"/>
    </row>
    <row r="659">
      <c r="H659" s="799"/>
      <c r="I659" s="799"/>
      <c r="J659" s="799"/>
      <c r="K659" s="799"/>
      <c r="L659" s="799"/>
      <c r="M659" s="799"/>
      <c r="N659" s="799"/>
      <c r="O659" s="799"/>
      <c r="P659" s="799"/>
      <c r="Q659" s="799"/>
      <c r="R659" s="799"/>
      <c r="S659" s="799"/>
      <c r="T659" s="799"/>
      <c r="U659" s="799"/>
      <c r="V659" s="799"/>
      <c r="W659" s="799"/>
      <c r="X659" s="799"/>
      <c r="Y659" s="799"/>
      <c r="Z659" s="799"/>
      <c r="AA659" s="799"/>
      <c r="AB659" s="799"/>
      <c r="AC659" s="799"/>
      <c r="AD659" s="799"/>
      <c r="AE659" s="799"/>
      <c r="AF659" s="799"/>
      <c r="AG659" s="799"/>
      <c r="AH659" s="799"/>
      <c r="AI659" s="799"/>
      <c r="AJ659" s="799"/>
      <c r="AK659" s="799"/>
      <c r="AL659" s="799"/>
      <c r="AM659" s="799"/>
      <c r="AN659" s="799"/>
      <c r="AO659" s="799"/>
      <c r="AP659" s="799"/>
      <c r="AQ659" s="799"/>
      <c r="AR659" s="799"/>
      <c r="AS659" s="799"/>
      <c r="AT659" s="799"/>
      <c r="AU659" s="799"/>
      <c r="AV659" s="799"/>
      <c r="AW659" s="799"/>
      <c r="AX659" s="799"/>
      <c r="AY659" s="799"/>
      <c r="AZ659" s="799"/>
      <c r="BA659" s="799"/>
      <c r="BB659" s="799"/>
      <c r="BC659" s="799"/>
      <c r="BD659" s="799"/>
      <c r="BE659" s="799"/>
      <c r="BF659" s="799"/>
      <c r="BG659" s="799"/>
    </row>
    <row r="660">
      <c r="H660" s="799"/>
      <c r="I660" s="799"/>
      <c r="J660" s="799"/>
      <c r="K660" s="799"/>
      <c r="L660" s="799"/>
      <c r="M660" s="799"/>
      <c r="N660" s="799"/>
      <c r="O660" s="799"/>
      <c r="P660" s="799"/>
      <c r="Q660" s="799"/>
      <c r="R660" s="799"/>
      <c r="S660" s="799"/>
      <c r="T660" s="799"/>
      <c r="U660" s="799"/>
      <c r="V660" s="799"/>
      <c r="W660" s="799"/>
      <c r="X660" s="799"/>
      <c r="Y660" s="799"/>
      <c r="Z660" s="799"/>
      <c r="AA660" s="799"/>
      <c r="AB660" s="799"/>
      <c r="AC660" s="799"/>
      <c r="AD660" s="799"/>
      <c r="AE660" s="799"/>
      <c r="AF660" s="799"/>
      <c r="AG660" s="799"/>
      <c r="AH660" s="799"/>
      <c r="AI660" s="799"/>
      <c r="AJ660" s="799"/>
      <c r="AK660" s="799"/>
      <c r="AL660" s="799"/>
      <c r="AM660" s="799"/>
      <c r="AN660" s="799"/>
      <c r="AO660" s="799"/>
      <c r="AP660" s="799"/>
      <c r="AQ660" s="799"/>
      <c r="AR660" s="799"/>
      <c r="AS660" s="799"/>
      <c r="AT660" s="799"/>
      <c r="AU660" s="799"/>
      <c r="AV660" s="799"/>
      <c r="AW660" s="799"/>
      <c r="AX660" s="799"/>
      <c r="AY660" s="799"/>
      <c r="AZ660" s="799"/>
      <c r="BA660" s="799"/>
      <c r="BB660" s="799"/>
      <c r="BC660" s="799"/>
      <c r="BD660" s="799"/>
      <c r="BE660" s="799"/>
      <c r="BF660" s="799"/>
      <c r="BG660" s="799"/>
    </row>
    <row r="661">
      <c r="H661" s="799"/>
      <c r="I661" s="799"/>
      <c r="J661" s="799"/>
      <c r="K661" s="799"/>
      <c r="L661" s="799"/>
      <c r="M661" s="799"/>
      <c r="N661" s="799"/>
      <c r="O661" s="799"/>
      <c r="P661" s="799"/>
      <c r="Q661" s="799"/>
      <c r="R661" s="799"/>
      <c r="S661" s="799"/>
      <c r="T661" s="799"/>
      <c r="U661" s="799"/>
      <c r="V661" s="799"/>
      <c r="W661" s="799"/>
      <c r="X661" s="799"/>
      <c r="Y661" s="799"/>
      <c r="Z661" s="799"/>
      <c r="AA661" s="799"/>
      <c r="AB661" s="799"/>
      <c r="AC661" s="799"/>
      <c r="AD661" s="799"/>
      <c r="AE661" s="799"/>
      <c r="AF661" s="799"/>
      <c r="AG661" s="799"/>
      <c r="AH661" s="799"/>
      <c r="AI661" s="799"/>
      <c r="AJ661" s="799"/>
      <c r="AK661" s="799"/>
      <c r="AL661" s="799"/>
      <c r="AM661" s="799"/>
      <c r="AN661" s="799"/>
      <c r="AO661" s="799"/>
      <c r="AP661" s="799"/>
      <c r="AQ661" s="799"/>
      <c r="AR661" s="799"/>
      <c r="AS661" s="799"/>
      <c r="AT661" s="799"/>
      <c r="AU661" s="799"/>
      <c r="AV661" s="799"/>
      <c r="AW661" s="799"/>
      <c r="AX661" s="799"/>
      <c r="AY661" s="799"/>
      <c r="AZ661" s="799"/>
      <c r="BA661" s="799"/>
      <c r="BB661" s="799"/>
      <c r="BC661" s="799"/>
      <c r="BD661" s="799"/>
      <c r="BE661" s="799"/>
      <c r="BF661" s="799"/>
      <c r="BG661" s="799"/>
    </row>
    <row r="662">
      <c r="H662" s="799"/>
      <c r="I662" s="799"/>
      <c r="J662" s="799"/>
      <c r="K662" s="799"/>
      <c r="L662" s="799"/>
      <c r="M662" s="799"/>
      <c r="N662" s="799"/>
      <c r="O662" s="799"/>
      <c r="P662" s="799"/>
      <c r="Q662" s="799"/>
      <c r="R662" s="799"/>
      <c r="S662" s="799"/>
      <c r="T662" s="799"/>
      <c r="U662" s="799"/>
      <c r="V662" s="799"/>
      <c r="W662" s="799"/>
      <c r="X662" s="799"/>
      <c r="Y662" s="799"/>
      <c r="Z662" s="799"/>
      <c r="AA662" s="799"/>
      <c r="AB662" s="799"/>
      <c r="AC662" s="799"/>
      <c r="AD662" s="799"/>
      <c r="AE662" s="799"/>
      <c r="AF662" s="799"/>
      <c r="AG662" s="799"/>
      <c r="AH662" s="799"/>
      <c r="AI662" s="799"/>
      <c r="AJ662" s="799"/>
      <c r="AK662" s="799"/>
      <c r="AL662" s="799"/>
      <c r="AM662" s="799"/>
      <c r="AN662" s="799"/>
      <c r="AO662" s="799"/>
      <c r="AP662" s="799"/>
      <c r="AQ662" s="799"/>
      <c r="AR662" s="799"/>
      <c r="AS662" s="799"/>
      <c r="AT662" s="799"/>
      <c r="AU662" s="799"/>
      <c r="AV662" s="799"/>
      <c r="AW662" s="799"/>
      <c r="AX662" s="799"/>
      <c r="AY662" s="799"/>
      <c r="AZ662" s="799"/>
      <c r="BA662" s="799"/>
      <c r="BB662" s="799"/>
      <c r="BC662" s="799"/>
      <c r="BD662" s="799"/>
      <c r="BE662" s="799"/>
      <c r="BF662" s="799"/>
      <c r="BG662" s="799"/>
    </row>
    <row r="663">
      <c r="H663" s="799"/>
      <c r="I663" s="799"/>
      <c r="J663" s="799"/>
      <c r="K663" s="799"/>
      <c r="L663" s="799"/>
      <c r="M663" s="799"/>
      <c r="N663" s="799"/>
      <c r="O663" s="799"/>
      <c r="P663" s="799"/>
      <c r="Q663" s="799"/>
      <c r="R663" s="799"/>
      <c r="S663" s="799"/>
      <c r="T663" s="799"/>
      <c r="U663" s="799"/>
      <c r="V663" s="799"/>
      <c r="W663" s="799"/>
      <c r="X663" s="799"/>
      <c r="Y663" s="799"/>
      <c r="Z663" s="799"/>
      <c r="AA663" s="799"/>
      <c r="AB663" s="799"/>
      <c r="AC663" s="799"/>
      <c r="AD663" s="799"/>
      <c r="AE663" s="799"/>
      <c r="AF663" s="799"/>
      <c r="AG663" s="799"/>
      <c r="AH663" s="799"/>
      <c r="AI663" s="799"/>
      <c r="AJ663" s="799"/>
      <c r="AK663" s="799"/>
      <c r="AL663" s="799"/>
      <c r="AM663" s="799"/>
      <c r="AN663" s="799"/>
      <c r="AO663" s="799"/>
      <c r="AP663" s="799"/>
      <c r="AQ663" s="799"/>
      <c r="AR663" s="799"/>
      <c r="AS663" s="799"/>
      <c r="AT663" s="799"/>
      <c r="AU663" s="799"/>
      <c r="AV663" s="799"/>
      <c r="AW663" s="799"/>
      <c r="AX663" s="799"/>
      <c r="AY663" s="799"/>
      <c r="AZ663" s="799"/>
      <c r="BA663" s="799"/>
      <c r="BB663" s="799"/>
      <c r="BC663" s="799"/>
      <c r="BD663" s="799"/>
      <c r="BE663" s="799"/>
      <c r="BF663" s="799"/>
      <c r="BG663" s="799"/>
    </row>
    <row r="664">
      <c r="H664" s="799"/>
      <c r="I664" s="799"/>
      <c r="J664" s="799"/>
      <c r="K664" s="799"/>
      <c r="L664" s="799"/>
      <c r="M664" s="799"/>
      <c r="N664" s="799"/>
      <c r="O664" s="799"/>
      <c r="P664" s="799"/>
      <c r="Q664" s="799"/>
      <c r="R664" s="799"/>
      <c r="S664" s="799"/>
      <c r="T664" s="799"/>
      <c r="U664" s="799"/>
      <c r="V664" s="799"/>
      <c r="W664" s="799"/>
      <c r="X664" s="799"/>
      <c r="Y664" s="799"/>
      <c r="Z664" s="799"/>
      <c r="AA664" s="799"/>
      <c r="AB664" s="799"/>
      <c r="AC664" s="799"/>
      <c r="AD664" s="799"/>
      <c r="AE664" s="799"/>
      <c r="AF664" s="799"/>
      <c r="AG664" s="799"/>
      <c r="AH664" s="799"/>
      <c r="AI664" s="799"/>
      <c r="AJ664" s="799"/>
      <c r="AK664" s="799"/>
      <c r="AL664" s="799"/>
      <c r="AM664" s="799"/>
      <c r="AN664" s="799"/>
      <c r="AO664" s="799"/>
      <c r="AP664" s="799"/>
      <c r="AQ664" s="799"/>
      <c r="AR664" s="799"/>
      <c r="AS664" s="799"/>
      <c r="AT664" s="799"/>
      <c r="AU664" s="799"/>
      <c r="AV664" s="799"/>
      <c r="AW664" s="799"/>
      <c r="AX664" s="799"/>
      <c r="AY664" s="799"/>
      <c r="AZ664" s="799"/>
      <c r="BA664" s="799"/>
      <c r="BB664" s="799"/>
      <c r="BC664" s="799"/>
      <c r="BD664" s="799"/>
      <c r="BE664" s="799"/>
      <c r="BF664" s="799"/>
      <c r="BG664" s="799"/>
    </row>
    <row r="665">
      <c r="H665" s="799"/>
      <c r="I665" s="799"/>
      <c r="J665" s="799"/>
      <c r="K665" s="799"/>
      <c r="L665" s="799"/>
      <c r="M665" s="799"/>
      <c r="N665" s="799"/>
      <c r="O665" s="799"/>
      <c r="P665" s="799"/>
      <c r="Q665" s="799"/>
      <c r="R665" s="799"/>
      <c r="S665" s="799"/>
      <c r="T665" s="799"/>
      <c r="U665" s="799"/>
      <c r="V665" s="799"/>
      <c r="W665" s="799"/>
      <c r="X665" s="799"/>
      <c r="Y665" s="799"/>
      <c r="Z665" s="799"/>
      <c r="AA665" s="799"/>
      <c r="AB665" s="799"/>
      <c r="AC665" s="799"/>
      <c r="AD665" s="799"/>
      <c r="AE665" s="799"/>
      <c r="AF665" s="799"/>
      <c r="AG665" s="799"/>
      <c r="AH665" s="799"/>
      <c r="AI665" s="799"/>
      <c r="AJ665" s="799"/>
      <c r="AK665" s="799"/>
      <c r="AL665" s="799"/>
      <c r="AM665" s="799"/>
      <c r="AN665" s="799"/>
      <c r="AO665" s="799"/>
      <c r="AP665" s="799"/>
      <c r="AQ665" s="799"/>
      <c r="AR665" s="799"/>
      <c r="AS665" s="799"/>
      <c r="AT665" s="799"/>
      <c r="AU665" s="799"/>
      <c r="AV665" s="799"/>
      <c r="AW665" s="799"/>
      <c r="AX665" s="799"/>
      <c r="AY665" s="799"/>
      <c r="AZ665" s="799"/>
      <c r="BA665" s="799"/>
      <c r="BB665" s="799"/>
      <c r="BC665" s="799"/>
      <c r="BD665" s="799"/>
      <c r="BE665" s="799"/>
      <c r="BF665" s="799"/>
      <c r="BG665" s="799"/>
    </row>
    <row r="666">
      <c r="H666" s="799"/>
      <c r="I666" s="799"/>
      <c r="J666" s="799"/>
      <c r="K666" s="799"/>
      <c r="L666" s="799"/>
      <c r="M666" s="799"/>
      <c r="N666" s="799"/>
      <c r="O666" s="799"/>
      <c r="P666" s="799"/>
      <c r="Q666" s="799"/>
      <c r="R666" s="799"/>
      <c r="S666" s="799"/>
      <c r="T666" s="799"/>
      <c r="U666" s="799"/>
      <c r="V666" s="799"/>
      <c r="W666" s="799"/>
      <c r="X666" s="799"/>
      <c r="Y666" s="799"/>
      <c r="Z666" s="799"/>
      <c r="AA666" s="799"/>
      <c r="AB666" s="799"/>
      <c r="AC666" s="799"/>
      <c r="AD666" s="799"/>
      <c r="AE666" s="799"/>
      <c r="AF666" s="799"/>
      <c r="AG666" s="799"/>
      <c r="AH666" s="799"/>
      <c r="AI666" s="799"/>
      <c r="AJ666" s="799"/>
      <c r="AK666" s="799"/>
      <c r="AL666" s="799"/>
      <c r="AM666" s="799"/>
      <c r="AN666" s="799"/>
      <c r="AO666" s="799"/>
      <c r="AP666" s="799"/>
      <c r="AQ666" s="799"/>
      <c r="AR666" s="799"/>
      <c r="AS666" s="799"/>
      <c r="AT666" s="799"/>
      <c r="AU666" s="799"/>
      <c r="AV666" s="799"/>
      <c r="AW666" s="799"/>
      <c r="AX666" s="799"/>
      <c r="AY666" s="799"/>
      <c r="AZ666" s="799"/>
      <c r="BA666" s="799"/>
      <c r="BB666" s="799"/>
      <c r="BC666" s="799"/>
      <c r="BD666" s="799"/>
      <c r="BE666" s="799"/>
      <c r="BF666" s="799"/>
      <c r="BG666" s="799"/>
    </row>
    <row r="667">
      <c r="H667" s="799"/>
      <c r="I667" s="799"/>
      <c r="J667" s="799"/>
      <c r="K667" s="799"/>
      <c r="L667" s="799"/>
      <c r="M667" s="799"/>
      <c r="N667" s="799"/>
      <c r="O667" s="799"/>
      <c r="P667" s="799"/>
      <c r="Q667" s="799"/>
      <c r="R667" s="799"/>
      <c r="S667" s="799"/>
      <c r="T667" s="799"/>
      <c r="U667" s="799"/>
      <c r="V667" s="799"/>
      <c r="W667" s="799"/>
      <c r="X667" s="799"/>
      <c r="Y667" s="799"/>
      <c r="Z667" s="799"/>
      <c r="AA667" s="799"/>
      <c r="AB667" s="799"/>
      <c r="AC667" s="799"/>
      <c r="AD667" s="799"/>
      <c r="AE667" s="799"/>
      <c r="AF667" s="799"/>
      <c r="AG667" s="799"/>
      <c r="AH667" s="799"/>
      <c r="AI667" s="799"/>
      <c r="AJ667" s="799"/>
      <c r="AK667" s="799"/>
      <c r="AL667" s="799"/>
      <c r="AM667" s="799"/>
      <c r="AN667" s="799"/>
      <c r="AO667" s="799"/>
      <c r="AP667" s="799"/>
      <c r="AQ667" s="799"/>
      <c r="AR667" s="799"/>
      <c r="AS667" s="799"/>
      <c r="AT667" s="799"/>
      <c r="AU667" s="799"/>
      <c r="AV667" s="799"/>
      <c r="AW667" s="799"/>
      <c r="AX667" s="799"/>
      <c r="AY667" s="799"/>
      <c r="AZ667" s="799"/>
      <c r="BA667" s="799"/>
      <c r="BB667" s="799"/>
      <c r="BC667" s="799"/>
      <c r="BD667" s="799"/>
      <c r="BE667" s="799"/>
      <c r="BF667" s="799"/>
      <c r="BG667" s="799"/>
    </row>
    <row r="668">
      <c r="H668" s="799"/>
      <c r="I668" s="799"/>
      <c r="J668" s="799"/>
      <c r="K668" s="799"/>
      <c r="L668" s="799"/>
      <c r="M668" s="799"/>
      <c r="N668" s="799"/>
      <c r="O668" s="799"/>
      <c r="P668" s="799"/>
      <c r="Q668" s="799"/>
      <c r="R668" s="799"/>
      <c r="S668" s="799"/>
      <c r="T668" s="799"/>
      <c r="U668" s="799"/>
      <c r="V668" s="799"/>
      <c r="W668" s="799"/>
      <c r="X668" s="799"/>
      <c r="Y668" s="799"/>
      <c r="Z668" s="799"/>
      <c r="AA668" s="799"/>
      <c r="AB668" s="799"/>
      <c r="AC668" s="799"/>
      <c r="AD668" s="799"/>
      <c r="AE668" s="799"/>
      <c r="AF668" s="799"/>
      <c r="AG668" s="799"/>
      <c r="AH668" s="799"/>
      <c r="AI668" s="799"/>
      <c r="AJ668" s="799"/>
      <c r="AK668" s="799"/>
      <c r="AL668" s="799"/>
      <c r="AM668" s="799"/>
      <c r="AN668" s="799"/>
      <c r="AO668" s="799"/>
      <c r="AP668" s="799"/>
      <c r="AQ668" s="799"/>
      <c r="AR668" s="799"/>
      <c r="AS668" s="799"/>
      <c r="AT668" s="799"/>
      <c r="AU668" s="799"/>
      <c r="AV668" s="799"/>
      <c r="AW668" s="799"/>
      <c r="AX668" s="799"/>
      <c r="AY668" s="799"/>
      <c r="AZ668" s="799"/>
      <c r="BA668" s="799"/>
      <c r="BB668" s="799"/>
      <c r="BC668" s="799"/>
      <c r="BD668" s="799"/>
      <c r="BE668" s="799"/>
      <c r="BF668" s="799"/>
      <c r="BG668" s="799"/>
    </row>
    <row r="669">
      <c r="H669" s="799"/>
      <c r="I669" s="799"/>
      <c r="J669" s="799"/>
      <c r="K669" s="799"/>
      <c r="L669" s="799"/>
      <c r="M669" s="799"/>
      <c r="N669" s="799"/>
      <c r="O669" s="799"/>
      <c r="P669" s="799"/>
      <c r="Q669" s="799"/>
      <c r="R669" s="799"/>
      <c r="S669" s="799"/>
      <c r="T669" s="799"/>
      <c r="U669" s="799"/>
      <c r="V669" s="799"/>
      <c r="W669" s="799"/>
      <c r="X669" s="799"/>
      <c r="Y669" s="799"/>
      <c r="Z669" s="799"/>
      <c r="AA669" s="799"/>
      <c r="AB669" s="799"/>
      <c r="AC669" s="799"/>
      <c r="AD669" s="799"/>
      <c r="AE669" s="799"/>
      <c r="AF669" s="799"/>
      <c r="AG669" s="799"/>
      <c r="AH669" s="799"/>
      <c r="AI669" s="799"/>
      <c r="AJ669" s="799"/>
      <c r="AK669" s="799"/>
      <c r="AL669" s="799"/>
      <c r="AM669" s="799"/>
      <c r="AN669" s="799"/>
      <c r="AO669" s="799"/>
      <c r="AP669" s="799"/>
      <c r="AQ669" s="799"/>
      <c r="AR669" s="799"/>
      <c r="AS669" s="799"/>
      <c r="AT669" s="799"/>
      <c r="AU669" s="799"/>
      <c r="AV669" s="799"/>
      <c r="AW669" s="799"/>
      <c r="AX669" s="799"/>
      <c r="AY669" s="799"/>
      <c r="AZ669" s="799"/>
      <c r="BA669" s="799"/>
      <c r="BB669" s="799"/>
      <c r="BC669" s="799"/>
      <c r="BD669" s="799"/>
      <c r="BE669" s="799"/>
      <c r="BF669" s="799"/>
      <c r="BG669" s="799"/>
    </row>
    <row r="670">
      <c r="H670" s="799"/>
      <c r="I670" s="799"/>
      <c r="J670" s="799"/>
      <c r="K670" s="799"/>
      <c r="L670" s="799"/>
      <c r="M670" s="799"/>
      <c r="N670" s="799"/>
      <c r="O670" s="799"/>
      <c r="P670" s="799"/>
      <c r="Q670" s="799"/>
      <c r="R670" s="799"/>
      <c r="S670" s="799"/>
      <c r="T670" s="799"/>
      <c r="U670" s="799"/>
      <c r="V670" s="799"/>
      <c r="W670" s="799"/>
      <c r="X670" s="799"/>
      <c r="Y670" s="799"/>
      <c r="Z670" s="799"/>
      <c r="AA670" s="799"/>
      <c r="AB670" s="799"/>
      <c r="AC670" s="799"/>
      <c r="AD670" s="799"/>
      <c r="AE670" s="799"/>
      <c r="AF670" s="799"/>
      <c r="AG670" s="799"/>
      <c r="AH670" s="799"/>
      <c r="AI670" s="799"/>
      <c r="AJ670" s="799"/>
      <c r="AK670" s="799"/>
      <c r="AL670" s="799"/>
      <c r="AM670" s="799"/>
      <c r="AN670" s="799"/>
      <c r="AO670" s="799"/>
      <c r="AP670" s="799"/>
      <c r="AQ670" s="799"/>
      <c r="AR670" s="799"/>
      <c r="AS670" s="799"/>
      <c r="AT670" s="799"/>
      <c r="AU670" s="799"/>
      <c r="AV670" s="799"/>
      <c r="AW670" s="799"/>
      <c r="AX670" s="799"/>
      <c r="AY670" s="799"/>
      <c r="AZ670" s="799"/>
      <c r="BA670" s="799"/>
      <c r="BB670" s="799"/>
      <c r="BC670" s="799"/>
      <c r="BD670" s="799"/>
      <c r="BE670" s="799"/>
      <c r="BF670" s="799"/>
      <c r="BG670" s="799"/>
    </row>
    <row r="671">
      <c r="H671" s="799"/>
      <c r="I671" s="799"/>
      <c r="J671" s="799"/>
      <c r="K671" s="799"/>
      <c r="L671" s="799"/>
      <c r="M671" s="799"/>
      <c r="N671" s="799"/>
      <c r="O671" s="799"/>
      <c r="P671" s="799"/>
      <c r="Q671" s="799"/>
      <c r="R671" s="799"/>
      <c r="S671" s="799"/>
      <c r="T671" s="799"/>
      <c r="U671" s="799"/>
      <c r="V671" s="799"/>
      <c r="W671" s="799"/>
      <c r="X671" s="799"/>
      <c r="Y671" s="799"/>
      <c r="Z671" s="799"/>
      <c r="AA671" s="799"/>
      <c r="AB671" s="799"/>
      <c r="AC671" s="799"/>
      <c r="AD671" s="799"/>
      <c r="AE671" s="799"/>
      <c r="AF671" s="799"/>
      <c r="AG671" s="799"/>
      <c r="AH671" s="799"/>
      <c r="AI671" s="799"/>
      <c r="AJ671" s="799"/>
      <c r="AK671" s="799"/>
      <c r="AL671" s="799"/>
      <c r="AM671" s="799"/>
      <c r="AN671" s="799"/>
      <c r="AO671" s="799"/>
      <c r="AP671" s="799"/>
      <c r="AQ671" s="799"/>
      <c r="AR671" s="799"/>
      <c r="AS671" s="799"/>
      <c r="AT671" s="799"/>
      <c r="AU671" s="799"/>
      <c r="AV671" s="799"/>
      <c r="AW671" s="799"/>
      <c r="AX671" s="799"/>
      <c r="AY671" s="799"/>
      <c r="AZ671" s="799"/>
      <c r="BA671" s="799"/>
      <c r="BB671" s="799"/>
      <c r="BC671" s="799"/>
      <c r="BD671" s="799"/>
      <c r="BE671" s="799"/>
      <c r="BF671" s="799"/>
      <c r="BG671" s="799"/>
    </row>
    <row r="672">
      <c r="H672" s="799"/>
      <c r="I672" s="799"/>
      <c r="J672" s="799"/>
      <c r="K672" s="799"/>
      <c r="L672" s="799"/>
      <c r="M672" s="799"/>
      <c r="N672" s="799"/>
      <c r="O672" s="799"/>
      <c r="P672" s="799"/>
      <c r="Q672" s="799"/>
      <c r="R672" s="799"/>
      <c r="S672" s="799"/>
      <c r="T672" s="799"/>
      <c r="U672" s="799"/>
      <c r="V672" s="799"/>
      <c r="W672" s="799"/>
      <c r="X672" s="799"/>
      <c r="Y672" s="799"/>
      <c r="Z672" s="799"/>
      <c r="AA672" s="799"/>
      <c r="AB672" s="799"/>
      <c r="AC672" s="799"/>
      <c r="AD672" s="799"/>
      <c r="AE672" s="799"/>
      <c r="AF672" s="799"/>
      <c r="AG672" s="799"/>
      <c r="AH672" s="799"/>
      <c r="AI672" s="799"/>
      <c r="AJ672" s="799"/>
      <c r="AK672" s="799"/>
      <c r="AL672" s="799"/>
      <c r="AM672" s="799"/>
      <c r="AN672" s="799"/>
      <c r="AO672" s="799"/>
      <c r="AP672" s="799"/>
      <c r="AQ672" s="799"/>
      <c r="AR672" s="799"/>
      <c r="AS672" s="799"/>
      <c r="AT672" s="799"/>
      <c r="AU672" s="799"/>
      <c r="AV672" s="799"/>
      <c r="AW672" s="799"/>
      <c r="AX672" s="799"/>
      <c r="AY672" s="799"/>
      <c r="AZ672" s="799"/>
      <c r="BA672" s="799"/>
      <c r="BB672" s="799"/>
      <c r="BC672" s="799"/>
      <c r="BD672" s="799"/>
      <c r="BE672" s="799"/>
      <c r="BF672" s="799"/>
      <c r="BG672" s="799"/>
    </row>
    <row r="673">
      <c r="H673" s="799"/>
      <c r="I673" s="799"/>
      <c r="J673" s="799"/>
      <c r="K673" s="799"/>
      <c r="L673" s="799"/>
      <c r="M673" s="799"/>
      <c r="N673" s="799"/>
      <c r="O673" s="799"/>
      <c r="P673" s="799"/>
      <c r="Q673" s="799"/>
      <c r="R673" s="799"/>
      <c r="S673" s="799"/>
      <c r="T673" s="799"/>
      <c r="U673" s="799"/>
      <c r="V673" s="799"/>
      <c r="W673" s="799"/>
      <c r="X673" s="799"/>
      <c r="Y673" s="799"/>
      <c r="Z673" s="799"/>
      <c r="AA673" s="799"/>
      <c r="AB673" s="799"/>
      <c r="AC673" s="799"/>
      <c r="AD673" s="799"/>
      <c r="AE673" s="799"/>
      <c r="AF673" s="799"/>
      <c r="AG673" s="799"/>
      <c r="AH673" s="799"/>
      <c r="AI673" s="799"/>
      <c r="AJ673" s="799"/>
      <c r="AK673" s="799"/>
      <c r="AL673" s="799"/>
      <c r="AM673" s="799"/>
      <c r="AN673" s="799"/>
      <c r="AO673" s="799"/>
      <c r="AP673" s="799"/>
      <c r="AQ673" s="799"/>
      <c r="AR673" s="799"/>
      <c r="AS673" s="799"/>
      <c r="AT673" s="799"/>
      <c r="AU673" s="799"/>
      <c r="AV673" s="799"/>
      <c r="AW673" s="799"/>
      <c r="AX673" s="799"/>
      <c r="AY673" s="799"/>
      <c r="AZ673" s="799"/>
      <c r="BA673" s="799"/>
      <c r="BB673" s="799"/>
      <c r="BC673" s="799"/>
      <c r="BD673" s="799"/>
      <c r="BE673" s="799"/>
      <c r="BF673" s="799"/>
      <c r="BG673" s="799"/>
    </row>
    <row r="674">
      <c r="H674" s="799"/>
      <c r="I674" s="799"/>
      <c r="J674" s="799"/>
      <c r="K674" s="799"/>
      <c r="L674" s="799"/>
      <c r="M674" s="799"/>
      <c r="N674" s="799"/>
      <c r="O674" s="799"/>
      <c r="P674" s="799"/>
      <c r="Q674" s="799"/>
      <c r="R674" s="799"/>
      <c r="S674" s="799"/>
      <c r="T674" s="799"/>
      <c r="U674" s="799"/>
      <c r="V674" s="799"/>
      <c r="W674" s="799"/>
      <c r="X674" s="799"/>
      <c r="Y674" s="799"/>
      <c r="Z674" s="799"/>
      <c r="AA674" s="799"/>
      <c r="AB674" s="799"/>
      <c r="AC674" s="799"/>
      <c r="AD674" s="799"/>
      <c r="AE674" s="799"/>
      <c r="AF674" s="799"/>
      <c r="AG674" s="799"/>
      <c r="AH674" s="799"/>
      <c r="AI674" s="799"/>
      <c r="AJ674" s="799"/>
      <c r="AK674" s="799"/>
      <c r="AL674" s="799"/>
      <c r="AM674" s="799"/>
      <c r="AN674" s="799"/>
      <c r="AO674" s="799"/>
      <c r="AP674" s="799"/>
      <c r="AQ674" s="799"/>
      <c r="AR674" s="799"/>
      <c r="AS674" s="799"/>
      <c r="AT674" s="799"/>
      <c r="AU674" s="799"/>
      <c r="AV674" s="799"/>
      <c r="AW674" s="799"/>
      <c r="AX674" s="799"/>
      <c r="AY674" s="799"/>
      <c r="AZ674" s="799"/>
      <c r="BA674" s="799"/>
      <c r="BB674" s="799"/>
      <c r="BC674" s="799"/>
      <c r="BD674" s="799"/>
      <c r="BE674" s="799"/>
      <c r="BF674" s="799"/>
      <c r="BG674" s="799"/>
    </row>
    <row r="675">
      <c r="H675" s="799"/>
      <c r="I675" s="799"/>
      <c r="J675" s="799"/>
      <c r="K675" s="799"/>
      <c r="L675" s="799"/>
      <c r="M675" s="799"/>
      <c r="N675" s="799"/>
      <c r="O675" s="799"/>
      <c r="P675" s="799"/>
      <c r="Q675" s="799"/>
      <c r="R675" s="799"/>
      <c r="S675" s="799"/>
      <c r="T675" s="799"/>
      <c r="U675" s="799"/>
      <c r="V675" s="799"/>
      <c r="W675" s="799"/>
      <c r="X675" s="799"/>
      <c r="Y675" s="799"/>
      <c r="Z675" s="799"/>
      <c r="AA675" s="799"/>
      <c r="AB675" s="799"/>
      <c r="AC675" s="799"/>
      <c r="AD675" s="799"/>
      <c r="AE675" s="799"/>
      <c r="AF675" s="799"/>
      <c r="AG675" s="799"/>
      <c r="AH675" s="799"/>
      <c r="AI675" s="799"/>
      <c r="AJ675" s="799"/>
      <c r="AK675" s="799"/>
      <c r="AL675" s="799"/>
      <c r="AM675" s="799"/>
      <c r="AN675" s="799"/>
      <c r="AO675" s="799"/>
      <c r="AP675" s="799"/>
      <c r="AQ675" s="799"/>
      <c r="AR675" s="799"/>
      <c r="AS675" s="799"/>
      <c r="AT675" s="799"/>
      <c r="AU675" s="799"/>
      <c r="AV675" s="799"/>
      <c r="AW675" s="799"/>
      <c r="AX675" s="799"/>
      <c r="AY675" s="799"/>
      <c r="AZ675" s="799"/>
      <c r="BA675" s="799"/>
      <c r="BB675" s="799"/>
      <c r="BC675" s="799"/>
      <c r="BD675" s="799"/>
      <c r="BE675" s="799"/>
      <c r="BF675" s="799"/>
      <c r="BG675" s="799"/>
    </row>
    <row r="676">
      <c r="H676" s="799"/>
      <c r="I676" s="799"/>
      <c r="J676" s="799"/>
      <c r="K676" s="799"/>
      <c r="L676" s="799"/>
      <c r="M676" s="799"/>
      <c r="N676" s="799"/>
      <c r="O676" s="799"/>
      <c r="P676" s="799"/>
      <c r="Q676" s="799"/>
      <c r="R676" s="799"/>
      <c r="S676" s="799"/>
      <c r="T676" s="799"/>
      <c r="U676" s="799"/>
      <c r="V676" s="799"/>
      <c r="W676" s="799"/>
      <c r="X676" s="799"/>
      <c r="Y676" s="799"/>
      <c r="Z676" s="799"/>
      <c r="AA676" s="799"/>
      <c r="AB676" s="799"/>
      <c r="AC676" s="799"/>
      <c r="AD676" s="799"/>
      <c r="AE676" s="799"/>
      <c r="AF676" s="799"/>
      <c r="AG676" s="799"/>
      <c r="AH676" s="799"/>
      <c r="AI676" s="799"/>
      <c r="AJ676" s="799"/>
      <c r="AK676" s="799"/>
      <c r="AL676" s="799"/>
      <c r="AM676" s="799"/>
      <c r="AN676" s="799"/>
      <c r="AO676" s="799"/>
      <c r="AP676" s="799"/>
      <c r="AQ676" s="799"/>
      <c r="AR676" s="799"/>
      <c r="AS676" s="799"/>
      <c r="AT676" s="799"/>
      <c r="AU676" s="799"/>
      <c r="AV676" s="799"/>
      <c r="AW676" s="799"/>
      <c r="AX676" s="799"/>
      <c r="AY676" s="799"/>
      <c r="AZ676" s="799"/>
      <c r="BA676" s="799"/>
      <c r="BB676" s="799"/>
      <c r="BC676" s="799"/>
      <c r="BD676" s="799"/>
      <c r="BE676" s="799"/>
      <c r="BF676" s="799"/>
      <c r="BG676" s="799"/>
    </row>
    <row r="677">
      <c r="H677" s="799"/>
      <c r="I677" s="799"/>
      <c r="J677" s="799"/>
      <c r="K677" s="799"/>
      <c r="L677" s="799"/>
      <c r="M677" s="799"/>
      <c r="N677" s="799"/>
      <c r="O677" s="799"/>
      <c r="P677" s="799"/>
      <c r="Q677" s="799"/>
      <c r="R677" s="799"/>
      <c r="S677" s="799"/>
      <c r="T677" s="799"/>
      <c r="U677" s="799"/>
      <c r="V677" s="799"/>
      <c r="W677" s="799"/>
      <c r="X677" s="799"/>
      <c r="Y677" s="799"/>
      <c r="Z677" s="799"/>
      <c r="AA677" s="799"/>
      <c r="AB677" s="799"/>
      <c r="AC677" s="799"/>
      <c r="AD677" s="799"/>
      <c r="AE677" s="799"/>
      <c r="AF677" s="799"/>
      <c r="AG677" s="799"/>
      <c r="AH677" s="799"/>
      <c r="AI677" s="799"/>
      <c r="AJ677" s="799"/>
      <c r="AK677" s="799"/>
      <c r="AL677" s="799"/>
      <c r="AM677" s="799"/>
      <c r="AN677" s="799"/>
      <c r="AO677" s="799"/>
      <c r="AP677" s="799"/>
      <c r="AQ677" s="799"/>
      <c r="AR677" s="799"/>
      <c r="AS677" s="799"/>
      <c r="AT677" s="799"/>
      <c r="AU677" s="799"/>
      <c r="AV677" s="799"/>
      <c r="AW677" s="799"/>
      <c r="AX677" s="799"/>
      <c r="AY677" s="799"/>
      <c r="AZ677" s="799"/>
      <c r="BA677" s="799"/>
      <c r="BB677" s="799"/>
      <c r="BC677" s="799"/>
      <c r="BD677" s="799"/>
      <c r="BE677" s="799"/>
      <c r="BF677" s="799"/>
      <c r="BG677" s="799"/>
    </row>
    <row r="678">
      <c r="H678" s="799"/>
      <c r="I678" s="799"/>
      <c r="J678" s="799"/>
      <c r="K678" s="799"/>
      <c r="L678" s="799"/>
      <c r="M678" s="799"/>
      <c r="N678" s="799"/>
      <c r="O678" s="799"/>
      <c r="P678" s="799"/>
      <c r="Q678" s="799"/>
      <c r="R678" s="799"/>
      <c r="S678" s="799"/>
      <c r="T678" s="799"/>
      <c r="U678" s="799"/>
      <c r="V678" s="799"/>
      <c r="W678" s="799"/>
      <c r="X678" s="799"/>
      <c r="Y678" s="799"/>
      <c r="Z678" s="799"/>
      <c r="AA678" s="799"/>
      <c r="AB678" s="799"/>
      <c r="AC678" s="799"/>
      <c r="AD678" s="799"/>
      <c r="AE678" s="799"/>
      <c r="AF678" s="799"/>
      <c r="AG678" s="799"/>
      <c r="AH678" s="799"/>
      <c r="AI678" s="799"/>
      <c r="AJ678" s="799"/>
      <c r="AK678" s="799"/>
      <c r="AL678" s="799"/>
      <c r="AM678" s="799"/>
      <c r="AN678" s="799"/>
      <c r="AO678" s="799"/>
      <c r="AP678" s="799"/>
      <c r="AQ678" s="799"/>
      <c r="AR678" s="799"/>
      <c r="AS678" s="799"/>
      <c r="AT678" s="799"/>
      <c r="AU678" s="799"/>
      <c r="AV678" s="799"/>
      <c r="AW678" s="799"/>
      <c r="AX678" s="799"/>
      <c r="AY678" s="799"/>
      <c r="AZ678" s="799"/>
      <c r="BA678" s="799"/>
      <c r="BB678" s="799"/>
      <c r="BC678" s="799"/>
      <c r="BD678" s="799"/>
      <c r="BE678" s="799"/>
      <c r="BF678" s="799"/>
      <c r="BG678" s="799"/>
    </row>
    <row r="679">
      <c r="H679" s="799"/>
      <c r="I679" s="799"/>
      <c r="J679" s="799"/>
      <c r="K679" s="799"/>
      <c r="L679" s="799"/>
      <c r="M679" s="799"/>
      <c r="N679" s="799"/>
      <c r="O679" s="799"/>
      <c r="P679" s="799"/>
      <c r="Q679" s="799"/>
      <c r="R679" s="799"/>
      <c r="S679" s="799"/>
      <c r="T679" s="799"/>
      <c r="U679" s="799"/>
      <c r="V679" s="799"/>
      <c r="W679" s="799"/>
      <c r="X679" s="799"/>
      <c r="Y679" s="799"/>
      <c r="Z679" s="799"/>
      <c r="AA679" s="799"/>
      <c r="AB679" s="799"/>
      <c r="AC679" s="799"/>
      <c r="AD679" s="799"/>
      <c r="AE679" s="799"/>
      <c r="AF679" s="799"/>
      <c r="AG679" s="799"/>
      <c r="AH679" s="799"/>
      <c r="AI679" s="799"/>
      <c r="AJ679" s="799"/>
      <c r="AK679" s="799"/>
      <c r="AL679" s="799"/>
      <c r="AM679" s="799"/>
      <c r="AN679" s="799"/>
      <c r="AO679" s="799"/>
      <c r="AP679" s="799"/>
      <c r="AQ679" s="799"/>
      <c r="AR679" s="799"/>
      <c r="AS679" s="799"/>
      <c r="AT679" s="799"/>
      <c r="AU679" s="799"/>
      <c r="AV679" s="799"/>
      <c r="AW679" s="799"/>
      <c r="AX679" s="799"/>
      <c r="AY679" s="799"/>
      <c r="AZ679" s="799"/>
      <c r="BA679" s="799"/>
      <c r="BB679" s="799"/>
      <c r="BC679" s="799"/>
      <c r="BD679" s="799"/>
      <c r="BE679" s="799"/>
      <c r="BF679" s="799"/>
      <c r="BG679" s="799"/>
    </row>
    <row r="680">
      <c r="H680" s="799"/>
      <c r="I680" s="799"/>
      <c r="J680" s="799"/>
      <c r="K680" s="799"/>
      <c r="L680" s="799"/>
      <c r="M680" s="799"/>
      <c r="N680" s="799"/>
      <c r="O680" s="799"/>
      <c r="P680" s="799"/>
      <c r="Q680" s="799"/>
      <c r="R680" s="799"/>
      <c r="S680" s="799"/>
      <c r="T680" s="799"/>
      <c r="U680" s="799"/>
      <c r="V680" s="799"/>
      <c r="W680" s="799"/>
      <c r="X680" s="799"/>
      <c r="Y680" s="799"/>
      <c r="Z680" s="799"/>
      <c r="AA680" s="799"/>
      <c r="AB680" s="799"/>
      <c r="AC680" s="799"/>
      <c r="AD680" s="799"/>
      <c r="AE680" s="799"/>
      <c r="AF680" s="799"/>
      <c r="AG680" s="799"/>
      <c r="AH680" s="799"/>
      <c r="AI680" s="799"/>
      <c r="AJ680" s="799"/>
      <c r="AK680" s="799"/>
      <c r="AL680" s="799"/>
      <c r="AM680" s="799"/>
      <c r="AN680" s="799"/>
      <c r="AO680" s="799"/>
      <c r="AP680" s="799"/>
      <c r="AQ680" s="799"/>
      <c r="AR680" s="799"/>
      <c r="AS680" s="799"/>
      <c r="AT680" s="799"/>
      <c r="AU680" s="799"/>
      <c r="AV680" s="799"/>
      <c r="AW680" s="799"/>
      <c r="AX680" s="799"/>
      <c r="AY680" s="799"/>
      <c r="AZ680" s="799"/>
      <c r="BA680" s="799"/>
      <c r="BB680" s="799"/>
      <c r="BC680" s="799"/>
      <c r="BD680" s="799"/>
      <c r="BE680" s="799"/>
      <c r="BF680" s="799"/>
      <c r="BG680" s="799"/>
    </row>
    <row r="681">
      <c r="H681" s="799"/>
      <c r="I681" s="799"/>
      <c r="J681" s="799"/>
      <c r="K681" s="799"/>
      <c r="L681" s="799"/>
      <c r="M681" s="799"/>
      <c r="N681" s="799"/>
      <c r="O681" s="799"/>
      <c r="P681" s="799"/>
      <c r="Q681" s="799"/>
      <c r="R681" s="799"/>
      <c r="S681" s="799"/>
      <c r="T681" s="799"/>
      <c r="U681" s="799"/>
      <c r="V681" s="799"/>
      <c r="W681" s="799"/>
      <c r="X681" s="799"/>
      <c r="Y681" s="799"/>
      <c r="Z681" s="799"/>
      <c r="AA681" s="799"/>
      <c r="AB681" s="799"/>
      <c r="AC681" s="799"/>
      <c r="AD681" s="799"/>
      <c r="AE681" s="799"/>
      <c r="AF681" s="799"/>
      <c r="AG681" s="799"/>
      <c r="AH681" s="799"/>
      <c r="AI681" s="799"/>
      <c r="AJ681" s="799"/>
      <c r="AK681" s="799"/>
      <c r="AL681" s="799"/>
      <c r="AM681" s="799"/>
      <c r="AN681" s="799"/>
      <c r="AO681" s="799"/>
      <c r="AP681" s="799"/>
      <c r="AQ681" s="799"/>
      <c r="AR681" s="799"/>
      <c r="AS681" s="799"/>
      <c r="AT681" s="799"/>
      <c r="AU681" s="799"/>
      <c r="AV681" s="799"/>
      <c r="AW681" s="799"/>
      <c r="AX681" s="799"/>
      <c r="AY681" s="799"/>
      <c r="AZ681" s="799"/>
      <c r="BA681" s="799"/>
      <c r="BB681" s="799"/>
      <c r="BC681" s="799"/>
      <c r="BD681" s="799"/>
      <c r="BE681" s="799"/>
      <c r="BF681" s="799"/>
      <c r="BG681" s="799"/>
    </row>
    <row r="682">
      <c r="H682" s="799"/>
      <c r="I682" s="799"/>
      <c r="J682" s="799"/>
      <c r="K682" s="799"/>
      <c r="L682" s="799"/>
      <c r="M682" s="799"/>
      <c r="N682" s="799"/>
      <c r="O682" s="799"/>
      <c r="P682" s="799"/>
      <c r="Q682" s="799"/>
      <c r="R682" s="799"/>
      <c r="S682" s="799"/>
      <c r="T682" s="799"/>
      <c r="U682" s="799"/>
      <c r="V682" s="799"/>
      <c r="W682" s="799"/>
      <c r="X682" s="799"/>
      <c r="Y682" s="799"/>
      <c r="Z682" s="799"/>
      <c r="AA682" s="799"/>
      <c r="AB682" s="799"/>
      <c r="AC682" s="799"/>
      <c r="AD682" s="799"/>
      <c r="AE682" s="799"/>
      <c r="AF682" s="799"/>
      <c r="AG682" s="799"/>
      <c r="AH682" s="799"/>
      <c r="AI682" s="799"/>
      <c r="AJ682" s="799"/>
      <c r="AK682" s="799"/>
      <c r="AL682" s="799"/>
      <c r="AM682" s="799"/>
      <c r="AN682" s="799"/>
      <c r="AO682" s="799"/>
      <c r="AP682" s="799"/>
      <c r="AQ682" s="799"/>
      <c r="AR682" s="799"/>
      <c r="AS682" s="799"/>
      <c r="AT682" s="799"/>
      <c r="AU682" s="799"/>
      <c r="AV682" s="799"/>
      <c r="AW682" s="799"/>
      <c r="AX682" s="799"/>
      <c r="AY682" s="799"/>
      <c r="AZ682" s="799"/>
      <c r="BA682" s="799"/>
      <c r="BB682" s="799"/>
      <c r="BC682" s="799"/>
      <c r="BD682" s="799"/>
      <c r="BE682" s="799"/>
      <c r="BF682" s="799"/>
      <c r="BG682" s="799"/>
    </row>
    <row r="683">
      <c r="H683" s="799"/>
      <c r="I683" s="799"/>
      <c r="J683" s="799"/>
      <c r="K683" s="799"/>
      <c r="L683" s="799"/>
      <c r="M683" s="799"/>
      <c r="N683" s="799"/>
      <c r="O683" s="799"/>
      <c r="P683" s="799"/>
      <c r="Q683" s="799"/>
      <c r="R683" s="799"/>
      <c r="S683" s="799"/>
      <c r="T683" s="799"/>
      <c r="U683" s="799"/>
      <c r="V683" s="799"/>
      <c r="W683" s="799"/>
      <c r="X683" s="799"/>
      <c r="Y683" s="799"/>
      <c r="Z683" s="799"/>
      <c r="AA683" s="799"/>
      <c r="AB683" s="799"/>
      <c r="AC683" s="799"/>
      <c r="AD683" s="799"/>
      <c r="AE683" s="799"/>
      <c r="AF683" s="799"/>
      <c r="AG683" s="799"/>
      <c r="AH683" s="799"/>
      <c r="AI683" s="799"/>
      <c r="AJ683" s="799"/>
      <c r="AK683" s="799"/>
      <c r="AL683" s="799"/>
      <c r="AM683" s="799"/>
      <c r="AN683" s="799"/>
      <c r="AO683" s="799"/>
      <c r="AP683" s="799"/>
      <c r="AQ683" s="799"/>
      <c r="AR683" s="799"/>
      <c r="AS683" s="799"/>
      <c r="AT683" s="799"/>
      <c r="AU683" s="799"/>
      <c r="AV683" s="799"/>
      <c r="AW683" s="799"/>
      <c r="AX683" s="799"/>
      <c r="AY683" s="799"/>
      <c r="AZ683" s="799"/>
      <c r="BA683" s="799"/>
      <c r="BB683" s="799"/>
      <c r="BC683" s="799"/>
      <c r="BD683" s="799"/>
      <c r="BE683" s="799"/>
      <c r="BF683" s="799"/>
      <c r="BG683" s="799"/>
    </row>
    <row r="684">
      <c r="H684" s="799"/>
      <c r="I684" s="799"/>
      <c r="J684" s="799"/>
      <c r="K684" s="799"/>
      <c r="L684" s="799"/>
      <c r="M684" s="799"/>
      <c r="N684" s="799"/>
      <c r="O684" s="799"/>
      <c r="P684" s="799"/>
      <c r="Q684" s="799"/>
      <c r="R684" s="799"/>
      <c r="S684" s="799"/>
      <c r="T684" s="799"/>
      <c r="U684" s="799"/>
      <c r="V684" s="799"/>
      <c r="W684" s="799"/>
      <c r="X684" s="799"/>
      <c r="Y684" s="799"/>
      <c r="Z684" s="799"/>
      <c r="AA684" s="799"/>
      <c r="AB684" s="799"/>
      <c r="AC684" s="799"/>
      <c r="AD684" s="799"/>
      <c r="AE684" s="799"/>
      <c r="AF684" s="799"/>
      <c r="AG684" s="799"/>
      <c r="AH684" s="799"/>
      <c r="AI684" s="799"/>
      <c r="AJ684" s="799"/>
      <c r="AK684" s="799"/>
      <c r="AL684" s="799"/>
      <c r="AM684" s="799"/>
      <c r="AN684" s="799"/>
      <c r="AO684" s="799"/>
      <c r="AP684" s="799"/>
      <c r="AQ684" s="799"/>
      <c r="AR684" s="799"/>
      <c r="AS684" s="799"/>
      <c r="AT684" s="799"/>
      <c r="AU684" s="799"/>
      <c r="AV684" s="799"/>
      <c r="AW684" s="799"/>
      <c r="AX684" s="799"/>
      <c r="AY684" s="799"/>
      <c r="AZ684" s="799"/>
      <c r="BA684" s="799"/>
      <c r="BB684" s="799"/>
      <c r="BC684" s="799"/>
      <c r="BD684" s="799"/>
      <c r="BE684" s="799"/>
      <c r="BF684" s="799"/>
      <c r="BG684" s="799"/>
    </row>
    <row r="685">
      <c r="H685" s="799"/>
      <c r="I685" s="799"/>
      <c r="J685" s="799"/>
      <c r="K685" s="799"/>
      <c r="L685" s="799"/>
      <c r="M685" s="799"/>
      <c r="N685" s="799"/>
      <c r="O685" s="799"/>
      <c r="P685" s="799"/>
      <c r="Q685" s="799"/>
      <c r="R685" s="799"/>
      <c r="S685" s="799"/>
      <c r="T685" s="799"/>
      <c r="U685" s="799"/>
      <c r="V685" s="799"/>
      <c r="W685" s="799"/>
      <c r="X685" s="799"/>
      <c r="Y685" s="799"/>
      <c r="Z685" s="799"/>
      <c r="AA685" s="799"/>
      <c r="AB685" s="799"/>
      <c r="AC685" s="799"/>
      <c r="AD685" s="799"/>
      <c r="AE685" s="799"/>
      <c r="AF685" s="799"/>
      <c r="AG685" s="799"/>
      <c r="AH685" s="799"/>
      <c r="AI685" s="799"/>
      <c r="AJ685" s="799"/>
      <c r="AK685" s="799"/>
      <c r="AL685" s="799"/>
      <c r="AM685" s="799"/>
      <c r="AN685" s="799"/>
      <c r="AO685" s="799"/>
      <c r="AP685" s="799"/>
      <c r="AQ685" s="799"/>
      <c r="AR685" s="799"/>
      <c r="AS685" s="799"/>
      <c r="AT685" s="799"/>
      <c r="AU685" s="799"/>
      <c r="AV685" s="799"/>
      <c r="AW685" s="799"/>
      <c r="AX685" s="799"/>
      <c r="AY685" s="799"/>
      <c r="AZ685" s="799"/>
      <c r="BA685" s="799"/>
      <c r="BB685" s="799"/>
      <c r="BC685" s="799"/>
      <c r="BD685" s="799"/>
      <c r="BE685" s="799"/>
      <c r="BF685" s="799"/>
      <c r="BG685" s="799"/>
    </row>
    <row r="686">
      <c r="H686" s="799"/>
      <c r="I686" s="799"/>
      <c r="J686" s="799"/>
      <c r="K686" s="799"/>
      <c r="L686" s="799"/>
      <c r="M686" s="799"/>
      <c r="N686" s="799"/>
      <c r="O686" s="799"/>
      <c r="P686" s="799"/>
      <c r="Q686" s="799"/>
      <c r="R686" s="799"/>
      <c r="S686" s="799"/>
      <c r="T686" s="799"/>
      <c r="U686" s="799"/>
      <c r="V686" s="799"/>
      <c r="W686" s="799"/>
      <c r="X686" s="799"/>
      <c r="Y686" s="799"/>
      <c r="Z686" s="799"/>
      <c r="AA686" s="799"/>
      <c r="AB686" s="799"/>
      <c r="AC686" s="799"/>
      <c r="AD686" s="799"/>
      <c r="AE686" s="799"/>
      <c r="AF686" s="799"/>
      <c r="AG686" s="799"/>
      <c r="AH686" s="799"/>
      <c r="AI686" s="799"/>
      <c r="AJ686" s="799"/>
      <c r="AK686" s="799"/>
      <c r="AL686" s="799"/>
      <c r="AM686" s="799"/>
      <c r="AN686" s="799"/>
      <c r="AO686" s="799"/>
      <c r="AP686" s="799"/>
      <c r="AQ686" s="799"/>
      <c r="AR686" s="799"/>
      <c r="AS686" s="799"/>
      <c r="AT686" s="799"/>
      <c r="AU686" s="799"/>
      <c r="AV686" s="799"/>
      <c r="AW686" s="799"/>
      <c r="AX686" s="799"/>
      <c r="AY686" s="799"/>
      <c r="AZ686" s="799"/>
      <c r="BA686" s="799"/>
      <c r="BB686" s="799"/>
      <c r="BC686" s="799"/>
      <c r="BD686" s="799"/>
      <c r="BE686" s="799"/>
      <c r="BF686" s="799"/>
      <c r="BG686" s="799"/>
    </row>
    <row r="687">
      <c r="H687" s="799"/>
      <c r="I687" s="799"/>
      <c r="J687" s="799"/>
      <c r="K687" s="799"/>
      <c r="L687" s="799"/>
      <c r="M687" s="799"/>
      <c r="N687" s="799"/>
      <c r="O687" s="799"/>
      <c r="P687" s="799"/>
      <c r="Q687" s="799"/>
      <c r="R687" s="799"/>
      <c r="S687" s="799"/>
      <c r="T687" s="799"/>
      <c r="U687" s="799"/>
      <c r="V687" s="799"/>
      <c r="W687" s="799"/>
      <c r="X687" s="799"/>
      <c r="Y687" s="799"/>
      <c r="Z687" s="799"/>
      <c r="AA687" s="799"/>
      <c r="AB687" s="799"/>
      <c r="AC687" s="799"/>
      <c r="AD687" s="799"/>
      <c r="AE687" s="799"/>
      <c r="AF687" s="799"/>
      <c r="AG687" s="799"/>
      <c r="AH687" s="799"/>
      <c r="AI687" s="799"/>
      <c r="AJ687" s="799"/>
      <c r="AK687" s="799"/>
      <c r="AL687" s="799"/>
      <c r="AM687" s="799"/>
      <c r="AN687" s="799"/>
      <c r="AO687" s="799"/>
      <c r="AP687" s="799"/>
      <c r="AQ687" s="799"/>
      <c r="AR687" s="799"/>
      <c r="AS687" s="799"/>
      <c r="AT687" s="799"/>
      <c r="AU687" s="799"/>
      <c r="AV687" s="799"/>
      <c r="AW687" s="799"/>
      <c r="AX687" s="799"/>
      <c r="AY687" s="799"/>
      <c r="AZ687" s="799"/>
      <c r="BA687" s="799"/>
      <c r="BB687" s="799"/>
      <c r="BC687" s="799"/>
      <c r="BD687" s="799"/>
      <c r="BE687" s="799"/>
      <c r="BF687" s="799"/>
      <c r="BG687" s="799"/>
    </row>
    <row r="688">
      <c r="H688" s="799"/>
      <c r="I688" s="799"/>
      <c r="J688" s="799"/>
      <c r="K688" s="799"/>
      <c r="L688" s="799"/>
      <c r="M688" s="799"/>
      <c r="N688" s="799"/>
      <c r="O688" s="799"/>
      <c r="P688" s="799"/>
      <c r="Q688" s="799"/>
      <c r="R688" s="799"/>
      <c r="S688" s="799"/>
      <c r="T688" s="799"/>
      <c r="U688" s="799"/>
      <c r="V688" s="799"/>
      <c r="W688" s="799"/>
      <c r="X688" s="799"/>
      <c r="Y688" s="799"/>
      <c r="Z688" s="799"/>
      <c r="AA688" s="799"/>
      <c r="AB688" s="799"/>
      <c r="AC688" s="799"/>
      <c r="AD688" s="799"/>
      <c r="AE688" s="799"/>
      <c r="AF688" s="799"/>
      <c r="AG688" s="799"/>
      <c r="AH688" s="799"/>
      <c r="AI688" s="799"/>
      <c r="AJ688" s="799"/>
      <c r="AK688" s="799"/>
      <c r="AL688" s="799"/>
      <c r="AM688" s="799"/>
      <c r="AN688" s="799"/>
      <c r="AO688" s="799"/>
      <c r="AP688" s="799"/>
      <c r="AQ688" s="799"/>
      <c r="AR688" s="799"/>
      <c r="AS688" s="799"/>
      <c r="AT688" s="799"/>
      <c r="AU688" s="799"/>
      <c r="AV688" s="799"/>
      <c r="AW688" s="799"/>
      <c r="AX688" s="799"/>
      <c r="AY688" s="799"/>
      <c r="AZ688" s="799"/>
      <c r="BA688" s="799"/>
      <c r="BB688" s="799"/>
      <c r="BC688" s="799"/>
      <c r="BD688" s="799"/>
      <c r="BE688" s="799"/>
      <c r="BF688" s="799"/>
      <c r="BG688" s="799"/>
    </row>
    <row r="689">
      <c r="H689" s="799"/>
      <c r="I689" s="799"/>
      <c r="J689" s="799"/>
      <c r="K689" s="799"/>
      <c r="L689" s="799"/>
      <c r="M689" s="799"/>
      <c r="N689" s="799"/>
      <c r="O689" s="799"/>
      <c r="P689" s="799"/>
      <c r="Q689" s="799"/>
      <c r="R689" s="799"/>
      <c r="S689" s="799"/>
      <c r="T689" s="799"/>
      <c r="U689" s="799"/>
      <c r="V689" s="799"/>
      <c r="W689" s="799"/>
      <c r="X689" s="799"/>
      <c r="Y689" s="799"/>
      <c r="Z689" s="799"/>
      <c r="AA689" s="799"/>
      <c r="AB689" s="799"/>
      <c r="AC689" s="799"/>
      <c r="AD689" s="799"/>
      <c r="AE689" s="799"/>
      <c r="AF689" s="799"/>
      <c r="AG689" s="799"/>
      <c r="AH689" s="799"/>
      <c r="AI689" s="799"/>
      <c r="AJ689" s="799"/>
      <c r="AK689" s="799"/>
      <c r="AL689" s="799"/>
      <c r="AM689" s="799"/>
      <c r="AN689" s="799"/>
      <c r="AO689" s="799"/>
      <c r="AP689" s="799"/>
      <c r="AQ689" s="799"/>
      <c r="AR689" s="799"/>
      <c r="AS689" s="799"/>
      <c r="AT689" s="799"/>
      <c r="AU689" s="799"/>
      <c r="AV689" s="799"/>
      <c r="AW689" s="799"/>
      <c r="AX689" s="799"/>
      <c r="AY689" s="799"/>
      <c r="AZ689" s="799"/>
      <c r="BA689" s="799"/>
      <c r="BB689" s="799"/>
      <c r="BC689" s="799"/>
      <c r="BD689" s="799"/>
      <c r="BE689" s="799"/>
      <c r="BF689" s="799"/>
      <c r="BG689" s="799"/>
    </row>
    <row r="690">
      <c r="H690" s="799"/>
      <c r="I690" s="799"/>
      <c r="J690" s="799"/>
      <c r="K690" s="799"/>
      <c r="L690" s="799"/>
      <c r="M690" s="799"/>
      <c r="N690" s="799"/>
      <c r="O690" s="799"/>
      <c r="P690" s="799"/>
      <c r="Q690" s="799"/>
      <c r="R690" s="799"/>
      <c r="S690" s="799"/>
      <c r="T690" s="799"/>
      <c r="U690" s="799"/>
      <c r="V690" s="799"/>
      <c r="W690" s="799"/>
      <c r="X690" s="799"/>
      <c r="Y690" s="799"/>
      <c r="Z690" s="799"/>
      <c r="AA690" s="799"/>
      <c r="AB690" s="799"/>
      <c r="AC690" s="799"/>
      <c r="AD690" s="799"/>
      <c r="AE690" s="799"/>
      <c r="AF690" s="799"/>
      <c r="AG690" s="799"/>
      <c r="AH690" s="799"/>
      <c r="AI690" s="799"/>
      <c r="AJ690" s="799"/>
      <c r="AK690" s="799"/>
      <c r="AL690" s="799"/>
      <c r="AM690" s="799"/>
      <c r="AN690" s="799"/>
      <c r="AO690" s="799"/>
      <c r="AP690" s="799"/>
      <c r="AQ690" s="799"/>
      <c r="AR690" s="799"/>
      <c r="AS690" s="799"/>
      <c r="AT690" s="799"/>
      <c r="AU690" s="799"/>
      <c r="AV690" s="799"/>
      <c r="AW690" s="799"/>
      <c r="AX690" s="799"/>
      <c r="AY690" s="799"/>
      <c r="AZ690" s="799"/>
      <c r="BA690" s="799"/>
      <c r="BB690" s="799"/>
      <c r="BC690" s="799"/>
      <c r="BD690" s="799"/>
      <c r="BE690" s="799"/>
      <c r="BF690" s="799"/>
      <c r="BG690" s="799"/>
    </row>
    <row r="691">
      <c r="H691" s="799"/>
      <c r="I691" s="799"/>
      <c r="J691" s="799"/>
      <c r="K691" s="799"/>
      <c r="L691" s="799"/>
      <c r="M691" s="799"/>
      <c r="N691" s="799"/>
      <c r="O691" s="799"/>
      <c r="P691" s="799"/>
      <c r="Q691" s="799"/>
      <c r="R691" s="799"/>
      <c r="S691" s="799"/>
      <c r="T691" s="799"/>
      <c r="U691" s="799"/>
      <c r="V691" s="799"/>
      <c r="W691" s="799"/>
      <c r="X691" s="799"/>
      <c r="Y691" s="799"/>
      <c r="Z691" s="799"/>
      <c r="AA691" s="799"/>
      <c r="AB691" s="799"/>
      <c r="AC691" s="799"/>
      <c r="AD691" s="799"/>
      <c r="AE691" s="799"/>
      <c r="AF691" s="799"/>
      <c r="AG691" s="799"/>
      <c r="AH691" s="799"/>
      <c r="AI691" s="799"/>
      <c r="AJ691" s="799"/>
      <c r="AK691" s="799"/>
      <c r="AL691" s="799"/>
      <c r="AM691" s="799"/>
      <c r="AN691" s="799"/>
      <c r="AO691" s="799"/>
      <c r="AP691" s="799"/>
      <c r="AQ691" s="799"/>
      <c r="AR691" s="799"/>
      <c r="AS691" s="799"/>
      <c r="AT691" s="799"/>
      <c r="AU691" s="799"/>
      <c r="AV691" s="799"/>
      <c r="AW691" s="799"/>
      <c r="AX691" s="799"/>
      <c r="AY691" s="799"/>
      <c r="AZ691" s="799"/>
      <c r="BA691" s="799"/>
      <c r="BB691" s="799"/>
      <c r="BC691" s="799"/>
      <c r="BD691" s="799"/>
      <c r="BE691" s="799"/>
      <c r="BF691" s="799"/>
      <c r="BG691" s="799"/>
    </row>
    <row r="692">
      <c r="H692" s="799"/>
      <c r="I692" s="799"/>
      <c r="J692" s="799"/>
      <c r="K692" s="799"/>
      <c r="L692" s="799"/>
      <c r="M692" s="799"/>
      <c r="N692" s="799"/>
      <c r="O692" s="799"/>
      <c r="P692" s="799"/>
      <c r="Q692" s="799"/>
      <c r="R692" s="799"/>
      <c r="S692" s="799"/>
      <c r="T692" s="799"/>
      <c r="U692" s="799"/>
      <c r="V692" s="799"/>
      <c r="W692" s="799"/>
      <c r="X692" s="799"/>
      <c r="Y692" s="799"/>
      <c r="Z692" s="799"/>
      <c r="AA692" s="799"/>
      <c r="AB692" s="799"/>
      <c r="AC692" s="799"/>
      <c r="AD692" s="799"/>
      <c r="AE692" s="799"/>
      <c r="AF692" s="799"/>
      <c r="AG692" s="799"/>
      <c r="AH692" s="799"/>
      <c r="AI692" s="799"/>
      <c r="AJ692" s="799"/>
      <c r="AK692" s="799"/>
      <c r="AL692" s="799"/>
      <c r="AM692" s="799"/>
      <c r="AN692" s="799"/>
      <c r="AO692" s="799"/>
      <c r="AP692" s="799"/>
      <c r="AQ692" s="799"/>
      <c r="AR692" s="799"/>
      <c r="AS692" s="799"/>
      <c r="AT692" s="799"/>
      <c r="AU692" s="799"/>
      <c r="AV692" s="799"/>
      <c r="AW692" s="799"/>
      <c r="AX692" s="799"/>
      <c r="AY692" s="799"/>
      <c r="AZ692" s="799"/>
      <c r="BA692" s="799"/>
      <c r="BB692" s="799"/>
      <c r="BC692" s="799"/>
      <c r="BD692" s="799"/>
      <c r="BE692" s="799"/>
      <c r="BF692" s="799"/>
      <c r="BG692" s="799"/>
    </row>
    <row r="693">
      <c r="H693" s="799"/>
      <c r="I693" s="799"/>
      <c r="J693" s="799"/>
      <c r="K693" s="799"/>
      <c r="L693" s="799"/>
      <c r="M693" s="799"/>
      <c r="N693" s="799"/>
      <c r="O693" s="799"/>
      <c r="P693" s="799"/>
      <c r="Q693" s="799"/>
      <c r="R693" s="799"/>
      <c r="S693" s="799"/>
      <c r="T693" s="799"/>
      <c r="U693" s="799"/>
      <c r="V693" s="799"/>
      <c r="W693" s="799"/>
      <c r="X693" s="799"/>
      <c r="Y693" s="799"/>
      <c r="Z693" s="799"/>
      <c r="AA693" s="799"/>
      <c r="AB693" s="799"/>
      <c r="AC693" s="799"/>
      <c r="AD693" s="799"/>
      <c r="AE693" s="799"/>
      <c r="AF693" s="799"/>
      <c r="AG693" s="799"/>
      <c r="AH693" s="799"/>
      <c r="AI693" s="799"/>
      <c r="AJ693" s="799"/>
      <c r="AK693" s="799"/>
      <c r="AL693" s="799"/>
      <c r="AM693" s="799"/>
      <c r="AN693" s="799"/>
      <c r="AO693" s="799"/>
      <c r="AP693" s="799"/>
      <c r="AQ693" s="799"/>
      <c r="AR693" s="799"/>
      <c r="AS693" s="799"/>
      <c r="AT693" s="799"/>
      <c r="AU693" s="799"/>
      <c r="AV693" s="799"/>
      <c r="AW693" s="799"/>
      <c r="AX693" s="799"/>
      <c r="AY693" s="799"/>
      <c r="AZ693" s="799"/>
      <c r="BA693" s="799"/>
      <c r="BB693" s="799"/>
      <c r="BC693" s="799"/>
      <c r="BD693" s="799"/>
      <c r="BE693" s="799"/>
      <c r="BF693" s="799"/>
      <c r="BG693" s="799"/>
    </row>
    <row r="694">
      <c r="H694" s="799"/>
      <c r="I694" s="799"/>
      <c r="J694" s="799"/>
      <c r="K694" s="799"/>
      <c r="L694" s="799"/>
      <c r="M694" s="799"/>
      <c r="N694" s="799"/>
      <c r="O694" s="799"/>
      <c r="P694" s="799"/>
      <c r="Q694" s="799"/>
      <c r="R694" s="799"/>
      <c r="S694" s="799"/>
      <c r="T694" s="799"/>
      <c r="U694" s="799"/>
      <c r="V694" s="799"/>
      <c r="W694" s="799"/>
      <c r="X694" s="799"/>
      <c r="Y694" s="799"/>
      <c r="Z694" s="799"/>
      <c r="AA694" s="799"/>
      <c r="AB694" s="799"/>
      <c r="AC694" s="799"/>
      <c r="AD694" s="799"/>
      <c r="AE694" s="799"/>
      <c r="AF694" s="799"/>
      <c r="AG694" s="799"/>
      <c r="AH694" s="799"/>
      <c r="AI694" s="799"/>
      <c r="AJ694" s="799"/>
      <c r="AK694" s="799"/>
      <c r="AL694" s="799"/>
      <c r="AM694" s="799"/>
      <c r="AN694" s="799"/>
      <c r="AO694" s="799"/>
      <c r="AP694" s="799"/>
      <c r="AQ694" s="799"/>
      <c r="AR694" s="799"/>
      <c r="AS694" s="799"/>
      <c r="AT694" s="799"/>
      <c r="AU694" s="799"/>
      <c r="AV694" s="799"/>
      <c r="AW694" s="799"/>
      <c r="AX694" s="799"/>
      <c r="AY694" s="799"/>
      <c r="AZ694" s="799"/>
      <c r="BA694" s="799"/>
      <c r="BB694" s="799"/>
      <c r="BC694" s="799"/>
      <c r="BD694" s="799"/>
      <c r="BE694" s="799"/>
      <c r="BF694" s="799"/>
      <c r="BG694" s="799"/>
    </row>
    <row r="695">
      <c r="H695" s="799"/>
      <c r="I695" s="799"/>
      <c r="J695" s="799"/>
      <c r="K695" s="799"/>
      <c r="L695" s="799"/>
      <c r="M695" s="799"/>
      <c r="N695" s="799"/>
      <c r="O695" s="799"/>
      <c r="P695" s="799"/>
      <c r="Q695" s="799"/>
      <c r="R695" s="799"/>
      <c r="S695" s="799"/>
      <c r="T695" s="799"/>
      <c r="U695" s="799"/>
      <c r="V695" s="799"/>
      <c r="W695" s="799"/>
      <c r="X695" s="799"/>
      <c r="Y695" s="799"/>
      <c r="Z695" s="799"/>
      <c r="AA695" s="799"/>
      <c r="AB695" s="799"/>
      <c r="AC695" s="799"/>
      <c r="AD695" s="799"/>
      <c r="AE695" s="799"/>
      <c r="AF695" s="799"/>
      <c r="AG695" s="799"/>
      <c r="AH695" s="799"/>
      <c r="AI695" s="799"/>
      <c r="AJ695" s="799"/>
      <c r="AK695" s="799"/>
      <c r="AL695" s="799"/>
      <c r="AM695" s="799"/>
      <c r="AN695" s="799"/>
      <c r="AO695" s="799"/>
      <c r="AP695" s="799"/>
      <c r="AQ695" s="799"/>
      <c r="AR695" s="799"/>
      <c r="AS695" s="799"/>
      <c r="AT695" s="799"/>
      <c r="AU695" s="799"/>
      <c r="AV695" s="799"/>
      <c r="AW695" s="799"/>
      <c r="AX695" s="799"/>
      <c r="AY695" s="799"/>
      <c r="AZ695" s="799"/>
      <c r="BA695" s="799"/>
      <c r="BB695" s="799"/>
      <c r="BC695" s="799"/>
      <c r="BD695" s="799"/>
      <c r="BE695" s="799"/>
      <c r="BF695" s="799"/>
      <c r="BG695" s="799"/>
    </row>
    <row r="696">
      <c r="H696" s="799"/>
      <c r="I696" s="799"/>
      <c r="J696" s="799"/>
      <c r="K696" s="799"/>
      <c r="L696" s="799"/>
      <c r="M696" s="799"/>
      <c r="N696" s="799"/>
      <c r="O696" s="799"/>
      <c r="P696" s="799"/>
      <c r="Q696" s="799"/>
      <c r="R696" s="799"/>
      <c r="S696" s="799"/>
      <c r="T696" s="799"/>
      <c r="U696" s="799"/>
      <c r="V696" s="799"/>
      <c r="W696" s="799"/>
      <c r="X696" s="799"/>
      <c r="Y696" s="799"/>
      <c r="Z696" s="799"/>
      <c r="AA696" s="799"/>
      <c r="AB696" s="799"/>
      <c r="AC696" s="799"/>
      <c r="AD696" s="799"/>
      <c r="AE696" s="799"/>
      <c r="AF696" s="799"/>
      <c r="AG696" s="799"/>
      <c r="AH696" s="799"/>
      <c r="AI696" s="799"/>
      <c r="AJ696" s="799"/>
      <c r="AK696" s="799"/>
      <c r="AL696" s="799"/>
      <c r="AM696" s="799"/>
      <c r="AN696" s="799"/>
      <c r="AO696" s="799"/>
      <c r="AP696" s="799"/>
      <c r="AQ696" s="799"/>
      <c r="AR696" s="799"/>
      <c r="AS696" s="799"/>
      <c r="AT696" s="799"/>
      <c r="AU696" s="799"/>
      <c r="AV696" s="799"/>
      <c r="AW696" s="799"/>
      <c r="AX696" s="799"/>
      <c r="AY696" s="799"/>
      <c r="AZ696" s="799"/>
      <c r="BA696" s="799"/>
      <c r="BB696" s="799"/>
      <c r="BC696" s="799"/>
      <c r="BD696" s="799"/>
      <c r="BE696" s="799"/>
      <c r="BF696" s="799"/>
      <c r="BG696" s="799"/>
    </row>
    <row r="697">
      <c r="H697" s="799"/>
      <c r="I697" s="799"/>
      <c r="J697" s="799"/>
      <c r="K697" s="799"/>
      <c r="L697" s="799"/>
      <c r="M697" s="799"/>
      <c r="N697" s="799"/>
      <c r="O697" s="799"/>
      <c r="P697" s="799"/>
      <c r="Q697" s="799"/>
      <c r="R697" s="799"/>
      <c r="S697" s="799"/>
      <c r="T697" s="799"/>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799"/>
      <c r="AX697" s="799"/>
      <c r="AY697" s="799"/>
      <c r="AZ697" s="799"/>
      <c r="BA697" s="799"/>
      <c r="BB697" s="799"/>
      <c r="BC697" s="799"/>
      <c r="BD697" s="799"/>
      <c r="BE697" s="799"/>
      <c r="BF697" s="799"/>
      <c r="BG697" s="799"/>
    </row>
    <row r="698">
      <c r="H698" s="799"/>
      <c r="I698" s="799"/>
      <c r="J698" s="799"/>
      <c r="K698" s="799"/>
      <c r="L698" s="799"/>
      <c r="M698" s="799"/>
      <c r="N698" s="799"/>
      <c r="O698" s="799"/>
      <c r="P698" s="799"/>
      <c r="Q698" s="799"/>
      <c r="R698" s="799"/>
      <c r="S698" s="799"/>
      <c r="T698" s="799"/>
      <c r="U698" s="799"/>
      <c r="V698" s="799"/>
      <c r="W698" s="799"/>
      <c r="X698" s="799"/>
      <c r="Y698" s="799"/>
      <c r="Z698" s="799"/>
      <c r="AA698" s="799"/>
      <c r="AB698" s="799"/>
      <c r="AC698" s="799"/>
      <c r="AD698" s="799"/>
      <c r="AE698" s="799"/>
      <c r="AF698" s="799"/>
      <c r="AG698" s="799"/>
      <c r="AH698" s="799"/>
      <c r="AI698" s="799"/>
      <c r="AJ698" s="799"/>
      <c r="AK698" s="799"/>
      <c r="AL698" s="799"/>
      <c r="AM698" s="799"/>
      <c r="AN698" s="799"/>
      <c r="AO698" s="799"/>
      <c r="AP698" s="799"/>
      <c r="AQ698" s="799"/>
      <c r="AR698" s="799"/>
      <c r="AS698" s="799"/>
      <c r="AT698" s="799"/>
      <c r="AU698" s="799"/>
      <c r="AV698" s="799"/>
      <c r="AW698" s="799"/>
      <c r="AX698" s="799"/>
      <c r="AY698" s="799"/>
      <c r="AZ698" s="799"/>
      <c r="BA698" s="799"/>
      <c r="BB698" s="799"/>
      <c r="BC698" s="799"/>
      <c r="BD698" s="799"/>
      <c r="BE698" s="799"/>
      <c r="BF698" s="799"/>
      <c r="BG698" s="799"/>
    </row>
    <row r="699">
      <c r="H699" s="799"/>
      <c r="I699" s="799"/>
      <c r="J699" s="799"/>
      <c r="K699" s="799"/>
      <c r="L699" s="799"/>
      <c r="M699" s="799"/>
      <c r="N699" s="799"/>
      <c r="O699" s="799"/>
      <c r="P699" s="799"/>
      <c r="Q699" s="799"/>
      <c r="R699" s="799"/>
      <c r="S699" s="799"/>
      <c r="T699" s="799"/>
      <c r="U699" s="799"/>
      <c r="V699" s="799"/>
      <c r="W699" s="799"/>
      <c r="X699" s="799"/>
      <c r="Y699" s="799"/>
      <c r="Z699" s="799"/>
      <c r="AA699" s="799"/>
      <c r="AB699" s="799"/>
      <c r="AC699" s="799"/>
      <c r="AD699" s="799"/>
      <c r="AE699" s="799"/>
      <c r="AF699" s="799"/>
      <c r="AG699" s="799"/>
      <c r="AH699" s="799"/>
      <c r="AI699" s="799"/>
      <c r="AJ699" s="799"/>
      <c r="AK699" s="799"/>
      <c r="AL699" s="799"/>
      <c r="AM699" s="799"/>
      <c r="AN699" s="799"/>
      <c r="AO699" s="799"/>
      <c r="AP699" s="799"/>
      <c r="AQ699" s="799"/>
      <c r="AR699" s="799"/>
      <c r="AS699" s="799"/>
      <c r="AT699" s="799"/>
      <c r="AU699" s="799"/>
      <c r="AV699" s="799"/>
      <c r="AW699" s="799"/>
      <c r="AX699" s="799"/>
      <c r="AY699" s="799"/>
      <c r="AZ699" s="799"/>
      <c r="BA699" s="799"/>
      <c r="BB699" s="799"/>
      <c r="BC699" s="799"/>
      <c r="BD699" s="799"/>
      <c r="BE699" s="799"/>
      <c r="BF699" s="799"/>
      <c r="BG699" s="799"/>
    </row>
    <row r="700">
      <c r="H700" s="799"/>
      <c r="I700" s="799"/>
      <c r="J700" s="799"/>
      <c r="K700" s="799"/>
      <c r="L700" s="799"/>
      <c r="M700" s="799"/>
      <c r="N700" s="799"/>
      <c r="O700" s="799"/>
      <c r="P700" s="799"/>
      <c r="Q700" s="799"/>
      <c r="R700" s="799"/>
      <c r="S700" s="799"/>
      <c r="T700" s="799"/>
      <c r="U700" s="799"/>
      <c r="V700" s="799"/>
      <c r="W700" s="799"/>
      <c r="X700" s="799"/>
      <c r="Y700" s="799"/>
      <c r="Z700" s="799"/>
      <c r="AA700" s="799"/>
      <c r="AB700" s="799"/>
      <c r="AC700" s="799"/>
      <c r="AD700" s="799"/>
      <c r="AE700" s="799"/>
      <c r="AF700" s="799"/>
      <c r="AG700" s="799"/>
      <c r="AH700" s="799"/>
      <c r="AI700" s="799"/>
      <c r="AJ700" s="799"/>
      <c r="AK700" s="799"/>
      <c r="AL700" s="799"/>
      <c r="AM700" s="799"/>
      <c r="AN700" s="799"/>
      <c r="AO700" s="799"/>
      <c r="AP700" s="799"/>
      <c r="AQ700" s="799"/>
      <c r="AR700" s="799"/>
      <c r="AS700" s="799"/>
      <c r="AT700" s="799"/>
      <c r="AU700" s="799"/>
      <c r="AV700" s="799"/>
      <c r="AW700" s="799"/>
      <c r="AX700" s="799"/>
      <c r="AY700" s="799"/>
      <c r="AZ700" s="799"/>
      <c r="BA700" s="799"/>
      <c r="BB700" s="799"/>
      <c r="BC700" s="799"/>
      <c r="BD700" s="799"/>
      <c r="BE700" s="799"/>
      <c r="BF700" s="799"/>
      <c r="BG700" s="799"/>
    </row>
    <row r="701">
      <c r="H701" s="799"/>
      <c r="I701" s="799"/>
      <c r="J701" s="799"/>
      <c r="K701" s="799"/>
      <c r="L701" s="799"/>
      <c r="M701" s="799"/>
      <c r="N701" s="799"/>
      <c r="O701" s="799"/>
      <c r="P701" s="799"/>
      <c r="Q701" s="799"/>
      <c r="R701" s="799"/>
      <c r="S701" s="799"/>
      <c r="T701" s="799"/>
      <c r="U701" s="799"/>
      <c r="V701" s="799"/>
      <c r="W701" s="799"/>
      <c r="X701" s="799"/>
      <c r="Y701" s="799"/>
      <c r="Z701" s="799"/>
      <c r="AA701" s="799"/>
      <c r="AB701" s="799"/>
      <c r="AC701" s="799"/>
      <c r="AD701" s="799"/>
      <c r="AE701" s="799"/>
      <c r="AF701" s="799"/>
      <c r="AG701" s="799"/>
      <c r="AH701" s="799"/>
      <c r="AI701" s="799"/>
      <c r="AJ701" s="799"/>
      <c r="AK701" s="799"/>
      <c r="AL701" s="799"/>
      <c r="AM701" s="799"/>
      <c r="AN701" s="799"/>
      <c r="AO701" s="799"/>
      <c r="AP701" s="799"/>
      <c r="AQ701" s="799"/>
      <c r="AR701" s="799"/>
      <c r="AS701" s="799"/>
      <c r="AT701" s="799"/>
      <c r="AU701" s="799"/>
      <c r="AV701" s="799"/>
      <c r="AW701" s="799"/>
      <c r="AX701" s="799"/>
      <c r="AY701" s="799"/>
      <c r="AZ701" s="799"/>
      <c r="BA701" s="799"/>
      <c r="BB701" s="799"/>
      <c r="BC701" s="799"/>
      <c r="BD701" s="799"/>
      <c r="BE701" s="799"/>
      <c r="BF701" s="799"/>
      <c r="BG701" s="799"/>
    </row>
    <row r="702">
      <c r="H702" s="799"/>
      <c r="I702" s="799"/>
      <c r="J702" s="799"/>
      <c r="K702" s="799"/>
      <c r="L702" s="799"/>
      <c r="M702" s="799"/>
      <c r="N702" s="799"/>
      <c r="O702" s="799"/>
      <c r="P702" s="799"/>
      <c r="Q702" s="799"/>
      <c r="R702" s="799"/>
      <c r="S702" s="799"/>
      <c r="T702" s="799"/>
      <c r="U702" s="799"/>
      <c r="V702" s="799"/>
      <c r="W702" s="799"/>
      <c r="X702" s="799"/>
      <c r="Y702" s="799"/>
      <c r="Z702" s="799"/>
      <c r="AA702" s="799"/>
      <c r="AB702" s="799"/>
      <c r="AC702" s="799"/>
      <c r="AD702" s="799"/>
      <c r="AE702" s="799"/>
      <c r="AF702" s="799"/>
      <c r="AG702" s="799"/>
      <c r="AH702" s="799"/>
      <c r="AI702" s="799"/>
      <c r="AJ702" s="799"/>
      <c r="AK702" s="799"/>
      <c r="AL702" s="799"/>
      <c r="AM702" s="799"/>
      <c r="AN702" s="799"/>
      <c r="AO702" s="799"/>
      <c r="AP702" s="799"/>
      <c r="AQ702" s="799"/>
      <c r="AR702" s="799"/>
      <c r="AS702" s="799"/>
      <c r="AT702" s="799"/>
      <c r="AU702" s="799"/>
      <c r="AV702" s="799"/>
      <c r="AW702" s="799"/>
      <c r="AX702" s="799"/>
      <c r="AY702" s="799"/>
      <c r="AZ702" s="799"/>
      <c r="BA702" s="799"/>
      <c r="BB702" s="799"/>
      <c r="BC702" s="799"/>
      <c r="BD702" s="799"/>
      <c r="BE702" s="799"/>
      <c r="BF702" s="799"/>
      <c r="BG702" s="799"/>
    </row>
    <row r="703">
      <c r="H703" s="799"/>
      <c r="I703" s="799"/>
      <c r="J703" s="799"/>
      <c r="K703" s="799"/>
      <c r="L703" s="799"/>
      <c r="M703" s="799"/>
      <c r="N703" s="799"/>
      <c r="O703" s="799"/>
      <c r="P703" s="799"/>
      <c r="Q703" s="799"/>
      <c r="R703" s="799"/>
      <c r="S703" s="799"/>
      <c r="T703" s="799"/>
      <c r="U703" s="799"/>
      <c r="V703" s="799"/>
      <c r="W703" s="799"/>
      <c r="X703" s="799"/>
      <c r="Y703" s="799"/>
      <c r="Z703" s="799"/>
      <c r="AA703" s="799"/>
      <c r="AB703" s="799"/>
      <c r="AC703" s="799"/>
      <c r="AD703" s="799"/>
      <c r="AE703" s="799"/>
      <c r="AF703" s="799"/>
      <c r="AG703" s="799"/>
      <c r="AH703" s="799"/>
      <c r="AI703" s="799"/>
      <c r="AJ703" s="799"/>
      <c r="AK703" s="799"/>
      <c r="AL703" s="799"/>
      <c r="AM703" s="799"/>
      <c r="AN703" s="799"/>
      <c r="AO703" s="799"/>
      <c r="AP703" s="799"/>
      <c r="AQ703" s="799"/>
      <c r="AR703" s="799"/>
      <c r="AS703" s="799"/>
      <c r="AT703" s="799"/>
      <c r="AU703" s="799"/>
      <c r="AV703" s="799"/>
      <c r="AW703" s="799"/>
      <c r="AX703" s="799"/>
      <c r="AY703" s="799"/>
      <c r="AZ703" s="799"/>
      <c r="BA703" s="799"/>
      <c r="BB703" s="799"/>
      <c r="BC703" s="799"/>
      <c r="BD703" s="799"/>
      <c r="BE703" s="799"/>
      <c r="BF703" s="799"/>
      <c r="BG703" s="799"/>
    </row>
    <row r="704">
      <c r="H704" s="799"/>
      <c r="I704" s="799"/>
      <c r="J704" s="799"/>
      <c r="K704" s="799"/>
      <c r="L704" s="799"/>
      <c r="M704" s="799"/>
      <c r="N704" s="799"/>
      <c r="O704" s="799"/>
      <c r="P704" s="799"/>
      <c r="Q704" s="799"/>
      <c r="R704" s="799"/>
      <c r="S704" s="799"/>
      <c r="T704" s="799"/>
      <c r="U704" s="799"/>
      <c r="V704" s="799"/>
      <c r="W704" s="799"/>
      <c r="X704" s="799"/>
      <c r="Y704" s="799"/>
      <c r="Z704" s="799"/>
      <c r="AA704" s="799"/>
      <c r="AB704" s="799"/>
      <c r="AC704" s="799"/>
      <c r="AD704" s="799"/>
      <c r="AE704" s="799"/>
      <c r="AF704" s="799"/>
      <c r="AG704" s="799"/>
      <c r="AH704" s="799"/>
      <c r="AI704" s="799"/>
      <c r="AJ704" s="799"/>
      <c r="AK704" s="799"/>
      <c r="AL704" s="799"/>
      <c r="AM704" s="799"/>
      <c r="AN704" s="799"/>
      <c r="AO704" s="799"/>
      <c r="AP704" s="799"/>
      <c r="AQ704" s="799"/>
      <c r="AR704" s="799"/>
      <c r="AS704" s="799"/>
      <c r="AT704" s="799"/>
      <c r="AU704" s="799"/>
      <c r="AV704" s="799"/>
      <c r="AW704" s="799"/>
      <c r="AX704" s="799"/>
      <c r="AY704" s="799"/>
      <c r="AZ704" s="799"/>
      <c r="BA704" s="799"/>
      <c r="BB704" s="799"/>
      <c r="BC704" s="799"/>
      <c r="BD704" s="799"/>
      <c r="BE704" s="799"/>
      <c r="BF704" s="799"/>
      <c r="BG704" s="799"/>
    </row>
    <row r="705">
      <c r="H705" s="799"/>
      <c r="I705" s="799"/>
      <c r="J705" s="799"/>
      <c r="K705" s="799"/>
      <c r="L705" s="799"/>
      <c r="M705" s="799"/>
      <c r="N705" s="799"/>
      <c r="O705" s="799"/>
      <c r="P705" s="799"/>
      <c r="Q705" s="799"/>
      <c r="R705" s="799"/>
      <c r="S705" s="799"/>
      <c r="T705" s="799"/>
      <c r="U705" s="799"/>
      <c r="V705" s="799"/>
      <c r="W705" s="799"/>
      <c r="X705" s="799"/>
      <c r="Y705" s="799"/>
      <c r="Z705" s="799"/>
      <c r="AA705" s="799"/>
      <c r="AB705" s="799"/>
      <c r="AC705" s="799"/>
      <c r="AD705" s="799"/>
      <c r="AE705" s="799"/>
      <c r="AF705" s="799"/>
      <c r="AG705" s="799"/>
      <c r="AH705" s="799"/>
      <c r="AI705" s="799"/>
      <c r="AJ705" s="799"/>
      <c r="AK705" s="799"/>
      <c r="AL705" s="799"/>
      <c r="AM705" s="799"/>
      <c r="AN705" s="799"/>
      <c r="AO705" s="799"/>
      <c r="AP705" s="799"/>
      <c r="AQ705" s="799"/>
      <c r="AR705" s="799"/>
      <c r="AS705" s="799"/>
      <c r="AT705" s="799"/>
      <c r="AU705" s="799"/>
      <c r="AV705" s="799"/>
      <c r="AW705" s="799"/>
      <c r="AX705" s="799"/>
      <c r="AY705" s="799"/>
      <c r="AZ705" s="799"/>
      <c r="BA705" s="799"/>
      <c r="BB705" s="799"/>
      <c r="BC705" s="799"/>
      <c r="BD705" s="799"/>
      <c r="BE705" s="799"/>
      <c r="BF705" s="799"/>
      <c r="BG705" s="799"/>
    </row>
    <row r="706">
      <c r="H706" s="799"/>
      <c r="I706" s="799"/>
      <c r="J706" s="799"/>
      <c r="K706" s="799"/>
      <c r="L706" s="799"/>
      <c r="M706" s="799"/>
      <c r="N706" s="799"/>
      <c r="O706" s="799"/>
      <c r="P706" s="799"/>
      <c r="Q706" s="799"/>
      <c r="R706" s="799"/>
      <c r="S706" s="799"/>
      <c r="T706" s="799"/>
      <c r="U706" s="799"/>
      <c r="V706" s="799"/>
      <c r="W706" s="799"/>
      <c r="X706" s="799"/>
      <c r="Y706" s="799"/>
      <c r="Z706" s="799"/>
      <c r="AA706" s="799"/>
      <c r="AB706" s="799"/>
      <c r="AC706" s="799"/>
      <c r="AD706" s="799"/>
      <c r="AE706" s="799"/>
      <c r="AF706" s="799"/>
      <c r="AG706" s="799"/>
      <c r="AH706" s="799"/>
      <c r="AI706" s="799"/>
      <c r="AJ706" s="799"/>
      <c r="AK706" s="799"/>
      <c r="AL706" s="799"/>
      <c r="AM706" s="799"/>
      <c r="AN706" s="799"/>
      <c r="AO706" s="799"/>
      <c r="AP706" s="799"/>
      <c r="AQ706" s="799"/>
      <c r="AR706" s="799"/>
      <c r="AS706" s="799"/>
      <c r="AT706" s="799"/>
      <c r="AU706" s="799"/>
      <c r="AV706" s="799"/>
      <c r="AW706" s="799"/>
      <c r="AX706" s="799"/>
      <c r="AY706" s="799"/>
      <c r="AZ706" s="799"/>
      <c r="BA706" s="799"/>
      <c r="BB706" s="799"/>
      <c r="BC706" s="799"/>
      <c r="BD706" s="799"/>
      <c r="BE706" s="799"/>
      <c r="BF706" s="799"/>
      <c r="BG706" s="799"/>
    </row>
    <row r="707">
      <c r="H707" s="799"/>
      <c r="I707" s="799"/>
      <c r="J707" s="799"/>
      <c r="K707" s="799"/>
      <c r="L707" s="799"/>
      <c r="M707" s="799"/>
      <c r="N707" s="799"/>
      <c r="O707" s="799"/>
      <c r="P707" s="799"/>
      <c r="Q707" s="799"/>
      <c r="R707" s="799"/>
      <c r="S707" s="799"/>
      <c r="T707" s="799"/>
      <c r="U707" s="799"/>
      <c r="V707" s="799"/>
      <c r="W707" s="799"/>
      <c r="X707" s="799"/>
      <c r="Y707" s="799"/>
      <c r="Z707" s="799"/>
      <c r="AA707" s="799"/>
      <c r="AB707" s="799"/>
      <c r="AC707" s="799"/>
      <c r="AD707" s="799"/>
      <c r="AE707" s="799"/>
      <c r="AF707" s="799"/>
      <c r="AG707" s="799"/>
      <c r="AH707" s="799"/>
      <c r="AI707" s="799"/>
      <c r="AJ707" s="799"/>
      <c r="AK707" s="799"/>
      <c r="AL707" s="799"/>
      <c r="AM707" s="799"/>
      <c r="AN707" s="799"/>
      <c r="AO707" s="799"/>
      <c r="AP707" s="799"/>
      <c r="AQ707" s="799"/>
      <c r="AR707" s="799"/>
      <c r="AS707" s="799"/>
      <c r="AT707" s="799"/>
      <c r="AU707" s="799"/>
      <c r="AV707" s="799"/>
      <c r="AW707" s="799"/>
      <c r="AX707" s="799"/>
      <c r="AY707" s="799"/>
      <c r="AZ707" s="799"/>
      <c r="BA707" s="799"/>
      <c r="BB707" s="799"/>
      <c r="BC707" s="799"/>
      <c r="BD707" s="799"/>
      <c r="BE707" s="799"/>
      <c r="BF707" s="799"/>
      <c r="BG707" s="799"/>
    </row>
    <row r="708">
      <c r="H708" s="799"/>
      <c r="I708" s="799"/>
      <c r="J708" s="799"/>
      <c r="K708" s="799"/>
      <c r="L708" s="799"/>
      <c r="M708" s="799"/>
      <c r="N708" s="799"/>
      <c r="O708" s="799"/>
      <c r="P708" s="799"/>
      <c r="Q708" s="799"/>
      <c r="R708" s="799"/>
      <c r="S708" s="799"/>
      <c r="T708" s="799"/>
      <c r="U708" s="799"/>
      <c r="V708" s="799"/>
      <c r="W708" s="799"/>
      <c r="X708" s="799"/>
      <c r="Y708" s="799"/>
      <c r="Z708" s="799"/>
      <c r="AA708" s="799"/>
      <c r="AB708" s="799"/>
      <c r="AC708" s="799"/>
      <c r="AD708" s="799"/>
      <c r="AE708" s="799"/>
      <c r="AF708" s="799"/>
      <c r="AG708" s="799"/>
      <c r="AH708" s="799"/>
      <c r="AI708" s="799"/>
      <c r="AJ708" s="799"/>
      <c r="AK708" s="799"/>
      <c r="AL708" s="799"/>
      <c r="AM708" s="799"/>
      <c r="AN708" s="799"/>
      <c r="AO708" s="799"/>
      <c r="AP708" s="799"/>
      <c r="AQ708" s="799"/>
      <c r="AR708" s="799"/>
      <c r="AS708" s="799"/>
      <c r="AT708" s="799"/>
      <c r="AU708" s="799"/>
      <c r="AV708" s="799"/>
      <c r="AW708" s="799"/>
      <c r="AX708" s="799"/>
      <c r="AY708" s="799"/>
      <c r="AZ708" s="799"/>
      <c r="BA708" s="799"/>
      <c r="BB708" s="799"/>
      <c r="BC708" s="799"/>
      <c r="BD708" s="799"/>
      <c r="BE708" s="799"/>
      <c r="BF708" s="799"/>
      <c r="BG708" s="799"/>
    </row>
    <row r="709">
      <c r="H709" s="799"/>
      <c r="I709" s="799"/>
      <c r="J709" s="799"/>
      <c r="K709" s="799"/>
      <c r="L709" s="799"/>
      <c r="M709" s="799"/>
      <c r="N709" s="799"/>
      <c r="O709" s="799"/>
      <c r="P709" s="799"/>
      <c r="Q709" s="799"/>
      <c r="R709" s="799"/>
      <c r="S709" s="799"/>
      <c r="T709" s="799"/>
      <c r="U709" s="799"/>
      <c r="V709" s="799"/>
      <c r="W709" s="799"/>
      <c r="X709" s="799"/>
      <c r="Y709" s="799"/>
      <c r="Z709" s="799"/>
      <c r="AA709" s="799"/>
      <c r="AB709" s="799"/>
      <c r="AC709" s="799"/>
      <c r="AD709" s="799"/>
      <c r="AE709" s="799"/>
      <c r="AF709" s="799"/>
      <c r="AG709" s="799"/>
      <c r="AH709" s="799"/>
      <c r="AI709" s="799"/>
      <c r="AJ709" s="799"/>
      <c r="AK709" s="799"/>
      <c r="AL709" s="799"/>
      <c r="AM709" s="799"/>
      <c r="AN709" s="799"/>
      <c r="AO709" s="799"/>
      <c r="AP709" s="799"/>
      <c r="AQ709" s="799"/>
      <c r="AR709" s="799"/>
      <c r="AS709" s="799"/>
      <c r="AT709" s="799"/>
      <c r="AU709" s="799"/>
      <c r="AV709" s="799"/>
      <c r="AW709" s="799"/>
      <c r="AX709" s="799"/>
      <c r="AY709" s="799"/>
      <c r="AZ709" s="799"/>
      <c r="BA709" s="799"/>
      <c r="BB709" s="799"/>
      <c r="BC709" s="799"/>
      <c r="BD709" s="799"/>
      <c r="BE709" s="799"/>
      <c r="BF709" s="799"/>
      <c r="BG709" s="799"/>
    </row>
    <row r="710">
      <c r="H710" s="799"/>
      <c r="I710" s="799"/>
      <c r="J710" s="799"/>
      <c r="K710" s="799"/>
      <c r="L710" s="799"/>
      <c r="M710" s="799"/>
      <c r="N710" s="799"/>
      <c r="O710" s="799"/>
      <c r="P710" s="799"/>
      <c r="Q710" s="799"/>
      <c r="R710" s="799"/>
      <c r="S710" s="799"/>
      <c r="T710" s="799"/>
      <c r="U710" s="799"/>
      <c r="V710" s="799"/>
      <c r="W710" s="799"/>
      <c r="X710" s="799"/>
      <c r="Y710" s="799"/>
      <c r="Z710" s="799"/>
      <c r="AA710" s="799"/>
      <c r="AB710" s="799"/>
      <c r="AC710" s="799"/>
      <c r="AD710" s="799"/>
      <c r="AE710" s="799"/>
      <c r="AF710" s="799"/>
      <c r="AG710" s="799"/>
      <c r="AH710" s="799"/>
      <c r="AI710" s="799"/>
      <c r="AJ710" s="799"/>
      <c r="AK710" s="799"/>
      <c r="AL710" s="799"/>
      <c r="AM710" s="799"/>
      <c r="AN710" s="799"/>
      <c r="AO710" s="799"/>
      <c r="AP710" s="799"/>
      <c r="AQ710" s="799"/>
      <c r="AR710" s="799"/>
      <c r="AS710" s="799"/>
      <c r="AT710" s="799"/>
      <c r="AU710" s="799"/>
      <c r="AV710" s="799"/>
      <c r="AW710" s="799"/>
      <c r="AX710" s="799"/>
      <c r="AY710" s="799"/>
      <c r="AZ710" s="799"/>
      <c r="BA710" s="799"/>
      <c r="BB710" s="799"/>
      <c r="BC710" s="799"/>
      <c r="BD710" s="799"/>
      <c r="BE710" s="799"/>
      <c r="BF710" s="799"/>
      <c r="BG710" s="799"/>
    </row>
    <row r="711">
      <c r="H711" s="799"/>
      <c r="I711" s="799"/>
      <c r="J711" s="799"/>
      <c r="K711" s="799"/>
      <c r="L711" s="799"/>
      <c r="M711" s="799"/>
      <c r="N711" s="799"/>
      <c r="O711" s="799"/>
      <c r="P711" s="799"/>
      <c r="Q711" s="799"/>
      <c r="R711" s="799"/>
      <c r="S711" s="799"/>
      <c r="T711" s="799"/>
      <c r="U711" s="799"/>
      <c r="V711" s="799"/>
      <c r="W711" s="799"/>
      <c r="X711" s="799"/>
      <c r="Y711" s="799"/>
      <c r="Z711" s="799"/>
      <c r="AA711" s="799"/>
      <c r="AB711" s="799"/>
      <c r="AC711" s="799"/>
      <c r="AD711" s="799"/>
      <c r="AE711" s="799"/>
      <c r="AF711" s="799"/>
      <c r="AG711" s="799"/>
      <c r="AH711" s="799"/>
      <c r="AI711" s="799"/>
      <c r="AJ711" s="799"/>
      <c r="AK711" s="799"/>
      <c r="AL711" s="799"/>
      <c r="AM711" s="799"/>
      <c r="AN711" s="799"/>
      <c r="AO711" s="799"/>
      <c r="AP711" s="799"/>
      <c r="AQ711" s="799"/>
      <c r="AR711" s="799"/>
      <c r="AS711" s="799"/>
      <c r="AT711" s="799"/>
      <c r="AU711" s="799"/>
      <c r="AV711" s="799"/>
      <c r="AW711" s="799"/>
      <c r="AX711" s="799"/>
      <c r="AY711" s="799"/>
      <c r="AZ711" s="799"/>
      <c r="BA711" s="799"/>
      <c r="BB711" s="799"/>
      <c r="BC711" s="799"/>
      <c r="BD711" s="799"/>
      <c r="BE711" s="799"/>
      <c r="BF711" s="799"/>
      <c r="BG711" s="799"/>
    </row>
    <row r="712">
      <c r="H712" s="799"/>
      <c r="I712" s="799"/>
      <c r="J712" s="799"/>
      <c r="K712" s="799"/>
      <c r="L712" s="799"/>
      <c r="M712" s="799"/>
      <c r="N712" s="799"/>
      <c r="O712" s="799"/>
      <c r="P712" s="799"/>
      <c r="Q712" s="799"/>
      <c r="R712" s="799"/>
      <c r="S712" s="799"/>
      <c r="T712" s="799"/>
      <c r="U712" s="799"/>
      <c r="V712" s="799"/>
      <c r="W712" s="799"/>
      <c r="X712" s="799"/>
      <c r="Y712" s="799"/>
      <c r="Z712" s="799"/>
      <c r="AA712" s="799"/>
      <c r="AB712" s="799"/>
      <c r="AC712" s="799"/>
      <c r="AD712" s="799"/>
      <c r="AE712" s="799"/>
      <c r="AF712" s="799"/>
      <c r="AG712" s="799"/>
      <c r="AH712" s="799"/>
      <c r="AI712" s="799"/>
      <c r="AJ712" s="799"/>
      <c r="AK712" s="799"/>
      <c r="AL712" s="799"/>
      <c r="AM712" s="799"/>
      <c r="AN712" s="799"/>
      <c r="AO712" s="799"/>
      <c r="AP712" s="799"/>
      <c r="AQ712" s="799"/>
      <c r="AR712" s="799"/>
      <c r="AS712" s="799"/>
      <c r="AT712" s="799"/>
      <c r="AU712" s="799"/>
      <c r="AV712" s="799"/>
      <c r="AW712" s="799"/>
      <c r="AX712" s="799"/>
      <c r="AY712" s="799"/>
      <c r="AZ712" s="799"/>
      <c r="BA712" s="799"/>
      <c r="BB712" s="799"/>
      <c r="BC712" s="799"/>
      <c r="BD712" s="799"/>
      <c r="BE712" s="799"/>
      <c r="BF712" s="799"/>
      <c r="BG712" s="799"/>
    </row>
    <row r="713">
      <c r="H713" s="799"/>
      <c r="I713" s="799"/>
      <c r="J713" s="799"/>
      <c r="K713" s="799"/>
      <c r="L713" s="799"/>
      <c r="M713" s="799"/>
      <c r="N713" s="799"/>
      <c r="O713" s="799"/>
      <c r="P713" s="799"/>
      <c r="Q713" s="799"/>
      <c r="R713" s="799"/>
      <c r="S713" s="799"/>
      <c r="T713" s="799"/>
      <c r="U713" s="799"/>
      <c r="V713" s="799"/>
      <c r="W713" s="799"/>
      <c r="X713" s="799"/>
      <c r="Y713" s="799"/>
      <c r="Z713" s="799"/>
      <c r="AA713" s="799"/>
      <c r="AB713" s="799"/>
      <c r="AC713" s="799"/>
      <c r="AD713" s="799"/>
      <c r="AE713" s="799"/>
      <c r="AF713" s="799"/>
      <c r="AG713" s="799"/>
      <c r="AH713" s="799"/>
      <c r="AI713" s="799"/>
      <c r="AJ713" s="799"/>
      <c r="AK713" s="799"/>
      <c r="AL713" s="799"/>
      <c r="AM713" s="799"/>
      <c r="AN713" s="799"/>
      <c r="AO713" s="799"/>
      <c r="AP713" s="799"/>
      <c r="AQ713" s="799"/>
      <c r="AR713" s="799"/>
      <c r="AS713" s="799"/>
      <c r="AT713" s="799"/>
      <c r="AU713" s="799"/>
      <c r="AV713" s="799"/>
      <c r="AW713" s="799"/>
      <c r="AX713" s="799"/>
      <c r="AY713" s="799"/>
      <c r="AZ713" s="799"/>
      <c r="BA713" s="799"/>
      <c r="BB713" s="799"/>
      <c r="BC713" s="799"/>
      <c r="BD713" s="799"/>
      <c r="BE713" s="799"/>
      <c r="BF713" s="799"/>
      <c r="BG713" s="799"/>
    </row>
    <row r="714">
      <c r="H714" s="799"/>
      <c r="I714" s="799"/>
      <c r="J714" s="799"/>
      <c r="K714" s="799"/>
      <c r="L714" s="799"/>
      <c r="M714" s="799"/>
      <c r="N714" s="799"/>
      <c r="O714" s="799"/>
      <c r="P714" s="799"/>
      <c r="Q714" s="799"/>
      <c r="R714" s="799"/>
      <c r="S714" s="799"/>
      <c r="T714" s="799"/>
      <c r="U714" s="799"/>
      <c r="V714" s="799"/>
      <c r="W714" s="799"/>
      <c r="X714" s="799"/>
      <c r="Y714" s="799"/>
      <c r="Z714" s="799"/>
      <c r="AA714" s="799"/>
      <c r="AB714" s="799"/>
      <c r="AC714" s="799"/>
      <c r="AD714" s="799"/>
      <c r="AE714" s="799"/>
      <c r="AF714" s="799"/>
      <c r="AG714" s="799"/>
      <c r="AH714" s="799"/>
      <c r="AI714" s="799"/>
      <c r="AJ714" s="799"/>
      <c r="AK714" s="799"/>
      <c r="AL714" s="799"/>
      <c r="AM714" s="799"/>
      <c r="AN714" s="799"/>
      <c r="AO714" s="799"/>
      <c r="AP714" s="799"/>
      <c r="AQ714" s="799"/>
      <c r="AR714" s="799"/>
      <c r="AS714" s="799"/>
      <c r="AT714" s="799"/>
      <c r="AU714" s="799"/>
      <c r="AV714" s="799"/>
      <c r="AW714" s="799"/>
      <c r="AX714" s="799"/>
      <c r="AY714" s="799"/>
      <c r="AZ714" s="799"/>
      <c r="BA714" s="799"/>
      <c r="BB714" s="799"/>
      <c r="BC714" s="799"/>
      <c r="BD714" s="799"/>
      <c r="BE714" s="799"/>
      <c r="BF714" s="799"/>
      <c r="BG714" s="799"/>
    </row>
    <row r="715">
      <c r="H715" s="799"/>
      <c r="I715" s="799"/>
      <c r="J715" s="799"/>
      <c r="K715" s="799"/>
      <c r="L715" s="799"/>
      <c r="M715" s="799"/>
      <c r="N715" s="799"/>
      <c r="O715" s="799"/>
      <c r="P715" s="799"/>
      <c r="Q715" s="799"/>
      <c r="R715" s="799"/>
      <c r="S715" s="799"/>
      <c r="T715" s="799"/>
      <c r="U715" s="799"/>
      <c r="V715" s="799"/>
      <c r="W715" s="799"/>
      <c r="X715" s="799"/>
      <c r="Y715" s="799"/>
      <c r="Z715" s="799"/>
      <c r="AA715" s="799"/>
      <c r="AB715" s="799"/>
      <c r="AC715" s="799"/>
      <c r="AD715" s="799"/>
      <c r="AE715" s="799"/>
      <c r="AF715" s="799"/>
      <c r="AG715" s="799"/>
      <c r="AH715" s="799"/>
      <c r="AI715" s="799"/>
      <c r="AJ715" s="799"/>
      <c r="AK715" s="799"/>
      <c r="AL715" s="799"/>
      <c r="AM715" s="799"/>
      <c r="AN715" s="799"/>
      <c r="AO715" s="799"/>
      <c r="AP715" s="799"/>
      <c r="AQ715" s="799"/>
      <c r="AR715" s="799"/>
      <c r="AS715" s="799"/>
      <c r="AT715" s="799"/>
      <c r="AU715" s="799"/>
      <c r="AV715" s="799"/>
      <c r="AW715" s="799"/>
      <c r="AX715" s="799"/>
      <c r="AY715" s="799"/>
      <c r="AZ715" s="799"/>
      <c r="BA715" s="799"/>
      <c r="BB715" s="799"/>
      <c r="BC715" s="799"/>
      <c r="BD715" s="799"/>
      <c r="BE715" s="799"/>
      <c r="BF715" s="799"/>
      <c r="BG715" s="799"/>
    </row>
    <row r="716">
      <c r="H716" s="799"/>
      <c r="I716" s="799"/>
      <c r="J716" s="799"/>
      <c r="K716" s="799"/>
      <c r="L716" s="799"/>
      <c r="M716" s="799"/>
      <c r="N716" s="799"/>
      <c r="O716" s="799"/>
      <c r="P716" s="799"/>
      <c r="Q716" s="799"/>
      <c r="R716" s="799"/>
      <c r="S716" s="799"/>
      <c r="T716" s="799"/>
      <c r="U716" s="799"/>
      <c r="V716" s="799"/>
      <c r="W716" s="799"/>
      <c r="X716" s="799"/>
      <c r="Y716" s="799"/>
      <c r="Z716" s="799"/>
      <c r="AA716" s="799"/>
      <c r="AB716" s="799"/>
      <c r="AC716" s="799"/>
      <c r="AD716" s="799"/>
      <c r="AE716" s="799"/>
      <c r="AF716" s="799"/>
      <c r="AG716" s="799"/>
      <c r="AH716" s="799"/>
      <c r="AI716" s="799"/>
      <c r="AJ716" s="799"/>
      <c r="AK716" s="799"/>
      <c r="AL716" s="799"/>
      <c r="AM716" s="799"/>
      <c r="AN716" s="799"/>
      <c r="AO716" s="799"/>
      <c r="AP716" s="799"/>
      <c r="AQ716" s="799"/>
      <c r="AR716" s="799"/>
      <c r="AS716" s="799"/>
      <c r="AT716" s="799"/>
      <c r="AU716" s="799"/>
      <c r="AV716" s="799"/>
      <c r="AW716" s="799"/>
      <c r="AX716" s="799"/>
      <c r="AY716" s="799"/>
      <c r="AZ716" s="799"/>
      <c r="BA716" s="799"/>
      <c r="BB716" s="799"/>
      <c r="BC716" s="799"/>
      <c r="BD716" s="799"/>
      <c r="BE716" s="799"/>
      <c r="BF716" s="799"/>
      <c r="BG716" s="799"/>
    </row>
    <row r="717">
      <c r="H717" s="799"/>
      <c r="I717" s="799"/>
      <c r="J717" s="799"/>
      <c r="K717" s="799"/>
      <c r="L717" s="799"/>
      <c r="M717" s="799"/>
      <c r="N717" s="799"/>
      <c r="O717" s="799"/>
      <c r="P717" s="799"/>
      <c r="Q717" s="799"/>
      <c r="R717" s="799"/>
      <c r="S717" s="799"/>
      <c r="T717" s="799"/>
      <c r="U717" s="799"/>
      <c r="V717" s="799"/>
      <c r="W717" s="799"/>
      <c r="X717" s="799"/>
      <c r="Y717" s="799"/>
      <c r="Z717" s="799"/>
      <c r="AA717" s="799"/>
      <c r="AB717" s="799"/>
      <c r="AC717" s="799"/>
      <c r="AD717" s="799"/>
      <c r="AE717" s="799"/>
      <c r="AF717" s="799"/>
      <c r="AG717" s="799"/>
      <c r="AH717" s="799"/>
      <c r="AI717" s="799"/>
      <c r="AJ717" s="799"/>
      <c r="AK717" s="799"/>
      <c r="AL717" s="799"/>
      <c r="AM717" s="799"/>
      <c r="AN717" s="799"/>
      <c r="AO717" s="799"/>
      <c r="AP717" s="799"/>
      <c r="AQ717" s="799"/>
      <c r="AR717" s="799"/>
      <c r="AS717" s="799"/>
      <c r="AT717" s="799"/>
      <c r="AU717" s="799"/>
      <c r="AV717" s="799"/>
      <c r="AW717" s="799"/>
      <c r="AX717" s="799"/>
      <c r="AY717" s="799"/>
      <c r="AZ717" s="799"/>
      <c r="BA717" s="799"/>
      <c r="BB717" s="799"/>
      <c r="BC717" s="799"/>
      <c r="BD717" s="799"/>
      <c r="BE717" s="799"/>
      <c r="BF717" s="799"/>
      <c r="BG717" s="799"/>
    </row>
    <row r="718">
      <c r="H718" s="799"/>
      <c r="I718" s="799"/>
      <c r="J718" s="799"/>
      <c r="K718" s="799"/>
      <c r="L718" s="799"/>
      <c r="M718" s="799"/>
      <c r="N718" s="799"/>
      <c r="O718" s="799"/>
      <c r="P718" s="799"/>
      <c r="Q718" s="799"/>
      <c r="R718" s="799"/>
      <c r="S718" s="799"/>
      <c r="T718" s="799"/>
      <c r="U718" s="799"/>
      <c r="V718" s="799"/>
      <c r="W718" s="799"/>
      <c r="X718" s="799"/>
      <c r="Y718" s="799"/>
      <c r="Z718" s="799"/>
      <c r="AA718" s="799"/>
      <c r="AB718" s="799"/>
      <c r="AC718" s="799"/>
      <c r="AD718" s="799"/>
      <c r="AE718" s="799"/>
      <c r="AF718" s="799"/>
      <c r="AG718" s="799"/>
      <c r="AH718" s="799"/>
      <c r="AI718" s="799"/>
      <c r="AJ718" s="799"/>
      <c r="AK718" s="799"/>
      <c r="AL718" s="799"/>
      <c r="AM718" s="799"/>
      <c r="AN718" s="799"/>
      <c r="AO718" s="799"/>
      <c r="AP718" s="799"/>
      <c r="AQ718" s="799"/>
      <c r="AR718" s="799"/>
      <c r="AS718" s="799"/>
      <c r="AT718" s="799"/>
      <c r="AU718" s="799"/>
      <c r="AV718" s="799"/>
      <c r="AW718" s="799"/>
      <c r="AX718" s="799"/>
      <c r="AY718" s="799"/>
      <c r="AZ718" s="799"/>
      <c r="BA718" s="799"/>
      <c r="BB718" s="799"/>
      <c r="BC718" s="799"/>
      <c r="BD718" s="799"/>
      <c r="BE718" s="799"/>
      <c r="BF718" s="799"/>
      <c r="BG718" s="799"/>
    </row>
    <row r="719">
      <c r="H719" s="799"/>
      <c r="I719" s="799"/>
      <c r="J719" s="799"/>
      <c r="K719" s="799"/>
      <c r="L719" s="799"/>
      <c r="M719" s="799"/>
      <c r="N719" s="799"/>
      <c r="O719" s="799"/>
      <c r="P719" s="799"/>
      <c r="Q719" s="799"/>
      <c r="R719" s="799"/>
      <c r="S719" s="799"/>
      <c r="T719" s="799"/>
      <c r="U719" s="799"/>
      <c r="V719" s="799"/>
      <c r="W719" s="799"/>
      <c r="X719" s="799"/>
      <c r="Y719" s="799"/>
      <c r="Z719" s="799"/>
      <c r="AA719" s="799"/>
      <c r="AB719" s="799"/>
      <c r="AC719" s="799"/>
      <c r="AD719" s="799"/>
      <c r="AE719" s="799"/>
      <c r="AF719" s="799"/>
      <c r="AG719" s="799"/>
      <c r="AH719" s="799"/>
      <c r="AI719" s="799"/>
      <c r="AJ719" s="799"/>
      <c r="AK719" s="799"/>
      <c r="AL719" s="799"/>
      <c r="AM719" s="799"/>
      <c r="AN719" s="799"/>
      <c r="AO719" s="799"/>
      <c r="AP719" s="799"/>
      <c r="AQ719" s="799"/>
      <c r="AR719" s="799"/>
      <c r="AS719" s="799"/>
      <c r="AT719" s="799"/>
      <c r="AU719" s="799"/>
      <c r="AV719" s="799"/>
      <c r="AW719" s="799"/>
      <c r="AX719" s="799"/>
      <c r="AY719" s="799"/>
      <c r="AZ719" s="799"/>
      <c r="BA719" s="799"/>
      <c r="BB719" s="799"/>
      <c r="BC719" s="799"/>
      <c r="BD719" s="799"/>
      <c r="BE719" s="799"/>
      <c r="BF719" s="799"/>
      <c r="BG719" s="799"/>
    </row>
    <row r="720">
      <c r="H720" s="799"/>
      <c r="I720" s="799"/>
      <c r="J720" s="799"/>
      <c r="K720" s="799"/>
      <c r="L720" s="799"/>
      <c r="M720" s="799"/>
      <c r="N720" s="799"/>
      <c r="O720" s="799"/>
      <c r="P720" s="799"/>
      <c r="Q720" s="799"/>
      <c r="R720" s="799"/>
      <c r="S720" s="799"/>
      <c r="T720" s="799"/>
      <c r="U720" s="799"/>
      <c r="V720" s="799"/>
      <c r="W720" s="799"/>
      <c r="X720" s="799"/>
      <c r="Y720" s="799"/>
      <c r="Z720" s="799"/>
      <c r="AA720" s="799"/>
      <c r="AB720" s="799"/>
      <c r="AC720" s="799"/>
      <c r="AD720" s="799"/>
      <c r="AE720" s="799"/>
      <c r="AF720" s="799"/>
      <c r="AG720" s="799"/>
      <c r="AH720" s="799"/>
      <c r="AI720" s="799"/>
      <c r="AJ720" s="799"/>
      <c r="AK720" s="799"/>
      <c r="AL720" s="799"/>
      <c r="AM720" s="799"/>
      <c r="AN720" s="799"/>
      <c r="AO720" s="799"/>
      <c r="AP720" s="799"/>
      <c r="AQ720" s="799"/>
      <c r="AR720" s="799"/>
      <c r="AS720" s="799"/>
      <c r="AT720" s="799"/>
      <c r="AU720" s="799"/>
      <c r="AV720" s="799"/>
      <c r="AW720" s="799"/>
      <c r="AX720" s="799"/>
      <c r="AY720" s="799"/>
      <c r="AZ720" s="799"/>
      <c r="BA720" s="799"/>
      <c r="BB720" s="799"/>
      <c r="BC720" s="799"/>
      <c r="BD720" s="799"/>
      <c r="BE720" s="799"/>
      <c r="BF720" s="799"/>
      <c r="BG720" s="799"/>
    </row>
    <row r="721">
      <c r="H721" s="799"/>
      <c r="I721" s="799"/>
      <c r="J721" s="799"/>
      <c r="K721" s="799"/>
      <c r="L721" s="799"/>
      <c r="M721" s="799"/>
      <c r="N721" s="799"/>
      <c r="O721" s="799"/>
      <c r="P721" s="799"/>
      <c r="Q721" s="799"/>
      <c r="R721" s="799"/>
      <c r="S721" s="799"/>
      <c r="T721" s="799"/>
      <c r="U721" s="799"/>
      <c r="V721" s="799"/>
      <c r="W721" s="799"/>
      <c r="X721" s="799"/>
      <c r="Y721" s="799"/>
      <c r="Z721" s="799"/>
      <c r="AA721" s="799"/>
      <c r="AB721" s="799"/>
      <c r="AC721" s="799"/>
      <c r="AD721" s="799"/>
      <c r="AE721" s="799"/>
      <c r="AF721" s="799"/>
      <c r="AG721" s="799"/>
      <c r="AH721" s="799"/>
      <c r="AI721" s="799"/>
      <c r="AJ721" s="799"/>
      <c r="AK721" s="799"/>
      <c r="AL721" s="799"/>
      <c r="AM721" s="799"/>
      <c r="AN721" s="799"/>
      <c r="AO721" s="799"/>
      <c r="AP721" s="799"/>
      <c r="AQ721" s="799"/>
      <c r="AR721" s="799"/>
      <c r="AS721" s="799"/>
      <c r="AT721" s="799"/>
      <c r="AU721" s="799"/>
      <c r="AV721" s="799"/>
      <c r="AW721" s="799"/>
      <c r="AX721" s="799"/>
      <c r="AY721" s="799"/>
      <c r="AZ721" s="799"/>
      <c r="BA721" s="799"/>
      <c r="BB721" s="799"/>
      <c r="BC721" s="799"/>
      <c r="BD721" s="799"/>
      <c r="BE721" s="799"/>
      <c r="BF721" s="799"/>
      <c r="BG721" s="799"/>
    </row>
    <row r="722">
      <c r="H722" s="799"/>
      <c r="I722" s="799"/>
      <c r="J722" s="799"/>
      <c r="K722" s="799"/>
      <c r="L722" s="799"/>
      <c r="M722" s="799"/>
      <c r="N722" s="799"/>
      <c r="O722" s="799"/>
      <c r="P722" s="799"/>
      <c r="Q722" s="799"/>
      <c r="R722" s="799"/>
      <c r="S722" s="799"/>
      <c r="T722" s="799"/>
      <c r="U722" s="799"/>
      <c r="V722" s="799"/>
      <c r="W722" s="799"/>
      <c r="X722" s="799"/>
      <c r="Y722" s="799"/>
      <c r="Z722" s="799"/>
      <c r="AA722" s="799"/>
      <c r="AB722" s="799"/>
      <c r="AC722" s="799"/>
      <c r="AD722" s="799"/>
      <c r="AE722" s="799"/>
      <c r="AF722" s="799"/>
      <c r="AG722" s="799"/>
      <c r="AH722" s="799"/>
      <c r="AI722" s="799"/>
      <c r="AJ722" s="799"/>
      <c r="AK722" s="799"/>
      <c r="AL722" s="799"/>
      <c r="AM722" s="799"/>
      <c r="AN722" s="799"/>
      <c r="AO722" s="799"/>
      <c r="AP722" s="799"/>
      <c r="AQ722" s="799"/>
      <c r="AR722" s="799"/>
      <c r="AS722" s="799"/>
      <c r="AT722" s="799"/>
      <c r="AU722" s="799"/>
      <c r="AV722" s="799"/>
      <c r="AW722" s="799"/>
      <c r="AX722" s="799"/>
      <c r="AY722" s="799"/>
      <c r="AZ722" s="799"/>
      <c r="BA722" s="799"/>
      <c r="BB722" s="799"/>
      <c r="BC722" s="799"/>
      <c r="BD722" s="799"/>
      <c r="BE722" s="799"/>
      <c r="BF722" s="799"/>
      <c r="BG722" s="799"/>
    </row>
    <row r="723">
      <c r="H723" s="799"/>
      <c r="I723" s="799"/>
      <c r="J723" s="799"/>
      <c r="K723" s="799"/>
      <c r="L723" s="799"/>
      <c r="M723" s="799"/>
      <c r="N723" s="799"/>
      <c r="O723" s="799"/>
      <c r="P723" s="799"/>
      <c r="Q723" s="799"/>
      <c r="R723" s="799"/>
      <c r="S723" s="799"/>
      <c r="T723" s="799"/>
      <c r="U723" s="799"/>
      <c r="V723" s="799"/>
      <c r="W723" s="799"/>
      <c r="X723" s="799"/>
      <c r="Y723" s="799"/>
      <c r="Z723" s="799"/>
      <c r="AA723" s="799"/>
      <c r="AB723" s="799"/>
      <c r="AC723" s="799"/>
      <c r="AD723" s="799"/>
      <c r="AE723" s="799"/>
      <c r="AF723" s="799"/>
      <c r="AG723" s="799"/>
      <c r="AH723" s="799"/>
      <c r="AI723" s="799"/>
      <c r="AJ723" s="799"/>
      <c r="AK723" s="799"/>
      <c r="AL723" s="799"/>
      <c r="AM723" s="799"/>
      <c r="AN723" s="799"/>
      <c r="AO723" s="799"/>
      <c r="AP723" s="799"/>
      <c r="AQ723" s="799"/>
      <c r="AR723" s="799"/>
      <c r="AS723" s="799"/>
      <c r="AT723" s="799"/>
      <c r="AU723" s="799"/>
      <c r="AV723" s="799"/>
      <c r="AW723" s="799"/>
      <c r="AX723" s="799"/>
      <c r="AY723" s="799"/>
      <c r="AZ723" s="799"/>
      <c r="BA723" s="799"/>
      <c r="BB723" s="799"/>
      <c r="BC723" s="799"/>
      <c r="BD723" s="799"/>
      <c r="BE723" s="799"/>
      <c r="BF723" s="799"/>
      <c r="BG723" s="799"/>
    </row>
    <row r="724">
      <c r="H724" s="799"/>
      <c r="I724" s="799"/>
      <c r="J724" s="799"/>
      <c r="K724" s="799"/>
      <c r="L724" s="799"/>
      <c r="M724" s="799"/>
      <c r="N724" s="799"/>
      <c r="O724" s="799"/>
      <c r="P724" s="799"/>
      <c r="Q724" s="799"/>
      <c r="R724" s="799"/>
      <c r="S724" s="799"/>
      <c r="T724" s="799"/>
      <c r="U724" s="799"/>
      <c r="V724" s="799"/>
      <c r="W724" s="799"/>
      <c r="X724" s="799"/>
      <c r="Y724" s="799"/>
      <c r="Z724" s="799"/>
      <c r="AA724" s="799"/>
      <c r="AB724" s="799"/>
      <c r="AC724" s="799"/>
      <c r="AD724" s="799"/>
      <c r="AE724" s="799"/>
      <c r="AF724" s="799"/>
      <c r="AG724" s="799"/>
      <c r="AH724" s="799"/>
      <c r="AI724" s="799"/>
      <c r="AJ724" s="799"/>
      <c r="AK724" s="799"/>
      <c r="AL724" s="799"/>
      <c r="AM724" s="799"/>
      <c r="AN724" s="799"/>
      <c r="AO724" s="799"/>
      <c r="AP724" s="799"/>
      <c r="AQ724" s="799"/>
      <c r="AR724" s="799"/>
      <c r="AS724" s="799"/>
      <c r="AT724" s="799"/>
      <c r="AU724" s="799"/>
      <c r="AV724" s="799"/>
      <c r="AW724" s="799"/>
      <c r="AX724" s="799"/>
      <c r="AY724" s="799"/>
      <c r="AZ724" s="799"/>
      <c r="BA724" s="799"/>
      <c r="BB724" s="799"/>
      <c r="BC724" s="799"/>
      <c r="BD724" s="799"/>
      <c r="BE724" s="799"/>
      <c r="BF724" s="799"/>
      <c r="BG724" s="799"/>
    </row>
    <row r="725">
      <c r="H725" s="799"/>
      <c r="I725" s="799"/>
      <c r="J725" s="799"/>
      <c r="K725" s="799"/>
      <c r="L725" s="799"/>
      <c r="M725" s="799"/>
      <c r="N725" s="799"/>
      <c r="O725" s="799"/>
      <c r="P725" s="799"/>
      <c r="Q725" s="799"/>
      <c r="R725" s="799"/>
      <c r="S725" s="799"/>
      <c r="T725" s="799"/>
      <c r="U725" s="799"/>
      <c r="V725" s="799"/>
      <c r="W725" s="799"/>
      <c r="X725" s="799"/>
      <c r="Y725" s="799"/>
      <c r="Z725" s="799"/>
      <c r="AA725" s="799"/>
      <c r="AB725" s="799"/>
      <c r="AC725" s="799"/>
      <c r="AD725" s="799"/>
      <c r="AE725" s="799"/>
      <c r="AF725" s="799"/>
      <c r="AG725" s="799"/>
      <c r="AH725" s="799"/>
      <c r="AI725" s="799"/>
      <c r="AJ725" s="799"/>
      <c r="AK725" s="799"/>
      <c r="AL725" s="799"/>
      <c r="AM725" s="799"/>
      <c r="AN725" s="799"/>
      <c r="AO725" s="799"/>
      <c r="AP725" s="799"/>
      <c r="AQ725" s="799"/>
      <c r="AR725" s="799"/>
      <c r="AS725" s="799"/>
      <c r="AT725" s="799"/>
      <c r="AU725" s="799"/>
      <c r="AV725" s="799"/>
      <c r="AW725" s="799"/>
      <c r="AX725" s="799"/>
      <c r="AY725" s="799"/>
      <c r="AZ725" s="799"/>
      <c r="BA725" s="799"/>
      <c r="BB725" s="799"/>
      <c r="BC725" s="799"/>
      <c r="BD725" s="799"/>
      <c r="BE725" s="799"/>
      <c r="BF725" s="799"/>
      <c r="BG725" s="799"/>
    </row>
    <row r="726">
      <c r="H726" s="799"/>
      <c r="I726" s="799"/>
      <c r="J726" s="799"/>
      <c r="K726" s="799"/>
      <c r="L726" s="799"/>
      <c r="M726" s="799"/>
      <c r="N726" s="799"/>
      <c r="O726" s="799"/>
      <c r="P726" s="799"/>
      <c r="Q726" s="799"/>
      <c r="R726" s="799"/>
      <c r="S726" s="799"/>
      <c r="T726" s="799"/>
      <c r="U726" s="799"/>
      <c r="V726" s="799"/>
      <c r="W726" s="799"/>
      <c r="X726" s="799"/>
      <c r="Y726" s="799"/>
      <c r="Z726" s="799"/>
      <c r="AA726" s="799"/>
      <c r="AB726" s="799"/>
      <c r="AC726" s="799"/>
      <c r="AD726" s="799"/>
      <c r="AE726" s="799"/>
      <c r="AF726" s="799"/>
      <c r="AG726" s="799"/>
      <c r="AH726" s="799"/>
      <c r="AI726" s="799"/>
      <c r="AJ726" s="799"/>
      <c r="AK726" s="799"/>
      <c r="AL726" s="799"/>
      <c r="AM726" s="799"/>
      <c r="AN726" s="799"/>
      <c r="AO726" s="799"/>
      <c r="AP726" s="799"/>
      <c r="AQ726" s="799"/>
      <c r="AR726" s="799"/>
      <c r="AS726" s="799"/>
      <c r="AT726" s="799"/>
      <c r="AU726" s="799"/>
      <c r="AV726" s="799"/>
      <c r="AW726" s="799"/>
      <c r="AX726" s="799"/>
      <c r="AY726" s="799"/>
      <c r="AZ726" s="799"/>
      <c r="BA726" s="799"/>
      <c r="BB726" s="799"/>
      <c r="BC726" s="799"/>
      <c r="BD726" s="799"/>
      <c r="BE726" s="799"/>
      <c r="BF726" s="799"/>
      <c r="BG726" s="799"/>
    </row>
    <row r="727">
      <c r="H727" s="799"/>
      <c r="I727" s="799"/>
      <c r="J727" s="799"/>
      <c r="K727" s="799"/>
      <c r="L727" s="799"/>
      <c r="M727" s="799"/>
      <c r="N727" s="799"/>
      <c r="O727" s="799"/>
      <c r="P727" s="799"/>
      <c r="Q727" s="799"/>
      <c r="R727" s="799"/>
      <c r="S727" s="799"/>
      <c r="T727" s="799"/>
      <c r="U727" s="799"/>
      <c r="V727" s="799"/>
      <c r="W727" s="799"/>
      <c r="X727" s="799"/>
      <c r="Y727" s="799"/>
      <c r="Z727" s="799"/>
      <c r="AA727" s="799"/>
      <c r="AB727" s="799"/>
      <c r="AC727" s="799"/>
      <c r="AD727" s="799"/>
      <c r="AE727" s="799"/>
      <c r="AF727" s="799"/>
      <c r="AG727" s="799"/>
      <c r="AH727" s="799"/>
      <c r="AI727" s="799"/>
      <c r="AJ727" s="799"/>
      <c r="AK727" s="799"/>
      <c r="AL727" s="799"/>
      <c r="AM727" s="799"/>
      <c r="AN727" s="799"/>
      <c r="AO727" s="799"/>
      <c r="AP727" s="799"/>
      <c r="AQ727" s="799"/>
      <c r="AR727" s="799"/>
      <c r="AS727" s="799"/>
      <c r="AT727" s="799"/>
      <c r="AU727" s="799"/>
      <c r="AV727" s="799"/>
      <c r="AW727" s="799"/>
      <c r="AX727" s="799"/>
      <c r="AY727" s="799"/>
      <c r="AZ727" s="799"/>
      <c r="BA727" s="799"/>
      <c r="BB727" s="799"/>
      <c r="BC727" s="799"/>
      <c r="BD727" s="799"/>
      <c r="BE727" s="799"/>
      <c r="BF727" s="799"/>
      <c r="BG727" s="799"/>
    </row>
    <row r="728">
      <c r="H728" s="799"/>
      <c r="I728" s="799"/>
      <c r="J728" s="799"/>
      <c r="K728" s="799"/>
      <c r="L728" s="799"/>
      <c r="M728" s="799"/>
      <c r="N728" s="799"/>
      <c r="O728" s="799"/>
      <c r="P728" s="799"/>
      <c r="Q728" s="799"/>
      <c r="R728" s="799"/>
      <c r="S728" s="799"/>
      <c r="T728" s="799"/>
      <c r="U728" s="799"/>
      <c r="V728" s="799"/>
      <c r="W728" s="799"/>
      <c r="X728" s="799"/>
      <c r="Y728" s="799"/>
      <c r="Z728" s="799"/>
      <c r="AA728" s="799"/>
      <c r="AB728" s="799"/>
      <c r="AC728" s="799"/>
      <c r="AD728" s="799"/>
      <c r="AE728" s="799"/>
      <c r="AF728" s="799"/>
      <c r="AG728" s="799"/>
      <c r="AH728" s="799"/>
      <c r="AI728" s="799"/>
      <c r="AJ728" s="799"/>
      <c r="AK728" s="799"/>
      <c r="AL728" s="799"/>
      <c r="AM728" s="799"/>
      <c r="AN728" s="799"/>
      <c r="AO728" s="799"/>
      <c r="AP728" s="799"/>
      <c r="AQ728" s="799"/>
      <c r="AR728" s="799"/>
      <c r="AS728" s="799"/>
      <c r="AT728" s="799"/>
      <c r="AU728" s="799"/>
      <c r="AV728" s="799"/>
      <c r="AW728" s="799"/>
      <c r="AX728" s="799"/>
      <c r="AY728" s="799"/>
      <c r="AZ728" s="799"/>
      <c r="BA728" s="799"/>
      <c r="BB728" s="799"/>
      <c r="BC728" s="799"/>
      <c r="BD728" s="799"/>
      <c r="BE728" s="799"/>
      <c r="BF728" s="799"/>
      <c r="BG728" s="799"/>
    </row>
    <row r="729">
      <c r="H729" s="799"/>
      <c r="I729" s="799"/>
      <c r="J729" s="799"/>
      <c r="K729" s="799"/>
      <c r="L729" s="799"/>
      <c r="M729" s="799"/>
      <c r="N729" s="799"/>
      <c r="O729" s="799"/>
      <c r="P729" s="799"/>
      <c r="Q729" s="799"/>
      <c r="R729" s="799"/>
      <c r="S729" s="799"/>
      <c r="T729" s="799"/>
      <c r="U729" s="799"/>
      <c r="V729" s="799"/>
      <c r="W729" s="799"/>
      <c r="X729" s="799"/>
      <c r="Y729" s="799"/>
      <c r="Z729" s="799"/>
      <c r="AA729" s="799"/>
      <c r="AB729" s="799"/>
      <c r="AC729" s="799"/>
      <c r="AD729" s="799"/>
      <c r="AE729" s="799"/>
      <c r="AF729" s="799"/>
      <c r="AG729" s="799"/>
      <c r="AH729" s="799"/>
      <c r="AI729" s="799"/>
      <c r="AJ729" s="799"/>
      <c r="AK729" s="799"/>
      <c r="AL729" s="799"/>
      <c r="AM729" s="799"/>
      <c r="AN729" s="799"/>
      <c r="AO729" s="799"/>
      <c r="AP729" s="799"/>
      <c r="AQ729" s="799"/>
      <c r="AR729" s="799"/>
      <c r="AS729" s="799"/>
      <c r="AT729" s="799"/>
      <c r="AU729" s="799"/>
      <c r="AV729" s="799"/>
      <c r="AW729" s="799"/>
      <c r="AX729" s="799"/>
      <c r="AY729" s="799"/>
      <c r="AZ729" s="799"/>
      <c r="BA729" s="799"/>
      <c r="BB729" s="799"/>
      <c r="BC729" s="799"/>
      <c r="BD729" s="799"/>
      <c r="BE729" s="799"/>
      <c r="BF729" s="799"/>
      <c r="BG729" s="799"/>
    </row>
    <row r="730">
      <c r="H730" s="799"/>
      <c r="I730" s="799"/>
      <c r="J730" s="799"/>
      <c r="K730" s="799"/>
      <c r="L730" s="799"/>
      <c r="M730" s="799"/>
      <c r="N730" s="799"/>
      <c r="O730" s="799"/>
      <c r="P730" s="799"/>
      <c r="Q730" s="799"/>
      <c r="R730" s="799"/>
      <c r="S730" s="799"/>
      <c r="T730" s="799"/>
      <c r="U730" s="799"/>
      <c r="V730" s="799"/>
      <c r="W730" s="799"/>
      <c r="X730" s="799"/>
      <c r="Y730" s="799"/>
      <c r="Z730" s="799"/>
      <c r="AA730" s="799"/>
      <c r="AB730" s="799"/>
      <c r="AC730" s="799"/>
      <c r="AD730" s="799"/>
      <c r="AE730" s="799"/>
      <c r="AF730" s="799"/>
      <c r="AG730" s="799"/>
      <c r="AH730" s="799"/>
      <c r="AI730" s="799"/>
      <c r="AJ730" s="799"/>
      <c r="AK730" s="799"/>
      <c r="AL730" s="799"/>
      <c r="AM730" s="799"/>
      <c r="AN730" s="799"/>
      <c r="AO730" s="799"/>
      <c r="AP730" s="799"/>
      <c r="AQ730" s="799"/>
      <c r="AR730" s="799"/>
      <c r="AS730" s="799"/>
      <c r="AT730" s="799"/>
      <c r="AU730" s="799"/>
      <c r="AV730" s="799"/>
      <c r="AW730" s="799"/>
      <c r="AX730" s="799"/>
      <c r="AY730" s="799"/>
      <c r="AZ730" s="799"/>
      <c r="BA730" s="799"/>
      <c r="BB730" s="799"/>
      <c r="BC730" s="799"/>
      <c r="BD730" s="799"/>
      <c r="BE730" s="799"/>
      <c r="BF730" s="799"/>
      <c r="BG730" s="799"/>
    </row>
    <row r="731">
      <c r="H731" s="799"/>
      <c r="I731" s="799"/>
      <c r="J731" s="799"/>
      <c r="K731" s="799"/>
      <c r="L731" s="799"/>
      <c r="M731" s="799"/>
      <c r="N731" s="799"/>
      <c r="O731" s="799"/>
      <c r="P731" s="799"/>
      <c r="Q731" s="799"/>
      <c r="R731" s="799"/>
      <c r="S731" s="799"/>
      <c r="T731" s="799"/>
      <c r="U731" s="799"/>
      <c r="V731" s="799"/>
      <c r="W731" s="799"/>
      <c r="X731" s="799"/>
      <c r="Y731" s="799"/>
      <c r="Z731" s="799"/>
      <c r="AA731" s="799"/>
      <c r="AB731" s="799"/>
      <c r="AC731" s="799"/>
      <c r="AD731" s="799"/>
      <c r="AE731" s="799"/>
      <c r="AF731" s="799"/>
      <c r="AG731" s="799"/>
      <c r="AH731" s="799"/>
      <c r="AI731" s="799"/>
      <c r="AJ731" s="799"/>
      <c r="AK731" s="799"/>
      <c r="AL731" s="799"/>
      <c r="AM731" s="799"/>
      <c r="AN731" s="799"/>
      <c r="AO731" s="799"/>
      <c r="AP731" s="799"/>
      <c r="AQ731" s="799"/>
      <c r="AR731" s="799"/>
      <c r="AS731" s="799"/>
      <c r="AT731" s="799"/>
      <c r="AU731" s="799"/>
      <c r="AV731" s="799"/>
      <c r="AW731" s="799"/>
      <c r="AX731" s="799"/>
      <c r="AY731" s="799"/>
      <c r="AZ731" s="799"/>
      <c r="BA731" s="799"/>
      <c r="BB731" s="799"/>
      <c r="BC731" s="799"/>
      <c r="BD731" s="799"/>
      <c r="BE731" s="799"/>
      <c r="BF731" s="799"/>
      <c r="BG731" s="799"/>
    </row>
    <row r="732">
      <c r="H732" s="799"/>
      <c r="I732" s="799"/>
      <c r="J732" s="799"/>
      <c r="K732" s="799"/>
      <c r="L732" s="799"/>
      <c r="M732" s="799"/>
      <c r="N732" s="799"/>
      <c r="O732" s="799"/>
      <c r="P732" s="799"/>
      <c r="Q732" s="799"/>
      <c r="R732" s="799"/>
      <c r="S732" s="799"/>
      <c r="T732" s="799"/>
      <c r="U732" s="799"/>
      <c r="V732" s="799"/>
      <c r="W732" s="799"/>
      <c r="X732" s="799"/>
      <c r="Y732" s="799"/>
      <c r="Z732" s="799"/>
      <c r="AA732" s="799"/>
      <c r="AB732" s="799"/>
      <c r="AC732" s="799"/>
      <c r="AD732" s="799"/>
      <c r="AE732" s="799"/>
      <c r="AF732" s="799"/>
      <c r="AG732" s="799"/>
      <c r="AH732" s="799"/>
      <c r="AI732" s="799"/>
      <c r="AJ732" s="799"/>
      <c r="AK732" s="799"/>
      <c r="AL732" s="799"/>
      <c r="AM732" s="799"/>
      <c r="AN732" s="799"/>
      <c r="AO732" s="799"/>
      <c r="AP732" s="799"/>
      <c r="AQ732" s="799"/>
      <c r="AR732" s="799"/>
      <c r="AS732" s="799"/>
      <c r="AT732" s="799"/>
      <c r="AU732" s="799"/>
      <c r="AV732" s="799"/>
      <c r="AW732" s="799"/>
      <c r="AX732" s="799"/>
      <c r="AY732" s="799"/>
      <c r="AZ732" s="799"/>
      <c r="BA732" s="799"/>
      <c r="BB732" s="799"/>
      <c r="BC732" s="799"/>
      <c r="BD732" s="799"/>
      <c r="BE732" s="799"/>
      <c r="BF732" s="799"/>
      <c r="BG732" s="799"/>
    </row>
    <row r="733">
      <c r="H733" s="799"/>
      <c r="I733" s="799"/>
      <c r="J733" s="799"/>
      <c r="K733" s="799"/>
      <c r="L733" s="799"/>
      <c r="M733" s="799"/>
      <c r="N733" s="799"/>
      <c r="O733" s="799"/>
      <c r="P733" s="799"/>
      <c r="Q733" s="799"/>
      <c r="R733" s="799"/>
      <c r="S733" s="799"/>
      <c r="T733" s="799"/>
      <c r="U733" s="799"/>
      <c r="V733" s="799"/>
      <c r="W733" s="799"/>
      <c r="X733" s="799"/>
      <c r="Y733" s="799"/>
      <c r="Z733" s="799"/>
      <c r="AA733" s="799"/>
      <c r="AB733" s="799"/>
      <c r="AC733" s="799"/>
      <c r="AD733" s="799"/>
      <c r="AE733" s="799"/>
      <c r="AF733" s="799"/>
      <c r="AG733" s="799"/>
      <c r="AH733" s="799"/>
      <c r="AI733" s="799"/>
      <c r="AJ733" s="799"/>
      <c r="AK733" s="799"/>
      <c r="AL733" s="799"/>
      <c r="AM733" s="799"/>
      <c r="AN733" s="799"/>
      <c r="AO733" s="799"/>
      <c r="AP733" s="799"/>
      <c r="AQ733" s="799"/>
      <c r="AR733" s="799"/>
      <c r="AS733" s="799"/>
      <c r="AT733" s="799"/>
      <c r="AU733" s="799"/>
      <c r="AV733" s="799"/>
      <c r="AW733" s="799"/>
      <c r="AX733" s="799"/>
      <c r="AY733" s="799"/>
      <c r="AZ733" s="799"/>
      <c r="BA733" s="799"/>
      <c r="BB733" s="799"/>
      <c r="BC733" s="799"/>
      <c r="BD733" s="799"/>
      <c r="BE733" s="799"/>
      <c r="BF733" s="799"/>
      <c r="BG733" s="799"/>
    </row>
    <row r="734">
      <c r="H734" s="799"/>
      <c r="I734" s="799"/>
      <c r="J734" s="799"/>
      <c r="K734" s="799"/>
      <c r="L734" s="799"/>
      <c r="M734" s="799"/>
      <c r="N734" s="799"/>
      <c r="O734" s="799"/>
      <c r="P734" s="799"/>
      <c r="Q734" s="799"/>
      <c r="R734" s="799"/>
      <c r="S734" s="799"/>
      <c r="T734" s="799"/>
      <c r="U734" s="799"/>
      <c r="V734" s="799"/>
      <c r="W734" s="799"/>
      <c r="X734" s="799"/>
      <c r="Y734" s="799"/>
      <c r="Z734" s="799"/>
      <c r="AA734" s="799"/>
      <c r="AB734" s="799"/>
      <c r="AC734" s="799"/>
      <c r="AD734" s="799"/>
      <c r="AE734" s="799"/>
      <c r="AF734" s="799"/>
      <c r="AG734" s="799"/>
      <c r="AH734" s="799"/>
      <c r="AI734" s="799"/>
      <c r="AJ734" s="799"/>
      <c r="AK734" s="799"/>
      <c r="AL734" s="799"/>
      <c r="AM734" s="799"/>
      <c r="AN734" s="799"/>
      <c r="AO734" s="799"/>
      <c r="AP734" s="799"/>
      <c r="AQ734" s="799"/>
      <c r="AR734" s="799"/>
      <c r="AS734" s="799"/>
      <c r="AT734" s="799"/>
      <c r="AU734" s="799"/>
      <c r="AV734" s="799"/>
      <c r="AW734" s="799"/>
      <c r="AX734" s="799"/>
      <c r="AY734" s="799"/>
      <c r="AZ734" s="799"/>
      <c r="BA734" s="799"/>
      <c r="BB734" s="799"/>
      <c r="BC734" s="799"/>
      <c r="BD734" s="799"/>
      <c r="BE734" s="799"/>
      <c r="BF734" s="799"/>
      <c r="BG734" s="799"/>
    </row>
    <row r="735">
      <c r="H735" s="799"/>
      <c r="I735" s="799"/>
      <c r="J735" s="799"/>
      <c r="K735" s="799"/>
      <c r="L735" s="799"/>
      <c r="M735" s="799"/>
      <c r="N735" s="799"/>
      <c r="O735" s="799"/>
      <c r="P735" s="799"/>
      <c r="Q735" s="799"/>
      <c r="R735" s="799"/>
      <c r="S735" s="799"/>
      <c r="T735" s="799"/>
      <c r="U735" s="799"/>
      <c r="V735" s="799"/>
      <c r="W735" s="799"/>
      <c r="X735" s="799"/>
      <c r="Y735" s="799"/>
      <c r="Z735" s="799"/>
      <c r="AA735" s="799"/>
      <c r="AB735" s="799"/>
      <c r="AC735" s="799"/>
      <c r="AD735" s="799"/>
      <c r="AE735" s="799"/>
      <c r="AF735" s="799"/>
      <c r="AG735" s="799"/>
      <c r="AH735" s="799"/>
      <c r="AI735" s="799"/>
      <c r="AJ735" s="799"/>
      <c r="AK735" s="799"/>
      <c r="AL735" s="799"/>
      <c r="AM735" s="799"/>
      <c r="AN735" s="799"/>
      <c r="AO735" s="799"/>
      <c r="AP735" s="799"/>
      <c r="AQ735" s="799"/>
      <c r="AR735" s="799"/>
      <c r="AS735" s="799"/>
      <c r="AT735" s="799"/>
      <c r="AU735" s="799"/>
      <c r="AV735" s="799"/>
      <c r="AW735" s="799"/>
      <c r="AX735" s="799"/>
      <c r="AY735" s="799"/>
      <c r="AZ735" s="799"/>
      <c r="BA735" s="799"/>
      <c r="BB735" s="799"/>
      <c r="BC735" s="799"/>
      <c r="BD735" s="799"/>
      <c r="BE735" s="799"/>
      <c r="BF735" s="799"/>
      <c r="BG735" s="799"/>
    </row>
    <row r="736">
      <c r="H736" s="799"/>
      <c r="I736" s="799"/>
      <c r="J736" s="799"/>
      <c r="K736" s="799"/>
      <c r="L736" s="799"/>
      <c r="M736" s="799"/>
      <c r="N736" s="799"/>
      <c r="O736" s="799"/>
      <c r="P736" s="799"/>
      <c r="Q736" s="799"/>
      <c r="R736" s="799"/>
      <c r="S736" s="799"/>
      <c r="T736" s="799"/>
      <c r="U736" s="799"/>
      <c r="V736" s="799"/>
      <c r="W736" s="799"/>
      <c r="X736" s="799"/>
      <c r="Y736" s="799"/>
      <c r="Z736" s="799"/>
      <c r="AA736" s="799"/>
      <c r="AB736" s="799"/>
      <c r="AC736" s="799"/>
      <c r="AD736" s="799"/>
      <c r="AE736" s="799"/>
      <c r="AF736" s="799"/>
      <c r="AG736" s="799"/>
      <c r="AH736" s="799"/>
      <c r="AI736" s="799"/>
      <c r="AJ736" s="799"/>
      <c r="AK736" s="799"/>
      <c r="AL736" s="799"/>
      <c r="AM736" s="799"/>
      <c r="AN736" s="799"/>
      <c r="AO736" s="799"/>
      <c r="AP736" s="799"/>
      <c r="AQ736" s="799"/>
      <c r="AR736" s="799"/>
      <c r="AS736" s="799"/>
      <c r="AT736" s="799"/>
      <c r="AU736" s="799"/>
      <c r="AV736" s="799"/>
      <c r="AW736" s="799"/>
      <c r="AX736" s="799"/>
      <c r="AY736" s="799"/>
      <c r="AZ736" s="799"/>
      <c r="BA736" s="799"/>
      <c r="BB736" s="799"/>
      <c r="BC736" s="799"/>
      <c r="BD736" s="799"/>
      <c r="BE736" s="799"/>
      <c r="BF736" s="799"/>
      <c r="BG736" s="799"/>
    </row>
    <row r="737">
      <c r="H737" s="799"/>
      <c r="I737" s="799"/>
      <c r="J737" s="799"/>
      <c r="K737" s="799"/>
      <c r="L737" s="799"/>
      <c r="M737" s="799"/>
      <c r="N737" s="799"/>
      <c r="O737" s="799"/>
      <c r="P737" s="799"/>
      <c r="Q737" s="799"/>
      <c r="R737" s="799"/>
      <c r="S737" s="799"/>
      <c r="T737" s="799"/>
      <c r="U737" s="799"/>
      <c r="V737" s="799"/>
      <c r="W737" s="799"/>
      <c r="X737" s="799"/>
      <c r="Y737" s="799"/>
      <c r="Z737" s="799"/>
      <c r="AA737" s="799"/>
      <c r="AB737" s="799"/>
      <c r="AC737" s="799"/>
      <c r="AD737" s="799"/>
      <c r="AE737" s="799"/>
      <c r="AF737" s="799"/>
      <c r="AG737" s="799"/>
      <c r="AH737" s="799"/>
      <c r="AI737" s="799"/>
      <c r="AJ737" s="799"/>
      <c r="AK737" s="799"/>
      <c r="AL737" s="799"/>
      <c r="AM737" s="799"/>
      <c r="AN737" s="799"/>
      <c r="AO737" s="799"/>
      <c r="AP737" s="799"/>
      <c r="AQ737" s="799"/>
      <c r="AR737" s="799"/>
      <c r="AS737" s="799"/>
      <c r="AT737" s="799"/>
      <c r="AU737" s="799"/>
      <c r="AV737" s="799"/>
      <c r="AW737" s="799"/>
      <c r="AX737" s="799"/>
      <c r="AY737" s="799"/>
      <c r="AZ737" s="799"/>
      <c r="BA737" s="799"/>
      <c r="BB737" s="799"/>
      <c r="BC737" s="799"/>
      <c r="BD737" s="799"/>
      <c r="BE737" s="799"/>
      <c r="BF737" s="799"/>
      <c r="BG737" s="799"/>
    </row>
    <row r="738">
      <c r="H738" s="799"/>
      <c r="I738" s="799"/>
      <c r="J738" s="799"/>
      <c r="K738" s="799"/>
      <c r="L738" s="799"/>
      <c r="M738" s="799"/>
      <c r="N738" s="799"/>
      <c r="O738" s="799"/>
      <c r="P738" s="799"/>
      <c r="Q738" s="799"/>
      <c r="R738" s="799"/>
      <c r="S738" s="799"/>
      <c r="T738" s="799"/>
      <c r="U738" s="799"/>
      <c r="V738" s="799"/>
      <c r="W738" s="799"/>
      <c r="X738" s="799"/>
      <c r="Y738" s="799"/>
      <c r="Z738" s="799"/>
      <c r="AA738" s="799"/>
      <c r="AB738" s="799"/>
      <c r="AC738" s="799"/>
      <c r="AD738" s="799"/>
      <c r="AE738" s="799"/>
      <c r="AF738" s="799"/>
      <c r="AG738" s="799"/>
      <c r="AH738" s="799"/>
      <c r="AI738" s="799"/>
      <c r="AJ738" s="799"/>
      <c r="AK738" s="799"/>
      <c r="AL738" s="799"/>
      <c r="AM738" s="799"/>
      <c r="AN738" s="799"/>
      <c r="AO738" s="799"/>
      <c r="AP738" s="799"/>
      <c r="AQ738" s="799"/>
      <c r="AR738" s="799"/>
      <c r="AS738" s="799"/>
      <c r="AT738" s="799"/>
      <c r="AU738" s="799"/>
      <c r="AV738" s="799"/>
      <c r="AW738" s="799"/>
      <c r="AX738" s="799"/>
      <c r="AY738" s="799"/>
      <c r="AZ738" s="799"/>
      <c r="BA738" s="799"/>
      <c r="BB738" s="799"/>
      <c r="BC738" s="799"/>
      <c r="BD738" s="799"/>
      <c r="BE738" s="799"/>
      <c r="BF738" s="799"/>
      <c r="BG738" s="799"/>
    </row>
    <row r="739">
      <c r="H739" s="799"/>
      <c r="I739" s="799"/>
      <c r="J739" s="799"/>
      <c r="K739" s="799"/>
      <c r="L739" s="799"/>
      <c r="M739" s="799"/>
      <c r="N739" s="799"/>
      <c r="O739" s="799"/>
      <c r="P739" s="799"/>
      <c r="Q739" s="799"/>
      <c r="R739" s="799"/>
      <c r="S739" s="799"/>
      <c r="T739" s="799"/>
      <c r="U739" s="799"/>
      <c r="V739" s="799"/>
      <c r="W739" s="799"/>
      <c r="X739" s="799"/>
      <c r="Y739" s="799"/>
      <c r="Z739" s="799"/>
      <c r="AA739" s="799"/>
      <c r="AB739" s="799"/>
      <c r="AC739" s="799"/>
      <c r="AD739" s="799"/>
      <c r="AE739" s="799"/>
      <c r="AF739" s="799"/>
      <c r="AG739" s="799"/>
      <c r="AH739" s="799"/>
      <c r="AI739" s="799"/>
      <c r="AJ739" s="799"/>
      <c r="AK739" s="799"/>
      <c r="AL739" s="799"/>
      <c r="AM739" s="799"/>
      <c r="AN739" s="799"/>
      <c r="AO739" s="799"/>
      <c r="AP739" s="799"/>
      <c r="AQ739" s="799"/>
      <c r="AR739" s="799"/>
      <c r="AS739" s="799"/>
      <c r="AT739" s="799"/>
      <c r="AU739" s="799"/>
      <c r="AV739" s="799"/>
      <c r="AW739" s="799"/>
      <c r="AX739" s="799"/>
      <c r="AY739" s="799"/>
      <c r="AZ739" s="799"/>
      <c r="BA739" s="799"/>
      <c r="BB739" s="799"/>
      <c r="BC739" s="799"/>
      <c r="BD739" s="799"/>
      <c r="BE739" s="799"/>
      <c r="BF739" s="799"/>
      <c r="BG739" s="799"/>
    </row>
    <row r="740">
      <c r="H740" s="799"/>
      <c r="I740" s="799"/>
      <c r="J740" s="799"/>
      <c r="K740" s="799"/>
      <c r="L740" s="799"/>
      <c r="M740" s="799"/>
      <c r="N740" s="799"/>
      <c r="O740" s="799"/>
      <c r="P740" s="799"/>
      <c r="Q740" s="799"/>
      <c r="R740" s="799"/>
      <c r="S740" s="799"/>
      <c r="T740" s="799"/>
      <c r="U740" s="799"/>
      <c r="V740" s="799"/>
      <c r="W740" s="799"/>
      <c r="X740" s="799"/>
      <c r="Y740" s="799"/>
      <c r="Z740" s="799"/>
      <c r="AA740" s="799"/>
      <c r="AB740" s="799"/>
      <c r="AC740" s="799"/>
      <c r="AD740" s="799"/>
      <c r="AE740" s="799"/>
      <c r="AF740" s="799"/>
      <c r="AG740" s="799"/>
      <c r="AH740" s="799"/>
      <c r="AI740" s="799"/>
      <c r="AJ740" s="799"/>
      <c r="AK740" s="799"/>
      <c r="AL740" s="799"/>
      <c r="AM740" s="799"/>
      <c r="AN740" s="799"/>
      <c r="AO740" s="799"/>
      <c r="AP740" s="799"/>
      <c r="AQ740" s="799"/>
      <c r="AR740" s="799"/>
      <c r="AS740" s="799"/>
      <c r="AT740" s="799"/>
      <c r="AU740" s="799"/>
      <c r="AV740" s="799"/>
      <c r="AW740" s="799"/>
      <c r="AX740" s="799"/>
      <c r="AY740" s="799"/>
      <c r="AZ740" s="799"/>
      <c r="BA740" s="799"/>
      <c r="BB740" s="799"/>
      <c r="BC740" s="799"/>
      <c r="BD740" s="799"/>
      <c r="BE740" s="799"/>
      <c r="BF740" s="799"/>
      <c r="BG740" s="799"/>
    </row>
    <row r="741">
      <c r="H741" s="799"/>
      <c r="I741" s="799"/>
      <c r="J741" s="799"/>
      <c r="K741" s="799"/>
      <c r="L741" s="799"/>
      <c r="M741" s="799"/>
      <c r="N741" s="799"/>
      <c r="O741" s="799"/>
      <c r="P741" s="799"/>
      <c r="Q741" s="799"/>
      <c r="R741" s="799"/>
      <c r="S741" s="799"/>
      <c r="T741" s="799"/>
      <c r="U741" s="799"/>
      <c r="V741" s="799"/>
      <c r="W741" s="799"/>
      <c r="X741" s="799"/>
      <c r="Y741" s="799"/>
      <c r="Z741" s="799"/>
      <c r="AA741" s="799"/>
      <c r="AB741" s="799"/>
      <c r="AC741" s="799"/>
      <c r="AD741" s="799"/>
      <c r="AE741" s="799"/>
      <c r="AF741" s="799"/>
      <c r="AG741" s="799"/>
      <c r="AH741" s="799"/>
      <c r="AI741" s="799"/>
      <c r="AJ741" s="799"/>
      <c r="AK741" s="799"/>
      <c r="AL741" s="799"/>
      <c r="AM741" s="799"/>
      <c r="AN741" s="799"/>
      <c r="AO741" s="799"/>
      <c r="AP741" s="799"/>
      <c r="AQ741" s="799"/>
      <c r="AR741" s="799"/>
      <c r="AS741" s="799"/>
      <c r="AT741" s="799"/>
      <c r="AU741" s="799"/>
      <c r="AV741" s="799"/>
      <c r="AW741" s="799"/>
      <c r="AX741" s="799"/>
      <c r="AY741" s="799"/>
      <c r="AZ741" s="799"/>
      <c r="BA741" s="799"/>
      <c r="BB741" s="799"/>
      <c r="BC741" s="799"/>
      <c r="BD741" s="799"/>
      <c r="BE741" s="799"/>
      <c r="BF741" s="799"/>
      <c r="BG741" s="799"/>
    </row>
    <row r="742">
      <c r="H742" s="799"/>
      <c r="I742" s="799"/>
      <c r="J742" s="799"/>
      <c r="K742" s="799"/>
      <c r="L742" s="799"/>
      <c r="M742" s="799"/>
      <c r="N742" s="799"/>
      <c r="O742" s="799"/>
      <c r="P742" s="799"/>
      <c r="Q742" s="799"/>
      <c r="R742" s="799"/>
      <c r="S742" s="799"/>
      <c r="T742" s="799"/>
      <c r="U742" s="799"/>
      <c r="V742" s="799"/>
      <c r="W742" s="799"/>
      <c r="X742" s="799"/>
      <c r="Y742" s="799"/>
      <c r="Z742" s="799"/>
      <c r="AA742" s="799"/>
      <c r="AB742" s="799"/>
      <c r="AC742" s="799"/>
      <c r="AD742" s="799"/>
      <c r="AE742" s="799"/>
      <c r="AF742" s="799"/>
      <c r="AG742" s="799"/>
      <c r="AH742" s="799"/>
      <c r="AI742" s="799"/>
      <c r="AJ742" s="799"/>
      <c r="AK742" s="799"/>
      <c r="AL742" s="799"/>
      <c r="AM742" s="799"/>
      <c r="AN742" s="799"/>
      <c r="AO742" s="799"/>
      <c r="AP742" s="799"/>
      <c r="AQ742" s="799"/>
      <c r="AR742" s="799"/>
      <c r="AS742" s="799"/>
      <c r="AT742" s="799"/>
      <c r="AU742" s="799"/>
      <c r="AV742" s="799"/>
      <c r="AW742" s="799"/>
      <c r="AX742" s="799"/>
      <c r="AY742" s="799"/>
      <c r="AZ742" s="799"/>
      <c r="BA742" s="799"/>
      <c r="BB742" s="799"/>
      <c r="BC742" s="799"/>
      <c r="BD742" s="799"/>
      <c r="BE742" s="799"/>
      <c r="BF742" s="799"/>
      <c r="BG742" s="799"/>
    </row>
    <row r="743">
      <c r="H743" s="799"/>
      <c r="I743" s="799"/>
      <c r="J743" s="799"/>
      <c r="K743" s="799"/>
      <c r="L743" s="799"/>
      <c r="M743" s="799"/>
      <c r="N743" s="799"/>
      <c r="O743" s="799"/>
      <c r="P743" s="799"/>
      <c r="Q743" s="799"/>
      <c r="R743" s="799"/>
      <c r="S743" s="799"/>
      <c r="T743" s="799"/>
      <c r="U743" s="799"/>
      <c r="V743" s="799"/>
      <c r="W743" s="799"/>
      <c r="X743" s="799"/>
      <c r="Y743" s="799"/>
      <c r="Z743" s="799"/>
      <c r="AA743" s="799"/>
      <c r="AB743" s="799"/>
      <c r="AC743" s="799"/>
      <c r="AD743" s="799"/>
      <c r="AE743" s="799"/>
      <c r="AF743" s="799"/>
      <c r="AG743" s="799"/>
      <c r="AH743" s="799"/>
      <c r="AI743" s="799"/>
      <c r="AJ743" s="799"/>
      <c r="AK743" s="799"/>
      <c r="AL743" s="799"/>
      <c r="AM743" s="799"/>
      <c r="AN743" s="799"/>
      <c r="AO743" s="799"/>
      <c r="AP743" s="799"/>
      <c r="AQ743" s="799"/>
      <c r="AR743" s="799"/>
      <c r="AS743" s="799"/>
      <c r="AT743" s="799"/>
      <c r="AU743" s="799"/>
      <c r="AV743" s="799"/>
      <c r="AW743" s="799"/>
      <c r="AX743" s="799"/>
      <c r="AY743" s="799"/>
      <c r="AZ743" s="799"/>
      <c r="BA743" s="799"/>
      <c r="BB743" s="799"/>
      <c r="BC743" s="799"/>
      <c r="BD743" s="799"/>
      <c r="BE743" s="799"/>
      <c r="BF743" s="799"/>
      <c r="BG743" s="799"/>
    </row>
    <row r="744">
      <c r="H744" s="799"/>
      <c r="I744" s="799"/>
      <c r="J744" s="799"/>
      <c r="K744" s="799"/>
      <c r="L744" s="799"/>
      <c r="M744" s="799"/>
      <c r="N744" s="799"/>
      <c r="O744" s="799"/>
      <c r="P744" s="799"/>
      <c r="Q744" s="799"/>
      <c r="R744" s="799"/>
      <c r="S744" s="799"/>
      <c r="T744" s="799"/>
      <c r="U744" s="799"/>
      <c r="V744" s="799"/>
      <c r="W744" s="799"/>
      <c r="X744" s="799"/>
      <c r="Y744" s="799"/>
      <c r="Z744" s="799"/>
      <c r="AA744" s="799"/>
      <c r="AB744" s="799"/>
      <c r="AC744" s="799"/>
      <c r="AD744" s="799"/>
      <c r="AE744" s="799"/>
      <c r="AF744" s="799"/>
      <c r="AG744" s="799"/>
      <c r="AH744" s="799"/>
      <c r="AI744" s="799"/>
      <c r="AJ744" s="799"/>
      <c r="AK744" s="799"/>
      <c r="AL744" s="799"/>
      <c r="AM744" s="799"/>
      <c r="AN744" s="799"/>
      <c r="AO744" s="799"/>
      <c r="AP744" s="799"/>
      <c r="AQ744" s="799"/>
      <c r="AR744" s="799"/>
      <c r="AS744" s="799"/>
      <c r="AT744" s="799"/>
      <c r="AU744" s="799"/>
      <c r="AV744" s="799"/>
      <c r="AW744" s="799"/>
      <c r="AX744" s="799"/>
      <c r="AY744" s="799"/>
      <c r="AZ744" s="799"/>
      <c r="BA744" s="799"/>
      <c r="BB744" s="799"/>
      <c r="BC744" s="799"/>
      <c r="BD744" s="799"/>
      <c r="BE744" s="799"/>
      <c r="BF744" s="799"/>
      <c r="BG744" s="799"/>
    </row>
    <row r="745">
      <c r="H745" s="799"/>
      <c r="I745" s="799"/>
      <c r="J745" s="799"/>
      <c r="K745" s="799"/>
      <c r="L745" s="799"/>
      <c r="M745" s="799"/>
      <c r="N745" s="799"/>
      <c r="O745" s="799"/>
      <c r="P745" s="799"/>
      <c r="Q745" s="799"/>
      <c r="R745" s="799"/>
      <c r="S745" s="799"/>
      <c r="T745" s="799"/>
      <c r="U745" s="799"/>
      <c r="V745" s="799"/>
      <c r="W745" s="799"/>
      <c r="X745" s="799"/>
      <c r="Y745" s="799"/>
      <c r="Z745" s="799"/>
      <c r="AA745" s="799"/>
      <c r="AB745" s="799"/>
      <c r="AC745" s="799"/>
      <c r="AD745" s="799"/>
      <c r="AE745" s="799"/>
      <c r="AF745" s="799"/>
      <c r="AG745" s="799"/>
      <c r="AH745" s="799"/>
      <c r="AI745" s="799"/>
      <c r="AJ745" s="799"/>
      <c r="AK745" s="799"/>
      <c r="AL745" s="799"/>
      <c r="AM745" s="799"/>
      <c r="AN745" s="799"/>
      <c r="AO745" s="799"/>
      <c r="AP745" s="799"/>
      <c r="AQ745" s="799"/>
      <c r="AR745" s="799"/>
      <c r="AS745" s="799"/>
      <c r="AT745" s="799"/>
      <c r="AU745" s="799"/>
      <c r="AV745" s="799"/>
      <c r="AW745" s="799"/>
      <c r="AX745" s="799"/>
      <c r="AY745" s="799"/>
      <c r="AZ745" s="799"/>
      <c r="BA745" s="799"/>
      <c r="BB745" s="799"/>
      <c r="BC745" s="799"/>
      <c r="BD745" s="799"/>
      <c r="BE745" s="799"/>
      <c r="BF745" s="799"/>
      <c r="BG745" s="799"/>
    </row>
    <row r="746">
      <c r="H746" s="799"/>
      <c r="I746" s="799"/>
      <c r="J746" s="799"/>
      <c r="K746" s="799"/>
      <c r="L746" s="799"/>
      <c r="M746" s="799"/>
      <c r="N746" s="799"/>
      <c r="O746" s="799"/>
      <c r="P746" s="799"/>
      <c r="Q746" s="799"/>
      <c r="R746" s="799"/>
      <c r="S746" s="799"/>
      <c r="T746" s="799"/>
      <c r="U746" s="799"/>
      <c r="V746" s="799"/>
      <c r="W746" s="799"/>
      <c r="X746" s="799"/>
      <c r="Y746" s="799"/>
      <c r="Z746" s="799"/>
      <c r="AA746" s="799"/>
      <c r="AB746" s="799"/>
      <c r="AC746" s="799"/>
      <c r="AD746" s="799"/>
      <c r="AE746" s="799"/>
      <c r="AF746" s="799"/>
      <c r="AG746" s="799"/>
      <c r="AH746" s="799"/>
      <c r="AI746" s="799"/>
      <c r="AJ746" s="799"/>
      <c r="AK746" s="799"/>
      <c r="AL746" s="799"/>
      <c r="AM746" s="799"/>
      <c r="AN746" s="799"/>
      <c r="AO746" s="799"/>
      <c r="AP746" s="799"/>
      <c r="AQ746" s="799"/>
      <c r="AR746" s="799"/>
      <c r="AS746" s="799"/>
      <c r="AT746" s="799"/>
      <c r="AU746" s="799"/>
      <c r="AV746" s="799"/>
      <c r="AW746" s="799"/>
      <c r="AX746" s="799"/>
      <c r="AY746" s="799"/>
      <c r="AZ746" s="799"/>
      <c r="BA746" s="799"/>
      <c r="BB746" s="799"/>
      <c r="BC746" s="799"/>
      <c r="BD746" s="799"/>
      <c r="BE746" s="799"/>
      <c r="BF746" s="799"/>
      <c r="BG746" s="799"/>
    </row>
    <row r="747">
      <c r="H747" s="799"/>
      <c r="I747" s="799"/>
      <c r="J747" s="799"/>
      <c r="K747" s="799"/>
      <c r="L747" s="799"/>
      <c r="M747" s="799"/>
      <c r="N747" s="799"/>
      <c r="O747" s="799"/>
      <c r="P747" s="799"/>
      <c r="Q747" s="799"/>
      <c r="R747" s="799"/>
      <c r="S747" s="799"/>
      <c r="T747" s="799"/>
      <c r="U747" s="799"/>
      <c r="V747" s="799"/>
      <c r="W747" s="799"/>
      <c r="X747" s="799"/>
      <c r="Y747" s="799"/>
      <c r="Z747" s="799"/>
      <c r="AA747" s="799"/>
      <c r="AB747" s="799"/>
      <c r="AC747" s="799"/>
      <c r="AD747" s="799"/>
      <c r="AE747" s="799"/>
      <c r="AF747" s="799"/>
      <c r="AG747" s="799"/>
      <c r="AH747" s="799"/>
      <c r="AI747" s="799"/>
      <c r="AJ747" s="799"/>
      <c r="AK747" s="799"/>
      <c r="AL747" s="799"/>
      <c r="AM747" s="799"/>
      <c r="AN747" s="799"/>
      <c r="AO747" s="799"/>
      <c r="AP747" s="799"/>
      <c r="AQ747" s="799"/>
      <c r="AR747" s="799"/>
      <c r="AS747" s="799"/>
      <c r="AT747" s="799"/>
      <c r="AU747" s="799"/>
      <c r="AV747" s="799"/>
      <c r="AW747" s="799"/>
      <c r="AX747" s="799"/>
      <c r="AY747" s="799"/>
      <c r="AZ747" s="799"/>
      <c r="BA747" s="799"/>
      <c r="BB747" s="799"/>
      <c r="BC747" s="799"/>
      <c r="BD747" s="799"/>
      <c r="BE747" s="799"/>
      <c r="BF747" s="799"/>
      <c r="BG747" s="799"/>
    </row>
    <row r="748">
      <c r="H748" s="799"/>
      <c r="I748" s="799"/>
      <c r="J748" s="799"/>
      <c r="K748" s="799"/>
      <c r="L748" s="799"/>
      <c r="M748" s="799"/>
      <c r="N748" s="799"/>
      <c r="O748" s="799"/>
      <c r="P748" s="799"/>
      <c r="Q748" s="799"/>
      <c r="R748" s="799"/>
      <c r="S748" s="799"/>
      <c r="T748" s="799"/>
      <c r="U748" s="799"/>
      <c r="V748" s="799"/>
      <c r="W748" s="799"/>
      <c r="X748" s="799"/>
      <c r="Y748" s="799"/>
      <c r="Z748" s="799"/>
      <c r="AA748" s="799"/>
      <c r="AB748" s="799"/>
      <c r="AC748" s="799"/>
      <c r="AD748" s="799"/>
      <c r="AE748" s="799"/>
      <c r="AF748" s="799"/>
      <c r="AG748" s="799"/>
      <c r="AH748" s="799"/>
      <c r="AI748" s="799"/>
      <c r="AJ748" s="799"/>
      <c r="AK748" s="799"/>
      <c r="AL748" s="799"/>
      <c r="AM748" s="799"/>
      <c r="AN748" s="799"/>
      <c r="AO748" s="799"/>
      <c r="AP748" s="799"/>
      <c r="AQ748" s="799"/>
      <c r="AR748" s="799"/>
      <c r="AS748" s="799"/>
      <c r="AT748" s="799"/>
      <c r="AU748" s="799"/>
      <c r="AV748" s="799"/>
      <c r="AW748" s="799"/>
      <c r="AX748" s="799"/>
      <c r="AY748" s="799"/>
      <c r="AZ748" s="799"/>
      <c r="BA748" s="799"/>
      <c r="BB748" s="799"/>
      <c r="BC748" s="799"/>
      <c r="BD748" s="799"/>
      <c r="BE748" s="799"/>
      <c r="BF748" s="799"/>
      <c r="BG748" s="799"/>
    </row>
    <row r="749">
      <c r="H749" s="799"/>
      <c r="I749" s="799"/>
      <c r="J749" s="799"/>
      <c r="K749" s="799"/>
      <c r="L749" s="799"/>
      <c r="M749" s="799"/>
      <c r="N749" s="799"/>
      <c r="O749" s="799"/>
      <c r="P749" s="799"/>
      <c r="Q749" s="799"/>
      <c r="R749" s="799"/>
      <c r="S749" s="799"/>
      <c r="T749" s="799"/>
      <c r="U749" s="799"/>
      <c r="V749" s="799"/>
      <c r="W749" s="799"/>
      <c r="X749" s="799"/>
      <c r="Y749" s="799"/>
      <c r="Z749" s="799"/>
      <c r="AA749" s="799"/>
      <c r="AB749" s="799"/>
      <c r="AC749" s="799"/>
      <c r="AD749" s="799"/>
      <c r="AE749" s="799"/>
      <c r="AF749" s="799"/>
      <c r="AG749" s="799"/>
      <c r="AH749" s="799"/>
      <c r="AI749" s="799"/>
      <c r="AJ749" s="799"/>
      <c r="AK749" s="799"/>
      <c r="AL749" s="799"/>
      <c r="AM749" s="799"/>
      <c r="AN749" s="799"/>
      <c r="AO749" s="799"/>
      <c r="AP749" s="799"/>
      <c r="AQ749" s="799"/>
      <c r="AR749" s="799"/>
      <c r="AS749" s="799"/>
      <c r="AT749" s="799"/>
      <c r="AU749" s="799"/>
      <c r="AV749" s="799"/>
      <c r="AW749" s="799"/>
      <c r="AX749" s="799"/>
      <c r="AY749" s="799"/>
      <c r="AZ749" s="799"/>
      <c r="BA749" s="799"/>
      <c r="BB749" s="799"/>
      <c r="BC749" s="799"/>
      <c r="BD749" s="799"/>
      <c r="BE749" s="799"/>
      <c r="BF749" s="799"/>
      <c r="BG749" s="799"/>
    </row>
    <row r="750">
      <c r="H750" s="799"/>
      <c r="I750" s="799"/>
      <c r="J750" s="799"/>
      <c r="K750" s="799"/>
      <c r="L750" s="799"/>
      <c r="M750" s="799"/>
      <c r="N750" s="799"/>
      <c r="O750" s="799"/>
      <c r="P750" s="799"/>
      <c r="Q750" s="799"/>
      <c r="R750" s="799"/>
      <c r="S750" s="799"/>
      <c r="T750" s="799"/>
      <c r="U750" s="799"/>
      <c r="V750" s="799"/>
      <c r="W750" s="799"/>
      <c r="X750" s="799"/>
      <c r="Y750" s="799"/>
      <c r="Z750" s="799"/>
      <c r="AA750" s="799"/>
      <c r="AB750" s="799"/>
      <c r="AC750" s="799"/>
      <c r="AD750" s="799"/>
      <c r="AE750" s="799"/>
      <c r="AF750" s="799"/>
      <c r="AG750" s="799"/>
      <c r="AH750" s="799"/>
      <c r="AI750" s="799"/>
      <c r="AJ750" s="799"/>
      <c r="AK750" s="799"/>
      <c r="AL750" s="799"/>
      <c r="AM750" s="799"/>
      <c r="AN750" s="799"/>
      <c r="AO750" s="799"/>
      <c r="AP750" s="799"/>
      <c r="AQ750" s="799"/>
      <c r="AR750" s="799"/>
      <c r="AS750" s="799"/>
      <c r="AT750" s="799"/>
      <c r="AU750" s="799"/>
      <c r="AV750" s="799"/>
      <c r="AW750" s="799"/>
      <c r="AX750" s="799"/>
      <c r="AY750" s="799"/>
      <c r="AZ750" s="799"/>
      <c r="BA750" s="799"/>
      <c r="BB750" s="799"/>
      <c r="BC750" s="799"/>
      <c r="BD750" s="799"/>
      <c r="BE750" s="799"/>
      <c r="BF750" s="799"/>
      <c r="BG750" s="799"/>
    </row>
    <row r="751">
      <c r="H751" s="799"/>
      <c r="I751" s="799"/>
      <c r="J751" s="799"/>
      <c r="K751" s="799"/>
      <c r="L751" s="799"/>
      <c r="M751" s="799"/>
      <c r="N751" s="799"/>
      <c r="O751" s="799"/>
      <c r="P751" s="799"/>
      <c r="Q751" s="799"/>
      <c r="R751" s="799"/>
      <c r="S751" s="799"/>
      <c r="T751" s="799"/>
      <c r="U751" s="799"/>
      <c r="V751" s="799"/>
      <c r="W751" s="799"/>
      <c r="X751" s="799"/>
      <c r="Y751" s="799"/>
      <c r="Z751" s="799"/>
      <c r="AA751" s="799"/>
      <c r="AB751" s="799"/>
      <c r="AC751" s="799"/>
      <c r="AD751" s="799"/>
      <c r="AE751" s="799"/>
      <c r="AF751" s="799"/>
      <c r="AG751" s="799"/>
      <c r="AH751" s="799"/>
      <c r="AI751" s="799"/>
      <c r="AJ751" s="799"/>
      <c r="AK751" s="799"/>
      <c r="AL751" s="799"/>
      <c r="AM751" s="799"/>
      <c r="AN751" s="799"/>
      <c r="AO751" s="799"/>
      <c r="AP751" s="799"/>
      <c r="AQ751" s="799"/>
      <c r="AR751" s="799"/>
      <c r="AS751" s="799"/>
      <c r="AT751" s="799"/>
      <c r="AU751" s="799"/>
      <c r="AV751" s="799"/>
      <c r="AW751" s="799"/>
      <c r="AX751" s="799"/>
      <c r="AY751" s="799"/>
      <c r="AZ751" s="799"/>
      <c r="BA751" s="799"/>
      <c r="BB751" s="799"/>
      <c r="BC751" s="799"/>
      <c r="BD751" s="799"/>
      <c r="BE751" s="799"/>
      <c r="BF751" s="799"/>
      <c r="BG751" s="799"/>
    </row>
    <row r="752">
      <c r="H752" s="799"/>
      <c r="I752" s="799"/>
      <c r="J752" s="799"/>
      <c r="K752" s="799"/>
      <c r="L752" s="799"/>
      <c r="M752" s="799"/>
      <c r="N752" s="799"/>
      <c r="O752" s="799"/>
      <c r="P752" s="799"/>
      <c r="Q752" s="799"/>
      <c r="R752" s="799"/>
      <c r="S752" s="799"/>
      <c r="T752" s="799"/>
      <c r="U752" s="799"/>
      <c r="V752" s="799"/>
      <c r="W752" s="799"/>
      <c r="X752" s="799"/>
      <c r="Y752" s="799"/>
      <c r="Z752" s="799"/>
      <c r="AA752" s="799"/>
      <c r="AB752" s="799"/>
      <c r="AC752" s="799"/>
      <c r="AD752" s="799"/>
      <c r="AE752" s="799"/>
      <c r="AF752" s="799"/>
      <c r="AG752" s="799"/>
      <c r="AH752" s="799"/>
      <c r="AI752" s="799"/>
      <c r="AJ752" s="799"/>
      <c r="AK752" s="799"/>
      <c r="AL752" s="799"/>
      <c r="AM752" s="799"/>
      <c r="AN752" s="799"/>
      <c r="AO752" s="799"/>
      <c r="AP752" s="799"/>
      <c r="AQ752" s="799"/>
      <c r="AR752" s="799"/>
      <c r="AS752" s="799"/>
      <c r="AT752" s="799"/>
      <c r="AU752" s="799"/>
      <c r="AV752" s="799"/>
      <c r="AW752" s="799"/>
      <c r="AX752" s="799"/>
      <c r="AY752" s="799"/>
      <c r="AZ752" s="799"/>
      <c r="BA752" s="799"/>
      <c r="BB752" s="799"/>
      <c r="BC752" s="799"/>
      <c r="BD752" s="799"/>
      <c r="BE752" s="799"/>
      <c r="BF752" s="799"/>
      <c r="BG752" s="799"/>
    </row>
    <row r="753">
      <c r="H753" s="799"/>
      <c r="I753" s="799"/>
      <c r="J753" s="799"/>
      <c r="K753" s="799"/>
      <c r="L753" s="799"/>
      <c r="M753" s="799"/>
      <c r="N753" s="799"/>
      <c r="O753" s="799"/>
      <c r="P753" s="799"/>
      <c r="Q753" s="799"/>
      <c r="R753" s="799"/>
      <c r="S753" s="799"/>
      <c r="T753" s="799"/>
      <c r="U753" s="799"/>
      <c r="V753" s="799"/>
      <c r="W753" s="799"/>
      <c r="X753" s="799"/>
      <c r="Y753" s="799"/>
      <c r="Z753" s="799"/>
      <c r="AA753" s="799"/>
      <c r="AB753" s="799"/>
      <c r="AC753" s="799"/>
      <c r="AD753" s="799"/>
      <c r="AE753" s="799"/>
      <c r="AF753" s="799"/>
      <c r="AG753" s="799"/>
      <c r="AH753" s="799"/>
      <c r="AI753" s="799"/>
      <c r="AJ753" s="799"/>
      <c r="AK753" s="799"/>
      <c r="AL753" s="799"/>
      <c r="AM753" s="799"/>
      <c r="AN753" s="799"/>
      <c r="AO753" s="799"/>
      <c r="AP753" s="799"/>
      <c r="AQ753" s="799"/>
      <c r="AR753" s="799"/>
      <c r="AS753" s="799"/>
      <c r="AT753" s="799"/>
      <c r="AU753" s="799"/>
      <c r="AV753" s="799"/>
      <c r="AW753" s="799"/>
      <c r="AX753" s="799"/>
      <c r="AY753" s="799"/>
      <c r="AZ753" s="799"/>
      <c r="BA753" s="799"/>
      <c r="BB753" s="799"/>
      <c r="BC753" s="799"/>
      <c r="BD753" s="799"/>
      <c r="BE753" s="799"/>
      <c r="BF753" s="799"/>
      <c r="BG753" s="799"/>
    </row>
    <row r="754">
      <c r="H754" s="799"/>
      <c r="I754" s="799"/>
      <c r="J754" s="799"/>
      <c r="K754" s="799"/>
      <c r="L754" s="799"/>
      <c r="M754" s="799"/>
      <c r="N754" s="799"/>
      <c r="O754" s="799"/>
      <c r="P754" s="799"/>
      <c r="Q754" s="799"/>
      <c r="R754" s="799"/>
      <c r="S754" s="799"/>
      <c r="T754" s="799"/>
      <c r="U754" s="799"/>
      <c r="V754" s="799"/>
      <c r="W754" s="799"/>
      <c r="X754" s="799"/>
      <c r="Y754" s="799"/>
      <c r="Z754" s="799"/>
      <c r="AA754" s="799"/>
      <c r="AB754" s="799"/>
      <c r="AC754" s="799"/>
      <c r="AD754" s="799"/>
      <c r="AE754" s="799"/>
      <c r="AF754" s="799"/>
      <c r="AG754" s="799"/>
      <c r="AH754" s="799"/>
      <c r="AI754" s="799"/>
      <c r="AJ754" s="799"/>
      <c r="AK754" s="799"/>
      <c r="AL754" s="799"/>
      <c r="AM754" s="799"/>
      <c r="AN754" s="799"/>
      <c r="AO754" s="799"/>
      <c r="AP754" s="799"/>
      <c r="AQ754" s="799"/>
      <c r="AR754" s="799"/>
      <c r="AS754" s="799"/>
      <c r="AT754" s="799"/>
      <c r="AU754" s="799"/>
      <c r="AV754" s="799"/>
      <c r="AW754" s="799"/>
      <c r="AX754" s="799"/>
      <c r="AY754" s="799"/>
      <c r="AZ754" s="799"/>
      <c r="BA754" s="799"/>
      <c r="BB754" s="799"/>
      <c r="BC754" s="799"/>
      <c r="BD754" s="799"/>
      <c r="BE754" s="799"/>
      <c r="BF754" s="799"/>
      <c r="BG754" s="799"/>
    </row>
    <row r="755">
      <c r="H755" s="799"/>
      <c r="I755" s="799"/>
      <c r="J755" s="799"/>
      <c r="K755" s="799"/>
      <c r="L755" s="799"/>
      <c r="M755" s="799"/>
      <c r="N755" s="799"/>
      <c r="O755" s="799"/>
      <c r="P755" s="799"/>
      <c r="Q755" s="799"/>
      <c r="R755" s="799"/>
      <c r="S755" s="799"/>
      <c r="T755" s="799"/>
      <c r="U755" s="799"/>
      <c r="V755" s="799"/>
      <c r="W755" s="799"/>
      <c r="X755" s="799"/>
      <c r="Y755" s="799"/>
      <c r="Z755" s="799"/>
      <c r="AA755" s="799"/>
      <c r="AB755" s="799"/>
      <c r="AC755" s="799"/>
      <c r="AD755" s="799"/>
      <c r="AE755" s="799"/>
      <c r="AF755" s="799"/>
      <c r="AG755" s="799"/>
      <c r="AH755" s="799"/>
      <c r="AI755" s="799"/>
      <c r="AJ755" s="799"/>
      <c r="AK755" s="799"/>
      <c r="AL755" s="799"/>
      <c r="AM755" s="799"/>
      <c r="AN755" s="799"/>
      <c r="AO755" s="799"/>
      <c r="AP755" s="799"/>
      <c r="AQ755" s="799"/>
      <c r="AR755" s="799"/>
      <c r="AS755" s="799"/>
      <c r="AT755" s="799"/>
      <c r="AU755" s="799"/>
      <c r="AV755" s="799"/>
      <c r="AW755" s="799"/>
      <c r="AX755" s="799"/>
      <c r="AY755" s="799"/>
      <c r="AZ755" s="799"/>
      <c r="BA755" s="799"/>
      <c r="BB755" s="799"/>
      <c r="BC755" s="799"/>
      <c r="BD755" s="799"/>
      <c r="BE755" s="799"/>
      <c r="BF755" s="799"/>
      <c r="BG755" s="799"/>
    </row>
    <row r="756">
      <c r="H756" s="799"/>
      <c r="I756" s="799"/>
      <c r="J756" s="799"/>
      <c r="K756" s="799"/>
      <c r="L756" s="799"/>
      <c r="M756" s="799"/>
      <c r="N756" s="799"/>
      <c r="O756" s="799"/>
      <c r="P756" s="799"/>
      <c r="Q756" s="799"/>
      <c r="R756" s="799"/>
      <c r="S756" s="799"/>
      <c r="T756" s="799"/>
      <c r="U756" s="799"/>
      <c r="V756" s="799"/>
      <c r="W756" s="799"/>
      <c r="X756" s="799"/>
      <c r="Y756" s="799"/>
      <c r="Z756" s="799"/>
      <c r="AA756" s="799"/>
      <c r="AB756" s="799"/>
      <c r="AC756" s="799"/>
      <c r="AD756" s="799"/>
      <c r="AE756" s="799"/>
      <c r="AF756" s="799"/>
      <c r="AG756" s="799"/>
      <c r="AH756" s="799"/>
      <c r="AI756" s="799"/>
      <c r="AJ756" s="799"/>
      <c r="AK756" s="799"/>
      <c r="AL756" s="799"/>
      <c r="AM756" s="799"/>
      <c r="AN756" s="799"/>
      <c r="AO756" s="799"/>
      <c r="AP756" s="799"/>
      <c r="AQ756" s="799"/>
      <c r="AR756" s="799"/>
      <c r="AS756" s="799"/>
      <c r="AT756" s="799"/>
      <c r="AU756" s="799"/>
      <c r="AV756" s="799"/>
      <c r="AW756" s="799"/>
      <c r="AX756" s="799"/>
      <c r="AY756" s="799"/>
      <c r="AZ756" s="799"/>
      <c r="BA756" s="799"/>
      <c r="BB756" s="799"/>
      <c r="BC756" s="799"/>
      <c r="BD756" s="799"/>
      <c r="BE756" s="799"/>
      <c r="BF756" s="799"/>
      <c r="BG756" s="799"/>
    </row>
    <row r="757">
      <c r="H757" s="799"/>
      <c r="I757" s="799"/>
      <c r="J757" s="799"/>
      <c r="K757" s="799"/>
      <c r="L757" s="799"/>
      <c r="M757" s="799"/>
      <c r="N757" s="799"/>
      <c r="O757" s="799"/>
      <c r="P757" s="799"/>
      <c r="Q757" s="799"/>
      <c r="R757" s="799"/>
      <c r="S757" s="799"/>
      <c r="T757" s="799"/>
      <c r="U757" s="799"/>
      <c r="V757" s="799"/>
      <c r="W757" s="799"/>
      <c r="X757" s="799"/>
      <c r="Y757" s="799"/>
      <c r="Z757" s="799"/>
      <c r="AA757" s="799"/>
      <c r="AB757" s="799"/>
      <c r="AC757" s="799"/>
      <c r="AD757" s="799"/>
      <c r="AE757" s="799"/>
      <c r="AF757" s="799"/>
      <c r="AG757" s="799"/>
      <c r="AH757" s="799"/>
      <c r="AI757" s="799"/>
      <c r="AJ757" s="799"/>
      <c r="AK757" s="799"/>
      <c r="AL757" s="799"/>
      <c r="AM757" s="799"/>
      <c r="AN757" s="799"/>
      <c r="AO757" s="799"/>
      <c r="AP757" s="799"/>
      <c r="AQ757" s="799"/>
      <c r="AR757" s="799"/>
      <c r="AS757" s="799"/>
      <c r="AT757" s="799"/>
      <c r="AU757" s="799"/>
      <c r="AV757" s="799"/>
      <c r="AW757" s="799"/>
      <c r="AX757" s="799"/>
      <c r="AY757" s="799"/>
      <c r="AZ757" s="799"/>
      <c r="BA757" s="799"/>
      <c r="BB757" s="799"/>
      <c r="BC757" s="799"/>
      <c r="BD757" s="799"/>
      <c r="BE757" s="799"/>
      <c r="BF757" s="799"/>
      <c r="BG757" s="799"/>
    </row>
    <row r="758">
      <c r="H758" s="799"/>
      <c r="I758" s="799"/>
      <c r="J758" s="799"/>
      <c r="K758" s="799"/>
      <c r="L758" s="799"/>
      <c r="M758" s="799"/>
      <c r="N758" s="799"/>
      <c r="O758" s="799"/>
      <c r="P758" s="799"/>
      <c r="Q758" s="799"/>
      <c r="R758" s="799"/>
      <c r="S758" s="799"/>
      <c r="T758" s="799"/>
      <c r="U758" s="799"/>
      <c r="V758" s="799"/>
      <c r="W758" s="799"/>
      <c r="X758" s="799"/>
      <c r="Y758" s="799"/>
      <c r="Z758" s="799"/>
      <c r="AA758" s="799"/>
      <c r="AB758" s="799"/>
      <c r="AC758" s="799"/>
      <c r="AD758" s="799"/>
      <c r="AE758" s="799"/>
      <c r="AF758" s="799"/>
      <c r="AG758" s="799"/>
      <c r="AH758" s="799"/>
      <c r="AI758" s="799"/>
      <c r="AJ758" s="799"/>
      <c r="AK758" s="799"/>
      <c r="AL758" s="799"/>
      <c r="AM758" s="799"/>
      <c r="AN758" s="799"/>
      <c r="AO758" s="799"/>
      <c r="AP758" s="799"/>
      <c r="AQ758" s="799"/>
      <c r="AR758" s="799"/>
      <c r="AS758" s="799"/>
      <c r="AT758" s="799"/>
      <c r="AU758" s="799"/>
      <c r="AV758" s="799"/>
      <c r="AW758" s="799"/>
      <c r="AX758" s="799"/>
      <c r="AY758" s="799"/>
      <c r="AZ758" s="799"/>
      <c r="BA758" s="799"/>
      <c r="BB758" s="799"/>
      <c r="BC758" s="799"/>
      <c r="BD758" s="799"/>
      <c r="BE758" s="799"/>
      <c r="BF758" s="799"/>
      <c r="BG758" s="799"/>
    </row>
    <row r="759">
      <c r="H759" s="799"/>
      <c r="I759" s="799"/>
      <c r="J759" s="799"/>
      <c r="K759" s="799"/>
      <c r="L759" s="799"/>
      <c r="M759" s="799"/>
      <c r="N759" s="799"/>
      <c r="O759" s="799"/>
      <c r="P759" s="799"/>
      <c r="Q759" s="799"/>
      <c r="R759" s="799"/>
      <c r="S759" s="799"/>
      <c r="T759" s="799"/>
      <c r="U759" s="799"/>
      <c r="V759" s="799"/>
      <c r="W759" s="799"/>
      <c r="X759" s="799"/>
      <c r="Y759" s="799"/>
      <c r="Z759" s="799"/>
      <c r="AA759" s="799"/>
      <c r="AB759" s="799"/>
      <c r="AC759" s="799"/>
      <c r="AD759" s="799"/>
      <c r="AE759" s="799"/>
      <c r="AF759" s="799"/>
      <c r="AG759" s="799"/>
      <c r="AH759" s="799"/>
      <c r="AI759" s="799"/>
      <c r="AJ759" s="799"/>
      <c r="AK759" s="799"/>
      <c r="AL759" s="799"/>
      <c r="AM759" s="799"/>
      <c r="AN759" s="799"/>
      <c r="AO759" s="799"/>
      <c r="AP759" s="799"/>
      <c r="AQ759" s="799"/>
      <c r="AR759" s="799"/>
      <c r="AS759" s="799"/>
      <c r="AT759" s="799"/>
      <c r="AU759" s="799"/>
      <c r="AV759" s="799"/>
      <c r="AW759" s="799"/>
      <c r="AX759" s="799"/>
      <c r="AY759" s="799"/>
      <c r="AZ759" s="799"/>
      <c r="BA759" s="799"/>
      <c r="BB759" s="799"/>
      <c r="BC759" s="799"/>
      <c r="BD759" s="799"/>
      <c r="BE759" s="799"/>
      <c r="BF759" s="799"/>
      <c r="BG759" s="799"/>
    </row>
    <row r="760">
      <c r="H760" s="799"/>
      <c r="I760" s="799"/>
      <c r="J760" s="799"/>
      <c r="K760" s="799"/>
      <c r="L760" s="799"/>
      <c r="M760" s="799"/>
      <c r="N760" s="799"/>
      <c r="O760" s="799"/>
      <c r="P760" s="799"/>
      <c r="Q760" s="799"/>
      <c r="R760" s="799"/>
      <c r="S760" s="799"/>
      <c r="T760" s="799"/>
      <c r="U760" s="799"/>
      <c r="V760" s="799"/>
      <c r="W760" s="799"/>
      <c r="X760" s="799"/>
      <c r="Y760" s="799"/>
      <c r="Z760" s="799"/>
      <c r="AA760" s="799"/>
      <c r="AB760" s="799"/>
      <c r="AC760" s="799"/>
      <c r="AD760" s="799"/>
      <c r="AE760" s="799"/>
      <c r="AF760" s="799"/>
      <c r="AG760" s="799"/>
      <c r="AH760" s="799"/>
      <c r="AI760" s="799"/>
      <c r="AJ760" s="799"/>
      <c r="AK760" s="799"/>
      <c r="AL760" s="799"/>
      <c r="AM760" s="799"/>
      <c r="AN760" s="799"/>
      <c r="AO760" s="799"/>
      <c r="AP760" s="799"/>
      <c r="AQ760" s="799"/>
      <c r="AR760" s="799"/>
      <c r="AS760" s="799"/>
      <c r="AT760" s="799"/>
      <c r="AU760" s="799"/>
      <c r="AV760" s="799"/>
      <c r="AW760" s="799"/>
      <c r="AX760" s="799"/>
      <c r="AY760" s="799"/>
      <c r="AZ760" s="799"/>
      <c r="BA760" s="799"/>
      <c r="BB760" s="799"/>
      <c r="BC760" s="799"/>
      <c r="BD760" s="799"/>
      <c r="BE760" s="799"/>
      <c r="BF760" s="799"/>
      <c r="BG760" s="799"/>
    </row>
    <row r="761">
      <c r="H761" s="799"/>
      <c r="I761" s="799"/>
      <c r="J761" s="799"/>
      <c r="K761" s="799"/>
      <c r="L761" s="799"/>
      <c r="M761" s="799"/>
      <c r="N761" s="799"/>
      <c r="O761" s="799"/>
      <c r="P761" s="799"/>
      <c r="Q761" s="799"/>
      <c r="R761" s="799"/>
      <c r="S761" s="799"/>
      <c r="T761" s="799"/>
      <c r="U761" s="799"/>
      <c r="V761" s="799"/>
      <c r="W761" s="799"/>
      <c r="X761" s="799"/>
      <c r="Y761" s="799"/>
      <c r="Z761" s="799"/>
      <c r="AA761" s="799"/>
      <c r="AB761" s="799"/>
      <c r="AC761" s="799"/>
      <c r="AD761" s="799"/>
      <c r="AE761" s="799"/>
      <c r="AF761" s="799"/>
      <c r="AG761" s="799"/>
      <c r="AH761" s="799"/>
      <c r="AI761" s="799"/>
      <c r="AJ761" s="799"/>
      <c r="AK761" s="799"/>
      <c r="AL761" s="799"/>
      <c r="AM761" s="799"/>
      <c r="AN761" s="799"/>
      <c r="AO761" s="799"/>
      <c r="AP761" s="799"/>
      <c r="AQ761" s="799"/>
      <c r="AR761" s="799"/>
      <c r="AS761" s="799"/>
      <c r="AT761" s="799"/>
      <c r="AU761" s="799"/>
      <c r="AV761" s="799"/>
      <c r="AW761" s="799"/>
      <c r="AX761" s="799"/>
      <c r="AY761" s="799"/>
      <c r="AZ761" s="799"/>
      <c r="BA761" s="799"/>
      <c r="BB761" s="799"/>
      <c r="BC761" s="799"/>
      <c r="BD761" s="799"/>
      <c r="BE761" s="799"/>
      <c r="BF761" s="799"/>
      <c r="BG761" s="799"/>
    </row>
    <row r="762">
      <c r="H762" s="799"/>
      <c r="I762" s="799"/>
      <c r="J762" s="799"/>
      <c r="K762" s="799"/>
      <c r="L762" s="799"/>
      <c r="M762" s="799"/>
      <c r="N762" s="799"/>
      <c r="O762" s="799"/>
      <c r="P762" s="799"/>
      <c r="Q762" s="799"/>
      <c r="R762" s="799"/>
      <c r="S762" s="799"/>
      <c r="T762" s="799"/>
      <c r="U762" s="799"/>
      <c r="V762" s="799"/>
      <c r="W762" s="799"/>
      <c r="X762" s="799"/>
      <c r="Y762" s="799"/>
      <c r="Z762" s="799"/>
      <c r="AA762" s="799"/>
      <c r="AB762" s="799"/>
      <c r="AC762" s="799"/>
      <c r="AD762" s="799"/>
      <c r="AE762" s="799"/>
      <c r="AF762" s="799"/>
      <c r="AG762" s="799"/>
      <c r="AH762" s="799"/>
      <c r="AI762" s="799"/>
      <c r="AJ762" s="799"/>
      <c r="AK762" s="799"/>
      <c r="AL762" s="799"/>
      <c r="AM762" s="799"/>
      <c r="AN762" s="799"/>
      <c r="AO762" s="799"/>
      <c r="AP762" s="799"/>
      <c r="AQ762" s="799"/>
      <c r="AR762" s="799"/>
      <c r="AS762" s="799"/>
      <c r="AT762" s="799"/>
      <c r="AU762" s="799"/>
      <c r="AV762" s="799"/>
      <c r="AW762" s="799"/>
      <c r="AX762" s="799"/>
      <c r="AY762" s="799"/>
      <c r="AZ762" s="799"/>
      <c r="BA762" s="799"/>
      <c r="BB762" s="799"/>
      <c r="BC762" s="799"/>
      <c r="BD762" s="799"/>
      <c r="BE762" s="799"/>
      <c r="BF762" s="799"/>
      <c r="BG762" s="799"/>
    </row>
    <row r="763">
      <c r="H763" s="799"/>
      <c r="I763" s="799"/>
      <c r="J763" s="799"/>
      <c r="K763" s="799"/>
      <c r="L763" s="799"/>
      <c r="M763" s="799"/>
      <c r="N763" s="799"/>
      <c r="O763" s="799"/>
      <c r="P763" s="799"/>
      <c r="Q763" s="799"/>
      <c r="R763" s="799"/>
      <c r="S763" s="799"/>
      <c r="T763" s="799"/>
      <c r="U763" s="799"/>
      <c r="V763" s="799"/>
      <c r="W763" s="799"/>
      <c r="X763" s="799"/>
      <c r="Y763" s="799"/>
      <c r="Z763" s="799"/>
      <c r="AA763" s="799"/>
      <c r="AB763" s="799"/>
      <c r="AC763" s="799"/>
      <c r="AD763" s="799"/>
      <c r="AE763" s="799"/>
      <c r="AF763" s="799"/>
      <c r="AG763" s="799"/>
      <c r="AH763" s="799"/>
      <c r="AI763" s="799"/>
      <c r="AJ763" s="799"/>
      <c r="AK763" s="799"/>
      <c r="AL763" s="799"/>
      <c r="AM763" s="799"/>
      <c r="AN763" s="799"/>
      <c r="AO763" s="799"/>
      <c r="AP763" s="799"/>
      <c r="AQ763" s="799"/>
      <c r="AR763" s="799"/>
      <c r="AS763" s="799"/>
      <c r="AT763" s="799"/>
      <c r="AU763" s="799"/>
      <c r="AV763" s="799"/>
      <c r="AW763" s="799"/>
      <c r="AX763" s="799"/>
      <c r="AY763" s="799"/>
      <c r="AZ763" s="799"/>
      <c r="BA763" s="799"/>
      <c r="BB763" s="799"/>
      <c r="BC763" s="799"/>
      <c r="BD763" s="799"/>
      <c r="BE763" s="799"/>
      <c r="BF763" s="799"/>
      <c r="BG763" s="799"/>
    </row>
    <row r="764">
      <c r="H764" s="799"/>
      <c r="I764" s="799"/>
      <c r="J764" s="799"/>
      <c r="K764" s="799"/>
      <c r="L764" s="799"/>
      <c r="M764" s="799"/>
      <c r="N764" s="799"/>
      <c r="O764" s="799"/>
      <c r="P764" s="799"/>
      <c r="Q764" s="799"/>
      <c r="R764" s="799"/>
      <c r="S764" s="799"/>
      <c r="T764" s="799"/>
      <c r="U764" s="799"/>
      <c r="V764" s="799"/>
      <c r="W764" s="799"/>
      <c r="X764" s="799"/>
      <c r="Y764" s="799"/>
      <c r="Z764" s="799"/>
      <c r="AA764" s="799"/>
      <c r="AB764" s="799"/>
      <c r="AC764" s="799"/>
      <c r="AD764" s="799"/>
      <c r="AE764" s="799"/>
      <c r="AF764" s="799"/>
      <c r="AG764" s="799"/>
      <c r="AH764" s="799"/>
      <c r="AI764" s="799"/>
      <c r="AJ764" s="799"/>
      <c r="AK764" s="799"/>
      <c r="AL764" s="799"/>
      <c r="AM764" s="799"/>
      <c r="AN764" s="799"/>
      <c r="AO764" s="799"/>
      <c r="AP764" s="799"/>
      <c r="AQ764" s="799"/>
      <c r="AR764" s="799"/>
      <c r="AS764" s="799"/>
      <c r="AT764" s="799"/>
      <c r="AU764" s="799"/>
      <c r="AV764" s="799"/>
      <c r="AW764" s="799"/>
      <c r="AX764" s="799"/>
      <c r="AY764" s="799"/>
      <c r="AZ764" s="799"/>
      <c r="BA764" s="799"/>
      <c r="BB764" s="799"/>
      <c r="BC764" s="799"/>
      <c r="BD764" s="799"/>
      <c r="BE764" s="799"/>
      <c r="BF764" s="799"/>
      <c r="BG764" s="799"/>
    </row>
    <row r="765">
      <c r="H765" s="799"/>
      <c r="I765" s="799"/>
      <c r="J765" s="799"/>
      <c r="K765" s="799"/>
      <c r="L765" s="799"/>
      <c r="M765" s="799"/>
      <c r="N765" s="799"/>
      <c r="O765" s="799"/>
      <c r="P765" s="799"/>
      <c r="Q765" s="799"/>
      <c r="R765" s="799"/>
      <c r="S765" s="799"/>
      <c r="T765" s="799"/>
      <c r="U765" s="799"/>
      <c r="V765" s="799"/>
      <c r="W765" s="799"/>
      <c r="X765" s="799"/>
      <c r="Y765" s="799"/>
      <c r="Z765" s="799"/>
      <c r="AA765" s="799"/>
      <c r="AB765" s="799"/>
      <c r="AC765" s="799"/>
      <c r="AD765" s="799"/>
      <c r="AE765" s="799"/>
      <c r="AF765" s="799"/>
      <c r="AG765" s="799"/>
      <c r="AH765" s="799"/>
      <c r="AI765" s="799"/>
      <c r="AJ765" s="799"/>
      <c r="AK765" s="799"/>
      <c r="AL765" s="799"/>
      <c r="AM765" s="799"/>
      <c r="AN765" s="799"/>
      <c r="AO765" s="799"/>
      <c r="AP765" s="799"/>
      <c r="AQ765" s="799"/>
      <c r="AR765" s="799"/>
      <c r="AS765" s="799"/>
      <c r="AT765" s="799"/>
      <c r="AU765" s="799"/>
      <c r="AV765" s="799"/>
      <c r="AW765" s="799"/>
      <c r="AX765" s="799"/>
      <c r="AY765" s="799"/>
      <c r="AZ765" s="799"/>
      <c r="BA765" s="799"/>
      <c r="BB765" s="799"/>
      <c r="BC765" s="799"/>
      <c r="BD765" s="799"/>
      <c r="BE765" s="799"/>
      <c r="BF765" s="799"/>
      <c r="BG765" s="799"/>
    </row>
    <row r="766">
      <c r="H766" s="799"/>
      <c r="I766" s="799"/>
      <c r="J766" s="799"/>
      <c r="K766" s="799"/>
      <c r="L766" s="799"/>
      <c r="M766" s="799"/>
      <c r="N766" s="799"/>
      <c r="O766" s="799"/>
      <c r="P766" s="799"/>
      <c r="Q766" s="799"/>
      <c r="R766" s="799"/>
      <c r="S766" s="799"/>
      <c r="T766" s="799"/>
      <c r="U766" s="799"/>
      <c r="V766" s="799"/>
      <c r="W766" s="799"/>
      <c r="X766" s="799"/>
      <c r="Y766" s="799"/>
      <c r="Z766" s="799"/>
      <c r="AA766" s="799"/>
      <c r="AB766" s="799"/>
      <c r="AC766" s="799"/>
      <c r="AD766" s="799"/>
      <c r="AE766" s="799"/>
      <c r="AF766" s="799"/>
      <c r="AG766" s="799"/>
      <c r="AH766" s="799"/>
      <c r="AI766" s="799"/>
      <c r="AJ766" s="799"/>
      <c r="AK766" s="799"/>
      <c r="AL766" s="799"/>
      <c r="AM766" s="799"/>
      <c r="AN766" s="799"/>
      <c r="AO766" s="799"/>
      <c r="AP766" s="799"/>
      <c r="AQ766" s="799"/>
      <c r="AR766" s="799"/>
      <c r="AS766" s="799"/>
      <c r="AT766" s="799"/>
      <c r="AU766" s="799"/>
      <c r="AV766" s="799"/>
      <c r="AW766" s="799"/>
      <c r="AX766" s="799"/>
      <c r="AY766" s="799"/>
      <c r="AZ766" s="799"/>
      <c r="BA766" s="799"/>
      <c r="BB766" s="799"/>
      <c r="BC766" s="799"/>
      <c r="BD766" s="799"/>
      <c r="BE766" s="799"/>
      <c r="BF766" s="799"/>
      <c r="BG766" s="799"/>
    </row>
    <row r="767">
      <c r="H767" s="799"/>
      <c r="I767" s="799"/>
      <c r="J767" s="799"/>
      <c r="K767" s="799"/>
      <c r="L767" s="799"/>
      <c r="M767" s="799"/>
      <c r="N767" s="799"/>
      <c r="O767" s="799"/>
      <c r="P767" s="799"/>
      <c r="Q767" s="799"/>
      <c r="R767" s="799"/>
      <c r="S767" s="799"/>
      <c r="T767" s="799"/>
      <c r="U767" s="799"/>
      <c r="V767" s="799"/>
      <c r="W767" s="799"/>
      <c r="X767" s="799"/>
      <c r="Y767" s="799"/>
      <c r="Z767" s="799"/>
      <c r="AA767" s="799"/>
      <c r="AB767" s="799"/>
      <c r="AC767" s="799"/>
      <c r="AD767" s="799"/>
      <c r="AE767" s="799"/>
      <c r="AF767" s="799"/>
      <c r="AG767" s="799"/>
      <c r="AH767" s="799"/>
      <c r="AI767" s="799"/>
      <c r="AJ767" s="799"/>
      <c r="AK767" s="799"/>
      <c r="AL767" s="799"/>
      <c r="AM767" s="799"/>
      <c r="AN767" s="799"/>
      <c r="AO767" s="799"/>
      <c r="AP767" s="799"/>
      <c r="AQ767" s="799"/>
      <c r="AR767" s="799"/>
      <c r="AS767" s="799"/>
      <c r="AT767" s="799"/>
      <c r="AU767" s="799"/>
      <c r="AV767" s="799"/>
      <c r="AW767" s="799"/>
      <c r="AX767" s="799"/>
      <c r="AY767" s="799"/>
      <c r="AZ767" s="799"/>
      <c r="BA767" s="799"/>
      <c r="BB767" s="799"/>
      <c r="BC767" s="799"/>
      <c r="BD767" s="799"/>
      <c r="BE767" s="799"/>
      <c r="BF767" s="799"/>
      <c r="BG767" s="799"/>
    </row>
    <row r="768">
      <c r="H768" s="799"/>
      <c r="I768" s="799"/>
      <c r="J768" s="799"/>
      <c r="K768" s="799"/>
      <c r="L768" s="799"/>
      <c r="M768" s="799"/>
      <c r="N768" s="799"/>
      <c r="O768" s="799"/>
      <c r="P768" s="799"/>
      <c r="Q768" s="799"/>
      <c r="R768" s="799"/>
      <c r="S768" s="799"/>
      <c r="T768" s="799"/>
      <c r="U768" s="799"/>
      <c r="V768" s="799"/>
      <c r="W768" s="799"/>
      <c r="X768" s="799"/>
      <c r="Y768" s="799"/>
      <c r="Z768" s="799"/>
      <c r="AA768" s="799"/>
      <c r="AB768" s="799"/>
      <c r="AC768" s="799"/>
      <c r="AD768" s="799"/>
      <c r="AE768" s="799"/>
      <c r="AF768" s="799"/>
      <c r="AG768" s="799"/>
      <c r="AH768" s="799"/>
      <c r="AI768" s="799"/>
      <c r="AJ768" s="799"/>
      <c r="AK768" s="799"/>
      <c r="AL768" s="799"/>
      <c r="AM768" s="799"/>
      <c r="AN768" s="799"/>
      <c r="AO768" s="799"/>
      <c r="AP768" s="799"/>
      <c r="AQ768" s="799"/>
      <c r="AR768" s="799"/>
      <c r="AS768" s="799"/>
      <c r="AT768" s="799"/>
      <c r="AU768" s="799"/>
      <c r="AV768" s="799"/>
      <c r="AW768" s="799"/>
      <c r="AX768" s="799"/>
      <c r="AY768" s="799"/>
      <c r="AZ768" s="799"/>
      <c r="BA768" s="799"/>
      <c r="BB768" s="799"/>
      <c r="BC768" s="799"/>
      <c r="BD768" s="799"/>
      <c r="BE768" s="799"/>
      <c r="BF768" s="799"/>
      <c r="BG768" s="799"/>
    </row>
    <row r="769">
      <c r="H769" s="799"/>
      <c r="I769" s="799"/>
      <c r="J769" s="799"/>
      <c r="K769" s="799"/>
      <c r="L769" s="799"/>
      <c r="M769" s="799"/>
      <c r="N769" s="799"/>
      <c r="O769" s="799"/>
      <c r="P769" s="799"/>
      <c r="Q769" s="799"/>
      <c r="R769" s="799"/>
      <c r="S769" s="799"/>
      <c r="T769" s="799"/>
      <c r="U769" s="799"/>
      <c r="V769" s="799"/>
      <c r="W769" s="799"/>
      <c r="X769" s="799"/>
      <c r="Y769" s="799"/>
      <c r="Z769" s="799"/>
      <c r="AA769" s="799"/>
      <c r="AB769" s="799"/>
      <c r="AC769" s="799"/>
      <c r="AD769" s="799"/>
      <c r="AE769" s="799"/>
      <c r="AF769" s="799"/>
      <c r="AG769" s="799"/>
      <c r="AH769" s="799"/>
      <c r="AI769" s="799"/>
      <c r="AJ769" s="799"/>
      <c r="AK769" s="799"/>
      <c r="AL769" s="799"/>
      <c r="AM769" s="799"/>
      <c r="AN769" s="799"/>
      <c r="AO769" s="799"/>
      <c r="AP769" s="799"/>
      <c r="AQ769" s="799"/>
      <c r="AR769" s="799"/>
      <c r="AS769" s="799"/>
      <c r="AT769" s="799"/>
      <c r="AU769" s="799"/>
      <c r="AV769" s="799"/>
      <c r="AW769" s="799"/>
      <c r="AX769" s="799"/>
      <c r="AY769" s="799"/>
      <c r="AZ769" s="799"/>
      <c r="BA769" s="799"/>
      <c r="BB769" s="799"/>
      <c r="BC769" s="799"/>
      <c r="BD769" s="799"/>
      <c r="BE769" s="799"/>
      <c r="BF769" s="799"/>
      <c r="BG769" s="799"/>
    </row>
    <row r="770">
      <c r="H770" s="799"/>
      <c r="I770" s="799"/>
      <c r="J770" s="799"/>
      <c r="K770" s="799"/>
      <c r="L770" s="799"/>
      <c r="M770" s="799"/>
      <c r="N770" s="799"/>
      <c r="O770" s="799"/>
      <c r="P770" s="799"/>
      <c r="Q770" s="799"/>
      <c r="R770" s="799"/>
      <c r="S770" s="799"/>
      <c r="T770" s="799"/>
      <c r="U770" s="799"/>
      <c r="V770" s="799"/>
      <c r="W770" s="799"/>
      <c r="X770" s="799"/>
      <c r="Y770" s="799"/>
      <c r="Z770" s="799"/>
      <c r="AA770" s="799"/>
      <c r="AB770" s="799"/>
      <c r="AC770" s="799"/>
      <c r="AD770" s="799"/>
      <c r="AE770" s="799"/>
      <c r="AF770" s="799"/>
      <c r="AG770" s="799"/>
      <c r="AH770" s="799"/>
      <c r="AI770" s="799"/>
      <c r="AJ770" s="799"/>
      <c r="AK770" s="799"/>
      <c r="AL770" s="799"/>
      <c r="AM770" s="799"/>
      <c r="AN770" s="799"/>
      <c r="AO770" s="799"/>
      <c r="AP770" s="799"/>
      <c r="AQ770" s="799"/>
      <c r="AR770" s="799"/>
      <c r="AS770" s="799"/>
      <c r="AT770" s="799"/>
      <c r="AU770" s="799"/>
      <c r="AV770" s="799"/>
      <c r="AW770" s="799"/>
      <c r="AX770" s="799"/>
      <c r="AY770" s="799"/>
      <c r="AZ770" s="799"/>
      <c r="BA770" s="799"/>
      <c r="BB770" s="799"/>
      <c r="BC770" s="799"/>
      <c r="BD770" s="799"/>
      <c r="BE770" s="799"/>
      <c r="BF770" s="799"/>
      <c r="BG770" s="799"/>
    </row>
    <row r="771">
      <c r="H771" s="799"/>
      <c r="I771" s="799"/>
      <c r="J771" s="799"/>
      <c r="K771" s="799"/>
      <c r="L771" s="799"/>
      <c r="M771" s="799"/>
      <c r="N771" s="799"/>
      <c r="O771" s="799"/>
      <c r="P771" s="799"/>
      <c r="Q771" s="799"/>
      <c r="R771" s="799"/>
      <c r="S771" s="799"/>
      <c r="T771" s="799"/>
      <c r="U771" s="799"/>
      <c r="V771" s="799"/>
      <c r="W771" s="799"/>
      <c r="X771" s="799"/>
      <c r="Y771" s="799"/>
      <c r="Z771" s="799"/>
      <c r="AA771" s="799"/>
      <c r="AB771" s="799"/>
      <c r="AC771" s="799"/>
      <c r="AD771" s="799"/>
      <c r="AE771" s="799"/>
      <c r="AF771" s="799"/>
      <c r="AG771" s="799"/>
      <c r="AH771" s="799"/>
      <c r="AI771" s="799"/>
      <c r="AJ771" s="799"/>
      <c r="AK771" s="799"/>
      <c r="AL771" s="799"/>
      <c r="AM771" s="799"/>
      <c r="AN771" s="799"/>
      <c r="AO771" s="799"/>
      <c r="AP771" s="799"/>
      <c r="AQ771" s="799"/>
      <c r="AR771" s="799"/>
      <c r="AS771" s="799"/>
      <c r="AT771" s="799"/>
      <c r="AU771" s="799"/>
      <c r="AV771" s="799"/>
      <c r="AW771" s="799"/>
      <c r="AX771" s="799"/>
      <c r="AY771" s="799"/>
      <c r="AZ771" s="799"/>
      <c r="BA771" s="799"/>
      <c r="BB771" s="799"/>
      <c r="BC771" s="799"/>
      <c r="BD771" s="799"/>
      <c r="BE771" s="799"/>
      <c r="BF771" s="799"/>
      <c r="BG771" s="799"/>
    </row>
    <row r="772">
      <c r="H772" s="799"/>
      <c r="I772" s="799"/>
      <c r="J772" s="799"/>
      <c r="K772" s="799"/>
      <c r="L772" s="799"/>
      <c r="M772" s="799"/>
      <c r="N772" s="799"/>
      <c r="O772" s="799"/>
      <c r="P772" s="799"/>
      <c r="Q772" s="799"/>
      <c r="R772" s="799"/>
      <c r="S772" s="799"/>
      <c r="T772" s="799"/>
      <c r="U772" s="799"/>
      <c r="V772" s="799"/>
      <c r="W772" s="799"/>
      <c r="X772" s="799"/>
      <c r="Y772" s="799"/>
      <c r="Z772" s="799"/>
      <c r="AA772" s="799"/>
      <c r="AB772" s="799"/>
      <c r="AC772" s="799"/>
      <c r="AD772" s="799"/>
      <c r="AE772" s="799"/>
      <c r="AF772" s="799"/>
      <c r="AG772" s="799"/>
      <c r="AH772" s="799"/>
      <c r="AI772" s="799"/>
      <c r="AJ772" s="799"/>
      <c r="AK772" s="799"/>
      <c r="AL772" s="799"/>
      <c r="AM772" s="799"/>
      <c r="AN772" s="799"/>
      <c r="AO772" s="799"/>
      <c r="AP772" s="799"/>
      <c r="AQ772" s="799"/>
      <c r="AR772" s="799"/>
      <c r="AS772" s="799"/>
      <c r="AT772" s="799"/>
      <c r="AU772" s="799"/>
      <c r="AV772" s="799"/>
      <c r="AW772" s="799"/>
      <c r="AX772" s="799"/>
      <c r="AY772" s="799"/>
      <c r="AZ772" s="799"/>
      <c r="BA772" s="799"/>
      <c r="BB772" s="799"/>
      <c r="BC772" s="799"/>
      <c r="BD772" s="799"/>
      <c r="BE772" s="799"/>
      <c r="BF772" s="799"/>
      <c r="BG772" s="799"/>
    </row>
    <row r="773">
      <c r="H773" s="799"/>
      <c r="I773" s="799"/>
      <c r="J773" s="799"/>
      <c r="K773" s="799"/>
      <c r="L773" s="799"/>
      <c r="M773" s="799"/>
      <c r="N773" s="799"/>
      <c r="O773" s="799"/>
      <c r="P773" s="799"/>
      <c r="Q773" s="799"/>
      <c r="R773" s="799"/>
      <c r="S773" s="799"/>
      <c r="T773" s="799"/>
      <c r="U773" s="799"/>
      <c r="V773" s="799"/>
      <c r="W773" s="799"/>
      <c r="X773" s="799"/>
      <c r="Y773" s="799"/>
      <c r="Z773" s="799"/>
      <c r="AA773" s="799"/>
      <c r="AB773" s="799"/>
      <c r="AC773" s="799"/>
      <c r="AD773" s="799"/>
      <c r="AE773" s="799"/>
      <c r="AF773" s="799"/>
      <c r="AG773" s="799"/>
      <c r="AH773" s="799"/>
      <c r="AI773" s="799"/>
      <c r="AJ773" s="799"/>
      <c r="AK773" s="799"/>
      <c r="AL773" s="799"/>
      <c r="AM773" s="799"/>
      <c r="AN773" s="799"/>
      <c r="AO773" s="799"/>
      <c r="AP773" s="799"/>
      <c r="AQ773" s="799"/>
      <c r="AR773" s="799"/>
      <c r="AS773" s="799"/>
      <c r="AT773" s="799"/>
      <c r="AU773" s="799"/>
      <c r="AV773" s="799"/>
      <c r="AW773" s="799"/>
      <c r="AX773" s="799"/>
      <c r="AY773" s="799"/>
      <c r="AZ773" s="799"/>
      <c r="BA773" s="799"/>
      <c r="BB773" s="799"/>
      <c r="BC773" s="799"/>
      <c r="BD773" s="799"/>
      <c r="BE773" s="799"/>
      <c r="BF773" s="799"/>
      <c r="BG773" s="799"/>
    </row>
    <row r="774">
      <c r="H774" s="799"/>
      <c r="I774" s="799"/>
      <c r="J774" s="799"/>
      <c r="K774" s="799"/>
      <c r="L774" s="799"/>
      <c r="M774" s="799"/>
      <c r="N774" s="799"/>
      <c r="O774" s="799"/>
      <c r="P774" s="799"/>
      <c r="Q774" s="799"/>
      <c r="R774" s="799"/>
      <c r="S774" s="799"/>
      <c r="T774" s="799"/>
      <c r="U774" s="799"/>
      <c r="V774" s="799"/>
      <c r="W774" s="799"/>
      <c r="X774" s="799"/>
      <c r="Y774" s="799"/>
      <c r="Z774" s="799"/>
      <c r="AA774" s="799"/>
      <c r="AB774" s="799"/>
      <c r="AC774" s="799"/>
      <c r="AD774" s="799"/>
      <c r="AE774" s="799"/>
      <c r="AF774" s="799"/>
      <c r="AG774" s="799"/>
      <c r="AH774" s="799"/>
      <c r="AI774" s="799"/>
      <c r="AJ774" s="799"/>
      <c r="AK774" s="799"/>
      <c r="AL774" s="799"/>
      <c r="AM774" s="799"/>
      <c r="AN774" s="799"/>
      <c r="AO774" s="799"/>
      <c r="AP774" s="799"/>
      <c r="AQ774" s="799"/>
      <c r="AR774" s="799"/>
      <c r="AS774" s="799"/>
      <c r="AT774" s="799"/>
      <c r="AU774" s="799"/>
      <c r="AV774" s="799"/>
      <c r="AW774" s="799"/>
      <c r="AX774" s="799"/>
      <c r="AY774" s="799"/>
      <c r="AZ774" s="799"/>
      <c r="BA774" s="799"/>
      <c r="BB774" s="799"/>
      <c r="BC774" s="799"/>
      <c r="BD774" s="799"/>
      <c r="BE774" s="799"/>
      <c r="BF774" s="799"/>
      <c r="BG774" s="799"/>
    </row>
    <row r="775">
      <c r="H775" s="799"/>
      <c r="I775" s="799"/>
      <c r="J775" s="799"/>
      <c r="K775" s="799"/>
      <c r="L775" s="799"/>
      <c r="M775" s="799"/>
      <c r="N775" s="799"/>
      <c r="O775" s="799"/>
      <c r="P775" s="799"/>
      <c r="Q775" s="799"/>
      <c r="R775" s="799"/>
      <c r="S775" s="799"/>
      <c r="T775" s="799"/>
      <c r="U775" s="799"/>
      <c r="V775" s="799"/>
      <c r="W775" s="799"/>
      <c r="X775" s="799"/>
      <c r="Y775" s="799"/>
      <c r="Z775" s="799"/>
      <c r="AA775" s="799"/>
      <c r="AB775" s="799"/>
      <c r="AC775" s="799"/>
      <c r="AD775" s="799"/>
      <c r="AE775" s="799"/>
      <c r="AF775" s="799"/>
      <c r="AG775" s="799"/>
      <c r="AH775" s="799"/>
      <c r="AI775" s="799"/>
      <c r="AJ775" s="799"/>
      <c r="AK775" s="799"/>
      <c r="AL775" s="799"/>
      <c r="AM775" s="799"/>
      <c r="AN775" s="799"/>
      <c r="AO775" s="799"/>
      <c r="AP775" s="799"/>
      <c r="AQ775" s="799"/>
      <c r="AR775" s="799"/>
      <c r="AS775" s="799"/>
      <c r="AT775" s="799"/>
      <c r="AU775" s="799"/>
      <c r="AV775" s="799"/>
      <c r="AW775" s="799"/>
      <c r="AX775" s="799"/>
      <c r="AY775" s="799"/>
      <c r="AZ775" s="799"/>
      <c r="BA775" s="799"/>
      <c r="BB775" s="799"/>
      <c r="BC775" s="799"/>
      <c r="BD775" s="799"/>
      <c r="BE775" s="799"/>
      <c r="BF775" s="799"/>
      <c r="BG775" s="799"/>
    </row>
    <row r="776">
      <c r="H776" s="799"/>
      <c r="I776" s="799"/>
      <c r="J776" s="799"/>
      <c r="K776" s="799"/>
      <c r="L776" s="799"/>
      <c r="M776" s="799"/>
      <c r="N776" s="799"/>
      <c r="O776" s="799"/>
      <c r="P776" s="799"/>
      <c r="Q776" s="799"/>
      <c r="R776" s="799"/>
      <c r="S776" s="799"/>
      <c r="T776" s="799"/>
      <c r="U776" s="799"/>
      <c r="V776" s="799"/>
      <c r="W776" s="799"/>
      <c r="X776" s="799"/>
      <c r="Y776" s="799"/>
      <c r="Z776" s="799"/>
      <c r="AA776" s="799"/>
      <c r="AB776" s="799"/>
      <c r="AC776" s="799"/>
      <c r="AD776" s="799"/>
      <c r="AE776" s="799"/>
      <c r="AF776" s="799"/>
      <c r="AG776" s="799"/>
      <c r="AH776" s="799"/>
      <c r="AI776" s="799"/>
      <c r="AJ776" s="799"/>
      <c r="AK776" s="799"/>
      <c r="AL776" s="799"/>
      <c r="AM776" s="799"/>
      <c r="AN776" s="799"/>
      <c r="AO776" s="799"/>
      <c r="AP776" s="799"/>
      <c r="AQ776" s="799"/>
      <c r="AR776" s="799"/>
      <c r="AS776" s="799"/>
      <c r="AT776" s="799"/>
      <c r="AU776" s="799"/>
      <c r="AV776" s="799"/>
      <c r="AW776" s="799"/>
      <c r="AX776" s="799"/>
      <c r="AY776" s="799"/>
      <c r="AZ776" s="799"/>
      <c r="BA776" s="799"/>
      <c r="BB776" s="799"/>
      <c r="BC776" s="799"/>
      <c r="BD776" s="799"/>
      <c r="BE776" s="799"/>
      <c r="BF776" s="799"/>
      <c r="BG776" s="799"/>
    </row>
    <row r="777">
      <c r="H777" s="799"/>
      <c r="I777" s="799"/>
      <c r="J777" s="799"/>
      <c r="K777" s="799"/>
      <c r="L777" s="799"/>
      <c r="M777" s="799"/>
      <c r="N777" s="799"/>
      <c r="O777" s="799"/>
      <c r="P777" s="799"/>
      <c r="Q777" s="799"/>
      <c r="R777" s="799"/>
      <c r="S777" s="799"/>
      <c r="T777" s="799"/>
      <c r="U777" s="799"/>
      <c r="V777" s="799"/>
      <c r="W777" s="799"/>
      <c r="X777" s="799"/>
      <c r="Y777" s="799"/>
      <c r="Z777" s="799"/>
      <c r="AA777" s="799"/>
      <c r="AB777" s="799"/>
      <c r="AC777" s="799"/>
      <c r="AD777" s="799"/>
      <c r="AE777" s="799"/>
      <c r="AF777" s="799"/>
      <c r="AG777" s="799"/>
      <c r="AH777" s="799"/>
      <c r="AI777" s="799"/>
      <c r="AJ777" s="799"/>
      <c r="AK777" s="799"/>
      <c r="AL777" s="799"/>
      <c r="AM777" s="799"/>
      <c r="AN777" s="799"/>
      <c r="AO777" s="799"/>
      <c r="AP777" s="799"/>
      <c r="AQ777" s="799"/>
      <c r="AR777" s="799"/>
      <c r="AS777" s="799"/>
      <c r="AT777" s="799"/>
      <c r="AU777" s="799"/>
      <c r="AV777" s="799"/>
      <c r="AW777" s="799"/>
      <c r="AX777" s="799"/>
      <c r="AY777" s="799"/>
      <c r="AZ777" s="799"/>
      <c r="BA777" s="799"/>
      <c r="BB777" s="799"/>
      <c r="BC777" s="799"/>
      <c r="BD777" s="799"/>
      <c r="BE777" s="799"/>
      <c r="BF777" s="799"/>
      <c r="BG777" s="799"/>
    </row>
    <row r="778">
      <c r="H778" s="799"/>
      <c r="I778" s="799"/>
      <c r="J778" s="799"/>
      <c r="K778" s="799"/>
      <c r="L778" s="799"/>
      <c r="M778" s="799"/>
      <c r="N778" s="799"/>
      <c r="O778" s="799"/>
      <c r="P778" s="799"/>
      <c r="Q778" s="799"/>
      <c r="R778" s="799"/>
      <c r="S778" s="799"/>
      <c r="T778" s="799"/>
      <c r="U778" s="799"/>
      <c r="V778" s="799"/>
      <c r="W778" s="799"/>
      <c r="X778" s="799"/>
      <c r="Y778" s="799"/>
      <c r="Z778" s="799"/>
      <c r="AA778" s="799"/>
      <c r="AB778" s="799"/>
      <c r="AC778" s="799"/>
      <c r="AD778" s="799"/>
      <c r="AE778" s="799"/>
      <c r="AF778" s="799"/>
      <c r="AG778" s="799"/>
      <c r="AH778" s="799"/>
      <c r="AI778" s="799"/>
      <c r="AJ778" s="799"/>
      <c r="AK778" s="799"/>
      <c r="AL778" s="799"/>
      <c r="AM778" s="799"/>
      <c r="AN778" s="799"/>
      <c r="AO778" s="799"/>
      <c r="AP778" s="799"/>
      <c r="AQ778" s="799"/>
      <c r="AR778" s="799"/>
      <c r="AS778" s="799"/>
      <c r="AT778" s="799"/>
      <c r="AU778" s="799"/>
      <c r="AV778" s="799"/>
      <c r="AW778" s="799"/>
      <c r="AX778" s="799"/>
      <c r="AY778" s="799"/>
      <c r="AZ778" s="799"/>
      <c r="BA778" s="799"/>
      <c r="BB778" s="799"/>
      <c r="BC778" s="799"/>
      <c r="BD778" s="799"/>
      <c r="BE778" s="799"/>
      <c r="BF778" s="799"/>
      <c r="BG778" s="799"/>
    </row>
    <row r="779">
      <c r="H779" s="799"/>
      <c r="I779" s="799"/>
      <c r="J779" s="799"/>
      <c r="K779" s="799"/>
      <c r="L779" s="799"/>
      <c r="M779" s="799"/>
      <c r="N779" s="799"/>
      <c r="O779" s="799"/>
      <c r="P779" s="799"/>
      <c r="Q779" s="799"/>
      <c r="R779" s="799"/>
      <c r="S779" s="799"/>
      <c r="T779" s="799"/>
      <c r="U779" s="799"/>
      <c r="V779" s="799"/>
      <c r="W779" s="799"/>
      <c r="X779" s="799"/>
      <c r="Y779" s="799"/>
      <c r="Z779" s="799"/>
      <c r="AA779" s="799"/>
      <c r="AB779" s="799"/>
      <c r="AC779" s="799"/>
      <c r="AD779" s="799"/>
      <c r="AE779" s="799"/>
      <c r="AF779" s="799"/>
      <c r="AG779" s="799"/>
      <c r="AH779" s="799"/>
      <c r="AI779" s="799"/>
      <c r="AJ779" s="799"/>
      <c r="AK779" s="799"/>
      <c r="AL779" s="799"/>
      <c r="AM779" s="799"/>
      <c r="AN779" s="799"/>
      <c r="AO779" s="799"/>
      <c r="AP779" s="799"/>
      <c r="AQ779" s="799"/>
      <c r="AR779" s="799"/>
      <c r="AS779" s="799"/>
      <c r="AT779" s="799"/>
      <c r="AU779" s="799"/>
      <c r="AV779" s="799"/>
      <c r="AW779" s="799"/>
      <c r="AX779" s="799"/>
      <c r="AY779" s="799"/>
      <c r="AZ779" s="799"/>
      <c r="BA779" s="799"/>
      <c r="BB779" s="799"/>
      <c r="BC779" s="799"/>
      <c r="BD779" s="799"/>
      <c r="BE779" s="799"/>
      <c r="BF779" s="799"/>
      <c r="BG779" s="799"/>
    </row>
    <row r="780">
      <c r="H780" s="799"/>
      <c r="I780" s="799"/>
      <c r="J780" s="799"/>
      <c r="K780" s="799"/>
      <c r="L780" s="799"/>
      <c r="M780" s="799"/>
      <c r="N780" s="799"/>
      <c r="O780" s="799"/>
      <c r="P780" s="799"/>
      <c r="Q780" s="799"/>
      <c r="R780" s="799"/>
      <c r="S780" s="799"/>
      <c r="T780" s="799"/>
      <c r="U780" s="799"/>
      <c r="V780" s="799"/>
      <c r="W780" s="799"/>
      <c r="X780" s="799"/>
      <c r="Y780" s="799"/>
      <c r="Z780" s="799"/>
      <c r="AA780" s="799"/>
      <c r="AB780" s="799"/>
      <c r="AC780" s="799"/>
      <c r="AD780" s="799"/>
      <c r="AE780" s="799"/>
      <c r="AF780" s="799"/>
      <c r="AG780" s="799"/>
      <c r="AH780" s="799"/>
      <c r="AI780" s="799"/>
      <c r="AJ780" s="799"/>
      <c r="AK780" s="799"/>
      <c r="AL780" s="799"/>
      <c r="AM780" s="799"/>
      <c r="AN780" s="799"/>
      <c r="AO780" s="799"/>
      <c r="AP780" s="799"/>
      <c r="AQ780" s="799"/>
      <c r="AR780" s="799"/>
      <c r="AS780" s="799"/>
      <c r="AT780" s="799"/>
      <c r="AU780" s="799"/>
      <c r="AV780" s="799"/>
      <c r="AW780" s="799"/>
      <c r="AX780" s="799"/>
      <c r="AY780" s="799"/>
      <c r="AZ780" s="799"/>
      <c r="BA780" s="799"/>
      <c r="BB780" s="799"/>
      <c r="BC780" s="799"/>
      <c r="BD780" s="799"/>
      <c r="BE780" s="799"/>
      <c r="BF780" s="799"/>
      <c r="BG780" s="799"/>
    </row>
    <row r="781">
      <c r="H781" s="799"/>
      <c r="I781" s="799"/>
      <c r="J781" s="799"/>
      <c r="K781" s="799"/>
      <c r="L781" s="799"/>
      <c r="M781" s="799"/>
      <c r="N781" s="799"/>
      <c r="O781" s="799"/>
      <c r="P781" s="799"/>
      <c r="Q781" s="799"/>
      <c r="R781" s="799"/>
      <c r="S781" s="799"/>
      <c r="T781" s="799"/>
      <c r="U781" s="799"/>
      <c r="V781" s="799"/>
      <c r="W781" s="799"/>
      <c r="X781" s="799"/>
      <c r="Y781" s="799"/>
      <c r="Z781" s="799"/>
      <c r="AA781" s="799"/>
      <c r="AB781" s="799"/>
      <c r="AC781" s="799"/>
      <c r="AD781" s="799"/>
      <c r="AE781" s="799"/>
      <c r="AF781" s="799"/>
      <c r="AG781" s="799"/>
      <c r="AH781" s="799"/>
      <c r="AI781" s="799"/>
      <c r="AJ781" s="799"/>
      <c r="AK781" s="799"/>
      <c r="AL781" s="799"/>
      <c r="AM781" s="799"/>
      <c r="AN781" s="799"/>
      <c r="AO781" s="799"/>
      <c r="AP781" s="799"/>
      <c r="AQ781" s="799"/>
      <c r="AR781" s="799"/>
      <c r="AS781" s="799"/>
      <c r="AT781" s="799"/>
      <c r="AU781" s="799"/>
      <c r="AV781" s="799"/>
      <c r="AW781" s="799"/>
      <c r="AX781" s="799"/>
      <c r="AY781" s="799"/>
      <c r="AZ781" s="799"/>
      <c r="BA781" s="799"/>
      <c r="BB781" s="799"/>
      <c r="BC781" s="799"/>
      <c r="BD781" s="799"/>
      <c r="BE781" s="799"/>
      <c r="BF781" s="799"/>
      <c r="BG781" s="799"/>
    </row>
    <row r="782">
      <c r="H782" s="799"/>
      <c r="I782" s="799"/>
      <c r="J782" s="799"/>
      <c r="K782" s="799"/>
      <c r="L782" s="799"/>
      <c r="M782" s="799"/>
      <c r="N782" s="799"/>
      <c r="O782" s="799"/>
      <c r="P782" s="799"/>
      <c r="Q782" s="799"/>
      <c r="R782" s="799"/>
      <c r="S782" s="799"/>
      <c r="T782" s="799"/>
      <c r="U782" s="799"/>
      <c r="V782" s="799"/>
      <c r="W782" s="799"/>
      <c r="X782" s="799"/>
      <c r="Y782" s="799"/>
      <c r="Z782" s="799"/>
      <c r="AA782" s="799"/>
      <c r="AB782" s="799"/>
      <c r="AC782" s="799"/>
      <c r="AD782" s="799"/>
      <c r="AE782" s="799"/>
      <c r="AF782" s="799"/>
      <c r="AG782" s="799"/>
      <c r="AH782" s="799"/>
      <c r="AI782" s="799"/>
      <c r="AJ782" s="799"/>
      <c r="AK782" s="799"/>
      <c r="AL782" s="799"/>
      <c r="AM782" s="799"/>
      <c r="AN782" s="799"/>
      <c r="AO782" s="799"/>
      <c r="AP782" s="799"/>
      <c r="AQ782" s="799"/>
      <c r="AR782" s="799"/>
      <c r="AS782" s="799"/>
      <c r="AT782" s="799"/>
      <c r="AU782" s="799"/>
      <c r="AV782" s="799"/>
      <c r="AW782" s="799"/>
      <c r="AX782" s="799"/>
      <c r="AY782" s="799"/>
      <c r="AZ782" s="799"/>
      <c r="BA782" s="799"/>
      <c r="BB782" s="799"/>
      <c r="BC782" s="799"/>
      <c r="BD782" s="799"/>
      <c r="BE782" s="799"/>
      <c r="BF782" s="799"/>
      <c r="BG782" s="799"/>
    </row>
    <row r="783">
      <c r="H783" s="799"/>
      <c r="I783" s="799"/>
      <c r="J783" s="799"/>
      <c r="K783" s="799"/>
      <c r="L783" s="799"/>
      <c r="M783" s="799"/>
      <c r="N783" s="799"/>
      <c r="O783" s="799"/>
      <c r="P783" s="799"/>
      <c r="Q783" s="799"/>
      <c r="R783" s="799"/>
      <c r="S783" s="799"/>
      <c r="T783" s="799"/>
      <c r="U783" s="799"/>
      <c r="V783" s="799"/>
      <c r="W783" s="799"/>
      <c r="X783" s="799"/>
      <c r="Y783" s="799"/>
      <c r="Z783" s="799"/>
      <c r="AA783" s="799"/>
      <c r="AB783" s="799"/>
      <c r="AC783" s="799"/>
      <c r="AD783" s="799"/>
      <c r="AE783" s="799"/>
      <c r="AF783" s="799"/>
      <c r="AG783" s="799"/>
      <c r="AH783" s="799"/>
      <c r="AI783" s="799"/>
      <c r="AJ783" s="799"/>
      <c r="AK783" s="799"/>
      <c r="AL783" s="799"/>
      <c r="AM783" s="799"/>
      <c r="AN783" s="799"/>
      <c r="AO783" s="799"/>
      <c r="AP783" s="799"/>
      <c r="AQ783" s="799"/>
      <c r="AR783" s="799"/>
      <c r="AS783" s="799"/>
      <c r="AT783" s="799"/>
      <c r="AU783" s="799"/>
      <c r="AV783" s="799"/>
      <c r="AW783" s="799"/>
      <c r="AX783" s="799"/>
      <c r="AY783" s="799"/>
      <c r="AZ783" s="799"/>
      <c r="BA783" s="799"/>
      <c r="BB783" s="799"/>
      <c r="BC783" s="799"/>
      <c r="BD783" s="799"/>
      <c r="BE783" s="799"/>
      <c r="BF783" s="799"/>
      <c r="BG783" s="799"/>
    </row>
    <row r="784">
      <c r="H784" s="799"/>
      <c r="I784" s="799"/>
      <c r="J784" s="799"/>
      <c r="K784" s="799"/>
      <c r="L784" s="799"/>
      <c r="M784" s="799"/>
      <c r="N784" s="799"/>
      <c r="O784" s="799"/>
      <c r="P784" s="799"/>
      <c r="Q784" s="799"/>
      <c r="R784" s="799"/>
      <c r="S784" s="799"/>
      <c r="T784" s="799"/>
      <c r="U784" s="799"/>
      <c r="V784" s="799"/>
      <c r="W784" s="799"/>
      <c r="X784" s="799"/>
      <c r="Y784" s="799"/>
      <c r="Z784" s="799"/>
      <c r="AA784" s="799"/>
      <c r="AB784" s="799"/>
      <c r="AC784" s="799"/>
      <c r="AD784" s="799"/>
      <c r="AE784" s="799"/>
      <c r="AF784" s="799"/>
      <c r="AG784" s="799"/>
      <c r="AH784" s="799"/>
      <c r="AI784" s="799"/>
      <c r="AJ784" s="799"/>
      <c r="AK784" s="799"/>
      <c r="AL784" s="799"/>
      <c r="AM784" s="799"/>
      <c r="AN784" s="799"/>
      <c r="AO784" s="799"/>
      <c r="AP784" s="799"/>
      <c r="AQ784" s="799"/>
      <c r="AR784" s="799"/>
      <c r="AS784" s="799"/>
      <c r="AT784" s="799"/>
      <c r="AU784" s="799"/>
      <c r="AV784" s="799"/>
      <c r="AW784" s="799"/>
      <c r="AX784" s="799"/>
      <c r="AY784" s="799"/>
      <c r="AZ784" s="799"/>
      <c r="BA784" s="799"/>
      <c r="BB784" s="799"/>
      <c r="BC784" s="799"/>
      <c r="BD784" s="799"/>
      <c r="BE784" s="799"/>
      <c r="BF784" s="799"/>
      <c r="BG784" s="799"/>
    </row>
    <row r="785">
      <c r="H785" s="799"/>
      <c r="I785" s="799"/>
      <c r="J785" s="799"/>
      <c r="K785" s="799"/>
      <c r="L785" s="799"/>
      <c r="M785" s="799"/>
      <c r="N785" s="799"/>
      <c r="O785" s="799"/>
      <c r="P785" s="799"/>
      <c r="Q785" s="799"/>
      <c r="R785" s="799"/>
      <c r="S785" s="799"/>
      <c r="T785" s="799"/>
      <c r="U785" s="799"/>
      <c r="V785" s="799"/>
      <c r="W785" s="799"/>
      <c r="X785" s="799"/>
      <c r="Y785" s="799"/>
      <c r="Z785" s="799"/>
      <c r="AA785" s="799"/>
      <c r="AB785" s="799"/>
      <c r="AC785" s="799"/>
      <c r="AD785" s="799"/>
      <c r="AE785" s="799"/>
      <c r="AF785" s="799"/>
      <c r="AG785" s="799"/>
      <c r="AH785" s="799"/>
      <c r="AI785" s="799"/>
      <c r="AJ785" s="799"/>
      <c r="AK785" s="799"/>
      <c r="AL785" s="799"/>
      <c r="AM785" s="799"/>
      <c r="AN785" s="799"/>
      <c r="AO785" s="799"/>
      <c r="AP785" s="799"/>
      <c r="AQ785" s="799"/>
      <c r="AR785" s="799"/>
      <c r="AS785" s="799"/>
      <c r="AT785" s="799"/>
      <c r="AU785" s="799"/>
      <c r="AV785" s="799"/>
      <c r="AW785" s="799"/>
      <c r="AX785" s="799"/>
      <c r="AY785" s="799"/>
      <c r="AZ785" s="799"/>
      <c r="BA785" s="799"/>
      <c r="BB785" s="799"/>
      <c r="BC785" s="799"/>
      <c r="BD785" s="799"/>
      <c r="BE785" s="799"/>
      <c r="BF785" s="799"/>
      <c r="BG785" s="799"/>
    </row>
    <row r="786">
      <c r="H786" s="799"/>
      <c r="I786" s="799"/>
      <c r="J786" s="799"/>
      <c r="K786" s="799"/>
      <c r="L786" s="799"/>
      <c r="M786" s="799"/>
      <c r="N786" s="799"/>
      <c r="O786" s="799"/>
      <c r="P786" s="799"/>
      <c r="Q786" s="799"/>
      <c r="R786" s="799"/>
      <c r="S786" s="799"/>
      <c r="T786" s="799"/>
      <c r="U786" s="799"/>
      <c r="V786" s="799"/>
      <c r="W786" s="799"/>
      <c r="X786" s="799"/>
      <c r="Y786" s="799"/>
      <c r="Z786" s="799"/>
      <c r="AA786" s="799"/>
      <c r="AB786" s="799"/>
      <c r="AC786" s="799"/>
      <c r="AD786" s="799"/>
      <c r="AE786" s="799"/>
      <c r="AF786" s="799"/>
      <c r="AG786" s="799"/>
      <c r="AH786" s="799"/>
      <c r="AI786" s="799"/>
      <c r="AJ786" s="799"/>
      <c r="AK786" s="799"/>
      <c r="AL786" s="799"/>
      <c r="AM786" s="799"/>
      <c r="AN786" s="799"/>
      <c r="AO786" s="799"/>
      <c r="AP786" s="799"/>
      <c r="AQ786" s="799"/>
      <c r="AR786" s="799"/>
      <c r="AS786" s="799"/>
      <c r="AT786" s="799"/>
      <c r="AU786" s="799"/>
      <c r="AV786" s="799"/>
      <c r="AW786" s="799"/>
      <c r="AX786" s="799"/>
      <c r="AY786" s="799"/>
      <c r="AZ786" s="799"/>
      <c r="BA786" s="799"/>
      <c r="BB786" s="799"/>
      <c r="BC786" s="799"/>
      <c r="BD786" s="799"/>
      <c r="BE786" s="799"/>
      <c r="BF786" s="799"/>
      <c r="BG786" s="799"/>
    </row>
    <row r="787">
      <c r="H787" s="799"/>
      <c r="I787" s="799"/>
      <c r="J787" s="799"/>
      <c r="K787" s="799"/>
      <c r="L787" s="799"/>
      <c r="M787" s="799"/>
      <c r="N787" s="799"/>
      <c r="O787" s="799"/>
      <c r="P787" s="799"/>
      <c r="Q787" s="799"/>
      <c r="R787" s="799"/>
      <c r="S787" s="799"/>
      <c r="T787" s="799"/>
      <c r="U787" s="799"/>
      <c r="V787" s="799"/>
      <c r="W787" s="799"/>
      <c r="X787" s="799"/>
      <c r="Y787" s="799"/>
      <c r="Z787" s="799"/>
      <c r="AA787" s="799"/>
      <c r="AB787" s="799"/>
      <c r="AC787" s="799"/>
      <c r="AD787" s="799"/>
      <c r="AE787" s="799"/>
      <c r="AF787" s="799"/>
      <c r="AG787" s="799"/>
      <c r="AH787" s="799"/>
      <c r="AI787" s="799"/>
      <c r="AJ787" s="799"/>
      <c r="AK787" s="799"/>
      <c r="AL787" s="799"/>
      <c r="AM787" s="799"/>
      <c r="AN787" s="799"/>
      <c r="AO787" s="799"/>
      <c r="AP787" s="799"/>
      <c r="AQ787" s="799"/>
      <c r="AR787" s="799"/>
      <c r="AS787" s="799"/>
      <c r="AT787" s="799"/>
      <c r="AU787" s="799"/>
      <c r="AV787" s="799"/>
      <c r="AW787" s="799"/>
      <c r="AX787" s="799"/>
      <c r="AY787" s="799"/>
      <c r="AZ787" s="799"/>
      <c r="BA787" s="799"/>
      <c r="BB787" s="799"/>
      <c r="BC787" s="799"/>
      <c r="BD787" s="799"/>
      <c r="BE787" s="799"/>
      <c r="BF787" s="799"/>
      <c r="BG787" s="799"/>
    </row>
    <row r="788">
      <c r="H788" s="799"/>
      <c r="I788" s="799"/>
      <c r="J788" s="799"/>
      <c r="K788" s="799"/>
      <c r="L788" s="799"/>
      <c r="M788" s="799"/>
      <c r="N788" s="799"/>
      <c r="O788" s="799"/>
      <c r="P788" s="799"/>
      <c r="Q788" s="799"/>
      <c r="R788" s="799"/>
      <c r="S788" s="799"/>
      <c r="T788" s="799"/>
      <c r="U788" s="799"/>
      <c r="V788" s="799"/>
      <c r="W788" s="799"/>
      <c r="X788" s="799"/>
      <c r="Y788" s="799"/>
      <c r="Z788" s="799"/>
      <c r="AA788" s="799"/>
      <c r="AB788" s="799"/>
      <c r="AC788" s="799"/>
      <c r="AD788" s="799"/>
      <c r="AE788" s="799"/>
      <c r="AF788" s="799"/>
      <c r="AG788" s="799"/>
      <c r="AH788" s="799"/>
      <c r="AI788" s="799"/>
      <c r="AJ788" s="799"/>
      <c r="AK788" s="799"/>
      <c r="AL788" s="799"/>
      <c r="AM788" s="799"/>
      <c r="AN788" s="799"/>
      <c r="AO788" s="799"/>
      <c r="AP788" s="799"/>
      <c r="AQ788" s="799"/>
      <c r="AR788" s="799"/>
      <c r="AS788" s="799"/>
      <c r="AT788" s="799"/>
      <c r="AU788" s="799"/>
      <c r="AV788" s="799"/>
      <c r="AW788" s="799"/>
      <c r="AX788" s="799"/>
      <c r="AY788" s="799"/>
      <c r="AZ788" s="799"/>
      <c r="BA788" s="799"/>
      <c r="BB788" s="799"/>
      <c r="BC788" s="799"/>
      <c r="BD788" s="799"/>
      <c r="BE788" s="799"/>
      <c r="BF788" s="799"/>
      <c r="BG788" s="799"/>
    </row>
    <row r="789">
      <c r="H789" s="799"/>
      <c r="I789" s="799"/>
      <c r="J789" s="799"/>
      <c r="K789" s="799"/>
      <c r="L789" s="799"/>
      <c r="M789" s="799"/>
      <c r="N789" s="799"/>
      <c r="O789" s="799"/>
      <c r="P789" s="799"/>
      <c r="Q789" s="799"/>
      <c r="R789" s="799"/>
      <c r="S789" s="799"/>
      <c r="T789" s="799"/>
      <c r="U789" s="799"/>
      <c r="V789" s="799"/>
      <c r="W789" s="799"/>
      <c r="X789" s="799"/>
      <c r="Y789" s="799"/>
      <c r="Z789" s="799"/>
      <c r="AA789" s="799"/>
      <c r="AB789" s="799"/>
      <c r="AC789" s="799"/>
      <c r="AD789" s="799"/>
      <c r="AE789" s="799"/>
      <c r="AF789" s="799"/>
      <c r="AG789" s="799"/>
      <c r="AH789" s="799"/>
      <c r="AI789" s="799"/>
      <c r="AJ789" s="799"/>
      <c r="AK789" s="799"/>
      <c r="AL789" s="799"/>
      <c r="AM789" s="799"/>
      <c r="AN789" s="799"/>
      <c r="AO789" s="799"/>
      <c r="AP789" s="799"/>
      <c r="AQ789" s="799"/>
      <c r="AR789" s="799"/>
      <c r="AS789" s="799"/>
      <c r="AT789" s="799"/>
      <c r="AU789" s="799"/>
      <c r="AV789" s="799"/>
      <c r="AW789" s="799"/>
      <c r="AX789" s="799"/>
      <c r="AY789" s="799"/>
      <c r="AZ789" s="799"/>
      <c r="BA789" s="799"/>
      <c r="BB789" s="799"/>
      <c r="BC789" s="799"/>
      <c r="BD789" s="799"/>
      <c r="BE789" s="799"/>
      <c r="BF789" s="799"/>
      <c r="BG789" s="799"/>
    </row>
    <row r="790">
      <c r="H790" s="799"/>
      <c r="I790" s="799"/>
      <c r="J790" s="799"/>
      <c r="K790" s="799"/>
      <c r="L790" s="799"/>
      <c r="M790" s="799"/>
      <c r="N790" s="799"/>
      <c r="O790" s="799"/>
      <c r="P790" s="799"/>
      <c r="Q790" s="799"/>
      <c r="R790" s="799"/>
      <c r="S790" s="799"/>
      <c r="T790" s="799"/>
      <c r="U790" s="799"/>
      <c r="V790" s="799"/>
      <c r="W790" s="799"/>
      <c r="X790" s="799"/>
      <c r="Y790" s="799"/>
      <c r="Z790" s="799"/>
      <c r="AA790" s="799"/>
      <c r="AB790" s="799"/>
      <c r="AC790" s="799"/>
      <c r="AD790" s="799"/>
      <c r="AE790" s="799"/>
      <c r="AF790" s="799"/>
      <c r="AG790" s="799"/>
      <c r="AH790" s="799"/>
      <c r="AI790" s="799"/>
      <c r="AJ790" s="799"/>
      <c r="AK790" s="799"/>
      <c r="AL790" s="799"/>
      <c r="AM790" s="799"/>
      <c r="AN790" s="799"/>
      <c r="AO790" s="799"/>
      <c r="AP790" s="799"/>
      <c r="AQ790" s="799"/>
      <c r="AR790" s="799"/>
      <c r="AS790" s="799"/>
      <c r="AT790" s="799"/>
      <c r="AU790" s="799"/>
      <c r="AV790" s="799"/>
      <c r="AW790" s="799"/>
      <c r="AX790" s="799"/>
      <c r="AY790" s="799"/>
      <c r="AZ790" s="799"/>
      <c r="BA790" s="799"/>
      <c r="BB790" s="799"/>
      <c r="BC790" s="799"/>
      <c r="BD790" s="799"/>
      <c r="BE790" s="799"/>
      <c r="BF790" s="799"/>
      <c r="BG790" s="799"/>
    </row>
    <row r="791">
      <c r="H791" s="799"/>
      <c r="I791" s="799"/>
      <c r="J791" s="799"/>
      <c r="K791" s="799"/>
      <c r="L791" s="799"/>
      <c r="M791" s="799"/>
      <c r="N791" s="799"/>
      <c r="O791" s="799"/>
      <c r="P791" s="799"/>
      <c r="Q791" s="799"/>
      <c r="R791" s="799"/>
      <c r="S791" s="799"/>
      <c r="T791" s="799"/>
      <c r="U791" s="799"/>
      <c r="V791" s="799"/>
      <c r="W791" s="799"/>
      <c r="X791" s="799"/>
      <c r="Y791" s="799"/>
      <c r="Z791" s="799"/>
      <c r="AA791" s="799"/>
      <c r="AB791" s="799"/>
      <c r="AC791" s="799"/>
      <c r="AD791" s="799"/>
      <c r="AE791" s="799"/>
      <c r="AF791" s="799"/>
      <c r="AG791" s="799"/>
      <c r="AH791" s="799"/>
      <c r="AI791" s="799"/>
      <c r="AJ791" s="799"/>
      <c r="AK791" s="799"/>
      <c r="AL791" s="799"/>
      <c r="AM791" s="799"/>
      <c r="AN791" s="799"/>
      <c r="AO791" s="799"/>
      <c r="AP791" s="799"/>
      <c r="AQ791" s="799"/>
      <c r="AR791" s="799"/>
      <c r="AS791" s="799"/>
      <c r="AT791" s="799"/>
      <c r="AU791" s="799"/>
      <c r="AV791" s="799"/>
      <c r="AW791" s="799"/>
      <c r="AX791" s="799"/>
      <c r="AY791" s="799"/>
      <c r="AZ791" s="799"/>
      <c r="BA791" s="799"/>
      <c r="BB791" s="799"/>
      <c r="BC791" s="799"/>
      <c r="BD791" s="799"/>
      <c r="BE791" s="799"/>
      <c r="BF791" s="799"/>
      <c r="BG791" s="799"/>
    </row>
    <row r="792">
      <c r="H792" s="799"/>
      <c r="I792" s="799"/>
      <c r="J792" s="799"/>
      <c r="K792" s="799"/>
      <c r="L792" s="799"/>
      <c r="M792" s="799"/>
      <c r="N792" s="799"/>
      <c r="O792" s="799"/>
      <c r="P792" s="799"/>
      <c r="Q792" s="799"/>
      <c r="R792" s="799"/>
      <c r="S792" s="799"/>
      <c r="T792" s="799"/>
      <c r="U792" s="799"/>
      <c r="V792" s="799"/>
      <c r="W792" s="799"/>
      <c r="X792" s="799"/>
      <c r="Y792" s="799"/>
      <c r="Z792" s="799"/>
      <c r="AA792" s="799"/>
      <c r="AB792" s="799"/>
      <c r="AC792" s="799"/>
      <c r="AD792" s="799"/>
      <c r="AE792" s="799"/>
      <c r="AF792" s="799"/>
      <c r="AG792" s="799"/>
      <c r="AH792" s="799"/>
      <c r="AI792" s="799"/>
      <c r="AJ792" s="799"/>
      <c r="AK792" s="799"/>
      <c r="AL792" s="799"/>
      <c r="AM792" s="799"/>
      <c r="AN792" s="799"/>
      <c r="AO792" s="799"/>
      <c r="AP792" s="799"/>
      <c r="AQ792" s="799"/>
      <c r="AR792" s="799"/>
      <c r="AS792" s="799"/>
      <c r="AT792" s="799"/>
      <c r="AU792" s="799"/>
      <c r="AV792" s="799"/>
      <c r="AW792" s="799"/>
      <c r="AX792" s="799"/>
      <c r="AY792" s="799"/>
      <c r="AZ792" s="799"/>
      <c r="BA792" s="799"/>
      <c r="BB792" s="799"/>
      <c r="BC792" s="799"/>
      <c r="BD792" s="799"/>
      <c r="BE792" s="799"/>
      <c r="BF792" s="799"/>
      <c r="BG792" s="799"/>
    </row>
    <row r="793">
      <c r="H793" s="799"/>
      <c r="I793" s="799"/>
      <c r="J793" s="799"/>
      <c r="K793" s="799"/>
      <c r="L793" s="799"/>
      <c r="M793" s="799"/>
      <c r="N793" s="799"/>
      <c r="O793" s="799"/>
      <c r="P793" s="799"/>
      <c r="Q793" s="799"/>
      <c r="R793" s="799"/>
      <c r="S793" s="799"/>
      <c r="T793" s="799"/>
      <c r="U793" s="799"/>
      <c r="V793" s="799"/>
      <c r="W793" s="799"/>
      <c r="X793" s="799"/>
      <c r="Y793" s="799"/>
      <c r="Z793" s="799"/>
      <c r="AA793" s="799"/>
      <c r="AB793" s="799"/>
      <c r="AC793" s="799"/>
      <c r="AD793" s="799"/>
      <c r="AE793" s="799"/>
      <c r="AF793" s="799"/>
      <c r="AG793" s="799"/>
      <c r="AH793" s="799"/>
      <c r="AI793" s="799"/>
      <c r="AJ793" s="799"/>
      <c r="AK793" s="799"/>
      <c r="AL793" s="799"/>
      <c r="AM793" s="799"/>
      <c r="AN793" s="799"/>
      <c r="AO793" s="799"/>
      <c r="AP793" s="799"/>
      <c r="AQ793" s="799"/>
      <c r="AR793" s="799"/>
      <c r="AS793" s="799"/>
      <c r="AT793" s="799"/>
      <c r="AU793" s="799"/>
      <c r="AV793" s="799"/>
      <c r="AW793" s="799"/>
      <c r="AX793" s="799"/>
      <c r="AY793" s="799"/>
      <c r="AZ793" s="799"/>
      <c r="BA793" s="799"/>
      <c r="BB793" s="799"/>
      <c r="BC793" s="799"/>
      <c r="BD793" s="799"/>
      <c r="BE793" s="799"/>
      <c r="BF793" s="799"/>
      <c r="BG793" s="799"/>
    </row>
    <row r="794">
      <c r="H794" s="799"/>
      <c r="I794" s="799"/>
      <c r="J794" s="799"/>
      <c r="K794" s="799"/>
      <c r="L794" s="799"/>
      <c r="M794" s="799"/>
      <c r="N794" s="799"/>
      <c r="O794" s="799"/>
      <c r="P794" s="799"/>
      <c r="Q794" s="799"/>
      <c r="R794" s="799"/>
      <c r="S794" s="799"/>
      <c r="T794" s="799"/>
      <c r="U794" s="799"/>
      <c r="V794" s="799"/>
      <c r="W794" s="799"/>
      <c r="X794" s="799"/>
      <c r="Y794" s="799"/>
      <c r="Z794" s="799"/>
      <c r="AA794" s="799"/>
      <c r="AB794" s="799"/>
      <c r="AC794" s="799"/>
      <c r="AD794" s="799"/>
      <c r="AE794" s="799"/>
      <c r="AF794" s="799"/>
      <c r="AG794" s="799"/>
      <c r="AH794" s="799"/>
      <c r="AI794" s="799"/>
      <c r="AJ794" s="799"/>
      <c r="AK794" s="799"/>
      <c r="AL794" s="799"/>
      <c r="AM794" s="799"/>
      <c r="AN794" s="799"/>
      <c r="AO794" s="799"/>
      <c r="AP794" s="799"/>
      <c r="AQ794" s="799"/>
      <c r="AR794" s="799"/>
      <c r="AS794" s="799"/>
      <c r="AT794" s="799"/>
      <c r="AU794" s="799"/>
      <c r="AV794" s="799"/>
      <c r="AW794" s="799"/>
      <c r="AX794" s="799"/>
      <c r="AY794" s="799"/>
      <c r="AZ794" s="799"/>
      <c r="BA794" s="799"/>
      <c r="BB794" s="799"/>
      <c r="BC794" s="799"/>
      <c r="BD794" s="799"/>
      <c r="BE794" s="799"/>
      <c r="BF794" s="799"/>
      <c r="BG794" s="799"/>
    </row>
    <row r="795">
      <c r="H795" s="799"/>
      <c r="I795" s="799"/>
      <c r="J795" s="799"/>
      <c r="K795" s="799"/>
      <c r="L795" s="799"/>
      <c r="M795" s="799"/>
      <c r="N795" s="799"/>
      <c r="O795" s="799"/>
      <c r="P795" s="799"/>
      <c r="Q795" s="799"/>
      <c r="R795" s="799"/>
      <c r="S795" s="799"/>
      <c r="T795" s="799"/>
      <c r="U795" s="799"/>
      <c r="V795" s="799"/>
      <c r="W795" s="799"/>
      <c r="X795" s="799"/>
      <c r="Y795" s="799"/>
      <c r="Z795" s="799"/>
      <c r="AA795" s="799"/>
      <c r="AB795" s="799"/>
      <c r="AC795" s="799"/>
      <c r="AD795" s="799"/>
      <c r="AE795" s="799"/>
      <c r="AF795" s="799"/>
      <c r="AG795" s="799"/>
      <c r="AH795" s="799"/>
      <c r="AI795" s="799"/>
      <c r="AJ795" s="799"/>
      <c r="AK795" s="799"/>
      <c r="AL795" s="799"/>
      <c r="AM795" s="799"/>
      <c r="AN795" s="799"/>
      <c r="AO795" s="799"/>
      <c r="AP795" s="799"/>
      <c r="AQ795" s="799"/>
      <c r="AR795" s="799"/>
      <c r="AS795" s="799"/>
      <c r="AT795" s="799"/>
      <c r="AU795" s="799"/>
      <c r="AV795" s="799"/>
      <c r="AW795" s="799"/>
      <c r="AX795" s="799"/>
      <c r="AY795" s="799"/>
      <c r="AZ795" s="799"/>
      <c r="BA795" s="799"/>
      <c r="BB795" s="799"/>
      <c r="BC795" s="799"/>
      <c r="BD795" s="799"/>
      <c r="BE795" s="799"/>
      <c r="BF795" s="799"/>
      <c r="BG795" s="799"/>
    </row>
    <row r="796">
      <c r="H796" s="799"/>
      <c r="I796" s="799"/>
      <c r="J796" s="799"/>
      <c r="K796" s="799"/>
      <c r="L796" s="799"/>
      <c r="M796" s="799"/>
      <c r="N796" s="799"/>
      <c r="O796" s="799"/>
      <c r="P796" s="799"/>
      <c r="Q796" s="799"/>
      <c r="R796" s="799"/>
      <c r="S796" s="799"/>
      <c r="T796" s="799"/>
      <c r="U796" s="799"/>
      <c r="V796" s="799"/>
      <c r="W796" s="799"/>
      <c r="X796" s="799"/>
      <c r="Y796" s="799"/>
      <c r="Z796" s="799"/>
      <c r="AA796" s="799"/>
      <c r="AB796" s="799"/>
      <c r="AC796" s="799"/>
      <c r="AD796" s="799"/>
      <c r="AE796" s="799"/>
      <c r="AF796" s="799"/>
      <c r="AG796" s="799"/>
      <c r="AH796" s="799"/>
      <c r="AI796" s="799"/>
      <c r="AJ796" s="799"/>
      <c r="AK796" s="799"/>
      <c r="AL796" s="799"/>
      <c r="AM796" s="799"/>
      <c r="AN796" s="799"/>
      <c r="AO796" s="799"/>
      <c r="AP796" s="799"/>
      <c r="AQ796" s="799"/>
      <c r="AR796" s="799"/>
      <c r="AS796" s="799"/>
      <c r="AT796" s="799"/>
      <c r="AU796" s="799"/>
      <c r="AV796" s="799"/>
      <c r="AW796" s="799"/>
      <c r="AX796" s="799"/>
      <c r="AY796" s="799"/>
      <c r="AZ796" s="799"/>
      <c r="BA796" s="799"/>
      <c r="BB796" s="799"/>
      <c r="BC796" s="799"/>
      <c r="BD796" s="799"/>
      <c r="BE796" s="799"/>
      <c r="BF796" s="799"/>
      <c r="BG796" s="799"/>
    </row>
    <row r="797">
      <c r="H797" s="799"/>
      <c r="I797" s="799"/>
      <c r="J797" s="799"/>
      <c r="K797" s="799"/>
      <c r="L797" s="799"/>
      <c r="M797" s="799"/>
      <c r="N797" s="799"/>
      <c r="O797" s="799"/>
      <c r="P797" s="799"/>
      <c r="Q797" s="799"/>
      <c r="R797" s="799"/>
      <c r="S797" s="799"/>
      <c r="T797" s="799"/>
      <c r="U797" s="799"/>
      <c r="V797" s="799"/>
      <c r="W797" s="799"/>
      <c r="X797" s="799"/>
      <c r="Y797" s="799"/>
      <c r="Z797" s="799"/>
      <c r="AA797" s="799"/>
      <c r="AB797" s="799"/>
      <c r="AC797" s="799"/>
      <c r="AD797" s="799"/>
      <c r="AE797" s="799"/>
      <c r="AF797" s="799"/>
      <c r="AG797" s="799"/>
      <c r="AH797" s="799"/>
      <c r="AI797" s="799"/>
      <c r="AJ797" s="799"/>
      <c r="AK797" s="799"/>
      <c r="AL797" s="799"/>
      <c r="AM797" s="799"/>
      <c r="AN797" s="799"/>
      <c r="AO797" s="799"/>
      <c r="AP797" s="799"/>
      <c r="AQ797" s="799"/>
      <c r="AR797" s="799"/>
      <c r="AS797" s="799"/>
      <c r="AT797" s="799"/>
      <c r="AU797" s="799"/>
      <c r="AV797" s="799"/>
      <c r="AW797" s="799"/>
      <c r="AX797" s="799"/>
      <c r="AY797" s="799"/>
      <c r="AZ797" s="799"/>
      <c r="BA797" s="799"/>
      <c r="BB797" s="799"/>
      <c r="BC797" s="799"/>
      <c r="BD797" s="799"/>
      <c r="BE797" s="799"/>
      <c r="BF797" s="799"/>
      <c r="BG797" s="799"/>
    </row>
    <row r="798">
      <c r="H798" s="799"/>
      <c r="I798" s="799"/>
      <c r="J798" s="799"/>
      <c r="K798" s="799"/>
      <c r="L798" s="799"/>
      <c r="M798" s="799"/>
      <c r="N798" s="799"/>
      <c r="O798" s="799"/>
      <c r="P798" s="799"/>
      <c r="Q798" s="799"/>
      <c r="R798" s="799"/>
      <c r="S798" s="799"/>
      <c r="T798" s="799"/>
      <c r="U798" s="799"/>
      <c r="V798" s="799"/>
      <c r="W798" s="799"/>
      <c r="X798" s="799"/>
      <c r="Y798" s="799"/>
      <c r="Z798" s="799"/>
      <c r="AA798" s="799"/>
      <c r="AB798" s="799"/>
      <c r="AC798" s="799"/>
      <c r="AD798" s="799"/>
      <c r="AE798" s="799"/>
      <c r="AF798" s="799"/>
      <c r="AG798" s="799"/>
      <c r="AH798" s="799"/>
      <c r="AI798" s="799"/>
      <c r="AJ798" s="799"/>
      <c r="AK798" s="799"/>
      <c r="AL798" s="799"/>
      <c r="AM798" s="799"/>
      <c r="AN798" s="799"/>
      <c r="AO798" s="799"/>
      <c r="AP798" s="799"/>
      <c r="AQ798" s="799"/>
      <c r="AR798" s="799"/>
      <c r="AS798" s="799"/>
      <c r="AT798" s="799"/>
      <c r="AU798" s="799"/>
      <c r="AV798" s="799"/>
      <c r="AW798" s="799"/>
      <c r="AX798" s="799"/>
      <c r="AY798" s="799"/>
      <c r="AZ798" s="799"/>
      <c r="BA798" s="799"/>
      <c r="BB798" s="799"/>
      <c r="BC798" s="799"/>
      <c r="BD798" s="799"/>
      <c r="BE798" s="799"/>
      <c r="BF798" s="799"/>
      <c r="BG798" s="799"/>
    </row>
    <row r="799">
      <c r="H799" s="799"/>
      <c r="I799" s="799"/>
      <c r="J799" s="799"/>
      <c r="K799" s="799"/>
      <c r="L799" s="799"/>
      <c r="M799" s="799"/>
      <c r="N799" s="799"/>
      <c r="O799" s="799"/>
      <c r="P799" s="799"/>
      <c r="Q799" s="799"/>
      <c r="R799" s="799"/>
      <c r="S799" s="799"/>
      <c r="T799" s="799"/>
      <c r="U799" s="799"/>
      <c r="V799" s="799"/>
      <c r="W799" s="799"/>
      <c r="X799" s="799"/>
      <c r="Y799" s="799"/>
      <c r="Z799" s="799"/>
      <c r="AA799" s="799"/>
      <c r="AB799" s="799"/>
      <c r="AC799" s="799"/>
      <c r="AD799" s="799"/>
      <c r="AE799" s="799"/>
      <c r="AF799" s="799"/>
      <c r="AG799" s="799"/>
      <c r="AH799" s="799"/>
      <c r="AI799" s="799"/>
      <c r="AJ799" s="799"/>
      <c r="AK799" s="799"/>
      <c r="AL799" s="799"/>
      <c r="AM799" s="799"/>
      <c r="AN799" s="799"/>
      <c r="AO799" s="799"/>
      <c r="AP799" s="799"/>
      <c r="AQ799" s="799"/>
      <c r="AR799" s="799"/>
      <c r="AS799" s="799"/>
      <c r="AT799" s="799"/>
      <c r="AU799" s="799"/>
      <c r="AV799" s="799"/>
      <c r="AW799" s="799"/>
      <c r="AX799" s="799"/>
      <c r="AY799" s="799"/>
      <c r="AZ799" s="799"/>
      <c r="BA799" s="799"/>
      <c r="BB799" s="799"/>
      <c r="BC799" s="799"/>
      <c r="BD799" s="799"/>
      <c r="BE799" s="799"/>
      <c r="BF799" s="799"/>
      <c r="BG799" s="799"/>
    </row>
    <row r="800">
      <c r="H800" s="799"/>
      <c r="I800" s="799"/>
      <c r="J800" s="799"/>
      <c r="K800" s="799"/>
      <c r="L800" s="799"/>
      <c r="M800" s="799"/>
      <c r="N800" s="799"/>
      <c r="O800" s="799"/>
      <c r="P800" s="799"/>
      <c r="Q800" s="799"/>
      <c r="R800" s="799"/>
      <c r="S800" s="799"/>
      <c r="T800" s="799"/>
      <c r="U800" s="799"/>
      <c r="V800" s="799"/>
      <c r="W800" s="799"/>
      <c r="X800" s="799"/>
      <c r="Y800" s="799"/>
      <c r="Z800" s="799"/>
      <c r="AA800" s="799"/>
      <c r="AB800" s="799"/>
      <c r="AC800" s="799"/>
      <c r="AD800" s="799"/>
      <c r="AE800" s="799"/>
      <c r="AF800" s="799"/>
      <c r="AG800" s="799"/>
      <c r="AH800" s="799"/>
      <c r="AI800" s="799"/>
      <c r="AJ800" s="799"/>
      <c r="AK800" s="799"/>
      <c r="AL800" s="799"/>
      <c r="AM800" s="799"/>
      <c r="AN800" s="799"/>
      <c r="AO800" s="799"/>
      <c r="AP800" s="799"/>
      <c r="AQ800" s="799"/>
      <c r="AR800" s="799"/>
      <c r="AS800" s="799"/>
      <c r="AT800" s="799"/>
      <c r="AU800" s="799"/>
      <c r="AV800" s="799"/>
      <c r="AW800" s="799"/>
      <c r="AX800" s="799"/>
      <c r="AY800" s="799"/>
      <c r="AZ800" s="799"/>
      <c r="BA800" s="799"/>
      <c r="BB800" s="799"/>
      <c r="BC800" s="799"/>
      <c r="BD800" s="799"/>
      <c r="BE800" s="799"/>
      <c r="BF800" s="799"/>
      <c r="BG800" s="799"/>
    </row>
    <row r="801">
      <c r="H801" s="799"/>
      <c r="I801" s="799"/>
      <c r="J801" s="799"/>
      <c r="K801" s="799"/>
      <c r="L801" s="799"/>
      <c r="M801" s="799"/>
      <c r="N801" s="799"/>
      <c r="O801" s="799"/>
      <c r="P801" s="799"/>
      <c r="Q801" s="799"/>
      <c r="R801" s="799"/>
      <c r="S801" s="799"/>
      <c r="T801" s="799"/>
      <c r="U801" s="799"/>
      <c r="V801" s="799"/>
      <c r="W801" s="799"/>
      <c r="X801" s="799"/>
      <c r="Y801" s="799"/>
      <c r="Z801" s="799"/>
      <c r="AA801" s="799"/>
      <c r="AB801" s="799"/>
      <c r="AC801" s="799"/>
      <c r="AD801" s="799"/>
      <c r="AE801" s="799"/>
      <c r="AF801" s="799"/>
      <c r="AG801" s="799"/>
      <c r="AH801" s="799"/>
      <c r="AI801" s="799"/>
      <c r="AJ801" s="799"/>
      <c r="AK801" s="799"/>
      <c r="AL801" s="799"/>
      <c r="AM801" s="799"/>
      <c r="AN801" s="799"/>
      <c r="AO801" s="799"/>
      <c r="AP801" s="799"/>
      <c r="AQ801" s="799"/>
      <c r="AR801" s="799"/>
      <c r="AS801" s="799"/>
      <c r="AT801" s="799"/>
      <c r="AU801" s="799"/>
      <c r="AV801" s="799"/>
      <c r="AW801" s="799"/>
      <c r="AX801" s="799"/>
      <c r="AY801" s="799"/>
      <c r="AZ801" s="799"/>
      <c r="BA801" s="799"/>
      <c r="BB801" s="799"/>
      <c r="BC801" s="799"/>
      <c r="BD801" s="799"/>
      <c r="BE801" s="799"/>
      <c r="BF801" s="799"/>
      <c r="BG801" s="799"/>
    </row>
    <row r="802">
      <c r="H802" s="799"/>
      <c r="I802" s="799"/>
      <c r="J802" s="799"/>
      <c r="K802" s="799"/>
      <c r="L802" s="799"/>
      <c r="M802" s="799"/>
      <c r="N802" s="799"/>
      <c r="O802" s="799"/>
      <c r="P802" s="799"/>
      <c r="Q802" s="799"/>
      <c r="R802" s="799"/>
      <c r="S802" s="799"/>
      <c r="T802" s="799"/>
      <c r="U802" s="799"/>
      <c r="V802" s="799"/>
      <c r="W802" s="799"/>
      <c r="X802" s="799"/>
      <c r="Y802" s="799"/>
      <c r="Z802" s="799"/>
      <c r="AA802" s="799"/>
      <c r="AB802" s="799"/>
      <c r="AC802" s="799"/>
      <c r="AD802" s="799"/>
      <c r="AE802" s="799"/>
      <c r="AF802" s="799"/>
      <c r="AG802" s="799"/>
      <c r="AH802" s="799"/>
      <c r="AI802" s="799"/>
      <c r="AJ802" s="799"/>
      <c r="AK802" s="799"/>
      <c r="AL802" s="799"/>
      <c r="AM802" s="799"/>
      <c r="AN802" s="799"/>
      <c r="AO802" s="799"/>
      <c r="AP802" s="799"/>
      <c r="AQ802" s="799"/>
      <c r="AR802" s="799"/>
      <c r="AS802" s="799"/>
      <c r="AT802" s="799"/>
      <c r="AU802" s="799"/>
      <c r="AV802" s="799"/>
      <c r="AW802" s="799"/>
      <c r="AX802" s="799"/>
      <c r="AY802" s="799"/>
      <c r="AZ802" s="799"/>
      <c r="BA802" s="799"/>
      <c r="BB802" s="799"/>
      <c r="BC802" s="799"/>
      <c r="BD802" s="799"/>
      <c r="BE802" s="799"/>
      <c r="BF802" s="799"/>
      <c r="BG802" s="799"/>
    </row>
    <row r="803">
      <c r="H803" s="799"/>
      <c r="I803" s="799"/>
      <c r="J803" s="799"/>
      <c r="K803" s="799"/>
      <c r="L803" s="799"/>
      <c r="M803" s="799"/>
      <c r="N803" s="799"/>
      <c r="O803" s="799"/>
      <c r="P803" s="799"/>
      <c r="Q803" s="799"/>
      <c r="R803" s="799"/>
      <c r="S803" s="799"/>
      <c r="T803" s="799"/>
      <c r="U803" s="799"/>
      <c r="V803" s="799"/>
      <c r="W803" s="799"/>
      <c r="X803" s="799"/>
      <c r="Y803" s="799"/>
      <c r="Z803" s="799"/>
      <c r="AA803" s="799"/>
      <c r="AB803" s="799"/>
      <c r="AC803" s="799"/>
      <c r="AD803" s="799"/>
      <c r="AE803" s="799"/>
      <c r="AF803" s="799"/>
      <c r="AG803" s="799"/>
      <c r="AH803" s="799"/>
      <c r="AI803" s="799"/>
      <c r="AJ803" s="799"/>
      <c r="AK803" s="799"/>
      <c r="AL803" s="799"/>
      <c r="AM803" s="799"/>
      <c r="AN803" s="799"/>
      <c r="AO803" s="799"/>
      <c r="AP803" s="799"/>
      <c r="AQ803" s="799"/>
      <c r="AR803" s="799"/>
      <c r="AS803" s="799"/>
      <c r="AT803" s="799"/>
      <c r="AU803" s="799"/>
      <c r="AV803" s="799"/>
      <c r="AW803" s="799"/>
      <c r="AX803" s="799"/>
      <c r="AY803" s="799"/>
      <c r="AZ803" s="799"/>
      <c r="BA803" s="799"/>
      <c r="BB803" s="799"/>
      <c r="BC803" s="799"/>
      <c r="BD803" s="799"/>
      <c r="BE803" s="799"/>
      <c r="BF803" s="799"/>
      <c r="BG803" s="799"/>
    </row>
    <row r="804">
      <c r="H804" s="799"/>
      <c r="I804" s="799"/>
      <c r="J804" s="799"/>
      <c r="K804" s="799"/>
      <c r="L804" s="799"/>
      <c r="M804" s="799"/>
      <c r="N804" s="799"/>
      <c r="O804" s="799"/>
      <c r="P804" s="799"/>
      <c r="Q804" s="799"/>
      <c r="R804" s="799"/>
      <c r="S804" s="799"/>
      <c r="T804" s="799"/>
      <c r="U804" s="799"/>
      <c r="V804" s="799"/>
      <c r="W804" s="799"/>
      <c r="X804" s="799"/>
      <c r="Y804" s="799"/>
      <c r="Z804" s="799"/>
      <c r="AA804" s="799"/>
      <c r="AB804" s="799"/>
      <c r="AC804" s="799"/>
      <c r="AD804" s="799"/>
      <c r="AE804" s="799"/>
      <c r="AF804" s="799"/>
      <c r="AG804" s="799"/>
      <c r="AH804" s="799"/>
      <c r="AI804" s="799"/>
      <c r="AJ804" s="799"/>
      <c r="AK804" s="799"/>
      <c r="AL804" s="799"/>
      <c r="AM804" s="799"/>
      <c r="AN804" s="799"/>
      <c r="AO804" s="799"/>
      <c r="AP804" s="799"/>
      <c r="AQ804" s="799"/>
      <c r="AR804" s="799"/>
      <c r="AS804" s="799"/>
      <c r="AT804" s="799"/>
      <c r="AU804" s="799"/>
      <c r="AV804" s="799"/>
      <c r="AW804" s="799"/>
      <c r="AX804" s="799"/>
      <c r="AY804" s="799"/>
      <c r="AZ804" s="799"/>
      <c r="BA804" s="799"/>
      <c r="BB804" s="799"/>
      <c r="BC804" s="799"/>
      <c r="BD804" s="799"/>
      <c r="BE804" s="799"/>
      <c r="BF804" s="799"/>
      <c r="BG804" s="799"/>
    </row>
    <row r="805">
      <c r="H805" s="799"/>
      <c r="I805" s="799"/>
      <c r="J805" s="799"/>
      <c r="K805" s="799"/>
      <c r="L805" s="799"/>
      <c r="M805" s="799"/>
      <c r="N805" s="799"/>
      <c r="O805" s="799"/>
      <c r="P805" s="799"/>
      <c r="Q805" s="799"/>
      <c r="R805" s="799"/>
      <c r="S805" s="799"/>
      <c r="T805" s="799"/>
      <c r="U805" s="799"/>
      <c r="V805" s="799"/>
      <c r="W805" s="799"/>
      <c r="X805" s="799"/>
      <c r="Y805" s="799"/>
      <c r="Z805" s="799"/>
      <c r="AA805" s="799"/>
      <c r="AB805" s="799"/>
      <c r="AC805" s="799"/>
      <c r="AD805" s="799"/>
      <c r="AE805" s="799"/>
      <c r="AF805" s="799"/>
      <c r="AG805" s="799"/>
      <c r="AH805" s="799"/>
      <c r="AI805" s="799"/>
      <c r="AJ805" s="799"/>
      <c r="AK805" s="799"/>
      <c r="AL805" s="799"/>
      <c r="AM805" s="799"/>
      <c r="AN805" s="799"/>
      <c r="AO805" s="799"/>
      <c r="AP805" s="799"/>
      <c r="AQ805" s="799"/>
      <c r="AR805" s="799"/>
      <c r="AS805" s="799"/>
      <c r="AT805" s="799"/>
      <c r="AU805" s="799"/>
      <c r="AV805" s="799"/>
      <c r="AW805" s="799"/>
      <c r="AX805" s="799"/>
      <c r="AY805" s="799"/>
      <c r="AZ805" s="799"/>
      <c r="BA805" s="799"/>
      <c r="BB805" s="799"/>
      <c r="BC805" s="799"/>
      <c r="BD805" s="799"/>
      <c r="BE805" s="799"/>
      <c r="BF805" s="799"/>
      <c r="BG805" s="799"/>
    </row>
    <row r="806">
      <c r="H806" s="799"/>
      <c r="I806" s="799"/>
      <c r="J806" s="799"/>
      <c r="K806" s="799"/>
      <c r="L806" s="799"/>
      <c r="M806" s="799"/>
      <c r="N806" s="799"/>
      <c r="O806" s="799"/>
      <c r="P806" s="799"/>
      <c r="Q806" s="799"/>
      <c r="R806" s="799"/>
      <c r="S806" s="799"/>
      <c r="T806" s="799"/>
      <c r="U806" s="799"/>
      <c r="V806" s="799"/>
      <c r="W806" s="799"/>
      <c r="X806" s="799"/>
      <c r="Y806" s="799"/>
      <c r="Z806" s="799"/>
      <c r="AA806" s="799"/>
      <c r="AB806" s="799"/>
      <c r="AC806" s="799"/>
      <c r="AD806" s="799"/>
      <c r="AE806" s="799"/>
      <c r="AF806" s="799"/>
      <c r="AG806" s="799"/>
      <c r="AH806" s="799"/>
      <c r="AI806" s="799"/>
      <c r="AJ806" s="799"/>
      <c r="AK806" s="799"/>
      <c r="AL806" s="799"/>
      <c r="AM806" s="799"/>
      <c r="AN806" s="799"/>
      <c r="AO806" s="799"/>
      <c r="AP806" s="799"/>
      <c r="AQ806" s="799"/>
      <c r="AR806" s="799"/>
      <c r="AS806" s="799"/>
      <c r="AT806" s="799"/>
      <c r="AU806" s="799"/>
      <c r="AV806" s="799"/>
      <c r="AW806" s="799"/>
      <c r="AX806" s="799"/>
      <c r="AY806" s="799"/>
      <c r="AZ806" s="799"/>
      <c r="BA806" s="799"/>
      <c r="BB806" s="799"/>
      <c r="BC806" s="799"/>
      <c r="BD806" s="799"/>
      <c r="BE806" s="799"/>
      <c r="BF806" s="799"/>
      <c r="BG806" s="799"/>
    </row>
    <row r="807">
      <c r="H807" s="799"/>
      <c r="I807" s="799"/>
      <c r="J807" s="799"/>
      <c r="K807" s="799"/>
      <c r="L807" s="799"/>
      <c r="M807" s="799"/>
      <c r="N807" s="799"/>
      <c r="O807" s="799"/>
      <c r="P807" s="799"/>
      <c r="Q807" s="799"/>
      <c r="R807" s="799"/>
      <c r="S807" s="799"/>
      <c r="T807" s="799"/>
      <c r="U807" s="799"/>
      <c r="V807" s="799"/>
      <c r="W807" s="799"/>
      <c r="X807" s="799"/>
      <c r="Y807" s="799"/>
      <c r="Z807" s="799"/>
      <c r="AA807" s="799"/>
      <c r="AB807" s="799"/>
      <c r="AC807" s="799"/>
      <c r="AD807" s="799"/>
      <c r="AE807" s="799"/>
      <c r="AF807" s="799"/>
      <c r="AG807" s="799"/>
      <c r="AH807" s="799"/>
      <c r="AI807" s="799"/>
      <c r="AJ807" s="799"/>
      <c r="AK807" s="799"/>
      <c r="AL807" s="799"/>
      <c r="AM807" s="799"/>
      <c r="AN807" s="799"/>
      <c r="AO807" s="799"/>
      <c r="AP807" s="799"/>
      <c r="AQ807" s="799"/>
      <c r="AR807" s="799"/>
      <c r="AS807" s="799"/>
      <c r="AT807" s="799"/>
      <c r="AU807" s="799"/>
      <c r="AV807" s="799"/>
      <c r="AW807" s="799"/>
      <c r="AX807" s="799"/>
      <c r="AY807" s="799"/>
      <c r="AZ807" s="799"/>
      <c r="BA807" s="799"/>
      <c r="BB807" s="799"/>
      <c r="BC807" s="799"/>
      <c r="BD807" s="799"/>
      <c r="BE807" s="799"/>
      <c r="BF807" s="799"/>
      <c r="BG807" s="799"/>
    </row>
    <row r="808">
      <c r="H808" s="799"/>
      <c r="I808" s="799"/>
      <c r="J808" s="799"/>
      <c r="K808" s="799"/>
      <c r="L808" s="799"/>
      <c r="M808" s="799"/>
      <c r="N808" s="799"/>
      <c r="O808" s="799"/>
      <c r="P808" s="799"/>
      <c r="Q808" s="799"/>
      <c r="R808" s="799"/>
      <c r="S808" s="799"/>
      <c r="T808" s="799"/>
      <c r="U808" s="799"/>
      <c r="V808" s="799"/>
      <c r="W808" s="799"/>
      <c r="X808" s="799"/>
      <c r="Y808" s="799"/>
      <c r="Z808" s="799"/>
      <c r="AA808" s="799"/>
      <c r="AB808" s="799"/>
      <c r="AC808" s="799"/>
      <c r="AD808" s="799"/>
      <c r="AE808" s="799"/>
      <c r="AF808" s="799"/>
      <c r="AG808" s="799"/>
      <c r="AH808" s="799"/>
      <c r="AI808" s="799"/>
      <c r="AJ808" s="799"/>
      <c r="AK808" s="799"/>
      <c r="AL808" s="799"/>
      <c r="AM808" s="799"/>
      <c r="AN808" s="799"/>
      <c r="AO808" s="799"/>
      <c r="AP808" s="799"/>
      <c r="AQ808" s="799"/>
      <c r="AR808" s="799"/>
      <c r="AS808" s="799"/>
      <c r="AT808" s="799"/>
      <c r="AU808" s="799"/>
      <c r="AV808" s="799"/>
      <c r="AW808" s="799"/>
      <c r="AX808" s="799"/>
      <c r="AY808" s="799"/>
      <c r="AZ808" s="799"/>
      <c r="BA808" s="799"/>
      <c r="BB808" s="799"/>
      <c r="BC808" s="799"/>
      <c r="BD808" s="799"/>
      <c r="BE808" s="799"/>
      <c r="BF808" s="799"/>
      <c r="BG808" s="799"/>
    </row>
    <row r="809">
      <c r="H809" s="799"/>
      <c r="I809" s="799"/>
      <c r="J809" s="799"/>
      <c r="K809" s="799"/>
      <c r="L809" s="799"/>
      <c r="M809" s="799"/>
      <c r="N809" s="799"/>
      <c r="O809" s="799"/>
      <c r="P809" s="799"/>
      <c r="Q809" s="799"/>
      <c r="R809" s="799"/>
      <c r="S809" s="799"/>
      <c r="T809" s="799"/>
      <c r="U809" s="799"/>
      <c r="V809" s="799"/>
      <c r="W809" s="799"/>
      <c r="X809" s="799"/>
      <c r="Y809" s="799"/>
      <c r="Z809" s="799"/>
      <c r="AA809" s="799"/>
      <c r="AB809" s="799"/>
      <c r="AC809" s="799"/>
      <c r="AD809" s="799"/>
      <c r="AE809" s="799"/>
      <c r="AF809" s="799"/>
      <c r="AG809" s="799"/>
      <c r="AH809" s="799"/>
      <c r="AI809" s="799"/>
      <c r="AJ809" s="799"/>
      <c r="AK809" s="799"/>
      <c r="AL809" s="799"/>
      <c r="AM809" s="799"/>
      <c r="AN809" s="799"/>
      <c r="AO809" s="799"/>
      <c r="AP809" s="799"/>
      <c r="AQ809" s="799"/>
      <c r="AR809" s="799"/>
      <c r="AS809" s="799"/>
      <c r="AT809" s="799"/>
      <c r="AU809" s="799"/>
      <c r="AV809" s="799"/>
      <c r="AW809" s="799"/>
      <c r="AX809" s="799"/>
      <c r="AY809" s="799"/>
      <c r="AZ809" s="799"/>
      <c r="BA809" s="799"/>
      <c r="BB809" s="799"/>
      <c r="BC809" s="799"/>
      <c r="BD809" s="799"/>
      <c r="BE809" s="799"/>
      <c r="BF809" s="799"/>
      <c r="BG809" s="799"/>
    </row>
    <row r="810">
      <c r="H810" s="799"/>
      <c r="I810" s="799"/>
      <c r="J810" s="799"/>
      <c r="K810" s="799"/>
      <c r="L810" s="799"/>
      <c r="M810" s="799"/>
      <c r="N810" s="799"/>
      <c r="O810" s="799"/>
      <c r="P810" s="799"/>
      <c r="Q810" s="799"/>
      <c r="R810" s="799"/>
      <c r="S810" s="799"/>
      <c r="T810" s="799"/>
      <c r="U810" s="799"/>
      <c r="V810" s="799"/>
      <c r="W810" s="799"/>
      <c r="X810" s="799"/>
      <c r="Y810" s="799"/>
      <c r="Z810" s="799"/>
      <c r="AA810" s="799"/>
      <c r="AB810" s="799"/>
      <c r="AC810" s="799"/>
      <c r="AD810" s="799"/>
      <c r="AE810" s="799"/>
      <c r="AF810" s="799"/>
      <c r="AG810" s="799"/>
      <c r="AH810" s="799"/>
      <c r="AI810" s="799"/>
      <c r="AJ810" s="799"/>
      <c r="AK810" s="799"/>
      <c r="AL810" s="799"/>
      <c r="AM810" s="799"/>
      <c r="AN810" s="799"/>
      <c r="AO810" s="799"/>
      <c r="AP810" s="799"/>
      <c r="AQ810" s="799"/>
      <c r="AR810" s="799"/>
      <c r="AS810" s="799"/>
      <c r="AT810" s="799"/>
      <c r="AU810" s="799"/>
      <c r="AV810" s="799"/>
      <c r="AW810" s="799"/>
      <c r="AX810" s="799"/>
      <c r="AY810" s="799"/>
      <c r="AZ810" s="799"/>
      <c r="BA810" s="799"/>
      <c r="BB810" s="799"/>
      <c r="BC810" s="799"/>
      <c r="BD810" s="799"/>
      <c r="BE810" s="799"/>
      <c r="BF810" s="799"/>
      <c r="BG810" s="799"/>
    </row>
    <row r="811">
      <c r="H811" s="799"/>
      <c r="I811" s="799"/>
      <c r="J811" s="799"/>
      <c r="K811" s="799"/>
      <c r="L811" s="799"/>
      <c r="M811" s="799"/>
      <c r="N811" s="799"/>
      <c r="O811" s="799"/>
      <c r="P811" s="799"/>
      <c r="Q811" s="799"/>
      <c r="R811" s="799"/>
      <c r="S811" s="799"/>
      <c r="T811" s="799"/>
      <c r="U811" s="799"/>
      <c r="V811" s="799"/>
      <c r="W811" s="799"/>
      <c r="X811" s="799"/>
      <c r="Y811" s="799"/>
      <c r="Z811" s="799"/>
      <c r="AA811" s="799"/>
      <c r="AB811" s="799"/>
      <c r="AC811" s="799"/>
      <c r="AD811" s="799"/>
      <c r="AE811" s="799"/>
      <c r="AF811" s="799"/>
      <c r="AG811" s="799"/>
      <c r="AH811" s="799"/>
      <c r="AI811" s="799"/>
      <c r="AJ811" s="799"/>
      <c r="AK811" s="799"/>
      <c r="AL811" s="799"/>
      <c r="AM811" s="799"/>
      <c r="AN811" s="799"/>
      <c r="AO811" s="799"/>
      <c r="AP811" s="799"/>
      <c r="AQ811" s="799"/>
      <c r="AR811" s="799"/>
      <c r="AS811" s="799"/>
      <c r="AT811" s="799"/>
      <c r="AU811" s="799"/>
      <c r="AV811" s="799"/>
      <c r="AW811" s="799"/>
      <c r="AX811" s="799"/>
      <c r="AY811" s="799"/>
      <c r="AZ811" s="799"/>
      <c r="BA811" s="799"/>
      <c r="BB811" s="799"/>
      <c r="BC811" s="799"/>
      <c r="BD811" s="799"/>
      <c r="BE811" s="799"/>
      <c r="BF811" s="799"/>
      <c r="BG811" s="799"/>
    </row>
    <row r="812">
      <c r="H812" s="799"/>
      <c r="I812" s="799"/>
      <c r="J812" s="799"/>
      <c r="K812" s="799"/>
      <c r="L812" s="799"/>
      <c r="M812" s="799"/>
      <c r="N812" s="799"/>
      <c r="O812" s="799"/>
      <c r="P812" s="799"/>
      <c r="Q812" s="799"/>
      <c r="R812" s="799"/>
      <c r="S812" s="799"/>
      <c r="T812" s="799"/>
      <c r="U812" s="799"/>
      <c r="V812" s="799"/>
      <c r="W812" s="799"/>
      <c r="X812" s="799"/>
      <c r="Y812" s="799"/>
      <c r="Z812" s="799"/>
      <c r="AA812" s="799"/>
      <c r="AB812" s="799"/>
      <c r="AC812" s="799"/>
      <c r="AD812" s="799"/>
      <c r="AE812" s="799"/>
      <c r="AF812" s="799"/>
      <c r="AG812" s="799"/>
      <c r="AH812" s="799"/>
      <c r="AI812" s="799"/>
      <c r="AJ812" s="799"/>
      <c r="AK812" s="799"/>
      <c r="AL812" s="799"/>
      <c r="AM812" s="799"/>
      <c r="AN812" s="799"/>
      <c r="AO812" s="799"/>
      <c r="AP812" s="799"/>
      <c r="AQ812" s="799"/>
      <c r="AR812" s="799"/>
      <c r="AS812" s="799"/>
      <c r="AT812" s="799"/>
      <c r="AU812" s="799"/>
      <c r="AV812" s="799"/>
      <c r="AW812" s="799"/>
      <c r="AX812" s="799"/>
      <c r="AY812" s="799"/>
      <c r="AZ812" s="799"/>
      <c r="BA812" s="799"/>
      <c r="BB812" s="799"/>
      <c r="BC812" s="799"/>
      <c r="BD812" s="799"/>
      <c r="BE812" s="799"/>
      <c r="BF812" s="799"/>
      <c r="BG812" s="799"/>
    </row>
    <row r="813">
      <c r="H813" s="799"/>
      <c r="I813" s="799"/>
      <c r="J813" s="799"/>
      <c r="K813" s="799"/>
      <c r="L813" s="799"/>
      <c r="M813" s="799"/>
      <c r="N813" s="799"/>
      <c r="O813" s="799"/>
      <c r="P813" s="799"/>
      <c r="Q813" s="799"/>
      <c r="R813" s="799"/>
      <c r="S813" s="799"/>
      <c r="T813" s="799"/>
      <c r="U813" s="799"/>
      <c r="V813" s="799"/>
      <c r="W813" s="799"/>
      <c r="X813" s="799"/>
      <c r="Y813" s="799"/>
      <c r="Z813" s="799"/>
      <c r="AA813" s="799"/>
      <c r="AB813" s="799"/>
      <c r="AC813" s="799"/>
      <c r="AD813" s="799"/>
      <c r="AE813" s="799"/>
      <c r="AF813" s="799"/>
      <c r="AG813" s="799"/>
      <c r="AH813" s="799"/>
      <c r="AI813" s="799"/>
      <c r="AJ813" s="799"/>
      <c r="AK813" s="799"/>
      <c r="AL813" s="799"/>
      <c r="AM813" s="799"/>
      <c r="AN813" s="799"/>
      <c r="AO813" s="799"/>
      <c r="AP813" s="799"/>
      <c r="AQ813" s="799"/>
      <c r="AR813" s="799"/>
      <c r="AS813" s="799"/>
      <c r="AT813" s="799"/>
      <c r="AU813" s="799"/>
      <c r="AV813" s="799"/>
      <c r="AW813" s="799"/>
      <c r="AX813" s="799"/>
      <c r="AY813" s="799"/>
      <c r="AZ813" s="799"/>
      <c r="BA813" s="799"/>
      <c r="BB813" s="799"/>
      <c r="BC813" s="799"/>
      <c r="BD813" s="799"/>
      <c r="BE813" s="799"/>
      <c r="BF813" s="799"/>
      <c r="BG813" s="799"/>
    </row>
    <row r="814">
      <c r="H814" s="799"/>
      <c r="I814" s="799"/>
      <c r="J814" s="799"/>
      <c r="K814" s="799"/>
      <c r="L814" s="799"/>
      <c r="M814" s="799"/>
      <c r="N814" s="799"/>
      <c r="O814" s="799"/>
      <c r="P814" s="799"/>
      <c r="Q814" s="799"/>
      <c r="R814" s="799"/>
      <c r="S814" s="799"/>
      <c r="T814" s="799"/>
      <c r="U814" s="799"/>
      <c r="V814" s="799"/>
      <c r="W814" s="799"/>
      <c r="X814" s="799"/>
      <c r="Y814" s="799"/>
      <c r="Z814" s="799"/>
      <c r="AA814" s="799"/>
      <c r="AB814" s="799"/>
      <c r="AC814" s="799"/>
      <c r="AD814" s="799"/>
      <c r="AE814" s="799"/>
      <c r="AF814" s="799"/>
      <c r="AG814" s="799"/>
      <c r="AH814" s="799"/>
      <c r="AI814" s="799"/>
      <c r="AJ814" s="799"/>
      <c r="AK814" s="799"/>
      <c r="AL814" s="799"/>
      <c r="AM814" s="799"/>
      <c r="AN814" s="799"/>
      <c r="AO814" s="799"/>
      <c r="AP814" s="799"/>
      <c r="AQ814" s="799"/>
      <c r="AR814" s="799"/>
      <c r="AS814" s="799"/>
      <c r="AT814" s="799"/>
      <c r="AU814" s="799"/>
      <c r="AV814" s="799"/>
      <c r="AW814" s="799"/>
      <c r="AX814" s="799"/>
      <c r="AY814" s="799"/>
      <c r="AZ814" s="799"/>
      <c r="BA814" s="799"/>
      <c r="BB814" s="799"/>
      <c r="BC814" s="799"/>
      <c r="BD814" s="799"/>
      <c r="BE814" s="799"/>
      <c r="BF814" s="799"/>
      <c r="BG814" s="799"/>
    </row>
    <row r="815">
      <c r="H815" s="799"/>
      <c r="I815" s="799"/>
      <c r="J815" s="799"/>
      <c r="K815" s="799"/>
      <c r="L815" s="799"/>
      <c r="M815" s="799"/>
      <c r="N815" s="799"/>
      <c r="O815" s="799"/>
      <c r="P815" s="799"/>
      <c r="Q815" s="799"/>
      <c r="R815" s="799"/>
      <c r="S815" s="799"/>
      <c r="T815" s="799"/>
      <c r="U815" s="799"/>
      <c r="V815" s="799"/>
      <c r="W815" s="799"/>
      <c r="X815" s="799"/>
      <c r="Y815" s="799"/>
      <c r="Z815" s="799"/>
      <c r="AA815" s="799"/>
      <c r="AB815" s="799"/>
      <c r="AC815" s="799"/>
      <c r="AD815" s="799"/>
      <c r="AE815" s="799"/>
      <c r="AF815" s="799"/>
      <c r="AG815" s="799"/>
      <c r="AH815" s="799"/>
      <c r="AI815" s="799"/>
      <c r="AJ815" s="799"/>
      <c r="AK815" s="799"/>
      <c r="AL815" s="799"/>
      <c r="AM815" s="799"/>
      <c r="AN815" s="799"/>
      <c r="AO815" s="799"/>
      <c r="AP815" s="799"/>
      <c r="AQ815" s="799"/>
      <c r="AR815" s="799"/>
      <c r="AS815" s="799"/>
      <c r="AT815" s="799"/>
      <c r="AU815" s="799"/>
      <c r="AV815" s="799"/>
      <c r="AW815" s="799"/>
      <c r="AX815" s="799"/>
      <c r="AY815" s="799"/>
      <c r="AZ815" s="799"/>
      <c r="BA815" s="799"/>
      <c r="BB815" s="799"/>
      <c r="BC815" s="799"/>
      <c r="BD815" s="799"/>
      <c r="BE815" s="799"/>
      <c r="BF815" s="799"/>
      <c r="BG815" s="799"/>
    </row>
    <row r="816">
      <c r="H816" s="799"/>
      <c r="I816" s="799"/>
      <c r="J816" s="799"/>
      <c r="K816" s="799"/>
      <c r="L816" s="799"/>
      <c r="M816" s="799"/>
      <c r="N816" s="799"/>
      <c r="O816" s="799"/>
      <c r="P816" s="799"/>
      <c r="Q816" s="799"/>
      <c r="R816" s="799"/>
      <c r="S816" s="799"/>
      <c r="T816" s="799"/>
      <c r="U816" s="799"/>
      <c r="V816" s="799"/>
      <c r="W816" s="799"/>
      <c r="X816" s="799"/>
      <c r="Y816" s="799"/>
      <c r="Z816" s="799"/>
      <c r="AA816" s="799"/>
      <c r="AB816" s="799"/>
      <c r="AC816" s="799"/>
      <c r="AD816" s="799"/>
      <c r="AE816" s="799"/>
      <c r="AF816" s="799"/>
      <c r="AG816" s="799"/>
      <c r="AH816" s="799"/>
      <c r="AI816" s="799"/>
      <c r="AJ816" s="799"/>
      <c r="AK816" s="799"/>
      <c r="AL816" s="799"/>
      <c r="AM816" s="799"/>
      <c r="AN816" s="799"/>
      <c r="AO816" s="799"/>
      <c r="AP816" s="799"/>
      <c r="AQ816" s="799"/>
      <c r="AR816" s="799"/>
      <c r="AS816" s="799"/>
      <c r="AT816" s="799"/>
      <c r="AU816" s="799"/>
      <c r="AV816" s="799"/>
      <c r="AW816" s="799"/>
      <c r="AX816" s="799"/>
      <c r="AY816" s="799"/>
      <c r="AZ816" s="799"/>
      <c r="BA816" s="799"/>
      <c r="BB816" s="799"/>
      <c r="BC816" s="799"/>
      <c r="BD816" s="799"/>
      <c r="BE816" s="799"/>
      <c r="BF816" s="799"/>
      <c r="BG816" s="799"/>
    </row>
    <row r="817">
      <c r="H817" s="799"/>
      <c r="I817" s="799"/>
      <c r="J817" s="799"/>
      <c r="K817" s="799"/>
      <c r="L817" s="799"/>
      <c r="M817" s="799"/>
      <c r="N817" s="799"/>
      <c r="O817" s="799"/>
      <c r="P817" s="799"/>
      <c r="Q817" s="799"/>
      <c r="R817" s="799"/>
      <c r="S817" s="799"/>
      <c r="T817" s="799"/>
      <c r="U817" s="799"/>
      <c r="V817" s="799"/>
      <c r="W817" s="799"/>
      <c r="X817" s="799"/>
      <c r="Y817" s="799"/>
      <c r="Z817" s="799"/>
      <c r="AA817" s="799"/>
      <c r="AB817" s="799"/>
      <c r="AC817" s="799"/>
      <c r="AD817" s="799"/>
      <c r="AE817" s="799"/>
      <c r="AF817" s="799"/>
      <c r="AG817" s="799"/>
      <c r="AH817" s="799"/>
      <c r="AI817" s="799"/>
      <c r="AJ817" s="799"/>
      <c r="AK817" s="799"/>
      <c r="AL817" s="799"/>
      <c r="AM817" s="799"/>
      <c r="AN817" s="799"/>
      <c r="AO817" s="799"/>
      <c r="AP817" s="799"/>
      <c r="AQ817" s="799"/>
      <c r="AR817" s="799"/>
      <c r="AS817" s="799"/>
      <c r="AT817" s="799"/>
      <c r="AU817" s="799"/>
      <c r="AV817" s="799"/>
      <c r="AW817" s="799"/>
      <c r="AX817" s="799"/>
      <c r="AY817" s="799"/>
      <c r="AZ817" s="799"/>
      <c r="BA817" s="799"/>
      <c r="BB817" s="799"/>
      <c r="BC817" s="799"/>
      <c r="BD817" s="799"/>
      <c r="BE817" s="799"/>
      <c r="BF817" s="799"/>
      <c r="BG817" s="799"/>
    </row>
    <row r="818">
      <c r="H818" s="799"/>
      <c r="I818" s="799"/>
      <c r="J818" s="799"/>
      <c r="K818" s="799"/>
      <c r="L818" s="799"/>
      <c r="M818" s="799"/>
      <c r="N818" s="799"/>
      <c r="O818" s="799"/>
      <c r="P818" s="799"/>
      <c r="Q818" s="799"/>
      <c r="R818" s="799"/>
      <c r="S818" s="799"/>
      <c r="T818" s="799"/>
      <c r="U818" s="799"/>
      <c r="V818" s="799"/>
      <c r="W818" s="799"/>
      <c r="X818" s="799"/>
      <c r="Y818" s="799"/>
      <c r="Z818" s="799"/>
      <c r="AA818" s="799"/>
      <c r="AB818" s="799"/>
      <c r="AC818" s="799"/>
      <c r="AD818" s="799"/>
      <c r="AE818" s="799"/>
      <c r="AF818" s="799"/>
      <c r="AG818" s="799"/>
      <c r="AH818" s="799"/>
      <c r="AI818" s="799"/>
      <c r="AJ818" s="799"/>
      <c r="AK818" s="799"/>
      <c r="AL818" s="799"/>
      <c r="AM818" s="799"/>
      <c r="AN818" s="799"/>
      <c r="AO818" s="799"/>
      <c r="AP818" s="799"/>
      <c r="AQ818" s="799"/>
      <c r="AR818" s="799"/>
      <c r="AS818" s="799"/>
      <c r="AT818" s="799"/>
      <c r="AU818" s="799"/>
      <c r="AV818" s="799"/>
      <c r="AW818" s="799"/>
      <c r="AX818" s="799"/>
      <c r="AY818" s="799"/>
      <c r="AZ818" s="799"/>
      <c r="BA818" s="799"/>
      <c r="BB818" s="799"/>
      <c r="BC818" s="799"/>
      <c r="BD818" s="799"/>
      <c r="BE818" s="799"/>
      <c r="BF818" s="799"/>
      <c r="BG818" s="799"/>
    </row>
    <row r="819">
      <c r="H819" s="799"/>
      <c r="I819" s="799"/>
      <c r="J819" s="799"/>
      <c r="K819" s="799"/>
      <c r="L819" s="799"/>
      <c r="M819" s="799"/>
      <c r="N819" s="799"/>
      <c r="O819" s="799"/>
      <c r="P819" s="799"/>
      <c r="Q819" s="799"/>
      <c r="R819" s="799"/>
      <c r="S819" s="799"/>
      <c r="T819" s="799"/>
      <c r="U819" s="799"/>
      <c r="V819" s="799"/>
      <c r="W819" s="799"/>
      <c r="X819" s="799"/>
      <c r="Y819" s="799"/>
      <c r="Z819" s="799"/>
      <c r="AA819" s="799"/>
      <c r="AB819" s="799"/>
      <c r="AC819" s="799"/>
      <c r="AD819" s="799"/>
      <c r="AE819" s="799"/>
      <c r="AF819" s="799"/>
      <c r="AG819" s="799"/>
      <c r="AH819" s="799"/>
      <c r="AI819" s="799"/>
      <c r="AJ819" s="799"/>
      <c r="AK819" s="799"/>
      <c r="AL819" s="799"/>
      <c r="AM819" s="799"/>
      <c r="AN819" s="799"/>
      <c r="AO819" s="799"/>
      <c r="AP819" s="799"/>
      <c r="AQ819" s="799"/>
      <c r="AR819" s="799"/>
      <c r="AS819" s="799"/>
      <c r="AT819" s="799"/>
      <c r="AU819" s="799"/>
      <c r="AV819" s="799"/>
      <c r="AW819" s="799"/>
      <c r="AX819" s="799"/>
      <c r="AY819" s="799"/>
      <c r="AZ819" s="799"/>
      <c r="BA819" s="799"/>
      <c r="BB819" s="799"/>
      <c r="BC819" s="799"/>
      <c r="BD819" s="799"/>
      <c r="BE819" s="799"/>
      <c r="BF819" s="799"/>
      <c r="BG819" s="799"/>
    </row>
    <row r="820">
      <c r="H820" s="799"/>
      <c r="I820" s="799"/>
      <c r="J820" s="799"/>
      <c r="K820" s="799"/>
      <c r="L820" s="799"/>
      <c r="M820" s="799"/>
      <c r="N820" s="799"/>
      <c r="O820" s="799"/>
      <c r="P820" s="799"/>
      <c r="Q820" s="799"/>
      <c r="R820" s="799"/>
      <c r="S820" s="799"/>
      <c r="T820" s="799"/>
      <c r="U820" s="799"/>
      <c r="V820" s="799"/>
      <c r="W820" s="799"/>
      <c r="X820" s="799"/>
      <c r="Y820" s="799"/>
      <c r="Z820" s="799"/>
      <c r="AA820" s="799"/>
      <c r="AB820" s="799"/>
      <c r="AC820" s="799"/>
      <c r="AD820" s="799"/>
      <c r="AE820" s="799"/>
      <c r="AF820" s="799"/>
      <c r="AG820" s="799"/>
      <c r="AH820" s="799"/>
      <c r="AI820" s="799"/>
      <c r="AJ820" s="799"/>
      <c r="AK820" s="799"/>
      <c r="AL820" s="799"/>
      <c r="AM820" s="799"/>
      <c r="AN820" s="799"/>
      <c r="AO820" s="799"/>
      <c r="AP820" s="799"/>
      <c r="AQ820" s="799"/>
      <c r="AR820" s="799"/>
      <c r="AS820" s="799"/>
      <c r="AT820" s="799"/>
      <c r="AU820" s="799"/>
      <c r="AV820" s="799"/>
      <c r="AW820" s="799"/>
      <c r="AX820" s="799"/>
      <c r="AY820" s="799"/>
      <c r="AZ820" s="799"/>
      <c r="BA820" s="799"/>
      <c r="BB820" s="799"/>
      <c r="BC820" s="799"/>
      <c r="BD820" s="799"/>
      <c r="BE820" s="799"/>
      <c r="BF820" s="799"/>
      <c r="BG820" s="799"/>
    </row>
    <row r="821">
      <c r="H821" s="799"/>
      <c r="I821" s="799"/>
      <c r="J821" s="799"/>
      <c r="K821" s="799"/>
      <c r="L821" s="799"/>
      <c r="M821" s="799"/>
      <c r="N821" s="799"/>
      <c r="O821" s="799"/>
      <c r="P821" s="799"/>
      <c r="Q821" s="799"/>
      <c r="R821" s="799"/>
      <c r="S821" s="799"/>
      <c r="T821" s="799"/>
      <c r="U821" s="799"/>
      <c r="V821" s="799"/>
      <c r="W821" s="799"/>
      <c r="X821" s="799"/>
      <c r="Y821" s="799"/>
      <c r="Z821" s="799"/>
      <c r="AA821" s="799"/>
      <c r="AB821" s="799"/>
      <c r="AC821" s="799"/>
      <c r="AD821" s="799"/>
      <c r="AE821" s="799"/>
      <c r="AF821" s="799"/>
      <c r="AG821" s="799"/>
      <c r="AH821" s="799"/>
      <c r="AI821" s="799"/>
      <c r="AJ821" s="799"/>
      <c r="AK821" s="799"/>
      <c r="AL821" s="799"/>
      <c r="AM821" s="799"/>
      <c r="AN821" s="799"/>
      <c r="AO821" s="799"/>
      <c r="AP821" s="799"/>
      <c r="AQ821" s="799"/>
      <c r="AR821" s="799"/>
      <c r="AS821" s="799"/>
      <c r="AT821" s="799"/>
      <c r="AU821" s="799"/>
      <c r="AV821" s="799"/>
      <c r="AW821" s="799"/>
      <c r="AX821" s="799"/>
      <c r="AY821" s="799"/>
      <c r="AZ821" s="799"/>
      <c r="BA821" s="799"/>
      <c r="BB821" s="799"/>
      <c r="BC821" s="799"/>
      <c r="BD821" s="799"/>
      <c r="BE821" s="799"/>
      <c r="BF821" s="799"/>
      <c r="BG821" s="799"/>
    </row>
    <row r="822">
      <c r="H822" s="799"/>
      <c r="I822" s="799"/>
      <c r="J822" s="799"/>
      <c r="K822" s="799"/>
      <c r="L822" s="799"/>
      <c r="M822" s="799"/>
      <c r="N822" s="799"/>
      <c r="O822" s="799"/>
      <c r="P822" s="799"/>
      <c r="Q822" s="799"/>
      <c r="R822" s="799"/>
      <c r="S822" s="799"/>
      <c r="T822" s="799"/>
      <c r="U822" s="799"/>
      <c r="V822" s="799"/>
      <c r="W822" s="799"/>
      <c r="X822" s="799"/>
      <c r="Y822" s="799"/>
      <c r="Z822" s="799"/>
      <c r="AA822" s="799"/>
      <c r="AB822" s="799"/>
      <c r="AC822" s="799"/>
      <c r="AD822" s="799"/>
      <c r="AE822" s="799"/>
      <c r="AF822" s="799"/>
      <c r="AG822" s="799"/>
      <c r="AH822" s="799"/>
      <c r="AI822" s="799"/>
      <c r="AJ822" s="799"/>
      <c r="AK822" s="799"/>
      <c r="AL822" s="799"/>
      <c r="AM822" s="799"/>
      <c r="AN822" s="799"/>
      <c r="AO822" s="799"/>
      <c r="AP822" s="799"/>
      <c r="AQ822" s="799"/>
      <c r="AR822" s="799"/>
      <c r="AS822" s="799"/>
      <c r="AT822" s="799"/>
      <c r="AU822" s="799"/>
      <c r="AV822" s="799"/>
      <c r="AW822" s="799"/>
      <c r="AX822" s="799"/>
      <c r="AY822" s="799"/>
      <c r="AZ822" s="799"/>
      <c r="BA822" s="799"/>
      <c r="BB822" s="799"/>
      <c r="BC822" s="799"/>
      <c r="BD822" s="799"/>
      <c r="BE822" s="799"/>
      <c r="BF822" s="799"/>
      <c r="BG822" s="799"/>
    </row>
    <row r="823">
      <c r="H823" s="799"/>
      <c r="I823" s="799"/>
      <c r="J823" s="799"/>
      <c r="K823" s="799"/>
      <c r="L823" s="799"/>
      <c r="M823" s="799"/>
      <c r="N823" s="799"/>
      <c r="O823" s="799"/>
      <c r="P823" s="799"/>
      <c r="Q823" s="799"/>
      <c r="R823" s="799"/>
      <c r="S823" s="799"/>
      <c r="T823" s="799"/>
      <c r="U823" s="799"/>
      <c r="V823" s="799"/>
      <c r="W823" s="799"/>
      <c r="X823" s="799"/>
      <c r="Y823" s="799"/>
      <c r="Z823" s="799"/>
      <c r="AA823" s="799"/>
      <c r="AB823" s="799"/>
      <c r="AC823" s="799"/>
      <c r="AD823" s="799"/>
      <c r="AE823" s="799"/>
      <c r="AF823" s="799"/>
      <c r="AG823" s="799"/>
      <c r="AH823" s="799"/>
      <c r="AI823" s="799"/>
      <c r="AJ823" s="799"/>
      <c r="AK823" s="799"/>
      <c r="AL823" s="799"/>
      <c r="AM823" s="799"/>
      <c r="AN823" s="799"/>
      <c r="AO823" s="799"/>
      <c r="AP823" s="799"/>
      <c r="AQ823" s="799"/>
      <c r="AR823" s="799"/>
      <c r="AS823" s="799"/>
      <c r="AT823" s="799"/>
      <c r="AU823" s="799"/>
      <c r="AV823" s="799"/>
      <c r="AW823" s="799"/>
      <c r="AX823" s="799"/>
      <c r="AY823" s="799"/>
      <c r="AZ823" s="799"/>
      <c r="BA823" s="799"/>
      <c r="BB823" s="799"/>
      <c r="BC823" s="799"/>
      <c r="BD823" s="799"/>
      <c r="BE823" s="799"/>
      <c r="BF823" s="799"/>
      <c r="BG823" s="799"/>
    </row>
    <row r="824">
      <c r="H824" s="799"/>
      <c r="I824" s="799"/>
      <c r="J824" s="799"/>
      <c r="K824" s="799"/>
      <c r="L824" s="799"/>
      <c r="M824" s="799"/>
      <c r="N824" s="799"/>
      <c r="O824" s="799"/>
      <c r="P824" s="799"/>
      <c r="Q824" s="799"/>
      <c r="R824" s="799"/>
      <c r="S824" s="799"/>
      <c r="T824" s="799"/>
      <c r="U824" s="799"/>
      <c r="V824" s="799"/>
      <c r="W824" s="799"/>
      <c r="X824" s="799"/>
      <c r="Y824" s="799"/>
      <c r="Z824" s="799"/>
      <c r="AA824" s="799"/>
      <c r="AB824" s="799"/>
      <c r="AC824" s="799"/>
      <c r="AD824" s="799"/>
      <c r="AE824" s="799"/>
      <c r="AF824" s="799"/>
      <c r="AG824" s="799"/>
      <c r="AH824" s="799"/>
      <c r="AI824" s="799"/>
      <c r="AJ824" s="799"/>
      <c r="AK824" s="799"/>
      <c r="AL824" s="799"/>
      <c r="AM824" s="799"/>
      <c r="AN824" s="799"/>
      <c r="AO824" s="799"/>
      <c r="AP824" s="799"/>
      <c r="AQ824" s="799"/>
      <c r="AR824" s="799"/>
      <c r="AS824" s="799"/>
      <c r="AT824" s="799"/>
      <c r="AU824" s="799"/>
      <c r="AV824" s="799"/>
      <c r="AW824" s="799"/>
      <c r="AX824" s="799"/>
      <c r="AY824" s="799"/>
      <c r="AZ824" s="799"/>
      <c r="BA824" s="799"/>
      <c r="BB824" s="799"/>
      <c r="BC824" s="799"/>
      <c r="BD824" s="799"/>
      <c r="BE824" s="799"/>
      <c r="BF824" s="799"/>
      <c r="BG824" s="799"/>
    </row>
    <row r="825">
      <c r="H825" s="799"/>
      <c r="I825" s="799"/>
      <c r="J825" s="799"/>
      <c r="K825" s="799"/>
      <c r="L825" s="799"/>
      <c r="M825" s="799"/>
      <c r="N825" s="799"/>
      <c r="O825" s="799"/>
      <c r="P825" s="799"/>
      <c r="Q825" s="799"/>
      <c r="R825" s="799"/>
      <c r="S825" s="799"/>
      <c r="T825" s="799"/>
      <c r="U825" s="799"/>
      <c r="V825" s="799"/>
      <c r="W825" s="799"/>
      <c r="X825" s="799"/>
      <c r="Y825" s="799"/>
      <c r="Z825" s="799"/>
      <c r="AA825" s="799"/>
      <c r="AB825" s="799"/>
      <c r="AC825" s="799"/>
      <c r="AD825" s="799"/>
      <c r="AE825" s="799"/>
      <c r="AF825" s="799"/>
      <c r="AG825" s="799"/>
      <c r="AH825" s="799"/>
      <c r="AI825" s="799"/>
      <c r="AJ825" s="799"/>
      <c r="AK825" s="799"/>
      <c r="AL825" s="799"/>
      <c r="AM825" s="799"/>
      <c r="AN825" s="799"/>
      <c r="AO825" s="799"/>
      <c r="AP825" s="799"/>
      <c r="AQ825" s="799"/>
      <c r="AR825" s="799"/>
      <c r="AS825" s="799"/>
      <c r="AT825" s="799"/>
      <c r="AU825" s="799"/>
      <c r="AV825" s="799"/>
      <c r="AW825" s="799"/>
      <c r="AX825" s="799"/>
      <c r="AY825" s="799"/>
      <c r="AZ825" s="799"/>
      <c r="BA825" s="799"/>
      <c r="BB825" s="799"/>
      <c r="BC825" s="799"/>
      <c r="BD825" s="799"/>
      <c r="BE825" s="799"/>
      <c r="BF825" s="799"/>
      <c r="BG825" s="799"/>
    </row>
    <row r="826">
      <c r="H826" s="799"/>
      <c r="I826" s="799"/>
      <c r="J826" s="799"/>
      <c r="K826" s="799"/>
      <c r="L826" s="799"/>
      <c r="M826" s="799"/>
      <c r="N826" s="799"/>
      <c r="O826" s="799"/>
      <c r="P826" s="799"/>
      <c r="Q826" s="799"/>
      <c r="R826" s="799"/>
      <c r="S826" s="799"/>
      <c r="T826" s="799"/>
      <c r="U826" s="799"/>
      <c r="V826" s="799"/>
      <c r="W826" s="799"/>
      <c r="X826" s="799"/>
      <c r="Y826" s="799"/>
      <c r="Z826" s="799"/>
      <c r="AA826" s="799"/>
      <c r="AB826" s="799"/>
      <c r="AC826" s="799"/>
      <c r="AD826" s="799"/>
      <c r="AE826" s="799"/>
      <c r="AF826" s="799"/>
      <c r="AG826" s="799"/>
      <c r="AH826" s="799"/>
      <c r="AI826" s="799"/>
      <c r="AJ826" s="799"/>
      <c r="AK826" s="799"/>
      <c r="AL826" s="799"/>
      <c r="AM826" s="799"/>
      <c r="AN826" s="799"/>
      <c r="AO826" s="799"/>
      <c r="AP826" s="799"/>
      <c r="AQ826" s="799"/>
      <c r="AR826" s="799"/>
      <c r="AS826" s="799"/>
      <c r="AT826" s="799"/>
      <c r="AU826" s="799"/>
      <c r="AV826" s="799"/>
      <c r="AW826" s="799"/>
      <c r="AX826" s="799"/>
      <c r="AY826" s="799"/>
      <c r="AZ826" s="799"/>
      <c r="BA826" s="799"/>
      <c r="BB826" s="799"/>
      <c r="BC826" s="799"/>
      <c r="BD826" s="799"/>
      <c r="BE826" s="799"/>
      <c r="BF826" s="799"/>
      <c r="BG826" s="799"/>
    </row>
    <row r="827">
      <c r="H827" s="799"/>
      <c r="I827" s="799"/>
      <c r="J827" s="799"/>
      <c r="K827" s="799"/>
      <c r="L827" s="799"/>
      <c r="M827" s="799"/>
      <c r="N827" s="799"/>
      <c r="O827" s="799"/>
      <c r="P827" s="799"/>
      <c r="Q827" s="799"/>
      <c r="R827" s="799"/>
      <c r="S827" s="799"/>
      <c r="T827" s="799"/>
      <c r="U827" s="799"/>
      <c r="V827" s="799"/>
      <c r="W827" s="799"/>
      <c r="X827" s="799"/>
      <c r="Y827" s="799"/>
      <c r="Z827" s="799"/>
      <c r="AA827" s="799"/>
      <c r="AB827" s="799"/>
      <c r="AC827" s="799"/>
      <c r="AD827" s="799"/>
      <c r="AE827" s="799"/>
      <c r="AF827" s="799"/>
      <c r="AG827" s="799"/>
      <c r="AH827" s="799"/>
      <c r="AI827" s="799"/>
      <c r="AJ827" s="799"/>
      <c r="AK827" s="799"/>
      <c r="AL827" s="799"/>
      <c r="AM827" s="799"/>
      <c r="AN827" s="799"/>
      <c r="AO827" s="799"/>
      <c r="AP827" s="799"/>
      <c r="AQ827" s="799"/>
      <c r="AR827" s="799"/>
      <c r="AS827" s="799"/>
      <c r="AT827" s="799"/>
      <c r="AU827" s="799"/>
      <c r="AV827" s="799"/>
      <c r="AW827" s="799"/>
      <c r="AX827" s="799"/>
      <c r="AY827" s="799"/>
      <c r="AZ827" s="799"/>
      <c r="BA827" s="799"/>
      <c r="BB827" s="799"/>
      <c r="BC827" s="799"/>
      <c r="BD827" s="799"/>
      <c r="BE827" s="799"/>
      <c r="BF827" s="799"/>
      <c r="BG827" s="799"/>
    </row>
    <row r="828">
      <c r="H828" s="799"/>
      <c r="I828" s="799"/>
      <c r="J828" s="799"/>
      <c r="K828" s="799"/>
      <c r="L828" s="799"/>
      <c r="M828" s="799"/>
      <c r="N828" s="799"/>
      <c r="O828" s="799"/>
      <c r="P828" s="799"/>
      <c r="Q828" s="799"/>
      <c r="R828" s="799"/>
      <c r="S828" s="799"/>
      <c r="T828" s="799"/>
      <c r="U828" s="799"/>
      <c r="V828" s="799"/>
      <c r="W828" s="799"/>
      <c r="X828" s="799"/>
      <c r="Y828" s="799"/>
      <c r="Z828" s="799"/>
      <c r="AA828" s="799"/>
      <c r="AB828" s="799"/>
      <c r="AC828" s="799"/>
      <c r="AD828" s="799"/>
      <c r="AE828" s="799"/>
      <c r="AF828" s="799"/>
      <c r="AG828" s="799"/>
      <c r="AH828" s="799"/>
      <c r="AI828" s="799"/>
      <c r="AJ828" s="799"/>
      <c r="AK828" s="799"/>
      <c r="AL828" s="799"/>
      <c r="AM828" s="799"/>
      <c r="AN828" s="799"/>
      <c r="AO828" s="799"/>
      <c r="AP828" s="799"/>
      <c r="AQ828" s="799"/>
      <c r="AR828" s="799"/>
      <c r="AS828" s="799"/>
      <c r="AT828" s="799"/>
      <c r="AU828" s="799"/>
      <c r="AV828" s="799"/>
      <c r="AW828" s="799"/>
      <c r="AX828" s="799"/>
      <c r="AY828" s="799"/>
      <c r="AZ828" s="799"/>
      <c r="BA828" s="799"/>
      <c r="BB828" s="799"/>
      <c r="BC828" s="799"/>
      <c r="BD828" s="799"/>
      <c r="BE828" s="799"/>
      <c r="BF828" s="799"/>
      <c r="BG828" s="799"/>
    </row>
    <row r="829">
      <c r="H829" s="799"/>
      <c r="I829" s="799"/>
      <c r="J829" s="799"/>
      <c r="K829" s="799"/>
      <c r="L829" s="799"/>
      <c r="M829" s="799"/>
      <c r="N829" s="799"/>
      <c r="O829" s="799"/>
      <c r="P829" s="799"/>
      <c r="Q829" s="799"/>
      <c r="R829" s="799"/>
      <c r="S829" s="799"/>
      <c r="T829" s="799"/>
      <c r="U829" s="799"/>
      <c r="V829" s="799"/>
      <c r="W829" s="799"/>
      <c r="X829" s="799"/>
      <c r="Y829" s="799"/>
      <c r="Z829" s="799"/>
      <c r="AA829" s="799"/>
      <c r="AB829" s="799"/>
      <c r="AC829" s="799"/>
      <c r="AD829" s="799"/>
      <c r="AE829" s="799"/>
      <c r="AF829" s="799"/>
      <c r="AG829" s="799"/>
      <c r="AH829" s="799"/>
      <c r="AI829" s="799"/>
      <c r="AJ829" s="799"/>
      <c r="AK829" s="799"/>
      <c r="AL829" s="799"/>
      <c r="AM829" s="799"/>
      <c r="AN829" s="799"/>
      <c r="AO829" s="799"/>
      <c r="AP829" s="799"/>
      <c r="AQ829" s="799"/>
      <c r="AR829" s="799"/>
      <c r="AS829" s="799"/>
      <c r="AT829" s="799"/>
      <c r="AU829" s="799"/>
      <c r="AV829" s="799"/>
      <c r="AW829" s="799"/>
      <c r="AX829" s="799"/>
      <c r="AY829" s="799"/>
      <c r="AZ829" s="799"/>
      <c r="BA829" s="799"/>
      <c r="BB829" s="799"/>
      <c r="BC829" s="799"/>
      <c r="BD829" s="799"/>
      <c r="BE829" s="799"/>
      <c r="BF829" s="799"/>
      <c r="BG829" s="799"/>
    </row>
    <row r="830">
      <c r="H830" s="799"/>
      <c r="I830" s="799"/>
      <c r="J830" s="799"/>
      <c r="K830" s="799"/>
      <c r="L830" s="799"/>
      <c r="M830" s="799"/>
      <c r="N830" s="799"/>
      <c r="O830" s="799"/>
      <c r="P830" s="799"/>
      <c r="Q830" s="799"/>
      <c r="R830" s="799"/>
      <c r="S830" s="799"/>
      <c r="T830" s="799"/>
      <c r="U830" s="799"/>
      <c r="V830" s="799"/>
      <c r="W830" s="799"/>
      <c r="X830" s="799"/>
      <c r="Y830" s="799"/>
      <c r="Z830" s="799"/>
      <c r="AA830" s="799"/>
      <c r="AB830" s="799"/>
      <c r="AC830" s="799"/>
      <c r="AD830" s="799"/>
      <c r="AE830" s="799"/>
      <c r="AF830" s="799"/>
      <c r="AG830" s="799"/>
      <c r="AH830" s="799"/>
      <c r="AI830" s="799"/>
      <c r="AJ830" s="799"/>
      <c r="AK830" s="799"/>
      <c r="AL830" s="799"/>
      <c r="AM830" s="799"/>
      <c r="AN830" s="799"/>
      <c r="AO830" s="799"/>
      <c r="AP830" s="799"/>
      <c r="AQ830" s="799"/>
      <c r="AR830" s="799"/>
      <c r="AS830" s="799"/>
      <c r="AT830" s="799"/>
      <c r="AU830" s="799"/>
      <c r="AV830" s="799"/>
      <c r="AW830" s="799"/>
      <c r="AX830" s="799"/>
      <c r="AY830" s="799"/>
      <c r="AZ830" s="799"/>
      <c r="BA830" s="799"/>
      <c r="BB830" s="799"/>
      <c r="BC830" s="799"/>
      <c r="BD830" s="799"/>
      <c r="BE830" s="799"/>
      <c r="BF830" s="799"/>
      <c r="BG830" s="799"/>
    </row>
    <row r="831">
      <c r="H831" s="799"/>
      <c r="I831" s="799"/>
      <c r="J831" s="799"/>
      <c r="K831" s="799"/>
      <c r="L831" s="799"/>
      <c r="M831" s="799"/>
      <c r="N831" s="799"/>
      <c r="O831" s="799"/>
      <c r="P831" s="799"/>
      <c r="Q831" s="799"/>
      <c r="R831" s="799"/>
      <c r="S831" s="799"/>
      <c r="T831" s="799"/>
      <c r="U831" s="799"/>
      <c r="V831" s="799"/>
      <c r="W831" s="799"/>
      <c r="X831" s="799"/>
      <c r="Y831" s="799"/>
      <c r="Z831" s="799"/>
      <c r="AA831" s="799"/>
      <c r="AB831" s="799"/>
      <c r="AC831" s="799"/>
      <c r="AD831" s="799"/>
      <c r="AE831" s="799"/>
      <c r="AF831" s="799"/>
      <c r="AG831" s="799"/>
      <c r="AH831" s="799"/>
      <c r="AI831" s="799"/>
      <c r="AJ831" s="799"/>
      <c r="AK831" s="799"/>
      <c r="AL831" s="799"/>
      <c r="AM831" s="799"/>
      <c r="AN831" s="799"/>
      <c r="AO831" s="799"/>
      <c r="AP831" s="799"/>
      <c r="AQ831" s="799"/>
      <c r="AR831" s="799"/>
      <c r="AS831" s="799"/>
      <c r="AT831" s="799"/>
      <c r="AU831" s="799"/>
      <c r="AV831" s="799"/>
      <c r="AW831" s="799"/>
      <c r="AX831" s="799"/>
      <c r="AY831" s="799"/>
      <c r="AZ831" s="799"/>
      <c r="BA831" s="799"/>
      <c r="BB831" s="799"/>
      <c r="BC831" s="799"/>
      <c r="BD831" s="799"/>
      <c r="BE831" s="799"/>
      <c r="BF831" s="799"/>
      <c r="BG831" s="799"/>
    </row>
    <row r="832">
      <c r="H832" s="799"/>
      <c r="I832" s="799"/>
      <c r="J832" s="799"/>
      <c r="K832" s="799"/>
      <c r="L832" s="799"/>
      <c r="M832" s="799"/>
      <c r="N832" s="799"/>
      <c r="O832" s="799"/>
      <c r="P832" s="799"/>
      <c r="Q832" s="799"/>
      <c r="R832" s="799"/>
      <c r="S832" s="799"/>
      <c r="T832" s="799"/>
      <c r="U832" s="799"/>
      <c r="V832" s="799"/>
      <c r="W832" s="799"/>
      <c r="X832" s="799"/>
      <c r="Y832" s="799"/>
      <c r="Z832" s="799"/>
      <c r="AA832" s="799"/>
      <c r="AB832" s="799"/>
      <c r="AC832" s="799"/>
      <c r="AD832" s="799"/>
      <c r="AE832" s="799"/>
      <c r="AF832" s="799"/>
      <c r="AG832" s="799"/>
      <c r="AH832" s="799"/>
      <c r="AI832" s="799"/>
      <c r="AJ832" s="799"/>
      <c r="AK832" s="799"/>
      <c r="AL832" s="799"/>
      <c r="AM832" s="799"/>
      <c r="AN832" s="799"/>
      <c r="AO832" s="799"/>
      <c r="AP832" s="799"/>
      <c r="AQ832" s="799"/>
      <c r="AR832" s="799"/>
      <c r="AS832" s="799"/>
      <c r="AT832" s="799"/>
      <c r="AU832" s="799"/>
      <c r="AV832" s="799"/>
      <c r="AW832" s="799"/>
      <c r="AX832" s="799"/>
      <c r="AY832" s="799"/>
      <c r="AZ832" s="799"/>
      <c r="BA832" s="799"/>
      <c r="BB832" s="799"/>
      <c r="BC832" s="799"/>
      <c r="BD832" s="799"/>
      <c r="BE832" s="799"/>
      <c r="BF832" s="799"/>
      <c r="BG832" s="799"/>
    </row>
    <row r="833">
      <c r="H833" s="799"/>
      <c r="I833" s="799"/>
      <c r="J833" s="799"/>
      <c r="K833" s="799"/>
      <c r="L833" s="799"/>
      <c r="M833" s="799"/>
      <c r="N833" s="799"/>
      <c r="O833" s="799"/>
      <c r="P833" s="799"/>
      <c r="Q833" s="799"/>
      <c r="R833" s="799"/>
      <c r="S833" s="799"/>
      <c r="T833" s="799"/>
      <c r="U833" s="799"/>
      <c r="V833" s="799"/>
      <c r="W833" s="799"/>
      <c r="X833" s="799"/>
      <c r="Y833" s="799"/>
      <c r="Z833" s="799"/>
      <c r="AA833" s="799"/>
      <c r="AB833" s="799"/>
      <c r="AC833" s="799"/>
      <c r="AD833" s="799"/>
      <c r="AE833" s="799"/>
      <c r="AF833" s="799"/>
      <c r="AG833" s="799"/>
      <c r="AH833" s="799"/>
      <c r="AI833" s="799"/>
      <c r="AJ833" s="799"/>
      <c r="AK833" s="799"/>
      <c r="AL833" s="799"/>
      <c r="AM833" s="799"/>
      <c r="AN833" s="799"/>
      <c r="AO833" s="799"/>
      <c r="AP833" s="799"/>
      <c r="AQ833" s="799"/>
      <c r="AR833" s="799"/>
      <c r="AS833" s="799"/>
      <c r="AT833" s="799"/>
      <c r="AU833" s="799"/>
      <c r="AV833" s="799"/>
      <c r="AW833" s="799"/>
      <c r="AX833" s="799"/>
      <c r="AY833" s="799"/>
      <c r="AZ833" s="799"/>
      <c r="BA833" s="799"/>
      <c r="BB833" s="799"/>
      <c r="BC833" s="799"/>
      <c r="BD833" s="799"/>
      <c r="BE833" s="799"/>
      <c r="BF833" s="799"/>
      <c r="BG833" s="799"/>
    </row>
    <row r="834">
      <c r="H834" s="799"/>
      <c r="I834" s="799"/>
      <c r="J834" s="799"/>
      <c r="K834" s="799"/>
      <c r="L834" s="799"/>
      <c r="M834" s="799"/>
      <c r="N834" s="799"/>
      <c r="O834" s="799"/>
      <c r="P834" s="799"/>
      <c r="Q834" s="799"/>
      <c r="R834" s="799"/>
      <c r="S834" s="799"/>
      <c r="T834" s="799"/>
      <c r="U834" s="799"/>
      <c r="V834" s="799"/>
      <c r="W834" s="799"/>
      <c r="X834" s="799"/>
      <c r="Y834" s="799"/>
      <c r="Z834" s="799"/>
      <c r="AA834" s="799"/>
      <c r="AB834" s="799"/>
      <c r="AC834" s="799"/>
      <c r="AD834" s="799"/>
      <c r="AE834" s="799"/>
      <c r="AF834" s="799"/>
      <c r="AG834" s="799"/>
      <c r="AH834" s="799"/>
      <c r="AI834" s="799"/>
      <c r="AJ834" s="799"/>
      <c r="AK834" s="799"/>
      <c r="AL834" s="799"/>
      <c r="AM834" s="799"/>
      <c r="AN834" s="799"/>
      <c r="AO834" s="799"/>
      <c r="AP834" s="799"/>
      <c r="AQ834" s="799"/>
      <c r="AR834" s="799"/>
      <c r="AS834" s="799"/>
      <c r="AT834" s="799"/>
      <c r="AU834" s="799"/>
      <c r="AV834" s="799"/>
      <c r="AW834" s="799"/>
      <c r="AX834" s="799"/>
      <c r="AY834" s="799"/>
      <c r="AZ834" s="799"/>
      <c r="BA834" s="799"/>
      <c r="BB834" s="799"/>
      <c r="BC834" s="799"/>
      <c r="BD834" s="799"/>
      <c r="BE834" s="799"/>
      <c r="BF834" s="799"/>
      <c r="BG834" s="799"/>
    </row>
    <row r="835">
      <c r="H835" s="799"/>
      <c r="I835" s="799"/>
      <c r="J835" s="799"/>
      <c r="K835" s="799"/>
      <c r="L835" s="799"/>
      <c r="M835" s="799"/>
      <c r="N835" s="799"/>
      <c r="O835" s="799"/>
      <c r="P835" s="799"/>
      <c r="Q835" s="799"/>
      <c r="R835" s="799"/>
      <c r="S835" s="799"/>
      <c r="T835" s="799"/>
      <c r="U835" s="799"/>
      <c r="V835" s="799"/>
      <c r="W835" s="799"/>
      <c r="X835" s="799"/>
      <c r="Y835" s="799"/>
      <c r="Z835" s="799"/>
      <c r="AA835" s="799"/>
      <c r="AB835" s="799"/>
      <c r="AC835" s="799"/>
      <c r="AD835" s="799"/>
      <c r="AE835" s="799"/>
      <c r="AF835" s="799"/>
      <c r="AG835" s="799"/>
      <c r="AH835" s="799"/>
      <c r="AI835" s="799"/>
      <c r="AJ835" s="799"/>
      <c r="AK835" s="799"/>
      <c r="AL835" s="799"/>
      <c r="AM835" s="799"/>
      <c r="AN835" s="799"/>
      <c r="AO835" s="799"/>
      <c r="AP835" s="799"/>
      <c r="AQ835" s="799"/>
      <c r="AR835" s="799"/>
      <c r="AS835" s="799"/>
      <c r="AT835" s="799"/>
      <c r="AU835" s="799"/>
      <c r="AV835" s="799"/>
      <c r="AW835" s="799"/>
      <c r="AX835" s="799"/>
      <c r="AY835" s="799"/>
      <c r="AZ835" s="799"/>
      <c r="BA835" s="799"/>
      <c r="BB835" s="799"/>
      <c r="BC835" s="799"/>
      <c r="BD835" s="799"/>
      <c r="BE835" s="799"/>
      <c r="BF835" s="799"/>
      <c r="BG835" s="799"/>
    </row>
    <row r="836">
      <c r="H836" s="799"/>
      <c r="I836" s="799"/>
      <c r="J836" s="799"/>
      <c r="K836" s="799"/>
      <c r="L836" s="799"/>
      <c r="M836" s="799"/>
      <c r="N836" s="799"/>
      <c r="O836" s="799"/>
      <c r="P836" s="799"/>
      <c r="Q836" s="799"/>
      <c r="R836" s="799"/>
      <c r="S836" s="799"/>
      <c r="T836" s="799"/>
      <c r="U836" s="799"/>
      <c r="V836" s="799"/>
      <c r="W836" s="799"/>
      <c r="X836" s="799"/>
      <c r="Y836" s="799"/>
      <c r="Z836" s="799"/>
      <c r="AA836" s="799"/>
      <c r="AB836" s="799"/>
      <c r="AC836" s="799"/>
      <c r="AD836" s="799"/>
      <c r="AE836" s="799"/>
      <c r="AF836" s="799"/>
      <c r="AG836" s="799"/>
      <c r="AH836" s="799"/>
      <c r="AI836" s="799"/>
      <c r="AJ836" s="799"/>
      <c r="AK836" s="799"/>
      <c r="AL836" s="799"/>
      <c r="AM836" s="799"/>
      <c r="AN836" s="799"/>
      <c r="AO836" s="799"/>
      <c r="AP836" s="799"/>
      <c r="AQ836" s="799"/>
      <c r="AR836" s="799"/>
      <c r="AS836" s="799"/>
      <c r="AT836" s="799"/>
      <c r="AU836" s="799"/>
      <c r="AV836" s="799"/>
      <c r="AW836" s="799"/>
      <c r="AX836" s="799"/>
      <c r="AY836" s="799"/>
      <c r="AZ836" s="799"/>
      <c r="BA836" s="799"/>
      <c r="BB836" s="799"/>
      <c r="BC836" s="799"/>
      <c r="BD836" s="799"/>
      <c r="BE836" s="799"/>
      <c r="BF836" s="799"/>
      <c r="BG836" s="799"/>
    </row>
    <row r="837">
      <c r="H837" s="799"/>
      <c r="I837" s="799"/>
      <c r="J837" s="799"/>
      <c r="K837" s="799"/>
      <c r="L837" s="799"/>
      <c r="M837" s="799"/>
      <c r="N837" s="799"/>
      <c r="O837" s="799"/>
      <c r="P837" s="799"/>
      <c r="Q837" s="799"/>
      <c r="R837" s="799"/>
      <c r="S837" s="799"/>
      <c r="T837" s="799"/>
      <c r="U837" s="799"/>
      <c r="V837" s="799"/>
      <c r="W837" s="799"/>
      <c r="X837" s="799"/>
      <c r="Y837" s="799"/>
      <c r="Z837" s="799"/>
      <c r="AA837" s="799"/>
      <c r="AB837" s="799"/>
      <c r="AC837" s="799"/>
      <c r="AD837" s="799"/>
      <c r="AE837" s="799"/>
      <c r="AF837" s="799"/>
      <c r="AG837" s="799"/>
      <c r="AH837" s="799"/>
      <c r="AI837" s="799"/>
      <c r="AJ837" s="799"/>
      <c r="AK837" s="799"/>
      <c r="AL837" s="799"/>
      <c r="AM837" s="799"/>
      <c r="AN837" s="799"/>
      <c r="AO837" s="799"/>
      <c r="AP837" s="799"/>
      <c r="AQ837" s="799"/>
      <c r="AR837" s="799"/>
      <c r="AS837" s="799"/>
      <c r="AT837" s="799"/>
      <c r="AU837" s="799"/>
      <c r="AV837" s="799"/>
      <c r="AW837" s="799"/>
      <c r="AX837" s="799"/>
      <c r="AY837" s="799"/>
      <c r="AZ837" s="799"/>
      <c r="BA837" s="799"/>
      <c r="BB837" s="799"/>
      <c r="BC837" s="799"/>
      <c r="BD837" s="799"/>
      <c r="BE837" s="799"/>
      <c r="BF837" s="799"/>
      <c r="BG837" s="799"/>
    </row>
    <row r="838">
      <c r="H838" s="799"/>
      <c r="I838" s="799"/>
      <c r="J838" s="799"/>
      <c r="K838" s="799"/>
      <c r="L838" s="799"/>
      <c r="M838" s="799"/>
      <c r="N838" s="799"/>
      <c r="O838" s="799"/>
      <c r="P838" s="799"/>
      <c r="Q838" s="799"/>
      <c r="R838" s="799"/>
      <c r="S838" s="799"/>
      <c r="T838" s="799"/>
      <c r="U838" s="799"/>
      <c r="V838" s="799"/>
      <c r="W838" s="799"/>
      <c r="X838" s="799"/>
      <c r="Y838" s="799"/>
      <c r="Z838" s="799"/>
      <c r="AA838" s="799"/>
      <c r="AB838" s="799"/>
      <c r="AC838" s="799"/>
      <c r="AD838" s="799"/>
      <c r="AE838" s="799"/>
      <c r="AF838" s="799"/>
      <c r="AG838" s="799"/>
      <c r="AH838" s="799"/>
      <c r="AI838" s="799"/>
      <c r="AJ838" s="799"/>
      <c r="AK838" s="799"/>
      <c r="AL838" s="799"/>
      <c r="AM838" s="799"/>
      <c r="AN838" s="799"/>
      <c r="AO838" s="799"/>
      <c r="AP838" s="799"/>
      <c r="AQ838" s="799"/>
      <c r="AR838" s="799"/>
      <c r="AS838" s="799"/>
      <c r="AT838" s="799"/>
      <c r="AU838" s="799"/>
      <c r="AV838" s="799"/>
      <c r="AW838" s="799"/>
      <c r="AX838" s="799"/>
      <c r="AY838" s="799"/>
      <c r="AZ838" s="799"/>
      <c r="BA838" s="799"/>
      <c r="BB838" s="799"/>
      <c r="BC838" s="799"/>
      <c r="BD838" s="799"/>
      <c r="BE838" s="799"/>
      <c r="BF838" s="799"/>
      <c r="BG838" s="799"/>
    </row>
    <row r="839">
      <c r="H839" s="799"/>
      <c r="I839" s="799"/>
      <c r="J839" s="799"/>
      <c r="K839" s="799"/>
      <c r="L839" s="799"/>
      <c r="M839" s="799"/>
      <c r="N839" s="799"/>
      <c r="O839" s="799"/>
      <c r="P839" s="799"/>
      <c r="Q839" s="799"/>
      <c r="R839" s="799"/>
      <c r="S839" s="799"/>
      <c r="T839" s="799"/>
      <c r="U839" s="799"/>
      <c r="V839" s="799"/>
      <c r="W839" s="799"/>
      <c r="X839" s="799"/>
      <c r="Y839" s="799"/>
      <c r="Z839" s="799"/>
      <c r="AA839" s="799"/>
      <c r="AB839" s="799"/>
      <c r="AC839" s="799"/>
      <c r="AD839" s="799"/>
      <c r="AE839" s="799"/>
      <c r="AF839" s="799"/>
      <c r="AG839" s="799"/>
      <c r="AH839" s="799"/>
      <c r="AI839" s="799"/>
      <c r="AJ839" s="799"/>
      <c r="AK839" s="799"/>
      <c r="AL839" s="799"/>
      <c r="AM839" s="799"/>
      <c r="AN839" s="799"/>
      <c r="AO839" s="799"/>
      <c r="AP839" s="799"/>
      <c r="AQ839" s="799"/>
      <c r="AR839" s="799"/>
      <c r="AS839" s="799"/>
      <c r="AT839" s="799"/>
      <c r="AU839" s="799"/>
      <c r="AV839" s="799"/>
      <c r="AW839" s="799"/>
      <c r="AX839" s="799"/>
      <c r="AY839" s="799"/>
      <c r="AZ839" s="799"/>
      <c r="BA839" s="799"/>
      <c r="BB839" s="799"/>
      <c r="BC839" s="799"/>
      <c r="BD839" s="799"/>
      <c r="BE839" s="799"/>
      <c r="BF839" s="799"/>
      <c r="BG839" s="799"/>
    </row>
    <row r="840">
      <c r="H840" s="799"/>
      <c r="I840" s="799"/>
      <c r="J840" s="799"/>
      <c r="K840" s="799"/>
      <c r="L840" s="799"/>
      <c r="M840" s="799"/>
      <c r="N840" s="799"/>
      <c r="O840" s="799"/>
      <c r="P840" s="799"/>
      <c r="Q840" s="799"/>
      <c r="R840" s="799"/>
      <c r="S840" s="799"/>
      <c r="T840" s="799"/>
      <c r="U840" s="799"/>
      <c r="V840" s="799"/>
      <c r="W840" s="799"/>
      <c r="X840" s="799"/>
      <c r="Y840" s="799"/>
      <c r="Z840" s="799"/>
      <c r="AA840" s="799"/>
      <c r="AB840" s="799"/>
      <c r="AC840" s="799"/>
      <c r="AD840" s="799"/>
      <c r="AE840" s="799"/>
      <c r="AF840" s="799"/>
      <c r="AG840" s="799"/>
      <c r="AH840" s="799"/>
      <c r="AI840" s="799"/>
      <c r="AJ840" s="799"/>
      <c r="AK840" s="799"/>
      <c r="AL840" s="799"/>
      <c r="AM840" s="799"/>
      <c r="AN840" s="799"/>
      <c r="AO840" s="799"/>
      <c r="AP840" s="799"/>
      <c r="AQ840" s="799"/>
      <c r="AR840" s="799"/>
      <c r="AS840" s="799"/>
      <c r="AT840" s="799"/>
      <c r="AU840" s="799"/>
      <c r="AV840" s="799"/>
      <c r="AW840" s="799"/>
      <c r="AX840" s="799"/>
      <c r="AY840" s="799"/>
      <c r="AZ840" s="799"/>
      <c r="BA840" s="799"/>
      <c r="BB840" s="799"/>
      <c r="BC840" s="799"/>
      <c r="BD840" s="799"/>
      <c r="BE840" s="799"/>
      <c r="BF840" s="799"/>
      <c r="BG840" s="799"/>
    </row>
    <row r="841">
      <c r="H841" s="799"/>
      <c r="I841" s="799"/>
      <c r="J841" s="799"/>
      <c r="K841" s="799"/>
      <c r="L841" s="799"/>
      <c r="M841" s="799"/>
      <c r="N841" s="799"/>
      <c r="O841" s="799"/>
      <c r="P841" s="799"/>
      <c r="Q841" s="799"/>
      <c r="R841" s="799"/>
      <c r="S841" s="799"/>
      <c r="T841" s="799"/>
      <c r="U841" s="799"/>
      <c r="V841" s="799"/>
      <c r="W841" s="799"/>
      <c r="X841" s="799"/>
      <c r="Y841" s="799"/>
      <c r="Z841" s="799"/>
      <c r="AA841" s="799"/>
      <c r="AB841" s="799"/>
      <c r="AC841" s="799"/>
      <c r="AD841" s="799"/>
      <c r="AE841" s="799"/>
      <c r="AF841" s="799"/>
      <c r="AG841" s="799"/>
      <c r="AH841" s="799"/>
      <c r="AI841" s="799"/>
      <c r="AJ841" s="799"/>
      <c r="AK841" s="799"/>
      <c r="AL841" s="799"/>
      <c r="AM841" s="799"/>
      <c r="AN841" s="799"/>
      <c r="AO841" s="799"/>
      <c r="AP841" s="799"/>
      <c r="AQ841" s="799"/>
      <c r="AR841" s="799"/>
      <c r="AS841" s="799"/>
      <c r="AT841" s="799"/>
      <c r="AU841" s="799"/>
      <c r="AV841" s="799"/>
      <c r="AW841" s="799"/>
      <c r="AX841" s="799"/>
      <c r="AY841" s="799"/>
      <c r="AZ841" s="799"/>
      <c r="BA841" s="799"/>
      <c r="BB841" s="799"/>
      <c r="BC841" s="799"/>
      <c r="BD841" s="799"/>
      <c r="BE841" s="799"/>
      <c r="BF841" s="799"/>
      <c r="BG841" s="799"/>
    </row>
    <row r="842">
      <c r="H842" s="799"/>
      <c r="I842" s="799"/>
      <c r="J842" s="799"/>
      <c r="K842" s="799"/>
      <c r="L842" s="799"/>
      <c r="M842" s="799"/>
      <c r="N842" s="799"/>
      <c r="O842" s="799"/>
      <c r="P842" s="799"/>
      <c r="Q842" s="799"/>
      <c r="R842" s="799"/>
      <c r="S842" s="799"/>
      <c r="T842" s="799"/>
      <c r="U842" s="799"/>
      <c r="V842" s="799"/>
      <c r="W842" s="799"/>
      <c r="X842" s="799"/>
      <c r="Y842" s="799"/>
      <c r="Z842" s="799"/>
      <c r="AA842" s="799"/>
      <c r="AB842" s="799"/>
      <c r="AC842" s="799"/>
      <c r="AD842" s="799"/>
      <c r="AE842" s="799"/>
      <c r="AF842" s="799"/>
      <c r="AG842" s="799"/>
      <c r="AH842" s="799"/>
      <c r="AI842" s="799"/>
      <c r="AJ842" s="799"/>
      <c r="AK842" s="799"/>
      <c r="AL842" s="799"/>
      <c r="AM842" s="799"/>
      <c r="AN842" s="799"/>
      <c r="AO842" s="799"/>
      <c r="AP842" s="799"/>
      <c r="AQ842" s="799"/>
      <c r="AR842" s="799"/>
      <c r="AS842" s="799"/>
      <c r="AT842" s="799"/>
      <c r="AU842" s="799"/>
      <c r="AV842" s="799"/>
      <c r="AW842" s="799"/>
      <c r="AX842" s="799"/>
      <c r="AY842" s="799"/>
      <c r="AZ842" s="799"/>
      <c r="BA842" s="799"/>
      <c r="BB842" s="799"/>
      <c r="BC842" s="799"/>
      <c r="BD842" s="799"/>
      <c r="BE842" s="799"/>
      <c r="BF842" s="799"/>
      <c r="BG842" s="799"/>
    </row>
    <row r="843">
      <c r="H843" s="799"/>
      <c r="I843" s="799"/>
      <c r="J843" s="799"/>
      <c r="K843" s="799"/>
      <c r="L843" s="799"/>
      <c r="M843" s="799"/>
      <c r="N843" s="799"/>
      <c r="O843" s="799"/>
      <c r="P843" s="799"/>
      <c r="Q843" s="799"/>
      <c r="R843" s="799"/>
      <c r="S843" s="799"/>
      <c r="T843" s="799"/>
      <c r="U843" s="799"/>
      <c r="V843" s="799"/>
      <c r="W843" s="799"/>
      <c r="X843" s="799"/>
      <c r="Y843" s="799"/>
      <c r="Z843" s="799"/>
      <c r="AA843" s="799"/>
      <c r="AB843" s="799"/>
      <c r="AC843" s="799"/>
      <c r="AD843" s="799"/>
      <c r="AE843" s="799"/>
      <c r="AF843" s="799"/>
      <c r="AG843" s="799"/>
      <c r="AH843" s="799"/>
      <c r="AI843" s="799"/>
      <c r="AJ843" s="799"/>
      <c r="AK843" s="799"/>
      <c r="AL843" s="799"/>
      <c r="AM843" s="799"/>
      <c r="AN843" s="799"/>
      <c r="AO843" s="799"/>
      <c r="AP843" s="799"/>
      <c r="AQ843" s="799"/>
      <c r="AR843" s="799"/>
      <c r="AS843" s="799"/>
      <c r="AT843" s="799"/>
      <c r="AU843" s="799"/>
      <c r="AV843" s="799"/>
      <c r="AW843" s="799"/>
      <c r="AX843" s="799"/>
      <c r="AY843" s="799"/>
      <c r="AZ843" s="799"/>
      <c r="BA843" s="799"/>
      <c r="BB843" s="799"/>
      <c r="BC843" s="799"/>
      <c r="BD843" s="799"/>
      <c r="BE843" s="799"/>
      <c r="BF843" s="799"/>
      <c r="BG843" s="799"/>
    </row>
    <row r="844">
      <c r="H844" s="799"/>
      <c r="I844" s="799"/>
      <c r="J844" s="799"/>
      <c r="K844" s="799"/>
      <c r="L844" s="799"/>
      <c r="M844" s="799"/>
      <c r="N844" s="799"/>
      <c r="O844" s="799"/>
      <c r="P844" s="799"/>
      <c r="Q844" s="799"/>
      <c r="R844" s="799"/>
      <c r="S844" s="799"/>
      <c r="T844" s="799"/>
      <c r="U844" s="799"/>
      <c r="V844" s="799"/>
      <c r="W844" s="799"/>
      <c r="X844" s="799"/>
      <c r="Y844" s="799"/>
      <c r="Z844" s="799"/>
      <c r="AA844" s="799"/>
      <c r="AB844" s="799"/>
      <c r="AC844" s="799"/>
      <c r="AD844" s="799"/>
      <c r="AE844" s="799"/>
      <c r="AF844" s="799"/>
      <c r="AG844" s="799"/>
      <c r="AH844" s="799"/>
      <c r="AI844" s="799"/>
      <c r="AJ844" s="799"/>
      <c r="AK844" s="799"/>
      <c r="AL844" s="799"/>
      <c r="AM844" s="799"/>
      <c r="AN844" s="799"/>
      <c r="AO844" s="799"/>
      <c r="AP844" s="799"/>
      <c r="AQ844" s="799"/>
      <c r="AR844" s="799"/>
      <c r="AS844" s="799"/>
      <c r="AT844" s="799"/>
      <c r="AU844" s="799"/>
      <c r="AV844" s="799"/>
      <c r="AW844" s="799"/>
      <c r="AX844" s="799"/>
      <c r="AY844" s="799"/>
      <c r="AZ844" s="799"/>
      <c r="BA844" s="799"/>
      <c r="BB844" s="799"/>
      <c r="BC844" s="799"/>
      <c r="BD844" s="799"/>
      <c r="BE844" s="799"/>
      <c r="BF844" s="799"/>
      <c r="BG844" s="799"/>
    </row>
    <row r="845">
      <c r="H845" s="799"/>
      <c r="I845" s="799"/>
      <c r="J845" s="799"/>
      <c r="K845" s="799"/>
      <c r="L845" s="799"/>
      <c r="M845" s="799"/>
      <c r="N845" s="799"/>
      <c r="O845" s="799"/>
      <c r="P845" s="799"/>
      <c r="Q845" s="799"/>
      <c r="R845" s="799"/>
      <c r="S845" s="799"/>
      <c r="T845" s="799"/>
      <c r="U845" s="799"/>
      <c r="V845" s="799"/>
      <c r="W845" s="799"/>
      <c r="X845" s="799"/>
      <c r="Y845" s="799"/>
      <c r="Z845" s="799"/>
      <c r="AA845" s="799"/>
      <c r="AB845" s="799"/>
      <c r="AC845" s="799"/>
      <c r="AD845" s="799"/>
      <c r="AE845" s="799"/>
      <c r="AF845" s="799"/>
      <c r="AG845" s="799"/>
      <c r="AH845" s="799"/>
      <c r="AI845" s="799"/>
      <c r="AJ845" s="799"/>
      <c r="AK845" s="799"/>
      <c r="AL845" s="799"/>
      <c r="AM845" s="799"/>
      <c r="AN845" s="799"/>
      <c r="AO845" s="799"/>
      <c r="AP845" s="799"/>
      <c r="AQ845" s="799"/>
      <c r="AR845" s="799"/>
      <c r="AS845" s="799"/>
      <c r="AT845" s="799"/>
      <c r="AU845" s="799"/>
      <c r="AV845" s="799"/>
      <c r="AW845" s="799"/>
      <c r="AX845" s="799"/>
      <c r="AY845" s="799"/>
      <c r="AZ845" s="799"/>
      <c r="BA845" s="799"/>
      <c r="BB845" s="799"/>
      <c r="BC845" s="799"/>
      <c r="BD845" s="799"/>
      <c r="BE845" s="799"/>
      <c r="BF845" s="799"/>
      <c r="BG845" s="799"/>
    </row>
    <row r="846">
      <c r="H846" s="799"/>
      <c r="I846" s="799"/>
      <c r="J846" s="799"/>
      <c r="K846" s="799"/>
      <c r="L846" s="799"/>
      <c r="M846" s="799"/>
      <c r="N846" s="799"/>
      <c r="O846" s="799"/>
      <c r="P846" s="799"/>
      <c r="Q846" s="799"/>
      <c r="R846" s="799"/>
      <c r="S846" s="799"/>
      <c r="T846" s="799"/>
      <c r="U846" s="799"/>
      <c r="V846" s="799"/>
      <c r="W846" s="799"/>
      <c r="X846" s="799"/>
      <c r="Y846" s="799"/>
      <c r="Z846" s="799"/>
      <c r="AA846" s="799"/>
      <c r="AB846" s="799"/>
      <c r="AC846" s="799"/>
      <c r="AD846" s="799"/>
      <c r="AE846" s="799"/>
      <c r="AF846" s="799"/>
      <c r="AG846" s="799"/>
      <c r="AH846" s="799"/>
      <c r="AI846" s="799"/>
      <c r="AJ846" s="799"/>
      <c r="AK846" s="799"/>
      <c r="AL846" s="799"/>
      <c r="AM846" s="799"/>
      <c r="AN846" s="799"/>
      <c r="AO846" s="799"/>
      <c r="AP846" s="799"/>
      <c r="AQ846" s="799"/>
      <c r="AR846" s="799"/>
      <c r="AS846" s="799"/>
      <c r="AT846" s="799"/>
      <c r="AU846" s="799"/>
      <c r="AV846" s="799"/>
      <c r="AW846" s="799"/>
      <c r="AX846" s="799"/>
      <c r="AY846" s="799"/>
      <c r="AZ846" s="799"/>
      <c r="BA846" s="799"/>
      <c r="BB846" s="799"/>
      <c r="BC846" s="799"/>
      <c r="BD846" s="799"/>
      <c r="BE846" s="799"/>
      <c r="BF846" s="799"/>
      <c r="BG846" s="799"/>
    </row>
    <row r="847">
      <c r="H847" s="799"/>
      <c r="I847" s="799"/>
      <c r="J847" s="799"/>
      <c r="K847" s="799"/>
      <c r="L847" s="799"/>
      <c r="M847" s="799"/>
      <c r="N847" s="799"/>
      <c r="O847" s="799"/>
      <c r="P847" s="799"/>
      <c r="Q847" s="799"/>
      <c r="R847" s="799"/>
      <c r="S847" s="799"/>
      <c r="T847" s="799"/>
      <c r="U847" s="799"/>
      <c r="V847" s="799"/>
      <c r="W847" s="799"/>
      <c r="X847" s="799"/>
      <c r="Y847" s="799"/>
      <c r="Z847" s="799"/>
      <c r="AA847" s="799"/>
      <c r="AB847" s="799"/>
      <c r="AC847" s="799"/>
      <c r="AD847" s="799"/>
      <c r="AE847" s="799"/>
      <c r="AF847" s="799"/>
      <c r="AG847" s="799"/>
      <c r="AH847" s="799"/>
      <c r="AI847" s="799"/>
      <c r="AJ847" s="799"/>
      <c r="AK847" s="799"/>
      <c r="AL847" s="799"/>
      <c r="AM847" s="799"/>
      <c r="AN847" s="799"/>
      <c r="AO847" s="799"/>
      <c r="AP847" s="799"/>
      <c r="AQ847" s="799"/>
      <c r="AR847" s="799"/>
      <c r="AS847" s="799"/>
      <c r="AT847" s="799"/>
      <c r="AU847" s="799"/>
      <c r="AV847" s="799"/>
      <c r="AW847" s="799"/>
      <c r="AX847" s="799"/>
      <c r="AY847" s="799"/>
      <c r="AZ847" s="799"/>
      <c r="BA847" s="799"/>
      <c r="BB847" s="799"/>
      <c r="BC847" s="799"/>
      <c r="BD847" s="799"/>
      <c r="BE847" s="799"/>
      <c r="BF847" s="799"/>
      <c r="BG847" s="799"/>
    </row>
    <row r="848">
      <c r="H848" s="799"/>
      <c r="I848" s="799"/>
      <c r="J848" s="799"/>
      <c r="K848" s="799"/>
      <c r="L848" s="799"/>
      <c r="M848" s="799"/>
      <c r="N848" s="799"/>
      <c r="O848" s="799"/>
      <c r="P848" s="799"/>
      <c r="Q848" s="799"/>
      <c r="R848" s="799"/>
      <c r="S848" s="799"/>
      <c r="T848" s="799"/>
      <c r="U848" s="799"/>
      <c r="V848" s="799"/>
      <c r="W848" s="799"/>
      <c r="X848" s="799"/>
      <c r="Y848" s="799"/>
      <c r="Z848" s="799"/>
      <c r="AA848" s="799"/>
      <c r="AB848" s="799"/>
      <c r="AC848" s="799"/>
      <c r="AD848" s="799"/>
      <c r="AE848" s="799"/>
      <c r="AF848" s="799"/>
      <c r="AG848" s="799"/>
      <c r="AH848" s="799"/>
      <c r="AI848" s="799"/>
      <c r="AJ848" s="799"/>
      <c r="AK848" s="799"/>
      <c r="AL848" s="799"/>
      <c r="AM848" s="799"/>
      <c r="AN848" s="799"/>
      <c r="AO848" s="799"/>
      <c r="AP848" s="799"/>
      <c r="AQ848" s="799"/>
      <c r="AR848" s="799"/>
      <c r="AS848" s="799"/>
      <c r="AT848" s="799"/>
      <c r="AU848" s="799"/>
      <c r="AV848" s="799"/>
      <c r="AW848" s="799"/>
      <c r="AX848" s="799"/>
      <c r="AY848" s="799"/>
      <c r="AZ848" s="799"/>
      <c r="BA848" s="799"/>
      <c r="BB848" s="799"/>
      <c r="BC848" s="799"/>
      <c r="BD848" s="799"/>
      <c r="BE848" s="799"/>
      <c r="BF848" s="799"/>
      <c r="BG848" s="799"/>
    </row>
    <row r="849">
      <c r="H849" s="799"/>
      <c r="I849" s="799"/>
      <c r="J849" s="799"/>
      <c r="K849" s="799"/>
      <c r="L849" s="799"/>
      <c r="M849" s="799"/>
      <c r="N849" s="799"/>
      <c r="O849" s="799"/>
      <c r="P849" s="799"/>
      <c r="Q849" s="799"/>
      <c r="R849" s="799"/>
      <c r="S849" s="799"/>
      <c r="T849" s="799"/>
      <c r="U849" s="799"/>
      <c r="V849" s="799"/>
      <c r="W849" s="799"/>
      <c r="X849" s="799"/>
      <c r="Y849" s="799"/>
      <c r="Z849" s="799"/>
      <c r="AA849" s="799"/>
      <c r="AB849" s="799"/>
      <c r="AC849" s="799"/>
      <c r="AD849" s="799"/>
      <c r="AE849" s="799"/>
      <c r="AF849" s="799"/>
      <c r="AG849" s="799"/>
      <c r="AH849" s="799"/>
      <c r="AI849" s="799"/>
      <c r="AJ849" s="799"/>
      <c r="AK849" s="799"/>
      <c r="AL849" s="799"/>
      <c r="AM849" s="799"/>
      <c r="AN849" s="799"/>
      <c r="AO849" s="799"/>
      <c r="AP849" s="799"/>
      <c r="AQ849" s="799"/>
      <c r="AR849" s="799"/>
      <c r="AS849" s="799"/>
      <c r="AT849" s="799"/>
      <c r="AU849" s="799"/>
      <c r="AV849" s="799"/>
      <c r="AW849" s="799"/>
      <c r="AX849" s="799"/>
      <c r="AY849" s="799"/>
      <c r="AZ849" s="799"/>
      <c r="BA849" s="799"/>
      <c r="BB849" s="799"/>
      <c r="BC849" s="799"/>
      <c r="BD849" s="799"/>
      <c r="BE849" s="799"/>
      <c r="BF849" s="799"/>
      <c r="BG849" s="799"/>
    </row>
    <row r="850">
      <c r="H850" s="799"/>
      <c r="I850" s="799"/>
      <c r="J850" s="799"/>
      <c r="K850" s="799"/>
      <c r="L850" s="799"/>
      <c r="M850" s="799"/>
      <c r="N850" s="799"/>
      <c r="O850" s="799"/>
      <c r="P850" s="799"/>
      <c r="Q850" s="799"/>
      <c r="R850" s="799"/>
      <c r="S850" s="799"/>
      <c r="T850" s="799"/>
      <c r="U850" s="799"/>
      <c r="V850" s="799"/>
      <c r="W850" s="799"/>
      <c r="X850" s="799"/>
      <c r="Y850" s="799"/>
      <c r="Z850" s="799"/>
      <c r="AA850" s="799"/>
      <c r="AB850" s="799"/>
      <c r="AC850" s="799"/>
      <c r="AD850" s="799"/>
      <c r="AE850" s="799"/>
      <c r="AF850" s="799"/>
      <c r="AG850" s="799"/>
      <c r="AH850" s="799"/>
      <c r="AI850" s="799"/>
      <c r="AJ850" s="799"/>
      <c r="AK850" s="799"/>
      <c r="AL850" s="799"/>
      <c r="AM850" s="799"/>
      <c r="AN850" s="799"/>
      <c r="AO850" s="799"/>
      <c r="AP850" s="799"/>
      <c r="AQ850" s="799"/>
      <c r="AR850" s="799"/>
      <c r="AS850" s="799"/>
      <c r="AT850" s="799"/>
      <c r="AU850" s="799"/>
      <c r="AV850" s="799"/>
      <c r="AW850" s="799"/>
      <c r="AX850" s="799"/>
      <c r="AY850" s="799"/>
      <c r="AZ850" s="799"/>
      <c r="BA850" s="799"/>
      <c r="BB850" s="799"/>
      <c r="BC850" s="799"/>
      <c r="BD850" s="799"/>
      <c r="BE850" s="799"/>
      <c r="BF850" s="799"/>
      <c r="BG850" s="799"/>
    </row>
    <row r="851">
      <c r="H851" s="799"/>
      <c r="I851" s="799"/>
      <c r="J851" s="799"/>
      <c r="K851" s="799"/>
      <c r="L851" s="799"/>
      <c r="M851" s="799"/>
      <c r="N851" s="799"/>
      <c r="O851" s="799"/>
      <c r="P851" s="799"/>
      <c r="Q851" s="799"/>
      <c r="R851" s="799"/>
      <c r="S851" s="799"/>
      <c r="T851" s="799"/>
      <c r="U851" s="799"/>
      <c r="V851" s="799"/>
      <c r="W851" s="799"/>
      <c r="X851" s="799"/>
      <c r="Y851" s="799"/>
      <c r="Z851" s="799"/>
      <c r="AA851" s="799"/>
      <c r="AB851" s="799"/>
      <c r="AC851" s="799"/>
      <c r="AD851" s="799"/>
      <c r="AE851" s="799"/>
      <c r="AF851" s="799"/>
      <c r="AG851" s="799"/>
      <c r="AH851" s="799"/>
      <c r="AI851" s="799"/>
      <c r="AJ851" s="799"/>
      <c r="AK851" s="799"/>
      <c r="AL851" s="799"/>
      <c r="AM851" s="799"/>
      <c r="AN851" s="799"/>
      <c r="AO851" s="799"/>
      <c r="AP851" s="799"/>
      <c r="AQ851" s="799"/>
      <c r="AR851" s="799"/>
      <c r="AS851" s="799"/>
      <c r="AT851" s="799"/>
      <c r="AU851" s="799"/>
      <c r="AV851" s="799"/>
      <c r="AW851" s="799"/>
      <c r="AX851" s="799"/>
      <c r="AY851" s="799"/>
      <c r="AZ851" s="799"/>
      <c r="BA851" s="799"/>
      <c r="BB851" s="799"/>
      <c r="BC851" s="799"/>
      <c r="BD851" s="799"/>
      <c r="BE851" s="799"/>
      <c r="BF851" s="799"/>
      <c r="BG851" s="799"/>
    </row>
    <row r="852">
      <c r="H852" s="799"/>
      <c r="I852" s="799"/>
      <c r="J852" s="799"/>
      <c r="K852" s="799"/>
      <c r="L852" s="799"/>
      <c r="M852" s="799"/>
      <c r="N852" s="799"/>
      <c r="O852" s="799"/>
      <c r="P852" s="799"/>
      <c r="Q852" s="799"/>
      <c r="R852" s="799"/>
      <c r="S852" s="799"/>
      <c r="T852" s="799"/>
      <c r="U852" s="799"/>
      <c r="V852" s="799"/>
      <c r="W852" s="799"/>
      <c r="X852" s="799"/>
      <c r="Y852" s="799"/>
      <c r="Z852" s="799"/>
      <c r="AA852" s="799"/>
      <c r="AB852" s="799"/>
      <c r="AC852" s="799"/>
      <c r="AD852" s="799"/>
      <c r="AE852" s="799"/>
      <c r="AF852" s="799"/>
      <c r="AG852" s="799"/>
      <c r="AH852" s="799"/>
      <c r="AI852" s="799"/>
      <c r="AJ852" s="799"/>
      <c r="AK852" s="799"/>
      <c r="AL852" s="799"/>
      <c r="AM852" s="799"/>
      <c r="AN852" s="799"/>
      <c r="AO852" s="799"/>
      <c r="AP852" s="799"/>
      <c r="AQ852" s="799"/>
      <c r="AR852" s="799"/>
      <c r="AS852" s="799"/>
      <c r="AT852" s="799"/>
      <c r="AU852" s="799"/>
      <c r="AV852" s="799"/>
      <c r="AW852" s="799"/>
      <c r="AX852" s="799"/>
      <c r="AY852" s="799"/>
      <c r="AZ852" s="799"/>
      <c r="BA852" s="799"/>
      <c r="BB852" s="799"/>
      <c r="BC852" s="799"/>
      <c r="BD852" s="799"/>
      <c r="BE852" s="799"/>
      <c r="BF852" s="799"/>
      <c r="BG852" s="799"/>
    </row>
    <row r="853">
      <c r="H853" s="799"/>
      <c r="I853" s="799"/>
      <c r="J853" s="799"/>
      <c r="K853" s="799"/>
      <c r="L853" s="799"/>
      <c r="M853" s="799"/>
      <c r="N853" s="799"/>
      <c r="O853" s="799"/>
      <c r="P853" s="799"/>
      <c r="Q853" s="799"/>
      <c r="R853" s="799"/>
      <c r="S853" s="799"/>
      <c r="T853" s="799"/>
      <c r="U853" s="799"/>
      <c r="V853" s="799"/>
      <c r="W853" s="799"/>
      <c r="X853" s="799"/>
      <c r="Y853" s="799"/>
      <c r="Z853" s="799"/>
      <c r="AA853" s="799"/>
      <c r="AB853" s="799"/>
      <c r="AC853" s="799"/>
      <c r="AD853" s="799"/>
      <c r="AE853" s="799"/>
      <c r="AF853" s="799"/>
      <c r="AG853" s="799"/>
      <c r="AH853" s="799"/>
      <c r="AI853" s="799"/>
      <c r="AJ853" s="799"/>
      <c r="AK853" s="799"/>
      <c r="AL853" s="799"/>
      <c r="AM853" s="799"/>
      <c r="AN853" s="799"/>
      <c r="AO853" s="799"/>
      <c r="AP853" s="799"/>
      <c r="AQ853" s="799"/>
      <c r="AR853" s="799"/>
      <c r="AS853" s="799"/>
      <c r="AT853" s="799"/>
      <c r="AU853" s="799"/>
      <c r="AV853" s="799"/>
      <c r="AW853" s="799"/>
      <c r="AX853" s="799"/>
      <c r="AY853" s="799"/>
      <c r="AZ853" s="799"/>
      <c r="BA853" s="799"/>
      <c r="BB853" s="799"/>
      <c r="BC853" s="799"/>
      <c r="BD853" s="799"/>
      <c r="BE853" s="799"/>
      <c r="BF853" s="799"/>
      <c r="BG853" s="799"/>
    </row>
    <row r="854">
      <c r="H854" s="799"/>
      <c r="I854" s="799"/>
      <c r="J854" s="799"/>
      <c r="K854" s="799"/>
      <c r="L854" s="799"/>
      <c r="M854" s="799"/>
      <c r="N854" s="799"/>
      <c r="O854" s="799"/>
      <c r="P854" s="799"/>
      <c r="Q854" s="799"/>
      <c r="R854" s="799"/>
      <c r="S854" s="799"/>
      <c r="T854" s="799"/>
      <c r="U854" s="799"/>
      <c r="V854" s="799"/>
      <c r="W854" s="799"/>
      <c r="X854" s="799"/>
      <c r="Y854" s="799"/>
      <c r="Z854" s="799"/>
      <c r="AA854" s="799"/>
      <c r="AB854" s="799"/>
      <c r="AC854" s="799"/>
      <c r="AD854" s="799"/>
      <c r="AE854" s="799"/>
      <c r="AF854" s="799"/>
      <c r="AG854" s="799"/>
      <c r="AH854" s="799"/>
      <c r="AI854" s="799"/>
      <c r="AJ854" s="799"/>
      <c r="AK854" s="799"/>
      <c r="AL854" s="799"/>
      <c r="AM854" s="799"/>
      <c r="AN854" s="799"/>
      <c r="AO854" s="799"/>
      <c r="AP854" s="799"/>
      <c r="AQ854" s="799"/>
      <c r="AR854" s="799"/>
      <c r="AS854" s="799"/>
      <c r="AT854" s="799"/>
      <c r="AU854" s="799"/>
      <c r="AV854" s="799"/>
      <c r="AW854" s="799"/>
      <c r="AX854" s="799"/>
      <c r="AY854" s="799"/>
      <c r="AZ854" s="799"/>
      <c r="BA854" s="799"/>
      <c r="BB854" s="799"/>
      <c r="BC854" s="799"/>
      <c r="BD854" s="799"/>
      <c r="BE854" s="799"/>
      <c r="BF854" s="799"/>
      <c r="BG854" s="799"/>
    </row>
    <row r="855">
      <c r="H855" s="799"/>
      <c r="I855" s="799"/>
      <c r="J855" s="799"/>
      <c r="K855" s="799"/>
      <c r="L855" s="799"/>
      <c r="M855" s="799"/>
      <c r="N855" s="799"/>
      <c r="O855" s="799"/>
      <c r="P855" s="799"/>
      <c r="Q855" s="799"/>
      <c r="R855" s="799"/>
      <c r="S855" s="799"/>
      <c r="T855" s="799"/>
      <c r="U855" s="799"/>
      <c r="V855" s="799"/>
      <c r="W855" s="799"/>
      <c r="X855" s="799"/>
      <c r="Y855" s="799"/>
      <c r="Z855" s="799"/>
      <c r="AA855" s="799"/>
      <c r="AB855" s="799"/>
      <c r="AC855" s="799"/>
      <c r="AD855" s="799"/>
      <c r="AE855" s="799"/>
      <c r="AF855" s="799"/>
      <c r="AG855" s="799"/>
      <c r="AH855" s="799"/>
      <c r="AI855" s="799"/>
      <c r="AJ855" s="799"/>
      <c r="AK855" s="799"/>
      <c r="AL855" s="799"/>
      <c r="AM855" s="799"/>
      <c r="AN855" s="799"/>
      <c r="AO855" s="799"/>
      <c r="AP855" s="799"/>
      <c r="AQ855" s="799"/>
      <c r="AR855" s="799"/>
      <c r="AS855" s="799"/>
      <c r="AT855" s="799"/>
      <c r="AU855" s="799"/>
      <c r="AV855" s="799"/>
      <c r="AW855" s="799"/>
      <c r="AX855" s="799"/>
      <c r="AY855" s="799"/>
      <c r="AZ855" s="799"/>
      <c r="BA855" s="799"/>
      <c r="BB855" s="799"/>
      <c r="BC855" s="799"/>
      <c r="BD855" s="799"/>
      <c r="BE855" s="799"/>
      <c r="BF855" s="799"/>
      <c r="BG855" s="799"/>
    </row>
    <row r="856">
      <c r="H856" s="799"/>
      <c r="I856" s="799"/>
      <c r="J856" s="799"/>
      <c r="K856" s="799"/>
      <c r="L856" s="799"/>
      <c r="M856" s="799"/>
      <c r="N856" s="799"/>
      <c r="O856" s="799"/>
      <c r="P856" s="799"/>
      <c r="Q856" s="799"/>
      <c r="R856" s="799"/>
      <c r="S856" s="799"/>
      <c r="T856" s="799"/>
      <c r="U856" s="799"/>
      <c r="V856" s="799"/>
      <c r="W856" s="799"/>
      <c r="X856" s="799"/>
      <c r="Y856" s="799"/>
      <c r="Z856" s="799"/>
      <c r="AA856" s="799"/>
      <c r="AB856" s="799"/>
      <c r="AC856" s="799"/>
      <c r="AD856" s="799"/>
      <c r="AE856" s="799"/>
      <c r="AF856" s="799"/>
      <c r="AG856" s="799"/>
      <c r="AH856" s="799"/>
      <c r="AI856" s="799"/>
      <c r="AJ856" s="799"/>
      <c r="AK856" s="799"/>
      <c r="AL856" s="799"/>
      <c r="AM856" s="799"/>
      <c r="AN856" s="799"/>
      <c r="AO856" s="799"/>
      <c r="AP856" s="799"/>
      <c r="AQ856" s="799"/>
      <c r="AR856" s="799"/>
      <c r="AS856" s="799"/>
      <c r="AT856" s="799"/>
      <c r="AU856" s="799"/>
      <c r="AV856" s="799"/>
      <c r="AW856" s="799"/>
      <c r="AX856" s="799"/>
      <c r="AY856" s="799"/>
      <c r="AZ856" s="799"/>
      <c r="BA856" s="799"/>
      <c r="BB856" s="799"/>
      <c r="BC856" s="799"/>
      <c r="BD856" s="799"/>
      <c r="BE856" s="799"/>
      <c r="BF856" s="799"/>
      <c r="BG856" s="799"/>
    </row>
    <row r="857">
      <c r="H857" s="799"/>
      <c r="I857" s="799"/>
      <c r="J857" s="799"/>
      <c r="K857" s="799"/>
      <c r="L857" s="799"/>
      <c r="M857" s="799"/>
      <c r="N857" s="799"/>
      <c r="O857" s="799"/>
      <c r="P857" s="799"/>
      <c r="Q857" s="799"/>
      <c r="R857" s="799"/>
      <c r="S857" s="799"/>
      <c r="T857" s="799"/>
      <c r="U857" s="799"/>
      <c r="V857" s="799"/>
      <c r="W857" s="799"/>
      <c r="X857" s="799"/>
      <c r="Y857" s="799"/>
      <c r="Z857" s="799"/>
      <c r="AA857" s="799"/>
      <c r="AB857" s="799"/>
      <c r="AC857" s="799"/>
      <c r="AD857" s="799"/>
      <c r="AE857" s="799"/>
      <c r="AF857" s="799"/>
      <c r="AG857" s="799"/>
      <c r="AH857" s="799"/>
      <c r="AI857" s="799"/>
      <c r="AJ857" s="799"/>
      <c r="AK857" s="799"/>
      <c r="AL857" s="799"/>
      <c r="AM857" s="799"/>
      <c r="AN857" s="799"/>
      <c r="AO857" s="799"/>
      <c r="AP857" s="799"/>
      <c r="AQ857" s="799"/>
      <c r="AR857" s="799"/>
      <c r="AS857" s="799"/>
      <c r="AT857" s="799"/>
      <c r="AU857" s="799"/>
      <c r="AV857" s="799"/>
      <c r="AW857" s="799"/>
      <c r="AX857" s="799"/>
      <c r="AY857" s="799"/>
      <c r="AZ857" s="799"/>
      <c r="BA857" s="799"/>
      <c r="BB857" s="799"/>
      <c r="BC857" s="799"/>
      <c r="BD857" s="799"/>
      <c r="BE857" s="799"/>
      <c r="BF857" s="799"/>
      <c r="BG857" s="799"/>
    </row>
    <row r="858">
      <c r="H858" s="799"/>
      <c r="I858" s="799"/>
      <c r="J858" s="799"/>
      <c r="K858" s="799"/>
      <c r="L858" s="799"/>
      <c r="M858" s="799"/>
      <c r="N858" s="799"/>
      <c r="O858" s="799"/>
      <c r="P858" s="799"/>
      <c r="Q858" s="799"/>
      <c r="R858" s="799"/>
      <c r="S858" s="799"/>
      <c r="T858" s="799"/>
      <c r="U858" s="799"/>
      <c r="V858" s="799"/>
      <c r="W858" s="799"/>
      <c r="X858" s="799"/>
      <c r="Y858" s="799"/>
      <c r="Z858" s="799"/>
      <c r="AA858" s="799"/>
      <c r="AB858" s="799"/>
      <c r="AC858" s="799"/>
      <c r="AD858" s="799"/>
      <c r="AE858" s="799"/>
      <c r="AF858" s="799"/>
      <c r="AG858" s="799"/>
      <c r="AH858" s="799"/>
      <c r="AI858" s="799"/>
      <c r="AJ858" s="799"/>
      <c r="AK858" s="799"/>
      <c r="AL858" s="799"/>
      <c r="AM858" s="799"/>
      <c r="AN858" s="799"/>
      <c r="AO858" s="799"/>
      <c r="AP858" s="799"/>
      <c r="AQ858" s="799"/>
      <c r="AR858" s="799"/>
      <c r="AS858" s="799"/>
      <c r="AT858" s="799"/>
      <c r="AU858" s="799"/>
      <c r="AV858" s="799"/>
      <c r="AW858" s="799"/>
      <c r="AX858" s="799"/>
      <c r="AY858" s="799"/>
      <c r="AZ858" s="799"/>
      <c r="BA858" s="799"/>
      <c r="BB858" s="799"/>
      <c r="BC858" s="799"/>
      <c r="BD858" s="799"/>
      <c r="BE858" s="799"/>
      <c r="BF858" s="799"/>
      <c r="BG858" s="799"/>
    </row>
    <row r="859">
      <c r="H859" s="799"/>
      <c r="I859" s="799"/>
      <c r="J859" s="799"/>
      <c r="K859" s="799"/>
      <c r="L859" s="799"/>
      <c r="M859" s="799"/>
      <c r="N859" s="799"/>
      <c r="O859" s="799"/>
      <c r="P859" s="799"/>
      <c r="Q859" s="799"/>
      <c r="R859" s="799"/>
      <c r="S859" s="799"/>
      <c r="T859" s="799"/>
      <c r="U859" s="799"/>
      <c r="V859" s="799"/>
      <c r="W859" s="799"/>
      <c r="X859" s="799"/>
      <c r="Y859" s="799"/>
      <c r="Z859" s="799"/>
      <c r="AA859" s="799"/>
      <c r="AB859" s="799"/>
      <c r="AC859" s="799"/>
      <c r="AD859" s="799"/>
      <c r="AE859" s="799"/>
      <c r="AF859" s="799"/>
      <c r="AG859" s="799"/>
      <c r="AH859" s="799"/>
      <c r="AI859" s="799"/>
      <c r="AJ859" s="799"/>
      <c r="AK859" s="799"/>
      <c r="AL859" s="799"/>
      <c r="AM859" s="799"/>
      <c r="AN859" s="799"/>
      <c r="AO859" s="799"/>
      <c r="AP859" s="799"/>
      <c r="AQ859" s="799"/>
      <c r="AR859" s="799"/>
      <c r="AS859" s="799"/>
      <c r="AT859" s="799"/>
      <c r="AU859" s="799"/>
      <c r="AV859" s="799"/>
      <c r="AW859" s="799"/>
      <c r="AX859" s="799"/>
      <c r="AY859" s="799"/>
      <c r="AZ859" s="799"/>
      <c r="BA859" s="799"/>
      <c r="BB859" s="799"/>
      <c r="BC859" s="799"/>
      <c r="BD859" s="799"/>
      <c r="BE859" s="799"/>
      <c r="BF859" s="799"/>
      <c r="BG859" s="799"/>
    </row>
    <row r="860">
      <c r="H860" s="799"/>
      <c r="I860" s="799"/>
      <c r="J860" s="799"/>
      <c r="K860" s="799"/>
      <c r="L860" s="799"/>
      <c r="M860" s="799"/>
      <c r="N860" s="799"/>
      <c r="O860" s="799"/>
      <c r="P860" s="799"/>
      <c r="Q860" s="799"/>
      <c r="R860" s="799"/>
      <c r="S860" s="799"/>
      <c r="T860" s="799"/>
      <c r="U860" s="799"/>
      <c r="V860" s="799"/>
      <c r="W860" s="799"/>
      <c r="X860" s="799"/>
      <c r="Y860" s="799"/>
      <c r="Z860" s="799"/>
      <c r="AA860" s="799"/>
      <c r="AB860" s="799"/>
      <c r="AC860" s="799"/>
      <c r="AD860" s="799"/>
      <c r="AE860" s="799"/>
      <c r="AF860" s="799"/>
      <c r="AG860" s="799"/>
      <c r="AH860" s="799"/>
      <c r="AI860" s="799"/>
      <c r="AJ860" s="799"/>
      <c r="AK860" s="799"/>
      <c r="AL860" s="799"/>
      <c r="AM860" s="799"/>
      <c r="AN860" s="799"/>
      <c r="AO860" s="799"/>
      <c r="AP860" s="799"/>
      <c r="AQ860" s="799"/>
      <c r="AR860" s="799"/>
      <c r="AS860" s="799"/>
      <c r="AT860" s="799"/>
      <c r="AU860" s="799"/>
      <c r="AV860" s="799"/>
      <c r="AW860" s="799"/>
      <c r="AX860" s="799"/>
      <c r="AY860" s="799"/>
      <c r="AZ860" s="799"/>
      <c r="BA860" s="799"/>
      <c r="BB860" s="799"/>
      <c r="BC860" s="799"/>
      <c r="BD860" s="799"/>
      <c r="BE860" s="799"/>
      <c r="BF860" s="799"/>
      <c r="BG860" s="799"/>
    </row>
    <row r="861">
      <c r="H861" s="799"/>
      <c r="I861" s="799"/>
      <c r="J861" s="799"/>
      <c r="K861" s="799"/>
      <c r="L861" s="799"/>
      <c r="M861" s="799"/>
      <c r="N861" s="799"/>
      <c r="O861" s="799"/>
      <c r="P861" s="799"/>
      <c r="Q861" s="799"/>
      <c r="R861" s="799"/>
      <c r="S861" s="799"/>
      <c r="T861" s="799"/>
      <c r="U861" s="799"/>
      <c r="V861" s="799"/>
      <c r="W861" s="799"/>
      <c r="X861" s="799"/>
      <c r="Y861" s="799"/>
      <c r="Z861" s="799"/>
      <c r="AA861" s="799"/>
      <c r="AB861" s="799"/>
      <c r="AC861" s="799"/>
      <c r="AD861" s="799"/>
      <c r="AE861" s="799"/>
      <c r="AF861" s="799"/>
      <c r="AG861" s="799"/>
      <c r="AH861" s="799"/>
      <c r="AI861" s="799"/>
      <c r="AJ861" s="799"/>
      <c r="AK861" s="799"/>
      <c r="AL861" s="799"/>
      <c r="AM861" s="799"/>
      <c r="AN861" s="799"/>
      <c r="AO861" s="799"/>
      <c r="AP861" s="799"/>
      <c r="AQ861" s="799"/>
      <c r="AR861" s="799"/>
      <c r="AS861" s="799"/>
      <c r="AT861" s="799"/>
      <c r="AU861" s="799"/>
      <c r="AV861" s="799"/>
      <c r="AW861" s="799"/>
      <c r="AX861" s="799"/>
      <c r="AY861" s="799"/>
      <c r="AZ861" s="799"/>
      <c r="BA861" s="799"/>
      <c r="BB861" s="799"/>
      <c r="BC861" s="799"/>
      <c r="BD861" s="799"/>
      <c r="BE861" s="799"/>
      <c r="BF861" s="799"/>
      <c r="BG861" s="799"/>
    </row>
    <row r="862">
      <c r="H862" s="799"/>
      <c r="I862" s="799"/>
      <c r="J862" s="799"/>
      <c r="K862" s="799"/>
      <c r="L862" s="799"/>
      <c r="M862" s="799"/>
      <c r="N862" s="799"/>
      <c r="O862" s="799"/>
      <c r="P862" s="799"/>
      <c r="Q862" s="799"/>
      <c r="R862" s="799"/>
      <c r="S862" s="799"/>
      <c r="T862" s="799"/>
      <c r="U862" s="799"/>
      <c r="V862" s="799"/>
      <c r="W862" s="799"/>
      <c r="X862" s="799"/>
      <c r="Y862" s="799"/>
      <c r="Z862" s="799"/>
      <c r="AA862" s="799"/>
      <c r="AB862" s="799"/>
      <c r="AC862" s="799"/>
      <c r="AD862" s="799"/>
      <c r="AE862" s="799"/>
      <c r="AF862" s="799"/>
      <c r="AG862" s="799"/>
      <c r="AH862" s="799"/>
      <c r="AI862" s="799"/>
      <c r="AJ862" s="799"/>
      <c r="AK862" s="799"/>
      <c r="AL862" s="799"/>
      <c r="AM862" s="799"/>
      <c r="AN862" s="799"/>
      <c r="AO862" s="799"/>
      <c r="AP862" s="799"/>
      <c r="AQ862" s="799"/>
      <c r="AR862" s="799"/>
      <c r="AS862" s="799"/>
      <c r="AT862" s="799"/>
      <c r="AU862" s="799"/>
      <c r="AV862" s="799"/>
      <c r="AW862" s="799"/>
      <c r="AX862" s="799"/>
      <c r="AY862" s="799"/>
      <c r="AZ862" s="799"/>
      <c r="BA862" s="799"/>
      <c r="BB862" s="799"/>
      <c r="BC862" s="799"/>
      <c r="BD862" s="799"/>
      <c r="BE862" s="799"/>
      <c r="BF862" s="799"/>
      <c r="BG862" s="799"/>
    </row>
    <row r="863">
      <c r="H863" s="799"/>
      <c r="I863" s="799"/>
      <c r="J863" s="799"/>
      <c r="K863" s="799"/>
      <c r="L863" s="799"/>
      <c r="M863" s="799"/>
      <c r="N863" s="799"/>
      <c r="O863" s="799"/>
      <c r="P863" s="799"/>
      <c r="Q863" s="799"/>
      <c r="R863" s="799"/>
      <c r="S863" s="799"/>
      <c r="T863" s="799"/>
      <c r="U863" s="799"/>
      <c r="V863" s="799"/>
      <c r="W863" s="799"/>
      <c r="X863" s="799"/>
      <c r="Y863" s="799"/>
      <c r="Z863" s="799"/>
      <c r="AA863" s="799"/>
      <c r="AB863" s="799"/>
      <c r="AC863" s="799"/>
      <c r="AD863" s="799"/>
      <c r="AE863" s="799"/>
      <c r="AF863" s="799"/>
      <c r="AG863" s="799"/>
      <c r="AH863" s="799"/>
      <c r="AI863" s="799"/>
      <c r="AJ863" s="799"/>
      <c r="AK863" s="799"/>
      <c r="AL863" s="799"/>
      <c r="AM863" s="799"/>
      <c r="AN863" s="799"/>
      <c r="AO863" s="799"/>
      <c r="AP863" s="799"/>
      <c r="AQ863" s="799"/>
      <c r="AR863" s="799"/>
      <c r="AS863" s="799"/>
      <c r="AT863" s="799"/>
      <c r="AU863" s="799"/>
      <c r="AV863" s="799"/>
      <c r="AW863" s="799"/>
      <c r="AX863" s="799"/>
      <c r="AY863" s="799"/>
      <c r="AZ863" s="799"/>
      <c r="BA863" s="799"/>
      <c r="BB863" s="799"/>
      <c r="BC863" s="799"/>
      <c r="BD863" s="799"/>
      <c r="BE863" s="799"/>
      <c r="BF863" s="799"/>
      <c r="BG863" s="799"/>
    </row>
    <row r="864">
      <c r="H864" s="799"/>
      <c r="I864" s="799"/>
      <c r="J864" s="799"/>
      <c r="K864" s="799"/>
      <c r="L864" s="799"/>
      <c r="M864" s="799"/>
      <c r="N864" s="799"/>
      <c r="O864" s="799"/>
      <c r="P864" s="799"/>
      <c r="Q864" s="799"/>
      <c r="R864" s="799"/>
      <c r="S864" s="799"/>
      <c r="T864" s="799"/>
      <c r="U864" s="799"/>
      <c r="V864" s="799"/>
      <c r="W864" s="799"/>
      <c r="X864" s="799"/>
      <c r="Y864" s="799"/>
      <c r="Z864" s="799"/>
      <c r="AA864" s="799"/>
      <c r="AB864" s="799"/>
      <c r="AC864" s="799"/>
      <c r="AD864" s="799"/>
      <c r="AE864" s="799"/>
      <c r="AF864" s="799"/>
      <c r="AG864" s="799"/>
      <c r="AH864" s="799"/>
      <c r="AI864" s="799"/>
      <c r="AJ864" s="799"/>
      <c r="AK864" s="799"/>
      <c r="AL864" s="799"/>
      <c r="AM864" s="799"/>
      <c r="AN864" s="799"/>
      <c r="AO864" s="799"/>
      <c r="AP864" s="799"/>
      <c r="AQ864" s="799"/>
      <c r="AR864" s="799"/>
      <c r="AS864" s="799"/>
      <c r="AT864" s="799"/>
      <c r="AU864" s="799"/>
      <c r="AV864" s="799"/>
      <c r="AW864" s="799"/>
      <c r="AX864" s="799"/>
      <c r="AY864" s="799"/>
      <c r="AZ864" s="799"/>
      <c r="BA864" s="799"/>
      <c r="BB864" s="799"/>
      <c r="BC864" s="799"/>
      <c r="BD864" s="799"/>
      <c r="BE864" s="799"/>
      <c r="BF864" s="799"/>
      <c r="BG864" s="799"/>
    </row>
    <row r="865">
      <c r="H865" s="799"/>
      <c r="I865" s="799"/>
      <c r="J865" s="799"/>
      <c r="K865" s="799"/>
      <c r="L865" s="799"/>
      <c r="M865" s="799"/>
      <c r="N865" s="799"/>
      <c r="O865" s="799"/>
      <c r="P865" s="799"/>
      <c r="Q865" s="799"/>
      <c r="R865" s="799"/>
      <c r="S865" s="799"/>
      <c r="T865" s="799"/>
      <c r="U865" s="799"/>
      <c r="V865" s="799"/>
      <c r="W865" s="799"/>
      <c r="X865" s="799"/>
      <c r="Y865" s="799"/>
      <c r="Z865" s="799"/>
      <c r="AA865" s="799"/>
      <c r="AB865" s="799"/>
      <c r="AC865" s="799"/>
      <c r="AD865" s="799"/>
      <c r="AE865" s="799"/>
      <c r="AF865" s="799"/>
      <c r="AG865" s="799"/>
      <c r="AH865" s="799"/>
      <c r="AI865" s="799"/>
      <c r="AJ865" s="799"/>
      <c r="AK865" s="799"/>
      <c r="AL865" s="799"/>
      <c r="AM865" s="799"/>
      <c r="AN865" s="799"/>
      <c r="AO865" s="799"/>
      <c r="AP865" s="799"/>
      <c r="AQ865" s="799"/>
      <c r="AR865" s="799"/>
      <c r="AS865" s="799"/>
      <c r="AT865" s="799"/>
      <c r="AU865" s="799"/>
      <c r="AV865" s="799"/>
      <c r="AW865" s="799"/>
      <c r="AX865" s="799"/>
      <c r="AY865" s="799"/>
      <c r="AZ865" s="799"/>
      <c r="BA865" s="799"/>
      <c r="BB865" s="799"/>
      <c r="BC865" s="799"/>
      <c r="BD865" s="799"/>
      <c r="BE865" s="799"/>
      <c r="BF865" s="799"/>
      <c r="BG865" s="799"/>
    </row>
    <row r="866">
      <c r="H866" s="799"/>
      <c r="I866" s="799"/>
      <c r="J866" s="799"/>
      <c r="K866" s="799"/>
      <c r="L866" s="799"/>
      <c r="M866" s="799"/>
      <c r="N866" s="799"/>
      <c r="O866" s="799"/>
      <c r="P866" s="799"/>
      <c r="Q866" s="799"/>
      <c r="R866" s="799"/>
      <c r="S866" s="799"/>
      <c r="T866" s="799"/>
      <c r="U866" s="799"/>
      <c r="V866" s="799"/>
      <c r="W866" s="799"/>
      <c r="X866" s="799"/>
      <c r="Y866" s="799"/>
      <c r="Z866" s="799"/>
      <c r="AA866" s="799"/>
      <c r="AB866" s="799"/>
      <c r="AC866" s="799"/>
      <c r="AD866" s="799"/>
      <c r="AE866" s="799"/>
      <c r="AF866" s="799"/>
      <c r="AG866" s="799"/>
      <c r="AH866" s="799"/>
      <c r="AI866" s="799"/>
      <c r="AJ866" s="799"/>
      <c r="AK866" s="799"/>
      <c r="AL866" s="799"/>
      <c r="AM866" s="799"/>
      <c r="AN866" s="799"/>
      <c r="AO866" s="799"/>
      <c r="AP866" s="799"/>
      <c r="AQ866" s="799"/>
      <c r="AR866" s="799"/>
      <c r="AS866" s="799"/>
      <c r="AT866" s="799"/>
      <c r="AU866" s="799"/>
      <c r="AV866" s="799"/>
      <c r="AW866" s="799"/>
      <c r="AX866" s="799"/>
      <c r="AY866" s="799"/>
      <c r="AZ866" s="799"/>
      <c r="BA866" s="799"/>
      <c r="BB866" s="799"/>
      <c r="BC866" s="799"/>
      <c r="BD866" s="799"/>
      <c r="BE866" s="799"/>
      <c r="BF866" s="799"/>
      <c r="BG866" s="799"/>
    </row>
    <row r="867">
      <c r="H867" s="799"/>
      <c r="I867" s="799"/>
      <c r="J867" s="799"/>
      <c r="K867" s="799"/>
      <c r="L867" s="799"/>
      <c r="M867" s="799"/>
      <c r="N867" s="799"/>
      <c r="O867" s="799"/>
      <c r="P867" s="799"/>
      <c r="Q867" s="799"/>
      <c r="R867" s="799"/>
      <c r="S867" s="799"/>
      <c r="T867" s="799"/>
      <c r="U867" s="799"/>
      <c r="V867" s="799"/>
      <c r="W867" s="799"/>
      <c r="X867" s="799"/>
      <c r="Y867" s="799"/>
      <c r="Z867" s="799"/>
      <c r="AA867" s="799"/>
      <c r="AB867" s="799"/>
      <c r="AC867" s="799"/>
      <c r="AD867" s="799"/>
      <c r="AE867" s="799"/>
      <c r="AF867" s="799"/>
      <c r="AG867" s="799"/>
      <c r="AH867" s="799"/>
      <c r="AI867" s="799"/>
      <c r="AJ867" s="799"/>
      <c r="AK867" s="799"/>
      <c r="AL867" s="799"/>
      <c r="AM867" s="799"/>
      <c r="AN867" s="799"/>
      <c r="AO867" s="799"/>
      <c r="AP867" s="799"/>
      <c r="AQ867" s="799"/>
      <c r="AR867" s="799"/>
      <c r="AS867" s="799"/>
      <c r="AT867" s="799"/>
      <c r="AU867" s="799"/>
      <c r="AV867" s="799"/>
      <c r="AW867" s="799"/>
      <c r="AX867" s="799"/>
      <c r="AY867" s="799"/>
      <c r="AZ867" s="799"/>
      <c r="BA867" s="799"/>
      <c r="BB867" s="799"/>
      <c r="BC867" s="799"/>
      <c r="BD867" s="799"/>
      <c r="BE867" s="799"/>
      <c r="BF867" s="799"/>
      <c r="BG867" s="799"/>
    </row>
    <row r="868">
      <c r="H868" s="799"/>
      <c r="I868" s="799"/>
      <c r="J868" s="799"/>
      <c r="K868" s="799"/>
      <c r="L868" s="799"/>
      <c r="M868" s="799"/>
      <c r="N868" s="799"/>
      <c r="O868" s="799"/>
      <c r="P868" s="799"/>
      <c r="Q868" s="799"/>
      <c r="R868" s="799"/>
      <c r="S868" s="799"/>
      <c r="T868" s="799"/>
      <c r="U868" s="799"/>
      <c r="V868" s="799"/>
      <c r="W868" s="799"/>
      <c r="X868" s="799"/>
      <c r="Y868" s="799"/>
      <c r="Z868" s="799"/>
      <c r="AA868" s="799"/>
      <c r="AB868" s="799"/>
      <c r="AC868" s="799"/>
      <c r="AD868" s="799"/>
      <c r="AE868" s="799"/>
      <c r="AF868" s="799"/>
      <c r="AG868" s="799"/>
      <c r="AH868" s="799"/>
      <c r="AI868" s="799"/>
      <c r="AJ868" s="799"/>
      <c r="AK868" s="799"/>
      <c r="AL868" s="799"/>
      <c r="AM868" s="799"/>
      <c r="AN868" s="799"/>
      <c r="AO868" s="799"/>
      <c r="AP868" s="799"/>
      <c r="AQ868" s="799"/>
      <c r="AR868" s="799"/>
      <c r="AS868" s="799"/>
      <c r="AT868" s="799"/>
      <c r="AU868" s="799"/>
      <c r="AV868" s="799"/>
      <c r="AW868" s="799"/>
      <c r="AX868" s="799"/>
      <c r="AY868" s="799"/>
      <c r="AZ868" s="799"/>
      <c r="BA868" s="799"/>
      <c r="BB868" s="799"/>
      <c r="BC868" s="799"/>
      <c r="BD868" s="799"/>
      <c r="BE868" s="799"/>
      <c r="BF868" s="799"/>
      <c r="BG868" s="799"/>
    </row>
    <row r="869">
      <c r="H869" s="799"/>
      <c r="I869" s="799"/>
      <c r="J869" s="799"/>
      <c r="K869" s="799"/>
      <c r="L869" s="799"/>
      <c r="M869" s="799"/>
      <c r="N869" s="799"/>
      <c r="O869" s="799"/>
      <c r="P869" s="799"/>
      <c r="Q869" s="799"/>
      <c r="R869" s="799"/>
      <c r="S869" s="799"/>
      <c r="T869" s="799"/>
      <c r="U869" s="799"/>
      <c r="V869" s="799"/>
      <c r="W869" s="799"/>
      <c r="X869" s="799"/>
      <c r="Y869" s="799"/>
      <c r="Z869" s="799"/>
      <c r="AA869" s="799"/>
      <c r="AB869" s="799"/>
      <c r="AC869" s="799"/>
      <c r="AD869" s="799"/>
      <c r="AE869" s="799"/>
      <c r="AF869" s="799"/>
      <c r="AG869" s="799"/>
      <c r="AH869" s="799"/>
      <c r="AI869" s="799"/>
      <c r="AJ869" s="799"/>
      <c r="AK869" s="799"/>
      <c r="AL869" s="799"/>
      <c r="AM869" s="799"/>
      <c r="AN869" s="799"/>
      <c r="AO869" s="799"/>
      <c r="AP869" s="799"/>
      <c r="AQ869" s="799"/>
      <c r="AR869" s="799"/>
      <c r="AS869" s="799"/>
      <c r="AT869" s="799"/>
      <c r="AU869" s="799"/>
      <c r="AV869" s="799"/>
      <c r="AW869" s="799"/>
      <c r="AX869" s="799"/>
      <c r="AY869" s="799"/>
      <c r="AZ869" s="799"/>
      <c r="BA869" s="799"/>
      <c r="BB869" s="799"/>
      <c r="BC869" s="799"/>
      <c r="BD869" s="799"/>
      <c r="BE869" s="799"/>
      <c r="BF869" s="799"/>
      <c r="BG869" s="799"/>
    </row>
    <row r="870">
      <c r="H870" s="799"/>
      <c r="I870" s="799"/>
      <c r="J870" s="799"/>
      <c r="K870" s="799"/>
      <c r="L870" s="799"/>
      <c r="M870" s="799"/>
      <c r="N870" s="799"/>
      <c r="O870" s="799"/>
      <c r="P870" s="799"/>
      <c r="Q870" s="799"/>
      <c r="R870" s="799"/>
      <c r="S870" s="799"/>
      <c r="T870" s="799"/>
      <c r="U870" s="799"/>
      <c r="V870" s="799"/>
      <c r="W870" s="799"/>
      <c r="X870" s="799"/>
      <c r="Y870" s="799"/>
      <c r="Z870" s="799"/>
      <c r="AA870" s="799"/>
      <c r="AB870" s="799"/>
      <c r="AC870" s="799"/>
      <c r="AD870" s="799"/>
      <c r="AE870" s="799"/>
      <c r="AF870" s="799"/>
      <c r="AG870" s="799"/>
      <c r="AH870" s="799"/>
      <c r="AI870" s="799"/>
      <c r="AJ870" s="799"/>
      <c r="AK870" s="799"/>
      <c r="AL870" s="799"/>
      <c r="AM870" s="799"/>
      <c r="AN870" s="799"/>
      <c r="AO870" s="799"/>
      <c r="AP870" s="799"/>
      <c r="AQ870" s="799"/>
      <c r="AR870" s="799"/>
      <c r="AS870" s="799"/>
      <c r="AT870" s="799"/>
      <c r="AU870" s="799"/>
      <c r="AV870" s="799"/>
      <c r="AW870" s="799"/>
      <c r="AX870" s="799"/>
      <c r="AY870" s="799"/>
      <c r="AZ870" s="799"/>
      <c r="BA870" s="799"/>
      <c r="BB870" s="799"/>
      <c r="BC870" s="799"/>
      <c r="BD870" s="799"/>
      <c r="BE870" s="799"/>
      <c r="BF870" s="799"/>
      <c r="BG870" s="799"/>
    </row>
    <row r="871">
      <c r="H871" s="799"/>
      <c r="I871" s="799"/>
      <c r="J871" s="799"/>
      <c r="K871" s="799"/>
      <c r="L871" s="799"/>
      <c r="M871" s="799"/>
      <c r="N871" s="799"/>
      <c r="O871" s="799"/>
      <c r="P871" s="799"/>
      <c r="Q871" s="799"/>
      <c r="R871" s="799"/>
      <c r="S871" s="799"/>
      <c r="T871" s="799"/>
      <c r="U871" s="799"/>
      <c r="V871" s="799"/>
      <c r="W871" s="799"/>
      <c r="X871" s="799"/>
      <c r="Y871" s="799"/>
      <c r="Z871" s="799"/>
      <c r="AA871" s="799"/>
      <c r="AB871" s="799"/>
      <c r="AC871" s="799"/>
      <c r="AD871" s="799"/>
      <c r="AE871" s="799"/>
      <c r="AF871" s="799"/>
      <c r="AG871" s="799"/>
      <c r="AH871" s="799"/>
      <c r="AI871" s="799"/>
      <c r="AJ871" s="799"/>
      <c r="AK871" s="799"/>
      <c r="AL871" s="799"/>
      <c r="AM871" s="799"/>
      <c r="AN871" s="799"/>
      <c r="AO871" s="799"/>
      <c r="AP871" s="799"/>
      <c r="AQ871" s="799"/>
      <c r="AR871" s="799"/>
      <c r="AS871" s="799"/>
      <c r="AT871" s="799"/>
      <c r="AU871" s="799"/>
      <c r="AV871" s="799"/>
      <c r="AW871" s="799"/>
      <c r="AX871" s="799"/>
      <c r="AY871" s="799"/>
      <c r="AZ871" s="799"/>
      <c r="BA871" s="799"/>
      <c r="BB871" s="799"/>
      <c r="BC871" s="799"/>
      <c r="BD871" s="799"/>
      <c r="BE871" s="799"/>
      <c r="BF871" s="799"/>
      <c r="BG871" s="799"/>
    </row>
    <row r="872">
      <c r="H872" s="799"/>
      <c r="I872" s="799"/>
      <c r="J872" s="799"/>
      <c r="K872" s="799"/>
      <c r="L872" s="799"/>
      <c r="M872" s="799"/>
      <c r="N872" s="799"/>
      <c r="O872" s="799"/>
      <c r="P872" s="799"/>
      <c r="Q872" s="799"/>
      <c r="R872" s="799"/>
      <c r="S872" s="799"/>
      <c r="T872" s="799"/>
      <c r="U872" s="799"/>
      <c r="V872" s="799"/>
      <c r="W872" s="799"/>
      <c r="X872" s="799"/>
      <c r="Y872" s="799"/>
      <c r="Z872" s="799"/>
      <c r="AA872" s="799"/>
      <c r="AB872" s="799"/>
      <c r="AC872" s="799"/>
      <c r="AD872" s="799"/>
      <c r="AE872" s="799"/>
      <c r="AF872" s="799"/>
      <c r="AG872" s="799"/>
      <c r="AH872" s="799"/>
      <c r="AI872" s="799"/>
      <c r="AJ872" s="799"/>
      <c r="AK872" s="799"/>
      <c r="AL872" s="799"/>
      <c r="AM872" s="799"/>
      <c r="AN872" s="799"/>
      <c r="AO872" s="799"/>
      <c r="AP872" s="799"/>
      <c r="AQ872" s="799"/>
      <c r="AR872" s="799"/>
      <c r="AS872" s="799"/>
      <c r="AT872" s="799"/>
      <c r="AU872" s="799"/>
      <c r="AV872" s="799"/>
      <c r="AW872" s="799"/>
      <c r="AX872" s="799"/>
      <c r="AY872" s="799"/>
      <c r="AZ872" s="799"/>
      <c r="BA872" s="799"/>
      <c r="BB872" s="799"/>
      <c r="BC872" s="799"/>
      <c r="BD872" s="799"/>
      <c r="BE872" s="799"/>
      <c r="BF872" s="799"/>
      <c r="BG872" s="799"/>
    </row>
    <row r="873">
      <c r="H873" s="799"/>
      <c r="I873" s="799"/>
      <c r="J873" s="799"/>
      <c r="K873" s="799"/>
      <c r="L873" s="799"/>
      <c r="M873" s="799"/>
      <c r="N873" s="799"/>
      <c r="O873" s="799"/>
      <c r="P873" s="799"/>
      <c r="Q873" s="799"/>
      <c r="R873" s="799"/>
      <c r="S873" s="799"/>
      <c r="T873" s="799"/>
      <c r="U873" s="799"/>
      <c r="V873" s="799"/>
      <c r="W873" s="799"/>
      <c r="X873" s="799"/>
      <c r="Y873" s="799"/>
      <c r="Z873" s="799"/>
      <c r="AA873" s="799"/>
      <c r="AB873" s="799"/>
      <c r="AC873" s="799"/>
      <c r="AD873" s="799"/>
      <c r="AE873" s="799"/>
      <c r="AF873" s="799"/>
      <c r="AG873" s="799"/>
      <c r="AH873" s="799"/>
      <c r="AI873" s="799"/>
      <c r="AJ873" s="799"/>
      <c r="AK873" s="799"/>
      <c r="AL873" s="799"/>
      <c r="AM873" s="799"/>
      <c r="AN873" s="799"/>
      <c r="AO873" s="799"/>
      <c r="AP873" s="799"/>
      <c r="AQ873" s="799"/>
      <c r="AR873" s="799"/>
      <c r="AS873" s="799"/>
      <c r="AT873" s="799"/>
      <c r="AU873" s="799"/>
      <c r="AV873" s="799"/>
      <c r="AW873" s="799"/>
      <c r="AX873" s="799"/>
      <c r="AY873" s="799"/>
      <c r="AZ873" s="799"/>
      <c r="BA873" s="799"/>
      <c r="BB873" s="799"/>
      <c r="BC873" s="799"/>
      <c r="BD873" s="799"/>
      <c r="BE873" s="799"/>
      <c r="BF873" s="799"/>
      <c r="BG873" s="799"/>
    </row>
    <row r="874">
      <c r="H874" s="799"/>
      <c r="I874" s="799"/>
      <c r="J874" s="799"/>
      <c r="K874" s="799"/>
      <c r="L874" s="799"/>
      <c r="M874" s="799"/>
      <c r="N874" s="799"/>
      <c r="O874" s="799"/>
      <c r="P874" s="799"/>
      <c r="Q874" s="799"/>
      <c r="R874" s="799"/>
      <c r="S874" s="799"/>
      <c r="T874" s="799"/>
      <c r="U874" s="799"/>
      <c r="V874" s="799"/>
      <c r="W874" s="799"/>
      <c r="X874" s="799"/>
      <c r="Y874" s="799"/>
      <c r="Z874" s="799"/>
      <c r="AA874" s="799"/>
      <c r="AB874" s="799"/>
      <c r="AC874" s="799"/>
      <c r="AD874" s="799"/>
      <c r="AE874" s="799"/>
      <c r="AF874" s="799"/>
      <c r="AG874" s="799"/>
      <c r="AH874" s="799"/>
      <c r="AI874" s="799"/>
      <c r="AJ874" s="799"/>
      <c r="AK874" s="799"/>
      <c r="AL874" s="799"/>
      <c r="AM874" s="799"/>
      <c r="AN874" s="799"/>
      <c r="AO874" s="799"/>
      <c r="AP874" s="799"/>
      <c r="AQ874" s="799"/>
      <c r="AR874" s="799"/>
      <c r="AS874" s="799"/>
      <c r="AT874" s="799"/>
      <c r="AU874" s="799"/>
      <c r="AV874" s="799"/>
      <c r="AW874" s="799"/>
      <c r="AX874" s="799"/>
      <c r="AY874" s="799"/>
      <c r="AZ874" s="799"/>
      <c r="BA874" s="799"/>
      <c r="BB874" s="799"/>
      <c r="BC874" s="799"/>
      <c r="BD874" s="799"/>
      <c r="BE874" s="799"/>
      <c r="BF874" s="799"/>
      <c r="BG874" s="799"/>
    </row>
    <row r="875">
      <c r="H875" s="799"/>
      <c r="I875" s="799"/>
      <c r="J875" s="799"/>
      <c r="K875" s="799"/>
      <c r="L875" s="799"/>
      <c r="M875" s="799"/>
      <c r="N875" s="799"/>
      <c r="O875" s="799"/>
      <c r="P875" s="799"/>
      <c r="Q875" s="799"/>
      <c r="R875" s="799"/>
      <c r="S875" s="799"/>
      <c r="T875" s="799"/>
      <c r="U875" s="799"/>
      <c r="V875" s="799"/>
      <c r="W875" s="799"/>
      <c r="X875" s="799"/>
      <c r="Y875" s="799"/>
      <c r="Z875" s="799"/>
      <c r="AA875" s="799"/>
      <c r="AB875" s="799"/>
      <c r="AC875" s="799"/>
      <c r="AD875" s="799"/>
      <c r="AE875" s="799"/>
      <c r="AF875" s="799"/>
      <c r="AG875" s="799"/>
      <c r="AH875" s="799"/>
      <c r="AI875" s="799"/>
      <c r="AJ875" s="799"/>
      <c r="AK875" s="799"/>
      <c r="AL875" s="799"/>
      <c r="AM875" s="799"/>
      <c r="AN875" s="799"/>
      <c r="AO875" s="799"/>
      <c r="AP875" s="799"/>
      <c r="AQ875" s="799"/>
      <c r="AR875" s="799"/>
      <c r="AS875" s="799"/>
      <c r="AT875" s="799"/>
      <c r="AU875" s="799"/>
      <c r="AV875" s="799"/>
      <c r="AW875" s="799"/>
      <c r="AX875" s="799"/>
      <c r="AY875" s="799"/>
      <c r="AZ875" s="799"/>
      <c r="BA875" s="799"/>
      <c r="BB875" s="799"/>
      <c r="BC875" s="799"/>
      <c r="BD875" s="799"/>
      <c r="BE875" s="799"/>
      <c r="BF875" s="799"/>
      <c r="BG875" s="799"/>
    </row>
    <row r="876">
      <c r="H876" s="799"/>
      <c r="I876" s="799"/>
      <c r="J876" s="799"/>
      <c r="K876" s="799"/>
      <c r="L876" s="799"/>
      <c r="M876" s="799"/>
      <c r="N876" s="799"/>
      <c r="O876" s="799"/>
      <c r="P876" s="799"/>
      <c r="Q876" s="799"/>
      <c r="R876" s="799"/>
      <c r="S876" s="799"/>
      <c r="T876" s="799"/>
      <c r="U876" s="799"/>
      <c r="V876" s="799"/>
      <c r="W876" s="799"/>
      <c r="X876" s="799"/>
      <c r="Y876" s="799"/>
      <c r="Z876" s="799"/>
      <c r="AA876" s="799"/>
      <c r="AB876" s="799"/>
      <c r="AC876" s="799"/>
      <c r="AD876" s="799"/>
      <c r="AE876" s="799"/>
      <c r="AF876" s="799"/>
      <c r="AG876" s="799"/>
      <c r="AH876" s="799"/>
      <c r="AI876" s="799"/>
      <c r="AJ876" s="799"/>
      <c r="AK876" s="799"/>
      <c r="AL876" s="799"/>
      <c r="AM876" s="799"/>
      <c r="AN876" s="799"/>
      <c r="AO876" s="799"/>
      <c r="AP876" s="799"/>
      <c r="AQ876" s="799"/>
      <c r="AR876" s="799"/>
      <c r="AS876" s="799"/>
      <c r="AT876" s="799"/>
      <c r="AU876" s="799"/>
      <c r="AV876" s="799"/>
      <c r="AW876" s="799"/>
      <c r="AX876" s="799"/>
      <c r="AY876" s="799"/>
      <c r="AZ876" s="799"/>
      <c r="BA876" s="799"/>
      <c r="BB876" s="799"/>
      <c r="BC876" s="799"/>
      <c r="BD876" s="799"/>
      <c r="BE876" s="799"/>
      <c r="BF876" s="799"/>
      <c r="BG876" s="799"/>
    </row>
    <row r="877">
      <c r="H877" s="799"/>
      <c r="I877" s="799"/>
      <c r="J877" s="799"/>
      <c r="K877" s="799"/>
      <c r="L877" s="799"/>
      <c r="M877" s="799"/>
      <c r="N877" s="799"/>
      <c r="O877" s="799"/>
      <c r="P877" s="799"/>
      <c r="Q877" s="799"/>
      <c r="R877" s="799"/>
      <c r="S877" s="799"/>
      <c r="T877" s="799"/>
      <c r="U877" s="799"/>
      <c r="V877" s="799"/>
      <c r="W877" s="799"/>
      <c r="X877" s="799"/>
      <c r="Y877" s="799"/>
      <c r="Z877" s="799"/>
      <c r="AA877" s="799"/>
      <c r="AB877" s="799"/>
      <c r="AC877" s="799"/>
      <c r="AD877" s="799"/>
      <c r="AE877" s="799"/>
      <c r="AF877" s="799"/>
      <c r="AG877" s="799"/>
      <c r="AH877" s="799"/>
      <c r="AI877" s="799"/>
      <c r="AJ877" s="799"/>
      <c r="AK877" s="799"/>
      <c r="AL877" s="799"/>
      <c r="AM877" s="799"/>
      <c r="AN877" s="799"/>
      <c r="AO877" s="799"/>
      <c r="AP877" s="799"/>
      <c r="AQ877" s="799"/>
      <c r="AR877" s="799"/>
      <c r="AS877" s="799"/>
      <c r="AT877" s="799"/>
      <c r="AU877" s="799"/>
      <c r="AV877" s="799"/>
      <c r="AW877" s="799"/>
      <c r="AX877" s="799"/>
      <c r="AY877" s="799"/>
      <c r="AZ877" s="799"/>
      <c r="BA877" s="799"/>
      <c r="BB877" s="799"/>
      <c r="BC877" s="799"/>
      <c r="BD877" s="799"/>
      <c r="BE877" s="799"/>
      <c r="BF877" s="799"/>
      <c r="BG877" s="799"/>
    </row>
    <row r="878">
      <c r="H878" s="799"/>
      <c r="I878" s="799"/>
      <c r="J878" s="799"/>
      <c r="K878" s="799"/>
      <c r="L878" s="799"/>
      <c r="M878" s="799"/>
      <c r="N878" s="799"/>
      <c r="O878" s="799"/>
      <c r="P878" s="799"/>
      <c r="Q878" s="799"/>
      <c r="R878" s="799"/>
      <c r="S878" s="799"/>
      <c r="T878" s="799"/>
      <c r="U878" s="799"/>
      <c r="V878" s="799"/>
      <c r="W878" s="799"/>
      <c r="X878" s="799"/>
      <c r="Y878" s="799"/>
      <c r="Z878" s="799"/>
      <c r="AA878" s="799"/>
      <c r="AB878" s="799"/>
      <c r="AC878" s="799"/>
      <c r="AD878" s="799"/>
      <c r="AE878" s="799"/>
      <c r="AF878" s="799"/>
      <c r="AG878" s="799"/>
      <c r="AH878" s="799"/>
      <c r="AI878" s="799"/>
      <c r="AJ878" s="799"/>
      <c r="AK878" s="799"/>
      <c r="AL878" s="799"/>
      <c r="AM878" s="799"/>
      <c r="AN878" s="799"/>
      <c r="AO878" s="799"/>
      <c r="AP878" s="799"/>
      <c r="AQ878" s="799"/>
      <c r="AR878" s="799"/>
      <c r="AS878" s="799"/>
      <c r="AT878" s="799"/>
      <c r="AU878" s="799"/>
      <c r="AV878" s="799"/>
      <c r="AW878" s="799"/>
      <c r="AX878" s="799"/>
      <c r="AY878" s="799"/>
      <c r="AZ878" s="799"/>
      <c r="BA878" s="799"/>
      <c r="BB878" s="799"/>
      <c r="BC878" s="799"/>
      <c r="BD878" s="799"/>
      <c r="BE878" s="799"/>
      <c r="BF878" s="799"/>
      <c r="BG878" s="799"/>
    </row>
    <row r="879">
      <c r="H879" s="799"/>
      <c r="I879" s="799"/>
      <c r="J879" s="799"/>
      <c r="K879" s="799"/>
      <c r="L879" s="799"/>
      <c r="M879" s="799"/>
      <c r="N879" s="799"/>
      <c r="O879" s="799"/>
      <c r="P879" s="799"/>
      <c r="Q879" s="799"/>
      <c r="R879" s="799"/>
      <c r="S879" s="799"/>
      <c r="T879" s="799"/>
      <c r="U879" s="799"/>
      <c r="V879" s="799"/>
      <c r="W879" s="799"/>
      <c r="X879" s="799"/>
      <c r="Y879" s="799"/>
      <c r="Z879" s="799"/>
      <c r="AA879" s="799"/>
      <c r="AB879" s="799"/>
      <c r="AC879" s="799"/>
      <c r="AD879" s="799"/>
      <c r="AE879" s="799"/>
      <c r="AF879" s="799"/>
      <c r="AG879" s="799"/>
      <c r="AH879" s="799"/>
      <c r="AI879" s="799"/>
      <c r="AJ879" s="799"/>
      <c r="AK879" s="799"/>
      <c r="AL879" s="799"/>
      <c r="AM879" s="799"/>
      <c r="AN879" s="799"/>
      <c r="AO879" s="799"/>
      <c r="AP879" s="799"/>
      <c r="AQ879" s="799"/>
      <c r="AR879" s="799"/>
      <c r="AS879" s="799"/>
      <c r="AT879" s="799"/>
      <c r="AU879" s="799"/>
      <c r="AV879" s="799"/>
      <c r="AW879" s="799"/>
      <c r="AX879" s="799"/>
      <c r="AY879" s="799"/>
      <c r="AZ879" s="799"/>
      <c r="BA879" s="799"/>
      <c r="BB879" s="799"/>
      <c r="BC879" s="799"/>
      <c r="BD879" s="799"/>
      <c r="BE879" s="799"/>
      <c r="BF879" s="799"/>
      <c r="BG879" s="799"/>
    </row>
    <row r="880">
      <c r="H880" s="799"/>
      <c r="I880" s="799"/>
      <c r="J880" s="799"/>
      <c r="K880" s="799"/>
      <c r="L880" s="799"/>
      <c r="M880" s="799"/>
      <c r="N880" s="799"/>
      <c r="O880" s="799"/>
      <c r="P880" s="799"/>
      <c r="Q880" s="799"/>
      <c r="R880" s="799"/>
      <c r="S880" s="799"/>
      <c r="T880" s="799"/>
      <c r="U880" s="799"/>
      <c r="V880" s="799"/>
      <c r="W880" s="799"/>
      <c r="X880" s="799"/>
      <c r="Y880" s="799"/>
      <c r="Z880" s="799"/>
      <c r="AA880" s="799"/>
      <c r="AB880" s="799"/>
      <c r="AC880" s="799"/>
      <c r="AD880" s="799"/>
      <c r="AE880" s="799"/>
      <c r="AF880" s="799"/>
      <c r="AG880" s="799"/>
      <c r="AH880" s="799"/>
      <c r="AI880" s="799"/>
      <c r="AJ880" s="799"/>
      <c r="AK880" s="799"/>
      <c r="AL880" s="799"/>
      <c r="AM880" s="799"/>
      <c r="AN880" s="799"/>
      <c r="AO880" s="799"/>
      <c r="AP880" s="799"/>
      <c r="AQ880" s="799"/>
      <c r="AR880" s="799"/>
      <c r="AS880" s="799"/>
      <c r="AT880" s="799"/>
      <c r="AU880" s="799"/>
      <c r="AV880" s="799"/>
      <c r="AW880" s="799"/>
      <c r="AX880" s="799"/>
      <c r="AY880" s="799"/>
      <c r="AZ880" s="799"/>
      <c r="BA880" s="799"/>
      <c r="BB880" s="799"/>
      <c r="BC880" s="799"/>
      <c r="BD880" s="799"/>
      <c r="BE880" s="799"/>
      <c r="BF880" s="799"/>
      <c r="BG880" s="799"/>
    </row>
    <row r="881">
      <c r="H881" s="799"/>
      <c r="I881" s="799"/>
      <c r="J881" s="799"/>
      <c r="K881" s="799"/>
      <c r="L881" s="799"/>
      <c r="M881" s="799"/>
      <c r="N881" s="799"/>
      <c r="O881" s="799"/>
      <c r="P881" s="799"/>
      <c r="Q881" s="799"/>
      <c r="R881" s="799"/>
      <c r="S881" s="799"/>
      <c r="T881" s="799"/>
      <c r="U881" s="799"/>
      <c r="V881" s="799"/>
      <c r="W881" s="799"/>
      <c r="X881" s="799"/>
      <c r="Y881" s="799"/>
      <c r="Z881" s="799"/>
      <c r="AA881" s="799"/>
      <c r="AB881" s="799"/>
      <c r="AC881" s="799"/>
      <c r="AD881" s="799"/>
      <c r="AE881" s="799"/>
      <c r="AF881" s="799"/>
      <c r="AG881" s="799"/>
      <c r="AH881" s="799"/>
      <c r="AI881" s="799"/>
      <c r="AJ881" s="799"/>
      <c r="AK881" s="799"/>
      <c r="AL881" s="799"/>
      <c r="AM881" s="799"/>
      <c r="AN881" s="799"/>
      <c r="AO881" s="799"/>
      <c r="AP881" s="799"/>
      <c r="AQ881" s="799"/>
      <c r="AR881" s="799"/>
      <c r="AS881" s="799"/>
      <c r="AT881" s="799"/>
      <c r="AU881" s="799"/>
      <c r="AV881" s="799"/>
      <c r="AW881" s="799"/>
      <c r="AX881" s="799"/>
      <c r="AY881" s="799"/>
      <c r="AZ881" s="799"/>
      <c r="BA881" s="799"/>
      <c r="BB881" s="799"/>
      <c r="BC881" s="799"/>
      <c r="BD881" s="799"/>
      <c r="BE881" s="799"/>
      <c r="BF881" s="799"/>
      <c r="BG881" s="799"/>
    </row>
    <row r="882">
      <c r="H882" s="799"/>
      <c r="I882" s="799"/>
      <c r="J882" s="799"/>
      <c r="K882" s="799"/>
      <c r="L882" s="799"/>
      <c r="M882" s="799"/>
      <c r="N882" s="799"/>
      <c r="O882" s="799"/>
      <c r="P882" s="799"/>
      <c r="Q882" s="799"/>
      <c r="R882" s="799"/>
      <c r="S882" s="799"/>
      <c r="T882" s="799"/>
      <c r="U882" s="799"/>
      <c r="V882" s="799"/>
      <c r="W882" s="799"/>
      <c r="X882" s="799"/>
      <c r="Y882" s="799"/>
      <c r="Z882" s="799"/>
      <c r="AA882" s="799"/>
      <c r="AB882" s="799"/>
      <c r="AC882" s="799"/>
      <c r="AD882" s="799"/>
      <c r="AE882" s="799"/>
      <c r="AF882" s="799"/>
      <c r="AG882" s="799"/>
      <c r="AH882" s="799"/>
      <c r="AI882" s="799"/>
      <c r="AJ882" s="799"/>
      <c r="AK882" s="799"/>
      <c r="AL882" s="799"/>
      <c r="AM882" s="799"/>
      <c r="AN882" s="799"/>
      <c r="AO882" s="799"/>
      <c r="AP882" s="799"/>
      <c r="AQ882" s="799"/>
      <c r="AR882" s="799"/>
      <c r="AS882" s="799"/>
      <c r="AT882" s="799"/>
      <c r="AU882" s="799"/>
      <c r="AV882" s="799"/>
      <c r="AW882" s="799"/>
      <c r="AX882" s="799"/>
      <c r="AY882" s="799"/>
      <c r="AZ882" s="799"/>
      <c r="BA882" s="799"/>
      <c r="BB882" s="799"/>
      <c r="BC882" s="799"/>
      <c r="BD882" s="799"/>
      <c r="BE882" s="799"/>
      <c r="BF882" s="799"/>
      <c r="BG882" s="799"/>
    </row>
    <row r="883">
      <c r="H883" s="799"/>
      <c r="I883" s="799"/>
      <c r="J883" s="799"/>
      <c r="K883" s="799"/>
      <c r="L883" s="799"/>
      <c r="M883" s="799"/>
      <c r="N883" s="799"/>
      <c r="O883" s="799"/>
      <c r="P883" s="799"/>
      <c r="Q883" s="799"/>
      <c r="R883" s="799"/>
      <c r="S883" s="799"/>
      <c r="T883" s="799"/>
      <c r="U883" s="799"/>
      <c r="V883" s="799"/>
      <c r="W883" s="799"/>
      <c r="X883" s="799"/>
      <c r="Y883" s="799"/>
      <c r="Z883" s="799"/>
      <c r="AA883" s="799"/>
      <c r="AB883" s="799"/>
      <c r="AC883" s="799"/>
      <c r="AD883" s="799"/>
      <c r="AE883" s="799"/>
      <c r="AF883" s="799"/>
      <c r="AG883" s="799"/>
      <c r="AH883" s="799"/>
      <c r="AI883" s="799"/>
      <c r="AJ883" s="799"/>
      <c r="AK883" s="799"/>
      <c r="AL883" s="799"/>
      <c r="AM883" s="799"/>
      <c r="AN883" s="799"/>
      <c r="AO883" s="799"/>
      <c r="AP883" s="799"/>
      <c r="AQ883" s="799"/>
      <c r="AR883" s="799"/>
      <c r="AS883" s="799"/>
      <c r="AT883" s="799"/>
      <c r="AU883" s="799"/>
      <c r="AV883" s="799"/>
      <c r="AW883" s="799"/>
      <c r="AX883" s="799"/>
      <c r="AY883" s="799"/>
      <c r="AZ883" s="799"/>
      <c r="BA883" s="799"/>
      <c r="BB883" s="799"/>
      <c r="BC883" s="799"/>
      <c r="BD883" s="799"/>
      <c r="BE883" s="799"/>
      <c r="BF883" s="799"/>
      <c r="BG883" s="799"/>
    </row>
    <row r="884">
      <c r="H884" s="799"/>
      <c r="I884" s="799"/>
      <c r="J884" s="799"/>
      <c r="K884" s="799"/>
      <c r="L884" s="799"/>
      <c r="M884" s="799"/>
      <c r="N884" s="799"/>
      <c r="O884" s="799"/>
      <c r="P884" s="799"/>
      <c r="Q884" s="799"/>
      <c r="R884" s="799"/>
      <c r="S884" s="799"/>
      <c r="T884" s="799"/>
      <c r="U884" s="799"/>
      <c r="V884" s="799"/>
      <c r="W884" s="799"/>
      <c r="X884" s="799"/>
      <c r="Y884" s="799"/>
      <c r="Z884" s="799"/>
      <c r="AA884" s="799"/>
      <c r="AB884" s="799"/>
      <c r="AC884" s="799"/>
      <c r="AD884" s="799"/>
      <c r="AE884" s="799"/>
      <c r="AF884" s="799"/>
      <c r="AG884" s="799"/>
      <c r="AH884" s="799"/>
      <c r="AI884" s="799"/>
      <c r="AJ884" s="799"/>
      <c r="AK884" s="799"/>
      <c r="AL884" s="799"/>
      <c r="AM884" s="799"/>
      <c r="AN884" s="799"/>
      <c r="AO884" s="799"/>
      <c r="AP884" s="799"/>
      <c r="AQ884" s="799"/>
      <c r="AR884" s="799"/>
      <c r="AS884" s="799"/>
      <c r="AT884" s="799"/>
      <c r="AU884" s="799"/>
      <c r="AV884" s="799"/>
      <c r="AW884" s="799"/>
      <c r="AX884" s="799"/>
      <c r="AY884" s="799"/>
      <c r="AZ884" s="799"/>
      <c r="BA884" s="799"/>
      <c r="BB884" s="799"/>
      <c r="BC884" s="799"/>
      <c r="BD884" s="799"/>
      <c r="BE884" s="799"/>
      <c r="BF884" s="799"/>
      <c r="BG884" s="799"/>
    </row>
    <row r="885">
      <c r="H885" s="799"/>
      <c r="I885" s="799"/>
      <c r="J885" s="799"/>
      <c r="K885" s="799"/>
      <c r="L885" s="799"/>
      <c r="M885" s="799"/>
      <c r="N885" s="799"/>
      <c r="O885" s="799"/>
      <c r="P885" s="799"/>
      <c r="Q885" s="799"/>
      <c r="R885" s="799"/>
      <c r="S885" s="799"/>
      <c r="T885" s="799"/>
      <c r="U885" s="799"/>
      <c r="V885" s="799"/>
      <c r="W885" s="799"/>
      <c r="X885" s="799"/>
      <c r="Y885" s="799"/>
      <c r="Z885" s="799"/>
      <c r="AA885" s="799"/>
      <c r="AB885" s="799"/>
      <c r="AC885" s="799"/>
      <c r="AD885" s="799"/>
      <c r="AE885" s="799"/>
      <c r="AF885" s="799"/>
      <c r="AG885" s="799"/>
      <c r="AH885" s="799"/>
      <c r="AI885" s="799"/>
      <c r="AJ885" s="799"/>
      <c r="AK885" s="799"/>
      <c r="AL885" s="799"/>
      <c r="AM885" s="799"/>
      <c r="AN885" s="799"/>
      <c r="AO885" s="799"/>
      <c r="AP885" s="799"/>
      <c r="AQ885" s="799"/>
      <c r="AR885" s="799"/>
      <c r="AS885" s="799"/>
      <c r="AT885" s="799"/>
      <c r="AU885" s="799"/>
      <c r="AV885" s="799"/>
      <c r="AW885" s="799"/>
      <c r="AX885" s="799"/>
      <c r="AY885" s="799"/>
      <c r="AZ885" s="799"/>
      <c r="BA885" s="799"/>
      <c r="BB885" s="799"/>
      <c r="BC885" s="799"/>
      <c r="BD885" s="799"/>
      <c r="BE885" s="799"/>
      <c r="BF885" s="799"/>
      <c r="BG885" s="799"/>
    </row>
    <row r="886">
      <c r="H886" s="799"/>
      <c r="I886" s="799"/>
      <c r="J886" s="799"/>
      <c r="K886" s="799"/>
      <c r="L886" s="799"/>
      <c r="M886" s="799"/>
      <c r="N886" s="799"/>
      <c r="O886" s="799"/>
      <c r="P886" s="799"/>
      <c r="Q886" s="799"/>
      <c r="R886" s="799"/>
      <c r="S886" s="799"/>
      <c r="T886" s="799"/>
      <c r="U886" s="799"/>
      <c r="V886" s="799"/>
      <c r="W886" s="799"/>
      <c r="X886" s="799"/>
      <c r="Y886" s="799"/>
      <c r="Z886" s="799"/>
      <c r="AA886" s="799"/>
      <c r="AB886" s="799"/>
      <c r="AC886" s="799"/>
      <c r="AD886" s="799"/>
      <c r="AE886" s="799"/>
      <c r="AF886" s="799"/>
      <c r="AG886" s="799"/>
      <c r="AH886" s="799"/>
      <c r="AI886" s="799"/>
      <c r="AJ886" s="799"/>
      <c r="AK886" s="799"/>
      <c r="AL886" s="799"/>
      <c r="AM886" s="799"/>
      <c r="AN886" s="799"/>
      <c r="AO886" s="799"/>
      <c r="AP886" s="799"/>
      <c r="AQ886" s="799"/>
      <c r="AR886" s="799"/>
      <c r="AS886" s="799"/>
      <c r="AT886" s="799"/>
      <c r="AU886" s="799"/>
      <c r="AV886" s="799"/>
      <c r="AW886" s="799"/>
      <c r="AX886" s="799"/>
      <c r="AY886" s="799"/>
      <c r="AZ886" s="799"/>
      <c r="BA886" s="799"/>
      <c r="BB886" s="799"/>
      <c r="BC886" s="799"/>
      <c r="BD886" s="799"/>
      <c r="BE886" s="799"/>
      <c r="BF886" s="799"/>
      <c r="BG886" s="799"/>
    </row>
    <row r="887">
      <c r="H887" s="799"/>
      <c r="I887" s="799"/>
      <c r="J887" s="799"/>
      <c r="K887" s="799"/>
      <c r="L887" s="799"/>
      <c r="M887" s="799"/>
      <c r="N887" s="799"/>
      <c r="O887" s="799"/>
      <c r="P887" s="799"/>
      <c r="Q887" s="799"/>
      <c r="R887" s="799"/>
      <c r="S887" s="799"/>
      <c r="T887" s="799"/>
      <c r="U887" s="799"/>
      <c r="V887" s="799"/>
      <c r="W887" s="799"/>
      <c r="X887" s="799"/>
      <c r="Y887" s="799"/>
      <c r="Z887" s="799"/>
      <c r="AA887" s="799"/>
      <c r="AB887" s="799"/>
      <c r="AC887" s="799"/>
      <c r="AD887" s="799"/>
      <c r="AE887" s="799"/>
      <c r="AF887" s="799"/>
      <c r="AG887" s="799"/>
      <c r="AH887" s="799"/>
      <c r="AI887" s="799"/>
      <c r="AJ887" s="799"/>
      <c r="AK887" s="799"/>
      <c r="AL887" s="799"/>
      <c r="AM887" s="799"/>
      <c r="AN887" s="799"/>
      <c r="AO887" s="799"/>
      <c r="AP887" s="799"/>
      <c r="AQ887" s="799"/>
      <c r="AR887" s="799"/>
      <c r="AS887" s="799"/>
      <c r="AT887" s="799"/>
      <c r="AU887" s="799"/>
      <c r="AV887" s="799"/>
      <c r="AW887" s="799"/>
      <c r="AX887" s="799"/>
      <c r="AY887" s="799"/>
      <c r="AZ887" s="799"/>
      <c r="BA887" s="799"/>
      <c r="BB887" s="799"/>
      <c r="BC887" s="799"/>
      <c r="BD887" s="799"/>
      <c r="BE887" s="799"/>
      <c r="BF887" s="799"/>
      <c r="BG887" s="799"/>
    </row>
    <row r="888">
      <c r="H888" s="799"/>
      <c r="I888" s="799"/>
      <c r="J888" s="799"/>
      <c r="K888" s="799"/>
      <c r="L888" s="799"/>
      <c r="M888" s="799"/>
      <c r="N888" s="799"/>
      <c r="O888" s="799"/>
      <c r="P888" s="799"/>
      <c r="Q888" s="799"/>
      <c r="R888" s="799"/>
      <c r="S888" s="799"/>
      <c r="T888" s="799"/>
      <c r="U888" s="799"/>
      <c r="V888" s="799"/>
      <c r="W888" s="799"/>
      <c r="X888" s="799"/>
      <c r="Y888" s="799"/>
      <c r="Z888" s="799"/>
      <c r="AA888" s="799"/>
      <c r="AB888" s="799"/>
      <c r="AC888" s="799"/>
      <c r="AD888" s="799"/>
      <c r="AE888" s="799"/>
      <c r="AF888" s="799"/>
      <c r="AG888" s="799"/>
      <c r="AH888" s="799"/>
      <c r="AI888" s="799"/>
      <c r="AJ888" s="799"/>
      <c r="AK888" s="799"/>
      <c r="AL888" s="799"/>
      <c r="AM888" s="799"/>
      <c r="AN888" s="799"/>
      <c r="AO888" s="799"/>
      <c r="AP888" s="799"/>
      <c r="AQ888" s="799"/>
      <c r="AR888" s="799"/>
      <c r="AS888" s="799"/>
      <c r="AT888" s="799"/>
      <c r="AU888" s="799"/>
      <c r="AV888" s="799"/>
      <c r="AW888" s="799"/>
      <c r="AX888" s="799"/>
      <c r="AY888" s="799"/>
      <c r="AZ888" s="799"/>
      <c r="BA888" s="799"/>
      <c r="BB888" s="799"/>
      <c r="BC888" s="799"/>
      <c r="BD888" s="799"/>
      <c r="BE888" s="799"/>
      <c r="BF888" s="799"/>
      <c r="BG888" s="799"/>
    </row>
    <row r="889">
      <c r="H889" s="799"/>
      <c r="I889" s="799"/>
      <c r="J889" s="799"/>
      <c r="K889" s="799"/>
      <c r="L889" s="799"/>
      <c r="M889" s="799"/>
      <c r="N889" s="799"/>
      <c r="O889" s="799"/>
      <c r="P889" s="799"/>
      <c r="Q889" s="799"/>
      <c r="R889" s="799"/>
      <c r="S889" s="799"/>
      <c r="T889" s="799"/>
      <c r="U889" s="799"/>
      <c r="V889" s="799"/>
      <c r="W889" s="799"/>
      <c r="X889" s="799"/>
      <c r="Y889" s="799"/>
      <c r="Z889" s="799"/>
      <c r="AA889" s="799"/>
      <c r="AB889" s="799"/>
      <c r="AC889" s="799"/>
      <c r="AD889" s="799"/>
      <c r="AE889" s="799"/>
      <c r="AF889" s="799"/>
      <c r="AG889" s="799"/>
      <c r="AH889" s="799"/>
      <c r="AI889" s="799"/>
      <c r="AJ889" s="799"/>
      <c r="AK889" s="799"/>
      <c r="AL889" s="799"/>
      <c r="AM889" s="799"/>
      <c r="AN889" s="799"/>
      <c r="AO889" s="799"/>
      <c r="AP889" s="799"/>
      <c r="AQ889" s="799"/>
      <c r="AR889" s="799"/>
      <c r="AS889" s="799"/>
      <c r="AT889" s="799"/>
      <c r="AU889" s="799"/>
      <c r="AV889" s="799"/>
      <c r="AW889" s="799"/>
      <c r="AX889" s="799"/>
      <c r="AY889" s="799"/>
      <c r="AZ889" s="799"/>
      <c r="BA889" s="799"/>
      <c r="BB889" s="799"/>
      <c r="BC889" s="799"/>
      <c r="BD889" s="799"/>
      <c r="BE889" s="799"/>
      <c r="BF889" s="799"/>
      <c r="BG889" s="799"/>
    </row>
    <row r="890">
      <c r="H890" s="799"/>
      <c r="I890" s="799"/>
      <c r="J890" s="799"/>
      <c r="K890" s="799"/>
      <c r="L890" s="799"/>
      <c r="M890" s="799"/>
      <c r="N890" s="799"/>
      <c r="O890" s="799"/>
      <c r="P890" s="799"/>
      <c r="Q890" s="799"/>
      <c r="R890" s="799"/>
      <c r="S890" s="799"/>
      <c r="T890" s="799"/>
      <c r="U890" s="799"/>
      <c r="V890" s="799"/>
      <c r="W890" s="799"/>
      <c r="X890" s="799"/>
      <c r="Y890" s="799"/>
      <c r="Z890" s="799"/>
      <c r="AA890" s="799"/>
      <c r="AB890" s="799"/>
      <c r="AC890" s="799"/>
      <c r="AD890" s="799"/>
      <c r="AE890" s="799"/>
      <c r="AF890" s="799"/>
      <c r="AG890" s="799"/>
      <c r="AH890" s="799"/>
      <c r="AI890" s="799"/>
      <c r="AJ890" s="799"/>
      <c r="AK890" s="799"/>
      <c r="AL890" s="799"/>
      <c r="AM890" s="799"/>
      <c r="AN890" s="799"/>
      <c r="AO890" s="799"/>
      <c r="AP890" s="799"/>
      <c r="AQ890" s="799"/>
      <c r="AR890" s="799"/>
      <c r="AS890" s="799"/>
      <c r="AT890" s="799"/>
      <c r="AU890" s="799"/>
      <c r="AV890" s="799"/>
      <c r="AW890" s="799"/>
      <c r="AX890" s="799"/>
      <c r="AY890" s="799"/>
      <c r="AZ890" s="799"/>
      <c r="BA890" s="799"/>
      <c r="BB890" s="799"/>
      <c r="BC890" s="799"/>
      <c r="BD890" s="799"/>
      <c r="BE890" s="799"/>
      <c r="BF890" s="799"/>
      <c r="BG890" s="799"/>
    </row>
    <row r="891">
      <c r="H891" s="799"/>
      <c r="I891" s="799"/>
      <c r="J891" s="799"/>
      <c r="K891" s="799"/>
      <c r="L891" s="799"/>
      <c r="M891" s="799"/>
      <c r="N891" s="799"/>
      <c r="O891" s="799"/>
      <c r="P891" s="799"/>
      <c r="Q891" s="799"/>
      <c r="R891" s="799"/>
      <c r="S891" s="799"/>
      <c r="T891" s="799"/>
      <c r="U891" s="799"/>
      <c r="V891" s="799"/>
      <c r="W891" s="799"/>
      <c r="X891" s="799"/>
      <c r="Y891" s="799"/>
      <c r="Z891" s="799"/>
      <c r="AA891" s="799"/>
      <c r="AB891" s="799"/>
      <c r="AC891" s="799"/>
      <c r="AD891" s="799"/>
      <c r="AE891" s="799"/>
      <c r="AF891" s="799"/>
      <c r="AG891" s="799"/>
      <c r="AH891" s="799"/>
      <c r="AI891" s="799"/>
      <c r="AJ891" s="799"/>
      <c r="AK891" s="799"/>
      <c r="AL891" s="799"/>
      <c r="AM891" s="799"/>
      <c r="AN891" s="799"/>
      <c r="AO891" s="799"/>
      <c r="AP891" s="799"/>
      <c r="AQ891" s="799"/>
      <c r="AR891" s="799"/>
      <c r="AS891" s="799"/>
      <c r="AT891" s="799"/>
      <c r="AU891" s="799"/>
      <c r="AV891" s="799"/>
      <c r="AW891" s="799"/>
      <c r="AX891" s="799"/>
      <c r="AY891" s="799"/>
      <c r="AZ891" s="799"/>
      <c r="BA891" s="799"/>
      <c r="BB891" s="799"/>
      <c r="BC891" s="799"/>
      <c r="BD891" s="799"/>
      <c r="BE891" s="799"/>
      <c r="BF891" s="799"/>
      <c r="BG891" s="799"/>
    </row>
    <row r="892">
      <c r="H892" s="799"/>
      <c r="I892" s="799"/>
      <c r="J892" s="799"/>
      <c r="K892" s="799"/>
      <c r="L892" s="799"/>
      <c r="M892" s="799"/>
      <c r="N892" s="799"/>
      <c r="O892" s="799"/>
      <c r="P892" s="799"/>
      <c r="Q892" s="799"/>
      <c r="R892" s="799"/>
      <c r="S892" s="799"/>
      <c r="T892" s="799"/>
      <c r="U892" s="799"/>
      <c r="V892" s="799"/>
      <c r="W892" s="799"/>
      <c r="X892" s="799"/>
      <c r="Y892" s="799"/>
      <c r="Z892" s="799"/>
      <c r="AA892" s="799"/>
      <c r="AB892" s="799"/>
      <c r="AC892" s="799"/>
      <c r="AD892" s="799"/>
      <c r="AE892" s="799"/>
      <c r="AF892" s="799"/>
      <c r="AG892" s="799"/>
      <c r="AH892" s="799"/>
      <c r="AI892" s="799"/>
      <c r="AJ892" s="799"/>
      <c r="AK892" s="799"/>
      <c r="AL892" s="799"/>
      <c r="AM892" s="799"/>
      <c r="AN892" s="799"/>
      <c r="AO892" s="799"/>
      <c r="AP892" s="799"/>
      <c r="AQ892" s="799"/>
      <c r="AR892" s="799"/>
      <c r="AS892" s="799"/>
      <c r="AT892" s="799"/>
      <c r="AU892" s="799"/>
      <c r="AV892" s="799"/>
      <c r="AW892" s="799"/>
      <c r="AX892" s="799"/>
      <c r="AY892" s="799"/>
      <c r="AZ892" s="799"/>
      <c r="BA892" s="799"/>
      <c r="BB892" s="799"/>
      <c r="BC892" s="799"/>
      <c r="BD892" s="799"/>
      <c r="BE892" s="799"/>
      <c r="BF892" s="799"/>
      <c r="BG892" s="799"/>
    </row>
    <row r="893">
      <c r="H893" s="799"/>
      <c r="I893" s="799"/>
      <c r="J893" s="799"/>
      <c r="K893" s="799"/>
      <c r="L893" s="799"/>
      <c r="M893" s="799"/>
      <c r="N893" s="799"/>
      <c r="O893" s="799"/>
      <c r="P893" s="799"/>
      <c r="Q893" s="799"/>
      <c r="R893" s="799"/>
      <c r="S893" s="799"/>
      <c r="T893" s="799"/>
      <c r="U893" s="799"/>
      <c r="V893" s="799"/>
      <c r="W893" s="799"/>
      <c r="X893" s="799"/>
      <c r="Y893" s="799"/>
      <c r="Z893" s="799"/>
      <c r="AA893" s="799"/>
      <c r="AB893" s="799"/>
      <c r="AC893" s="799"/>
      <c r="AD893" s="799"/>
      <c r="AE893" s="799"/>
      <c r="AF893" s="799"/>
      <c r="AG893" s="799"/>
      <c r="AH893" s="799"/>
      <c r="AI893" s="799"/>
      <c r="AJ893" s="799"/>
      <c r="AK893" s="799"/>
      <c r="AL893" s="799"/>
      <c r="AM893" s="799"/>
      <c r="AN893" s="799"/>
      <c r="AO893" s="799"/>
      <c r="AP893" s="799"/>
      <c r="AQ893" s="799"/>
      <c r="AR893" s="799"/>
      <c r="AS893" s="799"/>
      <c r="AT893" s="799"/>
      <c r="AU893" s="799"/>
      <c r="AV893" s="799"/>
      <c r="AW893" s="799"/>
      <c r="AX893" s="799"/>
      <c r="AY893" s="799"/>
      <c r="AZ893" s="799"/>
      <c r="BA893" s="799"/>
      <c r="BB893" s="799"/>
      <c r="BC893" s="799"/>
      <c r="BD893" s="799"/>
      <c r="BE893" s="799"/>
      <c r="BF893" s="799"/>
      <c r="BG893" s="799"/>
    </row>
    <row r="894">
      <c r="H894" s="799"/>
      <c r="I894" s="799"/>
      <c r="J894" s="799"/>
      <c r="K894" s="799"/>
      <c r="L894" s="799"/>
      <c r="M894" s="799"/>
      <c r="N894" s="799"/>
      <c r="O894" s="799"/>
      <c r="P894" s="799"/>
      <c r="Q894" s="799"/>
      <c r="R894" s="799"/>
      <c r="S894" s="799"/>
      <c r="T894" s="799"/>
      <c r="U894" s="799"/>
      <c r="V894" s="799"/>
      <c r="W894" s="799"/>
      <c r="X894" s="799"/>
      <c r="Y894" s="799"/>
      <c r="Z894" s="799"/>
      <c r="AA894" s="799"/>
      <c r="AB894" s="799"/>
      <c r="AC894" s="799"/>
      <c r="AD894" s="799"/>
      <c r="AE894" s="799"/>
      <c r="AF894" s="799"/>
      <c r="AG894" s="799"/>
      <c r="AH894" s="799"/>
      <c r="AI894" s="799"/>
      <c r="AJ894" s="799"/>
      <c r="AK894" s="799"/>
      <c r="AL894" s="799"/>
      <c r="AM894" s="799"/>
      <c r="AN894" s="799"/>
      <c r="AO894" s="799"/>
      <c r="AP894" s="799"/>
      <c r="AQ894" s="799"/>
      <c r="AR894" s="799"/>
      <c r="AS894" s="799"/>
      <c r="AT894" s="799"/>
      <c r="AU894" s="799"/>
      <c r="AV894" s="799"/>
      <c r="AW894" s="799"/>
      <c r="AX894" s="799"/>
      <c r="AY894" s="799"/>
      <c r="AZ894" s="799"/>
      <c r="BA894" s="799"/>
      <c r="BB894" s="799"/>
      <c r="BC894" s="799"/>
      <c r="BD894" s="799"/>
      <c r="BE894" s="799"/>
      <c r="BF894" s="799"/>
      <c r="BG894" s="799"/>
    </row>
    <row r="895">
      <c r="H895" s="799"/>
      <c r="I895" s="799"/>
      <c r="J895" s="799"/>
      <c r="K895" s="799"/>
      <c r="L895" s="799"/>
      <c r="M895" s="799"/>
      <c r="N895" s="799"/>
      <c r="O895" s="799"/>
      <c r="P895" s="799"/>
      <c r="Q895" s="799"/>
      <c r="R895" s="799"/>
      <c r="S895" s="799"/>
      <c r="T895" s="799"/>
      <c r="U895" s="799"/>
      <c r="V895" s="799"/>
      <c r="W895" s="799"/>
      <c r="X895" s="799"/>
      <c r="Y895" s="799"/>
      <c r="Z895" s="799"/>
      <c r="AA895" s="799"/>
      <c r="AB895" s="799"/>
      <c r="AC895" s="799"/>
      <c r="AD895" s="799"/>
      <c r="AE895" s="799"/>
      <c r="AF895" s="799"/>
      <c r="AG895" s="799"/>
      <c r="AH895" s="799"/>
      <c r="AI895" s="799"/>
      <c r="AJ895" s="799"/>
      <c r="AK895" s="799"/>
      <c r="AL895" s="799"/>
      <c r="AM895" s="799"/>
      <c r="AN895" s="799"/>
      <c r="AO895" s="799"/>
      <c r="AP895" s="799"/>
      <c r="AQ895" s="799"/>
      <c r="AR895" s="799"/>
      <c r="AS895" s="799"/>
      <c r="AT895" s="799"/>
      <c r="AU895" s="799"/>
      <c r="AV895" s="799"/>
      <c r="AW895" s="799"/>
      <c r="AX895" s="799"/>
      <c r="AY895" s="799"/>
      <c r="AZ895" s="799"/>
      <c r="BA895" s="799"/>
      <c r="BB895" s="799"/>
      <c r="BC895" s="799"/>
      <c r="BD895" s="799"/>
      <c r="BE895" s="799"/>
      <c r="BF895" s="799"/>
      <c r="BG895" s="799"/>
    </row>
    <row r="896">
      <c r="H896" s="799"/>
      <c r="I896" s="799"/>
      <c r="J896" s="799"/>
      <c r="K896" s="799"/>
      <c r="L896" s="799"/>
      <c r="M896" s="799"/>
      <c r="N896" s="799"/>
      <c r="O896" s="799"/>
      <c r="P896" s="799"/>
      <c r="Q896" s="799"/>
      <c r="R896" s="799"/>
      <c r="S896" s="799"/>
      <c r="T896" s="799"/>
      <c r="U896" s="799"/>
      <c r="V896" s="799"/>
      <c r="W896" s="799"/>
      <c r="X896" s="799"/>
      <c r="Y896" s="799"/>
      <c r="Z896" s="799"/>
      <c r="AA896" s="799"/>
      <c r="AB896" s="799"/>
      <c r="AC896" s="799"/>
      <c r="AD896" s="799"/>
      <c r="AE896" s="799"/>
      <c r="AF896" s="799"/>
      <c r="AG896" s="799"/>
      <c r="AH896" s="799"/>
      <c r="AI896" s="799"/>
      <c r="AJ896" s="799"/>
      <c r="AK896" s="799"/>
      <c r="AL896" s="799"/>
      <c r="AM896" s="799"/>
      <c r="AN896" s="799"/>
      <c r="AO896" s="799"/>
      <c r="AP896" s="799"/>
      <c r="AQ896" s="799"/>
      <c r="AR896" s="799"/>
      <c r="AS896" s="799"/>
      <c r="AT896" s="799"/>
      <c r="AU896" s="799"/>
      <c r="AV896" s="799"/>
      <c r="AW896" s="799"/>
      <c r="AX896" s="799"/>
      <c r="AY896" s="799"/>
      <c r="AZ896" s="799"/>
      <c r="BA896" s="799"/>
      <c r="BB896" s="799"/>
      <c r="BC896" s="799"/>
      <c r="BD896" s="799"/>
      <c r="BE896" s="799"/>
      <c r="BF896" s="799"/>
      <c r="BG896" s="799"/>
    </row>
    <row r="897">
      <c r="H897" s="799"/>
      <c r="I897" s="799"/>
      <c r="J897" s="799"/>
      <c r="K897" s="799"/>
      <c r="L897" s="799"/>
      <c r="M897" s="799"/>
      <c r="N897" s="799"/>
      <c r="O897" s="799"/>
      <c r="P897" s="799"/>
      <c r="Q897" s="799"/>
      <c r="R897" s="799"/>
      <c r="S897" s="799"/>
      <c r="T897" s="799"/>
      <c r="U897" s="799"/>
      <c r="V897" s="799"/>
      <c r="W897" s="799"/>
      <c r="X897" s="799"/>
      <c r="Y897" s="799"/>
      <c r="Z897" s="799"/>
      <c r="AA897" s="799"/>
      <c r="AB897" s="799"/>
      <c r="AC897" s="799"/>
      <c r="AD897" s="799"/>
      <c r="AE897" s="799"/>
      <c r="AF897" s="799"/>
      <c r="AG897" s="799"/>
      <c r="AH897" s="799"/>
      <c r="AI897" s="799"/>
      <c r="AJ897" s="799"/>
      <c r="AK897" s="799"/>
      <c r="AL897" s="799"/>
      <c r="AM897" s="799"/>
      <c r="AN897" s="799"/>
      <c r="AO897" s="799"/>
      <c r="AP897" s="799"/>
      <c r="AQ897" s="799"/>
      <c r="AR897" s="799"/>
      <c r="AS897" s="799"/>
      <c r="AT897" s="799"/>
      <c r="AU897" s="799"/>
      <c r="AV897" s="799"/>
      <c r="AW897" s="799"/>
      <c r="AX897" s="799"/>
      <c r="AY897" s="799"/>
      <c r="AZ897" s="799"/>
      <c r="BA897" s="799"/>
      <c r="BB897" s="799"/>
      <c r="BC897" s="799"/>
      <c r="BD897" s="799"/>
      <c r="BE897" s="799"/>
      <c r="BF897" s="799"/>
      <c r="BG897" s="799"/>
    </row>
    <row r="898">
      <c r="H898" s="799"/>
      <c r="I898" s="799"/>
      <c r="J898" s="799"/>
      <c r="K898" s="799"/>
      <c r="L898" s="799"/>
      <c r="M898" s="799"/>
      <c r="N898" s="799"/>
      <c r="O898" s="799"/>
      <c r="P898" s="799"/>
      <c r="Q898" s="799"/>
      <c r="R898" s="799"/>
      <c r="S898" s="799"/>
      <c r="T898" s="799"/>
      <c r="U898" s="799"/>
      <c r="V898" s="799"/>
      <c r="W898" s="799"/>
      <c r="X898" s="799"/>
      <c r="Y898" s="799"/>
      <c r="Z898" s="799"/>
      <c r="AA898" s="799"/>
      <c r="AB898" s="799"/>
      <c r="AC898" s="799"/>
      <c r="AD898" s="799"/>
      <c r="AE898" s="799"/>
      <c r="AF898" s="799"/>
      <c r="AG898" s="799"/>
      <c r="AH898" s="799"/>
      <c r="AI898" s="799"/>
      <c r="AJ898" s="799"/>
      <c r="AK898" s="799"/>
      <c r="AL898" s="799"/>
      <c r="AM898" s="799"/>
      <c r="AN898" s="799"/>
      <c r="AO898" s="799"/>
      <c r="AP898" s="799"/>
      <c r="AQ898" s="799"/>
      <c r="AR898" s="799"/>
      <c r="AS898" s="799"/>
      <c r="AT898" s="799"/>
      <c r="AU898" s="799"/>
      <c r="AV898" s="799"/>
      <c r="AW898" s="799"/>
      <c r="AX898" s="799"/>
      <c r="AY898" s="799"/>
      <c r="AZ898" s="799"/>
      <c r="BA898" s="799"/>
      <c r="BB898" s="799"/>
      <c r="BC898" s="799"/>
      <c r="BD898" s="799"/>
      <c r="BE898" s="799"/>
      <c r="BF898" s="799"/>
      <c r="BG898" s="799"/>
    </row>
    <row r="899">
      <c r="H899" s="799"/>
      <c r="I899" s="799"/>
      <c r="J899" s="799"/>
      <c r="K899" s="799"/>
      <c r="L899" s="799"/>
      <c r="M899" s="799"/>
      <c r="N899" s="799"/>
      <c r="O899" s="799"/>
      <c r="P899" s="799"/>
      <c r="Q899" s="799"/>
      <c r="R899" s="799"/>
      <c r="S899" s="799"/>
      <c r="T899" s="799"/>
      <c r="U899" s="799"/>
      <c r="V899" s="799"/>
      <c r="W899" s="799"/>
      <c r="X899" s="799"/>
      <c r="Y899" s="799"/>
      <c r="Z899" s="799"/>
      <c r="AA899" s="799"/>
      <c r="AB899" s="799"/>
      <c r="AC899" s="799"/>
      <c r="AD899" s="799"/>
      <c r="AE899" s="799"/>
      <c r="AF899" s="799"/>
      <c r="AG899" s="799"/>
      <c r="AH899" s="799"/>
      <c r="AI899" s="799"/>
      <c r="AJ899" s="799"/>
      <c r="AK899" s="799"/>
      <c r="AL899" s="799"/>
      <c r="AM899" s="799"/>
      <c r="AN899" s="799"/>
      <c r="AO899" s="799"/>
      <c r="AP899" s="799"/>
      <c r="AQ899" s="799"/>
      <c r="AR899" s="799"/>
      <c r="AS899" s="799"/>
      <c r="AT899" s="799"/>
      <c r="AU899" s="799"/>
      <c r="AV899" s="799"/>
      <c r="AW899" s="799"/>
      <c r="AX899" s="799"/>
      <c r="AY899" s="799"/>
      <c r="AZ899" s="799"/>
      <c r="BA899" s="799"/>
      <c r="BB899" s="799"/>
      <c r="BC899" s="799"/>
      <c r="BD899" s="799"/>
      <c r="BE899" s="799"/>
      <c r="BF899" s="799"/>
      <c r="BG899" s="799"/>
    </row>
    <row r="900">
      <c r="H900" s="799"/>
      <c r="I900" s="799"/>
      <c r="J900" s="799"/>
      <c r="K900" s="799"/>
      <c r="L900" s="799"/>
      <c r="M900" s="799"/>
      <c r="N900" s="799"/>
      <c r="O900" s="799"/>
      <c r="P900" s="799"/>
      <c r="Q900" s="799"/>
      <c r="R900" s="799"/>
      <c r="S900" s="799"/>
      <c r="T900" s="799"/>
      <c r="U900" s="799"/>
      <c r="V900" s="799"/>
      <c r="W900" s="799"/>
      <c r="X900" s="799"/>
      <c r="Y900" s="799"/>
      <c r="Z900" s="799"/>
      <c r="AA900" s="799"/>
      <c r="AB900" s="799"/>
      <c r="AC900" s="799"/>
      <c r="AD900" s="799"/>
      <c r="AE900" s="799"/>
      <c r="AF900" s="799"/>
      <c r="AG900" s="799"/>
      <c r="AH900" s="799"/>
      <c r="AI900" s="799"/>
      <c r="AJ900" s="799"/>
      <c r="AK900" s="799"/>
      <c r="AL900" s="799"/>
      <c r="AM900" s="799"/>
      <c r="AN900" s="799"/>
      <c r="AO900" s="799"/>
      <c r="AP900" s="799"/>
      <c r="AQ900" s="799"/>
      <c r="AR900" s="799"/>
      <c r="AS900" s="799"/>
      <c r="AT900" s="799"/>
      <c r="AU900" s="799"/>
      <c r="AV900" s="799"/>
      <c r="AW900" s="799"/>
      <c r="AX900" s="799"/>
      <c r="AY900" s="799"/>
      <c r="AZ900" s="799"/>
      <c r="BA900" s="799"/>
      <c r="BB900" s="799"/>
      <c r="BC900" s="799"/>
      <c r="BD900" s="799"/>
      <c r="BE900" s="799"/>
      <c r="BF900" s="799"/>
      <c r="BG900" s="799"/>
    </row>
    <row r="901">
      <c r="H901" s="799"/>
      <c r="I901" s="799"/>
      <c r="J901" s="799"/>
      <c r="K901" s="799"/>
      <c r="L901" s="799"/>
      <c r="M901" s="799"/>
      <c r="N901" s="799"/>
      <c r="O901" s="799"/>
      <c r="P901" s="799"/>
      <c r="Q901" s="799"/>
      <c r="R901" s="799"/>
      <c r="S901" s="799"/>
      <c r="T901" s="799"/>
      <c r="U901" s="799"/>
      <c r="V901" s="799"/>
      <c r="W901" s="799"/>
      <c r="X901" s="799"/>
      <c r="Y901" s="799"/>
      <c r="Z901" s="799"/>
      <c r="AA901" s="799"/>
      <c r="AB901" s="799"/>
      <c r="AC901" s="799"/>
      <c r="AD901" s="799"/>
      <c r="AE901" s="799"/>
      <c r="AF901" s="799"/>
      <c r="AG901" s="799"/>
      <c r="AH901" s="799"/>
      <c r="AI901" s="799"/>
      <c r="AJ901" s="799"/>
      <c r="AK901" s="799"/>
      <c r="AL901" s="799"/>
      <c r="AM901" s="799"/>
      <c r="AN901" s="799"/>
      <c r="AO901" s="799"/>
      <c r="AP901" s="799"/>
      <c r="AQ901" s="799"/>
      <c r="AR901" s="799"/>
      <c r="AS901" s="799"/>
      <c r="AT901" s="799"/>
      <c r="AU901" s="799"/>
      <c r="AV901" s="799"/>
      <c r="AW901" s="799"/>
      <c r="AX901" s="799"/>
      <c r="AY901" s="799"/>
      <c r="AZ901" s="799"/>
      <c r="BA901" s="799"/>
      <c r="BB901" s="799"/>
      <c r="BC901" s="799"/>
      <c r="BD901" s="799"/>
      <c r="BE901" s="799"/>
      <c r="BF901" s="799"/>
      <c r="BG901" s="799"/>
    </row>
    <row r="902">
      <c r="H902" s="799"/>
      <c r="I902" s="799"/>
      <c r="J902" s="799"/>
      <c r="K902" s="799"/>
      <c r="L902" s="799"/>
      <c r="M902" s="799"/>
      <c r="N902" s="799"/>
      <c r="O902" s="799"/>
      <c r="P902" s="799"/>
      <c r="Q902" s="799"/>
      <c r="R902" s="799"/>
      <c r="S902" s="799"/>
      <c r="T902" s="799"/>
      <c r="U902" s="799"/>
      <c r="V902" s="799"/>
      <c r="W902" s="799"/>
      <c r="X902" s="799"/>
      <c r="Y902" s="799"/>
      <c r="Z902" s="799"/>
      <c r="AA902" s="799"/>
      <c r="AB902" s="799"/>
      <c r="AC902" s="799"/>
      <c r="AD902" s="799"/>
      <c r="AE902" s="799"/>
      <c r="AF902" s="799"/>
      <c r="AG902" s="799"/>
      <c r="AH902" s="799"/>
      <c r="AI902" s="799"/>
      <c r="AJ902" s="799"/>
      <c r="AK902" s="799"/>
      <c r="AL902" s="799"/>
      <c r="AM902" s="799"/>
      <c r="AN902" s="799"/>
      <c r="AO902" s="799"/>
      <c r="AP902" s="799"/>
      <c r="AQ902" s="799"/>
      <c r="AR902" s="799"/>
      <c r="AS902" s="799"/>
      <c r="AT902" s="799"/>
      <c r="AU902" s="799"/>
      <c r="AV902" s="799"/>
      <c r="AW902" s="799"/>
      <c r="AX902" s="799"/>
      <c r="AY902" s="799"/>
      <c r="AZ902" s="799"/>
      <c r="BA902" s="799"/>
      <c r="BB902" s="799"/>
      <c r="BC902" s="799"/>
      <c r="BD902" s="799"/>
      <c r="BE902" s="799"/>
      <c r="BF902" s="799"/>
      <c r="BG902" s="799"/>
    </row>
    <row r="903">
      <c r="H903" s="799"/>
      <c r="I903" s="799"/>
      <c r="J903" s="799"/>
      <c r="K903" s="799"/>
      <c r="L903" s="799"/>
      <c r="M903" s="799"/>
      <c r="N903" s="799"/>
      <c r="O903" s="799"/>
      <c r="P903" s="799"/>
      <c r="Q903" s="799"/>
      <c r="R903" s="799"/>
      <c r="S903" s="799"/>
      <c r="T903" s="799"/>
      <c r="U903" s="799"/>
      <c r="V903" s="799"/>
      <c r="W903" s="799"/>
      <c r="X903" s="799"/>
      <c r="Y903" s="799"/>
      <c r="Z903" s="799"/>
      <c r="AA903" s="799"/>
      <c r="AB903" s="799"/>
      <c r="AC903" s="799"/>
      <c r="AD903" s="799"/>
      <c r="AE903" s="799"/>
      <c r="AF903" s="799"/>
      <c r="AG903" s="799"/>
      <c r="AH903" s="799"/>
      <c r="AI903" s="799"/>
      <c r="AJ903" s="799"/>
      <c r="AK903" s="799"/>
      <c r="AL903" s="799"/>
      <c r="AM903" s="799"/>
      <c r="AN903" s="799"/>
      <c r="AO903" s="799"/>
      <c r="AP903" s="799"/>
      <c r="AQ903" s="799"/>
      <c r="AR903" s="799"/>
      <c r="AS903" s="799"/>
      <c r="AT903" s="799"/>
      <c r="AU903" s="799"/>
      <c r="AV903" s="799"/>
      <c r="AW903" s="799"/>
      <c r="AX903" s="799"/>
      <c r="AY903" s="799"/>
      <c r="AZ903" s="799"/>
      <c r="BA903" s="799"/>
      <c r="BB903" s="799"/>
      <c r="BC903" s="799"/>
      <c r="BD903" s="799"/>
      <c r="BE903" s="799"/>
      <c r="BF903" s="799"/>
      <c r="BG903" s="799"/>
    </row>
    <row r="904">
      <c r="H904" s="799"/>
      <c r="I904" s="799"/>
      <c r="J904" s="799"/>
      <c r="K904" s="799"/>
      <c r="L904" s="799"/>
      <c r="M904" s="799"/>
      <c r="N904" s="799"/>
      <c r="O904" s="799"/>
      <c r="P904" s="799"/>
      <c r="Q904" s="799"/>
      <c r="R904" s="799"/>
      <c r="S904" s="799"/>
      <c r="T904" s="799"/>
      <c r="U904" s="799"/>
      <c r="V904" s="799"/>
      <c r="W904" s="799"/>
      <c r="X904" s="799"/>
      <c r="Y904" s="799"/>
      <c r="Z904" s="799"/>
      <c r="AA904" s="799"/>
      <c r="AB904" s="799"/>
      <c r="AC904" s="799"/>
      <c r="AD904" s="799"/>
      <c r="AE904" s="799"/>
      <c r="AF904" s="799"/>
      <c r="AG904" s="799"/>
      <c r="AH904" s="799"/>
      <c r="AI904" s="799"/>
      <c r="AJ904" s="799"/>
      <c r="AK904" s="799"/>
      <c r="AL904" s="799"/>
      <c r="AM904" s="799"/>
      <c r="AN904" s="799"/>
      <c r="AO904" s="799"/>
      <c r="AP904" s="799"/>
      <c r="AQ904" s="799"/>
      <c r="AR904" s="799"/>
      <c r="AS904" s="799"/>
      <c r="AT904" s="799"/>
      <c r="AU904" s="799"/>
      <c r="AV904" s="799"/>
      <c r="AW904" s="799"/>
      <c r="AX904" s="799"/>
      <c r="AY904" s="799"/>
      <c r="AZ904" s="799"/>
      <c r="BA904" s="799"/>
      <c r="BB904" s="799"/>
      <c r="BC904" s="799"/>
      <c r="BD904" s="799"/>
      <c r="BE904" s="799"/>
      <c r="BF904" s="799"/>
      <c r="BG904" s="799"/>
    </row>
    <row r="905">
      <c r="H905" s="799"/>
      <c r="I905" s="799"/>
      <c r="J905" s="799"/>
      <c r="K905" s="799"/>
      <c r="L905" s="799"/>
      <c r="M905" s="799"/>
      <c r="N905" s="799"/>
      <c r="O905" s="799"/>
      <c r="P905" s="799"/>
      <c r="Q905" s="799"/>
      <c r="R905" s="799"/>
      <c r="S905" s="799"/>
      <c r="T905" s="799"/>
      <c r="U905" s="799"/>
      <c r="V905" s="799"/>
      <c r="W905" s="799"/>
      <c r="X905" s="799"/>
      <c r="Y905" s="799"/>
      <c r="Z905" s="799"/>
      <c r="AA905" s="799"/>
      <c r="AB905" s="799"/>
      <c r="AC905" s="799"/>
      <c r="AD905" s="799"/>
      <c r="AE905" s="799"/>
      <c r="AF905" s="799"/>
      <c r="AG905" s="799"/>
      <c r="AH905" s="799"/>
      <c r="AI905" s="799"/>
      <c r="AJ905" s="799"/>
      <c r="AK905" s="799"/>
      <c r="AL905" s="799"/>
      <c r="AM905" s="799"/>
      <c r="AN905" s="799"/>
      <c r="AO905" s="799"/>
      <c r="AP905" s="799"/>
      <c r="AQ905" s="799"/>
      <c r="AR905" s="799"/>
      <c r="AS905" s="799"/>
      <c r="AT905" s="799"/>
      <c r="AU905" s="799"/>
      <c r="AV905" s="799"/>
      <c r="AW905" s="799"/>
      <c r="AX905" s="799"/>
      <c r="AY905" s="799"/>
      <c r="AZ905" s="799"/>
      <c r="BA905" s="799"/>
      <c r="BB905" s="799"/>
      <c r="BC905" s="799"/>
      <c r="BD905" s="799"/>
      <c r="BE905" s="799"/>
      <c r="BF905" s="799"/>
      <c r="BG905" s="799"/>
    </row>
    <row r="906">
      <c r="H906" s="799"/>
      <c r="I906" s="799"/>
      <c r="J906" s="799"/>
      <c r="K906" s="799"/>
      <c r="L906" s="799"/>
      <c r="M906" s="799"/>
      <c r="N906" s="799"/>
      <c r="O906" s="799"/>
      <c r="P906" s="799"/>
      <c r="Q906" s="799"/>
      <c r="R906" s="799"/>
      <c r="S906" s="799"/>
      <c r="T906" s="799"/>
      <c r="U906" s="799"/>
      <c r="V906" s="799"/>
      <c r="W906" s="799"/>
      <c r="X906" s="799"/>
      <c r="Y906" s="799"/>
      <c r="Z906" s="799"/>
      <c r="AA906" s="799"/>
      <c r="AB906" s="799"/>
      <c r="AC906" s="799"/>
      <c r="AD906" s="799"/>
      <c r="AE906" s="799"/>
      <c r="AF906" s="799"/>
      <c r="AG906" s="799"/>
      <c r="AH906" s="799"/>
      <c r="AI906" s="799"/>
      <c r="AJ906" s="799"/>
      <c r="AK906" s="799"/>
      <c r="AL906" s="799"/>
      <c r="AM906" s="799"/>
      <c r="AN906" s="799"/>
      <c r="AO906" s="799"/>
      <c r="AP906" s="799"/>
      <c r="AQ906" s="799"/>
      <c r="AR906" s="799"/>
      <c r="AS906" s="799"/>
      <c r="AT906" s="799"/>
      <c r="AU906" s="799"/>
      <c r="AV906" s="799"/>
      <c r="AW906" s="799"/>
      <c r="AX906" s="799"/>
      <c r="AY906" s="799"/>
      <c r="AZ906" s="799"/>
      <c r="BA906" s="799"/>
      <c r="BB906" s="799"/>
      <c r="BC906" s="799"/>
      <c r="BD906" s="799"/>
      <c r="BE906" s="799"/>
      <c r="BF906" s="799"/>
      <c r="BG906" s="799"/>
    </row>
    <row r="907">
      <c r="H907" s="799"/>
      <c r="I907" s="799"/>
      <c r="J907" s="799"/>
      <c r="K907" s="799"/>
      <c r="L907" s="799"/>
      <c r="M907" s="799"/>
      <c r="N907" s="799"/>
      <c r="O907" s="799"/>
      <c r="P907" s="799"/>
      <c r="Q907" s="799"/>
      <c r="R907" s="799"/>
      <c r="S907" s="799"/>
      <c r="T907" s="799"/>
      <c r="U907" s="799"/>
      <c r="V907" s="799"/>
      <c r="W907" s="799"/>
      <c r="X907" s="799"/>
      <c r="Y907" s="799"/>
      <c r="Z907" s="799"/>
      <c r="AA907" s="799"/>
      <c r="AB907" s="799"/>
      <c r="AC907" s="799"/>
      <c r="AD907" s="799"/>
      <c r="AE907" s="799"/>
      <c r="AF907" s="799"/>
      <c r="AG907" s="799"/>
      <c r="AH907" s="799"/>
      <c r="AI907" s="799"/>
      <c r="AJ907" s="799"/>
      <c r="AK907" s="799"/>
      <c r="AL907" s="799"/>
      <c r="AM907" s="799"/>
      <c r="AN907" s="799"/>
      <c r="AO907" s="799"/>
      <c r="AP907" s="799"/>
      <c r="AQ907" s="799"/>
      <c r="AR907" s="799"/>
      <c r="AS907" s="799"/>
      <c r="AT907" s="799"/>
      <c r="AU907" s="799"/>
      <c r="AV907" s="799"/>
      <c r="AW907" s="799"/>
      <c r="AX907" s="799"/>
      <c r="AY907" s="799"/>
      <c r="AZ907" s="799"/>
      <c r="BA907" s="799"/>
      <c r="BB907" s="799"/>
      <c r="BC907" s="799"/>
      <c r="BD907" s="799"/>
      <c r="BE907" s="799"/>
      <c r="BF907" s="799"/>
      <c r="BG907" s="799"/>
    </row>
    <row r="908">
      <c r="H908" s="799"/>
      <c r="I908" s="799"/>
      <c r="J908" s="799"/>
      <c r="K908" s="799"/>
      <c r="L908" s="799"/>
      <c r="M908" s="799"/>
      <c r="N908" s="799"/>
      <c r="O908" s="799"/>
      <c r="P908" s="799"/>
      <c r="Q908" s="799"/>
      <c r="R908" s="799"/>
      <c r="S908" s="799"/>
      <c r="T908" s="799"/>
      <c r="U908" s="799"/>
      <c r="V908" s="799"/>
      <c r="W908" s="799"/>
      <c r="X908" s="799"/>
      <c r="Y908" s="799"/>
      <c r="Z908" s="799"/>
      <c r="AA908" s="799"/>
      <c r="AB908" s="799"/>
      <c r="AC908" s="799"/>
      <c r="AD908" s="799"/>
      <c r="AE908" s="799"/>
      <c r="AF908" s="799"/>
      <c r="AG908" s="799"/>
      <c r="AH908" s="799"/>
      <c r="AI908" s="799"/>
      <c r="AJ908" s="799"/>
      <c r="AK908" s="799"/>
      <c r="AL908" s="799"/>
      <c r="AM908" s="799"/>
      <c r="AN908" s="799"/>
      <c r="AO908" s="799"/>
      <c r="AP908" s="799"/>
      <c r="AQ908" s="799"/>
      <c r="AR908" s="799"/>
      <c r="AS908" s="799"/>
      <c r="AT908" s="799"/>
      <c r="AU908" s="799"/>
      <c r="AV908" s="799"/>
      <c r="AW908" s="799"/>
      <c r="AX908" s="799"/>
      <c r="AY908" s="799"/>
      <c r="AZ908" s="799"/>
      <c r="BA908" s="799"/>
      <c r="BB908" s="799"/>
      <c r="BC908" s="799"/>
      <c r="BD908" s="799"/>
      <c r="BE908" s="799"/>
      <c r="BF908" s="799"/>
      <c r="BG908" s="799"/>
    </row>
    <row r="909">
      <c r="H909" s="799"/>
      <c r="I909" s="799"/>
      <c r="J909" s="799"/>
      <c r="K909" s="799"/>
      <c r="L909" s="799"/>
      <c r="M909" s="799"/>
      <c r="N909" s="799"/>
      <c r="O909" s="799"/>
      <c r="P909" s="799"/>
      <c r="Q909" s="799"/>
      <c r="R909" s="799"/>
      <c r="S909" s="799"/>
      <c r="T909" s="799"/>
      <c r="U909" s="799"/>
      <c r="V909" s="799"/>
      <c r="W909" s="799"/>
      <c r="X909" s="799"/>
      <c r="Y909" s="799"/>
      <c r="Z909" s="799"/>
      <c r="AA909" s="799"/>
      <c r="AB909" s="799"/>
      <c r="AC909" s="799"/>
      <c r="AD909" s="799"/>
      <c r="AE909" s="799"/>
      <c r="AF909" s="799"/>
      <c r="AG909" s="799"/>
      <c r="AH909" s="799"/>
      <c r="AI909" s="799"/>
      <c r="AJ909" s="799"/>
      <c r="AK909" s="799"/>
      <c r="AL909" s="799"/>
      <c r="AM909" s="799"/>
      <c r="AN909" s="799"/>
      <c r="AO909" s="799"/>
      <c r="AP909" s="799"/>
      <c r="AQ909" s="799"/>
      <c r="AR909" s="799"/>
      <c r="AS909" s="799"/>
      <c r="AT909" s="799"/>
      <c r="AU909" s="799"/>
      <c r="AV909" s="799"/>
      <c r="AW909" s="799"/>
      <c r="AX909" s="799"/>
      <c r="AY909" s="799"/>
      <c r="AZ909" s="799"/>
      <c r="BA909" s="799"/>
      <c r="BB909" s="799"/>
      <c r="BC909" s="799"/>
      <c r="BD909" s="799"/>
      <c r="BE909" s="799"/>
      <c r="BF909" s="799"/>
      <c r="BG909" s="799"/>
    </row>
    <row r="910">
      <c r="H910" s="799"/>
      <c r="I910" s="799"/>
      <c r="J910" s="799"/>
      <c r="K910" s="799"/>
      <c r="L910" s="799"/>
      <c r="M910" s="799"/>
      <c r="N910" s="799"/>
      <c r="O910" s="799"/>
      <c r="P910" s="799"/>
      <c r="Q910" s="799"/>
      <c r="R910" s="799"/>
      <c r="S910" s="799"/>
      <c r="T910" s="799"/>
      <c r="U910" s="799"/>
      <c r="V910" s="799"/>
      <c r="W910" s="799"/>
      <c r="X910" s="799"/>
      <c r="Y910" s="799"/>
      <c r="Z910" s="799"/>
      <c r="AA910" s="799"/>
      <c r="AB910" s="799"/>
      <c r="AC910" s="799"/>
      <c r="AD910" s="799"/>
      <c r="AE910" s="799"/>
      <c r="AF910" s="799"/>
      <c r="AG910" s="799"/>
      <c r="AH910" s="799"/>
      <c r="AI910" s="799"/>
      <c r="AJ910" s="799"/>
      <c r="AK910" s="799"/>
      <c r="AL910" s="799"/>
      <c r="AM910" s="799"/>
      <c r="AN910" s="799"/>
      <c r="AO910" s="799"/>
      <c r="AP910" s="799"/>
      <c r="AQ910" s="799"/>
      <c r="AR910" s="799"/>
      <c r="AS910" s="799"/>
      <c r="AT910" s="799"/>
      <c r="AU910" s="799"/>
      <c r="AV910" s="799"/>
      <c r="AW910" s="799"/>
      <c r="AX910" s="799"/>
      <c r="AY910" s="799"/>
      <c r="AZ910" s="799"/>
      <c r="BA910" s="799"/>
      <c r="BB910" s="799"/>
      <c r="BC910" s="799"/>
      <c r="BD910" s="799"/>
      <c r="BE910" s="799"/>
      <c r="BF910" s="799"/>
      <c r="BG910" s="799"/>
    </row>
    <row r="911">
      <c r="H911" s="799"/>
      <c r="I911" s="799"/>
      <c r="J911" s="799"/>
      <c r="K911" s="799"/>
      <c r="L911" s="799"/>
      <c r="M911" s="799"/>
      <c r="N911" s="799"/>
      <c r="O911" s="799"/>
      <c r="P911" s="799"/>
      <c r="Q911" s="799"/>
      <c r="R911" s="799"/>
      <c r="S911" s="799"/>
      <c r="T911" s="799"/>
      <c r="U911" s="799"/>
      <c r="V911" s="799"/>
      <c r="W911" s="799"/>
      <c r="X911" s="799"/>
      <c r="Y911" s="799"/>
      <c r="Z911" s="799"/>
      <c r="AA911" s="799"/>
      <c r="AB911" s="799"/>
      <c r="AC911" s="799"/>
      <c r="AD911" s="799"/>
      <c r="AE911" s="799"/>
      <c r="AF911" s="799"/>
      <c r="AG911" s="799"/>
      <c r="AH911" s="799"/>
      <c r="AI911" s="799"/>
      <c r="AJ911" s="799"/>
      <c r="AK911" s="799"/>
      <c r="AL911" s="799"/>
      <c r="AM911" s="799"/>
      <c r="AN911" s="799"/>
      <c r="AO911" s="799"/>
      <c r="AP911" s="799"/>
      <c r="AQ911" s="799"/>
      <c r="AR911" s="799"/>
      <c r="AS911" s="799"/>
      <c r="AT911" s="799"/>
      <c r="AU911" s="799"/>
      <c r="AV911" s="799"/>
      <c r="AW911" s="799"/>
      <c r="AX911" s="799"/>
      <c r="AY911" s="799"/>
      <c r="AZ911" s="799"/>
      <c r="BA911" s="799"/>
      <c r="BB911" s="799"/>
      <c r="BC911" s="799"/>
      <c r="BD911" s="799"/>
      <c r="BE911" s="799"/>
      <c r="BF911" s="799"/>
      <c r="BG911" s="799"/>
    </row>
    <row r="912">
      <c r="H912" s="799"/>
      <c r="I912" s="799"/>
      <c r="J912" s="799"/>
      <c r="K912" s="799"/>
      <c r="L912" s="799"/>
      <c r="M912" s="799"/>
      <c r="N912" s="799"/>
      <c r="O912" s="799"/>
      <c r="P912" s="799"/>
      <c r="Q912" s="799"/>
      <c r="R912" s="799"/>
      <c r="S912" s="799"/>
      <c r="T912" s="799"/>
      <c r="U912" s="799"/>
      <c r="V912" s="799"/>
      <c r="W912" s="799"/>
      <c r="X912" s="799"/>
      <c r="Y912" s="799"/>
      <c r="Z912" s="799"/>
      <c r="AA912" s="799"/>
      <c r="AB912" s="799"/>
      <c r="AC912" s="799"/>
      <c r="AD912" s="799"/>
      <c r="AE912" s="799"/>
      <c r="AF912" s="799"/>
      <c r="AG912" s="799"/>
      <c r="AH912" s="799"/>
      <c r="AI912" s="799"/>
      <c r="AJ912" s="799"/>
      <c r="AK912" s="799"/>
      <c r="AL912" s="799"/>
      <c r="AM912" s="799"/>
      <c r="AN912" s="799"/>
      <c r="AO912" s="799"/>
      <c r="AP912" s="799"/>
      <c r="AQ912" s="799"/>
      <c r="AR912" s="799"/>
      <c r="AS912" s="799"/>
      <c r="AT912" s="799"/>
      <c r="AU912" s="799"/>
      <c r="AV912" s="799"/>
      <c r="AW912" s="799"/>
      <c r="AX912" s="799"/>
      <c r="AY912" s="799"/>
      <c r="AZ912" s="799"/>
      <c r="BA912" s="799"/>
      <c r="BB912" s="799"/>
      <c r="BC912" s="799"/>
      <c r="BD912" s="799"/>
      <c r="BE912" s="799"/>
      <c r="BF912" s="799"/>
      <c r="BG912" s="799"/>
    </row>
    <row r="913">
      <c r="H913" s="799"/>
      <c r="I913" s="799"/>
      <c r="J913" s="799"/>
      <c r="K913" s="799"/>
      <c r="L913" s="799"/>
      <c r="M913" s="799"/>
      <c r="N913" s="799"/>
      <c r="O913" s="799"/>
      <c r="P913" s="799"/>
      <c r="Q913" s="799"/>
      <c r="R913" s="799"/>
      <c r="S913" s="799"/>
      <c r="T913" s="799"/>
      <c r="U913" s="799"/>
      <c r="V913" s="799"/>
      <c r="W913" s="799"/>
      <c r="X913" s="799"/>
      <c r="Y913" s="799"/>
      <c r="Z913" s="799"/>
      <c r="AA913" s="799"/>
      <c r="AB913" s="799"/>
      <c r="AC913" s="799"/>
      <c r="AD913" s="799"/>
      <c r="AE913" s="799"/>
      <c r="AF913" s="799"/>
      <c r="AG913" s="799"/>
      <c r="AH913" s="799"/>
      <c r="AI913" s="799"/>
      <c r="AJ913" s="799"/>
      <c r="AK913" s="799"/>
      <c r="AL913" s="799"/>
      <c r="AM913" s="799"/>
      <c r="AN913" s="799"/>
      <c r="AO913" s="799"/>
      <c r="AP913" s="799"/>
      <c r="AQ913" s="799"/>
      <c r="AR913" s="799"/>
      <c r="AS913" s="799"/>
      <c r="AT913" s="799"/>
      <c r="AU913" s="799"/>
      <c r="AV913" s="799"/>
      <c r="AW913" s="799"/>
      <c r="AX913" s="799"/>
      <c r="AY913" s="799"/>
      <c r="AZ913" s="799"/>
      <c r="BA913" s="799"/>
      <c r="BB913" s="799"/>
      <c r="BC913" s="799"/>
      <c r="BD913" s="799"/>
      <c r="BE913" s="799"/>
      <c r="BF913" s="799"/>
      <c r="BG913" s="799"/>
    </row>
    <row r="914">
      <c r="H914" s="799"/>
      <c r="I914" s="799"/>
      <c r="J914" s="799"/>
      <c r="K914" s="799"/>
      <c r="L914" s="799"/>
      <c r="M914" s="799"/>
      <c r="N914" s="799"/>
      <c r="O914" s="799"/>
      <c r="P914" s="799"/>
      <c r="Q914" s="799"/>
      <c r="R914" s="799"/>
      <c r="S914" s="799"/>
      <c r="T914" s="799"/>
      <c r="U914" s="799"/>
      <c r="V914" s="799"/>
      <c r="W914" s="799"/>
      <c r="X914" s="799"/>
      <c r="Y914" s="799"/>
      <c r="Z914" s="799"/>
      <c r="AA914" s="799"/>
      <c r="AB914" s="799"/>
      <c r="AC914" s="799"/>
      <c r="AD914" s="799"/>
      <c r="AE914" s="799"/>
      <c r="AF914" s="799"/>
      <c r="AG914" s="799"/>
      <c r="AH914" s="799"/>
      <c r="AI914" s="799"/>
      <c r="AJ914" s="799"/>
      <c r="AK914" s="799"/>
      <c r="AL914" s="799"/>
      <c r="AM914" s="799"/>
      <c r="AN914" s="799"/>
      <c r="AO914" s="799"/>
      <c r="AP914" s="799"/>
      <c r="AQ914" s="799"/>
      <c r="AR914" s="799"/>
      <c r="AS914" s="799"/>
      <c r="AT914" s="799"/>
      <c r="AU914" s="799"/>
      <c r="AV914" s="799"/>
      <c r="AW914" s="799"/>
      <c r="AX914" s="799"/>
      <c r="AY914" s="799"/>
      <c r="AZ914" s="799"/>
      <c r="BA914" s="799"/>
      <c r="BB914" s="799"/>
      <c r="BC914" s="799"/>
      <c r="BD914" s="799"/>
      <c r="BE914" s="799"/>
      <c r="BF914" s="799"/>
      <c r="BG914" s="799"/>
    </row>
    <row r="915">
      <c r="H915" s="799"/>
      <c r="I915" s="799"/>
      <c r="J915" s="799"/>
      <c r="K915" s="799"/>
      <c r="L915" s="799"/>
      <c r="M915" s="799"/>
      <c r="N915" s="799"/>
      <c r="O915" s="799"/>
      <c r="P915" s="799"/>
      <c r="Q915" s="799"/>
      <c r="R915" s="799"/>
      <c r="S915" s="799"/>
      <c r="T915" s="799"/>
      <c r="U915" s="799"/>
      <c r="V915" s="799"/>
      <c r="W915" s="799"/>
      <c r="X915" s="799"/>
      <c r="Y915" s="799"/>
      <c r="Z915" s="799"/>
      <c r="AA915" s="799"/>
      <c r="AB915" s="799"/>
      <c r="AC915" s="799"/>
      <c r="AD915" s="799"/>
      <c r="AE915" s="799"/>
      <c r="AF915" s="799"/>
      <c r="AG915" s="799"/>
      <c r="AH915" s="799"/>
      <c r="AI915" s="799"/>
      <c r="AJ915" s="799"/>
      <c r="AK915" s="799"/>
      <c r="AL915" s="799"/>
      <c r="AM915" s="799"/>
      <c r="AN915" s="799"/>
      <c r="AO915" s="799"/>
      <c r="AP915" s="799"/>
      <c r="AQ915" s="799"/>
      <c r="AR915" s="799"/>
      <c r="AS915" s="799"/>
      <c r="AT915" s="799"/>
      <c r="AU915" s="799"/>
      <c r="AV915" s="799"/>
      <c r="AW915" s="799"/>
      <c r="AX915" s="799"/>
      <c r="AY915" s="799"/>
      <c r="AZ915" s="799"/>
      <c r="BA915" s="799"/>
      <c r="BB915" s="799"/>
      <c r="BC915" s="799"/>
      <c r="BD915" s="799"/>
      <c r="BE915" s="799"/>
      <c r="BF915" s="799"/>
      <c r="BG915" s="799"/>
    </row>
    <row r="916">
      <c r="H916" s="799"/>
      <c r="I916" s="799"/>
      <c r="J916" s="799"/>
      <c r="K916" s="799"/>
      <c r="L916" s="799"/>
      <c r="M916" s="799"/>
      <c r="N916" s="799"/>
      <c r="O916" s="799"/>
      <c r="P916" s="799"/>
      <c r="Q916" s="799"/>
      <c r="R916" s="799"/>
      <c r="S916" s="799"/>
      <c r="T916" s="799"/>
      <c r="U916" s="799"/>
      <c r="V916" s="799"/>
      <c r="W916" s="799"/>
      <c r="X916" s="799"/>
      <c r="Y916" s="799"/>
      <c r="Z916" s="799"/>
      <c r="AA916" s="799"/>
      <c r="AB916" s="799"/>
      <c r="AC916" s="799"/>
      <c r="AD916" s="799"/>
      <c r="AE916" s="799"/>
      <c r="AF916" s="799"/>
      <c r="AG916" s="799"/>
      <c r="AH916" s="799"/>
      <c r="AI916" s="799"/>
      <c r="AJ916" s="799"/>
      <c r="AK916" s="799"/>
      <c r="AL916" s="799"/>
      <c r="AM916" s="799"/>
      <c r="AN916" s="799"/>
      <c r="AO916" s="799"/>
      <c r="AP916" s="799"/>
      <c r="AQ916" s="799"/>
      <c r="AR916" s="799"/>
      <c r="AS916" s="799"/>
      <c r="AT916" s="799"/>
      <c r="AU916" s="799"/>
      <c r="AV916" s="799"/>
      <c r="AW916" s="799"/>
      <c r="AX916" s="799"/>
      <c r="AY916" s="799"/>
      <c r="AZ916" s="799"/>
      <c r="BA916" s="799"/>
      <c r="BB916" s="799"/>
      <c r="BC916" s="799"/>
      <c r="BD916" s="799"/>
      <c r="BE916" s="799"/>
      <c r="BF916" s="799"/>
      <c r="BG916" s="799"/>
    </row>
    <row r="917">
      <c r="H917" s="799"/>
      <c r="I917" s="799"/>
      <c r="J917" s="799"/>
      <c r="K917" s="799"/>
      <c r="L917" s="799"/>
      <c r="M917" s="799"/>
      <c r="N917" s="799"/>
      <c r="O917" s="799"/>
      <c r="P917" s="799"/>
      <c r="Q917" s="799"/>
      <c r="R917" s="799"/>
      <c r="S917" s="799"/>
      <c r="T917" s="799"/>
      <c r="U917" s="799"/>
      <c r="V917" s="799"/>
      <c r="W917" s="799"/>
      <c r="X917" s="799"/>
      <c r="Y917" s="799"/>
      <c r="Z917" s="799"/>
      <c r="AA917" s="799"/>
      <c r="AB917" s="799"/>
      <c r="AC917" s="799"/>
      <c r="AD917" s="799"/>
      <c r="AE917" s="799"/>
      <c r="AF917" s="799"/>
      <c r="AG917" s="799"/>
      <c r="AH917" s="799"/>
      <c r="AI917" s="799"/>
      <c r="AJ917" s="799"/>
      <c r="AK917" s="799"/>
      <c r="AL917" s="799"/>
      <c r="AM917" s="799"/>
      <c r="AN917" s="799"/>
      <c r="AO917" s="799"/>
      <c r="AP917" s="799"/>
      <c r="AQ917" s="799"/>
      <c r="AR917" s="799"/>
      <c r="AS917" s="799"/>
      <c r="AT917" s="799"/>
      <c r="AU917" s="799"/>
      <c r="AV917" s="799"/>
      <c r="AW917" s="799"/>
      <c r="AX917" s="799"/>
      <c r="AY917" s="799"/>
      <c r="AZ917" s="799"/>
      <c r="BA917" s="799"/>
      <c r="BB917" s="799"/>
      <c r="BC917" s="799"/>
      <c r="BD917" s="799"/>
      <c r="BE917" s="799"/>
      <c r="BF917" s="799"/>
      <c r="BG917" s="799"/>
    </row>
    <row r="918">
      <c r="H918" s="799"/>
      <c r="I918" s="799"/>
      <c r="J918" s="799"/>
      <c r="K918" s="799"/>
      <c r="L918" s="799"/>
      <c r="M918" s="799"/>
      <c r="N918" s="799"/>
      <c r="O918" s="799"/>
      <c r="P918" s="799"/>
      <c r="Q918" s="799"/>
      <c r="R918" s="799"/>
      <c r="S918" s="799"/>
      <c r="T918" s="799"/>
      <c r="U918" s="799"/>
      <c r="V918" s="799"/>
      <c r="W918" s="799"/>
      <c r="X918" s="799"/>
      <c r="Y918" s="799"/>
      <c r="Z918" s="799"/>
      <c r="AA918" s="799"/>
      <c r="AB918" s="799"/>
      <c r="AC918" s="799"/>
      <c r="AD918" s="799"/>
      <c r="AE918" s="799"/>
      <c r="AF918" s="799"/>
      <c r="AG918" s="799"/>
      <c r="AH918" s="799"/>
      <c r="AI918" s="799"/>
      <c r="AJ918" s="799"/>
      <c r="AK918" s="799"/>
      <c r="AL918" s="799"/>
      <c r="AM918" s="799"/>
      <c r="AN918" s="799"/>
      <c r="AO918" s="799"/>
      <c r="AP918" s="799"/>
      <c r="AQ918" s="799"/>
      <c r="AR918" s="799"/>
      <c r="AS918" s="799"/>
      <c r="AT918" s="799"/>
      <c r="AU918" s="799"/>
      <c r="AV918" s="799"/>
      <c r="AW918" s="799"/>
      <c r="AX918" s="799"/>
      <c r="AY918" s="799"/>
      <c r="AZ918" s="799"/>
      <c r="BA918" s="799"/>
      <c r="BB918" s="799"/>
      <c r="BC918" s="799"/>
      <c r="BD918" s="799"/>
      <c r="BE918" s="799"/>
      <c r="BF918" s="799"/>
      <c r="BG918" s="799"/>
    </row>
    <row r="919">
      <c r="H919" s="799"/>
      <c r="I919" s="799"/>
      <c r="J919" s="799"/>
      <c r="K919" s="799"/>
      <c r="L919" s="799"/>
      <c r="M919" s="799"/>
      <c r="N919" s="799"/>
      <c r="O919" s="799"/>
      <c r="P919" s="799"/>
      <c r="Q919" s="799"/>
      <c r="R919" s="799"/>
      <c r="S919" s="799"/>
      <c r="T919" s="799"/>
      <c r="U919" s="799"/>
      <c r="V919" s="799"/>
      <c r="W919" s="799"/>
      <c r="X919" s="799"/>
      <c r="Y919" s="799"/>
      <c r="Z919" s="799"/>
      <c r="AA919" s="799"/>
      <c r="AB919" s="799"/>
      <c r="AC919" s="799"/>
      <c r="AD919" s="799"/>
      <c r="AE919" s="799"/>
      <c r="AF919" s="799"/>
      <c r="AG919" s="799"/>
      <c r="AH919" s="799"/>
      <c r="AI919" s="799"/>
      <c r="AJ919" s="799"/>
      <c r="AK919" s="799"/>
      <c r="AL919" s="799"/>
      <c r="AM919" s="799"/>
      <c r="AN919" s="799"/>
      <c r="AO919" s="799"/>
      <c r="AP919" s="799"/>
      <c r="AQ919" s="799"/>
      <c r="AR919" s="799"/>
      <c r="AS919" s="799"/>
      <c r="AT919" s="799"/>
      <c r="AU919" s="799"/>
      <c r="AV919" s="799"/>
      <c r="AW919" s="799"/>
      <c r="AX919" s="799"/>
      <c r="AY919" s="799"/>
      <c r="AZ919" s="799"/>
      <c r="BA919" s="799"/>
      <c r="BB919" s="799"/>
      <c r="BC919" s="799"/>
      <c r="BD919" s="799"/>
      <c r="BE919" s="799"/>
      <c r="BF919" s="799"/>
      <c r="BG919" s="799"/>
    </row>
    <row r="920">
      <c r="H920" s="799"/>
      <c r="I920" s="799"/>
      <c r="J920" s="799"/>
      <c r="K920" s="799"/>
      <c r="L920" s="799"/>
      <c r="M920" s="799"/>
      <c r="N920" s="799"/>
      <c r="O920" s="799"/>
      <c r="P920" s="799"/>
      <c r="Q920" s="799"/>
      <c r="R920" s="799"/>
      <c r="S920" s="799"/>
      <c r="T920" s="799"/>
      <c r="U920" s="799"/>
      <c r="V920" s="799"/>
      <c r="W920" s="799"/>
      <c r="X920" s="799"/>
      <c r="Y920" s="799"/>
      <c r="Z920" s="799"/>
      <c r="AA920" s="799"/>
      <c r="AB920" s="799"/>
      <c r="AC920" s="799"/>
      <c r="AD920" s="799"/>
      <c r="AE920" s="799"/>
      <c r="AF920" s="799"/>
      <c r="AG920" s="799"/>
      <c r="AH920" s="799"/>
      <c r="AI920" s="799"/>
      <c r="AJ920" s="799"/>
      <c r="AK920" s="799"/>
      <c r="AL920" s="799"/>
      <c r="AM920" s="799"/>
      <c r="AN920" s="799"/>
      <c r="AO920" s="799"/>
      <c r="AP920" s="799"/>
      <c r="AQ920" s="799"/>
      <c r="AR920" s="799"/>
      <c r="AS920" s="799"/>
      <c r="AT920" s="799"/>
      <c r="AU920" s="799"/>
      <c r="AV920" s="799"/>
      <c r="AW920" s="799"/>
      <c r="AX920" s="799"/>
      <c r="AY920" s="799"/>
      <c r="AZ920" s="799"/>
      <c r="BA920" s="799"/>
      <c r="BB920" s="799"/>
      <c r="BC920" s="799"/>
      <c r="BD920" s="799"/>
      <c r="BE920" s="799"/>
      <c r="BF920" s="799"/>
      <c r="BG920" s="799"/>
    </row>
    <row r="921">
      <c r="H921" s="799"/>
      <c r="I921" s="799"/>
      <c r="J921" s="799"/>
      <c r="K921" s="799"/>
      <c r="L921" s="799"/>
      <c r="M921" s="799"/>
      <c r="N921" s="799"/>
      <c r="O921" s="799"/>
      <c r="P921" s="799"/>
      <c r="Q921" s="799"/>
      <c r="R921" s="799"/>
      <c r="S921" s="799"/>
      <c r="T921" s="799"/>
      <c r="U921" s="799"/>
      <c r="V921" s="799"/>
      <c r="W921" s="799"/>
      <c r="X921" s="799"/>
      <c r="Y921" s="799"/>
      <c r="Z921" s="799"/>
      <c r="AA921" s="799"/>
      <c r="AB921" s="799"/>
      <c r="AC921" s="799"/>
      <c r="AD921" s="799"/>
      <c r="AE921" s="799"/>
      <c r="AF921" s="799"/>
      <c r="AG921" s="799"/>
      <c r="AH921" s="799"/>
      <c r="AI921" s="799"/>
      <c r="AJ921" s="799"/>
      <c r="AK921" s="799"/>
      <c r="AL921" s="799"/>
      <c r="AM921" s="799"/>
      <c r="AN921" s="799"/>
      <c r="AO921" s="799"/>
      <c r="AP921" s="799"/>
      <c r="AQ921" s="799"/>
      <c r="AR921" s="799"/>
      <c r="AS921" s="799"/>
      <c r="AT921" s="799"/>
      <c r="AU921" s="799"/>
      <c r="AV921" s="799"/>
      <c r="AW921" s="799"/>
      <c r="AX921" s="799"/>
      <c r="AY921" s="799"/>
      <c r="AZ921" s="799"/>
      <c r="BA921" s="799"/>
      <c r="BB921" s="799"/>
      <c r="BC921" s="799"/>
      <c r="BD921" s="799"/>
      <c r="BE921" s="799"/>
      <c r="BF921" s="799"/>
      <c r="BG921" s="799"/>
    </row>
    <row r="922">
      <c r="H922" s="799"/>
      <c r="I922" s="799"/>
      <c r="J922" s="799"/>
      <c r="K922" s="799"/>
      <c r="L922" s="799"/>
      <c r="M922" s="799"/>
      <c r="N922" s="799"/>
      <c r="O922" s="799"/>
      <c r="P922" s="799"/>
      <c r="Q922" s="799"/>
      <c r="R922" s="799"/>
      <c r="S922" s="799"/>
      <c r="T922" s="799"/>
      <c r="U922" s="799"/>
      <c r="V922" s="799"/>
      <c r="W922" s="799"/>
      <c r="X922" s="799"/>
      <c r="Y922" s="799"/>
      <c r="Z922" s="799"/>
      <c r="AA922" s="799"/>
      <c r="AB922" s="799"/>
      <c r="AC922" s="799"/>
      <c r="AD922" s="799"/>
      <c r="AE922" s="799"/>
      <c r="AF922" s="799"/>
      <c r="AG922" s="799"/>
      <c r="AH922" s="799"/>
      <c r="AI922" s="799"/>
      <c r="AJ922" s="799"/>
      <c r="AK922" s="799"/>
      <c r="AL922" s="799"/>
      <c r="AM922" s="799"/>
      <c r="AN922" s="799"/>
      <c r="AO922" s="799"/>
      <c r="AP922" s="799"/>
      <c r="AQ922" s="799"/>
      <c r="AR922" s="799"/>
      <c r="AS922" s="799"/>
      <c r="AT922" s="799"/>
      <c r="AU922" s="799"/>
      <c r="AV922" s="799"/>
      <c r="AW922" s="799"/>
      <c r="AX922" s="799"/>
      <c r="AY922" s="799"/>
      <c r="AZ922" s="799"/>
      <c r="BA922" s="799"/>
      <c r="BB922" s="799"/>
      <c r="BC922" s="799"/>
      <c r="BD922" s="799"/>
      <c r="BE922" s="799"/>
      <c r="BF922" s="799"/>
      <c r="BG922" s="799"/>
    </row>
    <row r="923">
      <c r="H923" s="799"/>
      <c r="I923" s="799"/>
      <c r="J923" s="799"/>
      <c r="K923" s="799"/>
      <c r="L923" s="799"/>
      <c r="M923" s="799"/>
      <c r="N923" s="799"/>
      <c r="O923" s="799"/>
      <c r="P923" s="799"/>
      <c r="Q923" s="799"/>
      <c r="R923" s="799"/>
      <c r="S923" s="799"/>
      <c r="T923" s="799"/>
      <c r="U923" s="799"/>
      <c r="V923" s="799"/>
      <c r="W923" s="799"/>
      <c r="X923" s="799"/>
      <c r="Y923" s="799"/>
      <c r="Z923" s="799"/>
      <c r="AA923" s="799"/>
      <c r="AB923" s="799"/>
      <c r="AC923" s="799"/>
      <c r="AD923" s="799"/>
      <c r="AE923" s="799"/>
      <c r="AF923" s="799"/>
      <c r="AG923" s="799"/>
      <c r="AH923" s="799"/>
      <c r="AI923" s="799"/>
      <c r="AJ923" s="799"/>
      <c r="AK923" s="799"/>
      <c r="AL923" s="799"/>
      <c r="AM923" s="799"/>
      <c r="AN923" s="799"/>
      <c r="AO923" s="799"/>
      <c r="AP923" s="799"/>
      <c r="AQ923" s="799"/>
      <c r="AR923" s="799"/>
      <c r="AS923" s="799"/>
      <c r="AT923" s="799"/>
      <c r="AU923" s="799"/>
      <c r="AV923" s="799"/>
      <c r="AW923" s="799"/>
      <c r="AX923" s="799"/>
      <c r="AY923" s="799"/>
      <c r="AZ923" s="799"/>
      <c r="BA923" s="799"/>
      <c r="BB923" s="799"/>
      <c r="BC923" s="799"/>
      <c r="BD923" s="799"/>
      <c r="BE923" s="799"/>
      <c r="BF923" s="799"/>
      <c r="BG923" s="799"/>
    </row>
    <row r="924">
      <c r="H924" s="799"/>
      <c r="I924" s="799"/>
      <c r="J924" s="799"/>
      <c r="K924" s="799"/>
      <c r="L924" s="799"/>
      <c r="M924" s="799"/>
      <c r="N924" s="799"/>
      <c r="O924" s="799"/>
      <c r="P924" s="799"/>
      <c r="Q924" s="799"/>
      <c r="R924" s="799"/>
      <c r="S924" s="799"/>
      <c r="T924" s="799"/>
      <c r="U924" s="799"/>
      <c r="V924" s="799"/>
      <c r="W924" s="799"/>
      <c r="X924" s="799"/>
      <c r="Y924" s="799"/>
      <c r="Z924" s="799"/>
      <c r="AA924" s="799"/>
      <c r="AB924" s="799"/>
      <c r="AC924" s="799"/>
      <c r="AD924" s="799"/>
      <c r="AE924" s="799"/>
      <c r="AF924" s="799"/>
      <c r="AG924" s="799"/>
      <c r="AH924" s="799"/>
      <c r="AI924" s="799"/>
      <c r="AJ924" s="799"/>
      <c r="AK924" s="799"/>
      <c r="AL924" s="799"/>
      <c r="AM924" s="799"/>
      <c r="AN924" s="799"/>
      <c r="AO924" s="799"/>
      <c r="AP924" s="799"/>
      <c r="AQ924" s="799"/>
      <c r="AR924" s="799"/>
      <c r="AS924" s="799"/>
      <c r="AT924" s="799"/>
      <c r="AU924" s="799"/>
      <c r="AV924" s="799"/>
      <c r="AW924" s="799"/>
      <c r="AX924" s="799"/>
      <c r="AY924" s="799"/>
      <c r="AZ924" s="799"/>
      <c r="BA924" s="799"/>
      <c r="BB924" s="799"/>
      <c r="BC924" s="799"/>
      <c r="BD924" s="799"/>
      <c r="BE924" s="799"/>
      <c r="BF924" s="799"/>
      <c r="BG924" s="799"/>
    </row>
    <row r="925">
      <c r="H925" s="799"/>
      <c r="I925" s="799"/>
      <c r="J925" s="799"/>
      <c r="K925" s="799"/>
      <c r="L925" s="799"/>
      <c r="M925" s="799"/>
      <c r="N925" s="799"/>
      <c r="O925" s="799"/>
      <c r="P925" s="799"/>
      <c r="Q925" s="799"/>
      <c r="R925" s="799"/>
      <c r="S925" s="799"/>
      <c r="T925" s="799"/>
      <c r="U925" s="799"/>
      <c r="V925" s="799"/>
      <c r="W925" s="799"/>
      <c r="X925" s="799"/>
      <c r="Y925" s="799"/>
      <c r="Z925" s="799"/>
      <c r="AA925" s="799"/>
      <c r="AB925" s="799"/>
      <c r="AC925" s="799"/>
      <c r="AD925" s="799"/>
      <c r="AE925" s="799"/>
      <c r="AF925" s="799"/>
      <c r="AG925" s="799"/>
      <c r="AH925" s="799"/>
      <c r="AI925" s="799"/>
      <c r="AJ925" s="799"/>
      <c r="AK925" s="799"/>
      <c r="AL925" s="799"/>
      <c r="AM925" s="799"/>
      <c r="AN925" s="799"/>
      <c r="AO925" s="799"/>
      <c r="AP925" s="799"/>
      <c r="AQ925" s="799"/>
      <c r="AR925" s="799"/>
      <c r="AS925" s="799"/>
      <c r="AT925" s="799"/>
      <c r="AU925" s="799"/>
      <c r="AV925" s="799"/>
      <c r="AW925" s="799"/>
      <c r="AX925" s="799"/>
      <c r="AY925" s="799"/>
      <c r="AZ925" s="799"/>
      <c r="BA925" s="799"/>
      <c r="BB925" s="799"/>
      <c r="BC925" s="799"/>
      <c r="BD925" s="799"/>
      <c r="BE925" s="799"/>
      <c r="BF925" s="799"/>
      <c r="BG925" s="799"/>
    </row>
    <row r="926">
      <c r="H926" s="799"/>
      <c r="I926" s="799"/>
      <c r="J926" s="799"/>
      <c r="K926" s="799"/>
      <c r="L926" s="799"/>
      <c r="M926" s="799"/>
      <c r="N926" s="799"/>
      <c r="O926" s="799"/>
      <c r="P926" s="799"/>
      <c r="Q926" s="799"/>
      <c r="R926" s="799"/>
      <c r="S926" s="799"/>
      <c r="T926" s="799"/>
      <c r="U926" s="799"/>
      <c r="V926" s="799"/>
      <c r="W926" s="799"/>
      <c r="X926" s="799"/>
      <c r="Y926" s="799"/>
      <c r="Z926" s="799"/>
      <c r="AA926" s="799"/>
      <c r="AB926" s="799"/>
      <c r="AC926" s="799"/>
      <c r="AD926" s="799"/>
      <c r="AE926" s="799"/>
      <c r="AF926" s="799"/>
      <c r="AG926" s="799"/>
      <c r="AH926" s="799"/>
      <c r="AI926" s="799"/>
      <c r="AJ926" s="799"/>
      <c r="AK926" s="799"/>
      <c r="AL926" s="799"/>
      <c r="AM926" s="799"/>
      <c r="AN926" s="799"/>
      <c r="AO926" s="799"/>
      <c r="AP926" s="799"/>
      <c r="AQ926" s="799"/>
      <c r="AR926" s="799"/>
      <c r="AS926" s="799"/>
      <c r="AT926" s="799"/>
      <c r="AU926" s="799"/>
      <c r="AV926" s="799"/>
      <c r="AW926" s="799"/>
      <c r="AX926" s="799"/>
      <c r="AY926" s="799"/>
      <c r="AZ926" s="799"/>
      <c r="BA926" s="799"/>
      <c r="BB926" s="799"/>
      <c r="BC926" s="799"/>
      <c r="BD926" s="799"/>
      <c r="BE926" s="799"/>
      <c r="BF926" s="799"/>
      <c r="BG926" s="799"/>
    </row>
    <row r="927">
      <c r="H927" s="799"/>
      <c r="I927" s="799"/>
      <c r="J927" s="799"/>
      <c r="K927" s="799"/>
      <c r="L927" s="799"/>
      <c r="M927" s="799"/>
      <c r="N927" s="799"/>
      <c r="O927" s="799"/>
      <c r="P927" s="799"/>
      <c r="Q927" s="799"/>
      <c r="R927" s="799"/>
      <c r="S927" s="799"/>
      <c r="T927" s="799"/>
      <c r="U927" s="799"/>
      <c r="V927" s="799"/>
      <c r="W927" s="799"/>
      <c r="X927" s="799"/>
      <c r="Y927" s="799"/>
      <c r="Z927" s="799"/>
      <c r="AA927" s="799"/>
      <c r="AB927" s="799"/>
      <c r="AC927" s="799"/>
      <c r="AD927" s="799"/>
      <c r="AE927" s="799"/>
      <c r="AF927" s="799"/>
      <c r="AG927" s="799"/>
      <c r="AH927" s="799"/>
      <c r="AI927" s="799"/>
      <c r="AJ927" s="799"/>
      <c r="AK927" s="799"/>
      <c r="AL927" s="799"/>
      <c r="AM927" s="799"/>
      <c r="AN927" s="799"/>
      <c r="AO927" s="799"/>
      <c r="AP927" s="799"/>
      <c r="AQ927" s="799"/>
      <c r="AR927" s="799"/>
      <c r="AS927" s="799"/>
      <c r="AT927" s="799"/>
      <c r="AU927" s="799"/>
      <c r="AV927" s="799"/>
      <c r="AW927" s="799"/>
      <c r="AX927" s="799"/>
      <c r="AY927" s="799"/>
      <c r="AZ927" s="799"/>
      <c r="BA927" s="799"/>
      <c r="BB927" s="799"/>
      <c r="BC927" s="799"/>
      <c r="BD927" s="799"/>
      <c r="BE927" s="799"/>
      <c r="BF927" s="799"/>
      <c r="BG927" s="799"/>
    </row>
    <row r="928">
      <c r="H928" s="799"/>
      <c r="I928" s="799"/>
      <c r="J928" s="799"/>
      <c r="K928" s="799"/>
      <c r="L928" s="799"/>
      <c r="M928" s="799"/>
      <c r="N928" s="799"/>
      <c r="O928" s="799"/>
      <c r="P928" s="799"/>
      <c r="Q928" s="799"/>
      <c r="R928" s="799"/>
      <c r="S928" s="799"/>
      <c r="T928" s="799"/>
      <c r="U928" s="799"/>
      <c r="V928" s="799"/>
      <c r="W928" s="799"/>
      <c r="X928" s="799"/>
      <c r="Y928" s="799"/>
      <c r="Z928" s="799"/>
      <c r="AA928" s="799"/>
      <c r="AB928" s="799"/>
      <c r="AC928" s="799"/>
      <c r="AD928" s="799"/>
      <c r="AE928" s="799"/>
      <c r="AF928" s="799"/>
      <c r="AG928" s="799"/>
      <c r="AH928" s="799"/>
      <c r="AI928" s="799"/>
      <c r="AJ928" s="799"/>
      <c r="AK928" s="799"/>
      <c r="AL928" s="799"/>
      <c r="AM928" s="799"/>
      <c r="AN928" s="799"/>
      <c r="AO928" s="799"/>
      <c r="AP928" s="799"/>
      <c r="AQ928" s="799"/>
      <c r="AR928" s="799"/>
      <c r="AS928" s="799"/>
      <c r="AT928" s="799"/>
      <c r="AU928" s="799"/>
      <c r="AV928" s="799"/>
      <c r="AW928" s="799"/>
      <c r="AX928" s="799"/>
      <c r="AY928" s="799"/>
      <c r="AZ928" s="799"/>
      <c r="BA928" s="799"/>
      <c r="BB928" s="799"/>
      <c r="BC928" s="799"/>
      <c r="BD928" s="799"/>
      <c r="BE928" s="799"/>
      <c r="BF928" s="799"/>
      <c r="BG928" s="799"/>
    </row>
    <row r="929">
      <c r="H929" s="799"/>
      <c r="I929" s="799"/>
      <c r="J929" s="799"/>
      <c r="K929" s="799"/>
      <c r="L929" s="799"/>
      <c r="M929" s="799"/>
      <c r="N929" s="799"/>
      <c r="O929" s="799"/>
      <c r="P929" s="799"/>
      <c r="Q929" s="799"/>
      <c r="R929" s="799"/>
      <c r="S929" s="799"/>
      <c r="T929" s="799"/>
      <c r="U929" s="799"/>
      <c r="V929" s="799"/>
      <c r="W929" s="799"/>
      <c r="X929" s="799"/>
      <c r="Y929" s="799"/>
      <c r="Z929" s="799"/>
      <c r="AA929" s="799"/>
      <c r="AB929" s="799"/>
      <c r="AC929" s="799"/>
      <c r="AD929" s="799"/>
      <c r="AE929" s="799"/>
      <c r="AF929" s="799"/>
      <c r="AG929" s="799"/>
      <c r="AH929" s="799"/>
      <c r="AI929" s="799"/>
      <c r="AJ929" s="799"/>
      <c r="AK929" s="799"/>
      <c r="AL929" s="799"/>
      <c r="AM929" s="799"/>
      <c r="AN929" s="799"/>
      <c r="AO929" s="799"/>
      <c r="AP929" s="799"/>
      <c r="AQ929" s="799"/>
      <c r="AR929" s="799"/>
      <c r="AS929" s="799"/>
      <c r="AT929" s="799"/>
      <c r="AU929" s="799"/>
      <c r="AV929" s="799"/>
      <c r="AW929" s="799"/>
      <c r="AX929" s="799"/>
      <c r="AY929" s="799"/>
      <c r="AZ929" s="799"/>
      <c r="BA929" s="799"/>
      <c r="BB929" s="799"/>
      <c r="BC929" s="799"/>
      <c r="BD929" s="799"/>
      <c r="BE929" s="799"/>
      <c r="BF929" s="799"/>
      <c r="BG929" s="799"/>
    </row>
    <row r="930">
      <c r="H930" s="799"/>
      <c r="I930" s="799"/>
      <c r="J930" s="799"/>
      <c r="K930" s="799"/>
      <c r="L930" s="799"/>
      <c r="M930" s="799"/>
      <c r="N930" s="799"/>
      <c r="O930" s="799"/>
      <c r="P930" s="799"/>
      <c r="Q930" s="799"/>
      <c r="R930" s="799"/>
      <c r="S930" s="799"/>
      <c r="T930" s="799"/>
      <c r="U930" s="799"/>
      <c r="V930" s="799"/>
      <c r="W930" s="799"/>
      <c r="X930" s="799"/>
      <c r="Y930" s="799"/>
      <c r="Z930" s="799"/>
      <c r="AA930" s="799"/>
      <c r="AB930" s="799"/>
      <c r="AC930" s="799"/>
      <c r="AD930" s="799"/>
      <c r="AE930" s="799"/>
      <c r="AF930" s="799"/>
      <c r="AG930" s="799"/>
      <c r="AH930" s="799"/>
      <c r="AI930" s="799"/>
      <c r="AJ930" s="799"/>
      <c r="AK930" s="799"/>
      <c r="AL930" s="799"/>
      <c r="AM930" s="799"/>
      <c r="AN930" s="799"/>
      <c r="AO930" s="799"/>
      <c r="AP930" s="799"/>
      <c r="AQ930" s="799"/>
      <c r="AR930" s="799"/>
      <c r="AS930" s="799"/>
      <c r="AT930" s="799"/>
      <c r="AU930" s="799"/>
      <c r="AV930" s="799"/>
      <c r="AW930" s="799"/>
      <c r="AX930" s="799"/>
      <c r="AY930" s="799"/>
      <c r="AZ930" s="799"/>
      <c r="BA930" s="799"/>
      <c r="BB930" s="799"/>
      <c r="BC930" s="799"/>
      <c r="BD930" s="799"/>
      <c r="BE930" s="799"/>
      <c r="BF930" s="799"/>
      <c r="BG930" s="799"/>
    </row>
    <row r="931">
      <c r="H931" s="799"/>
      <c r="I931" s="799"/>
      <c r="J931" s="799"/>
      <c r="K931" s="799"/>
      <c r="L931" s="799"/>
      <c r="M931" s="799"/>
      <c r="N931" s="799"/>
      <c r="O931" s="799"/>
      <c r="P931" s="799"/>
      <c r="Q931" s="799"/>
      <c r="R931" s="799"/>
      <c r="S931" s="799"/>
      <c r="T931" s="799"/>
      <c r="U931" s="799"/>
      <c r="V931" s="799"/>
      <c r="W931" s="799"/>
      <c r="X931" s="799"/>
      <c r="Y931" s="799"/>
      <c r="Z931" s="799"/>
      <c r="AA931" s="799"/>
      <c r="AB931" s="799"/>
      <c r="AC931" s="799"/>
      <c r="AD931" s="799"/>
      <c r="AE931" s="799"/>
      <c r="AF931" s="799"/>
      <c r="AG931" s="799"/>
      <c r="AH931" s="799"/>
      <c r="AI931" s="799"/>
      <c r="AJ931" s="799"/>
      <c r="AK931" s="799"/>
      <c r="AL931" s="799"/>
      <c r="AM931" s="799"/>
      <c r="AN931" s="799"/>
      <c r="AO931" s="799"/>
      <c r="AP931" s="799"/>
      <c r="AQ931" s="799"/>
      <c r="AR931" s="799"/>
      <c r="AS931" s="799"/>
      <c r="AT931" s="799"/>
      <c r="AU931" s="799"/>
      <c r="AV931" s="799"/>
      <c r="AW931" s="799"/>
      <c r="AX931" s="799"/>
      <c r="AY931" s="799"/>
      <c r="AZ931" s="799"/>
      <c r="BA931" s="799"/>
      <c r="BB931" s="799"/>
      <c r="BC931" s="799"/>
      <c r="BD931" s="799"/>
      <c r="BE931" s="799"/>
      <c r="BF931" s="799"/>
      <c r="BG931" s="799"/>
    </row>
    <row r="932">
      <c r="H932" s="799"/>
      <c r="I932" s="799"/>
      <c r="J932" s="799"/>
      <c r="K932" s="799"/>
      <c r="L932" s="799"/>
      <c r="M932" s="799"/>
      <c r="N932" s="799"/>
      <c r="O932" s="799"/>
      <c r="P932" s="799"/>
      <c r="Q932" s="799"/>
      <c r="R932" s="799"/>
      <c r="S932" s="799"/>
      <c r="T932" s="799"/>
      <c r="U932" s="799"/>
      <c r="V932" s="799"/>
      <c r="W932" s="799"/>
      <c r="X932" s="799"/>
      <c r="Y932" s="799"/>
      <c r="Z932" s="799"/>
      <c r="AA932" s="799"/>
      <c r="AB932" s="799"/>
      <c r="AC932" s="799"/>
      <c r="AD932" s="799"/>
      <c r="AE932" s="799"/>
      <c r="AF932" s="799"/>
      <c r="AG932" s="799"/>
      <c r="AH932" s="799"/>
      <c r="AI932" s="799"/>
      <c r="AJ932" s="799"/>
      <c r="AK932" s="799"/>
      <c r="AL932" s="799"/>
      <c r="AM932" s="799"/>
      <c r="AN932" s="799"/>
      <c r="AO932" s="799"/>
      <c r="AP932" s="799"/>
      <c r="AQ932" s="799"/>
      <c r="AR932" s="799"/>
      <c r="AS932" s="799"/>
      <c r="AT932" s="799"/>
      <c r="AU932" s="799"/>
      <c r="AV932" s="799"/>
      <c r="AW932" s="799"/>
      <c r="AX932" s="799"/>
      <c r="AY932" s="799"/>
      <c r="AZ932" s="799"/>
      <c r="BA932" s="799"/>
      <c r="BB932" s="799"/>
      <c r="BC932" s="799"/>
      <c r="BD932" s="799"/>
      <c r="BE932" s="799"/>
      <c r="BF932" s="799"/>
      <c r="BG932" s="799"/>
    </row>
    <row r="933">
      <c r="H933" s="799"/>
      <c r="I933" s="799"/>
      <c r="J933" s="799"/>
      <c r="K933" s="799"/>
      <c r="L933" s="799"/>
      <c r="M933" s="799"/>
      <c r="N933" s="799"/>
      <c r="O933" s="799"/>
      <c r="P933" s="799"/>
      <c r="Q933" s="799"/>
      <c r="R933" s="799"/>
      <c r="S933" s="799"/>
      <c r="T933" s="799"/>
      <c r="U933" s="799"/>
      <c r="V933" s="799"/>
      <c r="W933" s="799"/>
      <c r="X933" s="799"/>
      <c r="Y933" s="799"/>
      <c r="Z933" s="799"/>
      <c r="AA933" s="799"/>
      <c r="AB933" s="799"/>
      <c r="AC933" s="799"/>
      <c r="AD933" s="799"/>
      <c r="AE933" s="799"/>
      <c r="AF933" s="799"/>
      <c r="AG933" s="799"/>
      <c r="AH933" s="799"/>
      <c r="AI933" s="799"/>
      <c r="AJ933" s="799"/>
      <c r="AK933" s="799"/>
      <c r="AL933" s="799"/>
      <c r="AM933" s="799"/>
      <c r="AN933" s="799"/>
      <c r="AO933" s="799"/>
      <c r="AP933" s="799"/>
      <c r="AQ933" s="799"/>
      <c r="AR933" s="799"/>
      <c r="AS933" s="799"/>
      <c r="AT933" s="799"/>
      <c r="AU933" s="799"/>
      <c r="AV933" s="799"/>
      <c r="AW933" s="799"/>
      <c r="AX933" s="799"/>
      <c r="AY933" s="799"/>
      <c r="AZ933" s="799"/>
      <c r="BA933" s="799"/>
      <c r="BB933" s="799"/>
      <c r="BC933" s="799"/>
      <c r="BD933" s="799"/>
      <c r="BE933" s="799"/>
      <c r="BF933" s="799"/>
      <c r="BG933" s="799"/>
    </row>
    <row r="934">
      <c r="H934" s="799"/>
      <c r="I934" s="799"/>
      <c r="J934" s="799"/>
      <c r="K934" s="799"/>
      <c r="L934" s="799"/>
      <c r="M934" s="799"/>
      <c r="N934" s="799"/>
      <c r="O934" s="799"/>
      <c r="P934" s="799"/>
      <c r="Q934" s="799"/>
      <c r="R934" s="799"/>
      <c r="S934" s="799"/>
      <c r="T934" s="799"/>
      <c r="U934" s="799"/>
      <c r="V934" s="799"/>
      <c r="W934" s="799"/>
      <c r="X934" s="799"/>
      <c r="Y934" s="799"/>
      <c r="Z934" s="799"/>
      <c r="AA934" s="799"/>
      <c r="AB934" s="799"/>
      <c r="AC934" s="799"/>
      <c r="AD934" s="799"/>
      <c r="AE934" s="799"/>
      <c r="AF934" s="799"/>
      <c r="AG934" s="799"/>
      <c r="AH934" s="799"/>
      <c r="AI934" s="799"/>
      <c r="AJ934" s="799"/>
      <c r="AK934" s="799"/>
      <c r="AL934" s="799"/>
      <c r="AM934" s="799"/>
      <c r="AN934" s="799"/>
      <c r="AO934" s="799"/>
      <c r="AP934" s="799"/>
      <c r="AQ934" s="799"/>
      <c r="AR934" s="799"/>
      <c r="AS934" s="799"/>
      <c r="AT934" s="799"/>
      <c r="AU934" s="799"/>
      <c r="AV934" s="799"/>
      <c r="AW934" s="799"/>
      <c r="AX934" s="799"/>
      <c r="AY934" s="799"/>
      <c r="AZ934" s="799"/>
      <c r="BA934" s="799"/>
      <c r="BB934" s="799"/>
      <c r="BC934" s="799"/>
      <c r="BD934" s="799"/>
      <c r="BE934" s="799"/>
      <c r="BF934" s="799"/>
      <c r="BG934" s="799"/>
    </row>
    <row r="935">
      <c r="H935" s="799"/>
      <c r="I935" s="799"/>
      <c r="J935" s="799"/>
      <c r="K935" s="799"/>
      <c r="L935" s="799"/>
      <c r="M935" s="799"/>
      <c r="N935" s="799"/>
      <c r="O935" s="799"/>
      <c r="P935" s="799"/>
      <c r="Q935" s="799"/>
      <c r="R935" s="799"/>
      <c r="S935" s="799"/>
      <c r="T935" s="799"/>
      <c r="U935" s="799"/>
      <c r="V935" s="799"/>
      <c r="W935" s="799"/>
      <c r="X935" s="799"/>
      <c r="Y935" s="799"/>
      <c r="Z935" s="799"/>
      <c r="AA935" s="799"/>
      <c r="AB935" s="799"/>
      <c r="AC935" s="799"/>
      <c r="AD935" s="799"/>
      <c r="AE935" s="799"/>
      <c r="AF935" s="799"/>
      <c r="AG935" s="799"/>
      <c r="AH935" s="799"/>
      <c r="AI935" s="799"/>
      <c r="AJ935" s="799"/>
      <c r="AK935" s="799"/>
      <c r="AL935" s="799"/>
      <c r="AM935" s="799"/>
      <c r="AN935" s="799"/>
      <c r="AO935" s="799"/>
      <c r="AP935" s="799"/>
      <c r="AQ935" s="799"/>
      <c r="AR935" s="799"/>
      <c r="AS935" s="799"/>
      <c r="AT935" s="799"/>
      <c r="AU935" s="799"/>
      <c r="AV935" s="799"/>
      <c r="AW935" s="799"/>
      <c r="AX935" s="799"/>
      <c r="AY935" s="799"/>
      <c r="AZ935" s="799"/>
      <c r="BA935" s="799"/>
      <c r="BB935" s="799"/>
      <c r="BC935" s="799"/>
      <c r="BD935" s="799"/>
      <c r="BE935" s="799"/>
      <c r="BF935" s="799"/>
      <c r="BG935" s="799"/>
    </row>
    <row r="936">
      <c r="H936" s="799"/>
      <c r="I936" s="799"/>
      <c r="J936" s="799"/>
      <c r="K936" s="799"/>
      <c r="L936" s="799"/>
      <c r="M936" s="799"/>
      <c r="N936" s="799"/>
      <c r="O936" s="799"/>
      <c r="P936" s="799"/>
      <c r="Q936" s="799"/>
      <c r="R936" s="799"/>
      <c r="S936" s="799"/>
      <c r="T936" s="799"/>
      <c r="U936" s="799"/>
      <c r="V936" s="799"/>
      <c r="W936" s="799"/>
      <c r="X936" s="799"/>
      <c r="Y936" s="799"/>
      <c r="Z936" s="799"/>
      <c r="AA936" s="799"/>
      <c r="AB936" s="799"/>
      <c r="AC936" s="799"/>
      <c r="AD936" s="799"/>
      <c r="AE936" s="799"/>
      <c r="AF936" s="799"/>
      <c r="AG936" s="799"/>
      <c r="AH936" s="799"/>
      <c r="AI936" s="799"/>
      <c r="AJ936" s="799"/>
      <c r="AK936" s="799"/>
      <c r="AL936" s="799"/>
      <c r="AM936" s="799"/>
      <c r="AN936" s="799"/>
      <c r="AO936" s="799"/>
      <c r="AP936" s="799"/>
      <c r="AQ936" s="799"/>
      <c r="AR936" s="799"/>
      <c r="AS936" s="799"/>
      <c r="AT936" s="799"/>
      <c r="AU936" s="799"/>
      <c r="AV936" s="799"/>
      <c r="AW936" s="799"/>
      <c r="AX936" s="799"/>
      <c r="AY936" s="799"/>
      <c r="AZ936" s="799"/>
      <c r="BA936" s="799"/>
      <c r="BB936" s="799"/>
      <c r="BC936" s="799"/>
      <c r="BD936" s="799"/>
      <c r="BE936" s="799"/>
      <c r="BF936" s="799"/>
      <c r="BG936" s="799"/>
    </row>
    <row r="937">
      <c r="H937" s="799"/>
      <c r="I937" s="799"/>
      <c r="J937" s="799"/>
      <c r="K937" s="799"/>
      <c r="L937" s="799"/>
      <c r="M937" s="799"/>
      <c r="N937" s="799"/>
      <c r="O937" s="799"/>
      <c r="P937" s="799"/>
      <c r="Q937" s="799"/>
      <c r="R937" s="799"/>
      <c r="S937" s="799"/>
      <c r="T937" s="799"/>
      <c r="U937" s="799"/>
      <c r="V937" s="799"/>
      <c r="W937" s="799"/>
      <c r="X937" s="799"/>
      <c r="Y937" s="799"/>
      <c r="Z937" s="799"/>
      <c r="AA937" s="799"/>
      <c r="AB937" s="799"/>
      <c r="AC937" s="799"/>
      <c r="AD937" s="799"/>
      <c r="AE937" s="799"/>
      <c r="AF937" s="799"/>
      <c r="AG937" s="799"/>
      <c r="AH937" s="799"/>
      <c r="AI937" s="799"/>
      <c r="AJ937" s="799"/>
      <c r="AK937" s="799"/>
      <c r="AL937" s="799"/>
      <c r="AM937" s="799"/>
      <c r="AN937" s="799"/>
      <c r="AO937" s="799"/>
      <c r="AP937" s="799"/>
      <c r="AQ937" s="799"/>
      <c r="AR937" s="799"/>
      <c r="AS937" s="799"/>
      <c r="AT937" s="799"/>
      <c r="AU937" s="799"/>
      <c r="AV937" s="799"/>
      <c r="AW937" s="799"/>
      <c r="AX937" s="799"/>
      <c r="AY937" s="799"/>
      <c r="AZ937" s="799"/>
      <c r="BA937" s="799"/>
      <c r="BB937" s="799"/>
      <c r="BC937" s="799"/>
      <c r="BD937" s="799"/>
      <c r="BE937" s="799"/>
      <c r="BF937" s="799"/>
      <c r="BG937" s="799"/>
    </row>
    <row r="938">
      <c r="H938" s="799"/>
      <c r="I938" s="799"/>
      <c r="J938" s="799"/>
      <c r="K938" s="799"/>
      <c r="L938" s="799"/>
      <c r="M938" s="799"/>
      <c r="N938" s="799"/>
      <c r="O938" s="799"/>
      <c r="P938" s="799"/>
      <c r="Q938" s="799"/>
      <c r="R938" s="799"/>
      <c r="S938" s="799"/>
      <c r="T938" s="799"/>
      <c r="U938" s="799"/>
      <c r="V938" s="799"/>
      <c r="W938" s="799"/>
      <c r="X938" s="799"/>
      <c r="Y938" s="799"/>
      <c r="Z938" s="799"/>
      <c r="AA938" s="799"/>
      <c r="AB938" s="799"/>
      <c r="AC938" s="799"/>
      <c r="AD938" s="799"/>
      <c r="AE938" s="799"/>
      <c r="AF938" s="799"/>
      <c r="AG938" s="799"/>
      <c r="AH938" s="799"/>
      <c r="AI938" s="799"/>
      <c r="AJ938" s="799"/>
      <c r="AK938" s="799"/>
      <c r="AL938" s="799"/>
      <c r="AM938" s="799"/>
      <c r="AN938" s="799"/>
      <c r="AO938" s="799"/>
      <c r="AP938" s="799"/>
      <c r="AQ938" s="799"/>
      <c r="AR938" s="799"/>
      <c r="AS938" s="799"/>
      <c r="AT938" s="799"/>
      <c r="AU938" s="799"/>
      <c r="AV938" s="799"/>
      <c r="AW938" s="799"/>
      <c r="AX938" s="799"/>
      <c r="AY938" s="799"/>
      <c r="AZ938" s="799"/>
      <c r="BA938" s="799"/>
      <c r="BB938" s="799"/>
      <c r="BC938" s="799"/>
      <c r="BD938" s="799"/>
      <c r="BE938" s="799"/>
      <c r="BF938" s="799"/>
      <c r="BG938" s="799"/>
    </row>
    <row r="939">
      <c r="H939" s="799"/>
      <c r="I939" s="799"/>
      <c r="J939" s="799"/>
      <c r="K939" s="799"/>
      <c r="L939" s="799"/>
      <c r="M939" s="799"/>
      <c r="N939" s="799"/>
      <c r="O939" s="799"/>
      <c r="P939" s="799"/>
      <c r="Q939" s="799"/>
      <c r="R939" s="799"/>
      <c r="S939" s="799"/>
      <c r="T939" s="799"/>
      <c r="U939" s="799"/>
      <c r="V939" s="799"/>
      <c r="W939" s="799"/>
      <c r="X939" s="799"/>
      <c r="Y939" s="799"/>
      <c r="Z939" s="799"/>
      <c r="AA939" s="799"/>
      <c r="AB939" s="799"/>
      <c r="AC939" s="799"/>
      <c r="AD939" s="799"/>
      <c r="AE939" s="799"/>
      <c r="AF939" s="799"/>
      <c r="AG939" s="799"/>
      <c r="AH939" s="799"/>
      <c r="AI939" s="799"/>
      <c r="AJ939" s="799"/>
      <c r="AK939" s="799"/>
      <c r="AL939" s="799"/>
      <c r="AM939" s="799"/>
      <c r="AN939" s="799"/>
      <c r="AO939" s="799"/>
      <c r="AP939" s="799"/>
      <c r="AQ939" s="799"/>
      <c r="AR939" s="799"/>
      <c r="AS939" s="799"/>
      <c r="AT939" s="799"/>
      <c r="AU939" s="799"/>
      <c r="AV939" s="799"/>
      <c r="AW939" s="799"/>
      <c r="AX939" s="799"/>
      <c r="AY939" s="799"/>
      <c r="AZ939" s="799"/>
      <c r="BA939" s="799"/>
      <c r="BB939" s="799"/>
      <c r="BC939" s="799"/>
      <c r="BD939" s="799"/>
      <c r="BE939" s="799"/>
      <c r="BF939" s="799"/>
      <c r="BG939" s="799"/>
    </row>
    <row r="940">
      <c r="H940" s="799"/>
      <c r="I940" s="799"/>
      <c r="J940" s="799"/>
      <c r="K940" s="799"/>
      <c r="L940" s="799"/>
      <c r="M940" s="799"/>
      <c r="N940" s="799"/>
      <c r="O940" s="799"/>
      <c r="P940" s="799"/>
      <c r="Q940" s="799"/>
      <c r="R940" s="799"/>
      <c r="S940" s="799"/>
      <c r="T940" s="799"/>
      <c r="U940" s="799"/>
      <c r="V940" s="799"/>
      <c r="W940" s="799"/>
      <c r="X940" s="799"/>
      <c r="Y940" s="799"/>
      <c r="Z940" s="799"/>
      <c r="AA940" s="799"/>
      <c r="AB940" s="799"/>
      <c r="AC940" s="799"/>
      <c r="AD940" s="799"/>
      <c r="AE940" s="799"/>
      <c r="AF940" s="799"/>
      <c r="AG940" s="799"/>
      <c r="AH940" s="799"/>
      <c r="AI940" s="799"/>
      <c r="AJ940" s="799"/>
      <c r="AK940" s="799"/>
      <c r="AL940" s="799"/>
      <c r="AM940" s="799"/>
      <c r="AN940" s="799"/>
      <c r="AO940" s="799"/>
      <c r="AP940" s="799"/>
      <c r="AQ940" s="799"/>
      <c r="AR940" s="799"/>
      <c r="AS940" s="799"/>
      <c r="AT940" s="799"/>
      <c r="AU940" s="799"/>
      <c r="AV940" s="799"/>
      <c r="AW940" s="799"/>
      <c r="AX940" s="799"/>
      <c r="AY940" s="799"/>
      <c r="AZ940" s="799"/>
      <c r="BA940" s="799"/>
      <c r="BB940" s="799"/>
      <c r="BC940" s="799"/>
      <c r="BD940" s="799"/>
      <c r="BE940" s="799"/>
      <c r="BF940" s="799"/>
      <c r="BG940" s="799"/>
    </row>
    <row r="941">
      <c r="H941" s="799"/>
      <c r="I941" s="799"/>
      <c r="J941" s="799"/>
      <c r="K941" s="799"/>
      <c r="L941" s="799"/>
      <c r="M941" s="799"/>
      <c r="N941" s="799"/>
      <c r="O941" s="799"/>
      <c r="P941" s="799"/>
      <c r="Q941" s="799"/>
      <c r="R941" s="799"/>
      <c r="S941" s="799"/>
      <c r="T941" s="799"/>
      <c r="U941" s="799"/>
      <c r="V941" s="799"/>
      <c r="W941" s="799"/>
      <c r="X941" s="799"/>
      <c r="Y941" s="799"/>
      <c r="Z941" s="799"/>
      <c r="AA941" s="799"/>
      <c r="AB941" s="799"/>
      <c r="AC941" s="799"/>
      <c r="AD941" s="799"/>
      <c r="AE941" s="799"/>
      <c r="AF941" s="799"/>
      <c r="AG941" s="799"/>
      <c r="AH941" s="799"/>
      <c r="AI941" s="799"/>
      <c r="AJ941" s="799"/>
      <c r="AK941" s="799"/>
      <c r="AL941" s="799"/>
      <c r="AM941" s="799"/>
      <c r="AN941" s="799"/>
      <c r="AO941" s="799"/>
      <c r="AP941" s="799"/>
      <c r="AQ941" s="799"/>
      <c r="AR941" s="799"/>
      <c r="AS941" s="799"/>
      <c r="AT941" s="799"/>
      <c r="AU941" s="799"/>
      <c r="AV941" s="799"/>
      <c r="AW941" s="799"/>
      <c r="AX941" s="799"/>
      <c r="AY941" s="799"/>
      <c r="AZ941" s="799"/>
      <c r="BA941" s="799"/>
      <c r="BB941" s="799"/>
      <c r="BC941" s="799"/>
      <c r="BD941" s="799"/>
      <c r="BE941" s="799"/>
      <c r="BF941" s="799"/>
      <c r="BG941" s="799"/>
    </row>
    <row r="942">
      <c r="H942" s="799"/>
      <c r="I942" s="799"/>
      <c r="J942" s="799"/>
      <c r="K942" s="799"/>
      <c r="L942" s="799"/>
      <c r="M942" s="799"/>
      <c r="N942" s="799"/>
      <c r="O942" s="799"/>
      <c r="P942" s="799"/>
      <c r="Q942" s="799"/>
      <c r="R942" s="799"/>
      <c r="S942" s="799"/>
      <c r="T942" s="799"/>
      <c r="U942" s="799"/>
      <c r="V942" s="799"/>
      <c r="W942" s="799"/>
      <c r="X942" s="799"/>
      <c r="Y942" s="799"/>
      <c r="Z942" s="799"/>
      <c r="AA942" s="799"/>
      <c r="AB942" s="799"/>
      <c r="AC942" s="799"/>
      <c r="AD942" s="799"/>
      <c r="AE942" s="799"/>
      <c r="AF942" s="799"/>
      <c r="AG942" s="799"/>
      <c r="AH942" s="799"/>
      <c r="AI942" s="799"/>
      <c r="AJ942" s="799"/>
      <c r="AK942" s="799"/>
      <c r="AL942" s="799"/>
      <c r="AM942" s="799"/>
      <c r="AN942" s="799"/>
      <c r="AO942" s="799"/>
      <c r="AP942" s="799"/>
      <c r="AQ942" s="799"/>
      <c r="AR942" s="799"/>
      <c r="AS942" s="799"/>
      <c r="AT942" s="799"/>
      <c r="AU942" s="799"/>
      <c r="AV942" s="799"/>
      <c r="AW942" s="799"/>
      <c r="AX942" s="799"/>
      <c r="AY942" s="799"/>
      <c r="AZ942" s="799"/>
      <c r="BA942" s="799"/>
      <c r="BB942" s="799"/>
      <c r="BC942" s="799"/>
      <c r="BD942" s="799"/>
      <c r="BE942" s="799"/>
      <c r="BF942" s="799"/>
      <c r="BG942" s="799"/>
    </row>
    <row r="943">
      <c r="H943" s="799"/>
      <c r="I943" s="799"/>
      <c r="J943" s="799"/>
      <c r="K943" s="799"/>
      <c r="L943" s="799"/>
      <c r="M943" s="799"/>
      <c r="N943" s="799"/>
      <c r="O943" s="799"/>
      <c r="P943" s="799"/>
      <c r="Q943" s="799"/>
      <c r="R943" s="799"/>
      <c r="S943" s="799"/>
      <c r="T943" s="799"/>
      <c r="U943" s="799"/>
      <c r="V943" s="799"/>
      <c r="W943" s="799"/>
      <c r="X943" s="799"/>
      <c r="Y943" s="799"/>
      <c r="Z943" s="799"/>
      <c r="AA943" s="799"/>
      <c r="AB943" s="799"/>
      <c r="AC943" s="799"/>
      <c r="AD943" s="799"/>
      <c r="AE943" s="799"/>
      <c r="AF943" s="799"/>
      <c r="AG943" s="799"/>
      <c r="AH943" s="799"/>
      <c r="AI943" s="799"/>
      <c r="AJ943" s="799"/>
      <c r="AK943" s="799"/>
      <c r="AL943" s="799"/>
      <c r="AM943" s="799"/>
      <c r="AN943" s="799"/>
      <c r="AO943" s="799"/>
      <c r="AP943" s="799"/>
      <c r="AQ943" s="799"/>
      <c r="AR943" s="799"/>
      <c r="AS943" s="799"/>
      <c r="AT943" s="799"/>
      <c r="AU943" s="799"/>
      <c r="AV943" s="799"/>
      <c r="AW943" s="799"/>
      <c r="AX943" s="799"/>
      <c r="AY943" s="799"/>
      <c r="AZ943" s="799"/>
      <c r="BA943" s="799"/>
      <c r="BB943" s="799"/>
      <c r="BC943" s="799"/>
      <c r="BD943" s="799"/>
      <c r="BE943" s="799"/>
      <c r="BF943" s="799"/>
      <c r="BG943" s="799"/>
    </row>
    <row r="944">
      <c r="H944" s="799"/>
      <c r="I944" s="799"/>
      <c r="J944" s="799"/>
      <c r="K944" s="799"/>
      <c r="L944" s="799"/>
      <c r="M944" s="799"/>
      <c r="N944" s="799"/>
      <c r="O944" s="799"/>
      <c r="P944" s="799"/>
      <c r="Q944" s="799"/>
      <c r="R944" s="799"/>
      <c r="S944" s="799"/>
      <c r="T944" s="799"/>
      <c r="U944" s="799"/>
      <c r="V944" s="799"/>
      <c r="W944" s="799"/>
      <c r="X944" s="799"/>
      <c r="Y944" s="799"/>
      <c r="Z944" s="799"/>
      <c r="AA944" s="799"/>
      <c r="AB944" s="799"/>
      <c r="AC944" s="799"/>
      <c r="AD944" s="799"/>
      <c r="AE944" s="799"/>
      <c r="AF944" s="799"/>
      <c r="AG944" s="799"/>
      <c r="AH944" s="799"/>
      <c r="AI944" s="799"/>
      <c r="AJ944" s="799"/>
      <c r="AK944" s="799"/>
      <c r="AL944" s="799"/>
      <c r="AM944" s="799"/>
      <c r="AN944" s="799"/>
      <c r="AO944" s="799"/>
      <c r="AP944" s="799"/>
      <c r="AQ944" s="799"/>
      <c r="AR944" s="799"/>
      <c r="AS944" s="799"/>
      <c r="AT944" s="799"/>
      <c r="AU944" s="799"/>
      <c r="AV944" s="799"/>
      <c r="AW944" s="799"/>
      <c r="AX944" s="799"/>
      <c r="AY944" s="799"/>
      <c r="AZ944" s="799"/>
      <c r="BA944" s="799"/>
      <c r="BB944" s="799"/>
      <c r="BC944" s="799"/>
      <c r="BD944" s="799"/>
      <c r="BE944" s="799"/>
      <c r="BF944" s="799"/>
      <c r="BG944" s="799"/>
    </row>
    <row r="945">
      <c r="H945" s="799"/>
      <c r="I945" s="799"/>
      <c r="J945" s="799"/>
      <c r="K945" s="799"/>
      <c r="L945" s="799"/>
      <c r="M945" s="799"/>
      <c r="N945" s="799"/>
      <c r="O945" s="799"/>
      <c r="P945" s="799"/>
      <c r="Q945" s="799"/>
      <c r="R945" s="799"/>
      <c r="S945" s="799"/>
      <c r="T945" s="799"/>
      <c r="U945" s="799"/>
      <c r="V945" s="799"/>
      <c r="W945" s="799"/>
      <c r="X945" s="799"/>
      <c r="Y945" s="799"/>
      <c r="Z945" s="799"/>
      <c r="AA945" s="799"/>
      <c r="AB945" s="799"/>
      <c r="AC945" s="799"/>
      <c r="AD945" s="799"/>
      <c r="AE945" s="799"/>
      <c r="AF945" s="799"/>
      <c r="AG945" s="799"/>
      <c r="AH945" s="799"/>
      <c r="AI945" s="799"/>
      <c r="AJ945" s="799"/>
      <c r="AK945" s="799"/>
      <c r="AL945" s="799"/>
      <c r="AM945" s="799"/>
      <c r="AN945" s="799"/>
      <c r="AO945" s="799"/>
      <c r="AP945" s="799"/>
      <c r="AQ945" s="799"/>
      <c r="AR945" s="799"/>
      <c r="AS945" s="799"/>
      <c r="AT945" s="799"/>
      <c r="AU945" s="799"/>
      <c r="AV945" s="799"/>
      <c r="AW945" s="799"/>
      <c r="AX945" s="799"/>
      <c r="AY945" s="799"/>
      <c r="AZ945" s="799"/>
      <c r="BA945" s="799"/>
      <c r="BB945" s="799"/>
      <c r="BC945" s="799"/>
      <c r="BD945" s="799"/>
      <c r="BE945" s="799"/>
      <c r="BF945" s="799"/>
      <c r="BG945" s="799"/>
    </row>
    <row r="946">
      <c r="H946" s="799"/>
      <c r="I946" s="799"/>
      <c r="J946" s="799"/>
      <c r="K946" s="799"/>
      <c r="L946" s="799"/>
      <c r="M946" s="799"/>
      <c r="N946" s="799"/>
      <c r="O946" s="799"/>
      <c r="P946" s="799"/>
      <c r="Q946" s="799"/>
      <c r="R946" s="799"/>
      <c r="S946" s="799"/>
      <c r="T946" s="799"/>
      <c r="U946" s="799"/>
      <c r="V946" s="799"/>
      <c r="W946" s="799"/>
      <c r="X946" s="799"/>
      <c r="Y946" s="799"/>
      <c r="Z946" s="799"/>
      <c r="AA946" s="799"/>
      <c r="AB946" s="799"/>
      <c r="AC946" s="799"/>
      <c r="AD946" s="799"/>
      <c r="AE946" s="799"/>
      <c r="AF946" s="799"/>
      <c r="AG946" s="799"/>
      <c r="AH946" s="799"/>
      <c r="AI946" s="799"/>
      <c r="AJ946" s="799"/>
      <c r="AK946" s="799"/>
      <c r="AL946" s="799"/>
      <c r="AM946" s="799"/>
      <c r="AN946" s="799"/>
      <c r="AO946" s="799"/>
      <c r="AP946" s="799"/>
      <c r="AQ946" s="799"/>
      <c r="AR946" s="799"/>
      <c r="AS946" s="799"/>
      <c r="AT946" s="799"/>
      <c r="AU946" s="799"/>
      <c r="AV946" s="799"/>
      <c r="AW946" s="799"/>
      <c r="AX946" s="799"/>
      <c r="AY946" s="799"/>
      <c r="AZ946" s="799"/>
      <c r="BA946" s="799"/>
      <c r="BB946" s="799"/>
      <c r="BC946" s="799"/>
      <c r="BD946" s="799"/>
      <c r="BE946" s="799"/>
      <c r="BF946" s="799"/>
      <c r="BG946" s="799"/>
    </row>
    <row r="947">
      <c r="H947" s="799"/>
      <c r="I947" s="799"/>
      <c r="J947" s="799"/>
      <c r="K947" s="799"/>
      <c r="L947" s="799"/>
      <c r="M947" s="799"/>
      <c r="N947" s="799"/>
      <c r="O947" s="799"/>
      <c r="P947" s="799"/>
      <c r="Q947" s="799"/>
      <c r="R947" s="799"/>
      <c r="S947" s="799"/>
      <c r="T947" s="799"/>
      <c r="U947" s="799"/>
      <c r="V947" s="799"/>
      <c r="W947" s="799"/>
      <c r="X947" s="799"/>
      <c r="Y947" s="799"/>
      <c r="Z947" s="799"/>
      <c r="AA947" s="799"/>
      <c r="AB947" s="799"/>
      <c r="AC947" s="799"/>
      <c r="AD947" s="799"/>
      <c r="AE947" s="799"/>
      <c r="AF947" s="799"/>
      <c r="AG947" s="799"/>
      <c r="AH947" s="799"/>
      <c r="AI947" s="799"/>
      <c r="AJ947" s="799"/>
      <c r="AK947" s="799"/>
      <c r="AL947" s="799"/>
      <c r="AM947" s="799"/>
      <c r="AN947" s="799"/>
      <c r="AO947" s="799"/>
      <c r="AP947" s="799"/>
      <c r="AQ947" s="799"/>
      <c r="AR947" s="799"/>
      <c r="AS947" s="799"/>
      <c r="AT947" s="799"/>
      <c r="AU947" s="799"/>
      <c r="AV947" s="799"/>
      <c r="AW947" s="799"/>
      <c r="AX947" s="799"/>
      <c r="AY947" s="799"/>
      <c r="AZ947" s="799"/>
      <c r="BA947" s="799"/>
      <c r="BB947" s="799"/>
      <c r="BC947" s="799"/>
      <c r="BD947" s="799"/>
      <c r="BE947" s="799"/>
      <c r="BF947" s="799"/>
      <c r="BG947" s="799"/>
    </row>
    <row r="948">
      <c r="H948" s="799"/>
      <c r="I948" s="799"/>
      <c r="J948" s="799"/>
      <c r="K948" s="799"/>
      <c r="L948" s="799"/>
      <c r="M948" s="799"/>
      <c r="N948" s="799"/>
      <c r="O948" s="799"/>
      <c r="P948" s="799"/>
      <c r="Q948" s="799"/>
      <c r="R948" s="799"/>
      <c r="S948" s="799"/>
      <c r="T948" s="799"/>
      <c r="U948" s="799"/>
      <c r="V948" s="799"/>
      <c r="W948" s="799"/>
      <c r="X948" s="799"/>
      <c r="Y948" s="799"/>
      <c r="Z948" s="799"/>
      <c r="AA948" s="799"/>
      <c r="AB948" s="799"/>
      <c r="AC948" s="799"/>
      <c r="AD948" s="799"/>
      <c r="AE948" s="799"/>
      <c r="AF948" s="799"/>
      <c r="AG948" s="799"/>
      <c r="AH948" s="799"/>
      <c r="AI948" s="799"/>
      <c r="AJ948" s="799"/>
      <c r="AK948" s="799"/>
      <c r="AL948" s="799"/>
      <c r="AM948" s="799"/>
      <c r="AN948" s="799"/>
      <c r="AO948" s="799"/>
      <c r="AP948" s="799"/>
      <c r="AQ948" s="799"/>
      <c r="AR948" s="799"/>
      <c r="AS948" s="799"/>
      <c r="AT948" s="799"/>
      <c r="AU948" s="799"/>
      <c r="AV948" s="799"/>
      <c r="AW948" s="799"/>
      <c r="AX948" s="799"/>
      <c r="AY948" s="799"/>
      <c r="AZ948" s="799"/>
      <c r="BA948" s="799"/>
      <c r="BB948" s="799"/>
      <c r="BC948" s="799"/>
      <c r="BD948" s="799"/>
      <c r="BE948" s="799"/>
      <c r="BF948" s="799"/>
      <c r="BG948" s="799"/>
    </row>
    <row r="949">
      <c r="H949" s="799"/>
      <c r="I949" s="799"/>
      <c r="J949" s="799"/>
      <c r="K949" s="799"/>
      <c r="L949" s="799"/>
      <c r="M949" s="799"/>
      <c r="N949" s="799"/>
      <c r="O949" s="799"/>
      <c r="P949" s="799"/>
      <c r="Q949" s="799"/>
      <c r="R949" s="799"/>
      <c r="S949" s="799"/>
      <c r="T949" s="799"/>
      <c r="U949" s="799"/>
      <c r="V949" s="799"/>
      <c r="W949" s="799"/>
      <c r="X949" s="799"/>
      <c r="Y949" s="799"/>
      <c r="Z949" s="799"/>
      <c r="AA949" s="799"/>
      <c r="AB949" s="799"/>
      <c r="AC949" s="799"/>
      <c r="AD949" s="799"/>
      <c r="AE949" s="799"/>
      <c r="AF949" s="799"/>
      <c r="AG949" s="799"/>
      <c r="AH949" s="799"/>
      <c r="AI949" s="799"/>
      <c r="AJ949" s="799"/>
      <c r="AK949" s="799"/>
      <c r="AL949" s="799"/>
      <c r="AM949" s="799"/>
      <c r="AN949" s="799"/>
      <c r="AO949" s="799"/>
      <c r="AP949" s="799"/>
      <c r="AQ949" s="799"/>
      <c r="AR949" s="799"/>
      <c r="AS949" s="799"/>
      <c r="AT949" s="799"/>
      <c r="AU949" s="799"/>
      <c r="AV949" s="799"/>
      <c r="AW949" s="799"/>
      <c r="AX949" s="799"/>
      <c r="AY949" s="799"/>
      <c r="AZ949" s="799"/>
      <c r="BA949" s="799"/>
      <c r="BB949" s="799"/>
      <c r="BC949" s="799"/>
      <c r="BD949" s="799"/>
      <c r="BE949" s="799"/>
      <c r="BF949" s="799"/>
      <c r="BG949" s="799"/>
    </row>
    <row r="950">
      <c r="H950" s="799"/>
      <c r="I950" s="799"/>
      <c r="J950" s="799"/>
      <c r="K950" s="799"/>
      <c r="L950" s="799"/>
      <c r="M950" s="799"/>
      <c r="N950" s="799"/>
      <c r="O950" s="799"/>
      <c r="P950" s="799"/>
      <c r="Q950" s="799"/>
      <c r="R950" s="799"/>
      <c r="S950" s="799"/>
      <c r="T950" s="799"/>
      <c r="U950" s="799"/>
      <c r="V950" s="799"/>
      <c r="W950" s="799"/>
      <c r="X950" s="799"/>
      <c r="Y950" s="799"/>
      <c r="Z950" s="799"/>
      <c r="AA950" s="799"/>
      <c r="AB950" s="799"/>
      <c r="AC950" s="799"/>
      <c r="AD950" s="799"/>
      <c r="AE950" s="799"/>
      <c r="AF950" s="799"/>
      <c r="AG950" s="799"/>
      <c r="AH950" s="799"/>
      <c r="AI950" s="799"/>
      <c r="AJ950" s="799"/>
      <c r="AK950" s="799"/>
      <c r="AL950" s="799"/>
      <c r="AM950" s="799"/>
      <c r="AN950" s="799"/>
      <c r="AO950" s="799"/>
      <c r="AP950" s="799"/>
      <c r="AQ950" s="799"/>
      <c r="AR950" s="799"/>
      <c r="AS950" s="799"/>
      <c r="AT950" s="799"/>
      <c r="AU950" s="799"/>
      <c r="AV950" s="799"/>
      <c r="AW950" s="799"/>
      <c r="AX950" s="799"/>
      <c r="AY950" s="799"/>
      <c r="AZ950" s="799"/>
      <c r="BA950" s="799"/>
      <c r="BB950" s="799"/>
      <c r="BC950" s="799"/>
      <c r="BD950" s="799"/>
      <c r="BE950" s="799"/>
      <c r="BF950" s="799"/>
      <c r="BG950" s="799"/>
    </row>
    <row r="951">
      <c r="H951" s="799"/>
      <c r="I951" s="799"/>
      <c r="J951" s="799"/>
      <c r="K951" s="799"/>
      <c r="L951" s="799"/>
      <c r="M951" s="799"/>
      <c r="N951" s="799"/>
      <c r="O951" s="799"/>
      <c r="P951" s="799"/>
      <c r="Q951" s="799"/>
      <c r="R951" s="799"/>
      <c r="S951" s="799"/>
      <c r="T951" s="799"/>
      <c r="U951" s="799"/>
      <c r="V951" s="799"/>
      <c r="W951" s="799"/>
      <c r="X951" s="799"/>
      <c r="Y951" s="799"/>
      <c r="Z951" s="799"/>
      <c r="AA951" s="799"/>
      <c r="AB951" s="799"/>
      <c r="AC951" s="799"/>
      <c r="AD951" s="799"/>
      <c r="AE951" s="799"/>
      <c r="AF951" s="799"/>
      <c r="AG951" s="799"/>
      <c r="AH951" s="799"/>
      <c r="AI951" s="799"/>
      <c r="AJ951" s="799"/>
      <c r="AK951" s="799"/>
      <c r="AL951" s="799"/>
      <c r="AM951" s="799"/>
      <c r="AN951" s="799"/>
      <c r="AO951" s="799"/>
      <c r="AP951" s="799"/>
      <c r="AQ951" s="799"/>
      <c r="AR951" s="799"/>
      <c r="AS951" s="799"/>
      <c r="AT951" s="799"/>
      <c r="AU951" s="799"/>
      <c r="AV951" s="799"/>
      <c r="AW951" s="799"/>
      <c r="AX951" s="799"/>
      <c r="AY951" s="799"/>
      <c r="AZ951" s="799"/>
      <c r="BA951" s="799"/>
      <c r="BB951" s="799"/>
      <c r="BC951" s="799"/>
      <c r="BD951" s="799"/>
      <c r="BE951" s="799"/>
      <c r="BF951" s="799"/>
      <c r="BG951" s="799"/>
    </row>
    <row r="952">
      <c r="H952" s="799"/>
      <c r="I952" s="799"/>
      <c r="J952" s="799"/>
      <c r="K952" s="799"/>
      <c r="L952" s="799"/>
      <c r="M952" s="799"/>
      <c r="N952" s="799"/>
      <c r="O952" s="799"/>
      <c r="P952" s="799"/>
      <c r="Q952" s="799"/>
      <c r="R952" s="799"/>
      <c r="S952" s="799"/>
      <c r="T952" s="799"/>
      <c r="U952" s="799"/>
      <c r="V952" s="799"/>
      <c r="W952" s="799"/>
      <c r="X952" s="799"/>
      <c r="Y952" s="799"/>
      <c r="Z952" s="799"/>
      <c r="AA952" s="799"/>
      <c r="AB952" s="799"/>
      <c r="AC952" s="799"/>
      <c r="AD952" s="799"/>
      <c r="AE952" s="799"/>
      <c r="AF952" s="799"/>
      <c r="AG952" s="799"/>
      <c r="AH952" s="799"/>
      <c r="AI952" s="799"/>
      <c r="AJ952" s="799"/>
      <c r="AK952" s="799"/>
      <c r="AL952" s="799"/>
      <c r="AM952" s="799"/>
      <c r="AN952" s="799"/>
      <c r="AO952" s="799"/>
      <c r="AP952" s="799"/>
      <c r="AQ952" s="799"/>
      <c r="AR952" s="799"/>
      <c r="AS952" s="799"/>
      <c r="AT952" s="799"/>
      <c r="AU952" s="799"/>
      <c r="AV952" s="799"/>
      <c r="AW952" s="799"/>
      <c r="AX952" s="799"/>
      <c r="AY952" s="799"/>
      <c r="AZ952" s="799"/>
      <c r="BA952" s="799"/>
      <c r="BB952" s="799"/>
      <c r="BC952" s="799"/>
      <c r="BD952" s="799"/>
      <c r="BE952" s="799"/>
      <c r="BF952" s="799"/>
      <c r="BG952" s="799"/>
    </row>
    <row r="953">
      <c r="H953" s="799"/>
      <c r="I953" s="799"/>
      <c r="J953" s="799"/>
      <c r="K953" s="799"/>
      <c r="L953" s="799"/>
      <c r="M953" s="799"/>
      <c r="N953" s="799"/>
      <c r="O953" s="799"/>
      <c r="P953" s="799"/>
      <c r="Q953" s="799"/>
      <c r="R953" s="799"/>
      <c r="S953" s="799"/>
      <c r="T953" s="799"/>
      <c r="U953" s="799"/>
      <c r="V953" s="799"/>
      <c r="W953" s="799"/>
      <c r="X953" s="799"/>
      <c r="Y953" s="799"/>
      <c r="Z953" s="799"/>
      <c r="AA953" s="799"/>
      <c r="AB953" s="799"/>
      <c r="AC953" s="799"/>
      <c r="AD953" s="799"/>
      <c r="AE953" s="799"/>
      <c r="AF953" s="799"/>
      <c r="AG953" s="799"/>
      <c r="AH953" s="799"/>
      <c r="AI953" s="799"/>
      <c r="AJ953" s="799"/>
      <c r="AK953" s="799"/>
      <c r="AL953" s="799"/>
      <c r="AM953" s="799"/>
      <c r="AN953" s="799"/>
      <c r="AO953" s="799"/>
      <c r="AP953" s="799"/>
      <c r="AQ953" s="799"/>
      <c r="AR953" s="799"/>
      <c r="AS953" s="799"/>
      <c r="AT953" s="799"/>
      <c r="AU953" s="799"/>
      <c r="AV953" s="799"/>
      <c r="AW953" s="799"/>
      <c r="AX953" s="799"/>
      <c r="AY953" s="799"/>
      <c r="AZ953" s="799"/>
      <c r="BA953" s="799"/>
      <c r="BB953" s="799"/>
      <c r="BC953" s="799"/>
      <c r="BD953" s="799"/>
      <c r="BE953" s="799"/>
      <c r="BF953" s="799"/>
      <c r="BG953" s="799"/>
    </row>
    <row r="954">
      <c r="H954" s="799"/>
      <c r="I954" s="799"/>
      <c r="J954" s="799"/>
      <c r="K954" s="799"/>
      <c r="L954" s="799"/>
      <c r="M954" s="799"/>
      <c r="N954" s="799"/>
      <c r="O954" s="799"/>
      <c r="P954" s="799"/>
      <c r="Q954" s="799"/>
      <c r="R954" s="799"/>
      <c r="S954" s="799"/>
      <c r="T954" s="799"/>
      <c r="U954" s="799"/>
      <c r="V954" s="799"/>
      <c r="W954" s="799"/>
      <c r="X954" s="799"/>
      <c r="Y954" s="799"/>
      <c r="Z954" s="799"/>
      <c r="AA954" s="799"/>
      <c r="AB954" s="799"/>
      <c r="AC954" s="799"/>
      <c r="AD954" s="799"/>
      <c r="AE954" s="799"/>
      <c r="AF954" s="799"/>
      <c r="AG954" s="799"/>
      <c r="AH954" s="799"/>
      <c r="AI954" s="799"/>
      <c r="AJ954" s="799"/>
      <c r="AK954" s="799"/>
      <c r="AL954" s="799"/>
      <c r="AM954" s="799"/>
      <c r="AN954" s="799"/>
      <c r="AO954" s="799"/>
      <c r="AP954" s="799"/>
      <c r="AQ954" s="799"/>
      <c r="AR954" s="799"/>
      <c r="AS954" s="799"/>
      <c r="AT954" s="799"/>
      <c r="AU954" s="799"/>
      <c r="AV954" s="799"/>
      <c r="AW954" s="799"/>
      <c r="AX954" s="799"/>
      <c r="AY954" s="799"/>
      <c r="AZ954" s="799"/>
      <c r="BA954" s="799"/>
      <c r="BB954" s="799"/>
      <c r="BC954" s="799"/>
      <c r="BD954" s="799"/>
      <c r="BE954" s="799"/>
      <c r="BF954" s="799"/>
      <c r="BG954" s="799"/>
    </row>
    <row r="955">
      <c r="H955" s="799"/>
      <c r="I955" s="799"/>
      <c r="J955" s="799"/>
      <c r="K955" s="799"/>
      <c r="L955" s="799"/>
      <c r="M955" s="799"/>
      <c r="N955" s="799"/>
      <c r="O955" s="799"/>
      <c r="P955" s="799"/>
      <c r="Q955" s="799"/>
      <c r="R955" s="799"/>
      <c r="S955" s="799"/>
      <c r="T955" s="799"/>
      <c r="U955" s="799"/>
      <c r="V955" s="799"/>
      <c r="W955" s="799"/>
      <c r="X955" s="799"/>
      <c r="Y955" s="799"/>
      <c r="Z955" s="799"/>
      <c r="AA955" s="799"/>
      <c r="AB955" s="799"/>
      <c r="AC955" s="799"/>
      <c r="AD955" s="799"/>
      <c r="AE955" s="799"/>
      <c r="AF955" s="799"/>
      <c r="AG955" s="799"/>
      <c r="AH955" s="799"/>
      <c r="AI955" s="799"/>
      <c r="AJ955" s="799"/>
      <c r="AK955" s="799"/>
      <c r="AL955" s="799"/>
      <c r="AM955" s="799"/>
      <c r="AN955" s="799"/>
      <c r="AO955" s="799"/>
      <c r="AP955" s="799"/>
      <c r="AQ955" s="799"/>
      <c r="AR955" s="799"/>
      <c r="AS955" s="799"/>
      <c r="AT955" s="799"/>
      <c r="AU955" s="799"/>
      <c r="AV955" s="799"/>
      <c r="AW955" s="799"/>
      <c r="AX955" s="799"/>
      <c r="AY955" s="799"/>
      <c r="AZ955" s="799"/>
      <c r="BA955" s="799"/>
      <c r="BB955" s="799"/>
      <c r="BC955" s="799"/>
      <c r="BD955" s="799"/>
      <c r="BE955" s="799"/>
      <c r="BF955" s="799"/>
      <c r="BG955" s="799"/>
    </row>
    <row r="956">
      <c r="H956" s="799"/>
      <c r="I956" s="799"/>
      <c r="J956" s="799"/>
      <c r="K956" s="799"/>
      <c r="L956" s="799"/>
      <c r="M956" s="799"/>
      <c r="N956" s="799"/>
      <c r="O956" s="799"/>
      <c r="P956" s="799"/>
      <c r="Q956" s="799"/>
      <c r="R956" s="799"/>
      <c r="S956" s="799"/>
      <c r="T956" s="799"/>
      <c r="U956" s="799"/>
      <c r="V956" s="799"/>
      <c r="W956" s="799"/>
      <c r="X956" s="799"/>
      <c r="Y956" s="799"/>
      <c r="Z956" s="799"/>
      <c r="AA956" s="799"/>
      <c r="AB956" s="799"/>
      <c r="AC956" s="799"/>
      <c r="AD956" s="799"/>
      <c r="AE956" s="799"/>
      <c r="AF956" s="799"/>
      <c r="AG956" s="799"/>
      <c r="AH956" s="799"/>
      <c r="AI956" s="799"/>
      <c r="AJ956" s="799"/>
      <c r="AK956" s="799"/>
      <c r="AL956" s="799"/>
      <c r="AM956" s="799"/>
      <c r="AN956" s="799"/>
      <c r="AO956" s="799"/>
      <c r="AP956" s="799"/>
      <c r="AQ956" s="799"/>
      <c r="AR956" s="799"/>
      <c r="AS956" s="799"/>
      <c r="AT956" s="799"/>
      <c r="AU956" s="799"/>
      <c r="AV956" s="799"/>
      <c r="AW956" s="799"/>
      <c r="AX956" s="799"/>
      <c r="AY956" s="799"/>
      <c r="AZ956" s="799"/>
      <c r="BA956" s="799"/>
      <c r="BB956" s="799"/>
      <c r="BC956" s="799"/>
      <c r="BD956" s="799"/>
      <c r="BE956" s="799"/>
      <c r="BF956" s="799"/>
      <c r="BG956" s="799"/>
    </row>
    <row r="957">
      <c r="H957" s="799"/>
      <c r="I957" s="799"/>
      <c r="J957" s="799"/>
      <c r="K957" s="799"/>
      <c r="L957" s="799"/>
      <c r="M957" s="799"/>
      <c r="N957" s="799"/>
      <c r="O957" s="799"/>
      <c r="P957" s="799"/>
      <c r="Q957" s="799"/>
      <c r="R957" s="799"/>
      <c r="S957" s="799"/>
      <c r="T957" s="799"/>
      <c r="U957" s="799"/>
      <c r="V957" s="799"/>
      <c r="W957" s="799"/>
      <c r="X957" s="799"/>
      <c r="Y957" s="799"/>
      <c r="Z957" s="799"/>
      <c r="AA957" s="799"/>
      <c r="AB957" s="799"/>
      <c r="AC957" s="799"/>
      <c r="AD957" s="799"/>
      <c r="AE957" s="799"/>
      <c r="AF957" s="799"/>
      <c r="AG957" s="799"/>
      <c r="AH957" s="799"/>
      <c r="AI957" s="799"/>
      <c r="AJ957" s="799"/>
      <c r="AK957" s="799"/>
      <c r="AL957" s="799"/>
      <c r="AM957" s="799"/>
      <c r="AN957" s="799"/>
      <c r="AO957" s="799"/>
      <c r="AP957" s="799"/>
      <c r="AQ957" s="799"/>
      <c r="AR957" s="799"/>
      <c r="AS957" s="799"/>
      <c r="AT957" s="799"/>
      <c r="AU957" s="799"/>
      <c r="AV957" s="799"/>
      <c r="AW957" s="799"/>
      <c r="AX957" s="799"/>
      <c r="AY957" s="799"/>
      <c r="AZ957" s="799"/>
      <c r="BA957" s="799"/>
      <c r="BB957" s="799"/>
      <c r="BC957" s="799"/>
      <c r="BD957" s="799"/>
      <c r="BE957" s="799"/>
      <c r="BF957" s="799"/>
      <c r="BG957" s="799"/>
    </row>
    <row r="958">
      <c r="H958" s="799"/>
      <c r="I958" s="799"/>
      <c r="J958" s="799"/>
      <c r="K958" s="799"/>
      <c r="L958" s="799"/>
      <c r="M958" s="799"/>
      <c r="N958" s="799"/>
      <c r="O958" s="799"/>
      <c r="P958" s="799"/>
      <c r="Q958" s="799"/>
      <c r="R958" s="799"/>
      <c r="S958" s="799"/>
      <c r="T958" s="799"/>
      <c r="U958" s="799"/>
      <c r="V958" s="799"/>
      <c r="W958" s="799"/>
      <c r="X958" s="799"/>
      <c r="Y958" s="799"/>
      <c r="Z958" s="799"/>
      <c r="AA958" s="799"/>
      <c r="AB958" s="799"/>
      <c r="AC958" s="799"/>
      <c r="AD958" s="799"/>
      <c r="AE958" s="799"/>
      <c r="AF958" s="799"/>
      <c r="AG958" s="799"/>
      <c r="AH958" s="799"/>
      <c r="AI958" s="799"/>
      <c r="AJ958" s="799"/>
      <c r="AK958" s="799"/>
      <c r="AL958" s="799"/>
      <c r="AM958" s="799"/>
      <c r="AN958" s="799"/>
      <c r="AO958" s="799"/>
      <c r="AP958" s="799"/>
      <c r="AQ958" s="799"/>
      <c r="AR958" s="799"/>
      <c r="AS958" s="799"/>
      <c r="AT958" s="799"/>
      <c r="AU958" s="799"/>
      <c r="AV958" s="799"/>
      <c r="AW958" s="799"/>
      <c r="AX958" s="799"/>
      <c r="AY958" s="799"/>
      <c r="AZ958" s="799"/>
      <c r="BA958" s="799"/>
      <c r="BB958" s="799"/>
      <c r="BC958" s="799"/>
      <c r="BD958" s="799"/>
      <c r="BE958" s="799"/>
      <c r="BF958" s="799"/>
      <c r="BG958" s="799"/>
    </row>
    <row r="959">
      <c r="H959" s="799"/>
      <c r="I959" s="799"/>
      <c r="J959" s="799"/>
      <c r="K959" s="799"/>
      <c r="L959" s="799"/>
    </row>
    <row r="960">
      <c r="H960" s="799"/>
      <c r="I960" s="799"/>
      <c r="J960" s="799"/>
      <c r="K960" s="799"/>
      <c r="L960" s="799"/>
    </row>
    <row r="961">
      <c r="H961" s="799"/>
      <c r="I961" s="799"/>
      <c r="J961" s="799"/>
      <c r="K961" s="799"/>
      <c r="L961" s="799"/>
    </row>
    <row r="962">
      <c r="H962" s="799"/>
      <c r="I962" s="799"/>
      <c r="J962" s="799"/>
      <c r="K962" s="799"/>
      <c r="L962" s="799"/>
    </row>
    <row r="963">
      <c r="H963" s="799"/>
      <c r="I963" s="799"/>
      <c r="J963" s="799"/>
      <c r="K963" s="799"/>
      <c r="L963" s="799"/>
    </row>
    <row r="964">
      <c r="H964" s="799"/>
      <c r="I964" s="799"/>
      <c r="J964" s="799"/>
      <c r="K964" s="799"/>
      <c r="L964" s="799"/>
    </row>
    <row r="965">
      <c r="H965" s="799"/>
      <c r="I965" s="799"/>
      <c r="J965" s="799"/>
      <c r="K965" s="799"/>
      <c r="L965" s="799"/>
    </row>
    <row r="966">
      <c r="H966" s="799"/>
      <c r="I966" s="799"/>
      <c r="J966" s="799"/>
      <c r="K966" s="799"/>
      <c r="L966" s="799"/>
    </row>
  </sheetData>
  <mergeCells count="136">
    <mergeCell ref="Z11:Z12"/>
    <mergeCell ref="Z13:Z14"/>
    <mergeCell ref="AO22:AQ22"/>
    <mergeCell ref="Z8:Z9"/>
    <mergeCell ref="Z16:Z17"/>
    <mergeCell ref="Z1:Z2"/>
    <mergeCell ref="AB1:AC1"/>
    <mergeCell ref="Z3:Z4"/>
    <mergeCell ref="V6:V9"/>
    <mergeCell ref="Z6:Z7"/>
    <mergeCell ref="V11:V14"/>
    <mergeCell ref="V16:V19"/>
    <mergeCell ref="Z18:Z19"/>
    <mergeCell ref="K12:K13"/>
    <mergeCell ref="K14:K17"/>
    <mergeCell ref="L14:L17"/>
    <mergeCell ref="H10:H11"/>
    <mergeCell ref="I10:I11"/>
    <mergeCell ref="K10:K11"/>
    <mergeCell ref="L10:L11"/>
    <mergeCell ref="L12:L13"/>
    <mergeCell ref="H13:H14"/>
    <mergeCell ref="I13:I14"/>
    <mergeCell ref="C17:D18"/>
    <mergeCell ref="E17:F18"/>
    <mergeCell ref="A13:B15"/>
    <mergeCell ref="C13:D15"/>
    <mergeCell ref="E13:F15"/>
    <mergeCell ref="A16:B16"/>
    <mergeCell ref="C16:D16"/>
    <mergeCell ref="E16:F16"/>
    <mergeCell ref="A17:B18"/>
    <mergeCell ref="C25:D26"/>
    <mergeCell ref="E25:F26"/>
    <mergeCell ref="A21:B21"/>
    <mergeCell ref="C21:D21"/>
    <mergeCell ref="E21:F21"/>
    <mergeCell ref="A22:B23"/>
    <mergeCell ref="C22:D23"/>
    <mergeCell ref="E22:F23"/>
    <mergeCell ref="A25:B26"/>
    <mergeCell ref="A27:F34"/>
    <mergeCell ref="A35:F36"/>
    <mergeCell ref="A37:D37"/>
    <mergeCell ref="E37:F37"/>
    <mergeCell ref="A38:D38"/>
    <mergeCell ref="E38:F38"/>
    <mergeCell ref="E39:F39"/>
    <mergeCell ref="A44:K45"/>
    <mergeCell ref="A59:K60"/>
    <mergeCell ref="A75:K76"/>
    <mergeCell ref="A92:G92"/>
    <mergeCell ref="A39:D39"/>
    <mergeCell ref="A40:D40"/>
    <mergeCell ref="E40:F40"/>
    <mergeCell ref="A41:D41"/>
    <mergeCell ref="E41:F41"/>
    <mergeCell ref="A42:D42"/>
    <mergeCell ref="E42:F42"/>
    <mergeCell ref="P25:R26"/>
    <mergeCell ref="S25:T26"/>
    <mergeCell ref="N26:N27"/>
    <mergeCell ref="L59:U60"/>
    <mergeCell ref="L75:U76"/>
    <mergeCell ref="P20:S20"/>
    <mergeCell ref="P21:S21"/>
    <mergeCell ref="P22:S22"/>
    <mergeCell ref="N23:N25"/>
    <mergeCell ref="P23:S23"/>
    <mergeCell ref="P24:R24"/>
    <mergeCell ref="S24:T24"/>
    <mergeCell ref="H23:M24"/>
    <mergeCell ref="J25:K25"/>
    <mergeCell ref="J26:K26"/>
    <mergeCell ref="J27:K27"/>
    <mergeCell ref="J28:K28"/>
    <mergeCell ref="N28:N29"/>
    <mergeCell ref="J29:K29"/>
    <mergeCell ref="L44:U45"/>
    <mergeCell ref="AF44:AG44"/>
    <mergeCell ref="AJ44:AK44"/>
    <mergeCell ref="L92:AT92"/>
    <mergeCell ref="AU92:BG92"/>
    <mergeCell ref="L30:L31"/>
    <mergeCell ref="M30:M31"/>
    <mergeCell ref="N30:N31"/>
    <mergeCell ref="H33:H34"/>
    <mergeCell ref="I33:J34"/>
    <mergeCell ref="K33:K34"/>
    <mergeCell ref="K35:K39"/>
    <mergeCell ref="A1:B1"/>
    <mergeCell ref="C1:D1"/>
    <mergeCell ref="E1:F1"/>
    <mergeCell ref="N1:P1"/>
    <mergeCell ref="R1:T1"/>
    <mergeCell ref="V1:V4"/>
    <mergeCell ref="E2:F3"/>
    <mergeCell ref="A4:F4"/>
    <mergeCell ref="H7:H8"/>
    <mergeCell ref="I7:I8"/>
    <mergeCell ref="K7:K8"/>
    <mergeCell ref="L7:L8"/>
    <mergeCell ref="H1:L1"/>
    <mergeCell ref="H2:I2"/>
    <mergeCell ref="K2:L2"/>
    <mergeCell ref="H4:H5"/>
    <mergeCell ref="I4:I5"/>
    <mergeCell ref="K4:K5"/>
    <mergeCell ref="L4:L5"/>
    <mergeCell ref="A2:B3"/>
    <mergeCell ref="C2:D3"/>
    <mergeCell ref="A5:B6"/>
    <mergeCell ref="C5:D6"/>
    <mergeCell ref="E5:F6"/>
    <mergeCell ref="C7:D7"/>
    <mergeCell ref="E7:F7"/>
    <mergeCell ref="A7:B7"/>
    <mergeCell ref="A8:B9"/>
    <mergeCell ref="C8:D9"/>
    <mergeCell ref="E8:F9"/>
    <mergeCell ref="A10:B12"/>
    <mergeCell ref="C10:D12"/>
    <mergeCell ref="E10:F12"/>
    <mergeCell ref="A19:F20"/>
    <mergeCell ref="H19:H20"/>
    <mergeCell ref="I19:I20"/>
    <mergeCell ref="A24:B24"/>
    <mergeCell ref="C24:D24"/>
    <mergeCell ref="E24:F24"/>
    <mergeCell ref="H16:H17"/>
    <mergeCell ref="I16:I17"/>
    <mergeCell ref="N16:N17"/>
    <mergeCell ref="P16:T16"/>
    <mergeCell ref="P17:S17"/>
    <mergeCell ref="P18:S18"/>
    <mergeCell ref="P19:S19"/>
  </mergeCells>
  <conditionalFormatting sqref="X19">
    <cfRule type="expression" dxfId="26" priority="1">
      <formula>X20&lt;&gt;1</formula>
    </cfRule>
  </conditionalFormatting>
  <conditionalFormatting sqref="X9">
    <cfRule type="expression" dxfId="26" priority="2">
      <formula>X20&lt;&gt;1</formula>
    </cfRule>
  </conditionalFormatting>
  <conditionalFormatting sqref="X14">
    <cfRule type="expression" dxfId="26" priority="3">
      <formula>X20&lt;&gt;1</formula>
    </cfRule>
  </conditionalFormatting>
  <conditionalFormatting sqref="Z3 Z8 Z13 Z18">
    <cfRule type="cellIs" dxfId="27" priority="4" operator="greaterThan">
      <formula>0</formula>
    </cfRule>
  </conditionalFormatting>
  <conditionalFormatting sqref="Z3 Z8 Z13 Z18">
    <cfRule type="cellIs" dxfId="28" priority="5" operator="lessThan">
      <formula>0</formula>
    </cfRule>
  </conditionalFormatting>
  <conditionalFormatting sqref="E13 L14 S25 N30">
    <cfRule type="cellIs" dxfId="12" priority="6" operator="lessThan">
      <formula>0</formula>
    </cfRule>
  </conditionalFormatting>
  <conditionalFormatting sqref="E13 L14 S25 N30">
    <cfRule type="cellIs" dxfId="21" priority="7" operator="greaterThan">
      <formula>0</formula>
    </cfRule>
  </conditionalFormatting>
  <conditionalFormatting sqref="E13 L14 S25 N30">
    <cfRule type="cellIs" dxfId="29" priority="8" operator="lessThan">
      <formula>0</formula>
    </cfRule>
  </conditionalFormatting>
  <conditionalFormatting sqref="E13 L14 S25 N30">
    <cfRule type="cellIs" dxfId="30" priority="9" operator="greaterThan">
      <formula>0</formula>
    </cfRule>
  </conditionalFormatting>
  <conditionalFormatting sqref="A22 C22:D23 E22 A25 E25">
    <cfRule type="cellIs" dxfId="30" priority="10" operator="lessThan">
      <formula>0</formula>
    </cfRule>
  </conditionalFormatting>
  <conditionalFormatting sqref="I33">
    <cfRule type="expression" dxfId="15" priority="11">
      <formula>AND(ISNUMBER(I33), I33&gt;=9)</formula>
    </cfRule>
  </conditionalFormatting>
  <conditionalFormatting sqref="I33">
    <cfRule type="expression" dxfId="16" priority="12">
      <formula>AND(ISNUMBER(I33), I33&gt;=8)</formula>
    </cfRule>
  </conditionalFormatting>
  <conditionalFormatting sqref="I33">
    <cfRule type="expression" dxfId="31" priority="13">
      <formula>AND(ISNUMBER(I33),I33&gt;=6)</formula>
    </cfRule>
  </conditionalFormatting>
  <conditionalFormatting sqref="I33">
    <cfRule type="expression" dxfId="18" priority="14">
      <formula>AND(ISNUMBER(I33),I33&gt;=4)</formula>
    </cfRule>
  </conditionalFormatting>
  <conditionalFormatting sqref="I33">
    <cfRule type="expression" dxfId="19" priority="15">
      <formula>AND(ISNUMBER(I33), I33&lt;4)</formula>
    </cfRule>
  </conditionalFormatting>
  <conditionalFormatting sqref="I33:J34">
    <cfRule type="expression" dxfId="14" priority="16">
      <formula>I33="N/A"</formula>
    </cfRule>
  </conditionalFormatting>
  <dataValidations>
    <dataValidation type="list" allowBlank="1" sqref="A17">
      <formula1>"Simple Avg.,Value Stocks,Growth"</formula1>
    </dataValidation>
  </dataValidations>
  <hyperlinks>
    <hyperlink r:id="rId4" ref="L20"/>
    <hyperlink r:id="rId5" ref="AQ46"/>
    <hyperlink r:id="rId6" ref="I92"/>
  </hyperlinks>
  <drawing r:id="rId7"/>
  <legacy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workbookViewId="0"/>
  </sheetViews>
  <sheetFormatPr customHeight="1" defaultColWidth="12.63" defaultRowHeight="15.75"/>
  <cols>
    <col customWidth="1" min="1" max="1" width="11.88"/>
    <col customWidth="1" min="2" max="2" width="37.0"/>
    <col customWidth="1" min="3" max="3" width="26.38"/>
    <col customWidth="1" min="4" max="4" width="16.25"/>
    <col customWidth="1" min="5" max="5" width="36.5"/>
    <col customWidth="1" min="6" max="6" width="18.63"/>
    <col customWidth="1" min="7" max="7" width="18.88"/>
    <col customWidth="1" min="8" max="8" width="21.38"/>
    <col customWidth="1" min="9" max="9" width="21.25"/>
    <col customWidth="1" min="10" max="10" width="18.0"/>
    <col customWidth="1" min="11" max="11" width="19.25"/>
    <col customWidth="1" min="12" max="12" width="12.0"/>
    <col customWidth="1" min="13" max="13" width="21.75"/>
    <col customWidth="1" min="14" max="14" width="16.75"/>
    <col customWidth="1" min="15" max="15" width="12.75"/>
    <col customWidth="1" min="16" max="16" width="28.0"/>
    <col customWidth="1" min="17" max="17" width="18.63"/>
    <col customWidth="1" min="18" max="18" width="17.88"/>
    <col customWidth="1" min="19" max="19" width="17.0"/>
    <col customWidth="1" min="20" max="20" width="17.75"/>
    <col customWidth="1" min="21" max="21" width="17.0"/>
    <col customWidth="1" min="22" max="22" width="17.75"/>
    <col customWidth="1" min="23" max="23" width="17.0"/>
    <col customWidth="1" min="24" max="24" width="17.75"/>
    <col customWidth="1" min="25" max="27" width="11.88"/>
  </cols>
  <sheetData>
    <row r="1">
      <c r="C1" s="914"/>
    </row>
    <row r="2">
      <c r="B2" s="915" t="s">
        <v>829</v>
      </c>
      <c r="C2" s="6"/>
      <c r="E2" s="916" t="s">
        <v>625</v>
      </c>
      <c r="F2" s="917">
        <f>YEAR(TODAY())
</f>
        <v>2026</v>
      </c>
      <c r="G2" s="73"/>
      <c r="H2" s="73"/>
      <c r="I2" s="73"/>
      <c r="J2" s="73"/>
      <c r="K2" s="74"/>
      <c r="L2" s="56"/>
      <c r="M2" s="918" t="s">
        <v>830</v>
      </c>
      <c r="N2" s="74"/>
      <c r="P2" s="919" t="s">
        <v>831</v>
      </c>
      <c r="Q2" s="920">
        <v>2024.0</v>
      </c>
      <c r="R2" s="14"/>
      <c r="S2" s="920">
        <v>2025.0</v>
      </c>
      <c r="T2" s="14"/>
      <c r="U2" s="921">
        <v>2026.0</v>
      </c>
    </row>
    <row r="3">
      <c r="B3" s="922" t="s">
        <v>832</v>
      </c>
      <c r="C3" s="923">
        <f>Dashboard!B4</f>
        <v>34841.69087</v>
      </c>
      <c r="E3" s="916" t="s">
        <v>833</v>
      </c>
      <c r="F3" s="916" t="s">
        <v>834</v>
      </c>
      <c r="G3" s="924" t="s">
        <v>835</v>
      </c>
      <c r="H3" s="925" t="s">
        <v>836</v>
      </c>
      <c r="I3" s="925" t="s">
        <v>837</v>
      </c>
      <c r="J3" s="926" t="s">
        <v>838</v>
      </c>
      <c r="K3" s="926" t="s">
        <v>839</v>
      </c>
      <c r="L3" s="927"/>
      <c r="M3" s="928" t="s">
        <v>836</v>
      </c>
      <c r="N3" s="929" t="s">
        <v>837</v>
      </c>
      <c r="P3" s="919" t="s">
        <v>833</v>
      </c>
      <c r="Q3" s="930" t="s">
        <v>834</v>
      </c>
      <c r="R3" s="931" t="s">
        <v>835</v>
      </c>
      <c r="S3" s="930" t="s">
        <v>834</v>
      </c>
      <c r="T3" s="931" t="s">
        <v>835</v>
      </c>
      <c r="U3" s="916" t="s">
        <v>834</v>
      </c>
      <c r="V3" s="924" t="s">
        <v>835</v>
      </c>
    </row>
    <row r="4">
      <c r="B4" s="932" t="s">
        <v>840</v>
      </c>
      <c r="C4" s="933">
        <v>1.0</v>
      </c>
      <c r="E4" s="934" t="s">
        <v>841</v>
      </c>
      <c r="F4" s="935">
        <f t="shared" ref="F4:G4" si="1">SUM(H4,J4)</f>
        <v>79968</v>
      </c>
      <c r="G4" s="936">
        <f t="shared" si="1"/>
        <v>6664</v>
      </c>
      <c r="H4" s="937">
        <v>60000.0</v>
      </c>
      <c r="I4" s="938">
        <f t="shared" ref="I4:I9" si="3">H4/12</f>
        <v>5000</v>
      </c>
      <c r="J4" s="937">
        <v>19968.0</v>
      </c>
      <c r="K4" s="938">
        <f t="shared" ref="K4:K9" si="4">J4/12</f>
        <v>1664</v>
      </c>
      <c r="L4" s="186"/>
      <c r="M4" s="939">
        <v>180000.0</v>
      </c>
      <c r="N4" s="935">
        <f t="shared" ref="N4:N9" si="5">M4/12</f>
        <v>15000</v>
      </c>
      <c r="P4" s="940" t="s">
        <v>841</v>
      </c>
      <c r="Q4" s="941">
        <v>46592.0</v>
      </c>
      <c r="R4" s="942">
        <v>3882.6666666666665</v>
      </c>
      <c r="S4" s="941">
        <v>73770.0</v>
      </c>
      <c r="T4" s="942">
        <v>6147.5</v>
      </c>
      <c r="U4" s="935">
        <v>79968.0</v>
      </c>
      <c r="V4" s="936">
        <v>6664.0</v>
      </c>
    </row>
    <row r="5">
      <c r="B5" s="943" t="s">
        <v>842</v>
      </c>
      <c r="C5" s="944">
        <f>C3*C4</f>
        <v>34841.69087</v>
      </c>
      <c r="E5" s="945" t="s">
        <v>843</v>
      </c>
      <c r="F5" s="946">
        <f t="shared" ref="F5:G5" si="2">SUM(H5,J5)</f>
        <v>60657.30573</v>
      </c>
      <c r="G5" s="947">
        <f t="shared" si="2"/>
        <v>5054.775477</v>
      </c>
      <c r="H5" s="948">
        <f>MAX(0, IF(H$4&gt;0, H$4-H$6-16100, 0))</f>
        <v>42100</v>
      </c>
      <c r="I5" s="946">
        <f t="shared" si="3"/>
        <v>3508.333333</v>
      </c>
      <c r="J5" s="948">
        <f>MAX(0, (J$4 - J$6) - ((J$4 - J$6) * 0.9235 * 0.153) / 2)</f>
        <v>18557.30573</v>
      </c>
      <c r="K5" s="946">
        <f t="shared" si="4"/>
        <v>1546.442144</v>
      </c>
      <c r="L5" s="186"/>
      <c r="M5" s="948">
        <f>MAX(0, IF(M$4&gt;0, M$4-M$6-16100, 0))</f>
        <v>158500</v>
      </c>
      <c r="N5" s="946">
        <f t="shared" si="5"/>
        <v>13208.33333</v>
      </c>
      <c r="P5" s="949" t="s">
        <v>843</v>
      </c>
      <c r="Q5" s="950">
        <v>43300.380032</v>
      </c>
      <c r="R5" s="951">
        <v>3608.365002666667</v>
      </c>
      <c r="S5" s="950">
        <v>56397.1804825</v>
      </c>
      <c r="T5" s="951">
        <v>4699.765040208334</v>
      </c>
      <c r="U5" s="946">
        <v>62157.305728</v>
      </c>
      <c r="V5" s="947">
        <v>5179.775477333334</v>
      </c>
    </row>
    <row r="6">
      <c r="B6" s="778"/>
      <c r="C6" s="952"/>
      <c r="E6" s="953" t="s">
        <v>844</v>
      </c>
      <c r="F6" s="954">
        <f t="shared" ref="F6:G6" si="6">SUM(H6,J6)</f>
        <v>1800</v>
      </c>
      <c r="G6" s="955">
        <f t="shared" si="6"/>
        <v>150</v>
      </c>
      <c r="H6" s="956">
        <f>0.03*H$4</f>
        <v>1800</v>
      </c>
      <c r="I6" s="957">
        <f t="shared" si="3"/>
        <v>150</v>
      </c>
      <c r="J6" s="958">
        <v>0.0</v>
      </c>
      <c r="K6" s="957">
        <f t="shared" si="4"/>
        <v>0</v>
      </c>
      <c r="L6" s="186"/>
      <c r="M6" s="956">
        <f>0.03*M$4</f>
        <v>5400</v>
      </c>
      <c r="N6" s="957">
        <f t="shared" si="5"/>
        <v>450</v>
      </c>
      <c r="P6" s="959" t="s">
        <v>844</v>
      </c>
      <c r="Q6" s="960">
        <v>0.0</v>
      </c>
      <c r="R6" s="961">
        <v>0.0</v>
      </c>
      <c r="S6" s="960">
        <v>1800.0</v>
      </c>
      <c r="T6" s="961">
        <v>150.0</v>
      </c>
      <c r="U6" s="954">
        <v>1800.0</v>
      </c>
      <c r="V6" s="955">
        <v>150.0</v>
      </c>
    </row>
    <row r="7">
      <c r="B7" s="915" t="s">
        <v>845</v>
      </c>
      <c r="C7" s="6"/>
      <c r="E7" s="962" t="s">
        <v>846</v>
      </c>
      <c r="F7" s="946">
        <f t="shared" ref="F7:G7" si="7">SUM(H7,J7)</f>
        <v>781.68</v>
      </c>
      <c r="G7" s="947">
        <f t="shared" si="7"/>
        <v>65.14</v>
      </c>
      <c r="H7" s="948">
        <f>0.01*(H$4-H$6)</f>
        <v>582</v>
      </c>
      <c r="I7" s="946">
        <f t="shared" si="3"/>
        <v>48.5</v>
      </c>
      <c r="J7" s="948">
        <f>0.01*(J$4-J$6)</f>
        <v>199.68</v>
      </c>
      <c r="K7" s="946">
        <f t="shared" si="4"/>
        <v>16.64</v>
      </c>
      <c r="L7" s="186"/>
      <c r="M7" s="948">
        <f>0.01*(M$4-M$6)</f>
        <v>1746</v>
      </c>
      <c r="N7" s="946">
        <f t="shared" si="5"/>
        <v>145.5</v>
      </c>
      <c r="P7" s="963" t="s">
        <v>846</v>
      </c>
      <c r="Q7" s="950">
        <v>465.92</v>
      </c>
      <c r="R7" s="951">
        <v>38.82666666666667</v>
      </c>
      <c r="S7" s="950">
        <v>719.7</v>
      </c>
      <c r="T7" s="951">
        <v>59.975</v>
      </c>
      <c r="U7" s="946">
        <v>781.6800000000001</v>
      </c>
      <c r="V7" s="947">
        <v>65.14</v>
      </c>
    </row>
    <row r="8">
      <c r="B8" s="922" t="s">
        <v>847</v>
      </c>
      <c r="C8" s="964">
        <f>F14</f>
        <v>59619.41077</v>
      </c>
      <c r="E8" s="965" t="s">
        <v>848</v>
      </c>
      <c r="F8" s="957">
        <f t="shared" ref="F8:G8" si="8">SUM(H8,J8)</f>
        <v>234.504</v>
      </c>
      <c r="G8" s="966">
        <f t="shared" si="8"/>
        <v>19.542</v>
      </c>
      <c r="H8" s="967">
        <f>0.003*(H$4-H$6)</f>
        <v>174.6</v>
      </c>
      <c r="I8" s="968">
        <f t="shared" si="3"/>
        <v>14.55</v>
      </c>
      <c r="J8" s="967">
        <f>0.003*(J$4-J$6)</f>
        <v>59.904</v>
      </c>
      <c r="K8" s="968">
        <f t="shared" si="4"/>
        <v>4.992</v>
      </c>
      <c r="L8" s="191"/>
      <c r="M8" s="967">
        <f>0.003*(M$4-M$6)</f>
        <v>523.8</v>
      </c>
      <c r="N8" s="968">
        <f t="shared" si="5"/>
        <v>43.65</v>
      </c>
      <c r="P8" s="969" t="s">
        <v>848</v>
      </c>
      <c r="Q8" s="970">
        <v>139.776</v>
      </c>
      <c r="R8" s="971">
        <v>11.648000000000001</v>
      </c>
      <c r="S8" s="970">
        <v>215.91</v>
      </c>
      <c r="T8" s="971">
        <v>17.9925</v>
      </c>
      <c r="U8" s="957">
        <v>234.504</v>
      </c>
      <c r="V8" s="966">
        <v>19.541999999999998</v>
      </c>
    </row>
    <row r="9">
      <c r="B9" s="932" t="s">
        <v>849</v>
      </c>
      <c r="C9" s="972">
        <f>C8/12</f>
        <v>4968.284231</v>
      </c>
      <c r="E9" s="973" t="s">
        <v>850</v>
      </c>
      <c r="F9" s="957">
        <f t="shared" ref="F9:G9" si="9">SUM(H9,J9)</f>
        <v>3322.14</v>
      </c>
      <c r="G9" s="966">
        <f t="shared" si="9"/>
        <v>276.845</v>
      </c>
      <c r="H9" s="956">
        <f>0.0425*(H$4-H$6)</f>
        <v>2473.5</v>
      </c>
      <c r="I9" s="957">
        <f t="shared" si="3"/>
        <v>206.125</v>
      </c>
      <c r="J9" s="956">
        <f>0.0425*(J$4-J$6)</f>
        <v>848.64</v>
      </c>
      <c r="K9" s="957">
        <f t="shared" si="4"/>
        <v>70.72</v>
      </c>
      <c r="L9" s="186"/>
      <c r="M9" s="956">
        <f>0.0425*(M$4-M$6)</f>
        <v>7420.5</v>
      </c>
      <c r="N9" s="957">
        <f t="shared" si="5"/>
        <v>618.375</v>
      </c>
      <c r="P9" s="974" t="s">
        <v>850</v>
      </c>
      <c r="Q9" s="970">
        <v>1980.16</v>
      </c>
      <c r="R9" s="971">
        <v>165.01333333333335</v>
      </c>
      <c r="S9" s="970">
        <v>3058.725</v>
      </c>
      <c r="T9" s="971">
        <v>254.89375</v>
      </c>
      <c r="U9" s="957">
        <v>3322.1400000000003</v>
      </c>
      <c r="V9" s="966">
        <v>276.845</v>
      </c>
    </row>
    <row r="10">
      <c r="B10" s="932" t="s">
        <v>851</v>
      </c>
      <c r="C10" s="972">
        <f>C8*0.75</f>
        <v>44714.55808</v>
      </c>
      <c r="E10" s="973" t="s">
        <v>852</v>
      </c>
      <c r="F10" s="957">
        <f t="shared" ref="F10:G10" si="10">SUM(H10,J10)</f>
        <v>6798.876687</v>
      </c>
      <c r="G10" s="966">
        <f t="shared" si="10"/>
        <v>566</v>
      </c>
      <c r="H10" s="956">
        <f>0.1 * MIN(H$5, 12400)
+ 0.12 * MAX(MIN(H$5, 50400) - 12400, 0)
+ 0.22 * MAX(MIN(H$5, 105700) - 50400, 0)
+ 0.24 * MAX(MIN(H$5, 201775) - 105700, 0)
+ 0.32 * MAX(MIN(H$5, 256225) - 201775, 0)
+ 0.35 * MAX(MIN(H$5, 640600) - 256225, 0)
+ 0.37 * MAX(H$5 - 640600, 0)
</f>
        <v>4804</v>
      </c>
      <c r="I10" s="957">
        <f>ROUND(H10/12,0)</f>
        <v>400</v>
      </c>
      <c r="J10" s="956">
        <f>0.1 * MIN(J$5, 11600)+ 0.12 * MAX(MIN(J$5, 44725) - 11600, 0)+ 0.22 * MAX(MIN(J$5, 95375) - 44725, 0)+ 0.24 * MAX(MIN(J$5, 182100) - 95375, 0)+ 0.32 * MAX(MIN(J$5, 231250) - 182100, 0)+ 0.35 * MAX(MIN(J$5, 578125) - 231250, 0)+ 0.37 * MAX(J$5 - 578125, 0)</f>
        <v>1994.876687</v>
      </c>
      <c r="K10" s="957">
        <f>ROUND(J10/12,0)</f>
        <v>166</v>
      </c>
      <c r="L10" s="186"/>
      <c r="M10" s="956">
        <f>0.1 * MIN(M$5, 12400)
+ 0.12 * MAX(MIN(M$5, 50400) - 12400, 0)
+ 0.22 * MAX(MIN(M$5, 105700) - 50400, 0)
+ 0.24 * MAX(MIN(M$5, 201775) - 105700, 0)
+ 0.32 * MAX(MIN(M$5, 256225) - 201775, 0)
+ 0.35 * MAX(MIN(M$5, 640600) - 256225, 0)
+ 0.37 * MAX(M$5 - 640600, 0)
</f>
        <v>30638</v>
      </c>
      <c r="N10" s="957">
        <f>ROUND(M10/12,0)</f>
        <v>2553</v>
      </c>
      <c r="P10" s="974" t="s">
        <v>852</v>
      </c>
      <c r="Q10" s="970">
        <v>4964.04560384</v>
      </c>
      <c r="R10" s="971">
        <v>414.0</v>
      </c>
      <c r="S10" s="970">
        <v>6303.6616579</v>
      </c>
      <c r="T10" s="971">
        <v>526.0</v>
      </c>
      <c r="U10" s="957">
        <v>6994.87668736</v>
      </c>
      <c r="V10" s="966">
        <v>583.0</v>
      </c>
    </row>
    <row r="11">
      <c r="B11" s="943" t="s">
        <v>853</v>
      </c>
      <c r="C11" s="944">
        <f>C10/12</f>
        <v>3726.213173</v>
      </c>
      <c r="E11" s="973" t="s">
        <v>854</v>
      </c>
      <c r="F11" s="957">
        <f t="shared" ref="F11:G11" si="11">SUM(H11,J11)</f>
        <v>6006.615552</v>
      </c>
      <c r="G11" s="966">
        <f t="shared" si="11"/>
        <v>500.551296</v>
      </c>
      <c r="H11" s="956">
        <f>0.062*H$4</f>
        <v>3720</v>
      </c>
      <c r="I11" s="957">
        <f t="shared" ref="I11:I12" si="13">H11/12</f>
        <v>310</v>
      </c>
      <c r="J11" s="956">
        <f>2*(0.062*0.9235*J$4)</f>
        <v>2286.615552</v>
      </c>
      <c r="K11" s="957">
        <f t="shared" ref="K11:K12" si="14">J11/12</f>
        <v>190.551296</v>
      </c>
      <c r="L11" s="186"/>
      <c r="M11" s="956">
        <f>0.062*M$4</f>
        <v>11160</v>
      </c>
      <c r="N11" s="957">
        <f t="shared" ref="N11:N12" si="15">M11/12</f>
        <v>930</v>
      </c>
      <c r="P11" s="974" t="s">
        <v>854</v>
      </c>
      <c r="Q11" s="970">
        <v>5335.436288</v>
      </c>
      <c r="R11" s="971">
        <v>444.61969066666666</v>
      </c>
      <c r="S11" s="970">
        <v>5296.85778</v>
      </c>
      <c r="T11" s="971">
        <v>441.404815</v>
      </c>
      <c r="U11" s="957">
        <v>6006.615551999999</v>
      </c>
      <c r="V11" s="966">
        <v>500.551296</v>
      </c>
    </row>
    <row r="12">
      <c r="B12" s="778"/>
      <c r="C12" s="952"/>
      <c r="E12" s="975" t="s">
        <v>855</v>
      </c>
      <c r="F12" s="954">
        <f t="shared" ref="F12:G12" si="12">SUM(H12,J12)</f>
        <v>1404.772992</v>
      </c>
      <c r="G12" s="955">
        <f t="shared" si="12"/>
        <v>117.064416</v>
      </c>
      <c r="H12" s="976">
        <f>0.0145*H$4</f>
        <v>870</v>
      </c>
      <c r="I12" s="954">
        <f t="shared" si="13"/>
        <v>72.5</v>
      </c>
      <c r="J12" s="976">
        <f>2*(0.0145*0.9235*J$4)</f>
        <v>534.772992</v>
      </c>
      <c r="K12" s="954">
        <f t="shared" si="14"/>
        <v>44.564416</v>
      </c>
      <c r="L12" s="186"/>
      <c r="M12" s="976">
        <f>0.0145*M$4</f>
        <v>2610</v>
      </c>
      <c r="N12" s="954">
        <f t="shared" si="15"/>
        <v>217.5</v>
      </c>
      <c r="P12" s="977" t="s">
        <v>855</v>
      </c>
      <c r="Q12" s="960">
        <v>1247.803648</v>
      </c>
      <c r="R12" s="961">
        <v>103.98363733333333</v>
      </c>
      <c r="S12" s="960">
        <v>1238.7812549999999</v>
      </c>
      <c r="T12" s="961">
        <v>103.23177125</v>
      </c>
      <c r="U12" s="954">
        <v>1404.7729920000002</v>
      </c>
      <c r="V12" s="955">
        <v>117.064416</v>
      </c>
    </row>
    <row r="13">
      <c r="B13" s="915" t="s">
        <v>856</v>
      </c>
      <c r="C13" s="6"/>
      <c r="E13" s="978" t="s">
        <v>857</v>
      </c>
      <c r="F13" s="979">
        <f t="shared" ref="F13:G13" si="16">SUM(H13,J13)</f>
        <v>18548.58923</v>
      </c>
      <c r="G13" s="979">
        <f t="shared" si="16"/>
        <v>1545.142712</v>
      </c>
      <c r="H13" s="186">
        <f t="shared" ref="H13:K13" si="17">SUM(H7:H12)</f>
        <v>12624.1</v>
      </c>
      <c r="I13" s="938">
        <f t="shared" si="17"/>
        <v>1051.675</v>
      </c>
      <c r="J13" s="186">
        <f t="shared" si="17"/>
        <v>5924.489231</v>
      </c>
      <c r="K13" s="938">
        <f t="shared" si="17"/>
        <v>493.467712</v>
      </c>
      <c r="L13" s="186"/>
      <c r="M13" s="980">
        <f t="shared" ref="M13:N13" si="18">SUM(M7:M12)</f>
        <v>54098.3</v>
      </c>
      <c r="N13" s="979">
        <f t="shared" si="18"/>
        <v>4508.025</v>
      </c>
      <c r="P13" s="981" t="s">
        <v>857</v>
      </c>
      <c r="Q13" s="982">
        <v>14133.141539840002</v>
      </c>
      <c r="R13" s="983">
        <v>1178.091328</v>
      </c>
      <c r="S13" s="982">
        <v>16833.6356929</v>
      </c>
      <c r="T13" s="983">
        <v>1403.4978362499999</v>
      </c>
      <c r="U13" s="979">
        <v>18744.589231359998</v>
      </c>
      <c r="V13" s="979">
        <v>1562.1427119999998</v>
      </c>
    </row>
    <row r="14">
      <c r="B14" s="922" t="s">
        <v>858</v>
      </c>
      <c r="C14" s="984">
        <v>0.25</v>
      </c>
      <c r="E14" s="985" t="s">
        <v>859</v>
      </c>
      <c r="F14" s="986">
        <f t="shared" ref="F14:G14" si="19">SUM(H14,J14)</f>
        <v>59619.41077</v>
      </c>
      <c r="G14" s="986">
        <f t="shared" si="19"/>
        <v>4968.857288</v>
      </c>
      <c r="H14" s="987">
        <f t="shared" ref="H14:K14" si="20">H4-SUM(H6:H12)</f>
        <v>45575.9</v>
      </c>
      <c r="I14" s="987">
        <f t="shared" si="20"/>
        <v>3798.325</v>
      </c>
      <c r="J14" s="987">
        <f t="shared" si="20"/>
        <v>14043.51077</v>
      </c>
      <c r="K14" s="987">
        <f t="shared" si="20"/>
        <v>1170.532288</v>
      </c>
      <c r="L14" s="988"/>
      <c r="M14" s="986">
        <f t="shared" ref="M14:N14" si="21">M4-SUM(M6:M12)</f>
        <v>120501.7</v>
      </c>
      <c r="N14" s="989">
        <f t="shared" si="21"/>
        <v>10041.975</v>
      </c>
      <c r="P14" s="990" t="s">
        <v>859</v>
      </c>
      <c r="Q14" s="991">
        <v>32458.858460159998</v>
      </c>
      <c r="R14" s="992">
        <v>2704.5753386666665</v>
      </c>
      <c r="S14" s="991">
        <v>55136.364307100004</v>
      </c>
      <c r="T14" s="992">
        <v>4594.002163749999</v>
      </c>
      <c r="U14" s="989">
        <v>59423.41076864</v>
      </c>
      <c r="V14" s="989">
        <v>4951.857287999999</v>
      </c>
    </row>
    <row r="15">
      <c r="B15" s="943" t="s">
        <v>860</v>
      </c>
      <c r="C15" s="944">
        <f>C14*C8/12</f>
        <v>1242.071058</v>
      </c>
      <c r="E15" s="993" t="s">
        <v>861</v>
      </c>
      <c r="F15" s="938">
        <f>SUM(H15,J15)</f>
        <v>38.44615385</v>
      </c>
      <c r="G15" s="994">
        <f>G13/G4</f>
        <v>0.2318641525</v>
      </c>
      <c r="H15" s="938">
        <f>H$4/2080</f>
        <v>28.84615385</v>
      </c>
      <c r="I15" s="994">
        <f>I13/I4</f>
        <v>0.210335</v>
      </c>
      <c r="J15" s="938">
        <f>J$4/2080</f>
        <v>9.6</v>
      </c>
      <c r="K15" s="995">
        <f>K13/K4</f>
        <v>0.2965551154</v>
      </c>
      <c r="L15" s="186"/>
      <c r="M15" s="938">
        <f>M$4/2080</f>
        <v>86.53846154</v>
      </c>
      <c r="N15" s="995">
        <f>N13/N4</f>
        <v>0.300535</v>
      </c>
      <c r="P15" s="993" t="s">
        <v>862</v>
      </c>
      <c r="Q15" s="996">
        <v>22.4</v>
      </c>
      <c r="R15" s="997"/>
      <c r="S15" s="996">
        <v>35.46634615384615</v>
      </c>
      <c r="T15" s="997"/>
      <c r="U15" s="938">
        <v>38.44615384615385</v>
      </c>
      <c r="V15" s="311"/>
    </row>
    <row r="16">
      <c r="B16" s="778"/>
      <c r="C16" s="952"/>
      <c r="F16" s="311"/>
      <c r="G16" s="311"/>
      <c r="H16" s="311"/>
      <c r="I16" s="311"/>
      <c r="J16" s="311"/>
      <c r="K16" s="311"/>
      <c r="L16" s="311"/>
      <c r="M16" s="998"/>
      <c r="N16" s="525"/>
      <c r="Q16" s="999"/>
      <c r="R16" s="997"/>
      <c r="S16" s="999"/>
      <c r="T16" s="997"/>
      <c r="U16" s="311"/>
      <c r="V16" s="311"/>
    </row>
    <row r="17">
      <c r="B17" s="915" t="s">
        <v>863</v>
      </c>
      <c r="C17" s="6"/>
      <c r="E17" s="1000" t="s">
        <v>864</v>
      </c>
      <c r="F17" s="1001" t="s">
        <v>865</v>
      </c>
      <c r="G17" s="1002" t="s">
        <v>866</v>
      </c>
      <c r="H17" s="311"/>
      <c r="I17" s="1003"/>
      <c r="J17" s="1003"/>
      <c r="K17" s="1003"/>
      <c r="M17" s="1004" t="s">
        <v>865</v>
      </c>
      <c r="N17" s="1005" t="s">
        <v>866</v>
      </c>
      <c r="P17" s="1000" t="s">
        <v>864</v>
      </c>
      <c r="Q17" s="1006" t="s">
        <v>865</v>
      </c>
      <c r="R17" s="1007" t="s">
        <v>866</v>
      </c>
      <c r="S17" s="1006" t="s">
        <v>865</v>
      </c>
      <c r="T17" s="1007" t="s">
        <v>866</v>
      </c>
      <c r="U17" s="1001" t="s">
        <v>865</v>
      </c>
      <c r="V17" s="1008" t="s">
        <v>866</v>
      </c>
    </row>
    <row r="18">
      <c r="B18" s="922" t="s">
        <v>867</v>
      </c>
      <c r="C18" s="1009">
        <v>20.0</v>
      </c>
      <c r="E18" s="1010" t="s">
        <v>868</v>
      </c>
      <c r="F18" s="1011">
        <f>0.03*H$4</f>
        <v>1800</v>
      </c>
      <c r="G18" s="1012">
        <f t="shared" ref="G18:G21" si="22">F18/12</f>
        <v>150</v>
      </c>
      <c r="H18" s="311"/>
      <c r="I18" s="1013"/>
      <c r="J18" s="1013"/>
      <c r="K18" s="1013"/>
      <c r="L18" s="988"/>
      <c r="M18" s="1011">
        <f>0.03*M$4</f>
        <v>5400</v>
      </c>
      <c r="N18" s="1012">
        <f t="shared" ref="N18:N21" si="23">M18/12</f>
        <v>450</v>
      </c>
      <c r="P18" s="1014" t="s">
        <v>868</v>
      </c>
      <c r="Q18" s="1015">
        <v>0.0</v>
      </c>
      <c r="R18" s="1016">
        <v>0.0</v>
      </c>
      <c r="S18" s="1015">
        <v>1800.0</v>
      </c>
      <c r="T18" s="1016">
        <v>150.0</v>
      </c>
      <c r="U18" s="1012">
        <v>1800.0</v>
      </c>
      <c r="V18" s="1017">
        <v>150.0</v>
      </c>
    </row>
    <row r="19">
      <c r="B19" s="932" t="s">
        <v>869</v>
      </c>
      <c r="C19" s="1018">
        <f>Dashboard!H6</f>
        <v>0.2407480769</v>
      </c>
      <c r="E19" s="965" t="s">
        <v>870</v>
      </c>
      <c r="F19" s="1019">
        <f>IF(H4&gt;0, 0.006*7000 + 0.027*9500, 0)
</f>
        <v>298.5</v>
      </c>
      <c r="G19" s="956">
        <f t="shared" si="22"/>
        <v>24.875</v>
      </c>
      <c r="H19" s="311"/>
      <c r="I19" s="1013"/>
      <c r="J19" s="1013"/>
      <c r="K19" s="1013"/>
      <c r="L19" s="186"/>
      <c r="M19" s="1019">
        <f>0.006*7000+0.027*9500</f>
        <v>298.5</v>
      </c>
      <c r="N19" s="956">
        <f t="shared" si="23"/>
        <v>24.875</v>
      </c>
      <c r="P19" s="969" t="s">
        <v>870</v>
      </c>
      <c r="Q19" s="970">
        <v>0.0</v>
      </c>
      <c r="R19" s="971">
        <v>0.0</v>
      </c>
      <c r="S19" s="970">
        <v>298.5</v>
      </c>
      <c r="T19" s="971">
        <v>298.5</v>
      </c>
      <c r="U19" s="957">
        <v>298.5</v>
      </c>
      <c r="V19" s="966">
        <v>298.5</v>
      </c>
    </row>
    <row r="20">
      <c r="B20" s="932" t="s">
        <v>871</v>
      </c>
      <c r="C20" s="972">
        <f>FV(C19,C18,C15*12,C5,0)*-1</f>
        <v>7171337.743</v>
      </c>
      <c r="E20" s="973" t="s">
        <v>854</v>
      </c>
      <c r="F20" s="1020">
        <f>0.062*H$4</f>
        <v>3720</v>
      </c>
      <c r="G20" s="956">
        <f t="shared" si="22"/>
        <v>310</v>
      </c>
      <c r="H20" s="311"/>
      <c r="I20" s="1013"/>
      <c r="J20" s="1013"/>
      <c r="K20" s="1013"/>
      <c r="L20" s="988"/>
      <c r="M20" s="1020">
        <f>0.062*M$4</f>
        <v>11160</v>
      </c>
      <c r="N20" s="956">
        <f t="shared" si="23"/>
        <v>930</v>
      </c>
      <c r="P20" s="974" t="s">
        <v>854</v>
      </c>
      <c r="Q20" s="1021">
        <v>0.0</v>
      </c>
      <c r="R20" s="1022">
        <v>0.0</v>
      </c>
      <c r="S20" s="1021">
        <v>3720.0</v>
      </c>
      <c r="T20" s="1022">
        <v>310.0</v>
      </c>
      <c r="U20" s="956">
        <v>3720.0</v>
      </c>
      <c r="V20" s="1023">
        <v>310.0</v>
      </c>
    </row>
    <row r="21">
      <c r="B21" s="932" t="s">
        <v>872</v>
      </c>
      <c r="C21" s="1024">
        <v>0.04</v>
      </c>
      <c r="E21" s="973" t="s">
        <v>855</v>
      </c>
      <c r="F21" s="1020">
        <f>0.0145*H$4</f>
        <v>870</v>
      </c>
      <c r="G21" s="976">
        <f t="shared" si="22"/>
        <v>72.5</v>
      </c>
      <c r="H21" s="311"/>
      <c r="I21" s="1013"/>
      <c r="J21" s="1013"/>
      <c r="K21" s="1013"/>
      <c r="L21" s="988"/>
      <c r="M21" s="1020">
        <f>0.0145*M$4</f>
        <v>2610</v>
      </c>
      <c r="N21" s="976">
        <f t="shared" si="23"/>
        <v>217.5</v>
      </c>
      <c r="P21" s="974" t="s">
        <v>855</v>
      </c>
      <c r="Q21" s="1021">
        <v>0.0</v>
      </c>
      <c r="R21" s="1022">
        <v>0.0</v>
      </c>
      <c r="S21" s="1021">
        <v>870.0</v>
      </c>
      <c r="T21" s="1022">
        <v>72.5</v>
      </c>
      <c r="U21" s="956">
        <v>870.0</v>
      </c>
      <c r="V21" s="1023">
        <v>72.5</v>
      </c>
    </row>
    <row r="22">
      <c r="B22" s="932" t="s">
        <v>873</v>
      </c>
      <c r="C22" s="972">
        <f>C20*C21</f>
        <v>286853.5097</v>
      </c>
      <c r="E22" s="1025" t="s">
        <v>874</v>
      </c>
      <c r="F22" s="946">
        <f t="shared" ref="F22:G22" si="24">SUM(F18:F21)</f>
        <v>6688.5</v>
      </c>
      <c r="G22" s="966">
        <f t="shared" si="24"/>
        <v>557.375</v>
      </c>
      <c r="H22" s="311"/>
      <c r="I22" s="1013"/>
      <c r="J22" s="1013"/>
      <c r="K22" s="1013"/>
      <c r="L22" s="186"/>
      <c r="M22" s="946">
        <f t="shared" ref="M22:N22" si="25">SUM(M18:M21)</f>
        <v>19468.5</v>
      </c>
      <c r="N22" s="966">
        <f t="shared" si="25"/>
        <v>1622.375</v>
      </c>
      <c r="P22" s="1026" t="s">
        <v>874</v>
      </c>
      <c r="Q22" s="950">
        <v>0.0</v>
      </c>
      <c r="R22" s="951">
        <v>0.0</v>
      </c>
      <c r="S22" s="950">
        <v>6688.5</v>
      </c>
      <c r="T22" s="951">
        <v>831.0</v>
      </c>
      <c r="U22" s="946">
        <v>6688.5</v>
      </c>
      <c r="V22" s="947">
        <v>831.0</v>
      </c>
    </row>
    <row r="23">
      <c r="B23" s="1027" t="s">
        <v>875</v>
      </c>
      <c r="C23" s="1028">
        <f>C22/12</f>
        <v>23904.45914</v>
      </c>
      <c r="E23" s="1029" t="s">
        <v>876</v>
      </c>
      <c r="F23" s="1030">
        <f t="shared" ref="F23:G23" si="26">IF(H4&gt;0, F$22/H$4, 0)</f>
        <v>0.111475</v>
      </c>
      <c r="G23" s="1031">
        <f t="shared" si="26"/>
        <v>0.111475</v>
      </c>
      <c r="H23" s="311"/>
      <c r="I23" s="1032"/>
      <c r="J23" s="1013"/>
      <c r="K23" s="1013"/>
      <c r="L23" s="186"/>
      <c r="M23" s="1030">
        <f t="shared" ref="M23:N23" si="27">M$22/M$4</f>
        <v>0.1081583333</v>
      </c>
      <c r="N23" s="1031">
        <f t="shared" si="27"/>
        <v>0.1081583333</v>
      </c>
      <c r="P23" s="838" t="s">
        <v>876</v>
      </c>
      <c r="Q23" s="1033">
        <v>0.0</v>
      </c>
      <c r="R23" s="1034">
        <v>0.0</v>
      </c>
      <c r="S23" s="1033">
        <v>11.1475</v>
      </c>
      <c r="T23" s="1034">
        <v>16.619999999999997</v>
      </c>
      <c r="U23" s="954">
        <v>11.1475</v>
      </c>
      <c r="V23" s="955">
        <v>16.619999999999997</v>
      </c>
    </row>
    <row r="24">
      <c r="B24" s="1027" t="s">
        <v>877</v>
      </c>
      <c r="C24" s="1035">
        <v>0.0</v>
      </c>
      <c r="F24" s="311"/>
      <c r="G24" s="311"/>
      <c r="H24" s="311"/>
      <c r="I24" s="1013"/>
      <c r="J24" s="1013"/>
      <c r="K24" s="1013"/>
      <c r="L24" s="311"/>
      <c r="M24" s="311"/>
      <c r="N24" s="311"/>
    </row>
    <row r="25">
      <c r="B25" s="943" t="s">
        <v>878</v>
      </c>
      <c r="C25" s="944">
        <f>C24+C23</f>
        <v>23904.45914</v>
      </c>
      <c r="G25" s="67"/>
      <c r="H25" s="67"/>
      <c r="I25" s="1013"/>
      <c r="J25" s="1013"/>
      <c r="K25" s="1013"/>
    </row>
    <row r="26">
      <c r="B26" s="943" t="s">
        <v>879</v>
      </c>
      <c r="C26" s="1036">
        <f>C25/C11</f>
        <v>6.415215135</v>
      </c>
      <c r="E26" s="1037" t="s">
        <v>880</v>
      </c>
      <c r="F26" s="1038" t="s">
        <v>14</v>
      </c>
      <c r="G26" s="1038" t="s">
        <v>15</v>
      </c>
      <c r="H26" s="886"/>
    </row>
    <row r="27">
      <c r="E27" s="1039" t="s">
        <v>881</v>
      </c>
      <c r="F27" s="1040">
        <v>6804.0</v>
      </c>
      <c r="G27" s="1041">
        <f t="shared" ref="G27:G36" si="28">F27/12</f>
        <v>567</v>
      </c>
      <c r="H27" s="886"/>
    </row>
    <row r="28">
      <c r="B28" s="1042" t="s">
        <v>882</v>
      </c>
      <c r="C28" s="467"/>
      <c r="E28" s="1043" t="s">
        <v>883</v>
      </c>
      <c r="F28" s="191">
        <f>0.0765*F27</f>
        <v>520.506</v>
      </c>
      <c r="G28" s="1044">
        <f t="shared" si="28"/>
        <v>43.3755</v>
      </c>
    </row>
    <row r="29">
      <c r="B29" s="1045" t="s">
        <v>884</v>
      </c>
      <c r="C29" s="1046">
        <f>C10/C21</f>
        <v>1117863.952</v>
      </c>
      <c r="E29" s="1043" t="s">
        <v>885</v>
      </c>
      <c r="F29" s="191">
        <f>F27-(0.0765*F27)</f>
        <v>6283.494</v>
      </c>
      <c r="G29" s="1044">
        <f t="shared" si="28"/>
        <v>523.6245</v>
      </c>
    </row>
    <row r="30">
      <c r="B30" s="1045" t="s">
        <v>886</v>
      </c>
      <c r="C30" s="1046">
        <f>C15/C26</f>
        <v>193.6133133</v>
      </c>
      <c r="E30" s="1047" t="s">
        <v>887</v>
      </c>
      <c r="F30" s="1048">
        <f>F27</f>
        <v>6804</v>
      </c>
      <c r="G30" s="1049">
        <f t="shared" si="28"/>
        <v>567</v>
      </c>
    </row>
    <row r="31">
      <c r="B31" s="1050" t="s">
        <v>888</v>
      </c>
      <c r="C31" s="1046">
        <f>C8/C26</f>
        <v>9293.439037</v>
      </c>
      <c r="E31" s="1051" t="s">
        <v>889</v>
      </c>
      <c r="F31" s="1052">
        <f>F29</f>
        <v>6283.494</v>
      </c>
      <c r="G31" s="1053">
        <f t="shared" si="28"/>
        <v>523.6245</v>
      </c>
    </row>
    <row r="32">
      <c r="E32" s="1039" t="s">
        <v>890</v>
      </c>
      <c r="F32" s="1040">
        <v>49753.50706</v>
      </c>
      <c r="G32" s="1041">
        <f t="shared" si="28"/>
        <v>4146.125588</v>
      </c>
      <c r="H32" s="886"/>
    </row>
    <row r="33">
      <c r="E33" s="1043" t="s">
        <v>891</v>
      </c>
      <c r="F33" s="191">
        <f>H14</f>
        <v>45575.9</v>
      </c>
      <c r="G33" s="1044">
        <f t="shared" si="28"/>
        <v>3797.991667</v>
      </c>
    </row>
    <row r="34">
      <c r="B34" s="1054" t="s">
        <v>892</v>
      </c>
      <c r="C34" s="1055" t="s">
        <v>69</v>
      </c>
      <c r="E34" s="1043" t="s">
        <v>893</v>
      </c>
      <c r="F34" s="191">
        <f>F32-F33</f>
        <v>4177.60706</v>
      </c>
      <c r="G34" s="1044">
        <f t="shared" si="28"/>
        <v>348.1339217</v>
      </c>
    </row>
    <row r="35">
      <c r="B35" s="1056" t="s">
        <v>894</v>
      </c>
      <c r="C35" s="1057">
        <v>140000.0</v>
      </c>
      <c r="E35" s="1043" t="s">
        <v>895</v>
      </c>
      <c r="F35" s="191">
        <f>F27*0.2725</f>
        <v>1854.09</v>
      </c>
      <c r="G35" s="1044">
        <f t="shared" si="28"/>
        <v>154.5075</v>
      </c>
    </row>
    <row r="36">
      <c r="B36" s="1058" t="s">
        <v>896</v>
      </c>
      <c r="C36" s="1059">
        <v>1457.0</v>
      </c>
      <c r="E36" s="1060" t="s">
        <v>897</v>
      </c>
      <c r="F36" s="1061">
        <f>F34+F35</f>
        <v>6031.69706</v>
      </c>
      <c r="G36" s="1062">
        <f t="shared" si="28"/>
        <v>502.6414217</v>
      </c>
    </row>
    <row r="37">
      <c r="B37" s="1058" t="s">
        <v>898</v>
      </c>
      <c r="C37" s="1063">
        <v>0.3</v>
      </c>
    </row>
    <row r="38">
      <c r="B38" s="1064" t="s">
        <v>899</v>
      </c>
      <c r="C38" s="1065">
        <v>200000.0</v>
      </c>
    </row>
    <row r="39">
      <c r="C39" s="914"/>
    </row>
    <row r="40" ht="22.5" customHeight="1">
      <c r="B40" s="1066" t="s">
        <v>900</v>
      </c>
      <c r="C40" s="1067" t="s">
        <v>901</v>
      </c>
      <c r="D40" s="1066" t="s">
        <v>902</v>
      </c>
      <c r="E40" s="1066" t="s">
        <v>903</v>
      </c>
      <c r="F40" s="1066" t="s">
        <v>904</v>
      </c>
      <c r="G40" s="1066" t="s">
        <v>905</v>
      </c>
      <c r="H40" s="1066" t="s">
        <v>906</v>
      </c>
      <c r="I40" s="1066" t="s">
        <v>907</v>
      </c>
      <c r="J40" s="1068" t="s">
        <v>908</v>
      </c>
    </row>
    <row r="41" ht="22.5" customHeight="1">
      <c r="B41" s="1069" t="s">
        <v>909</v>
      </c>
      <c r="C41" s="1070" t="s">
        <v>910</v>
      </c>
      <c r="D41" s="1071">
        <v>1896.0</v>
      </c>
      <c r="E41" s="1072">
        <v>1.02</v>
      </c>
      <c r="F41" s="1073">
        <f t="shared" ref="F41:F53" si="29">D41/$C$36</f>
        <v>1.301304049</v>
      </c>
      <c r="G41" s="1073">
        <f t="shared" ref="G41:G53" si="30">$C$37*F41+(1-$C$37)*E41</f>
        <v>1.104391215</v>
      </c>
      <c r="H41" s="1074">
        <f t="shared" ref="H41:H53" si="31">$C$35*G41</f>
        <v>154614.7701</v>
      </c>
      <c r="I41" s="1075">
        <f t="shared" ref="I41:I53" si="32">ROUND(H41, -2)</f>
        <v>154600</v>
      </c>
      <c r="J41" s="1076">
        <f t="shared" ref="J41:J53" si="33">$C$38/G41</f>
        <v>181095.2472</v>
      </c>
    </row>
    <row r="42" ht="22.5" customHeight="1">
      <c r="B42" s="1069" t="s">
        <v>911</v>
      </c>
      <c r="C42" s="1070" t="s">
        <v>912</v>
      </c>
      <c r="D42" s="1071">
        <v>2018.0</v>
      </c>
      <c r="E42" s="1072">
        <v>1.03</v>
      </c>
      <c r="F42" s="1073">
        <f t="shared" si="29"/>
        <v>1.385037749</v>
      </c>
      <c r="G42" s="1073">
        <f t="shared" si="30"/>
        <v>1.136511325</v>
      </c>
      <c r="H42" s="1074">
        <f t="shared" si="31"/>
        <v>159111.5854</v>
      </c>
      <c r="I42" s="1075">
        <f t="shared" si="32"/>
        <v>159100</v>
      </c>
      <c r="J42" s="1076">
        <f t="shared" si="33"/>
        <v>175977.129</v>
      </c>
    </row>
    <row r="43" ht="22.5" customHeight="1">
      <c r="B43" s="1069" t="s">
        <v>913</v>
      </c>
      <c r="C43" s="1070" t="s">
        <v>914</v>
      </c>
      <c r="D43" s="1071">
        <v>2095.0</v>
      </c>
      <c r="E43" s="1072">
        <v>1.03</v>
      </c>
      <c r="F43" s="1073">
        <f t="shared" si="29"/>
        <v>1.437886067</v>
      </c>
      <c r="G43" s="1073">
        <f t="shared" si="30"/>
        <v>1.15236582</v>
      </c>
      <c r="H43" s="1074">
        <f t="shared" si="31"/>
        <v>161331.2148</v>
      </c>
      <c r="I43" s="1075">
        <f t="shared" si="32"/>
        <v>161300</v>
      </c>
      <c r="J43" s="1076">
        <f t="shared" si="33"/>
        <v>173555.998</v>
      </c>
    </row>
    <row r="44" ht="22.5" customHeight="1">
      <c r="B44" s="1069" t="s">
        <v>915</v>
      </c>
      <c r="C44" s="1070" t="s">
        <v>916</v>
      </c>
      <c r="D44" s="1071">
        <v>2466.0</v>
      </c>
      <c r="E44" s="1072">
        <v>1.05</v>
      </c>
      <c r="F44" s="1073">
        <f t="shared" si="29"/>
        <v>1.692518874</v>
      </c>
      <c r="G44" s="1073">
        <f t="shared" si="30"/>
        <v>1.242755662</v>
      </c>
      <c r="H44" s="1074">
        <f t="shared" si="31"/>
        <v>173985.7927</v>
      </c>
      <c r="I44" s="1075">
        <f t="shared" si="32"/>
        <v>174000</v>
      </c>
      <c r="J44" s="1076">
        <f t="shared" si="33"/>
        <v>160932.6805</v>
      </c>
    </row>
    <row r="45" ht="22.5" customHeight="1">
      <c r="B45" s="1069" t="s">
        <v>917</v>
      </c>
      <c r="C45" s="1070" t="s">
        <v>918</v>
      </c>
      <c r="D45" s="1071">
        <v>2744.0</v>
      </c>
      <c r="E45" s="1072">
        <v>1.03</v>
      </c>
      <c r="F45" s="1073">
        <f t="shared" si="29"/>
        <v>1.883321894</v>
      </c>
      <c r="G45" s="1073">
        <f t="shared" si="30"/>
        <v>1.285996568</v>
      </c>
      <c r="H45" s="1074">
        <f t="shared" si="31"/>
        <v>180039.5196</v>
      </c>
      <c r="I45" s="1075">
        <f t="shared" si="32"/>
        <v>180000</v>
      </c>
      <c r="J45" s="1076">
        <f t="shared" si="33"/>
        <v>155521.4103</v>
      </c>
    </row>
    <row r="46" ht="22.5" customHeight="1">
      <c r="B46" s="1069" t="s">
        <v>919</v>
      </c>
      <c r="C46" s="1070" t="s">
        <v>920</v>
      </c>
      <c r="D46" s="1071">
        <v>2890.0</v>
      </c>
      <c r="E46" s="1072">
        <v>1.02</v>
      </c>
      <c r="F46" s="1073">
        <f t="shared" si="29"/>
        <v>1.983527797</v>
      </c>
      <c r="G46" s="1073">
        <f t="shared" si="30"/>
        <v>1.309058339</v>
      </c>
      <c r="H46" s="1074">
        <f t="shared" si="31"/>
        <v>183268.1675</v>
      </c>
      <c r="I46" s="1075">
        <f t="shared" si="32"/>
        <v>183300</v>
      </c>
      <c r="J46" s="1076">
        <f t="shared" si="33"/>
        <v>152781.579</v>
      </c>
    </row>
    <row r="47" ht="22.5" customHeight="1">
      <c r="B47" s="1069" t="s">
        <v>921</v>
      </c>
      <c r="C47" s="1070" t="s">
        <v>922</v>
      </c>
      <c r="D47" s="1071">
        <v>2835.0</v>
      </c>
      <c r="E47" s="1072">
        <v>1.12</v>
      </c>
      <c r="F47" s="1073">
        <f t="shared" si="29"/>
        <v>1.945778998</v>
      </c>
      <c r="G47" s="1073">
        <f t="shared" si="30"/>
        <v>1.367733699</v>
      </c>
      <c r="H47" s="1074">
        <f t="shared" si="31"/>
        <v>191482.7179</v>
      </c>
      <c r="I47" s="1075">
        <f t="shared" si="32"/>
        <v>191500</v>
      </c>
      <c r="J47" s="1076">
        <f t="shared" si="33"/>
        <v>146227.2956</v>
      </c>
    </row>
    <row r="48" ht="22.5" customHeight="1">
      <c r="B48" s="1069" t="s">
        <v>923</v>
      </c>
      <c r="C48" s="1070" t="s">
        <v>922</v>
      </c>
      <c r="D48" s="1071">
        <v>3600.0</v>
      </c>
      <c r="E48" s="1072">
        <v>1.15</v>
      </c>
      <c r="F48" s="1073">
        <f t="shared" si="29"/>
        <v>2.470830474</v>
      </c>
      <c r="G48" s="1073">
        <f t="shared" si="30"/>
        <v>1.546249142</v>
      </c>
      <c r="H48" s="1074">
        <f t="shared" si="31"/>
        <v>216474.8799</v>
      </c>
      <c r="I48" s="1075">
        <f t="shared" si="32"/>
        <v>216500</v>
      </c>
      <c r="J48" s="1076">
        <f t="shared" si="33"/>
        <v>129345.2617</v>
      </c>
    </row>
    <row r="49" ht="22.5" customHeight="1">
      <c r="B49" s="1069" t="s">
        <v>924</v>
      </c>
      <c r="C49" s="1070" t="s">
        <v>925</v>
      </c>
      <c r="D49" s="1071">
        <v>3868.0</v>
      </c>
      <c r="E49" s="1072">
        <v>1.1</v>
      </c>
      <c r="F49" s="1073">
        <f t="shared" si="29"/>
        <v>2.654770075</v>
      </c>
      <c r="G49" s="1073">
        <f t="shared" si="30"/>
        <v>1.566431023</v>
      </c>
      <c r="H49" s="1074">
        <f t="shared" si="31"/>
        <v>219300.3432</v>
      </c>
      <c r="I49" s="1075">
        <f t="shared" si="32"/>
        <v>219300</v>
      </c>
      <c r="J49" s="1076">
        <f t="shared" si="33"/>
        <v>127678.7788</v>
      </c>
    </row>
    <row r="50" ht="22.5" customHeight="1">
      <c r="B50" s="1069" t="s">
        <v>926</v>
      </c>
      <c r="C50" s="1070" t="s">
        <v>927</v>
      </c>
      <c r="D50" s="1071">
        <v>4303.0</v>
      </c>
      <c r="E50" s="1072">
        <v>1.2</v>
      </c>
      <c r="F50" s="1073">
        <f t="shared" si="29"/>
        <v>2.953328758</v>
      </c>
      <c r="G50" s="1073">
        <f t="shared" si="30"/>
        <v>1.725998627</v>
      </c>
      <c r="H50" s="1074">
        <f t="shared" si="31"/>
        <v>241639.8078</v>
      </c>
      <c r="I50" s="1075">
        <f t="shared" si="32"/>
        <v>241600</v>
      </c>
      <c r="J50" s="1076">
        <f t="shared" si="33"/>
        <v>115874.9473</v>
      </c>
    </row>
    <row r="51" ht="22.5" customHeight="1">
      <c r="B51" s="1069" t="s">
        <v>928</v>
      </c>
      <c r="C51" s="1070" t="s">
        <v>929</v>
      </c>
      <c r="D51" s="1071">
        <v>4800.0</v>
      </c>
      <c r="E51" s="1072">
        <v>1.08</v>
      </c>
      <c r="F51" s="1073">
        <f t="shared" si="29"/>
        <v>3.294440631</v>
      </c>
      <c r="G51" s="1073">
        <f t="shared" si="30"/>
        <v>1.744332189</v>
      </c>
      <c r="H51" s="1074">
        <f t="shared" si="31"/>
        <v>244206.5065</v>
      </c>
      <c r="I51" s="1075">
        <f t="shared" si="32"/>
        <v>244200</v>
      </c>
      <c r="J51" s="1076">
        <f t="shared" si="33"/>
        <v>114657.0597</v>
      </c>
    </row>
    <row r="52" ht="22.5" customHeight="1">
      <c r="B52" s="1069" t="s">
        <v>930</v>
      </c>
      <c r="C52" s="1070" t="s">
        <v>931</v>
      </c>
      <c r="D52" s="1071">
        <v>5510.0</v>
      </c>
      <c r="E52" s="1072">
        <v>1.25</v>
      </c>
      <c r="F52" s="1073">
        <f t="shared" si="29"/>
        <v>3.781743308</v>
      </c>
      <c r="G52" s="1073">
        <f t="shared" si="30"/>
        <v>2.009522992</v>
      </c>
      <c r="H52" s="1074">
        <f t="shared" si="31"/>
        <v>281333.2189</v>
      </c>
      <c r="I52" s="1075">
        <f t="shared" si="32"/>
        <v>281300</v>
      </c>
      <c r="J52" s="1076">
        <f t="shared" si="33"/>
        <v>99526.10682</v>
      </c>
    </row>
    <row r="53" ht="22.5" customHeight="1">
      <c r="B53" s="1069" t="s">
        <v>932</v>
      </c>
      <c r="C53" s="1070" t="s">
        <v>933</v>
      </c>
      <c r="D53" s="1071">
        <v>6088.0</v>
      </c>
      <c r="E53" s="1072">
        <v>1.18</v>
      </c>
      <c r="F53" s="1073">
        <f t="shared" si="29"/>
        <v>4.178448868</v>
      </c>
      <c r="G53" s="1073">
        <f t="shared" si="30"/>
        <v>2.07953466</v>
      </c>
      <c r="H53" s="1074">
        <f t="shared" si="31"/>
        <v>291134.8524</v>
      </c>
      <c r="I53" s="1075">
        <f t="shared" si="32"/>
        <v>291100</v>
      </c>
      <c r="J53" s="1076">
        <f t="shared" si="33"/>
        <v>96175.3626</v>
      </c>
    </row>
    <row r="54"/>
    <row r="55"/>
    <row r="56" ht="22.5" customHeight="1">
      <c r="B56" s="1066" t="s">
        <v>900</v>
      </c>
      <c r="C56" s="1066" t="s">
        <v>901</v>
      </c>
      <c r="D56" s="1066" t="s">
        <v>902</v>
      </c>
      <c r="E56" s="1066" t="s">
        <v>903</v>
      </c>
      <c r="F56" s="1066" t="s">
        <v>904</v>
      </c>
      <c r="G56" s="1066" t="s">
        <v>905</v>
      </c>
      <c r="H56" s="1066" t="s">
        <v>906</v>
      </c>
      <c r="I56" s="1066" t="s">
        <v>907</v>
      </c>
      <c r="J56" s="1068" t="s">
        <v>908</v>
      </c>
    </row>
    <row r="57" ht="22.5" customHeight="1">
      <c r="B57" s="1069" t="s">
        <v>909</v>
      </c>
      <c r="C57" s="1069" t="s">
        <v>934</v>
      </c>
      <c r="D57" s="1071">
        <v>2100.0</v>
      </c>
      <c r="E57" s="1072">
        <v>1.02</v>
      </c>
      <c r="F57" s="1073">
        <f t="shared" ref="F57:F69" si="34">D57/$C$36</f>
        <v>1.441317776</v>
      </c>
      <c r="G57" s="1073">
        <f t="shared" ref="G57:G69" si="35">$C$37*F57+(1-$C$37)*E57</f>
        <v>1.146395333</v>
      </c>
      <c r="H57" s="1074">
        <f t="shared" ref="H57:H69" si="36">$C$35*G57</f>
        <v>160495.3466</v>
      </c>
      <c r="I57" s="1075">
        <f t="shared" ref="I57:I69" si="37">ROUND(H57, -2)</f>
        <v>160500</v>
      </c>
      <c r="J57" s="1076">
        <f t="shared" ref="J57:J69" si="38">$C$38/G57</f>
        <v>174459.8868</v>
      </c>
    </row>
    <row r="58" ht="22.5" customHeight="1">
      <c r="B58" s="1069" t="s">
        <v>917</v>
      </c>
      <c r="C58" s="1069" t="s">
        <v>935</v>
      </c>
      <c r="D58" s="1071">
        <v>2100.0</v>
      </c>
      <c r="E58" s="1072">
        <v>1.03</v>
      </c>
      <c r="F58" s="1073">
        <f t="shared" si="34"/>
        <v>1.441317776</v>
      </c>
      <c r="G58" s="1073">
        <f t="shared" si="35"/>
        <v>1.153395333</v>
      </c>
      <c r="H58" s="1074">
        <f t="shared" si="36"/>
        <v>161475.3466</v>
      </c>
      <c r="I58" s="1075">
        <f t="shared" si="37"/>
        <v>161500</v>
      </c>
      <c r="J58" s="1076">
        <f t="shared" si="38"/>
        <v>173401.0831</v>
      </c>
    </row>
    <row r="59" ht="22.5" customHeight="1">
      <c r="B59" s="1069" t="s">
        <v>913</v>
      </c>
      <c r="C59" s="1069" t="s">
        <v>936</v>
      </c>
      <c r="D59" s="1071">
        <v>2300.0</v>
      </c>
      <c r="E59" s="1072">
        <v>1.03</v>
      </c>
      <c r="F59" s="1073">
        <f t="shared" si="34"/>
        <v>1.578586136</v>
      </c>
      <c r="G59" s="1073">
        <f t="shared" si="35"/>
        <v>1.194575841</v>
      </c>
      <c r="H59" s="1074">
        <f t="shared" si="36"/>
        <v>167240.6177</v>
      </c>
      <c r="I59" s="1075">
        <f t="shared" si="37"/>
        <v>167200</v>
      </c>
      <c r="J59" s="1076">
        <f t="shared" si="38"/>
        <v>167423.4428</v>
      </c>
    </row>
    <row r="60" ht="22.5" customHeight="1">
      <c r="B60" s="1077" t="s">
        <v>919</v>
      </c>
      <c r="C60" s="1077" t="s">
        <v>937</v>
      </c>
      <c r="D60" s="1078">
        <v>2400.0</v>
      </c>
      <c r="E60" s="1079">
        <v>1.02</v>
      </c>
      <c r="F60" s="1080">
        <f t="shared" si="34"/>
        <v>1.647220316</v>
      </c>
      <c r="G60" s="1080">
        <f t="shared" si="35"/>
        <v>1.208166095</v>
      </c>
      <c r="H60" s="1078">
        <f t="shared" si="36"/>
        <v>169143.2533</v>
      </c>
      <c r="I60" s="1078">
        <f t="shared" si="37"/>
        <v>169100</v>
      </c>
      <c r="J60" s="1078">
        <f t="shared" si="38"/>
        <v>165540.1529</v>
      </c>
    </row>
    <row r="61" ht="22.5" customHeight="1">
      <c r="B61" s="1069" t="s">
        <v>911</v>
      </c>
      <c r="C61" s="1069" t="s">
        <v>938</v>
      </c>
      <c r="D61" s="1071">
        <v>2400.0</v>
      </c>
      <c r="E61" s="1072">
        <v>1.03</v>
      </c>
      <c r="F61" s="1073">
        <f t="shared" si="34"/>
        <v>1.647220316</v>
      </c>
      <c r="G61" s="1073">
        <f t="shared" si="35"/>
        <v>1.215166095</v>
      </c>
      <c r="H61" s="1074">
        <f t="shared" si="36"/>
        <v>170123.2533</v>
      </c>
      <c r="I61" s="1075">
        <f t="shared" si="37"/>
        <v>170100</v>
      </c>
      <c r="J61" s="1076">
        <f t="shared" si="38"/>
        <v>164586.5539</v>
      </c>
    </row>
    <row r="62" ht="22.5" customHeight="1">
      <c r="B62" s="1069" t="s">
        <v>915</v>
      </c>
      <c r="C62" s="1069" t="s">
        <v>939</v>
      </c>
      <c r="D62" s="1071">
        <v>2700.0</v>
      </c>
      <c r="E62" s="1072">
        <v>1.05</v>
      </c>
      <c r="F62" s="1073">
        <f t="shared" si="34"/>
        <v>1.853122855</v>
      </c>
      <c r="G62" s="1073">
        <f t="shared" si="35"/>
        <v>1.290936857</v>
      </c>
      <c r="H62" s="1074">
        <f t="shared" si="36"/>
        <v>180731.1599</v>
      </c>
      <c r="I62" s="1075">
        <f t="shared" si="37"/>
        <v>180700</v>
      </c>
      <c r="J62" s="1076">
        <f t="shared" si="38"/>
        <v>154926.2452</v>
      </c>
    </row>
    <row r="63" ht="22.5" customHeight="1">
      <c r="B63" s="1077" t="s">
        <v>921</v>
      </c>
      <c r="C63" s="1077" t="s">
        <v>940</v>
      </c>
      <c r="D63" s="1078">
        <v>3150.0</v>
      </c>
      <c r="E63" s="1079">
        <v>1.12</v>
      </c>
      <c r="F63" s="1080">
        <f t="shared" si="34"/>
        <v>2.161976664</v>
      </c>
      <c r="G63" s="1080">
        <f t="shared" si="35"/>
        <v>1.432592999</v>
      </c>
      <c r="H63" s="1078">
        <f t="shared" si="36"/>
        <v>200563.0199</v>
      </c>
      <c r="I63" s="1078">
        <f t="shared" si="37"/>
        <v>200600</v>
      </c>
      <c r="J63" s="1078">
        <f t="shared" si="38"/>
        <v>139606.9924</v>
      </c>
    </row>
    <row r="64" ht="22.5" customHeight="1">
      <c r="B64" s="1069" t="s">
        <v>924</v>
      </c>
      <c r="C64" s="1069" t="s">
        <v>941</v>
      </c>
      <c r="D64" s="1071">
        <v>3400.0</v>
      </c>
      <c r="E64" s="1072">
        <v>1.1</v>
      </c>
      <c r="F64" s="1073">
        <f t="shared" si="34"/>
        <v>2.333562114</v>
      </c>
      <c r="G64" s="1073">
        <f t="shared" si="35"/>
        <v>1.470068634</v>
      </c>
      <c r="H64" s="1074">
        <f t="shared" si="36"/>
        <v>205809.6088</v>
      </c>
      <c r="I64" s="1075">
        <f t="shared" si="37"/>
        <v>205800</v>
      </c>
      <c r="J64" s="1076">
        <f t="shared" si="38"/>
        <v>136048.0697</v>
      </c>
    </row>
    <row r="65" ht="22.5" customHeight="1">
      <c r="B65" s="1069" t="s">
        <v>923</v>
      </c>
      <c r="C65" s="1069" t="s">
        <v>942</v>
      </c>
      <c r="D65" s="1071">
        <v>3400.0</v>
      </c>
      <c r="E65" s="1072">
        <v>1.15</v>
      </c>
      <c r="F65" s="1073">
        <f t="shared" si="34"/>
        <v>2.333562114</v>
      </c>
      <c r="G65" s="1073">
        <f t="shared" si="35"/>
        <v>1.505068634</v>
      </c>
      <c r="H65" s="1074">
        <f t="shared" si="36"/>
        <v>210709.6088</v>
      </c>
      <c r="I65" s="1075">
        <f t="shared" si="37"/>
        <v>210700</v>
      </c>
      <c r="J65" s="1076">
        <f t="shared" si="38"/>
        <v>132884.3054</v>
      </c>
    </row>
    <row r="66" ht="22.5" customHeight="1">
      <c r="B66" s="1081" t="s">
        <v>928</v>
      </c>
      <c r="C66" s="1081" t="s">
        <v>943</v>
      </c>
      <c r="D66" s="1082">
        <v>3650.0</v>
      </c>
      <c r="E66" s="1083">
        <v>1.08</v>
      </c>
      <c r="F66" s="1084">
        <f t="shared" si="34"/>
        <v>2.505147563</v>
      </c>
      <c r="G66" s="1084">
        <f t="shared" si="35"/>
        <v>1.507544269</v>
      </c>
      <c r="H66" s="1082">
        <f t="shared" si="36"/>
        <v>211056.1977</v>
      </c>
      <c r="I66" s="1082">
        <f t="shared" si="37"/>
        <v>211100</v>
      </c>
      <c r="J66" s="1082">
        <f t="shared" si="38"/>
        <v>132666.0876</v>
      </c>
    </row>
    <row r="67" ht="22.5" customHeight="1">
      <c r="B67" s="1069" t="s">
        <v>944</v>
      </c>
      <c r="C67" s="1069" t="s">
        <v>945</v>
      </c>
      <c r="D67" s="1071">
        <v>4000.0</v>
      </c>
      <c r="E67" s="1072">
        <v>1.2</v>
      </c>
      <c r="F67" s="1073">
        <f t="shared" si="34"/>
        <v>2.745367193</v>
      </c>
      <c r="G67" s="1073">
        <f t="shared" si="35"/>
        <v>1.663610158</v>
      </c>
      <c r="H67" s="1074">
        <f t="shared" si="36"/>
        <v>232905.4221</v>
      </c>
      <c r="I67" s="1075">
        <f t="shared" si="37"/>
        <v>232900</v>
      </c>
      <c r="J67" s="1076">
        <f t="shared" si="38"/>
        <v>120220.473</v>
      </c>
    </row>
    <row r="68" ht="22.5" customHeight="1">
      <c r="B68" s="1069" t="s">
        <v>930</v>
      </c>
      <c r="C68" s="1069" t="s">
        <v>946</v>
      </c>
      <c r="D68" s="1071">
        <v>4000.0</v>
      </c>
      <c r="E68" s="1072">
        <v>1.25</v>
      </c>
      <c r="F68" s="1073">
        <f t="shared" si="34"/>
        <v>2.745367193</v>
      </c>
      <c r="G68" s="1073">
        <f t="shared" si="35"/>
        <v>1.698610158</v>
      </c>
      <c r="H68" s="1074">
        <f t="shared" si="36"/>
        <v>237805.4221</v>
      </c>
      <c r="I68" s="1075">
        <f t="shared" si="37"/>
        <v>237800</v>
      </c>
      <c r="J68" s="1076">
        <f t="shared" si="38"/>
        <v>117743.3204</v>
      </c>
    </row>
    <row r="69" ht="22.5" customHeight="1">
      <c r="B69" s="1069" t="s">
        <v>932</v>
      </c>
      <c r="C69" s="1069" t="s">
        <v>947</v>
      </c>
      <c r="D69" s="1071">
        <v>4250.0</v>
      </c>
      <c r="E69" s="1072">
        <v>1.18</v>
      </c>
      <c r="F69" s="1073">
        <f t="shared" si="34"/>
        <v>2.916952642</v>
      </c>
      <c r="G69" s="1073">
        <f t="shared" si="35"/>
        <v>1.701085793</v>
      </c>
      <c r="H69" s="1074">
        <f t="shared" si="36"/>
        <v>238152.011</v>
      </c>
      <c r="I69" s="1075">
        <f t="shared" si="37"/>
        <v>238200</v>
      </c>
      <c r="J69" s="1076">
        <f t="shared" si="38"/>
        <v>117571.9654</v>
      </c>
    </row>
    <row r="70">
      <c r="C70" s="914"/>
    </row>
    <row r="71">
      <c r="C71" s="914"/>
    </row>
    <row r="72">
      <c r="C72" s="914"/>
    </row>
    <row r="73">
      <c r="C73" s="914"/>
    </row>
    <row r="74">
      <c r="C74" s="914"/>
    </row>
    <row r="75">
      <c r="C75" s="914"/>
    </row>
    <row r="76">
      <c r="C76" s="914"/>
    </row>
    <row r="77">
      <c r="C77" s="914"/>
    </row>
    <row r="78">
      <c r="C78" s="914"/>
    </row>
    <row r="79">
      <c r="C79" s="914"/>
    </row>
    <row r="80">
      <c r="C80" s="914"/>
    </row>
    <row r="81">
      <c r="C81" s="914"/>
    </row>
    <row r="82">
      <c r="C82" s="914"/>
    </row>
    <row r="83">
      <c r="C83" s="914"/>
    </row>
    <row r="84">
      <c r="C84" s="914"/>
    </row>
    <row r="85">
      <c r="C85" s="914"/>
    </row>
    <row r="86">
      <c r="C86" s="914"/>
    </row>
    <row r="87">
      <c r="C87" s="914"/>
    </row>
    <row r="88">
      <c r="C88" s="914"/>
    </row>
    <row r="89">
      <c r="C89" s="914"/>
    </row>
    <row r="90">
      <c r="C90" s="914"/>
    </row>
    <row r="91">
      <c r="C91" s="914"/>
    </row>
    <row r="92">
      <c r="C92" s="914"/>
    </row>
    <row r="93">
      <c r="C93" s="914"/>
    </row>
    <row r="94">
      <c r="C94" s="914"/>
    </row>
    <row r="95">
      <c r="C95" s="914"/>
    </row>
    <row r="96">
      <c r="C96" s="914"/>
    </row>
    <row r="97">
      <c r="C97" s="914"/>
    </row>
    <row r="98">
      <c r="C98" s="914"/>
    </row>
    <row r="99">
      <c r="C99" s="914"/>
    </row>
    <row r="100">
      <c r="C100" s="914"/>
    </row>
    <row r="101">
      <c r="C101" s="914"/>
    </row>
    <row r="102">
      <c r="C102" s="914"/>
    </row>
    <row r="103">
      <c r="C103" s="914"/>
    </row>
    <row r="104">
      <c r="C104" s="914"/>
    </row>
    <row r="105">
      <c r="C105" s="914"/>
    </row>
    <row r="106">
      <c r="C106" s="914"/>
    </row>
    <row r="107">
      <c r="C107" s="914"/>
    </row>
    <row r="108">
      <c r="C108" s="914"/>
    </row>
    <row r="109">
      <c r="C109" s="914"/>
    </row>
    <row r="110">
      <c r="C110" s="914"/>
    </row>
    <row r="111">
      <c r="C111" s="914"/>
    </row>
    <row r="112">
      <c r="C112" s="914"/>
    </row>
    <row r="113">
      <c r="C113" s="914"/>
    </row>
    <row r="114">
      <c r="C114" s="914"/>
    </row>
    <row r="115">
      <c r="C115" s="914"/>
    </row>
    <row r="116">
      <c r="C116" s="914"/>
    </row>
    <row r="117">
      <c r="C117" s="914"/>
    </row>
    <row r="118">
      <c r="C118" s="914"/>
    </row>
    <row r="119">
      <c r="C119" s="914"/>
    </row>
    <row r="120">
      <c r="C120" s="914"/>
    </row>
    <row r="121">
      <c r="C121" s="914"/>
    </row>
    <row r="122">
      <c r="C122" s="914"/>
    </row>
    <row r="123">
      <c r="C123" s="914"/>
    </row>
    <row r="124">
      <c r="C124" s="914"/>
    </row>
    <row r="125">
      <c r="C125" s="914"/>
    </row>
    <row r="126">
      <c r="C126" s="914"/>
    </row>
    <row r="127">
      <c r="C127" s="914"/>
    </row>
    <row r="128">
      <c r="C128" s="914"/>
    </row>
    <row r="129">
      <c r="C129" s="914"/>
    </row>
    <row r="130">
      <c r="C130" s="914"/>
    </row>
    <row r="131">
      <c r="C131" s="914"/>
    </row>
    <row r="132">
      <c r="C132" s="914"/>
    </row>
    <row r="133">
      <c r="C133" s="914"/>
    </row>
    <row r="134">
      <c r="C134" s="914"/>
    </row>
    <row r="135">
      <c r="C135" s="914"/>
    </row>
    <row r="136">
      <c r="C136" s="914"/>
    </row>
    <row r="137">
      <c r="C137" s="914"/>
    </row>
    <row r="138">
      <c r="C138" s="914"/>
    </row>
    <row r="139">
      <c r="C139" s="914"/>
    </row>
    <row r="140">
      <c r="C140" s="914"/>
    </row>
    <row r="141">
      <c r="C141" s="914"/>
    </row>
    <row r="142">
      <c r="C142" s="914"/>
    </row>
    <row r="143">
      <c r="C143" s="914"/>
    </row>
    <row r="144">
      <c r="C144" s="914"/>
    </row>
    <row r="145">
      <c r="C145" s="914"/>
    </row>
    <row r="146">
      <c r="C146" s="914"/>
    </row>
    <row r="147">
      <c r="C147" s="914"/>
    </row>
    <row r="148">
      <c r="C148" s="914"/>
    </row>
    <row r="149">
      <c r="C149" s="914"/>
    </row>
    <row r="150">
      <c r="C150" s="914"/>
    </row>
    <row r="151">
      <c r="C151" s="914"/>
    </row>
    <row r="152">
      <c r="C152" s="914"/>
    </row>
    <row r="153">
      <c r="C153" s="914"/>
    </row>
    <row r="154">
      <c r="C154" s="914"/>
    </row>
    <row r="155">
      <c r="C155" s="914"/>
    </row>
    <row r="156">
      <c r="C156" s="914"/>
    </row>
    <row r="157">
      <c r="C157" s="914"/>
    </row>
    <row r="158">
      <c r="C158" s="914"/>
    </row>
    <row r="159">
      <c r="C159" s="914"/>
    </row>
    <row r="160">
      <c r="C160" s="914"/>
    </row>
    <row r="161">
      <c r="C161" s="914"/>
    </row>
    <row r="162">
      <c r="C162" s="914"/>
    </row>
    <row r="163">
      <c r="C163" s="914"/>
    </row>
    <row r="164">
      <c r="C164" s="914"/>
    </row>
    <row r="165">
      <c r="C165" s="914"/>
    </row>
    <row r="166">
      <c r="C166" s="914"/>
    </row>
    <row r="167">
      <c r="C167" s="914"/>
    </row>
    <row r="168">
      <c r="C168" s="914"/>
    </row>
    <row r="169">
      <c r="C169" s="914"/>
    </row>
    <row r="170">
      <c r="C170" s="914"/>
    </row>
    <row r="171">
      <c r="C171" s="914"/>
    </row>
    <row r="172">
      <c r="C172" s="914"/>
    </row>
    <row r="173">
      <c r="C173" s="914"/>
    </row>
    <row r="174">
      <c r="C174" s="914"/>
    </row>
    <row r="175">
      <c r="C175" s="914"/>
    </row>
    <row r="176">
      <c r="C176" s="914"/>
    </row>
    <row r="177">
      <c r="C177" s="914"/>
    </row>
    <row r="178">
      <c r="C178" s="914"/>
    </row>
    <row r="179">
      <c r="C179" s="914"/>
    </row>
    <row r="180">
      <c r="C180" s="914"/>
    </row>
    <row r="181">
      <c r="C181" s="914"/>
    </row>
    <row r="182">
      <c r="C182" s="914"/>
    </row>
    <row r="183">
      <c r="C183" s="914"/>
    </row>
    <row r="184">
      <c r="C184" s="914"/>
    </row>
    <row r="185">
      <c r="C185" s="914"/>
    </row>
    <row r="186">
      <c r="C186" s="914"/>
    </row>
    <row r="187">
      <c r="C187" s="914"/>
    </row>
    <row r="188">
      <c r="C188" s="914"/>
    </row>
    <row r="189">
      <c r="C189" s="914"/>
    </row>
    <row r="190">
      <c r="C190" s="914"/>
    </row>
    <row r="191">
      <c r="C191" s="914"/>
    </row>
    <row r="192">
      <c r="C192" s="914"/>
    </row>
    <row r="193">
      <c r="C193" s="914"/>
    </row>
    <row r="194">
      <c r="C194" s="914"/>
    </row>
    <row r="195">
      <c r="C195" s="914"/>
    </row>
    <row r="196">
      <c r="C196" s="914"/>
    </row>
    <row r="197">
      <c r="C197" s="914"/>
    </row>
    <row r="198">
      <c r="C198" s="914"/>
    </row>
    <row r="199">
      <c r="C199" s="914"/>
    </row>
    <row r="200">
      <c r="C200" s="914"/>
    </row>
    <row r="201">
      <c r="C201" s="914"/>
    </row>
    <row r="202">
      <c r="C202" s="914"/>
    </row>
    <row r="203">
      <c r="C203" s="914"/>
    </row>
    <row r="204">
      <c r="C204" s="914"/>
    </row>
    <row r="205">
      <c r="C205" s="914"/>
    </row>
    <row r="206">
      <c r="C206" s="914"/>
    </row>
    <row r="207">
      <c r="C207" s="914"/>
    </row>
    <row r="208">
      <c r="C208" s="914"/>
    </row>
    <row r="209">
      <c r="C209" s="914"/>
    </row>
    <row r="210">
      <c r="C210" s="914"/>
    </row>
    <row r="211">
      <c r="C211" s="914"/>
    </row>
    <row r="212">
      <c r="C212" s="914"/>
    </row>
    <row r="213">
      <c r="C213" s="914"/>
    </row>
    <row r="214">
      <c r="C214" s="914"/>
    </row>
    <row r="215">
      <c r="C215" s="914"/>
    </row>
    <row r="216">
      <c r="C216" s="914"/>
    </row>
    <row r="217">
      <c r="C217" s="914"/>
    </row>
    <row r="218">
      <c r="C218" s="914"/>
    </row>
    <row r="219">
      <c r="C219" s="914"/>
    </row>
    <row r="220">
      <c r="C220" s="914"/>
    </row>
    <row r="221">
      <c r="C221" s="914"/>
    </row>
    <row r="222">
      <c r="C222" s="914"/>
    </row>
    <row r="223">
      <c r="C223" s="914"/>
    </row>
    <row r="224">
      <c r="C224" s="914"/>
    </row>
    <row r="225">
      <c r="C225" s="914"/>
    </row>
    <row r="226">
      <c r="C226" s="914"/>
    </row>
    <row r="227">
      <c r="C227" s="914"/>
    </row>
    <row r="228">
      <c r="C228" s="914"/>
    </row>
    <row r="229">
      <c r="C229" s="914"/>
    </row>
    <row r="230">
      <c r="C230" s="914"/>
    </row>
    <row r="231">
      <c r="C231" s="914"/>
    </row>
    <row r="232">
      <c r="C232" s="914"/>
    </row>
    <row r="233">
      <c r="C233" s="914"/>
    </row>
    <row r="234">
      <c r="C234" s="914"/>
    </row>
    <row r="235">
      <c r="C235" s="914"/>
    </row>
    <row r="236">
      <c r="C236" s="914"/>
    </row>
    <row r="237">
      <c r="C237" s="914"/>
    </row>
    <row r="238">
      <c r="C238" s="914"/>
    </row>
    <row r="239">
      <c r="C239" s="914"/>
    </row>
    <row r="240">
      <c r="C240" s="914"/>
    </row>
    <row r="241">
      <c r="C241" s="914"/>
    </row>
    <row r="242">
      <c r="C242" s="914"/>
    </row>
    <row r="243">
      <c r="C243" s="914"/>
    </row>
    <row r="244">
      <c r="C244" s="914"/>
    </row>
    <row r="245">
      <c r="C245" s="914"/>
    </row>
    <row r="246">
      <c r="C246" s="914"/>
    </row>
    <row r="247">
      <c r="C247" s="914"/>
    </row>
    <row r="248">
      <c r="C248" s="914"/>
    </row>
    <row r="249">
      <c r="C249" s="914"/>
    </row>
    <row r="250">
      <c r="C250" s="914"/>
    </row>
    <row r="251">
      <c r="C251" s="914"/>
    </row>
    <row r="252">
      <c r="C252" s="914"/>
    </row>
    <row r="253">
      <c r="C253" s="914"/>
    </row>
    <row r="254">
      <c r="C254" s="914"/>
    </row>
    <row r="255">
      <c r="C255" s="914"/>
    </row>
    <row r="256">
      <c r="C256" s="914"/>
    </row>
    <row r="257">
      <c r="C257" s="914"/>
    </row>
    <row r="258">
      <c r="C258" s="914"/>
    </row>
    <row r="259">
      <c r="C259" s="914"/>
    </row>
    <row r="260">
      <c r="C260" s="914"/>
    </row>
    <row r="261">
      <c r="C261" s="914"/>
    </row>
    <row r="262">
      <c r="C262" s="914"/>
    </row>
    <row r="263">
      <c r="C263" s="914"/>
    </row>
    <row r="264">
      <c r="C264" s="914"/>
    </row>
    <row r="265">
      <c r="C265" s="914"/>
    </row>
    <row r="266">
      <c r="C266" s="914"/>
    </row>
    <row r="267">
      <c r="C267" s="914"/>
    </row>
    <row r="268">
      <c r="C268" s="914"/>
    </row>
    <row r="269">
      <c r="C269" s="914"/>
    </row>
    <row r="270">
      <c r="C270" s="914"/>
    </row>
    <row r="271">
      <c r="C271" s="914"/>
    </row>
    <row r="272">
      <c r="C272" s="914"/>
    </row>
    <row r="273">
      <c r="C273" s="914"/>
    </row>
    <row r="274">
      <c r="C274" s="914"/>
    </row>
    <row r="275">
      <c r="C275" s="914"/>
    </row>
    <row r="276">
      <c r="C276" s="914"/>
    </row>
    <row r="277">
      <c r="C277" s="914"/>
    </row>
    <row r="278">
      <c r="C278" s="914"/>
    </row>
    <row r="279">
      <c r="C279" s="914"/>
    </row>
    <row r="280">
      <c r="C280" s="914"/>
    </row>
    <row r="281">
      <c r="C281" s="914"/>
    </row>
    <row r="282">
      <c r="C282" s="914"/>
    </row>
    <row r="283">
      <c r="C283" s="914"/>
    </row>
    <row r="284">
      <c r="C284" s="914"/>
    </row>
    <row r="285">
      <c r="C285" s="914"/>
    </row>
    <row r="286">
      <c r="C286" s="914"/>
    </row>
    <row r="287">
      <c r="C287" s="914"/>
    </row>
    <row r="288">
      <c r="C288" s="914"/>
    </row>
    <row r="289">
      <c r="C289" s="914"/>
    </row>
    <row r="290">
      <c r="C290" s="914"/>
    </row>
    <row r="291">
      <c r="C291" s="914"/>
    </row>
    <row r="292">
      <c r="C292" s="914"/>
    </row>
    <row r="293">
      <c r="C293" s="914"/>
    </row>
    <row r="294">
      <c r="C294" s="914"/>
    </row>
    <row r="295">
      <c r="C295" s="914"/>
    </row>
    <row r="296">
      <c r="C296" s="914"/>
    </row>
    <row r="297">
      <c r="C297" s="914"/>
    </row>
    <row r="298">
      <c r="C298" s="914"/>
    </row>
    <row r="299">
      <c r="C299" s="914"/>
    </row>
    <row r="300">
      <c r="C300" s="914"/>
    </row>
    <row r="301">
      <c r="C301" s="914"/>
    </row>
    <row r="302">
      <c r="C302" s="914"/>
    </row>
    <row r="303">
      <c r="C303" s="914"/>
    </row>
    <row r="304">
      <c r="C304" s="914"/>
    </row>
    <row r="305">
      <c r="C305" s="914"/>
    </row>
    <row r="306">
      <c r="C306" s="914"/>
    </row>
    <row r="307">
      <c r="C307" s="914"/>
    </row>
    <row r="308">
      <c r="C308" s="914"/>
    </row>
    <row r="309">
      <c r="C309" s="914"/>
    </row>
    <row r="310">
      <c r="C310" s="914"/>
    </row>
    <row r="311">
      <c r="C311" s="914"/>
    </row>
    <row r="312">
      <c r="C312" s="914"/>
    </row>
    <row r="313">
      <c r="C313" s="914"/>
    </row>
    <row r="314">
      <c r="C314" s="914"/>
    </row>
    <row r="315">
      <c r="C315" s="914"/>
    </row>
    <row r="316">
      <c r="C316" s="914"/>
    </row>
    <row r="317">
      <c r="C317" s="914"/>
    </row>
    <row r="318">
      <c r="C318" s="914"/>
    </row>
    <row r="319">
      <c r="C319" s="914"/>
    </row>
    <row r="320">
      <c r="C320" s="914"/>
    </row>
    <row r="321">
      <c r="C321" s="914"/>
    </row>
    <row r="322">
      <c r="C322" s="914"/>
    </row>
    <row r="323">
      <c r="C323" s="914"/>
    </row>
    <row r="324">
      <c r="C324" s="914"/>
    </row>
    <row r="325">
      <c r="C325" s="914"/>
    </row>
    <row r="326">
      <c r="C326" s="914"/>
    </row>
    <row r="327">
      <c r="C327" s="914"/>
    </row>
    <row r="328">
      <c r="C328" s="914"/>
    </row>
    <row r="329">
      <c r="C329" s="914"/>
    </row>
    <row r="330">
      <c r="C330" s="914"/>
    </row>
    <row r="331">
      <c r="C331" s="914"/>
    </row>
    <row r="332">
      <c r="C332" s="914"/>
    </row>
    <row r="333">
      <c r="C333" s="914"/>
    </row>
    <row r="334">
      <c r="C334" s="914"/>
    </row>
    <row r="335">
      <c r="C335" s="914"/>
    </row>
    <row r="336">
      <c r="C336" s="914"/>
    </row>
    <row r="337">
      <c r="C337" s="914"/>
    </row>
    <row r="338">
      <c r="C338" s="914"/>
    </row>
    <row r="339">
      <c r="C339" s="914"/>
    </row>
    <row r="340">
      <c r="C340" s="914"/>
    </row>
    <row r="341">
      <c r="C341" s="914"/>
    </row>
    <row r="342">
      <c r="C342" s="914"/>
    </row>
    <row r="343">
      <c r="C343" s="914"/>
    </row>
    <row r="344">
      <c r="C344" s="914"/>
    </row>
    <row r="345">
      <c r="C345" s="914"/>
    </row>
    <row r="346">
      <c r="C346" s="914"/>
    </row>
    <row r="347">
      <c r="C347" s="914"/>
    </row>
    <row r="348">
      <c r="C348" s="914"/>
    </row>
    <row r="349">
      <c r="C349" s="914"/>
    </row>
    <row r="350">
      <c r="C350" s="914"/>
    </row>
    <row r="351">
      <c r="C351" s="914"/>
    </row>
    <row r="352">
      <c r="C352" s="914"/>
    </row>
    <row r="353">
      <c r="C353" s="914"/>
    </row>
    <row r="354">
      <c r="C354" s="914"/>
    </row>
    <row r="355">
      <c r="C355" s="914"/>
    </row>
    <row r="356">
      <c r="C356" s="914"/>
    </row>
    <row r="357">
      <c r="C357" s="914"/>
    </row>
    <row r="358">
      <c r="C358" s="914"/>
    </row>
    <row r="359">
      <c r="C359" s="914"/>
    </row>
    <row r="360">
      <c r="C360" s="914"/>
    </row>
    <row r="361">
      <c r="C361" s="914"/>
    </row>
    <row r="362">
      <c r="C362" s="914"/>
    </row>
    <row r="363">
      <c r="C363" s="914"/>
    </row>
    <row r="364">
      <c r="C364" s="914"/>
    </row>
    <row r="365">
      <c r="C365" s="914"/>
    </row>
    <row r="366">
      <c r="C366" s="914"/>
    </row>
    <row r="367">
      <c r="C367" s="914"/>
    </row>
    <row r="368">
      <c r="C368" s="914"/>
    </row>
    <row r="369">
      <c r="C369" s="914"/>
    </row>
    <row r="370">
      <c r="C370" s="914"/>
    </row>
    <row r="371">
      <c r="C371" s="914"/>
    </row>
    <row r="372">
      <c r="C372" s="914"/>
    </row>
    <row r="373">
      <c r="C373" s="914"/>
    </row>
    <row r="374">
      <c r="C374" s="914"/>
    </row>
    <row r="375">
      <c r="C375" s="914"/>
    </row>
    <row r="376">
      <c r="C376" s="914"/>
    </row>
    <row r="377">
      <c r="C377" s="914"/>
    </row>
    <row r="378">
      <c r="C378" s="914"/>
    </row>
    <row r="379">
      <c r="C379" s="914"/>
    </row>
    <row r="380">
      <c r="C380" s="914"/>
    </row>
    <row r="381">
      <c r="C381" s="914"/>
    </row>
    <row r="382">
      <c r="C382" s="914"/>
    </row>
    <row r="383">
      <c r="C383" s="914"/>
    </row>
    <row r="384">
      <c r="C384" s="914"/>
    </row>
    <row r="385">
      <c r="C385" s="914"/>
    </row>
    <row r="386">
      <c r="C386" s="914"/>
    </row>
    <row r="387">
      <c r="C387" s="914"/>
    </row>
    <row r="388">
      <c r="C388" s="914"/>
    </row>
    <row r="389">
      <c r="C389" s="914"/>
    </row>
    <row r="390">
      <c r="C390" s="914"/>
    </row>
    <row r="391">
      <c r="C391" s="914"/>
    </row>
    <row r="392">
      <c r="C392" s="914"/>
    </row>
    <row r="393">
      <c r="C393" s="914"/>
    </row>
    <row r="394">
      <c r="C394" s="914"/>
    </row>
    <row r="395">
      <c r="C395" s="914"/>
    </row>
    <row r="396">
      <c r="C396" s="914"/>
    </row>
    <row r="397">
      <c r="C397" s="914"/>
    </row>
    <row r="398">
      <c r="C398" s="914"/>
    </row>
    <row r="399">
      <c r="C399" s="914"/>
    </row>
    <row r="400">
      <c r="C400" s="914"/>
    </row>
    <row r="401">
      <c r="C401" s="914"/>
    </row>
    <row r="402">
      <c r="C402" s="914"/>
    </row>
    <row r="403">
      <c r="C403" s="914"/>
    </row>
    <row r="404">
      <c r="C404" s="914"/>
    </row>
    <row r="405">
      <c r="C405" s="914"/>
    </row>
    <row r="406">
      <c r="C406" s="914"/>
    </row>
    <row r="407">
      <c r="C407" s="914"/>
    </row>
    <row r="408">
      <c r="C408" s="914"/>
    </row>
    <row r="409">
      <c r="C409" s="914"/>
    </row>
    <row r="410">
      <c r="C410" s="914"/>
    </row>
    <row r="411">
      <c r="C411" s="914"/>
    </row>
    <row r="412">
      <c r="C412" s="914"/>
    </row>
    <row r="413">
      <c r="C413" s="914"/>
    </row>
    <row r="414">
      <c r="C414" s="914"/>
    </row>
    <row r="415">
      <c r="C415" s="914"/>
    </row>
    <row r="416">
      <c r="C416" s="914"/>
    </row>
    <row r="417">
      <c r="C417" s="914"/>
    </row>
    <row r="418">
      <c r="C418" s="914"/>
    </row>
    <row r="419">
      <c r="C419" s="914"/>
    </row>
    <row r="420">
      <c r="C420" s="914"/>
    </row>
    <row r="421">
      <c r="C421" s="914"/>
    </row>
    <row r="422">
      <c r="C422" s="914"/>
    </row>
    <row r="423">
      <c r="C423" s="914"/>
    </row>
    <row r="424">
      <c r="C424" s="914"/>
    </row>
    <row r="425">
      <c r="C425" s="914"/>
    </row>
    <row r="426">
      <c r="C426" s="914"/>
    </row>
    <row r="427">
      <c r="C427" s="914"/>
    </row>
    <row r="428">
      <c r="C428" s="914"/>
    </row>
    <row r="429">
      <c r="C429" s="914"/>
    </row>
    <row r="430">
      <c r="C430" s="914"/>
    </row>
    <row r="431">
      <c r="C431" s="914"/>
    </row>
    <row r="432">
      <c r="C432" s="914"/>
    </row>
    <row r="433">
      <c r="C433" s="914"/>
    </row>
    <row r="434">
      <c r="C434" s="914"/>
    </row>
    <row r="435">
      <c r="C435" s="914"/>
    </row>
    <row r="436">
      <c r="C436" s="914"/>
    </row>
    <row r="437">
      <c r="C437" s="914"/>
    </row>
    <row r="438">
      <c r="C438" s="914"/>
    </row>
    <row r="439">
      <c r="C439" s="914"/>
    </row>
    <row r="440">
      <c r="C440" s="914"/>
    </row>
    <row r="441">
      <c r="C441" s="914"/>
    </row>
    <row r="442">
      <c r="C442" s="914"/>
    </row>
    <row r="443">
      <c r="C443" s="914"/>
    </row>
    <row r="444">
      <c r="C444" s="914"/>
    </row>
    <row r="445">
      <c r="C445" s="914"/>
    </row>
    <row r="446">
      <c r="C446" s="914"/>
    </row>
    <row r="447">
      <c r="C447" s="914"/>
    </row>
    <row r="448">
      <c r="C448" s="914"/>
    </row>
    <row r="449">
      <c r="C449" s="914"/>
    </row>
    <row r="450">
      <c r="C450" s="914"/>
    </row>
    <row r="451">
      <c r="C451" s="914"/>
    </row>
    <row r="452">
      <c r="C452" s="914"/>
    </row>
    <row r="453">
      <c r="C453" s="914"/>
    </row>
    <row r="454">
      <c r="C454" s="914"/>
    </row>
    <row r="455">
      <c r="C455" s="914"/>
    </row>
    <row r="456">
      <c r="C456" s="914"/>
    </row>
    <row r="457">
      <c r="C457" s="914"/>
    </row>
    <row r="458">
      <c r="C458" s="914"/>
    </row>
    <row r="459">
      <c r="C459" s="914"/>
    </row>
    <row r="460">
      <c r="C460" s="914"/>
    </row>
    <row r="461">
      <c r="C461" s="914"/>
    </row>
    <row r="462">
      <c r="C462" s="914"/>
    </row>
    <row r="463">
      <c r="C463" s="914"/>
    </row>
    <row r="464">
      <c r="C464" s="914"/>
    </row>
    <row r="465">
      <c r="C465" s="914"/>
    </row>
    <row r="466">
      <c r="C466" s="914"/>
    </row>
    <row r="467">
      <c r="C467" s="914"/>
    </row>
    <row r="468">
      <c r="C468" s="914"/>
    </row>
    <row r="469">
      <c r="C469" s="914"/>
    </row>
    <row r="470">
      <c r="C470" s="914"/>
    </row>
    <row r="471">
      <c r="C471" s="914"/>
    </row>
    <row r="472">
      <c r="C472" s="914"/>
    </row>
    <row r="473">
      <c r="C473" s="914"/>
    </row>
    <row r="474">
      <c r="C474" s="914"/>
    </row>
    <row r="475">
      <c r="C475" s="914"/>
    </row>
    <row r="476">
      <c r="C476" s="914"/>
    </row>
    <row r="477">
      <c r="C477" s="914"/>
    </row>
    <row r="478">
      <c r="C478" s="914"/>
    </row>
    <row r="479">
      <c r="C479" s="914"/>
    </row>
    <row r="480">
      <c r="C480" s="914"/>
    </row>
    <row r="481">
      <c r="C481" s="914"/>
    </row>
    <row r="482">
      <c r="C482" s="914"/>
    </row>
    <row r="483">
      <c r="C483" s="914"/>
    </row>
    <row r="484">
      <c r="C484" s="914"/>
    </row>
    <row r="485">
      <c r="C485" s="914"/>
    </row>
    <row r="486">
      <c r="C486" s="914"/>
    </row>
    <row r="487">
      <c r="C487" s="914"/>
    </row>
    <row r="488">
      <c r="C488" s="914"/>
    </row>
    <row r="489">
      <c r="C489" s="914"/>
    </row>
    <row r="490">
      <c r="C490" s="914"/>
    </row>
    <row r="491">
      <c r="C491" s="914"/>
    </row>
    <row r="492">
      <c r="C492" s="914"/>
    </row>
    <row r="493">
      <c r="C493" s="914"/>
    </row>
    <row r="494">
      <c r="C494" s="914"/>
    </row>
    <row r="495">
      <c r="C495" s="914"/>
    </row>
    <row r="496">
      <c r="C496" s="914"/>
    </row>
    <row r="497">
      <c r="C497" s="914"/>
    </row>
    <row r="498">
      <c r="C498" s="914"/>
    </row>
    <row r="499">
      <c r="C499" s="914"/>
    </row>
    <row r="500">
      <c r="C500" s="914"/>
    </row>
    <row r="501">
      <c r="C501" s="914"/>
    </row>
    <row r="502">
      <c r="C502" s="914"/>
    </row>
    <row r="503">
      <c r="C503" s="914"/>
    </row>
    <row r="504">
      <c r="C504" s="914"/>
    </row>
    <row r="505">
      <c r="C505" s="914"/>
    </row>
    <row r="506">
      <c r="C506" s="914"/>
    </row>
    <row r="507">
      <c r="C507" s="914"/>
    </row>
    <row r="508">
      <c r="C508" s="914"/>
    </row>
    <row r="509">
      <c r="C509" s="914"/>
    </row>
    <row r="510">
      <c r="C510" s="914"/>
    </row>
    <row r="511">
      <c r="C511" s="914"/>
    </row>
    <row r="512">
      <c r="C512" s="914"/>
    </row>
    <row r="513">
      <c r="C513" s="914"/>
    </row>
    <row r="514">
      <c r="C514" s="914"/>
    </row>
    <row r="515">
      <c r="C515" s="914"/>
    </row>
    <row r="516">
      <c r="C516" s="914"/>
    </row>
    <row r="517">
      <c r="C517" s="914"/>
    </row>
    <row r="518">
      <c r="C518" s="914"/>
    </row>
    <row r="519">
      <c r="C519" s="914"/>
    </row>
    <row r="520">
      <c r="C520" s="914"/>
    </row>
    <row r="521">
      <c r="C521" s="914"/>
    </row>
    <row r="522">
      <c r="C522" s="914"/>
    </row>
    <row r="523">
      <c r="C523" s="914"/>
    </row>
    <row r="524">
      <c r="C524" s="914"/>
    </row>
    <row r="525">
      <c r="C525" s="914"/>
    </row>
    <row r="526">
      <c r="C526" s="914"/>
    </row>
    <row r="527">
      <c r="C527" s="914"/>
    </row>
    <row r="528">
      <c r="C528" s="914"/>
    </row>
    <row r="529">
      <c r="C529" s="914"/>
    </row>
    <row r="530">
      <c r="C530" s="914"/>
    </row>
    <row r="531">
      <c r="C531" s="914"/>
    </row>
    <row r="532">
      <c r="C532" s="914"/>
    </row>
    <row r="533">
      <c r="C533" s="914"/>
    </row>
    <row r="534">
      <c r="C534" s="914"/>
    </row>
    <row r="535">
      <c r="C535" s="914"/>
    </row>
    <row r="536">
      <c r="C536" s="914"/>
    </row>
    <row r="537">
      <c r="C537" s="914"/>
    </row>
    <row r="538">
      <c r="C538" s="914"/>
    </row>
    <row r="539">
      <c r="C539" s="914"/>
    </row>
    <row r="540">
      <c r="C540" s="914"/>
    </row>
    <row r="541">
      <c r="C541" s="914"/>
    </row>
    <row r="542">
      <c r="C542" s="914"/>
    </row>
    <row r="543">
      <c r="C543" s="914"/>
    </row>
    <row r="544">
      <c r="C544" s="914"/>
    </row>
    <row r="545">
      <c r="C545" s="914"/>
    </row>
    <row r="546">
      <c r="C546" s="914"/>
    </row>
    <row r="547">
      <c r="C547" s="914"/>
    </row>
    <row r="548">
      <c r="C548" s="914"/>
    </row>
    <row r="549">
      <c r="C549" s="914"/>
    </row>
    <row r="550">
      <c r="C550" s="914"/>
    </row>
    <row r="551">
      <c r="C551" s="914"/>
    </row>
    <row r="552">
      <c r="C552" s="914"/>
    </row>
    <row r="553">
      <c r="C553" s="914"/>
    </row>
    <row r="554">
      <c r="C554" s="914"/>
    </row>
    <row r="555">
      <c r="C555" s="914"/>
    </row>
    <row r="556">
      <c r="C556" s="914"/>
    </row>
    <row r="557">
      <c r="C557" s="914"/>
    </row>
    <row r="558">
      <c r="C558" s="914"/>
    </row>
    <row r="559">
      <c r="C559" s="914"/>
    </row>
    <row r="560">
      <c r="C560" s="914"/>
    </row>
    <row r="561">
      <c r="C561" s="914"/>
    </row>
    <row r="562">
      <c r="C562" s="914"/>
    </row>
    <row r="563">
      <c r="C563" s="914"/>
    </row>
    <row r="564">
      <c r="C564" s="914"/>
    </row>
    <row r="565">
      <c r="C565" s="914"/>
    </row>
    <row r="566">
      <c r="C566" s="914"/>
    </row>
    <row r="567">
      <c r="C567" s="914"/>
    </row>
    <row r="568">
      <c r="C568" s="914"/>
    </row>
    <row r="569">
      <c r="C569" s="914"/>
    </row>
    <row r="570">
      <c r="C570" s="914"/>
    </row>
    <row r="571">
      <c r="C571" s="914"/>
    </row>
    <row r="572">
      <c r="C572" s="914"/>
    </row>
    <row r="573">
      <c r="C573" s="914"/>
    </row>
    <row r="574">
      <c r="C574" s="914"/>
    </row>
    <row r="575">
      <c r="C575" s="914"/>
    </row>
    <row r="576">
      <c r="C576" s="914"/>
    </row>
    <row r="577">
      <c r="C577" s="914"/>
    </row>
    <row r="578">
      <c r="C578" s="914"/>
    </row>
    <row r="579">
      <c r="C579" s="914"/>
    </row>
    <row r="580">
      <c r="C580" s="914"/>
    </row>
    <row r="581">
      <c r="C581" s="914"/>
    </row>
    <row r="582">
      <c r="C582" s="914"/>
    </row>
    <row r="583">
      <c r="C583" s="914"/>
    </row>
    <row r="584">
      <c r="C584" s="914"/>
    </row>
    <row r="585">
      <c r="C585" s="914"/>
    </row>
    <row r="586">
      <c r="C586" s="914"/>
    </row>
    <row r="587">
      <c r="C587" s="914"/>
    </row>
    <row r="588">
      <c r="C588" s="914"/>
    </row>
    <row r="589">
      <c r="C589" s="914"/>
    </row>
    <row r="590">
      <c r="C590" s="914"/>
    </row>
    <row r="591">
      <c r="C591" s="914"/>
    </row>
    <row r="592">
      <c r="C592" s="914"/>
    </row>
    <row r="593">
      <c r="C593" s="914"/>
    </row>
    <row r="594">
      <c r="C594" s="914"/>
    </row>
    <row r="595">
      <c r="C595" s="914"/>
    </row>
    <row r="596">
      <c r="C596" s="914"/>
    </row>
    <row r="597">
      <c r="C597" s="914"/>
    </row>
    <row r="598">
      <c r="C598" s="914"/>
    </row>
    <row r="599">
      <c r="C599" s="914"/>
    </row>
    <row r="600">
      <c r="C600" s="914"/>
    </row>
    <row r="601">
      <c r="C601" s="914"/>
    </row>
    <row r="602">
      <c r="C602" s="914"/>
    </row>
    <row r="603">
      <c r="C603" s="914"/>
    </row>
    <row r="604">
      <c r="C604" s="914"/>
    </row>
    <row r="605">
      <c r="C605" s="914"/>
    </row>
    <row r="606">
      <c r="C606" s="914"/>
    </row>
    <row r="607">
      <c r="C607" s="914"/>
    </row>
    <row r="608">
      <c r="C608" s="914"/>
    </row>
    <row r="609">
      <c r="C609" s="914"/>
    </row>
    <row r="610">
      <c r="C610" s="914"/>
    </row>
    <row r="611">
      <c r="C611" s="914"/>
    </row>
    <row r="612">
      <c r="C612" s="914"/>
    </row>
    <row r="613">
      <c r="C613" s="914"/>
    </row>
    <row r="614">
      <c r="C614" s="914"/>
    </row>
    <row r="615">
      <c r="C615" s="914"/>
    </row>
    <row r="616">
      <c r="C616" s="914"/>
    </row>
    <row r="617">
      <c r="C617" s="914"/>
    </row>
    <row r="618">
      <c r="C618" s="914"/>
    </row>
    <row r="619">
      <c r="C619" s="914"/>
    </row>
    <row r="620">
      <c r="C620" s="914"/>
    </row>
    <row r="621">
      <c r="C621" s="914"/>
    </row>
    <row r="622">
      <c r="C622" s="914"/>
    </row>
    <row r="623">
      <c r="C623" s="914"/>
    </row>
    <row r="624">
      <c r="C624" s="914"/>
    </row>
    <row r="625">
      <c r="C625" s="914"/>
    </row>
    <row r="626">
      <c r="C626" s="914"/>
    </row>
    <row r="627">
      <c r="C627" s="914"/>
    </row>
    <row r="628">
      <c r="C628" s="914"/>
    </row>
    <row r="629">
      <c r="C629" s="914"/>
    </row>
    <row r="630">
      <c r="C630" s="914"/>
    </row>
    <row r="631">
      <c r="C631" s="914"/>
    </row>
    <row r="632">
      <c r="C632" s="914"/>
    </row>
    <row r="633">
      <c r="C633" s="914"/>
    </row>
    <row r="634">
      <c r="C634" s="914"/>
    </row>
    <row r="635">
      <c r="C635" s="914"/>
    </row>
    <row r="636">
      <c r="C636" s="914"/>
    </row>
    <row r="637">
      <c r="C637" s="914"/>
    </row>
    <row r="638">
      <c r="C638" s="914"/>
    </row>
    <row r="639">
      <c r="C639" s="914"/>
    </row>
    <row r="640">
      <c r="C640" s="914"/>
    </row>
    <row r="641">
      <c r="C641" s="914"/>
    </row>
    <row r="642">
      <c r="C642" s="914"/>
    </row>
    <row r="643">
      <c r="C643" s="914"/>
    </row>
    <row r="644">
      <c r="C644" s="914"/>
    </row>
    <row r="645">
      <c r="C645" s="914"/>
    </row>
    <row r="646">
      <c r="C646" s="914"/>
    </row>
    <row r="647">
      <c r="C647" s="914"/>
    </row>
    <row r="648">
      <c r="C648" s="914"/>
    </row>
    <row r="649">
      <c r="C649" s="914"/>
    </row>
    <row r="650">
      <c r="C650" s="914"/>
    </row>
    <row r="651">
      <c r="C651" s="914"/>
    </row>
    <row r="652">
      <c r="C652" s="914"/>
    </row>
    <row r="653">
      <c r="C653" s="914"/>
    </row>
    <row r="654">
      <c r="C654" s="914"/>
    </row>
    <row r="655">
      <c r="C655" s="914"/>
    </row>
    <row r="656">
      <c r="C656" s="914"/>
    </row>
    <row r="657">
      <c r="C657" s="914"/>
    </row>
    <row r="658">
      <c r="C658" s="914"/>
    </row>
    <row r="659">
      <c r="C659" s="914"/>
    </row>
    <row r="660">
      <c r="C660" s="914"/>
    </row>
    <row r="661">
      <c r="C661" s="914"/>
    </row>
    <row r="662">
      <c r="C662" s="914"/>
    </row>
    <row r="663">
      <c r="C663" s="914"/>
    </row>
    <row r="664">
      <c r="C664" s="914"/>
    </row>
    <row r="665">
      <c r="C665" s="914"/>
    </row>
    <row r="666">
      <c r="C666" s="914"/>
    </row>
    <row r="667">
      <c r="C667" s="914"/>
    </row>
    <row r="668">
      <c r="C668" s="914"/>
    </row>
    <row r="669">
      <c r="C669" s="914"/>
    </row>
    <row r="670">
      <c r="C670" s="914"/>
    </row>
    <row r="671">
      <c r="C671" s="914"/>
    </row>
    <row r="672">
      <c r="C672" s="914"/>
    </row>
    <row r="673">
      <c r="C673" s="914"/>
    </row>
    <row r="674">
      <c r="C674" s="914"/>
    </row>
    <row r="675">
      <c r="C675" s="914"/>
    </row>
    <row r="676">
      <c r="C676" s="914"/>
    </row>
    <row r="677">
      <c r="C677" s="914"/>
    </row>
    <row r="678">
      <c r="C678" s="914"/>
    </row>
    <row r="679">
      <c r="C679" s="914"/>
    </row>
    <row r="680">
      <c r="C680" s="914"/>
    </row>
    <row r="681">
      <c r="C681" s="914"/>
    </row>
    <row r="682">
      <c r="C682" s="914"/>
    </row>
    <row r="683">
      <c r="C683" s="914"/>
    </row>
    <row r="684">
      <c r="C684" s="914"/>
    </row>
    <row r="685">
      <c r="C685" s="914"/>
    </row>
    <row r="686">
      <c r="C686" s="914"/>
    </row>
    <row r="687">
      <c r="C687" s="914"/>
    </row>
    <row r="688">
      <c r="C688" s="914"/>
    </row>
    <row r="689">
      <c r="C689" s="914"/>
    </row>
    <row r="690">
      <c r="C690" s="914"/>
    </row>
    <row r="691">
      <c r="C691" s="914"/>
    </row>
    <row r="692">
      <c r="C692" s="914"/>
    </row>
    <row r="693">
      <c r="C693" s="914"/>
    </row>
    <row r="694">
      <c r="C694" s="914"/>
    </row>
    <row r="695">
      <c r="C695" s="914"/>
    </row>
    <row r="696">
      <c r="C696" s="914"/>
    </row>
    <row r="697">
      <c r="C697" s="914"/>
    </row>
    <row r="698">
      <c r="C698" s="914"/>
    </row>
    <row r="699">
      <c r="C699" s="914"/>
    </row>
    <row r="700">
      <c r="C700" s="914"/>
    </row>
    <row r="701">
      <c r="C701" s="914"/>
    </row>
    <row r="702">
      <c r="C702" s="914"/>
    </row>
    <row r="703">
      <c r="C703" s="914"/>
    </row>
    <row r="704">
      <c r="C704" s="914"/>
    </row>
    <row r="705">
      <c r="C705" s="914"/>
    </row>
    <row r="706">
      <c r="C706" s="914"/>
    </row>
    <row r="707">
      <c r="C707" s="914"/>
    </row>
    <row r="708">
      <c r="C708" s="914"/>
    </row>
    <row r="709">
      <c r="C709" s="914"/>
    </row>
    <row r="710">
      <c r="C710" s="914"/>
    </row>
    <row r="711">
      <c r="C711" s="914"/>
    </row>
    <row r="712">
      <c r="C712" s="914"/>
    </row>
    <row r="713">
      <c r="C713" s="914"/>
    </row>
    <row r="714">
      <c r="C714" s="914"/>
    </row>
    <row r="715">
      <c r="C715" s="914"/>
    </row>
    <row r="716">
      <c r="C716" s="914"/>
    </row>
    <row r="717">
      <c r="C717" s="914"/>
    </row>
    <row r="718">
      <c r="C718" s="914"/>
    </row>
    <row r="719">
      <c r="C719" s="914"/>
    </row>
    <row r="720">
      <c r="C720" s="914"/>
    </row>
    <row r="721">
      <c r="C721" s="914"/>
    </row>
    <row r="722">
      <c r="C722" s="914"/>
    </row>
    <row r="723">
      <c r="C723" s="914"/>
    </row>
    <row r="724">
      <c r="C724" s="914"/>
    </row>
    <row r="725">
      <c r="C725" s="914"/>
    </row>
    <row r="726">
      <c r="C726" s="914"/>
    </row>
    <row r="727">
      <c r="C727" s="914"/>
    </row>
    <row r="728">
      <c r="C728" s="914"/>
    </row>
    <row r="729">
      <c r="C729" s="914"/>
    </row>
    <row r="730">
      <c r="C730" s="914"/>
    </row>
    <row r="731">
      <c r="C731" s="914"/>
    </row>
    <row r="732">
      <c r="C732" s="914"/>
    </row>
    <row r="733">
      <c r="C733" s="914"/>
    </row>
    <row r="734">
      <c r="C734" s="914"/>
    </row>
    <row r="735">
      <c r="C735" s="914"/>
    </row>
    <row r="736">
      <c r="C736" s="914"/>
    </row>
    <row r="737">
      <c r="C737" s="914"/>
    </row>
    <row r="738">
      <c r="C738" s="914"/>
    </row>
    <row r="739">
      <c r="C739" s="914"/>
    </row>
    <row r="740">
      <c r="C740" s="914"/>
    </row>
    <row r="741">
      <c r="C741" s="914"/>
    </row>
    <row r="742">
      <c r="C742" s="914"/>
    </row>
    <row r="743">
      <c r="C743" s="914"/>
    </row>
    <row r="744">
      <c r="C744" s="914"/>
    </row>
    <row r="745">
      <c r="C745" s="914"/>
    </row>
    <row r="746">
      <c r="C746" s="914"/>
    </row>
    <row r="747">
      <c r="C747" s="914"/>
    </row>
    <row r="748">
      <c r="C748" s="914"/>
    </row>
    <row r="749">
      <c r="C749" s="914"/>
    </row>
    <row r="750">
      <c r="C750" s="914"/>
    </row>
    <row r="751">
      <c r="C751" s="914"/>
    </row>
    <row r="752">
      <c r="C752" s="914"/>
    </row>
    <row r="753">
      <c r="C753" s="914"/>
    </row>
    <row r="754">
      <c r="C754" s="914"/>
    </row>
    <row r="755">
      <c r="C755" s="914"/>
    </row>
    <row r="756">
      <c r="C756" s="914"/>
    </row>
    <row r="757">
      <c r="C757" s="914"/>
    </row>
    <row r="758">
      <c r="C758" s="914"/>
    </row>
    <row r="759">
      <c r="C759" s="914"/>
    </row>
    <row r="760">
      <c r="C760" s="914"/>
    </row>
    <row r="761">
      <c r="C761" s="914"/>
    </row>
    <row r="762">
      <c r="C762" s="914"/>
    </row>
    <row r="763">
      <c r="C763" s="914"/>
    </row>
    <row r="764">
      <c r="C764" s="914"/>
    </row>
    <row r="765">
      <c r="C765" s="914"/>
    </row>
    <row r="766">
      <c r="C766" s="914"/>
    </row>
    <row r="767">
      <c r="C767" s="914"/>
    </row>
    <row r="768">
      <c r="C768" s="914"/>
    </row>
    <row r="769">
      <c r="C769" s="914"/>
    </row>
    <row r="770">
      <c r="C770" s="914"/>
    </row>
    <row r="771">
      <c r="C771" s="914"/>
    </row>
    <row r="772">
      <c r="C772" s="914"/>
    </row>
    <row r="773">
      <c r="C773" s="914"/>
    </row>
    <row r="774">
      <c r="C774" s="914"/>
    </row>
    <row r="775">
      <c r="C775" s="914"/>
    </row>
    <row r="776">
      <c r="C776" s="914"/>
    </row>
    <row r="777">
      <c r="C777" s="914"/>
    </row>
    <row r="778">
      <c r="C778" s="914"/>
    </row>
    <row r="779">
      <c r="C779" s="914"/>
    </row>
    <row r="780">
      <c r="C780" s="914"/>
    </row>
    <row r="781">
      <c r="C781" s="914"/>
    </row>
    <row r="782">
      <c r="C782" s="914"/>
    </row>
    <row r="783">
      <c r="C783" s="914"/>
    </row>
    <row r="784">
      <c r="C784" s="914"/>
    </row>
    <row r="785">
      <c r="C785" s="914"/>
    </row>
    <row r="786">
      <c r="C786" s="914"/>
    </row>
    <row r="787">
      <c r="C787" s="914"/>
    </row>
    <row r="788">
      <c r="C788" s="914"/>
    </row>
    <row r="789">
      <c r="C789" s="914"/>
    </row>
    <row r="790">
      <c r="C790" s="914"/>
    </row>
    <row r="791">
      <c r="C791" s="914"/>
    </row>
    <row r="792">
      <c r="C792" s="914"/>
    </row>
    <row r="793">
      <c r="C793" s="914"/>
    </row>
    <row r="794">
      <c r="C794" s="914"/>
    </row>
    <row r="795">
      <c r="C795" s="914"/>
    </row>
    <row r="796">
      <c r="C796" s="914"/>
    </row>
    <row r="797">
      <c r="C797" s="914"/>
    </row>
    <row r="798">
      <c r="C798" s="914"/>
    </row>
    <row r="799">
      <c r="C799" s="914"/>
    </row>
    <row r="800">
      <c r="C800" s="914"/>
    </row>
    <row r="801">
      <c r="C801" s="914"/>
    </row>
    <row r="802">
      <c r="C802" s="914"/>
    </row>
    <row r="803">
      <c r="C803" s="914"/>
    </row>
    <row r="804">
      <c r="C804" s="914"/>
    </row>
    <row r="805">
      <c r="C805" s="914"/>
    </row>
    <row r="806">
      <c r="C806" s="914"/>
    </row>
    <row r="807">
      <c r="C807" s="914"/>
    </row>
    <row r="808">
      <c r="C808" s="914"/>
    </row>
    <row r="809">
      <c r="C809" s="914"/>
    </row>
    <row r="810">
      <c r="C810" s="914"/>
    </row>
    <row r="811">
      <c r="C811" s="914"/>
    </row>
    <row r="812">
      <c r="C812" s="914"/>
    </row>
    <row r="813">
      <c r="C813" s="914"/>
    </row>
    <row r="814">
      <c r="C814" s="914"/>
    </row>
    <row r="815">
      <c r="C815" s="914"/>
    </row>
    <row r="816">
      <c r="C816" s="914"/>
    </row>
    <row r="817">
      <c r="C817" s="914"/>
    </row>
    <row r="818">
      <c r="C818" s="914"/>
    </row>
    <row r="819">
      <c r="C819" s="914"/>
    </row>
    <row r="820">
      <c r="C820" s="914"/>
    </row>
    <row r="821">
      <c r="C821" s="914"/>
    </row>
    <row r="822">
      <c r="C822" s="914"/>
    </row>
    <row r="823">
      <c r="C823" s="914"/>
    </row>
    <row r="824">
      <c r="C824" s="914"/>
    </row>
    <row r="825">
      <c r="C825" s="914"/>
    </row>
    <row r="826">
      <c r="C826" s="914"/>
    </row>
    <row r="827">
      <c r="C827" s="914"/>
    </row>
    <row r="828">
      <c r="C828" s="914"/>
    </row>
    <row r="829">
      <c r="C829" s="914"/>
    </row>
    <row r="830">
      <c r="C830" s="914"/>
    </row>
    <row r="831">
      <c r="C831" s="914"/>
    </row>
    <row r="832">
      <c r="C832" s="914"/>
    </row>
    <row r="833">
      <c r="C833" s="914"/>
    </row>
    <row r="834">
      <c r="C834" s="914"/>
    </row>
    <row r="835">
      <c r="C835" s="914"/>
    </row>
    <row r="836">
      <c r="C836" s="914"/>
    </row>
    <row r="837">
      <c r="C837" s="914"/>
    </row>
    <row r="838">
      <c r="C838" s="914"/>
    </row>
    <row r="839">
      <c r="C839" s="914"/>
    </row>
    <row r="840">
      <c r="C840" s="914"/>
    </row>
    <row r="841">
      <c r="C841" s="914"/>
    </row>
    <row r="842">
      <c r="C842" s="914"/>
    </row>
    <row r="843">
      <c r="C843" s="914"/>
    </row>
    <row r="844">
      <c r="C844" s="914"/>
    </row>
    <row r="845">
      <c r="C845" s="914"/>
    </row>
    <row r="846">
      <c r="C846" s="914"/>
    </row>
    <row r="847">
      <c r="C847" s="914"/>
    </row>
    <row r="848">
      <c r="C848" s="914"/>
    </row>
    <row r="849">
      <c r="C849" s="914"/>
    </row>
    <row r="850">
      <c r="C850" s="914"/>
    </row>
    <row r="851">
      <c r="C851" s="914"/>
    </row>
    <row r="852">
      <c r="C852" s="914"/>
    </row>
    <row r="853">
      <c r="C853" s="914"/>
    </row>
    <row r="854">
      <c r="C854" s="914"/>
    </row>
    <row r="855">
      <c r="C855" s="914"/>
    </row>
    <row r="856">
      <c r="C856" s="914"/>
    </row>
    <row r="857">
      <c r="C857" s="914"/>
    </row>
    <row r="858">
      <c r="C858" s="914"/>
    </row>
    <row r="859">
      <c r="C859" s="914"/>
    </row>
    <row r="860">
      <c r="C860" s="914"/>
    </row>
    <row r="861">
      <c r="C861" s="914"/>
    </row>
    <row r="862">
      <c r="C862" s="914"/>
    </row>
    <row r="863">
      <c r="C863" s="914"/>
    </row>
    <row r="864">
      <c r="C864" s="914"/>
    </row>
    <row r="865">
      <c r="C865" s="914"/>
    </row>
    <row r="866">
      <c r="C866" s="914"/>
    </row>
    <row r="867">
      <c r="C867" s="914"/>
    </row>
    <row r="868">
      <c r="C868" s="914"/>
    </row>
    <row r="869">
      <c r="C869" s="914"/>
    </row>
    <row r="870">
      <c r="C870" s="914"/>
    </row>
    <row r="871">
      <c r="C871" s="914"/>
    </row>
    <row r="872">
      <c r="C872" s="914"/>
    </row>
    <row r="873">
      <c r="C873" s="914"/>
    </row>
    <row r="874">
      <c r="C874" s="914"/>
    </row>
    <row r="875">
      <c r="C875" s="914"/>
    </row>
    <row r="876">
      <c r="C876" s="914"/>
    </row>
    <row r="877">
      <c r="C877" s="914"/>
    </row>
    <row r="878">
      <c r="C878" s="914"/>
    </row>
    <row r="879">
      <c r="C879" s="914"/>
    </row>
    <row r="880">
      <c r="C880" s="914"/>
    </row>
    <row r="881">
      <c r="C881" s="914"/>
    </row>
    <row r="882">
      <c r="C882" s="914"/>
    </row>
    <row r="883">
      <c r="C883" s="914"/>
    </row>
    <row r="884">
      <c r="C884" s="914"/>
    </row>
    <row r="885">
      <c r="C885" s="914"/>
    </row>
    <row r="886">
      <c r="C886" s="914"/>
    </row>
    <row r="887">
      <c r="C887" s="914"/>
    </row>
    <row r="888">
      <c r="C888" s="914"/>
    </row>
    <row r="889">
      <c r="C889" s="914"/>
    </row>
    <row r="890">
      <c r="C890" s="914"/>
    </row>
    <row r="891">
      <c r="C891" s="914"/>
    </row>
    <row r="892">
      <c r="C892" s="914"/>
    </row>
    <row r="893">
      <c r="C893" s="914"/>
    </row>
    <row r="894">
      <c r="C894" s="914"/>
    </row>
    <row r="895">
      <c r="C895" s="914"/>
    </row>
    <row r="896">
      <c r="C896" s="914"/>
    </row>
    <row r="897">
      <c r="C897" s="914"/>
    </row>
    <row r="898">
      <c r="C898" s="914"/>
    </row>
    <row r="899">
      <c r="C899" s="914"/>
    </row>
    <row r="900">
      <c r="C900" s="914"/>
    </row>
    <row r="901">
      <c r="C901" s="914"/>
    </row>
    <row r="902">
      <c r="C902" s="914"/>
    </row>
    <row r="903">
      <c r="C903" s="914"/>
    </row>
    <row r="904">
      <c r="C904" s="914"/>
    </row>
    <row r="905">
      <c r="C905" s="914"/>
    </row>
    <row r="906">
      <c r="C906" s="914"/>
    </row>
    <row r="907">
      <c r="C907" s="914"/>
    </row>
    <row r="908">
      <c r="C908" s="914"/>
    </row>
    <row r="909">
      <c r="C909" s="914"/>
    </row>
    <row r="910">
      <c r="C910" s="914"/>
    </row>
    <row r="911">
      <c r="C911" s="914"/>
    </row>
    <row r="912">
      <c r="C912" s="914"/>
    </row>
    <row r="913">
      <c r="C913" s="914"/>
    </row>
    <row r="914">
      <c r="C914" s="914"/>
    </row>
    <row r="915">
      <c r="C915" s="914"/>
    </row>
    <row r="916">
      <c r="C916" s="914"/>
    </row>
    <row r="917">
      <c r="C917" s="914"/>
    </row>
    <row r="918">
      <c r="C918" s="914"/>
    </row>
    <row r="919">
      <c r="C919" s="914"/>
    </row>
    <row r="920">
      <c r="C920" s="914"/>
    </row>
    <row r="921">
      <c r="C921" s="914"/>
    </row>
    <row r="922">
      <c r="C922" s="914"/>
    </row>
    <row r="923">
      <c r="C923" s="914"/>
    </row>
    <row r="924">
      <c r="C924" s="914"/>
    </row>
    <row r="925">
      <c r="C925" s="914"/>
    </row>
    <row r="926">
      <c r="C926" s="914"/>
    </row>
    <row r="927">
      <c r="C927" s="914"/>
    </row>
    <row r="928">
      <c r="C928" s="914"/>
    </row>
    <row r="929">
      <c r="C929" s="914"/>
    </row>
    <row r="930">
      <c r="C930" s="914"/>
    </row>
    <row r="931">
      <c r="C931" s="914"/>
    </row>
    <row r="932">
      <c r="C932" s="914"/>
    </row>
    <row r="933">
      <c r="C933" s="914"/>
    </row>
    <row r="934">
      <c r="C934" s="914"/>
    </row>
    <row r="935">
      <c r="C935" s="914"/>
    </row>
    <row r="936">
      <c r="C936" s="914"/>
    </row>
    <row r="937">
      <c r="C937" s="914"/>
    </row>
    <row r="938">
      <c r="C938" s="914"/>
    </row>
    <row r="939">
      <c r="C939" s="914"/>
    </row>
    <row r="940">
      <c r="C940" s="914"/>
    </row>
    <row r="941">
      <c r="C941" s="914"/>
    </row>
    <row r="942">
      <c r="C942" s="914"/>
    </row>
    <row r="943">
      <c r="C943" s="914"/>
    </row>
    <row r="944">
      <c r="C944" s="914"/>
    </row>
    <row r="945">
      <c r="C945" s="914"/>
    </row>
    <row r="946">
      <c r="C946" s="914"/>
    </row>
    <row r="947">
      <c r="C947" s="914"/>
    </row>
    <row r="948">
      <c r="C948" s="914"/>
    </row>
    <row r="949">
      <c r="C949" s="914"/>
    </row>
    <row r="950">
      <c r="C950" s="914"/>
    </row>
    <row r="951">
      <c r="C951" s="914"/>
    </row>
    <row r="952">
      <c r="C952" s="914"/>
    </row>
    <row r="953">
      <c r="C953" s="914"/>
    </row>
    <row r="954">
      <c r="C954" s="914"/>
    </row>
    <row r="955">
      <c r="C955" s="914"/>
    </row>
    <row r="956">
      <c r="C956" s="914"/>
    </row>
    <row r="957">
      <c r="C957" s="914"/>
    </row>
    <row r="958">
      <c r="C958" s="914"/>
    </row>
    <row r="959">
      <c r="C959" s="914"/>
    </row>
    <row r="960">
      <c r="C960" s="914"/>
    </row>
    <row r="961">
      <c r="C961" s="914"/>
    </row>
    <row r="962">
      <c r="C962" s="914"/>
    </row>
    <row r="963">
      <c r="C963" s="914"/>
    </row>
    <row r="964">
      <c r="C964" s="914"/>
    </row>
    <row r="965">
      <c r="C965" s="914"/>
    </row>
    <row r="966">
      <c r="C966" s="914"/>
    </row>
    <row r="967">
      <c r="C967" s="914"/>
    </row>
    <row r="968">
      <c r="C968" s="914"/>
    </row>
    <row r="969">
      <c r="C969" s="914"/>
    </row>
    <row r="970">
      <c r="C970" s="914"/>
    </row>
    <row r="971">
      <c r="C971" s="914"/>
    </row>
    <row r="972">
      <c r="C972" s="914"/>
    </row>
    <row r="973">
      <c r="C973" s="914"/>
    </row>
    <row r="974">
      <c r="C974" s="914"/>
    </row>
    <row r="975">
      <c r="C975" s="914"/>
    </row>
    <row r="976">
      <c r="C976" s="914"/>
    </row>
    <row r="977">
      <c r="C977" s="914"/>
    </row>
    <row r="978">
      <c r="C978" s="914"/>
    </row>
    <row r="979">
      <c r="C979" s="914"/>
    </row>
    <row r="980">
      <c r="C980" s="914"/>
    </row>
    <row r="981">
      <c r="C981" s="914"/>
    </row>
    <row r="982">
      <c r="C982" s="914"/>
    </row>
    <row r="983">
      <c r="C983" s="914"/>
    </row>
    <row r="984">
      <c r="C984" s="914"/>
    </row>
    <row r="985">
      <c r="C985" s="914"/>
    </row>
    <row r="986">
      <c r="C986" s="914"/>
    </row>
    <row r="987">
      <c r="C987" s="914"/>
    </row>
    <row r="988">
      <c r="C988" s="914"/>
    </row>
    <row r="989">
      <c r="C989" s="914"/>
    </row>
    <row r="990">
      <c r="C990" s="914"/>
    </row>
    <row r="991">
      <c r="C991" s="914"/>
    </row>
    <row r="992">
      <c r="C992" s="914"/>
    </row>
    <row r="993">
      <c r="C993" s="914"/>
    </row>
    <row r="994">
      <c r="C994" s="914"/>
    </row>
    <row r="995">
      <c r="C995" s="914"/>
    </row>
    <row r="996">
      <c r="C996" s="914"/>
    </row>
    <row r="997">
      <c r="C997" s="914"/>
    </row>
    <row r="998">
      <c r="C998" s="914"/>
    </row>
    <row r="999">
      <c r="C999" s="914"/>
    </row>
    <row r="1000">
      <c r="C1000" s="914"/>
    </row>
  </sheetData>
  <mergeCells count="10">
    <mergeCell ref="B13:C13"/>
    <mergeCell ref="B17:C17"/>
    <mergeCell ref="B28:C28"/>
    <mergeCell ref="B2:C2"/>
    <mergeCell ref="F2:K2"/>
    <mergeCell ref="M2:N2"/>
    <mergeCell ref="Q2:R2"/>
    <mergeCell ref="S2:T2"/>
    <mergeCell ref="U2:V2"/>
    <mergeCell ref="B7:C7"/>
  </mergeCells>
  <conditionalFormatting sqref="C26">
    <cfRule type="cellIs" dxfId="21" priority="1" operator="lessThan">
      <formula>"100%"</formula>
    </cfRule>
  </conditionalFormatting>
  <conditionalFormatting sqref="C26">
    <cfRule type="cellIs" dxfId="12" priority="2" operator="greaterThanOrEqual">
      <formula>"100%"</formula>
    </cfRule>
  </conditionalFormatting>
  <dataValidations>
    <dataValidation type="custom" allowBlank="1" showDropDown="1" sqref="D41:J53 D57:J69">
      <formula1>AND(ISNUMBER(D41),(NOT(OR(NOT(ISERROR(DATEVALUE(D41))), AND(ISNUMBER(D41), LEFT(CELL("format", D41))="D")))))</formula1>
    </dataValidation>
    <dataValidation allowBlank="1" showDropDown="1" sqref="C41:C53 C57:C69"/>
  </dataValidations>
  <printOptions/>
  <pageMargins bottom="0.75" footer="0.0" header="0.0" left="0.7" right="0.7" top="0.75"/>
  <pageSetup orientation="landscape"/>
  <drawing r:id="rId4"/>
  <legacyDrawing r:id="rId5"/>
  <tableParts count="2">
    <tablePart r:id="rId8"/>
    <tablePart r:id="rId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workbookViewId="0"/>
  </sheetViews>
  <sheetFormatPr customHeight="1" defaultColWidth="12.63" defaultRowHeight="15.75"/>
  <cols>
    <col customWidth="1" min="1" max="3" width="11.88"/>
    <col customWidth="1" min="4" max="4" width="14.25"/>
    <col customWidth="1" min="5" max="5" width="13.0"/>
    <col customWidth="1" min="6" max="6" width="16.38"/>
    <col customWidth="1" min="7" max="7" width="16.5"/>
    <col customWidth="1" min="8" max="9" width="11.88"/>
    <col customWidth="1" min="10" max="11" width="16.5"/>
    <col customWidth="1" min="12" max="16" width="11.88"/>
  </cols>
  <sheetData>
    <row r="1"/>
    <row r="2">
      <c r="A2" s="67"/>
      <c r="B2" s="1085" t="s">
        <v>948</v>
      </c>
      <c r="C2" s="73"/>
      <c r="D2" s="73"/>
      <c r="E2" s="73"/>
      <c r="F2" s="73"/>
      <c r="G2" s="73"/>
      <c r="H2" s="73"/>
      <c r="I2" s="73"/>
      <c r="J2" s="73"/>
      <c r="K2" s="73"/>
      <c r="L2" s="74"/>
    </row>
    <row r="3">
      <c r="A3" s="67"/>
      <c r="B3" s="448"/>
      <c r="L3" s="449"/>
    </row>
    <row r="4">
      <c r="A4" s="67"/>
      <c r="B4" s="1086" t="s">
        <v>625</v>
      </c>
      <c r="C4" s="1086" t="s">
        <v>36</v>
      </c>
      <c r="D4" s="1086" t="s">
        <v>103</v>
      </c>
      <c r="E4" s="1087" t="s">
        <v>949</v>
      </c>
      <c r="F4" s="1088" t="s">
        <v>613</v>
      </c>
      <c r="G4" s="1088" t="s">
        <v>950</v>
      </c>
      <c r="H4" s="1089" t="s">
        <v>951</v>
      </c>
      <c r="I4" s="1087" t="s">
        <v>949</v>
      </c>
      <c r="J4" s="1088" t="s">
        <v>613</v>
      </c>
      <c r="K4" s="1088" t="s">
        <v>950</v>
      </c>
      <c r="L4" s="1089" t="s">
        <v>951</v>
      </c>
    </row>
    <row r="5">
      <c r="A5" s="67"/>
      <c r="B5" s="1090">
        <v>2024.0</v>
      </c>
      <c r="C5" s="1091">
        <f t="shared" ref="C5:C6" si="2">SUM(E5:H5)</f>
        <v>1907.46</v>
      </c>
      <c r="D5" s="1092">
        <v>0.0</v>
      </c>
      <c r="E5" s="1093">
        <v>150.76</v>
      </c>
      <c r="F5" s="1094">
        <v>408.39</v>
      </c>
      <c r="G5" s="1094">
        <f>978.93+369.38</f>
        <v>1348.31</v>
      </c>
      <c r="H5" s="1095">
        <v>0.0</v>
      </c>
      <c r="I5" s="1096">
        <f t="shared" ref="I5:L5" si="1">E5/$C5</f>
        <v>0.07903704403</v>
      </c>
      <c r="J5" s="829">
        <f t="shared" si="1"/>
        <v>0.2141014753</v>
      </c>
      <c r="K5" s="829">
        <f t="shared" si="1"/>
        <v>0.7068614807</v>
      </c>
      <c r="L5" s="1097">
        <f t="shared" si="1"/>
        <v>0</v>
      </c>
    </row>
    <row r="6">
      <c r="A6" s="67"/>
      <c r="B6" s="1090">
        <v>2025.0</v>
      </c>
      <c r="C6" s="1091">
        <f t="shared" si="2"/>
        <v>2211.99</v>
      </c>
      <c r="D6" s="1098">
        <f>(C6-C5)/C5</f>
        <v>0.1596521028</v>
      </c>
      <c r="E6" s="1099">
        <v>735.44</v>
      </c>
      <c r="F6" s="1094">
        <v>399.59</v>
      </c>
      <c r="G6" s="1100">
        <f>953.21+123.75</f>
        <v>1076.96</v>
      </c>
      <c r="H6" s="1095">
        <v>0.0</v>
      </c>
      <c r="I6" s="1096">
        <f t="shared" ref="I6:L6" si="3">E6/$C6</f>
        <v>0.3324788991</v>
      </c>
      <c r="J6" s="829">
        <f t="shared" si="3"/>
        <v>0.1806472904</v>
      </c>
      <c r="K6" s="829">
        <f t="shared" si="3"/>
        <v>0.4868738105</v>
      </c>
      <c r="L6" s="1097">
        <f t="shared" si="3"/>
        <v>0</v>
      </c>
    </row>
    <row r="7">
      <c r="A7" s="67"/>
      <c r="B7" s="1090">
        <v>2026.0</v>
      </c>
      <c r="C7" s="1101"/>
      <c r="D7" s="1101"/>
      <c r="E7" s="1102"/>
      <c r="F7" s="1100"/>
      <c r="G7" s="1100"/>
      <c r="H7" s="1103"/>
      <c r="I7" s="1096"/>
      <c r="J7" s="829"/>
      <c r="K7" s="829"/>
      <c r="L7" s="1097"/>
    </row>
    <row r="8">
      <c r="A8" s="67"/>
      <c r="B8" s="1090">
        <v>2027.0</v>
      </c>
      <c r="C8" s="1101"/>
      <c r="D8" s="1101"/>
      <c r="E8" s="1104"/>
      <c r="F8" s="1100"/>
      <c r="G8" s="1100"/>
      <c r="H8" s="1103"/>
      <c r="I8" s="1096"/>
      <c r="J8" s="829"/>
      <c r="K8" s="829"/>
      <c r="L8" s="1097"/>
    </row>
    <row r="9">
      <c r="A9" s="67"/>
      <c r="B9" s="1090">
        <v>2028.0</v>
      </c>
      <c r="C9" s="1101"/>
      <c r="D9" s="1101"/>
      <c r="E9" s="1104"/>
      <c r="F9" s="1100"/>
      <c r="G9" s="1100"/>
      <c r="H9" s="1103"/>
      <c r="I9" s="1096"/>
      <c r="J9" s="829"/>
      <c r="K9" s="829"/>
      <c r="L9" s="1097"/>
    </row>
    <row r="10">
      <c r="A10" s="67"/>
      <c r="B10" s="1090">
        <v>2029.0</v>
      </c>
      <c r="C10" s="1101"/>
      <c r="D10" s="1101"/>
      <c r="E10" s="1104"/>
      <c r="F10" s="1100"/>
      <c r="G10" s="1100"/>
      <c r="H10" s="1103"/>
      <c r="I10" s="1096"/>
      <c r="J10" s="829"/>
      <c r="K10" s="829"/>
      <c r="L10" s="1097"/>
    </row>
    <row r="11">
      <c r="A11" s="67"/>
      <c r="B11" s="1105">
        <v>2030.0</v>
      </c>
      <c r="C11" s="1106"/>
      <c r="D11" s="1106"/>
      <c r="E11" s="1107"/>
      <c r="F11" s="1108"/>
      <c r="G11" s="1108"/>
      <c r="H11" s="1109"/>
      <c r="I11" s="1110"/>
      <c r="J11" s="1111"/>
      <c r="K11" s="1111"/>
      <c r="L11" s="1112"/>
    </row>
    <row r="12">
      <c r="A12" s="67"/>
      <c r="B12" s="778"/>
      <c r="C12" s="778"/>
      <c r="D12" s="778"/>
      <c r="E12" s="778"/>
      <c r="F12" s="778"/>
      <c r="G12" s="778"/>
      <c r="H12" s="778"/>
      <c r="I12" s="778"/>
      <c r="J12" s="778"/>
      <c r="K12" s="778"/>
    </row>
    <row r="13">
      <c r="A13" s="67"/>
    </row>
    <row r="14">
      <c r="A14" s="67"/>
    </row>
    <row r="15">
      <c r="A15" s="67"/>
    </row>
    <row r="16">
      <c r="A16" s="67"/>
    </row>
    <row r="17">
      <c r="A17" s="67"/>
    </row>
    <row r="18">
      <c r="A18" s="67"/>
    </row>
    <row r="19">
      <c r="A19" s="67"/>
    </row>
    <row r="20">
      <c r="A20" s="67"/>
    </row>
    <row r="21">
      <c r="A21" s="67"/>
    </row>
    <row r="22">
      <c r="A22" s="67"/>
    </row>
    <row r="23">
      <c r="A23" s="67"/>
    </row>
    <row r="24">
      <c r="A24" s="67"/>
    </row>
    <row r="25">
      <c r="A25" s="67"/>
    </row>
    <row r="26">
      <c r="A26" s="67"/>
    </row>
    <row r="27">
      <c r="A27" s="67"/>
    </row>
    <row r="28">
      <c r="A28" s="67"/>
    </row>
    <row r="29">
      <c r="A29" s="67"/>
    </row>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B2:L3"/>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showGridLines="0" workbookViewId="0"/>
  </sheetViews>
  <sheetFormatPr customHeight="1" defaultColWidth="12.63" defaultRowHeight="15.75"/>
  <cols>
    <col customWidth="1" min="1" max="1" width="44.63"/>
    <col customWidth="1" min="2" max="2" width="7.38"/>
    <col customWidth="1" min="3" max="4" width="21.25"/>
    <col customWidth="1" min="5" max="5" width="8.38"/>
    <col customWidth="1" min="7" max="8" width="21.25"/>
    <col customWidth="1" min="9" max="9" width="8.88"/>
    <col customWidth="1" min="10" max="10" width="44.13"/>
  </cols>
  <sheetData>
    <row r="1" ht="44.25" customHeight="1">
      <c r="A1" s="1113"/>
      <c r="B1" s="1114"/>
      <c r="C1" s="1115"/>
      <c r="D1" s="1116"/>
      <c r="E1" s="1115"/>
      <c r="F1" s="1115"/>
      <c r="G1" s="1115"/>
      <c r="H1" s="1116"/>
      <c r="I1" s="1115"/>
      <c r="J1" s="1113"/>
    </row>
    <row r="2">
      <c r="A2" s="1113"/>
      <c r="B2" s="1117"/>
      <c r="C2" s="1118" t="s">
        <v>952</v>
      </c>
      <c r="D2" s="1119">
        <v>1000000.0</v>
      </c>
      <c r="E2" s="1120"/>
      <c r="F2" s="1115"/>
      <c r="G2" s="1118" t="s">
        <v>953</v>
      </c>
      <c r="H2" s="1121">
        <v>0.04</v>
      </c>
      <c r="I2" s="1120"/>
      <c r="J2" s="1113"/>
    </row>
    <row r="3">
      <c r="A3" s="1113"/>
      <c r="B3" s="1117"/>
      <c r="C3" s="1117"/>
      <c r="D3" s="1122"/>
      <c r="E3" s="1115"/>
      <c r="F3" s="1115"/>
      <c r="G3" s="1117"/>
      <c r="H3" s="1122"/>
      <c r="I3" s="1115"/>
      <c r="J3" s="1113"/>
    </row>
    <row r="4">
      <c r="A4" s="1113"/>
      <c r="B4" s="1117"/>
      <c r="C4" s="1123" t="s">
        <v>954</v>
      </c>
      <c r="D4" s="1124" t="s">
        <v>955</v>
      </c>
      <c r="E4" s="1123" t="s">
        <v>956</v>
      </c>
      <c r="F4" s="1115"/>
      <c r="G4" s="1123" t="s">
        <v>954</v>
      </c>
      <c r="H4" s="1124" t="s">
        <v>957</v>
      </c>
      <c r="I4" s="1123" t="s">
        <v>958</v>
      </c>
      <c r="J4" s="1113"/>
    </row>
    <row r="5">
      <c r="A5" s="1113"/>
      <c r="B5" s="1125">
        <v>2005.0</v>
      </c>
      <c r="C5" s="1126">
        <v>1.0</v>
      </c>
      <c r="D5" s="1127">
        <f>D2-H5</f>
        <v>960000</v>
      </c>
      <c r="E5" s="1128">
        <f t="array" ref="E5">XLOOKUP(B5,Historic_Data!$A$1:$A$100,Historic_Data!$G$1:$G$100)</f>
        <v>0.03</v>
      </c>
      <c r="F5" s="1115"/>
      <c r="G5" s="1123">
        <v>1.0</v>
      </c>
      <c r="H5" s="1127">
        <f>D2*H2</f>
        <v>40000</v>
      </c>
      <c r="I5" s="1129">
        <f t="array" ref="I5">XLOOKUP(B5,Historic_Data!$A$1:$A$100,Historic_Data!$H$1:$H$100)</f>
        <v>0.034</v>
      </c>
      <c r="J5" s="1130"/>
    </row>
    <row r="6">
      <c r="A6" s="1113"/>
      <c r="B6" s="1117">
        <f t="shared" ref="B6:B24" si="1">B5+1</f>
        <v>2006</v>
      </c>
      <c r="C6" s="1123">
        <v>2.0</v>
      </c>
      <c r="D6" s="1127">
        <f t="shared" ref="D6:D24" si="2">(D5)*(1+E5)-H6</f>
        <v>947440</v>
      </c>
      <c r="E6" s="1128">
        <f t="array" ref="E6">XLOOKUP(B6,Historic_Data!$A$1:$A$100,Historic_Data!$G$1:$G$100)</f>
        <v>0.1362</v>
      </c>
      <c r="F6" s="1115"/>
      <c r="G6" s="1123">
        <v>2.0</v>
      </c>
      <c r="H6" s="1127">
        <f t="shared" ref="H6:H24" si="3">H5*(1+I5)</f>
        <v>41360</v>
      </c>
      <c r="I6" s="1129">
        <f t="array" ref="I6">XLOOKUP(B6,Historic_Data!$A$1:$A$100,Historic_Data!$H$1:$H$100)</f>
        <v>0.032</v>
      </c>
      <c r="J6" s="1113"/>
    </row>
    <row r="7">
      <c r="A7" s="1113"/>
      <c r="B7" s="1117">
        <f t="shared" si="1"/>
        <v>2007</v>
      </c>
      <c r="C7" s="1123">
        <v>3.0</v>
      </c>
      <c r="D7" s="1127">
        <f t="shared" si="2"/>
        <v>1033797.808</v>
      </c>
      <c r="E7" s="1128">
        <f t="array" ref="E7">XLOOKUP(B7,Historic_Data!$A$1:$A$100,Historic_Data!$G$1:$G$100)</f>
        <v>0.0353</v>
      </c>
      <c r="F7" s="1115"/>
      <c r="G7" s="1123">
        <v>3.0</v>
      </c>
      <c r="H7" s="1127">
        <f t="shared" si="3"/>
        <v>42683.52</v>
      </c>
      <c r="I7" s="1129">
        <f t="array" ref="I7">XLOOKUP(B7,Historic_Data!$A$1:$A$100,Historic_Data!$H$1:$H$100)</f>
        <v>0.029</v>
      </c>
      <c r="J7" s="1113"/>
    </row>
    <row r="8">
      <c r="A8" s="1113"/>
      <c r="B8" s="1117">
        <f t="shared" si="1"/>
        <v>2008</v>
      </c>
      <c r="C8" s="1123">
        <v>4.0</v>
      </c>
      <c r="D8" s="1127">
        <f t="shared" si="2"/>
        <v>1026369.529</v>
      </c>
      <c r="E8" s="1128">
        <f t="array" ref="E8">XLOOKUP(B8,Historic_Data!$A$1:$A$100,Historic_Data!$G$1:$G$100)</f>
        <v>-0.3849</v>
      </c>
      <c r="F8" s="1115"/>
      <c r="G8" s="1123">
        <v>4.0</v>
      </c>
      <c r="H8" s="1127">
        <f t="shared" si="3"/>
        <v>43921.34208</v>
      </c>
      <c r="I8" s="1129">
        <f t="array" ref="I8">XLOOKUP(B8,Historic_Data!$A$1:$A$100,Historic_Data!$H$1:$H$100)</f>
        <v>0.038</v>
      </c>
      <c r="J8" s="1113"/>
    </row>
    <row r="9">
      <c r="A9" s="1113"/>
      <c r="B9" s="1117">
        <f t="shared" si="1"/>
        <v>2009</v>
      </c>
      <c r="C9" s="1123">
        <v>5.0</v>
      </c>
      <c r="D9" s="1127">
        <f t="shared" si="2"/>
        <v>585729.5439</v>
      </c>
      <c r="E9" s="1128">
        <f t="array" ref="E9">XLOOKUP(B9,Historic_Data!$A$1:$A$100,Historic_Data!$G$1:$G$100)</f>
        <v>0.2345</v>
      </c>
      <c r="F9" s="1115"/>
      <c r="G9" s="1123">
        <v>5.0</v>
      </c>
      <c r="H9" s="1127">
        <f t="shared" si="3"/>
        <v>45590.35308</v>
      </c>
      <c r="I9" s="1129">
        <f t="array" ref="I9">XLOOKUP(B9,Historic_Data!$A$1:$A$100,Historic_Data!$H$1:$H$100)</f>
        <v>-0.004</v>
      </c>
      <c r="J9" s="1113"/>
    </row>
    <row r="10">
      <c r="A10" s="1113"/>
      <c r="B10" s="1117">
        <f t="shared" si="1"/>
        <v>2010</v>
      </c>
      <c r="C10" s="1123">
        <v>6.0</v>
      </c>
      <c r="D10" s="1127">
        <f t="shared" si="2"/>
        <v>677675.1303</v>
      </c>
      <c r="E10" s="1128">
        <f t="array" ref="E10">XLOOKUP(B10,Historic_Data!$A$1:$A$100,Historic_Data!$G$1:$G$100)</f>
        <v>0.1278</v>
      </c>
      <c r="F10" s="1115"/>
      <c r="G10" s="1123">
        <v>6.0</v>
      </c>
      <c r="H10" s="1127">
        <f t="shared" si="3"/>
        <v>45407.99167</v>
      </c>
      <c r="I10" s="1129">
        <f t="array" ref="I10">XLOOKUP(B10,Historic_Data!$A$1:$A$100,Historic_Data!$H$1:$H$100)</f>
        <v>0.016</v>
      </c>
      <c r="J10" s="1113"/>
    </row>
    <row r="11">
      <c r="A11" s="1113"/>
      <c r="B11" s="1117">
        <f t="shared" si="1"/>
        <v>2011</v>
      </c>
      <c r="C11" s="1123">
        <v>7.0</v>
      </c>
      <c r="D11" s="1127">
        <f t="shared" si="2"/>
        <v>718147.4924</v>
      </c>
      <c r="E11" s="1128">
        <f t="array" ref="E11">XLOOKUP(B11,Historic_Data!$A$1:$A$100,Historic_Data!$G$1:$G$100)</f>
        <v>0</v>
      </c>
      <c r="F11" s="1115"/>
      <c r="G11" s="1123">
        <v>7.0</v>
      </c>
      <c r="H11" s="1127">
        <f t="shared" si="3"/>
        <v>46134.51953</v>
      </c>
      <c r="I11" s="1129">
        <f t="array" ref="I11">XLOOKUP(B11,Historic_Data!$A$1:$A$100,Historic_Data!$H$1:$H$100)</f>
        <v>0.032</v>
      </c>
      <c r="J11" s="1113"/>
    </row>
    <row r="12">
      <c r="A12" s="1113"/>
      <c r="B12" s="1117">
        <f t="shared" si="1"/>
        <v>2012</v>
      </c>
      <c r="C12" s="1123">
        <v>8.0</v>
      </c>
      <c r="D12" s="1127">
        <f t="shared" si="2"/>
        <v>670536.6683</v>
      </c>
      <c r="E12" s="1128">
        <f t="array" ref="E12">XLOOKUP(B12,Historic_Data!$A$1:$A$100,Historic_Data!$G$1:$G$100)</f>
        <v>0.1341</v>
      </c>
      <c r="F12" s="1115"/>
      <c r="G12" s="1123">
        <v>8.0</v>
      </c>
      <c r="H12" s="1127">
        <f t="shared" si="3"/>
        <v>47610.82416</v>
      </c>
      <c r="I12" s="1129">
        <f t="array" ref="I12">XLOOKUP(B12,Historic_Data!$A$1:$A$100,Historic_Data!$H$1:$H$100)</f>
        <v>0.021</v>
      </c>
      <c r="J12" s="1113"/>
    </row>
    <row r="13">
      <c r="A13" s="1113"/>
      <c r="B13" s="1117">
        <f t="shared" si="1"/>
        <v>2013</v>
      </c>
      <c r="C13" s="1123">
        <v>9.0</v>
      </c>
      <c r="D13" s="1127">
        <f t="shared" si="2"/>
        <v>711844.984</v>
      </c>
      <c r="E13" s="1128">
        <f t="array" ref="E13">XLOOKUP(B13,Historic_Data!$A$1:$A$100,Historic_Data!$G$1:$G$100)</f>
        <v>0.296</v>
      </c>
      <c r="F13" s="1115"/>
      <c r="G13" s="1123">
        <v>9.0</v>
      </c>
      <c r="H13" s="1127">
        <f t="shared" si="3"/>
        <v>48610.65147</v>
      </c>
      <c r="I13" s="1129">
        <f t="array" ref="I13">XLOOKUP(B13,Historic_Data!$A$1:$A$100,Historic_Data!$H$1:$H$100)</f>
        <v>0.015</v>
      </c>
      <c r="J13" s="1113"/>
    </row>
    <row r="14">
      <c r="A14" s="1113"/>
      <c r="B14" s="1117">
        <f t="shared" si="1"/>
        <v>2014</v>
      </c>
      <c r="C14" s="1123">
        <v>10.0</v>
      </c>
      <c r="D14" s="1127">
        <f t="shared" si="2"/>
        <v>873211.2881</v>
      </c>
      <c r="E14" s="1128">
        <f t="array" ref="E14">XLOOKUP(B14,Historic_Data!$A$1:$A$100,Historic_Data!$G$1:$G$100)</f>
        <v>0.1139</v>
      </c>
      <c r="F14" s="1115"/>
      <c r="G14" s="1123">
        <v>10.0</v>
      </c>
      <c r="H14" s="1127">
        <f t="shared" si="3"/>
        <v>49339.81124</v>
      </c>
      <c r="I14" s="1129">
        <f t="array" ref="I14">XLOOKUP(B14,Historic_Data!$A$1:$A$100,Historic_Data!$H$1:$H$100)</f>
        <v>0.016</v>
      </c>
      <c r="J14" s="1113"/>
    </row>
    <row r="15">
      <c r="A15" s="1113"/>
      <c r="B15" s="1117">
        <f t="shared" si="1"/>
        <v>2015</v>
      </c>
      <c r="C15" s="1123">
        <v>11.0</v>
      </c>
      <c r="D15" s="1127">
        <f t="shared" si="2"/>
        <v>922540.8055</v>
      </c>
      <c r="E15" s="1128">
        <f t="array" ref="E15">XLOOKUP(B15,Historic_Data!$A$1:$A$100,Historic_Data!$G$1:$G$100)</f>
        <v>-0.0073</v>
      </c>
      <c r="F15" s="1115"/>
      <c r="G15" s="1123">
        <v>11.0</v>
      </c>
      <c r="H15" s="1127">
        <f t="shared" si="3"/>
        <v>50129.24822</v>
      </c>
      <c r="I15" s="1129">
        <f t="array" ref="I15">XLOOKUP(B15,Historic_Data!$A$1:$A$100,Historic_Data!$H$1:$H$100)</f>
        <v>0.001</v>
      </c>
      <c r="J15" s="1113"/>
    </row>
    <row r="16">
      <c r="A16" s="1113"/>
      <c r="B16" s="1117">
        <f t="shared" si="1"/>
        <v>2016</v>
      </c>
      <c r="C16" s="1123">
        <v>12.0</v>
      </c>
      <c r="D16" s="1127">
        <f t="shared" si="2"/>
        <v>865626.8802</v>
      </c>
      <c r="E16" s="1128">
        <f t="array" ref="E16">XLOOKUP(B16,Historic_Data!$A$1:$A$100,Historic_Data!$G$1:$G$100)</f>
        <v>0.0954</v>
      </c>
      <c r="F16" s="1115"/>
      <c r="G16" s="1123">
        <v>12.0</v>
      </c>
      <c r="H16" s="1127">
        <f t="shared" si="3"/>
        <v>50179.37747</v>
      </c>
      <c r="I16" s="1129">
        <f t="array" ref="I16">XLOOKUP(B16,Historic_Data!$A$1:$A$100,Historic_Data!$H$1:$H$100)</f>
        <v>0.013</v>
      </c>
      <c r="J16" s="1113"/>
    </row>
    <row r="17">
      <c r="A17" s="1113"/>
      <c r="B17" s="1117">
        <f t="shared" si="1"/>
        <v>2017</v>
      </c>
      <c r="C17" s="1123">
        <v>13.0</v>
      </c>
      <c r="D17" s="1127">
        <f t="shared" si="2"/>
        <v>897375.9752</v>
      </c>
      <c r="E17" s="1128">
        <f t="array" ref="E17">XLOOKUP(B17,Historic_Data!$A$1:$A$100,Historic_Data!$G$1:$G$100)</f>
        <v>0.1942</v>
      </c>
      <c r="F17" s="1115"/>
      <c r="G17" s="1123">
        <v>13.0</v>
      </c>
      <c r="H17" s="1127">
        <f t="shared" si="3"/>
        <v>50831.70937</v>
      </c>
      <c r="I17" s="1129">
        <f t="array" ref="I17">XLOOKUP(B17,Historic_Data!$A$1:$A$100,Historic_Data!$H$1:$H$100)</f>
        <v>0.021</v>
      </c>
      <c r="J17" s="1113"/>
    </row>
    <row r="18">
      <c r="A18" s="1113"/>
      <c r="B18" s="1117">
        <f t="shared" si="1"/>
        <v>2018</v>
      </c>
      <c r="C18" s="1123">
        <v>14.0</v>
      </c>
      <c r="D18" s="1127">
        <f t="shared" si="2"/>
        <v>1019747.214</v>
      </c>
      <c r="E18" s="1128">
        <f t="array" ref="E18">XLOOKUP(B18,Historic_Data!$A$1:$A$100,Historic_Data!$G$1:$G$100)</f>
        <v>-0.0624</v>
      </c>
      <c r="F18" s="1115"/>
      <c r="G18" s="1123">
        <v>14.0</v>
      </c>
      <c r="H18" s="1127">
        <f t="shared" si="3"/>
        <v>51899.17527</v>
      </c>
      <c r="I18" s="1129">
        <f t="array" ref="I18">XLOOKUP(B18,Historic_Data!$A$1:$A$100,Historic_Data!$H$1:$H$100)</f>
        <v>0.024</v>
      </c>
      <c r="J18" s="1113"/>
    </row>
    <row r="19">
      <c r="A19" s="1113"/>
      <c r="B19" s="1117">
        <f t="shared" si="1"/>
        <v>2019</v>
      </c>
      <c r="C19" s="1123">
        <v>15.0</v>
      </c>
      <c r="D19" s="1127">
        <f t="shared" si="2"/>
        <v>902970.2327</v>
      </c>
      <c r="E19" s="1128">
        <f t="array" ref="E19">XLOOKUP(B19,Historic_Data!$A$1:$A$100,Historic_Data!$G$1:$G$100)</f>
        <v>0.2888</v>
      </c>
      <c r="F19" s="1115"/>
      <c r="G19" s="1123">
        <v>15.0</v>
      </c>
      <c r="H19" s="1127">
        <f t="shared" si="3"/>
        <v>53144.75548</v>
      </c>
      <c r="I19" s="1129">
        <f t="array" ref="I19">XLOOKUP(B19,Historic_Data!$A$1:$A$100,Historic_Data!$H$1:$H$100)</f>
        <v>0.018</v>
      </c>
      <c r="J19" s="1113"/>
    </row>
    <row r="20">
      <c r="A20" s="1113"/>
      <c r="B20" s="1117">
        <f t="shared" si="1"/>
        <v>2020</v>
      </c>
      <c r="C20" s="1123">
        <v>16.0</v>
      </c>
      <c r="D20" s="1127">
        <f t="shared" si="2"/>
        <v>1109646.675</v>
      </c>
      <c r="E20" s="1128">
        <f t="array" ref="E20">XLOOKUP(B20,Historic_Data!$A$1:$A$100,Historic_Data!$G$1:$G$100)</f>
        <v>0.1626</v>
      </c>
      <c r="F20" s="1115"/>
      <c r="G20" s="1123">
        <v>16.0</v>
      </c>
      <c r="H20" s="1127">
        <f t="shared" si="3"/>
        <v>54101.36107</v>
      </c>
      <c r="I20" s="1129">
        <f t="array" ref="I20">XLOOKUP(B20,Historic_Data!$A$1:$A$100,Historic_Data!$H$1:$H$100)</f>
        <v>0.012</v>
      </c>
      <c r="J20" s="1113"/>
    </row>
    <row r="21">
      <c r="A21" s="1113"/>
      <c r="B21" s="1117">
        <f t="shared" si="1"/>
        <v>2021</v>
      </c>
      <c r="C21" s="1123">
        <v>17.0</v>
      </c>
      <c r="D21" s="1127">
        <f t="shared" si="2"/>
        <v>1235324.647</v>
      </c>
      <c r="E21" s="1128">
        <f t="array" ref="E21">XLOOKUP(B21,Historic_Data!$A$1:$A$100,Historic_Data!$G$1:$G$100)</f>
        <v>0.2689</v>
      </c>
      <c r="F21" s="1115"/>
      <c r="G21" s="1123">
        <v>17.0</v>
      </c>
      <c r="H21" s="1127">
        <f t="shared" si="3"/>
        <v>54750.57741</v>
      </c>
      <c r="I21" s="1129">
        <f t="array" ref="I21">XLOOKUP(B21,Historic_Data!$A$1:$A$100,Historic_Data!$H$1:$H$100)</f>
        <v>0.047</v>
      </c>
      <c r="J21" s="1113"/>
    </row>
    <row r="22">
      <c r="A22" s="1113"/>
      <c r="B22" s="1117">
        <f t="shared" si="1"/>
        <v>2022</v>
      </c>
      <c r="C22" s="1123">
        <v>18.0</v>
      </c>
      <c r="D22" s="1127">
        <f t="shared" si="2"/>
        <v>1510179.59</v>
      </c>
      <c r="E22" s="1128">
        <f t="array" ref="E22">XLOOKUP(B22,Historic_Data!$A$1:$A$100,Historic_Data!$G$1:$G$100)</f>
        <v>-0.1944</v>
      </c>
      <c r="F22" s="1115"/>
      <c r="G22" s="1123">
        <v>18.0</v>
      </c>
      <c r="H22" s="1127">
        <f t="shared" si="3"/>
        <v>57323.85455</v>
      </c>
      <c r="I22" s="1129">
        <f t="array" ref="I22">XLOOKUP(B22,Historic_Data!$A$1:$A$100,Historic_Data!$H$1:$H$100)</f>
        <v>0.08</v>
      </c>
      <c r="J22" s="1113"/>
    </row>
    <row r="23">
      <c r="A23" s="1113"/>
      <c r="B23" s="1117">
        <f t="shared" si="1"/>
        <v>2023</v>
      </c>
      <c r="C23" s="1123">
        <v>19.0</v>
      </c>
      <c r="D23" s="1127">
        <f t="shared" si="2"/>
        <v>1154690.915</v>
      </c>
      <c r="E23" s="1128">
        <f t="array" ref="E23">XLOOKUP(B23,Historic_Data!$A$1:$A$100,Historic_Data!$G$1:$G$100)</f>
        <v>0.2423</v>
      </c>
      <c r="F23" s="1115"/>
      <c r="G23" s="1123">
        <v>19.0</v>
      </c>
      <c r="H23" s="1127">
        <f t="shared" si="3"/>
        <v>61909.76291</v>
      </c>
      <c r="I23" s="1129">
        <f t="array" ref="I23">XLOOKUP(B23,Historic_Data!$A$1:$A$100,Historic_Data!$H$1:$H$100)</f>
        <v>0.041</v>
      </c>
      <c r="J23" s="1113"/>
    </row>
    <row r="24">
      <c r="A24" s="1113"/>
      <c r="B24" s="1117">
        <f t="shared" si="1"/>
        <v>2024</v>
      </c>
      <c r="C24" s="1123">
        <v>20.0</v>
      </c>
      <c r="D24" s="1127">
        <f t="shared" si="2"/>
        <v>1370024.46</v>
      </c>
      <c r="E24" s="1128">
        <f t="array" ref="E24">XLOOKUP(B24,Historic_Data!$A$1:$A$100,Historic_Data!$G$1:$G$100)</f>
        <v>0.2331</v>
      </c>
      <c r="F24" s="1115"/>
      <c r="G24" s="1123">
        <v>20.0</v>
      </c>
      <c r="H24" s="1127">
        <f t="shared" si="3"/>
        <v>64448.06319</v>
      </c>
      <c r="I24" s="1129">
        <f t="array" ref="I24">XLOOKUP(B24,Historic_Data!$A$1:$A$100,Historic_Data!$H$1:$H$100)</f>
        <v>0.032</v>
      </c>
      <c r="J24" s="1113"/>
    </row>
    <row r="25">
      <c r="A25" s="1113"/>
      <c r="B25" s="1131"/>
      <c r="C25" s="1132"/>
      <c r="D25" s="1122" t="s">
        <v>959</v>
      </c>
      <c r="E25" s="1128">
        <f>AVERAGE(E5:E24)</f>
        <v>0.097205</v>
      </c>
      <c r="F25" s="1115"/>
      <c r="G25" s="1115"/>
      <c r="H25" s="1122" t="s">
        <v>959</v>
      </c>
      <c r="I25" s="1133">
        <f>AVERAGE(I5:I24)</f>
        <v>0.0259</v>
      </c>
      <c r="J25" s="1113"/>
    </row>
    <row r="26">
      <c r="A26" s="1113"/>
      <c r="B26" s="1114"/>
      <c r="C26" s="1115"/>
      <c r="D26" s="1116"/>
      <c r="E26" s="1115"/>
      <c r="F26" s="1115"/>
      <c r="G26" s="1115"/>
      <c r="H26" s="1122" t="s">
        <v>960</v>
      </c>
      <c r="I26" s="1134">
        <f>H24/H5</f>
        <v>1.61120158</v>
      </c>
      <c r="J26" s="1113"/>
    </row>
    <row r="27">
      <c r="A27" s="1113"/>
      <c r="B27" s="1114"/>
      <c r="C27" s="1115"/>
      <c r="D27" s="1116"/>
      <c r="E27" s="1115"/>
      <c r="F27" s="1115"/>
      <c r="G27" s="1115"/>
      <c r="H27" s="1135"/>
      <c r="I27" s="1115"/>
      <c r="J27" s="1113"/>
    </row>
    <row r="28">
      <c r="A28" s="1113"/>
      <c r="B28" s="1114"/>
      <c r="C28" s="1115"/>
      <c r="D28" s="1116"/>
      <c r="E28" s="1115"/>
      <c r="F28" s="1115"/>
      <c r="G28" s="1115"/>
      <c r="H28" s="1116"/>
      <c r="I28" s="1115"/>
      <c r="J28" s="1113"/>
    </row>
    <row r="29">
      <c r="A29" s="1113"/>
      <c r="B29" s="1114"/>
      <c r="C29" s="1115"/>
      <c r="D29" s="1116"/>
      <c r="E29" s="1115"/>
      <c r="F29" s="1115"/>
      <c r="G29" s="1115"/>
      <c r="H29" s="1116"/>
      <c r="I29" s="1115"/>
      <c r="J29" s="1113"/>
    </row>
    <row r="30">
      <c r="A30" s="1113"/>
      <c r="B30" s="1114"/>
      <c r="C30" s="1115"/>
      <c r="D30" s="1116"/>
      <c r="E30" s="1115"/>
      <c r="F30" s="1115"/>
      <c r="G30" s="1115"/>
      <c r="H30" s="1116"/>
      <c r="I30" s="1115"/>
      <c r="J30" s="1113"/>
    </row>
    <row r="31">
      <c r="A31" s="1113"/>
      <c r="B31" s="1114"/>
      <c r="C31" s="1115"/>
      <c r="D31" s="1116"/>
      <c r="E31" s="1115"/>
      <c r="F31" s="1115"/>
      <c r="G31" s="1115"/>
      <c r="H31" s="1116"/>
      <c r="I31" s="1115"/>
      <c r="J31" s="1113"/>
    </row>
    <row r="32">
      <c r="A32" s="1113"/>
      <c r="B32" s="1114"/>
      <c r="C32" s="1115"/>
      <c r="D32" s="1116"/>
      <c r="E32" s="1115"/>
      <c r="F32" s="1115"/>
      <c r="G32" s="1115"/>
      <c r="H32" s="1116"/>
      <c r="I32" s="1115"/>
      <c r="J32" s="1113"/>
    </row>
    <row r="33">
      <c r="A33" s="1113"/>
      <c r="B33" s="1114"/>
      <c r="C33" s="1115"/>
      <c r="D33" s="1116"/>
      <c r="E33" s="1115"/>
      <c r="F33" s="1115"/>
      <c r="G33" s="1115"/>
      <c r="H33" s="1116"/>
      <c r="I33" s="1115"/>
      <c r="J33" s="1113"/>
    </row>
    <row r="34">
      <c r="A34" s="1113"/>
      <c r="B34" s="1114"/>
      <c r="C34" s="1115"/>
      <c r="D34" s="1116"/>
      <c r="E34" s="1115"/>
      <c r="F34" s="1115"/>
      <c r="G34" s="1115"/>
      <c r="H34" s="1116"/>
      <c r="I34" s="1115"/>
      <c r="J34" s="1113"/>
    </row>
    <row r="35">
      <c r="A35" s="1113"/>
      <c r="B35" s="1114"/>
      <c r="C35" s="1115"/>
      <c r="D35" s="1116"/>
      <c r="E35" s="1115"/>
      <c r="F35" s="1115"/>
      <c r="G35" s="1115"/>
      <c r="H35" s="1116"/>
      <c r="I35" s="1115"/>
      <c r="J35" s="1113"/>
    </row>
    <row r="36">
      <c r="A36" s="1113"/>
      <c r="B36" s="1114"/>
      <c r="C36" s="1115"/>
      <c r="D36" s="1116"/>
      <c r="E36" s="1115"/>
      <c r="F36" s="1115"/>
      <c r="G36" s="1115"/>
      <c r="H36" s="1116"/>
      <c r="I36" s="1115"/>
      <c r="J36" s="1113"/>
    </row>
    <row r="37">
      <c r="A37" s="1113"/>
      <c r="B37" s="1114"/>
      <c r="C37" s="1115"/>
      <c r="D37" s="1116"/>
      <c r="E37" s="1115"/>
      <c r="F37" s="1115"/>
      <c r="G37" s="1115"/>
      <c r="H37" s="1116"/>
      <c r="I37" s="1115"/>
      <c r="J37" s="1113"/>
    </row>
    <row r="38">
      <c r="A38" s="1113"/>
      <c r="B38" s="1114"/>
      <c r="C38" s="1115"/>
      <c r="D38" s="1116"/>
      <c r="E38" s="1115"/>
      <c r="F38" s="1115"/>
      <c r="G38" s="1115"/>
      <c r="H38" s="1116"/>
      <c r="I38" s="1115"/>
      <c r="J38" s="1113"/>
    </row>
    <row r="39">
      <c r="A39" s="1113"/>
      <c r="B39" s="1114"/>
      <c r="C39" s="1115"/>
      <c r="D39" s="1116"/>
      <c r="E39" s="1115"/>
      <c r="F39" s="1115"/>
      <c r="G39" s="1115"/>
      <c r="H39" s="1116"/>
      <c r="I39" s="1115"/>
      <c r="J39" s="1113"/>
    </row>
    <row r="40">
      <c r="A40" s="1113"/>
      <c r="B40" s="1114"/>
      <c r="C40" s="1115"/>
      <c r="D40" s="1116"/>
      <c r="E40" s="1115"/>
      <c r="F40" s="1115"/>
      <c r="G40" s="1115"/>
      <c r="H40" s="1116"/>
      <c r="I40" s="1115"/>
      <c r="J40" s="1113"/>
    </row>
    <row r="41">
      <c r="A41" s="1113"/>
      <c r="B41" s="1114"/>
      <c r="C41" s="1115"/>
      <c r="D41" s="1116"/>
      <c r="E41" s="1115"/>
      <c r="F41" s="1115"/>
      <c r="G41" s="1115"/>
      <c r="H41" s="1116"/>
      <c r="I41" s="1115"/>
      <c r="J41" s="1113"/>
    </row>
    <row r="42">
      <c r="A42" s="1113"/>
      <c r="B42" s="1114"/>
      <c r="C42" s="1115"/>
      <c r="D42" s="1116"/>
      <c r="E42" s="1115"/>
      <c r="F42" s="1115"/>
      <c r="G42" s="1115"/>
      <c r="H42" s="1116"/>
      <c r="I42" s="1115"/>
      <c r="J42" s="1113"/>
    </row>
    <row r="43">
      <c r="A43" s="1113"/>
      <c r="B43" s="1114"/>
      <c r="C43" s="1115"/>
      <c r="D43" s="1116"/>
      <c r="E43" s="1115"/>
      <c r="F43" s="1115"/>
      <c r="G43" s="1115"/>
      <c r="H43" s="1116"/>
      <c r="I43" s="1115"/>
      <c r="J43" s="1113"/>
    </row>
    <row r="44">
      <c r="A44" s="1113"/>
      <c r="B44" s="1114"/>
      <c r="C44" s="1115"/>
      <c r="D44" s="1116"/>
      <c r="E44" s="1115"/>
      <c r="F44" s="1115"/>
      <c r="G44" s="1115"/>
      <c r="H44" s="1116"/>
      <c r="I44" s="1115"/>
      <c r="J44" s="1113"/>
    </row>
    <row r="45">
      <c r="A45" s="1113"/>
      <c r="B45" s="1114"/>
      <c r="C45" s="1115"/>
      <c r="D45" s="1116"/>
      <c r="E45" s="1115"/>
      <c r="F45" s="1115"/>
      <c r="G45" s="1115"/>
      <c r="H45" s="1116"/>
      <c r="I45" s="1115"/>
      <c r="J45" s="1113"/>
    </row>
    <row r="46">
      <c r="A46" s="1113"/>
      <c r="B46" s="1114"/>
      <c r="C46" s="1115"/>
      <c r="D46" s="1116"/>
      <c r="E46" s="1115"/>
      <c r="F46" s="1115"/>
      <c r="G46" s="1115"/>
      <c r="H46" s="1116"/>
      <c r="I46" s="1115"/>
      <c r="J46" s="1113"/>
    </row>
    <row r="47">
      <c r="A47" s="1113"/>
      <c r="B47" s="1114"/>
      <c r="C47" s="1115"/>
      <c r="D47" s="1116"/>
      <c r="E47" s="1115"/>
      <c r="F47" s="1115"/>
      <c r="G47" s="1115"/>
      <c r="H47" s="1116"/>
      <c r="I47" s="1115"/>
      <c r="J47" s="1113"/>
    </row>
    <row r="48">
      <c r="A48" s="1113"/>
      <c r="B48" s="1114"/>
      <c r="C48" s="1115"/>
      <c r="D48" s="1116"/>
      <c r="E48" s="1115"/>
      <c r="F48" s="1115"/>
      <c r="G48" s="1115"/>
      <c r="H48" s="1116"/>
      <c r="I48" s="1115"/>
      <c r="J48" s="1113"/>
    </row>
    <row r="49">
      <c r="A49" s="1113"/>
      <c r="B49" s="1114"/>
      <c r="C49" s="1115"/>
      <c r="D49" s="1116"/>
      <c r="E49" s="1115"/>
      <c r="F49" s="1115"/>
      <c r="G49" s="1115"/>
      <c r="H49" s="1116"/>
      <c r="I49" s="1115"/>
      <c r="J49" s="1113"/>
    </row>
    <row r="50">
      <c r="A50" s="1113"/>
      <c r="B50" s="1114"/>
      <c r="C50" s="1115"/>
      <c r="D50" s="1116"/>
      <c r="E50" s="1115"/>
      <c r="F50" s="1115"/>
      <c r="G50" s="1115"/>
      <c r="H50" s="1116"/>
      <c r="I50" s="1115"/>
      <c r="J50" s="1113"/>
    </row>
    <row r="51">
      <c r="A51" s="1113"/>
      <c r="B51" s="1114"/>
      <c r="C51" s="1115"/>
      <c r="D51" s="1116"/>
      <c r="E51" s="1115"/>
      <c r="F51" s="1115"/>
      <c r="G51" s="1115"/>
      <c r="H51" s="1116"/>
      <c r="I51" s="1115"/>
      <c r="J51" s="1113"/>
    </row>
    <row r="52">
      <c r="A52" s="1113"/>
      <c r="B52" s="1114"/>
      <c r="C52" s="1115"/>
      <c r="D52" s="1116"/>
      <c r="E52" s="1115"/>
      <c r="F52" s="1115"/>
      <c r="G52" s="1115"/>
      <c r="H52" s="1116"/>
      <c r="I52" s="1115"/>
      <c r="J52" s="1113"/>
    </row>
    <row r="53">
      <c r="A53" s="1113"/>
      <c r="B53" s="1114"/>
      <c r="C53" s="1115"/>
      <c r="D53" s="1116"/>
      <c r="E53" s="1115"/>
      <c r="F53" s="1115"/>
      <c r="G53" s="1115"/>
      <c r="H53" s="1116"/>
      <c r="I53" s="1115"/>
      <c r="J53" s="1113"/>
    </row>
    <row r="54">
      <c r="A54" s="1113"/>
      <c r="B54" s="1114"/>
      <c r="C54" s="1115"/>
      <c r="D54" s="1116"/>
      <c r="E54" s="1115"/>
      <c r="F54" s="1115"/>
      <c r="G54" s="1115"/>
      <c r="H54" s="1116"/>
      <c r="I54" s="1115"/>
      <c r="J54" s="1113"/>
    </row>
    <row r="55">
      <c r="A55" s="1113"/>
      <c r="B55" s="1114"/>
      <c r="C55" s="1115"/>
      <c r="D55" s="1116"/>
      <c r="E55" s="1115"/>
      <c r="F55" s="1115"/>
      <c r="G55" s="1115"/>
      <c r="H55" s="1116"/>
      <c r="I55" s="1115"/>
      <c r="J55" s="1113"/>
    </row>
    <row r="56">
      <c r="A56" s="1113"/>
      <c r="B56" s="1114"/>
      <c r="C56" s="1115"/>
      <c r="D56" s="1116"/>
      <c r="E56" s="1115"/>
      <c r="F56" s="1115"/>
      <c r="G56" s="1115"/>
      <c r="H56" s="1116"/>
      <c r="I56" s="1115"/>
      <c r="J56" s="1113"/>
    </row>
    <row r="57">
      <c r="A57" s="1113"/>
      <c r="B57" s="1114"/>
      <c r="C57" s="1115"/>
      <c r="D57" s="1116"/>
      <c r="E57" s="1115"/>
      <c r="F57" s="1115"/>
      <c r="G57" s="1115"/>
      <c r="H57" s="1116"/>
      <c r="I57" s="1115"/>
      <c r="J57" s="1113"/>
    </row>
    <row r="58">
      <c r="A58" s="1113"/>
      <c r="B58" s="1114"/>
      <c r="C58" s="1115"/>
      <c r="D58" s="1116"/>
      <c r="E58" s="1115"/>
      <c r="F58" s="1115"/>
      <c r="G58" s="1115"/>
      <c r="H58" s="1116"/>
      <c r="I58" s="1115"/>
      <c r="J58" s="1113"/>
    </row>
    <row r="59">
      <c r="A59" s="1113"/>
      <c r="B59" s="1114"/>
      <c r="C59" s="1115"/>
      <c r="D59" s="1116"/>
      <c r="E59" s="1115"/>
      <c r="F59" s="1115"/>
      <c r="G59" s="1115"/>
      <c r="H59" s="1116"/>
      <c r="I59" s="1115"/>
      <c r="J59" s="1113"/>
    </row>
    <row r="60">
      <c r="A60" s="1113"/>
      <c r="B60" s="1114"/>
      <c r="C60" s="1115"/>
      <c r="D60" s="1116"/>
      <c r="E60" s="1115"/>
      <c r="F60" s="1115"/>
      <c r="G60" s="1115"/>
      <c r="H60" s="1116"/>
      <c r="I60" s="1115"/>
      <c r="J60" s="1113"/>
    </row>
    <row r="61">
      <c r="A61" s="1113"/>
      <c r="B61" s="1114"/>
      <c r="C61" s="1115"/>
      <c r="D61" s="1116"/>
      <c r="E61" s="1115"/>
      <c r="F61" s="1115"/>
      <c r="G61" s="1115"/>
      <c r="H61" s="1116"/>
      <c r="I61" s="1115"/>
      <c r="J61" s="1113"/>
    </row>
    <row r="62">
      <c r="A62" s="1113"/>
      <c r="B62" s="1114"/>
      <c r="C62" s="1115"/>
      <c r="D62" s="1116"/>
      <c r="E62" s="1115"/>
      <c r="F62" s="1115"/>
      <c r="G62" s="1115"/>
      <c r="H62" s="1116"/>
      <c r="I62" s="1115"/>
      <c r="J62" s="1113"/>
    </row>
    <row r="63">
      <c r="A63" s="1113"/>
      <c r="B63" s="1114"/>
      <c r="C63" s="1115"/>
      <c r="D63" s="1116"/>
      <c r="E63" s="1115"/>
      <c r="F63" s="1115"/>
      <c r="G63" s="1115"/>
      <c r="H63" s="1116"/>
      <c r="I63" s="1115"/>
      <c r="J63" s="1113"/>
    </row>
    <row r="64">
      <c r="A64" s="1113"/>
      <c r="B64" s="1114"/>
      <c r="C64" s="1115"/>
      <c r="D64" s="1116"/>
      <c r="E64" s="1115"/>
      <c r="F64" s="1115"/>
      <c r="G64" s="1115"/>
      <c r="H64" s="1116"/>
      <c r="I64" s="1115"/>
      <c r="J64" s="1113"/>
    </row>
    <row r="65">
      <c r="A65" s="1113"/>
      <c r="B65" s="1114"/>
      <c r="C65" s="1115"/>
      <c r="D65" s="1116"/>
      <c r="E65" s="1115"/>
      <c r="F65" s="1115"/>
      <c r="G65" s="1115"/>
      <c r="H65" s="1116"/>
      <c r="I65" s="1115"/>
      <c r="J65" s="1113"/>
    </row>
    <row r="66">
      <c r="A66" s="1113"/>
      <c r="B66" s="1114"/>
      <c r="C66" s="1115"/>
      <c r="D66" s="1116"/>
      <c r="E66" s="1115"/>
      <c r="F66" s="1115"/>
      <c r="G66" s="1115"/>
      <c r="H66" s="1116"/>
      <c r="I66" s="1115"/>
      <c r="J66" s="1113"/>
    </row>
    <row r="67">
      <c r="A67" s="1113"/>
      <c r="B67" s="1114"/>
      <c r="C67" s="1115"/>
      <c r="D67" s="1116"/>
      <c r="E67" s="1115"/>
      <c r="F67" s="1115"/>
      <c r="G67" s="1115"/>
      <c r="H67" s="1116"/>
      <c r="I67" s="1115"/>
      <c r="J67" s="1113"/>
    </row>
    <row r="68">
      <c r="A68" s="1113"/>
      <c r="B68" s="1114"/>
      <c r="C68" s="1115"/>
      <c r="D68" s="1116"/>
      <c r="E68" s="1115"/>
      <c r="F68" s="1115"/>
      <c r="G68" s="1115"/>
      <c r="H68" s="1116"/>
      <c r="I68" s="1115"/>
      <c r="J68" s="1113"/>
    </row>
    <row r="69">
      <c r="A69" s="1113"/>
      <c r="B69" s="1114"/>
      <c r="C69" s="1115"/>
      <c r="D69" s="1116"/>
      <c r="E69" s="1115"/>
      <c r="F69" s="1115"/>
      <c r="G69" s="1115"/>
      <c r="H69" s="1116"/>
      <c r="I69" s="1115"/>
      <c r="J69" s="1113"/>
    </row>
    <row r="70">
      <c r="A70" s="1113"/>
      <c r="B70" s="1114"/>
      <c r="C70" s="1115"/>
      <c r="D70" s="1116"/>
      <c r="E70" s="1115"/>
      <c r="F70" s="1115"/>
      <c r="G70" s="1115"/>
      <c r="H70" s="1116"/>
      <c r="I70" s="1115"/>
      <c r="J70" s="1113"/>
    </row>
    <row r="71">
      <c r="A71" s="1113"/>
      <c r="B71" s="1114"/>
      <c r="C71" s="1115"/>
      <c r="D71" s="1116"/>
      <c r="E71" s="1115"/>
      <c r="F71" s="1115"/>
      <c r="G71" s="1115"/>
      <c r="H71" s="1116"/>
      <c r="I71" s="1115"/>
      <c r="J71" s="1113"/>
    </row>
    <row r="72">
      <c r="A72" s="1113"/>
      <c r="B72" s="1114"/>
      <c r="C72" s="1115"/>
      <c r="D72" s="1116"/>
      <c r="E72" s="1115"/>
      <c r="F72" s="1115"/>
      <c r="G72" s="1115"/>
      <c r="H72" s="1116"/>
      <c r="I72" s="1115"/>
      <c r="J72" s="1113"/>
    </row>
    <row r="73">
      <c r="A73" s="1113"/>
      <c r="B73" s="1114"/>
      <c r="C73" s="1115"/>
      <c r="D73" s="1116"/>
      <c r="E73" s="1115"/>
      <c r="F73" s="1115"/>
      <c r="G73" s="1115"/>
      <c r="H73" s="1116"/>
      <c r="I73" s="1115"/>
      <c r="J73" s="1113"/>
    </row>
    <row r="74">
      <c r="A74" s="1113"/>
      <c r="B74" s="1114"/>
      <c r="C74" s="1115"/>
      <c r="D74" s="1116"/>
      <c r="E74" s="1115"/>
      <c r="F74" s="1115"/>
      <c r="G74" s="1115"/>
      <c r="H74" s="1116"/>
      <c r="I74" s="1115"/>
      <c r="J74" s="1113"/>
    </row>
    <row r="75">
      <c r="A75" s="1113"/>
      <c r="B75" s="1114"/>
      <c r="C75" s="1115"/>
      <c r="D75" s="1116"/>
      <c r="E75" s="1115"/>
      <c r="F75" s="1115"/>
      <c r="G75" s="1115"/>
      <c r="H75" s="1116"/>
      <c r="I75" s="1115"/>
      <c r="J75" s="1113"/>
    </row>
    <row r="76">
      <c r="A76" s="1113"/>
      <c r="B76" s="1114"/>
      <c r="C76" s="1115"/>
      <c r="D76" s="1116"/>
      <c r="E76" s="1115"/>
      <c r="F76" s="1115"/>
      <c r="G76" s="1115"/>
      <c r="H76" s="1116"/>
      <c r="I76" s="1115"/>
      <c r="J76" s="1113"/>
    </row>
    <row r="77">
      <c r="A77" s="1113"/>
      <c r="B77" s="1114"/>
      <c r="C77" s="1115"/>
      <c r="D77" s="1116"/>
      <c r="E77" s="1115"/>
      <c r="F77" s="1115"/>
      <c r="G77" s="1115"/>
      <c r="H77" s="1116"/>
      <c r="I77" s="1115"/>
      <c r="J77" s="1113"/>
    </row>
    <row r="78">
      <c r="A78" s="1113"/>
      <c r="B78" s="1114"/>
      <c r="C78" s="1115"/>
      <c r="D78" s="1116"/>
      <c r="E78" s="1115"/>
      <c r="F78" s="1115"/>
      <c r="G78" s="1115"/>
      <c r="H78" s="1116"/>
      <c r="I78" s="1115"/>
      <c r="J78" s="1113"/>
    </row>
    <row r="79">
      <c r="A79" s="1113"/>
      <c r="B79" s="1114"/>
      <c r="C79" s="1115"/>
      <c r="D79" s="1116"/>
      <c r="E79" s="1115"/>
      <c r="F79" s="1115"/>
      <c r="G79" s="1115"/>
      <c r="H79" s="1116"/>
      <c r="I79" s="1115"/>
      <c r="J79" s="1113"/>
    </row>
    <row r="80">
      <c r="A80" s="1113"/>
      <c r="B80" s="1114"/>
      <c r="C80" s="1115"/>
      <c r="D80" s="1116"/>
      <c r="E80" s="1115"/>
      <c r="F80" s="1115"/>
      <c r="G80" s="1115"/>
      <c r="H80" s="1116"/>
      <c r="I80" s="1115"/>
      <c r="J80" s="1113"/>
    </row>
    <row r="81">
      <c r="A81" s="1113"/>
      <c r="B81" s="1114"/>
      <c r="C81" s="1115"/>
      <c r="D81" s="1116"/>
      <c r="E81" s="1115"/>
      <c r="F81" s="1115"/>
      <c r="G81" s="1115"/>
      <c r="H81" s="1116"/>
      <c r="I81" s="1115"/>
      <c r="J81" s="1113"/>
    </row>
    <row r="82">
      <c r="A82" s="1113"/>
      <c r="B82" s="1114"/>
      <c r="C82" s="1115"/>
      <c r="D82" s="1116"/>
      <c r="E82" s="1115"/>
      <c r="F82" s="1115"/>
      <c r="G82" s="1115"/>
      <c r="H82" s="1116"/>
      <c r="I82" s="1115"/>
      <c r="J82" s="1113"/>
    </row>
    <row r="83">
      <c r="A83" s="1113"/>
      <c r="B83" s="1114"/>
      <c r="C83" s="1115"/>
      <c r="D83" s="1116"/>
      <c r="E83" s="1115"/>
      <c r="F83" s="1115"/>
      <c r="G83" s="1115"/>
      <c r="H83" s="1116"/>
      <c r="I83" s="1115"/>
      <c r="J83" s="1113"/>
    </row>
    <row r="84">
      <c r="A84" s="1113"/>
      <c r="B84" s="1114"/>
      <c r="C84" s="1115"/>
      <c r="D84" s="1116"/>
      <c r="E84" s="1115"/>
      <c r="F84" s="1115"/>
      <c r="G84" s="1115"/>
      <c r="H84" s="1116"/>
      <c r="I84" s="1115"/>
      <c r="J84" s="1113"/>
    </row>
    <row r="85">
      <c r="A85" s="1113"/>
      <c r="B85" s="1114"/>
      <c r="C85" s="1115"/>
      <c r="D85" s="1116"/>
      <c r="E85" s="1115"/>
      <c r="F85" s="1115"/>
      <c r="G85" s="1115"/>
      <c r="H85" s="1116"/>
      <c r="I85" s="1115"/>
      <c r="J85" s="1113"/>
    </row>
    <row r="86">
      <c r="A86" s="1113"/>
      <c r="B86" s="1114"/>
      <c r="C86" s="1115"/>
      <c r="D86" s="1116"/>
      <c r="E86" s="1115"/>
      <c r="F86" s="1115"/>
      <c r="G86" s="1115"/>
      <c r="H86" s="1116"/>
      <c r="I86" s="1115"/>
      <c r="J86" s="1113"/>
    </row>
    <row r="87">
      <c r="A87" s="1113"/>
      <c r="B87" s="1114"/>
      <c r="C87" s="1115"/>
      <c r="D87" s="1116"/>
      <c r="E87" s="1115"/>
      <c r="F87" s="1115"/>
      <c r="G87" s="1115"/>
      <c r="H87" s="1116"/>
      <c r="I87" s="1115"/>
      <c r="J87" s="1113"/>
    </row>
    <row r="88">
      <c r="A88" s="1113"/>
      <c r="B88" s="1114"/>
      <c r="C88" s="1115"/>
      <c r="D88" s="1116"/>
      <c r="E88" s="1115"/>
      <c r="F88" s="1115"/>
      <c r="G88" s="1115"/>
      <c r="H88" s="1116"/>
      <c r="I88" s="1115"/>
      <c r="J88" s="1113"/>
    </row>
    <row r="89">
      <c r="A89" s="1113"/>
      <c r="B89" s="1114"/>
      <c r="C89" s="1115"/>
      <c r="D89" s="1116"/>
      <c r="E89" s="1115"/>
      <c r="F89" s="1115"/>
      <c r="G89" s="1115"/>
      <c r="H89" s="1116"/>
      <c r="I89" s="1115"/>
      <c r="J89" s="1113"/>
    </row>
    <row r="90">
      <c r="A90" s="1113"/>
      <c r="B90" s="1114"/>
      <c r="C90" s="1115"/>
      <c r="D90" s="1116"/>
      <c r="E90" s="1115"/>
      <c r="F90" s="1115"/>
      <c r="G90" s="1115"/>
      <c r="H90" s="1116"/>
      <c r="I90" s="1115"/>
      <c r="J90" s="1113"/>
    </row>
    <row r="91">
      <c r="A91" s="1113"/>
      <c r="B91" s="1114"/>
      <c r="C91" s="1115"/>
      <c r="D91" s="1116"/>
      <c r="E91" s="1115"/>
      <c r="F91" s="1115"/>
      <c r="G91" s="1115"/>
      <c r="H91" s="1116"/>
      <c r="I91" s="1115"/>
      <c r="J91" s="1113"/>
    </row>
    <row r="92">
      <c r="A92" s="1113"/>
      <c r="B92" s="1114"/>
      <c r="C92" s="1115"/>
      <c r="D92" s="1116"/>
      <c r="E92" s="1115"/>
      <c r="F92" s="1115"/>
      <c r="G92" s="1115"/>
      <c r="H92" s="1116"/>
      <c r="I92" s="1115"/>
      <c r="J92" s="1113"/>
    </row>
    <row r="93">
      <c r="A93" s="1113"/>
      <c r="B93" s="1114"/>
      <c r="C93" s="1115"/>
      <c r="D93" s="1116"/>
      <c r="E93" s="1115"/>
      <c r="F93" s="1115"/>
      <c r="G93" s="1115"/>
      <c r="H93" s="1116"/>
      <c r="I93" s="1115"/>
      <c r="J93" s="1113"/>
    </row>
    <row r="94">
      <c r="A94" s="1113"/>
      <c r="B94" s="1114"/>
      <c r="C94" s="1115"/>
      <c r="D94" s="1116"/>
      <c r="E94" s="1115"/>
      <c r="F94" s="1115"/>
      <c r="G94" s="1115"/>
      <c r="H94" s="1116"/>
      <c r="I94" s="1115"/>
      <c r="J94" s="1113"/>
    </row>
    <row r="95">
      <c r="A95" s="1113"/>
      <c r="B95" s="1114"/>
      <c r="C95" s="1115"/>
      <c r="D95" s="1116"/>
      <c r="E95" s="1115"/>
      <c r="F95" s="1115"/>
      <c r="G95" s="1115"/>
      <c r="H95" s="1116"/>
      <c r="I95" s="1115"/>
      <c r="J95" s="1113"/>
    </row>
    <row r="96">
      <c r="A96" s="1113"/>
      <c r="B96" s="1114"/>
      <c r="C96" s="1115"/>
      <c r="D96" s="1116"/>
      <c r="E96" s="1115"/>
      <c r="F96" s="1115"/>
      <c r="G96" s="1115"/>
      <c r="H96" s="1116"/>
      <c r="I96" s="1115"/>
      <c r="J96" s="1113"/>
    </row>
    <row r="97">
      <c r="A97" s="1113"/>
      <c r="B97" s="1114"/>
      <c r="C97" s="1115"/>
      <c r="D97" s="1116"/>
      <c r="E97" s="1115"/>
      <c r="F97" s="1115"/>
      <c r="G97" s="1115"/>
      <c r="H97" s="1116"/>
      <c r="I97" s="1115"/>
      <c r="J97" s="1113"/>
    </row>
    <row r="98">
      <c r="A98" s="1113"/>
      <c r="B98" s="1114"/>
      <c r="C98" s="1115"/>
      <c r="D98" s="1116"/>
      <c r="E98" s="1115"/>
      <c r="F98" s="1115"/>
      <c r="G98" s="1115"/>
      <c r="H98" s="1116"/>
      <c r="I98" s="1115"/>
      <c r="J98" s="1113"/>
    </row>
    <row r="99">
      <c r="A99" s="1113"/>
      <c r="B99" s="1114"/>
      <c r="C99" s="1115"/>
      <c r="D99" s="1116"/>
      <c r="E99" s="1115"/>
      <c r="F99" s="1115"/>
      <c r="G99" s="1115"/>
      <c r="H99" s="1116"/>
      <c r="I99" s="1115"/>
      <c r="J99" s="1113"/>
    </row>
    <row r="100">
      <c r="A100" s="1113"/>
      <c r="B100" s="1114"/>
      <c r="C100" s="1115"/>
      <c r="D100" s="1116"/>
      <c r="E100" s="1115"/>
      <c r="F100" s="1115"/>
      <c r="G100" s="1115"/>
      <c r="H100" s="1116"/>
      <c r="I100" s="1115"/>
      <c r="J100" s="1113"/>
    </row>
    <row r="101">
      <c r="A101" s="1113"/>
      <c r="B101" s="1114"/>
      <c r="C101" s="1115"/>
      <c r="D101" s="1116"/>
      <c r="E101" s="1115"/>
      <c r="F101" s="1115"/>
      <c r="G101" s="1115"/>
      <c r="H101" s="1116"/>
      <c r="I101" s="1115"/>
      <c r="J101" s="1113"/>
    </row>
    <row r="102">
      <c r="A102" s="1113"/>
      <c r="B102" s="1114"/>
      <c r="C102" s="1115"/>
      <c r="D102" s="1116"/>
      <c r="E102" s="1115"/>
      <c r="F102" s="1115"/>
      <c r="G102" s="1115"/>
      <c r="H102" s="1116"/>
      <c r="I102" s="1115"/>
      <c r="J102" s="1113"/>
    </row>
    <row r="103">
      <c r="A103" s="1113"/>
      <c r="B103" s="1114"/>
      <c r="C103" s="1115"/>
      <c r="D103" s="1116"/>
      <c r="E103" s="1115"/>
      <c r="F103" s="1115"/>
      <c r="G103" s="1115"/>
      <c r="H103" s="1116"/>
      <c r="I103" s="1115"/>
      <c r="J103" s="1113"/>
    </row>
    <row r="104">
      <c r="A104" s="1113"/>
      <c r="B104" s="1114"/>
      <c r="C104" s="1115"/>
      <c r="D104" s="1116"/>
      <c r="E104" s="1115"/>
      <c r="F104" s="1115"/>
      <c r="G104" s="1115"/>
      <c r="H104" s="1116"/>
      <c r="I104" s="1115"/>
      <c r="J104" s="1113"/>
    </row>
    <row r="105">
      <c r="A105" s="1113"/>
      <c r="B105" s="1114"/>
      <c r="C105" s="1115"/>
      <c r="D105" s="1116"/>
      <c r="E105" s="1115"/>
      <c r="F105" s="1115"/>
      <c r="G105" s="1115"/>
      <c r="H105" s="1116"/>
      <c r="I105" s="1115"/>
      <c r="J105" s="1113"/>
    </row>
    <row r="106">
      <c r="A106" s="1113"/>
      <c r="B106" s="1114"/>
      <c r="C106" s="1115"/>
      <c r="D106" s="1116"/>
      <c r="E106" s="1115"/>
      <c r="F106" s="1115"/>
      <c r="G106" s="1115"/>
      <c r="H106" s="1116"/>
      <c r="I106" s="1115"/>
      <c r="J106" s="1113"/>
    </row>
    <row r="107">
      <c r="A107" s="1113"/>
      <c r="B107" s="1114"/>
      <c r="C107" s="1115"/>
      <c r="D107" s="1116"/>
      <c r="E107" s="1115"/>
      <c r="F107" s="1115"/>
      <c r="G107" s="1115"/>
      <c r="H107" s="1116"/>
      <c r="I107" s="1115"/>
      <c r="J107" s="1113"/>
    </row>
    <row r="108">
      <c r="A108" s="1113"/>
      <c r="B108" s="1114"/>
      <c r="C108" s="1115"/>
      <c r="D108" s="1116"/>
      <c r="E108" s="1115"/>
      <c r="F108" s="1115"/>
      <c r="G108" s="1115"/>
      <c r="H108" s="1116"/>
      <c r="I108" s="1115"/>
      <c r="J108" s="1113"/>
    </row>
    <row r="109">
      <c r="A109" s="1113"/>
      <c r="B109" s="1114"/>
      <c r="C109" s="1115"/>
      <c r="D109" s="1116"/>
      <c r="E109" s="1115"/>
      <c r="F109" s="1115"/>
      <c r="G109" s="1115"/>
      <c r="H109" s="1116"/>
      <c r="I109" s="1115"/>
      <c r="J109" s="1113"/>
    </row>
    <row r="110">
      <c r="A110" s="1113"/>
      <c r="B110" s="1114"/>
      <c r="C110" s="1115"/>
      <c r="D110" s="1116"/>
      <c r="E110" s="1115"/>
      <c r="F110" s="1115"/>
      <c r="G110" s="1115"/>
      <c r="H110" s="1116"/>
      <c r="I110" s="1115"/>
      <c r="J110" s="1113"/>
    </row>
    <row r="111">
      <c r="A111" s="1113"/>
      <c r="B111" s="1114"/>
      <c r="C111" s="1115"/>
      <c r="D111" s="1116"/>
      <c r="E111" s="1115"/>
      <c r="F111" s="1115"/>
      <c r="G111" s="1115"/>
      <c r="H111" s="1116"/>
      <c r="I111" s="1115"/>
      <c r="J111" s="1113"/>
    </row>
    <row r="112">
      <c r="A112" s="1113"/>
      <c r="B112" s="1114"/>
      <c r="C112" s="1115"/>
      <c r="D112" s="1116"/>
      <c r="E112" s="1115"/>
      <c r="F112" s="1115"/>
      <c r="G112" s="1115"/>
      <c r="H112" s="1116"/>
      <c r="I112" s="1115"/>
      <c r="J112" s="1113"/>
    </row>
    <row r="113">
      <c r="A113" s="1113"/>
      <c r="B113" s="1114"/>
      <c r="C113" s="1115"/>
      <c r="D113" s="1116"/>
      <c r="E113" s="1115"/>
      <c r="F113" s="1115"/>
      <c r="G113" s="1115"/>
      <c r="H113" s="1116"/>
      <c r="I113" s="1115"/>
      <c r="J113" s="1113"/>
    </row>
    <row r="114">
      <c r="A114" s="1113"/>
      <c r="B114" s="1114"/>
      <c r="C114" s="1115"/>
      <c r="D114" s="1116"/>
      <c r="E114" s="1115"/>
      <c r="F114" s="1115"/>
      <c r="G114" s="1115"/>
      <c r="H114" s="1116"/>
      <c r="I114" s="1115"/>
      <c r="J114" s="1113"/>
    </row>
    <row r="115">
      <c r="A115" s="1113"/>
      <c r="B115" s="1114"/>
      <c r="C115" s="1115"/>
      <c r="D115" s="1116"/>
      <c r="E115" s="1115"/>
      <c r="F115" s="1115"/>
      <c r="G115" s="1115"/>
      <c r="H115" s="1116"/>
      <c r="I115" s="1115"/>
      <c r="J115" s="1113"/>
    </row>
    <row r="116">
      <c r="A116" s="1113"/>
      <c r="B116" s="1114"/>
      <c r="C116" s="1115"/>
      <c r="D116" s="1116"/>
      <c r="E116" s="1115"/>
      <c r="F116" s="1115"/>
      <c r="G116" s="1115"/>
      <c r="H116" s="1116"/>
      <c r="I116" s="1115"/>
      <c r="J116" s="1113"/>
    </row>
    <row r="117">
      <c r="A117" s="1113"/>
      <c r="B117" s="1114"/>
      <c r="C117" s="1115"/>
      <c r="D117" s="1116"/>
      <c r="E117" s="1115"/>
      <c r="F117" s="1115"/>
      <c r="G117" s="1115"/>
      <c r="H117" s="1116"/>
      <c r="I117" s="1115"/>
      <c r="J117" s="1113"/>
    </row>
    <row r="118">
      <c r="A118" s="1113"/>
      <c r="B118" s="1114"/>
      <c r="C118" s="1115"/>
      <c r="D118" s="1116"/>
      <c r="E118" s="1115"/>
      <c r="F118" s="1115"/>
      <c r="G118" s="1115"/>
      <c r="H118" s="1116"/>
      <c r="I118" s="1115"/>
      <c r="J118" s="1113"/>
    </row>
    <row r="119">
      <c r="A119" s="1113"/>
      <c r="B119" s="1114"/>
      <c r="C119" s="1115"/>
      <c r="D119" s="1116"/>
      <c r="E119" s="1115"/>
      <c r="F119" s="1115"/>
      <c r="G119" s="1115"/>
      <c r="H119" s="1116"/>
      <c r="I119" s="1115"/>
      <c r="J119" s="1113"/>
    </row>
    <row r="120">
      <c r="A120" s="1113"/>
      <c r="B120" s="1114"/>
      <c r="C120" s="1115"/>
      <c r="D120" s="1116"/>
      <c r="E120" s="1115"/>
      <c r="F120" s="1115"/>
      <c r="G120" s="1115"/>
      <c r="H120" s="1116"/>
      <c r="I120" s="1115"/>
      <c r="J120" s="1113"/>
    </row>
    <row r="121">
      <c r="A121" s="1113"/>
      <c r="B121" s="1114"/>
      <c r="C121" s="1115"/>
      <c r="D121" s="1116"/>
      <c r="E121" s="1115"/>
      <c r="F121" s="1115"/>
      <c r="G121" s="1115"/>
      <c r="H121" s="1116"/>
      <c r="I121" s="1115"/>
      <c r="J121" s="1113"/>
    </row>
    <row r="122">
      <c r="A122" s="1113"/>
      <c r="B122" s="1114"/>
      <c r="C122" s="1115"/>
      <c r="D122" s="1116"/>
      <c r="E122" s="1115"/>
      <c r="F122" s="1115"/>
      <c r="G122" s="1115"/>
      <c r="H122" s="1116"/>
      <c r="I122" s="1115"/>
      <c r="J122" s="1113"/>
    </row>
    <row r="123">
      <c r="A123" s="1113"/>
      <c r="B123" s="1114"/>
      <c r="C123" s="1115"/>
      <c r="D123" s="1116"/>
      <c r="E123" s="1115"/>
      <c r="F123" s="1115"/>
      <c r="G123" s="1115"/>
      <c r="H123" s="1116"/>
      <c r="I123" s="1115"/>
      <c r="J123" s="1113"/>
    </row>
    <row r="124">
      <c r="A124" s="1113"/>
      <c r="B124" s="1114"/>
      <c r="C124" s="1115"/>
      <c r="D124" s="1116"/>
      <c r="E124" s="1115"/>
      <c r="F124" s="1115"/>
      <c r="G124" s="1115"/>
      <c r="H124" s="1116"/>
      <c r="I124" s="1115"/>
      <c r="J124" s="1113"/>
    </row>
    <row r="125">
      <c r="A125" s="1113"/>
      <c r="B125" s="1114"/>
      <c r="C125" s="1115"/>
      <c r="D125" s="1116"/>
      <c r="E125" s="1115"/>
      <c r="F125" s="1115"/>
      <c r="G125" s="1115"/>
      <c r="H125" s="1116"/>
      <c r="I125" s="1115"/>
      <c r="J125" s="1113"/>
    </row>
    <row r="126">
      <c r="A126" s="1113"/>
      <c r="B126" s="1114"/>
      <c r="C126" s="1115"/>
      <c r="D126" s="1116"/>
      <c r="E126" s="1115"/>
      <c r="F126" s="1115"/>
      <c r="G126" s="1115"/>
      <c r="H126" s="1116"/>
      <c r="I126" s="1115"/>
      <c r="J126" s="1113"/>
    </row>
    <row r="127">
      <c r="A127" s="1113"/>
      <c r="B127" s="1114"/>
      <c r="C127" s="1115"/>
      <c r="D127" s="1116"/>
      <c r="E127" s="1115"/>
      <c r="F127" s="1115"/>
      <c r="G127" s="1115"/>
      <c r="H127" s="1116"/>
      <c r="I127" s="1115"/>
      <c r="J127" s="1113"/>
    </row>
    <row r="128">
      <c r="A128" s="1113"/>
      <c r="B128" s="1114"/>
      <c r="C128" s="1115"/>
      <c r="D128" s="1116"/>
      <c r="E128" s="1115"/>
      <c r="F128" s="1115"/>
      <c r="G128" s="1115"/>
      <c r="H128" s="1116"/>
      <c r="I128" s="1115"/>
      <c r="J128" s="1113"/>
    </row>
    <row r="129">
      <c r="A129" s="1113"/>
      <c r="B129" s="1114"/>
      <c r="C129" s="1115"/>
      <c r="D129" s="1116"/>
      <c r="E129" s="1115"/>
      <c r="F129" s="1115"/>
      <c r="G129" s="1115"/>
      <c r="H129" s="1116"/>
      <c r="I129" s="1115"/>
      <c r="J129" s="1113"/>
    </row>
    <row r="130">
      <c r="A130" s="1113"/>
      <c r="B130" s="1114"/>
      <c r="C130" s="1115"/>
      <c r="D130" s="1116"/>
      <c r="E130" s="1115"/>
      <c r="F130" s="1115"/>
      <c r="G130" s="1115"/>
      <c r="H130" s="1116"/>
      <c r="I130" s="1115"/>
      <c r="J130" s="1113"/>
    </row>
    <row r="131">
      <c r="A131" s="1113"/>
      <c r="B131" s="1114"/>
      <c r="C131" s="1115"/>
      <c r="D131" s="1116"/>
      <c r="E131" s="1115"/>
      <c r="F131" s="1115"/>
      <c r="G131" s="1115"/>
      <c r="H131" s="1116"/>
      <c r="I131" s="1115"/>
      <c r="J131" s="1113"/>
    </row>
    <row r="132">
      <c r="A132" s="1113"/>
      <c r="B132" s="1114"/>
      <c r="C132" s="1115"/>
      <c r="D132" s="1116"/>
      <c r="E132" s="1115"/>
      <c r="F132" s="1115"/>
      <c r="G132" s="1115"/>
      <c r="H132" s="1116"/>
      <c r="I132" s="1115"/>
      <c r="J132" s="1113"/>
    </row>
    <row r="133">
      <c r="A133" s="1113"/>
      <c r="B133" s="1114"/>
      <c r="C133" s="1115"/>
      <c r="D133" s="1116"/>
      <c r="E133" s="1115"/>
      <c r="F133" s="1115"/>
      <c r="G133" s="1115"/>
      <c r="H133" s="1116"/>
      <c r="I133" s="1115"/>
      <c r="J133" s="1113"/>
    </row>
    <row r="134">
      <c r="A134" s="1113"/>
      <c r="B134" s="1114"/>
      <c r="C134" s="1115"/>
      <c r="D134" s="1116"/>
      <c r="E134" s="1115"/>
      <c r="F134" s="1115"/>
      <c r="G134" s="1115"/>
      <c r="H134" s="1116"/>
      <c r="I134" s="1115"/>
      <c r="J134" s="1113"/>
    </row>
    <row r="135">
      <c r="A135" s="1113"/>
      <c r="B135" s="1114"/>
      <c r="C135" s="1115"/>
      <c r="D135" s="1116"/>
      <c r="E135" s="1115"/>
      <c r="F135" s="1115"/>
      <c r="G135" s="1115"/>
      <c r="H135" s="1116"/>
      <c r="I135" s="1115"/>
      <c r="J135" s="1113"/>
    </row>
    <row r="136">
      <c r="A136" s="1113"/>
      <c r="B136" s="1114"/>
      <c r="C136" s="1115"/>
      <c r="D136" s="1116"/>
      <c r="E136" s="1115"/>
      <c r="F136" s="1115"/>
      <c r="G136" s="1115"/>
      <c r="H136" s="1116"/>
      <c r="I136" s="1115"/>
      <c r="J136" s="1113"/>
    </row>
    <row r="137">
      <c r="A137" s="1113"/>
      <c r="B137" s="1114"/>
      <c r="C137" s="1115"/>
      <c r="D137" s="1116"/>
      <c r="E137" s="1115"/>
      <c r="F137" s="1115"/>
      <c r="G137" s="1115"/>
      <c r="H137" s="1116"/>
      <c r="I137" s="1115"/>
      <c r="J137" s="1113"/>
    </row>
    <row r="138">
      <c r="A138" s="1113"/>
      <c r="B138" s="1114"/>
      <c r="C138" s="1115"/>
      <c r="D138" s="1116"/>
      <c r="E138" s="1115"/>
      <c r="F138" s="1115"/>
      <c r="G138" s="1115"/>
      <c r="H138" s="1116"/>
      <c r="I138" s="1115"/>
      <c r="J138" s="1113"/>
    </row>
    <row r="139">
      <c r="A139" s="1113"/>
      <c r="B139" s="1114"/>
      <c r="C139" s="1115"/>
      <c r="D139" s="1116"/>
      <c r="E139" s="1115"/>
      <c r="F139" s="1115"/>
      <c r="G139" s="1115"/>
      <c r="H139" s="1116"/>
      <c r="I139" s="1115"/>
      <c r="J139" s="1113"/>
    </row>
    <row r="140">
      <c r="A140" s="1113"/>
      <c r="B140" s="1114"/>
      <c r="C140" s="1115"/>
      <c r="D140" s="1116"/>
      <c r="E140" s="1115"/>
      <c r="F140" s="1115"/>
      <c r="G140" s="1115"/>
      <c r="H140" s="1116"/>
      <c r="I140" s="1115"/>
      <c r="J140" s="1113"/>
    </row>
    <row r="141">
      <c r="A141" s="1113"/>
      <c r="B141" s="1114"/>
      <c r="C141" s="1115"/>
      <c r="D141" s="1116"/>
      <c r="E141" s="1115"/>
      <c r="F141" s="1115"/>
      <c r="G141" s="1115"/>
      <c r="H141" s="1116"/>
      <c r="I141" s="1115"/>
      <c r="J141" s="1113"/>
    </row>
    <row r="142">
      <c r="A142" s="1113"/>
      <c r="B142" s="1114"/>
      <c r="C142" s="1115"/>
      <c r="D142" s="1116"/>
      <c r="E142" s="1115"/>
      <c r="F142" s="1115"/>
      <c r="G142" s="1115"/>
      <c r="H142" s="1116"/>
      <c r="I142" s="1115"/>
      <c r="J142" s="1113"/>
    </row>
    <row r="143">
      <c r="A143" s="1113"/>
      <c r="B143" s="1114"/>
      <c r="C143" s="1115"/>
      <c r="D143" s="1116"/>
      <c r="E143" s="1115"/>
      <c r="F143" s="1115"/>
      <c r="G143" s="1115"/>
      <c r="H143" s="1116"/>
      <c r="I143" s="1115"/>
      <c r="J143" s="1113"/>
    </row>
    <row r="144">
      <c r="A144" s="1113"/>
      <c r="B144" s="1114"/>
      <c r="C144" s="1115"/>
      <c r="D144" s="1116"/>
      <c r="E144" s="1115"/>
      <c r="F144" s="1115"/>
      <c r="G144" s="1115"/>
      <c r="H144" s="1116"/>
      <c r="I144" s="1115"/>
      <c r="J144" s="1113"/>
    </row>
    <row r="145">
      <c r="A145" s="1113"/>
      <c r="B145" s="1114"/>
      <c r="C145" s="1115"/>
      <c r="D145" s="1116"/>
      <c r="E145" s="1115"/>
      <c r="F145" s="1115"/>
      <c r="G145" s="1115"/>
      <c r="H145" s="1116"/>
      <c r="I145" s="1115"/>
      <c r="J145" s="1113"/>
    </row>
    <row r="146">
      <c r="A146" s="1113"/>
      <c r="B146" s="1114"/>
      <c r="C146" s="1115"/>
      <c r="D146" s="1116"/>
      <c r="E146" s="1115"/>
      <c r="F146" s="1115"/>
      <c r="G146" s="1115"/>
      <c r="H146" s="1116"/>
      <c r="I146" s="1115"/>
      <c r="J146" s="1113"/>
    </row>
    <row r="147">
      <c r="A147" s="1113"/>
      <c r="B147" s="1114"/>
      <c r="C147" s="1115"/>
      <c r="D147" s="1116"/>
      <c r="E147" s="1115"/>
      <c r="F147" s="1115"/>
      <c r="G147" s="1115"/>
      <c r="H147" s="1116"/>
      <c r="I147" s="1115"/>
      <c r="J147" s="1113"/>
    </row>
    <row r="148">
      <c r="A148" s="1113"/>
      <c r="B148" s="1114"/>
      <c r="C148" s="1115"/>
      <c r="D148" s="1116"/>
      <c r="E148" s="1115"/>
      <c r="F148" s="1115"/>
      <c r="G148" s="1115"/>
      <c r="H148" s="1116"/>
      <c r="I148" s="1115"/>
      <c r="J148" s="1113"/>
    </row>
    <row r="149">
      <c r="A149" s="1113"/>
      <c r="B149" s="1114"/>
      <c r="C149" s="1115"/>
      <c r="D149" s="1116"/>
      <c r="E149" s="1115"/>
      <c r="F149" s="1115"/>
      <c r="G149" s="1115"/>
      <c r="H149" s="1116"/>
      <c r="I149" s="1115"/>
      <c r="J149" s="1113"/>
    </row>
    <row r="150">
      <c r="A150" s="1113"/>
      <c r="B150" s="1114"/>
      <c r="C150" s="1115"/>
      <c r="D150" s="1116"/>
      <c r="E150" s="1115"/>
      <c r="F150" s="1115"/>
      <c r="G150" s="1115"/>
      <c r="H150" s="1116"/>
      <c r="I150" s="1115"/>
      <c r="J150" s="1113"/>
    </row>
    <row r="151">
      <c r="A151" s="1113"/>
      <c r="B151" s="1114"/>
      <c r="C151" s="1115"/>
      <c r="D151" s="1116"/>
      <c r="E151" s="1115"/>
      <c r="F151" s="1115"/>
      <c r="G151" s="1115"/>
      <c r="H151" s="1116"/>
      <c r="I151" s="1115"/>
      <c r="J151" s="1113"/>
    </row>
    <row r="152">
      <c r="A152" s="1113"/>
      <c r="B152" s="1114"/>
      <c r="C152" s="1115"/>
      <c r="D152" s="1116"/>
      <c r="E152" s="1115"/>
      <c r="F152" s="1115"/>
      <c r="G152" s="1115"/>
      <c r="H152" s="1116"/>
      <c r="I152" s="1115"/>
      <c r="J152" s="1113"/>
    </row>
    <row r="153">
      <c r="A153" s="1113"/>
      <c r="B153" s="1114"/>
      <c r="C153" s="1115"/>
      <c r="D153" s="1116"/>
      <c r="E153" s="1115"/>
      <c r="F153" s="1115"/>
      <c r="G153" s="1115"/>
      <c r="H153" s="1116"/>
      <c r="I153" s="1115"/>
      <c r="J153" s="1113"/>
    </row>
    <row r="154">
      <c r="A154" s="1113"/>
      <c r="B154" s="1114"/>
      <c r="C154" s="1115"/>
      <c r="D154" s="1116"/>
      <c r="E154" s="1115"/>
      <c r="F154" s="1115"/>
      <c r="G154" s="1115"/>
      <c r="H154" s="1116"/>
      <c r="I154" s="1115"/>
      <c r="J154" s="1113"/>
    </row>
    <row r="155">
      <c r="A155" s="1113"/>
      <c r="B155" s="1114"/>
      <c r="C155" s="1115"/>
      <c r="D155" s="1116"/>
      <c r="E155" s="1115"/>
      <c r="F155" s="1115"/>
      <c r="G155" s="1115"/>
      <c r="H155" s="1116"/>
      <c r="I155" s="1115"/>
      <c r="J155" s="1113"/>
    </row>
    <row r="156">
      <c r="A156" s="1113"/>
      <c r="B156" s="1114"/>
      <c r="C156" s="1115"/>
      <c r="D156" s="1116"/>
      <c r="E156" s="1115"/>
      <c r="F156" s="1115"/>
      <c r="G156" s="1115"/>
      <c r="H156" s="1116"/>
      <c r="I156" s="1115"/>
      <c r="J156" s="1113"/>
    </row>
    <row r="157">
      <c r="A157" s="1113"/>
      <c r="B157" s="1114"/>
      <c r="C157" s="1115"/>
      <c r="D157" s="1116"/>
      <c r="E157" s="1115"/>
      <c r="F157" s="1115"/>
      <c r="G157" s="1115"/>
      <c r="H157" s="1116"/>
      <c r="I157" s="1115"/>
      <c r="J157" s="1113"/>
    </row>
    <row r="158">
      <c r="A158" s="1113"/>
      <c r="B158" s="1114"/>
      <c r="C158" s="1115"/>
      <c r="D158" s="1116"/>
      <c r="E158" s="1115"/>
      <c r="F158" s="1115"/>
      <c r="G158" s="1115"/>
      <c r="H158" s="1116"/>
      <c r="I158" s="1115"/>
      <c r="J158" s="1113"/>
    </row>
    <row r="159">
      <c r="A159" s="1113"/>
      <c r="B159" s="1114"/>
      <c r="C159" s="1115"/>
      <c r="D159" s="1116"/>
      <c r="E159" s="1115"/>
      <c r="F159" s="1115"/>
      <c r="G159" s="1115"/>
      <c r="H159" s="1116"/>
      <c r="I159" s="1115"/>
      <c r="J159" s="1113"/>
    </row>
    <row r="160">
      <c r="A160" s="1113"/>
      <c r="B160" s="1114"/>
      <c r="C160" s="1115"/>
      <c r="D160" s="1116"/>
      <c r="E160" s="1115"/>
      <c r="F160" s="1115"/>
      <c r="G160" s="1115"/>
      <c r="H160" s="1116"/>
      <c r="I160" s="1115"/>
      <c r="J160" s="1113"/>
    </row>
    <row r="161">
      <c r="A161" s="1113"/>
      <c r="B161" s="1114"/>
      <c r="C161" s="1115"/>
      <c r="D161" s="1116"/>
      <c r="E161" s="1115"/>
      <c r="F161" s="1115"/>
      <c r="G161" s="1115"/>
      <c r="H161" s="1116"/>
      <c r="I161" s="1115"/>
      <c r="J161" s="1113"/>
    </row>
    <row r="162">
      <c r="A162" s="1113"/>
      <c r="B162" s="1114"/>
      <c r="C162" s="1115"/>
      <c r="D162" s="1116"/>
      <c r="E162" s="1115"/>
      <c r="F162" s="1115"/>
      <c r="G162" s="1115"/>
      <c r="H162" s="1116"/>
      <c r="I162" s="1115"/>
      <c r="J162" s="1113"/>
    </row>
    <row r="163">
      <c r="A163" s="1113"/>
      <c r="B163" s="1114"/>
      <c r="C163" s="1115"/>
      <c r="D163" s="1116"/>
      <c r="E163" s="1115"/>
      <c r="F163" s="1115"/>
      <c r="G163" s="1115"/>
      <c r="H163" s="1116"/>
      <c r="I163" s="1115"/>
      <c r="J163" s="1113"/>
    </row>
    <row r="164">
      <c r="A164" s="1113"/>
      <c r="B164" s="1114"/>
      <c r="C164" s="1115"/>
      <c r="D164" s="1116"/>
      <c r="E164" s="1115"/>
      <c r="F164" s="1115"/>
      <c r="G164" s="1115"/>
      <c r="H164" s="1116"/>
      <c r="I164" s="1115"/>
      <c r="J164" s="1113"/>
    </row>
    <row r="165">
      <c r="A165" s="1113"/>
      <c r="B165" s="1114"/>
      <c r="C165" s="1115"/>
      <c r="D165" s="1116"/>
      <c r="E165" s="1115"/>
      <c r="F165" s="1115"/>
      <c r="G165" s="1115"/>
      <c r="H165" s="1116"/>
      <c r="I165" s="1115"/>
      <c r="J165" s="1113"/>
    </row>
    <row r="166">
      <c r="A166" s="1113"/>
      <c r="B166" s="1114"/>
      <c r="C166" s="1115"/>
      <c r="D166" s="1116"/>
      <c r="E166" s="1115"/>
      <c r="F166" s="1115"/>
      <c r="G166" s="1115"/>
      <c r="H166" s="1116"/>
      <c r="I166" s="1115"/>
      <c r="J166" s="1113"/>
    </row>
    <row r="167">
      <c r="A167" s="1113"/>
      <c r="B167" s="1114"/>
      <c r="C167" s="1115"/>
      <c r="D167" s="1116"/>
      <c r="E167" s="1115"/>
      <c r="F167" s="1115"/>
      <c r="G167" s="1115"/>
      <c r="H167" s="1116"/>
      <c r="I167" s="1115"/>
      <c r="J167" s="1113"/>
    </row>
    <row r="168">
      <c r="A168" s="1113"/>
      <c r="B168" s="1114"/>
      <c r="C168" s="1115"/>
      <c r="D168" s="1116"/>
      <c r="E168" s="1115"/>
      <c r="F168" s="1115"/>
      <c r="G168" s="1115"/>
      <c r="H168" s="1116"/>
      <c r="I168" s="1115"/>
      <c r="J168" s="1113"/>
    </row>
    <row r="169">
      <c r="A169" s="1113"/>
      <c r="B169" s="1114"/>
      <c r="C169" s="1115"/>
      <c r="D169" s="1116"/>
      <c r="E169" s="1115"/>
      <c r="F169" s="1115"/>
      <c r="G169" s="1115"/>
      <c r="H169" s="1116"/>
      <c r="I169" s="1115"/>
      <c r="J169" s="1113"/>
    </row>
    <row r="170">
      <c r="A170" s="1113"/>
      <c r="B170" s="1114"/>
      <c r="C170" s="1115"/>
      <c r="D170" s="1116"/>
      <c r="E170" s="1115"/>
      <c r="F170" s="1115"/>
      <c r="G170" s="1115"/>
      <c r="H170" s="1116"/>
      <c r="I170" s="1115"/>
      <c r="J170" s="1113"/>
    </row>
    <row r="171">
      <c r="A171" s="1113"/>
      <c r="B171" s="1114"/>
      <c r="C171" s="1115"/>
      <c r="D171" s="1116"/>
      <c r="E171" s="1115"/>
      <c r="F171" s="1115"/>
      <c r="G171" s="1115"/>
      <c r="H171" s="1116"/>
      <c r="I171" s="1115"/>
      <c r="J171" s="1113"/>
    </row>
    <row r="172">
      <c r="A172" s="1113"/>
      <c r="B172" s="1114"/>
      <c r="C172" s="1115"/>
      <c r="D172" s="1116"/>
      <c r="E172" s="1115"/>
      <c r="F172" s="1115"/>
      <c r="G172" s="1115"/>
      <c r="H172" s="1116"/>
      <c r="I172" s="1115"/>
      <c r="J172" s="1113"/>
    </row>
    <row r="173">
      <c r="A173" s="1113"/>
      <c r="B173" s="1114"/>
      <c r="C173" s="1115"/>
      <c r="D173" s="1116"/>
      <c r="E173" s="1115"/>
      <c r="F173" s="1115"/>
      <c r="G173" s="1115"/>
      <c r="H173" s="1116"/>
      <c r="I173" s="1115"/>
      <c r="J173" s="1113"/>
    </row>
    <row r="174">
      <c r="A174" s="1113"/>
      <c r="B174" s="1114"/>
      <c r="C174" s="1115"/>
      <c r="D174" s="1116"/>
      <c r="E174" s="1115"/>
      <c r="F174" s="1115"/>
      <c r="G174" s="1115"/>
      <c r="H174" s="1116"/>
      <c r="I174" s="1115"/>
      <c r="J174" s="1113"/>
    </row>
    <row r="175">
      <c r="A175" s="1113"/>
      <c r="B175" s="1114"/>
      <c r="C175" s="1115"/>
      <c r="D175" s="1116"/>
      <c r="E175" s="1115"/>
      <c r="F175" s="1115"/>
      <c r="G175" s="1115"/>
      <c r="H175" s="1116"/>
      <c r="I175" s="1115"/>
      <c r="J175" s="1113"/>
    </row>
    <row r="176">
      <c r="A176" s="1113"/>
      <c r="B176" s="1114"/>
      <c r="C176" s="1115"/>
      <c r="D176" s="1116"/>
      <c r="E176" s="1115"/>
      <c r="F176" s="1115"/>
      <c r="G176" s="1115"/>
      <c r="H176" s="1116"/>
      <c r="I176" s="1115"/>
      <c r="J176" s="1113"/>
    </row>
    <row r="177">
      <c r="A177" s="1113"/>
      <c r="B177" s="1114"/>
      <c r="C177" s="1115"/>
      <c r="D177" s="1116"/>
      <c r="E177" s="1115"/>
      <c r="F177" s="1115"/>
      <c r="G177" s="1115"/>
      <c r="H177" s="1116"/>
      <c r="I177" s="1115"/>
      <c r="J177" s="1113"/>
    </row>
    <row r="178">
      <c r="A178" s="1113"/>
      <c r="B178" s="1114"/>
      <c r="C178" s="1115"/>
      <c r="D178" s="1116"/>
      <c r="E178" s="1115"/>
      <c r="F178" s="1115"/>
      <c r="G178" s="1115"/>
      <c r="H178" s="1116"/>
      <c r="I178" s="1115"/>
      <c r="J178" s="1113"/>
    </row>
    <row r="179">
      <c r="A179" s="1113"/>
      <c r="B179" s="1114"/>
      <c r="C179" s="1115"/>
      <c r="D179" s="1116"/>
      <c r="E179" s="1115"/>
      <c r="F179" s="1115"/>
      <c r="G179" s="1115"/>
      <c r="H179" s="1116"/>
      <c r="I179" s="1115"/>
      <c r="J179" s="1113"/>
    </row>
    <row r="180">
      <c r="A180" s="1113"/>
      <c r="B180" s="1114"/>
      <c r="C180" s="1115"/>
      <c r="D180" s="1116"/>
      <c r="E180" s="1115"/>
      <c r="F180" s="1115"/>
      <c r="G180" s="1115"/>
      <c r="H180" s="1116"/>
      <c r="I180" s="1115"/>
      <c r="J180" s="1113"/>
    </row>
    <row r="181">
      <c r="A181" s="1113"/>
      <c r="B181" s="1114"/>
      <c r="C181" s="1115"/>
      <c r="D181" s="1116"/>
      <c r="E181" s="1115"/>
      <c r="F181" s="1115"/>
      <c r="G181" s="1115"/>
      <c r="H181" s="1116"/>
      <c r="I181" s="1115"/>
      <c r="J181" s="1113"/>
    </row>
    <row r="182">
      <c r="A182" s="1113"/>
      <c r="B182" s="1114"/>
      <c r="C182" s="1115"/>
      <c r="D182" s="1116"/>
      <c r="E182" s="1115"/>
      <c r="F182" s="1115"/>
      <c r="G182" s="1115"/>
      <c r="H182" s="1116"/>
      <c r="I182" s="1115"/>
      <c r="J182" s="1113"/>
    </row>
    <row r="183">
      <c r="A183" s="1113"/>
      <c r="B183" s="1114"/>
      <c r="C183" s="1115"/>
      <c r="D183" s="1116"/>
      <c r="E183" s="1115"/>
      <c r="F183" s="1115"/>
      <c r="G183" s="1115"/>
      <c r="H183" s="1116"/>
      <c r="I183" s="1115"/>
      <c r="J183" s="1113"/>
    </row>
    <row r="184">
      <c r="A184" s="1113"/>
      <c r="B184" s="1114"/>
      <c r="C184" s="1115"/>
      <c r="D184" s="1116"/>
      <c r="E184" s="1115"/>
      <c r="F184" s="1115"/>
      <c r="G184" s="1115"/>
      <c r="H184" s="1116"/>
      <c r="I184" s="1115"/>
      <c r="J184" s="1113"/>
    </row>
    <row r="185">
      <c r="A185" s="1113"/>
      <c r="B185" s="1114"/>
      <c r="C185" s="1115"/>
      <c r="D185" s="1116"/>
      <c r="E185" s="1115"/>
      <c r="F185" s="1115"/>
      <c r="G185" s="1115"/>
      <c r="H185" s="1116"/>
      <c r="I185" s="1115"/>
      <c r="J185" s="1113"/>
    </row>
    <row r="186">
      <c r="A186" s="1113"/>
      <c r="B186" s="1114"/>
      <c r="C186" s="1115"/>
      <c r="D186" s="1116"/>
      <c r="E186" s="1115"/>
      <c r="F186" s="1115"/>
      <c r="G186" s="1115"/>
      <c r="H186" s="1116"/>
      <c r="I186" s="1115"/>
      <c r="J186" s="1113"/>
    </row>
    <row r="187">
      <c r="A187" s="1113"/>
      <c r="B187" s="1114"/>
      <c r="C187" s="1115"/>
      <c r="D187" s="1116"/>
      <c r="E187" s="1115"/>
      <c r="F187" s="1115"/>
      <c r="G187" s="1115"/>
      <c r="H187" s="1116"/>
      <c r="I187" s="1115"/>
      <c r="J187" s="1113"/>
    </row>
    <row r="188">
      <c r="A188" s="1113"/>
      <c r="B188" s="1114"/>
      <c r="C188" s="1115"/>
      <c r="D188" s="1116"/>
      <c r="E188" s="1115"/>
      <c r="F188" s="1115"/>
      <c r="G188" s="1115"/>
      <c r="H188" s="1116"/>
      <c r="I188" s="1115"/>
      <c r="J188" s="1113"/>
    </row>
    <row r="189">
      <c r="A189" s="1113"/>
      <c r="B189" s="1114"/>
      <c r="C189" s="1115"/>
      <c r="D189" s="1116"/>
      <c r="E189" s="1115"/>
      <c r="F189" s="1115"/>
      <c r="G189" s="1115"/>
      <c r="H189" s="1116"/>
      <c r="I189" s="1115"/>
      <c r="J189" s="1113"/>
    </row>
    <row r="190">
      <c r="A190" s="1113"/>
      <c r="B190" s="1114"/>
      <c r="C190" s="1115"/>
      <c r="D190" s="1116"/>
      <c r="E190" s="1115"/>
      <c r="F190" s="1115"/>
      <c r="G190" s="1115"/>
      <c r="H190" s="1116"/>
      <c r="I190" s="1115"/>
      <c r="J190" s="1113"/>
    </row>
    <row r="191">
      <c r="A191" s="1113"/>
      <c r="B191" s="1114"/>
      <c r="C191" s="1115"/>
      <c r="D191" s="1116"/>
      <c r="E191" s="1115"/>
      <c r="F191" s="1115"/>
      <c r="G191" s="1115"/>
      <c r="H191" s="1116"/>
      <c r="I191" s="1115"/>
      <c r="J191" s="1113"/>
    </row>
    <row r="192">
      <c r="A192" s="1113"/>
      <c r="B192" s="1114"/>
      <c r="C192" s="1115"/>
      <c r="D192" s="1116"/>
      <c r="E192" s="1115"/>
      <c r="F192" s="1115"/>
      <c r="G192" s="1115"/>
      <c r="H192" s="1116"/>
      <c r="I192" s="1115"/>
      <c r="J192" s="1113"/>
    </row>
    <row r="193">
      <c r="A193" s="1113"/>
      <c r="B193" s="1114"/>
      <c r="C193" s="1115"/>
      <c r="D193" s="1116"/>
      <c r="E193" s="1115"/>
      <c r="F193" s="1115"/>
      <c r="G193" s="1115"/>
      <c r="H193" s="1116"/>
      <c r="I193" s="1115"/>
      <c r="J193" s="1113"/>
    </row>
    <row r="194">
      <c r="A194" s="1113"/>
      <c r="B194" s="1114"/>
      <c r="C194" s="1115"/>
      <c r="D194" s="1116"/>
      <c r="E194" s="1115"/>
      <c r="F194" s="1115"/>
      <c r="G194" s="1115"/>
      <c r="H194" s="1116"/>
      <c r="I194" s="1115"/>
      <c r="J194" s="1113"/>
    </row>
    <row r="195">
      <c r="A195" s="1113"/>
      <c r="B195" s="1114"/>
      <c r="C195" s="1115"/>
      <c r="D195" s="1116"/>
      <c r="E195" s="1115"/>
      <c r="F195" s="1115"/>
      <c r="G195" s="1115"/>
      <c r="H195" s="1116"/>
      <c r="I195" s="1115"/>
      <c r="J195" s="1113"/>
    </row>
    <row r="196">
      <c r="A196" s="1113"/>
      <c r="B196" s="1114"/>
      <c r="C196" s="1115"/>
      <c r="D196" s="1116"/>
      <c r="E196" s="1115"/>
      <c r="F196" s="1115"/>
      <c r="G196" s="1115"/>
      <c r="H196" s="1116"/>
      <c r="I196" s="1115"/>
      <c r="J196" s="1113"/>
    </row>
    <row r="197">
      <c r="A197" s="1113"/>
      <c r="B197" s="1114"/>
      <c r="C197" s="1115"/>
      <c r="D197" s="1116"/>
      <c r="E197" s="1115"/>
      <c r="F197" s="1115"/>
      <c r="G197" s="1115"/>
      <c r="H197" s="1116"/>
      <c r="I197" s="1115"/>
      <c r="J197" s="1113"/>
    </row>
    <row r="198">
      <c r="A198" s="1113"/>
      <c r="B198" s="1114"/>
      <c r="C198" s="1115"/>
      <c r="D198" s="1116"/>
      <c r="E198" s="1115"/>
      <c r="F198" s="1115"/>
      <c r="G198" s="1115"/>
      <c r="H198" s="1116"/>
      <c r="I198" s="1115"/>
      <c r="J198" s="1113"/>
    </row>
    <row r="199">
      <c r="A199" s="1113"/>
      <c r="B199" s="1114"/>
      <c r="C199" s="1115"/>
      <c r="D199" s="1116"/>
      <c r="E199" s="1115"/>
      <c r="F199" s="1115"/>
      <c r="G199" s="1115"/>
      <c r="H199" s="1116"/>
      <c r="I199" s="1115"/>
      <c r="J199" s="1113"/>
    </row>
    <row r="200">
      <c r="A200" s="1113"/>
      <c r="B200" s="1114"/>
      <c r="C200" s="1115"/>
      <c r="D200" s="1116"/>
      <c r="E200" s="1115"/>
      <c r="F200" s="1115"/>
      <c r="G200" s="1115"/>
      <c r="H200" s="1116"/>
      <c r="I200" s="1115"/>
      <c r="J200" s="1113"/>
    </row>
    <row r="201">
      <c r="A201" s="1113"/>
      <c r="B201" s="1114"/>
      <c r="C201" s="1115"/>
      <c r="D201" s="1116"/>
      <c r="E201" s="1115"/>
      <c r="F201" s="1115"/>
      <c r="G201" s="1115"/>
      <c r="H201" s="1116"/>
      <c r="I201" s="1115"/>
      <c r="J201" s="1113"/>
    </row>
    <row r="202">
      <c r="A202" s="1113"/>
      <c r="B202" s="1114"/>
      <c r="C202" s="1115"/>
      <c r="D202" s="1116"/>
      <c r="E202" s="1115"/>
      <c r="F202" s="1115"/>
      <c r="G202" s="1115"/>
      <c r="H202" s="1116"/>
      <c r="I202" s="1115"/>
      <c r="J202" s="1113"/>
    </row>
    <row r="203">
      <c r="A203" s="1113"/>
      <c r="B203" s="1114"/>
      <c r="C203" s="1115"/>
      <c r="D203" s="1116"/>
      <c r="E203" s="1115"/>
      <c r="F203" s="1115"/>
      <c r="G203" s="1115"/>
      <c r="H203" s="1116"/>
      <c r="I203" s="1115"/>
      <c r="J203" s="1113"/>
    </row>
    <row r="204">
      <c r="A204" s="1113"/>
      <c r="B204" s="1114"/>
      <c r="C204" s="1115"/>
      <c r="D204" s="1116"/>
      <c r="E204" s="1115"/>
      <c r="F204" s="1115"/>
      <c r="G204" s="1115"/>
      <c r="H204" s="1116"/>
      <c r="I204" s="1115"/>
      <c r="J204" s="1113"/>
    </row>
    <row r="205">
      <c r="A205" s="1113"/>
      <c r="B205" s="1114"/>
      <c r="C205" s="1115"/>
      <c r="D205" s="1116"/>
      <c r="E205" s="1115"/>
      <c r="F205" s="1115"/>
      <c r="G205" s="1115"/>
      <c r="H205" s="1116"/>
      <c r="I205" s="1115"/>
      <c r="J205" s="1113"/>
    </row>
    <row r="206">
      <c r="A206" s="1113"/>
      <c r="B206" s="1114"/>
      <c r="C206" s="1115"/>
      <c r="D206" s="1116"/>
      <c r="E206" s="1115"/>
      <c r="F206" s="1115"/>
      <c r="G206" s="1115"/>
      <c r="H206" s="1116"/>
      <c r="I206" s="1115"/>
      <c r="J206" s="1113"/>
    </row>
    <row r="207">
      <c r="A207" s="1113"/>
      <c r="B207" s="1114"/>
      <c r="C207" s="1115"/>
      <c r="D207" s="1116"/>
      <c r="E207" s="1115"/>
      <c r="F207" s="1115"/>
      <c r="G207" s="1115"/>
      <c r="H207" s="1116"/>
      <c r="I207" s="1115"/>
      <c r="J207" s="1113"/>
    </row>
    <row r="208">
      <c r="A208" s="1113"/>
      <c r="B208" s="1114"/>
      <c r="C208" s="1115"/>
      <c r="D208" s="1116"/>
      <c r="E208" s="1115"/>
      <c r="F208" s="1115"/>
      <c r="G208" s="1115"/>
      <c r="H208" s="1116"/>
      <c r="I208" s="1115"/>
      <c r="J208" s="1113"/>
    </row>
    <row r="209">
      <c r="A209" s="1113"/>
      <c r="B209" s="1114"/>
      <c r="C209" s="1115"/>
      <c r="D209" s="1116"/>
      <c r="E209" s="1115"/>
      <c r="F209" s="1115"/>
      <c r="G209" s="1115"/>
      <c r="H209" s="1116"/>
      <c r="I209" s="1115"/>
      <c r="J209" s="1113"/>
    </row>
    <row r="210">
      <c r="A210" s="1113"/>
      <c r="B210" s="1114"/>
      <c r="C210" s="1115"/>
      <c r="D210" s="1116"/>
      <c r="E210" s="1115"/>
      <c r="F210" s="1115"/>
      <c r="G210" s="1115"/>
      <c r="H210" s="1116"/>
      <c r="I210" s="1115"/>
      <c r="J210" s="1113"/>
    </row>
    <row r="211">
      <c r="A211" s="1113"/>
      <c r="B211" s="1114"/>
      <c r="C211" s="1115"/>
      <c r="D211" s="1116"/>
      <c r="E211" s="1115"/>
      <c r="F211" s="1115"/>
      <c r="G211" s="1115"/>
      <c r="H211" s="1116"/>
      <c r="I211" s="1115"/>
      <c r="J211" s="1113"/>
    </row>
    <row r="212">
      <c r="A212" s="1113"/>
      <c r="B212" s="1114"/>
      <c r="C212" s="1115"/>
      <c r="D212" s="1116"/>
      <c r="E212" s="1115"/>
      <c r="F212" s="1115"/>
      <c r="G212" s="1115"/>
      <c r="H212" s="1116"/>
      <c r="I212" s="1115"/>
      <c r="J212" s="1113"/>
    </row>
    <row r="213">
      <c r="A213" s="1113"/>
      <c r="B213" s="1114"/>
      <c r="C213" s="1115"/>
      <c r="D213" s="1116"/>
      <c r="E213" s="1115"/>
      <c r="F213" s="1115"/>
      <c r="G213" s="1115"/>
      <c r="H213" s="1116"/>
      <c r="I213" s="1115"/>
      <c r="J213" s="1113"/>
    </row>
    <row r="214">
      <c r="A214" s="1113"/>
      <c r="B214" s="1114"/>
      <c r="C214" s="1115"/>
      <c r="D214" s="1116"/>
      <c r="E214" s="1115"/>
      <c r="F214" s="1115"/>
      <c r="G214" s="1115"/>
      <c r="H214" s="1116"/>
      <c r="I214" s="1115"/>
      <c r="J214" s="1113"/>
    </row>
    <row r="215">
      <c r="A215" s="1113"/>
      <c r="B215" s="1114"/>
      <c r="C215" s="1115"/>
      <c r="D215" s="1116"/>
      <c r="E215" s="1115"/>
      <c r="F215" s="1115"/>
      <c r="G215" s="1115"/>
      <c r="H215" s="1116"/>
      <c r="I215" s="1115"/>
      <c r="J215" s="1113"/>
    </row>
    <row r="216">
      <c r="A216" s="1113"/>
      <c r="B216" s="1114"/>
      <c r="C216" s="1115"/>
      <c r="D216" s="1116"/>
      <c r="E216" s="1115"/>
      <c r="F216" s="1115"/>
      <c r="G216" s="1115"/>
      <c r="H216" s="1116"/>
      <c r="I216" s="1115"/>
      <c r="J216" s="1113"/>
    </row>
    <row r="217">
      <c r="A217" s="1113"/>
      <c r="B217" s="1114"/>
      <c r="C217" s="1115"/>
      <c r="D217" s="1116"/>
      <c r="E217" s="1115"/>
      <c r="F217" s="1115"/>
      <c r="G217" s="1115"/>
      <c r="H217" s="1116"/>
      <c r="I217" s="1115"/>
      <c r="J217" s="1113"/>
    </row>
    <row r="218">
      <c r="A218" s="1113"/>
      <c r="B218" s="1114"/>
      <c r="C218" s="1115"/>
      <c r="D218" s="1116"/>
      <c r="E218" s="1115"/>
      <c r="F218" s="1115"/>
      <c r="G218" s="1115"/>
      <c r="H218" s="1116"/>
      <c r="I218" s="1115"/>
      <c r="J218" s="1113"/>
    </row>
    <row r="219">
      <c r="A219" s="1113"/>
      <c r="B219" s="1114"/>
      <c r="C219" s="1115"/>
      <c r="D219" s="1116"/>
      <c r="E219" s="1115"/>
      <c r="F219" s="1115"/>
      <c r="G219" s="1115"/>
      <c r="H219" s="1116"/>
      <c r="I219" s="1115"/>
      <c r="J219" s="1113"/>
    </row>
    <row r="220">
      <c r="A220" s="1113"/>
      <c r="B220" s="1114"/>
      <c r="C220" s="1115"/>
      <c r="D220" s="1116"/>
      <c r="E220" s="1115"/>
      <c r="F220" s="1115"/>
      <c r="G220" s="1115"/>
      <c r="H220" s="1116"/>
      <c r="I220" s="1115"/>
      <c r="J220" s="1113"/>
    </row>
    <row r="221">
      <c r="A221" s="1113"/>
      <c r="B221" s="1114"/>
      <c r="C221" s="1115"/>
      <c r="D221" s="1116"/>
      <c r="E221" s="1115"/>
      <c r="F221" s="1115"/>
      <c r="G221" s="1115"/>
      <c r="H221" s="1116"/>
      <c r="I221" s="1115"/>
      <c r="J221" s="1113"/>
    </row>
    <row r="222">
      <c r="A222" s="1113"/>
      <c r="B222" s="1114"/>
      <c r="C222" s="1115"/>
      <c r="D222" s="1116"/>
      <c r="E222" s="1115"/>
      <c r="F222" s="1115"/>
      <c r="G222" s="1115"/>
      <c r="H222" s="1116"/>
      <c r="I222" s="1115"/>
      <c r="J222" s="1113"/>
    </row>
    <row r="223">
      <c r="A223" s="1113"/>
      <c r="B223" s="1114"/>
      <c r="C223" s="1115"/>
      <c r="D223" s="1116"/>
      <c r="E223" s="1115"/>
      <c r="F223" s="1115"/>
      <c r="G223" s="1115"/>
      <c r="H223" s="1116"/>
      <c r="I223" s="1115"/>
      <c r="J223" s="1113"/>
    </row>
    <row r="224">
      <c r="A224" s="1113"/>
      <c r="B224" s="1114"/>
      <c r="C224" s="1115"/>
      <c r="D224" s="1116"/>
      <c r="E224" s="1115"/>
      <c r="F224" s="1115"/>
      <c r="G224" s="1115"/>
      <c r="H224" s="1116"/>
      <c r="I224" s="1115"/>
      <c r="J224" s="1113"/>
    </row>
    <row r="225">
      <c r="A225" s="1113"/>
      <c r="B225" s="1114"/>
      <c r="C225" s="1115"/>
      <c r="D225" s="1116"/>
      <c r="E225" s="1115"/>
      <c r="F225" s="1115"/>
      <c r="G225" s="1115"/>
      <c r="H225" s="1116"/>
      <c r="I225" s="1115"/>
      <c r="J225" s="1113"/>
    </row>
    <row r="226">
      <c r="A226" s="1113"/>
      <c r="B226" s="1114"/>
      <c r="C226" s="1115"/>
      <c r="D226" s="1116"/>
      <c r="E226" s="1115"/>
      <c r="F226" s="1115"/>
      <c r="G226" s="1115"/>
      <c r="H226" s="1116"/>
      <c r="I226" s="1115"/>
      <c r="J226" s="1113"/>
    </row>
    <row r="227">
      <c r="A227" s="1113"/>
      <c r="B227" s="1114"/>
      <c r="C227" s="1115"/>
      <c r="D227" s="1116"/>
      <c r="E227" s="1115"/>
      <c r="F227" s="1115"/>
      <c r="G227" s="1115"/>
      <c r="H227" s="1116"/>
      <c r="I227" s="1115"/>
      <c r="J227" s="1113"/>
    </row>
    <row r="228">
      <c r="A228" s="1113"/>
      <c r="B228" s="1114"/>
      <c r="C228" s="1115"/>
      <c r="D228" s="1116"/>
      <c r="E228" s="1115"/>
      <c r="F228" s="1115"/>
      <c r="G228" s="1115"/>
      <c r="H228" s="1116"/>
      <c r="I228" s="1115"/>
      <c r="J228" s="1113"/>
    </row>
    <row r="229">
      <c r="A229" s="1113"/>
      <c r="B229" s="1114"/>
      <c r="C229" s="1115"/>
      <c r="D229" s="1116"/>
      <c r="E229" s="1115"/>
      <c r="F229" s="1115"/>
      <c r="G229" s="1115"/>
      <c r="H229" s="1116"/>
      <c r="I229" s="1115"/>
      <c r="J229" s="1113"/>
    </row>
    <row r="230">
      <c r="A230" s="1113"/>
      <c r="B230" s="1114"/>
      <c r="C230" s="1115"/>
      <c r="D230" s="1116"/>
      <c r="E230" s="1115"/>
      <c r="F230" s="1115"/>
      <c r="G230" s="1115"/>
      <c r="H230" s="1116"/>
      <c r="I230" s="1115"/>
      <c r="J230" s="1113"/>
    </row>
    <row r="231">
      <c r="A231" s="1113"/>
      <c r="B231" s="1114"/>
      <c r="C231" s="1115"/>
      <c r="D231" s="1116"/>
      <c r="E231" s="1115"/>
      <c r="F231" s="1115"/>
      <c r="G231" s="1115"/>
      <c r="H231" s="1116"/>
      <c r="I231" s="1115"/>
      <c r="J231" s="1113"/>
    </row>
    <row r="232">
      <c r="A232" s="1113"/>
      <c r="B232" s="1114"/>
      <c r="C232" s="1115"/>
      <c r="D232" s="1116"/>
      <c r="E232" s="1115"/>
      <c r="F232" s="1115"/>
      <c r="G232" s="1115"/>
      <c r="H232" s="1116"/>
      <c r="I232" s="1115"/>
      <c r="J232" s="1113"/>
    </row>
    <row r="233">
      <c r="A233" s="1113"/>
      <c r="B233" s="1114"/>
      <c r="C233" s="1115"/>
      <c r="D233" s="1116"/>
      <c r="E233" s="1115"/>
      <c r="F233" s="1115"/>
      <c r="G233" s="1115"/>
      <c r="H233" s="1116"/>
      <c r="I233" s="1115"/>
      <c r="J233" s="1113"/>
    </row>
    <row r="234">
      <c r="A234" s="1113"/>
      <c r="B234" s="1114"/>
      <c r="C234" s="1115"/>
      <c r="D234" s="1116"/>
      <c r="E234" s="1115"/>
      <c r="F234" s="1115"/>
      <c r="G234" s="1115"/>
      <c r="H234" s="1116"/>
      <c r="I234" s="1115"/>
      <c r="J234" s="1113"/>
    </row>
    <row r="235">
      <c r="A235" s="1113"/>
      <c r="B235" s="1114"/>
      <c r="C235" s="1115"/>
      <c r="D235" s="1116"/>
      <c r="E235" s="1115"/>
      <c r="F235" s="1115"/>
      <c r="G235" s="1115"/>
      <c r="H235" s="1116"/>
      <c r="I235" s="1115"/>
      <c r="J235" s="1113"/>
    </row>
    <row r="236">
      <c r="A236" s="1113"/>
      <c r="B236" s="1114"/>
      <c r="C236" s="1115"/>
      <c r="D236" s="1116"/>
      <c r="E236" s="1115"/>
      <c r="F236" s="1115"/>
      <c r="G236" s="1115"/>
      <c r="H236" s="1116"/>
      <c r="I236" s="1115"/>
      <c r="J236" s="1113"/>
    </row>
    <row r="237">
      <c r="A237" s="1113"/>
      <c r="B237" s="1114"/>
      <c r="C237" s="1115"/>
      <c r="D237" s="1116"/>
      <c r="E237" s="1115"/>
      <c r="F237" s="1115"/>
      <c r="G237" s="1115"/>
      <c r="H237" s="1116"/>
      <c r="I237" s="1115"/>
      <c r="J237" s="1113"/>
    </row>
    <row r="238">
      <c r="A238" s="1113"/>
      <c r="B238" s="1114"/>
      <c r="C238" s="1115"/>
      <c r="D238" s="1116"/>
      <c r="E238" s="1115"/>
      <c r="F238" s="1115"/>
      <c r="G238" s="1115"/>
      <c r="H238" s="1116"/>
      <c r="I238" s="1115"/>
      <c r="J238" s="1113"/>
    </row>
    <row r="239">
      <c r="A239" s="1113"/>
      <c r="B239" s="1114"/>
      <c r="C239" s="1115"/>
      <c r="D239" s="1116"/>
      <c r="E239" s="1115"/>
      <c r="F239" s="1115"/>
      <c r="G239" s="1115"/>
      <c r="H239" s="1116"/>
      <c r="I239" s="1115"/>
      <c r="J239" s="1113"/>
    </row>
    <row r="240">
      <c r="A240" s="1113"/>
      <c r="B240" s="1114"/>
      <c r="C240" s="1115"/>
      <c r="D240" s="1116"/>
      <c r="E240" s="1115"/>
      <c r="F240" s="1115"/>
      <c r="G240" s="1115"/>
      <c r="H240" s="1116"/>
      <c r="I240" s="1115"/>
      <c r="J240" s="1113"/>
    </row>
    <row r="241">
      <c r="A241" s="1113"/>
      <c r="B241" s="1114"/>
      <c r="C241" s="1115"/>
      <c r="D241" s="1116"/>
      <c r="E241" s="1115"/>
      <c r="F241" s="1115"/>
      <c r="G241" s="1115"/>
      <c r="H241" s="1116"/>
      <c r="I241" s="1115"/>
      <c r="J241" s="1113"/>
    </row>
    <row r="242">
      <c r="A242" s="1113"/>
      <c r="B242" s="1114"/>
      <c r="C242" s="1115"/>
      <c r="D242" s="1116"/>
      <c r="E242" s="1115"/>
      <c r="F242" s="1115"/>
      <c r="G242" s="1115"/>
      <c r="H242" s="1116"/>
      <c r="I242" s="1115"/>
      <c r="J242" s="1113"/>
    </row>
    <row r="243">
      <c r="A243" s="1113"/>
      <c r="B243" s="1114"/>
      <c r="C243" s="1115"/>
      <c r="D243" s="1116"/>
      <c r="E243" s="1115"/>
      <c r="F243" s="1115"/>
      <c r="G243" s="1115"/>
      <c r="H243" s="1116"/>
      <c r="I243" s="1115"/>
      <c r="J243" s="1113"/>
    </row>
    <row r="244">
      <c r="A244" s="1113"/>
      <c r="B244" s="1114"/>
      <c r="C244" s="1115"/>
      <c r="D244" s="1116"/>
      <c r="E244" s="1115"/>
      <c r="F244" s="1115"/>
      <c r="G244" s="1115"/>
      <c r="H244" s="1116"/>
      <c r="I244" s="1115"/>
      <c r="J244" s="1113"/>
    </row>
    <row r="245">
      <c r="A245" s="1113"/>
      <c r="B245" s="1114"/>
      <c r="C245" s="1115"/>
      <c r="D245" s="1116"/>
      <c r="E245" s="1115"/>
      <c r="F245" s="1115"/>
      <c r="G245" s="1115"/>
      <c r="H245" s="1116"/>
      <c r="I245" s="1115"/>
      <c r="J245" s="1113"/>
    </row>
    <row r="246">
      <c r="A246" s="1113"/>
      <c r="B246" s="1114"/>
      <c r="C246" s="1115"/>
      <c r="D246" s="1116"/>
      <c r="E246" s="1115"/>
      <c r="F246" s="1115"/>
      <c r="G246" s="1115"/>
      <c r="H246" s="1116"/>
      <c r="I246" s="1115"/>
      <c r="J246" s="1113"/>
    </row>
    <row r="247">
      <c r="A247" s="1113"/>
      <c r="B247" s="1114"/>
      <c r="C247" s="1115"/>
      <c r="D247" s="1116"/>
      <c r="E247" s="1115"/>
      <c r="F247" s="1115"/>
      <c r="G247" s="1115"/>
      <c r="H247" s="1116"/>
      <c r="I247" s="1115"/>
      <c r="J247" s="1113"/>
    </row>
    <row r="248">
      <c r="A248" s="1113"/>
      <c r="B248" s="1114"/>
      <c r="C248" s="1115"/>
      <c r="D248" s="1116"/>
      <c r="E248" s="1115"/>
      <c r="F248" s="1115"/>
      <c r="G248" s="1115"/>
      <c r="H248" s="1116"/>
      <c r="I248" s="1115"/>
      <c r="J248" s="1113"/>
    </row>
    <row r="249">
      <c r="A249" s="1113"/>
      <c r="B249" s="1114"/>
      <c r="C249" s="1115"/>
      <c r="D249" s="1116"/>
      <c r="E249" s="1115"/>
      <c r="F249" s="1115"/>
      <c r="G249" s="1115"/>
      <c r="H249" s="1116"/>
      <c r="I249" s="1115"/>
      <c r="J249" s="1113"/>
    </row>
    <row r="250">
      <c r="A250" s="1113"/>
      <c r="B250" s="1114"/>
      <c r="C250" s="1115"/>
      <c r="D250" s="1116"/>
      <c r="E250" s="1115"/>
      <c r="F250" s="1115"/>
      <c r="G250" s="1115"/>
      <c r="H250" s="1116"/>
      <c r="I250" s="1115"/>
      <c r="J250" s="1113"/>
    </row>
    <row r="251">
      <c r="A251" s="1113"/>
      <c r="B251" s="1114"/>
      <c r="C251" s="1115"/>
      <c r="D251" s="1116"/>
      <c r="E251" s="1115"/>
      <c r="F251" s="1115"/>
      <c r="G251" s="1115"/>
      <c r="H251" s="1116"/>
      <c r="I251" s="1115"/>
      <c r="J251" s="1113"/>
    </row>
    <row r="252">
      <c r="A252" s="1113"/>
      <c r="B252" s="1114"/>
      <c r="C252" s="1115"/>
      <c r="D252" s="1116"/>
      <c r="E252" s="1115"/>
      <c r="F252" s="1115"/>
      <c r="G252" s="1115"/>
      <c r="H252" s="1116"/>
      <c r="I252" s="1115"/>
      <c r="J252" s="1113"/>
    </row>
    <row r="253">
      <c r="A253" s="1113"/>
      <c r="B253" s="1114"/>
      <c r="C253" s="1115"/>
      <c r="D253" s="1116"/>
      <c r="E253" s="1115"/>
      <c r="F253" s="1115"/>
      <c r="G253" s="1115"/>
      <c r="H253" s="1116"/>
      <c r="I253" s="1115"/>
      <c r="J253" s="1113"/>
    </row>
    <row r="254">
      <c r="A254" s="1113"/>
      <c r="B254" s="1114"/>
      <c r="C254" s="1115"/>
      <c r="D254" s="1116"/>
      <c r="E254" s="1115"/>
      <c r="F254" s="1115"/>
      <c r="G254" s="1115"/>
      <c r="H254" s="1116"/>
      <c r="I254" s="1115"/>
      <c r="J254" s="1113"/>
    </row>
    <row r="255">
      <c r="A255" s="1113"/>
      <c r="B255" s="1114"/>
      <c r="C255" s="1115"/>
      <c r="D255" s="1116"/>
      <c r="E255" s="1115"/>
      <c r="F255" s="1115"/>
      <c r="G255" s="1115"/>
      <c r="H255" s="1116"/>
      <c r="I255" s="1115"/>
      <c r="J255" s="1113"/>
    </row>
    <row r="256">
      <c r="A256" s="1113"/>
      <c r="B256" s="1114"/>
      <c r="C256" s="1115"/>
      <c r="D256" s="1116"/>
      <c r="E256" s="1115"/>
      <c r="F256" s="1115"/>
      <c r="G256" s="1115"/>
      <c r="H256" s="1116"/>
      <c r="I256" s="1115"/>
      <c r="J256" s="1113"/>
    </row>
    <row r="257">
      <c r="A257" s="1113"/>
      <c r="B257" s="1114"/>
      <c r="C257" s="1115"/>
      <c r="D257" s="1116"/>
      <c r="E257" s="1115"/>
      <c r="F257" s="1115"/>
      <c r="G257" s="1115"/>
      <c r="H257" s="1116"/>
      <c r="I257" s="1115"/>
      <c r="J257" s="1113"/>
    </row>
    <row r="258">
      <c r="A258" s="1113"/>
      <c r="B258" s="1114"/>
      <c r="C258" s="1115"/>
      <c r="D258" s="1116"/>
      <c r="E258" s="1115"/>
      <c r="F258" s="1115"/>
      <c r="G258" s="1115"/>
      <c r="H258" s="1116"/>
      <c r="I258" s="1115"/>
      <c r="J258" s="1113"/>
    </row>
    <row r="259">
      <c r="A259" s="1113"/>
      <c r="B259" s="1114"/>
      <c r="C259" s="1115"/>
      <c r="D259" s="1116"/>
      <c r="E259" s="1115"/>
      <c r="F259" s="1115"/>
      <c r="G259" s="1115"/>
      <c r="H259" s="1116"/>
      <c r="I259" s="1115"/>
      <c r="J259" s="1113"/>
    </row>
    <row r="260">
      <c r="A260" s="1113"/>
      <c r="B260" s="1114"/>
      <c r="C260" s="1115"/>
      <c r="D260" s="1116"/>
      <c r="E260" s="1115"/>
      <c r="F260" s="1115"/>
      <c r="G260" s="1115"/>
      <c r="H260" s="1116"/>
      <c r="I260" s="1115"/>
      <c r="J260" s="1113"/>
    </row>
    <row r="261">
      <c r="A261" s="1113"/>
      <c r="B261" s="1114"/>
      <c r="C261" s="1115"/>
      <c r="D261" s="1116"/>
      <c r="E261" s="1115"/>
      <c r="F261" s="1115"/>
      <c r="G261" s="1115"/>
      <c r="H261" s="1116"/>
      <c r="I261" s="1115"/>
      <c r="J261" s="1113"/>
    </row>
    <row r="262">
      <c r="A262" s="1113"/>
      <c r="B262" s="1114"/>
      <c r="C262" s="1115"/>
      <c r="D262" s="1116"/>
      <c r="E262" s="1115"/>
      <c r="F262" s="1115"/>
      <c r="G262" s="1115"/>
      <c r="H262" s="1116"/>
      <c r="I262" s="1115"/>
      <c r="J262" s="1113"/>
    </row>
    <row r="263">
      <c r="A263" s="1113"/>
      <c r="B263" s="1114"/>
      <c r="C263" s="1115"/>
      <c r="D263" s="1116"/>
      <c r="E263" s="1115"/>
      <c r="F263" s="1115"/>
      <c r="G263" s="1115"/>
      <c r="H263" s="1116"/>
      <c r="I263" s="1115"/>
      <c r="J263" s="1113"/>
    </row>
    <row r="264">
      <c r="A264" s="1113"/>
      <c r="B264" s="1114"/>
      <c r="C264" s="1115"/>
      <c r="D264" s="1116"/>
      <c r="E264" s="1115"/>
      <c r="F264" s="1115"/>
      <c r="G264" s="1115"/>
      <c r="H264" s="1116"/>
      <c r="I264" s="1115"/>
      <c r="J264" s="1113"/>
    </row>
    <row r="265">
      <c r="A265" s="1113"/>
      <c r="B265" s="1114"/>
      <c r="C265" s="1115"/>
      <c r="D265" s="1116"/>
      <c r="E265" s="1115"/>
      <c r="F265" s="1115"/>
      <c r="G265" s="1115"/>
      <c r="H265" s="1116"/>
      <c r="I265" s="1115"/>
      <c r="J265" s="1113"/>
    </row>
    <row r="266">
      <c r="A266" s="1113"/>
      <c r="B266" s="1114"/>
      <c r="C266" s="1115"/>
      <c r="D266" s="1116"/>
      <c r="E266" s="1115"/>
      <c r="F266" s="1115"/>
      <c r="G266" s="1115"/>
      <c r="H266" s="1116"/>
      <c r="I266" s="1115"/>
      <c r="J266" s="1113"/>
    </row>
    <row r="267">
      <c r="A267" s="1113"/>
      <c r="B267" s="1114"/>
      <c r="C267" s="1115"/>
      <c r="D267" s="1116"/>
      <c r="E267" s="1115"/>
      <c r="F267" s="1115"/>
      <c r="G267" s="1115"/>
      <c r="H267" s="1116"/>
      <c r="I267" s="1115"/>
      <c r="J267" s="1113"/>
    </row>
    <row r="268">
      <c r="A268" s="1113"/>
      <c r="B268" s="1114"/>
      <c r="C268" s="1115"/>
      <c r="D268" s="1116"/>
      <c r="E268" s="1115"/>
      <c r="F268" s="1115"/>
      <c r="G268" s="1115"/>
      <c r="H268" s="1116"/>
      <c r="I268" s="1115"/>
      <c r="J268" s="1113"/>
    </row>
    <row r="269">
      <c r="A269" s="1113"/>
      <c r="B269" s="1114"/>
      <c r="C269" s="1115"/>
      <c r="D269" s="1116"/>
      <c r="E269" s="1115"/>
      <c r="F269" s="1115"/>
      <c r="G269" s="1115"/>
      <c r="H269" s="1116"/>
      <c r="I269" s="1115"/>
      <c r="J269" s="1113"/>
    </row>
    <row r="270">
      <c r="A270" s="1113"/>
      <c r="B270" s="1114"/>
      <c r="C270" s="1115"/>
      <c r="D270" s="1116"/>
      <c r="E270" s="1115"/>
      <c r="F270" s="1115"/>
      <c r="G270" s="1115"/>
      <c r="H270" s="1116"/>
      <c r="I270" s="1115"/>
      <c r="J270" s="1113"/>
    </row>
    <row r="271">
      <c r="A271" s="1113"/>
      <c r="B271" s="1114"/>
      <c r="C271" s="1115"/>
      <c r="D271" s="1116"/>
      <c r="E271" s="1115"/>
      <c r="F271" s="1115"/>
      <c r="G271" s="1115"/>
      <c r="H271" s="1116"/>
      <c r="I271" s="1115"/>
      <c r="J271" s="1113"/>
    </row>
    <row r="272">
      <c r="A272" s="1113"/>
      <c r="B272" s="1114"/>
      <c r="C272" s="1115"/>
      <c r="D272" s="1116"/>
      <c r="E272" s="1115"/>
      <c r="F272" s="1115"/>
      <c r="G272" s="1115"/>
      <c r="H272" s="1116"/>
      <c r="I272" s="1115"/>
      <c r="J272" s="1113"/>
    </row>
    <row r="273">
      <c r="A273" s="1113"/>
      <c r="B273" s="1114"/>
      <c r="C273" s="1115"/>
      <c r="D273" s="1116"/>
      <c r="E273" s="1115"/>
      <c r="F273" s="1115"/>
      <c r="G273" s="1115"/>
      <c r="H273" s="1116"/>
      <c r="I273" s="1115"/>
      <c r="J273" s="1113"/>
    </row>
    <row r="274">
      <c r="A274" s="1113"/>
      <c r="B274" s="1114"/>
      <c r="C274" s="1115"/>
      <c r="D274" s="1116"/>
      <c r="E274" s="1115"/>
      <c r="F274" s="1115"/>
      <c r="G274" s="1115"/>
      <c r="H274" s="1116"/>
      <c r="I274" s="1115"/>
      <c r="J274" s="1113"/>
    </row>
    <row r="275">
      <c r="A275" s="1113"/>
      <c r="B275" s="1114"/>
      <c r="C275" s="1115"/>
      <c r="D275" s="1116"/>
      <c r="E275" s="1115"/>
      <c r="F275" s="1115"/>
      <c r="G275" s="1115"/>
      <c r="H275" s="1116"/>
      <c r="I275" s="1115"/>
      <c r="J275" s="1113"/>
    </row>
    <row r="276">
      <c r="A276" s="1113"/>
      <c r="B276" s="1114"/>
      <c r="C276" s="1115"/>
      <c r="D276" s="1116"/>
      <c r="E276" s="1115"/>
      <c r="F276" s="1115"/>
      <c r="G276" s="1115"/>
      <c r="H276" s="1116"/>
      <c r="I276" s="1115"/>
      <c r="J276" s="1113"/>
    </row>
    <row r="277">
      <c r="A277" s="1113"/>
      <c r="B277" s="1114"/>
      <c r="C277" s="1115"/>
      <c r="D277" s="1116"/>
      <c r="E277" s="1115"/>
      <c r="F277" s="1115"/>
      <c r="G277" s="1115"/>
      <c r="H277" s="1116"/>
      <c r="I277" s="1115"/>
      <c r="J277" s="1113"/>
    </row>
    <row r="278">
      <c r="A278" s="1113"/>
      <c r="B278" s="1114"/>
      <c r="C278" s="1115"/>
      <c r="D278" s="1116"/>
      <c r="E278" s="1115"/>
      <c r="F278" s="1115"/>
      <c r="G278" s="1115"/>
      <c r="H278" s="1116"/>
      <c r="I278" s="1115"/>
      <c r="J278" s="1113"/>
    </row>
    <row r="279">
      <c r="A279" s="1113"/>
      <c r="B279" s="1114"/>
      <c r="C279" s="1115"/>
      <c r="D279" s="1116"/>
      <c r="E279" s="1115"/>
      <c r="F279" s="1115"/>
      <c r="G279" s="1115"/>
      <c r="H279" s="1116"/>
      <c r="I279" s="1115"/>
      <c r="J279" s="1113"/>
    </row>
    <row r="280">
      <c r="A280" s="1113"/>
      <c r="B280" s="1114"/>
      <c r="C280" s="1115"/>
      <c r="D280" s="1116"/>
      <c r="E280" s="1115"/>
      <c r="F280" s="1115"/>
      <c r="G280" s="1115"/>
      <c r="H280" s="1116"/>
      <c r="I280" s="1115"/>
      <c r="J280" s="1113"/>
    </row>
    <row r="281">
      <c r="A281" s="1113"/>
      <c r="B281" s="1114"/>
      <c r="C281" s="1115"/>
      <c r="D281" s="1116"/>
      <c r="E281" s="1115"/>
      <c r="F281" s="1115"/>
      <c r="G281" s="1115"/>
      <c r="H281" s="1116"/>
      <c r="I281" s="1115"/>
      <c r="J281" s="1113"/>
    </row>
    <row r="282">
      <c r="A282" s="1113"/>
      <c r="B282" s="1114"/>
      <c r="C282" s="1115"/>
      <c r="D282" s="1116"/>
      <c r="E282" s="1115"/>
      <c r="F282" s="1115"/>
      <c r="G282" s="1115"/>
      <c r="H282" s="1116"/>
      <c r="I282" s="1115"/>
      <c r="J282" s="1113"/>
    </row>
    <row r="283">
      <c r="A283" s="1113"/>
      <c r="B283" s="1114"/>
      <c r="C283" s="1115"/>
      <c r="D283" s="1116"/>
      <c r="E283" s="1115"/>
      <c r="F283" s="1115"/>
      <c r="G283" s="1115"/>
      <c r="H283" s="1116"/>
      <c r="I283" s="1115"/>
      <c r="J283" s="1113"/>
    </row>
    <row r="284">
      <c r="A284" s="1113"/>
      <c r="B284" s="1114"/>
      <c r="C284" s="1115"/>
      <c r="D284" s="1116"/>
      <c r="E284" s="1115"/>
      <c r="F284" s="1115"/>
      <c r="G284" s="1115"/>
      <c r="H284" s="1116"/>
      <c r="I284" s="1115"/>
      <c r="J284" s="1113"/>
    </row>
    <row r="285">
      <c r="A285" s="1113"/>
      <c r="B285" s="1114"/>
      <c r="C285" s="1115"/>
      <c r="D285" s="1116"/>
      <c r="E285" s="1115"/>
      <c r="F285" s="1115"/>
      <c r="G285" s="1115"/>
      <c r="H285" s="1116"/>
      <c r="I285" s="1115"/>
      <c r="J285" s="1113"/>
    </row>
    <row r="286">
      <c r="A286" s="1113"/>
      <c r="B286" s="1114"/>
      <c r="C286" s="1115"/>
      <c r="D286" s="1116"/>
      <c r="E286" s="1115"/>
      <c r="F286" s="1115"/>
      <c r="G286" s="1115"/>
      <c r="H286" s="1116"/>
      <c r="I286" s="1115"/>
      <c r="J286" s="1113"/>
    </row>
    <row r="287">
      <c r="A287" s="1113"/>
      <c r="B287" s="1114"/>
      <c r="C287" s="1115"/>
      <c r="D287" s="1116"/>
      <c r="E287" s="1115"/>
      <c r="F287" s="1115"/>
      <c r="G287" s="1115"/>
      <c r="H287" s="1116"/>
      <c r="I287" s="1115"/>
      <c r="J287" s="1113"/>
    </row>
    <row r="288">
      <c r="A288" s="1113"/>
      <c r="B288" s="1114"/>
      <c r="C288" s="1115"/>
      <c r="D288" s="1116"/>
      <c r="E288" s="1115"/>
      <c r="F288" s="1115"/>
      <c r="G288" s="1115"/>
      <c r="H288" s="1116"/>
      <c r="I288" s="1115"/>
      <c r="J288" s="1113"/>
    </row>
    <row r="289">
      <c r="A289" s="1113"/>
      <c r="B289" s="1114"/>
      <c r="C289" s="1115"/>
      <c r="D289" s="1116"/>
      <c r="E289" s="1115"/>
      <c r="F289" s="1115"/>
      <c r="G289" s="1115"/>
      <c r="H289" s="1116"/>
      <c r="I289" s="1115"/>
      <c r="J289" s="1113"/>
    </row>
    <row r="290">
      <c r="A290" s="1113"/>
      <c r="B290" s="1114"/>
      <c r="C290" s="1115"/>
      <c r="D290" s="1116"/>
      <c r="E290" s="1115"/>
      <c r="F290" s="1115"/>
      <c r="G290" s="1115"/>
      <c r="H290" s="1116"/>
      <c r="I290" s="1115"/>
      <c r="J290" s="1113"/>
    </row>
    <row r="291">
      <c r="A291" s="1113"/>
      <c r="B291" s="1114"/>
      <c r="C291" s="1115"/>
      <c r="D291" s="1116"/>
      <c r="E291" s="1115"/>
      <c r="F291" s="1115"/>
      <c r="G291" s="1115"/>
      <c r="H291" s="1116"/>
      <c r="I291" s="1115"/>
      <c r="J291" s="1113"/>
    </row>
    <row r="292">
      <c r="A292" s="1113"/>
      <c r="B292" s="1114"/>
      <c r="C292" s="1115"/>
      <c r="D292" s="1116"/>
      <c r="E292" s="1115"/>
      <c r="F292" s="1115"/>
      <c r="G292" s="1115"/>
      <c r="H292" s="1116"/>
      <c r="I292" s="1115"/>
      <c r="J292" s="1113"/>
    </row>
    <row r="293">
      <c r="A293" s="1113"/>
      <c r="B293" s="1114"/>
      <c r="C293" s="1115"/>
      <c r="D293" s="1116"/>
      <c r="E293" s="1115"/>
      <c r="F293" s="1115"/>
      <c r="G293" s="1115"/>
      <c r="H293" s="1116"/>
      <c r="I293" s="1115"/>
      <c r="J293" s="1113"/>
    </row>
    <row r="294">
      <c r="A294" s="1113"/>
      <c r="B294" s="1114"/>
      <c r="C294" s="1115"/>
      <c r="D294" s="1116"/>
      <c r="E294" s="1115"/>
      <c r="F294" s="1115"/>
      <c r="G294" s="1115"/>
      <c r="H294" s="1116"/>
      <c r="I294" s="1115"/>
      <c r="J294" s="1113"/>
    </row>
    <row r="295">
      <c r="A295" s="1113"/>
      <c r="B295" s="1114"/>
      <c r="C295" s="1115"/>
      <c r="D295" s="1116"/>
      <c r="E295" s="1115"/>
      <c r="F295" s="1115"/>
      <c r="G295" s="1115"/>
      <c r="H295" s="1116"/>
      <c r="I295" s="1115"/>
      <c r="J295" s="1113"/>
    </row>
    <row r="296">
      <c r="A296" s="1113"/>
      <c r="B296" s="1114"/>
      <c r="C296" s="1115"/>
      <c r="D296" s="1116"/>
      <c r="E296" s="1115"/>
      <c r="F296" s="1115"/>
      <c r="G296" s="1115"/>
      <c r="H296" s="1116"/>
      <c r="I296" s="1115"/>
      <c r="J296" s="1113"/>
    </row>
    <row r="297">
      <c r="A297" s="1113"/>
      <c r="B297" s="1114"/>
      <c r="C297" s="1115"/>
      <c r="D297" s="1116"/>
      <c r="E297" s="1115"/>
      <c r="F297" s="1115"/>
      <c r="G297" s="1115"/>
      <c r="H297" s="1116"/>
      <c r="I297" s="1115"/>
      <c r="J297" s="1113"/>
    </row>
    <row r="298">
      <c r="A298" s="1113"/>
      <c r="B298" s="1114"/>
      <c r="C298" s="1115"/>
      <c r="D298" s="1116"/>
      <c r="E298" s="1115"/>
      <c r="F298" s="1115"/>
      <c r="G298" s="1115"/>
      <c r="H298" s="1116"/>
      <c r="I298" s="1115"/>
      <c r="J298" s="1113"/>
    </row>
    <row r="299">
      <c r="A299" s="1113"/>
      <c r="B299" s="1114"/>
      <c r="C299" s="1115"/>
      <c r="D299" s="1116"/>
      <c r="E299" s="1115"/>
      <c r="F299" s="1115"/>
      <c r="G299" s="1115"/>
      <c r="H299" s="1116"/>
      <c r="I299" s="1115"/>
      <c r="J299" s="1113"/>
    </row>
    <row r="300">
      <c r="A300" s="1113"/>
      <c r="B300" s="1114"/>
      <c r="C300" s="1115"/>
      <c r="D300" s="1116"/>
      <c r="E300" s="1115"/>
      <c r="F300" s="1115"/>
      <c r="G300" s="1115"/>
      <c r="H300" s="1116"/>
      <c r="I300" s="1115"/>
      <c r="J300" s="1113"/>
    </row>
    <row r="301">
      <c r="A301" s="1113"/>
      <c r="B301" s="1114"/>
      <c r="C301" s="1115"/>
      <c r="D301" s="1116"/>
      <c r="E301" s="1115"/>
      <c r="F301" s="1115"/>
      <c r="G301" s="1115"/>
      <c r="H301" s="1116"/>
      <c r="I301" s="1115"/>
      <c r="J301" s="1113"/>
    </row>
    <row r="302">
      <c r="A302" s="1113"/>
      <c r="B302" s="1114"/>
      <c r="C302" s="1115"/>
      <c r="D302" s="1116"/>
      <c r="E302" s="1115"/>
      <c r="F302" s="1115"/>
      <c r="G302" s="1115"/>
      <c r="H302" s="1116"/>
      <c r="I302" s="1115"/>
      <c r="J302" s="1113"/>
    </row>
    <row r="303">
      <c r="A303" s="1113"/>
      <c r="B303" s="1114"/>
      <c r="C303" s="1115"/>
      <c r="D303" s="1116"/>
      <c r="E303" s="1115"/>
      <c r="F303" s="1115"/>
      <c r="G303" s="1115"/>
      <c r="H303" s="1116"/>
      <c r="I303" s="1115"/>
      <c r="J303" s="1113"/>
    </row>
    <row r="304">
      <c r="A304" s="1113"/>
      <c r="B304" s="1114"/>
      <c r="C304" s="1115"/>
      <c r="D304" s="1116"/>
      <c r="E304" s="1115"/>
      <c r="F304" s="1115"/>
      <c r="G304" s="1115"/>
      <c r="H304" s="1116"/>
      <c r="I304" s="1115"/>
      <c r="J304" s="1113"/>
    </row>
    <row r="305">
      <c r="A305" s="1113"/>
      <c r="B305" s="1114"/>
      <c r="C305" s="1115"/>
      <c r="D305" s="1116"/>
      <c r="E305" s="1115"/>
      <c r="F305" s="1115"/>
      <c r="G305" s="1115"/>
      <c r="H305" s="1116"/>
      <c r="I305" s="1115"/>
      <c r="J305" s="1113"/>
    </row>
    <row r="306">
      <c r="A306" s="1113"/>
      <c r="B306" s="1114"/>
      <c r="C306" s="1115"/>
      <c r="D306" s="1116"/>
      <c r="E306" s="1115"/>
      <c r="F306" s="1115"/>
      <c r="G306" s="1115"/>
      <c r="H306" s="1116"/>
      <c r="I306" s="1115"/>
      <c r="J306" s="1113"/>
    </row>
    <row r="307">
      <c r="A307" s="1113"/>
      <c r="B307" s="1114"/>
      <c r="C307" s="1115"/>
      <c r="D307" s="1116"/>
      <c r="E307" s="1115"/>
      <c r="F307" s="1115"/>
      <c r="G307" s="1115"/>
      <c r="H307" s="1116"/>
      <c r="I307" s="1115"/>
      <c r="J307" s="1113"/>
    </row>
    <row r="308">
      <c r="A308" s="1113"/>
      <c r="B308" s="1114"/>
      <c r="C308" s="1115"/>
      <c r="D308" s="1116"/>
      <c r="E308" s="1115"/>
      <c r="F308" s="1115"/>
      <c r="G308" s="1115"/>
      <c r="H308" s="1116"/>
      <c r="I308" s="1115"/>
      <c r="J308" s="1113"/>
    </row>
    <row r="309">
      <c r="A309" s="1113"/>
      <c r="B309" s="1114"/>
      <c r="C309" s="1115"/>
      <c r="D309" s="1116"/>
      <c r="E309" s="1115"/>
      <c r="F309" s="1115"/>
      <c r="G309" s="1115"/>
      <c r="H309" s="1116"/>
      <c r="I309" s="1115"/>
      <c r="J309" s="1113"/>
    </row>
    <row r="310">
      <c r="A310" s="1113"/>
      <c r="B310" s="1114"/>
      <c r="C310" s="1115"/>
      <c r="D310" s="1116"/>
      <c r="E310" s="1115"/>
      <c r="F310" s="1115"/>
      <c r="G310" s="1115"/>
      <c r="H310" s="1116"/>
      <c r="I310" s="1115"/>
      <c r="J310" s="1113"/>
    </row>
    <row r="311">
      <c r="A311" s="1113"/>
      <c r="B311" s="1114"/>
      <c r="C311" s="1115"/>
      <c r="D311" s="1116"/>
      <c r="E311" s="1115"/>
      <c r="F311" s="1115"/>
      <c r="G311" s="1115"/>
      <c r="H311" s="1116"/>
      <c r="I311" s="1115"/>
      <c r="J311" s="1113"/>
    </row>
    <row r="312">
      <c r="A312" s="1113"/>
      <c r="B312" s="1114"/>
      <c r="C312" s="1115"/>
      <c r="D312" s="1116"/>
      <c r="E312" s="1115"/>
      <c r="F312" s="1115"/>
      <c r="G312" s="1115"/>
      <c r="H312" s="1116"/>
      <c r="I312" s="1115"/>
      <c r="J312" s="1113"/>
    </row>
    <row r="313">
      <c r="A313" s="1113"/>
      <c r="B313" s="1114"/>
      <c r="C313" s="1115"/>
      <c r="D313" s="1116"/>
      <c r="E313" s="1115"/>
      <c r="F313" s="1115"/>
      <c r="G313" s="1115"/>
      <c r="H313" s="1116"/>
      <c r="I313" s="1115"/>
      <c r="J313" s="1113"/>
    </row>
    <row r="314">
      <c r="A314" s="1113"/>
      <c r="B314" s="1114"/>
      <c r="C314" s="1115"/>
      <c r="D314" s="1116"/>
      <c r="E314" s="1115"/>
      <c r="F314" s="1115"/>
      <c r="G314" s="1115"/>
      <c r="H314" s="1116"/>
      <c r="I314" s="1115"/>
      <c r="J314" s="1113"/>
    </row>
    <row r="315">
      <c r="A315" s="1113"/>
      <c r="B315" s="1114"/>
      <c r="C315" s="1115"/>
      <c r="D315" s="1116"/>
      <c r="E315" s="1115"/>
      <c r="F315" s="1115"/>
      <c r="G315" s="1115"/>
      <c r="H315" s="1116"/>
      <c r="I315" s="1115"/>
      <c r="J315" s="1113"/>
    </row>
    <row r="316">
      <c r="A316" s="1113"/>
      <c r="B316" s="1114"/>
      <c r="C316" s="1115"/>
      <c r="D316" s="1116"/>
      <c r="E316" s="1115"/>
      <c r="F316" s="1115"/>
      <c r="G316" s="1115"/>
      <c r="H316" s="1116"/>
      <c r="I316" s="1115"/>
      <c r="J316" s="1113"/>
    </row>
    <row r="317">
      <c r="A317" s="1113"/>
      <c r="B317" s="1114"/>
      <c r="C317" s="1115"/>
      <c r="D317" s="1116"/>
      <c r="E317" s="1115"/>
      <c r="F317" s="1115"/>
      <c r="G317" s="1115"/>
      <c r="H317" s="1116"/>
      <c r="I317" s="1115"/>
      <c r="J317" s="1113"/>
    </row>
    <row r="318">
      <c r="A318" s="1113"/>
      <c r="B318" s="1114"/>
      <c r="C318" s="1115"/>
      <c r="D318" s="1116"/>
      <c r="E318" s="1115"/>
      <c r="F318" s="1115"/>
      <c r="G318" s="1115"/>
      <c r="H318" s="1116"/>
      <c r="I318" s="1115"/>
      <c r="J318" s="1113"/>
    </row>
    <row r="319">
      <c r="A319" s="1113"/>
      <c r="B319" s="1114"/>
      <c r="C319" s="1115"/>
      <c r="D319" s="1116"/>
      <c r="E319" s="1115"/>
      <c r="F319" s="1115"/>
      <c r="G319" s="1115"/>
      <c r="H319" s="1116"/>
      <c r="I319" s="1115"/>
      <c r="J319" s="1113"/>
    </row>
    <row r="320">
      <c r="A320" s="1113"/>
      <c r="B320" s="1114"/>
      <c r="C320" s="1115"/>
      <c r="D320" s="1116"/>
      <c r="E320" s="1115"/>
      <c r="F320" s="1115"/>
      <c r="G320" s="1115"/>
      <c r="H320" s="1116"/>
      <c r="I320" s="1115"/>
      <c r="J320" s="1113"/>
    </row>
    <row r="321">
      <c r="A321" s="1113"/>
      <c r="B321" s="1114"/>
      <c r="C321" s="1115"/>
      <c r="D321" s="1116"/>
      <c r="E321" s="1115"/>
      <c r="F321" s="1115"/>
      <c r="G321" s="1115"/>
      <c r="H321" s="1116"/>
      <c r="I321" s="1115"/>
      <c r="J321" s="1113"/>
    </row>
    <row r="322">
      <c r="A322" s="1113"/>
      <c r="B322" s="1114"/>
      <c r="C322" s="1115"/>
      <c r="D322" s="1116"/>
      <c r="E322" s="1115"/>
      <c r="F322" s="1115"/>
      <c r="G322" s="1115"/>
      <c r="H322" s="1116"/>
      <c r="I322" s="1115"/>
      <c r="J322" s="1113"/>
    </row>
    <row r="323">
      <c r="A323" s="1113"/>
      <c r="B323" s="1114"/>
      <c r="C323" s="1115"/>
      <c r="D323" s="1116"/>
      <c r="E323" s="1115"/>
      <c r="F323" s="1115"/>
      <c r="G323" s="1115"/>
      <c r="H323" s="1116"/>
      <c r="I323" s="1115"/>
      <c r="J323" s="1113"/>
    </row>
    <row r="324">
      <c r="A324" s="1113"/>
      <c r="B324" s="1114"/>
      <c r="C324" s="1115"/>
      <c r="D324" s="1116"/>
      <c r="E324" s="1115"/>
      <c r="F324" s="1115"/>
      <c r="G324" s="1115"/>
      <c r="H324" s="1116"/>
      <c r="I324" s="1115"/>
      <c r="J324" s="1113"/>
    </row>
    <row r="325">
      <c r="A325" s="1113"/>
      <c r="B325" s="1114"/>
      <c r="C325" s="1115"/>
      <c r="D325" s="1116"/>
      <c r="E325" s="1115"/>
      <c r="F325" s="1115"/>
      <c r="G325" s="1115"/>
      <c r="H325" s="1116"/>
      <c r="I325" s="1115"/>
      <c r="J325" s="1113"/>
    </row>
    <row r="326">
      <c r="A326" s="1113"/>
      <c r="B326" s="1114"/>
      <c r="C326" s="1115"/>
      <c r="D326" s="1116"/>
      <c r="E326" s="1115"/>
      <c r="F326" s="1115"/>
      <c r="G326" s="1115"/>
      <c r="H326" s="1116"/>
      <c r="I326" s="1115"/>
      <c r="J326" s="1113"/>
    </row>
    <row r="327">
      <c r="A327" s="1113"/>
      <c r="B327" s="1114"/>
      <c r="C327" s="1115"/>
      <c r="D327" s="1116"/>
      <c r="E327" s="1115"/>
      <c r="F327" s="1115"/>
      <c r="G327" s="1115"/>
      <c r="H327" s="1116"/>
      <c r="I327" s="1115"/>
      <c r="J327" s="1113"/>
    </row>
    <row r="328">
      <c r="A328" s="1113"/>
      <c r="B328" s="1114"/>
      <c r="C328" s="1115"/>
      <c r="D328" s="1116"/>
      <c r="E328" s="1115"/>
      <c r="F328" s="1115"/>
      <c r="G328" s="1115"/>
      <c r="H328" s="1116"/>
      <c r="I328" s="1115"/>
      <c r="J328" s="1113"/>
    </row>
    <row r="329">
      <c r="A329" s="1113"/>
      <c r="B329" s="1114"/>
      <c r="C329" s="1115"/>
      <c r="D329" s="1116"/>
      <c r="E329" s="1115"/>
      <c r="F329" s="1115"/>
      <c r="G329" s="1115"/>
      <c r="H329" s="1116"/>
      <c r="I329" s="1115"/>
      <c r="J329" s="1113"/>
    </row>
    <row r="330">
      <c r="A330" s="1113"/>
      <c r="B330" s="1114"/>
      <c r="C330" s="1115"/>
      <c r="D330" s="1116"/>
      <c r="E330" s="1115"/>
      <c r="F330" s="1115"/>
      <c r="G330" s="1115"/>
      <c r="H330" s="1116"/>
      <c r="I330" s="1115"/>
      <c r="J330" s="1113"/>
    </row>
    <row r="331">
      <c r="A331" s="1113"/>
      <c r="B331" s="1114"/>
      <c r="C331" s="1115"/>
      <c r="D331" s="1116"/>
      <c r="E331" s="1115"/>
      <c r="F331" s="1115"/>
      <c r="G331" s="1115"/>
      <c r="H331" s="1116"/>
      <c r="I331" s="1115"/>
      <c r="J331" s="1113"/>
    </row>
    <row r="332">
      <c r="A332" s="1113"/>
      <c r="B332" s="1114"/>
      <c r="C332" s="1115"/>
      <c r="D332" s="1116"/>
      <c r="E332" s="1115"/>
      <c r="F332" s="1115"/>
      <c r="G332" s="1115"/>
      <c r="H332" s="1116"/>
      <c r="I332" s="1115"/>
      <c r="J332" s="1113"/>
    </row>
    <row r="333">
      <c r="A333" s="1113"/>
      <c r="B333" s="1114"/>
      <c r="C333" s="1115"/>
      <c r="D333" s="1116"/>
      <c r="E333" s="1115"/>
      <c r="F333" s="1115"/>
      <c r="G333" s="1115"/>
      <c r="H333" s="1116"/>
      <c r="I333" s="1115"/>
      <c r="J333" s="1113"/>
    </row>
    <row r="334">
      <c r="A334" s="1113"/>
      <c r="B334" s="1114"/>
      <c r="C334" s="1115"/>
      <c r="D334" s="1116"/>
      <c r="E334" s="1115"/>
      <c r="F334" s="1115"/>
      <c r="G334" s="1115"/>
      <c r="H334" s="1116"/>
      <c r="I334" s="1115"/>
      <c r="J334" s="1113"/>
    </row>
    <row r="335">
      <c r="A335" s="1113"/>
      <c r="B335" s="1114"/>
      <c r="C335" s="1115"/>
      <c r="D335" s="1116"/>
      <c r="E335" s="1115"/>
      <c r="F335" s="1115"/>
      <c r="G335" s="1115"/>
      <c r="H335" s="1116"/>
      <c r="I335" s="1115"/>
      <c r="J335" s="1113"/>
    </row>
    <row r="336">
      <c r="A336" s="1113"/>
      <c r="B336" s="1114"/>
      <c r="C336" s="1115"/>
      <c r="D336" s="1116"/>
      <c r="E336" s="1115"/>
      <c r="F336" s="1115"/>
      <c r="G336" s="1115"/>
      <c r="H336" s="1116"/>
      <c r="I336" s="1115"/>
      <c r="J336" s="1113"/>
    </row>
    <row r="337">
      <c r="A337" s="1113"/>
      <c r="B337" s="1114"/>
      <c r="C337" s="1115"/>
      <c r="D337" s="1116"/>
      <c r="E337" s="1115"/>
      <c r="F337" s="1115"/>
      <c r="G337" s="1115"/>
      <c r="H337" s="1116"/>
      <c r="I337" s="1115"/>
      <c r="J337" s="1113"/>
    </row>
    <row r="338">
      <c r="A338" s="1113"/>
      <c r="B338" s="1114"/>
      <c r="C338" s="1115"/>
      <c r="D338" s="1116"/>
      <c r="E338" s="1115"/>
      <c r="F338" s="1115"/>
      <c r="G338" s="1115"/>
      <c r="H338" s="1116"/>
      <c r="I338" s="1115"/>
      <c r="J338" s="1113"/>
    </row>
    <row r="339">
      <c r="A339" s="1113"/>
      <c r="B339" s="1114"/>
      <c r="C339" s="1115"/>
      <c r="D339" s="1116"/>
      <c r="E339" s="1115"/>
      <c r="F339" s="1115"/>
      <c r="G339" s="1115"/>
      <c r="H339" s="1116"/>
      <c r="I339" s="1115"/>
      <c r="J339" s="1113"/>
    </row>
    <row r="340">
      <c r="A340" s="1113"/>
      <c r="B340" s="1114"/>
      <c r="C340" s="1115"/>
      <c r="D340" s="1116"/>
      <c r="E340" s="1115"/>
      <c r="F340" s="1115"/>
      <c r="G340" s="1115"/>
      <c r="H340" s="1116"/>
      <c r="I340" s="1115"/>
      <c r="J340" s="1113"/>
    </row>
    <row r="341">
      <c r="A341" s="1113"/>
      <c r="B341" s="1114"/>
      <c r="C341" s="1115"/>
      <c r="D341" s="1116"/>
      <c r="E341" s="1115"/>
      <c r="F341" s="1115"/>
      <c r="G341" s="1115"/>
      <c r="H341" s="1116"/>
      <c r="I341" s="1115"/>
      <c r="J341" s="1113"/>
    </row>
    <row r="342">
      <c r="A342" s="1113"/>
      <c r="B342" s="1114"/>
      <c r="C342" s="1115"/>
      <c r="D342" s="1116"/>
      <c r="E342" s="1115"/>
      <c r="F342" s="1115"/>
      <c r="G342" s="1115"/>
      <c r="H342" s="1116"/>
      <c r="I342" s="1115"/>
      <c r="J342" s="1113"/>
    </row>
    <row r="343">
      <c r="A343" s="1113"/>
      <c r="B343" s="1114"/>
      <c r="C343" s="1115"/>
      <c r="D343" s="1116"/>
      <c r="E343" s="1115"/>
      <c r="F343" s="1115"/>
      <c r="G343" s="1115"/>
      <c r="H343" s="1116"/>
      <c r="I343" s="1115"/>
      <c r="J343" s="1113"/>
    </row>
    <row r="344">
      <c r="A344" s="1113"/>
      <c r="B344" s="1114"/>
      <c r="C344" s="1115"/>
      <c r="D344" s="1116"/>
      <c r="E344" s="1115"/>
      <c r="F344" s="1115"/>
      <c r="G344" s="1115"/>
      <c r="H344" s="1116"/>
      <c r="I344" s="1115"/>
      <c r="J344" s="1113"/>
    </row>
    <row r="345">
      <c r="A345" s="1113"/>
      <c r="B345" s="1114"/>
      <c r="C345" s="1115"/>
      <c r="D345" s="1116"/>
      <c r="E345" s="1115"/>
      <c r="F345" s="1115"/>
      <c r="G345" s="1115"/>
      <c r="H345" s="1116"/>
      <c r="I345" s="1115"/>
      <c r="J345" s="1113"/>
    </row>
    <row r="346">
      <c r="A346" s="1113"/>
      <c r="B346" s="1114"/>
      <c r="C346" s="1115"/>
      <c r="D346" s="1116"/>
      <c r="E346" s="1115"/>
      <c r="F346" s="1115"/>
      <c r="G346" s="1115"/>
      <c r="H346" s="1116"/>
      <c r="I346" s="1115"/>
      <c r="J346" s="1113"/>
    </row>
    <row r="347">
      <c r="A347" s="1113"/>
      <c r="B347" s="1114"/>
      <c r="C347" s="1115"/>
      <c r="D347" s="1116"/>
      <c r="E347" s="1115"/>
      <c r="F347" s="1115"/>
      <c r="G347" s="1115"/>
      <c r="H347" s="1116"/>
      <c r="I347" s="1115"/>
      <c r="J347" s="1113"/>
    </row>
    <row r="348">
      <c r="A348" s="1113"/>
      <c r="B348" s="1114"/>
      <c r="C348" s="1115"/>
      <c r="D348" s="1116"/>
      <c r="E348" s="1115"/>
      <c r="F348" s="1115"/>
      <c r="G348" s="1115"/>
      <c r="H348" s="1116"/>
      <c r="I348" s="1115"/>
      <c r="J348" s="1113"/>
    </row>
    <row r="349">
      <c r="A349" s="1113"/>
      <c r="B349" s="1114"/>
      <c r="C349" s="1115"/>
      <c r="D349" s="1116"/>
      <c r="E349" s="1115"/>
      <c r="F349" s="1115"/>
      <c r="G349" s="1115"/>
      <c r="H349" s="1116"/>
      <c r="I349" s="1115"/>
      <c r="J349" s="1113"/>
    </row>
    <row r="350">
      <c r="A350" s="1113"/>
      <c r="B350" s="1114"/>
      <c r="C350" s="1115"/>
      <c r="D350" s="1116"/>
      <c r="E350" s="1115"/>
      <c r="F350" s="1115"/>
      <c r="G350" s="1115"/>
      <c r="H350" s="1116"/>
      <c r="I350" s="1115"/>
      <c r="J350" s="1113"/>
    </row>
    <row r="351">
      <c r="A351" s="1113"/>
      <c r="B351" s="1114"/>
      <c r="C351" s="1115"/>
      <c r="D351" s="1116"/>
      <c r="E351" s="1115"/>
      <c r="F351" s="1115"/>
      <c r="G351" s="1115"/>
      <c r="H351" s="1116"/>
      <c r="I351" s="1115"/>
      <c r="J351" s="1113"/>
    </row>
    <row r="352">
      <c r="A352" s="1113"/>
      <c r="B352" s="1114"/>
      <c r="C352" s="1115"/>
      <c r="D352" s="1116"/>
      <c r="E352" s="1115"/>
      <c r="F352" s="1115"/>
      <c r="G352" s="1115"/>
      <c r="H352" s="1116"/>
      <c r="I352" s="1115"/>
      <c r="J352" s="1113"/>
    </row>
    <row r="353">
      <c r="A353" s="1113"/>
      <c r="B353" s="1114"/>
      <c r="C353" s="1115"/>
      <c r="D353" s="1116"/>
      <c r="E353" s="1115"/>
      <c r="F353" s="1115"/>
      <c r="G353" s="1115"/>
      <c r="H353" s="1116"/>
      <c r="I353" s="1115"/>
      <c r="J353" s="1113"/>
    </row>
    <row r="354">
      <c r="A354" s="1113"/>
      <c r="B354" s="1114"/>
      <c r="C354" s="1115"/>
      <c r="D354" s="1116"/>
      <c r="E354" s="1115"/>
      <c r="F354" s="1115"/>
      <c r="G354" s="1115"/>
      <c r="H354" s="1116"/>
      <c r="I354" s="1115"/>
      <c r="J354" s="1113"/>
    </row>
    <row r="355">
      <c r="A355" s="1113"/>
      <c r="B355" s="1114"/>
      <c r="C355" s="1115"/>
      <c r="D355" s="1116"/>
      <c r="E355" s="1115"/>
      <c r="F355" s="1115"/>
      <c r="G355" s="1115"/>
      <c r="H355" s="1116"/>
      <c r="I355" s="1115"/>
      <c r="J355" s="1113"/>
    </row>
    <row r="356">
      <c r="A356" s="1113"/>
      <c r="B356" s="1114"/>
      <c r="C356" s="1115"/>
      <c r="D356" s="1116"/>
      <c r="E356" s="1115"/>
      <c r="F356" s="1115"/>
      <c r="G356" s="1115"/>
      <c r="H356" s="1116"/>
      <c r="I356" s="1115"/>
      <c r="J356" s="1113"/>
    </row>
    <row r="357">
      <c r="A357" s="1113"/>
      <c r="B357" s="1114"/>
      <c r="C357" s="1115"/>
      <c r="D357" s="1116"/>
      <c r="E357" s="1115"/>
      <c r="F357" s="1115"/>
      <c r="G357" s="1115"/>
      <c r="H357" s="1116"/>
      <c r="I357" s="1115"/>
      <c r="J357" s="1113"/>
    </row>
    <row r="358">
      <c r="A358" s="1113"/>
      <c r="B358" s="1114"/>
      <c r="C358" s="1115"/>
      <c r="D358" s="1116"/>
      <c r="E358" s="1115"/>
      <c r="F358" s="1115"/>
      <c r="G358" s="1115"/>
      <c r="H358" s="1116"/>
      <c r="I358" s="1115"/>
      <c r="J358" s="1113"/>
    </row>
    <row r="359">
      <c r="A359" s="1113"/>
      <c r="B359" s="1114"/>
      <c r="C359" s="1115"/>
      <c r="D359" s="1116"/>
      <c r="E359" s="1115"/>
      <c r="F359" s="1115"/>
      <c r="G359" s="1115"/>
      <c r="H359" s="1116"/>
      <c r="I359" s="1115"/>
      <c r="J359" s="1113"/>
    </row>
    <row r="360">
      <c r="A360" s="1113"/>
      <c r="B360" s="1114"/>
      <c r="C360" s="1115"/>
      <c r="D360" s="1116"/>
      <c r="E360" s="1115"/>
      <c r="F360" s="1115"/>
      <c r="G360" s="1115"/>
      <c r="H360" s="1116"/>
      <c r="I360" s="1115"/>
      <c r="J360" s="1113"/>
    </row>
    <row r="361">
      <c r="A361" s="1113"/>
      <c r="B361" s="1114"/>
      <c r="C361" s="1115"/>
      <c r="D361" s="1116"/>
      <c r="E361" s="1115"/>
      <c r="F361" s="1115"/>
      <c r="G361" s="1115"/>
      <c r="H361" s="1116"/>
      <c r="I361" s="1115"/>
      <c r="J361" s="1113"/>
    </row>
    <row r="362">
      <c r="A362" s="1113"/>
      <c r="B362" s="1114"/>
      <c r="C362" s="1115"/>
      <c r="D362" s="1116"/>
      <c r="E362" s="1115"/>
      <c r="F362" s="1115"/>
      <c r="G362" s="1115"/>
      <c r="H362" s="1116"/>
      <c r="I362" s="1115"/>
      <c r="J362" s="1113"/>
    </row>
    <row r="363">
      <c r="A363" s="1113"/>
      <c r="B363" s="1114"/>
      <c r="C363" s="1115"/>
      <c r="D363" s="1116"/>
      <c r="E363" s="1115"/>
      <c r="F363" s="1115"/>
      <c r="G363" s="1115"/>
      <c r="H363" s="1116"/>
      <c r="I363" s="1115"/>
      <c r="J363" s="1113"/>
    </row>
    <row r="364">
      <c r="A364" s="1113"/>
      <c r="B364" s="1114"/>
      <c r="C364" s="1115"/>
      <c r="D364" s="1116"/>
      <c r="E364" s="1115"/>
      <c r="F364" s="1115"/>
      <c r="G364" s="1115"/>
      <c r="H364" s="1116"/>
      <c r="I364" s="1115"/>
      <c r="J364" s="1113"/>
    </row>
    <row r="365">
      <c r="A365" s="1113"/>
      <c r="B365" s="1114"/>
      <c r="C365" s="1115"/>
      <c r="D365" s="1116"/>
      <c r="E365" s="1115"/>
      <c r="F365" s="1115"/>
      <c r="G365" s="1115"/>
      <c r="H365" s="1116"/>
      <c r="I365" s="1115"/>
      <c r="J365" s="1113"/>
    </row>
    <row r="366">
      <c r="A366" s="1113"/>
      <c r="B366" s="1114"/>
      <c r="C366" s="1115"/>
      <c r="D366" s="1116"/>
      <c r="E366" s="1115"/>
      <c r="F366" s="1115"/>
      <c r="G366" s="1115"/>
      <c r="H366" s="1116"/>
      <c r="I366" s="1115"/>
      <c r="J366" s="1113"/>
    </row>
    <row r="367">
      <c r="A367" s="1113"/>
      <c r="B367" s="1114"/>
      <c r="C367" s="1115"/>
      <c r="D367" s="1116"/>
      <c r="E367" s="1115"/>
      <c r="F367" s="1115"/>
      <c r="G367" s="1115"/>
      <c r="H367" s="1116"/>
      <c r="I367" s="1115"/>
      <c r="J367" s="1113"/>
    </row>
    <row r="368">
      <c r="A368" s="1113"/>
      <c r="B368" s="1114"/>
      <c r="C368" s="1115"/>
      <c r="D368" s="1116"/>
      <c r="E368" s="1115"/>
      <c r="F368" s="1115"/>
      <c r="G368" s="1115"/>
      <c r="H368" s="1116"/>
      <c r="I368" s="1115"/>
      <c r="J368" s="1113"/>
    </row>
    <row r="369">
      <c r="A369" s="1113"/>
      <c r="B369" s="1114"/>
      <c r="C369" s="1115"/>
      <c r="D369" s="1116"/>
      <c r="E369" s="1115"/>
      <c r="F369" s="1115"/>
      <c r="G369" s="1115"/>
      <c r="H369" s="1116"/>
      <c r="I369" s="1115"/>
      <c r="J369" s="1113"/>
    </row>
    <row r="370">
      <c r="A370" s="1113"/>
      <c r="B370" s="1114"/>
      <c r="C370" s="1115"/>
      <c r="D370" s="1116"/>
      <c r="E370" s="1115"/>
      <c r="F370" s="1115"/>
      <c r="G370" s="1115"/>
      <c r="H370" s="1116"/>
      <c r="I370" s="1115"/>
      <c r="J370" s="1113"/>
    </row>
    <row r="371">
      <c r="A371" s="1113"/>
      <c r="B371" s="1114"/>
      <c r="C371" s="1115"/>
      <c r="D371" s="1116"/>
      <c r="E371" s="1115"/>
      <c r="F371" s="1115"/>
      <c r="G371" s="1115"/>
      <c r="H371" s="1116"/>
      <c r="I371" s="1115"/>
      <c r="J371" s="1113"/>
    </row>
    <row r="372">
      <c r="A372" s="1113"/>
      <c r="B372" s="1114"/>
      <c r="C372" s="1115"/>
      <c r="D372" s="1116"/>
      <c r="E372" s="1115"/>
      <c r="F372" s="1115"/>
      <c r="G372" s="1115"/>
      <c r="H372" s="1116"/>
      <c r="I372" s="1115"/>
      <c r="J372" s="1113"/>
    </row>
    <row r="373">
      <c r="A373" s="1113"/>
      <c r="B373" s="1114"/>
      <c r="C373" s="1115"/>
      <c r="D373" s="1116"/>
      <c r="E373" s="1115"/>
      <c r="F373" s="1115"/>
      <c r="G373" s="1115"/>
      <c r="H373" s="1116"/>
      <c r="I373" s="1115"/>
      <c r="J373" s="1113"/>
    </row>
    <row r="374">
      <c r="A374" s="1113"/>
      <c r="B374" s="1114"/>
      <c r="C374" s="1115"/>
      <c r="D374" s="1116"/>
      <c r="E374" s="1115"/>
      <c r="F374" s="1115"/>
      <c r="G374" s="1115"/>
      <c r="H374" s="1116"/>
      <c r="I374" s="1115"/>
      <c r="J374" s="1113"/>
    </row>
    <row r="375">
      <c r="A375" s="1113"/>
      <c r="B375" s="1114"/>
      <c r="C375" s="1115"/>
      <c r="D375" s="1116"/>
      <c r="E375" s="1115"/>
      <c r="F375" s="1115"/>
      <c r="G375" s="1115"/>
      <c r="H375" s="1116"/>
      <c r="I375" s="1115"/>
      <c r="J375" s="1113"/>
    </row>
    <row r="376">
      <c r="A376" s="1113"/>
      <c r="B376" s="1114"/>
      <c r="C376" s="1115"/>
      <c r="D376" s="1116"/>
      <c r="E376" s="1115"/>
      <c r="F376" s="1115"/>
      <c r="G376" s="1115"/>
      <c r="H376" s="1116"/>
      <c r="I376" s="1115"/>
      <c r="J376" s="1113"/>
    </row>
    <row r="377">
      <c r="A377" s="1113"/>
      <c r="B377" s="1114"/>
      <c r="C377" s="1115"/>
      <c r="D377" s="1116"/>
      <c r="E377" s="1115"/>
      <c r="F377" s="1115"/>
      <c r="G377" s="1115"/>
      <c r="H377" s="1116"/>
      <c r="I377" s="1115"/>
      <c r="J377" s="1113"/>
    </row>
    <row r="378">
      <c r="A378" s="1113"/>
      <c r="B378" s="1114"/>
      <c r="C378" s="1115"/>
      <c r="D378" s="1116"/>
      <c r="E378" s="1115"/>
      <c r="F378" s="1115"/>
      <c r="G378" s="1115"/>
      <c r="H378" s="1116"/>
      <c r="I378" s="1115"/>
      <c r="J378" s="1113"/>
    </row>
    <row r="379">
      <c r="A379" s="1113"/>
      <c r="B379" s="1114"/>
      <c r="C379" s="1115"/>
      <c r="D379" s="1116"/>
      <c r="E379" s="1115"/>
      <c r="F379" s="1115"/>
      <c r="G379" s="1115"/>
      <c r="H379" s="1116"/>
      <c r="I379" s="1115"/>
      <c r="J379" s="1113"/>
    </row>
    <row r="380">
      <c r="A380" s="1113"/>
      <c r="B380" s="1114"/>
      <c r="C380" s="1115"/>
      <c r="D380" s="1116"/>
      <c r="E380" s="1115"/>
      <c r="F380" s="1115"/>
      <c r="G380" s="1115"/>
      <c r="H380" s="1116"/>
      <c r="I380" s="1115"/>
      <c r="J380" s="1113"/>
    </row>
    <row r="381">
      <c r="A381" s="1113"/>
      <c r="B381" s="1114"/>
      <c r="C381" s="1115"/>
      <c r="D381" s="1116"/>
      <c r="E381" s="1115"/>
      <c r="F381" s="1115"/>
      <c r="G381" s="1115"/>
      <c r="H381" s="1116"/>
      <c r="I381" s="1115"/>
      <c r="J381" s="1113"/>
    </row>
    <row r="382">
      <c r="A382" s="1113"/>
      <c r="B382" s="1114"/>
      <c r="C382" s="1115"/>
      <c r="D382" s="1116"/>
      <c r="E382" s="1115"/>
      <c r="F382" s="1115"/>
      <c r="G382" s="1115"/>
      <c r="H382" s="1116"/>
      <c r="I382" s="1115"/>
      <c r="J382" s="1113"/>
    </row>
    <row r="383">
      <c r="A383" s="1113"/>
      <c r="B383" s="1114"/>
      <c r="C383" s="1115"/>
      <c r="D383" s="1116"/>
      <c r="E383" s="1115"/>
      <c r="F383" s="1115"/>
      <c r="G383" s="1115"/>
      <c r="H383" s="1116"/>
      <c r="I383" s="1115"/>
      <c r="J383" s="1113"/>
    </row>
    <row r="384">
      <c r="A384" s="1113"/>
      <c r="B384" s="1114"/>
      <c r="C384" s="1115"/>
      <c r="D384" s="1116"/>
      <c r="E384" s="1115"/>
      <c r="F384" s="1115"/>
      <c r="G384" s="1115"/>
      <c r="H384" s="1116"/>
      <c r="I384" s="1115"/>
      <c r="J384" s="1113"/>
    </row>
    <row r="385">
      <c r="A385" s="1113"/>
      <c r="B385" s="1114"/>
      <c r="C385" s="1115"/>
      <c r="D385" s="1116"/>
      <c r="E385" s="1115"/>
      <c r="F385" s="1115"/>
      <c r="G385" s="1115"/>
      <c r="H385" s="1116"/>
      <c r="I385" s="1115"/>
      <c r="J385" s="1113"/>
    </row>
    <row r="386">
      <c r="A386" s="1113"/>
      <c r="B386" s="1114"/>
      <c r="C386" s="1115"/>
      <c r="D386" s="1116"/>
      <c r="E386" s="1115"/>
      <c r="F386" s="1115"/>
      <c r="G386" s="1115"/>
      <c r="H386" s="1116"/>
      <c r="I386" s="1115"/>
      <c r="J386" s="1113"/>
    </row>
    <row r="387">
      <c r="A387" s="1113"/>
      <c r="B387" s="1114"/>
      <c r="C387" s="1115"/>
      <c r="D387" s="1116"/>
      <c r="E387" s="1115"/>
      <c r="F387" s="1115"/>
      <c r="G387" s="1115"/>
      <c r="H387" s="1116"/>
      <c r="I387" s="1115"/>
      <c r="J387" s="1113"/>
    </row>
    <row r="388">
      <c r="A388" s="1113"/>
      <c r="B388" s="1114"/>
      <c r="C388" s="1115"/>
      <c r="D388" s="1116"/>
      <c r="E388" s="1115"/>
      <c r="F388" s="1115"/>
      <c r="G388" s="1115"/>
      <c r="H388" s="1116"/>
      <c r="I388" s="1115"/>
      <c r="J388" s="1113"/>
    </row>
    <row r="389">
      <c r="A389" s="1113"/>
      <c r="B389" s="1114"/>
      <c r="C389" s="1115"/>
      <c r="D389" s="1116"/>
      <c r="E389" s="1115"/>
      <c r="F389" s="1115"/>
      <c r="G389" s="1115"/>
      <c r="H389" s="1116"/>
      <c r="I389" s="1115"/>
      <c r="J389" s="1113"/>
    </row>
    <row r="390">
      <c r="A390" s="1113"/>
      <c r="B390" s="1114"/>
      <c r="C390" s="1115"/>
      <c r="D390" s="1116"/>
      <c r="E390" s="1115"/>
      <c r="F390" s="1115"/>
      <c r="G390" s="1115"/>
      <c r="H390" s="1116"/>
      <c r="I390" s="1115"/>
      <c r="J390" s="1113"/>
    </row>
    <row r="391">
      <c r="A391" s="1113"/>
      <c r="B391" s="1114"/>
      <c r="C391" s="1115"/>
      <c r="D391" s="1116"/>
      <c r="E391" s="1115"/>
      <c r="F391" s="1115"/>
      <c r="G391" s="1115"/>
      <c r="H391" s="1116"/>
      <c r="I391" s="1115"/>
      <c r="J391" s="1113"/>
    </row>
    <row r="392">
      <c r="A392" s="1113"/>
      <c r="B392" s="1114"/>
      <c r="C392" s="1115"/>
      <c r="D392" s="1116"/>
      <c r="E392" s="1115"/>
      <c r="F392" s="1115"/>
      <c r="G392" s="1115"/>
      <c r="H392" s="1116"/>
      <c r="I392" s="1115"/>
      <c r="J392" s="1113"/>
    </row>
    <row r="393">
      <c r="A393" s="1113"/>
      <c r="B393" s="1114"/>
      <c r="C393" s="1115"/>
      <c r="D393" s="1116"/>
      <c r="E393" s="1115"/>
      <c r="F393" s="1115"/>
      <c r="G393" s="1115"/>
      <c r="H393" s="1116"/>
      <c r="I393" s="1115"/>
      <c r="J393" s="1113"/>
    </row>
    <row r="394">
      <c r="A394" s="1113"/>
      <c r="B394" s="1114"/>
      <c r="C394" s="1115"/>
      <c r="D394" s="1116"/>
      <c r="E394" s="1115"/>
      <c r="F394" s="1115"/>
      <c r="G394" s="1115"/>
      <c r="H394" s="1116"/>
      <c r="I394" s="1115"/>
      <c r="J394" s="1113"/>
    </row>
    <row r="395">
      <c r="A395" s="1113"/>
      <c r="B395" s="1114"/>
      <c r="C395" s="1115"/>
      <c r="D395" s="1116"/>
      <c r="E395" s="1115"/>
      <c r="F395" s="1115"/>
      <c r="G395" s="1115"/>
      <c r="H395" s="1116"/>
      <c r="I395" s="1115"/>
      <c r="J395" s="1113"/>
    </row>
    <row r="396">
      <c r="A396" s="1113"/>
      <c r="B396" s="1114"/>
      <c r="C396" s="1115"/>
      <c r="D396" s="1116"/>
      <c r="E396" s="1115"/>
      <c r="F396" s="1115"/>
      <c r="G396" s="1115"/>
      <c r="H396" s="1116"/>
      <c r="I396" s="1115"/>
      <c r="J396" s="1113"/>
    </row>
    <row r="397">
      <c r="A397" s="1113"/>
      <c r="B397" s="1114"/>
      <c r="C397" s="1115"/>
      <c r="D397" s="1116"/>
      <c r="E397" s="1115"/>
      <c r="F397" s="1115"/>
      <c r="G397" s="1115"/>
      <c r="H397" s="1116"/>
      <c r="I397" s="1115"/>
      <c r="J397" s="1113"/>
    </row>
    <row r="398">
      <c r="A398" s="1113"/>
      <c r="B398" s="1114"/>
      <c r="C398" s="1115"/>
      <c r="D398" s="1116"/>
      <c r="E398" s="1115"/>
      <c r="F398" s="1115"/>
      <c r="G398" s="1115"/>
      <c r="H398" s="1116"/>
      <c r="I398" s="1115"/>
      <c r="J398" s="1113"/>
    </row>
    <row r="399">
      <c r="A399" s="1113"/>
      <c r="B399" s="1114"/>
      <c r="C399" s="1115"/>
      <c r="D399" s="1116"/>
      <c r="E399" s="1115"/>
      <c r="F399" s="1115"/>
      <c r="G399" s="1115"/>
      <c r="H399" s="1116"/>
      <c r="I399" s="1115"/>
      <c r="J399" s="1113"/>
    </row>
    <row r="400">
      <c r="A400" s="1113"/>
      <c r="B400" s="1114"/>
      <c r="C400" s="1115"/>
      <c r="D400" s="1116"/>
      <c r="E400" s="1115"/>
      <c r="F400" s="1115"/>
      <c r="G400" s="1115"/>
      <c r="H400" s="1116"/>
      <c r="I400" s="1115"/>
      <c r="J400" s="1113"/>
    </row>
    <row r="401">
      <c r="A401" s="1113"/>
      <c r="B401" s="1114"/>
      <c r="C401" s="1115"/>
      <c r="D401" s="1116"/>
      <c r="E401" s="1115"/>
      <c r="F401" s="1115"/>
      <c r="G401" s="1115"/>
      <c r="H401" s="1116"/>
      <c r="I401" s="1115"/>
      <c r="J401" s="1113"/>
    </row>
    <row r="402">
      <c r="A402" s="1113"/>
      <c r="B402" s="1114"/>
      <c r="C402" s="1115"/>
      <c r="D402" s="1116"/>
      <c r="E402" s="1115"/>
      <c r="F402" s="1115"/>
      <c r="G402" s="1115"/>
      <c r="H402" s="1116"/>
      <c r="I402" s="1115"/>
      <c r="J402" s="1113"/>
    </row>
    <row r="403">
      <c r="A403" s="1113"/>
      <c r="B403" s="1114"/>
      <c r="C403" s="1115"/>
      <c r="D403" s="1116"/>
      <c r="E403" s="1115"/>
      <c r="F403" s="1115"/>
      <c r="G403" s="1115"/>
      <c r="H403" s="1116"/>
      <c r="I403" s="1115"/>
      <c r="J403" s="1113"/>
    </row>
    <row r="404">
      <c r="A404" s="1113"/>
      <c r="B404" s="1114"/>
      <c r="C404" s="1115"/>
      <c r="D404" s="1116"/>
      <c r="E404" s="1115"/>
      <c r="F404" s="1115"/>
      <c r="G404" s="1115"/>
      <c r="H404" s="1116"/>
      <c r="I404" s="1115"/>
      <c r="J404" s="1113"/>
    </row>
    <row r="405">
      <c r="A405" s="1113"/>
      <c r="B405" s="1114"/>
      <c r="C405" s="1115"/>
      <c r="D405" s="1116"/>
      <c r="E405" s="1115"/>
      <c r="F405" s="1115"/>
      <c r="G405" s="1115"/>
      <c r="H405" s="1116"/>
      <c r="I405" s="1115"/>
      <c r="J405" s="1113"/>
    </row>
    <row r="406">
      <c r="A406" s="1113"/>
      <c r="B406" s="1114"/>
      <c r="C406" s="1115"/>
      <c r="D406" s="1116"/>
      <c r="E406" s="1115"/>
      <c r="F406" s="1115"/>
      <c r="G406" s="1115"/>
      <c r="H406" s="1116"/>
      <c r="I406" s="1115"/>
      <c r="J406" s="1113"/>
    </row>
    <row r="407">
      <c r="A407" s="1113"/>
      <c r="B407" s="1114"/>
      <c r="C407" s="1115"/>
      <c r="D407" s="1116"/>
      <c r="E407" s="1115"/>
      <c r="F407" s="1115"/>
      <c r="G407" s="1115"/>
      <c r="H407" s="1116"/>
      <c r="I407" s="1115"/>
      <c r="J407" s="1113"/>
    </row>
    <row r="408">
      <c r="A408" s="1113"/>
      <c r="B408" s="1114"/>
      <c r="C408" s="1115"/>
      <c r="D408" s="1116"/>
      <c r="E408" s="1115"/>
      <c r="F408" s="1115"/>
      <c r="G408" s="1115"/>
      <c r="H408" s="1116"/>
      <c r="I408" s="1115"/>
      <c r="J408" s="1113"/>
    </row>
    <row r="409">
      <c r="A409" s="1113"/>
      <c r="B409" s="1114"/>
      <c r="C409" s="1115"/>
      <c r="D409" s="1116"/>
      <c r="E409" s="1115"/>
      <c r="F409" s="1115"/>
      <c r="G409" s="1115"/>
      <c r="H409" s="1116"/>
      <c r="I409" s="1115"/>
      <c r="J409" s="1113"/>
    </row>
    <row r="410">
      <c r="A410" s="1113"/>
      <c r="B410" s="1114"/>
      <c r="C410" s="1115"/>
      <c r="D410" s="1116"/>
      <c r="E410" s="1115"/>
      <c r="F410" s="1115"/>
      <c r="G410" s="1115"/>
      <c r="H410" s="1116"/>
      <c r="I410" s="1115"/>
      <c r="J410" s="1113"/>
    </row>
    <row r="411">
      <c r="A411" s="1113"/>
      <c r="B411" s="1114"/>
      <c r="C411" s="1115"/>
      <c r="D411" s="1116"/>
      <c r="E411" s="1115"/>
      <c r="F411" s="1115"/>
      <c r="G411" s="1115"/>
      <c r="H411" s="1116"/>
      <c r="I411" s="1115"/>
      <c r="J411" s="1113"/>
    </row>
    <row r="412">
      <c r="A412" s="1113"/>
      <c r="B412" s="1114"/>
      <c r="C412" s="1115"/>
      <c r="D412" s="1116"/>
      <c r="E412" s="1115"/>
      <c r="F412" s="1115"/>
      <c r="G412" s="1115"/>
      <c r="H412" s="1116"/>
      <c r="I412" s="1115"/>
      <c r="J412" s="1113"/>
    </row>
    <row r="413">
      <c r="A413" s="1113"/>
      <c r="B413" s="1114"/>
      <c r="C413" s="1115"/>
      <c r="D413" s="1116"/>
      <c r="E413" s="1115"/>
      <c r="F413" s="1115"/>
      <c r="G413" s="1115"/>
      <c r="H413" s="1116"/>
      <c r="I413" s="1115"/>
      <c r="J413" s="1113"/>
    </row>
    <row r="414">
      <c r="A414" s="1113"/>
      <c r="B414" s="1114"/>
      <c r="C414" s="1115"/>
      <c r="D414" s="1116"/>
      <c r="E414" s="1115"/>
      <c r="F414" s="1115"/>
      <c r="G414" s="1115"/>
      <c r="H414" s="1116"/>
      <c r="I414" s="1115"/>
      <c r="J414" s="1113"/>
    </row>
    <row r="415">
      <c r="A415" s="1113"/>
      <c r="B415" s="1114"/>
      <c r="C415" s="1115"/>
      <c r="D415" s="1116"/>
      <c r="E415" s="1115"/>
      <c r="F415" s="1115"/>
      <c r="G415" s="1115"/>
      <c r="H415" s="1116"/>
      <c r="I415" s="1115"/>
      <c r="J415" s="1113"/>
    </row>
    <row r="416">
      <c r="A416" s="1113"/>
      <c r="B416" s="1114"/>
      <c r="C416" s="1115"/>
      <c r="D416" s="1116"/>
      <c r="E416" s="1115"/>
      <c r="F416" s="1115"/>
      <c r="G416" s="1115"/>
      <c r="H416" s="1116"/>
      <c r="I416" s="1115"/>
      <c r="J416" s="1113"/>
    </row>
    <row r="417">
      <c r="A417" s="1113"/>
      <c r="B417" s="1114"/>
      <c r="C417" s="1115"/>
      <c r="D417" s="1116"/>
      <c r="E417" s="1115"/>
      <c r="F417" s="1115"/>
      <c r="G417" s="1115"/>
      <c r="H417" s="1116"/>
      <c r="I417" s="1115"/>
      <c r="J417" s="1113"/>
    </row>
    <row r="418">
      <c r="A418" s="1113"/>
      <c r="B418" s="1114"/>
      <c r="C418" s="1115"/>
      <c r="D418" s="1116"/>
      <c r="E418" s="1115"/>
      <c r="F418" s="1115"/>
      <c r="G418" s="1115"/>
      <c r="H418" s="1116"/>
      <c r="I418" s="1115"/>
      <c r="J418" s="1113"/>
    </row>
    <row r="419">
      <c r="A419" s="1113"/>
      <c r="B419" s="1114"/>
      <c r="C419" s="1115"/>
      <c r="D419" s="1116"/>
      <c r="E419" s="1115"/>
      <c r="F419" s="1115"/>
      <c r="G419" s="1115"/>
      <c r="H419" s="1116"/>
      <c r="I419" s="1115"/>
      <c r="J419" s="1113"/>
    </row>
    <row r="420">
      <c r="A420" s="1113"/>
      <c r="B420" s="1114"/>
      <c r="C420" s="1115"/>
      <c r="D420" s="1116"/>
      <c r="E420" s="1115"/>
      <c r="F420" s="1115"/>
      <c r="G420" s="1115"/>
      <c r="H420" s="1116"/>
      <c r="I420" s="1115"/>
      <c r="J420" s="1113"/>
    </row>
    <row r="421">
      <c r="A421" s="1113"/>
      <c r="B421" s="1114"/>
      <c r="C421" s="1115"/>
      <c r="D421" s="1116"/>
      <c r="E421" s="1115"/>
      <c r="F421" s="1115"/>
      <c r="G421" s="1115"/>
      <c r="H421" s="1116"/>
      <c r="I421" s="1115"/>
      <c r="J421" s="1113"/>
    </row>
    <row r="422">
      <c r="A422" s="1113"/>
      <c r="B422" s="1114"/>
      <c r="C422" s="1115"/>
      <c r="D422" s="1116"/>
      <c r="E422" s="1115"/>
      <c r="F422" s="1115"/>
      <c r="G422" s="1115"/>
      <c r="H422" s="1116"/>
      <c r="I422" s="1115"/>
      <c r="J422" s="1113"/>
    </row>
    <row r="423">
      <c r="A423" s="1113"/>
      <c r="B423" s="1114"/>
      <c r="C423" s="1115"/>
      <c r="D423" s="1116"/>
      <c r="E423" s="1115"/>
      <c r="F423" s="1115"/>
      <c r="G423" s="1115"/>
      <c r="H423" s="1116"/>
      <c r="I423" s="1115"/>
      <c r="J423" s="1113"/>
    </row>
    <row r="424">
      <c r="A424" s="1113"/>
      <c r="B424" s="1114"/>
      <c r="C424" s="1115"/>
      <c r="D424" s="1116"/>
      <c r="E424" s="1115"/>
      <c r="F424" s="1115"/>
      <c r="G424" s="1115"/>
      <c r="H424" s="1116"/>
      <c r="I424" s="1115"/>
      <c r="J424" s="1113"/>
    </row>
    <row r="425">
      <c r="A425" s="1113"/>
      <c r="B425" s="1114"/>
      <c r="C425" s="1115"/>
      <c r="D425" s="1116"/>
      <c r="E425" s="1115"/>
      <c r="F425" s="1115"/>
      <c r="G425" s="1115"/>
      <c r="H425" s="1116"/>
      <c r="I425" s="1115"/>
      <c r="J425" s="1113"/>
    </row>
    <row r="426">
      <c r="A426" s="1113"/>
      <c r="B426" s="1114"/>
      <c r="C426" s="1115"/>
      <c r="D426" s="1116"/>
      <c r="E426" s="1115"/>
      <c r="F426" s="1115"/>
      <c r="G426" s="1115"/>
      <c r="H426" s="1116"/>
      <c r="I426" s="1115"/>
      <c r="J426" s="1113"/>
    </row>
    <row r="427">
      <c r="A427" s="1113"/>
      <c r="B427" s="1114"/>
      <c r="C427" s="1115"/>
      <c r="D427" s="1116"/>
      <c r="E427" s="1115"/>
      <c r="F427" s="1115"/>
      <c r="G427" s="1115"/>
      <c r="H427" s="1116"/>
      <c r="I427" s="1115"/>
      <c r="J427" s="1113"/>
    </row>
    <row r="428">
      <c r="A428" s="1113"/>
      <c r="B428" s="1114"/>
      <c r="C428" s="1115"/>
      <c r="D428" s="1116"/>
      <c r="E428" s="1115"/>
      <c r="F428" s="1115"/>
      <c r="G428" s="1115"/>
      <c r="H428" s="1116"/>
      <c r="I428" s="1115"/>
      <c r="J428" s="1113"/>
    </row>
    <row r="429">
      <c r="A429" s="1113"/>
      <c r="B429" s="1114"/>
      <c r="C429" s="1115"/>
      <c r="D429" s="1116"/>
      <c r="E429" s="1115"/>
      <c r="F429" s="1115"/>
      <c r="G429" s="1115"/>
      <c r="H429" s="1116"/>
      <c r="I429" s="1115"/>
      <c r="J429" s="1113"/>
    </row>
    <row r="430">
      <c r="A430" s="1113"/>
      <c r="B430" s="1114"/>
      <c r="C430" s="1115"/>
      <c r="D430" s="1116"/>
      <c r="E430" s="1115"/>
      <c r="F430" s="1115"/>
      <c r="G430" s="1115"/>
      <c r="H430" s="1116"/>
      <c r="I430" s="1115"/>
      <c r="J430" s="1113"/>
    </row>
    <row r="431">
      <c r="A431" s="1113"/>
      <c r="B431" s="1114"/>
      <c r="C431" s="1115"/>
      <c r="D431" s="1116"/>
      <c r="E431" s="1115"/>
      <c r="F431" s="1115"/>
      <c r="G431" s="1115"/>
      <c r="H431" s="1116"/>
      <c r="I431" s="1115"/>
      <c r="J431" s="1113"/>
    </row>
    <row r="432">
      <c r="A432" s="1113"/>
      <c r="B432" s="1114"/>
      <c r="C432" s="1115"/>
      <c r="D432" s="1116"/>
      <c r="E432" s="1115"/>
      <c r="F432" s="1115"/>
      <c r="G432" s="1115"/>
      <c r="H432" s="1116"/>
      <c r="I432" s="1115"/>
      <c r="J432" s="1113"/>
    </row>
    <row r="433">
      <c r="A433" s="1113"/>
      <c r="B433" s="1114"/>
      <c r="C433" s="1115"/>
      <c r="D433" s="1116"/>
      <c r="E433" s="1115"/>
      <c r="F433" s="1115"/>
      <c r="G433" s="1115"/>
      <c r="H433" s="1116"/>
      <c r="I433" s="1115"/>
      <c r="J433" s="1113"/>
    </row>
    <row r="434">
      <c r="A434" s="1113"/>
      <c r="B434" s="1114"/>
      <c r="C434" s="1115"/>
      <c r="D434" s="1116"/>
      <c r="E434" s="1115"/>
      <c r="F434" s="1115"/>
      <c r="G434" s="1115"/>
      <c r="H434" s="1116"/>
      <c r="I434" s="1115"/>
      <c r="J434" s="1113"/>
    </row>
    <row r="435">
      <c r="A435" s="1113"/>
      <c r="B435" s="1114"/>
      <c r="C435" s="1115"/>
      <c r="D435" s="1116"/>
      <c r="E435" s="1115"/>
      <c r="F435" s="1115"/>
      <c r="G435" s="1115"/>
      <c r="H435" s="1116"/>
      <c r="I435" s="1115"/>
      <c r="J435" s="1113"/>
    </row>
    <row r="436">
      <c r="A436" s="1113"/>
      <c r="B436" s="1114"/>
      <c r="C436" s="1115"/>
      <c r="D436" s="1116"/>
      <c r="E436" s="1115"/>
      <c r="F436" s="1115"/>
      <c r="G436" s="1115"/>
      <c r="H436" s="1116"/>
      <c r="I436" s="1115"/>
      <c r="J436" s="1113"/>
    </row>
    <row r="437">
      <c r="A437" s="1113"/>
      <c r="B437" s="1114"/>
      <c r="C437" s="1115"/>
      <c r="D437" s="1116"/>
      <c r="E437" s="1115"/>
      <c r="F437" s="1115"/>
      <c r="G437" s="1115"/>
      <c r="H437" s="1116"/>
      <c r="I437" s="1115"/>
      <c r="J437" s="1113"/>
    </row>
    <row r="438">
      <c r="A438" s="1113"/>
      <c r="B438" s="1114"/>
      <c r="C438" s="1115"/>
      <c r="D438" s="1116"/>
      <c r="E438" s="1115"/>
      <c r="F438" s="1115"/>
      <c r="G438" s="1115"/>
      <c r="H438" s="1116"/>
      <c r="I438" s="1115"/>
      <c r="J438" s="1113"/>
    </row>
    <row r="439">
      <c r="A439" s="1113"/>
      <c r="B439" s="1114"/>
      <c r="C439" s="1115"/>
      <c r="D439" s="1116"/>
      <c r="E439" s="1115"/>
      <c r="F439" s="1115"/>
      <c r="G439" s="1115"/>
      <c r="H439" s="1116"/>
      <c r="I439" s="1115"/>
      <c r="J439" s="1113"/>
    </row>
    <row r="440">
      <c r="A440" s="1113"/>
      <c r="B440" s="1114"/>
      <c r="C440" s="1115"/>
      <c r="D440" s="1116"/>
      <c r="E440" s="1115"/>
      <c r="F440" s="1115"/>
      <c r="G440" s="1115"/>
      <c r="H440" s="1116"/>
      <c r="I440" s="1115"/>
      <c r="J440" s="1113"/>
    </row>
    <row r="441">
      <c r="A441" s="1113"/>
      <c r="B441" s="1114"/>
      <c r="C441" s="1115"/>
      <c r="D441" s="1116"/>
      <c r="E441" s="1115"/>
      <c r="F441" s="1115"/>
      <c r="G441" s="1115"/>
      <c r="H441" s="1116"/>
      <c r="I441" s="1115"/>
      <c r="J441" s="1113"/>
    </row>
    <row r="442">
      <c r="A442" s="1113"/>
      <c r="B442" s="1114"/>
      <c r="C442" s="1115"/>
      <c r="D442" s="1116"/>
      <c r="E442" s="1115"/>
      <c r="F442" s="1115"/>
      <c r="G442" s="1115"/>
      <c r="H442" s="1116"/>
      <c r="I442" s="1115"/>
      <c r="J442" s="1113"/>
    </row>
    <row r="443">
      <c r="A443" s="1113"/>
      <c r="B443" s="1114"/>
      <c r="C443" s="1115"/>
      <c r="D443" s="1116"/>
      <c r="E443" s="1115"/>
      <c r="F443" s="1115"/>
      <c r="G443" s="1115"/>
      <c r="H443" s="1116"/>
      <c r="I443" s="1115"/>
      <c r="J443" s="1113"/>
    </row>
    <row r="444">
      <c r="A444" s="1113"/>
      <c r="B444" s="1114"/>
      <c r="C444" s="1115"/>
      <c r="D444" s="1116"/>
      <c r="E444" s="1115"/>
      <c r="F444" s="1115"/>
      <c r="G444" s="1115"/>
      <c r="H444" s="1116"/>
      <c r="I444" s="1115"/>
      <c r="J444" s="1113"/>
    </row>
    <row r="445">
      <c r="A445" s="1113"/>
      <c r="B445" s="1114"/>
      <c r="C445" s="1115"/>
      <c r="D445" s="1116"/>
      <c r="E445" s="1115"/>
      <c r="F445" s="1115"/>
      <c r="G445" s="1115"/>
      <c r="H445" s="1116"/>
      <c r="I445" s="1115"/>
      <c r="J445" s="1113"/>
    </row>
    <row r="446">
      <c r="A446" s="1113"/>
      <c r="B446" s="1114"/>
      <c r="C446" s="1115"/>
      <c r="D446" s="1116"/>
      <c r="E446" s="1115"/>
      <c r="F446" s="1115"/>
      <c r="G446" s="1115"/>
      <c r="H446" s="1116"/>
      <c r="I446" s="1115"/>
      <c r="J446" s="1113"/>
    </row>
    <row r="447">
      <c r="A447" s="1113"/>
      <c r="B447" s="1114"/>
      <c r="C447" s="1115"/>
      <c r="D447" s="1116"/>
      <c r="E447" s="1115"/>
      <c r="F447" s="1115"/>
      <c r="G447" s="1115"/>
      <c r="H447" s="1116"/>
      <c r="I447" s="1115"/>
      <c r="J447" s="1113"/>
    </row>
    <row r="448">
      <c r="A448" s="1113"/>
      <c r="B448" s="1114"/>
      <c r="C448" s="1115"/>
      <c r="D448" s="1116"/>
      <c r="E448" s="1115"/>
      <c r="F448" s="1115"/>
      <c r="G448" s="1115"/>
      <c r="H448" s="1116"/>
      <c r="I448" s="1115"/>
      <c r="J448" s="1113"/>
    </row>
    <row r="449">
      <c r="A449" s="1113"/>
      <c r="B449" s="1114"/>
      <c r="C449" s="1115"/>
      <c r="D449" s="1116"/>
      <c r="E449" s="1115"/>
      <c r="F449" s="1115"/>
      <c r="G449" s="1115"/>
      <c r="H449" s="1116"/>
      <c r="I449" s="1115"/>
      <c r="J449" s="1113"/>
    </row>
    <row r="450">
      <c r="A450" s="1113"/>
      <c r="B450" s="1114"/>
      <c r="C450" s="1115"/>
      <c r="D450" s="1116"/>
      <c r="E450" s="1115"/>
      <c r="F450" s="1115"/>
      <c r="G450" s="1115"/>
      <c r="H450" s="1116"/>
      <c r="I450" s="1115"/>
      <c r="J450" s="1113"/>
    </row>
    <row r="451">
      <c r="A451" s="1113"/>
      <c r="B451" s="1114"/>
      <c r="C451" s="1115"/>
      <c r="D451" s="1116"/>
      <c r="E451" s="1115"/>
      <c r="F451" s="1115"/>
      <c r="G451" s="1115"/>
      <c r="H451" s="1116"/>
      <c r="I451" s="1115"/>
      <c r="J451" s="1113"/>
    </row>
    <row r="452">
      <c r="A452" s="1113"/>
      <c r="B452" s="1114"/>
      <c r="C452" s="1115"/>
      <c r="D452" s="1116"/>
      <c r="E452" s="1115"/>
      <c r="F452" s="1115"/>
      <c r="G452" s="1115"/>
      <c r="H452" s="1116"/>
      <c r="I452" s="1115"/>
      <c r="J452" s="1113"/>
    </row>
    <row r="453">
      <c r="A453" s="1113"/>
      <c r="B453" s="1114"/>
      <c r="C453" s="1115"/>
      <c r="D453" s="1116"/>
      <c r="E453" s="1115"/>
      <c r="F453" s="1115"/>
      <c r="G453" s="1115"/>
      <c r="H453" s="1116"/>
      <c r="I453" s="1115"/>
      <c r="J453" s="1113"/>
    </row>
    <row r="454">
      <c r="A454" s="1113"/>
      <c r="B454" s="1114"/>
      <c r="C454" s="1115"/>
      <c r="D454" s="1116"/>
      <c r="E454" s="1115"/>
      <c r="F454" s="1115"/>
      <c r="G454" s="1115"/>
      <c r="H454" s="1116"/>
      <c r="I454" s="1115"/>
      <c r="J454" s="1113"/>
    </row>
    <row r="455">
      <c r="A455" s="1113"/>
      <c r="B455" s="1114"/>
      <c r="C455" s="1115"/>
      <c r="D455" s="1116"/>
      <c r="E455" s="1115"/>
      <c r="F455" s="1115"/>
      <c r="G455" s="1115"/>
      <c r="H455" s="1116"/>
      <c r="I455" s="1115"/>
      <c r="J455" s="1113"/>
    </row>
    <row r="456">
      <c r="A456" s="1113"/>
      <c r="B456" s="1114"/>
      <c r="C456" s="1115"/>
      <c r="D456" s="1116"/>
      <c r="E456" s="1115"/>
      <c r="F456" s="1115"/>
      <c r="G456" s="1115"/>
      <c r="H456" s="1116"/>
      <c r="I456" s="1115"/>
      <c r="J456" s="1113"/>
    </row>
    <row r="457">
      <c r="A457" s="1113"/>
      <c r="B457" s="1114"/>
      <c r="C457" s="1115"/>
      <c r="D457" s="1116"/>
      <c r="E457" s="1115"/>
      <c r="F457" s="1115"/>
      <c r="G457" s="1115"/>
      <c r="H457" s="1116"/>
      <c r="I457" s="1115"/>
      <c r="J457" s="1113"/>
    </row>
    <row r="458">
      <c r="A458" s="1113"/>
      <c r="B458" s="1114"/>
      <c r="C458" s="1115"/>
      <c r="D458" s="1116"/>
      <c r="E458" s="1115"/>
      <c r="F458" s="1115"/>
      <c r="G458" s="1115"/>
      <c r="H458" s="1116"/>
      <c r="I458" s="1115"/>
      <c r="J458" s="1113"/>
    </row>
    <row r="459">
      <c r="A459" s="1113"/>
      <c r="B459" s="1114"/>
      <c r="C459" s="1115"/>
      <c r="D459" s="1116"/>
      <c r="E459" s="1115"/>
      <c r="F459" s="1115"/>
      <c r="G459" s="1115"/>
      <c r="H459" s="1116"/>
      <c r="I459" s="1115"/>
      <c r="J459" s="1113"/>
    </row>
    <row r="460">
      <c r="A460" s="1113"/>
      <c r="B460" s="1114"/>
      <c r="C460" s="1115"/>
      <c r="D460" s="1116"/>
      <c r="E460" s="1115"/>
      <c r="F460" s="1115"/>
      <c r="G460" s="1115"/>
      <c r="H460" s="1116"/>
      <c r="I460" s="1115"/>
      <c r="J460" s="1113"/>
    </row>
    <row r="461">
      <c r="A461" s="1113"/>
      <c r="B461" s="1114"/>
      <c r="C461" s="1115"/>
      <c r="D461" s="1116"/>
      <c r="E461" s="1115"/>
      <c r="F461" s="1115"/>
      <c r="G461" s="1115"/>
      <c r="H461" s="1116"/>
      <c r="I461" s="1115"/>
      <c r="J461" s="1113"/>
    </row>
    <row r="462">
      <c r="A462" s="1113"/>
      <c r="B462" s="1114"/>
      <c r="C462" s="1115"/>
      <c r="D462" s="1116"/>
      <c r="E462" s="1115"/>
      <c r="F462" s="1115"/>
      <c r="G462" s="1115"/>
      <c r="H462" s="1116"/>
      <c r="I462" s="1115"/>
      <c r="J462" s="1113"/>
    </row>
    <row r="463">
      <c r="A463" s="1113"/>
      <c r="B463" s="1114"/>
      <c r="C463" s="1115"/>
      <c r="D463" s="1116"/>
      <c r="E463" s="1115"/>
      <c r="F463" s="1115"/>
      <c r="G463" s="1115"/>
      <c r="H463" s="1116"/>
      <c r="I463" s="1115"/>
      <c r="J463" s="1113"/>
    </row>
    <row r="464">
      <c r="A464" s="1113"/>
      <c r="B464" s="1114"/>
      <c r="C464" s="1115"/>
      <c r="D464" s="1116"/>
      <c r="E464" s="1115"/>
      <c r="F464" s="1115"/>
      <c r="G464" s="1115"/>
      <c r="H464" s="1116"/>
      <c r="I464" s="1115"/>
      <c r="J464" s="1113"/>
    </row>
    <row r="465">
      <c r="A465" s="1113"/>
      <c r="B465" s="1114"/>
      <c r="C465" s="1115"/>
      <c r="D465" s="1116"/>
      <c r="E465" s="1115"/>
      <c r="F465" s="1115"/>
      <c r="G465" s="1115"/>
      <c r="H465" s="1116"/>
      <c r="I465" s="1115"/>
      <c r="J465" s="1113"/>
    </row>
    <row r="466">
      <c r="A466" s="1113"/>
      <c r="B466" s="1114"/>
      <c r="C466" s="1115"/>
      <c r="D466" s="1116"/>
      <c r="E466" s="1115"/>
      <c r="F466" s="1115"/>
      <c r="G466" s="1115"/>
      <c r="H466" s="1116"/>
      <c r="I466" s="1115"/>
      <c r="J466" s="1113"/>
    </row>
    <row r="467">
      <c r="A467" s="1113"/>
      <c r="B467" s="1114"/>
      <c r="C467" s="1115"/>
      <c r="D467" s="1116"/>
      <c r="E467" s="1115"/>
      <c r="F467" s="1115"/>
      <c r="G467" s="1115"/>
      <c r="H467" s="1116"/>
      <c r="I467" s="1115"/>
      <c r="J467" s="1113"/>
    </row>
    <row r="468">
      <c r="A468" s="1113"/>
      <c r="B468" s="1114"/>
      <c r="C468" s="1115"/>
      <c r="D468" s="1116"/>
      <c r="E468" s="1115"/>
      <c r="F468" s="1115"/>
      <c r="G468" s="1115"/>
      <c r="H468" s="1116"/>
      <c r="I468" s="1115"/>
      <c r="J468" s="1113"/>
    </row>
    <row r="469">
      <c r="A469" s="1113"/>
      <c r="B469" s="1114"/>
      <c r="C469" s="1115"/>
      <c r="D469" s="1116"/>
      <c r="E469" s="1115"/>
      <c r="F469" s="1115"/>
      <c r="G469" s="1115"/>
      <c r="H469" s="1116"/>
      <c r="I469" s="1115"/>
      <c r="J469" s="1113"/>
    </row>
    <row r="470">
      <c r="A470" s="1113"/>
      <c r="B470" s="1114"/>
      <c r="C470" s="1115"/>
      <c r="D470" s="1116"/>
      <c r="E470" s="1115"/>
      <c r="F470" s="1115"/>
      <c r="G470" s="1115"/>
      <c r="H470" s="1116"/>
      <c r="I470" s="1115"/>
      <c r="J470" s="1113"/>
    </row>
    <row r="471">
      <c r="A471" s="1113"/>
      <c r="B471" s="1114"/>
      <c r="C471" s="1115"/>
      <c r="D471" s="1116"/>
      <c r="E471" s="1115"/>
      <c r="F471" s="1115"/>
      <c r="G471" s="1115"/>
      <c r="H471" s="1116"/>
      <c r="I471" s="1115"/>
      <c r="J471" s="1113"/>
    </row>
    <row r="472">
      <c r="A472" s="1113"/>
      <c r="B472" s="1114"/>
      <c r="C472" s="1115"/>
      <c r="D472" s="1116"/>
      <c r="E472" s="1115"/>
      <c r="F472" s="1115"/>
      <c r="G472" s="1115"/>
      <c r="H472" s="1116"/>
      <c r="I472" s="1115"/>
      <c r="J472" s="1113"/>
    </row>
    <row r="473">
      <c r="A473" s="1113"/>
      <c r="B473" s="1114"/>
      <c r="C473" s="1115"/>
      <c r="D473" s="1116"/>
      <c r="E473" s="1115"/>
      <c r="F473" s="1115"/>
      <c r="G473" s="1115"/>
      <c r="H473" s="1116"/>
      <c r="I473" s="1115"/>
      <c r="J473" s="1113"/>
    </row>
    <row r="474">
      <c r="A474" s="1113"/>
      <c r="B474" s="1114"/>
      <c r="C474" s="1115"/>
      <c r="D474" s="1116"/>
      <c r="E474" s="1115"/>
      <c r="F474" s="1115"/>
      <c r="G474" s="1115"/>
      <c r="H474" s="1116"/>
      <c r="I474" s="1115"/>
      <c r="J474" s="1113"/>
    </row>
    <row r="475">
      <c r="A475" s="1113"/>
      <c r="B475" s="1114"/>
      <c r="C475" s="1115"/>
      <c r="D475" s="1116"/>
      <c r="E475" s="1115"/>
      <c r="F475" s="1115"/>
      <c r="G475" s="1115"/>
      <c r="H475" s="1116"/>
      <c r="I475" s="1115"/>
      <c r="J475" s="1113"/>
    </row>
    <row r="476">
      <c r="A476" s="1113"/>
      <c r="B476" s="1114"/>
      <c r="C476" s="1115"/>
      <c r="D476" s="1116"/>
      <c r="E476" s="1115"/>
      <c r="F476" s="1115"/>
      <c r="G476" s="1115"/>
      <c r="H476" s="1116"/>
      <c r="I476" s="1115"/>
      <c r="J476" s="1113"/>
    </row>
    <row r="477">
      <c r="A477" s="1113"/>
      <c r="B477" s="1114"/>
      <c r="C477" s="1115"/>
      <c r="D477" s="1116"/>
      <c r="E477" s="1115"/>
      <c r="F477" s="1115"/>
      <c r="G477" s="1115"/>
      <c r="H477" s="1116"/>
      <c r="I477" s="1115"/>
      <c r="J477" s="1113"/>
    </row>
    <row r="478">
      <c r="A478" s="1113"/>
      <c r="B478" s="1114"/>
      <c r="C478" s="1115"/>
      <c r="D478" s="1116"/>
      <c r="E478" s="1115"/>
      <c r="F478" s="1115"/>
      <c r="G478" s="1115"/>
      <c r="H478" s="1116"/>
      <c r="I478" s="1115"/>
      <c r="J478" s="1113"/>
    </row>
    <row r="479">
      <c r="A479" s="1113"/>
      <c r="B479" s="1114"/>
      <c r="C479" s="1115"/>
      <c r="D479" s="1116"/>
      <c r="E479" s="1115"/>
      <c r="F479" s="1115"/>
      <c r="G479" s="1115"/>
      <c r="H479" s="1116"/>
      <c r="I479" s="1115"/>
      <c r="J479" s="1113"/>
    </row>
    <row r="480">
      <c r="A480" s="1113"/>
      <c r="B480" s="1114"/>
      <c r="C480" s="1115"/>
      <c r="D480" s="1116"/>
      <c r="E480" s="1115"/>
      <c r="F480" s="1115"/>
      <c r="G480" s="1115"/>
      <c r="H480" s="1116"/>
      <c r="I480" s="1115"/>
      <c r="J480" s="1113"/>
    </row>
    <row r="481">
      <c r="A481" s="1113"/>
      <c r="B481" s="1114"/>
      <c r="C481" s="1115"/>
      <c r="D481" s="1116"/>
      <c r="E481" s="1115"/>
      <c r="F481" s="1115"/>
      <c r="G481" s="1115"/>
      <c r="H481" s="1116"/>
      <c r="I481" s="1115"/>
      <c r="J481" s="1113"/>
    </row>
    <row r="482">
      <c r="A482" s="1113"/>
      <c r="B482" s="1114"/>
      <c r="C482" s="1115"/>
      <c r="D482" s="1116"/>
      <c r="E482" s="1115"/>
      <c r="F482" s="1115"/>
      <c r="G482" s="1115"/>
      <c r="H482" s="1116"/>
      <c r="I482" s="1115"/>
      <c r="J482" s="1113"/>
    </row>
    <row r="483">
      <c r="A483" s="1113"/>
      <c r="B483" s="1114"/>
      <c r="C483" s="1115"/>
      <c r="D483" s="1116"/>
      <c r="E483" s="1115"/>
      <c r="F483" s="1115"/>
      <c r="G483" s="1115"/>
      <c r="H483" s="1116"/>
      <c r="I483" s="1115"/>
      <c r="J483" s="1113"/>
    </row>
    <row r="484">
      <c r="A484" s="1113"/>
      <c r="B484" s="1114"/>
      <c r="C484" s="1115"/>
      <c r="D484" s="1116"/>
      <c r="E484" s="1115"/>
      <c r="F484" s="1115"/>
      <c r="G484" s="1115"/>
      <c r="H484" s="1116"/>
      <c r="I484" s="1115"/>
      <c r="J484" s="1113"/>
    </row>
    <row r="485">
      <c r="A485" s="1113"/>
      <c r="B485" s="1114"/>
      <c r="C485" s="1115"/>
      <c r="D485" s="1116"/>
      <c r="E485" s="1115"/>
      <c r="F485" s="1115"/>
      <c r="G485" s="1115"/>
      <c r="H485" s="1116"/>
      <c r="I485" s="1115"/>
      <c r="J485" s="1113"/>
    </row>
    <row r="486">
      <c r="A486" s="1113"/>
      <c r="B486" s="1114"/>
      <c r="C486" s="1115"/>
      <c r="D486" s="1116"/>
      <c r="E486" s="1115"/>
      <c r="F486" s="1115"/>
      <c r="G486" s="1115"/>
      <c r="H486" s="1116"/>
      <c r="I486" s="1115"/>
      <c r="J486" s="1113"/>
    </row>
    <row r="487">
      <c r="A487" s="1113"/>
      <c r="B487" s="1114"/>
      <c r="C487" s="1115"/>
      <c r="D487" s="1116"/>
      <c r="E487" s="1115"/>
      <c r="F487" s="1115"/>
      <c r="G487" s="1115"/>
      <c r="H487" s="1116"/>
      <c r="I487" s="1115"/>
      <c r="J487" s="1113"/>
    </row>
    <row r="488">
      <c r="A488" s="1113"/>
      <c r="B488" s="1114"/>
      <c r="C488" s="1115"/>
      <c r="D488" s="1116"/>
      <c r="E488" s="1115"/>
      <c r="F488" s="1115"/>
      <c r="G488" s="1115"/>
      <c r="H488" s="1116"/>
      <c r="I488" s="1115"/>
      <c r="J488" s="1113"/>
    </row>
    <row r="489">
      <c r="A489" s="1113"/>
      <c r="B489" s="1114"/>
      <c r="C489" s="1115"/>
      <c r="D489" s="1116"/>
      <c r="E489" s="1115"/>
      <c r="F489" s="1115"/>
      <c r="G489" s="1115"/>
      <c r="H489" s="1116"/>
      <c r="I489" s="1115"/>
      <c r="J489" s="1113"/>
    </row>
    <row r="490">
      <c r="A490" s="1113"/>
      <c r="B490" s="1114"/>
      <c r="C490" s="1115"/>
      <c r="D490" s="1116"/>
      <c r="E490" s="1115"/>
      <c r="F490" s="1115"/>
      <c r="G490" s="1115"/>
      <c r="H490" s="1116"/>
      <c r="I490" s="1115"/>
      <c r="J490" s="1113"/>
    </row>
    <row r="491">
      <c r="A491" s="1113"/>
      <c r="B491" s="1114"/>
      <c r="C491" s="1115"/>
      <c r="D491" s="1116"/>
      <c r="E491" s="1115"/>
      <c r="F491" s="1115"/>
      <c r="G491" s="1115"/>
      <c r="H491" s="1116"/>
      <c r="I491" s="1115"/>
      <c r="J491" s="1113"/>
    </row>
    <row r="492">
      <c r="A492" s="1113"/>
      <c r="B492" s="1114"/>
      <c r="C492" s="1115"/>
      <c r="D492" s="1116"/>
      <c r="E492" s="1115"/>
      <c r="F492" s="1115"/>
      <c r="G492" s="1115"/>
      <c r="H492" s="1116"/>
      <c r="I492" s="1115"/>
      <c r="J492" s="1113"/>
    </row>
    <row r="493">
      <c r="A493" s="1113"/>
      <c r="B493" s="1114"/>
      <c r="C493" s="1115"/>
      <c r="D493" s="1116"/>
      <c r="E493" s="1115"/>
      <c r="F493" s="1115"/>
      <c r="G493" s="1115"/>
      <c r="H493" s="1116"/>
      <c r="I493" s="1115"/>
      <c r="J493" s="1113"/>
    </row>
    <row r="494">
      <c r="A494" s="1113"/>
      <c r="B494" s="1114"/>
      <c r="C494" s="1115"/>
      <c r="D494" s="1116"/>
      <c r="E494" s="1115"/>
      <c r="F494" s="1115"/>
      <c r="G494" s="1115"/>
      <c r="H494" s="1116"/>
      <c r="I494" s="1115"/>
      <c r="J494" s="1113"/>
    </row>
    <row r="495">
      <c r="A495" s="1113"/>
      <c r="B495" s="1114"/>
      <c r="C495" s="1115"/>
      <c r="D495" s="1116"/>
      <c r="E495" s="1115"/>
      <c r="F495" s="1115"/>
      <c r="G495" s="1115"/>
      <c r="H495" s="1116"/>
      <c r="I495" s="1115"/>
      <c r="J495" s="1113"/>
    </row>
    <row r="496">
      <c r="A496" s="1113"/>
      <c r="B496" s="1114"/>
      <c r="C496" s="1115"/>
      <c r="D496" s="1116"/>
      <c r="E496" s="1115"/>
      <c r="F496" s="1115"/>
      <c r="G496" s="1115"/>
      <c r="H496" s="1116"/>
      <c r="I496" s="1115"/>
      <c r="J496" s="1113"/>
    </row>
    <row r="497">
      <c r="A497" s="1113"/>
      <c r="B497" s="1114"/>
      <c r="C497" s="1115"/>
      <c r="D497" s="1116"/>
      <c r="E497" s="1115"/>
      <c r="F497" s="1115"/>
      <c r="G497" s="1115"/>
      <c r="H497" s="1116"/>
      <c r="I497" s="1115"/>
      <c r="J497" s="1113"/>
    </row>
    <row r="498">
      <c r="A498" s="1113"/>
      <c r="B498" s="1114"/>
      <c r="C498" s="1115"/>
      <c r="D498" s="1116"/>
      <c r="E498" s="1115"/>
      <c r="F498" s="1115"/>
      <c r="G498" s="1115"/>
      <c r="H498" s="1116"/>
      <c r="I498" s="1115"/>
      <c r="J498" s="1113"/>
    </row>
    <row r="499">
      <c r="A499" s="1113"/>
      <c r="B499" s="1114"/>
      <c r="C499" s="1115"/>
      <c r="D499" s="1116"/>
      <c r="E499" s="1115"/>
      <c r="F499" s="1115"/>
      <c r="G499" s="1115"/>
      <c r="H499" s="1116"/>
      <c r="I499" s="1115"/>
      <c r="J499" s="1113"/>
    </row>
    <row r="500">
      <c r="A500" s="1113"/>
      <c r="B500" s="1114"/>
      <c r="C500" s="1115"/>
      <c r="D500" s="1116"/>
      <c r="E500" s="1115"/>
      <c r="F500" s="1115"/>
      <c r="G500" s="1115"/>
      <c r="H500" s="1116"/>
      <c r="I500" s="1115"/>
      <c r="J500" s="1113"/>
    </row>
    <row r="501">
      <c r="A501" s="1113"/>
      <c r="B501" s="1114"/>
      <c r="C501" s="1115"/>
      <c r="D501" s="1116"/>
      <c r="E501" s="1115"/>
      <c r="F501" s="1115"/>
      <c r="G501" s="1115"/>
      <c r="H501" s="1116"/>
      <c r="I501" s="1115"/>
      <c r="J501" s="1113"/>
    </row>
    <row r="502">
      <c r="A502" s="1113"/>
      <c r="B502" s="1114"/>
      <c r="C502" s="1115"/>
      <c r="D502" s="1116"/>
      <c r="E502" s="1115"/>
      <c r="F502" s="1115"/>
      <c r="G502" s="1115"/>
      <c r="H502" s="1116"/>
      <c r="I502" s="1115"/>
      <c r="J502" s="1113"/>
    </row>
    <row r="503">
      <c r="A503" s="1113"/>
      <c r="B503" s="1114"/>
      <c r="C503" s="1115"/>
      <c r="D503" s="1116"/>
      <c r="E503" s="1115"/>
      <c r="F503" s="1115"/>
      <c r="G503" s="1115"/>
      <c r="H503" s="1116"/>
      <c r="I503" s="1115"/>
      <c r="J503" s="1113"/>
    </row>
    <row r="504">
      <c r="A504" s="1113"/>
      <c r="B504" s="1114"/>
      <c r="C504" s="1115"/>
      <c r="D504" s="1116"/>
      <c r="E504" s="1115"/>
      <c r="F504" s="1115"/>
      <c r="G504" s="1115"/>
      <c r="H504" s="1116"/>
      <c r="I504" s="1115"/>
      <c r="J504" s="1113"/>
    </row>
    <row r="505">
      <c r="A505" s="1113"/>
      <c r="B505" s="1114"/>
      <c r="C505" s="1115"/>
      <c r="D505" s="1116"/>
      <c r="E505" s="1115"/>
      <c r="F505" s="1115"/>
      <c r="G505" s="1115"/>
      <c r="H505" s="1116"/>
      <c r="I505" s="1115"/>
      <c r="J505" s="1113"/>
    </row>
    <row r="506">
      <c r="A506" s="1113"/>
      <c r="B506" s="1114"/>
      <c r="C506" s="1115"/>
      <c r="D506" s="1116"/>
      <c r="E506" s="1115"/>
      <c r="F506" s="1115"/>
      <c r="G506" s="1115"/>
      <c r="H506" s="1116"/>
      <c r="I506" s="1115"/>
      <c r="J506" s="1113"/>
    </row>
    <row r="507">
      <c r="A507" s="1113"/>
      <c r="B507" s="1114"/>
      <c r="C507" s="1115"/>
      <c r="D507" s="1116"/>
      <c r="E507" s="1115"/>
      <c r="F507" s="1115"/>
      <c r="G507" s="1115"/>
      <c r="H507" s="1116"/>
      <c r="I507" s="1115"/>
      <c r="J507" s="1113"/>
    </row>
    <row r="508">
      <c r="A508" s="1113"/>
      <c r="B508" s="1114"/>
      <c r="C508" s="1115"/>
      <c r="D508" s="1116"/>
      <c r="E508" s="1115"/>
      <c r="F508" s="1115"/>
      <c r="G508" s="1115"/>
      <c r="H508" s="1116"/>
      <c r="I508" s="1115"/>
      <c r="J508" s="1113"/>
    </row>
    <row r="509">
      <c r="A509" s="1113"/>
      <c r="B509" s="1114"/>
      <c r="C509" s="1115"/>
      <c r="D509" s="1116"/>
      <c r="E509" s="1115"/>
      <c r="F509" s="1115"/>
      <c r="G509" s="1115"/>
      <c r="H509" s="1116"/>
      <c r="I509" s="1115"/>
      <c r="J509" s="1113"/>
    </row>
    <row r="510">
      <c r="A510" s="1113"/>
      <c r="B510" s="1114"/>
      <c r="C510" s="1115"/>
      <c r="D510" s="1116"/>
      <c r="E510" s="1115"/>
      <c r="F510" s="1115"/>
      <c r="G510" s="1115"/>
      <c r="H510" s="1116"/>
      <c r="I510" s="1115"/>
      <c r="J510" s="1113"/>
    </row>
    <row r="511">
      <c r="A511" s="1113"/>
      <c r="B511" s="1114"/>
      <c r="C511" s="1115"/>
      <c r="D511" s="1116"/>
      <c r="E511" s="1115"/>
      <c r="F511" s="1115"/>
      <c r="G511" s="1115"/>
      <c r="H511" s="1116"/>
      <c r="I511" s="1115"/>
      <c r="J511" s="1113"/>
    </row>
    <row r="512">
      <c r="A512" s="1113"/>
      <c r="B512" s="1114"/>
      <c r="C512" s="1115"/>
      <c r="D512" s="1116"/>
      <c r="E512" s="1115"/>
      <c r="F512" s="1115"/>
      <c r="G512" s="1115"/>
      <c r="H512" s="1116"/>
      <c r="I512" s="1115"/>
      <c r="J512" s="1113"/>
    </row>
    <row r="513">
      <c r="A513" s="1113"/>
      <c r="B513" s="1114"/>
      <c r="C513" s="1115"/>
      <c r="D513" s="1116"/>
      <c r="E513" s="1115"/>
      <c r="F513" s="1115"/>
      <c r="G513" s="1115"/>
      <c r="H513" s="1116"/>
      <c r="I513" s="1115"/>
      <c r="J513" s="1113"/>
    </row>
    <row r="514">
      <c r="A514" s="1113"/>
      <c r="B514" s="1114"/>
      <c r="C514" s="1115"/>
      <c r="D514" s="1116"/>
      <c r="E514" s="1115"/>
      <c r="F514" s="1115"/>
      <c r="G514" s="1115"/>
      <c r="H514" s="1116"/>
      <c r="I514" s="1115"/>
      <c r="J514" s="1113"/>
    </row>
    <row r="515">
      <c r="A515" s="1113"/>
      <c r="B515" s="1114"/>
      <c r="C515" s="1115"/>
      <c r="D515" s="1116"/>
      <c r="E515" s="1115"/>
      <c r="F515" s="1115"/>
      <c r="G515" s="1115"/>
      <c r="H515" s="1116"/>
      <c r="I515" s="1115"/>
      <c r="J515" s="1113"/>
    </row>
    <row r="516">
      <c r="A516" s="1113"/>
      <c r="B516" s="1114"/>
      <c r="C516" s="1115"/>
      <c r="D516" s="1116"/>
      <c r="E516" s="1115"/>
      <c r="F516" s="1115"/>
      <c r="G516" s="1115"/>
      <c r="H516" s="1116"/>
      <c r="I516" s="1115"/>
      <c r="J516" s="1113"/>
    </row>
    <row r="517">
      <c r="A517" s="1113"/>
      <c r="B517" s="1114"/>
      <c r="C517" s="1115"/>
      <c r="D517" s="1116"/>
      <c r="E517" s="1115"/>
      <c r="F517" s="1115"/>
      <c r="G517" s="1115"/>
      <c r="H517" s="1116"/>
      <c r="I517" s="1115"/>
      <c r="J517" s="1113"/>
    </row>
    <row r="518">
      <c r="A518" s="1113"/>
      <c r="B518" s="1114"/>
      <c r="C518" s="1115"/>
      <c r="D518" s="1116"/>
      <c r="E518" s="1115"/>
      <c r="F518" s="1115"/>
      <c r="G518" s="1115"/>
      <c r="H518" s="1116"/>
      <c r="I518" s="1115"/>
      <c r="J518" s="1113"/>
    </row>
    <row r="519">
      <c r="A519" s="1113"/>
      <c r="B519" s="1114"/>
      <c r="C519" s="1115"/>
      <c r="D519" s="1116"/>
      <c r="E519" s="1115"/>
      <c r="F519" s="1115"/>
      <c r="G519" s="1115"/>
      <c r="H519" s="1116"/>
      <c r="I519" s="1115"/>
      <c r="J519" s="1113"/>
    </row>
    <row r="520">
      <c r="A520" s="1113"/>
      <c r="B520" s="1114"/>
      <c r="C520" s="1115"/>
      <c r="D520" s="1116"/>
      <c r="E520" s="1115"/>
      <c r="F520" s="1115"/>
      <c r="G520" s="1115"/>
      <c r="H520" s="1116"/>
      <c r="I520" s="1115"/>
      <c r="J520" s="1113"/>
    </row>
    <row r="521">
      <c r="A521" s="1113"/>
      <c r="B521" s="1114"/>
      <c r="C521" s="1115"/>
      <c r="D521" s="1116"/>
      <c r="E521" s="1115"/>
      <c r="F521" s="1115"/>
      <c r="G521" s="1115"/>
      <c r="H521" s="1116"/>
      <c r="I521" s="1115"/>
      <c r="J521" s="1113"/>
    </row>
    <row r="522">
      <c r="A522" s="1113"/>
      <c r="B522" s="1114"/>
      <c r="C522" s="1115"/>
      <c r="D522" s="1116"/>
      <c r="E522" s="1115"/>
      <c r="F522" s="1115"/>
      <c r="G522" s="1115"/>
      <c r="H522" s="1116"/>
      <c r="I522" s="1115"/>
      <c r="J522" s="1113"/>
    </row>
    <row r="523">
      <c r="A523" s="1113"/>
      <c r="B523" s="1114"/>
      <c r="C523" s="1115"/>
      <c r="D523" s="1116"/>
      <c r="E523" s="1115"/>
      <c r="F523" s="1115"/>
      <c r="G523" s="1115"/>
      <c r="H523" s="1116"/>
      <c r="I523" s="1115"/>
      <c r="J523" s="1113"/>
    </row>
    <row r="524">
      <c r="A524" s="1113"/>
      <c r="B524" s="1114"/>
      <c r="C524" s="1115"/>
      <c r="D524" s="1116"/>
      <c r="E524" s="1115"/>
      <c r="F524" s="1115"/>
      <c r="G524" s="1115"/>
      <c r="H524" s="1116"/>
      <c r="I524" s="1115"/>
      <c r="J524" s="1113"/>
    </row>
    <row r="525">
      <c r="A525" s="1113"/>
      <c r="B525" s="1114"/>
      <c r="C525" s="1115"/>
      <c r="D525" s="1116"/>
      <c r="E525" s="1115"/>
      <c r="F525" s="1115"/>
      <c r="G525" s="1115"/>
      <c r="H525" s="1116"/>
      <c r="I525" s="1115"/>
      <c r="J525" s="1113"/>
    </row>
    <row r="526">
      <c r="A526" s="1113"/>
      <c r="B526" s="1114"/>
      <c r="C526" s="1115"/>
      <c r="D526" s="1116"/>
      <c r="E526" s="1115"/>
      <c r="F526" s="1115"/>
      <c r="G526" s="1115"/>
      <c r="H526" s="1116"/>
      <c r="I526" s="1115"/>
      <c r="J526" s="1113"/>
    </row>
    <row r="527">
      <c r="A527" s="1113"/>
      <c r="B527" s="1114"/>
      <c r="C527" s="1115"/>
      <c r="D527" s="1116"/>
      <c r="E527" s="1115"/>
      <c r="F527" s="1115"/>
      <c r="G527" s="1115"/>
      <c r="H527" s="1116"/>
      <c r="I527" s="1115"/>
      <c r="J527" s="1113"/>
    </row>
    <row r="528">
      <c r="A528" s="1113"/>
      <c r="B528" s="1114"/>
      <c r="C528" s="1115"/>
      <c r="D528" s="1116"/>
      <c r="E528" s="1115"/>
      <c r="F528" s="1115"/>
      <c r="G528" s="1115"/>
      <c r="H528" s="1116"/>
      <c r="I528" s="1115"/>
      <c r="J528" s="1113"/>
    </row>
    <row r="529">
      <c r="A529" s="1113"/>
      <c r="B529" s="1114"/>
      <c r="C529" s="1115"/>
      <c r="D529" s="1116"/>
      <c r="E529" s="1115"/>
      <c r="F529" s="1115"/>
      <c r="G529" s="1115"/>
      <c r="H529" s="1116"/>
      <c r="I529" s="1115"/>
      <c r="J529" s="1113"/>
    </row>
    <row r="530">
      <c r="A530" s="1113"/>
      <c r="B530" s="1114"/>
      <c r="C530" s="1115"/>
      <c r="D530" s="1116"/>
      <c r="E530" s="1115"/>
      <c r="F530" s="1115"/>
      <c r="G530" s="1115"/>
      <c r="H530" s="1116"/>
      <c r="I530" s="1115"/>
      <c r="J530" s="1113"/>
    </row>
    <row r="531">
      <c r="A531" s="1113"/>
      <c r="B531" s="1114"/>
      <c r="C531" s="1115"/>
      <c r="D531" s="1116"/>
      <c r="E531" s="1115"/>
      <c r="F531" s="1115"/>
      <c r="G531" s="1115"/>
      <c r="H531" s="1116"/>
      <c r="I531" s="1115"/>
      <c r="J531" s="1113"/>
    </row>
    <row r="532">
      <c r="A532" s="1113"/>
      <c r="B532" s="1114"/>
      <c r="C532" s="1115"/>
      <c r="D532" s="1116"/>
      <c r="E532" s="1115"/>
      <c r="F532" s="1115"/>
      <c r="G532" s="1115"/>
      <c r="H532" s="1116"/>
      <c r="I532" s="1115"/>
      <c r="J532" s="1113"/>
    </row>
    <row r="533">
      <c r="A533" s="1113"/>
      <c r="B533" s="1114"/>
      <c r="C533" s="1115"/>
      <c r="D533" s="1116"/>
      <c r="E533" s="1115"/>
      <c r="F533" s="1115"/>
      <c r="G533" s="1115"/>
      <c r="H533" s="1116"/>
      <c r="I533" s="1115"/>
      <c r="J533" s="1113"/>
    </row>
    <row r="534">
      <c r="A534" s="1113"/>
      <c r="B534" s="1114"/>
      <c r="C534" s="1115"/>
      <c r="D534" s="1116"/>
      <c r="E534" s="1115"/>
      <c r="F534" s="1115"/>
      <c r="G534" s="1115"/>
      <c r="H534" s="1116"/>
      <c r="I534" s="1115"/>
      <c r="J534" s="1113"/>
    </row>
    <row r="535">
      <c r="A535" s="1113"/>
      <c r="B535" s="1114"/>
      <c r="C535" s="1115"/>
      <c r="D535" s="1116"/>
      <c r="E535" s="1115"/>
      <c r="F535" s="1115"/>
      <c r="G535" s="1115"/>
      <c r="H535" s="1116"/>
      <c r="I535" s="1115"/>
      <c r="J535" s="1113"/>
    </row>
    <row r="536">
      <c r="A536" s="1113"/>
      <c r="B536" s="1114"/>
      <c r="C536" s="1115"/>
      <c r="D536" s="1116"/>
      <c r="E536" s="1115"/>
      <c r="F536" s="1115"/>
      <c r="G536" s="1115"/>
      <c r="H536" s="1116"/>
      <c r="I536" s="1115"/>
      <c r="J536" s="1113"/>
    </row>
    <row r="537">
      <c r="A537" s="1113"/>
      <c r="B537" s="1114"/>
      <c r="C537" s="1115"/>
      <c r="D537" s="1116"/>
      <c r="E537" s="1115"/>
      <c r="F537" s="1115"/>
      <c r="G537" s="1115"/>
      <c r="H537" s="1116"/>
      <c r="I537" s="1115"/>
      <c r="J537" s="1113"/>
    </row>
    <row r="538">
      <c r="A538" s="1113"/>
      <c r="B538" s="1114"/>
      <c r="C538" s="1115"/>
      <c r="D538" s="1116"/>
      <c r="E538" s="1115"/>
      <c r="F538" s="1115"/>
      <c r="G538" s="1115"/>
      <c r="H538" s="1116"/>
      <c r="I538" s="1115"/>
      <c r="J538" s="1113"/>
    </row>
    <row r="539">
      <c r="A539" s="1113"/>
      <c r="B539" s="1114"/>
      <c r="C539" s="1115"/>
      <c r="D539" s="1116"/>
      <c r="E539" s="1115"/>
      <c r="F539" s="1115"/>
      <c r="G539" s="1115"/>
      <c r="H539" s="1116"/>
      <c r="I539" s="1115"/>
      <c r="J539" s="1113"/>
    </row>
    <row r="540">
      <c r="A540" s="1113"/>
      <c r="B540" s="1114"/>
      <c r="C540" s="1115"/>
      <c r="D540" s="1116"/>
      <c r="E540" s="1115"/>
      <c r="F540" s="1115"/>
      <c r="G540" s="1115"/>
      <c r="H540" s="1116"/>
      <c r="I540" s="1115"/>
      <c r="J540" s="1113"/>
    </row>
    <row r="541">
      <c r="A541" s="1113"/>
      <c r="B541" s="1114"/>
      <c r="C541" s="1115"/>
      <c r="D541" s="1116"/>
      <c r="E541" s="1115"/>
      <c r="F541" s="1115"/>
      <c r="G541" s="1115"/>
      <c r="H541" s="1116"/>
      <c r="I541" s="1115"/>
      <c r="J541" s="1113"/>
    </row>
    <row r="542">
      <c r="A542" s="1113"/>
      <c r="B542" s="1114"/>
      <c r="C542" s="1115"/>
      <c r="D542" s="1116"/>
      <c r="E542" s="1115"/>
      <c r="F542" s="1115"/>
      <c r="G542" s="1115"/>
      <c r="H542" s="1116"/>
      <c r="I542" s="1115"/>
      <c r="J542" s="1113"/>
    </row>
    <row r="543">
      <c r="A543" s="1113"/>
      <c r="B543" s="1114"/>
      <c r="C543" s="1115"/>
      <c r="D543" s="1116"/>
      <c r="E543" s="1115"/>
      <c r="F543" s="1115"/>
      <c r="G543" s="1115"/>
      <c r="H543" s="1116"/>
      <c r="I543" s="1115"/>
      <c r="J543" s="1113"/>
    </row>
    <row r="544">
      <c r="A544" s="1113"/>
      <c r="B544" s="1114"/>
      <c r="C544" s="1115"/>
      <c r="D544" s="1116"/>
      <c r="E544" s="1115"/>
      <c r="F544" s="1115"/>
      <c r="G544" s="1115"/>
      <c r="H544" s="1116"/>
      <c r="I544" s="1115"/>
      <c r="J544" s="1113"/>
    </row>
    <row r="545">
      <c r="A545" s="1113"/>
      <c r="B545" s="1114"/>
      <c r="C545" s="1115"/>
      <c r="D545" s="1116"/>
      <c r="E545" s="1115"/>
      <c r="F545" s="1115"/>
      <c r="G545" s="1115"/>
      <c r="H545" s="1116"/>
      <c r="I545" s="1115"/>
      <c r="J545" s="1113"/>
    </row>
    <row r="546">
      <c r="A546" s="1113"/>
      <c r="B546" s="1114"/>
      <c r="C546" s="1115"/>
      <c r="D546" s="1116"/>
      <c r="E546" s="1115"/>
      <c r="F546" s="1115"/>
      <c r="G546" s="1115"/>
      <c r="H546" s="1116"/>
      <c r="I546" s="1115"/>
      <c r="J546" s="1113"/>
    </row>
    <row r="547">
      <c r="A547" s="1113"/>
      <c r="B547" s="1114"/>
      <c r="C547" s="1115"/>
      <c r="D547" s="1116"/>
      <c r="E547" s="1115"/>
      <c r="F547" s="1115"/>
      <c r="G547" s="1115"/>
      <c r="H547" s="1116"/>
      <c r="I547" s="1115"/>
      <c r="J547" s="1113"/>
    </row>
    <row r="548">
      <c r="A548" s="1113"/>
      <c r="B548" s="1114"/>
      <c r="C548" s="1115"/>
      <c r="D548" s="1116"/>
      <c r="E548" s="1115"/>
      <c r="F548" s="1115"/>
      <c r="G548" s="1115"/>
      <c r="H548" s="1116"/>
      <c r="I548" s="1115"/>
      <c r="J548" s="1113"/>
    </row>
    <row r="549">
      <c r="A549" s="1113"/>
      <c r="B549" s="1114"/>
      <c r="C549" s="1115"/>
      <c r="D549" s="1116"/>
      <c r="E549" s="1115"/>
      <c r="F549" s="1115"/>
      <c r="G549" s="1115"/>
      <c r="H549" s="1116"/>
      <c r="I549" s="1115"/>
      <c r="J549" s="1113"/>
    </row>
    <row r="550">
      <c r="A550" s="1113"/>
      <c r="B550" s="1114"/>
      <c r="C550" s="1115"/>
      <c r="D550" s="1116"/>
      <c r="E550" s="1115"/>
      <c r="F550" s="1115"/>
      <c r="G550" s="1115"/>
      <c r="H550" s="1116"/>
      <c r="I550" s="1115"/>
      <c r="J550" s="1113"/>
    </row>
    <row r="551">
      <c r="A551" s="1113"/>
      <c r="B551" s="1114"/>
      <c r="C551" s="1115"/>
      <c r="D551" s="1116"/>
      <c r="E551" s="1115"/>
      <c r="F551" s="1115"/>
      <c r="G551" s="1115"/>
      <c r="H551" s="1116"/>
      <c r="I551" s="1115"/>
      <c r="J551" s="1113"/>
    </row>
    <row r="552">
      <c r="A552" s="1113"/>
      <c r="B552" s="1114"/>
      <c r="C552" s="1115"/>
      <c r="D552" s="1116"/>
      <c r="E552" s="1115"/>
      <c r="F552" s="1115"/>
      <c r="G552" s="1115"/>
      <c r="H552" s="1116"/>
      <c r="I552" s="1115"/>
      <c r="J552" s="1113"/>
    </row>
    <row r="553">
      <c r="A553" s="1113"/>
      <c r="B553" s="1114"/>
      <c r="C553" s="1115"/>
      <c r="D553" s="1116"/>
      <c r="E553" s="1115"/>
      <c r="F553" s="1115"/>
      <c r="G553" s="1115"/>
      <c r="H553" s="1116"/>
      <c r="I553" s="1115"/>
      <c r="J553" s="1113"/>
    </row>
    <row r="554">
      <c r="A554" s="1113"/>
      <c r="B554" s="1114"/>
      <c r="C554" s="1115"/>
      <c r="D554" s="1116"/>
      <c r="E554" s="1115"/>
      <c r="F554" s="1115"/>
      <c r="G554" s="1115"/>
      <c r="H554" s="1116"/>
      <c r="I554" s="1115"/>
      <c r="J554" s="1113"/>
    </row>
    <row r="555">
      <c r="A555" s="1113"/>
      <c r="B555" s="1114"/>
      <c r="C555" s="1115"/>
      <c r="D555" s="1116"/>
      <c r="E555" s="1115"/>
      <c r="F555" s="1115"/>
      <c r="G555" s="1115"/>
      <c r="H555" s="1116"/>
      <c r="I555" s="1115"/>
      <c r="J555" s="1113"/>
    </row>
    <row r="556">
      <c r="A556" s="1113"/>
      <c r="B556" s="1114"/>
      <c r="C556" s="1115"/>
      <c r="D556" s="1116"/>
      <c r="E556" s="1115"/>
      <c r="F556" s="1115"/>
      <c r="G556" s="1115"/>
      <c r="H556" s="1116"/>
      <c r="I556" s="1115"/>
      <c r="J556" s="1113"/>
    </row>
    <row r="557">
      <c r="A557" s="1113"/>
      <c r="B557" s="1114"/>
      <c r="C557" s="1115"/>
      <c r="D557" s="1116"/>
      <c r="E557" s="1115"/>
      <c r="F557" s="1115"/>
      <c r="G557" s="1115"/>
      <c r="H557" s="1116"/>
      <c r="I557" s="1115"/>
      <c r="J557" s="1113"/>
    </row>
    <row r="558">
      <c r="A558" s="1113"/>
      <c r="B558" s="1114"/>
      <c r="C558" s="1115"/>
      <c r="D558" s="1116"/>
      <c r="E558" s="1115"/>
      <c r="F558" s="1115"/>
      <c r="G558" s="1115"/>
      <c r="H558" s="1116"/>
      <c r="I558" s="1115"/>
      <c r="J558" s="1113"/>
    </row>
    <row r="559">
      <c r="A559" s="1113"/>
      <c r="B559" s="1114"/>
      <c r="C559" s="1115"/>
      <c r="D559" s="1116"/>
      <c r="E559" s="1115"/>
      <c r="F559" s="1115"/>
      <c r="G559" s="1115"/>
      <c r="H559" s="1116"/>
      <c r="I559" s="1115"/>
      <c r="J559" s="1113"/>
    </row>
    <row r="560">
      <c r="A560" s="1113"/>
      <c r="B560" s="1114"/>
      <c r="C560" s="1115"/>
      <c r="D560" s="1116"/>
      <c r="E560" s="1115"/>
      <c r="F560" s="1115"/>
      <c r="G560" s="1115"/>
      <c r="H560" s="1116"/>
      <c r="I560" s="1115"/>
      <c r="J560" s="1113"/>
    </row>
    <row r="561">
      <c r="A561" s="1113"/>
      <c r="B561" s="1114"/>
      <c r="C561" s="1115"/>
      <c r="D561" s="1116"/>
      <c r="E561" s="1115"/>
      <c r="F561" s="1115"/>
      <c r="G561" s="1115"/>
      <c r="H561" s="1116"/>
      <c r="I561" s="1115"/>
      <c r="J561" s="1113"/>
    </row>
    <row r="562">
      <c r="A562" s="1113"/>
      <c r="B562" s="1114"/>
      <c r="C562" s="1115"/>
      <c r="D562" s="1116"/>
      <c r="E562" s="1115"/>
      <c r="F562" s="1115"/>
      <c r="G562" s="1115"/>
      <c r="H562" s="1116"/>
      <c r="I562" s="1115"/>
      <c r="J562" s="1113"/>
    </row>
    <row r="563">
      <c r="A563" s="1113"/>
      <c r="B563" s="1114"/>
      <c r="C563" s="1115"/>
      <c r="D563" s="1116"/>
      <c r="E563" s="1115"/>
      <c r="F563" s="1115"/>
      <c r="G563" s="1115"/>
      <c r="H563" s="1116"/>
      <c r="I563" s="1115"/>
      <c r="J563" s="1113"/>
    </row>
    <row r="564">
      <c r="A564" s="1113"/>
      <c r="B564" s="1114"/>
      <c r="C564" s="1115"/>
      <c r="D564" s="1116"/>
      <c r="E564" s="1115"/>
      <c r="F564" s="1115"/>
      <c r="G564" s="1115"/>
      <c r="H564" s="1116"/>
      <c r="I564" s="1115"/>
      <c r="J564" s="1113"/>
    </row>
    <row r="565">
      <c r="A565" s="1113"/>
      <c r="B565" s="1114"/>
      <c r="C565" s="1115"/>
      <c r="D565" s="1116"/>
      <c r="E565" s="1115"/>
      <c r="F565" s="1115"/>
      <c r="G565" s="1115"/>
      <c r="H565" s="1116"/>
      <c r="I565" s="1115"/>
      <c r="J565" s="1113"/>
    </row>
    <row r="566">
      <c r="A566" s="1113"/>
      <c r="B566" s="1114"/>
      <c r="C566" s="1115"/>
      <c r="D566" s="1116"/>
      <c r="E566" s="1115"/>
      <c r="F566" s="1115"/>
      <c r="G566" s="1115"/>
      <c r="H566" s="1116"/>
      <c r="I566" s="1115"/>
      <c r="J566" s="1113"/>
    </row>
    <row r="567">
      <c r="A567" s="1113"/>
      <c r="B567" s="1114"/>
      <c r="C567" s="1115"/>
      <c r="D567" s="1116"/>
      <c r="E567" s="1115"/>
      <c r="F567" s="1115"/>
      <c r="G567" s="1115"/>
      <c r="H567" s="1116"/>
      <c r="I567" s="1115"/>
      <c r="J567" s="1113"/>
    </row>
    <row r="568">
      <c r="A568" s="1113"/>
      <c r="B568" s="1114"/>
      <c r="C568" s="1115"/>
      <c r="D568" s="1116"/>
      <c r="E568" s="1115"/>
      <c r="F568" s="1115"/>
      <c r="G568" s="1115"/>
      <c r="H568" s="1116"/>
      <c r="I568" s="1115"/>
      <c r="J568" s="1113"/>
    </row>
    <row r="569">
      <c r="A569" s="1113"/>
      <c r="B569" s="1114"/>
      <c r="C569" s="1115"/>
      <c r="D569" s="1116"/>
      <c r="E569" s="1115"/>
      <c r="F569" s="1115"/>
      <c r="G569" s="1115"/>
      <c r="H569" s="1116"/>
      <c r="I569" s="1115"/>
      <c r="J569" s="1113"/>
    </row>
    <row r="570">
      <c r="A570" s="1113"/>
      <c r="B570" s="1114"/>
      <c r="C570" s="1115"/>
      <c r="D570" s="1116"/>
      <c r="E570" s="1115"/>
      <c r="F570" s="1115"/>
      <c r="G570" s="1115"/>
      <c r="H570" s="1116"/>
      <c r="I570" s="1115"/>
      <c r="J570" s="1113"/>
    </row>
    <row r="571">
      <c r="A571" s="1113"/>
      <c r="B571" s="1114"/>
      <c r="C571" s="1115"/>
      <c r="D571" s="1116"/>
      <c r="E571" s="1115"/>
      <c r="F571" s="1115"/>
      <c r="G571" s="1115"/>
      <c r="H571" s="1116"/>
      <c r="I571" s="1115"/>
      <c r="J571" s="1113"/>
    </row>
    <row r="572">
      <c r="A572" s="1113"/>
      <c r="B572" s="1114"/>
      <c r="C572" s="1115"/>
      <c r="D572" s="1116"/>
      <c r="E572" s="1115"/>
      <c r="F572" s="1115"/>
      <c r="G572" s="1115"/>
      <c r="H572" s="1116"/>
      <c r="I572" s="1115"/>
      <c r="J572" s="1113"/>
    </row>
    <row r="573">
      <c r="A573" s="1113"/>
      <c r="B573" s="1114"/>
      <c r="C573" s="1115"/>
      <c r="D573" s="1116"/>
      <c r="E573" s="1115"/>
      <c r="F573" s="1115"/>
      <c r="G573" s="1115"/>
      <c r="H573" s="1116"/>
      <c r="I573" s="1115"/>
      <c r="J573" s="1113"/>
    </row>
    <row r="574">
      <c r="A574" s="1113"/>
      <c r="B574" s="1114"/>
      <c r="C574" s="1115"/>
      <c r="D574" s="1116"/>
      <c r="E574" s="1115"/>
      <c r="F574" s="1115"/>
      <c r="G574" s="1115"/>
      <c r="H574" s="1116"/>
      <c r="I574" s="1115"/>
      <c r="J574" s="1113"/>
    </row>
    <row r="575">
      <c r="A575" s="1113"/>
      <c r="B575" s="1114"/>
      <c r="C575" s="1115"/>
      <c r="D575" s="1116"/>
      <c r="E575" s="1115"/>
      <c r="F575" s="1115"/>
      <c r="G575" s="1115"/>
      <c r="H575" s="1116"/>
      <c r="I575" s="1115"/>
      <c r="J575" s="1113"/>
    </row>
    <row r="576">
      <c r="A576" s="1113"/>
      <c r="B576" s="1114"/>
      <c r="C576" s="1115"/>
      <c r="D576" s="1116"/>
      <c r="E576" s="1115"/>
      <c r="F576" s="1115"/>
      <c r="G576" s="1115"/>
      <c r="H576" s="1116"/>
      <c r="I576" s="1115"/>
      <c r="J576" s="1113"/>
    </row>
    <row r="577">
      <c r="A577" s="1113"/>
      <c r="B577" s="1114"/>
      <c r="C577" s="1115"/>
      <c r="D577" s="1116"/>
      <c r="E577" s="1115"/>
      <c r="F577" s="1115"/>
      <c r="G577" s="1115"/>
      <c r="H577" s="1116"/>
      <c r="I577" s="1115"/>
      <c r="J577" s="1113"/>
    </row>
    <row r="578">
      <c r="A578" s="1113"/>
      <c r="B578" s="1114"/>
      <c r="C578" s="1115"/>
      <c r="D578" s="1116"/>
      <c r="E578" s="1115"/>
      <c r="F578" s="1115"/>
      <c r="G578" s="1115"/>
      <c r="H578" s="1116"/>
      <c r="I578" s="1115"/>
      <c r="J578" s="1113"/>
    </row>
    <row r="579">
      <c r="A579" s="1113"/>
      <c r="B579" s="1114"/>
      <c r="C579" s="1115"/>
      <c r="D579" s="1116"/>
      <c r="E579" s="1115"/>
      <c r="F579" s="1115"/>
      <c r="G579" s="1115"/>
      <c r="H579" s="1116"/>
      <c r="I579" s="1115"/>
      <c r="J579" s="1113"/>
    </row>
    <row r="580">
      <c r="A580" s="1113"/>
      <c r="B580" s="1114"/>
      <c r="C580" s="1115"/>
      <c r="D580" s="1116"/>
      <c r="E580" s="1115"/>
      <c r="F580" s="1115"/>
      <c r="G580" s="1115"/>
      <c r="H580" s="1116"/>
      <c r="I580" s="1115"/>
      <c r="J580" s="1113"/>
    </row>
    <row r="581">
      <c r="A581" s="1113"/>
      <c r="B581" s="1114"/>
      <c r="C581" s="1115"/>
      <c r="D581" s="1116"/>
      <c r="E581" s="1115"/>
      <c r="F581" s="1115"/>
      <c r="G581" s="1115"/>
      <c r="H581" s="1116"/>
      <c r="I581" s="1115"/>
      <c r="J581" s="1113"/>
    </row>
    <row r="582">
      <c r="A582" s="1113"/>
      <c r="B582" s="1114"/>
      <c r="C582" s="1115"/>
      <c r="D582" s="1116"/>
      <c r="E582" s="1115"/>
      <c r="F582" s="1115"/>
      <c r="G582" s="1115"/>
      <c r="H582" s="1116"/>
      <c r="I582" s="1115"/>
      <c r="J582" s="1113"/>
    </row>
    <row r="583">
      <c r="A583" s="1113"/>
      <c r="B583" s="1114"/>
      <c r="C583" s="1115"/>
      <c r="D583" s="1116"/>
      <c r="E583" s="1115"/>
      <c r="F583" s="1115"/>
      <c r="G583" s="1115"/>
      <c r="H583" s="1116"/>
      <c r="I583" s="1115"/>
      <c r="J583" s="1113"/>
    </row>
    <row r="584">
      <c r="A584" s="1113"/>
      <c r="B584" s="1114"/>
      <c r="C584" s="1115"/>
      <c r="D584" s="1116"/>
      <c r="E584" s="1115"/>
      <c r="F584" s="1115"/>
      <c r="G584" s="1115"/>
      <c r="H584" s="1116"/>
      <c r="I584" s="1115"/>
      <c r="J584" s="1113"/>
    </row>
    <row r="585">
      <c r="A585" s="1113"/>
      <c r="B585" s="1114"/>
      <c r="C585" s="1115"/>
      <c r="D585" s="1116"/>
      <c r="E585" s="1115"/>
      <c r="F585" s="1115"/>
      <c r="G585" s="1115"/>
      <c r="H585" s="1116"/>
      <c r="I585" s="1115"/>
      <c r="J585" s="1113"/>
    </row>
    <row r="586">
      <c r="A586" s="1113"/>
      <c r="B586" s="1114"/>
      <c r="C586" s="1115"/>
      <c r="D586" s="1116"/>
      <c r="E586" s="1115"/>
      <c r="F586" s="1115"/>
      <c r="G586" s="1115"/>
      <c r="H586" s="1116"/>
      <c r="I586" s="1115"/>
      <c r="J586" s="1113"/>
    </row>
    <row r="587">
      <c r="A587" s="1113"/>
      <c r="B587" s="1114"/>
      <c r="C587" s="1115"/>
      <c r="D587" s="1116"/>
      <c r="E587" s="1115"/>
      <c r="F587" s="1115"/>
      <c r="G587" s="1115"/>
      <c r="H587" s="1116"/>
      <c r="I587" s="1115"/>
      <c r="J587" s="1113"/>
    </row>
    <row r="588">
      <c r="A588" s="1113"/>
      <c r="B588" s="1114"/>
      <c r="C588" s="1115"/>
      <c r="D588" s="1116"/>
      <c r="E588" s="1115"/>
      <c r="F588" s="1115"/>
      <c r="G588" s="1115"/>
      <c r="H588" s="1116"/>
      <c r="I588" s="1115"/>
      <c r="J588" s="1113"/>
    </row>
    <row r="589">
      <c r="A589" s="1113"/>
      <c r="B589" s="1114"/>
      <c r="C589" s="1115"/>
      <c r="D589" s="1116"/>
      <c r="E589" s="1115"/>
      <c r="F589" s="1115"/>
      <c r="G589" s="1115"/>
      <c r="H589" s="1116"/>
      <c r="I589" s="1115"/>
      <c r="J589" s="1113"/>
    </row>
    <row r="590">
      <c r="A590" s="1113"/>
      <c r="B590" s="1114"/>
      <c r="C590" s="1115"/>
      <c r="D590" s="1116"/>
      <c r="E590" s="1115"/>
      <c r="F590" s="1115"/>
      <c r="G590" s="1115"/>
      <c r="H590" s="1116"/>
      <c r="I590" s="1115"/>
      <c r="J590" s="1113"/>
    </row>
    <row r="591">
      <c r="A591" s="1113"/>
      <c r="B591" s="1114"/>
      <c r="C591" s="1115"/>
      <c r="D591" s="1116"/>
      <c r="E591" s="1115"/>
      <c r="F591" s="1115"/>
      <c r="G591" s="1115"/>
      <c r="H591" s="1116"/>
      <c r="I591" s="1115"/>
      <c r="J591" s="1113"/>
    </row>
    <row r="592">
      <c r="A592" s="1113"/>
      <c r="B592" s="1114"/>
      <c r="C592" s="1115"/>
      <c r="D592" s="1116"/>
      <c r="E592" s="1115"/>
      <c r="F592" s="1115"/>
      <c r="G592" s="1115"/>
      <c r="H592" s="1116"/>
      <c r="I592" s="1115"/>
      <c r="J592" s="1113"/>
    </row>
    <row r="593">
      <c r="A593" s="1113"/>
      <c r="B593" s="1114"/>
      <c r="C593" s="1115"/>
      <c r="D593" s="1116"/>
      <c r="E593" s="1115"/>
      <c r="F593" s="1115"/>
      <c r="G593" s="1115"/>
      <c r="H593" s="1116"/>
      <c r="I593" s="1115"/>
      <c r="J593" s="1113"/>
    </row>
    <row r="594">
      <c r="A594" s="1113"/>
      <c r="B594" s="1114"/>
      <c r="C594" s="1115"/>
      <c r="D594" s="1116"/>
      <c r="E594" s="1115"/>
      <c r="F594" s="1115"/>
      <c r="G594" s="1115"/>
      <c r="H594" s="1116"/>
      <c r="I594" s="1115"/>
      <c r="J594" s="1113"/>
    </row>
    <row r="595">
      <c r="A595" s="1113"/>
      <c r="B595" s="1114"/>
      <c r="C595" s="1115"/>
      <c r="D595" s="1116"/>
      <c r="E595" s="1115"/>
      <c r="F595" s="1115"/>
      <c r="G595" s="1115"/>
      <c r="H595" s="1116"/>
      <c r="I595" s="1115"/>
      <c r="J595" s="1113"/>
    </row>
    <row r="596">
      <c r="A596" s="1113"/>
      <c r="B596" s="1114"/>
      <c r="C596" s="1115"/>
      <c r="D596" s="1116"/>
      <c r="E596" s="1115"/>
      <c r="F596" s="1115"/>
      <c r="G596" s="1115"/>
      <c r="H596" s="1116"/>
      <c r="I596" s="1115"/>
      <c r="J596" s="1113"/>
    </row>
    <row r="597">
      <c r="A597" s="1113"/>
      <c r="B597" s="1114"/>
      <c r="C597" s="1115"/>
      <c r="D597" s="1116"/>
      <c r="E597" s="1115"/>
      <c r="F597" s="1115"/>
      <c r="G597" s="1115"/>
      <c r="H597" s="1116"/>
      <c r="I597" s="1115"/>
      <c r="J597" s="1113"/>
    </row>
    <row r="598">
      <c r="A598" s="1113"/>
      <c r="B598" s="1114"/>
      <c r="C598" s="1115"/>
      <c r="D598" s="1116"/>
      <c r="E598" s="1115"/>
      <c r="F598" s="1115"/>
      <c r="G598" s="1115"/>
      <c r="H598" s="1116"/>
      <c r="I598" s="1115"/>
      <c r="J598" s="1113"/>
    </row>
    <row r="599">
      <c r="A599" s="1113"/>
      <c r="B599" s="1114"/>
      <c r="C599" s="1115"/>
      <c r="D599" s="1116"/>
      <c r="E599" s="1115"/>
      <c r="F599" s="1115"/>
      <c r="G599" s="1115"/>
      <c r="H599" s="1116"/>
      <c r="I599" s="1115"/>
      <c r="J599" s="1113"/>
    </row>
    <row r="600">
      <c r="A600" s="1113"/>
      <c r="B600" s="1114"/>
      <c r="C600" s="1115"/>
      <c r="D600" s="1116"/>
      <c r="E600" s="1115"/>
      <c r="F600" s="1115"/>
      <c r="G600" s="1115"/>
      <c r="H600" s="1116"/>
      <c r="I600" s="1115"/>
      <c r="J600" s="1113"/>
    </row>
    <row r="601">
      <c r="A601" s="1113"/>
      <c r="B601" s="1114"/>
      <c r="C601" s="1115"/>
      <c r="D601" s="1116"/>
      <c r="E601" s="1115"/>
      <c r="F601" s="1115"/>
      <c r="G601" s="1115"/>
      <c r="H601" s="1116"/>
      <c r="I601" s="1115"/>
      <c r="J601" s="1113"/>
    </row>
    <row r="602">
      <c r="A602" s="1113"/>
      <c r="B602" s="1114"/>
      <c r="C602" s="1115"/>
      <c r="D602" s="1116"/>
      <c r="E602" s="1115"/>
      <c r="F602" s="1115"/>
      <c r="G602" s="1115"/>
      <c r="H602" s="1116"/>
      <c r="I602" s="1115"/>
      <c r="J602" s="1113"/>
    </row>
    <row r="603">
      <c r="A603" s="1113"/>
      <c r="B603" s="1114"/>
      <c r="C603" s="1115"/>
      <c r="D603" s="1116"/>
      <c r="E603" s="1115"/>
      <c r="F603" s="1115"/>
      <c r="G603" s="1115"/>
      <c r="H603" s="1116"/>
      <c r="I603" s="1115"/>
      <c r="J603" s="1113"/>
    </row>
    <row r="604">
      <c r="A604" s="1113"/>
      <c r="B604" s="1114"/>
      <c r="C604" s="1115"/>
      <c r="D604" s="1116"/>
      <c r="E604" s="1115"/>
      <c r="F604" s="1115"/>
      <c r="G604" s="1115"/>
      <c r="H604" s="1116"/>
      <c r="I604" s="1115"/>
      <c r="J604" s="1113"/>
    </row>
    <row r="605">
      <c r="A605" s="1113"/>
      <c r="B605" s="1114"/>
      <c r="C605" s="1115"/>
      <c r="D605" s="1116"/>
      <c r="E605" s="1115"/>
      <c r="F605" s="1115"/>
      <c r="G605" s="1115"/>
      <c r="H605" s="1116"/>
      <c r="I605" s="1115"/>
      <c r="J605" s="1113"/>
    </row>
    <row r="606">
      <c r="A606" s="1113"/>
      <c r="B606" s="1114"/>
      <c r="C606" s="1115"/>
      <c r="D606" s="1116"/>
      <c r="E606" s="1115"/>
      <c r="F606" s="1115"/>
      <c r="G606" s="1115"/>
      <c r="H606" s="1116"/>
      <c r="I606" s="1115"/>
      <c r="J606" s="1113"/>
    </row>
    <row r="607">
      <c r="A607" s="1113"/>
      <c r="B607" s="1114"/>
      <c r="C607" s="1115"/>
      <c r="D607" s="1116"/>
      <c r="E607" s="1115"/>
      <c r="F607" s="1115"/>
      <c r="G607" s="1115"/>
      <c r="H607" s="1116"/>
      <c r="I607" s="1115"/>
      <c r="J607" s="1113"/>
    </row>
    <row r="608">
      <c r="A608" s="1113"/>
      <c r="B608" s="1114"/>
      <c r="C608" s="1115"/>
      <c r="D608" s="1116"/>
      <c r="E608" s="1115"/>
      <c r="F608" s="1115"/>
      <c r="G608" s="1115"/>
      <c r="H608" s="1116"/>
      <c r="I608" s="1115"/>
      <c r="J608" s="1113"/>
    </row>
    <row r="609">
      <c r="A609" s="1113"/>
      <c r="B609" s="1114"/>
      <c r="C609" s="1115"/>
      <c r="D609" s="1116"/>
      <c r="E609" s="1115"/>
      <c r="F609" s="1115"/>
      <c r="G609" s="1115"/>
      <c r="H609" s="1116"/>
      <c r="I609" s="1115"/>
      <c r="J609" s="1113"/>
    </row>
    <row r="610">
      <c r="A610" s="1113"/>
      <c r="B610" s="1114"/>
      <c r="C610" s="1115"/>
      <c r="D610" s="1116"/>
      <c r="E610" s="1115"/>
      <c r="F610" s="1115"/>
      <c r="G610" s="1115"/>
      <c r="H610" s="1116"/>
      <c r="I610" s="1115"/>
      <c r="J610" s="1113"/>
    </row>
    <row r="611">
      <c r="A611" s="1113"/>
      <c r="B611" s="1114"/>
      <c r="C611" s="1115"/>
      <c r="D611" s="1116"/>
      <c r="E611" s="1115"/>
      <c r="F611" s="1115"/>
      <c r="G611" s="1115"/>
      <c r="H611" s="1116"/>
      <c r="I611" s="1115"/>
      <c r="J611" s="1113"/>
    </row>
    <row r="612">
      <c r="A612" s="1113"/>
      <c r="B612" s="1114"/>
      <c r="C612" s="1115"/>
      <c r="D612" s="1116"/>
      <c r="E612" s="1115"/>
      <c r="F612" s="1115"/>
      <c r="G612" s="1115"/>
      <c r="H612" s="1116"/>
      <c r="I612" s="1115"/>
      <c r="J612" s="1113"/>
    </row>
    <row r="613">
      <c r="A613" s="1113"/>
      <c r="B613" s="1114"/>
      <c r="C613" s="1115"/>
      <c r="D613" s="1116"/>
      <c r="E613" s="1115"/>
      <c r="F613" s="1115"/>
      <c r="G613" s="1115"/>
      <c r="H613" s="1116"/>
      <c r="I613" s="1115"/>
      <c r="J613" s="1113"/>
    </row>
    <row r="614">
      <c r="A614" s="1113"/>
      <c r="B614" s="1114"/>
      <c r="C614" s="1115"/>
      <c r="D614" s="1116"/>
      <c r="E614" s="1115"/>
      <c r="F614" s="1115"/>
      <c r="G614" s="1115"/>
      <c r="H614" s="1116"/>
      <c r="I614" s="1115"/>
      <c r="J614" s="1113"/>
    </row>
    <row r="615">
      <c r="A615" s="1113"/>
      <c r="B615" s="1114"/>
      <c r="C615" s="1115"/>
      <c r="D615" s="1116"/>
      <c r="E615" s="1115"/>
      <c r="F615" s="1115"/>
      <c r="G615" s="1115"/>
      <c r="H615" s="1116"/>
      <c r="I615" s="1115"/>
      <c r="J615" s="1113"/>
    </row>
    <row r="616">
      <c r="A616" s="1113"/>
      <c r="B616" s="1114"/>
      <c r="C616" s="1115"/>
      <c r="D616" s="1116"/>
      <c r="E616" s="1115"/>
      <c r="F616" s="1115"/>
      <c r="G616" s="1115"/>
      <c r="H616" s="1116"/>
      <c r="I616" s="1115"/>
      <c r="J616" s="1113"/>
    </row>
    <row r="617">
      <c r="A617" s="1113"/>
      <c r="B617" s="1114"/>
      <c r="C617" s="1115"/>
      <c r="D617" s="1116"/>
      <c r="E617" s="1115"/>
      <c r="F617" s="1115"/>
      <c r="G617" s="1115"/>
      <c r="H617" s="1116"/>
      <c r="I617" s="1115"/>
      <c r="J617" s="1113"/>
    </row>
    <row r="618">
      <c r="A618" s="1113"/>
      <c r="B618" s="1114"/>
      <c r="C618" s="1115"/>
      <c r="D618" s="1116"/>
      <c r="E618" s="1115"/>
      <c r="F618" s="1115"/>
      <c r="G618" s="1115"/>
      <c r="H618" s="1116"/>
      <c r="I618" s="1115"/>
      <c r="J618" s="1113"/>
    </row>
    <row r="619">
      <c r="A619" s="1113"/>
      <c r="B619" s="1114"/>
      <c r="C619" s="1115"/>
      <c r="D619" s="1116"/>
      <c r="E619" s="1115"/>
      <c r="F619" s="1115"/>
      <c r="G619" s="1115"/>
      <c r="H619" s="1116"/>
      <c r="I619" s="1115"/>
      <c r="J619" s="1113"/>
    </row>
    <row r="620">
      <c r="A620" s="1113"/>
      <c r="B620" s="1114"/>
      <c r="C620" s="1115"/>
      <c r="D620" s="1116"/>
      <c r="E620" s="1115"/>
      <c r="F620" s="1115"/>
      <c r="G620" s="1115"/>
      <c r="H620" s="1116"/>
      <c r="I620" s="1115"/>
      <c r="J620" s="1113"/>
    </row>
    <row r="621">
      <c r="A621" s="1113"/>
      <c r="B621" s="1114"/>
      <c r="C621" s="1115"/>
      <c r="D621" s="1116"/>
      <c r="E621" s="1115"/>
      <c r="F621" s="1115"/>
      <c r="G621" s="1115"/>
      <c r="H621" s="1116"/>
      <c r="I621" s="1115"/>
      <c r="J621" s="1113"/>
    </row>
    <row r="622">
      <c r="A622" s="1113"/>
      <c r="B622" s="1114"/>
      <c r="C622" s="1115"/>
      <c r="D622" s="1116"/>
      <c r="E622" s="1115"/>
      <c r="F622" s="1115"/>
      <c r="G622" s="1115"/>
      <c r="H622" s="1116"/>
      <c r="I622" s="1115"/>
      <c r="J622" s="1113"/>
    </row>
    <row r="623">
      <c r="A623" s="1113"/>
      <c r="B623" s="1114"/>
      <c r="C623" s="1115"/>
      <c r="D623" s="1116"/>
      <c r="E623" s="1115"/>
      <c r="F623" s="1115"/>
      <c r="G623" s="1115"/>
      <c r="H623" s="1116"/>
      <c r="I623" s="1115"/>
      <c r="J623" s="1113"/>
    </row>
    <row r="624">
      <c r="A624" s="1113"/>
      <c r="B624" s="1114"/>
      <c r="C624" s="1115"/>
      <c r="D624" s="1116"/>
      <c r="E624" s="1115"/>
      <c r="F624" s="1115"/>
      <c r="G624" s="1115"/>
      <c r="H624" s="1116"/>
      <c r="I624" s="1115"/>
      <c r="J624" s="1113"/>
    </row>
    <row r="625">
      <c r="A625" s="1113"/>
      <c r="B625" s="1114"/>
      <c r="C625" s="1115"/>
      <c r="D625" s="1116"/>
      <c r="E625" s="1115"/>
      <c r="F625" s="1115"/>
      <c r="G625" s="1115"/>
      <c r="H625" s="1116"/>
      <c r="I625" s="1115"/>
      <c r="J625" s="1113"/>
    </row>
    <row r="626">
      <c r="A626" s="1113"/>
      <c r="B626" s="1114"/>
      <c r="C626" s="1115"/>
      <c r="D626" s="1116"/>
      <c r="E626" s="1115"/>
      <c r="F626" s="1115"/>
      <c r="G626" s="1115"/>
      <c r="H626" s="1116"/>
      <c r="I626" s="1115"/>
      <c r="J626" s="1113"/>
    </row>
    <row r="627">
      <c r="A627" s="1113"/>
      <c r="B627" s="1114"/>
      <c r="C627" s="1115"/>
      <c r="D627" s="1116"/>
      <c r="E627" s="1115"/>
      <c r="F627" s="1115"/>
      <c r="G627" s="1115"/>
      <c r="H627" s="1116"/>
      <c r="I627" s="1115"/>
      <c r="J627" s="1113"/>
    </row>
    <row r="628">
      <c r="A628" s="1113"/>
      <c r="B628" s="1114"/>
      <c r="C628" s="1115"/>
      <c r="D628" s="1116"/>
      <c r="E628" s="1115"/>
      <c r="F628" s="1115"/>
      <c r="G628" s="1115"/>
      <c r="H628" s="1116"/>
      <c r="I628" s="1115"/>
      <c r="J628" s="1113"/>
    </row>
    <row r="629">
      <c r="A629" s="1113"/>
      <c r="B629" s="1114"/>
      <c r="C629" s="1115"/>
      <c r="D629" s="1116"/>
      <c r="E629" s="1115"/>
      <c r="F629" s="1115"/>
      <c r="G629" s="1115"/>
      <c r="H629" s="1116"/>
      <c r="I629" s="1115"/>
      <c r="J629" s="1113"/>
    </row>
    <row r="630">
      <c r="A630" s="1113"/>
      <c r="B630" s="1114"/>
      <c r="C630" s="1115"/>
      <c r="D630" s="1116"/>
      <c r="E630" s="1115"/>
      <c r="F630" s="1115"/>
      <c r="G630" s="1115"/>
      <c r="H630" s="1116"/>
      <c r="I630" s="1115"/>
      <c r="J630" s="1113"/>
    </row>
    <row r="631">
      <c r="A631" s="1113"/>
      <c r="B631" s="1114"/>
      <c r="C631" s="1115"/>
      <c r="D631" s="1116"/>
      <c r="E631" s="1115"/>
      <c r="F631" s="1115"/>
      <c r="G631" s="1115"/>
      <c r="H631" s="1116"/>
      <c r="I631" s="1115"/>
      <c r="J631" s="1113"/>
    </row>
    <row r="632">
      <c r="A632" s="1113"/>
      <c r="B632" s="1114"/>
      <c r="C632" s="1115"/>
      <c r="D632" s="1116"/>
      <c r="E632" s="1115"/>
      <c r="F632" s="1115"/>
      <c r="G632" s="1115"/>
      <c r="H632" s="1116"/>
      <c r="I632" s="1115"/>
      <c r="J632" s="1113"/>
    </row>
    <row r="633">
      <c r="A633" s="1113"/>
      <c r="B633" s="1114"/>
      <c r="C633" s="1115"/>
      <c r="D633" s="1116"/>
      <c r="E633" s="1115"/>
      <c r="F633" s="1115"/>
      <c r="G633" s="1115"/>
      <c r="H633" s="1116"/>
      <c r="I633" s="1115"/>
      <c r="J633" s="1113"/>
    </row>
    <row r="634">
      <c r="A634" s="1113"/>
      <c r="B634" s="1114"/>
      <c r="C634" s="1115"/>
      <c r="D634" s="1116"/>
      <c r="E634" s="1115"/>
      <c r="F634" s="1115"/>
      <c r="G634" s="1115"/>
      <c r="H634" s="1116"/>
      <c r="I634" s="1115"/>
      <c r="J634" s="1113"/>
    </row>
    <row r="635">
      <c r="A635" s="1113"/>
      <c r="B635" s="1114"/>
      <c r="C635" s="1115"/>
      <c r="D635" s="1116"/>
      <c r="E635" s="1115"/>
      <c r="F635" s="1115"/>
      <c r="G635" s="1115"/>
      <c r="H635" s="1116"/>
      <c r="I635" s="1115"/>
      <c r="J635" s="1113"/>
    </row>
    <row r="636">
      <c r="A636" s="1113"/>
      <c r="B636" s="1114"/>
      <c r="C636" s="1115"/>
      <c r="D636" s="1116"/>
      <c r="E636" s="1115"/>
      <c r="F636" s="1115"/>
      <c r="G636" s="1115"/>
      <c r="H636" s="1116"/>
      <c r="I636" s="1115"/>
      <c r="J636" s="1113"/>
    </row>
    <row r="637">
      <c r="A637" s="1113"/>
      <c r="B637" s="1114"/>
      <c r="C637" s="1115"/>
      <c r="D637" s="1116"/>
      <c r="E637" s="1115"/>
      <c r="F637" s="1115"/>
      <c r="G637" s="1115"/>
      <c r="H637" s="1116"/>
      <c r="I637" s="1115"/>
      <c r="J637" s="1113"/>
    </row>
    <row r="638">
      <c r="A638" s="1113"/>
      <c r="B638" s="1114"/>
      <c r="C638" s="1115"/>
      <c r="D638" s="1116"/>
      <c r="E638" s="1115"/>
      <c r="F638" s="1115"/>
      <c r="G638" s="1115"/>
      <c r="H638" s="1116"/>
      <c r="I638" s="1115"/>
      <c r="J638" s="1113"/>
    </row>
    <row r="639">
      <c r="A639" s="1113"/>
      <c r="B639" s="1114"/>
      <c r="C639" s="1115"/>
      <c r="D639" s="1116"/>
      <c r="E639" s="1115"/>
      <c r="F639" s="1115"/>
      <c r="G639" s="1115"/>
      <c r="H639" s="1116"/>
      <c r="I639" s="1115"/>
      <c r="J639" s="1113"/>
    </row>
    <row r="640">
      <c r="A640" s="1113"/>
      <c r="B640" s="1114"/>
      <c r="C640" s="1115"/>
      <c r="D640" s="1116"/>
      <c r="E640" s="1115"/>
      <c r="F640" s="1115"/>
      <c r="G640" s="1115"/>
      <c r="H640" s="1116"/>
      <c r="I640" s="1115"/>
      <c r="J640" s="1113"/>
    </row>
    <row r="641">
      <c r="A641" s="1113"/>
      <c r="B641" s="1114"/>
      <c r="C641" s="1115"/>
      <c r="D641" s="1116"/>
      <c r="E641" s="1115"/>
      <c r="F641" s="1115"/>
      <c r="G641" s="1115"/>
      <c r="H641" s="1116"/>
      <c r="I641" s="1115"/>
      <c r="J641" s="1113"/>
    </row>
    <row r="642">
      <c r="A642" s="1113"/>
      <c r="B642" s="1114"/>
      <c r="C642" s="1115"/>
      <c r="D642" s="1116"/>
      <c r="E642" s="1115"/>
      <c r="F642" s="1115"/>
      <c r="G642" s="1115"/>
      <c r="H642" s="1116"/>
      <c r="I642" s="1115"/>
      <c r="J642" s="1113"/>
    </row>
    <row r="643">
      <c r="A643" s="1113"/>
      <c r="B643" s="1114"/>
      <c r="C643" s="1115"/>
      <c r="D643" s="1116"/>
      <c r="E643" s="1115"/>
      <c r="F643" s="1115"/>
      <c r="G643" s="1115"/>
      <c r="H643" s="1116"/>
      <c r="I643" s="1115"/>
      <c r="J643" s="1113"/>
    </row>
    <row r="644">
      <c r="A644" s="1113"/>
      <c r="B644" s="1114"/>
      <c r="C644" s="1115"/>
      <c r="D644" s="1116"/>
      <c r="E644" s="1115"/>
      <c r="F644" s="1115"/>
      <c r="G644" s="1115"/>
      <c r="H644" s="1116"/>
      <c r="I644" s="1115"/>
      <c r="J644" s="1113"/>
    </row>
    <row r="645">
      <c r="A645" s="1113"/>
      <c r="B645" s="1114"/>
      <c r="C645" s="1115"/>
      <c r="D645" s="1116"/>
      <c r="E645" s="1115"/>
      <c r="F645" s="1115"/>
      <c r="G645" s="1115"/>
      <c r="H645" s="1116"/>
      <c r="I645" s="1115"/>
      <c r="J645" s="1113"/>
    </row>
    <row r="646">
      <c r="A646" s="1113"/>
      <c r="B646" s="1114"/>
      <c r="C646" s="1115"/>
      <c r="D646" s="1116"/>
      <c r="E646" s="1115"/>
      <c r="F646" s="1115"/>
      <c r="G646" s="1115"/>
      <c r="H646" s="1116"/>
      <c r="I646" s="1115"/>
      <c r="J646" s="1113"/>
    </row>
    <row r="647">
      <c r="A647" s="1113"/>
      <c r="B647" s="1114"/>
      <c r="C647" s="1115"/>
      <c r="D647" s="1116"/>
      <c r="E647" s="1115"/>
      <c r="F647" s="1115"/>
      <c r="G647" s="1115"/>
      <c r="H647" s="1116"/>
      <c r="I647" s="1115"/>
      <c r="J647" s="1113"/>
    </row>
    <row r="648">
      <c r="A648" s="1113"/>
      <c r="B648" s="1114"/>
      <c r="C648" s="1115"/>
      <c r="D648" s="1116"/>
      <c r="E648" s="1115"/>
      <c r="F648" s="1115"/>
      <c r="G648" s="1115"/>
      <c r="H648" s="1116"/>
      <c r="I648" s="1115"/>
      <c r="J648" s="1113"/>
    </row>
    <row r="649">
      <c r="A649" s="1113"/>
      <c r="B649" s="1114"/>
      <c r="C649" s="1115"/>
      <c r="D649" s="1116"/>
      <c r="E649" s="1115"/>
      <c r="F649" s="1115"/>
      <c r="G649" s="1115"/>
      <c r="H649" s="1116"/>
      <c r="I649" s="1115"/>
      <c r="J649" s="1113"/>
    </row>
    <row r="650">
      <c r="A650" s="1113"/>
      <c r="B650" s="1114"/>
      <c r="C650" s="1115"/>
      <c r="D650" s="1116"/>
      <c r="E650" s="1115"/>
      <c r="F650" s="1115"/>
      <c r="G650" s="1115"/>
      <c r="H650" s="1116"/>
      <c r="I650" s="1115"/>
      <c r="J650" s="1113"/>
    </row>
    <row r="651">
      <c r="A651" s="1113"/>
      <c r="B651" s="1114"/>
      <c r="C651" s="1115"/>
      <c r="D651" s="1116"/>
      <c r="E651" s="1115"/>
      <c r="F651" s="1115"/>
      <c r="G651" s="1115"/>
      <c r="H651" s="1116"/>
      <c r="I651" s="1115"/>
      <c r="J651" s="1113"/>
    </row>
    <row r="652">
      <c r="A652" s="1113"/>
      <c r="B652" s="1114"/>
      <c r="C652" s="1115"/>
      <c r="D652" s="1116"/>
      <c r="E652" s="1115"/>
      <c r="F652" s="1115"/>
      <c r="G652" s="1115"/>
      <c r="H652" s="1116"/>
      <c r="I652" s="1115"/>
      <c r="J652" s="1113"/>
    </row>
    <row r="653">
      <c r="A653" s="1113"/>
      <c r="B653" s="1114"/>
      <c r="C653" s="1115"/>
      <c r="D653" s="1116"/>
      <c r="E653" s="1115"/>
      <c r="F653" s="1115"/>
      <c r="G653" s="1115"/>
      <c r="H653" s="1116"/>
      <c r="I653" s="1115"/>
      <c r="J653" s="1113"/>
    </row>
    <row r="654">
      <c r="A654" s="1113"/>
      <c r="B654" s="1114"/>
      <c r="C654" s="1115"/>
      <c r="D654" s="1116"/>
      <c r="E654" s="1115"/>
      <c r="F654" s="1115"/>
      <c r="G654" s="1115"/>
      <c r="H654" s="1116"/>
      <c r="I654" s="1115"/>
      <c r="J654" s="1113"/>
    </row>
    <row r="655">
      <c r="A655" s="1113"/>
      <c r="B655" s="1114"/>
      <c r="C655" s="1115"/>
      <c r="D655" s="1116"/>
      <c r="E655" s="1115"/>
      <c r="F655" s="1115"/>
      <c r="G655" s="1115"/>
      <c r="H655" s="1116"/>
      <c r="I655" s="1115"/>
      <c r="J655" s="1113"/>
    </row>
    <row r="656">
      <c r="A656" s="1113"/>
      <c r="B656" s="1114"/>
      <c r="C656" s="1115"/>
      <c r="D656" s="1116"/>
      <c r="E656" s="1115"/>
      <c r="F656" s="1115"/>
      <c r="G656" s="1115"/>
      <c r="H656" s="1116"/>
      <c r="I656" s="1115"/>
      <c r="J656" s="1113"/>
    </row>
    <row r="657">
      <c r="A657" s="1113"/>
      <c r="B657" s="1114"/>
      <c r="C657" s="1115"/>
      <c r="D657" s="1116"/>
      <c r="E657" s="1115"/>
      <c r="F657" s="1115"/>
      <c r="G657" s="1115"/>
      <c r="H657" s="1116"/>
      <c r="I657" s="1115"/>
      <c r="J657" s="1113"/>
    </row>
    <row r="658">
      <c r="A658" s="1113"/>
      <c r="B658" s="1114"/>
      <c r="C658" s="1115"/>
      <c r="D658" s="1116"/>
      <c r="E658" s="1115"/>
      <c r="F658" s="1115"/>
      <c r="G658" s="1115"/>
      <c r="H658" s="1116"/>
      <c r="I658" s="1115"/>
      <c r="J658" s="1113"/>
    </row>
    <row r="659">
      <c r="A659" s="1113"/>
      <c r="B659" s="1114"/>
      <c r="C659" s="1115"/>
      <c r="D659" s="1116"/>
      <c r="E659" s="1115"/>
      <c r="F659" s="1115"/>
      <c r="G659" s="1115"/>
      <c r="H659" s="1116"/>
      <c r="I659" s="1115"/>
      <c r="J659" s="1113"/>
    </row>
    <row r="660">
      <c r="A660" s="1113"/>
      <c r="B660" s="1114"/>
      <c r="C660" s="1115"/>
      <c r="D660" s="1116"/>
      <c r="E660" s="1115"/>
      <c r="F660" s="1115"/>
      <c r="G660" s="1115"/>
      <c r="H660" s="1116"/>
      <c r="I660" s="1115"/>
      <c r="J660" s="1113"/>
    </row>
    <row r="661">
      <c r="A661" s="1113"/>
      <c r="B661" s="1114"/>
      <c r="C661" s="1115"/>
      <c r="D661" s="1116"/>
      <c r="E661" s="1115"/>
      <c r="F661" s="1115"/>
      <c r="G661" s="1115"/>
      <c r="H661" s="1116"/>
      <c r="I661" s="1115"/>
      <c r="J661" s="1113"/>
    </row>
    <row r="662">
      <c r="A662" s="1113"/>
      <c r="B662" s="1114"/>
      <c r="C662" s="1115"/>
      <c r="D662" s="1116"/>
      <c r="E662" s="1115"/>
      <c r="F662" s="1115"/>
      <c r="G662" s="1115"/>
      <c r="H662" s="1116"/>
      <c r="I662" s="1115"/>
      <c r="J662" s="1113"/>
    </row>
    <row r="663">
      <c r="A663" s="1113"/>
      <c r="B663" s="1114"/>
      <c r="C663" s="1115"/>
      <c r="D663" s="1116"/>
      <c r="E663" s="1115"/>
      <c r="F663" s="1115"/>
      <c r="G663" s="1115"/>
      <c r="H663" s="1116"/>
      <c r="I663" s="1115"/>
      <c r="J663" s="1113"/>
    </row>
    <row r="664">
      <c r="A664" s="1113"/>
      <c r="B664" s="1114"/>
      <c r="C664" s="1115"/>
      <c r="D664" s="1116"/>
      <c r="E664" s="1115"/>
      <c r="F664" s="1115"/>
      <c r="G664" s="1115"/>
      <c r="H664" s="1116"/>
      <c r="I664" s="1115"/>
      <c r="J664" s="1113"/>
    </row>
    <row r="665">
      <c r="A665" s="1113"/>
      <c r="B665" s="1114"/>
      <c r="C665" s="1115"/>
      <c r="D665" s="1116"/>
      <c r="E665" s="1115"/>
      <c r="F665" s="1115"/>
      <c r="G665" s="1115"/>
      <c r="H665" s="1116"/>
      <c r="I665" s="1115"/>
      <c r="J665" s="1113"/>
    </row>
    <row r="666">
      <c r="A666" s="1113"/>
      <c r="B666" s="1114"/>
      <c r="C666" s="1115"/>
      <c r="D666" s="1116"/>
      <c r="E666" s="1115"/>
      <c r="F666" s="1115"/>
      <c r="G666" s="1115"/>
      <c r="H666" s="1116"/>
      <c r="I666" s="1115"/>
      <c r="J666" s="1113"/>
    </row>
    <row r="667">
      <c r="A667" s="1113"/>
      <c r="B667" s="1114"/>
      <c r="C667" s="1115"/>
      <c r="D667" s="1116"/>
      <c r="E667" s="1115"/>
      <c r="F667" s="1115"/>
      <c r="G667" s="1115"/>
      <c r="H667" s="1116"/>
      <c r="I667" s="1115"/>
      <c r="J667" s="1113"/>
    </row>
    <row r="668">
      <c r="A668" s="1113"/>
      <c r="B668" s="1114"/>
      <c r="C668" s="1115"/>
      <c r="D668" s="1116"/>
      <c r="E668" s="1115"/>
      <c r="F668" s="1115"/>
      <c r="G668" s="1115"/>
      <c r="H668" s="1116"/>
      <c r="I668" s="1115"/>
      <c r="J668" s="1113"/>
    </row>
    <row r="669">
      <c r="A669" s="1113"/>
      <c r="B669" s="1114"/>
      <c r="C669" s="1115"/>
      <c r="D669" s="1116"/>
      <c r="E669" s="1115"/>
      <c r="F669" s="1115"/>
      <c r="G669" s="1115"/>
      <c r="H669" s="1116"/>
      <c r="I669" s="1115"/>
      <c r="J669" s="1113"/>
    </row>
    <row r="670">
      <c r="A670" s="1113"/>
      <c r="B670" s="1114"/>
      <c r="C670" s="1115"/>
      <c r="D670" s="1116"/>
      <c r="E670" s="1115"/>
      <c r="F670" s="1115"/>
      <c r="G670" s="1115"/>
      <c r="H670" s="1116"/>
      <c r="I670" s="1115"/>
      <c r="J670" s="1113"/>
    </row>
    <row r="671">
      <c r="A671" s="1113"/>
      <c r="B671" s="1114"/>
      <c r="C671" s="1115"/>
      <c r="D671" s="1116"/>
      <c r="E671" s="1115"/>
      <c r="F671" s="1115"/>
      <c r="G671" s="1115"/>
      <c r="H671" s="1116"/>
      <c r="I671" s="1115"/>
      <c r="J671" s="1113"/>
    </row>
    <row r="672">
      <c r="A672" s="1113"/>
      <c r="B672" s="1114"/>
      <c r="C672" s="1115"/>
      <c r="D672" s="1116"/>
      <c r="E672" s="1115"/>
      <c r="F672" s="1115"/>
      <c r="G672" s="1115"/>
      <c r="H672" s="1116"/>
      <c r="I672" s="1115"/>
      <c r="J672" s="1113"/>
    </row>
    <row r="673">
      <c r="A673" s="1113"/>
      <c r="B673" s="1114"/>
      <c r="C673" s="1115"/>
      <c r="D673" s="1116"/>
      <c r="E673" s="1115"/>
      <c r="F673" s="1115"/>
      <c r="G673" s="1115"/>
      <c r="H673" s="1116"/>
      <c r="I673" s="1115"/>
      <c r="J673" s="1113"/>
    </row>
    <row r="674">
      <c r="A674" s="1113"/>
      <c r="B674" s="1114"/>
      <c r="C674" s="1115"/>
      <c r="D674" s="1116"/>
      <c r="E674" s="1115"/>
      <c r="F674" s="1115"/>
      <c r="G674" s="1115"/>
      <c r="H674" s="1116"/>
      <c r="I674" s="1115"/>
      <c r="J674" s="1113"/>
    </row>
    <row r="675">
      <c r="A675" s="1113"/>
      <c r="B675" s="1114"/>
      <c r="C675" s="1115"/>
      <c r="D675" s="1116"/>
      <c r="E675" s="1115"/>
      <c r="F675" s="1115"/>
      <c r="G675" s="1115"/>
      <c r="H675" s="1116"/>
      <c r="I675" s="1115"/>
      <c r="J675" s="1113"/>
    </row>
    <row r="676">
      <c r="A676" s="1113"/>
      <c r="B676" s="1114"/>
      <c r="C676" s="1115"/>
      <c r="D676" s="1116"/>
      <c r="E676" s="1115"/>
      <c r="F676" s="1115"/>
      <c r="G676" s="1115"/>
      <c r="H676" s="1116"/>
      <c r="I676" s="1115"/>
      <c r="J676" s="1113"/>
    </row>
    <row r="677">
      <c r="A677" s="1113"/>
      <c r="B677" s="1114"/>
      <c r="C677" s="1115"/>
      <c r="D677" s="1116"/>
      <c r="E677" s="1115"/>
      <c r="F677" s="1115"/>
      <c r="G677" s="1115"/>
      <c r="H677" s="1116"/>
      <c r="I677" s="1115"/>
      <c r="J677" s="1113"/>
    </row>
    <row r="678">
      <c r="A678" s="1113"/>
      <c r="B678" s="1114"/>
      <c r="C678" s="1115"/>
      <c r="D678" s="1116"/>
      <c r="E678" s="1115"/>
      <c r="F678" s="1115"/>
      <c r="G678" s="1115"/>
      <c r="H678" s="1116"/>
      <c r="I678" s="1115"/>
      <c r="J678" s="1113"/>
    </row>
    <row r="679">
      <c r="A679" s="1113"/>
      <c r="B679" s="1114"/>
      <c r="C679" s="1115"/>
      <c r="D679" s="1116"/>
      <c r="E679" s="1115"/>
      <c r="F679" s="1115"/>
      <c r="G679" s="1115"/>
      <c r="H679" s="1116"/>
      <c r="I679" s="1115"/>
      <c r="J679" s="1113"/>
    </row>
    <row r="680">
      <c r="A680" s="1113"/>
      <c r="B680" s="1114"/>
      <c r="C680" s="1115"/>
      <c r="D680" s="1116"/>
      <c r="E680" s="1115"/>
      <c r="F680" s="1115"/>
      <c r="G680" s="1115"/>
      <c r="H680" s="1116"/>
      <c r="I680" s="1115"/>
      <c r="J680" s="1113"/>
    </row>
    <row r="681">
      <c r="A681" s="1113"/>
      <c r="B681" s="1114"/>
      <c r="C681" s="1115"/>
      <c r="D681" s="1116"/>
      <c r="E681" s="1115"/>
      <c r="F681" s="1115"/>
      <c r="G681" s="1115"/>
      <c r="H681" s="1116"/>
      <c r="I681" s="1115"/>
      <c r="J681" s="1113"/>
    </row>
    <row r="682">
      <c r="A682" s="1113"/>
      <c r="B682" s="1114"/>
      <c r="C682" s="1115"/>
      <c r="D682" s="1116"/>
      <c r="E682" s="1115"/>
      <c r="F682" s="1115"/>
      <c r="G682" s="1115"/>
      <c r="H682" s="1116"/>
      <c r="I682" s="1115"/>
      <c r="J682" s="1113"/>
    </row>
    <row r="683">
      <c r="A683" s="1113"/>
      <c r="B683" s="1114"/>
      <c r="C683" s="1115"/>
      <c r="D683" s="1116"/>
      <c r="E683" s="1115"/>
      <c r="F683" s="1115"/>
      <c r="G683" s="1115"/>
      <c r="H683" s="1116"/>
      <c r="I683" s="1115"/>
      <c r="J683" s="1113"/>
    </row>
    <row r="684">
      <c r="A684" s="1113"/>
      <c r="B684" s="1114"/>
      <c r="C684" s="1115"/>
      <c r="D684" s="1116"/>
      <c r="E684" s="1115"/>
      <c r="F684" s="1115"/>
      <c r="G684" s="1115"/>
      <c r="H684" s="1116"/>
      <c r="I684" s="1115"/>
      <c r="J684" s="1113"/>
    </row>
    <row r="685">
      <c r="A685" s="1113"/>
      <c r="B685" s="1114"/>
      <c r="C685" s="1115"/>
      <c r="D685" s="1116"/>
      <c r="E685" s="1115"/>
      <c r="F685" s="1115"/>
      <c r="G685" s="1115"/>
      <c r="H685" s="1116"/>
      <c r="I685" s="1115"/>
      <c r="J685" s="1113"/>
    </row>
    <row r="686">
      <c r="A686" s="1113"/>
      <c r="B686" s="1114"/>
      <c r="C686" s="1115"/>
      <c r="D686" s="1116"/>
      <c r="E686" s="1115"/>
      <c r="F686" s="1115"/>
      <c r="G686" s="1115"/>
      <c r="H686" s="1116"/>
      <c r="I686" s="1115"/>
      <c r="J686" s="1113"/>
    </row>
    <row r="687">
      <c r="A687" s="1113"/>
      <c r="B687" s="1114"/>
      <c r="C687" s="1115"/>
      <c r="D687" s="1116"/>
      <c r="E687" s="1115"/>
      <c r="F687" s="1115"/>
      <c r="G687" s="1115"/>
      <c r="H687" s="1116"/>
      <c r="I687" s="1115"/>
      <c r="J687" s="1113"/>
    </row>
    <row r="688">
      <c r="A688" s="1113"/>
      <c r="B688" s="1114"/>
      <c r="C688" s="1115"/>
      <c r="D688" s="1116"/>
      <c r="E688" s="1115"/>
      <c r="F688" s="1115"/>
      <c r="G688" s="1115"/>
      <c r="H688" s="1116"/>
      <c r="I688" s="1115"/>
      <c r="J688" s="1113"/>
    </row>
    <row r="689">
      <c r="A689" s="1113"/>
      <c r="B689" s="1114"/>
      <c r="C689" s="1115"/>
      <c r="D689" s="1116"/>
      <c r="E689" s="1115"/>
      <c r="F689" s="1115"/>
      <c r="G689" s="1115"/>
      <c r="H689" s="1116"/>
      <c r="I689" s="1115"/>
      <c r="J689" s="1113"/>
    </row>
    <row r="690">
      <c r="A690" s="1113"/>
      <c r="B690" s="1114"/>
      <c r="C690" s="1115"/>
      <c r="D690" s="1116"/>
      <c r="E690" s="1115"/>
      <c r="F690" s="1115"/>
      <c r="G690" s="1115"/>
      <c r="H690" s="1116"/>
      <c r="I690" s="1115"/>
      <c r="J690" s="1113"/>
    </row>
    <row r="691">
      <c r="A691" s="1113"/>
      <c r="B691" s="1114"/>
      <c r="C691" s="1115"/>
      <c r="D691" s="1116"/>
      <c r="E691" s="1115"/>
      <c r="F691" s="1115"/>
      <c r="G691" s="1115"/>
      <c r="H691" s="1116"/>
      <c r="I691" s="1115"/>
      <c r="J691" s="1113"/>
    </row>
    <row r="692">
      <c r="A692" s="1113"/>
      <c r="B692" s="1114"/>
      <c r="C692" s="1115"/>
      <c r="D692" s="1116"/>
      <c r="E692" s="1115"/>
      <c r="F692" s="1115"/>
      <c r="G692" s="1115"/>
      <c r="H692" s="1116"/>
      <c r="I692" s="1115"/>
      <c r="J692" s="1113"/>
    </row>
    <row r="693">
      <c r="A693" s="1113"/>
      <c r="B693" s="1114"/>
      <c r="C693" s="1115"/>
      <c r="D693" s="1116"/>
      <c r="E693" s="1115"/>
      <c r="F693" s="1115"/>
      <c r="G693" s="1115"/>
      <c r="H693" s="1116"/>
      <c r="I693" s="1115"/>
      <c r="J693" s="1113"/>
    </row>
    <row r="694">
      <c r="A694" s="1113"/>
      <c r="B694" s="1114"/>
      <c r="C694" s="1115"/>
      <c r="D694" s="1116"/>
      <c r="E694" s="1115"/>
      <c r="F694" s="1115"/>
      <c r="G694" s="1115"/>
      <c r="H694" s="1116"/>
      <c r="I694" s="1115"/>
      <c r="J694" s="1113"/>
    </row>
    <row r="695">
      <c r="A695" s="1113"/>
      <c r="B695" s="1114"/>
      <c r="C695" s="1115"/>
      <c r="D695" s="1116"/>
      <c r="E695" s="1115"/>
      <c r="F695" s="1115"/>
      <c r="G695" s="1115"/>
      <c r="H695" s="1116"/>
      <c r="I695" s="1115"/>
      <c r="J695" s="1113"/>
    </row>
    <row r="696">
      <c r="A696" s="1113"/>
      <c r="B696" s="1114"/>
      <c r="C696" s="1115"/>
      <c r="D696" s="1116"/>
      <c r="E696" s="1115"/>
      <c r="F696" s="1115"/>
      <c r="G696" s="1115"/>
      <c r="H696" s="1116"/>
      <c r="I696" s="1115"/>
      <c r="J696" s="1113"/>
    </row>
    <row r="697">
      <c r="A697" s="1113"/>
      <c r="B697" s="1114"/>
      <c r="C697" s="1115"/>
      <c r="D697" s="1116"/>
      <c r="E697" s="1115"/>
      <c r="F697" s="1115"/>
      <c r="G697" s="1115"/>
      <c r="H697" s="1116"/>
      <c r="I697" s="1115"/>
      <c r="J697" s="1113"/>
    </row>
    <row r="698">
      <c r="A698" s="1113"/>
      <c r="B698" s="1114"/>
      <c r="C698" s="1115"/>
      <c r="D698" s="1116"/>
      <c r="E698" s="1115"/>
      <c r="F698" s="1115"/>
      <c r="G698" s="1115"/>
      <c r="H698" s="1116"/>
      <c r="I698" s="1115"/>
      <c r="J698" s="1113"/>
    </row>
    <row r="699">
      <c r="A699" s="1113"/>
      <c r="B699" s="1114"/>
      <c r="C699" s="1115"/>
      <c r="D699" s="1116"/>
      <c r="E699" s="1115"/>
      <c r="F699" s="1115"/>
      <c r="G699" s="1115"/>
      <c r="H699" s="1116"/>
      <c r="I699" s="1115"/>
      <c r="J699" s="1113"/>
    </row>
    <row r="700">
      <c r="A700" s="1113"/>
      <c r="B700" s="1114"/>
      <c r="C700" s="1115"/>
      <c r="D700" s="1116"/>
      <c r="E700" s="1115"/>
      <c r="F700" s="1115"/>
      <c r="G700" s="1115"/>
      <c r="H700" s="1116"/>
      <c r="I700" s="1115"/>
      <c r="J700" s="1113"/>
    </row>
    <row r="701">
      <c r="A701" s="1113"/>
      <c r="B701" s="1114"/>
      <c r="C701" s="1115"/>
      <c r="D701" s="1116"/>
      <c r="E701" s="1115"/>
      <c r="F701" s="1115"/>
      <c r="G701" s="1115"/>
      <c r="H701" s="1116"/>
      <c r="I701" s="1115"/>
      <c r="J701" s="1113"/>
    </row>
    <row r="702">
      <c r="A702" s="1113"/>
      <c r="B702" s="1114"/>
      <c r="C702" s="1115"/>
      <c r="D702" s="1116"/>
      <c r="E702" s="1115"/>
      <c r="F702" s="1115"/>
      <c r="G702" s="1115"/>
      <c r="H702" s="1116"/>
      <c r="I702" s="1115"/>
      <c r="J702" s="1113"/>
    </row>
    <row r="703">
      <c r="A703" s="1113"/>
      <c r="B703" s="1114"/>
      <c r="C703" s="1115"/>
      <c r="D703" s="1116"/>
      <c r="E703" s="1115"/>
      <c r="F703" s="1115"/>
      <c r="G703" s="1115"/>
      <c r="H703" s="1116"/>
      <c r="I703" s="1115"/>
      <c r="J703" s="1113"/>
    </row>
    <row r="704">
      <c r="A704" s="1113"/>
      <c r="B704" s="1114"/>
      <c r="C704" s="1115"/>
      <c r="D704" s="1116"/>
      <c r="E704" s="1115"/>
      <c r="F704" s="1115"/>
      <c r="G704" s="1115"/>
      <c r="H704" s="1116"/>
      <c r="I704" s="1115"/>
      <c r="J704" s="1113"/>
    </row>
    <row r="705">
      <c r="A705" s="1113"/>
      <c r="B705" s="1114"/>
      <c r="C705" s="1115"/>
      <c r="D705" s="1116"/>
      <c r="E705" s="1115"/>
      <c r="F705" s="1115"/>
      <c r="G705" s="1115"/>
      <c r="H705" s="1116"/>
      <c r="I705" s="1115"/>
      <c r="J705" s="1113"/>
    </row>
    <row r="706">
      <c r="A706" s="1113"/>
      <c r="B706" s="1114"/>
      <c r="C706" s="1115"/>
      <c r="D706" s="1116"/>
      <c r="E706" s="1115"/>
      <c r="F706" s="1115"/>
      <c r="G706" s="1115"/>
      <c r="H706" s="1116"/>
      <c r="I706" s="1115"/>
      <c r="J706" s="1113"/>
    </row>
    <row r="707">
      <c r="A707" s="1113"/>
      <c r="B707" s="1114"/>
      <c r="C707" s="1115"/>
      <c r="D707" s="1116"/>
      <c r="E707" s="1115"/>
      <c r="F707" s="1115"/>
      <c r="G707" s="1115"/>
      <c r="H707" s="1116"/>
      <c r="I707" s="1115"/>
      <c r="J707" s="1113"/>
    </row>
    <row r="708">
      <c r="A708" s="1113"/>
      <c r="B708" s="1114"/>
      <c r="C708" s="1115"/>
      <c r="D708" s="1116"/>
      <c r="E708" s="1115"/>
      <c r="F708" s="1115"/>
      <c r="G708" s="1115"/>
      <c r="H708" s="1116"/>
      <c r="I708" s="1115"/>
      <c r="J708" s="1113"/>
    </row>
    <row r="709">
      <c r="A709" s="1113"/>
      <c r="B709" s="1114"/>
      <c r="C709" s="1115"/>
      <c r="D709" s="1116"/>
      <c r="E709" s="1115"/>
      <c r="F709" s="1115"/>
      <c r="G709" s="1115"/>
      <c r="H709" s="1116"/>
      <c r="I709" s="1115"/>
      <c r="J709" s="1113"/>
    </row>
    <row r="710">
      <c r="A710" s="1113"/>
      <c r="B710" s="1114"/>
      <c r="C710" s="1115"/>
      <c r="D710" s="1116"/>
      <c r="E710" s="1115"/>
      <c r="F710" s="1115"/>
      <c r="G710" s="1115"/>
      <c r="H710" s="1116"/>
      <c r="I710" s="1115"/>
      <c r="J710" s="1113"/>
    </row>
    <row r="711">
      <c r="A711" s="1113"/>
      <c r="B711" s="1114"/>
      <c r="C711" s="1115"/>
      <c r="D711" s="1116"/>
      <c r="E711" s="1115"/>
      <c r="F711" s="1115"/>
      <c r="G711" s="1115"/>
      <c r="H711" s="1116"/>
      <c r="I711" s="1115"/>
      <c r="J711" s="1113"/>
    </row>
    <row r="712">
      <c r="A712" s="1113"/>
      <c r="B712" s="1114"/>
      <c r="C712" s="1115"/>
      <c r="D712" s="1116"/>
      <c r="E712" s="1115"/>
      <c r="F712" s="1115"/>
      <c r="G712" s="1115"/>
      <c r="H712" s="1116"/>
      <c r="I712" s="1115"/>
      <c r="J712" s="1113"/>
    </row>
    <row r="713">
      <c r="A713" s="1113"/>
      <c r="B713" s="1114"/>
      <c r="C713" s="1115"/>
      <c r="D713" s="1116"/>
      <c r="E713" s="1115"/>
      <c r="F713" s="1115"/>
      <c r="G713" s="1115"/>
      <c r="H713" s="1116"/>
      <c r="I713" s="1115"/>
      <c r="J713" s="1113"/>
    </row>
    <row r="714">
      <c r="A714" s="1113"/>
      <c r="B714" s="1114"/>
      <c r="C714" s="1115"/>
      <c r="D714" s="1116"/>
      <c r="E714" s="1115"/>
      <c r="F714" s="1115"/>
      <c r="G714" s="1115"/>
      <c r="H714" s="1116"/>
      <c r="I714" s="1115"/>
      <c r="J714" s="1113"/>
    </row>
    <row r="715">
      <c r="A715" s="1113"/>
      <c r="B715" s="1114"/>
      <c r="C715" s="1115"/>
      <c r="D715" s="1116"/>
      <c r="E715" s="1115"/>
      <c r="F715" s="1115"/>
      <c r="G715" s="1115"/>
      <c r="H715" s="1116"/>
      <c r="I715" s="1115"/>
      <c r="J715" s="1113"/>
    </row>
    <row r="716">
      <c r="A716" s="1113"/>
      <c r="B716" s="1114"/>
      <c r="C716" s="1115"/>
      <c r="D716" s="1116"/>
      <c r="E716" s="1115"/>
      <c r="F716" s="1115"/>
      <c r="G716" s="1115"/>
      <c r="H716" s="1116"/>
      <c r="I716" s="1115"/>
      <c r="J716" s="1113"/>
    </row>
    <row r="717">
      <c r="A717" s="1113"/>
      <c r="B717" s="1114"/>
      <c r="C717" s="1115"/>
      <c r="D717" s="1116"/>
      <c r="E717" s="1115"/>
      <c r="F717" s="1115"/>
      <c r="G717" s="1115"/>
      <c r="H717" s="1116"/>
      <c r="I717" s="1115"/>
      <c r="J717" s="1113"/>
    </row>
    <row r="718">
      <c r="A718" s="1113"/>
      <c r="B718" s="1114"/>
      <c r="C718" s="1115"/>
      <c r="D718" s="1116"/>
      <c r="E718" s="1115"/>
      <c r="F718" s="1115"/>
      <c r="G718" s="1115"/>
      <c r="H718" s="1116"/>
      <c r="I718" s="1115"/>
      <c r="J718" s="1113"/>
    </row>
    <row r="719">
      <c r="A719" s="1113"/>
      <c r="B719" s="1114"/>
      <c r="C719" s="1115"/>
      <c r="D719" s="1116"/>
      <c r="E719" s="1115"/>
      <c r="F719" s="1115"/>
      <c r="G719" s="1115"/>
      <c r="H719" s="1116"/>
      <c r="I719" s="1115"/>
      <c r="J719" s="1113"/>
    </row>
    <row r="720">
      <c r="A720" s="1113"/>
      <c r="B720" s="1114"/>
      <c r="C720" s="1115"/>
      <c r="D720" s="1116"/>
      <c r="E720" s="1115"/>
      <c r="F720" s="1115"/>
      <c r="G720" s="1115"/>
      <c r="H720" s="1116"/>
      <c r="I720" s="1115"/>
      <c r="J720" s="1113"/>
    </row>
    <row r="721">
      <c r="A721" s="1113"/>
      <c r="B721" s="1114"/>
      <c r="C721" s="1115"/>
      <c r="D721" s="1116"/>
      <c r="E721" s="1115"/>
      <c r="F721" s="1115"/>
      <c r="G721" s="1115"/>
      <c r="H721" s="1116"/>
      <c r="I721" s="1115"/>
      <c r="J721" s="1113"/>
    </row>
    <row r="722">
      <c r="A722" s="1113"/>
      <c r="B722" s="1114"/>
      <c r="C722" s="1115"/>
      <c r="D722" s="1116"/>
      <c r="E722" s="1115"/>
      <c r="F722" s="1115"/>
      <c r="G722" s="1115"/>
      <c r="H722" s="1116"/>
      <c r="I722" s="1115"/>
      <c r="J722" s="1113"/>
    </row>
    <row r="723">
      <c r="A723" s="1113"/>
      <c r="B723" s="1114"/>
      <c r="C723" s="1115"/>
      <c r="D723" s="1116"/>
      <c r="E723" s="1115"/>
      <c r="F723" s="1115"/>
      <c r="G723" s="1115"/>
      <c r="H723" s="1116"/>
      <c r="I723" s="1115"/>
      <c r="J723" s="1113"/>
    </row>
    <row r="724">
      <c r="A724" s="1113"/>
      <c r="B724" s="1114"/>
      <c r="C724" s="1115"/>
      <c r="D724" s="1116"/>
      <c r="E724" s="1115"/>
      <c r="F724" s="1115"/>
      <c r="G724" s="1115"/>
      <c r="H724" s="1116"/>
      <c r="I724" s="1115"/>
      <c r="J724" s="1113"/>
    </row>
    <row r="725">
      <c r="A725" s="1113"/>
      <c r="B725" s="1114"/>
      <c r="C725" s="1115"/>
      <c r="D725" s="1116"/>
      <c r="E725" s="1115"/>
      <c r="F725" s="1115"/>
      <c r="G725" s="1115"/>
      <c r="H725" s="1116"/>
      <c r="I725" s="1115"/>
      <c r="J725" s="1113"/>
    </row>
    <row r="726">
      <c r="A726" s="1113"/>
      <c r="B726" s="1114"/>
      <c r="C726" s="1115"/>
      <c r="D726" s="1116"/>
      <c r="E726" s="1115"/>
      <c r="F726" s="1115"/>
      <c r="G726" s="1115"/>
      <c r="H726" s="1116"/>
      <c r="I726" s="1115"/>
      <c r="J726" s="1113"/>
    </row>
    <row r="727">
      <c r="A727" s="1113"/>
      <c r="B727" s="1114"/>
      <c r="C727" s="1115"/>
      <c r="D727" s="1116"/>
      <c r="E727" s="1115"/>
      <c r="F727" s="1115"/>
      <c r="G727" s="1115"/>
      <c r="H727" s="1116"/>
      <c r="I727" s="1115"/>
      <c r="J727" s="1113"/>
    </row>
    <row r="728">
      <c r="A728" s="1113"/>
      <c r="B728" s="1114"/>
      <c r="C728" s="1115"/>
      <c r="D728" s="1116"/>
      <c r="E728" s="1115"/>
      <c r="F728" s="1115"/>
      <c r="G728" s="1115"/>
      <c r="H728" s="1116"/>
      <c r="I728" s="1115"/>
      <c r="J728" s="1113"/>
    </row>
    <row r="729">
      <c r="A729" s="1113"/>
      <c r="B729" s="1114"/>
      <c r="C729" s="1115"/>
      <c r="D729" s="1116"/>
      <c r="E729" s="1115"/>
      <c r="F729" s="1115"/>
      <c r="G729" s="1115"/>
      <c r="H729" s="1116"/>
      <c r="I729" s="1115"/>
      <c r="J729" s="1113"/>
    </row>
    <row r="730">
      <c r="A730" s="1113"/>
      <c r="B730" s="1114"/>
      <c r="C730" s="1115"/>
      <c r="D730" s="1116"/>
      <c r="E730" s="1115"/>
      <c r="F730" s="1115"/>
      <c r="G730" s="1115"/>
      <c r="H730" s="1116"/>
      <c r="I730" s="1115"/>
      <c r="J730" s="1113"/>
    </row>
    <row r="731">
      <c r="A731" s="1113"/>
      <c r="B731" s="1114"/>
      <c r="C731" s="1115"/>
      <c r="D731" s="1116"/>
      <c r="E731" s="1115"/>
      <c r="F731" s="1115"/>
      <c r="G731" s="1115"/>
      <c r="H731" s="1116"/>
      <c r="I731" s="1115"/>
      <c r="J731" s="1113"/>
    </row>
    <row r="732">
      <c r="A732" s="1113"/>
      <c r="B732" s="1114"/>
      <c r="C732" s="1115"/>
      <c r="D732" s="1116"/>
      <c r="E732" s="1115"/>
      <c r="F732" s="1115"/>
      <c r="G732" s="1115"/>
      <c r="H732" s="1116"/>
      <c r="I732" s="1115"/>
      <c r="J732" s="1113"/>
    </row>
    <row r="733">
      <c r="A733" s="1113"/>
      <c r="B733" s="1114"/>
      <c r="C733" s="1115"/>
      <c r="D733" s="1116"/>
      <c r="E733" s="1115"/>
      <c r="F733" s="1115"/>
      <c r="G733" s="1115"/>
      <c r="H733" s="1116"/>
      <c r="I733" s="1115"/>
      <c r="J733" s="1113"/>
    </row>
    <row r="734">
      <c r="A734" s="1113"/>
      <c r="B734" s="1114"/>
      <c r="C734" s="1115"/>
      <c r="D734" s="1116"/>
      <c r="E734" s="1115"/>
      <c r="F734" s="1115"/>
      <c r="G734" s="1115"/>
      <c r="H734" s="1116"/>
      <c r="I734" s="1115"/>
      <c r="J734" s="1113"/>
    </row>
    <row r="735">
      <c r="A735" s="1113"/>
      <c r="B735" s="1114"/>
      <c r="C735" s="1115"/>
      <c r="D735" s="1116"/>
      <c r="E735" s="1115"/>
      <c r="F735" s="1115"/>
      <c r="G735" s="1115"/>
      <c r="H735" s="1116"/>
      <c r="I735" s="1115"/>
      <c r="J735" s="1113"/>
    </row>
    <row r="736">
      <c r="A736" s="1113"/>
      <c r="B736" s="1114"/>
      <c r="C736" s="1115"/>
      <c r="D736" s="1116"/>
      <c r="E736" s="1115"/>
      <c r="F736" s="1115"/>
      <c r="G736" s="1115"/>
      <c r="H736" s="1116"/>
      <c r="I736" s="1115"/>
      <c r="J736" s="1113"/>
    </row>
    <row r="737">
      <c r="A737" s="1113"/>
      <c r="B737" s="1114"/>
      <c r="C737" s="1115"/>
      <c r="D737" s="1116"/>
      <c r="E737" s="1115"/>
      <c r="F737" s="1115"/>
      <c r="G737" s="1115"/>
      <c r="H737" s="1116"/>
      <c r="I737" s="1115"/>
      <c r="J737" s="1113"/>
    </row>
    <row r="738">
      <c r="A738" s="1113"/>
      <c r="B738" s="1114"/>
      <c r="C738" s="1115"/>
      <c r="D738" s="1116"/>
      <c r="E738" s="1115"/>
      <c r="F738" s="1115"/>
      <c r="G738" s="1115"/>
      <c r="H738" s="1116"/>
      <c r="I738" s="1115"/>
      <c r="J738" s="1113"/>
    </row>
    <row r="739">
      <c r="A739" s="1113"/>
      <c r="B739" s="1114"/>
      <c r="C739" s="1115"/>
      <c r="D739" s="1116"/>
      <c r="E739" s="1115"/>
      <c r="F739" s="1115"/>
      <c r="G739" s="1115"/>
      <c r="H739" s="1116"/>
      <c r="I739" s="1115"/>
      <c r="J739" s="1113"/>
    </row>
    <row r="740">
      <c r="A740" s="1113"/>
      <c r="B740" s="1114"/>
      <c r="C740" s="1115"/>
      <c r="D740" s="1116"/>
      <c r="E740" s="1115"/>
      <c r="F740" s="1115"/>
      <c r="G740" s="1115"/>
      <c r="H740" s="1116"/>
      <c r="I740" s="1115"/>
      <c r="J740" s="1113"/>
    </row>
    <row r="741">
      <c r="A741" s="1113"/>
      <c r="B741" s="1114"/>
      <c r="C741" s="1115"/>
      <c r="D741" s="1116"/>
      <c r="E741" s="1115"/>
      <c r="F741" s="1115"/>
      <c r="G741" s="1115"/>
      <c r="H741" s="1116"/>
      <c r="I741" s="1115"/>
      <c r="J741" s="1113"/>
    </row>
    <row r="742">
      <c r="A742" s="1113"/>
      <c r="B742" s="1114"/>
      <c r="C742" s="1115"/>
      <c r="D742" s="1116"/>
      <c r="E742" s="1115"/>
      <c r="F742" s="1115"/>
      <c r="G742" s="1115"/>
      <c r="H742" s="1116"/>
      <c r="I742" s="1115"/>
      <c r="J742" s="1113"/>
    </row>
    <row r="743">
      <c r="A743" s="1113"/>
      <c r="B743" s="1114"/>
      <c r="C743" s="1115"/>
      <c r="D743" s="1116"/>
      <c r="E743" s="1115"/>
      <c r="F743" s="1115"/>
      <c r="G743" s="1115"/>
      <c r="H743" s="1116"/>
      <c r="I743" s="1115"/>
      <c r="J743" s="1113"/>
    </row>
    <row r="744">
      <c r="A744" s="1113"/>
      <c r="B744" s="1114"/>
      <c r="C744" s="1115"/>
      <c r="D744" s="1116"/>
      <c r="E744" s="1115"/>
      <c r="F744" s="1115"/>
      <c r="G744" s="1115"/>
      <c r="H744" s="1116"/>
      <c r="I744" s="1115"/>
      <c r="J744" s="1113"/>
    </row>
    <row r="745">
      <c r="A745" s="1113"/>
      <c r="B745" s="1114"/>
      <c r="C745" s="1115"/>
      <c r="D745" s="1116"/>
      <c r="E745" s="1115"/>
      <c r="F745" s="1115"/>
      <c r="G745" s="1115"/>
      <c r="H745" s="1116"/>
      <c r="I745" s="1115"/>
      <c r="J745" s="1113"/>
    </row>
    <row r="746">
      <c r="A746" s="1113"/>
      <c r="B746" s="1114"/>
      <c r="C746" s="1115"/>
      <c r="D746" s="1116"/>
      <c r="E746" s="1115"/>
      <c r="F746" s="1115"/>
      <c r="G746" s="1115"/>
      <c r="H746" s="1116"/>
      <c r="I746" s="1115"/>
      <c r="J746" s="1113"/>
    </row>
    <row r="747">
      <c r="A747" s="1113"/>
      <c r="B747" s="1114"/>
      <c r="C747" s="1115"/>
      <c r="D747" s="1116"/>
      <c r="E747" s="1115"/>
      <c r="F747" s="1115"/>
      <c r="G747" s="1115"/>
      <c r="H747" s="1116"/>
      <c r="I747" s="1115"/>
      <c r="J747" s="1113"/>
    </row>
    <row r="748">
      <c r="A748" s="1113"/>
      <c r="B748" s="1114"/>
      <c r="C748" s="1115"/>
      <c r="D748" s="1116"/>
      <c r="E748" s="1115"/>
      <c r="F748" s="1115"/>
      <c r="G748" s="1115"/>
      <c r="H748" s="1116"/>
      <c r="I748" s="1115"/>
      <c r="J748" s="1113"/>
    </row>
    <row r="749">
      <c r="A749" s="1113"/>
      <c r="B749" s="1114"/>
      <c r="C749" s="1115"/>
      <c r="D749" s="1116"/>
      <c r="E749" s="1115"/>
      <c r="F749" s="1115"/>
      <c r="G749" s="1115"/>
      <c r="H749" s="1116"/>
      <c r="I749" s="1115"/>
      <c r="J749" s="1113"/>
    </row>
    <row r="750">
      <c r="A750" s="1113"/>
      <c r="B750" s="1114"/>
      <c r="C750" s="1115"/>
      <c r="D750" s="1116"/>
      <c r="E750" s="1115"/>
      <c r="F750" s="1115"/>
      <c r="G750" s="1115"/>
      <c r="H750" s="1116"/>
      <c r="I750" s="1115"/>
      <c r="J750" s="1113"/>
    </row>
    <row r="751">
      <c r="A751" s="1113"/>
      <c r="B751" s="1114"/>
      <c r="C751" s="1115"/>
      <c r="D751" s="1116"/>
      <c r="E751" s="1115"/>
      <c r="F751" s="1115"/>
      <c r="G751" s="1115"/>
      <c r="H751" s="1116"/>
      <c r="I751" s="1115"/>
      <c r="J751" s="1113"/>
    </row>
    <row r="752">
      <c r="A752" s="1113"/>
      <c r="B752" s="1114"/>
      <c r="C752" s="1115"/>
      <c r="D752" s="1116"/>
      <c r="E752" s="1115"/>
      <c r="F752" s="1115"/>
      <c r="G752" s="1115"/>
      <c r="H752" s="1116"/>
      <c r="I752" s="1115"/>
      <c r="J752" s="1113"/>
    </row>
    <row r="753">
      <c r="A753" s="1113"/>
      <c r="B753" s="1114"/>
      <c r="C753" s="1115"/>
      <c r="D753" s="1116"/>
      <c r="E753" s="1115"/>
      <c r="F753" s="1115"/>
      <c r="G753" s="1115"/>
      <c r="H753" s="1116"/>
      <c r="I753" s="1115"/>
      <c r="J753" s="1113"/>
    </row>
    <row r="754">
      <c r="A754" s="1113"/>
      <c r="B754" s="1114"/>
      <c r="C754" s="1115"/>
      <c r="D754" s="1116"/>
      <c r="E754" s="1115"/>
      <c r="F754" s="1115"/>
      <c r="G754" s="1115"/>
      <c r="H754" s="1116"/>
      <c r="I754" s="1115"/>
      <c r="J754" s="1113"/>
    </row>
    <row r="755">
      <c r="A755" s="1113"/>
      <c r="B755" s="1114"/>
      <c r="C755" s="1115"/>
      <c r="D755" s="1116"/>
      <c r="E755" s="1115"/>
      <c r="F755" s="1115"/>
      <c r="G755" s="1115"/>
      <c r="H755" s="1116"/>
      <c r="I755" s="1115"/>
      <c r="J755" s="1113"/>
    </row>
    <row r="756">
      <c r="A756" s="1113"/>
      <c r="B756" s="1114"/>
      <c r="C756" s="1115"/>
      <c r="D756" s="1116"/>
      <c r="E756" s="1115"/>
      <c r="F756" s="1115"/>
      <c r="G756" s="1115"/>
      <c r="H756" s="1116"/>
      <c r="I756" s="1115"/>
      <c r="J756" s="1113"/>
    </row>
    <row r="757">
      <c r="A757" s="1113"/>
      <c r="B757" s="1114"/>
      <c r="C757" s="1115"/>
      <c r="D757" s="1116"/>
      <c r="E757" s="1115"/>
      <c r="F757" s="1115"/>
      <c r="G757" s="1115"/>
      <c r="H757" s="1116"/>
      <c r="I757" s="1115"/>
      <c r="J757" s="1113"/>
    </row>
    <row r="758">
      <c r="A758" s="1113"/>
      <c r="B758" s="1114"/>
      <c r="C758" s="1115"/>
      <c r="D758" s="1116"/>
      <c r="E758" s="1115"/>
      <c r="F758" s="1115"/>
      <c r="G758" s="1115"/>
      <c r="H758" s="1116"/>
      <c r="I758" s="1115"/>
      <c r="J758" s="1113"/>
    </row>
    <row r="759">
      <c r="A759" s="1113"/>
      <c r="B759" s="1114"/>
      <c r="C759" s="1115"/>
      <c r="D759" s="1116"/>
      <c r="E759" s="1115"/>
      <c r="F759" s="1115"/>
      <c r="G759" s="1115"/>
      <c r="H759" s="1116"/>
      <c r="I759" s="1115"/>
      <c r="J759" s="1113"/>
    </row>
    <row r="760">
      <c r="A760" s="1113"/>
      <c r="B760" s="1114"/>
      <c r="C760" s="1115"/>
      <c r="D760" s="1116"/>
      <c r="E760" s="1115"/>
      <c r="F760" s="1115"/>
      <c r="G760" s="1115"/>
      <c r="H760" s="1116"/>
      <c r="I760" s="1115"/>
      <c r="J760" s="1113"/>
    </row>
    <row r="761">
      <c r="A761" s="1113"/>
      <c r="B761" s="1114"/>
      <c r="C761" s="1115"/>
      <c r="D761" s="1116"/>
      <c r="E761" s="1115"/>
      <c r="F761" s="1115"/>
      <c r="G761" s="1115"/>
      <c r="H761" s="1116"/>
      <c r="I761" s="1115"/>
      <c r="J761" s="1113"/>
    </row>
    <row r="762">
      <c r="A762" s="1113"/>
      <c r="B762" s="1114"/>
      <c r="C762" s="1115"/>
      <c r="D762" s="1116"/>
      <c r="E762" s="1115"/>
      <c r="F762" s="1115"/>
      <c r="G762" s="1115"/>
      <c r="H762" s="1116"/>
      <c r="I762" s="1115"/>
      <c r="J762" s="1113"/>
    </row>
    <row r="763">
      <c r="A763" s="1113"/>
      <c r="B763" s="1114"/>
      <c r="C763" s="1115"/>
      <c r="D763" s="1116"/>
      <c r="E763" s="1115"/>
      <c r="F763" s="1115"/>
      <c r="G763" s="1115"/>
      <c r="H763" s="1116"/>
      <c r="I763" s="1115"/>
      <c r="J763" s="1113"/>
    </row>
    <row r="764">
      <c r="A764" s="1113"/>
      <c r="B764" s="1114"/>
      <c r="C764" s="1115"/>
      <c r="D764" s="1116"/>
      <c r="E764" s="1115"/>
      <c r="F764" s="1115"/>
      <c r="G764" s="1115"/>
      <c r="H764" s="1116"/>
      <c r="I764" s="1115"/>
      <c r="J764" s="1113"/>
    </row>
    <row r="765">
      <c r="A765" s="1113"/>
      <c r="B765" s="1114"/>
      <c r="C765" s="1115"/>
      <c r="D765" s="1116"/>
      <c r="E765" s="1115"/>
      <c r="F765" s="1115"/>
      <c r="G765" s="1115"/>
      <c r="H765" s="1116"/>
      <c r="I765" s="1115"/>
      <c r="J765" s="1113"/>
    </row>
    <row r="766">
      <c r="A766" s="1113"/>
      <c r="B766" s="1114"/>
      <c r="C766" s="1115"/>
      <c r="D766" s="1116"/>
      <c r="E766" s="1115"/>
      <c r="F766" s="1115"/>
      <c r="G766" s="1115"/>
      <c r="H766" s="1116"/>
      <c r="I766" s="1115"/>
      <c r="J766" s="1113"/>
    </row>
    <row r="767">
      <c r="A767" s="1113"/>
      <c r="B767" s="1114"/>
      <c r="C767" s="1115"/>
      <c r="D767" s="1116"/>
      <c r="E767" s="1115"/>
      <c r="F767" s="1115"/>
      <c r="G767" s="1115"/>
      <c r="H767" s="1116"/>
      <c r="I767" s="1115"/>
      <c r="J767" s="1113"/>
    </row>
    <row r="768">
      <c r="A768" s="1113"/>
      <c r="B768" s="1114"/>
      <c r="C768" s="1115"/>
      <c r="D768" s="1116"/>
      <c r="E768" s="1115"/>
      <c r="F768" s="1115"/>
      <c r="G768" s="1115"/>
      <c r="H768" s="1116"/>
      <c r="I768" s="1115"/>
      <c r="J768" s="1113"/>
    </row>
    <row r="769">
      <c r="A769" s="1113"/>
      <c r="B769" s="1114"/>
      <c r="C769" s="1115"/>
      <c r="D769" s="1116"/>
      <c r="E769" s="1115"/>
      <c r="F769" s="1115"/>
      <c r="G769" s="1115"/>
      <c r="H769" s="1116"/>
      <c r="I769" s="1115"/>
      <c r="J769" s="1113"/>
    </row>
    <row r="770">
      <c r="A770" s="1113"/>
      <c r="B770" s="1114"/>
      <c r="C770" s="1115"/>
      <c r="D770" s="1116"/>
      <c r="E770" s="1115"/>
      <c r="F770" s="1115"/>
      <c r="G770" s="1115"/>
      <c r="H770" s="1116"/>
      <c r="I770" s="1115"/>
      <c r="J770" s="1113"/>
    </row>
    <row r="771">
      <c r="A771" s="1113"/>
      <c r="B771" s="1114"/>
      <c r="C771" s="1115"/>
      <c r="D771" s="1116"/>
      <c r="E771" s="1115"/>
      <c r="F771" s="1115"/>
      <c r="G771" s="1115"/>
      <c r="H771" s="1116"/>
      <c r="I771" s="1115"/>
      <c r="J771" s="1113"/>
    </row>
    <row r="772">
      <c r="A772" s="1113"/>
      <c r="B772" s="1114"/>
      <c r="C772" s="1115"/>
      <c r="D772" s="1116"/>
      <c r="E772" s="1115"/>
      <c r="F772" s="1115"/>
      <c r="G772" s="1115"/>
      <c r="H772" s="1116"/>
      <c r="I772" s="1115"/>
      <c r="J772" s="1113"/>
    </row>
    <row r="773">
      <c r="A773" s="1113"/>
      <c r="B773" s="1114"/>
      <c r="C773" s="1115"/>
      <c r="D773" s="1116"/>
      <c r="E773" s="1115"/>
      <c r="F773" s="1115"/>
      <c r="G773" s="1115"/>
      <c r="H773" s="1116"/>
      <c r="I773" s="1115"/>
      <c r="J773" s="1113"/>
    </row>
    <row r="774">
      <c r="A774" s="1113"/>
      <c r="B774" s="1114"/>
      <c r="C774" s="1115"/>
      <c r="D774" s="1116"/>
      <c r="E774" s="1115"/>
      <c r="F774" s="1115"/>
      <c r="G774" s="1115"/>
      <c r="H774" s="1116"/>
      <c r="I774" s="1115"/>
      <c r="J774" s="1113"/>
    </row>
    <row r="775">
      <c r="A775" s="1113"/>
      <c r="B775" s="1114"/>
      <c r="C775" s="1115"/>
      <c r="D775" s="1116"/>
      <c r="E775" s="1115"/>
      <c r="F775" s="1115"/>
      <c r="G775" s="1115"/>
      <c r="H775" s="1116"/>
      <c r="I775" s="1115"/>
      <c r="J775" s="1113"/>
    </row>
    <row r="776">
      <c r="A776" s="1113"/>
      <c r="B776" s="1114"/>
      <c r="C776" s="1115"/>
      <c r="D776" s="1116"/>
      <c r="E776" s="1115"/>
      <c r="F776" s="1115"/>
      <c r="G776" s="1115"/>
      <c r="H776" s="1116"/>
      <c r="I776" s="1115"/>
      <c r="J776" s="1113"/>
    </row>
    <row r="777">
      <c r="A777" s="1113"/>
      <c r="B777" s="1114"/>
      <c r="C777" s="1115"/>
      <c r="D777" s="1116"/>
      <c r="E777" s="1115"/>
      <c r="F777" s="1115"/>
      <c r="G777" s="1115"/>
      <c r="H777" s="1116"/>
      <c r="I777" s="1115"/>
      <c r="J777" s="1113"/>
    </row>
    <row r="778">
      <c r="A778" s="1113"/>
      <c r="B778" s="1114"/>
      <c r="C778" s="1115"/>
      <c r="D778" s="1116"/>
      <c r="E778" s="1115"/>
      <c r="F778" s="1115"/>
      <c r="G778" s="1115"/>
      <c r="H778" s="1116"/>
      <c r="I778" s="1115"/>
      <c r="J778" s="1113"/>
    </row>
    <row r="779">
      <c r="A779" s="1113"/>
      <c r="B779" s="1114"/>
      <c r="C779" s="1115"/>
      <c r="D779" s="1116"/>
      <c r="E779" s="1115"/>
      <c r="F779" s="1115"/>
      <c r="G779" s="1115"/>
      <c r="H779" s="1116"/>
      <c r="I779" s="1115"/>
      <c r="J779" s="1113"/>
    </row>
    <row r="780">
      <c r="A780" s="1113"/>
      <c r="B780" s="1114"/>
      <c r="C780" s="1115"/>
      <c r="D780" s="1116"/>
      <c r="E780" s="1115"/>
      <c r="F780" s="1115"/>
      <c r="G780" s="1115"/>
      <c r="H780" s="1116"/>
      <c r="I780" s="1115"/>
      <c r="J780" s="1113"/>
    </row>
    <row r="781">
      <c r="A781" s="1113"/>
      <c r="B781" s="1114"/>
      <c r="C781" s="1115"/>
      <c r="D781" s="1116"/>
      <c r="E781" s="1115"/>
      <c r="F781" s="1115"/>
      <c r="G781" s="1115"/>
      <c r="H781" s="1116"/>
      <c r="I781" s="1115"/>
      <c r="J781" s="1113"/>
    </row>
    <row r="782">
      <c r="A782" s="1113"/>
      <c r="B782" s="1114"/>
      <c r="C782" s="1115"/>
      <c r="D782" s="1116"/>
      <c r="E782" s="1115"/>
      <c r="F782" s="1115"/>
      <c r="G782" s="1115"/>
      <c r="H782" s="1116"/>
      <c r="I782" s="1115"/>
      <c r="J782" s="1113"/>
    </row>
    <row r="783">
      <c r="A783" s="1113"/>
      <c r="B783" s="1114"/>
      <c r="C783" s="1115"/>
      <c r="D783" s="1116"/>
      <c r="E783" s="1115"/>
      <c r="F783" s="1115"/>
      <c r="G783" s="1115"/>
      <c r="H783" s="1116"/>
      <c r="I783" s="1115"/>
      <c r="J783" s="1113"/>
    </row>
    <row r="784">
      <c r="A784" s="1113"/>
      <c r="B784" s="1114"/>
      <c r="C784" s="1115"/>
      <c r="D784" s="1116"/>
      <c r="E784" s="1115"/>
      <c r="F784" s="1115"/>
      <c r="G784" s="1115"/>
      <c r="H784" s="1116"/>
      <c r="I784" s="1115"/>
      <c r="J784" s="1113"/>
    </row>
    <row r="785">
      <c r="A785" s="1113"/>
      <c r="B785" s="1114"/>
      <c r="C785" s="1115"/>
      <c r="D785" s="1116"/>
      <c r="E785" s="1115"/>
      <c r="F785" s="1115"/>
      <c r="G785" s="1115"/>
      <c r="H785" s="1116"/>
      <c r="I785" s="1115"/>
      <c r="J785" s="1113"/>
    </row>
    <row r="786">
      <c r="A786" s="1113"/>
      <c r="B786" s="1114"/>
      <c r="C786" s="1115"/>
      <c r="D786" s="1116"/>
      <c r="E786" s="1115"/>
      <c r="F786" s="1115"/>
      <c r="G786" s="1115"/>
      <c r="H786" s="1116"/>
      <c r="I786" s="1115"/>
      <c r="J786" s="1113"/>
    </row>
    <row r="787">
      <c r="A787" s="1113"/>
      <c r="B787" s="1114"/>
      <c r="C787" s="1115"/>
      <c r="D787" s="1116"/>
      <c r="E787" s="1115"/>
      <c r="F787" s="1115"/>
      <c r="G787" s="1115"/>
      <c r="H787" s="1116"/>
      <c r="I787" s="1115"/>
      <c r="J787" s="1113"/>
    </row>
    <row r="788">
      <c r="A788" s="1113"/>
      <c r="B788" s="1114"/>
      <c r="C788" s="1115"/>
      <c r="D788" s="1116"/>
      <c r="E788" s="1115"/>
      <c r="F788" s="1115"/>
      <c r="G788" s="1115"/>
      <c r="H788" s="1116"/>
      <c r="I788" s="1115"/>
      <c r="J788" s="1113"/>
    </row>
    <row r="789">
      <c r="A789" s="1113"/>
      <c r="B789" s="1114"/>
      <c r="C789" s="1115"/>
      <c r="D789" s="1116"/>
      <c r="E789" s="1115"/>
      <c r="F789" s="1115"/>
      <c r="G789" s="1115"/>
      <c r="H789" s="1116"/>
      <c r="I789" s="1115"/>
      <c r="J789" s="1113"/>
    </row>
    <row r="790">
      <c r="A790" s="1113"/>
      <c r="B790" s="1114"/>
      <c r="C790" s="1115"/>
      <c r="D790" s="1116"/>
      <c r="E790" s="1115"/>
      <c r="F790" s="1115"/>
      <c r="G790" s="1115"/>
      <c r="H790" s="1116"/>
      <c r="I790" s="1115"/>
      <c r="J790" s="1113"/>
    </row>
    <row r="791">
      <c r="A791" s="1113"/>
      <c r="B791" s="1114"/>
      <c r="C791" s="1115"/>
      <c r="D791" s="1116"/>
      <c r="E791" s="1115"/>
      <c r="F791" s="1115"/>
      <c r="G791" s="1115"/>
      <c r="H791" s="1116"/>
      <c r="I791" s="1115"/>
      <c r="J791" s="1113"/>
    </row>
    <row r="792">
      <c r="A792" s="1113"/>
      <c r="B792" s="1114"/>
      <c r="C792" s="1115"/>
      <c r="D792" s="1116"/>
      <c r="E792" s="1115"/>
      <c r="F792" s="1115"/>
      <c r="G792" s="1115"/>
      <c r="H792" s="1116"/>
      <c r="I792" s="1115"/>
      <c r="J792" s="1113"/>
    </row>
    <row r="793">
      <c r="A793" s="1113"/>
      <c r="B793" s="1114"/>
      <c r="C793" s="1115"/>
      <c r="D793" s="1116"/>
      <c r="E793" s="1115"/>
      <c r="F793" s="1115"/>
      <c r="G793" s="1115"/>
      <c r="H793" s="1116"/>
      <c r="I793" s="1115"/>
      <c r="J793" s="1113"/>
    </row>
    <row r="794">
      <c r="A794" s="1113"/>
      <c r="B794" s="1114"/>
      <c r="C794" s="1115"/>
      <c r="D794" s="1116"/>
      <c r="E794" s="1115"/>
      <c r="F794" s="1115"/>
      <c r="G794" s="1115"/>
      <c r="H794" s="1116"/>
      <c r="I794" s="1115"/>
      <c r="J794" s="1113"/>
    </row>
    <row r="795">
      <c r="A795" s="1113"/>
      <c r="B795" s="1114"/>
      <c r="C795" s="1115"/>
      <c r="D795" s="1116"/>
      <c r="E795" s="1115"/>
      <c r="F795" s="1115"/>
      <c r="G795" s="1115"/>
      <c r="H795" s="1116"/>
      <c r="I795" s="1115"/>
      <c r="J795" s="1113"/>
    </row>
    <row r="796">
      <c r="A796" s="1113"/>
      <c r="B796" s="1114"/>
      <c r="C796" s="1115"/>
      <c r="D796" s="1116"/>
      <c r="E796" s="1115"/>
      <c r="F796" s="1115"/>
      <c r="G796" s="1115"/>
      <c r="H796" s="1116"/>
      <c r="I796" s="1115"/>
      <c r="J796" s="1113"/>
    </row>
    <row r="797">
      <c r="A797" s="1113"/>
      <c r="B797" s="1114"/>
      <c r="C797" s="1115"/>
      <c r="D797" s="1116"/>
      <c r="E797" s="1115"/>
      <c r="F797" s="1115"/>
      <c r="G797" s="1115"/>
      <c r="H797" s="1116"/>
      <c r="I797" s="1115"/>
      <c r="J797" s="1113"/>
    </row>
    <row r="798">
      <c r="A798" s="1113"/>
      <c r="B798" s="1114"/>
      <c r="C798" s="1115"/>
      <c r="D798" s="1116"/>
      <c r="E798" s="1115"/>
      <c r="F798" s="1115"/>
      <c r="G798" s="1115"/>
      <c r="H798" s="1116"/>
      <c r="I798" s="1115"/>
      <c r="J798" s="1113"/>
    </row>
    <row r="799">
      <c r="A799" s="1113"/>
      <c r="B799" s="1114"/>
      <c r="C799" s="1115"/>
      <c r="D799" s="1116"/>
      <c r="E799" s="1115"/>
      <c r="F799" s="1115"/>
      <c r="G799" s="1115"/>
      <c r="H799" s="1116"/>
      <c r="I799" s="1115"/>
      <c r="J799" s="1113"/>
    </row>
    <row r="800">
      <c r="A800" s="1113"/>
      <c r="B800" s="1114"/>
      <c r="C800" s="1115"/>
      <c r="D800" s="1116"/>
      <c r="E800" s="1115"/>
      <c r="F800" s="1115"/>
      <c r="G800" s="1115"/>
      <c r="H800" s="1116"/>
      <c r="I800" s="1115"/>
      <c r="J800" s="1113"/>
    </row>
    <row r="801">
      <c r="A801" s="1113"/>
      <c r="B801" s="1114"/>
      <c r="C801" s="1115"/>
      <c r="D801" s="1116"/>
      <c r="E801" s="1115"/>
      <c r="F801" s="1115"/>
      <c r="G801" s="1115"/>
      <c r="H801" s="1116"/>
      <c r="I801" s="1115"/>
      <c r="J801" s="1113"/>
    </row>
    <row r="802">
      <c r="A802" s="1113"/>
      <c r="B802" s="1114"/>
      <c r="C802" s="1115"/>
      <c r="D802" s="1116"/>
      <c r="E802" s="1115"/>
      <c r="F802" s="1115"/>
      <c r="G802" s="1115"/>
      <c r="H802" s="1116"/>
      <c r="I802" s="1115"/>
      <c r="J802" s="1113"/>
    </row>
    <row r="803">
      <c r="A803" s="1113"/>
      <c r="B803" s="1114"/>
      <c r="C803" s="1115"/>
      <c r="D803" s="1116"/>
      <c r="E803" s="1115"/>
      <c r="F803" s="1115"/>
      <c r="G803" s="1115"/>
      <c r="H803" s="1116"/>
      <c r="I803" s="1115"/>
      <c r="J803" s="1113"/>
    </row>
    <row r="804">
      <c r="A804" s="1113"/>
      <c r="B804" s="1114"/>
      <c r="C804" s="1115"/>
      <c r="D804" s="1116"/>
      <c r="E804" s="1115"/>
      <c r="F804" s="1115"/>
      <c r="G804" s="1115"/>
      <c r="H804" s="1116"/>
      <c r="I804" s="1115"/>
      <c r="J804" s="1113"/>
    </row>
    <row r="805">
      <c r="A805" s="1113"/>
      <c r="B805" s="1114"/>
      <c r="C805" s="1115"/>
      <c r="D805" s="1116"/>
      <c r="E805" s="1115"/>
      <c r="F805" s="1115"/>
      <c r="G805" s="1115"/>
      <c r="H805" s="1116"/>
      <c r="I805" s="1115"/>
      <c r="J805" s="1113"/>
    </row>
    <row r="806">
      <c r="A806" s="1113"/>
      <c r="B806" s="1114"/>
      <c r="C806" s="1115"/>
      <c r="D806" s="1116"/>
      <c r="E806" s="1115"/>
      <c r="F806" s="1115"/>
      <c r="G806" s="1115"/>
      <c r="H806" s="1116"/>
      <c r="I806" s="1115"/>
      <c r="J806" s="1113"/>
    </row>
    <row r="807">
      <c r="A807" s="1113"/>
      <c r="B807" s="1114"/>
      <c r="C807" s="1115"/>
      <c r="D807" s="1116"/>
      <c r="E807" s="1115"/>
      <c r="F807" s="1115"/>
      <c r="G807" s="1115"/>
      <c r="H807" s="1116"/>
      <c r="I807" s="1115"/>
      <c r="J807" s="1113"/>
    </row>
    <row r="808">
      <c r="A808" s="1113"/>
      <c r="B808" s="1114"/>
      <c r="C808" s="1115"/>
      <c r="D808" s="1116"/>
      <c r="E808" s="1115"/>
      <c r="F808" s="1115"/>
      <c r="G808" s="1115"/>
      <c r="H808" s="1116"/>
      <c r="I808" s="1115"/>
      <c r="J808" s="1113"/>
    </row>
    <row r="809">
      <c r="A809" s="1113"/>
      <c r="B809" s="1114"/>
      <c r="C809" s="1115"/>
      <c r="D809" s="1116"/>
      <c r="E809" s="1115"/>
      <c r="F809" s="1115"/>
      <c r="G809" s="1115"/>
      <c r="H809" s="1116"/>
      <c r="I809" s="1115"/>
      <c r="J809" s="1113"/>
    </row>
    <row r="810">
      <c r="A810" s="1113"/>
      <c r="B810" s="1114"/>
      <c r="C810" s="1115"/>
      <c r="D810" s="1116"/>
      <c r="E810" s="1115"/>
      <c r="F810" s="1115"/>
      <c r="G810" s="1115"/>
      <c r="H810" s="1116"/>
      <c r="I810" s="1115"/>
      <c r="J810" s="1113"/>
    </row>
    <row r="811">
      <c r="A811" s="1113"/>
      <c r="B811" s="1114"/>
      <c r="C811" s="1115"/>
      <c r="D811" s="1116"/>
      <c r="E811" s="1115"/>
      <c r="F811" s="1115"/>
      <c r="G811" s="1115"/>
      <c r="H811" s="1116"/>
      <c r="I811" s="1115"/>
      <c r="J811" s="1113"/>
    </row>
    <row r="812">
      <c r="A812" s="1113"/>
      <c r="B812" s="1114"/>
      <c r="C812" s="1115"/>
      <c r="D812" s="1116"/>
      <c r="E812" s="1115"/>
      <c r="F812" s="1115"/>
      <c r="G812" s="1115"/>
      <c r="H812" s="1116"/>
      <c r="I812" s="1115"/>
      <c r="J812" s="1113"/>
    </row>
    <row r="813">
      <c r="A813" s="1113"/>
      <c r="B813" s="1114"/>
      <c r="C813" s="1115"/>
      <c r="D813" s="1116"/>
      <c r="E813" s="1115"/>
      <c r="F813" s="1115"/>
      <c r="G813" s="1115"/>
      <c r="H813" s="1116"/>
      <c r="I813" s="1115"/>
      <c r="J813" s="1113"/>
    </row>
    <row r="814">
      <c r="A814" s="1113"/>
      <c r="B814" s="1114"/>
      <c r="C814" s="1115"/>
      <c r="D814" s="1116"/>
      <c r="E814" s="1115"/>
      <c r="F814" s="1115"/>
      <c r="G814" s="1115"/>
      <c r="H814" s="1116"/>
      <c r="I814" s="1115"/>
      <c r="J814" s="1113"/>
    </row>
    <row r="815">
      <c r="A815" s="1113"/>
      <c r="B815" s="1114"/>
      <c r="C815" s="1115"/>
      <c r="D815" s="1116"/>
      <c r="E815" s="1115"/>
      <c r="F815" s="1115"/>
      <c r="G815" s="1115"/>
      <c r="H815" s="1116"/>
      <c r="I815" s="1115"/>
      <c r="J815" s="1113"/>
    </row>
    <row r="816">
      <c r="A816" s="1113"/>
      <c r="B816" s="1114"/>
      <c r="C816" s="1115"/>
      <c r="D816" s="1116"/>
      <c r="E816" s="1115"/>
      <c r="F816" s="1115"/>
      <c r="G816" s="1115"/>
      <c r="H816" s="1116"/>
      <c r="I816" s="1115"/>
      <c r="J816" s="1113"/>
    </row>
    <row r="817">
      <c r="A817" s="1113"/>
      <c r="B817" s="1114"/>
      <c r="C817" s="1115"/>
      <c r="D817" s="1116"/>
      <c r="E817" s="1115"/>
      <c r="F817" s="1115"/>
      <c r="G817" s="1115"/>
      <c r="H817" s="1116"/>
      <c r="I817" s="1115"/>
      <c r="J817" s="1113"/>
    </row>
    <row r="818">
      <c r="A818" s="1113"/>
      <c r="B818" s="1114"/>
      <c r="C818" s="1115"/>
      <c r="D818" s="1116"/>
      <c r="E818" s="1115"/>
      <c r="F818" s="1115"/>
      <c r="G818" s="1115"/>
      <c r="H818" s="1116"/>
      <c r="I818" s="1115"/>
      <c r="J818" s="1113"/>
    </row>
    <row r="819">
      <c r="A819" s="1113"/>
      <c r="B819" s="1114"/>
      <c r="C819" s="1115"/>
      <c r="D819" s="1116"/>
      <c r="E819" s="1115"/>
      <c r="F819" s="1115"/>
      <c r="G819" s="1115"/>
      <c r="H819" s="1116"/>
      <c r="I819" s="1115"/>
      <c r="J819" s="1113"/>
    </row>
    <row r="820">
      <c r="A820" s="1113"/>
      <c r="B820" s="1114"/>
      <c r="C820" s="1115"/>
      <c r="D820" s="1116"/>
      <c r="E820" s="1115"/>
      <c r="F820" s="1115"/>
      <c r="G820" s="1115"/>
      <c r="H820" s="1116"/>
      <c r="I820" s="1115"/>
      <c r="J820" s="1113"/>
    </row>
    <row r="821">
      <c r="A821" s="1113"/>
      <c r="B821" s="1114"/>
      <c r="C821" s="1115"/>
      <c r="D821" s="1116"/>
      <c r="E821" s="1115"/>
      <c r="F821" s="1115"/>
      <c r="G821" s="1115"/>
      <c r="H821" s="1116"/>
      <c r="I821" s="1115"/>
      <c r="J821" s="1113"/>
    </row>
    <row r="822">
      <c r="A822" s="1113"/>
      <c r="B822" s="1114"/>
      <c r="C822" s="1115"/>
      <c r="D822" s="1116"/>
      <c r="E822" s="1115"/>
      <c r="F822" s="1115"/>
      <c r="G822" s="1115"/>
      <c r="H822" s="1116"/>
      <c r="I822" s="1115"/>
      <c r="J822" s="1113"/>
    </row>
    <row r="823">
      <c r="A823" s="1113"/>
      <c r="B823" s="1114"/>
      <c r="C823" s="1115"/>
      <c r="D823" s="1116"/>
      <c r="E823" s="1115"/>
      <c r="F823" s="1115"/>
      <c r="G823" s="1115"/>
      <c r="H823" s="1116"/>
      <c r="I823" s="1115"/>
      <c r="J823" s="1113"/>
    </row>
    <row r="824">
      <c r="A824" s="1113"/>
      <c r="B824" s="1114"/>
      <c r="C824" s="1115"/>
      <c r="D824" s="1116"/>
      <c r="E824" s="1115"/>
      <c r="F824" s="1115"/>
      <c r="G824" s="1115"/>
      <c r="H824" s="1116"/>
      <c r="I824" s="1115"/>
      <c r="J824" s="1113"/>
    </row>
    <row r="825">
      <c r="A825" s="1113"/>
      <c r="B825" s="1114"/>
      <c r="C825" s="1115"/>
      <c r="D825" s="1116"/>
      <c r="E825" s="1115"/>
      <c r="F825" s="1115"/>
      <c r="G825" s="1115"/>
      <c r="H825" s="1116"/>
      <c r="I825" s="1115"/>
      <c r="J825" s="1113"/>
    </row>
    <row r="826">
      <c r="A826" s="1113"/>
      <c r="B826" s="1114"/>
      <c r="C826" s="1115"/>
      <c r="D826" s="1116"/>
      <c r="E826" s="1115"/>
      <c r="F826" s="1115"/>
      <c r="G826" s="1115"/>
      <c r="H826" s="1116"/>
      <c r="I826" s="1115"/>
      <c r="J826" s="1113"/>
    </row>
    <row r="827">
      <c r="A827" s="1113"/>
      <c r="B827" s="1114"/>
      <c r="C827" s="1115"/>
      <c r="D827" s="1116"/>
      <c r="E827" s="1115"/>
      <c r="F827" s="1115"/>
      <c r="G827" s="1115"/>
      <c r="H827" s="1116"/>
      <c r="I827" s="1115"/>
      <c r="J827" s="1113"/>
    </row>
    <row r="828">
      <c r="A828" s="1113"/>
      <c r="B828" s="1114"/>
      <c r="C828" s="1115"/>
      <c r="D828" s="1116"/>
      <c r="E828" s="1115"/>
      <c r="F828" s="1115"/>
      <c r="G828" s="1115"/>
      <c r="H828" s="1116"/>
      <c r="I828" s="1115"/>
      <c r="J828" s="1113"/>
    </row>
    <row r="829">
      <c r="A829" s="1113"/>
      <c r="B829" s="1114"/>
      <c r="C829" s="1115"/>
      <c r="D829" s="1116"/>
      <c r="E829" s="1115"/>
      <c r="F829" s="1115"/>
      <c r="G829" s="1115"/>
      <c r="H829" s="1116"/>
      <c r="I829" s="1115"/>
      <c r="J829" s="1113"/>
    </row>
    <row r="830">
      <c r="A830" s="1113"/>
      <c r="B830" s="1114"/>
      <c r="C830" s="1115"/>
      <c r="D830" s="1116"/>
      <c r="E830" s="1115"/>
      <c r="F830" s="1115"/>
      <c r="G830" s="1115"/>
      <c r="H830" s="1116"/>
      <c r="I830" s="1115"/>
      <c r="J830" s="1113"/>
    </row>
    <row r="831">
      <c r="A831" s="1113"/>
      <c r="B831" s="1114"/>
      <c r="C831" s="1115"/>
      <c r="D831" s="1116"/>
      <c r="E831" s="1115"/>
      <c r="F831" s="1115"/>
      <c r="G831" s="1115"/>
      <c r="H831" s="1116"/>
      <c r="I831" s="1115"/>
      <c r="J831" s="1113"/>
    </row>
    <row r="832">
      <c r="A832" s="1113"/>
      <c r="B832" s="1114"/>
      <c r="C832" s="1115"/>
      <c r="D832" s="1116"/>
      <c r="E832" s="1115"/>
      <c r="F832" s="1115"/>
      <c r="G832" s="1115"/>
      <c r="H832" s="1116"/>
      <c r="I832" s="1115"/>
      <c r="J832" s="1113"/>
    </row>
    <row r="833">
      <c r="A833" s="1113"/>
      <c r="B833" s="1114"/>
      <c r="C833" s="1115"/>
      <c r="D833" s="1116"/>
      <c r="E833" s="1115"/>
      <c r="F833" s="1115"/>
      <c r="G833" s="1115"/>
      <c r="H833" s="1116"/>
      <c r="I833" s="1115"/>
      <c r="J833" s="1113"/>
    </row>
    <row r="834">
      <c r="A834" s="1113"/>
      <c r="B834" s="1114"/>
      <c r="C834" s="1115"/>
      <c r="D834" s="1116"/>
      <c r="E834" s="1115"/>
      <c r="F834" s="1115"/>
      <c r="G834" s="1115"/>
      <c r="H834" s="1116"/>
      <c r="I834" s="1115"/>
      <c r="J834" s="1113"/>
    </row>
    <row r="835">
      <c r="A835" s="1113"/>
      <c r="B835" s="1114"/>
      <c r="C835" s="1115"/>
      <c r="D835" s="1116"/>
      <c r="E835" s="1115"/>
      <c r="F835" s="1115"/>
      <c r="G835" s="1115"/>
      <c r="H835" s="1116"/>
      <c r="I835" s="1115"/>
      <c r="J835" s="1113"/>
    </row>
    <row r="836">
      <c r="A836" s="1113"/>
      <c r="B836" s="1114"/>
      <c r="C836" s="1115"/>
      <c r="D836" s="1116"/>
      <c r="E836" s="1115"/>
      <c r="F836" s="1115"/>
      <c r="G836" s="1115"/>
      <c r="H836" s="1116"/>
      <c r="I836" s="1115"/>
      <c r="J836" s="1113"/>
    </row>
    <row r="837">
      <c r="A837" s="1113"/>
      <c r="B837" s="1114"/>
      <c r="C837" s="1115"/>
      <c r="D837" s="1116"/>
      <c r="E837" s="1115"/>
      <c r="F837" s="1115"/>
      <c r="G837" s="1115"/>
      <c r="H837" s="1116"/>
      <c r="I837" s="1115"/>
      <c r="J837" s="1113"/>
    </row>
    <row r="838">
      <c r="A838" s="1113"/>
      <c r="B838" s="1114"/>
      <c r="C838" s="1115"/>
      <c r="D838" s="1116"/>
      <c r="E838" s="1115"/>
      <c r="F838" s="1115"/>
      <c r="G838" s="1115"/>
      <c r="H838" s="1116"/>
      <c r="I838" s="1115"/>
      <c r="J838" s="1113"/>
    </row>
    <row r="839">
      <c r="A839" s="1113"/>
      <c r="B839" s="1114"/>
      <c r="C839" s="1115"/>
      <c r="D839" s="1116"/>
      <c r="E839" s="1115"/>
      <c r="F839" s="1115"/>
      <c r="G839" s="1115"/>
      <c r="H839" s="1116"/>
      <c r="I839" s="1115"/>
      <c r="J839" s="1113"/>
    </row>
    <row r="840">
      <c r="A840" s="1113"/>
      <c r="B840" s="1114"/>
      <c r="C840" s="1115"/>
      <c r="D840" s="1116"/>
      <c r="E840" s="1115"/>
      <c r="F840" s="1115"/>
      <c r="G840" s="1115"/>
      <c r="H840" s="1116"/>
      <c r="I840" s="1115"/>
      <c r="J840" s="1113"/>
    </row>
    <row r="841">
      <c r="A841" s="1113"/>
      <c r="B841" s="1114"/>
      <c r="C841" s="1115"/>
      <c r="D841" s="1116"/>
      <c r="E841" s="1115"/>
      <c r="F841" s="1115"/>
      <c r="G841" s="1115"/>
      <c r="H841" s="1116"/>
      <c r="I841" s="1115"/>
      <c r="J841" s="1113"/>
    </row>
    <row r="842">
      <c r="A842" s="1113"/>
      <c r="B842" s="1114"/>
      <c r="C842" s="1115"/>
      <c r="D842" s="1116"/>
      <c r="E842" s="1115"/>
      <c r="F842" s="1115"/>
      <c r="G842" s="1115"/>
      <c r="H842" s="1116"/>
      <c r="I842" s="1115"/>
      <c r="J842" s="1113"/>
    </row>
    <row r="843">
      <c r="A843" s="1113"/>
      <c r="B843" s="1114"/>
      <c r="C843" s="1115"/>
      <c r="D843" s="1116"/>
      <c r="E843" s="1115"/>
      <c r="F843" s="1115"/>
      <c r="G843" s="1115"/>
      <c r="H843" s="1116"/>
      <c r="I843" s="1115"/>
      <c r="J843" s="1113"/>
    </row>
    <row r="844">
      <c r="A844" s="1113"/>
      <c r="B844" s="1114"/>
      <c r="C844" s="1115"/>
      <c r="D844" s="1116"/>
      <c r="E844" s="1115"/>
      <c r="F844" s="1115"/>
      <c r="G844" s="1115"/>
      <c r="H844" s="1116"/>
      <c r="I844" s="1115"/>
      <c r="J844" s="1113"/>
    </row>
    <row r="845">
      <c r="A845" s="1113"/>
      <c r="B845" s="1114"/>
      <c r="C845" s="1115"/>
      <c r="D845" s="1116"/>
      <c r="E845" s="1115"/>
      <c r="F845" s="1115"/>
      <c r="G845" s="1115"/>
      <c r="H845" s="1116"/>
      <c r="I845" s="1115"/>
      <c r="J845" s="1113"/>
    </row>
    <row r="846">
      <c r="A846" s="1113"/>
      <c r="B846" s="1114"/>
      <c r="C846" s="1115"/>
      <c r="D846" s="1116"/>
      <c r="E846" s="1115"/>
      <c r="F846" s="1115"/>
      <c r="G846" s="1115"/>
      <c r="H846" s="1116"/>
      <c r="I846" s="1115"/>
      <c r="J846" s="1113"/>
    </row>
    <row r="847">
      <c r="A847" s="1113"/>
      <c r="B847" s="1114"/>
      <c r="C847" s="1115"/>
      <c r="D847" s="1116"/>
      <c r="E847" s="1115"/>
      <c r="F847" s="1115"/>
      <c r="G847" s="1115"/>
      <c r="H847" s="1116"/>
      <c r="I847" s="1115"/>
      <c r="J847" s="1113"/>
    </row>
    <row r="848">
      <c r="A848" s="1113"/>
      <c r="B848" s="1114"/>
      <c r="C848" s="1115"/>
      <c r="D848" s="1116"/>
      <c r="E848" s="1115"/>
      <c r="F848" s="1115"/>
      <c r="G848" s="1115"/>
      <c r="H848" s="1116"/>
      <c r="I848" s="1115"/>
      <c r="J848" s="1113"/>
    </row>
    <row r="849">
      <c r="A849" s="1113"/>
      <c r="B849" s="1114"/>
      <c r="C849" s="1115"/>
      <c r="D849" s="1116"/>
      <c r="E849" s="1115"/>
      <c r="F849" s="1115"/>
      <c r="G849" s="1115"/>
      <c r="H849" s="1116"/>
      <c r="I849" s="1115"/>
      <c r="J849" s="1113"/>
    </row>
    <row r="850">
      <c r="A850" s="1113"/>
      <c r="B850" s="1114"/>
      <c r="C850" s="1115"/>
      <c r="D850" s="1116"/>
      <c r="E850" s="1115"/>
      <c r="F850" s="1115"/>
      <c r="G850" s="1115"/>
      <c r="H850" s="1116"/>
      <c r="I850" s="1115"/>
      <c r="J850" s="1113"/>
    </row>
    <row r="851">
      <c r="A851" s="1113"/>
      <c r="B851" s="1114"/>
      <c r="C851" s="1115"/>
      <c r="D851" s="1116"/>
      <c r="E851" s="1115"/>
      <c r="F851" s="1115"/>
      <c r="G851" s="1115"/>
      <c r="H851" s="1116"/>
      <c r="I851" s="1115"/>
      <c r="J851" s="1113"/>
    </row>
    <row r="852">
      <c r="A852" s="1113"/>
      <c r="B852" s="1114"/>
      <c r="C852" s="1115"/>
      <c r="D852" s="1116"/>
      <c r="E852" s="1115"/>
      <c r="F852" s="1115"/>
      <c r="G852" s="1115"/>
      <c r="H852" s="1116"/>
      <c r="I852" s="1115"/>
      <c r="J852" s="1113"/>
    </row>
    <row r="853">
      <c r="A853" s="1113"/>
      <c r="B853" s="1114"/>
      <c r="C853" s="1115"/>
      <c r="D853" s="1116"/>
      <c r="E853" s="1115"/>
      <c r="F853" s="1115"/>
      <c r="G853" s="1115"/>
      <c r="H853" s="1116"/>
      <c r="I853" s="1115"/>
      <c r="J853" s="1113"/>
    </row>
    <row r="854">
      <c r="A854" s="1113"/>
      <c r="B854" s="1114"/>
      <c r="C854" s="1115"/>
      <c r="D854" s="1116"/>
      <c r="E854" s="1115"/>
      <c r="F854" s="1115"/>
      <c r="G854" s="1115"/>
      <c r="H854" s="1116"/>
      <c r="I854" s="1115"/>
      <c r="J854" s="1113"/>
    </row>
    <row r="855">
      <c r="A855" s="1113"/>
      <c r="B855" s="1114"/>
      <c r="C855" s="1115"/>
      <c r="D855" s="1116"/>
      <c r="E855" s="1115"/>
      <c r="F855" s="1115"/>
      <c r="G855" s="1115"/>
      <c r="H855" s="1116"/>
      <c r="I855" s="1115"/>
      <c r="J855" s="1113"/>
    </row>
    <row r="856">
      <c r="A856" s="1113"/>
      <c r="B856" s="1114"/>
      <c r="C856" s="1115"/>
      <c r="D856" s="1116"/>
      <c r="E856" s="1115"/>
      <c r="F856" s="1115"/>
      <c r="G856" s="1115"/>
      <c r="H856" s="1116"/>
      <c r="I856" s="1115"/>
      <c r="J856" s="1113"/>
    </row>
    <row r="857">
      <c r="A857" s="1113"/>
      <c r="B857" s="1114"/>
      <c r="C857" s="1115"/>
      <c r="D857" s="1116"/>
      <c r="E857" s="1115"/>
      <c r="F857" s="1115"/>
      <c r="G857" s="1115"/>
      <c r="H857" s="1116"/>
      <c r="I857" s="1115"/>
      <c r="J857" s="1113"/>
    </row>
    <row r="858">
      <c r="A858" s="1113"/>
      <c r="B858" s="1114"/>
      <c r="C858" s="1115"/>
      <c r="D858" s="1116"/>
      <c r="E858" s="1115"/>
      <c r="F858" s="1115"/>
      <c r="G858" s="1115"/>
      <c r="H858" s="1116"/>
      <c r="I858" s="1115"/>
      <c r="J858" s="1113"/>
    </row>
    <row r="859">
      <c r="A859" s="1113"/>
      <c r="B859" s="1114"/>
      <c r="C859" s="1115"/>
      <c r="D859" s="1116"/>
      <c r="E859" s="1115"/>
      <c r="F859" s="1115"/>
      <c r="G859" s="1115"/>
      <c r="H859" s="1116"/>
      <c r="I859" s="1115"/>
      <c r="J859" s="1113"/>
    </row>
    <row r="860">
      <c r="A860" s="1113"/>
      <c r="B860" s="1114"/>
      <c r="C860" s="1115"/>
      <c r="D860" s="1116"/>
      <c r="E860" s="1115"/>
      <c r="F860" s="1115"/>
      <c r="G860" s="1115"/>
      <c r="H860" s="1116"/>
      <c r="I860" s="1115"/>
      <c r="J860" s="1113"/>
    </row>
    <row r="861">
      <c r="A861" s="1113"/>
      <c r="B861" s="1114"/>
      <c r="C861" s="1115"/>
      <c r="D861" s="1116"/>
      <c r="E861" s="1115"/>
      <c r="F861" s="1115"/>
      <c r="G861" s="1115"/>
      <c r="H861" s="1116"/>
      <c r="I861" s="1115"/>
      <c r="J861" s="1113"/>
    </row>
    <row r="862">
      <c r="A862" s="1113"/>
      <c r="B862" s="1114"/>
      <c r="C862" s="1115"/>
      <c r="D862" s="1116"/>
      <c r="E862" s="1115"/>
      <c r="F862" s="1115"/>
      <c r="G862" s="1115"/>
      <c r="H862" s="1116"/>
      <c r="I862" s="1115"/>
      <c r="J862" s="1113"/>
    </row>
    <row r="863">
      <c r="A863" s="1113"/>
      <c r="B863" s="1114"/>
      <c r="C863" s="1115"/>
      <c r="D863" s="1116"/>
      <c r="E863" s="1115"/>
      <c r="F863" s="1115"/>
      <c r="G863" s="1115"/>
      <c r="H863" s="1116"/>
      <c r="I863" s="1115"/>
      <c r="J863" s="1113"/>
    </row>
    <row r="864">
      <c r="A864" s="1113"/>
      <c r="B864" s="1114"/>
      <c r="C864" s="1115"/>
      <c r="D864" s="1116"/>
      <c r="E864" s="1115"/>
      <c r="F864" s="1115"/>
      <c r="G864" s="1115"/>
      <c r="H864" s="1116"/>
      <c r="I864" s="1115"/>
      <c r="J864" s="1113"/>
    </row>
    <row r="865">
      <c r="A865" s="1113"/>
      <c r="B865" s="1114"/>
      <c r="C865" s="1115"/>
      <c r="D865" s="1116"/>
      <c r="E865" s="1115"/>
      <c r="F865" s="1115"/>
      <c r="G865" s="1115"/>
      <c r="H865" s="1116"/>
      <c r="I865" s="1115"/>
      <c r="J865" s="1113"/>
    </row>
    <row r="866">
      <c r="A866" s="1113"/>
      <c r="B866" s="1114"/>
      <c r="C866" s="1115"/>
      <c r="D866" s="1116"/>
      <c r="E866" s="1115"/>
      <c r="F866" s="1115"/>
      <c r="G866" s="1115"/>
      <c r="H866" s="1116"/>
      <c r="I866" s="1115"/>
      <c r="J866" s="1113"/>
    </row>
    <row r="867">
      <c r="A867" s="1113"/>
      <c r="B867" s="1114"/>
      <c r="C867" s="1115"/>
      <c r="D867" s="1116"/>
      <c r="E867" s="1115"/>
      <c r="F867" s="1115"/>
      <c r="G867" s="1115"/>
      <c r="H867" s="1116"/>
      <c r="I867" s="1115"/>
      <c r="J867" s="1113"/>
    </row>
    <row r="868">
      <c r="A868" s="1113"/>
      <c r="B868" s="1114"/>
      <c r="C868" s="1115"/>
      <c r="D868" s="1116"/>
      <c r="E868" s="1115"/>
      <c r="F868" s="1115"/>
      <c r="G868" s="1115"/>
      <c r="H868" s="1116"/>
      <c r="I868" s="1115"/>
      <c r="J868" s="1113"/>
    </row>
    <row r="869">
      <c r="A869" s="1113"/>
      <c r="B869" s="1114"/>
      <c r="C869" s="1115"/>
      <c r="D869" s="1116"/>
      <c r="E869" s="1115"/>
      <c r="F869" s="1115"/>
      <c r="G869" s="1115"/>
      <c r="H869" s="1116"/>
      <c r="I869" s="1115"/>
      <c r="J869" s="1113"/>
    </row>
    <row r="870">
      <c r="A870" s="1113"/>
      <c r="B870" s="1114"/>
      <c r="C870" s="1115"/>
      <c r="D870" s="1116"/>
      <c r="E870" s="1115"/>
      <c r="F870" s="1115"/>
      <c r="G870" s="1115"/>
      <c r="H870" s="1116"/>
      <c r="I870" s="1115"/>
      <c r="J870" s="1113"/>
    </row>
    <row r="871">
      <c r="A871" s="1113"/>
      <c r="B871" s="1114"/>
      <c r="C871" s="1115"/>
      <c r="D871" s="1116"/>
      <c r="E871" s="1115"/>
      <c r="F871" s="1115"/>
      <c r="G871" s="1115"/>
      <c r="H871" s="1116"/>
      <c r="I871" s="1115"/>
      <c r="J871" s="1113"/>
    </row>
    <row r="872">
      <c r="A872" s="1113"/>
      <c r="B872" s="1114"/>
      <c r="C872" s="1115"/>
      <c r="D872" s="1116"/>
      <c r="E872" s="1115"/>
      <c r="F872" s="1115"/>
      <c r="G872" s="1115"/>
      <c r="H872" s="1116"/>
      <c r="I872" s="1115"/>
      <c r="J872" s="1113"/>
    </row>
    <row r="873">
      <c r="A873" s="1113"/>
      <c r="B873" s="1114"/>
      <c r="C873" s="1115"/>
      <c r="D873" s="1116"/>
      <c r="E873" s="1115"/>
      <c r="F873" s="1115"/>
      <c r="G873" s="1115"/>
      <c r="H873" s="1116"/>
      <c r="I873" s="1115"/>
      <c r="J873" s="1113"/>
    </row>
    <row r="874">
      <c r="A874" s="1113"/>
      <c r="B874" s="1114"/>
      <c r="C874" s="1115"/>
      <c r="D874" s="1116"/>
      <c r="E874" s="1115"/>
      <c r="F874" s="1115"/>
      <c r="G874" s="1115"/>
      <c r="H874" s="1116"/>
      <c r="I874" s="1115"/>
      <c r="J874" s="1113"/>
    </row>
    <row r="875">
      <c r="A875" s="1113"/>
      <c r="B875" s="1114"/>
      <c r="C875" s="1115"/>
      <c r="D875" s="1116"/>
      <c r="E875" s="1115"/>
      <c r="F875" s="1115"/>
      <c r="G875" s="1115"/>
      <c r="H875" s="1116"/>
      <c r="I875" s="1115"/>
      <c r="J875" s="1113"/>
    </row>
    <row r="876">
      <c r="A876" s="1113"/>
      <c r="B876" s="1114"/>
      <c r="C876" s="1115"/>
      <c r="D876" s="1116"/>
      <c r="E876" s="1115"/>
      <c r="F876" s="1115"/>
      <c r="G876" s="1115"/>
      <c r="H876" s="1116"/>
      <c r="I876" s="1115"/>
      <c r="J876" s="1113"/>
    </row>
    <row r="877">
      <c r="A877" s="1113"/>
      <c r="B877" s="1114"/>
      <c r="C877" s="1115"/>
      <c r="D877" s="1116"/>
      <c r="E877" s="1115"/>
      <c r="F877" s="1115"/>
      <c r="G877" s="1115"/>
      <c r="H877" s="1116"/>
      <c r="I877" s="1115"/>
      <c r="J877" s="1113"/>
    </row>
    <row r="878">
      <c r="A878" s="1113"/>
      <c r="B878" s="1114"/>
      <c r="C878" s="1115"/>
      <c r="D878" s="1116"/>
      <c r="E878" s="1115"/>
      <c r="F878" s="1115"/>
      <c r="G878" s="1115"/>
      <c r="H878" s="1116"/>
      <c r="I878" s="1115"/>
      <c r="J878" s="1113"/>
    </row>
    <row r="879">
      <c r="A879" s="1113"/>
      <c r="B879" s="1114"/>
      <c r="C879" s="1115"/>
      <c r="D879" s="1116"/>
      <c r="E879" s="1115"/>
      <c r="F879" s="1115"/>
      <c r="G879" s="1115"/>
      <c r="H879" s="1116"/>
      <c r="I879" s="1115"/>
      <c r="J879" s="1113"/>
    </row>
    <row r="880">
      <c r="A880" s="1113"/>
      <c r="B880" s="1114"/>
      <c r="C880" s="1115"/>
      <c r="D880" s="1116"/>
      <c r="E880" s="1115"/>
      <c r="F880" s="1115"/>
      <c r="G880" s="1115"/>
      <c r="H880" s="1116"/>
      <c r="I880" s="1115"/>
      <c r="J880" s="1113"/>
    </row>
    <row r="881">
      <c r="A881" s="1113"/>
      <c r="B881" s="1114"/>
      <c r="C881" s="1115"/>
      <c r="D881" s="1116"/>
      <c r="E881" s="1115"/>
      <c r="F881" s="1115"/>
      <c r="G881" s="1115"/>
      <c r="H881" s="1116"/>
      <c r="I881" s="1115"/>
      <c r="J881" s="1113"/>
    </row>
    <row r="882">
      <c r="A882" s="1113"/>
      <c r="B882" s="1114"/>
      <c r="C882" s="1115"/>
      <c r="D882" s="1116"/>
      <c r="E882" s="1115"/>
      <c r="F882" s="1115"/>
      <c r="G882" s="1115"/>
      <c r="H882" s="1116"/>
      <c r="I882" s="1115"/>
      <c r="J882" s="1113"/>
    </row>
    <row r="883">
      <c r="A883" s="1113"/>
      <c r="B883" s="1114"/>
      <c r="C883" s="1115"/>
      <c r="D883" s="1116"/>
      <c r="E883" s="1115"/>
      <c r="F883" s="1115"/>
      <c r="G883" s="1115"/>
      <c r="H883" s="1116"/>
      <c r="I883" s="1115"/>
      <c r="J883" s="1113"/>
    </row>
    <row r="884">
      <c r="A884" s="1113"/>
      <c r="B884" s="1114"/>
      <c r="C884" s="1115"/>
      <c r="D884" s="1116"/>
      <c r="E884" s="1115"/>
      <c r="F884" s="1115"/>
      <c r="G884" s="1115"/>
      <c r="H884" s="1116"/>
      <c r="I884" s="1115"/>
      <c r="J884" s="1113"/>
    </row>
    <row r="885">
      <c r="A885" s="1113"/>
      <c r="B885" s="1114"/>
      <c r="C885" s="1115"/>
      <c r="D885" s="1116"/>
      <c r="E885" s="1115"/>
      <c r="F885" s="1115"/>
      <c r="G885" s="1115"/>
      <c r="H885" s="1116"/>
      <c r="I885" s="1115"/>
      <c r="J885" s="1113"/>
    </row>
    <row r="886">
      <c r="A886" s="1113"/>
      <c r="B886" s="1114"/>
      <c r="C886" s="1115"/>
      <c r="D886" s="1116"/>
      <c r="E886" s="1115"/>
      <c r="F886" s="1115"/>
      <c r="G886" s="1115"/>
      <c r="H886" s="1116"/>
      <c r="I886" s="1115"/>
      <c r="J886" s="1113"/>
    </row>
    <row r="887">
      <c r="A887" s="1113"/>
      <c r="B887" s="1114"/>
      <c r="C887" s="1115"/>
      <c r="D887" s="1116"/>
      <c r="E887" s="1115"/>
      <c r="F887" s="1115"/>
      <c r="G887" s="1115"/>
      <c r="H887" s="1116"/>
      <c r="I887" s="1115"/>
      <c r="J887" s="1113"/>
    </row>
    <row r="888">
      <c r="A888" s="1113"/>
      <c r="B888" s="1114"/>
      <c r="C888" s="1115"/>
      <c r="D888" s="1116"/>
      <c r="E888" s="1115"/>
      <c r="F888" s="1115"/>
      <c r="G888" s="1115"/>
      <c r="H888" s="1116"/>
      <c r="I888" s="1115"/>
      <c r="J888" s="1113"/>
    </row>
    <row r="889">
      <c r="A889" s="1113"/>
      <c r="B889" s="1114"/>
      <c r="C889" s="1115"/>
      <c r="D889" s="1116"/>
      <c r="E889" s="1115"/>
      <c r="F889" s="1115"/>
      <c r="G889" s="1115"/>
      <c r="H889" s="1116"/>
      <c r="I889" s="1115"/>
      <c r="J889" s="1113"/>
    </row>
    <row r="890">
      <c r="A890" s="1113"/>
      <c r="B890" s="1114"/>
      <c r="C890" s="1115"/>
      <c r="D890" s="1116"/>
      <c r="E890" s="1115"/>
      <c r="F890" s="1115"/>
      <c r="G890" s="1115"/>
      <c r="H890" s="1116"/>
      <c r="I890" s="1115"/>
      <c r="J890" s="1113"/>
    </row>
    <row r="891">
      <c r="A891" s="1113"/>
      <c r="B891" s="1114"/>
      <c r="C891" s="1115"/>
      <c r="D891" s="1116"/>
      <c r="E891" s="1115"/>
      <c r="F891" s="1115"/>
      <c r="G891" s="1115"/>
      <c r="H891" s="1116"/>
      <c r="I891" s="1115"/>
      <c r="J891" s="1113"/>
    </row>
    <row r="892">
      <c r="A892" s="1113"/>
      <c r="B892" s="1114"/>
      <c r="C892" s="1115"/>
      <c r="D892" s="1116"/>
      <c r="E892" s="1115"/>
      <c r="F892" s="1115"/>
      <c r="G892" s="1115"/>
      <c r="H892" s="1116"/>
      <c r="I892" s="1115"/>
      <c r="J892" s="1113"/>
    </row>
    <row r="893">
      <c r="A893" s="1113"/>
      <c r="B893" s="1114"/>
      <c r="C893" s="1115"/>
      <c r="D893" s="1116"/>
      <c r="E893" s="1115"/>
      <c r="F893" s="1115"/>
      <c r="G893" s="1115"/>
      <c r="H893" s="1116"/>
      <c r="I893" s="1115"/>
      <c r="J893" s="1113"/>
    </row>
    <row r="894">
      <c r="A894" s="1113"/>
      <c r="B894" s="1114"/>
      <c r="C894" s="1115"/>
      <c r="D894" s="1116"/>
      <c r="E894" s="1115"/>
      <c r="F894" s="1115"/>
      <c r="G894" s="1115"/>
      <c r="H894" s="1116"/>
      <c r="I894" s="1115"/>
      <c r="J894" s="1113"/>
    </row>
    <row r="895">
      <c r="A895" s="1113"/>
      <c r="B895" s="1114"/>
      <c r="C895" s="1115"/>
      <c r="D895" s="1116"/>
      <c r="E895" s="1115"/>
      <c r="F895" s="1115"/>
      <c r="G895" s="1115"/>
      <c r="H895" s="1116"/>
      <c r="I895" s="1115"/>
      <c r="J895" s="1113"/>
    </row>
    <row r="896">
      <c r="A896" s="1113"/>
      <c r="B896" s="1114"/>
      <c r="C896" s="1115"/>
      <c r="D896" s="1116"/>
      <c r="E896" s="1115"/>
      <c r="F896" s="1115"/>
      <c r="G896" s="1115"/>
      <c r="H896" s="1116"/>
      <c r="I896" s="1115"/>
      <c r="J896" s="1113"/>
    </row>
    <row r="897">
      <c r="A897" s="1113"/>
      <c r="B897" s="1114"/>
      <c r="C897" s="1115"/>
      <c r="D897" s="1116"/>
      <c r="E897" s="1115"/>
      <c r="F897" s="1115"/>
      <c r="G897" s="1115"/>
      <c r="H897" s="1116"/>
      <c r="I897" s="1115"/>
      <c r="J897" s="1113"/>
    </row>
    <row r="898">
      <c r="A898" s="1113"/>
      <c r="B898" s="1114"/>
      <c r="C898" s="1115"/>
      <c r="D898" s="1116"/>
      <c r="E898" s="1115"/>
      <c r="F898" s="1115"/>
      <c r="G898" s="1115"/>
      <c r="H898" s="1116"/>
      <c r="I898" s="1115"/>
      <c r="J898" s="1113"/>
    </row>
    <row r="899">
      <c r="A899" s="1113"/>
      <c r="B899" s="1114"/>
      <c r="C899" s="1115"/>
      <c r="D899" s="1116"/>
      <c r="E899" s="1115"/>
      <c r="F899" s="1115"/>
      <c r="G899" s="1115"/>
      <c r="H899" s="1116"/>
      <c r="I899" s="1115"/>
      <c r="J899" s="1113"/>
    </row>
    <row r="900">
      <c r="A900" s="1113"/>
      <c r="B900" s="1114"/>
      <c r="C900" s="1115"/>
      <c r="D900" s="1116"/>
      <c r="E900" s="1115"/>
      <c r="F900" s="1115"/>
      <c r="G900" s="1115"/>
      <c r="H900" s="1116"/>
      <c r="I900" s="1115"/>
      <c r="J900" s="1113"/>
    </row>
    <row r="901">
      <c r="A901" s="1113"/>
      <c r="B901" s="1114"/>
      <c r="C901" s="1115"/>
      <c r="D901" s="1116"/>
      <c r="E901" s="1115"/>
      <c r="F901" s="1115"/>
      <c r="G901" s="1115"/>
      <c r="H901" s="1116"/>
      <c r="I901" s="1115"/>
      <c r="J901" s="1113"/>
    </row>
    <row r="902">
      <c r="A902" s="1113"/>
      <c r="B902" s="1114"/>
      <c r="C902" s="1115"/>
      <c r="D902" s="1116"/>
      <c r="E902" s="1115"/>
      <c r="F902" s="1115"/>
      <c r="G902" s="1115"/>
      <c r="H902" s="1116"/>
      <c r="I902" s="1115"/>
      <c r="J902" s="1113"/>
    </row>
    <row r="903">
      <c r="A903" s="1113"/>
      <c r="B903" s="1114"/>
      <c r="C903" s="1115"/>
      <c r="D903" s="1116"/>
      <c r="E903" s="1115"/>
      <c r="F903" s="1115"/>
      <c r="G903" s="1115"/>
      <c r="H903" s="1116"/>
      <c r="I903" s="1115"/>
      <c r="J903" s="1113"/>
    </row>
    <row r="904">
      <c r="A904" s="1113"/>
      <c r="B904" s="1114"/>
      <c r="C904" s="1115"/>
      <c r="D904" s="1116"/>
      <c r="E904" s="1115"/>
      <c r="F904" s="1115"/>
      <c r="G904" s="1115"/>
      <c r="H904" s="1116"/>
      <c r="I904" s="1115"/>
      <c r="J904" s="1113"/>
    </row>
    <row r="905">
      <c r="A905" s="1113"/>
      <c r="B905" s="1114"/>
      <c r="C905" s="1115"/>
      <c r="D905" s="1116"/>
      <c r="E905" s="1115"/>
      <c r="F905" s="1115"/>
      <c r="G905" s="1115"/>
      <c r="H905" s="1116"/>
      <c r="I905" s="1115"/>
      <c r="J905" s="1113"/>
    </row>
    <row r="906">
      <c r="A906" s="1113"/>
      <c r="B906" s="1114"/>
      <c r="C906" s="1115"/>
      <c r="D906" s="1116"/>
      <c r="E906" s="1115"/>
      <c r="F906" s="1115"/>
      <c r="G906" s="1115"/>
      <c r="H906" s="1116"/>
      <c r="I906" s="1115"/>
      <c r="J906" s="1113"/>
    </row>
    <row r="907">
      <c r="A907" s="1113"/>
      <c r="B907" s="1114"/>
      <c r="C907" s="1115"/>
      <c r="D907" s="1116"/>
      <c r="E907" s="1115"/>
      <c r="F907" s="1115"/>
      <c r="G907" s="1115"/>
      <c r="H907" s="1116"/>
      <c r="I907" s="1115"/>
      <c r="J907" s="1113"/>
    </row>
    <row r="908">
      <c r="A908" s="1113"/>
      <c r="B908" s="1114"/>
      <c r="C908" s="1115"/>
      <c r="D908" s="1116"/>
      <c r="E908" s="1115"/>
      <c r="F908" s="1115"/>
      <c r="G908" s="1115"/>
      <c r="H908" s="1116"/>
      <c r="I908" s="1115"/>
      <c r="J908" s="1113"/>
    </row>
    <row r="909">
      <c r="A909" s="1113"/>
      <c r="B909" s="1114"/>
      <c r="C909" s="1115"/>
      <c r="D909" s="1116"/>
      <c r="E909" s="1115"/>
      <c r="F909" s="1115"/>
      <c r="G909" s="1115"/>
      <c r="H909" s="1116"/>
      <c r="I909" s="1115"/>
      <c r="J909" s="1113"/>
    </row>
    <row r="910">
      <c r="A910" s="1113"/>
      <c r="B910" s="1114"/>
      <c r="C910" s="1115"/>
      <c r="D910" s="1116"/>
      <c r="E910" s="1115"/>
      <c r="F910" s="1115"/>
      <c r="G910" s="1115"/>
      <c r="H910" s="1116"/>
      <c r="I910" s="1115"/>
      <c r="J910" s="1113"/>
    </row>
    <row r="911">
      <c r="A911" s="1113"/>
      <c r="B911" s="1114"/>
      <c r="C911" s="1115"/>
      <c r="D911" s="1116"/>
      <c r="E911" s="1115"/>
      <c r="F911" s="1115"/>
      <c r="G911" s="1115"/>
      <c r="H911" s="1116"/>
      <c r="I911" s="1115"/>
      <c r="J911" s="1113"/>
    </row>
    <row r="912">
      <c r="A912" s="1113"/>
      <c r="B912" s="1114"/>
      <c r="C912" s="1115"/>
      <c r="D912" s="1116"/>
      <c r="E912" s="1115"/>
      <c r="F912" s="1115"/>
      <c r="G912" s="1115"/>
      <c r="H912" s="1116"/>
      <c r="I912" s="1115"/>
      <c r="J912" s="1113"/>
    </row>
    <row r="913">
      <c r="A913" s="1113"/>
      <c r="B913" s="1114"/>
      <c r="C913" s="1115"/>
      <c r="D913" s="1116"/>
      <c r="E913" s="1115"/>
      <c r="F913" s="1115"/>
      <c r="G913" s="1115"/>
      <c r="H913" s="1116"/>
      <c r="I913" s="1115"/>
      <c r="J913" s="1113"/>
    </row>
    <row r="914">
      <c r="A914" s="1113"/>
      <c r="B914" s="1114"/>
      <c r="C914" s="1115"/>
      <c r="D914" s="1116"/>
      <c r="E914" s="1115"/>
      <c r="F914" s="1115"/>
      <c r="G914" s="1115"/>
      <c r="H914" s="1116"/>
      <c r="I914" s="1115"/>
      <c r="J914" s="1113"/>
    </row>
    <row r="915">
      <c r="A915" s="1113"/>
      <c r="B915" s="1114"/>
      <c r="C915" s="1115"/>
      <c r="D915" s="1116"/>
      <c r="E915" s="1115"/>
      <c r="F915" s="1115"/>
      <c r="G915" s="1115"/>
      <c r="H915" s="1116"/>
      <c r="I915" s="1115"/>
      <c r="J915" s="1113"/>
    </row>
    <row r="916">
      <c r="A916" s="1113"/>
      <c r="B916" s="1114"/>
      <c r="C916" s="1115"/>
      <c r="D916" s="1116"/>
      <c r="E916" s="1115"/>
      <c r="F916" s="1115"/>
      <c r="G916" s="1115"/>
      <c r="H916" s="1116"/>
      <c r="I916" s="1115"/>
      <c r="J916" s="1113"/>
    </row>
    <row r="917">
      <c r="A917" s="1113"/>
      <c r="B917" s="1114"/>
      <c r="C917" s="1115"/>
      <c r="D917" s="1116"/>
      <c r="E917" s="1115"/>
      <c r="F917" s="1115"/>
      <c r="G917" s="1115"/>
      <c r="H917" s="1116"/>
      <c r="I917" s="1115"/>
      <c r="J917" s="1113"/>
    </row>
    <row r="918">
      <c r="A918" s="1113"/>
      <c r="B918" s="1114"/>
      <c r="C918" s="1115"/>
      <c r="D918" s="1116"/>
      <c r="E918" s="1115"/>
      <c r="F918" s="1115"/>
      <c r="G918" s="1115"/>
      <c r="H918" s="1116"/>
      <c r="I918" s="1115"/>
      <c r="J918" s="1113"/>
    </row>
    <row r="919">
      <c r="A919" s="1113"/>
      <c r="B919" s="1114"/>
      <c r="C919" s="1115"/>
      <c r="D919" s="1116"/>
      <c r="E919" s="1115"/>
      <c r="F919" s="1115"/>
      <c r="G919" s="1115"/>
      <c r="H919" s="1116"/>
      <c r="I919" s="1115"/>
      <c r="J919" s="1113"/>
    </row>
    <row r="920">
      <c r="A920" s="1113"/>
      <c r="B920" s="1114"/>
      <c r="C920" s="1115"/>
      <c r="D920" s="1116"/>
      <c r="E920" s="1115"/>
      <c r="F920" s="1115"/>
      <c r="G920" s="1115"/>
      <c r="H920" s="1116"/>
      <c r="I920" s="1115"/>
      <c r="J920" s="1113"/>
    </row>
    <row r="921">
      <c r="A921" s="1113"/>
      <c r="B921" s="1114"/>
      <c r="C921" s="1115"/>
      <c r="D921" s="1116"/>
      <c r="E921" s="1115"/>
      <c r="F921" s="1115"/>
      <c r="G921" s="1115"/>
      <c r="H921" s="1116"/>
      <c r="I921" s="1115"/>
      <c r="J921" s="1113"/>
    </row>
    <row r="922">
      <c r="A922" s="1113"/>
      <c r="B922" s="1114"/>
      <c r="C922" s="1115"/>
      <c r="D922" s="1116"/>
      <c r="E922" s="1115"/>
      <c r="F922" s="1115"/>
      <c r="G922" s="1115"/>
      <c r="H922" s="1116"/>
      <c r="I922" s="1115"/>
      <c r="J922" s="1113"/>
    </row>
    <row r="923">
      <c r="A923" s="1113"/>
      <c r="B923" s="1114"/>
      <c r="C923" s="1115"/>
      <c r="D923" s="1116"/>
      <c r="E923" s="1115"/>
      <c r="F923" s="1115"/>
      <c r="G923" s="1115"/>
      <c r="H923" s="1116"/>
      <c r="I923" s="1115"/>
      <c r="J923" s="1113"/>
    </row>
    <row r="924">
      <c r="A924" s="1113"/>
      <c r="B924" s="1114"/>
      <c r="C924" s="1115"/>
      <c r="D924" s="1116"/>
      <c r="E924" s="1115"/>
      <c r="F924" s="1115"/>
      <c r="G924" s="1115"/>
      <c r="H924" s="1116"/>
      <c r="I924" s="1115"/>
      <c r="J924" s="1113"/>
    </row>
    <row r="925">
      <c r="A925" s="1113"/>
      <c r="B925" s="1114"/>
      <c r="C925" s="1115"/>
      <c r="D925" s="1116"/>
      <c r="E925" s="1115"/>
      <c r="F925" s="1115"/>
      <c r="G925" s="1115"/>
      <c r="H925" s="1116"/>
      <c r="I925" s="1115"/>
      <c r="J925" s="1113"/>
    </row>
    <row r="926">
      <c r="A926" s="1113"/>
      <c r="B926" s="1114"/>
      <c r="C926" s="1115"/>
      <c r="D926" s="1116"/>
      <c r="E926" s="1115"/>
      <c r="F926" s="1115"/>
      <c r="G926" s="1115"/>
      <c r="H926" s="1116"/>
      <c r="I926" s="1115"/>
      <c r="J926" s="1113"/>
    </row>
    <row r="927">
      <c r="A927" s="1113"/>
      <c r="B927" s="1114"/>
      <c r="C927" s="1115"/>
      <c r="D927" s="1116"/>
      <c r="E927" s="1115"/>
      <c r="F927" s="1115"/>
      <c r="G927" s="1115"/>
      <c r="H927" s="1116"/>
      <c r="I927" s="1115"/>
      <c r="J927" s="1113"/>
    </row>
    <row r="928">
      <c r="A928" s="1113"/>
      <c r="B928" s="1114"/>
      <c r="C928" s="1115"/>
      <c r="D928" s="1116"/>
      <c r="E928" s="1115"/>
      <c r="F928" s="1115"/>
      <c r="G928" s="1115"/>
      <c r="H928" s="1116"/>
      <c r="I928" s="1115"/>
      <c r="J928" s="1113"/>
    </row>
    <row r="929">
      <c r="A929" s="1113"/>
      <c r="B929" s="1114"/>
      <c r="C929" s="1115"/>
      <c r="D929" s="1116"/>
      <c r="E929" s="1115"/>
      <c r="F929" s="1115"/>
      <c r="G929" s="1115"/>
      <c r="H929" s="1116"/>
      <c r="I929" s="1115"/>
      <c r="J929" s="1113"/>
    </row>
    <row r="930">
      <c r="A930" s="1113"/>
      <c r="B930" s="1114"/>
      <c r="C930" s="1115"/>
      <c r="D930" s="1116"/>
      <c r="E930" s="1115"/>
      <c r="F930" s="1115"/>
      <c r="G930" s="1115"/>
      <c r="H930" s="1116"/>
      <c r="I930" s="1115"/>
      <c r="J930" s="1113"/>
    </row>
    <row r="931">
      <c r="A931" s="1113"/>
      <c r="B931" s="1114"/>
      <c r="C931" s="1115"/>
      <c r="D931" s="1116"/>
      <c r="E931" s="1115"/>
      <c r="F931" s="1115"/>
      <c r="G931" s="1115"/>
      <c r="H931" s="1116"/>
      <c r="I931" s="1115"/>
      <c r="J931" s="1113"/>
    </row>
    <row r="932">
      <c r="A932" s="1113"/>
      <c r="B932" s="1114"/>
      <c r="C932" s="1115"/>
      <c r="D932" s="1116"/>
      <c r="E932" s="1115"/>
      <c r="F932" s="1115"/>
      <c r="G932" s="1115"/>
      <c r="H932" s="1116"/>
      <c r="I932" s="1115"/>
      <c r="J932" s="1113"/>
    </row>
    <row r="933">
      <c r="A933" s="1113"/>
      <c r="B933" s="1114"/>
      <c r="C933" s="1115"/>
      <c r="D933" s="1116"/>
      <c r="E933" s="1115"/>
      <c r="F933" s="1115"/>
      <c r="G933" s="1115"/>
      <c r="H933" s="1116"/>
      <c r="I933" s="1115"/>
      <c r="J933" s="1113"/>
    </row>
    <row r="934">
      <c r="A934" s="1113"/>
      <c r="B934" s="1114"/>
      <c r="C934" s="1115"/>
      <c r="D934" s="1116"/>
      <c r="E934" s="1115"/>
      <c r="F934" s="1115"/>
      <c r="G934" s="1115"/>
      <c r="H934" s="1116"/>
      <c r="I934" s="1115"/>
      <c r="J934" s="1113"/>
    </row>
    <row r="935">
      <c r="A935" s="1113"/>
      <c r="B935" s="1114"/>
      <c r="C935" s="1115"/>
      <c r="D935" s="1116"/>
      <c r="E935" s="1115"/>
      <c r="F935" s="1115"/>
      <c r="G935" s="1115"/>
      <c r="H935" s="1116"/>
      <c r="I935" s="1115"/>
      <c r="J935" s="1113"/>
    </row>
    <row r="936">
      <c r="A936" s="1113"/>
      <c r="B936" s="1114"/>
      <c r="C936" s="1115"/>
      <c r="D936" s="1116"/>
      <c r="E936" s="1115"/>
      <c r="F936" s="1115"/>
      <c r="G936" s="1115"/>
      <c r="H936" s="1116"/>
      <c r="I936" s="1115"/>
      <c r="J936" s="1113"/>
    </row>
    <row r="937">
      <c r="A937" s="1113"/>
      <c r="B937" s="1114"/>
      <c r="C937" s="1115"/>
      <c r="D937" s="1116"/>
      <c r="E937" s="1115"/>
      <c r="F937" s="1115"/>
      <c r="G937" s="1115"/>
      <c r="H937" s="1116"/>
      <c r="I937" s="1115"/>
      <c r="J937" s="1113"/>
    </row>
    <row r="938">
      <c r="A938" s="1113"/>
      <c r="B938" s="1114"/>
      <c r="C938" s="1115"/>
      <c r="D938" s="1116"/>
      <c r="E938" s="1115"/>
      <c r="F938" s="1115"/>
      <c r="G938" s="1115"/>
      <c r="H938" s="1116"/>
      <c r="I938" s="1115"/>
      <c r="J938" s="1113"/>
    </row>
    <row r="939">
      <c r="A939" s="1113"/>
      <c r="B939" s="1114"/>
      <c r="C939" s="1115"/>
      <c r="D939" s="1116"/>
      <c r="E939" s="1115"/>
      <c r="F939" s="1115"/>
      <c r="G939" s="1115"/>
      <c r="H939" s="1116"/>
      <c r="I939" s="1115"/>
      <c r="J939" s="1113"/>
    </row>
    <row r="940">
      <c r="A940" s="1113"/>
      <c r="B940" s="1114"/>
      <c r="C940" s="1115"/>
      <c r="D940" s="1116"/>
      <c r="E940" s="1115"/>
      <c r="F940" s="1115"/>
      <c r="G940" s="1115"/>
      <c r="H940" s="1116"/>
      <c r="I940" s="1115"/>
      <c r="J940" s="1113"/>
    </row>
    <row r="941">
      <c r="A941" s="1113"/>
      <c r="B941" s="1114"/>
      <c r="C941" s="1115"/>
      <c r="D941" s="1116"/>
      <c r="E941" s="1115"/>
      <c r="F941" s="1115"/>
      <c r="G941" s="1115"/>
      <c r="H941" s="1116"/>
      <c r="I941" s="1115"/>
      <c r="J941" s="1113"/>
    </row>
    <row r="942">
      <c r="A942" s="1113"/>
      <c r="B942" s="1114"/>
      <c r="C942" s="1115"/>
      <c r="D942" s="1116"/>
      <c r="E942" s="1115"/>
      <c r="F942" s="1115"/>
      <c r="G942" s="1115"/>
      <c r="H942" s="1116"/>
      <c r="I942" s="1115"/>
      <c r="J942" s="1113"/>
    </row>
    <row r="943">
      <c r="A943" s="1113"/>
      <c r="B943" s="1114"/>
      <c r="C943" s="1115"/>
      <c r="D943" s="1116"/>
      <c r="E943" s="1115"/>
      <c r="F943" s="1115"/>
      <c r="G943" s="1115"/>
      <c r="H943" s="1116"/>
      <c r="I943" s="1115"/>
      <c r="J943" s="1113"/>
    </row>
    <row r="944">
      <c r="A944" s="1113"/>
      <c r="B944" s="1114"/>
      <c r="C944" s="1115"/>
      <c r="D944" s="1116"/>
      <c r="E944" s="1115"/>
      <c r="F944" s="1115"/>
      <c r="G944" s="1115"/>
      <c r="H944" s="1116"/>
      <c r="I944" s="1115"/>
      <c r="J944" s="1113"/>
    </row>
    <row r="945">
      <c r="A945" s="1113"/>
      <c r="B945" s="1114"/>
      <c r="C945" s="1115"/>
      <c r="D945" s="1116"/>
      <c r="E945" s="1115"/>
      <c r="F945" s="1115"/>
      <c r="G945" s="1115"/>
      <c r="H945" s="1116"/>
      <c r="I945" s="1115"/>
      <c r="J945" s="1113"/>
    </row>
    <row r="946">
      <c r="A946" s="1113"/>
      <c r="B946" s="1114"/>
      <c r="C946" s="1115"/>
      <c r="D946" s="1116"/>
      <c r="E946" s="1115"/>
      <c r="F946" s="1115"/>
      <c r="G946" s="1115"/>
      <c r="H946" s="1116"/>
      <c r="I946" s="1115"/>
      <c r="J946" s="1113"/>
    </row>
    <row r="947">
      <c r="A947" s="1113"/>
      <c r="B947" s="1114"/>
      <c r="C947" s="1115"/>
      <c r="D947" s="1116"/>
      <c r="E947" s="1115"/>
      <c r="F947" s="1115"/>
      <c r="G947" s="1115"/>
      <c r="H947" s="1116"/>
      <c r="I947" s="1115"/>
      <c r="J947" s="1113"/>
    </row>
    <row r="948">
      <c r="A948" s="1113"/>
      <c r="B948" s="1114"/>
      <c r="C948" s="1115"/>
      <c r="D948" s="1116"/>
      <c r="E948" s="1115"/>
      <c r="F948" s="1115"/>
      <c r="G948" s="1115"/>
      <c r="H948" s="1116"/>
      <c r="I948" s="1115"/>
      <c r="J948" s="1113"/>
    </row>
    <row r="949">
      <c r="A949" s="1113"/>
      <c r="B949" s="1114"/>
      <c r="C949" s="1115"/>
      <c r="D949" s="1116"/>
      <c r="E949" s="1115"/>
      <c r="F949" s="1115"/>
      <c r="G949" s="1115"/>
      <c r="H949" s="1116"/>
      <c r="I949" s="1115"/>
      <c r="J949" s="1113"/>
    </row>
    <row r="950">
      <c r="A950" s="1113"/>
      <c r="B950" s="1114"/>
      <c r="C950" s="1115"/>
      <c r="D950" s="1116"/>
      <c r="E950" s="1115"/>
      <c r="F950" s="1115"/>
      <c r="G950" s="1115"/>
      <c r="H950" s="1116"/>
      <c r="I950" s="1115"/>
      <c r="J950" s="1113"/>
    </row>
    <row r="951">
      <c r="A951" s="1113"/>
      <c r="B951" s="1114"/>
      <c r="C951" s="1115"/>
      <c r="D951" s="1116"/>
      <c r="E951" s="1115"/>
      <c r="F951" s="1115"/>
      <c r="G951" s="1115"/>
      <c r="H951" s="1116"/>
      <c r="I951" s="1115"/>
      <c r="J951" s="1113"/>
    </row>
    <row r="952">
      <c r="A952" s="1113"/>
      <c r="B952" s="1114"/>
      <c r="C952" s="1115"/>
      <c r="D952" s="1116"/>
      <c r="E952" s="1115"/>
      <c r="F952" s="1115"/>
      <c r="G952" s="1115"/>
      <c r="H952" s="1116"/>
      <c r="I952" s="1115"/>
      <c r="J952" s="1113"/>
    </row>
    <row r="953">
      <c r="A953" s="1113"/>
      <c r="B953" s="1114"/>
      <c r="C953" s="1115"/>
      <c r="D953" s="1116"/>
      <c r="E953" s="1115"/>
      <c r="F953" s="1115"/>
      <c r="G953" s="1115"/>
      <c r="H953" s="1116"/>
      <c r="I953" s="1115"/>
      <c r="J953" s="1113"/>
    </row>
    <row r="954">
      <c r="A954" s="1113"/>
      <c r="B954" s="1114"/>
      <c r="C954" s="1115"/>
      <c r="D954" s="1116"/>
      <c r="E954" s="1115"/>
      <c r="F954" s="1115"/>
      <c r="G954" s="1115"/>
      <c r="H954" s="1116"/>
      <c r="I954" s="1115"/>
      <c r="J954" s="1113"/>
    </row>
    <row r="955">
      <c r="A955" s="1113"/>
      <c r="B955" s="1114"/>
      <c r="C955" s="1115"/>
      <c r="D955" s="1116"/>
      <c r="E955" s="1115"/>
      <c r="F955" s="1115"/>
      <c r="G955" s="1115"/>
      <c r="H955" s="1116"/>
      <c r="I955" s="1115"/>
      <c r="J955" s="1113"/>
    </row>
    <row r="956">
      <c r="A956" s="1113"/>
      <c r="B956" s="1114"/>
      <c r="C956" s="1115"/>
      <c r="D956" s="1116"/>
      <c r="E956" s="1115"/>
      <c r="F956" s="1115"/>
      <c r="G956" s="1115"/>
      <c r="H956" s="1116"/>
      <c r="I956" s="1115"/>
      <c r="J956" s="1113"/>
    </row>
    <row r="957">
      <c r="A957" s="1113"/>
      <c r="B957" s="1114"/>
      <c r="C957" s="1115"/>
      <c r="D957" s="1116"/>
      <c r="E957" s="1115"/>
      <c r="F957" s="1115"/>
      <c r="G957" s="1115"/>
      <c r="H957" s="1116"/>
      <c r="I957" s="1115"/>
      <c r="J957" s="1113"/>
    </row>
    <row r="958">
      <c r="A958" s="1113"/>
      <c r="B958" s="1114"/>
      <c r="C958" s="1115"/>
      <c r="D958" s="1116"/>
      <c r="E958" s="1115"/>
      <c r="F958" s="1115"/>
      <c r="G958" s="1115"/>
      <c r="H958" s="1116"/>
      <c r="I958" s="1115"/>
      <c r="J958" s="1113"/>
    </row>
    <row r="959">
      <c r="A959" s="1113"/>
      <c r="B959" s="1114"/>
      <c r="C959" s="1115"/>
      <c r="D959" s="1116"/>
      <c r="E959" s="1115"/>
      <c r="F959" s="1115"/>
      <c r="G959" s="1115"/>
      <c r="H959" s="1116"/>
      <c r="I959" s="1115"/>
      <c r="J959" s="1113"/>
    </row>
    <row r="960">
      <c r="A960" s="1113"/>
      <c r="B960" s="1114"/>
      <c r="C960" s="1115"/>
      <c r="D960" s="1116"/>
      <c r="E960" s="1115"/>
      <c r="F960" s="1115"/>
      <c r="G960" s="1115"/>
      <c r="H960" s="1116"/>
      <c r="I960" s="1115"/>
      <c r="J960" s="1113"/>
    </row>
    <row r="961">
      <c r="A961" s="1113"/>
      <c r="B961" s="1114"/>
      <c r="C961" s="1115"/>
      <c r="D961" s="1116"/>
      <c r="E961" s="1115"/>
      <c r="F961" s="1115"/>
      <c r="G961" s="1115"/>
      <c r="H961" s="1116"/>
      <c r="I961" s="1115"/>
      <c r="J961" s="1113"/>
    </row>
    <row r="962">
      <c r="A962" s="1113"/>
      <c r="B962" s="1114"/>
      <c r="C962" s="1115"/>
      <c r="D962" s="1116"/>
      <c r="E962" s="1115"/>
      <c r="F962" s="1115"/>
      <c r="G962" s="1115"/>
      <c r="H962" s="1116"/>
      <c r="I962" s="1115"/>
      <c r="J962" s="1113"/>
    </row>
    <row r="963">
      <c r="A963" s="1113"/>
      <c r="B963" s="1114"/>
      <c r="C963" s="1115"/>
      <c r="D963" s="1116"/>
      <c r="E963" s="1115"/>
      <c r="F963" s="1115"/>
      <c r="G963" s="1115"/>
      <c r="H963" s="1116"/>
      <c r="I963" s="1115"/>
      <c r="J963" s="1113"/>
    </row>
    <row r="964">
      <c r="A964" s="1113"/>
      <c r="B964" s="1114"/>
      <c r="C964" s="1115"/>
      <c r="D964" s="1116"/>
      <c r="E964" s="1115"/>
      <c r="F964" s="1115"/>
      <c r="G964" s="1115"/>
      <c r="H964" s="1116"/>
      <c r="I964" s="1115"/>
      <c r="J964" s="1113"/>
    </row>
    <row r="965">
      <c r="A965" s="1113"/>
      <c r="B965" s="1114"/>
      <c r="C965" s="1115"/>
      <c r="D965" s="1116"/>
      <c r="E965" s="1115"/>
      <c r="F965" s="1115"/>
      <c r="G965" s="1115"/>
      <c r="H965" s="1116"/>
      <c r="I965" s="1115"/>
      <c r="J965" s="1113"/>
    </row>
    <row r="966">
      <c r="A966" s="1113"/>
      <c r="B966" s="1114"/>
      <c r="C966" s="1115"/>
      <c r="D966" s="1116"/>
      <c r="E966" s="1115"/>
      <c r="F966" s="1115"/>
      <c r="G966" s="1115"/>
      <c r="H966" s="1116"/>
      <c r="I966" s="1115"/>
      <c r="J966" s="1113"/>
    </row>
    <row r="967">
      <c r="A967" s="1113"/>
      <c r="B967" s="1114"/>
      <c r="C967" s="1115"/>
      <c r="D967" s="1116"/>
      <c r="E967" s="1115"/>
      <c r="F967" s="1115"/>
      <c r="G967" s="1115"/>
      <c r="H967" s="1116"/>
      <c r="I967" s="1115"/>
      <c r="J967" s="1113"/>
    </row>
    <row r="968">
      <c r="A968" s="1113"/>
      <c r="B968" s="1114"/>
      <c r="C968" s="1115"/>
      <c r="D968" s="1116"/>
      <c r="E968" s="1115"/>
      <c r="F968" s="1115"/>
      <c r="G968" s="1115"/>
      <c r="H968" s="1116"/>
      <c r="I968" s="1115"/>
      <c r="J968" s="1113"/>
    </row>
    <row r="969">
      <c r="A969" s="1113"/>
      <c r="B969" s="1114"/>
      <c r="C969" s="1115"/>
      <c r="D969" s="1116"/>
      <c r="E969" s="1115"/>
      <c r="F969" s="1115"/>
      <c r="G969" s="1115"/>
      <c r="H969" s="1116"/>
      <c r="I969" s="1115"/>
      <c r="J969" s="1113"/>
    </row>
    <row r="970">
      <c r="A970" s="1113"/>
      <c r="B970" s="1114"/>
      <c r="C970" s="1115"/>
      <c r="D970" s="1116"/>
      <c r="E970" s="1115"/>
      <c r="F970" s="1115"/>
      <c r="G970" s="1115"/>
      <c r="H970" s="1116"/>
      <c r="I970" s="1115"/>
      <c r="J970" s="1113"/>
    </row>
    <row r="971">
      <c r="A971" s="1113"/>
      <c r="B971" s="1114"/>
      <c r="C971" s="1115"/>
      <c r="D971" s="1116"/>
      <c r="E971" s="1115"/>
      <c r="F971" s="1115"/>
      <c r="G971" s="1115"/>
      <c r="H971" s="1116"/>
      <c r="I971" s="1115"/>
      <c r="J971" s="1113"/>
    </row>
    <row r="972">
      <c r="A972" s="1113"/>
      <c r="B972" s="1114"/>
      <c r="C972" s="1115"/>
      <c r="D972" s="1116"/>
      <c r="E972" s="1115"/>
      <c r="F972" s="1115"/>
      <c r="G972" s="1115"/>
      <c r="H972" s="1116"/>
      <c r="I972" s="1115"/>
      <c r="J972" s="1113"/>
    </row>
    <row r="973">
      <c r="A973" s="1113"/>
      <c r="B973" s="1114"/>
      <c r="C973" s="1115"/>
      <c r="D973" s="1116"/>
      <c r="E973" s="1115"/>
      <c r="F973" s="1115"/>
      <c r="G973" s="1115"/>
      <c r="H973" s="1116"/>
      <c r="I973" s="1115"/>
      <c r="J973" s="1113"/>
    </row>
    <row r="974">
      <c r="A974" s="1113"/>
      <c r="B974" s="1114"/>
      <c r="C974" s="1115"/>
      <c r="D974" s="1116"/>
      <c r="E974" s="1115"/>
      <c r="F974" s="1115"/>
      <c r="G974" s="1115"/>
      <c r="H974" s="1116"/>
      <c r="I974" s="1115"/>
      <c r="J974" s="1113"/>
    </row>
    <row r="975">
      <c r="A975" s="1113"/>
      <c r="B975" s="1114"/>
      <c r="C975" s="1115"/>
      <c r="D975" s="1116"/>
      <c r="E975" s="1115"/>
      <c r="F975" s="1115"/>
      <c r="G975" s="1115"/>
      <c r="H975" s="1116"/>
      <c r="I975" s="1115"/>
      <c r="J975" s="1113"/>
    </row>
    <row r="976">
      <c r="A976" s="1113"/>
      <c r="B976" s="1114"/>
      <c r="C976" s="1115"/>
      <c r="D976" s="1116"/>
      <c r="E976" s="1115"/>
      <c r="F976" s="1115"/>
      <c r="G976" s="1115"/>
      <c r="H976" s="1116"/>
      <c r="I976" s="1115"/>
      <c r="J976" s="1113"/>
    </row>
    <row r="977">
      <c r="A977" s="1113"/>
      <c r="B977" s="1114"/>
      <c r="C977" s="1115"/>
      <c r="D977" s="1116"/>
      <c r="E977" s="1115"/>
      <c r="F977" s="1115"/>
      <c r="G977" s="1115"/>
      <c r="H977" s="1116"/>
      <c r="I977" s="1115"/>
      <c r="J977" s="1113"/>
    </row>
    <row r="978">
      <c r="A978" s="1113"/>
      <c r="B978" s="1114"/>
      <c r="C978" s="1115"/>
      <c r="D978" s="1116"/>
      <c r="E978" s="1115"/>
      <c r="F978" s="1115"/>
      <c r="G978" s="1115"/>
      <c r="H978" s="1116"/>
      <c r="I978" s="1115"/>
      <c r="J978" s="1113"/>
    </row>
    <row r="979">
      <c r="A979" s="1113"/>
      <c r="B979" s="1114"/>
      <c r="C979" s="1115"/>
      <c r="D979" s="1116"/>
      <c r="E979" s="1115"/>
      <c r="F979" s="1115"/>
      <c r="G979" s="1115"/>
      <c r="H979" s="1116"/>
      <c r="I979" s="1115"/>
      <c r="J979" s="1113"/>
    </row>
    <row r="980">
      <c r="A980" s="1113"/>
      <c r="B980" s="1114"/>
      <c r="C980" s="1115"/>
      <c r="D980" s="1116"/>
      <c r="E980" s="1115"/>
      <c r="F980" s="1115"/>
      <c r="G980" s="1115"/>
      <c r="H980" s="1116"/>
      <c r="I980" s="1115"/>
      <c r="J980" s="1113"/>
    </row>
    <row r="981">
      <c r="A981" s="1113"/>
      <c r="B981" s="1114"/>
      <c r="C981" s="1115"/>
      <c r="D981" s="1116"/>
      <c r="E981" s="1115"/>
      <c r="F981" s="1115"/>
      <c r="G981" s="1115"/>
      <c r="H981" s="1116"/>
      <c r="I981" s="1115"/>
      <c r="J981" s="1113"/>
    </row>
    <row r="982">
      <c r="A982" s="1113"/>
      <c r="B982" s="1114"/>
      <c r="C982" s="1115"/>
      <c r="D982" s="1116"/>
      <c r="E982" s="1115"/>
      <c r="F982" s="1115"/>
      <c r="G982" s="1115"/>
      <c r="H982" s="1116"/>
      <c r="I982" s="1115"/>
      <c r="J982" s="1113"/>
    </row>
    <row r="983">
      <c r="A983" s="1113"/>
      <c r="B983" s="1114"/>
      <c r="C983" s="1115"/>
      <c r="D983" s="1116"/>
      <c r="E983" s="1115"/>
      <c r="F983" s="1115"/>
      <c r="G983" s="1115"/>
      <c r="H983" s="1116"/>
      <c r="I983" s="1115"/>
      <c r="J983" s="1113"/>
    </row>
    <row r="984">
      <c r="A984" s="1113"/>
      <c r="B984" s="1114"/>
      <c r="C984" s="1115"/>
      <c r="D984" s="1116"/>
      <c r="E984" s="1115"/>
      <c r="F984" s="1115"/>
      <c r="G984" s="1115"/>
      <c r="H984" s="1116"/>
      <c r="I984" s="1115"/>
      <c r="J984" s="1113"/>
    </row>
    <row r="985">
      <c r="A985" s="1113"/>
      <c r="B985" s="1114"/>
      <c r="C985" s="1115"/>
      <c r="D985" s="1116"/>
      <c r="E985" s="1115"/>
      <c r="F985" s="1115"/>
      <c r="G985" s="1115"/>
      <c r="H985" s="1116"/>
      <c r="I985" s="1115"/>
      <c r="J985" s="1113"/>
    </row>
    <row r="986">
      <c r="A986" s="1113"/>
      <c r="B986" s="1114"/>
      <c r="C986" s="1115"/>
      <c r="D986" s="1116"/>
      <c r="E986" s="1115"/>
      <c r="F986" s="1115"/>
      <c r="G986" s="1115"/>
      <c r="H986" s="1116"/>
      <c r="I986" s="1115"/>
      <c r="J986" s="1113"/>
    </row>
    <row r="987">
      <c r="A987" s="1113"/>
      <c r="B987" s="1114"/>
      <c r="C987" s="1115"/>
      <c r="D987" s="1116"/>
      <c r="E987" s="1115"/>
      <c r="F987" s="1115"/>
      <c r="G987" s="1115"/>
      <c r="H987" s="1116"/>
      <c r="I987" s="1115"/>
      <c r="J987" s="1113"/>
    </row>
    <row r="988">
      <c r="A988" s="1113"/>
      <c r="B988" s="1114"/>
      <c r="C988" s="1115"/>
      <c r="D988" s="1116"/>
      <c r="E988" s="1115"/>
      <c r="F988" s="1115"/>
      <c r="G988" s="1115"/>
      <c r="H988" s="1116"/>
      <c r="I988" s="1115"/>
      <c r="J988" s="1113"/>
    </row>
    <row r="989">
      <c r="A989" s="1113"/>
      <c r="B989" s="1114"/>
      <c r="C989" s="1115"/>
      <c r="D989" s="1116"/>
      <c r="E989" s="1115"/>
      <c r="F989" s="1115"/>
      <c r="G989" s="1115"/>
      <c r="H989" s="1116"/>
      <c r="I989" s="1115"/>
      <c r="J989" s="1113"/>
    </row>
    <row r="990">
      <c r="A990" s="1113"/>
      <c r="B990" s="1114"/>
      <c r="C990" s="1115"/>
      <c r="D990" s="1116"/>
      <c r="E990" s="1115"/>
      <c r="F990" s="1115"/>
      <c r="G990" s="1115"/>
      <c r="H990" s="1116"/>
      <c r="I990" s="1115"/>
      <c r="J990" s="1113"/>
    </row>
    <row r="991">
      <c r="A991" s="1113"/>
      <c r="B991" s="1114"/>
      <c r="C991" s="1115"/>
      <c r="D991" s="1116"/>
      <c r="E991" s="1115"/>
      <c r="F991" s="1115"/>
      <c r="G991" s="1115"/>
      <c r="H991" s="1116"/>
      <c r="I991" s="1115"/>
      <c r="J991" s="1113"/>
    </row>
    <row r="992">
      <c r="A992" s="1113"/>
      <c r="B992" s="1114"/>
      <c r="C992" s="1115"/>
      <c r="D992" s="1116"/>
      <c r="E992" s="1115"/>
      <c r="F992" s="1115"/>
      <c r="G992" s="1115"/>
      <c r="H992" s="1116"/>
      <c r="I992" s="1115"/>
      <c r="J992" s="1113"/>
    </row>
    <row r="993">
      <c r="A993" s="1113"/>
      <c r="B993" s="1114"/>
      <c r="C993" s="1115"/>
      <c r="D993" s="1116"/>
      <c r="E993" s="1115"/>
      <c r="F993" s="1115"/>
      <c r="G993" s="1115"/>
      <c r="H993" s="1116"/>
      <c r="I993" s="1115"/>
      <c r="J993" s="1113"/>
    </row>
    <row r="994">
      <c r="A994" s="1113"/>
      <c r="B994" s="1114"/>
      <c r="C994" s="1115"/>
      <c r="D994" s="1116"/>
      <c r="E994" s="1115"/>
      <c r="F994" s="1115"/>
      <c r="G994" s="1115"/>
      <c r="H994" s="1116"/>
      <c r="I994" s="1115"/>
      <c r="J994" s="1113"/>
    </row>
    <row r="995">
      <c r="A995" s="1113"/>
      <c r="B995" s="1114"/>
      <c r="C995" s="1115"/>
      <c r="D995" s="1116"/>
      <c r="E995" s="1115"/>
      <c r="F995" s="1115"/>
      <c r="G995" s="1115"/>
      <c r="H995" s="1116"/>
      <c r="I995" s="1115"/>
      <c r="J995" s="1113"/>
    </row>
    <row r="996">
      <c r="A996" s="1113"/>
      <c r="B996" s="1114"/>
      <c r="C996" s="1115"/>
      <c r="D996" s="1116"/>
      <c r="E996" s="1115"/>
      <c r="F996" s="1115"/>
      <c r="G996" s="1115"/>
      <c r="H996" s="1116"/>
      <c r="I996" s="1115"/>
      <c r="J996" s="1113"/>
    </row>
  </sheetData>
  <conditionalFormatting sqref="E5:E25">
    <cfRule type="cellIs" dxfId="35" priority="1" operator="lessThan">
      <formula>0</formula>
    </cfRule>
  </conditionalFormatting>
  <conditionalFormatting sqref="E5:E25">
    <cfRule type="cellIs" dxfId="36" priority="2" operator="greaterThan">
      <formula>0</formula>
    </cfRule>
  </conditionalFormatting>
  <conditionalFormatting sqref="D5:D24">
    <cfRule type="cellIs" dxfId="37" priority="3" operator="lessThan">
      <formula>0</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showGridLines="0" workbookViewId="0"/>
  </sheetViews>
  <sheetFormatPr customHeight="1" defaultColWidth="12.63" defaultRowHeight="15.75"/>
  <cols>
    <col customWidth="1" min="1" max="1" width="44.63"/>
    <col customWidth="1" min="2" max="2" width="7.38"/>
    <col customWidth="1" min="3" max="4" width="21.25"/>
    <col customWidth="1" min="5" max="5" width="8.38"/>
    <col customWidth="1" min="7" max="8" width="21.25"/>
    <col customWidth="1" min="9" max="9" width="8.88"/>
    <col customWidth="1" min="10" max="10" width="44.13"/>
  </cols>
  <sheetData>
    <row r="1" ht="44.25" customHeight="1">
      <c r="A1" s="1113"/>
      <c r="B1" s="1114"/>
      <c r="C1" s="1115"/>
      <c r="D1" s="1116"/>
      <c r="E1" s="1115"/>
      <c r="F1" s="1115"/>
      <c r="G1" s="1115"/>
      <c r="H1" s="1116"/>
      <c r="I1" s="1115"/>
      <c r="J1" s="1113"/>
    </row>
    <row r="2">
      <c r="A2" s="1113"/>
      <c r="B2" s="1117"/>
      <c r="C2" s="1118" t="s">
        <v>952</v>
      </c>
      <c r="D2" s="1119">
        <v>1000000.0</v>
      </c>
      <c r="E2" s="1120"/>
      <c r="F2" s="1115"/>
      <c r="G2" s="1118" t="s">
        <v>953</v>
      </c>
      <c r="H2" s="1121">
        <v>0.03</v>
      </c>
      <c r="I2" s="1120"/>
      <c r="J2" s="1113"/>
    </row>
    <row r="3">
      <c r="A3" s="1113"/>
      <c r="B3" s="1117"/>
      <c r="C3" s="1117"/>
      <c r="D3" s="1122"/>
      <c r="E3" s="1115"/>
      <c r="F3" s="1115"/>
      <c r="G3" s="1117"/>
      <c r="H3" s="1122"/>
      <c r="I3" s="1115"/>
      <c r="J3" s="1113"/>
    </row>
    <row r="4">
      <c r="A4" s="1113"/>
      <c r="B4" s="1117"/>
      <c r="C4" s="1123" t="s">
        <v>954</v>
      </c>
      <c r="D4" s="1124" t="s">
        <v>955</v>
      </c>
      <c r="E4" s="1123" t="s">
        <v>956</v>
      </c>
      <c r="F4" s="1115"/>
      <c r="G4" s="1123" t="s">
        <v>954</v>
      </c>
      <c r="H4" s="1124" t="s">
        <v>957</v>
      </c>
      <c r="I4" s="1123" t="s">
        <v>958</v>
      </c>
      <c r="J4" s="1113"/>
    </row>
    <row r="5">
      <c r="A5" s="1113"/>
      <c r="B5" s="1125">
        <v>1995.0</v>
      </c>
      <c r="C5" s="1126">
        <v>1.0</v>
      </c>
      <c r="D5" s="1127">
        <f>D2-H5</f>
        <v>970000</v>
      </c>
      <c r="E5" s="1128">
        <f t="array" ref="E5">XLOOKUP(B5,Historic_Data!$A$1:$A$100,Historic_Data!$G$1:$G$100)</f>
        <v>0.3411</v>
      </c>
      <c r="F5" s="1115"/>
      <c r="G5" s="1123">
        <v>1.0</v>
      </c>
      <c r="H5" s="1127">
        <f>D2*H2</f>
        <v>30000</v>
      </c>
      <c r="I5" s="1129">
        <f t="array" ref="I5">XLOOKUP(B5,Historic_Data!$A$1:$A$100,Historic_Data!$H$1:$H$100)</f>
        <v>0.028</v>
      </c>
      <c r="J5" s="1130"/>
    </row>
    <row r="6">
      <c r="A6" s="1113"/>
      <c r="B6" s="1117">
        <f t="shared" ref="B6:B34" si="1">B5+1</f>
        <v>1996</v>
      </c>
      <c r="C6" s="1123">
        <v>2.0</v>
      </c>
      <c r="D6" s="1127">
        <f t="shared" ref="D6:D34" si="2">(D5)*(1+E5)-H6</f>
        <v>1270027</v>
      </c>
      <c r="E6" s="1128">
        <f t="array" ref="E6">XLOOKUP(B6,Historic_Data!$A$1:$A$100,Historic_Data!$G$1:$G$100)</f>
        <v>0.2026</v>
      </c>
      <c r="F6" s="1115"/>
      <c r="G6" s="1123">
        <v>2.0</v>
      </c>
      <c r="H6" s="1127">
        <f t="shared" ref="H6:H34" si="3">H5*(1+I5)</f>
        <v>30840</v>
      </c>
      <c r="I6" s="1129">
        <f t="array" ref="I6">XLOOKUP(B6,Historic_Data!$A$1:$A$100,Historic_Data!$H$1:$H$100)</f>
        <v>0.029</v>
      </c>
      <c r="J6" s="1113"/>
    </row>
    <row r="7">
      <c r="A7" s="1113"/>
      <c r="B7" s="1117">
        <f t="shared" si="1"/>
        <v>1997</v>
      </c>
      <c r="C7" s="1123">
        <v>3.0</v>
      </c>
      <c r="D7" s="1127">
        <f t="shared" si="2"/>
        <v>1495600.11</v>
      </c>
      <c r="E7" s="1128">
        <f t="array" ref="E7">XLOOKUP(B7,Historic_Data!$A$1:$A$100,Historic_Data!$G$1:$G$100)</f>
        <v>0.3101</v>
      </c>
      <c r="F7" s="1115"/>
      <c r="G7" s="1123">
        <v>3.0</v>
      </c>
      <c r="H7" s="1127">
        <f t="shared" si="3"/>
        <v>31734.36</v>
      </c>
      <c r="I7" s="1129">
        <f t="array" ref="I7">XLOOKUP(B7,Historic_Data!$A$1:$A$100,Historic_Data!$H$1:$H$100)</f>
        <v>0.023</v>
      </c>
      <c r="J7" s="1113"/>
    </row>
    <row r="8">
      <c r="A8" s="1113"/>
      <c r="B8" s="1117">
        <f t="shared" si="1"/>
        <v>1998</v>
      </c>
      <c r="C8" s="1123">
        <v>4.0</v>
      </c>
      <c r="D8" s="1127">
        <f t="shared" si="2"/>
        <v>1926921.454</v>
      </c>
      <c r="E8" s="1128">
        <f t="array" ref="E8">XLOOKUP(B8,Historic_Data!$A$1:$A$100,Historic_Data!$G$1:$G$100)</f>
        <v>0.2667</v>
      </c>
      <c r="F8" s="1115"/>
      <c r="G8" s="1123">
        <v>4.0</v>
      </c>
      <c r="H8" s="1127">
        <f t="shared" si="3"/>
        <v>32464.25028</v>
      </c>
      <c r="I8" s="1129">
        <f t="array" ref="I8">XLOOKUP(B8,Historic_Data!$A$1:$A$100,Historic_Data!$H$1:$H$100)</f>
        <v>0.016</v>
      </c>
      <c r="J8" s="1113"/>
    </row>
    <row r="9">
      <c r="A9" s="1113"/>
      <c r="B9" s="1117">
        <f t="shared" si="1"/>
        <v>1999</v>
      </c>
      <c r="C9" s="1123">
        <v>5.0</v>
      </c>
      <c r="D9" s="1127">
        <f t="shared" si="2"/>
        <v>2407847.728</v>
      </c>
      <c r="E9" s="1128">
        <f t="array" ref="E9">XLOOKUP(B9,Historic_Data!$A$1:$A$100,Historic_Data!$G$1:$G$100)</f>
        <v>0.1953</v>
      </c>
      <c r="F9" s="1115"/>
      <c r="G9" s="1123">
        <v>5.0</v>
      </c>
      <c r="H9" s="1127">
        <f t="shared" si="3"/>
        <v>32983.67828</v>
      </c>
      <c r="I9" s="1129">
        <f t="array" ref="I9">XLOOKUP(B9,Historic_Data!$A$1:$A$100,Historic_Data!$H$1:$H$100)</f>
        <v>0.022</v>
      </c>
      <c r="J9" s="1113"/>
    </row>
    <row r="10">
      <c r="A10" s="1113"/>
      <c r="B10" s="1117">
        <f t="shared" si="1"/>
        <v>2000</v>
      </c>
      <c r="C10" s="1123">
        <v>6.0</v>
      </c>
      <c r="D10" s="1127">
        <f t="shared" si="2"/>
        <v>2844391.07</v>
      </c>
      <c r="E10" s="1128">
        <f t="array" ref="E10">XLOOKUP(B10,Historic_Data!$A$1:$A$100,Historic_Data!$G$1:$G$100)</f>
        <v>-0.1014</v>
      </c>
      <c r="F10" s="1115"/>
      <c r="G10" s="1123">
        <v>6.0</v>
      </c>
      <c r="H10" s="1127">
        <f t="shared" si="3"/>
        <v>33709.31921</v>
      </c>
      <c r="I10" s="1129">
        <f t="array" ref="I10">XLOOKUP(B10,Historic_Data!$A$1:$A$100,Historic_Data!$H$1:$H$100)</f>
        <v>0.034</v>
      </c>
      <c r="J10" s="1113"/>
    </row>
    <row r="11">
      <c r="A11" s="1113"/>
      <c r="B11" s="1117">
        <f t="shared" si="1"/>
        <v>2001</v>
      </c>
      <c r="C11" s="1123">
        <v>7.0</v>
      </c>
      <c r="D11" s="1127">
        <f t="shared" si="2"/>
        <v>2521114.379</v>
      </c>
      <c r="E11" s="1128">
        <f t="array" ref="E11">XLOOKUP(B11,Historic_Data!$A$1:$A$100,Historic_Data!$G$1:$G$100)</f>
        <v>-0.1304</v>
      </c>
      <c r="F11" s="1115"/>
      <c r="G11" s="1123">
        <v>7.0</v>
      </c>
      <c r="H11" s="1127">
        <f t="shared" si="3"/>
        <v>34855.43606</v>
      </c>
      <c r="I11" s="1129">
        <f t="array" ref="I11">XLOOKUP(B11,Historic_Data!$A$1:$A$100,Historic_Data!$H$1:$H$100)</f>
        <v>0.028</v>
      </c>
      <c r="J11" s="1113"/>
    </row>
    <row r="12">
      <c r="A12" s="1113"/>
      <c r="B12" s="1117">
        <f t="shared" si="1"/>
        <v>2002</v>
      </c>
      <c r="C12" s="1123">
        <v>8.0</v>
      </c>
      <c r="D12" s="1127">
        <f t="shared" si="2"/>
        <v>2156529.676</v>
      </c>
      <c r="E12" s="1128">
        <f t="array" ref="E12">XLOOKUP(B12,Historic_Data!$A$1:$A$100,Historic_Data!$G$1:$G$100)</f>
        <v>-0.2337</v>
      </c>
      <c r="F12" s="1115"/>
      <c r="G12" s="1123">
        <v>8.0</v>
      </c>
      <c r="H12" s="1127">
        <f t="shared" si="3"/>
        <v>35831.38827</v>
      </c>
      <c r="I12" s="1129">
        <f t="array" ref="I12">XLOOKUP(B12,Historic_Data!$A$1:$A$100,Historic_Data!$H$1:$H$100)</f>
        <v>0.016</v>
      </c>
      <c r="J12" s="1113"/>
    </row>
    <row r="13">
      <c r="A13" s="1113"/>
      <c r="B13" s="1117">
        <f t="shared" si="1"/>
        <v>2003</v>
      </c>
      <c r="C13" s="1123">
        <v>9.0</v>
      </c>
      <c r="D13" s="1127">
        <f t="shared" si="2"/>
        <v>1616144</v>
      </c>
      <c r="E13" s="1128">
        <f t="array" ref="E13">XLOOKUP(B13,Historic_Data!$A$1:$A$100,Historic_Data!$G$1:$G$100)</f>
        <v>0.2638</v>
      </c>
      <c r="F13" s="1115"/>
      <c r="G13" s="1123">
        <v>9.0</v>
      </c>
      <c r="H13" s="1127">
        <f t="shared" si="3"/>
        <v>36404.69048</v>
      </c>
      <c r="I13" s="1129">
        <f t="array" ref="I13">XLOOKUP(B13,Historic_Data!$A$1:$A$100,Historic_Data!$H$1:$H$100)</f>
        <v>0.023</v>
      </c>
      <c r="J13" s="1113"/>
    </row>
    <row r="14">
      <c r="A14" s="1113"/>
      <c r="B14" s="1117">
        <f t="shared" si="1"/>
        <v>2004</v>
      </c>
      <c r="C14" s="1123">
        <v>10.0</v>
      </c>
      <c r="D14" s="1127">
        <f t="shared" si="2"/>
        <v>2005240.789</v>
      </c>
      <c r="E14" s="1128">
        <f t="array" ref="E14">XLOOKUP(B14,Historic_Data!$A$1:$A$100,Historic_Data!$G$1:$G$100)</f>
        <v>0.0899</v>
      </c>
      <c r="F14" s="1115"/>
      <c r="G14" s="1123">
        <v>10.0</v>
      </c>
      <c r="H14" s="1127">
        <f t="shared" si="3"/>
        <v>37241.99836</v>
      </c>
      <c r="I14" s="1129">
        <f t="array" ref="I14">XLOOKUP(B14,Historic_Data!$A$1:$A$100,Historic_Data!$H$1:$H$100)</f>
        <v>0.027</v>
      </c>
      <c r="J14" s="1113"/>
    </row>
    <row r="15">
      <c r="A15" s="1113"/>
      <c r="B15" s="1117">
        <f t="shared" si="1"/>
        <v>2005</v>
      </c>
      <c r="C15" s="1123">
        <v>11.0</v>
      </c>
      <c r="D15" s="1127">
        <f t="shared" si="2"/>
        <v>2147264.404</v>
      </c>
      <c r="E15" s="1128">
        <f t="array" ref="E15">XLOOKUP(B15,Historic_Data!$A$1:$A$100,Historic_Data!$G$1:$G$100)</f>
        <v>0.03</v>
      </c>
      <c r="F15" s="1115"/>
      <c r="G15" s="1123">
        <v>11.0</v>
      </c>
      <c r="H15" s="1127">
        <f t="shared" si="3"/>
        <v>38247.53232</v>
      </c>
      <c r="I15" s="1129">
        <f t="array" ref="I15">XLOOKUP(B15,Historic_Data!$A$1:$A$100,Historic_Data!$H$1:$H$100)</f>
        <v>0.034</v>
      </c>
      <c r="J15" s="1113"/>
    </row>
    <row r="16">
      <c r="A16" s="1113"/>
      <c r="B16" s="1117">
        <f t="shared" si="1"/>
        <v>2006</v>
      </c>
      <c r="C16" s="1123">
        <v>12.0</v>
      </c>
      <c r="D16" s="1127">
        <f t="shared" si="2"/>
        <v>2172134.387</v>
      </c>
      <c r="E16" s="1128">
        <f t="array" ref="E16">XLOOKUP(B16,Historic_Data!$A$1:$A$100,Historic_Data!$G$1:$G$100)</f>
        <v>0.1362</v>
      </c>
      <c r="F16" s="1115"/>
      <c r="G16" s="1123">
        <v>12.0</v>
      </c>
      <c r="H16" s="1127">
        <f t="shared" si="3"/>
        <v>39547.94842</v>
      </c>
      <c r="I16" s="1129">
        <f t="array" ref="I16">XLOOKUP(B16,Historic_Data!$A$1:$A$100,Historic_Data!$H$1:$H$100)</f>
        <v>0.032</v>
      </c>
      <c r="J16" s="1113"/>
    </row>
    <row r="17">
      <c r="A17" s="1113"/>
      <c r="B17" s="1117">
        <f t="shared" si="1"/>
        <v>2007</v>
      </c>
      <c r="C17" s="1123">
        <v>13.0</v>
      </c>
      <c r="D17" s="1127">
        <f t="shared" si="2"/>
        <v>2427165.608</v>
      </c>
      <c r="E17" s="1128">
        <f t="array" ref="E17">XLOOKUP(B17,Historic_Data!$A$1:$A$100,Historic_Data!$G$1:$G$100)</f>
        <v>0.0353</v>
      </c>
      <c r="F17" s="1115"/>
      <c r="G17" s="1123">
        <v>13.0</v>
      </c>
      <c r="H17" s="1127">
        <f t="shared" si="3"/>
        <v>40813.48277</v>
      </c>
      <c r="I17" s="1129">
        <f t="array" ref="I17">XLOOKUP(B17,Historic_Data!$A$1:$A$100,Historic_Data!$H$1:$H$100)</f>
        <v>0.029</v>
      </c>
      <c r="J17" s="1113"/>
    </row>
    <row r="18">
      <c r="A18" s="1113"/>
      <c r="B18" s="1117">
        <f t="shared" si="1"/>
        <v>2008</v>
      </c>
      <c r="C18" s="1123">
        <v>14.0</v>
      </c>
      <c r="D18" s="1127">
        <f t="shared" si="2"/>
        <v>2470847.48</v>
      </c>
      <c r="E18" s="1128">
        <f t="array" ref="E18">XLOOKUP(B18,Historic_Data!$A$1:$A$100,Historic_Data!$G$1:$G$100)</f>
        <v>-0.3849</v>
      </c>
      <c r="F18" s="1115"/>
      <c r="G18" s="1123">
        <v>14.0</v>
      </c>
      <c r="H18" s="1127">
        <f t="shared" si="3"/>
        <v>41997.07377</v>
      </c>
      <c r="I18" s="1129">
        <f t="array" ref="I18">XLOOKUP(B18,Historic_Data!$A$1:$A$100,Historic_Data!$H$1:$H$100)</f>
        <v>0.038</v>
      </c>
      <c r="J18" s="1113"/>
    </row>
    <row r="19">
      <c r="A19" s="1113"/>
      <c r="B19" s="1117">
        <f t="shared" si="1"/>
        <v>2009</v>
      </c>
      <c r="C19" s="1123">
        <v>15.0</v>
      </c>
      <c r="D19" s="1127">
        <f t="shared" si="2"/>
        <v>1476225.322</v>
      </c>
      <c r="E19" s="1128">
        <f t="array" ref="E19">XLOOKUP(B19,Historic_Data!$A$1:$A$100,Historic_Data!$G$1:$G$100)</f>
        <v>0.2345</v>
      </c>
      <c r="F19" s="1115"/>
      <c r="G19" s="1123">
        <v>15.0</v>
      </c>
      <c r="H19" s="1127">
        <f t="shared" si="3"/>
        <v>43592.96257</v>
      </c>
      <c r="I19" s="1129">
        <f t="array" ref="I19">XLOOKUP(B19,Historic_Data!$A$1:$A$100,Historic_Data!$H$1:$H$100)</f>
        <v>-0.004</v>
      </c>
      <c r="J19" s="1113"/>
    </row>
    <row r="20">
      <c r="A20" s="1113"/>
      <c r="B20" s="1117">
        <f t="shared" si="1"/>
        <v>2010</v>
      </c>
      <c r="C20" s="1123">
        <v>16.0</v>
      </c>
      <c r="D20" s="1127">
        <f t="shared" si="2"/>
        <v>1778981.57</v>
      </c>
      <c r="E20" s="1128">
        <f t="array" ref="E20">XLOOKUP(B20,Historic_Data!$A$1:$A$100,Historic_Data!$G$1:$G$100)</f>
        <v>0.1278</v>
      </c>
      <c r="F20" s="1115"/>
      <c r="G20" s="1123">
        <v>16.0</v>
      </c>
      <c r="H20" s="1127">
        <f t="shared" si="3"/>
        <v>43418.59072</v>
      </c>
      <c r="I20" s="1129">
        <f t="array" ref="I20">XLOOKUP(B20,Historic_Data!$A$1:$A$100,Historic_Data!$H$1:$H$100)</f>
        <v>0.016</v>
      </c>
      <c r="J20" s="1113"/>
    </row>
    <row r="21">
      <c r="A21" s="1113"/>
      <c r="B21" s="1117">
        <f t="shared" si="1"/>
        <v>2011</v>
      </c>
      <c r="C21" s="1123">
        <v>17.0</v>
      </c>
      <c r="D21" s="1127">
        <f t="shared" si="2"/>
        <v>1962222.126</v>
      </c>
      <c r="E21" s="1128">
        <f t="array" ref="E21">XLOOKUP(B21,Historic_Data!$A$1:$A$100,Historic_Data!$G$1:$G$100)</f>
        <v>0</v>
      </c>
      <c r="F21" s="1115"/>
      <c r="G21" s="1123">
        <v>17.0</v>
      </c>
      <c r="H21" s="1127">
        <f t="shared" si="3"/>
        <v>44113.28817</v>
      </c>
      <c r="I21" s="1129">
        <f t="array" ref="I21">XLOOKUP(B21,Historic_Data!$A$1:$A$100,Historic_Data!$H$1:$H$100)</f>
        <v>0.032</v>
      </c>
      <c r="J21" s="1113"/>
    </row>
    <row r="22">
      <c r="A22" s="1113"/>
      <c r="B22" s="1117">
        <f t="shared" si="1"/>
        <v>2012</v>
      </c>
      <c r="C22" s="1123">
        <v>18.0</v>
      </c>
      <c r="D22" s="1127">
        <f t="shared" si="2"/>
        <v>1916697.213</v>
      </c>
      <c r="E22" s="1128">
        <f t="array" ref="E22">XLOOKUP(B22,Historic_Data!$A$1:$A$100,Historic_Data!$G$1:$G$100)</f>
        <v>0.1341</v>
      </c>
      <c r="F22" s="1115"/>
      <c r="G22" s="1123">
        <v>18.0</v>
      </c>
      <c r="H22" s="1127">
        <f t="shared" si="3"/>
        <v>45524.91339</v>
      </c>
      <c r="I22" s="1129">
        <f t="array" ref="I22">XLOOKUP(B22,Historic_Data!$A$1:$A$100,Historic_Data!$H$1:$H$100)</f>
        <v>0.021</v>
      </c>
      <c r="J22" s="1113"/>
    </row>
    <row r="23">
      <c r="A23" s="1113"/>
      <c r="B23" s="1117">
        <f t="shared" si="1"/>
        <v>2013</v>
      </c>
      <c r="C23" s="1123">
        <v>19.0</v>
      </c>
      <c r="D23" s="1127">
        <f t="shared" si="2"/>
        <v>2127245.373</v>
      </c>
      <c r="E23" s="1128">
        <f t="array" ref="E23">XLOOKUP(B23,Historic_Data!$A$1:$A$100,Historic_Data!$G$1:$G$100)</f>
        <v>0.296</v>
      </c>
      <c r="F23" s="1115"/>
      <c r="G23" s="1123">
        <v>19.0</v>
      </c>
      <c r="H23" s="1127">
        <f t="shared" si="3"/>
        <v>46480.93657</v>
      </c>
      <c r="I23" s="1129">
        <f t="array" ref="I23">XLOOKUP(B23,Historic_Data!$A$1:$A$100,Historic_Data!$H$1:$H$100)</f>
        <v>0.015</v>
      </c>
      <c r="J23" s="1113"/>
    </row>
    <row r="24">
      <c r="A24" s="1113"/>
      <c r="B24" s="1117">
        <f t="shared" si="1"/>
        <v>2014</v>
      </c>
      <c r="C24" s="1123">
        <v>20.0</v>
      </c>
      <c r="D24" s="1127">
        <f t="shared" si="2"/>
        <v>2709731.852</v>
      </c>
      <c r="E24" s="1128">
        <f t="array" ref="E24">XLOOKUP(B24,Historic_Data!$A$1:$A$100,Historic_Data!$G$1:$G$100)</f>
        <v>0.1139</v>
      </c>
      <c r="F24" s="1115"/>
      <c r="G24" s="1123">
        <v>20.0</v>
      </c>
      <c r="H24" s="1127">
        <f t="shared" si="3"/>
        <v>47178.15062</v>
      </c>
      <c r="I24" s="1129">
        <f t="array" ref="I24">XLOOKUP(B24,Historic_Data!$A$1:$A$100,Historic_Data!$H$1:$H$100)</f>
        <v>0.016</v>
      </c>
      <c r="J24" s="1113"/>
    </row>
    <row r="25">
      <c r="A25" s="1113"/>
      <c r="B25" s="1117">
        <f t="shared" si="1"/>
        <v>2015</v>
      </c>
      <c r="C25" s="1123">
        <v>21.0</v>
      </c>
      <c r="D25" s="1127">
        <f t="shared" si="2"/>
        <v>2970437.309</v>
      </c>
      <c r="E25" s="1128">
        <f t="array" ref="E25">XLOOKUP(B25,Historic_Data!$A$1:$A$100,Historic_Data!$G$1:$G$100)</f>
        <v>-0.0073</v>
      </c>
      <c r="F25" s="1115"/>
      <c r="G25" s="1123">
        <v>21.0</v>
      </c>
      <c r="H25" s="1127">
        <f t="shared" si="3"/>
        <v>47933.00103</v>
      </c>
      <c r="I25" s="1129">
        <f t="array" ref="I25">XLOOKUP(B25,Historic_Data!$A$1:$A$100,Historic_Data!$H$1:$H$100)</f>
        <v>0.001</v>
      </c>
      <c r="J25" s="1113"/>
    </row>
    <row r="26">
      <c r="A26" s="1113"/>
      <c r="B26" s="1117">
        <f t="shared" si="1"/>
        <v>2016</v>
      </c>
      <c r="C26" s="1123">
        <v>22.0</v>
      </c>
      <c r="D26" s="1127">
        <f t="shared" si="2"/>
        <v>2900772.183</v>
      </c>
      <c r="E26" s="1128">
        <f t="array" ref="E26">XLOOKUP(B26,Historic_Data!$A$1:$A$100,Historic_Data!$G$1:$G$100)</f>
        <v>0.0954</v>
      </c>
      <c r="F26" s="1115"/>
      <c r="G26" s="1123">
        <v>22.0</v>
      </c>
      <c r="H26" s="1127">
        <f t="shared" si="3"/>
        <v>47980.93403</v>
      </c>
      <c r="I26" s="1129">
        <f t="array" ref="I26">XLOOKUP(B26,Historic_Data!$A$1:$A$100,Historic_Data!$H$1:$H$100)</f>
        <v>0.013</v>
      </c>
      <c r="J26" s="1113"/>
    </row>
    <row r="27">
      <c r="A27" s="1113"/>
      <c r="B27" s="1117">
        <f t="shared" si="1"/>
        <v>2017</v>
      </c>
      <c r="C27" s="1123">
        <v>23.0</v>
      </c>
      <c r="D27" s="1127">
        <f t="shared" si="2"/>
        <v>3128901.163</v>
      </c>
      <c r="E27" s="1128">
        <f t="array" ref="E27">XLOOKUP(B27,Historic_Data!$A$1:$A$100,Historic_Data!$G$1:$G$100)</f>
        <v>0.1942</v>
      </c>
      <c r="F27" s="1115"/>
      <c r="G27" s="1123">
        <v>23.0</v>
      </c>
      <c r="H27" s="1127">
        <f t="shared" si="3"/>
        <v>48604.68618</v>
      </c>
      <c r="I27" s="1129">
        <f t="array" ref="I27">XLOOKUP(B27,Historic_Data!$A$1:$A$100,Historic_Data!$H$1:$H$100)</f>
        <v>0.021</v>
      </c>
      <c r="J27" s="1113"/>
    </row>
    <row r="28">
      <c r="A28" s="1113"/>
      <c r="B28" s="1117">
        <f t="shared" si="1"/>
        <v>2018</v>
      </c>
      <c r="C28" s="1123">
        <v>24.0</v>
      </c>
      <c r="D28" s="1127">
        <f t="shared" si="2"/>
        <v>3686908.384</v>
      </c>
      <c r="E28" s="1128">
        <f t="array" ref="E28">XLOOKUP(B28,Historic_Data!$A$1:$A$100,Historic_Data!$G$1:$G$100)</f>
        <v>-0.0624</v>
      </c>
      <c r="F28" s="1115"/>
      <c r="G28" s="1123">
        <v>24.0</v>
      </c>
      <c r="H28" s="1127">
        <f t="shared" si="3"/>
        <v>49625.38459</v>
      </c>
      <c r="I28" s="1129">
        <f t="array" ref="I28">XLOOKUP(B28,Historic_Data!$A$1:$A$100,Historic_Data!$H$1:$H$100)</f>
        <v>0.024</v>
      </c>
      <c r="J28" s="1113"/>
    </row>
    <row r="29">
      <c r="A29" s="1113"/>
      <c r="B29" s="1117">
        <f t="shared" si="1"/>
        <v>2019</v>
      </c>
      <c r="C29" s="1123">
        <v>25.0</v>
      </c>
      <c r="D29" s="1127">
        <f t="shared" si="2"/>
        <v>3406028.907</v>
      </c>
      <c r="E29" s="1128">
        <f t="array" ref="E29">XLOOKUP(B29,Historic_Data!$A$1:$A$100,Historic_Data!$G$1:$G$100)</f>
        <v>0.2888</v>
      </c>
      <c r="F29" s="1115"/>
      <c r="G29" s="1123">
        <v>25.0</v>
      </c>
      <c r="H29" s="1127">
        <f t="shared" si="3"/>
        <v>50816.39382</v>
      </c>
      <c r="I29" s="1129">
        <f t="array" ref="I29">XLOOKUP(B29,Historic_Data!$A$1:$A$100,Historic_Data!$H$1:$H$100)</f>
        <v>0.018</v>
      </c>
      <c r="J29" s="1113"/>
    </row>
    <row r="30">
      <c r="A30" s="1113"/>
      <c r="B30" s="1117">
        <f t="shared" si="1"/>
        <v>2020</v>
      </c>
      <c r="C30" s="1123">
        <v>26.0</v>
      </c>
      <c r="D30" s="1127">
        <f t="shared" si="2"/>
        <v>4337958.967</v>
      </c>
      <c r="E30" s="1128">
        <f t="array" ref="E30">XLOOKUP(B30,Historic_Data!$A$1:$A$100,Historic_Data!$G$1:$G$100)</f>
        <v>0.1626</v>
      </c>
      <c r="F30" s="1115"/>
      <c r="G30" s="1123">
        <v>26.0</v>
      </c>
      <c r="H30" s="1127">
        <f t="shared" si="3"/>
        <v>51731.0889</v>
      </c>
      <c r="I30" s="1129">
        <f t="array" ref="I30">XLOOKUP(B30,Historic_Data!$A$1:$A$100,Historic_Data!$H$1:$H$100)</f>
        <v>0.012</v>
      </c>
      <c r="J30" s="1113"/>
    </row>
    <row r="31">
      <c r="A31" s="1113"/>
      <c r="B31" s="1117">
        <f t="shared" si="1"/>
        <v>2021</v>
      </c>
      <c r="C31" s="1123">
        <v>27.0</v>
      </c>
      <c r="D31" s="1127">
        <f t="shared" si="2"/>
        <v>4990959.233</v>
      </c>
      <c r="E31" s="1128">
        <f t="array" ref="E31">XLOOKUP(B31,Historic_Data!$A$1:$A$100,Historic_Data!$G$1:$G$100)</f>
        <v>0.2689</v>
      </c>
      <c r="F31" s="1115"/>
      <c r="G31" s="1123">
        <v>27.0</v>
      </c>
      <c r="H31" s="1127">
        <f t="shared" si="3"/>
        <v>52351.86197</v>
      </c>
      <c r="I31" s="1129">
        <f t="array" ref="I31">XLOOKUP(B31,Historic_Data!$A$1:$A$100,Historic_Data!$H$1:$H$100)</f>
        <v>0.047</v>
      </c>
      <c r="J31" s="1113"/>
    </row>
    <row r="32">
      <c r="A32" s="1113"/>
      <c r="B32" s="1117">
        <f t="shared" si="1"/>
        <v>2022</v>
      </c>
      <c r="C32" s="1123">
        <v>28.0</v>
      </c>
      <c r="D32" s="1127">
        <f t="shared" si="2"/>
        <v>6278215.771</v>
      </c>
      <c r="E32" s="1128">
        <f t="array" ref="E32">XLOOKUP(B32,Historic_Data!$A$1:$A$100,Historic_Data!$G$1:$G$100)</f>
        <v>-0.1944</v>
      </c>
      <c r="F32" s="1115"/>
      <c r="G32" s="1123">
        <v>28.0</v>
      </c>
      <c r="H32" s="1127">
        <f t="shared" si="3"/>
        <v>54812.39948</v>
      </c>
      <c r="I32" s="1129">
        <f t="array" ref="I32">XLOOKUP(B32,Historic_Data!$A$1:$A$100,Historic_Data!$H$1:$H$100)</f>
        <v>0.08</v>
      </c>
      <c r="J32" s="1113"/>
    </row>
    <row r="33">
      <c r="A33" s="1113"/>
      <c r="B33" s="1117">
        <f t="shared" si="1"/>
        <v>2023</v>
      </c>
      <c r="C33" s="1123">
        <v>29.0</v>
      </c>
      <c r="D33" s="1127">
        <f t="shared" si="2"/>
        <v>4998533.234</v>
      </c>
      <c r="E33" s="1128">
        <f t="array" ref="E33">XLOOKUP(B33,Historic_Data!$A$1:$A$100,Historic_Data!$G$1:$G$100)</f>
        <v>0.2423</v>
      </c>
      <c r="F33" s="1115"/>
      <c r="G33" s="1123">
        <v>29.0</v>
      </c>
      <c r="H33" s="1127">
        <f t="shared" si="3"/>
        <v>59197.39144</v>
      </c>
      <c r="I33" s="1129">
        <f t="array" ref="I33">XLOOKUP(B33,Historic_Data!$A$1:$A$100,Historic_Data!$H$1:$H$100)</f>
        <v>0.041</v>
      </c>
      <c r="J33" s="1113"/>
    </row>
    <row r="34">
      <c r="A34" s="1113"/>
      <c r="B34" s="1117">
        <f t="shared" si="1"/>
        <v>2024</v>
      </c>
      <c r="C34" s="1123">
        <v>30.0</v>
      </c>
      <c r="D34" s="1127">
        <f t="shared" si="2"/>
        <v>6148053.352</v>
      </c>
      <c r="E34" s="1128">
        <f t="array" ref="E34">XLOOKUP(B34,Historic_Data!$A$1:$A$100,Historic_Data!$G$1:$G$100)</f>
        <v>0.2331</v>
      </c>
      <c r="F34" s="1115"/>
      <c r="G34" s="1123">
        <v>30.0</v>
      </c>
      <c r="H34" s="1127">
        <f t="shared" si="3"/>
        <v>61624.48449</v>
      </c>
      <c r="I34" s="1129">
        <f t="array" ref="I34">XLOOKUP(B34,Historic_Data!$A$1:$A$100,Historic_Data!$H$1:$H$100)</f>
        <v>0.032</v>
      </c>
      <c r="J34" s="1113"/>
    </row>
    <row r="35">
      <c r="A35" s="1113"/>
      <c r="B35" s="1117"/>
      <c r="C35" s="1117"/>
      <c r="D35" s="1122" t="s">
        <v>959</v>
      </c>
      <c r="E35" s="1128">
        <f>AVERAGE(E5:E34)</f>
        <v>0.1049366667</v>
      </c>
      <c r="F35" s="1115"/>
      <c r="G35" s="1115"/>
      <c r="H35" s="1122" t="s">
        <v>959</v>
      </c>
      <c r="I35" s="1133">
        <f>AVERAGE(I5:I34)</f>
        <v>0.02546666667</v>
      </c>
      <c r="J35" s="1113"/>
    </row>
    <row r="36">
      <c r="A36" s="1113"/>
      <c r="B36" s="1131"/>
      <c r="C36" s="1132"/>
      <c r="D36" s="1116"/>
      <c r="E36" s="1115"/>
      <c r="F36" s="1115"/>
      <c r="G36" s="1115"/>
      <c r="H36" s="1122" t="s">
        <v>961</v>
      </c>
      <c r="I36" s="1134">
        <f>H34/H5</f>
        <v>2.054149483</v>
      </c>
      <c r="J36" s="1113"/>
    </row>
    <row r="37">
      <c r="A37" s="1113"/>
      <c r="B37" s="1114"/>
      <c r="C37" s="1115"/>
      <c r="D37" s="1116"/>
      <c r="E37" s="1115"/>
      <c r="F37" s="1115"/>
      <c r="G37" s="1115"/>
      <c r="H37" s="1116"/>
      <c r="I37" s="1115"/>
      <c r="J37" s="1113"/>
    </row>
    <row r="38">
      <c r="A38" s="1113"/>
      <c r="B38" s="1114"/>
      <c r="C38" s="1115"/>
      <c r="D38" s="1116"/>
      <c r="E38" s="1115"/>
      <c r="F38" s="1115"/>
      <c r="G38" s="1115"/>
      <c r="H38" s="1116"/>
      <c r="I38" s="1115"/>
      <c r="J38" s="1113"/>
    </row>
    <row r="39">
      <c r="A39" s="1113"/>
      <c r="B39" s="1114"/>
      <c r="C39" s="1115"/>
      <c r="D39" s="1116"/>
      <c r="E39" s="1115"/>
      <c r="F39" s="1115"/>
      <c r="G39" s="1115"/>
      <c r="H39" s="1116"/>
      <c r="I39" s="1115"/>
      <c r="J39" s="1113"/>
    </row>
    <row r="40">
      <c r="A40" s="1113"/>
      <c r="B40" s="1114"/>
      <c r="C40" s="1115"/>
      <c r="D40" s="1116"/>
      <c r="E40" s="1115"/>
      <c r="F40" s="1115"/>
      <c r="G40" s="1115"/>
      <c r="H40" s="1116"/>
      <c r="I40" s="1115"/>
      <c r="J40" s="1113"/>
    </row>
    <row r="41">
      <c r="A41" s="1113"/>
      <c r="B41" s="1114"/>
      <c r="C41" s="1115"/>
      <c r="D41" s="1116"/>
      <c r="E41" s="1115"/>
      <c r="F41" s="1115"/>
      <c r="G41" s="1115"/>
      <c r="H41" s="1116"/>
      <c r="I41" s="1115"/>
      <c r="J41" s="1113"/>
    </row>
    <row r="42">
      <c r="A42" s="1113"/>
      <c r="B42" s="1114"/>
      <c r="C42" s="1115"/>
      <c r="D42" s="1116"/>
      <c r="E42" s="1115"/>
      <c r="F42" s="1115"/>
      <c r="G42" s="1115"/>
      <c r="H42" s="1116"/>
      <c r="I42" s="1115"/>
      <c r="J42" s="1113"/>
    </row>
    <row r="43">
      <c r="A43" s="1113"/>
      <c r="B43" s="1114"/>
      <c r="C43" s="1115"/>
      <c r="D43" s="1116"/>
      <c r="E43" s="1115"/>
      <c r="F43" s="1115"/>
      <c r="G43" s="1115"/>
      <c r="H43" s="1116"/>
      <c r="I43" s="1115"/>
      <c r="J43" s="1113"/>
    </row>
    <row r="44">
      <c r="A44" s="1113"/>
      <c r="B44" s="1114"/>
      <c r="C44" s="1115"/>
      <c r="D44" s="1116"/>
      <c r="E44" s="1115"/>
      <c r="F44" s="1115"/>
      <c r="G44" s="1115"/>
      <c r="H44" s="1116"/>
      <c r="I44" s="1115"/>
      <c r="J44" s="1113"/>
    </row>
    <row r="45">
      <c r="A45" s="1113"/>
      <c r="B45" s="1114"/>
      <c r="C45" s="1115"/>
      <c r="D45" s="1116"/>
      <c r="E45" s="1115"/>
      <c r="F45" s="1115"/>
      <c r="G45" s="1115"/>
      <c r="H45" s="1116"/>
      <c r="I45" s="1115"/>
      <c r="J45" s="1113"/>
    </row>
    <row r="46">
      <c r="A46" s="1113"/>
      <c r="B46" s="1114"/>
      <c r="C46" s="1115"/>
      <c r="D46" s="1116"/>
      <c r="E46" s="1115"/>
      <c r="F46" s="1115"/>
      <c r="G46" s="1115"/>
      <c r="H46" s="1116"/>
      <c r="I46" s="1115"/>
      <c r="J46" s="1113"/>
    </row>
    <row r="47">
      <c r="A47" s="1113"/>
      <c r="B47" s="1114"/>
      <c r="C47" s="1115"/>
      <c r="D47" s="1116"/>
      <c r="E47" s="1115"/>
      <c r="F47" s="1115"/>
      <c r="G47" s="1115"/>
      <c r="H47" s="1116"/>
      <c r="I47" s="1115"/>
      <c r="J47" s="1113"/>
    </row>
    <row r="48">
      <c r="A48" s="1113"/>
      <c r="B48" s="1114"/>
      <c r="C48" s="1115"/>
      <c r="D48" s="1116"/>
      <c r="E48" s="1115"/>
      <c r="F48" s="1115"/>
      <c r="G48" s="1115"/>
      <c r="H48" s="1116"/>
      <c r="I48" s="1115"/>
      <c r="J48" s="1113"/>
    </row>
    <row r="49">
      <c r="A49" s="1113"/>
      <c r="B49" s="1114"/>
      <c r="C49" s="1115"/>
      <c r="D49" s="1116"/>
      <c r="E49" s="1115"/>
      <c r="F49" s="1115"/>
      <c r="G49" s="1115"/>
      <c r="H49" s="1116"/>
      <c r="I49" s="1115"/>
      <c r="J49" s="1113"/>
    </row>
    <row r="50">
      <c r="A50" s="1113"/>
      <c r="B50" s="1114"/>
      <c r="C50" s="1115"/>
      <c r="D50" s="1116"/>
      <c r="E50" s="1115"/>
      <c r="F50" s="1115"/>
      <c r="G50" s="1115"/>
      <c r="H50" s="1116"/>
      <c r="I50" s="1115"/>
      <c r="J50" s="1113"/>
    </row>
    <row r="51">
      <c r="A51" s="1113"/>
      <c r="B51" s="1114"/>
      <c r="C51" s="1115"/>
      <c r="D51" s="1116"/>
      <c r="E51" s="1115"/>
      <c r="F51" s="1115"/>
      <c r="G51" s="1115"/>
      <c r="H51" s="1116"/>
      <c r="I51" s="1115"/>
      <c r="J51" s="1113"/>
    </row>
    <row r="52">
      <c r="A52" s="1113"/>
      <c r="B52" s="1114"/>
      <c r="C52" s="1115"/>
      <c r="D52" s="1116"/>
      <c r="E52" s="1115"/>
      <c r="F52" s="1115"/>
      <c r="G52" s="1115"/>
      <c r="H52" s="1116"/>
      <c r="I52" s="1115"/>
      <c r="J52" s="1113"/>
    </row>
    <row r="53">
      <c r="A53" s="1113"/>
      <c r="B53" s="1114"/>
      <c r="C53" s="1115"/>
      <c r="D53" s="1116"/>
      <c r="E53" s="1115"/>
      <c r="F53" s="1115"/>
      <c r="G53" s="1115"/>
      <c r="H53" s="1116"/>
      <c r="I53" s="1115"/>
      <c r="J53" s="1113"/>
    </row>
    <row r="54">
      <c r="A54" s="1113"/>
      <c r="B54" s="1114"/>
      <c r="C54" s="1115"/>
      <c r="D54" s="1116"/>
      <c r="E54" s="1115"/>
      <c r="F54" s="1115"/>
      <c r="G54" s="1115"/>
      <c r="H54" s="1116"/>
      <c r="I54" s="1115"/>
      <c r="J54" s="1113"/>
    </row>
    <row r="55">
      <c r="A55" s="1113"/>
      <c r="B55" s="1114"/>
      <c r="C55" s="1115"/>
      <c r="D55" s="1116"/>
      <c r="E55" s="1115"/>
      <c r="F55" s="1115"/>
      <c r="G55" s="1115"/>
      <c r="H55" s="1116"/>
      <c r="I55" s="1115"/>
      <c r="J55" s="1113"/>
    </row>
    <row r="56">
      <c r="A56" s="1113"/>
      <c r="B56" s="1114"/>
      <c r="C56" s="1115"/>
      <c r="D56" s="1116"/>
      <c r="E56" s="1115"/>
      <c r="F56" s="1115"/>
      <c r="G56" s="1115"/>
      <c r="H56" s="1116"/>
      <c r="I56" s="1115"/>
      <c r="J56" s="1113"/>
    </row>
    <row r="57">
      <c r="A57" s="1113"/>
      <c r="B57" s="1114"/>
      <c r="C57" s="1115"/>
      <c r="D57" s="1116"/>
      <c r="E57" s="1115"/>
      <c r="F57" s="1115"/>
      <c r="G57" s="1115"/>
      <c r="H57" s="1116"/>
      <c r="I57" s="1115"/>
      <c r="J57" s="1113"/>
    </row>
    <row r="58">
      <c r="A58" s="1113"/>
      <c r="B58" s="1114"/>
      <c r="C58" s="1115"/>
      <c r="D58" s="1116"/>
      <c r="E58" s="1115"/>
      <c r="F58" s="1115"/>
      <c r="G58" s="1115"/>
      <c r="H58" s="1116"/>
      <c r="I58" s="1115"/>
      <c r="J58" s="1113"/>
    </row>
    <row r="59">
      <c r="A59" s="1113"/>
      <c r="B59" s="1114"/>
      <c r="C59" s="1115"/>
      <c r="D59" s="1116"/>
      <c r="E59" s="1115"/>
      <c r="F59" s="1115"/>
      <c r="G59" s="1115"/>
      <c r="H59" s="1116"/>
      <c r="I59" s="1115"/>
      <c r="J59" s="1113"/>
    </row>
    <row r="60">
      <c r="A60" s="1113"/>
      <c r="B60" s="1114"/>
      <c r="C60" s="1115"/>
      <c r="D60" s="1116"/>
      <c r="E60" s="1115"/>
      <c r="F60" s="1115"/>
      <c r="G60" s="1115"/>
      <c r="H60" s="1116"/>
      <c r="I60" s="1115"/>
      <c r="J60" s="1113"/>
    </row>
    <row r="61">
      <c r="A61" s="1113"/>
      <c r="B61" s="1114"/>
      <c r="C61" s="1115"/>
      <c r="D61" s="1116"/>
      <c r="E61" s="1115"/>
      <c r="F61" s="1115"/>
      <c r="G61" s="1115"/>
      <c r="H61" s="1116"/>
      <c r="I61" s="1115"/>
      <c r="J61" s="1113"/>
    </row>
    <row r="62">
      <c r="A62" s="1113"/>
      <c r="B62" s="1114"/>
      <c r="C62" s="1115"/>
      <c r="D62" s="1116"/>
      <c r="E62" s="1115"/>
      <c r="F62" s="1115"/>
      <c r="G62" s="1115"/>
      <c r="H62" s="1116"/>
      <c r="I62" s="1115"/>
      <c r="J62" s="1113"/>
    </row>
    <row r="63">
      <c r="A63" s="1113"/>
      <c r="B63" s="1114"/>
      <c r="C63" s="1115"/>
      <c r="D63" s="1116"/>
      <c r="E63" s="1115"/>
      <c r="F63" s="1115"/>
      <c r="G63" s="1115"/>
      <c r="H63" s="1116"/>
      <c r="I63" s="1115"/>
      <c r="J63" s="1113"/>
    </row>
    <row r="64">
      <c r="A64" s="1113"/>
      <c r="B64" s="1114"/>
      <c r="C64" s="1115"/>
      <c r="D64" s="1116"/>
      <c r="E64" s="1115"/>
      <c r="F64" s="1115"/>
      <c r="G64" s="1115"/>
      <c r="H64" s="1116"/>
      <c r="I64" s="1115"/>
      <c r="J64" s="1113"/>
    </row>
    <row r="65">
      <c r="A65" s="1113"/>
      <c r="B65" s="1114"/>
      <c r="C65" s="1115"/>
      <c r="D65" s="1116"/>
      <c r="E65" s="1115"/>
      <c r="F65" s="1115"/>
      <c r="G65" s="1115"/>
      <c r="H65" s="1116"/>
      <c r="I65" s="1115"/>
      <c r="J65" s="1113"/>
    </row>
    <row r="66">
      <c r="A66" s="1113"/>
      <c r="B66" s="1114"/>
      <c r="C66" s="1115"/>
      <c r="D66" s="1116"/>
      <c r="E66" s="1115"/>
      <c r="F66" s="1115"/>
      <c r="G66" s="1115"/>
      <c r="H66" s="1116"/>
      <c r="I66" s="1115"/>
      <c r="J66" s="1113"/>
    </row>
    <row r="67">
      <c r="A67" s="1113"/>
      <c r="B67" s="1114"/>
      <c r="C67" s="1115"/>
      <c r="D67" s="1116"/>
      <c r="E67" s="1115"/>
      <c r="F67" s="1115"/>
      <c r="G67" s="1115"/>
      <c r="H67" s="1116"/>
      <c r="I67" s="1115"/>
      <c r="J67" s="1113"/>
    </row>
    <row r="68">
      <c r="A68" s="1113"/>
      <c r="B68" s="1114"/>
      <c r="C68" s="1115"/>
      <c r="D68" s="1116"/>
      <c r="E68" s="1115"/>
      <c r="F68" s="1115"/>
      <c r="G68" s="1115"/>
      <c r="H68" s="1116"/>
      <c r="I68" s="1115"/>
      <c r="J68" s="1113"/>
    </row>
    <row r="69">
      <c r="A69" s="1113"/>
      <c r="B69" s="1114"/>
      <c r="C69" s="1115"/>
      <c r="D69" s="1116"/>
      <c r="E69" s="1115"/>
      <c r="F69" s="1115"/>
      <c r="G69" s="1115"/>
      <c r="H69" s="1116"/>
      <c r="I69" s="1115"/>
      <c r="J69" s="1113"/>
    </row>
    <row r="70">
      <c r="A70" s="1113"/>
      <c r="B70" s="1114"/>
      <c r="C70" s="1115"/>
      <c r="D70" s="1116"/>
      <c r="E70" s="1115"/>
      <c r="F70" s="1115"/>
      <c r="G70" s="1115"/>
      <c r="H70" s="1116"/>
      <c r="I70" s="1115"/>
      <c r="J70" s="1113"/>
    </row>
    <row r="71">
      <c r="A71" s="1113"/>
      <c r="B71" s="1114"/>
      <c r="C71" s="1115"/>
      <c r="D71" s="1116"/>
      <c r="E71" s="1115"/>
      <c r="F71" s="1115"/>
      <c r="G71" s="1115"/>
      <c r="H71" s="1116"/>
      <c r="I71" s="1115"/>
      <c r="J71" s="1113"/>
    </row>
    <row r="72">
      <c r="A72" s="1113"/>
      <c r="B72" s="1114"/>
      <c r="C72" s="1115"/>
      <c r="D72" s="1116"/>
      <c r="E72" s="1115"/>
      <c r="F72" s="1115"/>
      <c r="G72" s="1115"/>
      <c r="H72" s="1116"/>
      <c r="I72" s="1115"/>
      <c r="J72" s="1113"/>
    </row>
    <row r="73">
      <c r="A73" s="1113"/>
      <c r="B73" s="1114"/>
      <c r="C73" s="1115"/>
      <c r="D73" s="1116"/>
      <c r="E73" s="1115"/>
      <c r="F73" s="1115"/>
      <c r="G73" s="1115"/>
      <c r="H73" s="1116"/>
      <c r="I73" s="1115"/>
      <c r="J73" s="1113"/>
    </row>
    <row r="74">
      <c r="A74" s="1113"/>
      <c r="B74" s="1114"/>
      <c r="C74" s="1115"/>
      <c r="D74" s="1116"/>
      <c r="E74" s="1115"/>
      <c r="F74" s="1115"/>
      <c r="G74" s="1115"/>
      <c r="H74" s="1116"/>
      <c r="I74" s="1115"/>
      <c r="J74" s="1113"/>
    </row>
    <row r="75">
      <c r="A75" s="1113"/>
      <c r="B75" s="1114"/>
      <c r="C75" s="1115"/>
      <c r="D75" s="1116"/>
      <c r="E75" s="1115"/>
      <c r="F75" s="1115"/>
      <c r="G75" s="1115"/>
      <c r="H75" s="1116"/>
      <c r="I75" s="1115"/>
      <c r="J75" s="1113"/>
    </row>
    <row r="76">
      <c r="A76" s="1113"/>
      <c r="B76" s="1114"/>
      <c r="C76" s="1115"/>
      <c r="D76" s="1116"/>
      <c r="E76" s="1115"/>
      <c r="F76" s="1115"/>
      <c r="G76" s="1115"/>
      <c r="H76" s="1116"/>
      <c r="I76" s="1115"/>
      <c r="J76" s="1113"/>
    </row>
    <row r="77">
      <c r="A77" s="1113"/>
      <c r="B77" s="1114"/>
      <c r="C77" s="1115"/>
      <c r="D77" s="1116"/>
      <c r="E77" s="1115"/>
      <c r="F77" s="1115"/>
      <c r="G77" s="1115"/>
      <c r="H77" s="1116"/>
      <c r="I77" s="1115"/>
      <c r="J77" s="1113"/>
    </row>
    <row r="78">
      <c r="A78" s="1113"/>
      <c r="B78" s="1114"/>
      <c r="C78" s="1115"/>
      <c r="D78" s="1116"/>
      <c r="E78" s="1115"/>
      <c r="F78" s="1115"/>
      <c r="G78" s="1115"/>
      <c r="H78" s="1116"/>
      <c r="I78" s="1115"/>
      <c r="J78" s="1113"/>
    </row>
    <row r="79">
      <c r="A79" s="1113"/>
      <c r="B79" s="1114"/>
      <c r="C79" s="1115"/>
      <c r="D79" s="1116"/>
      <c r="E79" s="1115"/>
      <c r="F79" s="1115"/>
      <c r="G79" s="1115"/>
      <c r="H79" s="1116"/>
      <c r="I79" s="1115"/>
      <c r="J79" s="1113"/>
    </row>
    <row r="80">
      <c r="A80" s="1113"/>
      <c r="B80" s="1114"/>
      <c r="C80" s="1115"/>
      <c r="D80" s="1116"/>
      <c r="E80" s="1115"/>
      <c r="F80" s="1115"/>
      <c r="G80" s="1115"/>
      <c r="H80" s="1116"/>
      <c r="I80" s="1115"/>
      <c r="J80" s="1113"/>
    </row>
    <row r="81">
      <c r="A81" s="1113"/>
      <c r="B81" s="1114"/>
      <c r="C81" s="1115"/>
      <c r="D81" s="1116"/>
      <c r="E81" s="1115"/>
      <c r="F81" s="1115"/>
      <c r="G81" s="1115"/>
      <c r="H81" s="1116"/>
      <c r="I81" s="1115"/>
      <c r="J81" s="1113"/>
    </row>
    <row r="82">
      <c r="A82" s="1113"/>
      <c r="B82" s="1114"/>
      <c r="C82" s="1115"/>
      <c r="D82" s="1116"/>
      <c r="E82" s="1115"/>
      <c r="F82" s="1115"/>
      <c r="G82" s="1115"/>
      <c r="H82" s="1116"/>
      <c r="I82" s="1115"/>
      <c r="J82" s="1113"/>
    </row>
    <row r="83">
      <c r="A83" s="1113"/>
      <c r="B83" s="1114"/>
      <c r="C83" s="1115"/>
      <c r="D83" s="1116"/>
      <c r="E83" s="1115"/>
      <c r="F83" s="1115"/>
      <c r="G83" s="1115"/>
      <c r="H83" s="1116"/>
      <c r="I83" s="1115"/>
      <c r="J83" s="1113"/>
    </row>
    <row r="84">
      <c r="A84" s="1113"/>
      <c r="B84" s="1114"/>
      <c r="C84" s="1115"/>
      <c r="D84" s="1116"/>
      <c r="E84" s="1115"/>
      <c r="F84" s="1115"/>
      <c r="G84" s="1115"/>
      <c r="H84" s="1116"/>
      <c r="I84" s="1115"/>
      <c r="J84" s="1113"/>
    </row>
    <row r="85">
      <c r="A85" s="1113"/>
      <c r="B85" s="1114"/>
      <c r="C85" s="1115"/>
      <c r="D85" s="1116"/>
      <c r="E85" s="1115"/>
      <c r="F85" s="1115"/>
      <c r="G85" s="1115"/>
      <c r="H85" s="1116"/>
      <c r="I85" s="1115"/>
      <c r="J85" s="1113"/>
    </row>
    <row r="86">
      <c r="A86" s="1113"/>
      <c r="B86" s="1114"/>
      <c r="C86" s="1115"/>
      <c r="D86" s="1116"/>
      <c r="E86" s="1115"/>
      <c r="F86" s="1115"/>
      <c r="G86" s="1115"/>
      <c r="H86" s="1116"/>
      <c r="I86" s="1115"/>
      <c r="J86" s="1113"/>
    </row>
    <row r="87">
      <c r="A87" s="1113"/>
      <c r="B87" s="1114"/>
      <c r="C87" s="1115"/>
      <c r="D87" s="1116"/>
      <c r="E87" s="1115"/>
      <c r="F87" s="1115"/>
      <c r="G87" s="1115"/>
      <c r="H87" s="1116"/>
      <c r="I87" s="1115"/>
      <c r="J87" s="1113"/>
    </row>
    <row r="88">
      <c r="A88" s="1113"/>
      <c r="B88" s="1114"/>
      <c r="C88" s="1115"/>
      <c r="D88" s="1116"/>
      <c r="E88" s="1115"/>
      <c r="F88" s="1115"/>
      <c r="G88" s="1115"/>
      <c r="H88" s="1116"/>
      <c r="I88" s="1115"/>
      <c r="J88" s="1113"/>
    </row>
    <row r="89">
      <c r="A89" s="1113"/>
      <c r="B89" s="1114"/>
      <c r="C89" s="1115"/>
      <c r="D89" s="1116"/>
      <c r="E89" s="1115"/>
      <c r="F89" s="1115"/>
      <c r="G89" s="1115"/>
      <c r="H89" s="1116"/>
      <c r="I89" s="1115"/>
      <c r="J89" s="1113"/>
    </row>
    <row r="90">
      <c r="A90" s="1113"/>
      <c r="B90" s="1114"/>
      <c r="C90" s="1115"/>
      <c r="D90" s="1116"/>
      <c r="E90" s="1115"/>
      <c r="F90" s="1115"/>
      <c r="G90" s="1115"/>
      <c r="H90" s="1116"/>
      <c r="I90" s="1115"/>
      <c r="J90" s="1113"/>
    </row>
    <row r="91">
      <c r="A91" s="1113"/>
      <c r="B91" s="1114"/>
      <c r="C91" s="1115"/>
      <c r="D91" s="1116"/>
      <c r="E91" s="1115"/>
      <c r="F91" s="1115"/>
      <c r="G91" s="1115"/>
      <c r="H91" s="1116"/>
      <c r="I91" s="1115"/>
      <c r="J91" s="1113"/>
    </row>
    <row r="92">
      <c r="A92" s="1113"/>
      <c r="B92" s="1114"/>
      <c r="C92" s="1115"/>
      <c r="D92" s="1116"/>
      <c r="E92" s="1115"/>
      <c r="F92" s="1115"/>
      <c r="G92" s="1115"/>
      <c r="H92" s="1116"/>
      <c r="I92" s="1115"/>
      <c r="J92" s="1113"/>
    </row>
    <row r="93">
      <c r="A93" s="1113"/>
      <c r="B93" s="1114"/>
      <c r="C93" s="1115"/>
      <c r="D93" s="1116"/>
      <c r="E93" s="1115"/>
      <c r="F93" s="1115"/>
      <c r="G93" s="1115"/>
      <c r="H93" s="1116"/>
      <c r="I93" s="1115"/>
      <c r="J93" s="1113"/>
    </row>
    <row r="94">
      <c r="A94" s="1113"/>
      <c r="B94" s="1114"/>
      <c r="C94" s="1115"/>
      <c r="D94" s="1116"/>
      <c r="E94" s="1115"/>
      <c r="F94" s="1115"/>
      <c r="G94" s="1115"/>
      <c r="H94" s="1116"/>
      <c r="I94" s="1115"/>
      <c r="J94" s="1113"/>
    </row>
    <row r="95">
      <c r="A95" s="1113"/>
      <c r="B95" s="1114"/>
      <c r="C95" s="1115"/>
      <c r="D95" s="1116"/>
      <c r="E95" s="1115"/>
      <c r="F95" s="1115"/>
      <c r="G95" s="1115"/>
      <c r="H95" s="1116"/>
      <c r="I95" s="1115"/>
      <c r="J95" s="1113"/>
    </row>
    <row r="96">
      <c r="A96" s="1113"/>
      <c r="B96" s="1114"/>
      <c r="C96" s="1115"/>
      <c r="D96" s="1116"/>
      <c r="E96" s="1115"/>
      <c r="F96" s="1115"/>
      <c r="G96" s="1115"/>
      <c r="H96" s="1116"/>
      <c r="I96" s="1115"/>
      <c r="J96" s="1113"/>
    </row>
    <row r="97">
      <c r="A97" s="1113"/>
      <c r="B97" s="1114"/>
      <c r="C97" s="1115"/>
      <c r="D97" s="1116"/>
      <c r="E97" s="1115"/>
      <c r="F97" s="1115"/>
      <c r="G97" s="1115"/>
      <c r="H97" s="1116"/>
      <c r="I97" s="1115"/>
      <c r="J97" s="1113"/>
    </row>
    <row r="98">
      <c r="A98" s="1113"/>
      <c r="B98" s="1114"/>
      <c r="C98" s="1115"/>
      <c r="D98" s="1116"/>
      <c r="E98" s="1115"/>
      <c r="F98" s="1115"/>
      <c r="G98" s="1115"/>
      <c r="H98" s="1116"/>
      <c r="I98" s="1115"/>
      <c r="J98" s="1113"/>
    </row>
    <row r="99">
      <c r="A99" s="1113"/>
      <c r="B99" s="1114"/>
      <c r="C99" s="1115"/>
      <c r="D99" s="1116"/>
      <c r="E99" s="1115"/>
      <c r="F99" s="1115"/>
      <c r="G99" s="1115"/>
      <c r="H99" s="1116"/>
      <c r="I99" s="1115"/>
      <c r="J99" s="1113"/>
    </row>
    <row r="100">
      <c r="A100" s="1113"/>
      <c r="B100" s="1114"/>
      <c r="C100" s="1115"/>
      <c r="D100" s="1116"/>
      <c r="E100" s="1115"/>
      <c r="F100" s="1115"/>
      <c r="G100" s="1115"/>
      <c r="H100" s="1116"/>
      <c r="I100" s="1115"/>
      <c r="J100" s="1113"/>
    </row>
    <row r="101">
      <c r="A101" s="1113"/>
      <c r="B101" s="1114"/>
      <c r="C101" s="1115"/>
      <c r="D101" s="1116"/>
      <c r="E101" s="1115"/>
      <c r="F101" s="1115"/>
      <c r="G101" s="1115"/>
      <c r="H101" s="1116"/>
      <c r="I101" s="1115"/>
      <c r="J101" s="1113"/>
    </row>
    <row r="102">
      <c r="A102" s="1113"/>
      <c r="B102" s="1114"/>
      <c r="C102" s="1115"/>
      <c r="D102" s="1116"/>
      <c r="E102" s="1115"/>
      <c r="F102" s="1115"/>
      <c r="G102" s="1115"/>
      <c r="H102" s="1116"/>
      <c r="I102" s="1115"/>
      <c r="J102" s="1113"/>
    </row>
    <row r="103">
      <c r="A103" s="1113"/>
      <c r="B103" s="1114"/>
      <c r="C103" s="1115"/>
      <c r="D103" s="1116"/>
      <c r="E103" s="1115"/>
      <c r="F103" s="1115"/>
      <c r="G103" s="1115"/>
      <c r="H103" s="1116"/>
      <c r="I103" s="1115"/>
      <c r="J103" s="1113"/>
    </row>
    <row r="104">
      <c r="A104" s="1113"/>
      <c r="B104" s="1114"/>
      <c r="C104" s="1115"/>
      <c r="D104" s="1116"/>
      <c r="E104" s="1115"/>
      <c r="F104" s="1115"/>
      <c r="G104" s="1115"/>
      <c r="H104" s="1116"/>
      <c r="I104" s="1115"/>
      <c r="J104" s="1113"/>
    </row>
    <row r="105">
      <c r="A105" s="1113"/>
      <c r="B105" s="1114"/>
      <c r="C105" s="1115"/>
      <c r="D105" s="1116"/>
      <c r="E105" s="1115"/>
      <c r="F105" s="1115"/>
      <c r="G105" s="1115"/>
      <c r="H105" s="1116"/>
      <c r="I105" s="1115"/>
      <c r="J105" s="1113"/>
    </row>
    <row r="106">
      <c r="A106" s="1113"/>
      <c r="B106" s="1114"/>
      <c r="C106" s="1115"/>
      <c r="D106" s="1116"/>
      <c r="E106" s="1115"/>
      <c r="F106" s="1115"/>
      <c r="G106" s="1115"/>
      <c r="H106" s="1116"/>
      <c r="I106" s="1115"/>
      <c r="J106" s="1113"/>
    </row>
    <row r="107">
      <c r="A107" s="1113"/>
      <c r="B107" s="1114"/>
      <c r="C107" s="1115"/>
      <c r="D107" s="1116"/>
      <c r="E107" s="1115"/>
      <c r="F107" s="1115"/>
      <c r="G107" s="1115"/>
      <c r="H107" s="1116"/>
      <c r="I107" s="1115"/>
      <c r="J107" s="1113"/>
    </row>
    <row r="108">
      <c r="A108" s="1113"/>
      <c r="B108" s="1114"/>
      <c r="C108" s="1115"/>
      <c r="D108" s="1116"/>
      <c r="E108" s="1115"/>
      <c r="F108" s="1115"/>
      <c r="G108" s="1115"/>
      <c r="H108" s="1116"/>
      <c r="I108" s="1115"/>
      <c r="J108" s="1113"/>
    </row>
    <row r="109">
      <c r="A109" s="1113"/>
      <c r="B109" s="1114"/>
      <c r="C109" s="1115"/>
      <c r="D109" s="1116"/>
      <c r="E109" s="1115"/>
      <c r="F109" s="1115"/>
      <c r="G109" s="1115"/>
      <c r="H109" s="1116"/>
      <c r="I109" s="1115"/>
      <c r="J109" s="1113"/>
    </row>
    <row r="110">
      <c r="A110" s="1113"/>
      <c r="B110" s="1114"/>
      <c r="C110" s="1115"/>
      <c r="D110" s="1116"/>
      <c r="E110" s="1115"/>
      <c r="F110" s="1115"/>
      <c r="G110" s="1115"/>
      <c r="H110" s="1116"/>
      <c r="I110" s="1115"/>
      <c r="J110" s="1113"/>
    </row>
    <row r="111">
      <c r="A111" s="1113"/>
      <c r="B111" s="1114"/>
      <c r="C111" s="1115"/>
      <c r="D111" s="1116"/>
      <c r="E111" s="1115"/>
      <c r="F111" s="1115"/>
      <c r="G111" s="1115"/>
      <c r="H111" s="1116"/>
      <c r="I111" s="1115"/>
      <c r="J111" s="1113"/>
    </row>
    <row r="112">
      <c r="A112" s="1113"/>
      <c r="B112" s="1114"/>
      <c r="C112" s="1115"/>
      <c r="D112" s="1116"/>
      <c r="E112" s="1115"/>
      <c r="F112" s="1115"/>
      <c r="G112" s="1115"/>
      <c r="H112" s="1116"/>
      <c r="I112" s="1115"/>
      <c r="J112" s="1113"/>
    </row>
    <row r="113">
      <c r="A113" s="1113"/>
      <c r="B113" s="1114"/>
      <c r="C113" s="1115"/>
      <c r="D113" s="1116"/>
      <c r="E113" s="1115"/>
      <c r="F113" s="1115"/>
      <c r="G113" s="1115"/>
      <c r="H113" s="1116"/>
      <c r="I113" s="1115"/>
      <c r="J113" s="1113"/>
    </row>
    <row r="114">
      <c r="A114" s="1113"/>
      <c r="B114" s="1114"/>
      <c r="C114" s="1115"/>
      <c r="D114" s="1116"/>
      <c r="E114" s="1115"/>
      <c r="F114" s="1115"/>
      <c r="G114" s="1115"/>
      <c r="H114" s="1116"/>
      <c r="I114" s="1115"/>
      <c r="J114" s="1113"/>
    </row>
    <row r="115">
      <c r="A115" s="1113"/>
      <c r="B115" s="1114"/>
      <c r="C115" s="1115"/>
      <c r="D115" s="1116"/>
      <c r="E115" s="1115"/>
      <c r="F115" s="1115"/>
      <c r="G115" s="1115"/>
      <c r="H115" s="1116"/>
      <c r="I115" s="1115"/>
      <c r="J115" s="1113"/>
    </row>
    <row r="116">
      <c r="A116" s="1113"/>
      <c r="B116" s="1114"/>
      <c r="C116" s="1115"/>
      <c r="D116" s="1116"/>
      <c r="E116" s="1115"/>
      <c r="F116" s="1115"/>
      <c r="G116" s="1115"/>
      <c r="H116" s="1116"/>
      <c r="I116" s="1115"/>
      <c r="J116" s="1113"/>
    </row>
    <row r="117">
      <c r="A117" s="1113"/>
      <c r="B117" s="1114"/>
      <c r="C117" s="1115"/>
      <c r="D117" s="1116"/>
      <c r="E117" s="1115"/>
      <c r="F117" s="1115"/>
      <c r="G117" s="1115"/>
      <c r="H117" s="1116"/>
      <c r="I117" s="1115"/>
      <c r="J117" s="1113"/>
    </row>
    <row r="118">
      <c r="A118" s="1113"/>
      <c r="B118" s="1114"/>
      <c r="C118" s="1115"/>
      <c r="D118" s="1116"/>
      <c r="E118" s="1115"/>
      <c r="F118" s="1115"/>
      <c r="G118" s="1115"/>
      <c r="H118" s="1116"/>
      <c r="I118" s="1115"/>
      <c r="J118" s="1113"/>
    </row>
    <row r="119">
      <c r="A119" s="1113"/>
      <c r="B119" s="1114"/>
      <c r="C119" s="1115"/>
      <c r="D119" s="1116"/>
      <c r="E119" s="1115"/>
      <c r="F119" s="1115"/>
      <c r="G119" s="1115"/>
      <c r="H119" s="1116"/>
      <c r="I119" s="1115"/>
      <c r="J119" s="1113"/>
    </row>
    <row r="120">
      <c r="A120" s="1113"/>
      <c r="B120" s="1114"/>
      <c r="C120" s="1115"/>
      <c r="D120" s="1116"/>
      <c r="E120" s="1115"/>
      <c r="F120" s="1115"/>
      <c r="G120" s="1115"/>
      <c r="H120" s="1116"/>
      <c r="I120" s="1115"/>
      <c r="J120" s="1113"/>
    </row>
    <row r="121">
      <c r="A121" s="1113"/>
      <c r="B121" s="1114"/>
      <c r="C121" s="1115"/>
      <c r="D121" s="1116"/>
      <c r="E121" s="1115"/>
      <c r="F121" s="1115"/>
      <c r="G121" s="1115"/>
      <c r="H121" s="1116"/>
      <c r="I121" s="1115"/>
      <c r="J121" s="1113"/>
    </row>
    <row r="122">
      <c r="A122" s="1113"/>
      <c r="B122" s="1114"/>
      <c r="C122" s="1115"/>
      <c r="D122" s="1116"/>
      <c r="E122" s="1115"/>
      <c r="F122" s="1115"/>
      <c r="G122" s="1115"/>
      <c r="H122" s="1116"/>
      <c r="I122" s="1115"/>
      <c r="J122" s="1113"/>
    </row>
    <row r="123">
      <c r="A123" s="1113"/>
      <c r="B123" s="1114"/>
      <c r="C123" s="1115"/>
      <c r="D123" s="1116"/>
      <c r="E123" s="1115"/>
      <c r="F123" s="1115"/>
      <c r="G123" s="1115"/>
      <c r="H123" s="1116"/>
      <c r="I123" s="1115"/>
      <c r="J123" s="1113"/>
    </row>
    <row r="124">
      <c r="A124" s="1113"/>
      <c r="B124" s="1114"/>
      <c r="C124" s="1115"/>
      <c r="D124" s="1116"/>
      <c r="E124" s="1115"/>
      <c r="F124" s="1115"/>
      <c r="G124" s="1115"/>
      <c r="H124" s="1116"/>
      <c r="I124" s="1115"/>
      <c r="J124" s="1113"/>
    </row>
    <row r="125">
      <c r="A125" s="1113"/>
      <c r="B125" s="1114"/>
      <c r="C125" s="1115"/>
      <c r="D125" s="1116"/>
      <c r="E125" s="1115"/>
      <c r="F125" s="1115"/>
      <c r="G125" s="1115"/>
      <c r="H125" s="1116"/>
      <c r="I125" s="1115"/>
      <c r="J125" s="1113"/>
    </row>
    <row r="126">
      <c r="A126" s="1113"/>
      <c r="B126" s="1114"/>
      <c r="C126" s="1115"/>
      <c r="D126" s="1116"/>
      <c r="E126" s="1115"/>
      <c r="F126" s="1115"/>
      <c r="G126" s="1115"/>
      <c r="H126" s="1116"/>
      <c r="I126" s="1115"/>
      <c r="J126" s="1113"/>
    </row>
    <row r="127">
      <c r="A127" s="1113"/>
      <c r="B127" s="1114"/>
      <c r="C127" s="1115"/>
      <c r="D127" s="1116"/>
      <c r="E127" s="1115"/>
      <c r="F127" s="1115"/>
      <c r="G127" s="1115"/>
      <c r="H127" s="1116"/>
      <c r="I127" s="1115"/>
      <c r="J127" s="1113"/>
    </row>
    <row r="128">
      <c r="A128" s="1113"/>
      <c r="B128" s="1114"/>
      <c r="C128" s="1115"/>
      <c r="D128" s="1116"/>
      <c r="E128" s="1115"/>
      <c r="F128" s="1115"/>
      <c r="G128" s="1115"/>
      <c r="H128" s="1116"/>
      <c r="I128" s="1115"/>
      <c r="J128" s="1113"/>
    </row>
    <row r="129">
      <c r="A129" s="1113"/>
      <c r="B129" s="1114"/>
      <c r="C129" s="1115"/>
      <c r="D129" s="1116"/>
      <c r="E129" s="1115"/>
      <c r="F129" s="1115"/>
      <c r="G129" s="1115"/>
      <c r="H129" s="1116"/>
      <c r="I129" s="1115"/>
      <c r="J129" s="1113"/>
    </row>
    <row r="130">
      <c r="A130" s="1113"/>
      <c r="B130" s="1114"/>
      <c r="C130" s="1115"/>
      <c r="D130" s="1116"/>
      <c r="E130" s="1115"/>
      <c r="F130" s="1115"/>
      <c r="G130" s="1115"/>
      <c r="H130" s="1116"/>
      <c r="I130" s="1115"/>
      <c r="J130" s="1113"/>
    </row>
    <row r="131">
      <c r="A131" s="1113"/>
      <c r="B131" s="1114"/>
      <c r="C131" s="1115"/>
      <c r="D131" s="1116"/>
      <c r="E131" s="1115"/>
      <c r="F131" s="1115"/>
      <c r="G131" s="1115"/>
      <c r="H131" s="1116"/>
      <c r="I131" s="1115"/>
      <c r="J131" s="1113"/>
    </row>
    <row r="132">
      <c r="A132" s="1113"/>
      <c r="B132" s="1114"/>
      <c r="C132" s="1115"/>
      <c r="D132" s="1116"/>
      <c r="E132" s="1115"/>
      <c r="F132" s="1115"/>
      <c r="G132" s="1115"/>
      <c r="H132" s="1116"/>
      <c r="I132" s="1115"/>
      <c r="J132" s="1113"/>
    </row>
    <row r="133">
      <c r="A133" s="1113"/>
      <c r="B133" s="1114"/>
      <c r="C133" s="1115"/>
      <c r="D133" s="1116"/>
      <c r="E133" s="1115"/>
      <c r="F133" s="1115"/>
      <c r="G133" s="1115"/>
      <c r="H133" s="1116"/>
      <c r="I133" s="1115"/>
      <c r="J133" s="1113"/>
    </row>
    <row r="134">
      <c r="A134" s="1113"/>
      <c r="B134" s="1114"/>
      <c r="C134" s="1115"/>
      <c r="D134" s="1116"/>
      <c r="E134" s="1115"/>
      <c r="F134" s="1115"/>
      <c r="G134" s="1115"/>
      <c r="H134" s="1116"/>
      <c r="I134" s="1115"/>
      <c r="J134" s="1113"/>
    </row>
    <row r="135">
      <c r="A135" s="1113"/>
      <c r="B135" s="1114"/>
      <c r="C135" s="1115"/>
      <c r="D135" s="1116"/>
      <c r="E135" s="1115"/>
      <c r="F135" s="1115"/>
      <c r="G135" s="1115"/>
      <c r="H135" s="1116"/>
      <c r="I135" s="1115"/>
      <c r="J135" s="1113"/>
    </row>
    <row r="136">
      <c r="A136" s="1113"/>
      <c r="B136" s="1114"/>
      <c r="C136" s="1115"/>
      <c r="D136" s="1116"/>
      <c r="E136" s="1115"/>
      <c r="F136" s="1115"/>
      <c r="G136" s="1115"/>
      <c r="H136" s="1116"/>
      <c r="I136" s="1115"/>
      <c r="J136" s="1113"/>
    </row>
    <row r="137">
      <c r="A137" s="1113"/>
      <c r="B137" s="1114"/>
      <c r="C137" s="1115"/>
      <c r="D137" s="1116"/>
      <c r="E137" s="1115"/>
      <c r="F137" s="1115"/>
      <c r="G137" s="1115"/>
      <c r="H137" s="1116"/>
      <c r="I137" s="1115"/>
      <c r="J137" s="1113"/>
    </row>
    <row r="138">
      <c r="A138" s="1113"/>
      <c r="B138" s="1114"/>
      <c r="C138" s="1115"/>
      <c r="D138" s="1116"/>
      <c r="E138" s="1115"/>
      <c r="F138" s="1115"/>
      <c r="G138" s="1115"/>
      <c r="H138" s="1116"/>
      <c r="I138" s="1115"/>
      <c r="J138" s="1113"/>
    </row>
    <row r="139">
      <c r="A139" s="1113"/>
      <c r="B139" s="1114"/>
      <c r="C139" s="1115"/>
      <c r="D139" s="1116"/>
      <c r="E139" s="1115"/>
      <c r="F139" s="1115"/>
      <c r="G139" s="1115"/>
      <c r="H139" s="1116"/>
      <c r="I139" s="1115"/>
      <c r="J139" s="1113"/>
    </row>
    <row r="140">
      <c r="A140" s="1113"/>
      <c r="B140" s="1114"/>
      <c r="C140" s="1115"/>
      <c r="D140" s="1116"/>
      <c r="E140" s="1115"/>
      <c r="F140" s="1115"/>
      <c r="G140" s="1115"/>
      <c r="H140" s="1116"/>
      <c r="I140" s="1115"/>
      <c r="J140" s="1113"/>
    </row>
    <row r="141">
      <c r="A141" s="1113"/>
      <c r="B141" s="1114"/>
      <c r="C141" s="1115"/>
      <c r="D141" s="1116"/>
      <c r="E141" s="1115"/>
      <c r="F141" s="1115"/>
      <c r="G141" s="1115"/>
      <c r="H141" s="1116"/>
      <c r="I141" s="1115"/>
      <c r="J141" s="1113"/>
    </row>
    <row r="142">
      <c r="A142" s="1113"/>
      <c r="B142" s="1114"/>
      <c r="C142" s="1115"/>
      <c r="D142" s="1116"/>
      <c r="E142" s="1115"/>
      <c r="F142" s="1115"/>
      <c r="G142" s="1115"/>
      <c r="H142" s="1116"/>
      <c r="I142" s="1115"/>
      <c r="J142" s="1113"/>
    </row>
    <row r="143">
      <c r="A143" s="1113"/>
      <c r="B143" s="1114"/>
      <c r="C143" s="1115"/>
      <c r="D143" s="1116"/>
      <c r="E143" s="1115"/>
      <c r="F143" s="1115"/>
      <c r="G143" s="1115"/>
      <c r="H143" s="1116"/>
      <c r="I143" s="1115"/>
      <c r="J143" s="1113"/>
    </row>
    <row r="144">
      <c r="A144" s="1113"/>
      <c r="B144" s="1114"/>
      <c r="C144" s="1115"/>
      <c r="D144" s="1116"/>
      <c r="E144" s="1115"/>
      <c r="F144" s="1115"/>
      <c r="G144" s="1115"/>
      <c r="H144" s="1116"/>
      <c r="I144" s="1115"/>
      <c r="J144" s="1113"/>
    </row>
    <row r="145">
      <c r="A145" s="1113"/>
      <c r="B145" s="1114"/>
      <c r="C145" s="1115"/>
      <c r="D145" s="1116"/>
      <c r="E145" s="1115"/>
      <c r="F145" s="1115"/>
      <c r="G145" s="1115"/>
      <c r="H145" s="1116"/>
      <c r="I145" s="1115"/>
      <c r="J145" s="1113"/>
    </row>
    <row r="146">
      <c r="A146" s="1113"/>
      <c r="B146" s="1114"/>
      <c r="C146" s="1115"/>
      <c r="D146" s="1116"/>
      <c r="E146" s="1115"/>
      <c r="F146" s="1115"/>
      <c r="G146" s="1115"/>
      <c r="H146" s="1116"/>
      <c r="I146" s="1115"/>
      <c r="J146" s="1113"/>
    </row>
    <row r="147">
      <c r="A147" s="1113"/>
      <c r="B147" s="1114"/>
      <c r="C147" s="1115"/>
      <c r="D147" s="1116"/>
      <c r="E147" s="1115"/>
      <c r="F147" s="1115"/>
      <c r="G147" s="1115"/>
      <c r="H147" s="1116"/>
      <c r="I147" s="1115"/>
      <c r="J147" s="1113"/>
    </row>
    <row r="148">
      <c r="A148" s="1113"/>
      <c r="B148" s="1114"/>
      <c r="C148" s="1115"/>
      <c r="D148" s="1116"/>
      <c r="E148" s="1115"/>
      <c r="F148" s="1115"/>
      <c r="G148" s="1115"/>
      <c r="H148" s="1116"/>
      <c r="I148" s="1115"/>
      <c r="J148" s="1113"/>
    </row>
    <row r="149">
      <c r="A149" s="1113"/>
      <c r="B149" s="1114"/>
      <c r="C149" s="1115"/>
      <c r="D149" s="1116"/>
      <c r="E149" s="1115"/>
      <c r="F149" s="1115"/>
      <c r="G149" s="1115"/>
      <c r="H149" s="1116"/>
      <c r="I149" s="1115"/>
      <c r="J149" s="1113"/>
    </row>
    <row r="150">
      <c r="A150" s="1113"/>
      <c r="B150" s="1114"/>
      <c r="C150" s="1115"/>
      <c r="D150" s="1116"/>
      <c r="E150" s="1115"/>
      <c r="F150" s="1115"/>
      <c r="G150" s="1115"/>
      <c r="H150" s="1116"/>
      <c r="I150" s="1115"/>
      <c r="J150" s="1113"/>
    </row>
    <row r="151">
      <c r="A151" s="1113"/>
      <c r="B151" s="1114"/>
      <c r="C151" s="1115"/>
      <c r="D151" s="1116"/>
      <c r="E151" s="1115"/>
      <c r="F151" s="1115"/>
      <c r="G151" s="1115"/>
      <c r="H151" s="1116"/>
      <c r="I151" s="1115"/>
      <c r="J151" s="1113"/>
    </row>
    <row r="152">
      <c r="A152" s="1113"/>
      <c r="B152" s="1114"/>
      <c r="C152" s="1115"/>
      <c r="D152" s="1116"/>
      <c r="E152" s="1115"/>
      <c r="F152" s="1115"/>
      <c r="G152" s="1115"/>
      <c r="H152" s="1116"/>
      <c r="I152" s="1115"/>
      <c r="J152" s="1113"/>
    </row>
    <row r="153">
      <c r="A153" s="1113"/>
      <c r="B153" s="1114"/>
      <c r="C153" s="1115"/>
      <c r="D153" s="1116"/>
      <c r="E153" s="1115"/>
      <c r="F153" s="1115"/>
      <c r="G153" s="1115"/>
      <c r="H153" s="1116"/>
      <c r="I153" s="1115"/>
      <c r="J153" s="1113"/>
    </row>
    <row r="154">
      <c r="A154" s="1113"/>
      <c r="B154" s="1114"/>
      <c r="C154" s="1115"/>
      <c r="D154" s="1116"/>
      <c r="E154" s="1115"/>
      <c r="F154" s="1115"/>
      <c r="G154" s="1115"/>
      <c r="H154" s="1116"/>
      <c r="I154" s="1115"/>
      <c r="J154" s="1113"/>
    </row>
    <row r="155">
      <c r="A155" s="1113"/>
      <c r="B155" s="1114"/>
      <c r="C155" s="1115"/>
      <c r="D155" s="1116"/>
      <c r="E155" s="1115"/>
      <c r="F155" s="1115"/>
      <c r="G155" s="1115"/>
      <c r="H155" s="1116"/>
      <c r="I155" s="1115"/>
      <c r="J155" s="1113"/>
    </row>
    <row r="156">
      <c r="A156" s="1113"/>
      <c r="B156" s="1114"/>
      <c r="C156" s="1115"/>
      <c r="D156" s="1116"/>
      <c r="E156" s="1115"/>
      <c r="F156" s="1115"/>
      <c r="G156" s="1115"/>
      <c r="H156" s="1116"/>
      <c r="I156" s="1115"/>
      <c r="J156" s="1113"/>
    </row>
    <row r="157">
      <c r="A157" s="1113"/>
      <c r="B157" s="1114"/>
      <c r="C157" s="1115"/>
      <c r="D157" s="1116"/>
      <c r="E157" s="1115"/>
      <c r="F157" s="1115"/>
      <c r="G157" s="1115"/>
      <c r="H157" s="1116"/>
      <c r="I157" s="1115"/>
      <c r="J157" s="1113"/>
    </row>
    <row r="158">
      <c r="A158" s="1113"/>
      <c r="B158" s="1114"/>
      <c r="C158" s="1115"/>
      <c r="D158" s="1116"/>
      <c r="E158" s="1115"/>
      <c r="F158" s="1115"/>
      <c r="G158" s="1115"/>
      <c r="H158" s="1116"/>
      <c r="I158" s="1115"/>
      <c r="J158" s="1113"/>
    </row>
    <row r="159">
      <c r="A159" s="1113"/>
      <c r="B159" s="1114"/>
      <c r="C159" s="1115"/>
      <c r="D159" s="1116"/>
      <c r="E159" s="1115"/>
      <c r="F159" s="1115"/>
      <c r="G159" s="1115"/>
      <c r="H159" s="1116"/>
      <c r="I159" s="1115"/>
      <c r="J159" s="1113"/>
    </row>
    <row r="160">
      <c r="A160" s="1113"/>
      <c r="B160" s="1114"/>
      <c r="C160" s="1115"/>
      <c r="D160" s="1116"/>
      <c r="E160" s="1115"/>
      <c r="F160" s="1115"/>
      <c r="G160" s="1115"/>
      <c r="H160" s="1116"/>
      <c r="I160" s="1115"/>
      <c r="J160" s="1113"/>
    </row>
    <row r="161">
      <c r="A161" s="1113"/>
      <c r="B161" s="1114"/>
      <c r="C161" s="1115"/>
      <c r="D161" s="1116"/>
      <c r="E161" s="1115"/>
      <c r="F161" s="1115"/>
      <c r="G161" s="1115"/>
      <c r="H161" s="1116"/>
      <c r="I161" s="1115"/>
      <c r="J161" s="1113"/>
    </row>
    <row r="162">
      <c r="A162" s="1113"/>
      <c r="B162" s="1114"/>
      <c r="C162" s="1115"/>
      <c r="D162" s="1116"/>
      <c r="E162" s="1115"/>
      <c r="F162" s="1115"/>
      <c r="G162" s="1115"/>
      <c r="H162" s="1116"/>
      <c r="I162" s="1115"/>
      <c r="J162" s="1113"/>
    </row>
    <row r="163">
      <c r="A163" s="1113"/>
      <c r="B163" s="1114"/>
      <c r="C163" s="1115"/>
      <c r="D163" s="1116"/>
      <c r="E163" s="1115"/>
      <c r="F163" s="1115"/>
      <c r="G163" s="1115"/>
      <c r="H163" s="1116"/>
      <c r="I163" s="1115"/>
      <c r="J163" s="1113"/>
    </row>
    <row r="164">
      <c r="A164" s="1113"/>
      <c r="B164" s="1114"/>
      <c r="C164" s="1115"/>
      <c r="D164" s="1116"/>
      <c r="E164" s="1115"/>
      <c r="F164" s="1115"/>
      <c r="G164" s="1115"/>
      <c r="H164" s="1116"/>
      <c r="I164" s="1115"/>
      <c r="J164" s="1113"/>
    </row>
    <row r="165">
      <c r="A165" s="1113"/>
      <c r="B165" s="1114"/>
      <c r="C165" s="1115"/>
      <c r="D165" s="1116"/>
      <c r="E165" s="1115"/>
      <c r="F165" s="1115"/>
      <c r="G165" s="1115"/>
      <c r="H165" s="1116"/>
      <c r="I165" s="1115"/>
      <c r="J165" s="1113"/>
    </row>
    <row r="166">
      <c r="A166" s="1113"/>
      <c r="B166" s="1114"/>
      <c r="C166" s="1115"/>
      <c r="D166" s="1116"/>
      <c r="E166" s="1115"/>
      <c r="F166" s="1115"/>
      <c r="G166" s="1115"/>
      <c r="H166" s="1116"/>
      <c r="I166" s="1115"/>
      <c r="J166" s="1113"/>
    </row>
    <row r="167">
      <c r="A167" s="1113"/>
      <c r="B167" s="1114"/>
      <c r="C167" s="1115"/>
      <c r="D167" s="1116"/>
      <c r="E167" s="1115"/>
      <c r="F167" s="1115"/>
      <c r="G167" s="1115"/>
      <c r="H167" s="1116"/>
      <c r="I167" s="1115"/>
      <c r="J167" s="1113"/>
    </row>
    <row r="168">
      <c r="A168" s="1113"/>
      <c r="B168" s="1114"/>
      <c r="C168" s="1115"/>
      <c r="D168" s="1116"/>
      <c r="E168" s="1115"/>
      <c r="F168" s="1115"/>
      <c r="G168" s="1115"/>
      <c r="H168" s="1116"/>
      <c r="I168" s="1115"/>
      <c r="J168" s="1113"/>
    </row>
    <row r="169">
      <c r="A169" s="1113"/>
      <c r="B169" s="1114"/>
      <c r="C169" s="1115"/>
      <c r="D169" s="1116"/>
      <c r="E169" s="1115"/>
      <c r="F169" s="1115"/>
      <c r="G169" s="1115"/>
      <c r="H169" s="1116"/>
      <c r="I169" s="1115"/>
      <c r="J169" s="1113"/>
    </row>
    <row r="170">
      <c r="A170" s="1113"/>
      <c r="B170" s="1114"/>
      <c r="C170" s="1115"/>
      <c r="D170" s="1116"/>
      <c r="E170" s="1115"/>
      <c r="F170" s="1115"/>
      <c r="G170" s="1115"/>
      <c r="H170" s="1116"/>
      <c r="I170" s="1115"/>
      <c r="J170" s="1113"/>
    </row>
    <row r="171">
      <c r="A171" s="1113"/>
      <c r="B171" s="1114"/>
      <c r="C171" s="1115"/>
      <c r="D171" s="1116"/>
      <c r="E171" s="1115"/>
      <c r="F171" s="1115"/>
      <c r="G171" s="1115"/>
      <c r="H171" s="1116"/>
      <c r="I171" s="1115"/>
      <c r="J171" s="1113"/>
    </row>
    <row r="172">
      <c r="A172" s="1113"/>
      <c r="B172" s="1114"/>
      <c r="C172" s="1115"/>
      <c r="D172" s="1116"/>
      <c r="E172" s="1115"/>
      <c r="F172" s="1115"/>
      <c r="G172" s="1115"/>
      <c r="H172" s="1116"/>
      <c r="I172" s="1115"/>
      <c r="J172" s="1113"/>
    </row>
    <row r="173">
      <c r="A173" s="1113"/>
      <c r="B173" s="1114"/>
      <c r="C173" s="1115"/>
      <c r="D173" s="1116"/>
      <c r="E173" s="1115"/>
      <c r="F173" s="1115"/>
      <c r="G173" s="1115"/>
      <c r="H173" s="1116"/>
      <c r="I173" s="1115"/>
      <c r="J173" s="1113"/>
    </row>
    <row r="174">
      <c r="A174" s="1113"/>
      <c r="B174" s="1114"/>
      <c r="C174" s="1115"/>
      <c r="D174" s="1116"/>
      <c r="E174" s="1115"/>
      <c r="F174" s="1115"/>
      <c r="G174" s="1115"/>
      <c r="H174" s="1116"/>
      <c r="I174" s="1115"/>
      <c r="J174" s="1113"/>
    </row>
    <row r="175">
      <c r="A175" s="1113"/>
      <c r="B175" s="1114"/>
      <c r="C175" s="1115"/>
      <c r="D175" s="1116"/>
      <c r="E175" s="1115"/>
      <c r="F175" s="1115"/>
      <c r="G175" s="1115"/>
      <c r="H175" s="1116"/>
      <c r="I175" s="1115"/>
      <c r="J175" s="1113"/>
    </row>
    <row r="176">
      <c r="A176" s="1113"/>
      <c r="B176" s="1114"/>
      <c r="C176" s="1115"/>
      <c r="D176" s="1116"/>
      <c r="E176" s="1115"/>
      <c r="F176" s="1115"/>
      <c r="G176" s="1115"/>
      <c r="H176" s="1116"/>
      <c r="I176" s="1115"/>
      <c r="J176" s="1113"/>
    </row>
    <row r="177">
      <c r="A177" s="1113"/>
      <c r="B177" s="1114"/>
      <c r="C177" s="1115"/>
      <c r="D177" s="1116"/>
      <c r="E177" s="1115"/>
      <c r="F177" s="1115"/>
      <c r="G177" s="1115"/>
      <c r="H177" s="1116"/>
      <c r="I177" s="1115"/>
      <c r="J177" s="1113"/>
    </row>
    <row r="178">
      <c r="A178" s="1113"/>
      <c r="B178" s="1114"/>
      <c r="C178" s="1115"/>
      <c r="D178" s="1116"/>
      <c r="E178" s="1115"/>
      <c r="F178" s="1115"/>
      <c r="G178" s="1115"/>
      <c r="H178" s="1116"/>
      <c r="I178" s="1115"/>
      <c r="J178" s="1113"/>
    </row>
    <row r="179">
      <c r="A179" s="1113"/>
      <c r="B179" s="1114"/>
      <c r="C179" s="1115"/>
      <c r="D179" s="1116"/>
      <c r="E179" s="1115"/>
      <c r="F179" s="1115"/>
      <c r="G179" s="1115"/>
      <c r="H179" s="1116"/>
      <c r="I179" s="1115"/>
      <c r="J179" s="1113"/>
    </row>
    <row r="180">
      <c r="A180" s="1113"/>
      <c r="B180" s="1114"/>
      <c r="C180" s="1115"/>
      <c r="D180" s="1116"/>
      <c r="E180" s="1115"/>
      <c r="F180" s="1115"/>
      <c r="G180" s="1115"/>
      <c r="H180" s="1116"/>
      <c r="I180" s="1115"/>
      <c r="J180" s="1113"/>
    </row>
    <row r="181">
      <c r="A181" s="1113"/>
      <c r="B181" s="1114"/>
      <c r="C181" s="1115"/>
      <c r="D181" s="1116"/>
      <c r="E181" s="1115"/>
      <c r="F181" s="1115"/>
      <c r="G181" s="1115"/>
      <c r="H181" s="1116"/>
      <c r="I181" s="1115"/>
      <c r="J181" s="1113"/>
    </row>
    <row r="182">
      <c r="A182" s="1113"/>
      <c r="B182" s="1114"/>
      <c r="C182" s="1115"/>
      <c r="D182" s="1116"/>
      <c r="E182" s="1115"/>
      <c r="F182" s="1115"/>
      <c r="G182" s="1115"/>
      <c r="H182" s="1116"/>
      <c r="I182" s="1115"/>
      <c r="J182" s="1113"/>
    </row>
    <row r="183">
      <c r="A183" s="1113"/>
      <c r="B183" s="1114"/>
      <c r="C183" s="1115"/>
      <c r="D183" s="1116"/>
      <c r="E183" s="1115"/>
      <c r="F183" s="1115"/>
      <c r="G183" s="1115"/>
      <c r="H183" s="1116"/>
      <c r="I183" s="1115"/>
      <c r="J183" s="1113"/>
    </row>
    <row r="184">
      <c r="A184" s="1113"/>
      <c r="B184" s="1114"/>
      <c r="C184" s="1115"/>
      <c r="D184" s="1116"/>
      <c r="E184" s="1115"/>
      <c r="F184" s="1115"/>
      <c r="G184" s="1115"/>
      <c r="H184" s="1116"/>
      <c r="I184" s="1115"/>
      <c r="J184" s="1113"/>
    </row>
    <row r="185">
      <c r="A185" s="1113"/>
      <c r="B185" s="1114"/>
      <c r="C185" s="1115"/>
      <c r="D185" s="1116"/>
      <c r="E185" s="1115"/>
      <c r="F185" s="1115"/>
      <c r="G185" s="1115"/>
      <c r="H185" s="1116"/>
      <c r="I185" s="1115"/>
      <c r="J185" s="1113"/>
    </row>
    <row r="186">
      <c r="A186" s="1113"/>
      <c r="B186" s="1114"/>
      <c r="C186" s="1115"/>
      <c r="D186" s="1116"/>
      <c r="E186" s="1115"/>
      <c r="F186" s="1115"/>
      <c r="G186" s="1115"/>
      <c r="H186" s="1116"/>
      <c r="I186" s="1115"/>
      <c r="J186" s="1113"/>
    </row>
    <row r="187">
      <c r="A187" s="1113"/>
      <c r="B187" s="1114"/>
      <c r="C187" s="1115"/>
      <c r="D187" s="1116"/>
      <c r="E187" s="1115"/>
      <c r="F187" s="1115"/>
      <c r="G187" s="1115"/>
      <c r="H187" s="1116"/>
      <c r="I187" s="1115"/>
      <c r="J187" s="1113"/>
    </row>
    <row r="188">
      <c r="A188" s="1113"/>
      <c r="B188" s="1114"/>
      <c r="C188" s="1115"/>
      <c r="D188" s="1116"/>
      <c r="E188" s="1115"/>
      <c r="F188" s="1115"/>
      <c r="G188" s="1115"/>
      <c r="H188" s="1116"/>
      <c r="I188" s="1115"/>
      <c r="J188" s="1113"/>
    </row>
    <row r="189">
      <c r="A189" s="1113"/>
      <c r="B189" s="1114"/>
      <c r="C189" s="1115"/>
      <c r="D189" s="1116"/>
      <c r="E189" s="1115"/>
      <c r="F189" s="1115"/>
      <c r="G189" s="1115"/>
      <c r="H189" s="1116"/>
      <c r="I189" s="1115"/>
      <c r="J189" s="1113"/>
    </row>
    <row r="190">
      <c r="A190" s="1113"/>
      <c r="B190" s="1114"/>
      <c r="C190" s="1115"/>
      <c r="D190" s="1116"/>
      <c r="E190" s="1115"/>
      <c r="F190" s="1115"/>
      <c r="G190" s="1115"/>
      <c r="H190" s="1116"/>
      <c r="I190" s="1115"/>
      <c r="J190" s="1113"/>
    </row>
    <row r="191">
      <c r="A191" s="1113"/>
      <c r="B191" s="1114"/>
      <c r="C191" s="1115"/>
      <c r="D191" s="1116"/>
      <c r="E191" s="1115"/>
      <c r="F191" s="1115"/>
      <c r="G191" s="1115"/>
      <c r="H191" s="1116"/>
      <c r="I191" s="1115"/>
      <c r="J191" s="1113"/>
    </row>
    <row r="192">
      <c r="A192" s="1113"/>
      <c r="B192" s="1114"/>
      <c r="C192" s="1115"/>
      <c r="D192" s="1116"/>
      <c r="E192" s="1115"/>
      <c r="F192" s="1115"/>
      <c r="G192" s="1115"/>
      <c r="H192" s="1116"/>
      <c r="I192" s="1115"/>
      <c r="J192" s="1113"/>
    </row>
    <row r="193">
      <c r="A193" s="1113"/>
      <c r="B193" s="1114"/>
      <c r="C193" s="1115"/>
      <c r="D193" s="1116"/>
      <c r="E193" s="1115"/>
      <c r="F193" s="1115"/>
      <c r="G193" s="1115"/>
      <c r="H193" s="1116"/>
      <c r="I193" s="1115"/>
      <c r="J193" s="1113"/>
    </row>
    <row r="194">
      <c r="A194" s="1113"/>
      <c r="B194" s="1114"/>
      <c r="C194" s="1115"/>
      <c r="D194" s="1116"/>
      <c r="E194" s="1115"/>
      <c r="F194" s="1115"/>
      <c r="G194" s="1115"/>
      <c r="H194" s="1116"/>
      <c r="I194" s="1115"/>
      <c r="J194" s="1113"/>
    </row>
    <row r="195">
      <c r="A195" s="1113"/>
      <c r="B195" s="1114"/>
      <c r="C195" s="1115"/>
      <c r="D195" s="1116"/>
      <c r="E195" s="1115"/>
      <c r="F195" s="1115"/>
      <c r="G195" s="1115"/>
      <c r="H195" s="1116"/>
      <c r="I195" s="1115"/>
      <c r="J195" s="1113"/>
    </row>
    <row r="196">
      <c r="A196" s="1113"/>
      <c r="B196" s="1114"/>
      <c r="C196" s="1115"/>
      <c r="D196" s="1116"/>
      <c r="E196" s="1115"/>
      <c r="F196" s="1115"/>
      <c r="G196" s="1115"/>
      <c r="H196" s="1116"/>
      <c r="I196" s="1115"/>
      <c r="J196" s="1113"/>
    </row>
    <row r="197">
      <c r="A197" s="1113"/>
      <c r="B197" s="1114"/>
      <c r="C197" s="1115"/>
      <c r="D197" s="1116"/>
      <c r="E197" s="1115"/>
      <c r="F197" s="1115"/>
      <c r="G197" s="1115"/>
      <c r="H197" s="1116"/>
      <c r="I197" s="1115"/>
      <c r="J197" s="1113"/>
    </row>
    <row r="198">
      <c r="A198" s="1113"/>
      <c r="B198" s="1114"/>
      <c r="C198" s="1115"/>
      <c r="D198" s="1116"/>
      <c r="E198" s="1115"/>
      <c r="F198" s="1115"/>
      <c r="G198" s="1115"/>
      <c r="H198" s="1116"/>
      <c r="I198" s="1115"/>
      <c r="J198" s="1113"/>
    </row>
    <row r="199">
      <c r="A199" s="1113"/>
      <c r="B199" s="1114"/>
      <c r="C199" s="1115"/>
      <c r="D199" s="1116"/>
      <c r="E199" s="1115"/>
      <c r="F199" s="1115"/>
      <c r="G199" s="1115"/>
      <c r="H199" s="1116"/>
      <c r="I199" s="1115"/>
      <c r="J199" s="1113"/>
    </row>
    <row r="200">
      <c r="A200" s="1113"/>
      <c r="B200" s="1114"/>
      <c r="C200" s="1115"/>
      <c r="D200" s="1116"/>
      <c r="E200" s="1115"/>
      <c r="F200" s="1115"/>
      <c r="G200" s="1115"/>
      <c r="H200" s="1116"/>
      <c r="I200" s="1115"/>
      <c r="J200" s="1113"/>
    </row>
    <row r="201">
      <c r="A201" s="1113"/>
      <c r="B201" s="1114"/>
      <c r="C201" s="1115"/>
      <c r="D201" s="1116"/>
      <c r="E201" s="1115"/>
      <c r="F201" s="1115"/>
      <c r="G201" s="1115"/>
      <c r="H201" s="1116"/>
      <c r="I201" s="1115"/>
      <c r="J201" s="1113"/>
    </row>
    <row r="202">
      <c r="A202" s="1113"/>
      <c r="B202" s="1114"/>
      <c r="C202" s="1115"/>
      <c r="D202" s="1116"/>
      <c r="E202" s="1115"/>
      <c r="F202" s="1115"/>
      <c r="G202" s="1115"/>
      <c r="H202" s="1116"/>
      <c r="I202" s="1115"/>
      <c r="J202" s="1113"/>
    </row>
    <row r="203">
      <c r="A203" s="1113"/>
      <c r="B203" s="1114"/>
      <c r="C203" s="1115"/>
      <c r="D203" s="1116"/>
      <c r="E203" s="1115"/>
      <c r="F203" s="1115"/>
      <c r="G203" s="1115"/>
      <c r="H203" s="1116"/>
      <c r="I203" s="1115"/>
      <c r="J203" s="1113"/>
    </row>
    <row r="204">
      <c r="A204" s="1113"/>
      <c r="B204" s="1114"/>
      <c r="C204" s="1115"/>
      <c r="D204" s="1116"/>
      <c r="E204" s="1115"/>
      <c r="F204" s="1115"/>
      <c r="G204" s="1115"/>
      <c r="H204" s="1116"/>
      <c r="I204" s="1115"/>
      <c r="J204" s="1113"/>
    </row>
    <row r="205">
      <c r="A205" s="1113"/>
      <c r="B205" s="1114"/>
      <c r="C205" s="1115"/>
      <c r="D205" s="1116"/>
      <c r="E205" s="1115"/>
      <c r="F205" s="1115"/>
      <c r="G205" s="1115"/>
      <c r="H205" s="1116"/>
      <c r="I205" s="1115"/>
      <c r="J205" s="1113"/>
    </row>
    <row r="206">
      <c r="A206" s="1113"/>
      <c r="B206" s="1114"/>
      <c r="C206" s="1115"/>
      <c r="D206" s="1116"/>
      <c r="E206" s="1115"/>
      <c r="F206" s="1115"/>
      <c r="G206" s="1115"/>
      <c r="H206" s="1116"/>
      <c r="I206" s="1115"/>
      <c r="J206" s="1113"/>
    </row>
    <row r="207">
      <c r="A207" s="1113"/>
      <c r="B207" s="1114"/>
      <c r="C207" s="1115"/>
      <c r="D207" s="1116"/>
      <c r="E207" s="1115"/>
      <c r="F207" s="1115"/>
      <c r="G207" s="1115"/>
      <c r="H207" s="1116"/>
      <c r="I207" s="1115"/>
      <c r="J207" s="1113"/>
    </row>
    <row r="208">
      <c r="A208" s="1113"/>
      <c r="B208" s="1114"/>
      <c r="C208" s="1115"/>
      <c r="D208" s="1116"/>
      <c r="E208" s="1115"/>
      <c r="F208" s="1115"/>
      <c r="G208" s="1115"/>
      <c r="H208" s="1116"/>
      <c r="I208" s="1115"/>
      <c r="J208" s="1113"/>
    </row>
    <row r="209">
      <c r="A209" s="1113"/>
      <c r="B209" s="1114"/>
      <c r="C209" s="1115"/>
      <c r="D209" s="1116"/>
      <c r="E209" s="1115"/>
      <c r="F209" s="1115"/>
      <c r="G209" s="1115"/>
      <c r="H209" s="1116"/>
      <c r="I209" s="1115"/>
      <c r="J209" s="1113"/>
    </row>
    <row r="210">
      <c r="A210" s="1113"/>
      <c r="B210" s="1114"/>
      <c r="C210" s="1115"/>
      <c r="D210" s="1116"/>
      <c r="E210" s="1115"/>
      <c r="F210" s="1115"/>
      <c r="G210" s="1115"/>
      <c r="H210" s="1116"/>
      <c r="I210" s="1115"/>
      <c r="J210" s="1113"/>
    </row>
    <row r="211">
      <c r="A211" s="1113"/>
      <c r="B211" s="1114"/>
      <c r="C211" s="1115"/>
      <c r="D211" s="1116"/>
      <c r="E211" s="1115"/>
      <c r="F211" s="1115"/>
      <c r="G211" s="1115"/>
      <c r="H211" s="1116"/>
      <c r="I211" s="1115"/>
      <c r="J211" s="1113"/>
    </row>
    <row r="212">
      <c r="A212" s="1113"/>
      <c r="B212" s="1114"/>
      <c r="C212" s="1115"/>
      <c r="D212" s="1116"/>
      <c r="E212" s="1115"/>
      <c r="F212" s="1115"/>
      <c r="G212" s="1115"/>
      <c r="H212" s="1116"/>
      <c r="I212" s="1115"/>
      <c r="J212" s="1113"/>
    </row>
    <row r="213">
      <c r="A213" s="1113"/>
      <c r="B213" s="1114"/>
      <c r="C213" s="1115"/>
      <c r="D213" s="1116"/>
      <c r="E213" s="1115"/>
      <c r="F213" s="1115"/>
      <c r="G213" s="1115"/>
      <c r="H213" s="1116"/>
      <c r="I213" s="1115"/>
      <c r="J213" s="1113"/>
    </row>
    <row r="214">
      <c r="A214" s="1113"/>
      <c r="B214" s="1114"/>
      <c r="C214" s="1115"/>
      <c r="D214" s="1116"/>
      <c r="E214" s="1115"/>
      <c r="F214" s="1115"/>
      <c r="G214" s="1115"/>
      <c r="H214" s="1116"/>
      <c r="I214" s="1115"/>
      <c r="J214" s="1113"/>
    </row>
    <row r="215">
      <c r="A215" s="1113"/>
      <c r="B215" s="1114"/>
      <c r="C215" s="1115"/>
      <c r="D215" s="1116"/>
      <c r="E215" s="1115"/>
      <c r="F215" s="1115"/>
      <c r="G215" s="1115"/>
      <c r="H215" s="1116"/>
      <c r="I215" s="1115"/>
      <c r="J215" s="1113"/>
    </row>
    <row r="216">
      <c r="A216" s="1113"/>
      <c r="B216" s="1114"/>
      <c r="C216" s="1115"/>
      <c r="D216" s="1116"/>
      <c r="E216" s="1115"/>
      <c r="F216" s="1115"/>
      <c r="G216" s="1115"/>
      <c r="H216" s="1116"/>
      <c r="I216" s="1115"/>
      <c r="J216" s="1113"/>
    </row>
    <row r="217">
      <c r="A217" s="1113"/>
      <c r="B217" s="1114"/>
      <c r="C217" s="1115"/>
      <c r="D217" s="1116"/>
      <c r="E217" s="1115"/>
      <c r="F217" s="1115"/>
      <c r="G217" s="1115"/>
      <c r="H217" s="1116"/>
      <c r="I217" s="1115"/>
      <c r="J217" s="1113"/>
    </row>
    <row r="218">
      <c r="A218" s="1113"/>
      <c r="B218" s="1114"/>
      <c r="C218" s="1115"/>
      <c r="D218" s="1116"/>
      <c r="E218" s="1115"/>
      <c r="F218" s="1115"/>
      <c r="G218" s="1115"/>
      <c r="H218" s="1116"/>
      <c r="I218" s="1115"/>
      <c r="J218" s="1113"/>
    </row>
    <row r="219">
      <c r="A219" s="1113"/>
      <c r="B219" s="1114"/>
      <c r="C219" s="1115"/>
      <c r="D219" s="1116"/>
      <c r="E219" s="1115"/>
      <c r="F219" s="1115"/>
      <c r="G219" s="1115"/>
      <c r="H219" s="1116"/>
      <c r="I219" s="1115"/>
      <c r="J219" s="1113"/>
    </row>
    <row r="220">
      <c r="A220" s="1113"/>
      <c r="B220" s="1114"/>
      <c r="C220" s="1115"/>
      <c r="D220" s="1116"/>
      <c r="E220" s="1115"/>
      <c r="F220" s="1115"/>
      <c r="G220" s="1115"/>
      <c r="H220" s="1116"/>
      <c r="I220" s="1115"/>
      <c r="J220" s="1113"/>
    </row>
    <row r="221">
      <c r="A221" s="1113"/>
      <c r="B221" s="1114"/>
      <c r="C221" s="1115"/>
      <c r="D221" s="1116"/>
      <c r="E221" s="1115"/>
      <c r="F221" s="1115"/>
      <c r="G221" s="1115"/>
      <c r="H221" s="1116"/>
      <c r="I221" s="1115"/>
      <c r="J221" s="1113"/>
    </row>
    <row r="222">
      <c r="A222" s="1113"/>
      <c r="B222" s="1114"/>
      <c r="C222" s="1115"/>
      <c r="D222" s="1116"/>
      <c r="E222" s="1115"/>
      <c r="F222" s="1115"/>
      <c r="G222" s="1115"/>
      <c r="H222" s="1116"/>
      <c r="I222" s="1115"/>
      <c r="J222" s="1113"/>
    </row>
    <row r="223">
      <c r="A223" s="1113"/>
      <c r="B223" s="1114"/>
      <c r="C223" s="1115"/>
      <c r="D223" s="1116"/>
      <c r="E223" s="1115"/>
      <c r="F223" s="1115"/>
      <c r="G223" s="1115"/>
      <c r="H223" s="1116"/>
      <c r="I223" s="1115"/>
      <c r="J223" s="1113"/>
    </row>
    <row r="224">
      <c r="A224" s="1113"/>
      <c r="B224" s="1114"/>
      <c r="C224" s="1115"/>
      <c r="D224" s="1116"/>
      <c r="E224" s="1115"/>
      <c r="F224" s="1115"/>
      <c r="G224" s="1115"/>
      <c r="H224" s="1116"/>
      <c r="I224" s="1115"/>
      <c r="J224" s="1113"/>
    </row>
    <row r="225">
      <c r="A225" s="1113"/>
      <c r="B225" s="1114"/>
      <c r="C225" s="1115"/>
      <c r="D225" s="1116"/>
      <c r="E225" s="1115"/>
      <c r="F225" s="1115"/>
      <c r="G225" s="1115"/>
      <c r="H225" s="1116"/>
      <c r="I225" s="1115"/>
      <c r="J225" s="1113"/>
    </row>
    <row r="226">
      <c r="A226" s="1113"/>
      <c r="B226" s="1114"/>
      <c r="C226" s="1115"/>
      <c r="D226" s="1116"/>
      <c r="E226" s="1115"/>
      <c r="F226" s="1115"/>
      <c r="G226" s="1115"/>
      <c r="H226" s="1116"/>
      <c r="I226" s="1115"/>
      <c r="J226" s="1113"/>
    </row>
    <row r="227">
      <c r="A227" s="1113"/>
      <c r="B227" s="1114"/>
      <c r="C227" s="1115"/>
      <c r="D227" s="1116"/>
      <c r="E227" s="1115"/>
      <c r="F227" s="1115"/>
      <c r="G227" s="1115"/>
      <c r="H227" s="1116"/>
      <c r="I227" s="1115"/>
      <c r="J227" s="1113"/>
    </row>
    <row r="228">
      <c r="A228" s="1113"/>
      <c r="B228" s="1114"/>
      <c r="C228" s="1115"/>
      <c r="D228" s="1116"/>
      <c r="E228" s="1115"/>
      <c r="F228" s="1115"/>
      <c r="G228" s="1115"/>
      <c r="H228" s="1116"/>
      <c r="I228" s="1115"/>
      <c r="J228" s="1113"/>
    </row>
    <row r="229">
      <c r="A229" s="1113"/>
      <c r="B229" s="1114"/>
      <c r="C229" s="1115"/>
      <c r="D229" s="1116"/>
      <c r="E229" s="1115"/>
      <c r="F229" s="1115"/>
      <c r="G229" s="1115"/>
      <c r="H229" s="1116"/>
      <c r="I229" s="1115"/>
      <c r="J229" s="1113"/>
    </row>
    <row r="230">
      <c r="A230" s="1113"/>
      <c r="B230" s="1114"/>
      <c r="C230" s="1115"/>
      <c r="D230" s="1116"/>
      <c r="E230" s="1115"/>
      <c r="F230" s="1115"/>
      <c r="G230" s="1115"/>
      <c r="H230" s="1116"/>
      <c r="I230" s="1115"/>
      <c r="J230" s="1113"/>
    </row>
    <row r="231">
      <c r="A231" s="1113"/>
      <c r="B231" s="1114"/>
      <c r="C231" s="1115"/>
      <c r="D231" s="1116"/>
      <c r="E231" s="1115"/>
      <c r="F231" s="1115"/>
      <c r="G231" s="1115"/>
      <c r="H231" s="1116"/>
      <c r="I231" s="1115"/>
      <c r="J231" s="1113"/>
    </row>
    <row r="232">
      <c r="A232" s="1113"/>
      <c r="B232" s="1114"/>
      <c r="C232" s="1115"/>
      <c r="D232" s="1116"/>
      <c r="E232" s="1115"/>
      <c r="F232" s="1115"/>
      <c r="G232" s="1115"/>
      <c r="H232" s="1116"/>
      <c r="I232" s="1115"/>
      <c r="J232" s="1113"/>
    </row>
    <row r="233">
      <c r="A233" s="1113"/>
      <c r="B233" s="1114"/>
      <c r="C233" s="1115"/>
      <c r="D233" s="1116"/>
      <c r="E233" s="1115"/>
      <c r="F233" s="1115"/>
      <c r="G233" s="1115"/>
      <c r="H233" s="1116"/>
      <c r="I233" s="1115"/>
      <c r="J233" s="1113"/>
    </row>
    <row r="234">
      <c r="A234" s="1113"/>
      <c r="B234" s="1114"/>
      <c r="C234" s="1115"/>
      <c r="D234" s="1116"/>
      <c r="E234" s="1115"/>
      <c r="F234" s="1115"/>
      <c r="G234" s="1115"/>
      <c r="H234" s="1116"/>
      <c r="I234" s="1115"/>
      <c r="J234" s="1113"/>
    </row>
    <row r="235">
      <c r="A235" s="1113"/>
      <c r="B235" s="1114"/>
      <c r="C235" s="1115"/>
      <c r="D235" s="1116"/>
      <c r="E235" s="1115"/>
      <c r="F235" s="1115"/>
      <c r="G235" s="1115"/>
      <c r="H235" s="1116"/>
      <c r="I235" s="1115"/>
      <c r="J235" s="1113"/>
    </row>
    <row r="236">
      <c r="A236" s="1113"/>
      <c r="B236" s="1114"/>
      <c r="C236" s="1115"/>
      <c r="D236" s="1116"/>
      <c r="E236" s="1115"/>
      <c r="F236" s="1115"/>
      <c r="G236" s="1115"/>
      <c r="H236" s="1116"/>
      <c r="I236" s="1115"/>
      <c r="J236" s="1113"/>
    </row>
    <row r="237">
      <c r="A237" s="1113"/>
      <c r="B237" s="1114"/>
      <c r="C237" s="1115"/>
      <c r="D237" s="1116"/>
      <c r="E237" s="1115"/>
      <c r="F237" s="1115"/>
      <c r="G237" s="1115"/>
      <c r="H237" s="1116"/>
      <c r="I237" s="1115"/>
      <c r="J237" s="1113"/>
    </row>
    <row r="238">
      <c r="A238" s="1113"/>
      <c r="B238" s="1114"/>
      <c r="C238" s="1115"/>
      <c r="D238" s="1116"/>
      <c r="E238" s="1115"/>
      <c r="F238" s="1115"/>
      <c r="G238" s="1115"/>
      <c r="H238" s="1116"/>
      <c r="I238" s="1115"/>
      <c r="J238" s="1113"/>
    </row>
    <row r="239">
      <c r="A239" s="1113"/>
      <c r="B239" s="1114"/>
      <c r="C239" s="1115"/>
      <c r="D239" s="1116"/>
      <c r="E239" s="1115"/>
      <c r="F239" s="1115"/>
      <c r="G239" s="1115"/>
      <c r="H239" s="1116"/>
      <c r="I239" s="1115"/>
      <c r="J239" s="1113"/>
    </row>
    <row r="240">
      <c r="A240" s="1113"/>
      <c r="B240" s="1114"/>
      <c r="C240" s="1115"/>
      <c r="D240" s="1116"/>
      <c r="E240" s="1115"/>
      <c r="F240" s="1115"/>
      <c r="G240" s="1115"/>
      <c r="H240" s="1116"/>
      <c r="I240" s="1115"/>
      <c r="J240" s="1113"/>
    </row>
    <row r="241">
      <c r="A241" s="1113"/>
      <c r="B241" s="1114"/>
      <c r="C241" s="1115"/>
      <c r="D241" s="1116"/>
      <c r="E241" s="1115"/>
      <c r="F241" s="1115"/>
      <c r="G241" s="1115"/>
      <c r="H241" s="1116"/>
      <c r="I241" s="1115"/>
      <c r="J241" s="1113"/>
    </row>
    <row r="242">
      <c r="A242" s="1113"/>
      <c r="B242" s="1114"/>
      <c r="C242" s="1115"/>
      <c r="D242" s="1116"/>
      <c r="E242" s="1115"/>
      <c r="F242" s="1115"/>
      <c r="G242" s="1115"/>
      <c r="H242" s="1116"/>
      <c r="I242" s="1115"/>
      <c r="J242" s="1113"/>
    </row>
    <row r="243">
      <c r="A243" s="1113"/>
      <c r="B243" s="1114"/>
      <c r="C243" s="1115"/>
      <c r="D243" s="1116"/>
      <c r="E243" s="1115"/>
      <c r="F243" s="1115"/>
      <c r="G243" s="1115"/>
      <c r="H243" s="1116"/>
      <c r="I243" s="1115"/>
      <c r="J243" s="1113"/>
    </row>
    <row r="244">
      <c r="A244" s="1113"/>
      <c r="B244" s="1114"/>
      <c r="C244" s="1115"/>
      <c r="D244" s="1116"/>
      <c r="E244" s="1115"/>
      <c r="F244" s="1115"/>
      <c r="G244" s="1115"/>
      <c r="H244" s="1116"/>
      <c r="I244" s="1115"/>
      <c r="J244" s="1113"/>
    </row>
    <row r="245">
      <c r="A245" s="1113"/>
      <c r="B245" s="1114"/>
      <c r="C245" s="1115"/>
      <c r="D245" s="1116"/>
      <c r="E245" s="1115"/>
      <c r="F245" s="1115"/>
      <c r="G245" s="1115"/>
      <c r="H245" s="1116"/>
      <c r="I245" s="1115"/>
      <c r="J245" s="1113"/>
    </row>
    <row r="246">
      <c r="A246" s="1113"/>
      <c r="B246" s="1114"/>
      <c r="C246" s="1115"/>
      <c r="D246" s="1116"/>
      <c r="E246" s="1115"/>
      <c r="F246" s="1115"/>
      <c r="G246" s="1115"/>
      <c r="H246" s="1116"/>
      <c r="I246" s="1115"/>
      <c r="J246" s="1113"/>
    </row>
    <row r="247">
      <c r="A247" s="1113"/>
      <c r="B247" s="1114"/>
      <c r="C247" s="1115"/>
      <c r="D247" s="1116"/>
      <c r="E247" s="1115"/>
      <c r="F247" s="1115"/>
      <c r="G247" s="1115"/>
      <c r="H247" s="1116"/>
      <c r="I247" s="1115"/>
      <c r="J247" s="1113"/>
    </row>
    <row r="248">
      <c r="A248" s="1113"/>
      <c r="B248" s="1114"/>
      <c r="C248" s="1115"/>
      <c r="D248" s="1116"/>
      <c r="E248" s="1115"/>
      <c r="F248" s="1115"/>
      <c r="G248" s="1115"/>
      <c r="H248" s="1116"/>
      <c r="I248" s="1115"/>
      <c r="J248" s="1113"/>
    </row>
    <row r="249">
      <c r="A249" s="1113"/>
      <c r="B249" s="1114"/>
      <c r="C249" s="1115"/>
      <c r="D249" s="1116"/>
      <c r="E249" s="1115"/>
      <c r="F249" s="1115"/>
      <c r="G249" s="1115"/>
      <c r="H249" s="1116"/>
      <c r="I249" s="1115"/>
      <c r="J249" s="1113"/>
    </row>
    <row r="250">
      <c r="A250" s="1113"/>
      <c r="B250" s="1114"/>
      <c r="C250" s="1115"/>
      <c r="D250" s="1116"/>
      <c r="E250" s="1115"/>
      <c r="F250" s="1115"/>
      <c r="G250" s="1115"/>
      <c r="H250" s="1116"/>
      <c r="I250" s="1115"/>
      <c r="J250" s="1113"/>
    </row>
    <row r="251">
      <c r="A251" s="1113"/>
      <c r="B251" s="1114"/>
      <c r="C251" s="1115"/>
      <c r="D251" s="1116"/>
      <c r="E251" s="1115"/>
      <c r="F251" s="1115"/>
      <c r="G251" s="1115"/>
      <c r="H251" s="1116"/>
      <c r="I251" s="1115"/>
      <c r="J251" s="1113"/>
    </row>
    <row r="252">
      <c r="A252" s="1113"/>
      <c r="B252" s="1114"/>
      <c r="C252" s="1115"/>
      <c r="D252" s="1116"/>
      <c r="E252" s="1115"/>
      <c r="F252" s="1115"/>
      <c r="G252" s="1115"/>
      <c r="H252" s="1116"/>
      <c r="I252" s="1115"/>
      <c r="J252" s="1113"/>
    </row>
    <row r="253">
      <c r="A253" s="1113"/>
      <c r="B253" s="1114"/>
      <c r="C253" s="1115"/>
      <c r="D253" s="1116"/>
      <c r="E253" s="1115"/>
      <c r="F253" s="1115"/>
      <c r="G253" s="1115"/>
      <c r="H253" s="1116"/>
      <c r="I253" s="1115"/>
      <c r="J253" s="1113"/>
    </row>
    <row r="254">
      <c r="A254" s="1113"/>
      <c r="B254" s="1114"/>
      <c r="C254" s="1115"/>
      <c r="D254" s="1116"/>
      <c r="E254" s="1115"/>
      <c r="F254" s="1115"/>
      <c r="G254" s="1115"/>
      <c r="H254" s="1116"/>
      <c r="I254" s="1115"/>
      <c r="J254" s="1113"/>
    </row>
    <row r="255">
      <c r="A255" s="1113"/>
      <c r="B255" s="1114"/>
      <c r="C255" s="1115"/>
      <c r="D255" s="1116"/>
      <c r="E255" s="1115"/>
      <c r="F255" s="1115"/>
      <c r="G255" s="1115"/>
      <c r="H255" s="1116"/>
      <c r="I255" s="1115"/>
      <c r="J255" s="1113"/>
    </row>
    <row r="256">
      <c r="A256" s="1113"/>
      <c r="B256" s="1114"/>
      <c r="C256" s="1115"/>
      <c r="D256" s="1116"/>
      <c r="E256" s="1115"/>
      <c r="F256" s="1115"/>
      <c r="G256" s="1115"/>
      <c r="H256" s="1116"/>
      <c r="I256" s="1115"/>
      <c r="J256" s="1113"/>
    </row>
    <row r="257">
      <c r="A257" s="1113"/>
      <c r="B257" s="1114"/>
      <c r="C257" s="1115"/>
      <c r="D257" s="1116"/>
      <c r="E257" s="1115"/>
      <c r="F257" s="1115"/>
      <c r="G257" s="1115"/>
      <c r="H257" s="1116"/>
      <c r="I257" s="1115"/>
      <c r="J257" s="1113"/>
    </row>
    <row r="258">
      <c r="A258" s="1113"/>
      <c r="B258" s="1114"/>
      <c r="C258" s="1115"/>
      <c r="D258" s="1116"/>
      <c r="E258" s="1115"/>
      <c r="F258" s="1115"/>
      <c r="G258" s="1115"/>
      <c r="H258" s="1116"/>
      <c r="I258" s="1115"/>
      <c r="J258" s="1113"/>
    </row>
    <row r="259">
      <c r="A259" s="1113"/>
      <c r="B259" s="1114"/>
      <c r="C259" s="1115"/>
      <c r="D259" s="1116"/>
      <c r="E259" s="1115"/>
      <c r="F259" s="1115"/>
      <c r="G259" s="1115"/>
      <c r="H259" s="1116"/>
      <c r="I259" s="1115"/>
      <c r="J259" s="1113"/>
    </row>
    <row r="260">
      <c r="A260" s="1113"/>
      <c r="B260" s="1114"/>
      <c r="C260" s="1115"/>
      <c r="D260" s="1116"/>
      <c r="E260" s="1115"/>
      <c r="F260" s="1115"/>
      <c r="G260" s="1115"/>
      <c r="H260" s="1116"/>
      <c r="I260" s="1115"/>
      <c r="J260" s="1113"/>
    </row>
    <row r="261">
      <c r="A261" s="1113"/>
      <c r="B261" s="1114"/>
      <c r="C261" s="1115"/>
      <c r="D261" s="1116"/>
      <c r="E261" s="1115"/>
      <c r="F261" s="1115"/>
      <c r="G261" s="1115"/>
      <c r="H261" s="1116"/>
      <c r="I261" s="1115"/>
      <c r="J261" s="1113"/>
    </row>
    <row r="262">
      <c r="A262" s="1113"/>
      <c r="B262" s="1114"/>
      <c r="C262" s="1115"/>
      <c r="D262" s="1116"/>
      <c r="E262" s="1115"/>
      <c r="F262" s="1115"/>
      <c r="G262" s="1115"/>
      <c r="H262" s="1116"/>
      <c r="I262" s="1115"/>
      <c r="J262" s="1113"/>
    </row>
    <row r="263">
      <c r="A263" s="1113"/>
      <c r="B263" s="1114"/>
      <c r="C263" s="1115"/>
      <c r="D263" s="1116"/>
      <c r="E263" s="1115"/>
      <c r="F263" s="1115"/>
      <c r="G263" s="1115"/>
      <c r="H263" s="1116"/>
      <c r="I263" s="1115"/>
      <c r="J263" s="1113"/>
    </row>
    <row r="264">
      <c r="A264" s="1113"/>
      <c r="B264" s="1114"/>
      <c r="C264" s="1115"/>
      <c r="D264" s="1116"/>
      <c r="E264" s="1115"/>
      <c r="F264" s="1115"/>
      <c r="G264" s="1115"/>
      <c r="H264" s="1116"/>
      <c r="I264" s="1115"/>
      <c r="J264" s="1113"/>
    </row>
    <row r="265">
      <c r="A265" s="1113"/>
      <c r="B265" s="1114"/>
      <c r="C265" s="1115"/>
      <c r="D265" s="1116"/>
      <c r="E265" s="1115"/>
      <c r="F265" s="1115"/>
      <c r="G265" s="1115"/>
      <c r="H265" s="1116"/>
      <c r="I265" s="1115"/>
      <c r="J265" s="1113"/>
    </row>
    <row r="266">
      <c r="A266" s="1113"/>
      <c r="B266" s="1114"/>
      <c r="C266" s="1115"/>
      <c r="D266" s="1116"/>
      <c r="E266" s="1115"/>
      <c r="F266" s="1115"/>
      <c r="G266" s="1115"/>
      <c r="H266" s="1116"/>
      <c r="I266" s="1115"/>
      <c r="J266" s="1113"/>
    </row>
    <row r="267">
      <c r="A267" s="1113"/>
      <c r="B267" s="1114"/>
      <c r="C267" s="1115"/>
      <c r="D267" s="1116"/>
      <c r="E267" s="1115"/>
      <c r="F267" s="1115"/>
      <c r="G267" s="1115"/>
      <c r="H267" s="1116"/>
      <c r="I267" s="1115"/>
      <c r="J267" s="1113"/>
    </row>
    <row r="268">
      <c r="A268" s="1113"/>
      <c r="B268" s="1114"/>
      <c r="C268" s="1115"/>
      <c r="D268" s="1116"/>
      <c r="E268" s="1115"/>
      <c r="F268" s="1115"/>
      <c r="G268" s="1115"/>
      <c r="H268" s="1116"/>
      <c r="I268" s="1115"/>
      <c r="J268" s="1113"/>
    </row>
    <row r="269">
      <c r="A269" s="1113"/>
      <c r="B269" s="1114"/>
      <c r="C269" s="1115"/>
      <c r="D269" s="1116"/>
      <c r="E269" s="1115"/>
      <c r="F269" s="1115"/>
      <c r="G269" s="1115"/>
      <c r="H269" s="1116"/>
      <c r="I269" s="1115"/>
      <c r="J269" s="1113"/>
    </row>
    <row r="270">
      <c r="A270" s="1113"/>
      <c r="B270" s="1114"/>
      <c r="C270" s="1115"/>
      <c r="D270" s="1116"/>
      <c r="E270" s="1115"/>
      <c r="F270" s="1115"/>
      <c r="G270" s="1115"/>
      <c r="H270" s="1116"/>
      <c r="I270" s="1115"/>
      <c r="J270" s="1113"/>
    </row>
    <row r="271">
      <c r="A271" s="1113"/>
      <c r="B271" s="1114"/>
      <c r="C271" s="1115"/>
      <c r="D271" s="1116"/>
      <c r="E271" s="1115"/>
      <c r="F271" s="1115"/>
      <c r="G271" s="1115"/>
      <c r="H271" s="1116"/>
      <c r="I271" s="1115"/>
      <c r="J271" s="1113"/>
    </row>
    <row r="272">
      <c r="A272" s="1113"/>
      <c r="B272" s="1114"/>
      <c r="C272" s="1115"/>
      <c r="D272" s="1116"/>
      <c r="E272" s="1115"/>
      <c r="F272" s="1115"/>
      <c r="G272" s="1115"/>
      <c r="H272" s="1116"/>
      <c r="I272" s="1115"/>
      <c r="J272" s="1113"/>
    </row>
    <row r="273">
      <c r="A273" s="1113"/>
      <c r="B273" s="1114"/>
      <c r="C273" s="1115"/>
      <c r="D273" s="1116"/>
      <c r="E273" s="1115"/>
      <c r="F273" s="1115"/>
      <c r="G273" s="1115"/>
      <c r="H273" s="1116"/>
      <c r="I273" s="1115"/>
      <c r="J273" s="1113"/>
    </row>
    <row r="274">
      <c r="A274" s="1113"/>
      <c r="B274" s="1114"/>
      <c r="C274" s="1115"/>
      <c r="D274" s="1116"/>
      <c r="E274" s="1115"/>
      <c r="F274" s="1115"/>
      <c r="G274" s="1115"/>
      <c r="H274" s="1116"/>
      <c r="I274" s="1115"/>
      <c r="J274" s="1113"/>
    </row>
    <row r="275">
      <c r="A275" s="1113"/>
      <c r="B275" s="1114"/>
      <c r="C275" s="1115"/>
      <c r="D275" s="1116"/>
      <c r="E275" s="1115"/>
      <c r="F275" s="1115"/>
      <c r="G275" s="1115"/>
      <c r="H275" s="1116"/>
      <c r="I275" s="1115"/>
      <c r="J275" s="1113"/>
    </row>
    <row r="276">
      <c r="A276" s="1113"/>
      <c r="B276" s="1114"/>
      <c r="C276" s="1115"/>
      <c r="D276" s="1116"/>
      <c r="E276" s="1115"/>
      <c r="F276" s="1115"/>
      <c r="G276" s="1115"/>
      <c r="H276" s="1116"/>
      <c r="I276" s="1115"/>
      <c r="J276" s="1113"/>
    </row>
    <row r="277">
      <c r="A277" s="1113"/>
      <c r="B277" s="1114"/>
      <c r="C277" s="1115"/>
      <c r="D277" s="1116"/>
      <c r="E277" s="1115"/>
      <c r="F277" s="1115"/>
      <c r="G277" s="1115"/>
      <c r="H277" s="1116"/>
      <c r="I277" s="1115"/>
      <c r="J277" s="1113"/>
    </row>
    <row r="278">
      <c r="A278" s="1113"/>
      <c r="B278" s="1114"/>
      <c r="C278" s="1115"/>
      <c r="D278" s="1116"/>
      <c r="E278" s="1115"/>
      <c r="F278" s="1115"/>
      <c r="G278" s="1115"/>
      <c r="H278" s="1116"/>
      <c r="I278" s="1115"/>
      <c r="J278" s="1113"/>
    </row>
    <row r="279">
      <c r="A279" s="1113"/>
      <c r="B279" s="1114"/>
      <c r="C279" s="1115"/>
      <c r="D279" s="1116"/>
      <c r="E279" s="1115"/>
      <c r="F279" s="1115"/>
      <c r="G279" s="1115"/>
      <c r="H279" s="1116"/>
      <c r="I279" s="1115"/>
      <c r="J279" s="1113"/>
    </row>
    <row r="280">
      <c r="A280" s="1113"/>
      <c r="B280" s="1114"/>
      <c r="C280" s="1115"/>
      <c r="D280" s="1116"/>
      <c r="E280" s="1115"/>
      <c r="F280" s="1115"/>
      <c r="G280" s="1115"/>
      <c r="H280" s="1116"/>
      <c r="I280" s="1115"/>
      <c r="J280" s="1113"/>
    </row>
    <row r="281">
      <c r="A281" s="1113"/>
      <c r="B281" s="1114"/>
      <c r="C281" s="1115"/>
      <c r="D281" s="1116"/>
      <c r="E281" s="1115"/>
      <c r="F281" s="1115"/>
      <c r="G281" s="1115"/>
      <c r="H281" s="1116"/>
      <c r="I281" s="1115"/>
      <c r="J281" s="1113"/>
    </row>
    <row r="282">
      <c r="A282" s="1113"/>
      <c r="B282" s="1114"/>
      <c r="C282" s="1115"/>
      <c r="D282" s="1116"/>
      <c r="E282" s="1115"/>
      <c r="F282" s="1115"/>
      <c r="G282" s="1115"/>
      <c r="H282" s="1116"/>
      <c r="I282" s="1115"/>
      <c r="J282" s="1113"/>
    </row>
    <row r="283">
      <c r="A283" s="1113"/>
      <c r="B283" s="1114"/>
      <c r="C283" s="1115"/>
      <c r="D283" s="1116"/>
      <c r="E283" s="1115"/>
      <c r="F283" s="1115"/>
      <c r="G283" s="1115"/>
      <c r="H283" s="1116"/>
      <c r="I283" s="1115"/>
      <c r="J283" s="1113"/>
    </row>
    <row r="284">
      <c r="A284" s="1113"/>
      <c r="B284" s="1114"/>
      <c r="C284" s="1115"/>
      <c r="D284" s="1116"/>
      <c r="E284" s="1115"/>
      <c r="F284" s="1115"/>
      <c r="G284" s="1115"/>
      <c r="H284" s="1116"/>
      <c r="I284" s="1115"/>
      <c r="J284" s="1113"/>
    </row>
    <row r="285">
      <c r="A285" s="1113"/>
      <c r="B285" s="1114"/>
      <c r="C285" s="1115"/>
      <c r="D285" s="1116"/>
      <c r="E285" s="1115"/>
      <c r="F285" s="1115"/>
      <c r="G285" s="1115"/>
      <c r="H285" s="1116"/>
      <c r="I285" s="1115"/>
      <c r="J285" s="1113"/>
    </row>
    <row r="286">
      <c r="A286" s="1113"/>
      <c r="B286" s="1114"/>
      <c r="C286" s="1115"/>
      <c r="D286" s="1116"/>
      <c r="E286" s="1115"/>
      <c r="F286" s="1115"/>
      <c r="G286" s="1115"/>
      <c r="H286" s="1116"/>
      <c r="I286" s="1115"/>
      <c r="J286" s="1113"/>
    </row>
    <row r="287">
      <c r="A287" s="1113"/>
      <c r="B287" s="1114"/>
      <c r="C287" s="1115"/>
      <c r="D287" s="1116"/>
      <c r="E287" s="1115"/>
      <c r="F287" s="1115"/>
      <c r="G287" s="1115"/>
      <c r="H287" s="1116"/>
      <c r="I287" s="1115"/>
      <c r="J287" s="1113"/>
    </row>
    <row r="288">
      <c r="A288" s="1113"/>
      <c r="B288" s="1114"/>
      <c r="C288" s="1115"/>
      <c r="D288" s="1116"/>
      <c r="E288" s="1115"/>
      <c r="F288" s="1115"/>
      <c r="G288" s="1115"/>
      <c r="H288" s="1116"/>
      <c r="I288" s="1115"/>
      <c r="J288" s="1113"/>
    </row>
    <row r="289">
      <c r="A289" s="1113"/>
      <c r="B289" s="1114"/>
      <c r="C289" s="1115"/>
      <c r="D289" s="1116"/>
      <c r="E289" s="1115"/>
      <c r="F289" s="1115"/>
      <c r="G289" s="1115"/>
      <c r="H289" s="1116"/>
      <c r="I289" s="1115"/>
      <c r="J289" s="1113"/>
    </row>
    <row r="290">
      <c r="A290" s="1113"/>
      <c r="B290" s="1114"/>
      <c r="C290" s="1115"/>
      <c r="D290" s="1116"/>
      <c r="E290" s="1115"/>
      <c r="F290" s="1115"/>
      <c r="G290" s="1115"/>
      <c r="H290" s="1116"/>
      <c r="I290" s="1115"/>
      <c r="J290" s="1113"/>
    </row>
    <row r="291">
      <c r="A291" s="1113"/>
      <c r="B291" s="1114"/>
      <c r="C291" s="1115"/>
      <c r="D291" s="1116"/>
      <c r="E291" s="1115"/>
      <c r="F291" s="1115"/>
      <c r="G291" s="1115"/>
      <c r="H291" s="1116"/>
      <c r="I291" s="1115"/>
      <c r="J291" s="1113"/>
    </row>
    <row r="292">
      <c r="A292" s="1113"/>
      <c r="B292" s="1114"/>
      <c r="C292" s="1115"/>
      <c r="D292" s="1116"/>
      <c r="E292" s="1115"/>
      <c r="F292" s="1115"/>
      <c r="G292" s="1115"/>
      <c r="H292" s="1116"/>
      <c r="I292" s="1115"/>
      <c r="J292" s="1113"/>
    </row>
    <row r="293">
      <c r="A293" s="1113"/>
      <c r="B293" s="1114"/>
      <c r="C293" s="1115"/>
      <c r="D293" s="1116"/>
      <c r="E293" s="1115"/>
      <c r="F293" s="1115"/>
      <c r="G293" s="1115"/>
      <c r="H293" s="1116"/>
      <c r="I293" s="1115"/>
      <c r="J293" s="1113"/>
    </row>
    <row r="294">
      <c r="A294" s="1113"/>
      <c r="B294" s="1114"/>
      <c r="C294" s="1115"/>
      <c r="D294" s="1116"/>
      <c r="E294" s="1115"/>
      <c r="F294" s="1115"/>
      <c r="G294" s="1115"/>
      <c r="H294" s="1116"/>
      <c r="I294" s="1115"/>
      <c r="J294" s="1113"/>
    </row>
    <row r="295">
      <c r="A295" s="1113"/>
      <c r="B295" s="1114"/>
      <c r="C295" s="1115"/>
      <c r="D295" s="1116"/>
      <c r="E295" s="1115"/>
      <c r="F295" s="1115"/>
      <c r="G295" s="1115"/>
      <c r="H295" s="1116"/>
      <c r="I295" s="1115"/>
      <c r="J295" s="1113"/>
    </row>
    <row r="296">
      <c r="A296" s="1113"/>
      <c r="B296" s="1114"/>
      <c r="C296" s="1115"/>
      <c r="D296" s="1116"/>
      <c r="E296" s="1115"/>
      <c r="F296" s="1115"/>
      <c r="G296" s="1115"/>
      <c r="H296" s="1116"/>
      <c r="I296" s="1115"/>
      <c r="J296" s="1113"/>
    </row>
    <row r="297">
      <c r="A297" s="1113"/>
      <c r="B297" s="1114"/>
      <c r="C297" s="1115"/>
      <c r="D297" s="1116"/>
      <c r="E297" s="1115"/>
      <c r="F297" s="1115"/>
      <c r="G297" s="1115"/>
      <c r="H297" s="1116"/>
      <c r="I297" s="1115"/>
      <c r="J297" s="1113"/>
    </row>
    <row r="298">
      <c r="A298" s="1113"/>
      <c r="B298" s="1114"/>
      <c r="C298" s="1115"/>
      <c r="D298" s="1116"/>
      <c r="E298" s="1115"/>
      <c r="F298" s="1115"/>
      <c r="G298" s="1115"/>
      <c r="H298" s="1116"/>
      <c r="I298" s="1115"/>
      <c r="J298" s="1113"/>
    </row>
    <row r="299">
      <c r="A299" s="1113"/>
      <c r="B299" s="1114"/>
      <c r="C299" s="1115"/>
      <c r="D299" s="1116"/>
      <c r="E299" s="1115"/>
      <c r="F299" s="1115"/>
      <c r="G299" s="1115"/>
      <c r="H299" s="1116"/>
      <c r="I299" s="1115"/>
      <c r="J299" s="1113"/>
    </row>
    <row r="300">
      <c r="A300" s="1113"/>
      <c r="B300" s="1114"/>
      <c r="C300" s="1115"/>
      <c r="D300" s="1116"/>
      <c r="E300" s="1115"/>
      <c r="F300" s="1115"/>
      <c r="G300" s="1115"/>
      <c r="H300" s="1116"/>
      <c r="I300" s="1115"/>
      <c r="J300" s="1113"/>
    </row>
    <row r="301">
      <c r="A301" s="1113"/>
      <c r="B301" s="1114"/>
      <c r="C301" s="1115"/>
      <c r="D301" s="1116"/>
      <c r="E301" s="1115"/>
      <c r="F301" s="1115"/>
      <c r="G301" s="1115"/>
      <c r="H301" s="1116"/>
      <c r="I301" s="1115"/>
      <c r="J301" s="1113"/>
    </row>
    <row r="302">
      <c r="A302" s="1113"/>
      <c r="B302" s="1114"/>
      <c r="C302" s="1115"/>
      <c r="D302" s="1116"/>
      <c r="E302" s="1115"/>
      <c r="F302" s="1115"/>
      <c r="G302" s="1115"/>
      <c r="H302" s="1116"/>
      <c r="I302" s="1115"/>
      <c r="J302" s="1113"/>
    </row>
    <row r="303">
      <c r="A303" s="1113"/>
      <c r="B303" s="1114"/>
      <c r="C303" s="1115"/>
      <c r="D303" s="1116"/>
      <c r="E303" s="1115"/>
      <c r="F303" s="1115"/>
      <c r="G303" s="1115"/>
      <c r="H303" s="1116"/>
      <c r="I303" s="1115"/>
      <c r="J303" s="1113"/>
    </row>
    <row r="304">
      <c r="A304" s="1113"/>
      <c r="B304" s="1114"/>
      <c r="C304" s="1115"/>
      <c r="D304" s="1116"/>
      <c r="E304" s="1115"/>
      <c r="F304" s="1115"/>
      <c r="G304" s="1115"/>
      <c r="H304" s="1116"/>
      <c r="I304" s="1115"/>
      <c r="J304" s="1113"/>
    </row>
    <row r="305">
      <c r="A305" s="1113"/>
      <c r="B305" s="1114"/>
      <c r="C305" s="1115"/>
      <c r="D305" s="1116"/>
      <c r="E305" s="1115"/>
      <c r="F305" s="1115"/>
      <c r="G305" s="1115"/>
      <c r="H305" s="1116"/>
      <c r="I305" s="1115"/>
      <c r="J305" s="1113"/>
    </row>
    <row r="306">
      <c r="A306" s="1113"/>
      <c r="B306" s="1114"/>
      <c r="C306" s="1115"/>
      <c r="D306" s="1116"/>
      <c r="E306" s="1115"/>
      <c r="F306" s="1115"/>
      <c r="G306" s="1115"/>
      <c r="H306" s="1116"/>
      <c r="I306" s="1115"/>
      <c r="J306" s="1113"/>
    </row>
    <row r="307">
      <c r="A307" s="1113"/>
      <c r="B307" s="1114"/>
      <c r="C307" s="1115"/>
      <c r="D307" s="1116"/>
      <c r="E307" s="1115"/>
      <c r="F307" s="1115"/>
      <c r="G307" s="1115"/>
      <c r="H307" s="1116"/>
      <c r="I307" s="1115"/>
      <c r="J307" s="1113"/>
    </row>
    <row r="308">
      <c r="A308" s="1113"/>
      <c r="B308" s="1114"/>
      <c r="C308" s="1115"/>
      <c r="D308" s="1116"/>
      <c r="E308" s="1115"/>
      <c r="F308" s="1115"/>
      <c r="G308" s="1115"/>
      <c r="H308" s="1116"/>
      <c r="I308" s="1115"/>
      <c r="J308" s="1113"/>
    </row>
    <row r="309">
      <c r="A309" s="1113"/>
      <c r="B309" s="1114"/>
      <c r="C309" s="1115"/>
      <c r="D309" s="1116"/>
      <c r="E309" s="1115"/>
      <c r="F309" s="1115"/>
      <c r="G309" s="1115"/>
      <c r="H309" s="1116"/>
      <c r="I309" s="1115"/>
      <c r="J309" s="1113"/>
    </row>
    <row r="310">
      <c r="A310" s="1113"/>
      <c r="B310" s="1114"/>
      <c r="C310" s="1115"/>
      <c r="D310" s="1116"/>
      <c r="E310" s="1115"/>
      <c r="F310" s="1115"/>
      <c r="G310" s="1115"/>
      <c r="H310" s="1116"/>
      <c r="I310" s="1115"/>
      <c r="J310" s="1113"/>
    </row>
    <row r="311">
      <c r="A311" s="1113"/>
      <c r="B311" s="1114"/>
      <c r="C311" s="1115"/>
      <c r="D311" s="1116"/>
      <c r="E311" s="1115"/>
      <c r="F311" s="1115"/>
      <c r="G311" s="1115"/>
      <c r="H311" s="1116"/>
      <c r="I311" s="1115"/>
      <c r="J311" s="1113"/>
    </row>
    <row r="312">
      <c r="A312" s="1113"/>
      <c r="B312" s="1114"/>
      <c r="C312" s="1115"/>
      <c r="D312" s="1116"/>
      <c r="E312" s="1115"/>
      <c r="F312" s="1115"/>
      <c r="G312" s="1115"/>
      <c r="H312" s="1116"/>
      <c r="I312" s="1115"/>
      <c r="J312" s="1113"/>
    </row>
    <row r="313">
      <c r="A313" s="1113"/>
      <c r="B313" s="1114"/>
      <c r="C313" s="1115"/>
      <c r="D313" s="1116"/>
      <c r="E313" s="1115"/>
      <c r="F313" s="1115"/>
      <c r="G313" s="1115"/>
      <c r="H313" s="1116"/>
      <c r="I313" s="1115"/>
      <c r="J313" s="1113"/>
    </row>
    <row r="314">
      <c r="A314" s="1113"/>
      <c r="B314" s="1114"/>
      <c r="C314" s="1115"/>
      <c r="D314" s="1116"/>
      <c r="E314" s="1115"/>
      <c r="F314" s="1115"/>
      <c r="G314" s="1115"/>
      <c r="H314" s="1116"/>
      <c r="I314" s="1115"/>
      <c r="J314" s="1113"/>
    </row>
    <row r="315">
      <c r="A315" s="1113"/>
      <c r="B315" s="1114"/>
      <c r="C315" s="1115"/>
      <c r="D315" s="1116"/>
      <c r="E315" s="1115"/>
      <c r="F315" s="1115"/>
      <c r="G315" s="1115"/>
      <c r="H315" s="1116"/>
      <c r="I315" s="1115"/>
      <c r="J315" s="1113"/>
    </row>
    <row r="316">
      <c r="A316" s="1113"/>
      <c r="B316" s="1114"/>
      <c r="C316" s="1115"/>
      <c r="D316" s="1116"/>
      <c r="E316" s="1115"/>
      <c r="F316" s="1115"/>
      <c r="G316" s="1115"/>
      <c r="H316" s="1116"/>
      <c r="I316" s="1115"/>
      <c r="J316" s="1113"/>
    </row>
    <row r="317">
      <c r="A317" s="1113"/>
      <c r="B317" s="1114"/>
      <c r="C317" s="1115"/>
      <c r="D317" s="1116"/>
      <c r="E317" s="1115"/>
      <c r="F317" s="1115"/>
      <c r="G317" s="1115"/>
      <c r="H317" s="1116"/>
      <c r="I317" s="1115"/>
      <c r="J317" s="1113"/>
    </row>
    <row r="318">
      <c r="A318" s="1113"/>
      <c r="B318" s="1114"/>
      <c r="C318" s="1115"/>
      <c r="D318" s="1116"/>
      <c r="E318" s="1115"/>
      <c r="F318" s="1115"/>
      <c r="G318" s="1115"/>
      <c r="H318" s="1116"/>
      <c r="I318" s="1115"/>
      <c r="J318" s="1113"/>
    </row>
    <row r="319">
      <c r="A319" s="1113"/>
      <c r="B319" s="1114"/>
      <c r="C319" s="1115"/>
      <c r="D319" s="1116"/>
      <c r="E319" s="1115"/>
      <c r="F319" s="1115"/>
      <c r="G319" s="1115"/>
      <c r="H319" s="1116"/>
      <c r="I319" s="1115"/>
      <c r="J319" s="1113"/>
    </row>
    <row r="320">
      <c r="A320" s="1113"/>
      <c r="B320" s="1114"/>
      <c r="C320" s="1115"/>
      <c r="D320" s="1116"/>
      <c r="E320" s="1115"/>
      <c r="F320" s="1115"/>
      <c r="G320" s="1115"/>
      <c r="H320" s="1116"/>
      <c r="I320" s="1115"/>
      <c r="J320" s="1113"/>
    </row>
    <row r="321">
      <c r="A321" s="1113"/>
      <c r="B321" s="1114"/>
      <c r="C321" s="1115"/>
      <c r="D321" s="1116"/>
      <c r="E321" s="1115"/>
      <c r="F321" s="1115"/>
      <c r="G321" s="1115"/>
      <c r="H321" s="1116"/>
      <c r="I321" s="1115"/>
      <c r="J321" s="1113"/>
    </row>
    <row r="322">
      <c r="A322" s="1113"/>
      <c r="B322" s="1114"/>
      <c r="C322" s="1115"/>
      <c r="D322" s="1116"/>
      <c r="E322" s="1115"/>
      <c r="F322" s="1115"/>
      <c r="G322" s="1115"/>
      <c r="H322" s="1116"/>
      <c r="I322" s="1115"/>
      <c r="J322" s="1113"/>
    </row>
    <row r="323">
      <c r="A323" s="1113"/>
      <c r="B323" s="1114"/>
      <c r="C323" s="1115"/>
      <c r="D323" s="1116"/>
      <c r="E323" s="1115"/>
      <c r="F323" s="1115"/>
      <c r="G323" s="1115"/>
      <c r="H323" s="1116"/>
      <c r="I323" s="1115"/>
      <c r="J323" s="1113"/>
    </row>
    <row r="324">
      <c r="A324" s="1113"/>
      <c r="B324" s="1114"/>
      <c r="C324" s="1115"/>
      <c r="D324" s="1116"/>
      <c r="E324" s="1115"/>
      <c r="F324" s="1115"/>
      <c r="G324" s="1115"/>
      <c r="H324" s="1116"/>
      <c r="I324" s="1115"/>
      <c r="J324" s="1113"/>
    </row>
    <row r="325">
      <c r="A325" s="1113"/>
      <c r="B325" s="1114"/>
      <c r="C325" s="1115"/>
      <c r="D325" s="1116"/>
      <c r="E325" s="1115"/>
      <c r="F325" s="1115"/>
      <c r="G325" s="1115"/>
      <c r="H325" s="1116"/>
      <c r="I325" s="1115"/>
      <c r="J325" s="1113"/>
    </row>
    <row r="326">
      <c r="A326" s="1113"/>
      <c r="B326" s="1114"/>
      <c r="C326" s="1115"/>
      <c r="D326" s="1116"/>
      <c r="E326" s="1115"/>
      <c r="F326" s="1115"/>
      <c r="G326" s="1115"/>
      <c r="H326" s="1116"/>
      <c r="I326" s="1115"/>
      <c r="J326" s="1113"/>
    </row>
    <row r="327">
      <c r="A327" s="1113"/>
      <c r="B327" s="1114"/>
      <c r="C327" s="1115"/>
      <c r="D327" s="1116"/>
      <c r="E327" s="1115"/>
      <c r="F327" s="1115"/>
      <c r="G327" s="1115"/>
      <c r="H327" s="1116"/>
      <c r="I327" s="1115"/>
      <c r="J327" s="1113"/>
    </row>
    <row r="328">
      <c r="A328" s="1113"/>
      <c r="B328" s="1114"/>
      <c r="C328" s="1115"/>
      <c r="D328" s="1116"/>
      <c r="E328" s="1115"/>
      <c r="F328" s="1115"/>
      <c r="G328" s="1115"/>
      <c r="H328" s="1116"/>
      <c r="I328" s="1115"/>
      <c r="J328" s="1113"/>
    </row>
    <row r="329">
      <c r="A329" s="1113"/>
      <c r="B329" s="1114"/>
      <c r="C329" s="1115"/>
      <c r="D329" s="1116"/>
      <c r="E329" s="1115"/>
      <c r="F329" s="1115"/>
      <c r="G329" s="1115"/>
      <c r="H329" s="1116"/>
      <c r="I329" s="1115"/>
      <c r="J329" s="1113"/>
    </row>
    <row r="330">
      <c r="A330" s="1113"/>
      <c r="B330" s="1114"/>
      <c r="C330" s="1115"/>
      <c r="D330" s="1116"/>
      <c r="E330" s="1115"/>
      <c r="F330" s="1115"/>
      <c r="G330" s="1115"/>
      <c r="H330" s="1116"/>
      <c r="I330" s="1115"/>
      <c r="J330" s="1113"/>
    </row>
    <row r="331">
      <c r="A331" s="1113"/>
      <c r="B331" s="1114"/>
      <c r="C331" s="1115"/>
      <c r="D331" s="1116"/>
      <c r="E331" s="1115"/>
      <c r="F331" s="1115"/>
      <c r="G331" s="1115"/>
      <c r="H331" s="1116"/>
      <c r="I331" s="1115"/>
      <c r="J331" s="1113"/>
    </row>
    <row r="332">
      <c r="A332" s="1113"/>
      <c r="B332" s="1114"/>
      <c r="C332" s="1115"/>
      <c r="D332" s="1116"/>
      <c r="E332" s="1115"/>
      <c r="F332" s="1115"/>
      <c r="G332" s="1115"/>
      <c r="H332" s="1116"/>
      <c r="I332" s="1115"/>
      <c r="J332" s="1113"/>
    </row>
    <row r="333">
      <c r="A333" s="1113"/>
      <c r="B333" s="1114"/>
      <c r="C333" s="1115"/>
      <c r="D333" s="1116"/>
      <c r="E333" s="1115"/>
      <c r="F333" s="1115"/>
      <c r="G333" s="1115"/>
      <c r="H333" s="1116"/>
      <c r="I333" s="1115"/>
      <c r="J333" s="1113"/>
    </row>
    <row r="334">
      <c r="A334" s="1113"/>
      <c r="B334" s="1114"/>
      <c r="C334" s="1115"/>
      <c r="D334" s="1116"/>
      <c r="E334" s="1115"/>
      <c r="F334" s="1115"/>
      <c r="G334" s="1115"/>
      <c r="H334" s="1116"/>
      <c r="I334" s="1115"/>
      <c r="J334" s="1113"/>
    </row>
    <row r="335">
      <c r="A335" s="1113"/>
      <c r="B335" s="1114"/>
      <c r="C335" s="1115"/>
      <c r="D335" s="1116"/>
      <c r="E335" s="1115"/>
      <c r="F335" s="1115"/>
      <c r="G335" s="1115"/>
      <c r="H335" s="1116"/>
      <c r="I335" s="1115"/>
      <c r="J335" s="1113"/>
    </row>
    <row r="336">
      <c r="A336" s="1113"/>
      <c r="B336" s="1114"/>
      <c r="C336" s="1115"/>
      <c r="D336" s="1116"/>
      <c r="E336" s="1115"/>
      <c r="F336" s="1115"/>
      <c r="G336" s="1115"/>
      <c r="H336" s="1116"/>
      <c r="I336" s="1115"/>
      <c r="J336" s="1113"/>
    </row>
    <row r="337">
      <c r="A337" s="1113"/>
      <c r="B337" s="1114"/>
      <c r="C337" s="1115"/>
      <c r="D337" s="1116"/>
      <c r="E337" s="1115"/>
      <c r="F337" s="1115"/>
      <c r="G337" s="1115"/>
      <c r="H337" s="1116"/>
      <c r="I337" s="1115"/>
      <c r="J337" s="1113"/>
    </row>
    <row r="338">
      <c r="A338" s="1113"/>
      <c r="B338" s="1114"/>
      <c r="C338" s="1115"/>
      <c r="D338" s="1116"/>
      <c r="E338" s="1115"/>
      <c r="F338" s="1115"/>
      <c r="G338" s="1115"/>
      <c r="H338" s="1116"/>
      <c r="I338" s="1115"/>
      <c r="J338" s="1113"/>
    </row>
    <row r="339">
      <c r="A339" s="1113"/>
      <c r="B339" s="1114"/>
      <c r="C339" s="1115"/>
      <c r="D339" s="1116"/>
      <c r="E339" s="1115"/>
      <c r="F339" s="1115"/>
      <c r="G339" s="1115"/>
      <c r="H339" s="1116"/>
      <c r="I339" s="1115"/>
      <c r="J339" s="1113"/>
    </row>
    <row r="340">
      <c r="A340" s="1113"/>
      <c r="B340" s="1114"/>
      <c r="C340" s="1115"/>
      <c r="D340" s="1116"/>
      <c r="E340" s="1115"/>
      <c r="F340" s="1115"/>
      <c r="G340" s="1115"/>
      <c r="H340" s="1116"/>
      <c r="I340" s="1115"/>
      <c r="J340" s="1113"/>
    </row>
    <row r="341">
      <c r="A341" s="1113"/>
      <c r="B341" s="1114"/>
      <c r="C341" s="1115"/>
      <c r="D341" s="1116"/>
      <c r="E341" s="1115"/>
      <c r="F341" s="1115"/>
      <c r="G341" s="1115"/>
      <c r="H341" s="1116"/>
      <c r="I341" s="1115"/>
      <c r="J341" s="1113"/>
    </row>
    <row r="342">
      <c r="A342" s="1113"/>
      <c r="B342" s="1114"/>
      <c r="C342" s="1115"/>
      <c r="D342" s="1116"/>
      <c r="E342" s="1115"/>
      <c r="F342" s="1115"/>
      <c r="G342" s="1115"/>
      <c r="H342" s="1116"/>
      <c r="I342" s="1115"/>
      <c r="J342" s="1113"/>
    </row>
    <row r="343">
      <c r="A343" s="1113"/>
      <c r="B343" s="1114"/>
      <c r="C343" s="1115"/>
      <c r="D343" s="1116"/>
      <c r="E343" s="1115"/>
      <c r="F343" s="1115"/>
      <c r="G343" s="1115"/>
      <c r="H343" s="1116"/>
      <c r="I343" s="1115"/>
      <c r="J343" s="1113"/>
    </row>
    <row r="344">
      <c r="A344" s="1113"/>
      <c r="B344" s="1114"/>
      <c r="C344" s="1115"/>
      <c r="D344" s="1116"/>
      <c r="E344" s="1115"/>
      <c r="F344" s="1115"/>
      <c r="G344" s="1115"/>
      <c r="H344" s="1116"/>
      <c r="I344" s="1115"/>
      <c r="J344" s="1113"/>
    </row>
    <row r="345">
      <c r="A345" s="1113"/>
      <c r="B345" s="1114"/>
      <c r="C345" s="1115"/>
      <c r="D345" s="1116"/>
      <c r="E345" s="1115"/>
      <c r="F345" s="1115"/>
      <c r="G345" s="1115"/>
      <c r="H345" s="1116"/>
      <c r="I345" s="1115"/>
      <c r="J345" s="1113"/>
    </row>
    <row r="346">
      <c r="A346" s="1113"/>
      <c r="B346" s="1114"/>
      <c r="C346" s="1115"/>
      <c r="D346" s="1116"/>
      <c r="E346" s="1115"/>
      <c r="F346" s="1115"/>
      <c r="G346" s="1115"/>
      <c r="H346" s="1116"/>
      <c r="I346" s="1115"/>
      <c r="J346" s="1113"/>
    </row>
    <row r="347">
      <c r="A347" s="1113"/>
      <c r="B347" s="1114"/>
      <c r="C347" s="1115"/>
      <c r="D347" s="1116"/>
      <c r="E347" s="1115"/>
      <c r="F347" s="1115"/>
      <c r="G347" s="1115"/>
      <c r="H347" s="1116"/>
      <c r="I347" s="1115"/>
      <c r="J347" s="1113"/>
    </row>
    <row r="348">
      <c r="A348" s="1113"/>
      <c r="B348" s="1114"/>
      <c r="C348" s="1115"/>
      <c r="D348" s="1116"/>
      <c r="E348" s="1115"/>
      <c r="F348" s="1115"/>
      <c r="G348" s="1115"/>
      <c r="H348" s="1116"/>
      <c r="I348" s="1115"/>
      <c r="J348" s="1113"/>
    </row>
    <row r="349">
      <c r="A349" s="1113"/>
      <c r="B349" s="1114"/>
      <c r="C349" s="1115"/>
      <c r="D349" s="1116"/>
      <c r="E349" s="1115"/>
      <c r="F349" s="1115"/>
      <c r="G349" s="1115"/>
      <c r="H349" s="1116"/>
      <c r="I349" s="1115"/>
      <c r="J349" s="1113"/>
    </row>
    <row r="350">
      <c r="A350" s="1113"/>
      <c r="B350" s="1114"/>
      <c r="C350" s="1115"/>
      <c r="D350" s="1116"/>
      <c r="E350" s="1115"/>
      <c r="F350" s="1115"/>
      <c r="G350" s="1115"/>
      <c r="H350" s="1116"/>
      <c r="I350" s="1115"/>
      <c r="J350" s="1113"/>
    </row>
    <row r="351">
      <c r="A351" s="1113"/>
      <c r="B351" s="1114"/>
      <c r="C351" s="1115"/>
      <c r="D351" s="1116"/>
      <c r="E351" s="1115"/>
      <c r="F351" s="1115"/>
      <c r="G351" s="1115"/>
      <c r="H351" s="1116"/>
      <c r="I351" s="1115"/>
      <c r="J351" s="1113"/>
    </row>
    <row r="352">
      <c r="A352" s="1113"/>
      <c r="B352" s="1114"/>
      <c r="C352" s="1115"/>
      <c r="D352" s="1116"/>
      <c r="E352" s="1115"/>
      <c r="F352" s="1115"/>
      <c r="G352" s="1115"/>
      <c r="H352" s="1116"/>
      <c r="I352" s="1115"/>
      <c r="J352" s="1113"/>
    </row>
    <row r="353">
      <c r="A353" s="1113"/>
      <c r="B353" s="1114"/>
      <c r="C353" s="1115"/>
      <c r="D353" s="1116"/>
      <c r="E353" s="1115"/>
      <c r="F353" s="1115"/>
      <c r="G353" s="1115"/>
      <c r="H353" s="1116"/>
      <c r="I353" s="1115"/>
      <c r="J353" s="1113"/>
    </row>
    <row r="354">
      <c r="A354" s="1113"/>
      <c r="B354" s="1114"/>
      <c r="C354" s="1115"/>
      <c r="D354" s="1116"/>
      <c r="E354" s="1115"/>
      <c r="F354" s="1115"/>
      <c r="G354" s="1115"/>
      <c r="H354" s="1116"/>
      <c r="I354" s="1115"/>
      <c r="J354" s="1113"/>
    </row>
    <row r="355">
      <c r="A355" s="1113"/>
      <c r="B355" s="1114"/>
      <c r="C355" s="1115"/>
      <c r="D355" s="1116"/>
      <c r="E355" s="1115"/>
      <c r="F355" s="1115"/>
      <c r="G355" s="1115"/>
      <c r="H355" s="1116"/>
      <c r="I355" s="1115"/>
      <c r="J355" s="1113"/>
    </row>
    <row r="356">
      <c r="A356" s="1113"/>
      <c r="B356" s="1114"/>
      <c r="C356" s="1115"/>
      <c r="D356" s="1116"/>
      <c r="E356" s="1115"/>
      <c r="F356" s="1115"/>
      <c r="G356" s="1115"/>
      <c r="H356" s="1116"/>
      <c r="I356" s="1115"/>
      <c r="J356" s="1113"/>
    </row>
    <row r="357">
      <c r="A357" s="1113"/>
      <c r="B357" s="1114"/>
      <c r="C357" s="1115"/>
      <c r="D357" s="1116"/>
      <c r="E357" s="1115"/>
      <c r="F357" s="1115"/>
      <c r="G357" s="1115"/>
      <c r="H357" s="1116"/>
      <c r="I357" s="1115"/>
      <c r="J357" s="1113"/>
    </row>
    <row r="358">
      <c r="A358" s="1113"/>
      <c r="B358" s="1114"/>
      <c r="C358" s="1115"/>
      <c r="D358" s="1116"/>
      <c r="E358" s="1115"/>
      <c r="F358" s="1115"/>
      <c r="G358" s="1115"/>
      <c r="H358" s="1116"/>
      <c r="I358" s="1115"/>
      <c r="J358" s="1113"/>
    </row>
    <row r="359">
      <c r="A359" s="1113"/>
      <c r="B359" s="1114"/>
      <c r="C359" s="1115"/>
      <c r="D359" s="1116"/>
      <c r="E359" s="1115"/>
      <c r="F359" s="1115"/>
      <c r="G359" s="1115"/>
      <c r="H359" s="1116"/>
      <c r="I359" s="1115"/>
      <c r="J359" s="1113"/>
    </row>
    <row r="360">
      <c r="A360" s="1113"/>
      <c r="B360" s="1114"/>
      <c r="C360" s="1115"/>
      <c r="D360" s="1116"/>
      <c r="E360" s="1115"/>
      <c r="F360" s="1115"/>
      <c r="G360" s="1115"/>
      <c r="H360" s="1116"/>
      <c r="I360" s="1115"/>
      <c r="J360" s="1113"/>
    </row>
    <row r="361">
      <c r="A361" s="1113"/>
      <c r="B361" s="1114"/>
      <c r="C361" s="1115"/>
      <c r="D361" s="1116"/>
      <c r="E361" s="1115"/>
      <c r="F361" s="1115"/>
      <c r="G361" s="1115"/>
      <c r="H361" s="1116"/>
      <c r="I361" s="1115"/>
      <c r="J361" s="1113"/>
    </row>
    <row r="362">
      <c r="A362" s="1113"/>
      <c r="B362" s="1114"/>
      <c r="C362" s="1115"/>
      <c r="D362" s="1116"/>
      <c r="E362" s="1115"/>
      <c r="F362" s="1115"/>
      <c r="G362" s="1115"/>
      <c r="H362" s="1116"/>
      <c r="I362" s="1115"/>
      <c r="J362" s="1113"/>
    </row>
    <row r="363">
      <c r="A363" s="1113"/>
      <c r="B363" s="1114"/>
      <c r="C363" s="1115"/>
      <c r="D363" s="1116"/>
      <c r="E363" s="1115"/>
      <c r="F363" s="1115"/>
      <c r="G363" s="1115"/>
      <c r="H363" s="1116"/>
      <c r="I363" s="1115"/>
      <c r="J363" s="1113"/>
    </row>
    <row r="364">
      <c r="A364" s="1113"/>
      <c r="B364" s="1114"/>
      <c r="C364" s="1115"/>
      <c r="D364" s="1116"/>
      <c r="E364" s="1115"/>
      <c r="F364" s="1115"/>
      <c r="G364" s="1115"/>
      <c r="H364" s="1116"/>
      <c r="I364" s="1115"/>
      <c r="J364" s="1113"/>
    </row>
    <row r="365">
      <c r="A365" s="1113"/>
      <c r="B365" s="1114"/>
      <c r="C365" s="1115"/>
      <c r="D365" s="1116"/>
      <c r="E365" s="1115"/>
      <c r="F365" s="1115"/>
      <c r="G365" s="1115"/>
      <c r="H365" s="1116"/>
      <c r="I365" s="1115"/>
      <c r="J365" s="1113"/>
    </row>
    <row r="366">
      <c r="A366" s="1113"/>
      <c r="B366" s="1114"/>
      <c r="C366" s="1115"/>
      <c r="D366" s="1116"/>
      <c r="E366" s="1115"/>
      <c r="F366" s="1115"/>
      <c r="G366" s="1115"/>
      <c r="H366" s="1116"/>
      <c r="I366" s="1115"/>
      <c r="J366" s="1113"/>
    </row>
    <row r="367">
      <c r="A367" s="1113"/>
      <c r="B367" s="1114"/>
      <c r="C367" s="1115"/>
      <c r="D367" s="1116"/>
      <c r="E367" s="1115"/>
      <c r="F367" s="1115"/>
      <c r="G367" s="1115"/>
      <c r="H367" s="1116"/>
      <c r="I367" s="1115"/>
      <c r="J367" s="1113"/>
    </row>
    <row r="368">
      <c r="A368" s="1113"/>
      <c r="B368" s="1114"/>
      <c r="C368" s="1115"/>
      <c r="D368" s="1116"/>
      <c r="E368" s="1115"/>
      <c r="F368" s="1115"/>
      <c r="G368" s="1115"/>
      <c r="H368" s="1116"/>
      <c r="I368" s="1115"/>
      <c r="J368" s="1113"/>
    </row>
    <row r="369">
      <c r="A369" s="1113"/>
      <c r="B369" s="1114"/>
      <c r="C369" s="1115"/>
      <c r="D369" s="1116"/>
      <c r="E369" s="1115"/>
      <c r="F369" s="1115"/>
      <c r="G369" s="1115"/>
      <c r="H369" s="1116"/>
      <c r="I369" s="1115"/>
      <c r="J369" s="1113"/>
    </row>
    <row r="370">
      <c r="A370" s="1113"/>
      <c r="B370" s="1114"/>
      <c r="C370" s="1115"/>
      <c r="D370" s="1116"/>
      <c r="E370" s="1115"/>
      <c r="F370" s="1115"/>
      <c r="G370" s="1115"/>
      <c r="H370" s="1116"/>
      <c r="I370" s="1115"/>
      <c r="J370" s="1113"/>
    </row>
    <row r="371">
      <c r="A371" s="1113"/>
      <c r="B371" s="1114"/>
      <c r="C371" s="1115"/>
      <c r="D371" s="1116"/>
      <c r="E371" s="1115"/>
      <c r="F371" s="1115"/>
      <c r="G371" s="1115"/>
      <c r="H371" s="1116"/>
      <c r="I371" s="1115"/>
      <c r="J371" s="1113"/>
    </row>
    <row r="372">
      <c r="A372" s="1113"/>
      <c r="B372" s="1114"/>
      <c r="C372" s="1115"/>
      <c r="D372" s="1116"/>
      <c r="E372" s="1115"/>
      <c r="F372" s="1115"/>
      <c r="G372" s="1115"/>
      <c r="H372" s="1116"/>
      <c r="I372" s="1115"/>
      <c r="J372" s="1113"/>
    </row>
    <row r="373">
      <c r="A373" s="1113"/>
      <c r="B373" s="1114"/>
      <c r="C373" s="1115"/>
      <c r="D373" s="1116"/>
      <c r="E373" s="1115"/>
      <c r="F373" s="1115"/>
      <c r="G373" s="1115"/>
      <c r="H373" s="1116"/>
      <c r="I373" s="1115"/>
      <c r="J373" s="1113"/>
    </row>
    <row r="374">
      <c r="A374" s="1113"/>
      <c r="B374" s="1114"/>
      <c r="C374" s="1115"/>
      <c r="D374" s="1116"/>
      <c r="E374" s="1115"/>
      <c r="F374" s="1115"/>
      <c r="G374" s="1115"/>
      <c r="H374" s="1116"/>
      <c r="I374" s="1115"/>
      <c r="J374" s="1113"/>
    </row>
    <row r="375">
      <c r="A375" s="1113"/>
      <c r="B375" s="1114"/>
      <c r="C375" s="1115"/>
      <c r="D375" s="1116"/>
      <c r="E375" s="1115"/>
      <c r="F375" s="1115"/>
      <c r="G375" s="1115"/>
      <c r="H375" s="1116"/>
      <c r="I375" s="1115"/>
      <c r="J375" s="1113"/>
    </row>
    <row r="376">
      <c r="A376" s="1113"/>
      <c r="B376" s="1114"/>
      <c r="C376" s="1115"/>
      <c r="D376" s="1116"/>
      <c r="E376" s="1115"/>
      <c r="F376" s="1115"/>
      <c r="G376" s="1115"/>
      <c r="H376" s="1116"/>
      <c r="I376" s="1115"/>
      <c r="J376" s="1113"/>
    </row>
    <row r="377">
      <c r="A377" s="1113"/>
      <c r="B377" s="1114"/>
      <c r="C377" s="1115"/>
      <c r="D377" s="1116"/>
      <c r="E377" s="1115"/>
      <c r="F377" s="1115"/>
      <c r="G377" s="1115"/>
      <c r="H377" s="1116"/>
      <c r="I377" s="1115"/>
      <c r="J377" s="1113"/>
    </row>
    <row r="378">
      <c r="A378" s="1113"/>
      <c r="B378" s="1114"/>
      <c r="C378" s="1115"/>
      <c r="D378" s="1116"/>
      <c r="E378" s="1115"/>
      <c r="F378" s="1115"/>
      <c r="G378" s="1115"/>
      <c r="H378" s="1116"/>
      <c r="I378" s="1115"/>
      <c r="J378" s="1113"/>
    </row>
    <row r="379">
      <c r="A379" s="1113"/>
      <c r="B379" s="1114"/>
      <c r="C379" s="1115"/>
      <c r="D379" s="1116"/>
      <c r="E379" s="1115"/>
      <c r="F379" s="1115"/>
      <c r="G379" s="1115"/>
      <c r="H379" s="1116"/>
      <c r="I379" s="1115"/>
      <c r="J379" s="1113"/>
    </row>
    <row r="380">
      <c r="A380" s="1113"/>
      <c r="B380" s="1114"/>
      <c r="C380" s="1115"/>
      <c r="D380" s="1116"/>
      <c r="E380" s="1115"/>
      <c r="F380" s="1115"/>
      <c r="G380" s="1115"/>
      <c r="H380" s="1116"/>
      <c r="I380" s="1115"/>
      <c r="J380" s="1113"/>
    </row>
    <row r="381">
      <c r="A381" s="1113"/>
      <c r="B381" s="1114"/>
      <c r="C381" s="1115"/>
      <c r="D381" s="1116"/>
      <c r="E381" s="1115"/>
      <c r="F381" s="1115"/>
      <c r="G381" s="1115"/>
      <c r="H381" s="1116"/>
      <c r="I381" s="1115"/>
      <c r="J381" s="1113"/>
    </row>
    <row r="382">
      <c r="A382" s="1113"/>
      <c r="B382" s="1114"/>
      <c r="C382" s="1115"/>
      <c r="D382" s="1116"/>
      <c r="E382" s="1115"/>
      <c r="F382" s="1115"/>
      <c r="G382" s="1115"/>
      <c r="H382" s="1116"/>
      <c r="I382" s="1115"/>
      <c r="J382" s="1113"/>
    </row>
    <row r="383">
      <c r="A383" s="1113"/>
      <c r="B383" s="1114"/>
      <c r="C383" s="1115"/>
      <c r="D383" s="1116"/>
      <c r="E383" s="1115"/>
      <c r="F383" s="1115"/>
      <c r="G383" s="1115"/>
      <c r="H383" s="1116"/>
      <c r="I383" s="1115"/>
      <c r="J383" s="1113"/>
    </row>
    <row r="384">
      <c r="A384" s="1113"/>
      <c r="B384" s="1114"/>
      <c r="C384" s="1115"/>
      <c r="D384" s="1116"/>
      <c r="E384" s="1115"/>
      <c r="F384" s="1115"/>
      <c r="G384" s="1115"/>
      <c r="H384" s="1116"/>
      <c r="I384" s="1115"/>
      <c r="J384" s="1113"/>
    </row>
    <row r="385">
      <c r="A385" s="1113"/>
      <c r="B385" s="1114"/>
      <c r="C385" s="1115"/>
      <c r="D385" s="1116"/>
      <c r="E385" s="1115"/>
      <c r="F385" s="1115"/>
      <c r="G385" s="1115"/>
      <c r="H385" s="1116"/>
      <c r="I385" s="1115"/>
      <c r="J385" s="1113"/>
    </row>
    <row r="386">
      <c r="A386" s="1113"/>
      <c r="B386" s="1114"/>
      <c r="C386" s="1115"/>
      <c r="D386" s="1116"/>
      <c r="E386" s="1115"/>
      <c r="F386" s="1115"/>
      <c r="G386" s="1115"/>
      <c r="H386" s="1116"/>
      <c r="I386" s="1115"/>
      <c r="J386" s="1113"/>
    </row>
    <row r="387">
      <c r="A387" s="1113"/>
      <c r="B387" s="1114"/>
      <c r="C387" s="1115"/>
      <c r="D387" s="1116"/>
      <c r="E387" s="1115"/>
      <c r="F387" s="1115"/>
      <c r="G387" s="1115"/>
      <c r="H387" s="1116"/>
      <c r="I387" s="1115"/>
      <c r="J387" s="1113"/>
    </row>
    <row r="388">
      <c r="A388" s="1113"/>
      <c r="B388" s="1114"/>
      <c r="C388" s="1115"/>
      <c r="D388" s="1116"/>
      <c r="E388" s="1115"/>
      <c r="F388" s="1115"/>
      <c r="G388" s="1115"/>
      <c r="H388" s="1116"/>
      <c r="I388" s="1115"/>
      <c r="J388" s="1113"/>
    </row>
    <row r="389">
      <c r="A389" s="1113"/>
      <c r="B389" s="1114"/>
      <c r="C389" s="1115"/>
      <c r="D389" s="1116"/>
      <c r="E389" s="1115"/>
      <c r="F389" s="1115"/>
      <c r="G389" s="1115"/>
      <c r="H389" s="1116"/>
      <c r="I389" s="1115"/>
      <c r="J389" s="1113"/>
    </row>
    <row r="390">
      <c r="A390" s="1113"/>
      <c r="B390" s="1114"/>
      <c r="C390" s="1115"/>
      <c r="D390" s="1116"/>
      <c r="E390" s="1115"/>
      <c r="F390" s="1115"/>
      <c r="G390" s="1115"/>
      <c r="H390" s="1116"/>
      <c r="I390" s="1115"/>
      <c r="J390" s="1113"/>
    </row>
    <row r="391">
      <c r="A391" s="1113"/>
      <c r="B391" s="1114"/>
      <c r="C391" s="1115"/>
      <c r="D391" s="1116"/>
      <c r="E391" s="1115"/>
      <c r="F391" s="1115"/>
      <c r="G391" s="1115"/>
      <c r="H391" s="1116"/>
      <c r="I391" s="1115"/>
      <c r="J391" s="1113"/>
    </row>
    <row r="392">
      <c r="A392" s="1113"/>
      <c r="B392" s="1114"/>
      <c r="C392" s="1115"/>
      <c r="D392" s="1116"/>
      <c r="E392" s="1115"/>
      <c r="F392" s="1115"/>
      <c r="G392" s="1115"/>
      <c r="H392" s="1116"/>
      <c r="I392" s="1115"/>
      <c r="J392" s="1113"/>
    </row>
    <row r="393">
      <c r="A393" s="1113"/>
      <c r="B393" s="1114"/>
      <c r="C393" s="1115"/>
      <c r="D393" s="1116"/>
      <c r="E393" s="1115"/>
      <c r="F393" s="1115"/>
      <c r="G393" s="1115"/>
      <c r="H393" s="1116"/>
      <c r="I393" s="1115"/>
      <c r="J393" s="1113"/>
    </row>
    <row r="394">
      <c r="A394" s="1113"/>
      <c r="B394" s="1114"/>
      <c r="C394" s="1115"/>
      <c r="D394" s="1116"/>
      <c r="E394" s="1115"/>
      <c r="F394" s="1115"/>
      <c r="G394" s="1115"/>
      <c r="H394" s="1116"/>
      <c r="I394" s="1115"/>
      <c r="J394" s="1113"/>
    </row>
    <row r="395">
      <c r="A395" s="1113"/>
      <c r="B395" s="1114"/>
      <c r="C395" s="1115"/>
      <c r="D395" s="1116"/>
      <c r="E395" s="1115"/>
      <c r="F395" s="1115"/>
      <c r="G395" s="1115"/>
      <c r="H395" s="1116"/>
      <c r="I395" s="1115"/>
      <c r="J395" s="1113"/>
    </row>
    <row r="396">
      <c r="A396" s="1113"/>
      <c r="B396" s="1114"/>
      <c r="C396" s="1115"/>
      <c r="D396" s="1116"/>
      <c r="E396" s="1115"/>
      <c r="F396" s="1115"/>
      <c r="G396" s="1115"/>
      <c r="H396" s="1116"/>
      <c r="I396" s="1115"/>
      <c r="J396" s="1113"/>
    </row>
    <row r="397">
      <c r="A397" s="1113"/>
      <c r="B397" s="1114"/>
      <c r="C397" s="1115"/>
      <c r="D397" s="1116"/>
      <c r="E397" s="1115"/>
      <c r="F397" s="1115"/>
      <c r="G397" s="1115"/>
      <c r="H397" s="1116"/>
      <c r="I397" s="1115"/>
      <c r="J397" s="1113"/>
    </row>
    <row r="398">
      <c r="A398" s="1113"/>
      <c r="B398" s="1114"/>
      <c r="C398" s="1115"/>
      <c r="D398" s="1116"/>
      <c r="E398" s="1115"/>
      <c r="F398" s="1115"/>
      <c r="G398" s="1115"/>
      <c r="H398" s="1116"/>
      <c r="I398" s="1115"/>
      <c r="J398" s="1113"/>
    </row>
    <row r="399">
      <c r="A399" s="1113"/>
      <c r="B399" s="1114"/>
      <c r="C399" s="1115"/>
      <c r="D399" s="1116"/>
      <c r="E399" s="1115"/>
      <c r="F399" s="1115"/>
      <c r="G399" s="1115"/>
      <c r="H399" s="1116"/>
      <c r="I399" s="1115"/>
      <c r="J399" s="1113"/>
    </row>
    <row r="400">
      <c r="A400" s="1113"/>
      <c r="B400" s="1114"/>
      <c r="C400" s="1115"/>
      <c r="D400" s="1116"/>
      <c r="E400" s="1115"/>
      <c r="F400" s="1115"/>
      <c r="G400" s="1115"/>
      <c r="H400" s="1116"/>
      <c r="I400" s="1115"/>
      <c r="J400" s="1113"/>
    </row>
    <row r="401">
      <c r="A401" s="1113"/>
      <c r="B401" s="1114"/>
      <c r="C401" s="1115"/>
      <c r="D401" s="1116"/>
      <c r="E401" s="1115"/>
      <c r="F401" s="1115"/>
      <c r="G401" s="1115"/>
      <c r="H401" s="1116"/>
      <c r="I401" s="1115"/>
      <c r="J401" s="1113"/>
    </row>
    <row r="402">
      <c r="A402" s="1113"/>
      <c r="B402" s="1114"/>
      <c r="C402" s="1115"/>
      <c r="D402" s="1116"/>
      <c r="E402" s="1115"/>
      <c r="F402" s="1115"/>
      <c r="G402" s="1115"/>
      <c r="H402" s="1116"/>
      <c r="I402" s="1115"/>
      <c r="J402" s="1113"/>
    </row>
    <row r="403">
      <c r="A403" s="1113"/>
      <c r="B403" s="1114"/>
      <c r="C403" s="1115"/>
      <c r="D403" s="1116"/>
      <c r="E403" s="1115"/>
      <c r="F403" s="1115"/>
      <c r="G403" s="1115"/>
      <c r="H403" s="1116"/>
      <c r="I403" s="1115"/>
      <c r="J403" s="1113"/>
    </row>
    <row r="404">
      <c r="A404" s="1113"/>
      <c r="B404" s="1114"/>
      <c r="C404" s="1115"/>
      <c r="D404" s="1116"/>
      <c r="E404" s="1115"/>
      <c r="F404" s="1115"/>
      <c r="G404" s="1115"/>
      <c r="H404" s="1116"/>
      <c r="I404" s="1115"/>
      <c r="J404" s="1113"/>
    </row>
    <row r="405">
      <c r="A405" s="1113"/>
      <c r="B405" s="1114"/>
      <c r="C405" s="1115"/>
      <c r="D405" s="1116"/>
      <c r="E405" s="1115"/>
      <c r="F405" s="1115"/>
      <c r="G405" s="1115"/>
      <c r="H405" s="1116"/>
      <c r="I405" s="1115"/>
      <c r="J405" s="1113"/>
    </row>
    <row r="406">
      <c r="A406" s="1113"/>
      <c r="B406" s="1114"/>
      <c r="C406" s="1115"/>
      <c r="D406" s="1116"/>
      <c r="E406" s="1115"/>
      <c r="F406" s="1115"/>
      <c r="G406" s="1115"/>
      <c r="H406" s="1116"/>
      <c r="I406" s="1115"/>
      <c r="J406" s="1113"/>
    </row>
    <row r="407">
      <c r="A407" s="1113"/>
      <c r="B407" s="1114"/>
      <c r="C407" s="1115"/>
      <c r="D407" s="1116"/>
      <c r="E407" s="1115"/>
      <c r="F407" s="1115"/>
      <c r="G407" s="1115"/>
      <c r="H407" s="1116"/>
      <c r="I407" s="1115"/>
      <c r="J407" s="1113"/>
    </row>
    <row r="408">
      <c r="A408" s="1113"/>
      <c r="B408" s="1114"/>
      <c r="C408" s="1115"/>
      <c r="D408" s="1116"/>
      <c r="E408" s="1115"/>
      <c r="F408" s="1115"/>
      <c r="G408" s="1115"/>
      <c r="H408" s="1116"/>
      <c r="I408" s="1115"/>
      <c r="J408" s="1113"/>
    </row>
    <row r="409">
      <c r="A409" s="1113"/>
      <c r="B409" s="1114"/>
      <c r="C409" s="1115"/>
      <c r="D409" s="1116"/>
      <c r="E409" s="1115"/>
      <c r="F409" s="1115"/>
      <c r="G409" s="1115"/>
      <c r="H409" s="1116"/>
      <c r="I409" s="1115"/>
      <c r="J409" s="1113"/>
    </row>
    <row r="410">
      <c r="A410" s="1113"/>
      <c r="B410" s="1114"/>
      <c r="C410" s="1115"/>
      <c r="D410" s="1116"/>
      <c r="E410" s="1115"/>
      <c r="F410" s="1115"/>
      <c r="G410" s="1115"/>
      <c r="H410" s="1116"/>
      <c r="I410" s="1115"/>
      <c r="J410" s="1113"/>
    </row>
    <row r="411">
      <c r="A411" s="1113"/>
      <c r="B411" s="1114"/>
      <c r="C411" s="1115"/>
      <c r="D411" s="1116"/>
      <c r="E411" s="1115"/>
      <c r="F411" s="1115"/>
      <c r="G411" s="1115"/>
      <c r="H411" s="1116"/>
      <c r="I411" s="1115"/>
      <c r="J411" s="1113"/>
    </row>
    <row r="412">
      <c r="A412" s="1113"/>
      <c r="B412" s="1114"/>
      <c r="C412" s="1115"/>
      <c r="D412" s="1116"/>
      <c r="E412" s="1115"/>
      <c r="F412" s="1115"/>
      <c r="G412" s="1115"/>
      <c r="H412" s="1116"/>
      <c r="I412" s="1115"/>
      <c r="J412" s="1113"/>
    </row>
    <row r="413">
      <c r="A413" s="1113"/>
      <c r="B413" s="1114"/>
      <c r="C413" s="1115"/>
      <c r="D413" s="1116"/>
      <c r="E413" s="1115"/>
      <c r="F413" s="1115"/>
      <c r="G413" s="1115"/>
      <c r="H413" s="1116"/>
      <c r="I413" s="1115"/>
      <c r="J413" s="1113"/>
    </row>
    <row r="414">
      <c r="A414" s="1113"/>
      <c r="B414" s="1114"/>
      <c r="C414" s="1115"/>
      <c r="D414" s="1116"/>
      <c r="E414" s="1115"/>
      <c r="F414" s="1115"/>
      <c r="G414" s="1115"/>
      <c r="H414" s="1116"/>
      <c r="I414" s="1115"/>
      <c r="J414" s="1113"/>
    </row>
    <row r="415">
      <c r="A415" s="1113"/>
      <c r="B415" s="1114"/>
      <c r="C415" s="1115"/>
      <c r="D415" s="1116"/>
      <c r="E415" s="1115"/>
      <c r="F415" s="1115"/>
      <c r="G415" s="1115"/>
      <c r="H415" s="1116"/>
      <c r="I415" s="1115"/>
      <c r="J415" s="1113"/>
    </row>
    <row r="416">
      <c r="A416" s="1113"/>
      <c r="B416" s="1114"/>
      <c r="C416" s="1115"/>
      <c r="D416" s="1116"/>
      <c r="E416" s="1115"/>
      <c r="F416" s="1115"/>
      <c r="G416" s="1115"/>
      <c r="H416" s="1116"/>
      <c r="I416" s="1115"/>
      <c r="J416" s="1113"/>
    </row>
    <row r="417">
      <c r="A417" s="1113"/>
      <c r="B417" s="1114"/>
      <c r="C417" s="1115"/>
      <c r="D417" s="1116"/>
      <c r="E417" s="1115"/>
      <c r="F417" s="1115"/>
      <c r="G417" s="1115"/>
      <c r="H417" s="1116"/>
      <c r="I417" s="1115"/>
      <c r="J417" s="1113"/>
    </row>
    <row r="418">
      <c r="A418" s="1113"/>
      <c r="B418" s="1114"/>
      <c r="C418" s="1115"/>
      <c r="D418" s="1116"/>
      <c r="E418" s="1115"/>
      <c r="F418" s="1115"/>
      <c r="G418" s="1115"/>
      <c r="H418" s="1116"/>
      <c r="I418" s="1115"/>
      <c r="J418" s="1113"/>
    </row>
    <row r="419">
      <c r="A419" s="1113"/>
      <c r="B419" s="1114"/>
      <c r="C419" s="1115"/>
      <c r="D419" s="1116"/>
      <c r="E419" s="1115"/>
      <c r="F419" s="1115"/>
      <c r="G419" s="1115"/>
      <c r="H419" s="1116"/>
      <c r="I419" s="1115"/>
      <c r="J419" s="1113"/>
    </row>
    <row r="420">
      <c r="A420" s="1113"/>
      <c r="B420" s="1114"/>
      <c r="C420" s="1115"/>
      <c r="D420" s="1116"/>
      <c r="E420" s="1115"/>
      <c r="F420" s="1115"/>
      <c r="G420" s="1115"/>
      <c r="H420" s="1116"/>
      <c r="I420" s="1115"/>
      <c r="J420" s="1113"/>
    </row>
    <row r="421">
      <c r="A421" s="1113"/>
      <c r="B421" s="1114"/>
      <c r="C421" s="1115"/>
      <c r="D421" s="1116"/>
      <c r="E421" s="1115"/>
      <c r="F421" s="1115"/>
      <c r="G421" s="1115"/>
      <c r="H421" s="1116"/>
      <c r="I421" s="1115"/>
      <c r="J421" s="1113"/>
    </row>
    <row r="422">
      <c r="A422" s="1113"/>
      <c r="B422" s="1114"/>
      <c r="C422" s="1115"/>
      <c r="D422" s="1116"/>
      <c r="E422" s="1115"/>
      <c r="F422" s="1115"/>
      <c r="G422" s="1115"/>
      <c r="H422" s="1116"/>
      <c r="I422" s="1115"/>
      <c r="J422" s="1113"/>
    </row>
    <row r="423">
      <c r="A423" s="1113"/>
      <c r="B423" s="1114"/>
      <c r="C423" s="1115"/>
      <c r="D423" s="1116"/>
      <c r="E423" s="1115"/>
      <c r="F423" s="1115"/>
      <c r="G423" s="1115"/>
      <c r="H423" s="1116"/>
      <c r="I423" s="1115"/>
      <c r="J423" s="1113"/>
    </row>
    <row r="424">
      <c r="A424" s="1113"/>
      <c r="B424" s="1114"/>
      <c r="C424" s="1115"/>
      <c r="D424" s="1116"/>
      <c r="E424" s="1115"/>
      <c r="F424" s="1115"/>
      <c r="G424" s="1115"/>
      <c r="H424" s="1116"/>
      <c r="I424" s="1115"/>
      <c r="J424" s="1113"/>
    </row>
    <row r="425">
      <c r="A425" s="1113"/>
      <c r="B425" s="1114"/>
      <c r="C425" s="1115"/>
      <c r="D425" s="1116"/>
      <c r="E425" s="1115"/>
      <c r="F425" s="1115"/>
      <c r="G425" s="1115"/>
      <c r="H425" s="1116"/>
      <c r="I425" s="1115"/>
      <c r="J425" s="1113"/>
    </row>
    <row r="426">
      <c r="A426" s="1113"/>
      <c r="B426" s="1114"/>
      <c r="C426" s="1115"/>
      <c r="D426" s="1116"/>
      <c r="E426" s="1115"/>
      <c r="F426" s="1115"/>
      <c r="G426" s="1115"/>
      <c r="H426" s="1116"/>
      <c r="I426" s="1115"/>
      <c r="J426" s="1113"/>
    </row>
    <row r="427">
      <c r="A427" s="1113"/>
      <c r="B427" s="1114"/>
      <c r="C427" s="1115"/>
      <c r="D427" s="1116"/>
      <c r="E427" s="1115"/>
      <c r="F427" s="1115"/>
      <c r="G427" s="1115"/>
      <c r="H427" s="1116"/>
      <c r="I427" s="1115"/>
      <c r="J427" s="1113"/>
    </row>
    <row r="428">
      <c r="A428" s="1113"/>
      <c r="B428" s="1114"/>
      <c r="C428" s="1115"/>
      <c r="D428" s="1116"/>
      <c r="E428" s="1115"/>
      <c r="F428" s="1115"/>
      <c r="G428" s="1115"/>
      <c r="H428" s="1116"/>
      <c r="I428" s="1115"/>
      <c r="J428" s="1113"/>
    </row>
    <row r="429">
      <c r="A429" s="1113"/>
      <c r="B429" s="1114"/>
      <c r="C429" s="1115"/>
      <c r="D429" s="1116"/>
      <c r="E429" s="1115"/>
      <c r="F429" s="1115"/>
      <c r="G429" s="1115"/>
      <c r="H429" s="1116"/>
      <c r="I429" s="1115"/>
      <c r="J429" s="1113"/>
    </row>
    <row r="430">
      <c r="A430" s="1113"/>
      <c r="B430" s="1114"/>
      <c r="C430" s="1115"/>
      <c r="D430" s="1116"/>
      <c r="E430" s="1115"/>
      <c r="F430" s="1115"/>
      <c r="G430" s="1115"/>
      <c r="H430" s="1116"/>
      <c r="I430" s="1115"/>
      <c r="J430" s="1113"/>
    </row>
    <row r="431">
      <c r="A431" s="1113"/>
      <c r="B431" s="1114"/>
      <c r="C431" s="1115"/>
      <c r="D431" s="1116"/>
      <c r="E431" s="1115"/>
      <c r="F431" s="1115"/>
      <c r="G431" s="1115"/>
      <c r="H431" s="1116"/>
      <c r="I431" s="1115"/>
      <c r="J431" s="1113"/>
    </row>
    <row r="432">
      <c r="A432" s="1113"/>
      <c r="B432" s="1114"/>
      <c r="C432" s="1115"/>
      <c r="D432" s="1116"/>
      <c r="E432" s="1115"/>
      <c r="F432" s="1115"/>
      <c r="G432" s="1115"/>
      <c r="H432" s="1116"/>
      <c r="I432" s="1115"/>
      <c r="J432" s="1113"/>
    </row>
    <row r="433">
      <c r="A433" s="1113"/>
      <c r="B433" s="1114"/>
      <c r="C433" s="1115"/>
      <c r="D433" s="1116"/>
      <c r="E433" s="1115"/>
      <c r="F433" s="1115"/>
      <c r="G433" s="1115"/>
      <c r="H433" s="1116"/>
      <c r="I433" s="1115"/>
      <c r="J433" s="1113"/>
    </row>
    <row r="434">
      <c r="A434" s="1113"/>
      <c r="B434" s="1114"/>
      <c r="C434" s="1115"/>
      <c r="D434" s="1116"/>
      <c r="E434" s="1115"/>
      <c r="F434" s="1115"/>
      <c r="G434" s="1115"/>
      <c r="H434" s="1116"/>
      <c r="I434" s="1115"/>
      <c r="J434" s="1113"/>
    </row>
    <row r="435">
      <c r="A435" s="1113"/>
      <c r="B435" s="1114"/>
      <c r="C435" s="1115"/>
      <c r="D435" s="1116"/>
      <c r="E435" s="1115"/>
      <c r="F435" s="1115"/>
      <c r="G435" s="1115"/>
      <c r="H435" s="1116"/>
      <c r="I435" s="1115"/>
      <c r="J435" s="1113"/>
    </row>
    <row r="436">
      <c r="A436" s="1113"/>
      <c r="B436" s="1114"/>
      <c r="C436" s="1115"/>
      <c r="D436" s="1116"/>
      <c r="E436" s="1115"/>
      <c r="F436" s="1115"/>
      <c r="G436" s="1115"/>
      <c r="H436" s="1116"/>
      <c r="I436" s="1115"/>
      <c r="J436" s="1113"/>
    </row>
    <row r="437">
      <c r="A437" s="1113"/>
      <c r="B437" s="1114"/>
      <c r="C437" s="1115"/>
      <c r="D437" s="1116"/>
      <c r="E437" s="1115"/>
      <c r="F437" s="1115"/>
      <c r="G437" s="1115"/>
      <c r="H437" s="1116"/>
      <c r="I437" s="1115"/>
      <c r="J437" s="1113"/>
    </row>
    <row r="438">
      <c r="A438" s="1113"/>
      <c r="B438" s="1114"/>
      <c r="C438" s="1115"/>
      <c r="D438" s="1116"/>
      <c r="E438" s="1115"/>
      <c r="F438" s="1115"/>
      <c r="G438" s="1115"/>
      <c r="H438" s="1116"/>
      <c r="I438" s="1115"/>
      <c r="J438" s="1113"/>
    </row>
    <row r="439">
      <c r="A439" s="1113"/>
      <c r="B439" s="1114"/>
      <c r="C439" s="1115"/>
      <c r="D439" s="1116"/>
      <c r="E439" s="1115"/>
      <c r="F439" s="1115"/>
      <c r="G439" s="1115"/>
      <c r="H439" s="1116"/>
      <c r="I439" s="1115"/>
      <c r="J439" s="1113"/>
    </row>
    <row r="440">
      <c r="A440" s="1113"/>
      <c r="B440" s="1114"/>
      <c r="C440" s="1115"/>
      <c r="D440" s="1116"/>
      <c r="E440" s="1115"/>
      <c r="F440" s="1115"/>
      <c r="G440" s="1115"/>
      <c r="H440" s="1116"/>
      <c r="I440" s="1115"/>
      <c r="J440" s="1113"/>
    </row>
    <row r="441">
      <c r="A441" s="1113"/>
      <c r="B441" s="1114"/>
      <c r="C441" s="1115"/>
      <c r="D441" s="1116"/>
      <c r="E441" s="1115"/>
      <c r="F441" s="1115"/>
      <c r="G441" s="1115"/>
      <c r="H441" s="1116"/>
      <c r="I441" s="1115"/>
      <c r="J441" s="1113"/>
    </row>
    <row r="442">
      <c r="A442" s="1113"/>
      <c r="B442" s="1114"/>
      <c r="C442" s="1115"/>
      <c r="D442" s="1116"/>
      <c r="E442" s="1115"/>
      <c r="F442" s="1115"/>
      <c r="G442" s="1115"/>
      <c r="H442" s="1116"/>
      <c r="I442" s="1115"/>
      <c r="J442" s="1113"/>
    </row>
    <row r="443">
      <c r="A443" s="1113"/>
      <c r="B443" s="1114"/>
      <c r="C443" s="1115"/>
      <c r="D443" s="1116"/>
      <c r="E443" s="1115"/>
      <c r="F443" s="1115"/>
      <c r="G443" s="1115"/>
      <c r="H443" s="1116"/>
      <c r="I443" s="1115"/>
      <c r="J443" s="1113"/>
    </row>
    <row r="444">
      <c r="A444" s="1113"/>
      <c r="B444" s="1114"/>
      <c r="C444" s="1115"/>
      <c r="D444" s="1116"/>
      <c r="E444" s="1115"/>
      <c r="F444" s="1115"/>
      <c r="G444" s="1115"/>
      <c r="H444" s="1116"/>
      <c r="I444" s="1115"/>
      <c r="J444" s="1113"/>
    </row>
    <row r="445">
      <c r="A445" s="1113"/>
      <c r="B445" s="1114"/>
      <c r="C445" s="1115"/>
      <c r="D445" s="1116"/>
      <c r="E445" s="1115"/>
      <c r="F445" s="1115"/>
      <c r="G445" s="1115"/>
      <c r="H445" s="1116"/>
      <c r="I445" s="1115"/>
      <c r="J445" s="1113"/>
    </row>
    <row r="446">
      <c r="A446" s="1113"/>
      <c r="B446" s="1114"/>
      <c r="C446" s="1115"/>
      <c r="D446" s="1116"/>
      <c r="E446" s="1115"/>
      <c r="F446" s="1115"/>
      <c r="G446" s="1115"/>
      <c r="H446" s="1116"/>
      <c r="I446" s="1115"/>
      <c r="J446" s="1113"/>
    </row>
    <row r="447">
      <c r="A447" s="1113"/>
      <c r="B447" s="1114"/>
      <c r="C447" s="1115"/>
      <c r="D447" s="1116"/>
      <c r="E447" s="1115"/>
      <c r="F447" s="1115"/>
      <c r="G447" s="1115"/>
      <c r="H447" s="1116"/>
      <c r="I447" s="1115"/>
      <c r="J447" s="1113"/>
    </row>
    <row r="448">
      <c r="A448" s="1113"/>
      <c r="B448" s="1114"/>
      <c r="C448" s="1115"/>
      <c r="D448" s="1116"/>
      <c r="E448" s="1115"/>
      <c r="F448" s="1115"/>
      <c r="G448" s="1115"/>
      <c r="H448" s="1116"/>
      <c r="I448" s="1115"/>
      <c r="J448" s="1113"/>
    </row>
    <row r="449">
      <c r="A449" s="1113"/>
      <c r="B449" s="1114"/>
      <c r="C449" s="1115"/>
      <c r="D449" s="1116"/>
      <c r="E449" s="1115"/>
      <c r="F449" s="1115"/>
      <c r="G449" s="1115"/>
      <c r="H449" s="1116"/>
      <c r="I449" s="1115"/>
      <c r="J449" s="1113"/>
    </row>
    <row r="450">
      <c r="A450" s="1113"/>
      <c r="B450" s="1114"/>
      <c r="C450" s="1115"/>
      <c r="D450" s="1116"/>
      <c r="E450" s="1115"/>
      <c r="F450" s="1115"/>
      <c r="G450" s="1115"/>
      <c r="H450" s="1116"/>
      <c r="I450" s="1115"/>
      <c r="J450" s="1113"/>
    </row>
    <row r="451">
      <c r="A451" s="1113"/>
      <c r="B451" s="1114"/>
      <c r="C451" s="1115"/>
      <c r="D451" s="1116"/>
      <c r="E451" s="1115"/>
      <c r="F451" s="1115"/>
      <c r="G451" s="1115"/>
      <c r="H451" s="1116"/>
      <c r="I451" s="1115"/>
      <c r="J451" s="1113"/>
    </row>
    <row r="452">
      <c r="A452" s="1113"/>
      <c r="B452" s="1114"/>
      <c r="C452" s="1115"/>
      <c r="D452" s="1116"/>
      <c r="E452" s="1115"/>
      <c r="F452" s="1115"/>
      <c r="G452" s="1115"/>
      <c r="H452" s="1116"/>
      <c r="I452" s="1115"/>
      <c r="J452" s="1113"/>
    </row>
    <row r="453">
      <c r="A453" s="1113"/>
      <c r="B453" s="1114"/>
      <c r="C453" s="1115"/>
      <c r="D453" s="1116"/>
      <c r="E453" s="1115"/>
      <c r="F453" s="1115"/>
      <c r="G453" s="1115"/>
      <c r="H453" s="1116"/>
      <c r="I453" s="1115"/>
      <c r="J453" s="1113"/>
    </row>
    <row r="454">
      <c r="A454" s="1113"/>
      <c r="B454" s="1114"/>
      <c r="C454" s="1115"/>
      <c r="D454" s="1116"/>
      <c r="E454" s="1115"/>
      <c r="F454" s="1115"/>
      <c r="G454" s="1115"/>
      <c r="H454" s="1116"/>
      <c r="I454" s="1115"/>
      <c r="J454" s="1113"/>
    </row>
    <row r="455">
      <c r="A455" s="1113"/>
      <c r="B455" s="1114"/>
      <c r="C455" s="1115"/>
      <c r="D455" s="1116"/>
      <c r="E455" s="1115"/>
      <c r="F455" s="1115"/>
      <c r="G455" s="1115"/>
      <c r="H455" s="1116"/>
      <c r="I455" s="1115"/>
      <c r="J455" s="1113"/>
    </row>
    <row r="456">
      <c r="A456" s="1113"/>
      <c r="B456" s="1114"/>
      <c r="C456" s="1115"/>
      <c r="D456" s="1116"/>
      <c r="E456" s="1115"/>
      <c r="F456" s="1115"/>
      <c r="G456" s="1115"/>
      <c r="H456" s="1116"/>
      <c r="I456" s="1115"/>
      <c r="J456" s="1113"/>
    </row>
    <row r="457">
      <c r="A457" s="1113"/>
      <c r="B457" s="1114"/>
      <c r="C457" s="1115"/>
      <c r="D457" s="1116"/>
      <c r="E457" s="1115"/>
      <c r="F457" s="1115"/>
      <c r="G457" s="1115"/>
      <c r="H457" s="1116"/>
      <c r="I457" s="1115"/>
      <c r="J457" s="1113"/>
    </row>
    <row r="458">
      <c r="A458" s="1113"/>
      <c r="B458" s="1114"/>
      <c r="C458" s="1115"/>
      <c r="D458" s="1116"/>
      <c r="E458" s="1115"/>
      <c r="F458" s="1115"/>
      <c r="G458" s="1115"/>
      <c r="H458" s="1116"/>
      <c r="I458" s="1115"/>
      <c r="J458" s="1113"/>
    </row>
    <row r="459">
      <c r="A459" s="1113"/>
      <c r="B459" s="1114"/>
      <c r="C459" s="1115"/>
      <c r="D459" s="1116"/>
      <c r="E459" s="1115"/>
      <c r="F459" s="1115"/>
      <c r="G459" s="1115"/>
      <c r="H459" s="1116"/>
      <c r="I459" s="1115"/>
      <c r="J459" s="1113"/>
    </row>
    <row r="460">
      <c r="A460" s="1113"/>
      <c r="B460" s="1114"/>
      <c r="C460" s="1115"/>
      <c r="D460" s="1116"/>
      <c r="E460" s="1115"/>
      <c r="F460" s="1115"/>
      <c r="G460" s="1115"/>
      <c r="H460" s="1116"/>
      <c r="I460" s="1115"/>
      <c r="J460" s="1113"/>
    </row>
    <row r="461">
      <c r="A461" s="1113"/>
      <c r="B461" s="1114"/>
      <c r="C461" s="1115"/>
      <c r="D461" s="1116"/>
      <c r="E461" s="1115"/>
      <c r="F461" s="1115"/>
      <c r="G461" s="1115"/>
      <c r="H461" s="1116"/>
      <c r="I461" s="1115"/>
      <c r="J461" s="1113"/>
    </row>
    <row r="462">
      <c r="A462" s="1113"/>
      <c r="B462" s="1114"/>
      <c r="C462" s="1115"/>
      <c r="D462" s="1116"/>
      <c r="E462" s="1115"/>
      <c r="F462" s="1115"/>
      <c r="G462" s="1115"/>
      <c r="H462" s="1116"/>
      <c r="I462" s="1115"/>
      <c r="J462" s="1113"/>
    </row>
    <row r="463">
      <c r="A463" s="1113"/>
      <c r="B463" s="1114"/>
      <c r="C463" s="1115"/>
      <c r="D463" s="1116"/>
      <c r="E463" s="1115"/>
      <c r="F463" s="1115"/>
      <c r="G463" s="1115"/>
      <c r="H463" s="1116"/>
      <c r="I463" s="1115"/>
      <c r="J463" s="1113"/>
    </row>
    <row r="464">
      <c r="A464" s="1113"/>
      <c r="B464" s="1114"/>
      <c r="C464" s="1115"/>
      <c r="D464" s="1116"/>
      <c r="E464" s="1115"/>
      <c r="F464" s="1115"/>
      <c r="G464" s="1115"/>
      <c r="H464" s="1116"/>
      <c r="I464" s="1115"/>
      <c r="J464" s="1113"/>
    </row>
    <row r="465">
      <c r="A465" s="1113"/>
      <c r="B465" s="1114"/>
      <c r="C465" s="1115"/>
      <c r="D465" s="1116"/>
      <c r="E465" s="1115"/>
      <c r="F465" s="1115"/>
      <c r="G465" s="1115"/>
      <c r="H465" s="1116"/>
      <c r="I465" s="1115"/>
      <c r="J465" s="1113"/>
    </row>
    <row r="466">
      <c r="A466" s="1113"/>
      <c r="B466" s="1114"/>
      <c r="C466" s="1115"/>
      <c r="D466" s="1116"/>
      <c r="E466" s="1115"/>
      <c r="F466" s="1115"/>
      <c r="G466" s="1115"/>
      <c r="H466" s="1116"/>
      <c r="I466" s="1115"/>
      <c r="J466" s="1113"/>
    </row>
    <row r="467">
      <c r="A467" s="1113"/>
      <c r="B467" s="1114"/>
      <c r="C467" s="1115"/>
      <c r="D467" s="1116"/>
      <c r="E467" s="1115"/>
      <c r="F467" s="1115"/>
      <c r="G467" s="1115"/>
      <c r="H467" s="1116"/>
      <c r="I467" s="1115"/>
      <c r="J467" s="1113"/>
    </row>
    <row r="468">
      <c r="A468" s="1113"/>
      <c r="B468" s="1114"/>
      <c r="C468" s="1115"/>
      <c r="D468" s="1116"/>
      <c r="E468" s="1115"/>
      <c r="F468" s="1115"/>
      <c r="G468" s="1115"/>
      <c r="H468" s="1116"/>
      <c r="I468" s="1115"/>
      <c r="J468" s="1113"/>
    </row>
    <row r="469">
      <c r="A469" s="1113"/>
      <c r="B469" s="1114"/>
      <c r="C469" s="1115"/>
      <c r="D469" s="1116"/>
      <c r="E469" s="1115"/>
      <c r="F469" s="1115"/>
      <c r="G469" s="1115"/>
      <c r="H469" s="1116"/>
      <c r="I469" s="1115"/>
      <c r="J469" s="1113"/>
    </row>
    <row r="470">
      <c r="A470" s="1113"/>
      <c r="B470" s="1114"/>
      <c r="C470" s="1115"/>
      <c r="D470" s="1116"/>
      <c r="E470" s="1115"/>
      <c r="F470" s="1115"/>
      <c r="G470" s="1115"/>
      <c r="H470" s="1116"/>
      <c r="I470" s="1115"/>
      <c r="J470" s="1113"/>
    </row>
    <row r="471">
      <c r="A471" s="1113"/>
      <c r="B471" s="1114"/>
      <c r="C471" s="1115"/>
      <c r="D471" s="1116"/>
      <c r="E471" s="1115"/>
      <c r="F471" s="1115"/>
      <c r="G471" s="1115"/>
      <c r="H471" s="1116"/>
      <c r="I471" s="1115"/>
      <c r="J471" s="1113"/>
    </row>
    <row r="472">
      <c r="A472" s="1113"/>
      <c r="B472" s="1114"/>
      <c r="C472" s="1115"/>
      <c r="D472" s="1116"/>
      <c r="E472" s="1115"/>
      <c r="F472" s="1115"/>
      <c r="G472" s="1115"/>
      <c r="H472" s="1116"/>
      <c r="I472" s="1115"/>
      <c r="J472" s="1113"/>
    </row>
    <row r="473">
      <c r="A473" s="1113"/>
      <c r="B473" s="1114"/>
      <c r="C473" s="1115"/>
      <c r="D473" s="1116"/>
      <c r="E473" s="1115"/>
      <c r="F473" s="1115"/>
      <c r="G473" s="1115"/>
      <c r="H473" s="1116"/>
      <c r="I473" s="1115"/>
      <c r="J473" s="1113"/>
    </row>
    <row r="474">
      <c r="A474" s="1113"/>
      <c r="B474" s="1114"/>
      <c r="C474" s="1115"/>
      <c r="D474" s="1116"/>
      <c r="E474" s="1115"/>
      <c r="F474" s="1115"/>
      <c r="G474" s="1115"/>
      <c r="H474" s="1116"/>
      <c r="I474" s="1115"/>
      <c r="J474" s="1113"/>
    </row>
    <row r="475">
      <c r="A475" s="1113"/>
      <c r="B475" s="1114"/>
      <c r="C475" s="1115"/>
      <c r="D475" s="1116"/>
      <c r="E475" s="1115"/>
      <c r="F475" s="1115"/>
      <c r="G475" s="1115"/>
      <c r="H475" s="1116"/>
      <c r="I475" s="1115"/>
      <c r="J475" s="1113"/>
    </row>
    <row r="476">
      <c r="A476" s="1113"/>
      <c r="B476" s="1114"/>
      <c r="C476" s="1115"/>
      <c r="D476" s="1116"/>
      <c r="E476" s="1115"/>
      <c r="F476" s="1115"/>
      <c r="G476" s="1115"/>
      <c r="H476" s="1116"/>
      <c r="I476" s="1115"/>
      <c r="J476" s="1113"/>
    </row>
    <row r="477">
      <c r="A477" s="1113"/>
      <c r="B477" s="1114"/>
      <c r="C477" s="1115"/>
      <c r="D477" s="1116"/>
      <c r="E477" s="1115"/>
      <c r="F477" s="1115"/>
      <c r="G477" s="1115"/>
      <c r="H477" s="1116"/>
      <c r="I477" s="1115"/>
      <c r="J477" s="1113"/>
    </row>
    <row r="478">
      <c r="A478" s="1113"/>
      <c r="B478" s="1114"/>
      <c r="C478" s="1115"/>
      <c r="D478" s="1116"/>
      <c r="E478" s="1115"/>
      <c r="F478" s="1115"/>
      <c r="G478" s="1115"/>
      <c r="H478" s="1116"/>
      <c r="I478" s="1115"/>
      <c r="J478" s="1113"/>
    </row>
    <row r="479">
      <c r="A479" s="1113"/>
      <c r="B479" s="1114"/>
      <c r="C479" s="1115"/>
      <c r="D479" s="1116"/>
      <c r="E479" s="1115"/>
      <c r="F479" s="1115"/>
      <c r="G479" s="1115"/>
      <c r="H479" s="1116"/>
      <c r="I479" s="1115"/>
      <c r="J479" s="1113"/>
    </row>
    <row r="480">
      <c r="A480" s="1113"/>
      <c r="B480" s="1114"/>
      <c r="C480" s="1115"/>
      <c r="D480" s="1116"/>
      <c r="E480" s="1115"/>
      <c r="F480" s="1115"/>
      <c r="G480" s="1115"/>
      <c r="H480" s="1116"/>
      <c r="I480" s="1115"/>
      <c r="J480" s="1113"/>
    </row>
    <row r="481">
      <c r="A481" s="1113"/>
      <c r="B481" s="1114"/>
      <c r="C481" s="1115"/>
      <c r="D481" s="1116"/>
      <c r="E481" s="1115"/>
      <c r="F481" s="1115"/>
      <c r="G481" s="1115"/>
      <c r="H481" s="1116"/>
      <c r="I481" s="1115"/>
      <c r="J481" s="1113"/>
    </row>
    <row r="482">
      <c r="A482" s="1113"/>
      <c r="B482" s="1114"/>
      <c r="C482" s="1115"/>
      <c r="D482" s="1116"/>
      <c r="E482" s="1115"/>
      <c r="F482" s="1115"/>
      <c r="G482" s="1115"/>
      <c r="H482" s="1116"/>
      <c r="I482" s="1115"/>
      <c r="J482" s="1113"/>
    </row>
    <row r="483">
      <c r="A483" s="1113"/>
      <c r="B483" s="1114"/>
      <c r="C483" s="1115"/>
      <c r="D483" s="1116"/>
      <c r="E483" s="1115"/>
      <c r="F483" s="1115"/>
      <c r="G483" s="1115"/>
      <c r="H483" s="1116"/>
      <c r="I483" s="1115"/>
      <c r="J483" s="1113"/>
    </row>
    <row r="484">
      <c r="A484" s="1113"/>
      <c r="B484" s="1114"/>
      <c r="C484" s="1115"/>
      <c r="D484" s="1116"/>
      <c r="E484" s="1115"/>
      <c r="F484" s="1115"/>
      <c r="G484" s="1115"/>
      <c r="H484" s="1116"/>
      <c r="I484" s="1115"/>
      <c r="J484" s="1113"/>
    </row>
    <row r="485">
      <c r="A485" s="1113"/>
      <c r="B485" s="1114"/>
      <c r="C485" s="1115"/>
      <c r="D485" s="1116"/>
      <c r="E485" s="1115"/>
      <c r="F485" s="1115"/>
      <c r="G485" s="1115"/>
      <c r="H485" s="1116"/>
      <c r="I485" s="1115"/>
      <c r="J485" s="1113"/>
    </row>
    <row r="486">
      <c r="A486" s="1113"/>
      <c r="B486" s="1114"/>
      <c r="C486" s="1115"/>
      <c r="D486" s="1116"/>
      <c r="E486" s="1115"/>
      <c r="F486" s="1115"/>
      <c r="G486" s="1115"/>
      <c r="H486" s="1116"/>
      <c r="I486" s="1115"/>
      <c r="J486" s="1113"/>
    </row>
    <row r="487">
      <c r="A487" s="1113"/>
      <c r="B487" s="1114"/>
      <c r="C487" s="1115"/>
      <c r="D487" s="1116"/>
      <c r="E487" s="1115"/>
      <c r="F487" s="1115"/>
      <c r="G487" s="1115"/>
      <c r="H487" s="1116"/>
      <c r="I487" s="1115"/>
      <c r="J487" s="1113"/>
    </row>
    <row r="488">
      <c r="A488" s="1113"/>
      <c r="B488" s="1114"/>
      <c r="C488" s="1115"/>
      <c r="D488" s="1116"/>
      <c r="E488" s="1115"/>
      <c r="F488" s="1115"/>
      <c r="G488" s="1115"/>
      <c r="H488" s="1116"/>
      <c r="I488" s="1115"/>
      <c r="J488" s="1113"/>
    </row>
    <row r="489">
      <c r="A489" s="1113"/>
      <c r="B489" s="1114"/>
      <c r="C489" s="1115"/>
      <c r="D489" s="1116"/>
      <c r="E489" s="1115"/>
      <c r="F489" s="1115"/>
      <c r="G489" s="1115"/>
      <c r="H489" s="1116"/>
      <c r="I489" s="1115"/>
      <c r="J489" s="1113"/>
    </row>
    <row r="490">
      <c r="A490" s="1113"/>
      <c r="B490" s="1114"/>
      <c r="C490" s="1115"/>
      <c r="D490" s="1116"/>
      <c r="E490" s="1115"/>
      <c r="F490" s="1115"/>
      <c r="G490" s="1115"/>
      <c r="H490" s="1116"/>
      <c r="I490" s="1115"/>
      <c r="J490" s="1113"/>
    </row>
    <row r="491">
      <c r="A491" s="1113"/>
      <c r="B491" s="1114"/>
      <c r="C491" s="1115"/>
      <c r="D491" s="1116"/>
      <c r="E491" s="1115"/>
      <c r="F491" s="1115"/>
      <c r="G491" s="1115"/>
      <c r="H491" s="1116"/>
      <c r="I491" s="1115"/>
      <c r="J491" s="1113"/>
    </row>
    <row r="492">
      <c r="A492" s="1113"/>
      <c r="B492" s="1114"/>
      <c r="C492" s="1115"/>
      <c r="D492" s="1116"/>
      <c r="E492" s="1115"/>
      <c r="F492" s="1115"/>
      <c r="G492" s="1115"/>
      <c r="H492" s="1116"/>
      <c r="I492" s="1115"/>
      <c r="J492" s="1113"/>
    </row>
    <row r="493">
      <c r="A493" s="1113"/>
      <c r="B493" s="1114"/>
      <c r="C493" s="1115"/>
      <c r="D493" s="1116"/>
      <c r="E493" s="1115"/>
      <c r="F493" s="1115"/>
      <c r="G493" s="1115"/>
      <c r="H493" s="1116"/>
      <c r="I493" s="1115"/>
      <c r="J493" s="1113"/>
    </row>
    <row r="494">
      <c r="A494" s="1113"/>
      <c r="B494" s="1114"/>
      <c r="C494" s="1115"/>
      <c r="D494" s="1116"/>
      <c r="E494" s="1115"/>
      <c r="F494" s="1115"/>
      <c r="G494" s="1115"/>
      <c r="H494" s="1116"/>
      <c r="I494" s="1115"/>
      <c r="J494" s="1113"/>
    </row>
    <row r="495">
      <c r="A495" s="1113"/>
      <c r="B495" s="1114"/>
      <c r="C495" s="1115"/>
      <c r="D495" s="1116"/>
      <c r="E495" s="1115"/>
      <c r="F495" s="1115"/>
      <c r="G495" s="1115"/>
      <c r="H495" s="1116"/>
      <c r="I495" s="1115"/>
      <c r="J495" s="1113"/>
    </row>
    <row r="496">
      <c r="A496" s="1113"/>
      <c r="B496" s="1114"/>
      <c r="C496" s="1115"/>
      <c r="D496" s="1116"/>
      <c r="E496" s="1115"/>
      <c r="F496" s="1115"/>
      <c r="G496" s="1115"/>
      <c r="H496" s="1116"/>
      <c r="I496" s="1115"/>
      <c r="J496" s="1113"/>
    </row>
    <row r="497">
      <c r="A497" s="1113"/>
      <c r="B497" s="1114"/>
      <c r="C497" s="1115"/>
      <c r="D497" s="1116"/>
      <c r="E497" s="1115"/>
      <c r="F497" s="1115"/>
      <c r="G497" s="1115"/>
      <c r="H497" s="1116"/>
      <c r="I497" s="1115"/>
      <c r="J497" s="1113"/>
    </row>
    <row r="498">
      <c r="A498" s="1113"/>
      <c r="B498" s="1114"/>
      <c r="C498" s="1115"/>
      <c r="D498" s="1116"/>
      <c r="E498" s="1115"/>
      <c r="F498" s="1115"/>
      <c r="G498" s="1115"/>
      <c r="H498" s="1116"/>
      <c r="I498" s="1115"/>
      <c r="J498" s="1113"/>
    </row>
    <row r="499">
      <c r="A499" s="1113"/>
      <c r="B499" s="1114"/>
      <c r="C499" s="1115"/>
      <c r="D499" s="1116"/>
      <c r="E499" s="1115"/>
      <c r="F499" s="1115"/>
      <c r="G499" s="1115"/>
      <c r="H499" s="1116"/>
      <c r="I499" s="1115"/>
      <c r="J499" s="1113"/>
    </row>
    <row r="500">
      <c r="A500" s="1113"/>
      <c r="B500" s="1114"/>
      <c r="C500" s="1115"/>
      <c r="D500" s="1116"/>
      <c r="E500" s="1115"/>
      <c r="F500" s="1115"/>
      <c r="G500" s="1115"/>
      <c r="H500" s="1116"/>
      <c r="I500" s="1115"/>
      <c r="J500" s="1113"/>
    </row>
    <row r="501">
      <c r="A501" s="1113"/>
      <c r="B501" s="1114"/>
      <c r="C501" s="1115"/>
      <c r="D501" s="1116"/>
      <c r="E501" s="1115"/>
      <c r="F501" s="1115"/>
      <c r="G501" s="1115"/>
      <c r="H501" s="1116"/>
      <c r="I501" s="1115"/>
      <c r="J501" s="1113"/>
    </row>
    <row r="502">
      <c r="A502" s="1113"/>
      <c r="B502" s="1114"/>
      <c r="C502" s="1115"/>
      <c r="D502" s="1116"/>
      <c r="E502" s="1115"/>
      <c r="F502" s="1115"/>
      <c r="G502" s="1115"/>
      <c r="H502" s="1116"/>
      <c r="I502" s="1115"/>
      <c r="J502" s="1113"/>
    </row>
    <row r="503">
      <c r="A503" s="1113"/>
      <c r="B503" s="1114"/>
      <c r="C503" s="1115"/>
      <c r="D503" s="1116"/>
      <c r="E503" s="1115"/>
      <c r="F503" s="1115"/>
      <c r="G503" s="1115"/>
      <c r="H503" s="1116"/>
      <c r="I503" s="1115"/>
      <c r="J503" s="1113"/>
    </row>
    <row r="504">
      <c r="A504" s="1113"/>
      <c r="B504" s="1114"/>
      <c r="C504" s="1115"/>
      <c r="D504" s="1116"/>
      <c r="E504" s="1115"/>
      <c r="F504" s="1115"/>
      <c r="G504" s="1115"/>
      <c r="H504" s="1116"/>
      <c r="I504" s="1115"/>
      <c r="J504" s="1113"/>
    </row>
    <row r="505">
      <c r="A505" s="1113"/>
      <c r="B505" s="1114"/>
      <c r="C505" s="1115"/>
      <c r="D505" s="1116"/>
      <c r="E505" s="1115"/>
      <c r="F505" s="1115"/>
      <c r="G505" s="1115"/>
      <c r="H505" s="1116"/>
      <c r="I505" s="1115"/>
      <c r="J505" s="1113"/>
    </row>
    <row r="506">
      <c r="A506" s="1113"/>
      <c r="B506" s="1114"/>
      <c r="C506" s="1115"/>
      <c r="D506" s="1116"/>
      <c r="E506" s="1115"/>
      <c r="F506" s="1115"/>
      <c r="G506" s="1115"/>
      <c r="H506" s="1116"/>
      <c r="I506" s="1115"/>
      <c r="J506" s="1113"/>
    </row>
    <row r="507">
      <c r="A507" s="1113"/>
      <c r="B507" s="1114"/>
      <c r="C507" s="1115"/>
      <c r="D507" s="1116"/>
      <c r="E507" s="1115"/>
      <c r="F507" s="1115"/>
      <c r="G507" s="1115"/>
      <c r="H507" s="1116"/>
      <c r="I507" s="1115"/>
      <c r="J507" s="1113"/>
    </row>
    <row r="508">
      <c r="A508" s="1113"/>
      <c r="B508" s="1114"/>
      <c r="C508" s="1115"/>
      <c r="D508" s="1116"/>
      <c r="E508" s="1115"/>
      <c r="F508" s="1115"/>
      <c r="G508" s="1115"/>
      <c r="H508" s="1116"/>
      <c r="I508" s="1115"/>
      <c r="J508" s="1113"/>
    </row>
    <row r="509">
      <c r="A509" s="1113"/>
      <c r="B509" s="1114"/>
      <c r="C509" s="1115"/>
      <c r="D509" s="1116"/>
      <c r="E509" s="1115"/>
      <c r="F509" s="1115"/>
      <c r="G509" s="1115"/>
      <c r="H509" s="1116"/>
      <c r="I509" s="1115"/>
      <c r="J509" s="1113"/>
    </row>
    <row r="510">
      <c r="A510" s="1113"/>
      <c r="B510" s="1114"/>
      <c r="C510" s="1115"/>
      <c r="D510" s="1116"/>
      <c r="E510" s="1115"/>
      <c r="F510" s="1115"/>
      <c r="G510" s="1115"/>
      <c r="H510" s="1116"/>
      <c r="I510" s="1115"/>
      <c r="J510" s="1113"/>
    </row>
    <row r="511">
      <c r="A511" s="1113"/>
      <c r="B511" s="1114"/>
      <c r="C511" s="1115"/>
      <c r="D511" s="1116"/>
      <c r="E511" s="1115"/>
      <c r="F511" s="1115"/>
      <c r="G511" s="1115"/>
      <c r="H511" s="1116"/>
      <c r="I511" s="1115"/>
      <c r="J511" s="1113"/>
    </row>
    <row r="512">
      <c r="A512" s="1113"/>
      <c r="B512" s="1114"/>
      <c r="C512" s="1115"/>
      <c r="D512" s="1116"/>
      <c r="E512" s="1115"/>
      <c r="F512" s="1115"/>
      <c r="G512" s="1115"/>
      <c r="H512" s="1116"/>
      <c r="I512" s="1115"/>
      <c r="J512" s="1113"/>
    </row>
    <row r="513">
      <c r="A513" s="1113"/>
      <c r="B513" s="1114"/>
      <c r="C513" s="1115"/>
      <c r="D513" s="1116"/>
      <c r="E513" s="1115"/>
      <c r="F513" s="1115"/>
      <c r="G513" s="1115"/>
      <c r="H513" s="1116"/>
      <c r="I513" s="1115"/>
      <c r="J513" s="1113"/>
    </row>
    <row r="514">
      <c r="A514" s="1113"/>
      <c r="B514" s="1114"/>
      <c r="C514" s="1115"/>
      <c r="D514" s="1116"/>
      <c r="E514" s="1115"/>
      <c r="F514" s="1115"/>
      <c r="G514" s="1115"/>
      <c r="H514" s="1116"/>
      <c r="I514" s="1115"/>
      <c r="J514" s="1113"/>
    </row>
    <row r="515">
      <c r="A515" s="1113"/>
      <c r="B515" s="1114"/>
      <c r="C515" s="1115"/>
      <c r="D515" s="1116"/>
      <c r="E515" s="1115"/>
      <c r="F515" s="1115"/>
      <c r="G515" s="1115"/>
      <c r="H515" s="1116"/>
      <c r="I515" s="1115"/>
      <c r="J515" s="1113"/>
    </row>
    <row r="516">
      <c r="A516" s="1113"/>
      <c r="B516" s="1114"/>
      <c r="C516" s="1115"/>
      <c r="D516" s="1116"/>
      <c r="E516" s="1115"/>
      <c r="F516" s="1115"/>
      <c r="G516" s="1115"/>
      <c r="H516" s="1116"/>
      <c r="I516" s="1115"/>
      <c r="J516" s="1113"/>
    </row>
    <row r="517">
      <c r="A517" s="1113"/>
      <c r="B517" s="1114"/>
      <c r="C517" s="1115"/>
      <c r="D517" s="1116"/>
      <c r="E517" s="1115"/>
      <c r="F517" s="1115"/>
      <c r="G517" s="1115"/>
      <c r="H517" s="1116"/>
      <c r="I517" s="1115"/>
      <c r="J517" s="1113"/>
    </row>
    <row r="518">
      <c r="A518" s="1113"/>
      <c r="B518" s="1114"/>
      <c r="C518" s="1115"/>
      <c r="D518" s="1116"/>
      <c r="E518" s="1115"/>
      <c r="F518" s="1115"/>
      <c r="G518" s="1115"/>
      <c r="H518" s="1116"/>
      <c r="I518" s="1115"/>
      <c r="J518" s="1113"/>
    </row>
    <row r="519">
      <c r="A519" s="1113"/>
      <c r="B519" s="1114"/>
      <c r="C519" s="1115"/>
      <c r="D519" s="1116"/>
      <c r="E519" s="1115"/>
      <c r="F519" s="1115"/>
      <c r="G519" s="1115"/>
      <c r="H519" s="1116"/>
      <c r="I519" s="1115"/>
      <c r="J519" s="1113"/>
    </row>
    <row r="520">
      <c r="A520" s="1113"/>
      <c r="B520" s="1114"/>
      <c r="C520" s="1115"/>
      <c r="D520" s="1116"/>
      <c r="E520" s="1115"/>
      <c r="F520" s="1115"/>
      <c r="G520" s="1115"/>
      <c r="H520" s="1116"/>
      <c r="I520" s="1115"/>
      <c r="J520" s="1113"/>
    </row>
    <row r="521">
      <c r="A521" s="1113"/>
      <c r="B521" s="1114"/>
      <c r="C521" s="1115"/>
      <c r="D521" s="1116"/>
      <c r="E521" s="1115"/>
      <c r="F521" s="1115"/>
      <c r="G521" s="1115"/>
      <c r="H521" s="1116"/>
      <c r="I521" s="1115"/>
      <c r="J521" s="1113"/>
    </row>
    <row r="522">
      <c r="A522" s="1113"/>
      <c r="B522" s="1114"/>
      <c r="C522" s="1115"/>
      <c r="D522" s="1116"/>
      <c r="E522" s="1115"/>
      <c r="F522" s="1115"/>
      <c r="G522" s="1115"/>
      <c r="H522" s="1116"/>
      <c r="I522" s="1115"/>
      <c r="J522" s="1113"/>
    </row>
    <row r="523">
      <c r="A523" s="1113"/>
      <c r="B523" s="1114"/>
      <c r="C523" s="1115"/>
      <c r="D523" s="1116"/>
      <c r="E523" s="1115"/>
      <c r="F523" s="1115"/>
      <c r="G523" s="1115"/>
      <c r="H523" s="1116"/>
      <c r="I523" s="1115"/>
      <c r="J523" s="1113"/>
    </row>
    <row r="524">
      <c r="A524" s="1113"/>
      <c r="B524" s="1114"/>
      <c r="C524" s="1115"/>
      <c r="D524" s="1116"/>
      <c r="E524" s="1115"/>
      <c r="F524" s="1115"/>
      <c r="G524" s="1115"/>
      <c r="H524" s="1116"/>
      <c r="I524" s="1115"/>
      <c r="J524" s="1113"/>
    </row>
    <row r="525">
      <c r="A525" s="1113"/>
      <c r="B525" s="1114"/>
      <c r="C525" s="1115"/>
      <c r="D525" s="1116"/>
      <c r="E525" s="1115"/>
      <c r="F525" s="1115"/>
      <c r="G525" s="1115"/>
      <c r="H525" s="1116"/>
      <c r="I525" s="1115"/>
      <c r="J525" s="1113"/>
    </row>
    <row r="526">
      <c r="A526" s="1113"/>
      <c r="B526" s="1114"/>
      <c r="C526" s="1115"/>
      <c r="D526" s="1116"/>
      <c r="E526" s="1115"/>
      <c r="F526" s="1115"/>
      <c r="G526" s="1115"/>
      <c r="H526" s="1116"/>
      <c r="I526" s="1115"/>
      <c r="J526" s="1113"/>
    </row>
    <row r="527">
      <c r="A527" s="1113"/>
      <c r="B527" s="1114"/>
      <c r="C527" s="1115"/>
      <c r="D527" s="1116"/>
      <c r="E527" s="1115"/>
      <c r="F527" s="1115"/>
      <c r="G527" s="1115"/>
      <c r="H527" s="1116"/>
      <c r="I527" s="1115"/>
      <c r="J527" s="1113"/>
    </row>
    <row r="528">
      <c r="A528" s="1113"/>
      <c r="B528" s="1114"/>
      <c r="C528" s="1115"/>
      <c r="D528" s="1116"/>
      <c r="E528" s="1115"/>
      <c r="F528" s="1115"/>
      <c r="G528" s="1115"/>
      <c r="H528" s="1116"/>
      <c r="I528" s="1115"/>
      <c r="J528" s="1113"/>
    </row>
    <row r="529">
      <c r="A529" s="1113"/>
      <c r="B529" s="1114"/>
      <c r="C529" s="1115"/>
      <c r="D529" s="1116"/>
      <c r="E529" s="1115"/>
      <c r="F529" s="1115"/>
      <c r="G529" s="1115"/>
      <c r="H529" s="1116"/>
      <c r="I529" s="1115"/>
      <c r="J529" s="1113"/>
    </row>
    <row r="530">
      <c r="A530" s="1113"/>
      <c r="B530" s="1114"/>
      <c r="C530" s="1115"/>
      <c r="D530" s="1116"/>
      <c r="E530" s="1115"/>
      <c r="F530" s="1115"/>
      <c r="G530" s="1115"/>
      <c r="H530" s="1116"/>
      <c r="I530" s="1115"/>
      <c r="J530" s="1113"/>
    </row>
    <row r="531">
      <c r="A531" s="1113"/>
      <c r="B531" s="1114"/>
      <c r="C531" s="1115"/>
      <c r="D531" s="1116"/>
      <c r="E531" s="1115"/>
      <c r="F531" s="1115"/>
      <c r="G531" s="1115"/>
      <c r="H531" s="1116"/>
      <c r="I531" s="1115"/>
      <c r="J531" s="1113"/>
    </row>
    <row r="532">
      <c r="A532" s="1113"/>
      <c r="B532" s="1114"/>
      <c r="C532" s="1115"/>
      <c r="D532" s="1116"/>
      <c r="E532" s="1115"/>
      <c r="F532" s="1115"/>
      <c r="G532" s="1115"/>
      <c r="H532" s="1116"/>
      <c r="I532" s="1115"/>
      <c r="J532" s="1113"/>
    </row>
    <row r="533">
      <c r="A533" s="1113"/>
      <c r="B533" s="1114"/>
      <c r="C533" s="1115"/>
      <c r="D533" s="1116"/>
      <c r="E533" s="1115"/>
      <c r="F533" s="1115"/>
      <c r="G533" s="1115"/>
      <c r="H533" s="1116"/>
      <c r="I533" s="1115"/>
      <c r="J533" s="1113"/>
    </row>
    <row r="534">
      <c r="A534" s="1113"/>
      <c r="B534" s="1114"/>
      <c r="C534" s="1115"/>
      <c r="D534" s="1116"/>
      <c r="E534" s="1115"/>
      <c r="F534" s="1115"/>
      <c r="G534" s="1115"/>
      <c r="H534" s="1116"/>
      <c r="I534" s="1115"/>
      <c r="J534" s="1113"/>
    </row>
    <row r="535">
      <c r="A535" s="1113"/>
      <c r="B535" s="1114"/>
      <c r="C535" s="1115"/>
      <c r="D535" s="1116"/>
      <c r="E535" s="1115"/>
      <c r="F535" s="1115"/>
      <c r="G535" s="1115"/>
      <c r="H535" s="1116"/>
      <c r="I535" s="1115"/>
      <c r="J535" s="1113"/>
    </row>
    <row r="536">
      <c r="A536" s="1113"/>
      <c r="B536" s="1114"/>
      <c r="C536" s="1115"/>
      <c r="D536" s="1116"/>
      <c r="E536" s="1115"/>
      <c r="F536" s="1115"/>
      <c r="G536" s="1115"/>
      <c r="H536" s="1116"/>
      <c r="I536" s="1115"/>
      <c r="J536" s="1113"/>
    </row>
    <row r="537">
      <c r="A537" s="1113"/>
      <c r="B537" s="1114"/>
      <c r="C537" s="1115"/>
      <c r="D537" s="1116"/>
      <c r="E537" s="1115"/>
      <c r="F537" s="1115"/>
      <c r="G537" s="1115"/>
      <c r="H537" s="1116"/>
      <c r="I537" s="1115"/>
      <c r="J537" s="1113"/>
    </row>
    <row r="538">
      <c r="A538" s="1113"/>
      <c r="B538" s="1114"/>
      <c r="C538" s="1115"/>
      <c r="D538" s="1116"/>
      <c r="E538" s="1115"/>
      <c r="F538" s="1115"/>
      <c r="G538" s="1115"/>
      <c r="H538" s="1116"/>
      <c r="I538" s="1115"/>
      <c r="J538" s="1113"/>
    </row>
    <row r="539">
      <c r="A539" s="1113"/>
      <c r="B539" s="1114"/>
      <c r="C539" s="1115"/>
      <c r="D539" s="1116"/>
      <c r="E539" s="1115"/>
      <c r="F539" s="1115"/>
      <c r="G539" s="1115"/>
      <c r="H539" s="1116"/>
      <c r="I539" s="1115"/>
      <c r="J539" s="1113"/>
    </row>
    <row r="540">
      <c r="A540" s="1113"/>
      <c r="B540" s="1114"/>
      <c r="C540" s="1115"/>
      <c r="D540" s="1116"/>
      <c r="E540" s="1115"/>
      <c r="F540" s="1115"/>
      <c r="G540" s="1115"/>
      <c r="H540" s="1116"/>
      <c r="I540" s="1115"/>
      <c r="J540" s="1113"/>
    </row>
    <row r="541">
      <c r="A541" s="1113"/>
      <c r="B541" s="1114"/>
      <c r="C541" s="1115"/>
      <c r="D541" s="1116"/>
      <c r="E541" s="1115"/>
      <c r="F541" s="1115"/>
      <c r="G541" s="1115"/>
      <c r="H541" s="1116"/>
      <c r="I541" s="1115"/>
      <c r="J541" s="1113"/>
    </row>
    <row r="542">
      <c r="A542" s="1113"/>
      <c r="B542" s="1114"/>
      <c r="C542" s="1115"/>
      <c r="D542" s="1116"/>
      <c r="E542" s="1115"/>
      <c r="F542" s="1115"/>
      <c r="G542" s="1115"/>
      <c r="H542" s="1116"/>
      <c r="I542" s="1115"/>
      <c r="J542" s="1113"/>
    </row>
    <row r="543">
      <c r="A543" s="1113"/>
      <c r="B543" s="1114"/>
      <c r="C543" s="1115"/>
      <c r="D543" s="1116"/>
      <c r="E543" s="1115"/>
      <c r="F543" s="1115"/>
      <c r="G543" s="1115"/>
      <c r="H543" s="1116"/>
      <c r="I543" s="1115"/>
      <c r="J543" s="1113"/>
    </row>
    <row r="544">
      <c r="A544" s="1113"/>
      <c r="B544" s="1114"/>
      <c r="C544" s="1115"/>
      <c r="D544" s="1116"/>
      <c r="E544" s="1115"/>
      <c r="F544" s="1115"/>
      <c r="G544" s="1115"/>
      <c r="H544" s="1116"/>
      <c r="I544" s="1115"/>
      <c r="J544" s="1113"/>
    </row>
    <row r="545">
      <c r="A545" s="1113"/>
      <c r="B545" s="1114"/>
      <c r="C545" s="1115"/>
      <c r="D545" s="1116"/>
      <c r="E545" s="1115"/>
      <c r="F545" s="1115"/>
      <c r="G545" s="1115"/>
      <c r="H545" s="1116"/>
      <c r="I545" s="1115"/>
      <c r="J545" s="1113"/>
    </row>
    <row r="546">
      <c r="A546" s="1113"/>
      <c r="B546" s="1114"/>
      <c r="C546" s="1115"/>
      <c r="D546" s="1116"/>
      <c r="E546" s="1115"/>
      <c r="F546" s="1115"/>
      <c r="G546" s="1115"/>
      <c r="H546" s="1116"/>
      <c r="I546" s="1115"/>
      <c r="J546" s="1113"/>
    </row>
    <row r="547">
      <c r="A547" s="1113"/>
      <c r="B547" s="1114"/>
      <c r="C547" s="1115"/>
      <c r="D547" s="1116"/>
      <c r="E547" s="1115"/>
      <c r="F547" s="1115"/>
      <c r="G547" s="1115"/>
      <c r="H547" s="1116"/>
      <c r="I547" s="1115"/>
      <c r="J547" s="1113"/>
    </row>
    <row r="548">
      <c r="A548" s="1113"/>
      <c r="B548" s="1114"/>
      <c r="C548" s="1115"/>
      <c r="D548" s="1116"/>
      <c r="E548" s="1115"/>
      <c r="F548" s="1115"/>
      <c r="G548" s="1115"/>
      <c r="H548" s="1116"/>
      <c r="I548" s="1115"/>
      <c r="J548" s="1113"/>
    </row>
    <row r="549">
      <c r="A549" s="1113"/>
      <c r="B549" s="1114"/>
      <c r="C549" s="1115"/>
      <c r="D549" s="1116"/>
      <c r="E549" s="1115"/>
      <c r="F549" s="1115"/>
      <c r="G549" s="1115"/>
      <c r="H549" s="1116"/>
      <c r="I549" s="1115"/>
      <c r="J549" s="1113"/>
    </row>
    <row r="550">
      <c r="A550" s="1113"/>
      <c r="B550" s="1114"/>
      <c r="C550" s="1115"/>
      <c r="D550" s="1116"/>
      <c r="E550" s="1115"/>
      <c r="F550" s="1115"/>
      <c r="G550" s="1115"/>
      <c r="H550" s="1116"/>
      <c r="I550" s="1115"/>
      <c r="J550" s="1113"/>
    </row>
    <row r="551">
      <c r="A551" s="1113"/>
      <c r="B551" s="1114"/>
      <c r="C551" s="1115"/>
      <c r="D551" s="1116"/>
      <c r="E551" s="1115"/>
      <c r="F551" s="1115"/>
      <c r="G551" s="1115"/>
      <c r="H551" s="1116"/>
      <c r="I551" s="1115"/>
      <c r="J551" s="1113"/>
    </row>
    <row r="552">
      <c r="A552" s="1113"/>
      <c r="B552" s="1114"/>
      <c r="C552" s="1115"/>
      <c r="D552" s="1116"/>
      <c r="E552" s="1115"/>
      <c r="F552" s="1115"/>
      <c r="G552" s="1115"/>
      <c r="H552" s="1116"/>
      <c r="I552" s="1115"/>
      <c r="J552" s="1113"/>
    </row>
    <row r="553">
      <c r="A553" s="1113"/>
      <c r="B553" s="1114"/>
      <c r="C553" s="1115"/>
      <c r="D553" s="1116"/>
      <c r="E553" s="1115"/>
      <c r="F553" s="1115"/>
      <c r="G553" s="1115"/>
      <c r="H553" s="1116"/>
      <c r="I553" s="1115"/>
      <c r="J553" s="1113"/>
    </row>
    <row r="554">
      <c r="A554" s="1113"/>
      <c r="B554" s="1114"/>
      <c r="C554" s="1115"/>
      <c r="D554" s="1116"/>
      <c r="E554" s="1115"/>
      <c r="F554" s="1115"/>
      <c r="G554" s="1115"/>
      <c r="H554" s="1116"/>
      <c r="I554" s="1115"/>
      <c r="J554" s="1113"/>
    </row>
    <row r="555">
      <c r="A555" s="1113"/>
      <c r="B555" s="1114"/>
      <c r="C555" s="1115"/>
      <c r="D555" s="1116"/>
      <c r="E555" s="1115"/>
      <c r="F555" s="1115"/>
      <c r="G555" s="1115"/>
      <c r="H555" s="1116"/>
      <c r="I555" s="1115"/>
      <c r="J555" s="1113"/>
    </row>
    <row r="556">
      <c r="A556" s="1113"/>
      <c r="B556" s="1114"/>
      <c r="C556" s="1115"/>
      <c r="D556" s="1116"/>
      <c r="E556" s="1115"/>
      <c r="F556" s="1115"/>
      <c r="G556" s="1115"/>
      <c r="H556" s="1116"/>
      <c r="I556" s="1115"/>
      <c r="J556" s="1113"/>
    </row>
    <row r="557">
      <c r="A557" s="1113"/>
      <c r="B557" s="1114"/>
      <c r="C557" s="1115"/>
      <c r="D557" s="1116"/>
      <c r="E557" s="1115"/>
      <c r="F557" s="1115"/>
      <c r="G557" s="1115"/>
      <c r="H557" s="1116"/>
      <c r="I557" s="1115"/>
      <c r="J557" s="1113"/>
    </row>
    <row r="558">
      <c r="A558" s="1113"/>
      <c r="B558" s="1114"/>
      <c r="C558" s="1115"/>
      <c r="D558" s="1116"/>
      <c r="E558" s="1115"/>
      <c r="F558" s="1115"/>
      <c r="G558" s="1115"/>
      <c r="H558" s="1116"/>
      <c r="I558" s="1115"/>
      <c r="J558" s="1113"/>
    </row>
    <row r="559">
      <c r="A559" s="1113"/>
      <c r="B559" s="1114"/>
      <c r="C559" s="1115"/>
      <c r="D559" s="1116"/>
      <c r="E559" s="1115"/>
      <c r="F559" s="1115"/>
      <c r="G559" s="1115"/>
      <c r="H559" s="1116"/>
      <c r="I559" s="1115"/>
      <c r="J559" s="1113"/>
    </row>
    <row r="560">
      <c r="A560" s="1113"/>
      <c r="B560" s="1114"/>
      <c r="C560" s="1115"/>
      <c r="D560" s="1116"/>
      <c r="E560" s="1115"/>
      <c r="F560" s="1115"/>
      <c r="G560" s="1115"/>
      <c r="H560" s="1116"/>
      <c r="I560" s="1115"/>
      <c r="J560" s="1113"/>
    </row>
    <row r="561">
      <c r="A561" s="1113"/>
      <c r="B561" s="1114"/>
      <c r="C561" s="1115"/>
      <c r="D561" s="1116"/>
      <c r="E561" s="1115"/>
      <c r="F561" s="1115"/>
      <c r="G561" s="1115"/>
      <c r="H561" s="1116"/>
      <c r="I561" s="1115"/>
      <c r="J561" s="1113"/>
    </row>
    <row r="562">
      <c r="A562" s="1113"/>
      <c r="B562" s="1114"/>
      <c r="C562" s="1115"/>
      <c r="D562" s="1116"/>
      <c r="E562" s="1115"/>
      <c r="F562" s="1115"/>
      <c r="G562" s="1115"/>
      <c r="H562" s="1116"/>
      <c r="I562" s="1115"/>
      <c r="J562" s="1113"/>
    </row>
    <row r="563">
      <c r="A563" s="1113"/>
      <c r="B563" s="1114"/>
      <c r="C563" s="1115"/>
      <c r="D563" s="1116"/>
      <c r="E563" s="1115"/>
      <c r="F563" s="1115"/>
      <c r="G563" s="1115"/>
      <c r="H563" s="1116"/>
      <c r="I563" s="1115"/>
      <c r="J563" s="1113"/>
    </row>
    <row r="564">
      <c r="A564" s="1113"/>
      <c r="B564" s="1114"/>
      <c r="C564" s="1115"/>
      <c r="D564" s="1116"/>
      <c r="E564" s="1115"/>
      <c r="F564" s="1115"/>
      <c r="G564" s="1115"/>
      <c r="H564" s="1116"/>
      <c r="I564" s="1115"/>
      <c r="J564" s="1113"/>
    </row>
    <row r="565">
      <c r="A565" s="1113"/>
      <c r="B565" s="1114"/>
      <c r="C565" s="1115"/>
      <c r="D565" s="1116"/>
      <c r="E565" s="1115"/>
      <c r="F565" s="1115"/>
      <c r="G565" s="1115"/>
      <c r="H565" s="1116"/>
      <c r="I565" s="1115"/>
      <c r="J565" s="1113"/>
    </row>
    <row r="566">
      <c r="A566" s="1113"/>
      <c r="B566" s="1114"/>
      <c r="C566" s="1115"/>
      <c r="D566" s="1116"/>
      <c r="E566" s="1115"/>
      <c r="F566" s="1115"/>
      <c r="G566" s="1115"/>
      <c r="H566" s="1116"/>
      <c r="I566" s="1115"/>
      <c r="J566" s="1113"/>
    </row>
    <row r="567">
      <c r="A567" s="1113"/>
      <c r="B567" s="1114"/>
      <c r="C567" s="1115"/>
      <c r="D567" s="1116"/>
      <c r="E567" s="1115"/>
      <c r="F567" s="1115"/>
      <c r="G567" s="1115"/>
      <c r="H567" s="1116"/>
      <c r="I567" s="1115"/>
      <c r="J567" s="1113"/>
    </row>
    <row r="568">
      <c r="A568" s="1113"/>
      <c r="B568" s="1114"/>
      <c r="C568" s="1115"/>
      <c r="D568" s="1116"/>
      <c r="E568" s="1115"/>
      <c r="F568" s="1115"/>
      <c r="G568" s="1115"/>
      <c r="H568" s="1116"/>
      <c r="I568" s="1115"/>
      <c r="J568" s="1113"/>
    </row>
    <row r="569">
      <c r="A569" s="1113"/>
      <c r="B569" s="1114"/>
      <c r="C569" s="1115"/>
      <c r="D569" s="1116"/>
      <c r="E569" s="1115"/>
      <c r="F569" s="1115"/>
      <c r="G569" s="1115"/>
      <c r="H569" s="1116"/>
      <c r="I569" s="1115"/>
      <c r="J569" s="1113"/>
    </row>
    <row r="570">
      <c r="A570" s="1113"/>
      <c r="B570" s="1114"/>
      <c r="C570" s="1115"/>
      <c r="D570" s="1116"/>
      <c r="E570" s="1115"/>
      <c r="F570" s="1115"/>
      <c r="G570" s="1115"/>
      <c r="H570" s="1116"/>
      <c r="I570" s="1115"/>
      <c r="J570" s="1113"/>
    </row>
    <row r="571">
      <c r="A571" s="1113"/>
      <c r="B571" s="1114"/>
      <c r="C571" s="1115"/>
      <c r="D571" s="1116"/>
      <c r="E571" s="1115"/>
      <c r="F571" s="1115"/>
      <c r="G571" s="1115"/>
      <c r="H571" s="1116"/>
      <c r="I571" s="1115"/>
      <c r="J571" s="1113"/>
    </row>
    <row r="572">
      <c r="A572" s="1113"/>
      <c r="B572" s="1114"/>
      <c r="C572" s="1115"/>
      <c r="D572" s="1116"/>
      <c r="E572" s="1115"/>
      <c r="F572" s="1115"/>
      <c r="G572" s="1115"/>
      <c r="H572" s="1116"/>
      <c r="I572" s="1115"/>
      <c r="J572" s="1113"/>
    </row>
    <row r="573">
      <c r="A573" s="1113"/>
      <c r="B573" s="1114"/>
      <c r="C573" s="1115"/>
      <c r="D573" s="1116"/>
      <c r="E573" s="1115"/>
      <c r="F573" s="1115"/>
      <c r="G573" s="1115"/>
      <c r="H573" s="1116"/>
      <c r="I573" s="1115"/>
      <c r="J573" s="1113"/>
    </row>
    <row r="574">
      <c r="A574" s="1113"/>
      <c r="B574" s="1114"/>
      <c r="C574" s="1115"/>
      <c r="D574" s="1116"/>
      <c r="E574" s="1115"/>
      <c r="F574" s="1115"/>
      <c r="G574" s="1115"/>
      <c r="H574" s="1116"/>
      <c r="I574" s="1115"/>
      <c r="J574" s="1113"/>
    </row>
    <row r="575">
      <c r="A575" s="1113"/>
      <c r="B575" s="1114"/>
      <c r="C575" s="1115"/>
      <c r="D575" s="1116"/>
      <c r="E575" s="1115"/>
      <c r="F575" s="1115"/>
      <c r="G575" s="1115"/>
      <c r="H575" s="1116"/>
      <c r="I575" s="1115"/>
      <c r="J575" s="1113"/>
    </row>
    <row r="576">
      <c r="A576" s="1113"/>
      <c r="B576" s="1114"/>
      <c r="C576" s="1115"/>
      <c r="D576" s="1116"/>
      <c r="E576" s="1115"/>
      <c r="F576" s="1115"/>
      <c r="G576" s="1115"/>
      <c r="H576" s="1116"/>
      <c r="I576" s="1115"/>
      <c r="J576" s="1113"/>
    </row>
    <row r="577">
      <c r="A577" s="1113"/>
      <c r="B577" s="1114"/>
      <c r="C577" s="1115"/>
      <c r="D577" s="1116"/>
      <c r="E577" s="1115"/>
      <c r="F577" s="1115"/>
      <c r="G577" s="1115"/>
      <c r="H577" s="1116"/>
      <c r="I577" s="1115"/>
      <c r="J577" s="1113"/>
    </row>
    <row r="578">
      <c r="A578" s="1113"/>
      <c r="B578" s="1114"/>
      <c r="C578" s="1115"/>
      <c r="D578" s="1116"/>
      <c r="E578" s="1115"/>
      <c r="F578" s="1115"/>
      <c r="G578" s="1115"/>
      <c r="H578" s="1116"/>
      <c r="I578" s="1115"/>
      <c r="J578" s="1113"/>
    </row>
    <row r="579">
      <c r="A579" s="1113"/>
      <c r="B579" s="1114"/>
      <c r="C579" s="1115"/>
      <c r="D579" s="1116"/>
      <c r="E579" s="1115"/>
      <c r="F579" s="1115"/>
      <c r="G579" s="1115"/>
      <c r="H579" s="1116"/>
      <c r="I579" s="1115"/>
      <c r="J579" s="1113"/>
    </row>
    <row r="580">
      <c r="A580" s="1113"/>
      <c r="B580" s="1114"/>
      <c r="C580" s="1115"/>
      <c r="D580" s="1116"/>
      <c r="E580" s="1115"/>
      <c r="F580" s="1115"/>
      <c r="G580" s="1115"/>
      <c r="H580" s="1116"/>
      <c r="I580" s="1115"/>
      <c r="J580" s="1113"/>
    </row>
    <row r="581">
      <c r="A581" s="1113"/>
      <c r="B581" s="1114"/>
      <c r="C581" s="1115"/>
      <c r="D581" s="1116"/>
      <c r="E581" s="1115"/>
      <c r="F581" s="1115"/>
      <c r="G581" s="1115"/>
      <c r="H581" s="1116"/>
      <c r="I581" s="1115"/>
      <c r="J581" s="1113"/>
    </row>
    <row r="582">
      <c r="A582" s="1113"/>
      <c r="B582" s="1114"/>
      <c r="C582" s="1115"/>
      <c r="D582" s="1116"/>
      <c r="E582" s="1115"/>
      <c r="F582" s="1115"/>
      <c r="G582" s="1115"/>
      <c r="H582" s="1116"/>
      <c r="I582" s="1115"/>
      <c r="J582" s="1113"/>
    </row>
    <row r="583">
      <c r="A583" s="1113"/>
      <c r="B583" s="1114"/>
      <c r="C583" s="1115"/>
      <c r="D583" s="1116"/>
      <c r="E583" s="1115"/>
      <c r="F583" s="1115"/>
      <c r="G583" s="1115"/>
      <c r="H583" s="1116"/>
      <c r="I583" s="1115"/>
      <c r="J583" s="1113"/>
    </row>
    <row r="584">
      <c r="A584" s="1113"/>
      <c r="B584" s="1114"/>
      <c r="C584" s="1115"/>
      <c r="D584" s="1116"/>
      <c r="E584" s="1115"/>
      <c r="F584" s="1115"/>
      <c r="G584" s="1115"/>
      <c r="H584" s="1116"/>
      <c r="I584" s="1115"/>
      <c r="J584" s="1113"/>
    </row>
    <row r="585">
      <c r="A585" s="1113"/>
      <c r="B585" s="1114"/>
      <c r="C585" s="1115"/>
      <c r="D585" s="1116"/>
      <c r="E585" s="1115"/>
      <c r="F585" s="1115"/>
      <c r="G585" s="1115"/>
      <c r="H585" s="1116"/>
      <c r="I585" s="1115"/>
      <c r="J585" s="1113"/>
    </row>
    <row r="586">
      <c r="A586" s="1113"/>
      <c r="B586" s="1114"/>
      <c r="C586" s="1115"/>
      <c r="D586" s="1116"/>
      <c r="E586" s="1115"/>
      <c r="F586" s="1115"/>
      <c r="G586" s="1115"/>
      <c r="H586" s="1116"/>
      <c r="I586" s="1115"/>
      <c r="J586" s="1113"/>
    </row>
    <row r="587">
      <c r="A587" s="1113"/>
      <c r="B587" s="1114"/>
      <c r="C587" s="1115"/>
      <c r="D587" s="1116"/>
      <c r="E587" s="1115"/>
      <c r="F587" s="1115"/>
      <c r="G587" s="1115"/>
      <c r="H587" s="1116"/>
      <c r="I587" s="1115"/>
      <c r="J587" s="1113"/>
    </row>
    <row r="588">
      <c r="A588" s="1113"/>
      <c r="B588" s="1114"/>
      <c r="C588" s="1115"/>
      <c r="D588" s="1116"/>
      <c r="E588" s="1115"/>
      <c r="F588" s="1115"/>
      <c r="G588" s="1115"/>
      <c r="H588" s="1116"/>
      <c r="I588" s="1115"/>
      <c r="J588" s="1113"/>
    </row>
    <row r="589">
      <c r="A589" s="1113"/>
      <c r="B589" s="1114"/>
      <c r="C589" s="1115"/>
      <c r="D589" s="1116"/>
      <c r="E589" s="1115"/>
      <c r="F589" s="1115"/>
      <c r="G589" s="1115"/>
      <c r="H589" s="1116"/>
      <c r="I589" s="1115"/>
      <c r="J589" s="1113"/>
    </row>
    <row r="590">
      <c r="A590" s="1113"/>
      <c r="B590" s="1114"/>
      <c r="C590" s="1115"/>
      <c r="D590" s="1116"/>
      <c r="E590" s="1115"/>
      <c r="F590" s="1115"/>
      <c r="G590" s="1115"/>
      <c r="H590" s="1116"/>
      <c r="I590" s="1115"/>
      <c r="J590" s="1113"/>
    </row>
    <row r="591">
      <c r="A591" s="1113"/>
      <c r="B591" s="1114"/>
      <c r="C591" s="1115"/>
      <c r="D591" s="1116"/>
      <c r="E591" s="1115"/>
      <c r="F591" s="1115"/>
      <c r="G591" s="1115"/>
      <c r="H591" s="1116"/>
      <c r="I591" s="1115"/>
      <c r="J591" s="1113"/>
    </row>
    <row r="592">
      <c r="A592" s="1113"/>
      <c r="B592" s="1114"/>
      <c r="C592" s="1115"/>
      <c r="D592" s="1116"/>
      <c r="E592" s="1115"/>
      <c r="F592" s="1115"/>
      <c r="G592" s="1115"/>
      <c r="H592" s="1116"/>
      <c r="I592" s="1115"/>
      <c r="J592" s="1113"/>
    </row>
    <row r="593">
      <c r="A593" s="1113"/>
      <c r="B593" s="1114"/>
      <c r="C593" s="1115"/>
      <c r="D593" s="1116"/>
      <c r="E593" s="1115"/>
      <c r="F593" s="1115"/>
      <c r="G593" s="1115"/>
      <c r="H593" s="1116"/>
      <c r="I593" s="1115"/>
      <c r="J593" s="1113"/>
    </row>
    <row r="594">
      <c r="A594" s="1113"/>
      <c r="B594" s="1114"/>
      <c r="C594" s="1115"/>
      <c r="D594" s="1116"/>
      <c r="E594" s="1115"/>
      <c r="F594" s="1115"/>
      <c r="G594" s="1115"/>
      <c r="H594" s="1116"/>
      <c r="I594" s="1115"/>
      <c r="J594" s="1113"/>
    </row>
    <row r="595">
      <c r="A595" s="1113"/>
      <c r="B595" s="1114"/>
      <c r="C595" s="1115"/>
      <c r="D595" s="1116"/>
      <c r="E595" s="1115"/>
      <c r="F595" s="1115"/>
      <c r="G595" s="1115"/>
      <c r="H595" s="1116"/>
      <c r="I595" s="1115"/>
      <c r="J595" s="1113"/>
    </row>
    <row r="596">
      <c r="A596" s="1113"/>
      <c r="B596" s="1114"/>
      <c r="C596" s="1115"/>
      <c r="D596" s="1116"/>
      <c r="E596" s="1115"/>
      <c r="F596" s="1115"/>
      <c r="G596" s="1115"/>
      <c r="H596" s="1116"/>
      <c r="I596" s="1115"/>
      <c r="J596" s="1113"/>
    </row>
    <row r="597">
      <c r="A597" s="1113"/>
      <c r="B597" s="1114"/>
      <c r="C597" s="1115"/>
      <c r="D597" s="1116"/>
      <c r="E597" s="1115"/>
      <c r="F597" s="1115"/>
      <c r="G597" s="1115"/>
      <c r="H597" s="1116"/>
      <c r="I597" s="1115"/>
      <c r="J597" s="1113"/>
    </row>
    <row r="598">
      <c r="A598" s="1113"/>
      <c r="B598" s="1114"/>
      <c r="C598" s="1115"/>
      <c r="D598" s="1116"/>
      <c r="E598" s="1115"/>
      <c r="F598" s="1115"/>
      <c r="G598" s="1115"/>
      <c r="H598" s="1116"/>
      <c r="I598" s="1115"/>
      <c r="J598" s="1113"/>
    </row>
    <row r="599">
      <c r="A599" s="1113"/>
      <c r="B599" s="1114"/>
      <c r="C599" s="1115"/>
      <c r="D599" s="1116"/>
      <c r="E599" s="1115"/>
      <c r="F599" s="1115"/>
      <c r="G599" s="1115"/>
      <c r="H599" s="1116"/>
      <c r="I599" s="1115"/>
      <c r="J599" s="1113"/>
    </row>
    <row r="600">
      <c r="A600" s="1113"/>
      <c r="B600" s="1114"/>
      <c r="C600" s="1115"/>
      <c r="D600" s="1116"/>
      <c r="E600" s="1115"/>
      <c r="F600" s="1115"/>
      <c r="G600" s="1115"/>
      <c r="H600" s="1116"/>
      <c r="I600" s="1115"/>
      <c r="J600" s="1113"/>
    </row>
    <row r="601">
      <c r="A601" s="1113"/>
      <c r="B601" s="1114"/>
      <c r="C601" s="1115"/>
      <c r="D601" s="1116"/>
      <c r="E601" s="1115"/>
      <c r="F601" s="1115"/>
      <c r="G601" s="1115"/>
      <c r="H601" s="1116"/>
      <c r="I601" s="1115"/>
      <c r="J601" s="1113"/>
    </row>
    <row r="602">
      <c r="A602" s="1113"/>
      <c r="B602" s="1114"/>
      <c r="C602" s="1115"/>
      <c r="D602" s="1116"/>
      <c r="E602" s="1115"/>
      <c r="F602" s="1115"/>
      <c r="G602" s="1115"/>
      <c r="H602" s="1116"/>
      <c r="I602" s="1115"/>
      <c r="J602" s="1113"/>
    </row>
    <row r="603">
      <c r="A603" s="1113"/>
      <c r="B603" s="1114"/>
      <c r="C603" s="1115"/>
      <c r="D603" s="1116"/>
      <c r="E603" s="1115"/>
      <c r="F603" s="1115"/>
      <c r="G603" s="1115"/>
      <c r="H603" s="1116"/>
      <c r="I603" s="1115"/>
      <c r="J603" s="1113"/>
    </row>
    <row r="604">
      <c r="A604" s="1113"/>
      <c r="B604" s="1114"/>
      <c r="C604" s="1115"/>
      <c r="D604" s="1116"/>
      <c r="E604" s="1115"/>
      <c r="F604" s="1115"/>
      <c r="G604" s="1115"/>
      <c r="H604" s="1116"/>
      <c r="I604" s="1115"/>
      <c r="J604" s="1113"/>
    </row>
    <row r="605">
      <c r="A605" s="1113"/>
      <c r="B605" s="1114"/>
      <c r="C605" s="1115"/>
      <c r="D605" s="1116"/>
      <c r="E605" s="1115"/>
      <c r="F605" s="1115"/>
      <c r="G605" s="1115"/>
      <c r="H605" s="1116"/>
      <c r="I605" s="1115"/>
      <c r="J605" s="1113"/>
    </row>
    <row r="606">
      <c r="A606" s="1113"/>
      <c r="B606" s="1114"/>
      <c r="C606" s="1115"/>
      <c r="D606" s="1116"/>
      <c r="E606" s="1115"/>
      <c r="F606" s="1115"/>
      <c r="G606" s="1115"/>
      <c r="H606" s="1116"/>
      <c r="I606" s="1115"/>
      <c r="J606" s="1113"/>
    </row>
    <row r="607">
      <c r="A607" s="1113"/>
      <c r="B607" s="1114"/>
      <c r="C607" s="1115"/>
      <c r="D607" s="1116"/>
      <c r="E607" s="1115"/>
      <c r="F607" s="1115"/>
      <c r="G607" s="1115"/>
      <c r="H607" s="1116"/>
      <c r="I607" s="1115"/>
      <c r="J607" s="1113"/>
    </row>
    <row r="608">
      <c r="A608" s="1113"/>
      <c r="B608" s="1114"/>
      <c r="C608" s="1115"/>
      <c r="D608" s="1116"/>
      <c r="E608" s="1115"/>
      <c r="F608" s="1115"/>
      <c r="G608" s="1115"/>
      <c r="H608" s="1116"/>
      <c r="I608" s="1115"/>
      <c r="J608" s="1113"/>
    </row>
    <row r="609">
      <c r="A609" s="1113"/>
      <c r="B609" s="1114"/>
      <c r="C609" s="1115"/>
      <c r="D609" s="1116"/>
      <c r="E609" s="1115"/>
      <c r="F609" s="1115"/>
      <c r="G609" s="1115"/>
      <c r="H609" s="1116"/>
      <c r="I609" s="1115"/>
      <c r="J609" s="1113"/>
    </row>
    <row r="610">
      <c r="A610" s="1113"/>
      <c r="B610" s="1114"/>
      <c r="C610" s="1115"/>
      <c r="D610" s="1116"/>
      <c r="E610" s="1115"/>
      <c r="F610" s="1115"/>
      <c r="G610" s="1115"/>
      <c r="H610" s="1116"/>
      <c r="I610" s="1115"/>
      <c r="J610" s="1113"/>
    </row>
    <row r="611">
      <c r="A611" s="1113"/>
      <c r="B611" s="1114"/>
      <c r="C611" s="1115"/>
      <c r="D611" s="1116"/>
      <c r="E611" s="1115"/>
      <c r="F611" s="1115"/>
      <c r="G611" s="1115"/>
      <c r="H611" s="1116"/>
      <c r="I611" s="1115"/>
      <c r="J611" s="1113"/>
    </row>
    <row r="612">
      <c r="A612" s="1113"/>
      <c r="B612" s="1114"/>
      <c r="C612" s="1115"/>
      <c r="D612" s="1116"/>
      <c r="E612" s="1115"/>
      <c r="F612" s="1115"/>
      <c r="G612" s="1115"/>
      <c r="H612" s="1116"/>
      <c r="I612" s="1115"/>
      <c r="J612" s="1113"/>
    </row>
    <row r="613">
      <c r="A613" s="1113"/>
      <c r="B613" s="1114"/>
      <c r="C613" s="1115"/>
      <c r="D613" s="1116"/>
      <c r="E613" s="1115"/>
      <c r="F613" s="1115"/>
      <c r="G613" s="1115"/>
      <c r="H613" s="1116"/>
      <c r="I613" s="1115"/>
      <c r="J613" s="1113"/>
    </row>
    <row r="614">
      <c r="A614" s="1113"/>
      <c r="B614" s="1114"/>
      <c r="C614" s="1115"/>
      <c r="D614" s="1116"/>
      <c r="E614" s="1115"/>
      <c r="F614" s="1115"/>
      <c r="G614" s="1115"/>
      <c r="H614" s="1116"/>
      <c r="I614" s="1115"/>
      <c r="J614" s="1113"/>
    </row>
    <row r="615">
      <c r="A615" s="1113"/>
      <c r="B615" s="1114"/>
      <c r="C615" s="1115"/>
      <c r="D615" s="1116"/>
      <c r="E615" s="1115"/>
      <c r="F615" s="1115"/>
      <c r="G615" s="1115"/>
      <c r="H615" s="1116"/>
      <c r="I615" s="1115"/>
      <c r="J615" s="1113"/>
    </row>
    <row r="616">
      <c r="A616" s="1113"/>
      <c r="B616" s="1114"/>
      <c r="C616" s="1115"/>
      <c r="D616" s="1116"/>
      <c r="E616" s="1115"/>
      <c r="F616" s="1115"/>
      <c r="G616" s="1115"/>
      <c r="H616" s="1116"/>
      <c r="I616" s="1115"/>
      <c r="J616" s="1113"/>
    </row>
    <row r="617">
      <c r="A617" s="1113"/>
      <c r="B617" s="1114"/>
      <c r="C617" s="1115"/>
      <c r="D617" s="1116"/>
      <c r="E617" s="1115"/>
      <c r="F617" s="1115"/>
      <c r="G617" s="1115"/>
      <c r="H617" s="1116"/>
      <c r="I617" s="1115"/>
      <c r="J617" s="1113"/>
    </row>
    <row r="618">
      <c r="A618" s="1113"/>
      <c r="B618" s="1114"/>
      <c r="C618" s="1115"/>
      <c r="D618" s="1116"/>
      <c r="E618" s="1115"/>
      <c r="F618" s="1115"/>
      <c r="G618" s="1115"/>
      <c r="H618" s="1116"/>
      <c r="I618" s="1115"/>
      <c r="J618" s="1113"/>
    </row>
    <row r="619">
      <c r="A619" s="1113"/>
      <c r="B619" s="1114"/>
      <c r="C619" s="1115"/>
      <c r="D619" s="1116"/>
      <c r="E619" s="1115"/>
      <c r="F619" s="1115"/>
      <c r="G619" s="1115"/>
      <c r="H619" s="1116"/>
      <c r="I619" s="1115"/>
      <c r="J619" s="1113"/>
    </row>
    <row r="620">
      <c r="A620" s="1113"/>
      <c r="B620" s="1114"/>
      <c r="C620" s="1115"/>
      <c r="D620" s="1116"/>
      <c r="E620" s="1115"/>
      <c r="F620" s="1115"/>
      <c r="G620" s="1115"/>
      <c r="H620" s="1116"/>
      <c r="I620" s="1115"/>
      <c r="J620" s="1113"/>
    </row>
    <row r="621">
      <c r="A621" s="1113"/>
      <c r="B621" s="1114"/>
      <c r="C621" s="1115"/>
      <c r="D621" s="1116"/>
      <c r="E621" s="1115"/>
      <c r="F621" s="1115"/>
      <c r="G621" s="1115"/>
      <c r="H621" s="1116"/>
      <c r="I621" s="1115"/>
      <c r="J621" s="1113"/>
    </row>
    <row r="622">
      <c r="A622" s="1113"/>
      <c r="B622" s="1114"/>
      <c r="C622" s="1115"/>
      <c r="D622" s="1116"/>
      <c r="E622" s="1115"/>
      <c r="F622" s="1115"/>
      <c r="G622" s="1115"/>
      <c r="H622" s="1116"/>
      <c r="I622" s="1115"/>
      <c r="J622" s="1113"/>
    </row>
    <row r="623">
      <c r="A623" s="1113"/>
      <c r="B623" s="1114"/>
      <c r="C623" s="1115"/>
      <c r="D623" s="1116"/>
      <c r="E623" s="1115"/>
      <c r="F623" s="1115"/>
      <c r="G623" s="1115"/>
      <c r="H623" s="1116"/>
      <c r="I623" s="1115"/>
      <c r="J623" s="1113"/>
    </row>
    <row r="624">
      <c r="A624" s="1113"/>
      <c r="B624" s="1114"/>
      <c r="C624" s="1115"/>
      <c r="D624" s="1116"/>
      <c r="E624" s="1115"/>
      <c r="F624" s="1115"/>
      <c r="G624" s="1115"/>
      <c r="H624" s="1116"/>
      <c r="I624" s="1115"/>
      <c r="J624" s="1113"/>
    </row>
    <row r="625">
      <c r="A625" s="1113"/>
      <c r="B625" s="1114"/>
      <c r="C625" s="1115"/>
      <c r="D625" s="1116"/>
      <c r="E625" s="1115"/>
      <c r="F625" s="1115"/>
      <c r="G625" s="1115"/>
      <c r="H625" s="1116"/>
      <c r="I625" s="1115"/>
      <c r="J625" s="1113"/>
    </row>
    <row r="626">
      <c r="A626" s="1113"/>
      <c r="B626" s="1114"/>
      <c r="C626" s="1115"/>
      <c r="D626" s="1116"/>
      <c r="E626" s="1115"/>
      <c r="F626" s="1115"/>
      <c r="G626" s="1115"/>
      <c r="H626" s="1116"/>
      <c r="I626" s="1115"/>
      <c r="J626" s="1113"/>
    </row>
    <row r="627">
      <c r="A627" s="1113"/>
      <c r="B627" s="1114"/>
      <c r="C627" s="1115"/>
      <c r="D627" s="1116"/>
      <c r="E627" s="1115"/>
      <c r="F627" s="1115"/>
      <c r="G627" s="1115"/>
      <c r="H627" s="1116"/>
      <c r="I627" s="1115"/>
      <c r="J627" s="1113"/>
    </row>
    <row r="628">
      <c r="A628" s="1113"/>
      <c r="B628" s="1114"/>
      <c r="C628" s="1115"/>
      <c r="D628" s="1116"/>
      <c r="E628" s="1115"/>
      <c r="F628" s="1115"/>
      <c r="G628" s="1115"/>
      <c r="H628" s="1116"/>
      <c r="I628" s="1115"/>
      <c r="J628" s="1113"/>
    </row>
    <row r="629">
      <c r="A629" s="1113"/>
      <c r="B629" s="1114"/>
      <c r="C629" s="1115"/>
      <c r="D629" s="1116"/>
      <c r="E629" s="1115"/>
      <c r="F629" s="1115"/>
      <c r="G629" s="1115"/>
      <c r="H629" s="1116"/>
      <c r="I629" s="1115"/>
      <c r="J629" s="1113"/>
    </row>
    <row r="630">
      <c r="A630" s="1113"/>
      <c r="B630" s="1114"/>
      <c r="C630" s="1115"/>
      <c r="D630" s="1116"/>
      <c r="E630" s="1115"/>
      <c r="F630" s="1115"/>
      <c r="G630" s="1115"/>
      <c r="H630" s="1116"/>
      <c r="I630" s="1115"/>
      <c r="J630" s="1113"/>
    </row>
    <row r="631">
      <c r="A631" s="1113"/>
      <c r="B631" s="1114"/>
      <c r="C631" s="1115"/>
      <c r="D631" s="1116"/>
      <c r="E631" s="1115"/>
      <c r="F631" s="1115"/>
      <c r="G631" s="1115"/>
      <c r="H631" s="1116"/>
      <c r="I631" s="1115"/>
      <c r="J631" s="1113"/>
    </row>
    <row r="632">
      <c r="A632" s="1113"/>
      <c r="B632" s="1114"/>
      <c r="C632" s="1115"/>
      <c r="D632" s="1116"/>
      <c r="E632" s="1115"/>
      <c r="F632" s="1115"/>
      <c r="G632" s="1115"/>
      <c r="H632" s="1116"/>
      <c r="I632" s="1115"/>
      <c r="J632" s="1113"/>
    </row>
    <row r="633">
      <c r="A633" s="1113"/>
      <c r="B633" s="1114"/>
      <c r="C633" s="1115"/>
      <c r="D633" s="1116"/>
      <c r="E633" s="1115"/>
      <c r="F633" s="1115"/>
      <c r="G633" s="1115"/>
      <c r="H633" s="1116"/>
      <c r="I633" s="1115"/>
      <c r="J633" s="1113"/>
    </row>
    <row r="634">
      <c r="A634" s="1113"/>
      <c r="B634" s="1114"/>
      <c r="C634" s="1115"/>
      <c r="D634" s="1116"/>
      <c r="E634" s="1115"/>
      <c r="F634" s="1115"/>
      <c r="G634" s="1115"/>
      <c r="H634" s="1116"/>
      <c r="I634" s="1115"/>
      <c r="J634" s="1113"/>
    </row>
    <row r="635">
      <c r="A635" s="1113"/>
      <c r="B635" s="1114"/>
      <c r="C635" s="1115"/>
      <c r="D635" s="1116"/>
      <c r="E635" s="1115"/>
      <c r="F635" s="1115"/>
      <c r="G635" s="1115"/>
      <c r="H635" s="1116"/>
      <c r="I635" s="1115"/>
      <c r="J635" s="1113"/>
    </row>
    <row r="636">
      <c r="A636" s="1113"/>
      <c r="B636" s="1114"/>
      <c r="C636" s="1115"/>
      <c r="D636" s="1116"/>
      <c r="E636" s="1115"/>
      <c r="F636" s="1115"/>
      <c r="G636" s="1115"/>
      <c r="H636" s="1116"/>
      <c r="I636" s="1115"/>
      <c r="J636" s="1113"/>
    </row>
    <row r="637">
      <c r="A637" s="1113"/>
      <c r="B637" s="1114"/>
      <c r="C637" s="1115"/>
      <c r="D637" s="1116"/>
      <c r="E637" s="1115"/>
      <c r="F637" s="1115"/>
      <c r="G637" s="1115"/>
      <c r="H637" s="1116"/>
      <c r="I637" s="1115"/>
      <c r="J637" s="1113"/>
    </row>
    <row r="638">
      <c r="A638" s="1113"/>
      <c r="B638" s="1114"/>
      <c r="C638" s="1115"/>
      <c r="D638" s="1116"/>
      <c r="E638" s="1115"/>
      <c r="F638" s="1115"/>
      <c r="G638" s="1115"/>
      <c r="H638" s="1116"/>
      <c r="I638" s="1115"/>
      <c r="J638" s="1113"/>
    </row>
    <row r="639">
      <c r="A639" s="1113"/>
      <c r="B639" s="1114"/>
      <c r="C639" s="1115"/>
      <c r="D639" s="1116"/>
      <c r="E639" s="1115"/>
      <c r="F639" s="1115"/>
      <c r="G639" s="1115"/>
      <c r="H639" s="1116"/>
      <c r="I639" s="1115"/>
      <c r="J639" s="1113"/>
    </row>
    <row r="640">
      <c r="A640" s="1113"/>
      <c r="B640" s="1114"/>
      <c r="C640" s="1115"/>
      <c r="D640" s="1116"/>
      <c r="E640" s="1115"/>
      <c r="F640" s="1115"/>
      <c r="G640" s="1115"/>
      <c r="H640" s="1116"/>
      <c r="I640" s="1115"/>
      <c r="J640" s="1113"/>
    </row>
    <row r="641">
      <c r="A641" s="1113"/>
      <c r="B641" s="1114"/>
      <c r="C641" s="1115"/>
      <c r="D641" s="1116"/>
      <c r="E641" s="1115"/>
      <c r="F641" s="1115"/>
      <c r="G641" s="1115"/>
      <c r="H641" s="1116"/>
      <c r="I641" s="1115"/>
      <c r="J641" s="1113"/>
    </row>
    <row r="642">
      <c r="A642" s="1113"/>
      <c r="B642" s="1114"/>
      <c r="C642" s="1115"/>
      <c r="D642" s="1116"/>
      <c r="E642" s="1115"/>
      <c r="F642" s="1115"/>
      <c r="G642" s="1115"/>
      <c r="H642" s="1116"/>
      <c r="I642" s="1115"/>
      <c r="J642" s="1113"/>
    </row>
    <row r="643">
      <c r="A643" s="1113"/>
      <c r="B643" s="1114"/>
      <c r="C643" s="1115"/>
      <c r="D643" s="1116"/>
      <c r="E643" s="1115"/>
      <c r="F643" s="1115"/>
      <c r="G643" s="1115"/>
      <c r="H643" s="1116"/>
      <c r="I643" s="1115"/>
      <c r="J643" s="1113"/>
    </row>
    <row r="644">
      <c r="A644" s="1113"/>
      <c r="B644" s="1114"/>
      <c r="C644" s="1115"/>
      <c r="D644" s="1116"/>
      <c r="E644" s="1115"/>
      <c r="F644" s="1115"/>
      <c r="G644" s="1115"/>
      <c r="H644" s="1116"/>
      <c r="I644" s="1115"/>
      <c r="J644" s="1113"/>
    </row>
    <row r="645">
      <c r="A645" s="1113"/>
      <c r="B645" s="1114"/>
      <c r="C645" s="1115"/>
      <c r="D645" s="1116"/>
      <c r="E645" s="1115"/>
      <c r="F645" s="1115"/>
      <c r="G645" s="1115"/>
      <c r="H645" s="1116"/>
      <c r="I645" s="1115"/>
      <c r="J645" s="1113"/>
    </row>
    <row r="646">
      <c r="A646" s="1113"/>
      <c r="B646" s="1114"/>
      <c r="C646" s="1115"/>
      <c r="D646" s="1116"/>
      <c r="E646" s="1115"/>
      <c r="F646" s="1115"/>
      <c r="G646" s="1115"/>
      <c r="H646" s="1116"/>
      <c r="I646" s="1115"/>
      <c r="J646" s="1113"/>
    </row>
    <row r="647">
      <c r="A647" s="1113"/>
      <c r="B647" s="1114"/>
      <c r="C647" s="1115"/>
      <c r="D647" s="1116"/>
      <c r="E647" s="1115"/>
      <c r="F647" s="1115"/>
      <c r="G647" s="1115"/>
      <c r="H647" s="1116"/>
      <c r="I647" s="1115"/>
      <c r="J647" s="1113"/>
    </row>
    <row r="648">
      <c r="A648" s="1113"/>
      <c r="B648" s="1114"/>
      <c r="C648" s="1115"/>
      <c r="D648" s="1116"/>
      <c r="E648" s="1115"/>
      <c r="F648" s="1115"/>
      <c r="G648" s="1115"/>
      <c r="H648" s="1116"/>
      <c r="I648" s="1115"/>
      <c r="J648" s="1113"/>
    </row>
    <row r="649">
      <c r="A649" s="1113"/>
      <c r="B649" s="1114"/>
      <c r="C649" s="1115"/>
      <c r="D649" s="1116"/>
      <c r="E649" s="1115"/>
      <c r="F649" s="1115"/>
      <c r="G649" s="1115"/>
      <c r="H649" s="1116"/>
      <c r="I649" s="1115"/>
      <c r="J649" s="1113"/>
    </row>
    <row r="650">
      <c r="A650" s="1113"/>
      <c r="B650" s="1114"/>
      <c r="C650" s="1115"/>
      <c r="D650" s="1116"/>
      <c r="E650" s="1115"/>
      <c r="F650" s="1115"/>
      <c r="G650" s="1115"/>
      <c r="H650" s="1116"/>
      <c r="I650" s="1115"/>
      <c r="J650" s="1113"/>
    </row>
    <row r="651">
      <c r="A651" s="1113"/>
      <c r="B651" s="1114"/>
      <c r="C651" s="1115"/>
      <c r="D651" s="1116"/>
      <c r="E651" s="1115"/>
      <c r="F651" s="1115"/>
      <c r="G651" s="1115"/>
      <c r="H651" s="1116"/>
      <c r="I651" s="1115"/>
      <c r="J651" s="1113"/>
    </row>
    <row r="652">
      <c r="A652" s="1113"/>
      <c r="B652" s="1114"/>
      <c r="C652" s="1115"/>
      <c r="D652" s="1116"/>
      <c r="E652" s="1115"/>
      <c r="F652" s="1115"/>
      <c r="G652" s="1115"/>
      <c r="H652" s="1116"/>
      <c r="I652" s="1115"/>
      <c r="J652" s="1113"/>
    </row>
    <row r="653">
      <c r="A653" s="1113"/>
      <c r="B653" s="1114"/>
      <c r="C653" s="1115"/>
      <c r="D653" s="1116"/>
      <c r="E653" s="1115"/>
      <c r="F653" s="1115"/>
      <c r="G653" s="1115"/>
      <c r="H653" s="1116"/>
      <c r="I653" s="1115"/>
      <c r="J653" s="1113"/>
    </row>
    <row r="654">
      <c r="A654" s="1113"/>
      <c r="B654" s="1114"/>
      <c r="C654" s="1115"/>
      <c r="D654" s="1116"/>
      <c r="E654" s="1115"/>
      <c r="F654" s="1115"/>
      <c r="G654" s="1115"/>
      <c r="H654" s="1116"/>
      <c r="I654" s="1115"/>
      <c r="J654" s="1113"/>
    </row>
    <row r="655">
      <c r="A655" s="1113"/>
      <c r="B655" s="1114"/>
      <c r="C655" s="1115"/>
      <c r="D655" s="1116"/>
      <c r="E655" s="1115"/>
      <c r="F655" s="1115"/>
      <c r="G655" s="1115"/>
      <c r="H655" s="1116"/>
      <c r="I655" s="1115"/>
      <c r="J655" s="1113"/>
    </row>
    <row r="656">
      <c r="A656" s="1113"/>
      <c r="B656" s="1114"/>
      <c r="C656" s="1115"/>
      <c r="D656" s="1116"/>
      <c r="E656" s="1115"/>
      <c r="F656" s="1115"/>
      <c r="G656" s="1115"/>
      <c r="H656" s="1116"/>
      <c r="I656" s="1115"/>
      <c r="J656" s="1113"/>
    </row>
    <row r="657">
      <c r="A657" s="1113"/>
      <c r="B657" s="1114"/>
      <c r="C657" s="1115"/>
      <c r="D657" s="1116"/>
      <c r="E657" s="1115"/>
      <c r="F657" s="1115"/>
      <c r="G657" s="1115"/>
      <c r="H657" s="1116"/>
      <c r="I657" s="1115"/>
      <c r="J657" s="1113"/>
    </row>
    <row r="658">
      <c r="A658" s="1113"/>
      <c r="B658" s="1114"/>
      <c r="C658" s="1115"/>
      <c r="D658" s="1116"/>
      <c r="E658" s="1115"/>
      <c r="F658" s="1115"/>
      <c r="G658" s="1115"/>
      <c r="H658" s="1116"/>
      <c r="I658" s="1115"/>
      <c r="J658" s="1113"/>
    </row>
    <row r="659">
      <c r="A659" s="1113"/>
      <c r="B659" s="1114"/>
      <c r="C659" s="1115"/>
      <c r="D659" s="1116"/>
      <c r="E659" s="1115"/>
      <c r="F659" s="1115"/>
      <c r="G659" s="1115"/>
      <c r="H659" s="1116"/>
      <c r="I659" s="1115"/>
      <c r="J659" s="1113"/>
    </row>
    <row r="660">
      <c r="A660" s="1113"/>
      <c r="B660" s="1114"/>
      <c r="C660" s="1115"/>
      <c r="D660" s="1116"/>
      <c r="E660" s="1115"/>
      <c r="F660" s="1115"/>
      <c r="G660" s="1115"/>
      <c r="H660" s="1116"/>
      <c r="I660" s="1115"/>
      <c r="J660" s="1113"/>
    </row>
    <row r="661">
      <c r="A661" s="1113"/>
      <c r="B661" s="1114"/>
      <c r="C661" s="1115"/>
      <c r="D661" s="1116"/>
      <c r="E661" s="1115"/>
      <c r="F661" s="1115"/>
      <c r="G661" s="1115"/>
      <c r="H661" s="1116"/>
      <c r="I661" s="1115"/>
      <c r="J661" s="1113"/>
    </row>
    <row r="662">
      <c r="A662" s="1113"/>
      <c r="B662" s="1114"/>
      <c r="C662" s="1115"/>
      <c r="D662" s="1116"/>
      <c r="E662" s="1115"/>
      <c r="F662" s="1115"/>
      <c r="G662" s="1115"/>
      <c r="H662" s="1116"/>
      <c r="I662" s="1115"/>
      <c r="J662" s="1113"/>
    </row>
    <row r="663">
      <c r="A663" s="1113"/>
      <c r="B663" s="1114"/>
      <c r="C663" s="1115"/>
      <c r="D663" s="1116"/>
      <c r="E663" s="1115"/>
      <c r="F663" s="1115"/>
      <c r="G663" s="1115"/>
      <c r="H663" s="1116"/>
      <c r="I663" s="1115"/>
      <c r="J663" s="1113"/>
    </row>
    <row r="664">
      <c r="A664" s="1113"/>
      <c r="B664" s="1114"/>
      <c r="C664" s="1115"/>
      <c r="D664" s="1116"/>
      <c r="E664" s="1115"/>
      <c r="F664" s="1115"/>
      <c r="G664" s="1115"/>
      <c r="H664" s="1116"/>
      <c r="I664" s="1115"/>
      <c r="J664" s="1113"/>
    </row>
    <row r="665">
      <c r="A665" s="1113"/>
      <c r="B665" s="1114"/>
      <c r="C665" s="1115"/>
      <c r="D665" s="1116"/>
      <c r="E665" s="1115"/>
      <c r="F665" s="1115"/>
      <c r="G665" s="1115"/>
      <c r="H665" s="1116"/>
      <c r="I665" s="1115"/>
      <c r="J665" s="1113"/>
    </row>
    <row r="666">
      <c r="A666" s="1113"/>
      <c r="B666" s="1114"/>
      <c r="C666" s="1115"/>
      <c r="D666" s="1116"/>
      <c r="E666" s="1115"/>
      <c r="F666" s="1115"/>
      <c r="G666" s="1115"/>
      <c r="H666" s="1116"/>
      <c r="I666" s="1115"/>
      <c r="J666" s="1113"/>
    </row>
    <row r="667">
      <c r="A667" s="1113"/>
      <c r="B667" s="1114"/>
      <c r="C667" s="1115"/>
      <c r="D667" s="1116"/>
      <c r="E667" s="1115"/>
      <c r="F667" s="1115"/>
      <c r="G667" s="1115"/>
      <c r="H667" s="1116"/>
      <c r="I667" s="1115"/>
      <c r="J667" s="1113"/>
    </row>
    <row r="668">
      <c r="A668" s="1113"/>
      <c r="B668" s="1114"/>
      <c r="C668" s="1115"/>
      <c r="D668" s="1116"/>
      <c r="E668" s="1115"/>
      <c r="F668" s="1115"/>
      <c r="G668" s="1115"/>
      <c r="H668" s="1116"/>
      <c r="I668" s="1115"/>
      <c r="J668" s="1113"/>
    </row>
    <row r="669">
      <c r="A669" s="1113"/>
      <c r="B669" s="1114"/>
      <c r="C669" s="1115"/>
      <c r="D669" s="1116"/>
      <c r="E669" s="1115"/>
      <c r="F669" s="1115"/>
      <c r="G669" s="1115"/>
      <c r="H669" s="1116"/>
      <c r="I669" s="1115"/>
      <c r="J669" s="1113"/>
    </row>
    <row r="670">
      <c r="A670" s="1113"/>
      <c r="B670" s="1114"/>
      <c r="C670" s="1115"/>
      <c r="D670" s="1116"/>
      <c r="E670" s="1115"/>
      <c r="F670" s="1115"/>
      <c r="G670" s="1115"/>
      <c r="H670" s="1116"/>
      <c r="I670" s="1115"/>
      <c r="J670" s="1113"/>
    </row>
    <row r="671">
      <c r="A671" s="1113"/>
      <c r="B671" s="1114"/>
      <c r="C671" s="1115"/>
      <c r="D671" s="1116"/>
      <c r="E671" s="1115"/>
      <c r="F671" s="1115"/>
      <c r="G671" s="1115"/>
      <c r="H671" s="1116"/>
      <c r="I671" s="1115"/>
      <c r="J671" s="1113"/>
    </row>
    <row r="672">
      <c r="A672" s="1113"/>
      <c r="B672" s="1114"/>
      <c r="C672" s="1115"/>
      <c r="D672" s="1116"/>
      <c r="E672" s="1115"/>
      <c r="F672" s="1115"/>
      <c r="G672" s="1115"/>
      <c r="H672" s="1116"/>
      <c r="I672" s="1115"/>
      <c r="J672" s="1113"/>
    </row>
    <row r="673">
      <c r="A673" s="1113"/>
      <c r="B673" s="1114"/>
      <c r="C673" s="1115"/>
      <c r="D673" s="1116"/>
      <c r="E673" s="1115"/>
      <c r="F673" s="1115"/>
      <c r="G673" s="1115"/>
      <c r="H673" s="1116"/>
      <c r="I673" s="1115"/>
      <c r="J673" s="1113"/>
    </row>
    <row r="674">
      <c r="A674" s="1113"/>
      <c r="B674" s="1114"/>
      <c r="C674" s="1115"/>
      <c r="D674" s="1116"/>
      <c r="E674" s="1115"/>
      <c r="F674" s="1115"/>
      <c r="G674" s="1115"/>
      <c r="H674" s="1116"/>
      <c r="I674" s="1115"/>
      <c r="J674" s="1113"/>
    </row>
    <row r="675">
      <c r="A675" s="1113"/>
      <c r="B675" s="1114"/>
      <c r="C675" s="1115"/>
      <c r="D675" s="1116"/>
      <c r="E675" s="1115"/>
      <c r="F675" s="1115"/>
      <c r="G675" s="1115"/>
      <c r="H675" s="1116"/>
      <c r="I675" s="1115"/>
      <c r="J675" s="1113"/>
    </row>
    <row r="676">
      <c r="A676" s="1113"/>
      <c r="B676" s="1114"/>
      <c r="C676" s="1115"/>
      <c r="D676" s="1116"/>
      <c r="E676" s="1115"/>
      <c r="F676" s="1115"/>
      <c r="G676" s="1115"/>
      <c r="H676" s="1116"/>
      <c r="I676" s="1115"/>
      <c r="J676" s="1113"/>
    </row>
    <row r="677">
      <c r="A677" s="1113"/>
      <c r="B677" s="1114"/>
      <c r="C677" s="1115"/>
      <c r="D677" s="1116"/>
      <c r="E677" s="1115"/>
      <c r="F677" s="1115"/>
      <c r="G677" s="1115"/>
      <c r="H677" s="1116"/>
      <c r="I677" s="1115"/>
      <c r="J677" s="1113"/>
    </row>
    <row r="678">
      <c r="A678" s="1113"/>
      <c r="B678" s="1114"/>
      <c r="C678" s="1115"/>
      <c r="D678" s="1116"/>
      <c r="E678" s="1115"/>
      <c r="F678" s="1115"/>
      <c r="G678" s="1115"/>
      <c r="H678" s="1116"/>
      <c r="I678" s="1115"/>
      <c r="J678" s="1113"/>
    </row>
    <row r="679">
      <c r="A679" s="1113"/>
      <c r="B679" s="1114"/>
      <c r="C679" s="1115"/>
      <c r="D679" s="1116"/>
      <c r="E679" s="1115"/>
      <c r="F679" s="1115"/>
      <c r="G679" s="1115"/>
      <c r="H679" s="1116"/>
      <c r="I679" s="1115"/>
      <c r="J679" s="1113"/>
    </row>
    <row r="680">
      <c r="A680" s="1113"/>
      <c r="B680" s="1114"/>
      <c r="C680" s="1115"/>
      <c r="D680" s="1116"/>
      <c r="E680" s="1115"/>
      <c r="F680" s="1115"/>
      <c r="G680" s="1115"/>
      <c r="H680" s="1116"/>
      <c r="I680" s="1115"/>
      <c r="J680" s="1113"/>
    </row>
    <row r="681">
      <c r="A681" s="1113"/>
      <c r="B681" s="1114"/>
      <c r="C681" s="1115"/>
      <c r="D681" s="1116"/>
      <c r="E681" s="1115"/>
      <c r="F681" s="1115"/>
      <c r="G681" s="1115"/>
      <c r="H681" s="1116"/>
      <c r="I681" s="1115"/>
      <c r="J681" s="1113"/>
    </row>
    <row r="682">
      <c r="A682" s="1113"/>
      <c r="B682" s="1114"/>
      <c r="C682" s="1115"/>
      <c r="D682" s="1116"/>
      <c r="E682" s="1115"/>
      <c r="F682" s="1115"/>
      <c r="G682" s="1115"/>
      <c r="H682" s="1116"/>
      <c r="I682" s="1115"/>
      <c r="J682" s="1113"/>
    </row>
    <row r="683">
      <c r="A683" s="1113"/>
      <c r="B683" s="1114"/>
      <c r="C683" s="1115"/>
      <c r="D683" s="1116"/>
      <c r="E683" s="1115"/>
      <c r="F683" s="1115"/>
      <c r="G683" s="1115"/>
      <c r="H683" s="1116"/>
      <c r="I683" s="1115"/>
      <c r="J683" s="1113"/>
    </row>
    <row r="684">
      <c r="A684" s="1113"/>
      <c r="B684" s="1114"/>
      <c r="C684" s="1115"/>
      <c r="D684" s="1116"/>
      <c r="E684" s="1115"/>
      <c r="F684" s="1115"/>
      <c r="G684" s="1115"/>
      <c r="H684" s="1116"/>
      <c r="I684" s="1115"/>
      <c r="J684" s="1113"/>
    </row>
    <row r="685">
      <c r="A685" s="1113"/>
      <c r="B685" s="1114"/>
      <c r="C685" s="1115"/>
      <c r="D685" s="1116"/>
      <c r="E685" s="1115"/>
      <c r="F685" s="1115"/>
      <c r="G685" s="1115"/>
      <c r="H685" s="1116"/>
      <c r="I685" s="1115"/>
      <c r="J685" s="1113"/>
    </row>
    <row r="686">
      <c r="A686" s="1113"/>
      <c r="B686" s="1114"/>
      <c r="C686" s="1115"/>
      <c r="D686" s="1116"/>
      <c r="E686" s="1115"/>
      <c r="F686" s="1115"/>
      <c r="G686" s="1115"/>
      <c r="H686" s="1116"/>
      <c r="I686" s="1115"/>
      <c r="J686" s="1113"/>
    </row>
    <row r="687">
      <c r="A687" s="1113"/>
      <c r="B687" s="1114"/>
      <c r="C687" s="1115"/>
      <c r="D687" s="1116"/>
      <c r="E687" s="1115"/>
      <c r="F687" s="1115"/>
      <c r="G687" s="1115"/>
      <c r="H687" s="1116"/>
      <c r="I687" s="1115"/>
      <c r="J687" s="1113"/>
    </row>
    <row r="688">
      <c r="A688" s="1113"/>
      <c r="B688" s="1114"/>
      <c r="C688" s="1115"/>
      <c r="D688" s="1116"/>
      <c r="E688" s="1115"/>
      <c r="F688" s="1115"/>
      <c r="G688" s="1115"/>
      <c r="H688" s="1116"/>
      <c r="I688" s="1115"/>
      <c r="J688" s="1113"/>
    </row>
    <row r="689">
      <c r="A689" s="1113"/>
      <c r="B689" s="1114"/>
      <c r="C689" s="1115"/>
      <c r="D689" s="1116"/>
      <c r="E689" s="1115"/>
      <c r="F689" s="1115"/>
      <c r="G689" s="1115"/>
      <c r="H689" s="1116"/>
      <c r="I689" s="1115"/>
      <c r="J689" s="1113"/>
    </row>
    <row r="690">
      <c r="A690" s="1113"/>
      <c r="B690" s="1114"/>
      <c r="C690" s="1115"/>
      <c r="D690" s="1116"/>
      <c r="E690" s="1115"/>
      <c r="F690" s="1115"/>
      <c r="G690" s="1115"/>
      <c r="H690" s="1116"/>
      <c r="I690" s="1115"/>
      <c r="J690" s="1113"/>
    </row>
    <row r="691">
      <c r="A691" s="1113"/>
      <c r="B691" s="1114"/>
      <c r="C691" s="1115"/>
      <c r="D691" s="1116"/>
      <c r="E691" s="1115"/>
      <c r="F691" s="1115"/>
      <c r="G691" s="1115"/>
      <c r="H691" s="1116"/>
      <c r="I691" s="1115"/>
      <c r="J691" s="1113"/>
    </row>
    <row r="692">
      <c r="A692" s="1113"/>
      <c r="B692" s="1114"/>
      <c r="C692" s="1115"/>
      <c r="D692" s="1116"/>
      <c r="E692" s="1115"/>
      <c r="F692" s="1115"/>
      <c r="G692" s="1115"/>
      <c r="H692" s="1116"/>
      <c r="I692" s="1115"/>
      <c r="J692" s="1113"/>
    </row>
    <row r="693">
      <c r="A693" s="1113"/>
      <c r="B693" s="1114"/>
      <c r="C693" s="1115"/>
      <c r="D693" s="1116"/>
      <c r="E693" s="1115"/>
      <c r="F693" s="1115"/>
      <c r="G693" s="1115"/>
      <c r="H693" s="1116"/>
      <c r="I693" s="1115"/>
      <c r="J693" s="1113"/>
    </row>
    <row r="694">
      <c r="A694" s="1113"/>
      <c r="B694" s="1114"/>
      <c r="C694" s="1115"/>
      <c r="D694" s="1116"/>
      <c r="E694" s="1115"/>
      <c r="F694" s="1115"/>
      <c r="G694" s="1115"/>
      <c r="H694" s="1116"/>
      <c r="I694" s="1115"/>
      <c r="J694" s="1113"/>
    </row>
    <row r="695">
      <c r="A695" s="1113"/>
      <c r="B695" s="1114"/>
      <c r="C695" s="1115"/>
      <c r="D695" s="1116"/>
      <c r="E695" s="1115"/>
      <c r="F695" s="1115"/>
      <c r="G695" s="1115"/>
      <c r="H695" s="1116"/>
      <c r="I695" s="1115"/>
      <c r="J695" s="1113"/>
    </row>
    <row r="696">
      <c r="A696" s="1113"/>
      <c r="B696" s="1114"/>
      <c r="C696" s="1115"/>
      <c r="D696" s="1116"/>
      <c r="E696" s="1115"/>
      <c r="F696" s="1115"/>
      <c r="G696" s="1115"/>
      <c r="H696" s="1116"/>
      <c r="I696" s="1115"/>
      <c r="J696" s="1113"/>
    </row>
    <row r="697">
      <c r="A697" s="1113"/>
      <c r="B697" s="1114"/>
      <c r="C697" s="1115"/>
      <c r="D697" s="1116"/>
      <c r="E697" s="1115"/>
      <c r="F697" s="1115"/>
      <c r="G697" s="1115"/>
      <c r="H697" s="1116"/>
      <c r="I697" s="1115"/>
      <c r="J697" s="1113"/>
    </row>
    <row r="698">
      <c r="A698" s="1113"/>
      <c r="B698" s="1114"/>
      <c r="C698" s="1115"/>
      <c r="D698" s="1116"/>
      <c r="E698" s="1115"/>
      <c r="F698" s="1115"/>
      <c r="G698" s="1115"/>
      <c r="H698" s="1116"/>
      <c r="I698" s="1115"/>
      <c r="J698" s="1113"/>
    </row>
    <row r="699">
      <c r="A699" s="1113"/>
      <c r="B699" s="1114"/>
      <c r="C699" s="1115"/>
      <c r="D699" s="1116"/>
      <c r="E699" s="1115"/>
      <c r="F699" s="1115"/>
      <c r="G699" s="1115"/>
      <c r="H699" s="1116"/>
      <c r="I699" s="1115"/>
      <c r="J699" s="1113"/>
    </row>
    <row r="700">
      <c r="A700" s="1113"/>
      <c r="B700" s="1114"/>
      <c r="C700" s="1115"/>
      <c r="D700" s="1116"/>
      <c r="E700" s="1115"/>
      <c r="F700" s="1115"/>
      <c r="G700" s="1115"/>
      <c r="H700" s="1116"/>
      <c r="I700" s="1115"/>
      <c r="J700" s="1113"/>
    </row>
    <row r="701">
      <c r="A701" s="1113"/>
      <c r="B701" s="1114"/>
      <c r="C701" s="1115"/>
      <c r="D701" s="1116"/>
      <c r="E701" s="1115"/>
      <c r="F701" s="1115"/>
      <c r="G701" s="1115"/>
      <c r="H701" s="1116"/>
      <c r="I701" s="1115"/>
      <c r="J701" s="1113"/>
    </row>
    <row r="702">
      <c r="A702" s="1113"/>
      <c r="B702" s="1114"/>
      <c r="C702" s="1115"/>
      <c r="D702" s="1116"/>
      <c r="E702" s="1115"/>
      <c r="F702" s="1115"/>
      <c r="G702" s="1115"/>
      <c r="H702" s="1116"/>
      <c r="I702" s="1115"/>
      <c r="J702" s="1113"/>
    </row>
    <row r="703">
      <c r="A703" s="1113"/>
      <c r="B703" s="1114"/>
      <c r="C703" s="1115"/>
      <c r="D703" s="1116"/>
      <c r="E703" s="1115"/>
      <c r="F703" s="1115"/>
      <c r="G703" s="1115"/>
      <c r="H703" s="1116"/>
      <c r="I703" s="1115"/>
      <c r="J703" s="1113"/>
    </row>
    <row r="704">
      <c r="A704" s="1113"/>
      <c r="B704" s="1114"/>
      <c r="C704" s="1115"/>
      <c r="D704" s="1116"/>
      <c r="E704" s="1115"/>
      <c r="F704" s="1115"/>
      <c r="G704" s="1115"/>
      <c r="H704" s="1116"/>
      <c r="I704" s="1115"/>
      <c r="J704" s="1113"/>
    </row>
    <row r="705">
      <c r="A705" s="1113"/>
      <c r="B705" s="1114"/>
      <c r="C705" s="1115"/>
      <c r="D705" s="1116"/>
      <c r="E705" s="1115"/>
      <c r="F705" s="1115"/>
      <c r="G705" s="1115"/>
      <c r="H705" s="1116"/>
      <c r="I705" s="1115"/>
      <c r="J705" s="1113"/>
    </row>
    <row r="706">
      <c r="A706" s="1113"/>
      <c r="B706" s="1114"/>
      <c r="C706" s="1115"/>
      <c r="D706" s="1116"/>
      <c r="E706" s="1115"/>
      <c r="F706" s="1115"/>
      <c r="G706" s="1115"/>
      <c r="H706" s="1116"/>
      <c r="I706" s="1115"/>
      <c r="J706" s="1113"/>
    </row>
    <row r="707">
      <c r="A707" s="1113"/>
      <c r="B707" s="1114"/>
      <c r="C707" s="1115"/>
      <c r="D707" s="1116"/>
      <c r="E707" s="1115"/>
      <c r="F707" s="1115"/>
      <c r="G707" s="1115"/>
      <c r="H707" s="1116"/>
      <c r="I707" s="1115"/>
      <c r="J707" s="1113"/>
    </row>
    <row r="708">
      <c r="A708" s="1113"/>
      <c r="B708" s="1114"/>
      <c r="C708" s="1115"/>
      <c r="D708" s="1116"/>
      <c r="E708" s="1115"/>
      <c r="F708" s="1115"/>
      <c r="G708" s="1115"/>
      <c r="H708" s="1116"/>
      <c r="I708" s="1115"/>
      <c r="J708" s="1113"/>
    </row>
    <row r="709">
      <c r="A709" s="1113"/>
      <c r="B709" s="1114"/>
      <c r="C709" s="1115"/>
      <c r="D709" s="1116"/>
      <c r="E709" s="1115"/>
      <c r="F709" s="1115"/>
      <c r="G709" s="1115"/>
      <c r="H709" s="1116"/>
      <c r="I709" s="1115"/>
      <c r="J709" s="1113"/>
    </row>
    <row r="710">
      <c r="A710" s="1113"/>
      <c r="B710" s="1114"/>
      <c r="C710" s="1115"/>
      <c r="D710" s="1116"/>
      <c r="E710" s="1115"/>
      <c r="F710" s="1115"/>
      <c r="G710" s="1115"/>
      <c r="H710" s="1116"/>
      <c r="I710" s="1115"/>
      <c r="J710" s="1113"/>
    </row>
    <row r="711">
      <c r="A711" s="1113"/>
      <c r="B711" s="1114"/>
      <c r="C711" s="1115"/>
      <c r="D711" s="1116"/>
      <c r="E711" s="1115"/>
      <c r="F711" s="1115"/>
      <c r="G711" s="1115"/>
      <c r="H711" s="1116"/>
      <c r="I711" s="1115"/>
      <c r="J711" s="1113"/>
    </row>
    <row r="712">
      <c r="A712" s="1113"/>
      <c r="B712" s="1114"/>
      <c r="C712" s="1115"/>
      <c r="D712" s="1116"/>
      <c r="E712" s="1115"/>
      <c r="F712" s="1115"/>
      <c r="G712" s="1115"/>
      <c r="H712" s="1116"/>
      <c r="I712" s="1115"/>
      <c r="J712" s="1113"/>
    </row>
    <row r="713">
      <c r="A713" s="1113"/>
      <c r="B713" s="1114"/>
      <c r="C713" s="1115"/>
      <c r="D713" s="1116"/>
      <c r="E713" s="1115"/>
      <c r="F713" s="1115"/>
      <c r="G713" s="1115"/>
      <c r="H713" s="1116"/>
      <c r="I713" s="1115"/>
      <c r="J713" s="1113"/>
    </row>
    <row r="714">
      <c r="A714" s="1113"/>
      <c r="B714" s="1114"/>
      <c r="C714" s="1115"/>
      <c r="D714" s="1116"/>
      <c r="E714" s="1115"/>
      <c r="F714" s="1115"/>
      <c r="G714" s="1115"/>
      <c r="H714" s="1116"/>
      <c r="I714" s="1115"/>
      <c r="J714" s="1113"/>
    </row>
    <row r="715">
      <c r="A715" s="1113"/>
      <c r="B715" s="1114"/>
      <c r="C715" s="1115"/>
      <c r="D715" s="1116"/>
      <c r="E715" s="1115"/>
      <c r="F715" s="1115"/>
      <c r="G715" s="1115"/>
      <c r="H715" s="1116"/>
      <c r="I715" s="1115"/>
      <c r="J715" s="1113"/>
    </row>
    <row r="716">
      <c r="A716" s="1113"/>
      <c r="B716" s="1114"/>
      <c r="C716" s="1115"/>
      <c r="D716" s="1116"/>
      <c r="E716" s="1115"/>
      <c r="F716" s="1115"/>
      <c r="G716" s="1115"/>
      <c r="H716" s="1116"/>
      <c r="I716" s="1115"/>
      <c r="J716" s="1113"/>
    </row>
    <row r="717">
      <c r="A717" s="1113"/>
      <c r="B717" s="1114"/>
      <c r="C717" s="1115"/>
      <c r="D717" s="1116"/>
      <c r="E717" s="1115"/>
      <c r="F717" s="1115"/>
      <c r="G717" s="1115"/>
      <c r="H717" s="1116"/>
      <c r="I717" s="1115"/>
      <c r="J717" s="1113"/>
    </row>
    <row r="718">
      <c r="A718" s="1113"/>
      <c r="B718" s="1114"/>
      <c r="C718" s="1115"/>
      <c r="D718" s="1116"/>
      <c r="E718" s="1115"/>
      <c r="F718" s="1115"/>
      <c r="G718" s="1115"/>
      <c r="H718" s="1116"/>
      <c r="I718" s="1115"/>
      <c r="J718" s="1113"/>
    </row>
    <row r="719">
      <c r="A719" s="1113"/>
      <c r="B719" s="1114"/>
      <c r="C719" s="1115"/>
      <c r="D719" s="1116"/>
      <c r="E719" s="1115"/>
      <c r="F719" s="1115"/>
      <c r="G719" s="1115"/>
      <c r="H719" s="1116"/>
      <c r="I719" s="1115"/>
      <c r="J719" s="1113"/>
    </row>
    <row r="720">
      <c r="A720" s="1113"/>
      <c r="B720" s="1114"/>
      <c r="C720" s="1115"/>
      <c r="D720" s="1116"/>
      <c r="E720" s="1115"/>
      <c r="F720" s="1115"/>
      <c r="G720" s="1115"/>
      <c r="H720" s="1116"/>
      <c r="I720" s="1115"/>
      <c r="J720" s="1113"/>
    </row>
    <row r="721">
      <c r="A721" s="1113"/>
      <c r="B721" s="1114"/>
      <c r="C721" s="1115"/>
      <c r="D721" s="1116"/>
      <c r="E721" s="1115"/>
      <c r="F721" s="1115"/>
      <c r="G721" s="1115"/>
      <c r="H721" s="1116"/>
      <c r="I721" s="1115"/>
      <c r="J721" s="1113"/>
    </row>
    <row r="722">
      <c r="A722" s="1113"/>
      <c r="B722" s="1114"/>
      <c r="C722" s="1115"/>
      <c r="D722" s="1116"/>
      <c r="E722" s="1115"/>
      <c r="F722" s="1115"/>
      <c r="G722" s="1115"/>
      <c r="H722" s="1116"/>
      <c r="I722" s="1115"/>
      <c r="J722" s="1113"/>
    </row>
    <row r="723">
      <c r="A723" s="1113"/>
      <c r="B723" s="1114"/>
      <c r="C723" s="1115"/>
      <c r="D723" s="1116"/>
      <c r="E723" s="1115"/>
      <c r="F723" s="1115"/>
      <c r="G723" s="1115"/>
      <c r="H723" s="1116"/>
      <c r="I723" s="1115"/>
      <c r="J723" s="1113"/>
    </row>
    <row r="724">
      <c r="A724" s="1113"/>
      <c r="B724" s="1114"/>
      <c r="C724" s="1115"/>
      <c r="D724" s="1116"/>
      <c r="E724" s="1115"/>
      <c r="F724" s="1115"/>
      <c r="G724" s="1115"/>
      <c r="H724" s="1116"/>
      <c r="I724" s="1115"/>
      <c r="J724" s="1113"/>
    </row>
    <row r="725">
      <c r="A725" s="1113"/>
      <c r="B725" s="1114"/>
      <c r="C725" s="1115"/>
      <c r="D725" s="1116"/>
      <c r="E725" s="1115"/>
      <c r="F725" s="1115"/>
      <c r="G725" s="1115"/>
      <c r="H725" s="1116"/>
      <c r="I725" s="1115"/>
      <c r="J725" s="1113"/>
    </row>
    <row r="726">
      <c r="A726" s="1113"/>
      <c r="B726" s="1114"/>
      <c r="C726" s="1115"/>
      <c r="D726" s="1116"/>
      <c r="E726" s="1115"/>
      <c r="F726" s="1115"/>
      <c r="G726" s="1115"/>
      <c r="H726" s="1116"/>
      <c r="I726" s="1115"/>
      <c r="J726" s="1113"/>
    </row>
    <row r="727">
      <c r="A727" s="1113"/>
      <c r="B727" s="1114"/>
      <c r="C727" s="1115"/>
      <c r="D727" s="1116"/>
      <c r="E727" s="1115"/>
      <c r="F727" s="1115"/>
      <c r="G727" s="1115"/>
      <c r="H727" s="1116"/>
      <c r="I727" s="1115"/>
      <c r="J727" s="1113"/>
    </row>
    <row r="728">
      <c r="A728" s="1113"/>
      <c r="B728" s="1114"/>
      <c r="C728" s="1115"/>
      <c r="D728" s="1116"/>
      <c r="E728" s="1115"/>
      <c r="F728" s="1115"/>
      <c r="G728" s="1115"/>
      <c r="H728" s="1116"/>
      <c r="I728" s="1115"/>
      <c r="J728" s="1113"/>
    </row>
    <row r="729">
      <c r="A729" s="1113"/>
      <c r="B729" s="1114"/>
      <c r="C729" s="1115"/>
      <c r="D729" s="1116"/>
      <c r="E729" s="1115"/>
      <c r="F729" s="1115"/>
      <c r="G729" s="1115"/>
      <c r="H729" s="1116"/>
      <c r="I729" s="1115"/>
      <c r="J729" s="1113"/>
    </row>
    <row r="730">
      <c r="A730" s="1113"/>
      <c r="B730" s="1114"/>
      <c r="C730" s="1115"/>
      <c r="D730" s="1116"/>
      <c r="E730" s="1115"/>
      <c r="F730" s="1115"/>
      <c r="G730" s="1115"/>
      <c r="H730" s="1116"/>
      <c r="I730" s="1115"/>
      <c r="J730" s="1113"/>
    </row>
    <row r="731">
      <c r="A731" s="1113"/>
      <c r="B731" s="1114"/>
      <c r="C731" s="1115"/>
      <c r="D731" s="1116"/>
      <c r="E731" s="1115"/>
      <c r="F731" s="1115"/>
      <c r="G731" s="1115"/>
      <c r="H731" s="1116"/>
      <c r="I731" s="1115"/>
      <c r="J731" s="1113"/>
    </row>
    <row r="732">
      <c r="A732" s="1113"/>
      <c r="B732" s="1114"/>
      <c r="C732" s="1115"/>
      <c r="D732" s="1116"/>
      <c r="E732" s="1115"/>
      <c r="F732" s="1115"/>
      <c r="G732" s="1115"/>
      <c r="H732" s="1116"/>
      <c r="I732" s="1115"/>
      <c r="J732" s="1113"/>
    </row>
    <row r="733">
      <c r="A733" s="1113"/>
      <c r="B733" s="1114"/>
      <c r="C733" s="1115"/>
      <c r="D733" s="1116"/>
      <c r="E733" s="1115"/>
      <c r="F733" s="1115"/>
      <c r="G733" s="1115"/>
      <c r="H733" s="1116"/>
      <c r="I733" s="1115"/>
      <c r="J733" s="1113"/>
    </row>
    <row r="734">
      <c r="A734" s="1113"/>
      <c r="B734" s="1114"/>
      <c r="C734" s="1115"/>
      <c r="D734" s="1116"/>
      <c r="E734" s="1115"/>
      <c r="F734" s="1115"/>
      <c r="G734" s="1115"/>
      <c r="H734" s="1116"/>
      <c r="I734" s="1115"/>
      <c r="J734" s="1113"/>
    </row>
    <row r="735">
      <c r="A735" s="1113"/>
      <c r="B735" s="1114"/>
      <c r="C735" s="1115"/>
      <c r="D735" s="1116"/>
      <c r="E735" s="1115"/>
      <c r="F735" s="1115"/>
      <c r="G735" s="1115"/>
      <c r="H735" s="1116"/>
      <c r="I735" s="1115"/>
      <c r="J735" s="1113"/>
    </row>
    <row r="736">
      <c r="A736" s="1113"/>
      <c r="B736" s="1114"/>
      <c r="C736" s="1115"/>
      <c r="D736" s="1116"/>
      <c r="E736" s="1115"/>
      <c r="F736" s="1115"/>
      <c r="G736" s="1115"/>
      <c r="H736" s="1116"/>
      <c r="I736" s="1115"/>
      <c r="J736" s="1113"/>
    </row>
    <row r="737">
      <c r="A737" s="1113"/>
      <c r="B737" s="1114"/>
      <c r="C737" s="1115"/>
      <c r="D737" s="1116"/>
      <c r="E737" s="1115"/>
      <c r="F737" s="1115"/>
      <c r="G737" s="1115"/>
      <c r="H737" s="1116"/>
      <c r="I737" s="1115"/>
      <c r="J737" s="1113"/>
    </row>
    <row r="738">
      <c r="A738" s="1113"/>
      <c r="B738" s="1114"/>
      <c r="C738" s="1115"/>
      <c r="D738" s="1116"/>
      <c r="E738" s="1115"/>
      <c r="F738" s="1115"/>
      <c r="G738" s="1115"/>
      <c r="H738" s="1116"/>
      <c r="I738" s="1115"/>
      <c r="J738" s="1113"/>
    </row>
    <row r="739">
      <c r="A739" s="1113"/>
      <c r="B739" s="1114"/>
      <c r="C739" s="1115"/>
      <c r="D739" s="1116"/>
      <c r="E739" s="1115"/>
      <c r="F739" s="1115"/>
      <c r="G739" s="1115"/>
      <c r="H739" s="1116"/>
      <c r="I739" s="1115"/>
      <c r="J739" s="1113"/>
    </row>
    <row r="740">
      <c r="A740" s="1113"/>
      <c r="B740" s="1114"/>
      <c r="C740" s="1115"/>
      <c r="D740" s="1116"/>
      <c r="E740" s="1115"/>
      <c r="F740" s="1115"/>
      <c r="G740" s="1115"/>
      <c r="H740" s="1116"/>
      <c r="I740" s="1115"/>
      <c r="J740" s="1113"/>
    </row>
    <row r="741">
      <c r="A741" s="1113"/>
      <c r="B741" s="1114"/>
      <c r="C741" s="1115"/>
      <c r="D741" s="1116"/>
      <c r="E741" s="1115"/>
      <c r="F741" s="1115"/>
      <c r="G741" s="1115"/>
      <c r="H741" s="1116"/>
      <c r="I741" s="1115"/>
      <c r="J741" s="1113"/>
    </row>
    <row r="742">
      <c r="A742" s="1113"/>
      <c r="B742" s="1114"/>
      <c r="C742" s="1115"/>
      <c r="D742" s="1116"/>
      <c r="E742" s="1115"/>
      <c r="F742" s="1115"/>
      <c r="G742" s="1115"/>
      <c r="H742" s="1116"/>
      <c r="I742" s="1115"/>
      <c r="J742" s="1113"/>
    </row>
    <row r="743">
      <c r="A743" s="1113"/>
      <c r="B743" s="1114"/>
      <c r="C743" s="1115"/>
      <c r="D743" s="1116"/>
      <c r="E743" s="1115"/>
      <c r="F743" s="1115"/>
      <c r="G743" s="1115"/>
      <c r="H743" s="1116"/>
      <c r="I743" s="1115"/>
      <c r="J743" s="1113"/>
    </row>
    <row r="744">
      <c r="A744" s="1113"/>
      <c r="B744" s="1114"/>
      <c r="C744" s="1115"/>
      <c r="D744" s="1116"/>
      <c r="E744" s="1115"/>
      <c r="F744" s="1115"/>
      <c r="G744" s="1115"/>
      <c r="H744" s="1116"/>
      <c r="I744" s="1115"/>
      <c r="J744" s="1113"/>
    </row>
    <row r="745">
      <c r="A745" s="1113"/>
      <c r="B745" s="1114"/>
      <c r="C745" s="1115"/>
      <c r="D745" s="1116"/>
      <c r="E745" s="1115"/>
      <c r="F745" s="1115"/>
      <c r="G745" s="1115"/>
      <c r="H745" s="1116"/>
      <c r="I745" s="1115"/>
      <c r="J745" s="1113"/>
    </row>
    <row r="746">
      <c r="A746" s="1113"/>
      <c r="B746" s="1114"/>
      <c r="C746" s="1115"/>
      <c r="D746" s="1116"/>
      <c r="E746" s="1115"/>
      <c r="F746" s="1115"/>
      <c r="G746" s="1115"/>
      <c r="H746" s="1116"/>
      <c r="I746" s="1115"/>
      <c r="J746" s="1113"/>
    </row>
    <row r="747">
      <c r="A747" s="1113"/>
      <c r="B747" s="1114"/>
      <c r="C747" s="1115"/>
      <c r="D747" s="1116"/>
      <c r="E747" s="1115"/>
      <c r="F747" s="1115"/>
      <c r="G747" s="1115"/>
      <c r="H747" s="1116"/>
      <c r="I747" s="1115"/>
      <c r="J747" s="1113"/>
    </row>
    <row r="748">
      <c r="A748" s="1113"/>
      <c r="B748" s="1114"/>
      <c r="C748" s="1115"/>
      <c r="D748" s="1116"/>
      <c r="E748" s="1115"/>
      <c r="F748" s="1115"/>
      <c r="G748" s="1115"/>
      <c r="H748" s="1116"/>
      <c r="I748" s="1115"/>
      <c r="J748" s="1113"/>
    </row>
    <row r="749">
      <c r="A749" s="1113"/>
      <c r="B749" s="1114"/>
      <c r="C749" s="1115"/>
      <c r="D749" s="1116"/>
      <c r="E749" s="1115"/>
      <c r="F749" s="1115"/>
      <c r="G749" s="1115"/>
      <c r="H749" s="1116"/>
      <c r="I749" s="1115"/>
      <c r="J749" s="1113"/>
    </row>
    <row r="750">
      <c r="A750" s="1113"/>
      <c r="B750" s="1114"/>
      <c r="C750" s="1115"/>
      <c r="D750" s="1116"/>
      <c r="E750" s="1115"/>
      <c r="F750" s="1115"/>
      <c r="G750" s="1115"/>
      <c r="H750" s="1116"/>
      <c r="I750" s="1115"/>
      <c r="J750" s="1113"/>
    </row>
    <row r="751">
      <c r="A751" s="1113"/>
      <c r="B751" s="1114"/>
      <c r="C751" s="1115"/>
      <c r="D751" s="1116"/>
      <c r="E751" s="1115"/>
      <c r="F751" s="1115"/>
      <c r="G751" s="1115"/>
      <c r="H751" s="1116"/>
      <c r="I751" s="1115"/>
      <c r="J751" s="1113"/>
    </row>
    <row r="752">
      <c r="A752" s="1113"/>
      <c r="B752" s="1114"/>
      <c r="C752" s="1115"/>
      <c r="D752" s="1116"/>
      <c r="E752" s="1115"/>
      <c r="F752" s="1115"/>
      <c r="G752" s="1115"/>
      <c r="H752" s="1116"/>
      <c r="I752" s="1115"/>
      <c r="J752" s="1113"/>
    </row>
    <row r="753">
      <c r="A753" s="1113"/>
      <c r="B753" s="1114"/>
      <c r="C753" s="1115"/>
      <c r="D753" s="1116"/>
      <c r="E753" s="1115"/>
      <c r="F753" s="1115"/>
      <c r="G753" s="1115"/>
      <c r="H753" s="1116"/>
      <c r="I753" s="1115"/>
      <c r="J753" s="1113"/>
    </row>
    <row r="754">
      <c r="A754" s="1113"/>
      <c r="B754" s="1114"/>
      <c r="C754" s="1115"/>
      <c r="D754" s="1116"/>
      <c r="E754" s="1115"/>
      <c r="F754" s="1115"/>
      <c r="G754" s="1115"/>
      <c r="H754" s="1116"/>
      <c r="I754" s="1115"/>
      <c r="J754" s="1113"/>
    </row>
    <row r="755">
      <c r="A755" s="1113"/>
      <c r="B755" s="1114"/>
      <c r="C755" s="1115"/>
      <c r="D755" s="1116"/>
      <c r="E755" s="1115"/>
      <c r="F755" s="1115"/>
      <c r="G755" s="1115"/>
      <c r="H755" s="1116"/>
      <c r="I755" s="1115"/>
      <c r="J755" s="1113"/>
    </row>
    <row r="756">
      <c r="A756" s="1113"/>
      <c r="B756" s="1114"/>
      <c r="C756" s="1115"/>
      <c r="D756" s="1116"/>
      <c r="E756" s="1115"/>
      <c r="F756" s="1115"/>
      <c r="G756" s="1115"/>
      <c r="H756" s="1116"/>
      <c r="I756" s="1115"/>
      <c r="J756" s="1113"/>
    </row>
    <row r="757">
      <c r="A757" s="1113"/>
      <c r="B757" s="1114"/>
      <c r="C757" s="1115"/>
      <c r="D757" s="1116"/>
      <c r="E757" s="1115"/>
      <c r="F757" s="1115"/>
      <c r="G757" s="1115"/>
      <c r="H757" s="1116"/>
      <c r="I757" s="1115"/>
      <c r="J757" s="1113"/>
    </row>
    <row r="758">
      <c r="A758" s="1113"/>
      <c r="B758" s="1114"/>
      <c r="C758" s="1115"/>
      <c r="D758" s="1116"/>
      <c r="E758" s="1115"/>
      <c r="F758" s="1115"/>
      <c r="G758" s="1115"/>
      <c r="H758" s="1116"/>
      <c r="I758" s="1115"/>
      <c r="J758" s="1113"/>
    </row>
    <row r="759">
      <c r="A759" s="1113"/>
      <c r="B759" s="1114"/>
      <c r="C759" s="1115"/>
      <c r="D759" s="1116"/>
      <c r="E759" s="1115"/>
      <c r="F759" s="1115"/>
      <c r="G759" s="1115"/>
      <c r="H759" s="1116"/>
      <c r="I759" s="1115"/>
      <c r="J759" s="1113"/>
    </row>
    <row r="760">
      <c r="A760" s="1113"/>
      <c r="B760" s="1114"/>
      <c r="C760" s="1115"/>
      <c r="D760" s="1116"/>
      <c r="E760" s="1115"/>
      <c r="F760" s="1115"/>
      <c r="G760" s="1115"/>
      <c r="H760" s="1116"/>
      <c r="I760" s="1115"/>
      <c r="J760" s="1113"/>
    </row>
    <row r="761">
      <c r="A761" s="1113"/>
      <c r="B761" s="1114"/>
      <c r="C761" s="1115"/>
      <c r="D761" s="1116"/>
      <c r="E761" s="1115"/>
      <c r="F761" s="1115"/>
      <c r="G761" s="1115"/>
      <c r="H761" s="1116"/>
      <c r="I761" s="1115"/>
      <c r="J761" s="1113"/>
    </row>
    <row r="762">
      <c r="A762" s="1113"/>
      <c r="B762" s="1114"/>
      <c r="C762" s="1115"/>
      <c r="D762" s="1116"/>
      <c r="E762" s="1115"/>
      <c r="F762" s="1115"/>
      <c r="G762" s="1115"/>
      <c r="H762" s="1116"/>
      <c r="I762" s="1115"/>
      <c r="J762" s="1113"/>
    </row>
    <row r="763">
      <c r="A763" s="1113"/>
      <c r="B763" s="1114"/>
      <c r="C763" s="1115"/>
      <c r="D763" s="1116"/>
      <c r="E763" s="1115"/>
      <c r="F763" s="1115"/>
      <c r="G763" s="1115"/>
      <c r="H763" s="1116"/>
      <c r="I763" s="1115"/>
      <c r="J763" s="1113"/>
    </row>
    <row r="764">
      <c r="A764" s="1113"/>
      <c r="B764" s="1114"/>
      <c r="C764" s="1115"/>
      <c r="D764" s="1116"/>
      <c r="E764" s="1115"/>
      <c r="F764" s="1115"/>
      <c r="G764" s="1115"/>
      <c r="H764" s="1116"/>
      <c r="I764" s="1115"/>
      <c r="J764" s="1113"/>
    </row>
    <row r="765">
      <c r="A765" s="1113"/>
      <c r="B765" s="1114"/>
      <c r="C765" s="1115"/>
      <c r="D765" s="1116"/>
      <c r="E765" s="1115"/>
      <c r="F765" s="1115"/>
      <c r="G765" s="1115"/>
      <c r="H765" s="1116"/>
      <c r="I765" s="1115"/>
      <c r="J765" s="1113"/>
    </row>
    <row r="766">
      <c r="A766" s="1113"/>
      <c r="B766" s="1114"/>
      <c r="C766" s="1115"/>
      <c r="D766" s="1116"/>
      <c r="E766" s="1115"/>
      <c r="F766" s="1115"/>
      <c r="G766" s="1115"/>
      <c r="H766" s="1116"/>
      <c r="I766" s="1115"/>
      <c r="J766" s="1113"/>
    </row>
    <row r="767">
      <c r="A767" s="1113"/>
      <c r="B767" s="1114"/>
      <c r="C767" s="1115"/>
      <c r="D767" s="1116"/>
      <c r="E767" s="1115"/>
      <c r="F767" s="1115"/>
      <c r="G767" s="1115"/>
      <c r="H767" s="1116"/>
      <c r="I767" s="1115"/>
      <c r="J767" s="1113"/>
    </row>
    <row r="768">
      <c r="A768" s="1113"/>
      <c r="B768" s="1114"/>
      <c r="C768" s="1115"/>
      <c r="D768" s="1116"/>
      <c r="E768" s="1115"/>
      <c r="F768" s="1115"/>
      <c r="G768" s="1115"/>
      <c r="H768" s="1116"/>
      <c r="I768" s="1115"/>
      <c r="J768" s="1113"/>
    </row>
    <row r="769">
      <c r="A769" s="1113"/>
      <c r="B769" s="1114"/>
      <c r="C769" s="1115"/>
      <c r="D769" s="1116"/>
      <c r="E769" s="1115"/>
      <c r="F769" s="1115"/>
      <c r="G769" s="1115"/>
      <c r="H769" s="1116"/>
      <c r="I769" s="1115"/>
      <c r="J769" s="1113"/>
    </row>
    <row r="770">
      <c r="A770" s="1113"/>
      <c r="B770" s="1114"/>
      <c r="C770" s="1115"/>
      <c r="D770" s="1116"/>
      <c r="E770" s="1115"/>
      <c r="F770" s="1115"/>
      <c r="G770" s="1115"/>
      <c r="H770" s="1116"/>
      <c r="I770" s="1115"/>
      <c r="J770" s="1113"/>
    </row>
    <row r="771">
      <c r="A771" s="1113"/>
      <c r="B771" s="1114"/>
      <c r="C771" s="1115"/>
      <c r="D771" s="1116"/>
      <c r="E771" s="1115"/>
      <c r="F771" s="1115"/>
      <c r="G771" s="1115"/>
      <c r="H771" s="1116"/>
      <c r="I771" s="1115"/>
      <c r="J771" s="1113"/>
    </row>
    <row r="772">
      <c r="A772" s="1113"/>
      <c r="B772" s="1114"/>
      <c r="C772" s="1115"/>
      <c r="D772" s="1116"/>
      <c r="E772" s="1115"/>
      <c r="F772" s="1115"/>
      <c r="G772" s="1115"/>
      <c r="H772" s="1116"/>
      <c r="I772" s="1115"/>
      <c r="J772" s="1113"/>
    </row>
    <row r="773">
      <c r="A773" s="1113"/>
      <c r="B773" s="1114"/>
      <c r="C773" s="1115"/>
      <c r="D773" s="1116"/>
      <c r="E773" s="1115"/>
      <c r="F773" s="1115"/>
      <c r="G773" s="1115"/>
      <c r="H773" s="1116"/>
      <c r="I773" s="1115"/>
      <c r="J773" s="1113"/>
    </row>
    <row r="774">
      <c r="A774" s="1113"/>
      <c r="B774" s="1114"/>
      <c r="C774" s="1115"/>
      <c r="D774" s="1116"/>
      <c r="E774" s="1115"/>
      <c r="F774" s="1115"/>
      <c r="G774" s="1115"/>
      <c r="H774" s="1116"/>
      <c r="I774" s="1115"/>
      <c r="J774" s="1113"/>
    </row>
    <row r="775">
      <c r="A775" s="1113"/>
      <c r="B775" s="1114"/>
      <c r="C775" s="1115"/>
      <c r="D775" s="1116"/>
      <c r="E775" s="1115"/>
      <c r="F775" s="1115"/>
      <c r="G775" s="1115"/>
      <c r="H775" s="1116"/>
      <c r="I775" s="1115"/>
      <c r="J775" s="1113"/>
    </row>
    <row r="776">
      <c r="A776" s="1113"/>
      <c r="B776" s="1114"/>
      <c r="C776" s="1115"/>
      <c r="D776" s="1116"/>
      <c r="E776" s="1115"/>
      <c r="F776" s="1115"/>
      <c r="G776" s="1115"/>
      <c r="H776" s="1116"/>
      <c r="I776" s="1115"/>
      <c r="J776" s="1113"/>
    </row>
    <row r="777">
      <c r="A777" s="1113"/>
      <c r="B777" s="1114"/>
      <c r="C777" s="1115"/>
      <c r="D777" s="1116"/>
      <c r="E777" s="1115"/>
      <c r="F777" s="1115"/>
      <c r="G777" s="1115"/>
      <c r="H777" s="1116"/>
      <c r="I777" s="1115"/>
      <c r="J777" s="1113"/>
    </row>
    <row r="778">
      <c r="A778" s="1113"/>
      <c r="B778" s="1114"/>
      <c r="C778" s="1115"/>
      <c r="D778" s="1116"/>
      <c r="E778" s="1115"/>
      <c r="F778" s="1115"/>
      <c r="G778" s="1115"/>
      <c r="H778" s="1116"/>
      <c r="I778" s="1115"/>
      <c r="J778" s="1113"/>
    </row>
    <row r="779">
      <c r="A779" s="1113"/>
      <c r="B779" s="1114"/>
      <c r="C779" s="1115"/>
      <c r="D779" s="1116"/>
      <c r="E779" s="1115"/>
      <c r="F779" s="1115"/>
      <c r="G779" s="1115"/>
      <c r="H779" s="1116"/>
      <c r="I779" s="1115"/>
      <c r="J779" s="1113"/>
    </row>
    <row r="780">
      <c r="A780" s="1113"/>
      <c r="B780" s="1114"/>
      <c r="C780" s="1115"/>
      <c r="D780" s="1116"/>
      <c r="E780" s="1115"/>
      <c r="F780" s="1115"/>
      <c r="G780" s="1115"/>
      <c r="H780" s="1116"/>
      <c r="I780" s="1115"/>
      <c r="J780" s="1113"/>
    </row>
    <row r="781">
      <c r="A781" s="1113"/>
      <c r="B781" s="1114"/>
      <c r="C781" s="1115"/>
      <c r="D781" s="1116"/>
      <c r="E781" s="1115"/>
      <c r="F781" s="1115"/>
      <c r="G781" s="1115"/>
      <c r="H781" s="1116"/>
      <c r="I781" s="1115"/>
      <c r="J781" s="1113"/>
    </row>
    <row r="782">
      <c r="A782" s="1113"/>
      <c r="B782" s="1114"/>
      <c r="C782" s="1115"/>
      <c r="D782" s="1116"/>
      <c r="E782" s="1115"/>
      <c r="F782" s="1115"/>
      <c r="G782" s="1115"/>
      <c r="H782" s="1116"/>
      <c r="I782" s="1115"/>
      <c r="J782" s="1113"/>
    </row>
    <row r="783">
      <c r="A783" s="1113"/>
      <c r="B783" s="1114"/>
      <c r="C783" s="1115"/>
      <c r="D783" s="1116"/>
      <c r="E783" s="1115"/>
      <c r="F783" s="1115"/>
      <c r="G783" s="1115"/>
      <c r="H783" s="1116"/>
      <c r="I783" s="1115"/>
      <c r="J783" s="1113"/>
    </row>
    <row r="784">
      <c r="A784" s="1113"/>
      <c r="B784" s="1114"/>
      <c r="C784" s="1115"/>
      <c r="D784" s="1116"/>
      <c r="E784" s="1115"/>
      <c r="F784" s="1115"/>
      <c r="G784" s="1115"/>
      <c r="H784" s="1116"/>
      <c r="I784" s="1115"/>
      <c r="J784" s="1113"/>
    </row>
    <row r="785">
      <c r="A785" s="1113"/>
      <c r="B785" s="1114"/>
      <c r="C785" s="1115"/>
      <c r="D785" s="1116"/>
      <c r="E785" s="1115"/>
      <c r="F785" s="1115"/>
      <c r="G785" s="1115"/>
      <c r="H785" s="1116"/>
      <c r="I785" s="1115"/>
      <c r="J785" s="1113"/>
    </row>
    <row r="786">
      <c r="A786" s="1113"/>
      <c r="B786" s="1114"/>
      <c r="C786" s="1115"/>
      <c r="D786" s="1116"/>
      <c r="E786" s="1115"/>
      <c r="F786" s="1115"/>
      <c r="G786" s="1115"/>
      <c r="H786" s="1116"/>
      <c r="I786" s="1115"/>
      <c r="J786" s="1113"/>
    </row>
    <row r="787">
      <c r="A787" s="1113"/>
      <c r="B787" s="1114"/>
      <c r="C787" s="1115"/>
      <c r="D787" s="1116"/>
      <c r="E787" s="1115"/>
      <c r="F787" s="1115"/>
      <c r="G787" s="1115"/>
      <c r="H787" s="1116"/>
      <c r="I787" s="1115"/>
      <c r="J787" s="1113"/>
    </row>
    <row r="788">
      <c r="A788" s="1113"/>
      <c r="B788" s="1114"/>
      <c r="C788" s="1115"/>
      <c r="D788" s="1116"/>
      <c r="E788" s="1115"/>
      <c r="F788" s="1115"/>
      <c r="G788" s="1115"/>
      <c r="H788" s="1116"/>
      <c r="I788" s="1115"/>
      <c r="J788" s="1113"/>
    </row>
    <row r="789">
      <c r="A789" s="1113"/>
      <c r="B789" s="1114"/>
      <c r="C789" s="1115"/>
      <c r="D789" s="1116"/>
      <c r="E789" s="1115"/>
      <c r="F789" s="1115"/>
      <c r="G789" s="1115"/>
      <c r="H789" s="1116"/>
      <c r="I789" s="1115"/>
      <c r="J789" s="1113"/>
    </row>
    <row r="790">
      <c r="A790" s="1113"/>
      <c r="B790" s="1114"/>
      <c r="C790" s="1115"/>
      <c r="D790" s="1116"/>
      <c r="E790" s="1115"/>
      <c r="F790" s="1115"/>
      <c r="G790" s="1115"/>
      <c r="H790" s="1116"/>
      <c r="I790" s="1115"/>
      <c r="J790" s="1113"/>
    </row>
    <row r="791">
      <c r="A791" s="1113"/>
      <c r="B791" s="1114"/>
      <c r="C791" s="1115"/>
      <c r="D791" s="1116"/>
      <c r="E791" s="1115"/>
      <c r="F791" s="1115"/>
      <c r="G791" s="1115"/>
      <c r="H791" s="1116"/>
      <c r="I791" s="1115"/>
      <c r="J791" s="1113"/>
    </row>
    <row r="792">
      <c r="A792" s="1113"/>
      <c r="B792" s="1114"/>
      <c r="C792" s="1115"/>
      <c r="D792" s="1116"/>
      <c r="E792" s="1115"/>
      <c r="F792" s="1115"/>
      <c r="G792" s="1115"/>
      <c r="H792" s="1116"/>
      <c r="I792" s="1115"/>
      <c r="J792" s="1113"/>
    </row>
    <row r="793">
      <c r="A793" s="1113"/>
      <c r="B793" s="1114"/>
      <c r="C793" s="1115"/>
      <c r="D793" s="1116"/>
      <c r="E793" s="1115"/>
      <c r="F793" s="1115"/>
      <c r="G793" s="1115"/>
      <c r="H793" s="1116"/>
      <c r="I793" s="1115"/>
      <c r="J793" s="1113"/>
    </row>
    <row r="794">
      <c r="A794" s="1113"/>
      <c r="B794" s="1114"/>
      <c r="C794" s="1115"/>
      <c r="D794" s="1116"/>
      <c r="E794" s="1115"/>
      <c r="F794" s="1115"/>
      <c r="G794" s="1115"/>
      <c r="H794" s="1116"/>
      <c r="I794" s="1115"/>
      <c r="J794" s="1113"/>
    </row>
    <row r="795">
      <c r="A795" s="1113"/>
      <c r="B795" s="1114"/>
      <c r="C795" s="1115"/>
      <c r="D795" s="1116"/>
      <c r="E795" s="1115"/>
      <c r="F795" s="1115"/>
      <c r="G795" s="1115"/>
      <c r="H795" s="1116"/>
      <c r="I795" s="1115"/>
      <c r="J795" s="1113"/>
    </row>
    <row r="796">
      <c r="A796" s="1113"/>
      <c r="B796" s="1114"/>
      <c r="C796" s="1115"/>
      <c r="D796" s="1116"/>
      <c r="E796" s="1115"/>
      <c r="F796" s="1115"/>
      <c r="G796" s="1115"/>
      <c r="H796" s="1116"/>
      <c r="I796" s="1115"/>
      <c r="J796" s="1113"/>
    </row>
    <row r="797">
      <c r="A797" s="1113"/>
      <c r="B797" s="1114"/>
      <c r="C797" s="1115"/>
      <c r="D797" s="1116"/>
      <c r="E797" s="1115"/>
      <c r="F797" s="1115"/>
      <c r="G797" s="1115"/>
      <c r="H797" s="1116"/>
      <c r="I797" s="1115"/>
      <c r="J797" s="1113"/>
    </row>
    <row r="798">
      <c r="A798" s="1113"/>
      <c r="B798" s="1114"/>
      <c r="C798" s="1115"/>
      <c r="D798" s="1116"/>
      <c r="E798" s="1115"/>
      <c r="F798" s="1115"/>
      <c r="G798" s="1115"/>
      <c r="H798" s="1116"/>
      <c r="I798" s="1115"/>
      <c r="J798" s="1113"/>
    </row>
    <row r="799">
      <c r="A799" s="1113"/>
      <c r="B799" s="1114"/>
      <c r="C799" s="1115"/>
      <c r="D799" s="1116"/>
      <c r="E799" s="1115"/>
      <c r="F799" s="1115"/>
      <c r="G799" s="1115"/>
      <c r="H799" s="1116"/>
      <c r="I799" s="1115"/>
      <c r="J799" s="1113"/>
    </row>
    <row r="800">
      <c r="A800" s="1113"/>
      <c r="B800" s="1114"/>
      <c r="C800" s="1115"/>
      <c r="D800" s="1116"/>
      <c r="E800" s="1115"/>
      <c r="F800" s="1115"/>
      <c r="G800" s="1115"/>
      <c r="H800" s="1116"/>
      <c r="I800" s="1115"/>
      <c r="J800" s="1113"/>
    </row>
    <row r="801">
      <c r="A801" s="1113"/>
      <c r="B801" s="1114"/>
      <c r="C801" s="1115"/>
      <c r="D801" s="1116"/>
      <c r="E801" s="1115"/>
      <c r="F801" s="1115"/>
      <c r="G801" s="1115"/>
      <c r="H801" s="1116"/>
      <c r="I801" s="1115"/>
      <c r="J801" s="1113"/>
    </row>
    <row r="802">
      <c r="A802" s="1113"/>
      <c r="B802" s="1114"/>
      <c r="C802" s="1115"/>
      <c r="D802" s="1116"/>
      <c r="E802" s="1115"/>
      <c r="F802" s="1115"/>
      <c r="G802" s="1115"/>
      <c r="H802" s="1116"/>
      <c r="I802" s="1115"/>
      <c r="J802" s="1113"/>
    </row>
    <row r="803">
      <c r="A803" s="1113"/>
      <c r="B803" s="1114"/>
      <c r="C803" s="1115"/>
      <c r="D803" s="1116"/>
      <c r="E803" s="1115"/>
      <c r="F803" s="1115"/>
      <c r="G803" s="1115"/>
      <c r="H803" s="1116"/>
      <c r="I803" s="1115"/>
      <c r="J803" s="1113"/>
    </row>
    <row r="804">
      <c r="A804" s="1113"/>
      <c r="B804" s="1114"/>
      <c r="C804" s="1115"/>
      <c r="D804" s="1116"/>
      <c r="E804" s="1115"/>
      <c r="F804" s="1115"/>
      <c r="G804" s="1115"/>
      <c r="H804" s="1116"/>
      <c r="I804" s="1115"/>
      <c r="J804" s="1113"/>
    </row>
    <row r="805">
      <c r="A805" s="1113"/>
      <c r="B805" s="1114"/>
      <c r="C805" s="1115"/>
      <c r="D805" s="1116"/>
      <c r="E805" s="1115"/>
      <c r="F805" s="1115"/>
      <c r="G805" s="1115"/>
      <c r="H805" s="1116"/>
      <c r="I805" s="1115"/>
      <c r="J805" s="1113"/>
    </row>
    <row r="806">
      <c r="A806" s="1113"/>
      <c r="B806" s="1114"/>
      <c r="C806" s="1115"/>
      <c r="D806" s="1116"/>
      <c r="E806" s="1115"/>
      <c r="F806" s="1115"/>
      <c r="G806" s="1115"/>
      <c r="H806" s="1116"/>
      <c r="I806" s="1115"/>
      <c r="J806" s="1113"/>
    </row>
    <row r="807">
      <c r="A807" s="1113"/>
      <c r="B807" s="1114"/>
      <c r="C807" s="1115"/>
      <c r="D807" s="1116"/>
      <c r="E807" s="1115"/>
      <c r="F807" s="1115"/>
      <c r="G807" s="1115"/>
      <c r="H807" s="1116"/>
      <c r="I807" s="1115"/>
      <c r="J807" s="1113"/>
    </row>
    <row r="808">
      <c r="A808" s="1113"/>
      <c r="B808" s="1114"/>
      <c r="C808" s="1115"/>
      <c r="D808" s="1116"/>
      <c r="E808" s="1115"/>
      <c r="F808" s="1115"/>
      <c r="G808" s="1115"/>
      <c r="H808" s="1116"/>
      <c r="I808" s="1115"/>
      <c r="J808" s="1113"/>
    </row>
    <row r="809">
      <c r="A809" s="1113"/>
      <c r="B809" s="1114"/>
      <c r="C809" s="1115"/>
      <c r="D809" s="1116"/>
      <c r="E809" s="1115"/>
      <c r="F809" s="1115"/>
      <c r="G809" s="1115"/>
      <c r="H809" s="1116"/>
      <c r="I809" s="1115"/>
      <c r="J809" s="1113"/>
    </row>
    <row r="810">
      <c r="A810" s="1113"/>
      <c r="B810" s="1114"/>
      <c r="C810" s="1115"/>
      <c r="D810" s="1116"/>
      <c r="E810" s="1115"/>
      <c r="F810" s="1115"/>
      <c r="G810" s="1115"/>
      <c r="H810" s="1116"/>
      <c r="I810" s="1115"/>
      <c r="J810" s="1113"/>
    </row>
    <row r="811">
      <c r="A811" s="1113"/>
      <c r="B811" s="1114"/>
      <c r="C811" s="1115"/>
      <c r="D811" s="1116"/>
      <c r="E811" s="1115"/>
      <c r="F811" s="1115"/>
      <c r="G811" s="1115"/>
      <c r="H811" s="1116"/>
      <c r="I811" s="1115"/>
      <c r="J811" s="1113"/>
    </row>
    <row r="812">
      <c r="A812" s="1113"/>
      <c r="B812" s="1114"/>
      <c r="C812" s="1115"/>
      <c r="D812" s="1116"/>
      <c r="E812" s="1115"/>
      <c r="F812" s="1115"/>
      <c r="G812" s="1115"/>
      <c r="H812" s="1116"/>
      <c r="I812" s="1115"/>
      <c r="J812" s="1113"/>
    </row>
    <row r="813">
      <c r="A813" s="1113"/>
      <c r="B813" s="1114"/>
      <c r="C813" s="1115"/>
      <c r="D813" s="1116"/>
      <c r="E813" s="1115"/>
      <c r="F813" s="1115"/>
      <c r="G813" s="1115"/>
      <c r="H813" s="1116"/>
      <c r="I813" s="1115"/>
      <c r="J813" s="1113"/>
    </row>
    <row r="814">
      <c r="A814" s="1113"/>
      <c r="B814" s="1114"/>
      <c r="C814" s="1115"/>
      <c r="D814" s="1116"/>
      <c r="E814" s="1115"/>
      <c r="F814" s="1115"/>
      <c r="G814" s="1115"/>
      <c r="H814" s="1116"/>
      <c r="I814" s="1115"/>
      <c r="J814" s="1113"/>
    </row>
    <row r="815">
      <c r="A815" s="1113"/>
      <c r="B815" s="1114"/>
      <c r="C815" s="1115"/>
      <c r="D815" s="1116"/>
      <c r="E815" s="1115"/>
      <c r="F815" s="1115"/>
      <c r="G815" s="1115"/>
      <c r="H815" s="1116"/>
      <c r="I815" s="1115"/>
      <c r="J815" s="1113"/>
    </row>
    <row r="816">
      <c r="A816" s="1113"/>
      <c r="B816" s="1114"/>
      <c r="C816" s="1115"/>
      <c r="D816" s="1116"/>
      <c r="E816" s="1115"/>
      <c r="F816" s="1115"/>
      <c r="G816" s="1115"/>
      <c r="H816" s="1116"/>
      <c r="I816" s="1115"/>
      <c r="J816" s="1113"/>
    </row>
    <row r="817">
      <c r="A817" s="1113"/>
      <c r="B817" s="1114"/>
      <c r="C817" s="1115"/>
      <c r="D817" s="1116"/>
      <c r="E817" s="1115"/>
      <c r="F817" s="1115"/>
      <c r="G817" s="1115"/>
      <c r="H817" s="1116"/>
      <c r="I817" s="1115"/>
      <c r="J817" s="1113"/>
    </row>
    <row r="818">
      <c r="A818" s="1113"/>
      <c r="B818" s="1114"/>
      <c r="C818" s="1115"/>
      <c r="D818" s="1116"/>
      <c r="E818" s="1115"/>
      <c r="F818" s="1115"/>
      <c r="G818" s="1115"/>
      <c r="H818" s="1116"/>
      <c r="I818" s="1115"/>
      <c r="J818" s="1113"/>
    </row>
    <row r="819">
      <c r="A819" s="1113"/>
      <c r="B819" s="1114"/>
      <c r="C819" s="1115"/>
      <c r="D819" s="1116"/>
      <c r="E819" s="1115"/>
      <c r="F819" s="1115"/>
      <c r="G819" s="1115"/>
      <c r="H819" s="1116"/>
      <c r="I819" s="1115"/>
      <c r="J819" s="1113"/>
    </row>
    <row r="820">
      <c r="A820" s="1113"/>
      <c r="B820" s="1114"/>
      <c r="C820" s="1115"/>
      <c r="D820" s="1116"/>
      <c r="E820" s="1115"/>
      <c r="F820" s="1115"/>
      <c r="G820" s="1115"/>
      <c r="H820" s="1116"/>
      <c r="I820" s="1115"/>
      <c r="J820" s="1113"/>
    </row>
    <row r="821">
      <c r="A821" s="1113"/>
      <c r="B821" s="1114"/>
      <c r="C821" s="1115"/>
      <c r="D821" s="1116"/>
      <c r="E821" s="1115"/>
      <c r="F821" s="1115"/>
      <c r="G821" s="1115"/>
      <c r="H821" s="1116"/>
      <c r="I821" s="1115"/>
      <c r="J821" s="1113"/>
    </row>
    <row r="822">
      <c r="A822" s="1113"/>
      <c r="B822" s="1114"/>
      <c r="C822" s="1115"/>
      <c r="D822" s="1116"/>
      <c r="E822" s="1115"/>
      <c r="F822" s="1115"/>
      <c r="G822" s="1115"/>
      <c r="H822" s="1116"/>
      <c r="I822" s="1115"/>
      <c r="J822" s="1113"/>
    </row>
    <row r="823">
      <c r="A823" s="1113"/>
      <c r="B823" s="1114"/>
      <c r="C823" s="1115"/>
      <c r="D823" s="1116"/>
      <c r="E823" s="1115"/>
      <c r="F823" s="1115"/>
      <c r="G823" s="1115"/>
      <c r="H823" s="1116"/>
      <c r="I823" s="1115"/>
      <c r="J823" s="1113"/>
    </row>
    <row r="824">
      <c r="A824" s="1113"/>
      <c r="B824" s="1114"/>
      <c r="C824" s="1115"/>
      <c r="D824" s="1116"/>
      <c r="E824" s="1115"/>
      <c r="F824" s="1115"/>
      <c r="G824" s="1115"/>
      <c r="H824" s="1116"/>
      <c r="I824" s="1115"/>
      <c r="J824" s="1113"/>
    </row>
    <row r="825">
      <c r="A825" s="1113"/>
      <c r="B825" s="1114"/>
      <c r="C825" s="1115"/>
      <c r="D825" s="1116"/>
      <c r="E825" s="1115"/>
      <c r="F825" s="1115"/>
      <c r="G825" s="1115"/>
      <c r="H825" s="1116"/>
      <c r="I825" s="1115"/>
      <c r="J825" s="1113"/>
    </row>
    <row r="826">
      <c r="A826" s="1113"/>
      <c r="B826" s="1114"/>
      <c r="C826" s="1115"/>
      <c r="D826" s="1116"/>
      <c r="E826" s="1115"/>
      <c r="F826" s="1115"/>
      <c r="G826" s="1115"/>
      <c r="H826" s="1116"/>
      <c r="I826" s="1115"/>
      <c r="J826" s="1113"/>
    </row>
    <row r="827">
      <c r="A827" s="1113"/>
      <c r="B827" s="1114"/>
      <c r="C827" s="1115"/>
      <c r="D827" s="1116"/>
      <c r="E827" s="1115"/>
      <c r="F827" s="1115"/>
      <c r="G827" s="1115"/>
      <c r="H827" s="1116"/>
      <c r="I827" s="1115"/>
      <c r="J827" s="1113"/>
    </row>
    <row r="828">
      <c r="A828" s="1113"/>
      <c r="B828" s="1114"/>
      <c r="C828" s="1115"/>
      <c r="D828" s="1116"/>
      <c r="E828" s="1115"/>
      <c r="F828" s="1115"/>
      <c r="G828" s="1115"/>
      <c r="H828" s="1116"/>
      <c r="I828" s="1115"/>
      <c r="J828" s="1113"/>
    </row>
    <row r="829">
      <c r="A829" s="1113"/>
      <c r="B829" s="1114"/>
      <c r="C829" s="1115"/>
      <c r="D829" s="1116"/>
      <c r="E829" s="1115"/>
      <c r="F829" s="1115"/>
      <c r="G829" s="1115"/>
      <c r="H829" s="1116"/>
      <c r="I829" s="1115"/>
      <c r="J829" s="1113"/>
    </row>
    <row r="830">
      <c r="A830" s="1113"/>
      <c r="B830" s="1114"/>
      <c r="C830" s="1115"/>
      <c r="D830" s="1116"/>
      <c r="E830" s="1115"/>
      <c r="F830" s="1115"/>
      <c r="G830" s="1115"/>
      <c r="H830" s="1116"/>
      <c r="I830" s="1115"/>
      <c r="J830" s="1113"/>
    </row>
    <row r="831">
      <c r="A831" s="1113"/>
      <c r="B831" s="1114"/>
      <c r="C831" s="1115"/>
      <c r="D831" s="1116"/>
      <c r="E831" s="1115"/>
      <c r="F831" s="1115"/>
      <c r="G831" s="1115"/>
      <c r="H831" s="1116"/>
      <c r="I831" s="1115"/>
      <c r="J831" s="1113"/>
    </row>
    <row r="832">
      <c r="A832" s="1113"/>
      <c r="B832" s="1114"/>
      <c r="C832" s="1115"/>
      <c r="D832" s="1116"/>
      <c r="E832" s="1115"/>
      <c r="F832" s="1115"/>
      <c r="G832" s="1115"/>
      <c r="H832" s="1116"/>
      <c r="I832" s="1115"/>
      <c r="J832" s="1113"/>
    </row>
    <row r="833">
      <c r="A833" s="1113"/>
      <c r="B833" s="1114"/>
      <c r="C833" s="1115"/>
      <c r="D833" s="1116"/>
      <c r="E833" s="1115"/>
      <c r="F833" s="1115"/>
      <c r="G833" s="1115"/>
      <c r="H833" s="1116"/>
      <c r="I833" s="1115"/>
      <c r="J833" s="1113"/>
    </row>
    <row r="834">
      <c r="A834" s="1113"/>
      <c r="B834" s="1114"/>
      <c r="C834" s="1115"/>
      <c r="D834" s="1116"/>
      <c r="E834" s="1115"/>
      <c r="F834" s="1115"/>
      <c r="G834" s="1115"/>
      <c r="H834" s="1116"/>
      <c r="I834" s="1115"/>
      <c r="J834" s="1113"/>
    </row>
    <row r="835">
      <c r="A835" s="1113"/>
      <c r="B835" s="1114"/>
      <c r="C835" s="1115"/>
      <c r="D835" s="1116"/>
      <c r="E835" s="1115"/>
      <c r="F835" s="1115"/>
      <c r="G835" s="1115"/>
      <c r="H835" s="1116"/>
      <c r="I835" s="1115"/>
      <c r="J835" s="1113"/>
    </row>
    <row r="836">
      <c r="A836" s="1113"/>
      <c r="B836" s="1114"/>
      <c r="C836" s="1115"/>
      <c r="D836" s="1116"/>
      <c r="E836" s="1115"/>
      <c r="F836" s="1115"/>
      <c r="G836" s="1115"/>
      <c r="H836" s="1116"/>
      <c r="I836" s="1115"/>
      <c r="J836" s="1113"/>
    </row>
    <row r="837">
      <c r="A837" s="1113"/>
      <c r="B837" s="1114"/>
      <c r="C837" s="1115"/>
      <c r="D837" s="1116"/>
      <c r="E837" s="1115"/>
      <c r="F837" s="1115"/>
      <c r="G837" s="1115"/>
      <c r="H837" s="1116"/>
      <c r="I837" s="1115"/>
      <c r="J837" s="1113"/>
    </row>
    <row r="838">
      <c r="A838" s="1113"/>
      <c r="B838" s="1114"/>
      <c r="C838" s="1115"/>
      <c r="D838" s="1116"/>
      <c r="E838" s="1115"/>
      <c r="F838" s="1115"/>
      <c r="G838" s="1115"/>
      <c r="H838" s="1116"/>
      <c r="I838" s="1115"/>
      <c r="J838" s="1113"/>
    </row>
    <row r="839">
      <c r="A839" s="1113"/>
      <c r="B839" s="1114"/>
      <c r="C839" s="1115"/>
      <c r="D839" s="1116"/>
      <c r="E839" s="1115"/>
      <c r="F839" s="1115"/>
      <c r="G839" s="1115"/>
      <c r="H839" s="1116"/>
      <c r="I839" s="1115"/>
      <c r="J839" s="1113"/>
    </row>
    <row r="840">
      <c r="A840" s="1113"/>
      <c r="B840" s="1114"/>
      <c r="C840" s="1115"/>
      <c r="D840" s="1116"/>
      <c r="E840" s="1115"/>
      <c r="F840" s="1115"/>
      <c r="G840" s="1115"/>
      <c r="H840" s="1116"/>
      <c r="I840" s="1115"/>
      <c r="J840" s="1113"/>
    </row>
    <row r="841">
      <c r="A841" s="1113"/>
      <c r="B841" s="1114"/>
      <c r="C841" s="1115"/>
      <c r="D841" s="1116"/>
      <c r="E841" s="1115"/>
      <c r="F841" s="1115"/>
      <c r="G841" s="1115"/>
      <c r="H841" s="1116"/>
      <c r="I841" s="1115"/>
      <c r="J841" s="1113"/>
    </row>
    <row r="842">
      <c r="A842" s="1113"/>
      <c r="B842" s="1114"/>
      <c r="C842" s="1115"/>
      <c r="D842" s="1116"/>
      <c r="E842" s="1115"/>
      <c r="F842" s="1115"/>
      <c r="G842" s="1115"/>
      <c r="H842" s="1116"/>
      <c r="I842" s="1115"/>
      <c r="J842" s="1113"/>
    </row>
    <row r="843">
      <c r="A843" s="1113"/>
      <c r="B843" s="1114"/>
      <c r="C843" s="1115"/>
      <c r="D843" s="1116"/>
      <c r="E843" s="1115"/>
      <c r="F843" s="1115"/>
      <c r="G843" s="1115"/>
      <c r="H843" s="1116"/>
      <c r="I843" s="1115"/>
      <c r="J843" s="1113"/>
    </row>
    <row r="844">
      <c r="A844" s="1113"/>
      <c r="B844" s="1114"/>
      <c r="C844" s="1115"/>
      <c r="D844" s="1116"/>
      <c r="E844" s="1115"/>
      <c r="F844" s="1115"/>
      <c r="G844" s="1115"/>
      <c r="H844" s="1116"/>
      <c r="I844" s="1115"/>
      <c r="J844" s="1113"/>
    </row>
    <row r="845">
      <c r="A845" s="1113"/>
      <c r="B845" s="1114"/>
      <c r="C845" s="1115"/>
      <c r="D845" s="1116"/>
      <c r="E845" s="1115"/>
      <c r="F845" s="1115"/>
      <c r="G845" s="1115"/>
      <c r="H845" s="1116"/>
      <c r="I845" s="1115"/>
      <c r="J845" s="1113"/>
    </row>
    <row r="846">
      <c r="A846" s="1113"/>
      <c r="B846" s="1114"/>
      <c r="C846" s="1115"/>
      <c r="D846" s="1116"/>
      <c r="E846" s="1115"/>
      <c r="F846" s="1115"/>
      <c r="G846" s="1115"/>
      <c r="H846" s="1116"/>
      <c r="I846" s="1115"/>
      <c r="J846" s="1113"/>
    </row>
    <row r="847">
      <c r="A847" s="1113"/>
      <c r="B847" s="1114"/>
      <c r="C847" s="1115"/>
      <c r="D847" s="1116"/>
      <c r="E847" s="1115"/>
      <c r="F847" s="1115"/>
      <c r="G847" s="1115"/>
      <c r="H847" s="1116"/>
      <c r="I847" s="1115"/>
      <c r="J847" s="1113"/>
    </row>
    <row r="848">
      <c r="A848" s="1113"/>
      <c r="B848" s="1114"/>
      <c r="C848" s="1115"/>
      <c r="D848" s="1116"/>
      <c r="E848" s="1115"/>
      <c r="F848" s="1115"/>
      <c r="G848" s="1115"/>
      <c r="H848" s="1116"/>
      <c r="I848" s="1115"/>
      <c r="J848" s="1113"/>
    </row>
    <row r="849">
      <c r="A849" s="1113"/>
      <c r="B849" s="1114"/>
      <c r="C849" s="1115"/>
      <c r="D849" s="1116"/>
      <c r="E849" s="1115"/>
      <c r="F849" s="1115"/>
      <c r="G849" s="1115"/>
      <c r="H849" s="1116"/>
      <c r="I849" s="1115"/>
      <c r="J849" s="1113"/>
    </row>
    <row r="850">
      <c r="A850" s="1113"/>
      <c r="B850" s="1114"/>
      <c r="C850" s="1115"/>
      <c r="D850" s="1116"/>
      <c r="E850" s="1115"/>
      <c r="F850" s="1115"/>
      <c r="G850" s="1115"/>
      <c r="H850" s="1116"/>
      <c r="I850" s="1115"/>
      <c r="J850" s="1113"/>
    </row>
    <row r="851">
      <c r="A851" s="1113"/>
      <c r="B851" s="1114"/>
      <c r="C851" s="1115"/>
      <c r="D851" s="1116"/>
      <c r="E851" s="1115"/>
      <c r="F851" s="1115"/>
      <c r="G851" s="1115"/>
      <c r="H851" s="1116"/>
      <c r="I851" s="1115"/>
      <c r="J851" s="1113"/>
    </row>
    <row r="852">
      <c r="A852" s="1113"/>
      <c r="B852" s="1114"/>
      <c r="C852" s="1115"/>
      <c r="D852" s="1116"/>
      <c r="E852" s="1115"/>
      <c r="F852" s="1115"/>
      <c r="G852" s="1115"/>
      <c r="H852" s="1116"/>
      <c r="I852" s="1115"/>
      <c r="J852" s="1113"/>
    </row>
    <row r="853">
      <c r="A853" s="1113"/>
      <c r="B853" s="1114"/>
      <c r="C853" s="1115"/>
      <c r="D853" s="1116"/>
      <c r="E853" s="1115"/>
      <c r="F853" s="1115"/>
      <c r="G853" s="1115"/>
      <c r="H853" s="1116"/>
      <c r="I853" s="1115"/>
      <c r="J853" s="1113"/>
    </row>
    <row r="854">
      <c r="A854" s="1113"/>
      <c r="B854" s="1114"/>
      <c r="C854" s="1115"/>
      <c r="D854" s="1116"/>
      <c r="E854" s="1115"/>
      <c r="F854" s="1115"/>
      <c r="G854" s="1115"/>
      <c r="H854" s="1116"/>
      <c r="I854" s="1115"/>
      <c r="J854" s="1113"/>
    </row>
    <row r="855">
      <c r="A855" s="1113"/>
      <c r="B855" s="1114"/>
      <c r="C855" s="1115"/>
      <c r="D855" s="1116"/>
      <c r="E855" s="1115"/>
      <c r="F855" s="1115"/>
      <c r="G855" s="1115"/>
      <c r="H855" s="1116"/>
      <c r="I855" s="1115"/>
      <c r="J855" s="1113"/>
    </row>
    <row r="856">
      <c r="A856" s="1113"/>
      <c r="B856" s="1114"/>
      <c r="C856" s="1115"/>
      <c r="D856" s="1116"/>
      <c r="E856" s="1115"/>
      <c r="F856" s="1115"/>
      <c r="G856" s="1115"/>
      <c r="H856" s="1116"/>
      <c r="I856" s="1115"/>
      <c r="J856" s="1113"/>
    </row>
    <row r="857">
      <c r="A857" s="1113"/>
      <c r="B857" s="1114"/>
      <c r="C857" s="1115"/>
      <c r="D857" s="1116"/>
      <c r="E857" s="1115"/>
      <c r="F857" s="1115"/>
      <c r="G857" s="1115"/>
      <c r="H857" s="1116"/>
      <c r="I857" s="1115"/>
      <c r="J857" s="1113"/>
    </row>
    <row r="858">
      <c r="A858" s="1113"/>
      <c r="B858" s="1114"/>
      <c r="C858" s="1115"/>
      <c r="D858" s="1116"/>
      <c r="E858" s="1115"/>
      <c r="F858" s="1115"/>
      <c r="G858" s="1115"/>
      <c r="H858" s="1116"/>
      <c r="I858" s="1115"/>
      <c r="J858" s="1113"/>
    </row>
    <row r="859">
      <c r="A859" s="1113"/>
      <c r="B859" s="1114"/>
      <c r="C859" s="1115"/>
      <c r="D859" s="1116"/>
      <c r="E859" s="1115"/>
      <c r="F859" s="1115"/>
      <c r="G859" s="1115"/>
      <c r="H859" s="1116"/>
      <c r="I859" s="1115"/>
      <c r="J859" s="1113"/>
    </row>
    <row r="860">
      <c r="A860" s="1113"/>
      <c r="B860" s="1114"/>
      <c r="C860" s="1115"/>
      <c r="D860" s="1116"/>
      <c r="E860" s="1115"/>
      <c r="F860" s="1115"/>
      <c r="G860" s="1115"/>
      <c r="H860" s="1116"/>
      <c r="I860" s="1115"/>
      <c r="J860" s="1113"/>
    </row>
    <row r="861">
      <c r="A861" s="1113"/>
      <c r="B861" s="1114"/>
      <c r="C861" s="1115"/>
      <c r="D861" s="1116"/>
      <c r="E861" s="1115"/>
      <c r="F861" s="1115"/>
      <c r="G861" s="1115"/>
      <c r="H861" s="1116"/>
      <c r="I861" s="1115"/>
      <c r="J861" s="1113"/>
    </row>
    <row r="862">
      <c r="A862" s="1113"/>
      <c r="B862" s="1114"/>
      <c r="C862" s="1115"/>
      <c r="D862" s="1116"/>
      <c r="E862" s="1115"/>
      <c r="F862" s="1115"/>
      <c r="G862" s="1115"/>
      <c r="H862" s="1116"/>
      <c r="I862" s="1115"/>
      <c r="J862" s="1113"/>
    </row>
    <row r="863">
      <c r="A863" s="1113"/>
      <c r="B863" s="1114"/>
      <c r="C863" s="1115"/>
      <c r="D863" s="1116"/>
      <c r="E863" s="1115"/>
      <c r="F863" s="1115"/>
      <c r="G863" s="1115"/>
      <c r="H863" s="1116"/>
      <c r="I863" s="1115"/>
      <c r="J863" s="1113"/>
    </row>
    <row r="864">
      <c r="A864" s="1113"/>
      <c r="B864" s="1114"/>
      <c r="C864" s="1115"/>
      <c r="D864" s="1116"/>
      <c r="E864" s="1115"/>
      <c r="F864" s="1115"/>
      <c r="G864" s="1115"/>
      <c r="H864" s="1116"/>
      <c r="I864" s="1115"/>
      <c r="J864" s="1113"/>
    </row>
    <row r="865">
      <c r="A865" s="1113"/>
      <c r="B865" s="1114"/>
      <c r="C865" s="1115"/>
      <c r="D865" s="1116"/>
      <c r="E865" s="1115"/>
      <c r="F865" s="1115"/>
      <c r="G865" s="1115"/>
      <c r="H865" s="1116"/>
      <c r="I865" s="1115"/>
      <c r="J865" s="1113"/>
    </row>
    <row r="866">
      <c r="A866" s="1113"/>
      <c r="B866" s="1114"/>
      <c r="C866" s="1115"/>
      <c r="D866" s="1116"/>
      <c r="E866" s="1115"/>
      <c r="F866" s="1115"/>
      <c r="G866" s="1115"/>
      <c r="H866" s="1116"/>
      <c r="I866" s="1115"/>
      <c r="J866" s="1113"/>
    </row>
    <row r="867">
      <c r="A867" s="1113"/>
      <c r="B867" s="1114"/>
      <c r="C867" s="1115"/>
      <c r="D867" s="1116"/>
      <c r="E867" s="1115"/>
      <c r="F867" s="1115"/>
      <c r="G867" s="1115"/>
      <c r="H867" s="1116"/>
      <c r="I867" s="1115"/>
      <c r="J867" s="1113"/>
    </row>
    <row r="868">
      <c r="A868" s="1113"/>
      <c r="B868" s="1114"/>
      <c r="C868" s="1115"/>
      <c r="D868" s="1116"/>
      <c r="E868" s="1115"/>
      <c r="F868" s="1115"/>
      <c r="G868" s="1115"/>
      <c r="H868" s="1116"/>
      <c r="I868" s="1115"/>
      <c r="J868" s="1113"/>
    </row>
    <row r="869">
      <c r="A869" s="1113"/>
      <c r="B869" s="1114"/>
      <c r="C869" s="1115"/>
      <c r="D869" s="1116"/>
      <c r="E869" s="1115"/>
      <c r="F869" s="1115"/>
      <c r="G869" s="1115"/>
      <c r="H869" s="1116"/>
      <c r="I869" s="1115"/>
      <c r="J869" s="1113"/>
    </row>
    <row r="870">
      <c r="A870" s="1113"/>
      <c r="B870" s="1114"/>
      <c r="C870" s="1115"/>
      <c r="D870" s="1116"/>
      <c r="E870" s="1115"/>
      <c r="F870" s="1115"/>
      <c r="G870" s="1115"/>
      <c r="H870" s="1116"/>
      <c r="I870" s="1115"/>
      <c r="J870" s="1113"/>
    </row>
    <row r="871">
      <c r="A871" s="1113"/>
      <c r="B871" s="1114"/>
      <c r="C871" s="1115"/>
      <c r="D871" s="1116"/>
      <c r="E871" s="1115"/>
      <c r="F871" s="1115"/>
      <c r="G871" s="1115"/>
      <c r="H871" s="1116"/>
      <c r="I871" s="1115"/>
      <c r="J871" s="1113"/>
    </row>
    <row r="872">
      <c r="A872" s="1113"/>
      <c r="B872" s="1114"/>
      <c r="C872" s="1115"/>
      <c r="D872" s="1116"/>
      <c r="E872" s="1115"/>
      <c r="F872" s="1115"/>
      <c r="G872" s="1115"/>
      <c r="H872" s="1116"/>
      <c r="I872" s="1115"/>
      <c r="J872" s="1113"/>
    </row>
    <row r="873">
      <c r="A873" s="1113"/>
      <c r="B873" s="1114"/>
      <c r="C873" s="1115"/>
      <c r="D873" s="1116"/>
      <c r="E873" s="1115"/>
      <c r="F873" s="1115"/>
      <c r="G873" s="1115"/>
      <c r="H873" s="1116"/>
      <c r="I873" s="1115"/>
      <c r="J873" s="1113"/>
    </row>
    <row r="874">
      <c r="A874" s="1113"/>
      <c r="B874" s="1114"/>
      <c r="C874" s="1115"/>
      <c r="D874" s="1116"/>
      <c r="E874" s="1115"/>
      <c r="F874" s="1115"/>
      <c r="G874" s="1115"/>
      <c r="H874" s="1116"/>
      <c r="I874" s="1115"/>
      <c r="J874" s="1113"/>
    </row>
    <row r="875">
      <c r="A875" s="1113"/>
      <c r="B875" s="1114"/>
      <c r="C875" s="1115"/>
      <c r="D875" s="1116"/>
      <c r="E875" s="1115"/>
      <c r="F875" s="1115"/>
      <c r="G875" s="1115"/>
      <c r="H875" s="1116"/>
      <c r="I875" s="1115"/>
      <c r="J875" s="1113"/>
    </row>
    <row r="876">
      <c r="A876" s="1113"/>
      <c r="B876" s="1114"/>
      <c r="C876" s="1115"/>
      <c r="D876" s="1116"/>
      <c r="E876" s="1115"/>
      <c r="F876" s="1115"/>
      <c r="G876" s="1115"/>
      <c r="H876" s="1116"/>
      <c r="I876" s="1115"/>
      <c r="J876" s="1113"/>
    </row>
    <row r="877">
      <c r="A877" s="1113"/>
      <c r="B877" s="1114"/>
      <c r="C877" s="1115"/>
      <c r="D877" s="1116"/>
      <c r="E877" s="1115"/>
      <c r="F877" s="1115"/>
      <c r="G877" s="1115"/>
      <c r="H877" s="1116"/>
      <c r="I877" s="1115"/>
      <c r="J877" s="1113"/>
    </row>
    <row r="878">
      <c r="A878" s="1113"/>
      <c r="B878" s="1114"/>
      <c r="C878" s="1115"/>
      <c r="D878" s="1116"/>
      <c r="E878" s="1115"/>
      <c r="F878" s="1115"/>
      <c r="G878" s="1115"/>
      <c r="H878" s="1116"/>
      <c r="I878" s="1115"/>
      <c r="J878" s="1113"/>
    </row>
    <row r="879">
      <c r="A879" s="1113"/>
      <c r="B879" s="1114"/>
      <c r="C879" s="1115"/>
      <c r="D879" s="1116"/>
      <c r="E879" s="1115"/>
      <c r="F879" s="1115"/>
      <c r="G879" s="1115"/>
      <c r="H879" s="1116"/>
      <c r="I879" s="1115"/>
      <c r="J879" s="1113"/>
    </row>
    <row r="880">
      <c r="A880" s="1113"/>
      <c r="B880" s="1114"/>
      <c r="C880" s="1115"/>
      <c r="D880" s="1116"/>
      <c r="E880" s="1115"/>
      <c r="F880" s="1115"/>
      <c r="G880" s="1115"/>
      <c r="H880" s="1116"/>
      <c r="I880" s="1115"/>
      <c r="J880" s="1113"/>
    </row>
    <row r="881">
      <c r="A881" s="1113"/>
      <c r="B881" s="1114"/>
      <c r="C881" s="1115"/>
      <c r="D881" s="1116"/>
      <c r="E881" s="1115"/>
      <c r="F881" s="1115"/>
      <c r="G881" s="1115"/>
      <c r="H881" s="1116"/>
      <c r="I881" s="1115"/>
      <c r="J881" s="1113"/>
    </row>
    <row r="882">
      <c r="A882" s="1113"/>
      <c r="B882" s="1114"/>
      <c r="C882" s="1115"/>
      <c r="D882" s="1116"/>
      <c r="E882" s="1115"/>
      <c r="F882" s="1115"/>
      <c r="G882" s="1115"/>
      <c r="H882" s="1116"/>
      <c r="I882" s="1115"/>
      <c r="J882" s="1113"/>
    </row>
    <row r="883">
      <c r="A883" s="1113"/>
      <c r="B883" s="1114"/>
      <c r="C883" s="1115"/>
      <c r="D883" s="1116"/>
      <c r="E883" s="1115"/>
      <c r="F883" s="1115"/>
      <c r="G883" s="1115"/>
      <c r="H883" s="1116"/>
      <c r="I883" s="1115"/>
      <c r="J883" s="1113"/>
    </row>
    <row r="884">
      <c r="A884" s="1113"/>
      <c r="B884" s="1114"/>
      <c r="C884" s="1115"/>
      <c r="D884" s="1116"/>
      <c r="E884" s="1115"/>
      <c r="F884" s="1115"/>
      <c r="G884" s="1115"/>
      <c r="H884" s="1116"/>
      <c r="I884" s="1115"/>
      <c r="J884" s="1113"/>
    </row>
    <row r="885">
      <c r="A885" s="1113"/>
      <c r="B885" s="1114"/>
      <c r="C885" s="1115"/>
      <c r="D885" s="1116"/>
      <c r="E885" s="1115"/>
      <c r="F885" s="1115"/>
      <c r="G885" s="1115"/>
      <c r="H885" s="1116"/>
      <c r="I885" s="1115"/>
      <c r="J885" s="1113"/>
    </row>
    <row r="886">
      <c r="A886" s="1113"/>
      <c r="B886" s="1114"/>
      <c r="C886" s="1115"/>
      <c r="D886" s="1116"/>
      <c r="E886" s="1115"/>
      <c r="F886" s="1115"/>
      <c r="G886" s="1115"/>
      <c r="H886" s="1116"/>
      <c r="I886" s="1115"/>
      <c r="J886" s="1113"/>
    </row>
    <row r="887">
      <c r="A887" s="1113"/>
      <c r="B887" s="1114"/>
      <c r="C887" s="1115"/>
      <c r="D887" s="1116"/>
      <c r="E887" s="1115"/>
      <c r="F887" s="1115"/>
      <c r="G887" s="1115"/>
      <c r="H887" s="1116"/>
      <c r="I887" s="1115"/>
      <c r="J887" s="1113"/>
    </row>
    <row r="888">
      <c r="A888" s="1113"/>
      <c r="B888" s="1114"/>
      <c r="C888" s="1115"/>
      <c r="D888" s="1116"/>
      <c r="E888" s="1115"/>
      <c r="F888" s="1115"/>
      <c r="G888" s="1115"/>
      <c r="H888" s="1116"/>
      <c r="I888" s="1115"/>
      <c r="J888" s="1113"/>
    </row>
    <row r="889">
      <c r="A889" s="1113"/>
      <c r="B889" s="1114"/>
      <c r="C889" s="1115"/>
      <c r="D889" s="1116"/>
      <c r="E889" s="1115"/>
      <c r="F889" s="1115"/>
      <c r="G889" s="1115"/>
      <c r="H889" s="1116"/>
      <c r="I889" s="1115"/>
      <c r="J889" s="1113"/>
    </row>
    <row r="890">
      <c r="A890" s="1113"/>
      <c r="B890" s="1114"/>
      <c r="C890" s="1115"/>
      <c r="D890" s="1116"/>
      <c r="E890" s="1115"/>
      <c r="F890" s="1115"/>
      <c r="G890" s="1115"/>
      <c r="H890" s="1116"/>
      <c r="I890" s="1115"/>
      <c r="J890" s="1113"/>
    </row>
    <row r="891">
      <c r="A891" s="1113"/>
      <c r="B891" s="1114"/>
      <c r="C891" s="1115"/>
      <c r="D891" s="1116"/>
      <c r="E891" s="1115"/>
      <c r="F891" s="1115"/>
      <c r="G891" s="1115"/>
      <c r="H891" s="1116"/>
      <c r="I891" s="1115"/>
      <c r="J891" s="1113"/>
    </row>
    <row r="892">
      <c r="A892" s="1113"/>
      <c r="B892" s="1114"/>
      <c r="C892" s="1115"/>
      <c r="D892" s="1116"/>
      <c r="E892" s="1115"/>
      <c r="F892" s="1115"/>
      <c r="G892" s="1115"/>
      <c r="H892" s="1116"/>
      <c r="I892" s="1115"/>
      <c r="J892" s="1113"/>
    </row>
    <row r="893">
      <c r="A893" s="1113"/>
      <c r="B893" s="1114"/>
      <c r="C893" s="1115"/>
      <c r="D893" s="1116"/>
      <c r="E893" s="1115"/>
      <c r="F893" s="1115"/>
      <c r="G893" s="1115"/>
      <c r="H893" s="1116"/>
      <c r="I893" s="1115"/>
      <c r="J893" s="1113"/>
    </row>
    <row r="894">
      <c r="A894" s="1113"/>
      <c r="B894" s="1114"/>
      <c r="C894" s="1115"/>
      <c r="D894" s="1116"/>
      <c r="E894" s="1115"/>
      <c r="F894" s="1115"/>
      <c r="G894" s="1115"/>
      <c r="H894" s="1116"/>
      <c r="I894" s="1115"/>
      <c r="J894" s="1113"/>
    </row>
    <row r="895">
      <c r="A895" s="1113"/>
      <c r="B895" s="1114"/>
      <c r="C895" s="1115"/>
      <c r="D895" s="1116"/>
      <c r="E895" s="1115"/>
      <c r="F895" s="1115"/>
      <c r="G895" s="1115"/>
      <c r="H895" s="1116"/>
      <c r="I895" s="1115"/>
      <c r="J895" s="1113"/>
    </row>
    <row r="896">
      <c r="A896" s="1113"/>
      <c r="B896" s="1114"/>
      <c r="C896" s="1115"/>
      <c r="D896" s="1116"/>
      <c r="E896" s="1115"/>
      <c r="F896" s="1115"/>
      <c r="G896" s="1115"/>
      <c r="H896" s="1116"/>
      <c r="I896" s="1115"/>
      <c r="J896" s="1113"/>
    </row>
    <row r="897">
      <c r="A897" s="1113"/>
      <c r="B897" s="1114"/>
      <c r="C897" s="1115"/>
      <c r="D897" s="1116"/>
      <c r="E897" s="1115"/>
      <c r="F897" s="1115"/>
      <c r="G897" s="1115"/>
      <c r="H897" s="1116"/>
      <c r="I897" s="1115"/>
      <c r="J897" s="1113"/>
    </row>
    <row r="898">
      <c r="A898" s="1113"/>
      <c r="B898" s="1114"/>
      <c r="C898" s="1115"/>
      <c r="D898" s="1116"/>
      <c r="E898" s="1115"/>
      <c r="F898" s="1115"/>
      <c r="G898" s="1115"/>
      <c r="H898" s="1116"/>
      <c r="I898" s="1115"/>
      <c r="J898" s="1113"/>
    </row>
    <row r="899">
      <c r="A899" s="1113"/>
      <c r="B899" s="1114"/>
      <c r="C899" s="1115"/>
      <c r="D899" s="1116"/>
      <c r="E899" s="1115"/>
      <c r="F899" s="1115"/>
      <c r="G899" s="1115"/>
      <c r="H899" s="1116"/>
      <c r="I899" s="1115"/>
      <c r="J899" s="1113"/>
    </row>
    <row r="900">
      <c r="A900" s="1113"/>
      <c r="B900" s="1114"/>
      <c r="C900" s="1115"/>
      <c r="D900" s="1116"/>
      <c r="E900" s="1115"/>
      <c r="F900" s="1115"/>
      <c r="G900" s="1115"/>
      <c r="H900" s="1116"/>
      <c r="I900" s="1115"/>
      <c r="J900" s="1113"/>
    </row>
    <row r="901">
      <c r="A901" s="1113"/>
      <c r="B901" s="1114"/>
      <c r="C901" s="1115"/>
      <c r="D901" s="1116"/>
      <c r="E901" s="1115"/>
      <c r="F901" s="1115"/>
      <c r="G901" s="1115"/>
      <c r="H901" s="1116"/>
      <c r="I901" s="1115"/>
      <c r="J901" s="1113"/>
    </row>
    <row r="902">
      <c r="A902" s="1113"/>
      <c r="B902" s="1114"/>
      <c r="C902" s="1115"/>
      <c r="D902" s="1116"/>
      <c r="E902" s="1115"/>
      <c r="F902" s="1115"/>
      <c r="G902" s="1115"/>
      <c r="H902" s="1116"/>
      <c r="I902" s="1115"/>
      <c r="J902" s="1113"/>
    </row>
    <row r="903">
      <c r="A903" s="1113"/>
      <c r="B903" s="1114"/>
      <c r="C903" s="1115"/>
      <c r="D903" s="1116"/>
      <c r="E903" s="1115"/>
      <c r="F903" s="1115"/>
      <c r="G903" s="1115"/>
      <c r="H903" s="1116"/>
      <c r="I903" s="1115"/>
      <c r="J903" s="1113"/>
    </row>
    <row r="904">
      <c r="A904" s="1113"/>
      <c r="B904" s="1114"/>
      <c r="C904" s="1115"/>
      <c r="D904" s="1116"/>
      <c r="E904" s="1115"/>
      <c r="F904" s="1115"/>
      <c r="G904" s="1115"/>
      <c r="H904" s="1116"/>
      <c r="I904" s="1115"/>
      <c r="J904" s="1113"/>
    </row>
    <row r="905">
      <c r="A905" s="1113"/>
      <c r="B905" s="1114"/>
      <c r="C905" s="1115"/>
      <c r="D905" s="1116"/>
      <c r="E905" s="1115"/>
      <c r="F905" s="1115"/>
      <c r="G905" s="1115"/>
      <c r="H905" s="1116"/>
      <c r="I905" s="1115"/>
      <c r="J905" s="1113"/>
    </row>
    <row r="906">
      <c r="A906" s="1113"/>
      <c r="B906" s="1114"/>
      <c r="C906" s="1115"/>
      <c r="D906" s="1116"/>
      <c r="E906" s="1115"/>
      <c r="F906" s="1115"/>
      <c r="G906" s="1115"/>
      <c r="H906" s="1116"/>
      <c r="I906" s="1115"/>
      <c r="J906" s="1113"/>
    </row>
    <row r="907">
      <c r="A907" s="1113"/>
      <c r="B907" s="1114"/>
      <c r="C907" s="1115"/>
      <c r="D907" s="1116"/>
      <c r="E907" s="1115"/>
      <c r="F907" s="1115"/>
      <c r="G907" s="1115"/>
      <c r="H907" s="1116"/>
      <c r="I907" s="1115"/>
      <c r="J907" s="1113"/>
    </row>
    <row r="908">
      <c r="A908" s="1113"/>
      <c r="B908" s="1114"/>
      <c r="C908" s="1115"/>
      <c r="D908" s="1116"/>
      <c r="E908" s="1115"/>
      <c r="F908" s="1115"/>
      <c r="G908" s="1115"/>
      <c r="H908" s="1116"/>
      <c r="I908" s="1115"/>
      <c r="J908" s="1113"/>
    </row>
    <row r="909">
      <c r="A909" s="1113"/>
      <c r="B909" s="1114"/>
      <c r="C909" s="1115"/>
      <c r="D909" s="1116"/>
      <c r="E909" s="1115"/>
      <c r="F909" s="1115"/>
      <c r="G909" s="1115"/>
      <c r="H909" s="1116"/>
      <c r="I909" s="1115"/>
      <c r="J909" s="1113"/>
    </row>
    <row r="910">
      <c r="A910" s="1113"/>
      <c r="B910" s="1114"/>
      <c r="C910" s="1115"/>
      <c r="D910" s="1116"/>
      <c r="E910" s="1115"/>
      <c r="F910" s="1115"/>
      <c r="G910" s="1115"/>
      <c r="H910" s="1116"/>
      <c r="I910" s="1115"/>
      <c r="J910" s="1113"/>
    </row>
    <row r="911">
      <c r="A911" s="1113"/>
      <c r="B911" s="1114"/>
      <c r="C911" s="1115"/>
      <c r="D911" s="1116"/>
      <c r="E911" s="1115"/>
      <c r="F911" s="1115"/>
      <c r="G911" s="1115"/>
      <c r="H911" s="1116"/>
      <c r="I911" s="1115"/>
      <c r="J911" s="1113"/>
    </row>
    <row r="912">
      <c r="A912" s="1113"/>
      <c r="B912" s="1114"/>
      <c r="C912" s="1115"/>
      <c r="D912" s="1116"/>
      <c r="E912" s="1115"/>
      <c r="F912" s="1115"/>
      <c r="G912" s="1115"/>
      <c r="H912" s="1116"/>
      <c r="I912" s="1115"/>
      <c r="J912" s="1113"/>
    </row>
    <row r="913">
      <c r="A913" s="1113"/>
      <c r="B913" s="1114"/>
      <c r="C913" s="1115"/>
      <c r="D913" s="1116"/>
      <c r="E913" s="1115"/>
      <c r="F913" s="1115"/>
      <c r="G913" s="1115"/>
      <c r="H913" s="1116"/>
      <c r="I913" s="1115"/>
      <c r="J913" s="1113"/>
    </row>
    <row r="914">
      <c r="A914" s="1113"/>
      <c r="B914" s="1114"/>
      <c r="C914" s="1115"/>
      <c r="D914" s="1116"/>
      <c r="E914" s="1115"/>
      <c r="F914" s="1115"/>
      <c r="G914" s="1115"/>
      <c r="H914" s="1116"/>
      <c r="I914" s="1115"/>
      <c r="J914" s="1113"/>
    </row>
    <row r="915">
      <c r="A915" s="1113"/>
      <c r="B915" s="1114"/>
      <c r="C915" s="1115"/>
      <c r="D915" s="1116"/>
      <c r="E915" s="1115"/>
      <c r="F915" s="1115"/>
      <c r="G915" s="1115"/>
      <c r="H915" s="1116"/>
      <c r="I915" s="1115"/>
      <c r="J915" s="1113"/>
    </row>
    <row r="916">
      <c r="A916" s="1113"/>
      <c r="B916" s="1114"/>
      <c r="C916" s="1115"/>
      <c r="D916" s="1116"/>
      <c r="E916" s="1115"/>
      <c r="F916" s="1115"/>
      <c r="G916" s="1115"/>
      <c r="H916" s="1116"/>
      <c r="I916" s="1115"/>
      <c r="J916" s="1113"/>
    </row>
    <row r="917">
      <c r="A917" s="1113"/>
      <c r="B917" s="1114"/>
      <c r="C917" s="1115"/>
      <c r="D917" s="1116"/>
      <c r="E917" s="1115"/>
      <c r="F917" s="1115"/>
      <c r="G917" s="1115"/>
      <c r="H917" s="1116"/>
      <c r="I917" s="1115"/>
      <c r="J917" s="1113"/>
    </row>
    <row r="918">
      <c r="A918" s="1113"/>
      <c r="B918" s="1114"/>
      <c r="C918" s="1115"/>
      <c r="D918" s="1116"/>
      <c r="E918" s="1115"/>
      <c r="F918" s="1115"/>
      <c r="G918" s="1115"/>
      <c r="H918" s="1116"/>
      <c r="I918" s="1115"/>
      <c r="J918" s="1113"/>
    </row>
    <row r="919">
      <c r="A919" s="1113"/>
      <c r="B919" s="1114"/>
      <c r="C919" s="1115"/>
      <c r="D919" s="1116"/>
      <c r="E919" s="1115"/>
      <c r="F919" s="1115"/>
      <c r="G919" s="1115"/>
      <c r="H919" s="1116"/>
      <c r="I919" s="1115"/>
      <c r="J919" s="1113"/>
    </row>
    <row r="920">
      <c r="A920" s="1113"/>
      <c r="B920" s="1114"/>
      <c r="C920" s="1115"/>
      <c r="D920" s="1116"/>
      <c r="E920" s="1115"/>
      <c r="F920" s="1115"/>
      <c r="G920" s="1115"/>
      <c r="H920" s="1116"/>
      <c r="I920" s="1115"/>
      <c r="J920" s="1113"/>
    </row>
    <row r="921">
      <c r="A921" s="1113"/>
      <c r="B921" s="1114"/>
      <c r="C921" s="1115"/>
      <c r="D921" s="1116"/>
      <c r="E921" s="1115"/>
      <c r="F921" s="1115"/>
      <c r="G921" s="1115"/>
      <c r="H921" s="1116"/>
      <c r="I921" s="1115"/>
      <c r="J921" s="1113"/>
    </row>
    <row r="922">
      <c r="A922" s="1113"/>
      <c r="B922" s="1114"/>
      <c r="C922" s="1115"/>
      <c r="D922" s="1116"/>
      <c r="E922" s="1115"/>
      <c r="F922" s="1115"/>
      <c r="G922" s="1115"/>
      <c r="H922" s="1116"/>
      <c r="I922" s="1115"/>
      <c r="J922" s="1113"/>
    </row>
    <row r="923">
      <c r="A923" s="1113"/>
      <c r="B923" s="1114"/>
      <c r="C923" s="1115"/>
      <c r="D923" s="1116"/>
      <c r="E923" s="1115"/>
      <c r="F923" s="1115"/>
      <c r="G923" s="1115"/>
      <c r="H923" s="1116"/>
      <c r="I923" s="1115"/>
      <c r="J923" s="1113"/>
    </row>
    <row r="924">
      <c r="A924" s="1113"/>
      <c r="B924" s="1114"/>
      <c r="C924" s="1115"/>
      <c r="D924" s="1116"/>
      <c r="E924" s="1115"/>
      <c r="F924" s="1115"/>
      <c r="G924" s="1115"/>
      <c r="H924" s="1116"/>
      <c r="I924" s="1115"/>
      <c r="J924" s="1113"/>
    </row>
    <row r="925">
      <c r="A925" s="1113"/>
      <c r="B925" s="1114"/>
      <c r="C925" s="1115"/>
      <c r="D925" s="1116"/>
      <c r="E925" s="1115"/>
      <c r="F925" s="1115"/>
      <c r="G925" s="1115"/>
      <c r="H925" s="1116"/>
      <c r="I925" s="1115"/>
      <c r="J925" s="1113"/>
    </row>
    <row r="926">
      <c r="A926" s="1113"/>
      <c r="B926" s="1114"/>
      <c r="C926" s="1115"/>
      <c r="D926" s="1116"/>
      <c r="E926" s="1115"/>
      <c r="F926" s="1115"/>
      <c r="G926" s="1115"/>
      <c r="H926" s="1116"/>
      <c r="I926" s="1115"/>
      <c r="J926" s="1113"/>
    </row>
    <row r="927">
      <c r="A927" s="1113"/>
      <c r="B927" s="1114"/>
      <c r="C927" s="1115"/>
      <c r="D927" s="1116"/>
      <c r="E927" s="1115"/>
      <c r="F927" s="1115"/>
      <c r="G927" s="1115"/>
      <c r="H927" s="1116"/>
      <c r="I927" s="1115"/>
      <c r="J927" s="1113"/>
    </row>
    <row r="928">
      <c r="A928" s="1113"/>
      <c r="B928" s="1114"/>
      <c r="C928" s="1115"/>
      <c r="D928" s="1116"/>
      <c r="E928" s="1115"/>
      <c r="F928" s="1115"/>
      <c r="G928" s="1115"/>
      <c r="H928" s="1116"/>
      <c r="I928" s="1115"/>
      <c r="J928" s="1113"/>
    </row>
    <row r="929">
      <c r="A929" s="1113"/>
      <c r="B929" s="1114"/>
      <c r="C929" s="1115"/>
      <c r="D929" s="1116"/>
      <c r="E929" s="1115"/>
      <c r="F929" s="1115"/>
      <c r="G929" s="1115"/>
      <c r="H929" s="1116"/>
      <c r="I929" s="1115"/>
      <c r="J929" s="1113"/>
    </row>
    <row r="930">
      <c r="A930" s="1113"/>
      <c r="B930" s="1114"/>
      <c r="C930" s="1115"/>
      <c r="D930" s="1116"/>
      <c r="E930" s="1115"/>
      <c r="F930" s="1115"/>
      <c r="G930" s="1115"/>
      <c r="H930" s="1116"/>
      <c r="I930" s="1115"/>
      <c r="J930" s="1113"/>
    </row>
    <row r="931">
      <c r="A931" s="1113"/>
      <c r="B931" s="1114"/>
      <c r="C931" s="1115"/>
      <c r="D931" s="1116"/>
      <c r="E931" s="1115"/>
      <c r="F931" s="1115"/>
      <c r="G931" s="1115"/>
      <c r="H931" s="1116"/>
      <c r="I931" s="1115"/>
      <c r="J931" s="1113"/>
    </row>
    <row r="932">
      <c r="A932" s="1113"/>
      <c r="B932" s="1114"/>
      <c r="C932" s="1115"/>
      <c r="D932" s="1116"/>
      <c r="E932" s="1115"/>
      <c r="F932" s="1115"/>
      <c r="G932" s="1115"/>
      <c r="H932" s="1116"/>
      <c r="I932" s="1115"/>
      <c r="J932" s="1113"/>
    </row>
    <row r="933">
      <c r="A933" s="1113"/>
      <c r="B933" s="1114"/>
      <c r="C933" s="1115"/>
      <c r="D933" s="1116"/>
      <c r="E933" s="1115"/>
      <c r="F933" s="1115"/>
      <c r="G933" s="1115"/>
      <c r="H933" s="1116"/>
      <c r="I933" s="1115"/>
      <c r="J933" s="1113"/>
    </row>
    <row r="934">
      <c r="A934" s="1113"/>
      <c r="B934" s="1114"/>
      <c r="C934" s="1115"/>
      <c r="D934" s="1116"/>
      <c r="E934" s="1115"/>
      <c r="F934" s="1115"/>
      <c r="G934" s="1115"/>
      <c r="H934" s="1116"/>
      <c r="I934" s="1115"/>
      <c r="J934" s="1113"/>
    </row>
    <row r="935">
      <c r="A935" s="1113"/>
      <c r="B935" s="1114"/>
      <c r="C935" s="1115"/>
      <c r="D935" s="1116"/>
      <c r="E935" s="1115"/>
      <c r="F935" s="1115"/>
      <c r="G935" s="1115"/>
      <c r="H935" s="1116"/>
      <c r="I935" s="1115"/>
      <c r="J935" s="1113"/>
    </row>
    <row r="936">
      <c r="A936" s="1113"/>
      <c r="B936" s="1114"/>
      <c r="C936" s="1115"/>
      <c r="D936" s="1116"/>
      <c r="E936" s="1115"/>
      <c r="F936" s="1115"/>
      <c r="G936" s="1115"/>
      <c r="H936" s="1116"/>
      <c r="I936" s="1115"/>
      <c r="J936" s="1113"/>
    </row>
    <row r="937">
      <c r="A937" s="1113"/>
      <c r="B937" s="1114"/>
      <c r="C937" s="1115"/>
      <c r="D937" s="1116"/>
      <c r="E937" s="1115"/>
      <c r="F937" s="1115"/>
      <c r="G937" s="1115"/>
      <c r="H937" s="1116"/>
      <c r="I937" s="1115"/>
      <c r="J937" s="1113"/>
    </row>
    <row r="938">
      <c r="A938" s="1113"/>
      <c r="B938" s="1114"/>
      <c r="C938" s="1115"/>
      <c r="D938" s="1116"/>
      <c r="E938" s="1115"/>
      <c r="F938" s="1115"/>
      <c r="G938" s="1115"/>
      <c r="H938" s="1116"/>
      <c r="I938" s="1115"/>
      <c r="J938" s="1113"/>
    </row>
    <row r="939">
      <c r="A939" s="1113"/>
      <c r="B939" s="1114"/>
      <c r="C939" s="1115"/>
      <c r="D939" s="1116"/>
      <c r="E939" s="1115"/>
      <c r="F939" s="1115"/>
      <c r="G939" s="1115"/>
      <c r="H939" s="1116"/>
      <c r="I939" s="1115"/>
      <c r="J939" s="1113"/>
    </row>
    <row r="940">
      <c r="A940" s="1113"/>
      <c r="B940" s="1114"/>
      <c r="C940" s="1115"/>
      <c r="D940" s="1116"/>
      <c r="E940" s="1115"/>
      <c r="F940" s="1115"/>
      <c r="G940" s="1115"/>
      <c r="H940" s="1116"/>
      <c r="I940" s="1115"/>
      <c r="J940" s="1113"/>
    </row>
    <row r="941">
      <c r="A941" s="1113"/>
      <c r="B941" s="1114"/>
      <c r="C941" s="1115"/>
      <c r="D941" s="1116"/>
      <c r="E941" s="1115"/>
      <c r="F941" s="1115"/>
      <c r="G941" s="1115"/>
      <c r="H941" s="1116"/>
      <c r="I941" s="1115"/>
      <c r="J941" s="1113"/>
    </row>
    <row r="942">
      <c r="A942" s="1113"/>
      <c r="B942" s="1114"/>
      <c r="C942" s="1115"/>
      <c r="D942" s="1116"/>
      <c r="E942" s="1115"/>
      <c r="F942" s="1115"/>
      <c r="G942" s="1115"/>
      <c r="H942" s="1116"/>
      <c r="I942" s="1115"/>
      <c r="J942" s="1113"/>
    </row>
    <row r="943">
      <c r="A943" s="1113"/>
      <c r="B943" s="1114"/>
      <c r="C943" s="1115"/>
      <c r="D943" s="1116"/>
      <c r="E943" s="1115"/>
      <c r="F943" s="1115"/>
      <c r="G943" s="1115"/>
      <c r="H943" s="1116"/>
      <c r="I943" s="1115"/>
      <c r="J943" s="1113"/>
    </row>
    <row r="944">
      <c r="A944" s="1113"/>
      <c r="B944" s="1114"/>
      <c r="C944" s="1115"/>
      <c r="D944" s="1116"/>
      <c r="E944" s="1115"/>
      <c r="F944" s="1115"/>
      <c r="G944" s="1115"/>
      <c r="H944" s="1116"/>
      <c r="I944" s="1115"/>
      <c r="J944" s="1113"/>
    </row>
    <row r="945">
      <c r="A945" s="1113"/>
      <c r="B945" s="1114"/>
      <c r="C945" s="1115"/>
      <c r="D945" s="1116"/>
      <c r="E945" s="1115"/>
      <c r="F945" s="1115"/>
      <c r="G945" s="1115"/>
      <c r="H945" s="1116"/>
      <c r="I945" s="1115"/>
      <c r="J945" s="1113"/>
    </row>
    <row r="946">
      <c r="A946" s="1113"/>
      <c r="B946" s="1114"/>
      <c r="C946" s="1115"/>
      <c r="D946" s="1116"/>
      <c r="E946" s="1115"/>
      <c r="F946" s="1115"/>
      <c r="G946" s="1115"/>
      <c r="H946" s="1116"/>
      <c r="I946" s="1115"/>
      <c r="J946" s="1113"/>
    </row>
    <row r="947">
      <c r="A947" s="1113"/>
      <c r="B947" s="1114"/>
      <c r="C947" s="1115"/>
      <c r="D947" s="1116"/>
      <c r="E947" s="1115"/>
      <c r="F947" s="1115"/>
      <c r="G947" s="1115"/>
      <c r="H947" s="1116"/>
      <c r="I947" s="1115"/>
      <c r="J947" s="1113"/>
    </row>
    <row r="948">
      <c r="A948" s="1113"/>
      <c r="B948" s="1114"/>
      <c r="C948" s="1115"/>
      <c r="D948" s="1116"/>
      <c r="E948" s="1115"/>
      <c r="F948" s="1115"/>
      <c r="G948" s="1115"/>
      <c r="H948" s="1116"/>
      <c r="I948" s="1115"/>
      <c r="J948" s="1113"/>
    </row>
    <row r="949">
      <c r="A949" s="1113"/>
      <c r="B949" s="1114"/>
      <c r="C949" s="1115"/>
      <c r="D949" s="1116"/>
      <c r="E949" s="1115"/>
      <c r="F949" s="1115"/>
      <c r="G949" s="1115"/>
      <c r="H949" s="1116"/>
      <c r="I949" s="1115"/>
      <c r="J949" s="1113"/>
    </row>
    <row r="950">
      <c r="A950" s="1113"/>
      <c r="B950" s="1114"/>
      <c r="C950" s="1115"/>
      <c r="D950" s="1116"/>
      <c r="E950" s="1115"/>
      <c r="F950" s="1115"/>
      <c r="G950" s="1115"/>
      <c r="H950" s="1116"/>
      <c r="I950" s="1115"/>
      <c r="J950" s="1113"/>
    </row>
    <row r="951">
      <c r="A951" s="1113"/>
      <c r="B951" s="1114"/>
      <c r="C951" s="1115"/>
      <c r="D951" s="1116"/>
      <c r="E951" s="1115"/>
      <c r="F951" s="1115"/>
      <c r="G951" s="1115"/>
      <c r="H951" s="1116"/>
      <c r="I951" s="1115"/>
      <c r="J951" s="1113"/>
    </row>
    <row r="952">
      <c r="A952" s="1113"/>
      <c r="B952" s="1114"/>
      <c r="C952" s="1115"/>
      <c r="D952" s="1116"/>
      <c r="E952" s="1115"/>
      <c r="F952" s="1115"/>
      <c r="G952" s="1115"/>
      <c r="H952" s="1116"/>
      <c r="I952" s="1115"/>
      <c r="J952" s="1113"/>
    </row>
    <row r="953">
      <c r="A953" s="1113"/>
      <c r="B953" s="1114"/>
      <c r="C953" s="1115"/>
      <c r="D953" s="1116"/>
      <c r="E953" s="1115"/>
      <c r="F953" s="1115"/>
      <c r="G953" s="1115"/>
      <c r="H953" s="1116"/>
      <c r="I953" s="1115"/>
      <c r="J953" s="1113"/>
    </row>
    <row r="954">
      <c r="A954" s="1113"/>
      <c r="B954" s="1114"/>
      <c r="C954" s="1115"/>
      <c r="D954" s="1116"/>
      <c r="E954" s="1115"/>
      <c r="F954" s="1115"/>
      <c r="G954" s="1115"/>
      <c r="H954" s="1116"/>
      <c r="I954" s="1115"/>
      <c r="J954" s="1113"/>
    </row>
    <row r="955">
      <c r="A955" s="1113"/>
      <c r="B955" s="1114"/>
      <c r="C955" s="1115"/>
      <c r="D955" s="1116"/>
      <c r="E955" s="1115"/>
      <c r="F955" s="1115"/>
      <c r="G955" s="1115"/>
      <c r="H955" s="1116"/>
      <c r="I955" s="1115"/>
      <c r="J955" s="1113"/>
    </row>
    <row r="956">
      <c r="A956" s="1113"/>
      <c r="B956" s="1114"/>
      <c r="C956" s="1115"/>
      <c r="D956" s="1116"/>
      <c r="E956" s="1115"/>
      <c r="F956" s="1115"/>
      <c r="G956" s="1115"/>
      <c r="H956" s="1116"/>
      <c r="I956" s="1115"/>
      <c r="J956" s="1113"/>
    </row>
    <row r="957">
      <c r="A957" s="1113"/>
      <c r="B957" s="1114"/>
      <c r="C957" s="1115"/>
      <c r="D957" s="1116"/>
      <c r="E957" s="1115"/>
      <c r="F957" s="1115"/>
      <c r="G957" s="1115"/>
      <c r="H957" s="1116"/>
      <c r="I957" s="1115"/>
      <c r="J957" s="1113"/>
    </row>
    <row r="958">
      <c r="A958" s="1113"/>
      <c r="B958" s="1114"/>
      <c r="C958" s="1115"/>
      <c r="D958" s="1116"/>
      <c r="E958" s="1115"/>
      <c r="F958" s="1115"/>
      <c r="G958" s="1115"/>
      <c r="H958" s="1116"/>
      <c r="I958" s="1115"/>
      <c r="J958" s="1113"/>
    </row>
    <row r="959">
      <c r="A959" s="1113"/>
      <c r="B959" s="1114"/>
      <c r="C959" s="1115"/>
      <c r="D959" s="1116"/>
      <c r="E959" s="1115"/>
      <c r="F959" s="1115"/>
      <c r="G959" s="1115"/>
      <c r="H959" s="1116"/>
      <c r="I959" s="1115"/>
      <c r="J959" s="1113"/>
    </row>
    <row r="960">
      <c r="A960" s="1113"/>
      <c r="B960" s="1114"/>
      <c r="C960" s="1115"/>
      <c r="D960" s="1116"/>
      <c r="E960" s="1115"/>
      <c r="F960" s="1115"/>
      <c r="G960" s="1115"/>
      <c r="H960" s="1116"/>
      <c r="I960" s="1115"/>
      <c r="J960" s="1113"/>
    </row>
    <row r="961">
      <c r="A961" s="1113"/>
      <c r="B961" s="1114"/>
      <c r="C961" s="1115"/>
      <c r="D961" s="1116"/>
      <c r="E961" s="1115"/>
      <c r="F961" s="1115"/>
      <c r="G961" s="1115"/>
      <c r="H961" s="1116"/>
      <c r="I961" s="1115"/>
      <c r="J961" s="1113"/>
    </row>
    <row r="962">
      <c r="A962" s="1113"/>
      <c r="B962" s="1114"/>
      <c r="C962" s="1115"/>
      <c r="D962" s="1116"/>
      <c r="E962" s="1115"/>
      <c r="F962" s="1115"/>
      <c r="G962" s="1115"/>
      <c r="H962" s="1116"/>
      <c r="I962" s="1115"/>
      <c r="J962" s="1113"/>
    </row>
    <row r="963">
      <c r="A963" s="1113"/>
      <c r="B963" s="1114"/>
      <c r="C963" s="1115"/>
      <c r="D963" s="1116"/>
      <c r="E963" s="1115"/>
      <c r="F963" s="1115"/>
      <c r="G963" s="1115"/>
      <c r="H963" s="1116"/>
      <c r="I963" s="1115"/>
      <c r="J963" s="1113"/>
    </row>
    <row r="964">
      <c r="A964" s="1113"/>
      <c r="B964" s="1114"/>
      <c r="C964" s="1115"/>
      <c r="D964" s="1116"/>
      <c r="E964" s="1115"/>
      <c r="F964" s="1115"/>
      <c r="G964" s="1115"/>
      <c r="H964" s="1116"/>
      <c r="I964" s="1115"/>
      <c r="J964" s="1113"/>
    </row>
    <row r="965">
      <c r="A965" s="1113"/>
      <c r="B965" s="1114"/>
      <c r="C965" s="1115"/>
      <c r="D965" s="1116"/>
      <c r="E965" s="1115"/>
      <c r="F965" s="1115"/>
      <c r="G965" s="1115"/>
      <c r="H965" s="1116"/>
      <c r="I965" s="1115"/>
      <c r="J965" s="1113"/>
    </row>
    <row r="966">
      <c r="A966" s="1113"/>
      <c r="B966" s="1114"/>
      <c r="C966" s="1115"/>
      <c r="D966" s="1116"/>
      <c r="E966" s="1115"/>
      <c r="F966" s="1115"/>
      <c r="G966" s="1115"/>
      <c r="H966" s="1116"/>
      <c r="I966" s="1115"/>
      <c r="J966" s="1113"/>
    </row>
    <row r="967">
      <c r="A967" s="1113"/>
      <c r="B967" s="1114"/>
      <c r="C967" s="1115"/>
      <c r="D967" s="1116"/>
      <c r="E967" s="1115"/>
      <c r="F967" s="1115"/>
      <c r="G967" s="1115"/>
      <c r="H967" s="1116"/>
      <c r="I967" s="1115"/>
      <c r="J967" s="1113"/>
    </row>
    <row r="968">
      <c r="A968" s="1113"/>
      <c r="B968" s="1114"/>
      <c r="C968" s="1115"/>
      <c r="D968" s="1116"/>
      <c r="E968" s="1115"/>
      <c r="F968" s="1115"/>
      <c r="G968" s="1115"/>
      <c r="H968" s="1116"/>
      <c r="I968" s="1115"/>
      <c r="J968" s="1113"/>
    </row>
    <row r="969">
      <c r="A969" s="1113"/>
      <c r="B969" s="1114"/>
      <c r="C969" s="1115"/>
      <c r="D969" s="1116"/>
      <c r="E969" s="1115"/>
      <c r="F969" s="1115"/>
      <c r="G969" s="1115"/>
      <c r="H969" s="1116"/>
      <c r="I969" s="1115"/>
      <c r="J969" s="1113"/>
    </row>
    <row r="970">
      <c r="A970" s="1113"/>
      <c r="B970" s="1114"/>
      <c r="C970" s="1115"/>
      <c r="D970" s="1116"/>
      <c r="E970" s="1115"/>
      <c r="F970" s="1115"/>
      <c r="G970" s="1115"/>
      <c r="H970" s="1116"/>
      <c r="I970" s="1115"/>
      <c r="J970" s="1113"/>
    </row>
    <row r="971">
      <c r="A971" s="1113"/>
      <c r="B971" s="1114"/>
      <c r="C971" s="1115"/>
      <c r="D971" s="1116"/>
      <c r="E971" s="1115"/>
      <c r="F971" s="1115"/>
      <c r="G971" s="1115"/>
      <c r="H971" s="1116"/>
      <c r="I971" s="1115"/>
      <c r="J971" s="1113"/>
    </row>
    <row r="972">
      <c r="A972" s="1113"/>
      <c r="B972" s="1114"/>
      <c r="C972" s="1115"/>
      <c r="D972" s="1116"/>
      <c r="E972" s="1115"/>
      <c r="F972" s="1115"/>
      <c r="G972" s="1115"/>
      <c r="H972" s="1116"/>
      <c r="I972" s="1115"/>
      <c r="J972" s="1113"/>
    </row>
    <row r="973">
      <c r="A973" s="1113"/>
      <c r="B973" s="1114"/>
      <c r="C973" s="1115"/>
      <c r="D973" s="1116"/>
      <c r="E973" s="1115"/>
      <c r="F973" s="1115"/>
      <c r="G973" s="1115"/>
      <c r="H973" s="1116"/>
      <c r="I973" s="1115"/>
      <c r="J973" s="1113"/>
    </row>
    <row r="974">
      <c r="A974" s="1113"/>
      <c r="B974" s="1114"/>
      <c r="C974" s="1115"/>
      <c r="D974" s="1116"/>
      <c r="E974" s="1115"/>
      <c r="F974" s="1115"/>
      <c r="G974" s="1115"/>
      <c r="H974" s="1116"/>
      <c r="I974" s="1115"/>
      <c r="J974" s="1113"/>
    </row>
    <row r="975">
      <c r="A975" s="1113"/>
      <c r="B975" s="1114"/>
      <c r="C975" s="1115"/>
      <c r="D975" s="1116"/>
      <c r="E975" s="1115"/>
      <c r="F975" s="1115"/>
      <c r="G975" s="1115"/>
      <c r="H975" s="1116"/>
      <c r="I975" s="1115"/>
      <c r="J975" s="1113"/>
    </row>
    <row r="976">
      <c r="A976" s="1113"/>
      <c r="B976" s="1114"/>
      <c r="C976" s="1115"/>
      <c r="D976" s="1116"/>
      <c r="E976" s="1115"/>
      <c r="F976" s="1115"/>
      <c r="G976" s="1115"/>
      <c r="H976" s="1116"/>
      <c r="I976" s="1115"/>
      <c r="J976" s="1113"/>
    </row>
    <row r="977">
      <c r="A977" s="1113"/>
      <c r="B977" s="1114"/>
      <c r="C977" s="1115"/>
      <c r="D977" s="1116"/>
      <c r="E977" s="1115"/>
      <c r="F977" s="1115"/>
      <c r="G977" s="1115"/>
      <c r="H977" s="1116"/>
      <c r="I977" s="1115"/>
      <c r="J977" s="1113"/>
    </row>
    <row r="978">
      <c r="A978" s="1113"/>
      <c r="B978" s="1114"/>
      <c r="C978" s="1115"/>
      <c r="D978" s="1116"/>
      <c r="E978" s="1115"/>
      <c r="F978" s="1115"/>
      <c r="G978" s="1115"/>
      <c r="H978" s="1116"/>
      <c r="I978" s="1115"/>
      <c r="J978" s="1113"/>
    </row>
    <row r="979">
      <c r="A979" s="1113"/>
      <c r="B979" s="1114"/>
      <c r="C979" s="1115"/>
      <c r="D979" s="1116"/>
      <c r="E979" s="1115"/>
      <c r="F979" s="1115"/>
      <c r="G979" s="1115"/>
      <c r="H979" s="1116"/>
      <c r="I979" s="1115"/>
      <c r="J979" s="1113"/>
    </row>
    <row r="980">
      <c r="A980" s="1113"/>
      <c r="B980" s="1114"/>
      <c r="C980" s="1115"/>
      <c r="D980" s="1116"/>
      <c r="E980" s="1115"/>
      <c r="F980" s="1115"/>
      <c r="G980" s="1115"/>
      <c r="H980" s="1116"/>
      <c r="I980" s="1115"/>
      <c r="J980" s="1113"/>
    </row>
    <row r="981">
      <c r="A981" s="1113"/>
      <c r="B981" s="1114"/>
      <c r="C981" s="1115"/>
      <c r="D981" s="1116"/>
      <c r="E981" s="1115"/>
      <c r="F981" s="1115"/>
      <c r="G981" s="1115"/>
      <c r="H981" s="1116"/>
      <c r="I981" s="1115"/>
      <c r="J981" s="1113"/>
    </row>
    <row r="982">
      <c r="A982" s="1113"/>
      <c r="B982" s="1114"/>
      <c r="C982" s="1115"/>
      <c r="D982" s="1116"/>
      <c r="E982" s="1115"/>
      <c r="F982" s="1115"/>
      <c r="G982" s="1115"/>
      <c r="H982" s="1116"/>
      <c r="I982" s="1115"/>
      <c r="J982" s="1113"/>
    </row>
    <row r="983">
      <c r="A983" s="1113"/>
      <c r="B983" s="1114"/>
      <c r="C983" s="1115"/>
      <c r="D983" s="1116"/>
      <c r="E983" s="1115"/>
      <c r="F983" s="1115"/>
      <c r="G983" s="1115"/>
      <c r="H983" s="1116"/>
      <c r="I983" s="1115"/>
      <c r="J983" s="1113"/>
    </row>
    <row r="984">
      <c r="A984" s="1113"/>
      <c r="B984" s="1114"/>
      <c r="C984" s="1115"/>
      <c r="D984" s="1116"/>
      <c r="E984" s="1115"/>
      <c r="F984" s="1115"/>
      <c r="G984" s="1115"/>
      <c r="H984" s="1116"/>
      <c r="I984" s="1115"/>
      <c r="J984" s="1113"/>
    </row>
    <row r="985">
      <c r="A985" s="1113"/>
      <c r="B985" s="1114"/>
      <c r="C985" s="1115"/>
      <c r="D985" s="1116"/>
      <c r="E985" s="1115"/>
      <c r="F985" s="1115"/>
      <c r="G985" s="1115"/>
      <c r="H985" s="1116"/>
      <c r="I985" s="1115"/>
      <c r="J985" s="1113"/>
    </row>
    <row r="986">
      <c r="A986" s="1113"/>
      <c r="B986" s="1114"/>
      <c r="C986" s="1115"/>
      <c r="D986" s="1116"/>
      <c r="E986" s="1115"/>
      <c r="F986" s="1115"/>
      <c r="G986" s="1115"/>
      <c r="H986" s="1116"/>
      <c r="I986" s="1115"/>
      <c r="J986" s="1113"/>
    </row>
    <row r="987">
      <c r="A987" s="1113"/>
      <c r="B987" s="1114"/>
      <c r="C987" s="1115"/>
      <c r="D987" s="1116"/>
      <c r="E987" s="1115"/>
      <c r="F987" s="1115"/>
      <c r="G987" s="1115"/>
      <c r="H987" s="1116"/>
      <c r="I987" s="1115"/>
      <c r="J987" s="1113"/>
    </row>
    <row r="988">
      <c r="A988" s="1113"/>
      <c r="B988" s="1114"/>
      <c r="C988" s="1115"/>
      <c r="D988" s="1116"/>
      <c r="E988" s="1115"/>
      <c r="F988" s="1115"/>
      <c r="G988" s="1115"/>
      <c r="H988" s="1116"/>
      <c r="I988" s="1115"/>
      <c r="J988" s="1113"/>
    </row>
    <row r="989">
      <c r="A989" s="1113"/>
      <c r="B989" s="1114"/>
      <c r="C989" s="1115"/>
      <c r="D989" s="1116"/>
      <c r="E989" s="1115"/>
      <c r="F989" s="1115"/>
      <c r="G989" s="1115"/>
      <c r="H989" s="1116"/>
      <c r="I989" s="1115"/>
      <c r="J989" s="1113"/>
    </row>
    <row r="990">
      <c r="A990" s="1113"/>
      <c r="B990" s="1114"/>
      <c r="C990" s="1115"/>
      <c r="D990" s="1116"/>
      <c r="E990" s="1115"/>
      <c r="F990" s="1115"/>
      <c r="G990" s="1115"/>
      <c r="H990" s="1116"/>
      <c r="I990" s="1115"/>
      <c r="J990" s="1113"/>
    </row>
    <row r="991">
      <c r="A991" s="1113"/>
      <c r="B991" s="1114"/>
      <c r="C991" s="1115"/>
      <c r="D991" s="1116"/>
      <c r="E991" s="1115"/>
      <c r="F991" s="1115"/>
      <c r="G991" s="1115"/>
      <c r="H991" s="1116"/>
      <c r="I991" s="1115"/>
      <c r="J991" s="1113"/>
    </row>
    <row r="992">
      <c r="A992" s="1113"/>
      <c r="B992" s="1114"/>
      <c r="C992" s="1115"/>
      <c r="D992" s="1116"/>
      <c r="E992" s="1115"/>
      <c r="F992" s="1115"/>
      <c r="G992" s="1115"/>
      <c r="H992" s="1116"/>
      <c r="I992" s="1115"/>
      <c r="J992" s="1113"/>
    </row>
    <row r="993">
      <c r="A993" s="1113"/>
      <c r="B993" s="1114"/>
      <c r="C993" s="1115"/>
      <c r="D993" s="1116"/>
      <c r="E993" s="1115"/>
      <c r="F993" s="1115"/>
      <c r="G993" s="1115"/>
      <c r="H993" s="1116"/>
      <c r="I993" s="1115"/>
      <c r="J993" s="1113"/>
    </row>
    <row r="994">
      <c r="A994" s="1113"/>
      <c r="B994" s="1114"/>
      <c r="C994" s="1115"/>
      <c r="D994" s="1116"/>
      <c r="E994" s="1115"/>
      <c r="F994" s="1115"/>
      <c r="G994" s="1115"/>
      <c r="H994" s="1116"/>
      <c r="I994" s="1115"/>
      <c r="J994" s="1113"/>
    </row>
    <row r="995">
      <c r="A995" s="1113"/>
      <c r="B995" s="1114"/>
      <c r="C995" s="1115"/>
      <c r="D995" s="1116"/>
      <c r="E995" s="1115"/>
      <c r="F995" s="1115"/>
      <c r="G995" s="1115"/>
      <c r="H995" s="1116"/>
      <c r="I995" s="1115"/>
      <c r="J995" s="1113"/>
    </row>
    <row r="996">
      <c r="A996" s="1113"/>
      <c r="B996" s="1114"/>
      <c r="C996" s="1115"/>
      <c r="D996" s="1116"/>
      <c r="E996" s="1115"/>
      <c r="F996" s="1115"/>
      <c r="G996" s="1115"/>
      <c r="H996" s="1116"/>
      <c r="I996" s="1115"/>
      <c r="J996" s="1113"/>
    </row>
    <row r="997">
      <c r="A997" s="1113"/>
      <c r="B997" s="1114"/>
      <c r="C997" s="1115"/>
      <c r="D997" s="1116"/>
      <c r="E997" s="1115"/>
      <c r="F997" s="1115"/>
      <c r="G997" s="1115"/>
      <c r="H997" s="1116"/>
      <c r="I997" s="1115"/>
      <c r="J997" s="1113"/>
    </row>
    <row r="998">
      <c r="A998" s="1113"/>
      <c r="B998" s="1114"/>
      <c r="C998" s="1115"/>
      <c r="D998" s="1116"/>
      <c r="E998" s="1115"/>
      <c r="F998" s="1115"/>
      <c r="G998" s="1115"/>
      <c r="H998" s="1116"/>
      <c r="I998" s="1115"/>
      <c r="J998" s="1113"/>
    </row>
    <row r="999">
      <c r="A999" s="1113"/>
      <c r="B999" s="1114"/>
      <c r="C999" s="1115"/>
      <c r="D999" s="1116"/>
      <c r="E999" s="1115"/>
      <c r="F999" s="1115"/>
      <c r="G999" s="1115"/>
      <c r="H999" s="1116"/>
      <c r="I999" s="1115"/>
      <c r="J999" s="1113"/>
    </row>
    <row r="1000">
      <c r="A1000" s="1113"/>
      <c r="B1000" s="1114"/>
      <c r="C1000" s="1115"/>
      <c r="D1000" s="1116"/>
      <c r="E1000" s="1115"/>
      <c r="F1000" s="1115"/>
      <c r="G1000" s="1115"/>
      <c r="H1000" s="1116"/>
      <c r="I1000" s="1115"/>
      <c r="J1000" s="1113"/>
    </row>
    <row r="1001">
      <c r="A1001" s="1113"/>
      <c r="B1001" s="1114"/>
      <c r="C1001" s="1115"/>
      <c r="D1001" s="1116"/>
      <c r="E1001" s="1115"/>
      <c r="F1001" s="1115"/>
      <c r="G1001" s="1115"/>
      <c r="H1001" s="1116"/>
      <c r="I1001" s="1115"/>
      <c r="J1001" s="1113"/>
    </row>
    <row r="1002">
      <c r="A1002" s="1113"/>
      <c r="B1002" s="1114"/>
      <c r="C1002" s="1115"/>
      <c r="D1002" s="1116"/>
      <c r="E1002" s="1115"/>
      <c r="F1002" s="1115"/>
      <c r="G1002" s="1115"/>
      <c r="H1002" s="1116"/>
      <c r="I1002" s="1115"/>
      <c r="J1002" s="1113"/>
    </row>
    <row r="1003">
      <c r="A1003" s="1113"/>
      <c r="B1003" s="1114"/>
      <c r="C1003" s="1115"/>
      <c r="D1003" s="1116"/>
      <c r="E1003" s="1115"/>
      <c r="F1003" s="1115"/>
      <c r="G1003" s="1115"/>
      <c r="H1003" s="1116"/>
      <c r="I1003" s="1115"/>
      <c r="J1003" s="1113"/>
    </row>
    <row r="1004">
      <c r="A1004" s="1113"/>
      <c r="B1004" s="1114"/>
      <c r="C1004" s="1115"/>
      <c r="D1004" s="1116"/>
      <c r="E1004" s="1115"/>
      <c r="F1004" s="1115"/>
      <c r="G1004" s="1115"/>
      <c r="H1004" s="1116"/>
      <c r="I1004" s="1115"/>
      <c r="J1004" s="1113"/>
    </row>
    <row r="1005">
      <c r="A1005" s="1113"/>
      <c r="B1005" s="1114"/>
      <c r="C1005" s="1115"/>
      <c r="D1005" s="1116"/>
      <c r="E1005" s="1115"/>
      <c r="F1005" s="1115"/>
      <c r="G1005" s="1115"/>
      <c r="H1005" s="1116"/>
      <c r="I1005" s="1115"/>
      <c r="J1005" s="1113"/>
    </row>
    <row r="1006">
      <c r="A1006" s="1113"/>
      <c r="B1006" s="1114"/>
      <c r="C1006" s="1115"/>
      <c r="D1006" s="1116"/>
      <c r="E1006" s="1115"/>
      <c r="F1006" s="1115"/>
      <c r="G1006" s="1115"/>
      <c r="H1006" s="1116"/>
      <c r="I1006" s="1115"/>
      <c r="J1006" s="1113"/>
    </row>
    <row r="1007">
      <c r="A1007" s="1113"/>
      <c r="B1007" s="1114"/>
      <c r="C1007" s="1115"/>
      <c r="D1007" s="1116"/>
      <c r="E1007" s="1115"/>
      <c r="F1007" s="1115"/>
      <c r="G1007" s="1115"/>
      <c r="H1007" s="1116"/>
      <c r="I1007" s="1115"/>
      <c r="J1007" s="1113"/>
    </row>
  </sheetData>
  <conditionalFormatting sqref="E5:E35">
    <cfRule type="cellIs" dxfId="36" priority="1" operator="greaterThan">
      <formula>0</formula>
    </cfRule>
  </conditionalFormatting>
  <conditionalFormatting sqref="E5:E35">
    <cfRule type="cellIs" dxfId="35" priority="2" operator="lessThan">
      <formula>0</formula>
    </cfRule>
  </conditionalFormatting>
  <conditionalFormatting sqref="D5:D34">
    <cfRule type="cellIs" dxfId="35" priority="3" operator="lessThan">
      <formula>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showGridLines="0" workbookViewId="0"/>
  </sheetViews>
  <sheetFormatPr customHeight="1" defaultColWidth="12.63" defaultRowHeight="15.75"/>
  <cols>
    <col customWidth="1" min="1" max="1" width="44.63"/>
    <col customWidth="1" min="2" max="2" width="7.38"/>
    <col customWidth="1" min="3" max="4" width="21.25"/>
    <col customWidth="1" min="5" max="5" width="8.38"/>
    <col customWidth="1" min="7" max="8" width="21.25"/>
    <col customWidth="1" min="9" max="9" width="8.88"/>
    <col customWidth="1" min="10" max="10" width="44.13"/>
  </cols>
  <sheetData>
    <row r="1" ht="44.25" customHeight="1">
      <c r="A1" s="1113"/>
      <c r="B1" s="1114"/>
      <c r="C1" s="1115"/>
      <c r="D1" s="1116"/>
      <c r="E1" s="1115"/>
      <c r="F1" s="1115"/>
      <c r="G1" s="1115"/>
      <c r="H1" s="1116"/>
      <c r="I1" s="1115"/>
      <c r="J1" s="1113"/>
    </row>
    <row r="2">
      <c r="A2" s="1113"/>
      <c r="B2" s="1117"/>
      <c r="C2" s="1118" t="s">
        <v>952</v>
      </c>
      <c r="D2" s="1119">
        <v>1000000.0</v>
      </c>
      <c r="E2" s="1120"/>
      <c r="F2" s="1115"/>
      <c r="G2" s="1118" t="s">
        <v>953</v>
      </c>
      <c r="H2" s="1121">
        <v>0.03</v>
      </c>
      <c r="I2" s="1120"/>
      <c r="J2" s="1113"/>
    </row>
    <row r="3">
      <c r="A3" s="1113"/>
      <c r="B3" s="1117"/>
      <c r="C3" s="1117"/>
      <c r="D3" s="1122"/>
      <c r="E3" s="1115"/>
      <c r="F3" s="1115"/>
      <c r="G3" s="1117"/>
      <c r="H3" s="1122"/>
      <c r="I3" s="1115"/>
      <c r="J3" s="1113"/>
    </row>
    <row r="4">
      <c r="A4" s="1113"/>
      <c r="B4" s="1117"/>
      <c r="C4" s="1123" t="s">
        <v>954</v>
      </c>
      <c r="D4" s="1124" t="s">
        <v>955</v>
      </c>
      <c r="E4" s="1123" t="s">
        <v>956</v>
      </c>
      <c r="F4" s="1115"/>
      <c r="G4" s="1123" t="s">
        <v>954</v>
      </c>
      <c r="H4" s="1124" t="s">
        <v>957</v>
      </c>
      <c r="I4" s="1123" t="s">
        <v>958</v>
      </c>
      <c r="J4" s="1113"/>
    </row>
    <row r="5">
      <c r="A5" s="1113"/>
      <c r="B5" s="1125">
        <v>1985.0</v>
      </c>
      <c r="C5" s="1126">
        <v>1.0</v>
      </c>
      <c r="D5" s="1127">
        <f>D2-H5</f>
        <v>970000</v>
      </c>
      <c r="E5" s="1128">
        <f t="array" ref="E5">XLOOKUP(B5,Historic_Data!$A$1:$A$100,Historic_Data!$G$1:$G$100)</f>
        <v>0.2633</v>
      </c>
      <c r="F5" s="1115"/>
      <c r="G5" s="1123">
        <v>1.0</v>
      </c>
      <c r="H5" s="1127">
        <f>D2*H2</f>
        <v>30000</v>
      </c>
      <c r="I5" s="1129">
        <f t="array" ref="I5">XLOOKUP(B5,Historic_Data!$A$1:$A$100,Historic_Data!$H$1:$H$100)</f>
        <v>0.035</v>
      </c>
      <c r="J5" s="1130"/>
    </row>
    <row r="6">
      <c r="A6" s="1113"/>
      <c r="B6" s="1117">
        <f t="shared" ref="B6:B44" si="1">B5+1</f>
        <v>1986</v>
      </c>
      <c r="C6" s="1123">
        <v>2.0</v>
      </c>
      <c r="D6" s="1127">
        <f t="shared" ref="D6:D44" si="2">(D5)*(1+E5)-H6</f>
        <v>1194351</v>
      </c>
      <c r="E6" s="1128">
        <f t="array" ref="E6">XLOOKUP(B6,Historic_Data!$A$1:$A$100,Historic_Data!$G$1:$G$100)</f>
        <v>0.1462</v>
      </c>
      <c r="F6" s="1115"/>
      <c r="G6" s="1123">
        <v>2.0</v>
      </c>
      <c r="H6" s="1127">
        <f t="shared" ref="H6:H44" si="3">H5*(1+I5)</f>
        <v>31050</v>
      </c>
      <c r="I6" s="1129">
        <f t="array" ref="I6">XLOOKUP(B6,Historic_Data!$A$1:$A$100,Historic_Data!$H$1:$H$100)</f>
        <v>0.019</v>
      </c>
      <c r="J6" s="1113"/>
    </row>
    <row r="7">
      <c r="A7" s="1113"/>
      <c r="B7" s="1117">
        <f t="shared" si="1"/>
        <v>1987</v>
      </c>
      <c r="C7" s="1123">
        <v>3.0</v>
      </c>
      <c r="D7" s="1127">
        <f t="shared" si="2"/>
        <v>1337325.166</v>
      </c>
      <c r="E7" s="1128">
        <f t="array" ref="E7">XLOOKUP(B7,Historic_Data!$A$1:$A$100,Historic_Data!$G$1:$G$100)</f>
        <v>0.0203</v>
      </c>
      <c r="F7" s="1115"/>
      <c r="G7" s="1123">
        <v>3.0</v>
      </c>
      <c r="H7" s="1127">
        <f t="shared" si="3"/>
        <v>31639.95</v>
      </c>
      <c r="I7" s="1129">
        <f t="array" ref="I7">XLOOKUP(B7,Historic_Data!$A$1:$A$100,Historic_Data!$H$1:$H$100)</f>
        <v>0.037</v>
      </c>
      <c r="J7" s="1113"/>
    </row>
    <row r="8">
      <c r="A8" s="1113"/>
      <c r="B8" s="1117">
        <f t="shared" si="1"/>
        <v>1988</v>
      </c>
      <c r="C8" s="1123">
        <v>4.0</v>
      </c>
      <c r="D8" s="1127">
        <f t="shared" si="2"/>
        <v>1331662.239</v>
      </c>
      <c r="E8" s="1128">
        <f t="array" ref="E8">XLOOKUP(B8,Historic_Data!$A$1:$A$100,Historic_Data!$G$1:$G$100)</f>
        <v>0.124</v>
      </c>
      <c r="F8" s="1115"/>
      <c r="G8" s="1123">
        <v>4.0</v>
      </c>
      <c r="H8" s="1127">
        <f t="shared" si="3"/>
        <v>32810.62815</v>
      </c>
      <c r="I8" s="1129">
        <f t="array" ref="I8">XLOOKUP(B8,Historic_Data!$A$1:$A$100,Historic_Data!$H$1:$H$100)</f>
        <v>0.041</v>
      </c>
      <c r="J8" s="1113"/>
    </row>
    <row r="9">
      <c r="A9" s="1113"/>
      <c r="B9" s="1117">
        <f t="shared" si="1"/>
        <v>1989</v>
      </c>
      <c r="C9" s="1123">
        <v>5.0</v>
      </c>
      <c r="D9" s="1127">
        <f t="shared" si="2"/>
        <v>1462632.493</v>
      </c>
      <c r="E9" s="1128">
        <f t="array" ref="E9">XLOOKUP(B9,Historic_Data!$A$1:$A$100,Historic_Data!$G$1:$G$100)</f>
        <v>0.2725</v>
      </c>
      <c r="F9" s="1115"/>
      <c r="G9" s="1123">
        <v>5.0</v>
      </c>
      <c r="H9" s="1127">
        <f t="shared" si="3"/>
        <v>34155.8639</v>
      </c>
      <c r="I9" s="1129">
        <f t="array" ref="I9">XLOOKUP(B9,Historic_Data!$A$1:$A$100,Historic_Data!$H$1:$H$100)</f>
        <v>0.048</v>
      </c>
      <c r="J9" s="1113"/>
    </row>
    <row r="10">
      <c r="A10" s="1113"/>
      <c r="B10" s="1117">
        <f t="shared" si="1"/>
        <v>1990</v>
      </c>
      <c r="C10" s="1123">
        <v>6.0</v>
      </c>
      <c r="D10" s="1127">
        <f t="shared" si="2"/>
        <v>1825404.502</v>
      </c>
      <c r="E10" s="1128">
        <f t="array" ref="E10">XLOOKUP(B10,Historic_Data!$A$1:$A$100,Historic_Data!$G$1:$G$100)</f>
        <v>-0.0656</v>
      </c>
      <c r="F10" s="1115"/>
      <c r="G10" s="1123">
        <v>6.0</v>
      </c>
      <c r="H10" s="1127">
        <f t="shared" si="3"/>
        <v>35795.34537</v>
      </c>
      <c r="I10" s="1129">
        <f t="array" ref="I10">XLOOKUP(B10,Historic_Data!$A$1:$A$100,Historic_Data!$H$1:$H$100)</f>
        <v>0.054</v>
      </c>
      <c r="J10" s="1113"/>
    </row>
    <row r="11">
      <c r="A11" s="1113"/>
      <c r="B11" s="1117">
        <f t="shared" si="1"/>
        <v>1991</v>
      </c>
      <c r="C11" s="1123">
        <v>7.0</v>
      </c>
      <c r="D11" s="1127">
        <f t="shared" si="2"/>
        <v>1667929.672</v>
      </c>
      <c r="E11" s="1128">
        <f t="array" ref="E11">XLOOKUP(B11,Historic_Data!$A$1:$A$100,Historic_Data!$G$1:$G$100)</f>
        <v>0.2631</v>
      </c>
      <c r="F11" s="1115"/>
      <c r="G11" s="1123">
        <v>7.0</v>
      </c>
      <c r="H11" s="1127">
        <f t="shared" si="3"/>
        <v>37728.29402</v>
      </c>
      <c r="I11" s="1129">
        <f t="array" ref="I11">XLOOKUP(B11,Historic_Data!$A$1:$A$100,Historic_Data!$H$1:$H$100)</f>
        <v>0.042</v>
      </c>
      <c r="J11" s="1113"/>
    </row>
    <row r="12">
      <c r="A12" s="1113"/>
      <c r="B12" s="1117">
        <f t="shared" si="1"/>
        <v>1992</v>
      </c>
      <c r="C12" s="1123">
        <v>8.0</v>
      </c>
      <c r="D12" s="1127">
        <f t="shared" si="2"/>
        <v>2067449.087</v>
      </c>
      <c r="E12" s="1128">
        <f t="array" ref="E12">XLOOKUP(B12,Historic_Data!$A$1:$A$100,Historic_Data!$G$1:$G$100)</f>
        <v>0.0446</v>
      </c>
      <c r="F12" s="1115"/>
      <c r="G12" s="1123">
        <v>8.0</v>
      </c>
      <c r="H12" s="1127">
        <f t="shared" si="3"/>
        <v>39312.88237</v>
      </c>
      <c r="I12" s="1129">
        <f t="array" ref="I12">XLOOKUP(B12,Historic_Data!$A$1:$A$100,Historic_Data!$H$1:$H$100)</f>
        <v>0.03</v>
      </c>
      <c r="J12" s="1113"/>
    </row>
    <row r="13">
      <c r="A13" s="1113"/>
      <c r="B13" s="1117">
        <f t="shared" si="1"/>
        <v>1993</v>
      </c>
      <c r="C13" s="1123">
        <v>9.0</v>
      </c>
      <c r="D13" s="1127">
        <f t="shared" si="2"/>
        <v>2119165.047</v>
      </c>
      <c r="E13" s="1128">
        <f t="array" ref="E13">XLOOKUP(B13,Historic_Data!$A$1:$A$100,Historic_Data!$G$1:$G$100)</f>
        <v>0.0706</v>
      </c>
      <c r="F13" s="1115"/>
      <c r="G13" s="1123">
        <v>9.0</v>
      </c>
      <c r="H13" s="1127">
        <f t="shared" si="3"/>
        <v>40492.26884</v>
      </c>
      <c r="I13" s="1129">
        <f t="array" ref="I13">XLOOKUP(B13,Historic_Data!$A$1:$A$100,Historic_Data!$H$1:$H$100)</f>
        <v>0.03</v>
      </c>
      <c r="J13" s="1113"/>
    </row>
    <row r="14">
      <c r="A14" s="1113"/>
      <c r="B14" s="1117">
        <f t="shared" si="1"/>
        <v>1994</v>
      </c>
      <c r="C14" s="1123">
        <v>10.0</v>
      </c>
      <c r="D14" s="1127">
        <f t="shared" si="2"/>
        <v>2227071.062</v>
      </c>
      <c r="E14" s="1128">
        <f t="array" ref="E14">XLOOKUP(B14,Historic_Data!$A$1:$A$100,Historic_Data!$G$1:$G$100)</f>
        <v>-0.0154</v>
      </c>
      <c r="F14" s="1115"/>
      <c r="G14" s="1123">
        <v>10.0</v>
      </c>
      <c r="H14" s="1127">
        <f t="shared" si="3"/>
        <v>41707.03691</v>
      </c>
      <c r="I14" s="1129">
        <f t="array" ref="I14">XLOOKUP(B14,Historic_Data!$A$1:$A$100,Historic_Data!$H$1:$H$100)</f>
        <v>0.026</v>
      </c>
      <c r="J14" s="1113"/>
    </row>
    <row r="15">
      <c r="A15" s="1113"/>
      <c r="B15" s="1117">
        <f t="shared" si="1"/>
        <v>1995</v>
      </c>
      <c r="C15" s="1123">
        <v>11.0</v>
      </c>
      <c r="D15" s="1127">
        <f t="shared" si="2"/>
        <v>2149982.748</v>
      </c>
      <c r="E15" s="1128">
        <f t="array" ref="E15">XLOOKUP(B15,Historic_Data!$A$1:$A$100,Historic_Data!$G$1:$G$100)</f>
        <v>0.3411</v>
      </c>
      <c r="F15" s="1115"/>
      <c r="G15" s="1123">
        <v>11.0</v>
      </c>
      <c r="H15" s="1127">
        <f t="shared" si="3"/>
        <v>42791.41987</v>
      </c>
      <c r="I15" s="1129">
        <f t="array" ref="I15">XLOOKUP(B15,Historic_Data!$A$1:$A$100,Historic_Data!$H$1:$H$100)</f>
        <v>0.028</v>
      </c>
      <c r="J15" s="1113"/>
    </row>
    <row r="16">
      <c r="A16" s="1113"/>
      <c r="B16" s="1117">
        <f t="shared" si="1"/>
        <v>1996</v>
      </c>
      <c r="C16" s="1123">
        <v>12.0</v>
      </c>
      <c r="D16" s="1127">
        <f t="shared" si="2"/>
        <v>2839352.284</v>
      </c>
      <c r="E16" s="1128">
        <f t="array" ref="E16">XLOOKUP(B16,Historic_Data!$A$1:$A$100,Historic_Data!$G$1:$G$100)</f>
        <v>0.2026</v>
      </c>
      <c r="F16" s="1115"/>
      <c r="G16" s="1123">
        <v>12.0</v>
      </c>
      <c r="H16" s="1127">
        <f t="shared" si="3"/>
        <v>43989.57962</v>
      </c>
      <c r="I16" s="1129">
        <f t="array" ref="I16">XLOOKUP(B16,Historic_Data!$A$1:$A$100,Historic_Data!$H$1:$H$100)</f>
        <v>0.029</v>
      </c>
      <c r="J16" s="1113"/>
    </row>
    <row r="17">
      <c r="A17" s="1113"/>
      <c r="B17" s="1117">
        <f t="shared" si="1"/>
        <v>1997</v>
      </c>
      <c r="C17" s="1123">
        <v>13.0</v>
      </c>
      <c r="D17" s="1127">
        <f t="shared" si="2"/>
        <v>3369339.779</v>
      </c>
      <c r="E17" s="1128">
        <f t="array" ref="E17">XLOOKUP(B17,Historic_Data!$A$1:$A$100,Historic_Data!$G$1:$G$100)</f>
        <v>0.3101</v>
      </c>
      <c r="F17" s="1115"/>
      <c r="G17" s="1123">
        <v>13.0</v>
      </c>
      <c r="H17" s="1127">
        <f t="shared" si="3"/>
        <v>45265.27743</v>
      </c>
      <c r="I17" s="1129">
        <f t="array" ref="I17">XLOOKUP(B17,Historic_Data!$A$1:$A$100,Historic_Data!$H$1:$H$100)</f>
        <v>0.023</v>
      </c>
      <c r="J17" s="1113"/>
    </row>
    <row r="18">
      <c r="A18" s="1113"/>
      <c r="B18" s="1117">
        <f t="shared" si="1"/>
        <v>1998</v>
      </c>
      <c r="C18" s="1123">
        <v>14.0</v>
      </c>
      <c r="D18" s="1127">
        <f t="shared" si="2"/>
        <v>4367865.666</v>
      </c>
      <c r="E18" s="1128">
        <f t="array" ref="E18">XLOOKUP(B18,Historic_Data!$A$1:$A$100,Historic_Data!$G$1:$G$100)</f>
        <v>0.2667</v>
      </c>
      <c r="F18" s="1115"/>
      <c r="G18" s="1123">
        <v>14.0</v>
      </c>
      <c r="H18" s="1127">
        <f t="shared" si="3"/>
        <v>46306.37881</v>
      </c>
      <c r="I18" s="1129">
        <f t="array" ref="I18">XLOOKUP(B18,Historic_Data!$A$1:$A$100,Historic_Data!$H$1:$H$100)</f>
        <v>0.016</v>
      </c>
      <c r="J18" s="1113"/>
    </row>
    <row r="19">
      <c r="A19" s="1113"/>
      <c r="B19" s="1117">
        <f t="shared" si="1"/>
        <v>1999</v>
      </c>
      <c r="C19" s="1123">
        <v>15.0</v>
      </c>
      <c r="D19" s="1127">
        <f t="shared" si="2"/>
        <v>5485728.158</v>
      </c>
      <c r="E19" s="1128">
        <f t="array" ref="E19">XLOOKUP(B19,Historic_Data!$A$1:$A$100,Historic_Data!$G$1:$G$100)</f>
        <v>0.1953</v>
      </c>
      <c r="F19" s="1115"/>
      <c r="G19" s="1123">
        <v>15.0</v>
      </c>
      <c r="H19" s="1127">
        <f t="shared" si="3"/>
        <v>47047.28087</v>
      </c>
      <c r="I19" s="1129">
        <f t="array" ref="I19">XLOOKUP(B19,Historic_Data!$A$1:$A$100,Historic_Data!$H$1:$H$100)</f>
        <v>0.022</v>
      </c>
      <c r="J19" s="1113"/>
    </row>
    <row r="20">
      <c r="A20" s="1113"/>
      <c r="B20" s="1117">
        <f t="shared" si="1"/>
        <v>2000</v>
      </c>
      <c r="C20" s="1123">
        <v>16.0</v>
      </c>
      <c r="D20" s="1127">
        <f t="shared" si="2"/>
        <v>6509008.547</v>
      </c>
      <c r="E20" s="1128">
        <f t="array" ref="E20">XLOOKUP(B20,Historic_Data!$A$1:$A$100,Historic_Data!$G$1:$G$100)</f>
        <v>-0.1014</v>
      </c>
      <c r="F20" s="1115"/>
      <c r="G20" s="1123">
        <v>16.0</v>
      </c>
      <c r="H20" s="1127">
        <f t="shared" si="3"/>
        <v>48082.32105</v>
      </c>
      <c r="I20" s="1129">
        <f t="array" ref="I20">XLOOKUP(B20,Historic_Data!$A$1:$A$100,Historic_Data!$H$1:$H$100)</f>
        <v>0.034</v>
      </c>
      <c r="J20" s="1113"/>
    </row>
    <row r="21">
      <c r="A21" s="1113"/>
      <c r="B21" s="1117">
        <f t="shared" si="1"/>
        <v>2001</v>
      </c>
      <c r="C21" s="1123">
        <v>17.0</v>
      </c>
      <c r="D21" s="1127">
        <f t="shared" si="2"/>
        <v>5799277.96</v>
      </c>
      <c r="E21" s="1128">
        <f t="array" ref="E21">XLOOKUP(B21,Historic_Data!$A$1:$A$100,Historic_Data!$G$1:$G$100)</f>
        <v>-0.1304</v>
      </c>
      <c r="F21" s="1115"/>
      <c r="G21" s="1123">
        <v>17.0</v>
      </c>
      <c r="H21" s="1127">
        <f t="shared" si="3"/>
        <v>49717.11997</v>
      </c>
      <c r="I21" s="1129">
        <f t="array" ref="I21">XLOOKUP(B21,Historic_Data!$A$1:$A$100,Historic_Data!$H$1:$H$100)</f>
        <v>0.028</v>
      </c>
      <c r="J21" s="1113"/>
    </row>
    <row r="22">
      <c r="A22" s="1113"/>
      <c r="B22" s="1117">
        <f t="shared" si="1"/>
        <v>2002</v>
      </c>
      <c r="C22" s="1123">
        <v>18.0</v>
      </c>
      <c r="D22" s="1127">
        <f t="shared" si="2"/>
        <v>4991942.915</v>
      </c>
      <c r="E22" s="1128">
        <f t="array" ref="E22">XLOOKUP(B22,Historic_Data!$A$1:$A$100,Historic_Data!$G$1:$G$100)</f>
        <v>-0.2337</v>
      </c>
      <c r="F22" s="1115"/>
      <c r="G22" s="1123">
        <v>18.0</v>
      </c>
      <c r="H22" s="1127">
        <f t="shared" si="3"/>
        <v>51109.19933</v>
      </c>
      <c r="I22" s="1129">
        <f t="array" ref="I22">XLOOKUP(B22,Historic_Data!$A$1:$A$100,Historic_Data!$H$1:$H$100)</f>
        <v>0.016</v>
      </c>
      <c r="J22" s="1113"/>
    </row>
    <row r="23">
      <c r="A23" s="1113"/>
      <c r="B23" s="1117">
        <f t="shared" si="1"/>
        <v>2003</v>
      </c>
      <c r="C23" s="1123">
        <v>19.0</v>
      </c>
      <c r="D23" s="1127">
        <f t="shared" si="2"/>
        <v>3773398.909</v>
      </c>
      <c r="E23" s="1128">
        <f t="array" ref="E23">XLOOKUP(B23,Historic_Data!$A$1:$A$100,Historic_Data!$G$1:$G$100)</f>
        <v>0.2638</v>
      </c>
      <c r="F23" s="1115"/>
      <c r="G23" s="1123">
        <v>19.0</v>
      </c>
      <c r="H23" s="1127">
        <f t="shared" si="3"/>
        <v>51926.94652</v>
      </c>
      <c r="I23" s="1129">
        <f t="array" ref="I23">XLOOKUP(B23,Historic_Data!$A$1:$A$100,Historic_Data!$H$1:$H$100)</f>
        <v>0.023</v>
      </c>
      <c r="J23" s="1113"/>
    </row>
    <row r="24">
      <c r="A24" s="1113"/>
      <c r="B24" s="1117">
        <f t="shared" si="1"/>
        <v>2004</v>
      </c>
      <c r="C24" s="1123">
        <v>20.0</v>
      </c>
      <c r="D24" s="1127">
        <f t="shared" si="2"/>
        <v>4715700.275</v>
      </c>
      <c r="E24" s="1128">
        <f t="array" ref="E24">XLOOKUP(B24,Historic_Data!$A$1:$A$100,Historic_Data!$G$1:$G$100)</f>
        <v>0.0899</v>
      </c>
      <c r="F24" s="1115"/>
      <c r="G24" s="1123">
        <v>20.0</v>
      </c>
      <c r="H24" s="1127">
        <f t="shared" si="3"/>
        <v>53121.26629</v>
      </c>
      <c r="I24" s="1129">
        <f t="array" ref="I24">XLOOKUP(B24,Historic_Data!$A$1:$A$100,Historic_Data!$H$1:$H$100)</f>
        <v>0.027</v>
      </c>
      <c r="J24" s="1113"/>
    </row>
    <row r="25">
      <c r="A25" s="1113"/>
      <c r="B25" s="1117">
        <f t="shared" si="1"/>
        <v>2005</v>
      </c>
      <c r="C25" s="1123">
        <v>21.0</v>
      </c>
      <c r="D25" s="1127">
        <f t="shared" si="2"/>
        <v>5085086.189</v>
      </c>
      <c r="E25" s="1128">
        <f t="array" ref="E25">XLOOKUP(B25,Historic_Data!$A$1:$A$100,Historic_Data!$G$1:$G$100)</f>
        <v>0.03</v>
      </c>
      <c r="F25" s="1115"/>
      <c r="G25" s="1123">
        <v>21.0</v>
      </c>
      <c r="H25" s="1127">
        <f t="shared" si="3"/>
        <v>54555.54048</v>
      </c>
      <c r="I25" s="1129">
        <f t="array" ref="I25">XLOOKUP(B25,Historic_Data!$A$1:$A$100,Historic_Data!$H$1:$H$100)</f>
        <v>0.034</v>
      </c>
      <c r="J25" s="1113"/>
    </row>
    <row r="26">
      <c r="A26" s="1113"/>
      <c r="B26" s="1117">
        <f t="shared" si="1"/>
        <v>2006</v>
      </c>
      <c r="C26" s="1123">
        <v>22.0</v>
      </c>
      <c r="D26" s="1127">
        <f t="shared" si="2"/>
        <v>5181228.346</v>
      </c>
      <c r="E26" s="1128">
        <f t="array" ref="E26">XLOOKUP(B26,Historic_Data!$A$1:$A$100,Historic_Data!$G$1:$G$100)</f>
        <v>0.1362</v>
      </c>
      <c r="F26" s="1115"/>
      <c r="G26" s="1123">
        <v>22.0</v>
      </c>
      <c r="H26" s="1127">
        <f t="shared" si="3"/>
        <v>56410.42885</v>
      </c>
      <c r="I26" s="1129">
        <f t="array" ref="I26">XLOOKUP(B26,Historic_Data!$A$1:$A$100,Historic_Data!$H$1:$H$100)</f>
        <v>0.032</v>
      </c>
      <c r="J26" s="1113"/>
    </row>
    <row r="27">
      <c r="A27" s="1113"/>
      <c r="B27" s="1117">
        <f t="shared" si="1"/>
        <v>2007</v>
      </c>
      <c r="C27" s="1123">
        <v>23.0</v>
      </c>
      <c r="D27" s="1127">
        <f t="shared" si="2"/>
        <v>5828696.084</v>
      </c>
      <c r="E27" s="1128">
        <f t="array" ref="E27">XLOOKUP(B27,Historic_Data!$A$1:$A$100,Historic_Data!$G$1:$G$100)</f>
        <v>0.0353</v>
      </c>
      <c r="F27" s="1115"/>
      <c r="G27" s="1123">
        <v>23.0</v>
      </c>
      <c r="H27" s="1127">
        <f t="shared" si="3"/>
        <v>58215.56258</v>
      </c>
      <c r="I27" s="1129">
        <f t="array" ref="I27">XLOOKUP(B27,Historic_Data!$A$1:$A$100,Historic_Data!$H$1:$H$100)</f>
        <v>0.029</v>
      </c>
      <c r="J27" s="1113"/>
    </row>
    <row r="28">
      <c r="A28" s="1113"/>
      <c r="B28" s="1117">
        <f t="shared" si="1"/>
        <v>2008</v>
      </c>
      <c r="C28" s="1123">
        <v>24.0</v>
      </c>
      <c r="D28" s="1127">
        <f t="shared" si="2"/>
        <v>5974545.242</v>
      </c>
      <c r="E28" s="1128">
        <f t="array" ref="E28">XLOOKUP(B28,Historic_Data!$A$1:$A$100,Historic_Data!$G$1:$G$100)</f>
        <v>-0.3849</v>
      </c>
      <c r="F28" s="1115"/>
      <c r="G28" s="1123">
        <v>24.0</v>
      </c>
      <c r="H28" s="1127">
        <f t="shared" si="3"/>
        <v>59903.81389</v>
      </c>
      <c r="I28" s="1129">
        <f t="array" ref="I28">XLOOKUP(B28,Historic_Data!$A$1:$A$100,Historic_Data!$H$1:$H$100)</f>
        <v>0.038</v>
      </c>
      <c r="J28" s="1113"/>
    </row>
    <row r="29">
      <c r="A29" s="1113"/>
      <c r="B29" s="1117">
        <f t="shared" si="1"/>
        <v>2009</v>
      </c>
      <c r="C29" s="1123">
        <v>25.0</v>
      </c>
      <c r="D29" s="1127">
        <f t="shared" si="2"/>
        <v>3612762.619</v>
      </c>
      <c r="E29" s="1128">
        <f t="array" ref="E29">XLOOKUP(B29,Historic_Data!$A$1:$A$100,Historic_Data!$G$1:$G$100)</f>
        <v>0.2345</v>
      </c>
      <c r="F29" s="1115"/>
      <c r="G29" s="1123">
        <v>25.0</v>
      </c>
      <c r="H29" s="1127">
        <f t="shared" si="3"/>
        <v>62180.15882</v>
      </c>
      <c r="I29" s="1129">
        <f t="array" ref="I29">XLOOKUP(B29,Historic_Data!$A$1:$A$100,Historic_Data!$H$1:$H$100)</f>
        <v>-0.004</v>
      </c>
      <c r="J29" s="1113"/>
    </row>
    <row r="30">
      <c r="A30" s="1113"/>
      <c r="B30" s="1117">
        <f t="shared" si="1"/>
        <v>2010</v>
      </c>
      <c r="C30" s="1123">
        <v>26.0</v>
      </c>
      <c r="D30" s="1127">
        <f t="shared" si="2"/>
        <v>4398024.016</v>
      </c>
      <c r="E30" s="1128">
        <f t="array" ref="E30">XLOOKUP(B30,Historic_Data!$A$1:$A$100,Historic_Data!$G$1:$G$100)</f>
        <v>0.1278</v>
      </c>
      <c r="F30" s="1115"/>
      <c r="G30" s="1123">
        <v>26.0</v>
      </c>
      <c r="H30" s="1127">
        <f t="shared" si="3"/>
        <v>61931.43818</v>
      </c>
      <c r="I30" s="1129">
        <f t="array" ref="I30">XLOOKUP(B30,Historic_Data!$A$1:$A$100,Historic_Data!$H$1:$H$100)</f>
        <v>0.016</v>
      </c>
      <c r="J30" s="1113"/>
    </row>
    <row r="31">
      <c r="A31" s="1113"/>
      <c r="B31" s="1117">
        <f t="shared" si="1"/>
        <v>2011</v>
      </c>
      <c r="C31" s="1123">
        <v>27.0</v>
      </c>
      <c r="D31" s="1127">
        <f t="shared" si="2"/>
        <v>4897169.144</v>
      </c>
      <c r="E31" s="1128">
        <f t="array" ref="E31">XLOOKUP(B31,Historic_Data!$A$1:$A$100,Historic_Data!$G$1:$G$100)</f>
        <v>0</v>
      </c>
      <c r="F31" s="1115"/>
      <c r="G31" s="1123">
        <v>27.0</v>
      </c>
      <c r="H31" s="1127">
        <f t="shared" si="3"/>
        <v>62922.34119</v>
      </c>
      <c r="I31" s="1129">
        <f t="array" ref="I31">XLOOKUP(B31,Historic_Data!$A$1:$A$100,Historic_Data!$H$1:$H$100)</f>
        <v>0.032</v>
      </c>
      <c r="J31" s="1113"/>
    </row>
    <row r="32">
      <c r="A32" s="1113"/>
      <c r="B32" s="1117">
        <f t="shared" si="1"/>
        <v>2012</v>
      </c>
      <c r="C32" s="1123">
        <v>28.0</v>
      </c>
      <c r="D32" s="1127">
        <f t="shared" si="2"/>
        <v>4832233.287</v>
      </c>
      <c r="E32" s="1128">
        <f t="array" ref="E32">XLOOKUP(B32,Historic_Data!$A$1:$A$100,Historic_Data!$G$1:$G$100)</f>
        <v>0.1341</v>
      </c>
      <c r="F32" s="1115"/>
      <c r="G32" s="1123">
        <v>28.0</v>
      </c>
      <c r="H32" s="1127">
        <f t="shared" si="3"/>
        <v>64935.85611</v>
      </c>
      <c r="I32" s="1129">
        <f t="array" ref="I32">XLOOKUP(B32,Historic_Data!$A$1:$A$100,Historic_Data!$H$1:$H$100)</f>
        <v>0.021</v>
      </c>
      <c r="J32" s="1113"/>
    </row>
    <row r="33">
      <c r="A33" s="1113"/>
      <c r="B33" s="1117">
        <f t="shared" si="1"/>
        <v>2013</v>
      </c>
      <c r="C33" s="1123">
        <v>29.0</v>
      </c>
      <c r="D33" s="1127">
        <f t="shared" si="2"/>
        <v>5413936.262</v>
      </c>
      <c r="E33" s="1128">
        <f t="array" ref="E33">XLOOKUP(B33,Historic_Data!$A$1:$A$100,Historic_Data!$G$1:$G$100)</f>
        <v>0.296</v>
      </c>
      <c r="F33" s="1115"/>
      <c r="G33" s="1123">
        <v>29.0</v>
      </c>
      <c r="H33" s="1127">
        <f t="shared" si="3"/>
        <v>66299.50909</v>
      </c>
      <c r="I33" s="1129">
        <f t="array" ref="I33">XLOOKUP(B33,Historic_Data!$A$1:$A$100,Historic_Data!$H$1:$H$100)</f>
        <v>0.015</v>
      </c>
      <c r="J33" s="1113"/>
    </row>
    <row r="34">
      <c r="A34" s="1113"/>
      <c r="B34" s="1117">
        <f t="shared" si="1"/>
        <v>2014</v>
      </c>
      <c r="C34" s="1123">
        <v>30.0</v>
      </c>
      <c r="D34" s="1127">
        <f t="shared" si="2"/>
        <v>6949167.394</v>
      </c>
      <c r="E34" s="1128">
        <f t="array" ref="E34">XLOOKUP(B34,Historic_Data!$A$1:$A$100,Historic_Data!$G$1:$G$100)</f>
        <v>0.1139</v>
      </c>
      <c r="F34" s="1115"/>
      <c r="G34" s="1123">
        <v>30.0</v>
      </c>
      <c r="H34" s="1127">
        <f t="shared" si="3"/>
        <v>67294.00173</v>
      </c>
      <c r="I34" s="1129">
        <f t="array" ref="I34">XLOOKUP(B34,Historic_Data!$A$1:$A$100,Historic_Data!$H$1:$H$100)</f>
        <v>0.016</v>
      </c>
      <c r="J34" s="1113"/>
    </row>
    <row r="35">
      <c r="A35" s="1113"/>
      <c r="B35" s="1117">
        <f t="shared" si="1"/>
        <v>2015</v>
      </c>
      <c r="C35" s="1123">
        <v>31.0</v>
      </c>
      <c r="D35" s="1127">
        <f t="shared" si="2"/>
        <v>7672306.855</v>
      </c>
      <c r="E35" s="1128">
        <f t="array" ref="E35">XLOOKUP(B35,Historic_Data!$A$1:$A$100,Historic_Data!$G$1:$G$100)</f>
        <v>-0.0073</v>
      </c>
      <c r="F35" s="1115"/>
      <c r="G35" s="1123">
        <v>31.0</v>
      </c>
      <c r="H35" s="1127">
        <f t="shared" si="3"/>
        <v>68370.70576</v>
      </c>
      <c r="I35" s="1129">
        <f t="array" ref="I35">XLOOKUP(B35,Historic_Data!$A$1:$A$100,Historic_Data!$H$1:$H$100)</f>
        <v>0.001</v>
      </c>
      <c r="J35" s="1113"/>
    </row>
    <row r="36">
      <c r="A36" s="1113"/>
      <c r="B36" s="1117">
        <f t="shared" si="1"/>
        <v>2016</v>
      </c>
      <c r="C36" s="1123">
        <v>32.0</v>
      </c>
      <c r="D36" s="1127">
        <f t="shared" si="2"/>
        <v>7547859.938</v>
      </c>
      <c r="E36" s="1128">
        <f t="array" ref="E36">XLOOKUP(B36,Historic_Data!$A$1:$A$100,Historic_Data!$G$1:$G$100)</f>
        <v>0.0954</v>
      </c>
      <c r="F36" s="1115"/>
      <c r="G36" s="1123">
        <v>32.0</v>
      </c>
      <c r="H36" s="1127">
        <f t="shared" si="3"/>
        <v>68439.07646</v>
      </c>
      <c r="I36" s="1129">
        <f t="array" ref="I36">XLOOKUP(B36,Historic_Data!$A$1:$A$100,Historic_Data!$H$1:$H$100)</f>
        <v>0.013</v>
      </c>
      <c r="J36" s="1113"/>
    </row>
    <row r="37">
      <c r="A37" s="1113"/>
      <c r="B37" s="1117">
        <f t="shared" si="1"/>
        <v>2017</v>
      </c>
      <c r="C37" s="1123">
        <v>33.0</v>
      </c>
      <c r="D37" s="1127">
        <f t="shared" si="2"/>
        <v>8198596.992</v>
      </c>
      <c r="E37" s="1128">
        <f t="array" ref="E37">XLOOKUP(B37,Historic_Data!$A$1:$A$100,Historic_Data!$G$1:$G$100)</f>
        <v>0.1942</v>
      </c>
      <c r="F37" s="1115"/>
      <c r="G37" s="1123">
        <v>33.0</v>
      </c>
      <c r="H37" s="1127">
        <f t="shared" si="3"/>
        <v>69328.78445</v>
      </c>
      <c r="I37" s="1129">
        <f t="array" ref="I37">XLOOKUP(B37,Historic_Data!$A$1:$A$100,Historic_Data!$H$1:$H$100)</f>
        <v>0.021</v>
      </c>
      <c r="J37" s="1113"/>
    </row>
    <row r="38">
      <c r="A38" s="1113"/>
      <c r="B38" s="1117">
        <f t="shared" si="1"/>
        <v>2018</v>
      </c>
      <c r="C38" s="1123">
        <v>34.0</v>
      </c>
      <c r="D38" s="1127">
        <f t="shared" si="2"/>
        <v>9719979.839</v>
      </c>
      <c r="E38" s="1128">
        <f t="array" ref="E38">XLOOKUP(B38,Historic_Data!$A$1:$A$100,Historic_Data!$G$1:$G$100)</f>
        <v>-0.0624</v>
      </c>
      <c r="F38" s="1115"/>
      <c r="G38" s="1123">
        <v>34.0</v>
      </c>
      <c r="H38" s="1127">
        <f t="shared" si="3"/>
        <v>70784.68893</v>
      </c>
      <c r="I38" s="1129">
        <f t="array" ref="I38">XLOOKUP(B38,Historic_Data!$A$1:$A$100,Historic_Data!$H$1:$H$100)</f>
        <v>0.024</v>
      </c>
      <c r="J38" s="1113"/>
    </row>
    <row r="39">
      <c r="A39" s="1113"/>
      <c r="B39" s="1117">
        <f t="shared" si="1"/>
        <v>2019</v>
      </c>
      <c r="C39" s="1123">
        <v>35.0</v>
      </c>
      <c r="D39" s="1127">
        <f t="shared" si="2"/>
        <v>9040969.575</v>
      </c>
      <c r="E39" s="1128">
        <f t="array" ref="E39">XLOOKUP(B39,Historic_Data!$A$1:$A$100,Historic_Data!$G$1:$G$100)</f>
        <v>0.2888</v>
      </c>
      <c r="F39" s="1115"/>
      <c r="G39" s="1123">
        <v>35.0</v>
      </c>
      <c r="H39" s="1127">
        <f t="shared" si="3"/>
        <v>72483.52146</v>
      </c>
      <c r="I39" s="1129">
        <f t="array" ref="I39">XLOOKUP(B39,Historic_Data!$A$1:$A$100,Historic_Data!$H$1:$H$100)</f>
        <v>0.018</v>
      </c>
      <c r="J39" s="1113"/>
    </row>
    <row r="40">
      <c r="A40" s="1113"/>
      <c r="B40" s="1117">
        <f t="shared" si="1"/>
        <v>2020</v>
      </c>
      <c r="C40" s="1123">
        <v>36.0</v>
      </c>
      <c r="D40" s="1127">
        <f t="shared" si="2"/>
        <v>11578213.36</v>
      </c>
      <c r="E40" s="1128">
        <f t="array" ref="E40">XLOOKUP(B40,Historic_Data!$A$1:$A$100,Historic_Data!$G$1:$G$100)</f>
        <v>0.1626</v>
      </c>
      <c r="F40" s="1115"/>
      <c r="G40" s="1123">
        <v>36.0</v>
      </c>
      <c r="H40" s="1127">
        <f t="shared" si="3"/>
        <v>73788.22485</v>
      </c>
      <c r="I40" s="1129">
        <f t="array" ref="I40">XLOOKUP(B40,Historic_Data!$A$1:$A$100,Historic_Data!$H$1:$H$100)</f>
        <v>0.012</v>
      </c>
      <c r="J40" s="1113"/>
    </row>
    <row r="41">
      <c r="A41" s="1113"/>
      <c r="B41" s="1117">
        <f t="shared" si="1"/>
        <v>2021</v>
      </c>
      <c r="C41" s="1123">
        <v>37.0</v>
      </c>
      <c r="D41" s="1127">
        <f t="shared" si="2"/>
        <v>13386157.17</v>
      </c>
      <c r="E41" s="1128">
        <f t="array" ref="E41">XLOOKUP(B41,Historic_Data!$A$1:$A$100,Historic_Data!$G$1:$G$100)</f>
        <v>0.2689</v>
      </c>
      <c r="F41" s="1115"/>
      <c r="G41" s="1123">
        <v>37.0</v>
      </c>
      <c r="H41" s="1127">
        <f t="shared" si="3"/>
        <v>74673.68355</v>
      </c>
      <c r="I41" s="1129">
        <f t="array" ref="I41">XLOOKUP(B41,Historic_Data!$A$1:$A$100,Historic_Data!$H$1:$H$100)</f>
        <v>0.047</v>
      </c>
      <c r="J41" s="1113"/>
    </row>
    <row r="42">
      <c r="A42" s="1113"/>
      <c r="B42" s="1117">
        <f t="shared" si="1"/>
        <v>2022</v>
      </c>
      <c r="C42" s="1123">
        <v>38.0</v>
      </c>
      <c r="D42" s="1127">
        <f t="shared" si="2"/>
        <v>16907511.49</v>
      </c>
      <c r="E42" s="1128">
        <f t="array" ref="E42">XLOOKUP(B42,Historic_Data!$A$1:$A$100,Historic_Data!$G$1:$G$100)</f>
        <v>-0.1944</v>
      </c>
      <c r="F42" s="1115"/>
      <c r="G42" s="1123">
        <v>38.0</v>
      </c>
      <c r="H42" s="1127">
        <f t="shared" si="3"/>
        <v>78183.34667</v>
      </c>
      <c r="I42" s="1129">
        <f t="array" ref="I42">XLOOKUP(B42,Historic_Data!$A$1:$A$100,Historic_Data!$H$1:$H$100)</f>
        <v>0.08</v>
      </c>
      <c r="J42" s="1113"/>
    </row>
    <row r="43">
      <c r="A43" s="1113"/>
      <c r="B43" s="1117">
        <f t="shared" si="1"/>
        <v>2023</v>
      </c>
      <c r="C43" s="1123">
        <v>39.0</v>
      </c>
      <c r="D43" s="1127">
        <f t="shared" si="2"/>
        <v>13536253.24</v>
      </c>
      <c r="E43" s="1128">
        <f t="array" ref="E43">XLOOKUP(B43,Historic_Data!$A$1:$A$100,Historic_Data!$G$1:$G$100)</f>
        <v>0.2423</v>
      </c>
      <c r="F43" s="1115"/>
      <c r="G43" s="1123">
        <v>39.0</v>
      </c>
      <c r="H43" s="1127">
        <f t="shared" si="3"/>
        <v>84438.01441</v>
      </c>
      <c r="I43" s="1129">
        <f t="array" ref="I43">XLOOKUP(B43,Historic_Data!$A$1:$A$100,Historic_Data!$H$1:$H$100)</f>
        <v>0.041</v>
      </c>
      <c r="J43" s="1113"/>
    </row>
    <row r="44">
      <c r="A44" s="1113"/>
      <c r="B44" s="1117">
        <f t="shared" si="1"/>
        <v>2024</v>
      </c>
      <c r="C44" s="1123">
        <v>40.0</v>
      </c>
      <c r="D44" s="1127">
        <f t="shared" si="2"/>
        <v>16728187.43</v>
      </c>
      <c r="E44" s="1128">
        <f t="array" ref="E44">XLOOKUP(B44,Historic_Data!$A$1:$A$100,Historic_Data!$G$1:$G$100)</f>
        <v>0.2331</v>
      </c>
      <c r="F44" s="1115"/>
      <c r="G44" s="1123">
        <v>40.0</v>
      </c>
      <c r="H44" s="1127">
        <f t="shared" si="3"/>
        <v>87899.973</v>
      </c>
      <c r="I44" s="1129">
        <f t="array" ref="I44">XLOOKUP(B44,Historic_Data!$A$1:$A$100,Historic_Data!$H$1:$H$100)</f>
        <v>0.032</v>
      </c>
      <c r="J44" s="1113"/>
    </row>
    <row r="45">
      <c r="A45" s="1113"/>
      <c r="B45" s="1131"/>
      <c r="C45" s="1132"/>
      <c r="D45" s="1122" t="s">
        <v>959</v>
      </c>
      <c r="E45" s="1128">
        <f>AVERAGE(E5:E44)</f>
        <v>0.1067925</v>
      </c>
      <c r="F45" s="1115"/>
      <c r="G45" s="1115"/>
      <c r="H45" s="1122" t="s">
        <v>959</v>
      </c>
      <c r="I45" s="1133">
        <f>AVERAGE(I5:I44)</f>
        <v>0.02815</v>
      </c>
      <c r="J45" s="1113"/>
    </row>
    <row r="46">
      <c r="A46" s="1113"/>
      <c r="B46" s="1114"/>
      <c r="C46" s="1115"/>
      <c r="D46" s="1116"/>
      <c r="E46" s="1115"/>
      <c r="F46" s="1115"/>
      <c r="G46" s="1115"/>
      <c r="H46" s="1122" t="s">
        <v>962</v>
      </c>
      <c r="I46" s="1134">
        <f>H44/H5</f>
        <v>2.9299991</v>
      </c>
      <c r="J46" s="1113"/>
    </row>
    <row r="47">
      <c r="A47" s="1113"/>
      <c r="B47" s="1114"/>
      <c r="C47" s="1115"/>
      <c r="D47" s="1116"/>
      <c r="E47" s="1115"/>
      <c r="F47" s="1115"/>
      <c r="G47" s="1115"/>
      <c r="H47" s="1116"/>
      <c r="I47" s="1115"/>
      <c r="J47" s="1113"/>
    </row>
    <row r="48">
      <c r="A48" s="1113"/>
      <c r="B48" s="1114"/>
      <c r="C48" s="1115"/>
      <c r="D48" s="1116"/>
      <c r="E48" s="1115"/>
      <c r="F48" s="1115"/>
      <c r="G48" s="1115"/>
      <c r="H48" s="1116"/>
      <c r="I48" s="1115"/>
      <c r="J48" s="1113"/>
    </row>
    <row r="49">
      <c r="A49" s="1113"/>
      <c r="B49" s="1114"/>
      <c r="C49" s="1115"/>
      <c r="D49" s="1116"/>
      <c r="E49" s="1115"/>
      <c r="F49" s="1115"/>
      <c r="G49" s="1115"/>
      <c r="H49" s="1116"/>
      <c r="I49" s="1115"/>
      <c r="J49" s="1113"/>
    </row>
    <row r="50">
      <c r="A50" s="1113"/>
      <c r="B50" s="1114"/>
      <c r="C50" s="1115"/>
      <c r="D50" s="1116"/>
      <c r="E50" s="1115"/>
      <c r="F50" s="1115"/>
      <c r="G50" s="1115"/>
      <c r="H50" s="1116"/>
      <c r="I50" s="1115"/>
      <c r="J50" s="1113"/>
    </row>
    <row r="51">
      <c r="A51" s="1113"/>
      <c r="B51" s="1114"/>
      <c r="C51" s="1115"/>
      <c r="D51" s="1116"/>
      <c r="E51" s="1115"/>
      <c r="F51" s="1115"/>
      <c r="G51" s="1115"/>
      <c r="H51" s="1116"/>
      <c r="I51" s="1115"/>
      <c r="J51" s="1113"/>
    </row>
    <row r="52">
      <c r="A52" s="1113"/>
      <c r="B52" s="1114"/>
      <c r="C52" s="1115"/>
      <c r="D52" s="1116"/>
      <c r="E52" s="1115"/>
      <c r="F52" s="1115"/>
      <c r="G52" s="1115"/>
      <c r="H52" s="1116"/>
      <c r="I52" s="1115"/>
      <c r="J52" s="1113"/>
    </row>
    <row r="53">
      <c r="A53" s="1113"/>
      <c r="B53" s="1114"/>
      <c r="C53" s="1115"/>
      <c r="D53" s="1116"/>
      <c r="E53" s="1115"/>
      <c r="F53" s="1115"/>
      <c r="G53" s="1115"/>
      <c r="H53" s="1116"/>
      <c r="I53" s="1115"/>
      <c r="J53" s="1113"/>
    </row>
    <row r="54">
      <c r="A54" s="1113"/>
      <c r="B54" s="1114"/>
      <c r="C54" s="1115"/>
      <c r="D54" s="1116"/>
      <c r="E54" s="1115"/>
      <c r="F54" s="1115"/>
      <c r="G54" s="1115"/>
      <c r="H54" s="1116"/>
      <c r="I54" s="1115"/>
      <c r="J54" s="1113"/>
    </row>
    <row r="55">
      <c r="A55" s="1113"/>
      <c r="B55" s="1114"/>
      <c r="C55" s="1115"/>
      <c r="D55" s="1116"/>
      <c r="E55" s="1115"/>
      <c r="F55" s="1115"/>
      <c r="G55" s="1115"/>
      <c r="H55" s="1116"/>
      <c r="I55" s="1115"/>
      <c r="J55" s="1113"/>
    </row>
    <row r="56">
      <c r="A56" s="1113"/>
      <c r="B56" s="1114"/>
      <c r="C56" s="1115"/>
      <c r="D56" s="1116"/>
      <c r="E56" s="1115"/>
      <c r="F56" s="1115"/>
      <c r="G56" s="1115"/>
      <c r="H56" s="1116"/>
      <c r="I56" s="1115"/>
      <c r="J56" s="1113"/>
    </row>
    <row r="57">
      <c r="A57" s="1113"/>
      <c r="B57" s="1114"/>
      <c r="C57" s="1115"/>
      <c r="D57" s="1116"/>
      <c r="E57" s="1115"/>
      <c r="F57" s="1115"/>
      <c r="G57" s="1115"/>
      <c r="H57" s="1116"/>
      <c r="I57" s="1115"/>
      <c r="J57" s="1113"/>
    </row>
    <row r="58">
      <c r="A58" s="1113"/>
      <c r="B58" s="1114"/>
      <c r="C58" s="1115"/>
      <c r="D58" s="1116"/>
      <c r="E58" s="1115"/>
      <c r="F58" s="1115"/>
      <c r="G58" s="1115"/>
      <c r="H58" s="1116"/>
      <c r="I58" s="1115"/>
      <c r="J58" s="1113"/>
    </row>
    <row r="59">
      <c r="A59" s="1113"/>
      <c r="B59" s="1114"/>
      <c r="C59" s="1115"/>
      <c r="D59" s="1116"/>
      <c r="E59" s="1115"/>
      <c r="F59" s="1115"/>
      <c r="G59" s="1115"/>
      <c r="H59" s="1116"/>
      <c r="I59" s="1115"/>
      <c r="J59" s="1113"/>
    </row>
    <row r="60">
      <c r="A60" s="1113"/>
      <c r="B60" s="1114"/>
      <c r="C60" s="1115"/>
      <c r="D60" s="1116"/>
      <c r="E60" s="1115"/>
      <c r="F60" s="1115"/>
      <c r="G60" s="1115"/>
      <c r="H60" s="1116"/>
      <c r="I60" s="1115"/>
      <c r="J60" s="1113"/>
    </row>
    <row r="61">
      <c r="A61" s="1113"/>
      <c r="B61" s="1114"/>
      <c r="C61" s="1115"/>
      <c r="D61" s="1116"/>
      <c r="E61" s="1115"/>
      <c r="F61" s="1115"/>
      <c r="G61" s="1115"/>
      <c r="H61" s="1116"/>
      <c r="I61" s="1115"/>
      <c r="J61" s="1113"/>
    </row>
    <row r="62">
      <c r="A62" s="1113"/>
      <c r="B62" s="1114"/>
      <c r="C62" s="1115"/>
      <c r="D62" s="1116"/>
      <c r="E62" s="1115"/>
      <c r="F62" s="1115"/>
      <c r="G62" s="1115"/>
      <c r="H62" s="1116"/>
      <c r="I62" s="1115"/>
      <c r="J62" s="1113"/>
    </row>
    <row r="63">
      <c r="A63" s="1113"/>
      <c r="B63" s="1114"/>
      <c r="C63" s="1115"/>
      <c r="D63" s="1116"/>
      <c r="E63" s="1115"/>
      <c r="F63" s="1115"/>
      <c r="G63" s="1115"/>
      <c r="H63" s="1116"/>
      <c r="I63" s="1115"/>
      <c r="J63" s="1113"/>
    </row>
    <row r="64">
      <c r="A64" s="1113"/>
      <c r="B64" s="1114"/>
      <c r="C64" s="1115"/>
      <c r="D64" s="1116"/>
      <c r="E64" s="1115"/>
      <c r="F64" s="1115"/>
      <c r="G64" s="1115"/>
      <c r="H64" s="1116"/>
      <c r="I64" s="1115"/>
      <c r="J64" s="1113"/>
    </row>
    <row r="65">
      <c r="A65" s="1113"/>
      <c r="B65" s="1114"/>
      <c r="C65" s="1115"/>
      <c r="D65" s="1116"/>
      <c r="E65" s="1115"/>
      <c r="F65" s="1115"/>
      <c r="G65" s="1115"/>
      <c r="H65" s="1116"/>
      <c r="I65" s="1115"/>
      <c r="J65" s="1113"/>
    </row>
    <row r="66">
      <c r="A66" s="1113"/>
      <c r="B66" s="1114"/>
      <c r="C66" s="1115"/>
      <c r="D66" s="1116"/>
      <c r="E66" s="1115"/>
      <c r="F66" s="1115"/>
      <c r="G66" s="1115"/>
      <c r="H66" s="1116"/>
      <c r="I66" s="1115"/>
      <c r="J66" s="1113"/>
    </row>
    <row r="67">
      <c r="A67" s="1113"/>
      <c r="B67" s="1114"/>
      <c r="C67" s="1115"/>
      <c r="D67" s="1116"/>
      <c r="E67" s="1115"/>
      <c r="F67" s="1115"/>
      <c r="G67" s="1115"/>
      <c r="H67" s="1116"/>
      <c r="I67" s="1115"/>
      <c r="J67" s="1113"/>
    </row>
    <row r="68">
      <c r="A68" s="1113"/>
      <c r="B68" s="1114"/>
      <c r="C68" s="1115"/>
      <c r="D68" s="1116"/>
      <c r="E68" s="1115"/>
      <c r="F68" s="1115"/>
      <c r="G68" s="1115"/>
      <c r="H68" s="1116"/>
      <c r="I68" s="1115"/>
      <c r="J68" s="1113"/>
    </row>
    <row r="69">
      <c r="A69" s="1113"/>
      <c r="B69" s="1114"/>
      <c r="C69" s="1115"/>
      <c r="D69" s="1116"/>
      <c r="E69" s="1115"/>
      <c r="F69" s="1115"/>
      <c r="G69" s="1115"/>
      <c r="H69" s="1116"/>
      <c r="I69" s="1115"/>
      <c r="J69" s="1113"/>
    </row>
    <row r="70">
      <c r="A70" s="1113"/>
      <c r="B70" s="1114"/>
      <c r="C70" s="1115"/>
      <c r="D70" s="1116"/>
      <c r="E70" s="1115"/>
      <c r="F70" s="1115"/>
      <c r="G70" s="1115"/>
      <c r="H70" s="1116"/>
      <c r="I70" s="1115"/>
      <c r="J70" s="1113"/>
    </row>
    <row r="71">
      <c r="A71" s="1113"/>
      <c r="B71" s="1114"/>
      <c r="C71" s="1115"/>
      <c r="D71" s="1116"/>
      <c r="E71" s="1115"/>
      <c r="F71" s="1115"/>
      <c r="G71" s="1115"/>
      <c r="H71" s="1116"/>
      <c r="I71" s="1115"/>
      <c r="J71" s="1113"/>
    </row>
    <row r="72">
      <c r="A72" s="1113"/>
      <c r="B72" s="1114"/>
      <c r="C72" s="1115"/>
      <c r="D72" s="1116"/>
      <c r="E72" s="1115"/>
      <c r="F72" s="1115"/>
      <c r="G72" s="1115"/>
      <c r="H72" s="1116"/>
      <c r="I72" s="1115"/>
      <c r="J72" s="1113"/>
    </row>
    <row r="73">
      <c r="A73" s="1113"/>
      <c r="B73" s="1114"/>
      <c r="C73" s="1115"/>
      <c r="D73" s="1116"/>
      <c r="E73" s="1115"/>
      <c r="F73" s="1115"/>
      <c r="G73" s="1115"/>
      <c r="H73" s="1116"/>
      <c r="I73" s="1115"/>
      <c r="J73" s="1113"/>
    </row>
    <row r="74">
      <c r="A74" s="1113"/>
      <c r="B74" s="1114"/>
      <c r="C74" s="1115"/>
      <c r="D74" s="1116"/>
      <c r="E74" s="1115"/>
      <c r="F74" s="1115"/>
      <c r="G74" s="1115"/>
      <c r="H74" s="1116"/>
      <c r="I74" s="1115"/>
      <c r="J74" s="1113"/>
    </row>
    <row r="75">
      <c r="A75" s="1113"/>
      <c r="B75" s="1114"/>
      <c r="C75" s="1115"/>
      <c r="D75" s="1116"/>
      <c r="E75" s="1115"/>
      <c r="F75" s="1115"/>
      <c r="G75" s="1115"/>
      <c r="H75" s="1116"/>
      <c r="I75" s="1115"/>
      <c r="J75" s="1113"/>
    </row>
    <row r="76">
      <c r="A76" s="1113"/>
      <c r="B76" s="1114"/>
      <c r="C76" s="1115"/>
      <c r="D76" s="1116"/>
      <c r="E76" s="1115"/>
      <c r="F76" s="1115"/>
      <c r="G76" s="1115"/>
      <c r="H76" s="1116"/>
      <c r="I76" s="1115"/>
      <c r="J76" s="1113"/>
    </row>
    <row r="77">
      <c r="A77" s="1113"/>
      <c r="B77" s="1114"/>
      <c r="C77" s="1115"/>
      <c r="D77" s="1116"/>
      <c r="E77" s="1115"/>
      <c r="F77" s="1115"/>
      <c r="G77" s="1115"/>
      <c r="H77" s="1116"/>
      <c r="I77" s="1115"/>
      <c r="J77" s="1113"/>
    </row>
    <row r="78">
      <c r="A78" s="1113"/>
      <c r="B78" s="1114"/>
      <c r="C78" s="1115"/>
      <c r="D78" s="1116"/>
      <c r="E78" s="1115"/>
      <c r="F78" s="1115"/>
      <c r="G78" s="1115"/>
      <c r="H78" s="1116"/>
      <c r="I78" s="1115"/>
      <c r="J78" s="1113"/>
    </row>
    <row r="79">
      <c r="A79" s="1113"/>
      <c r="B79" s="1114"/>
      <c r="C79" s="1115"/>
      <c r="D79" s="1116"/>
      <c r="E79" s="1115"/>
      <c r="F79" s="1115"/>
      <c r="G79" s="1115"/>
      <c r="H79" s="1116"/>
      <c r="I79" s="1115"/>
      <c r="J79" s="1113"/>
    </row>
    <row r="80">
      <c r="A80" s="1113"/>
      <c r="B80" s="1114"/>
      <c r="C80" s="1115"/>
      <c r="D80" s="1116"/>
      <c r="E80" s="1115"/>
      <c r="F80" s="1115"/>
      <c r="G80" s="1115"/>
      <c r="H80" s="1116"/>
      <c r="I80" s="1115"/>
      <c r="J80" s="1113"/>
    </row>
    <row r="81">
      <c r="A81" s="1113"/>
      <c r="B81" s="1114"/>
      <c r="C81" s="1115"/>
      <c r="D81" s="1116"/>
      <c r="E81" s="1115"/>
      <c r="F81" s="1115"/>
      <c r="G81" s="1115"/>
      <c r="H81" s="1116"/>
      <c r="I81" s="1115"/>
      <c r="J81" s="1113"/>
    </row>
    <row r="82">
      <c r="A82" s="1113"/>
      <c r="B82" s="1114"/>
      <c r="C82" s="1115"/>
      <c r="D82" s="1116"/>
      <c r="E82" s="1115"/>
      <c r="F82" s="1115"/>
      <c r="G82" s="1115"/>
      <c r="H82" s="1116"/>
      <c r="I82" s="1115"/>
      <c r="J82" s="1113"/>
    </row>
    <row r="83">
      <c r="A83" s="1113"/>
      <c r="B83" s="1114"/>
      <c r="C83" s="1115"/>
      <c r="D83" s="1116"/>
      <c r="E83" s="1115"/>
      <c r="F83" s="1115"/>
      <c r="G83" s="1115"/>
      <c r="H83" s="1116"/>
      <c r="I83" s="1115"/>
      <c r="J83" s="1113"/>
    </row>
    <row r="84">
      <c r="A84" s="1113"/>
      <c r="B84" s="1114"/>
      <c r="C84" s="1115"/>
      <c r="D84" s="1116"/>
      <c r="E84" s="1115"/>
      <c r="F84" s="1115"/>
      <c r="G84" s="1115"/>
      <c r="H84" s="1116"/>
      <c r="I84" s="1115"/>
      <c r="J84" s="1113"/>
    </row>
    <row r="85">
      <c r="A85" s="1113"/>
      <c r="B85" s="1114"/>
      <c r="C85" s="1115"/>
      <c r="D85" s="1116"/>
      <c r="E85" s="1115"/>
      <c r="F85" s="1115"/>
      <c r="G85" s="1115"/>
      <c r="H85" s="1116"/>
      <c r="I85" s="1115"/>
      <c r="J85" s="1113"/>
    </row>
    <row r="86">
      <c r="A86" s="1113"/>
      <c r="B86" s="1114"/>
      <c r="C86" s="1115"/>
      <c r="D86" s="1116"/>
      <c r="E86" s="1115"/>
      <c r="F86" s="1115"/>
      <c r="G86" s="1115"/>
      <c r="H86" s="1116"/>
      <c r="I86" s="1115"/>
      <c r="J86" s="1113"/>
    </row>
    <row r="87">
      <c r="A87" s="1113"/>
      <c r="B87" s="1114"/>
      <c r="C87" s="1115"/>
      <c r="D87" s="1116"/>
      <c r="E87" s="1115"/>
      <c r="F87" s="1115"/>
      <c r="G87" s="1115"/>
      <c r="H87" s="1116"/>
      <c r="I87" s="1115"/>
      <c r="J87" s="1113"/>
    </row>
    <row r="88">
      <c r="A88" s="1113"/>
      <c r="B88" s="1114"/>
      <c r="C88" s="1115"/>
      <c r="D88" s="1116"/>
      <c r="E88" s="1115"/>
      <c r="F88" s="1115"/>
      <c r="G88" s="1115"/>
      <c r="H88" s="1116"/>
      <c r="I88" s="1115"/>
      <c r="J88" s="1113"/>
    </row>
    <row r="89">
      <c r="A89" s="1113"/>
      <c r="B89" s="1114"/>
      <c r="C89" s="1115"/>
      <c r="D89" s="1116"/>
      <c r="E89" s="1115"/>
      <c r="F89" s="1115"/>
      <c r="G89" s="1115"/>
      <c r="H89" s="1116"/>
      <c r="I89" s="1115"/>
      <c r="J89" s="1113"/>
    </row>
    <row r="90">
      <c r="A90" s="1113"/>
      <c r="B90" s="1114"/>
      <c r="C90" s="1115"/>
      <c r="D90" s="1116"/>
      <c r="E90" s="1115"/>
      <c r="F90" s="1115"/>
      <c r="G90" s="1115"/>
      <c r="H90" s="1116"/>
      <c r="I90" s="1115"/>
      <c r="J90" s="1113"/>
    </row>
    <row r="91">
      <c r="A91" s="1113"/>
      <c r="B91" s="1114"/>
      <c r="C91" s="1115"/>
      <c r="D91" s="1116"/>
      <c r="E91" s="1115"/>
      <c r="F91" s="1115"/>
      <c r="G91" s="1115"/>
      <c r="H91" s="1116"/>
      <c r="I91" s="1115"/>
      <c r="J91" s="1113"/>
    </row>
    <row r="92">
      <c r="A92" s="1113"/>
      <c r="B92" s="1114"/>
      <c r="C92" s="1115"/>
      <c r="D92" s="1116"/>
      <c r="E92" s="1115"/>
      <c r="F92" s="1115"/>
      <c r="G92" s="1115"/>
      <c r="H92" s="1116"/>
      <c r="I92" s="1115"/>
      <c r="J92" s="1113"/>
    </row>
    <row r="93">
      <c r="A93" s="1113"/>
      <c r="B93" s="1114"/>
      <c r="C93" s="1115"/>
      <c r="D93" s="1116"/>
      <c r="E93" s="1115"/>
      <c r="F93" s="1115"/>
      <c r="G93" s="1115"/>
      <c r="H93" s="1116"/>
      <c r="I93" s="1115"/>
      <c r="J93" s="1113"/>
    </row>
    <row r="94">
      <c r="A94" s="1113"/>
      <c r="B94" s="1114"/>
      <c r="C94" s="1115"/>
      <c r="D94" s="1116"/>
      <c r="E94" s="1115"/>
      <c r="F94" s="1115"/>
      <c r="G94" s="1115"/>
      <c r="H94" s="1116"/>
      <c r="I94" s="1115"/>
      <c r="J94" s="1113"/>
    </row>
    <row r="95">
      <c r="A95" s="1113"/>
      <c r="B95" s="1114"/>
      <c r="C95" s="1115"/>
      <c r="D95" s="1116"/>
      <c r="E95" s="1115"/>
      <c r="F95" s="1115"/>
      <c r="G95" s="1115"/>
      <c r="H95" s="1116"/>
      <c r="I95" s="1115"/>
      <c r="J95" s="1113"/>
    </row>
    <row r="96">
      <c r="A96" s="1113"/>
      <c r="B96" s="1114"/>
      <c r="C96" s="1115"/>
      <c r="D96" s="1116"/>
      <c r="E96" s="1115"/>
      <c r="F96" s="1115"/>
      <c r="G96" s="1115"/>
      <c r="H96" s="1116"/>
      <c r="I96" s="1115"/>
      <c r="J96" s="1113"/>
    </row>
    <row r="97">
      <c r="A97" s="1113"/>
      <c r="B97" s="1114"/>
      <c r="C97" s="1115"/>
      <c r="D97" s="1116"/>
      <c r="E97" s="1115"/>
      <c r="F97" s="1115"/>
      <c r="G97" s="1115"/>
      <c r="H97" s="1116"/>
      <c r="I97" s="1115"/>
      <c r="J97" s="1113"/>
    </row>
    <row r="98">
      <c r="A98" s="1113"/>
      <c r="B98" s="1114"/>
      <c r="C98" s="1115"/>
      <c r="D98" s="1116"/>
      <c r="E98" s="1115"/>
      <c r="F98" s="1115"/>
      <c r="G98" s="1115"/>
      <c r="H98" s="1116"/>
      <c r="I98" s="1115"/>
      <c r="J98" s="1113"/>
    </row>
    <row r="99">
      <c r="A99" s="1113"/>
      <c r="B99" s="1114"/>
      <c r="C99" s="1115"/>
      <c r="D99" s="1116"/>
      <c r="E99" s="1115"/>
      <c r="F99" s="1115"/>
      <c r="G99" s="1115"/>
      <c r="H99" s="1116"/>
      <c r="I99" s="1115"/>
      <c r="J99" s="1113"/>
    </row>
    <row r="100">
      <c r="A100" s="1113"/>
      <c r="B100" s="1114"/>
      <c r="C100" s="1115"/>
      <c r="D100" s="1116"/>
      <c r="E100" s="1115"/>
      <c r="F100" s="1115"/>
      <c r="G100" s="1115"/>
      <c r="H100" s="1116"/>
      <c r="I100" s="1115"/>
      <c r="J100" s="1113"/>
    </row>
    <row r="101">
      <c r="A101" s="1113"/>
      <c r="B101" s="1114"/>
      <c r="C101" s="1115"/>
      <c r="D101" s="1116"/>
      <c r="E101" s="1115"/>
      <c r="F101" s="1115"/>
      <c r="G101" s="1115"/>
      <c r="H101" s="1116"/>
      <c r="I101" s="1115"/>
      <c r="J101" s="1113"/>
    </row>
    <row r="102">
      <c r="A102" s="1113"/>
      <c r="B102" s="1114"/>
      <c r="C102" s="1115"/>
      <c r="D102" s="1116"/>
      <c r="E102" s="1115"/>
      <c r="F102" s="1115"/>
      <c r="G102" s="1115"/>
      <c r="H102" s="1116"/>
      <c r="I102" s="1115"/>
      <c r="J102" s="1113"/>
    </row>
    <row r="103">
      <c r="A103" s="1113"/>
      <c r="B103" s="1114"/>
      <c r="C103" s="1115"/>
      <c r="D103" s="1116"/>
      <c r="E103" s="1115"/>
      <c r="F103" s="1115"/>
      <c r="G103" s="1115"/>
      <c r="H103" s="1116"/>
      <c r="I103" s="1115"/>
      <c r="J103" s="1113"/>
    </row>
    <row r="104">
      <c r="A104" s="1113"/>
      <c r="B104" s="1114"/>
      <c r="C104" s="1115"/>
      <c r="D104" s="1116"/>
      <c r="E104" s="1115"/>
      <c r="F104" s="1115"/>
      <c r="G104" s="1115"/>
      <c r="H104" s="1116"/>
      <c r="I104" s="1115"/>
      <c r="J104" s="1113"/>
    </row>
    <row r="105">
      <c r="A105" s="1113"/>
      <c r="B105" s="1114"/>
      <c r="C105" s="1115"/>
      <c r="D105" s="1116"/>
      <c r="E105" s="1115"/>
      <c r="F105" s="1115"/>
      <c r="G105" s="1115"/>
      <c r="H105" s="1116"/>
      <c r="I105" s="1115"/>
      <c r="J105" s="1113"/>
    </row>
    <row r="106">
      <c r="A106" s="1113"/>
      <c r="B106" s="1114"/>
      <c r="C106" s="1115"/>
      <c r="D106" s="1116"/>
      <c r="E106" s="1115"/>
      <c r="F106" s="1115"/>
      <c r="G106" s="1115"/>
      <c r="H106" s="1116"/>
      <c r="I106" s="1115"/>
      <c r="J106" s="1113"/>
    </row>
    <row r="107">
      <c r="A107" s="1113"/>
      <c r="B107" s="1114"/>
      <c r="C107" s="1115"/>
      <c r="D107" s="1116"/>
      <c r="E107" s="1115"/>
      <c r="F107" s="1115"/>
      <c r="G107" s="1115"/>
      <c r="H107" s="1116"/>
      <c r="I107" s="1115"/>
      <c r="J107" s="1113"/>
    </row>
    <row r="108">
      <c r="A108" s="1113"/>
      <c r="B108" s="1114"/>
      <c r="C108" s="1115"/>
      <c r="D108" s="1116"/>
      <c r="E108" s="1115"/>
      <c r="F108" s="1115"/>
      <c r="G108" s="1115"/>
      <c r="H108" s="1116"/>
      <c r="I108" s="1115"/>
      <c r="J108" s="1113"/>
    </row>
    <row r="109">
      <c r="A109" s="1113"/>
      <c r="B109" s="1114"/>
      <c r="C109" s="1115"/>
      <c r="D109" s="1116"/>
      <c r="E109" s="1115"/>
      <c r="F109" s="1115"/>
      <c r="G109" s="1115"/>
      <c r="H109" s="1116"/>
      <c r="I109" s="1115"/>
      <c r="J109" s="1113"/>
    </row>
    <row r="110">
      <c r="A110" s="1113"/>
      <c r="B110" s="1114"/>
      <c r="C110" s="1115"/>
      <c r="D110" s="1116"/>
      <c r="E110" s="1115"/>
      <c r="F110" s="1115"/>
      <c r="G110" s="1115"/>
      <c r="H110" s="1116"/>
      <c r="I110" s="1115"/>
      <c r="J110" s="1113"/>
    </row>
    <row r="111">
      <c r="A111" s="1113"/>
      <c r="B111" s="1114"/>
      <c r="C111" s="1115"/>
      <c r="D111" s="1116"/>
      <c r="E111" s="1115"/>
      <c r="F111" s="1115"/>
      <c r="G111" s="1115"/>
      <c r="H111" s="1116"/>
      <c r="I111" s="1115"/>
      <c r="J111" s="1113"/>
    </row>
    <row r="112">
      <c r="A112" s="1113"/>
      <c r="B112" s="1114"/>
      <c r="C112" s="1115"/>
      <c r="D112" s="1116"/>
      <c r="E112" s="1115"/>
      <c r="F112" s="1115"/>
      <c r="G112" s="1115"/>
      <c r="H112" s="1116"/>
      <c r="I112" s="1115"/>
      <c r="J112" s="1113"/>
    </row>
    <row r="113">
      <c r="A113" s="1113"/>
      <c r="B113" s="1114"/>
      <c r="C113" s="1115"/>
      <c r="D113" s="1116"/>
      <c r="E113" s="1115"/>
      <c r="F113" s="1115"/>
      <c r="G113" s="1115"/>
      <c r="H113" s="1116"/>
      <c r="I113" s="1115"/>
      <c r="J113" s="1113"/>
    </row>
    <row r="114">
      <c r="A114" s="1113"/>
      <c r="B114" s="1114"/>
      <c r="C114" s="1115"/>
      <c r="D114" s="1116"/>
      <c r="E114" s="1115"/>
      <c r="F114" s="1115"/>
      <c r="G114" s="1115"/>
      <c r="H114" s="1116"/>
      <c r="I114" s="1115"/>
      <c r="J114" s="1113"/>
    </row>
    <row r="115">
      <c r="A115" s="1113"/>
      <c r="B115" s="1114"/>
      <c r="C115" s="1115"/>
      <c r="D115" s="1116"/>
      <c r="E115" s="1115"/>
      <c r="F115" s="1115"/>
      <c r="G115" s="1115"/>
      <c r="H115" s="1116"/>
      <c r="I115" s="1115"/>
      <c r="J115" s="1113"/>
    </row>
    <row r="116">
      <c r="A116" s="1113"/>
      <c r="B116" s="1114"/>
      <c r="C116" s="1115"/>
      <c r="D116" s="1116"/>
      <c r="E116" s="1115"/>
      <c r="F116" s="1115"/>
      <c r="G116" s="1115"/>
      <c r="H116" s="1116"/>
      <c r="I116" s="1115"/>
      <c r="J116" s="1113"/>
    </row>
    <row r="117">
      <c r="A117" s="1113"/>
      <c r="B117" s="1114"/>
      <c r="C117" s="1115"/>
      <c r="D117" s="1116"/>
      <c r="E117" s="1115"/>
      <c r="F117" s="1115"/>
      <c r="G117" s="1115"/>
      <c r="H117" s="1116"/>
      <c r="I117" s="1115"/>
      <c r="J117" s="1113"/>
    </row>
    <row r="118">
      <c r="A118" s="1113"/>
      <c r="B118" s="1114"/>
      <c r="C118" s="1115"/>
      <c r="D118" s="1116"/>
      <c r="E118" s="1115"/>
      <c r="F118" s="1115"/>
      <c r="G118" s="1115"/>
      <c r="H118" s="1116"/>
      <c r="I118" s="1115"/>
      <c r="J118" s="1113"/>
    </row>
    <row r="119">
      <c r="A119" s="1113"/>
      <c r="B119" s="1114"/>
      <c r="C119" s="1115"/>
      <c r="D119" s="1116"/>
      <c r="E119" s="1115"/>
      <c r="F119" s="1115"/>
      <c r="G119" s="1115"/>
      <c r="H119" s="1116"/>
      <c r="I119" s="1115"/>
      <c r="J119" s="1113"/>
    </row>
    <row r="120">
      <c r="A120" s="1113"/>
      <c r="B120" s="1114"/>
      <c r="C120" s="1115"/>
      <c r="D120" s="1116"/>
      <c r="E120" s="1115"/>
      <c r="F120" s="1115"/>
      <c r="G120" s="1115"/>
      <c r="H120" s="1116"/>
      <c r="I120" s="1115"/>
      <c r="J120" s="1113"/>
    </row>
    <row r="121">
      <c r="A121" s="1113"/>
      <c r="B121" s="1114"/>
      <c r="C121" s="1115"/>
      <c r="D121" s="1116"/>
      <c r="E121" s="1115"/>
      <c r="F121" s="1115"/>
      <c r="G121" s="1115"/>
      <c r="H121" s="1116"/>
      <c r="I121" s="1115"/>
      <c r="J121" s="1113"/>
    </row>
    <row r="122">
      <c r="A122" s="1113"/>
      <c r="B122" s="1114"/>
      <c r="C122" s="1115"/>
      <c r="D122" s="1116"/>
      <c r="E122" s="1115"/>
      <c r="F122" s="1115"/>
      <c r="G122" s="1115"/>
      <c r="H122" s="1116"/>
      <c r="I122" s="1115"/>
      <c r="J122" s="1113"/>
    </row>
    <row r="123">
      <c r="A123" s="1113"/>
      <c r="B123" s="1114"/>
      <c r="C123" s="1115"/>
      <c r="D123" s="1116"/>
      <c r="E123" s="1115"/>
      <c r="F123" s="1115"/>
      <c r="G123" s="1115"/>
      <c r="H123" s="1116"/>
      <c r="I123" s="1115"/>
      <c r="J123" s="1113"/>
    </row>
    <row r="124">
      <c r="A124" s="1113"/>
      <c r="B124" s="1114"/>
      <c r="C124" s="1115"/>
      <c r="D124" s="1116"/>
      <c r="E124" s="1115"/>
      <c r="F124" s="1115"/>
      <c r="G124" s="1115"/>
      <c r="H124" s="1116"/>
      <c r="I124" s="1115"/>
      <c r="J124" s="1113"/>
    </row>
    <row r="125">
      <c r="A125" s="1113"/>
      <c r="B125" s="1114"/>
      <c r="C125" s="1115"/>
      <c r="D125" s="1116"/>
      <c r="E125" s="1115"/>
      <c r="F125" s="1115"/>
      <c r="G125" s="1115"/>
      <c r="H125" s="1116"/>
      <c r="I125" s="1115"/>
      <c r="J125" s="1113"/>
    </row>
    <row r="126">
      <c r="A126" s="1113"/>
      <c r="B126" s="1114"/>
      <c r="C126" s="1115"/>
      <c r="D126" s="1116"/>
      <c r="E126" s="1115"/>
      <c r="F126" s="1115"/>
      <c r="G126" s="1115"/>
      <c r="H126" s="1116"/>
      <c r="I126" s="1115"/>
      <c r="J126" s="1113"/>
    </row>
    <row r="127">
      <c r="A127" s="1113"/>
      <c r="B127" s="1114"/>
      <c r="C127" s="1115"/>
      <c r="D127" s="1116"/>
      <c r="E127" s="1115"/>
      <c r="F127" s="1115"/>
      <c r="G127" s="1115"/>
      <c r="H127" s="1116"/>
      <c r="I127" s="1115"/>
      <c r="J127" s="1113"/>
    </row>
    <row r="128">
      <c r="A128" s="1113"/>
      <c r="B128" s="1114"/>
      <c r="C128" s="1115"/>
      <c r="D128" s="1116"/>
      <c r="E128" s="1115"/>
      <c r="F128" s="1115"/>
      <c r="G128" s="1115"/>
      <c r="H128" s="1116"/>
      <c r="I128" s="1115"/>
      <c r="J128" s="1113"/>
    </row>
    <row r="129">
      <c r="A129" s="1113"/>
      <c r="B129" s="1114"/>
      <c r="C129" s="1115"/>
      <c r="D129" s="1116"/>
      <c r="E129" s="1115"/>
      <c r="F129" s="1115"/>
      <c r="G129" s="1115"/>
      <c r="H129" s="1116"/>
      <c r="I129" s="1115"/>
      <c r="J129" s="1113"/>
    </row>
    <row r="130">
      <c r="A130" s="1113"/>
      <c r="B130" s="1114"/>
      <c r="C130" s="1115"/>
      <c r="D130" s="1116"/>
      <c r="E130" s="1115"/>
      <c r="F130" s="1115"/>
      <c r="G130" s="1115"/>
      <c r="H130" s="1116"/>
      <c r="I130" s="1115"/>
      <c r="J130" s="1113"/>
    </row>
    <row r="131">
      <c r="A131" s="1113"/>
      <c r="B131" s="1114"/>
      <c r="C131" s="1115"/>
      <c r="D131" s="1116"/>
      <c r="E131" s="1115"/>
      <c r="F131" s="1115"/>
      <c r="G131" s="1115"/>
      <c r="H131" s="1116"/>
      <c r="I131" s="1115"/>
      <c r="J131" s="1113"/>
    </row>
    <row r="132">
      <c r="A132" s="1113"/>
      <c r="B132" s="1114"/>
      <c r="C132" s="1115"/>
      <c r="D132" s="1116"/>
      <c r="E132" s="1115"/>
      <c r="F132" s="1115"/>
      <c r="G132" s="1115"/>
      <c r="H132" s="1116"/>
      <c r="I132" s="1115"/>
      <c r="J132" s="1113"/>
    </row>
    <row r="133">
      <c r="A133" s="1113"/>
      <c r="B133" s="1114"/>
      <c r="C133" s="1115"/>
      <c r="D133" s="1116"/>
      <c r="E133" s="1115"/>
      <c r="F133" s="1115"/>
      <c r="G133" s="1115"/>
      <c r="H133" s="1116"/>
      <c r="I133" s="1115"/>
      <c r="J133" s="1113"/>
    </row>
    <row r="134">
      <c r="A134" s="1113"/>
      <c r="B134" s="1114"/>
      <c r="C134" s="1115"/>
      <c r="D134" s="1116"/>
      <c r="E134" s="1115"/>
      <c r="F134" s="1115"/>
      <c r="G134" s="1115"/>
      <c r="H134" s="1116"/>
      <c r="I134" s="1115"/>
      <c r="J134" s="1113"/>
    </row>
    <row r="135">
      <c r="A135" s="1113"/>
      <c r="B135" s="1114"/>
      <c r="C135" s="1115"/>
      <c r="D135" s="1116"/>
      <c r="E135" s="1115"/>
      <c r="F135" s="1115"/>
      <c r="G135" s="1115"/>
      <c r="H135" s="1116"/>
      <c r="I135" s="1115"/>
      <c r="J135" s="1113"/>
    </row>
    <row r="136">
      <c r="A136" s="1113"/>
      <c r="B136" s="1114"/>
      <c r="C136" s="1115"/>
      <c r="D136" s="1116"/>
      <c r="E136" s="1115"/>
      <c r="F136" s="1115"/>
      <c r="G136" s="1115"/>
      <c r="H136" s="1116"/>
      <c r="I136" s="1115"/>
      <c r="J136" s="1113"/>
    </row>
    <row r="137">
      <c r="A137" s="1113"/>
      <c r="B137" s="1114"/>
      <c r="C137" s="1115"/>
      <c r="D137" s="1116"/>
      <c r="E137" s="1115"/>
      <c r="F137" s="1115"/>
      <c r="G137" s="1115"/>
      <c r="H137" s="1116"/>
      <c r="I137" s="1115"/>
      <c r="J137" s="1113"/>
    </row>
    <row r="138">
      <c r="A138" s="1113"/>
      <c r="B138" s="1114"/>
      <c r="C138" s="1115"/>
      <c r="D138" s="1116"/>
      <c r="E138" s="1115"/>
      <c r="F138" s="1115"/>
      <c r="G138" s="1115"/>
      <c r="H138" s="1116"/>
      <c r="I138" s="1115"/>
      <c r="J138" s="1113"/>
    </row>
    <row r="139">
      <c r="A139" s="1113"/>
      <c r="B139" s="1114"/>
      <c r="C139" s="1115"/>
      <c r="D139" s="1116"/>
      <c r="E139" s="1115"/>
      <c r="F139" s="1115"/>
      <c r="G139" s="1115"/>
      <c r="H139" s="1116"/>
      <c r="I139" s="1115"/>
      <c r="J139" s="1113"/>
    </row>
    <row r="140">
      <c r="A140" s="1113"/>
      <c r="B140" s="1114"/>
      <c r="C140" s="1115"/>
      <c r="D140" s="1116"/>
      <c r="E140" s="1115"/>
      <c r="F140" s="1115"/>
      <c r="G140" s="1115"/>
      <c r="H140" s="1116"/>
      <c r="I140" s="1115"/>
      <c r="J140" s="1113"/>
    </row>
    <row r="141">
      <c r="A141" s="1113"/>
      <c r="B141" s="1114"/>
      <c r="C141" s="1115"/>
      <c r="D141" s="1116"/>
      <c r="E141" s="1115"/>
      <c r="F141" s="1115"/>
      <c r="G141" s="1115"/>
      <c r="H141" s="1116"/>
      <c r="I141" s="1115"/>
      <c r="J141" s="1113"/>
    </row>
    <row r="142">
      <c r="A142" s="1113"/>
      <c r="B142" s="1114"/>
      <c r="C142" s="1115"/>
      <c r="D142" s="1116"/>
      <c r="E142" s="1115"/>
      <c r="F142" s="1115"/>
      <c r="G142" s="1115"/>
      <c r="H142" s="1116"/>
      <c r="I142" s="1115"/>
      <c r="J142" s="1113"/>
    </row>
    <row r="143">
      <c r="A143" s="1113"/>
      <c r="B143" s="1114"/>
      <c r="C143" s="1115"/>
      <c r="D143" s="1116"/>
      <c r="E143" s="1115"/>
      <c r="F143" s="1115"/>
      <c r="G143" s="1115"/>
      <c r="H143" s="1116"/>
      <c r="I143" s="1115"/>
      <c r="J143" s="1113"/>
    </row>
    <row r="144">
      <c r="A144" s="1113"/>
      <c r="B144" s="1114"/>
      <c r="C144" s="1115"/>
      <c r="D144" s="1116"/>
      <c r="E144" s="1115"/>
      <c r="F144" s="1115"/>
      <c r="G144" s="1115"/>
      <c r="H144" s="1116"/>
      <c r="I144" s="1115"/>
      <c r="J144" s="1113"/>
    </row>
    <row r="145">
      <c r="A145" s="1113"/>
      <c r="B145" s="1114"/>
      <c r="C145" s="1115"/>
      <c r="D145" s="1116"/>
      <c r="E145" s="1115"/>
      <c r="F145" s="1115"/>
      <c r="G145" s="1115"/>
      <c r="H145" s="1116"/>
      <c r="I145" s="1115"/>
      <c r="J145" s="1113"/>
    </row>
    <row r="146">
      <c r="A146" s="1113"/>
      <c r="B146" s="1114"/>
      <c r="C146" s="1115"/>
      <c r="D146" s="1116"/>
      <c r="E146" s="1115"/>
      <c r="F146" s="1115"/>
      <c r="G146" s="1115"/>
      <c r="H146" s="1116"/>
      <c r="I146" s="1115"/>
      <c r="J146" s="1113"/>
    </row>
    <row r="147">
      <c r="A147" s="1113"/>
      <c r="B147" s="1114"/>
      <c r="C147" s="1115"/>
      <c r="D147" s="1116"/>
      <c r="E147" s="1115"/>
      <c r="F147" s="1115"/>
      <c r="G147" s="1115"/>
      <c r="H147" s="1116"/>
      <c r="I147" s="1115"/>
      <c r="J147" s="1113"/>
    </row>
    <row r="148">
      <c r="A148" s="1113"/>
      <c r="B148" s="1114"/>
      <c r="C148" s="1115"/>
      <c r="D148" s="1116"/>
      <c r="E148" s="1115"/>
      <c r="F148" s="1115"/>
      <c r="G148" s="1115"/>
      <c r="H148" s="1116"/>
      <c r="I148" s="1115"/>
      <c r="J148" s="1113"/>
    </row>
    <row r="149">
      <c r="A149" s="1113"/>
      <c r="B149" s="1114"/>
      <c r="C149" s="1115"/>
      <c r="D149" s="1116"/>
      <c r="E149" s="1115"/>
      <c r="F149" s="1115"/>
      <c r="G149" s="1115"/>
      <c r="H149" s="1116"/>
      <c r="I149" s="1115"/>
      <c r="J149" s="1113"/>
    </row>
    <row r="150">
      <c r="A150" s="1113"/>
      <c r="B150" s="1114"/>
      <c r="C150" s="1115"/>
      <c r="D150" s="1116"/>
      <c r="E150" s="1115"/>
      <c r="F150" s="1115"/>
      <c r="G150" s="1115"/>
      <c r="H150" s="1116"/>
      <c r="I150" s="1115"/>
      <c r="J150" s="1113"/>
    </row>
    <row r="151">
      <c r="A151" s="1113"/>
      <c r="B151" s="1114"/>
      <c r="C151" s="1115"/>
      <c r="D151" s="1116"/>
      <c r="E151" s="1115"/>
      <c r="F151" s="1115"/>
      <c r="G151" s="1115"/>
      <c r="H151" s="1116"/>
      <c r="I151" s="1115"/>
      <c r="J151" s="1113"/>
    </row>
    <row r="152">
      <c r="A152" s="1113"/>
      <c r="B152" s="1114"/>
      <c r="C152" s="1115"/>
      <c r="D152" s="1116"/>
      <c r="E152" s="1115"/>
      <c r="F152" s="1115"/>
      <c r="G152" s="1115"/>
      <c r="H152" s="1116"/>
      <c r="I152" s="1115"/>
      <c r="J152" s="1113"/>
    </row>
    <row r="153">
      <c r="A153" s="1113"/>
      <c r="B153" s="1114"/>
      <c r="C153" s="1115"/>
      <c r="D153" s="1116"/>
      <c r="E153" s="1115"/>
      <c r="F153" s="1115"/>
      <c r="G153" s="1115"/>
      <c r="H153" s="1116"/>
      <c r="I153" s="1115"/>
      <c r="J153" s="1113"/>
    </row>
    <row r="154">
      <c r="A154" s="1113"/>
      <c r="B154" s="1114"/>
      <c r="C154" s="1115"/>
      <c r="D154" s="1116"/>
      <c r="E154" s="1115"/>
      <c r="F154" s="1115"/>
      <c r="G154" s="1115"/>
      <c r="H154" s="1116"/>
      <c r="I154" s="1115"/>
      <c r="J154" s="1113"/>
    </row>
    <row r="155">
      <c r="A155" s="1113"/>
      <c r="B155" s="1114"/>
      <c r="C155" s="1115"/>
      <c r="D155" s="1116"/>
      <c r="E155" s="1115"/>
      <c r="F155" s="1115"/>
      <c r="G155" s="1115"/>
      <c r="H155" s="1116"/>
      <c r="I155" s="1115"/>
      <c r="J155" s="1113"/>
    </row>
    <row r="156">
      <c r="A156" s="1113"/>
      <c r="B156" s="1114"/>
      <c r="C156" s="1115"/>
      <c r="D156" s="1116"/>
      <c r="E156" s="1115"/>
      <c r="F156" s="1115"/>
      <c r="G156" s="1115"/>
      <c r="H156" s="1116"/>
      <c r="I156" s="1115"/>
      <c r="J156" s="1113"/>
    </row>
    <row r="157">
      <c r="A157" s="1113"/>
      <c r="B157" s="1114"/>
      <c r="C157" s="1115"/>
      <c r="D157" s="1116"/>
      <c r="E157" s="1115"/>
      <c r="F157" s="1115"/>
      <c r="G157" s="1115"/>
      <c r="H157" s="1116"/>
      <c r="I157" s="1115"/>
      <c r="J157" s="1113"/>
    </row>
    <row r="158">
      <c r="A158" s="1113"/>
      <c r="B158" s="1114"/>
      <c r="C158" s="1115"/>
      <c r="D158" s="1116"/>
      <c r="E158" s="1115"/>
      <c r="F158" s="1115"/>
      <c r="G158" s="1115"/>
      <c r="H158" s="1116"/>
      <c r="I158" s="1115"/>
      <c r="J158" s="1113"/>
    </row>
    <row r="159">
      <c r="A159" s="1113"/>
      <c r="B159" s="1114"/>
      <c r="C159" s="1115"/>
      <c r="D159" s="1116"/>
      <c r="E159" s="1115"/>
      <c r="F159" s="1115"/>
      <c r="G159" s="1115"/>
      <c r="H159" s="1116"/>
      <c r="I159" s="1115"/>
      <c r="J159" s="1113"/>
    </row>
    <row r="160">
      <c r="A160" s="1113"/>
      <c r="B160" s="1114"/>
      <c r="C160" s="1115"/>
      <c r="D160" s="1116"/>
      <c r="E160" s="1115"/>
      <c r="F160" s="1115"/>
      <c r="G160" s="1115"/>
      <c r="H160" s="1116"/>
      <c r="I160" s="1115"/>
      <c r="J160" s="1113"/>
    </row>
    <row r="161">
      <c r="A161" s="1113"/>
      <c r="B161" s="1114"/>
      <c r="C161" s="1115"/>
      <c r="D161" s="1116"/>
      <c r="E161" s="1115"/>
      <c r="F161" s="1115"/>
      <c r="G161" s="1115"/>
      <c r="H161" s="1116"/>
      <c r="I161" s="1115"/>
      <c r="J161" s="1113"/>
    </row>
    <row r="162">
      <c r="A162" s="1113"/>
      <c r="B162" s="1114"/>
      <c r="C162" s="1115"/>
      <c r="D162" s="1116"/>
      <c r="E162" s="1115"/>
      <c r="F162" s="1115"/>
      <c r="G162" s="1115"/>
      <c r="H162" s="1116"/>
      <c r="I162" s="1115"/>
      <c r="J162" s="1113"/>
    </row>
    <row r="163">
      <c r="A163" s="1113"/>
      <c r="B163" s="1114"/>
      <c r="C163" s="1115"/>
      <c r="D163" s="1116"/>
      <c r="E163" s="1115"/>
      <c r="F163" s="1115"/>
      <c r="G163" s="1115"/>
      <c r="H163" s="1116"/>
      <c r="I163" s="1115"/>
      <c r="J163" s="1113"/>
    </row>
    <row r="164">
      <c r="A164" s="1113"/>
      <c r="B164" s="1114"/>
      <c r="C164" s="1115"/>
      <c r="D164" s="1116"/>
      <c r="E164" s="1115"/>
      <c r="F164" s="1115"/>
      <c r="G164" s="1115"/>
      <c r="H164" s="1116"/>
      <c r="I164" s="1115"/>
      <c r="J164" s="1113"/>
    </row>
    <row r="165">
      <c r="A165" s="1113"/>
      <c r="B165" s="1114"/>
      <c r="C165" s="1115"/>
      <c r="D165" s="1116"/>
      <c r="E165" s="1115"/>
      <c r="F165" s="1115"/>
      <c r="G165" s="1115"/>
      <c r="H165" s="1116"/>
      <c r="I165" s="1115"/>
      <c r="J165" s="1113"/>
    </row>
    <row r="166">
      <c r="A166" s="1113"/>
      <c r="B166" s="1114"/>
      <c r="C166" s="1115"/>
      <c r="D166" s="1116"/>
      <c r="E166" s="1115"/>
      <c r="F166" s="1115"/>
      <c r="G166" s="1115"/>
      <c r="H166" s="1116"/>
      <c r="I166" s="1115"/>
      <c r="J166" s="1113"/>
    </row>
    <row r="167">
      <c r="A167" s="1113"/>
      <c r="B167" s="1114"/>
      <c r="C167" s="1115"/>
      <c r="D167" s="1116"/>
      <c r="E167" s="1115"/>
      <c r="F167" s="1115"/>
      <c r="G167" s="1115"/>
      <c r="H167" s="1116"/>
      <c r="I167" s="1115"/>
      <c r="J167" s="1113"/>
    </row>
    <row r="168">
      <c r="A168" s="1113"/>
      <c r="B168" s="1114"/>
      <c r="C168" s="1115"/>
      <c r="D168" s="1116"/>
      <c r="E168" s="1115"/>
      <c r="F168" s="1115"/>
      <c r="G168" s="1115"/>
      <c r="H168" s="1116"/>
      <c r="I168" s="1115"/>
      <c r="J168" s="1113"/>
    </row>
    <row r="169">
      <c r="A169" s="1113"/>
      <c r="B169" s="1114"/>
      <c r="C169" s="1115"/>
      <c r="D169" s="1116"/>
      <c r="E169" s="1115"/>
      <c r="F169" s="1115"/>
      <c r="G169" s="1115"/>
      <c r="H169" s="1116"/>
      <c r="I169" s="1115"/>
      <c r="J169" s="1113"/>
    </row>
    <row r="170">
      <c r="A170" s="1113"/>
      <c r="B170" s="1114"/>
      <c r="C170" s="1115"/>
      <c r="D170" s="1116"/>
      <c r="E170" s="1115"/>
      <c r="F170" s="1115"/>
      <c r="G170" s="1115"/>
      <c r="H170" s="1116"/>
      <c r="I170" s="1115"/>
      <c r="J170" s="1113"/>
    </row>
    <row r="171">
      <c r="A171" s="1113"/>
      <c r="B171" s="1114"/>
      <c r="C171" s="1115"/>
      <c r="D171" s="1116"/>
      <c r="E171" s="1115"/>
      <c r="F171" s="1115"/>
      <c r="G171" s="1115"/>
      <c r="H171" s="1116"/>
      <c r="I171" s="1115"/>
      <c r="J171" s="1113"/>
    </row>
    <row r="172">
      <c r="A172" s="1113"/>
      <c r="B172" s="1114"/>
      <c r="C172" s="1115"/>
      <c r="D172" s="1116"/>
      <c r="E172" s="1115"/>
      <c r="F172" s="1115"/>
      <c r="G172" s="1115"/>
      <c r="H172" s="1116"/>
      <c r="I172" s="1115"/>
      <c r="J172" s="1113"/>
    </row>
    <row r="173">
      <c r="A173" s="1113"/>
      <c r="B173" s="1114"/>
      <c r="C173" s="1115"/>
      <c r="D173" s="1116"/>
      <c r="E173" s="1115"/>
      <c r="F173" s="1115"/>
      <c r="G173" s="1115"/>
      <c r="H173" s="1116"/>
      <c r="I173" s="1115"/>
      <c r="J173" s="1113"/>
    </row>
    <row r="174">
      <c r="A174" s="1113"/>
      <c r="B174" s="1114"/>
      <c r="C174" s="1115"/>
      <c r="D174" s="1116"/>
      <c r="E174" s="1115"/>
      <c r="F174" s="1115"/>
      <c r="G174" s="1115"/>
      <c r="H174" s="1116"/>
      <c r="I174" s="1115"/>
      <c r="J174" s="1113"/>
    </row>
    <row r="175">
      <c r="A175" s="1113"/>
      <c r="B175" s="1114"/>
      <c r="C175" s="1115"/>
      <c r="D175" s="1116"/>
      <c r="E175" s="1115"/>
      <c r="F175" s="1115"/>
      <c r="G175" s="1115"/>
      <c r="H175" s="1116"/>
      <c r="I175" s="1115"/>
      <c r="J175" s="1113"/>
    </row>
    <row r="176">
      <c r="A176" s="1113"/>
      <c r="B176" s="1114"/>
      <c r="C176" s="1115"/>
      <c r="D176" s="1116"/>
      <c r="E176" s="1115"/>
      <c r="F176" s="1115"/>
      <c r="G176" s="1115"/>
      <c r="H176" s="1116"/>
      <c r="I176" s="1115"/>
      <c r="J176" s="1113"/>
    </row>
    <row r="177">
      <c r="A177" s="1113"/>
      <c r="B177" s="1114"/>
      <c r="C177" s="1115"/>
      <c r="D177" s="1116"/>
      <c r="E177" s="1115"/>
      <c r="F177" s="1115"/>
      <c r="G177" s="1115"/>
      <c r="H177" s="1116"/>
      <c r="I177" s="1115"/>
      <c r="J177" s="1113"/>
    </row>
    <row r="178">
      <c r="A178" s="1113"/>
      <c r="B178" s="1114"/>
      <c r="C178" s="1115"/>
      <c r="D178" s="1116"/>
      <c r="E178" s="1115"/>
      <c r="F178" s="1115"/>
      <c r="G178" s="1115"/>
      <c r="H178" s="1116"/>
      <c r="I178" s="1115"/>
      <c r="J178" s="1113"/>
    </row>
    <row r="179">
      <c r="A179" s="1113"/>
      <c r="B179" s="1114"/>
      <c r="C179" s="1115"/>
      <c r="D179" s="1116"/>
      <c r="E179" s="1115"/>
      <c r="F179" s="1115"/>
      <c r="G179" s="1115"/>
      <c r="H179" s="1116"/>
      <c r="I179" s="1115"/>
      <c r="J179" s="1113"/>
    </row>
    <row r="180">
      <c r="A180" s="1113"/>
      <c r="B180" s="1114"/>
      <c r="C180" s="1115"/>
      <c r="D180" s="1116"/>
      <c r="E180" s="1115"/>
      <c r="F180" s="1115"/>
      <c r="G180" s="1115"/>
      <c r="H180" s="1116"/>
      <c r="I180" s="1115"/>
      <c r="J180" s="1113"/>
    </row>
    <row r="181">
      <c r="A181" s="1113"/>
      <c r="B181" s="1114"/>
      <c r="C181" s="1115"/>
      <c r="D181" s="1116"/>
      <c r="E181" s="1115"/>
      <c r="F181" s="1115"/>
      <c r="G181" s="1115"/>
      <c r="H181" s="1116"/>
      <c r="I181" s="1115"/>
      <c r="J181" s="1113"/>
    </row>
    <row r="182">
      <c r="A182" s="1113"/>
      <c r="B182" s="1114"/>
      <c r="C182" s="1115"/>
      <c r="D182" s="1116"/>
      <c r="E182" s="1115"/>
      <c r="F182" s="1115"/>
      <c r="G182" s="1115"/>
      <c r="H182" s="1116"/>
      <c r="I182" s="1115"/>
      <c r="J182" s="1113"/>
    </row>
    <row r="183">
      <c r="A183" s="1113"/>
      <c r="B183" s="1114"/>
      <c r="C183" s="1115"/>
      <c r="D183" s="1116"/>
      <c r="E183" s="1115"/>
      <c r="F183" s="1115"/>
      <c r="G183" s="1115"/>
      <c r="H183" s="1116"/>
      <c r="I183" s="1115"/>
      <c r="J183" s="1113"/>
    </row>
    <row r="184">
      <c r="A184" s="1113"/>
      <c r="B184" s="1114"/>
      <c r="C184" s="1115"/>
      <c r="D184" s="1116"/>
      <c r="E184" s="1115"/>
      <c r="F184" s="1115"/>
      <c r="G184" s="1115"/>
      <c r="H184" s="1116"/>
      <c r="I184" s="1115"/>
      <c r="J184" s="1113"/>
    </row>
    <row r="185">
      <c r="A185" s="1113"/>
      <c r="B185" s="1114"/>
      <c r="C185" s="1115"/>
      <c r="D185" s="1116"/>
      <c r="E185" s="1115"/>
      <c r="F185" s="1115"/>
      <c r="G185" s="1115"/>
      <c r="H185" s="1116"/>
      <c r="I185" s="1115"/>
      <c r="J185" s="1113"/>
    </row>
    <row r="186">
      <c r="A186" s="1113"/>
      <c r="B186" s="1114"/>
      <c r="C186" s="1115"/>
      <c r="D186" s="1116"/>
      <c r="E186" s="1115"/>
      <c r="F186" s="1115"/>
      <c r="G186" s="1115"/>
      <c r="H186" s="1116"/>
      <c r="I186" s="1115"/>
      <c r="J186" s="1113"/>
    </row>
    <row r="187">
      <c r="A187" s="1113"/>
      <c r="B187" s="1114"/>
      <c r="C187" s="1115"/>
      <c r="D187" s="1116"/>
      <c r="E187" s="1115"/>
      <c r="F187" s="1115"/>
      <c r="G187" s="1115"/>
      <c r="H187" s="1116"/>
      <c r="I187" s="1115"/>
      <c r="J187" s="1113"/>
    </row>
    <row r="188">
      <c r="A188" s="1113"/>
      <c r="B188" s="1114"/>
      <c r="C188" s="1115"/>
      <c r="D188" s="1116"/>
      <c r="E188" s="1115"/>
      <c r="F188" s="1115"/>
      <c r="G188" s="1115"/>
      <c r="H188" s="1116"/>
      <c r="I188" s="1115"/>
      <c r="J188" s="1113"/>
    </row>
    <row r="189">
      <c r="A189" s="1113"/>
      <c r="B189" s="1114"/>
      <c r="C189" s="1115"/>
      <c r="D189" s="1116"/>
      <c r="E189" s="1115"/>
      <c r="F189" s="1115"/>
      <c r="G189" s="1115"/>
      <c r="H189" s="1116"/>
      <c r="I189" s="1115"/>
      <c r="J189" s="1113"/>
    </row>
    <row r="190">
      <c r="A190" s="1113"/>
      <c r="B190" s="1114"/>
      <c r="C190" s="1115"/>
      <c r="D190" s="1116"/>
      <c r="E190" s="1115"/>
      <c r="F190" s="1115"/>
      <c r="G190" s="1115"/>
      <c r="H190" s="1116"/>
      <c r="I190" s="1115"/>
      <c r="J190" s="1113"/>
    </row>
    <row r="191">
      <c r="A191" s="1113"/>
      <c r="B191" s="1114"/>
      <c r="C191" s="1115"/>
      <c r="D191" s="1116"/>
      <c r="E191" s="1115"/>
      <c r="F191" s="1115"/>
      <c r="G191" s="1115"/>
      <c r="H191" s="1116"/>
      <c r="I191" s="1115"/>
      <c r="J191" s="1113"/>
    </row>
    <row r="192">
      <c r="A192" s="1113"/>
      <c r="B192" s="1114"/>
      <c r="C192" s="1115"/>
      <c r="D192" s="1116"/>
      <c r="E192" s="1115"/>
      <c r="F192" s="1115"/>
      <c r="G192" s="1115"/>
      <c r="H192" s="1116"/>
      <c r="I192" s="1115"/>
      <c r="J192" s="1113"/>
    </row>
    <row r="193">
      <c r="A193" s="1113"/>
      <c r="B193" s="1114"/>
      <c r="C193" s="1115"/>
      <c r="D193" s="1116"/>
      <c r="E193" s="1115"/>
      <c r="F193" s="1115"/>
      <c r="G193" s="1115"/>
      <c r="H193" s="1116"/>
      <c r="I193" s="1115"/>
      <c r="J193" s="1113"/>
    </row>
    <row r="194">
      <c r="A194" s="1113"/>
      <c r="B194" s="1114"/>
      <c r="C194" s="1115"/>
      <c r="D194" s="1116"/>
      <c r="E194" s="1115"/>
      <c r="F194" s="1115"/>
      <c r="G194" s="1115"/>
      <c r="H194" s="1116"/>
      <c r="I194" s="1115"/>
      <c r="J194" s="1113"/>
    </row>
    <row r="195">
      <c r="A195" s="1113"/>
      <c r="B195" s="1114"/>
      <c r="C195" s="1115"/>
      <c r="D195" s="1116"/>
      <c r="E195" s="1115"/>
      <c r="F195" s="1115"/>
      <c r="G195" s="1115"/>
      <c r="H195" s="1116"/>
      <c r="I195" s="1115"/>
      <c r="J195" s="1113"/>
    </row>
    <row r="196">
      <c r="A196" s="1113"/>
      <c r="B196" s="1114"/>
      <c r="C196" s="1115"/>
      <c r="D196" s="1116"/>
      <c r="E196" s="1115"/>
      <c r="F196" s="1115"/>
      <c r="G196" s="1115"/>
      <c r="H196" s="1116"/>
      <c r="I196" s="1115"/>
      <c r="J196" s="1113"/>
    </row>
    <row r="197">
      <c r="A197" s="1113"/>
      <c r="B197" s="1114"/>
      <c r="C197" s="1115"/>
      <c r="D197" s="1116"/>
      <c r="E197" s="1115"/>
      <c r="F197" s="1115"/>
      <c r="G197" s="1115"/>
      <c r="H197" s="1116"/>
      <c r="I197" s="1115"/>
      <c r="J197" s="1113"/>
    </row>
    <row r="198">
      <c r="A198" s="1113"/>
      <c r="B198" s="1114"/>
      <c r="C198" s="1115"/>
      <c r="D198" s="1116"/>
      <c r="E198" s="1115"/>
      <c r="F198" s="1115"/>
      <c r="G198" s="1115"/>
      <c r="H198" s="1116"/>
      <c r="I198" s="1115"/>
      <c r="J198" s="1113"/>
    </row>
    <row r="199">
      <c r="A199" s="1113"/>
      <c r="B199" s="1114"/>
      <c r="C199" s="1115"/>
      <c r="D199" s="1116"/>
      <c r="E199" s="1115"/>
      <c r="F199" s="1115"/>
      <c r="G199" s="1115"/>
      <c r="H199" s="1116"/>
      <c r="I199" s="1115"/>
      <c r="J199" s="1113"/>
    </row>
    <row r="200">
      <c r="A200" s="1113"/>
      <c r="B200" s="1114"/>
      <c r="C200" s="1115"/>
      <c r="D200" s="1116"/>
      <c r="E200" s="1115"/>
      <c r="F200" s="1115"/>
      <c r="G200" s="1115"/>
      <c r="H200" s="1116"/>
      <c r="I200" s="1115"/>
      <c r="J200" s="1113"/>
    </row>
    <row r="201">
      <c r="A201" s="1113"/>
      <c r="B201" s="1114"/>
      <c r="C201" s="1115"/>
      <c r="D201" s="1116"/>
      <c r="E201" s="1115"/>
      <c r="F201" s="1115"/>
      <c r="G201" s="1115"/>
      <c r="H201" s="1116"/>
      <c r="I201" s="1115"/>
      <c r="J201" s="1113"/>
    </row>
    <row r="202">
      <c r="A202" s="1113"/>
      <c r="B202" s="1114"/>
      <c r="C202" s="1115"/>
      <c r="D202" s="1116"/>
      <c r="E202" s="1115"/>
      <c r="F202" s="1115"/>
      <c r="G202" s="1115"/>
      <c r="H202" s="1116"/>
      <c r="I202" s="1115"/>
      <c r="J202" s="1113"/>
    </row>
    <row r="203">
      <c r="A203" s="1113"/>
      <c r="B203" s="1114"/>
      <c r="C203" s="1115"/>
      <c r="D203" s="1116"/>
      <c r="E203" s="1115"/>
      <c r="F203" s="1115"/>
      <c r="G203" s="1115"/>
      <c r="H203" s="1116"/>
      <c r="I203" s="1115"/>
      <c r="J203" s="1113"/>
    </row>
    <row r="204">
      <c r="A204" s="1113"/>
      <c r="B204" s="1114"/>
      <c r="C204" s="1115"/>
      <c r="D204" s="1116"/>
      <c r="E204" s="1115"/>
      <c r="F204" s="1115"/>
      <c r="G204" s="1115"/>
      <c r="H204" s="1116"/>
      <c r="I204" s="1115"/>
      <c r="J204" s="1113"/>
    </row>
    <row r="205">
      <c r="A205" s="1113"/>
      <c r="B205" s="1114"/>
      <c r="C205" s="1115"/>
      <c r="D205" s="1116"/>
      <c r="E205" s="1115"/>
      <c r="F205" s="1115"/>
      <c r="G205" s="1115"/>
      <c r="H205" s="1116"/>
      <c r="I205" s="1115"/>
      <c r="J205" s="1113"/>
    </row>
    <row r="206">
      <c r="A206" s="1113"/>
      <c r="B206" s="1114"/>
      <c r="C206" s="1115"/>
      <c r="D206" s="1116"/>
      <c r="E206" s="1115"/>
      <c r="F206" s="1115"/>
      <c r="G206" s="1115"/>
      <c r="H206" s="1116"/>
      <c r="I206" s="1115"/>
      <c r="J206" s="1113"/>
    </row>
    <row r="207">
      <c r="A207" s="1113"/>
      <c r="B207" s="1114"/>
      <c r="C207" s="1115"/>
      <c r="D207" s="1116"/>
      <c r="E207" s="1115"/>
      <c r="F207" s="1115"/>
      <c r="G207" s="1115"/>
      <c r="H207" s="1116"/>
      <c r="I207" s="1115"/>
      <c r="J207" s="1113"/>
    </row>
    <row r="208">
      <c r="A208" s="1113"/>
      <c r="B208" s="1114"/>
      <c r="C208" s="1115"/>
      <c r="D208" s="1116"/>
      <c r="E208" s="1115"/>
      <c r="F208" s="1115"/>
      <c r="G208" s="1115"/>
      <c r="H208" s="1116"/>
      <c r="I208" s="1115"/>
      <c r="J208" s="1113"/>
    </row>
    <row r="209">
      <c r="A209" s="1113"/>
      <c r="B209" s="1114"/>
      <c r="C209" s="1115"/>
      <c r="D209" s="1116"/>
      <c r="E209" s="1115"/>
      <c r="F209" s="1115"/>
      <c r="G209" s="1115"/>
      <c r="H209" s="1116"/>
      <c r="I209" s="1115"/>
      <c r="J209" s="1113"/>
    </row>
    <row r="210">
      <c r="A210" s="1113"/>
      <c r="B210" s="1114"/>
      <c r="C210" s="1115"/>
      <c r="D210" s="1116"/>
      <c r="E210" s="1115"/>
      <c r="F210" s="1115"/>
      <c r="G210" s="1115"/>
      <c r="H210" s="1116"/>
      <c r="I210" s="1115"/>
      <c r="J210" s="1113"/>
    </row>
    <row r="211">
      <c r="A211" s="1113"/>
      <c r="B211" s="1114"/>
      <c r="C211" s="1115"/>
      <c r="D211" s="1116"/>
      <c r="E211" s="1115"/>
      <c r="F211" s="1115"/>
      <c r="G211" s="1115"/>
      <c r="H211" s="1116"/>
      <c r="I211" s="1115"/>
      <c r="J211" s="1113"/>
    </row>
    <row r="212">
      <c r="A212" s="1113"/>
      <c r="B212" s="1114"/>
      <c r="C212" s="1115"/>
      <c r="D212" s="1116"/>
      <c r="E212" s="1115"/>
      <c r="F212" s="1115"/>
      <c r="G212" s="1115"/>
      <c r="H212" s="1116"/>
      <c r="I212" s="1115"/>
      <c r="J212" s="1113"/>
    </row>
    <row r="213">
      <c r="A213" s="1113"/>
      <c r="B213" s="1114"/>
      <c r="C213" s="1115"/>
      <c r="D213" s="1116"/>
      <c r="E213" s="1115"/>
      <c r="F213" s="1115"/>
      <c r="G213" s="1115"/>
      <c r="H213" s="1116"/>
      <c r="I213" s="1115"/>
      <c r="J213" s="1113"/>
    </row>
    <row r="214">
      <c r="A214" s="1113"/>
      <c r="B214" s="1114"/>
      <c r="C214" s="1115"/>
      <c r="D214" s="1116"/>
      <c r="E214" s="1115"/>
      <c r="F214" s="1115"/>
      <c r="G214" s="1115"/>
      <c r="H214" s="1116"/>
      <c r="I214" s="1115"/>
      <c r="J214" s="1113"/>
    </row>
    <row r="215">
      <c r="A215" s="1113"/>
      <c r="B215" s="1114"/>
      <c r="C215" s="1115"/>
      <c r="D215" s="1116"/>
      <c r="E215" s="1115"/>
      <c r="F215" s="1115"/>
      <c r="G215" s="1115"/>
      <c r="H215" s="1116"/>
      <c r="I215" s="1115"/>
      <c r="J215" s="1113"/>
    </row>
    <row r="216">
      <c r="A216" s="1113"/>
      <c r="B216" s="1114"/>
      <c r="C216" s="1115"/>
      <c r="D216" s="1116"/>
      <c r="E216" s="1115"/>
      <c r="F216" s="1115"/>
      <c r="G216" s="1115"/>
      <c r="H216" s="1116"/>
      <c r="I216" s="1115"/>
      <c r="J216" s="1113"/>
    </row>
    <row r="217">
      <c r="A217" s="1113"/>
      <c r="B217" s="1114"/>
      <c r="C217" s="1115"/>
      <c r="D217" s="1116"/>
      <c r="E217" s="1115"/>
      <c r="F217" s="1115"/>
      <c r="G217" s="1115"/>
      <c r="H217" s="1116"/>
      <c r="I217" s="1115"/>
      <c r="J217" s="1113"/>
    </row>
    <row r="218">
      <c r="A218" s="1113"/>
      <c r="B218" s="1114"/>
      <c r="C218" s="1115"/>
      <c r="D218" s="1116"/>
      <c r="E218" s="1115"/>
      <c r="F218" s="1115"/>
      <c r="G218" s="1115"/>
      <c r="H218" s="1116"/>
      <c r="I218" s="1115"/>
      <c r="J218" s="1113"/>
    </row>
    <row r="219">
      <c r="A219" s="1113"/>
      <c r="B219" s="1114"/>
      <c r="C219" s="1115"/>
      <c r="D219" s="1116"/>
      <c r="E219" s="1115"/>
      <c r="F219" s="1115"/>
      <c r="G219" s="1115"/>
      <c r="H219" s="1116"/>
      <c r="I219" s="1115"/>
      <c r="J219" s="1113"/>
    </row>
    <row r="220">
      <c r="A220" s="1113"/>
      <c r="B220" s="1114"/>
      <c r="C220" s="1115"/>
      <c r="D220" s="1116"/>
      <c r="E220" s="1115"/>
      <c r="F220" s="1115"/>
      <c r="G220" s="1115"/>
      <c r="H220" s="1116"/>
      <c r="I220" s="1115"/>
      <c r="J220" s="1113"/>
    </row>
    <row r="221">
      <c r="A221" s="1113"/>
      <c r="B221" s="1114"/>
      <c r="C221" s="1115"/>
      <c r="D221" s="1116"/>
      <c r="E221" s="1115"/>
      <c r="F221" s="1115"/>
      <c r="G221" s="1115"/>
      <c r="H221" s="1116"/>
      <c r="I221" s="1115"/>
      <c r="J221" s="1113"/>
    </row>
    <row r="222">
      <c r="A222" s="1113"/>
      <c r="B222" s="1114"/>
      <c r="C222" s="1115"/>
      <c r="D222" s="1116"/>
      <c r="E222" s="1115"/>
      <c r="F222" s="1115"/>
      <c r="G222" s="1115"/>
      <c r="H222" s="1116"/>
      <c r="I222" s="1115"/>
      <c r="J222" s="1113"/>
    </row>
    <row r="223">
      <c r="A223" s="1113"/>
      <c r="B223" s="1114"/>
      <c r="C223" s="1115"/>
      <c r="D223" s="1116"/>
      <c r="E223" s="1115"/>
      <c r="F223" s="1115"/>
      <c r="G223" s="1115"/>
      <c r="H223" s="1116"/>
      <c r="I223" s="1115"/>
      <c r="J223" s="1113"/>
    </row>
    <row r="224">
      <c r="A224" s="1113"/>
      <c r="B224" s="1114"/>
      <c r="C224" s="1115"/>
      <c r="D224" s="1116"/>
      <c r="E224" s="1115"/>
      <c r="F224" s="1115"/>
      <c r="G224" s="1115"/>
      <c r="H224" s="1116"/>
      <c r="I224" s="1115"/>
      <c r="J224" s="1113"/>
    </row>
    <row r="225">
      <c r="A225" s="1113"/>
      <c r="B225" s="1114"/>
      <c r="C225" s="1115"/>
      <c r="D225" s="1116"/>
      <c r="E225" s="1115"/>
      <c r="F225" s="1115"/>
      <c r="G225" s="1115"/>
      <c r="H225" s="1116"/>
      <c r="I225" s="1115"/>
      <c r="J225" s="1113"/>
    </row>
    <row r="226">
      <c r="A226" s="1113"/>
      <c r="B226" s="1114"/>
      <c r="C226" s="1115"/>
      <c r="D226" s="1116"/>
      <c r="E226" s="1115"/>
      <c r="F226" s="1115"/>
      <c r="G226" s="1115"/>
      <c r="H226" s="1116"/>
      <c r="I226" s="1115"/>
      <c r="J226" s="1113"/>
    </row>
    <row r="227">
      <c r="A227" s="1113"/>
      <c r="B227" s="1114"/>
      <c r="C227" s="1115"/>
      <c r="D227" s="1116"/>
      <c r="E227" s="1115"/>
      <c r="F227" s="1115"/>
      <c r="G227" s="1115"/>
      <c r="H227" s="1116"/>
      <c r="I227" s="1115"/>
      <c r="J227" s="1113"/>
    </row>
    <row r="228">
      <c r="A228" s="1113"/>
      <c r="B228" s="1114"/>
      <c r="C228" s="1115"/>
      <c r="D228" s="1116"/>
      <c r="E228" s="1115"/>
      <c r="F228" s="1115"/>
      <c r="G228" s="1115"/>
      <c r="H228" s="1116"/>
      <c r="I228" s="1115"/>
      <c r="J228" s="1113"/>
    </row>
    <row r="229">
      <c r="A229" s="1113"/>
      <c r="B229" s="1114"/>
      <c r="C229" s="1115"/>
      <c r="D229" s="1116"/>
      <c r="E229" s="1115"/>
      <c r="F229" s="1115"/>
      <c r="G229" s="1115"/>
      <c r="H229" s="1116"/>
      <c r="I229" s="1115"/>
      <c r="J229" s="1113"/>
    </row>
    <row r="230">
      <c r="A230" s="1113"/>
      <c r="B230" s="1114"/>
      <c r="C230" s="1115"/>
      <c r="D230" s="1116"/>
      <c r="E230" s="1115"/>
      <c r="F230" s="1115"/>
      <c r="G230" s="1115"/>
      <c r="H230" s="1116"/>
      <c r="I230" s="1115"/>
      <c r="J230" s="1113"/>
    </row>
    <row r="231">
      <c r="A231" s="1113"/>
      <c r="B231" s="1114"/>
      <c r="C231" s="1115"/>
      <c r="D231" s="1116"/>
      <c r="E231" s="1115"/>
      <c r="F231" s="1115"/>
      <c r="G231" s="1115"/>
      <c r="H231" s="1116"/>
      <c r="I231" s="1115"/>
      <c r="J231" s="1113"/>
    </row>
    <row r="232">
      <c r="A232" s="1113"/>
      <c r="B232" s="1114"/>
      <c r="C232" s="1115"/>
      <c r="D232" s="1116"/>
      <c r="E232" s="1115"/>
      <c r="F232" s="1115"/>
      <c r="G232" s="1115"/>
      <c r="H232" s="1116"/>
      <c r="I232" s="1115"/>
      <c r="J232" s="1113"/>
    </row>
    <row r="233">
      <c r="A233" s="1113"/>
      <c r="B233" s="1114"/>
      <c r="C233" s="1115"/>
      <c r="D233" s="1116"/>
      <c r="E233" s="1115"/>
      <c r="F233" s="1115"/>
      <c r="G233" s="1115"/>
      <c r="H233" s="1116"/>
      <c r="I233" s="1115"/>
      <c r="J233" s="1113"/>
    </row>
    <row r="234">
      <c r="A234" s="1113"/>
      <c r="B234" s="1114"/>
      <c r="C234" s="1115"/>
      <c r="D234" s="1116"/>
      <c r="E234" s="1115"/>
      <c r="F234" s="1115"/>
      <c r="G234" s="1115"/>
      <c r="H234" s="1116"/>
      <c r="I234" s="1115"/>
      <c r="J234" s="1113"/>
    </row>
    <row r="235">
      <c r="A235" s="1113"/>
      <c r="B235" s="1114"/>
      <c r="C235" s="1115"/>
      <c r="D235" s="1116"/>
      <c r="E235" s="1115"/>
      <c r="F235" s="1115"/>
      <c r="G235" s="1115"/>
      <c r="H235" s="1116"/>
      <c r="I235" s="1115"/>
      <c r="J235" s="1113"/>
    </row>
    <row r="236">
      <c r="A236" s="1113"/>
      <c r="B236" s="1114"/>
      <c r="C236" s="1115"/>
      <c r="D236" s="1116"/>
      <c r="E236" s="1115"/>
      <c r="F236" s="1115"/>
      <c r="G236" s="1115"/>
      <c r="H236" s="1116"/>
      <c r="I236" s="1115"/>
      <c r="J236" s="1113"/>
    </row>
    <row r="237">
      <c r="A237" s="1113"/>
      <c r="B237" s="1114"/>
      <c r="C237" s="1115"/>
      <c r="D237" s="1116"/>
      <c r="E237" s="1115"/>
      <c r="F237" s="1115"/>
      <c r="G237" s="1115"/>
      <c r="H237" s="1116"/>
      <c r="I237" s="1115"/>
      <c r="J237" s="1113"/>
    </row>
    <row r="238">
      <c r="A238" s="1113"/>
      <c r="B238" s="1114"/>
      <c r="C238" s="1115"/>
      <c r="D238" s="1116"/>
      <c r="E238" s="1115"/>
      <c r="F238" s="1115"/>
      <c r="G238" s="1115"/>
      <c r="H238" s="1116"/>
      <c r="I238" s="1115"/>
      <c r="J238" s="1113"/>
    </row>
    <row r="239">
      <c r="A239" s="1113"/>
      <c r="B239" s="1114"/>
      <c r="C239" s="1115"/>
      <c r="D239" s="1116"/>
      <c r="E239" s="1115"/>
      <c r="F239" s="1115"/>
      <c r="G239" s="1115"/>
      <c r="H239" s="1116"/>
      <c r="I239" s="1115"/>
      <c r="J239" s="1113"/>
    </row>
    <row r="240">
      <c r="A240" s="1113"/>
      <c r="B240" s="1114"/>
      <c r="C240" s="1115"/>
      <c r="D240" s="1116"/>
      <c r="E240" s="1115"/>
      <c r="F240" s="1115"/>
      <c r="G240" s="1115"/>
      <c r="H240" s="1116"/>
      <c r="I240" s="1115"/>
      <c r="J240" s="1113"/>
    </row>
    <row r="241">
      <c r="A241" s="1113"/>
      <c r="B241" s="1114"/>
      <c r="C241" s="1115"/>
      <c r="D241" s="1116"/>
      <c r="E241" s="1115"/>
      <c r="F241" s="1115"/>
      <c r="G241" s="1115"/>
      <c r="H241" s="1116"/>
      <c r="I241" s="1115"/>
      <c r="J241" s="1113"/>
    </row>
    <row r="242">
      <c r="A242" s="1113"/>
      <c r="B242" s="1114"/>
      <c r="C242" s="1115"/>
      <c r="D242" s="1116"/>
      <c r="E242" s="1115"/>
      <c r="F242" s="1115"/>
      <c r="G242" s="1115"/>
      <c r="H242" s="1116"/>
      <c r="I242" s="1115"/>
      <c r="J242" s="1113"/>
    </row>
    <row r="243">
      <c r="A243" s="1113"/>
      <c r="B243" s="1114"/>
      <c r="C243" s="1115"/>
      <c r="D243" s="1116"/>
      <c r="E243" s="1115"/>
      <c r="F243" s="1115"/>
      <c r="G243" s="1115"/>
      <c r="H243" s="1116"/>
      <c r="I243" s="1115"/>
      <c r="J243" s="1113"/>
    </row>
    <row r="244">
      <c r="A244" s="1113"/>
      <c r="B244" s="1114"/>
      <c r="C244" s="1115"/>
      <c r="D244" s="1116"/>
      <c r="E244" s="1115"/>
      <c r="F244" s="1115"/>
      <c r="G244" s="1115"/>
      <c r="H244" s="1116"/>
      <c r="I244" s="1115"/>
      <c r="J244" s="1113"/>
    </row>
    <row r="245">
      <c r="A245" s="1113"/>
      <c r="B245" s="1114"/>
      <c r="C245" s="1115"/>
      <c r="D245" s="1116"/>
      <c r="E245" s="1115"/>
      <c r="F245" s="1115"/>
      <c r="G245" s="1115"/>
      <c r="H245" s="1116"/>
      <c r="I245" s="1115"/>
      <c r="J245" s="1113"/>
    </row>
    <row r="246">
      <c r="A246" s="1113"/>
      <c r="B246" s="1114"/>
      <c r="C246" s="1115"/>
      <c r="D246" s="1116"/>
      <c r="E246" s="1115"/>
      <c r="F246" s="1115"/>
      <c r="G246" s="1115"/>
      <c r="H246" s="1116"/>
      <c r="I246" s="1115"/>
      <c r="J246" s="1113"/>
    </row>
    <row r="247">
      <c r="A247" s="1113"/>
      <c r="B247" s="1114"/>
      <c r="C247" s="1115"/>
      <c r="D247" s="1116"/>
      <c r="E247" s="1115"/>
      <c r="F247" s="1115"/>
      <c r="G247" s="1115"/>
      <c r="H247" s="1116"/>
      <c r="I247" s="1115"/>
      <c r="J247" s="1113"/>
    </row>
    <row r="248">
      <c r="A248" s="1113"/>
      <c r="B248" s="1114"/>
      <c r="C248" s="1115"/>
      <c r="D248" s="1116"/>
      <c r="E248" s="1115"/>
      <c r="F248" s="1115"/>
      <c r="G248" s="1115"/>
      <c r="H248" s="1116"/>
      <c r="I248" s="1115"/>
      <c r="J248" s="1113"/>
    </row>
    <row r="249">
      <c r="A249" s="1113"/>
      <c r="B249" s="1114"/>
      <c r="C249" s="1115"/>
      <c r="D249" s="1116"/>
      <c r="E249" s="1115"/>
      <c r="F249" s="1115"/>
      <c r="G249" s="1115"/>
      <c r="H249" s="1116"/>
      <c r="I249" s="1115"/>
      <c r="J249" s="1113"/>
    </row>
    <row r="250">
      <c r="A250" s="1113"/>
      <c r="B250" s="1114"/>
      <c r="C250" s="1115"/>
      <c r="D250" s="1116"/>
      <c r="E250" s="1115"/>
      <c r="F250" s="1115"/>
      <c r="G250" s="1115"/>
      <c r="H250" s="1116"/>
      <c r="I250" s="1115"/>
      <c r="J250" s="1113"/>
    </row>
    <row r="251">
      <c r="A251" s="1113"/>
      <c r="B251" s="1114"/>
      <c r="C251" s="1115"/>
      <c r="D251" s="1116"/>
      <c r="E251" s="1115"/>
      <c r="F251" s="1115"/>
      <c r="G251" s="1115"/>
      <c r="H251" s="1116"/>
      <c r="I251" s="1115"/>
      <c r="J251" s="1113"/>
    </row>
    <row r="252">
      <c r="A252" s="1113"/>
      <c r="B252" s="1114"/>
      <c r="C252" s="1115"/>
      <c r="D252" s="1116"/>
      <c r="E252" s="1115"/>
      <c r="F252" s="1115"/>
      <c r="G252" s="1115"/>
      <c r="H252" s="1116"/>
      <c r="I252" s="1115"/>
      <c r="J252" s="1113"/>
    </row>
    <row r="253">
      <c r="A253" s="1113"/>
      <c r="B253" s="1114"/>
      <c r="C253" s="1115"/>
      <c r="D253" s="1116"/>
      <c r="E253" s="1115"/>
      <c r="F253" s="1115"/>
      <c r="G253" s="1115"/>
      <c r="H253" s="1116"/>
      <c r="I253" s="1115"/>
      <c r="J253" s="1113"/>
    </row>
    <row r="254">
      <c r="A254" s="1113"/>
      <c r="B254" s="1114"/>
      <c r="C254" s="1115"/>
      <c r="D254" s="1116"/>
      <c r="E254" s="1115"/>
      <c r="F254" s="1115"/>
      <c r="G254" s="1115"/>
      <c r="H254" s="1116"/>
      <c r="I254" s="1115"/>
      <c r="J254" s="1113"/>
    </row>
    <row r="255">
      <c r="A255" s="1113"/>
      <c r="B255" s="1114"/>
      <c r="C255" s="1115"/>
      <c r="D255" s="1116"/>
      <c r="E255" s="1115"/>
      <c r="F255" s="1115"/>
      <c r="G255" s="1115"/>
      <c r="H255" s="1116"/>
      <c r="I255" s="1115"/>
      <c r="J255" s="1113"/>
    </row>
    <row r="256">
      <c r="A256" s="1113"/>
      <c r="B256" s="1114"/>
      <c r="C256" s="1115"/>
      <c r="D256" s="1116"/>
      <c r="E256" s="1115"/>
      <c r="F256" s="1115"/>
      <c r="G256" s="1115"/>
      <c r="H256" s="1116"/>
      <c r="I256" s="1115"/>
      <c r="J256" s="1113"/>
    </row>
    <row r="257">
      <c r="A257" s="1113"/>
      <c r="B257" s="1114"/>
      <c r="C257" s="1115"/>
      <c r="D257" s="1116"/>
      <c r="E257" s="1115"/>
      <c r="F257" s="1115"/>
      <c r="G257" s="1115"/>
      <c r="H257" s="1116"/>
      <c r="I257" s="1115"/>
      <c r="J257" s="1113"/>
    </row>
    <row r="258">
      <c r="A258" s="1113"/>
      <c r="B258" s="1114"/>
      <c r="C258" s="1115"/>
      <c r="D258" s="1116"/>
      <c r="E258" s="1115"/>
      <c r="F258" s="1115"/>
      <c r="G258" s="1115"/>
      <c r="H258" s="1116"/>
      <c r="I258" s="1115"/>
      <c r="J258" s="1113"/>
    </row>
    <row r="259">
      <c r="A259" s="1113"/>
      <c r="B259" s="1114"/>
      <c r="C259" s="1115"/>
      <c r="D259" s="1116"/>
      <c r="E259" s="1115"/>
      <c r="F259" s="1115"/>
      <c r="G259" s="1115"/>
      <c r="H259" s="1116"/>
      <c r="I259" s="1115"/>
      <c r="J259" s="1113"/>
    </row>
    <row r="260">
      <c r="A260" s="1113"/>
      <c r="B260" s="1114"/>
      <c r="C260" s="1115"/>
      <c r="D260" s="1116"/>
      <c r="E260" s="1115"/>
      <c r="F260" s="1115"/>
      <c r="G260" s="1115"/>
      <c r="H260" s="1116"/>
      <c r="I260" s="1115"/>
      <c r="J260" s="1113"/>
    </row>
    <row r="261">
      <c r="A261" s="1113"/>
      <c r="B261" s="1114"/>
      <c r="C261" s="1115"/>
      <c r="D261" s="1116"/>
      <c r="E261" s="1115"/>
      <c r="F261" s="1115"/>
      <c r="G261" s="1115"/>
      <c r="H261" s="1116"/>
      <c r="I261" s="1115"/>
      <c r="J261" s="1113"/>
    </row>
    <row r="262">
      <c r="A262" s="1113"/>
      <c r="B262" s="1114"/>
      <c r="C262" s="1115"/>
      <c r="D262" s="1116"/>
      <c r="E262" s="1115"/>
      <c r="F262" s="1115"/>
      <c r="G262" s="1115"/>
      <c r="H262" s="1116"/>
      <c r="I262" s="1115"/>
      <c r="J262" s="1113"/>
    </row>
    <row r="263">
      <c r="A263" s="1113"/>
      <c r="B263" s="1114"/>
      <c r="C263" s="1115"/>
      <c r="D263" s="1116"/>
      <c r="E263" s="1115"/>
      <c r="F263" s="1115"/>
      <c r="G263" s="1115"/>
      <c r="H263" s="1116"/>
      <c r="I263" s="1115"/>
      <c r="J263" s="1113"/>
    </row>
    <row r="264">
      <c r="A264" s="1113"/>
      <c r="B264" s="1114"/>
      <c r="C264" s="1115"/>
      <c r="D264" s="1116"/>
      <c r="E264" s="1115"/>
      <c r="F264" s="1115"/>
      <c r="G264" s="1115"/>
      <c r="H264" s="1116"/>
      <c r="I264" s="1115"/>
      <c r="J264" s="1113"/>
    </row>
    <row r="265">
      <c r="A265" s="1113"/>
      <c r="B265" s="1114"/>
      <c r="C265" s="1115"/>
      <c r="D265" s="1116"/>
      <c r="E265" s="1115"/>
      <c r="F265" s="1115"/>
      <c r="G265" s="1115"/>
      <c r="H265" s="1116"/>
      <c r="I265" s="1115"/>
      <c r="J265" s="1113"/>
    </row>
    <row r="266">
      <c r="A266" s="1113"/>
      <c r="B266" s="1114"/>
      <c r="C266" s="1115"/>
      <c r="D266" s="1116"/>
      <c r="E266" s="1115"/>
      <c r="F266" s="1115"/>
      <c r="G266" s="1115"/>
      <c r="H266" s="1116"/>
      <c r="I266" s="1115"/>
      <c r="J266" s="1113"/>
    </row>
    <row r="267">
      <c r="A267" s="1113"/>
      <c r="B267" s="1114"/>
      <c r="C267" s="1115"/>
      <c r="D267" s="1116"/>
      <c r="E267" s="1115"/>
      <c r="F267" s="1115"/>
      <c r="G267" s="1115"/>
      <c r="H267" s="1116"/>
      <c r="I267" s="1115"/>
      <c r="J267" s="1113"/>
    </row>
    <row r="268">
      <c r="A268" s="1113"/>
      <c r="B268" s="1114"/>
      <c r="C268" s="1115"/>
      <c r="D268" s="1116"/>
      <c r="E268" s="1115"/>
      <c r="F268" s="1115"/>
      <c r="G268" s="1115"/>
      <c r="H268" s="1116"/>
      <c r="I268" s="1115"/>
      <c r="J268" s="1113"/>
    </row>
    <row r="269">
      <c r="A269" s="1113"/>
      <c r="B269" s="1114"/>
      <c r="C269" s="1115"/>
      <c r="D269" s="1116"/>
      <c r="E269" s="1115"/>
      <c r="F269" s="1115"/>
      <c r="G269" s="1115"/>
      <c r="H269" s="1116"/>
      <c r="I269" s="1115"/>
      <c r="J269" s="1113"/>
    </row>
    <row r="270">
      <c r="A270" s="1113"/>
      <c r="B270" s="1114"/>
      <c r="C270" s="1115"/>
      <c r="D270" s="1116"/>
      <c r="E270" s="1115"/>
      <c r="F270" s="1115"/>
      <c r="G270" s="1115"/>
      <c r="H270" s="1116"/>
      <c r="I270" s="1115"/>
      <c r="J270" s="1113"/>
    </row>
    <row r="271">
      <c r="A271" s="1113"/>
      <c r="B271" s="1114"/>
      <c r="C271" s="1115"/>
      <c r="D271" s="1116"/>
      <c r="E271" s="1115"/>
      <c r="F271" s="1115"/>
      <c r="G271" s="1115"/>
      <c r="H271" s="1116"/>
      <c r="I271" s="1115"/>
      <c r="J271" s="1113"/>
    </row>
    <row r="272">
      <c r="A272" s="1113"/>
      <c r="B272" s="1114"/>
      <c r="C272" s="1115"/>
      <c r="D272" s="1116"/>
      <c r="E272" s="1115"/>
      <c r="F272" s="1115"/>
      <c r="G272" s="1115"/>
      <c r="H272" s="1116"/>
      <c r="I272" s="1115"/>
      <c r="J272" s="1113"/>
    </row>
    <row r="273">
      <c r="A273" s="1113"/>
      <c r="B273" s="1114"/>
      <c r="C273" s="1115"/>
      <c r="D273" s="1116"/>
      <c r="E273" s="1115"/>
      <c r="F273" s="1115"/>
      <c r="G273" s="1115"/>
      <c r="H273" s="1116"/>
      <c r="I273" s="1115"/>
      <c r="J273" s="1113"/>
    </row>
    <row r="274">
      <c r="A274" s="1113"/>
      <c r="B274" s="1114"/>
      <c r="C274" s="1115"/>
      <c r="D274" s="1116"/>
      <c r="E274" s="1115"/>
      <c r="F274" s="1115"/>
      <c r="G274" s="1115"/>
      <c r="H274" s="1116"/>
      <c r="I274" s="1115"/>
      <c r="J274" s="1113"/>
    </row>
    <row r="275">
      <c r="A275" s="1113"/>
      <c r="B275" s="1114"/>
      <c r="C275" s="1115"/>
      <c r="D275" s="1116"/>
      <c r="E275" s="1115"/>
      <c r="F275" s="1115"/>
      <c r="G275" s="1115"/>
      <c r="H275" s="1116"/>
      <c r="I275" s="1115"/>
      <c r="J275" s="1113"/>
    </row>
    <row r="276">
      <c r="A276" s="1113"/>
      <c r="B276" s="1114"/>
      <c r="C276" s="1115"/>
      <c r="D276" s="1116"/>
      <c r="E276" s="1115"/>
      <c r="F276" s="1115"/>
      <c r="G276" s="1115"/>
      <c r="H276" s="1116"/>
      <c r="I276" s="1115"/>
      <c r="J276" s="1113"/>
    </row>
    <row r="277">
      <c r="A277" s="1113"/>
      <c r="B277" s="1114"/>
      <c r="C277" s="1115"/>
      <c r="D277" s="1116"/>
      <c r="E277" s="1115"/>
      <c r="F277" s="1115"/>
      <c r="G277" s="1115"/>
      <c r="H277" s="1116"/>
      <c r="I277" s="1115"/>
      <c r="J277" s="1113"/>
    </row>
    <row r="278">
      <c r="A278" s="1113"/>
      <c r="B278" s="1114"/>
      <c r="C278" s="1115"/>
      <c r="D278" s="1116"/>
      <c r="E278" s="1115"/>
      <c r="F278" s="1115"/>
      <c r="G278" s="1115"/>
      <c r="H278" s="1116"/>
      <c r="I278" s="1115"/>
      <c r="J278" s="1113"/>
    </row>
    <row r="279">
      <c r="A279" s="1113"/>
      <c r="B279" s="1114"/>
      <c r="C279" s="1115"/>
      <c r="D279" s="1116"/>
      <c r="E279" s="1115"/>
      <c r="F279" s="1115"/>
      <c r="G279" s="1115"/>
      <c r="H279" s="1116"/>
      <c r="I279" s="1115"/>
      <c r="J279" s="1113"/>
    </row>
    <row r="280">
      <c r="A280" s="1113"/>
      <c r="B280" s="1114"/>
      <c r="C280" s="1115"/>
      <c r="D280" s="1116"/>
      <c r="E280" s="1115"/>
      <c r="F280" s="1115"/>
      <c r="G280" s="1115"/>
      <c r="H280" s="1116"/>
      <c r="I280" s="1115"/>
      <c r="J280" s="1113"/>
    </row>
    <row r="281">
      <c r="A281" s="1113"/>
      <c r="B281" s="1114"/>
      <c r="C281" s="1115"/>
      <c r="D281" s="1116"/>
      <c r="E281" s="1115"/>
      <c r="F281" s="1115"/>
      <c r="G281" s="1115"/>
      <c r="H281" s="1116"/>
      <c r="I281" s="1115"/>
      <c r="J281" s="1113"/>
    </row>
    <row r="282">
      <c r="A282" s="1113"/>
      <c r="B282" s="1114"/>
      <c r="C282" s="1115"/>
      <c r="D282" s="1116"/>
      <c r="E282" s="1115"/>
      <c r="F282" s="1115"/>
      <c r="G282" s="1115"/>
      <c r="H282" s="1116"/>
      <c r="I282" s="1115"/>
      <c r="J282" s="1113"/>
    </row>
    <row r="283">
      <c r="A283" s="1113"/>
      <c r="B283" s="1114"/>
      <c r="C283" s="1115"/>
      <c r="D283" s="1116"/>
      <c r="E283" s="1115"/>
      <c r="F283" s="1115"/>
      <c r="G283" s="1115"/>
      <c r="H283" s="1116"/>
      <c r="I283" s="1115"/>
      <c r="J283" s="1113"/>
    </row>
    <row r="284">
      <c r="A284" s="1113"/>
      <c r="B284" s="1114"/>
      <c r="C284" s="1115"/>
      <c r="D284" s="1116"/>
      <c r="E284" s="1115"/>
      <c r="F284" s="1115"/>
      <c r="G284" s="1115"/>
      <c r="H284" s="1116"/>
      <c r="I284" s="1115"/>
      <c r="J284" s="1113"/>
    </row>
    <row r="285">
      <c r="A285" s="1113"/>
      <c r="B285" s="1114"/>
      <c r="C285" s="1115"/>
      <c r="D285" s="1116"/>
      <c r="E285" s="1115"/>
      <c r="F285" s="1115"/>
      <c r="G285" s="1115"/>
      <c r="H285" s="1116"/>
      <c r="I285" s="1115"/>
      <c r="J285" s="1113"/>
    </row>
    <row r="286">
      <c r="A286" s="1113"/>
      <c r="B286" s="1114"/>
      <c r="C286" s="1115"/>
      <c r="D286" s="1116"/>
      <c r="E286" s="1115"/>
      <c r="F286" s="1115"/>
      <c r="G286" s="1115"/>
      <c r="H286" s="1116"/>
      <c r="I286" s="1115"/>
      <c r="J286" s="1113"/>
    </row>
    <row r="287">
      <c r="A287" s="1113"/>
      <c r="B287" s="1114"/>
      <c r="C287" s="1115"/>
      <c r="D287" s="1116"/>
      <c r="E287" s="1115"/>
      <c r="F287" s="1115"/>
      <c r="G287" s="1115"/>
      <c r="H287" s="1116"/>
      <c r="I287" s="1115"/>
      <c r="J287" s="1113"/>
    </row>
    <row r="288">
      <c r="A288" s="1113"/>
      <c r="B288" s="1114"/>
      <c r="C288" s="1115"/>
      <c r="D288" s="1116"/>
      <c r="E288" s="1115"/>
      <c r="F288" s="1115"/>
      <c r="G288" s="1115"/>
      <c r="H288" s="1116"/>
      <c r="I288" s="1115"/>
      <c r="J288" s="1113"/>
    </row>
    <row r="289">
      <c r="A289" s="1113"/>
      <c r="B289" s="1114"/>
      <c r="C289" s="1115"/>
      <c r="D289" s="1116"/>
      <c r="E289" s="1115"/>
      <c r="F289" s="1115"/>
      <c r="G289" s="1115"/>
      <c r="H289" s="1116"/>
      <c r="I289" s="1115"/>
      <c r="J289" s="1113"/>
    </row>
    <row r="290">
      <c r="A290" s="1113"/>
      <c r="B290" s="1114"/>
      <c r="C290" s="1115"/>
      <c r="D290" s="1116"/>
      <c r="E290" s="1115"/>
      <c r="F290" s="1115"/>
      <c r="G290" s="1115"/>
      <c r="H290" s="1116"/>
      <c r="I290" s="1115"/>
      <c r="J290" s="1113"/>
    </row>
    <row r="291">
      <c r="A291" s="1113"/>
      <c r="B291" s="1114"/>
      <c r="C291" s="1115"/>
      <c r="D291" s="1116"/>
      <c r="E291" s="1115"/>
      <c r="F291" s="1115"/>
      <c r="G291" s="1115"/>
      <c r="H291" s="1116"/>
      <c r="I291" s="1115"/>
      <c r="J291" s="1113"/>
    </row>
    <row r="292">
      <c r="A292" s="1113"/>
      <c r="B292" s="1114"/>
      <c r="C292" s="1115"/>
      <c r="D292" s="1116"/>
      <c r="E292" s="1115"/>
      <c r="F292" s="1115"/>
      <c r="G292" s="1115"/>
      <c r="H292" s="1116"/>
      <c r="I292" s="1115"/>
      <c r="J292" s="1113"/>
    </row>
    <row r="293">
      <c r="A293" s="1113"/>
      <c r="B293" s="1114"/>
      <c r="C293" s="1115"/>
      <c r="D293" s="1116"/>
      <c r="E293" s="1115"/>
      <c r="F293" s="1115"/>
      <c r="G293" s="1115"/>
      <c r="H293" s="1116"/>
      <c r="I293" s="1115"/>
      <c r="J293" s="1113"/>
    </row>
    <row r="294">
      <c r="A294" s="1113"/>
      <c r="B294" s="1114"/>
      <c r="C294" s="1115"/>
      <c r="D294" s="1116"/>
      <c r="E294" s="1115"/>
      <c r="F294" s="1115"/>
      <c r="G294" s="1115"/>
      <c r="H294" s="1116"/>
      <c r="I294" s="1115"/>
      <c r="J294" s="1113"/>
    </row>
    <row r="295">
      <c r="A295" s="1113"/>
      <c r="B295" s="1114"/>
      <c r="C295" s="1115"/>
      <c r="D295" s="1116"/>
      <c r="E295" s="1115"/>
      <c r="F295" s="1115"/>
      <c r="G295" s="1115"/>
      <c r="H295" s="1116"/>
      <c r="I295" s="1115"/>
      <c r="J295" s="1113"/>
    </row>
    <row r="296">
      <c r="A296" s="1113"/>
      <c r="B296" s="1114"/>
      <c r="C296" s="1115"/>
      <c r="D296" s="1116"/>
      <c r="E296" s="1115"/>
      <c r="F296" s="1115"/>
      <c r="G296" s="1115"/>
      <c r="H296" s="1116"/>
      <c r="I296" s="1115"/>
      <c r="J296" s="1113"/>
    </row>
    <row r="297">
      <c r="A297" s="1113"/>
      <c r="B297" s="1114"/>
      <c r="C297" s="1115"/>
      <c r="D297" s="1116"/>
      <c r="E297" s="1115"/>
      <c r="F297" s="1115"/>
      <c r="G297" s="1115"/>
      <c r="H297" s="1116"/>
      <c r="I297" s="1115"/>
      <c r="J297" s="1113"/>
    </row>
    <row r="298">
      <c r="A298" s="1113"/>
      <c r="B298" s="1114"/>
      <c r="C298" s="1115"/>
      <c r="D298" s="1116"/>
      <c r="E298" s="1115"/>
      <c r="F298" s="1115"/>
      <c r="G298" s="1115"/>
      <c r="H298" s="1116"/>
      <c r="I298" s="1115"/>
      <c r="J298" s="1113"/>
    </row>
    <row r="299">
      <c r="A299" s="1113"/>
      <c r="B299" s="1114"/>
      <c r="C299" s="1115"/>
      <c r="D299" s="1116"/>
      <c r="E299" s="1115"/>
      <c r="F299" s="1115"/>
      <c r="G299" s="1115"/>
      <c r="H299" s="1116"/>
      <c r="I299" s="1115"/>
      <c r="J299" s="1113"/>
    </row>
    <row r="300">
      <c r="A300" s="1113"/>
      <c r="B300" s="1114"/>
      <c r="C300" s="1115"/>
      <c r="D300" s="1116"/>
      <c r="E300" s="1115"/>
      <c r="F300" s="1115"/>
      <c r="G300" s="1115"/>
      <c r="H300" s="1116"/>
      <c r="I300" s="1115"/>
      <c r="J300" s="1113"/>
    </row>
    <row r="301">
      <c r="A301" s="1113"/>
      <c r="B301" s="1114"/>
      <c r="C301" s="1115"/>
      <c r="D301" s="1116"/>
      <c r="E301" s="1115"/>
      <c r="F301" s="1115"/>
      <c r="G301" s="1115"/>
      <c r="H301" s="1116"/>
      <c r="I301" s="1115"/>
      <c r="J301" s="1113"/>
    </row>
    <row r="302">
      <c r="A302" s="1113"/>
      <c r="B302" s="1114"/>
      <c r="C302" s="1115"/>
      <c r="D302" s="1116"/>
      <c r="E302" s="1115"/>
      <c r="F302" s="1115"/>
      <c r="G302" s="1115"/>
      <c r="H302" s="1116"/>
      <c r="I302" s="1115"/>
      <c r="J302" s="1113"/>
    </row>
    <row r="303">
      <c r="A303" s="1113"/>
      <c r="B303" s="1114"/>
      <c r="C303" s="1115"/>
      <c r="D303" s="1116"/>
      <c r="E303" s="1115"/>
      <c r="F303" s="1115"/>
      <c r="G303" s="1115"/>
      <c r="H303" s="1116"/>
      <c r="I303" s="1115"/>
      <c r="J303" s="1113"/>
    </row>
    <row r="304">
      <c r="A304" s="1113"/>
      <c r="B304" s="1114"/>
      <c r="C304" s="1115"/>
      <c r="D304" s="1116"/>
      <c r="E304" s="1115"/>
      <c r="F304" s="1115"/>
      <c r="G304" s="1115"/>
      <c r="H304" s="1116"/>
      <c r="I304" s="1115"/>
      <c r="J304" s="1113"/>
    </row>
    <row r="305">
      <c r="A305" s="1113"/>
      <c r="B305" s="1114"/>
      <c r="C305" s="1115"/>
      <c r="D305" s="1116"/>
      <c r="E305" s="1115"/>
      <c r="F305" s="1115"/>
      <c r="G305" s="1115"/>
      <c r="H305" s="1116"/>
      <c r="I305" s="1115"/>
      <c r="J305" s="1113"/>
    </row>
    <row r="306">
      <c r="A306" s="1113"/>
      <c r="B306" s="1114"/>
      <c r="C306" s="1115"/>
      <c r="D306" s="1116"/>
      <c r="E306" s="1115"/>
      <c r="F306" s="1115"/>
      <c r="G306" s="1115"/>
      <c r="H306" s="1116"/>
      <c r="I306" s="1115"/>
      <c r="J306" s="1113"/>
    </row>
    <row r="307">
      <c r="A307" s="1113"/>
      <c r="B307" s="1114"/>
      <c r="C307" s="1115"/>
      <c r="D307" s="1116"/>
      <c r="E307" s="1115"/>
      <c r="F307" s="1115"/>
      <c r="G307" s="1115"/>
      <c r="H307" s="1116"/>
      <c r="I307" s="1115"/>
      <c r="J307" s="1113"/>
    </row>
    <row r="308">
      <c r="A308" s="1113"/>
      <c r="B308" s="1114"/>
      <c r="C308" s="1115"/>
      <c r="D308" s="1116"/>
      <c r="E308" s="1115"/>
      <c r="F308" s="1115"/>
      <c r="G308" s="1115"/>
      <c r="H308" s="1116"/>
      <c r="I308" s="1115"/>
      <c r="J308" s="1113"/>
    </row>
    <row r="309">
      <c r="A309" s="1113"/>
      <c r="B309" s="1114"/>
      <c r="C309" s="1115"/>
      <c r="D309" s="1116"/>
      <c r="E309" s="1115"/>
      <c r="F309" s="1115"/>
      <c r="G309" s="1115"/>
      <c r="H309" s="1116"/>
      <c r="I309" s="1115"/>
      <c r="J309" s="1113"/>
    </row>
    <row r="310">
      <c r="A310" s="1113"/>
      <c r="B310" s="1114"/>
      <c r="C310" s="1115"/>
      <c r="D310" s="1116"/>
      <c r="E310" s="1115"/>
      <c r="F310" s="1115"/>
      <c r="G310" s="1115"/>
      <c r="H310" s="1116"/>
      <c r="I310" s="1115"/>
      <c r="J310" s="1113"/>
    </row>
    <row r="311">
      <c r="A311" s="1113"/>
      <c r="B311" s="1114"/>
      <c r="C311" s="1115"/>
      <c r="D311" s="1116"/>
      <c r="E311" s="1115"/>
      <c r="F311" s="1115"/>
      <c r="G311" s="1115"/>
      <c r="H311" s="1116"/>
      <c r="I311" s="1115"/>
      <c r="J311" s="1113"/>
    </row>
    <row r="312">
      <c r="A312" s="1113"/>
      <c r="B312" s="1114"/>
      <c r="C312" s="1115"/>
      <c r="D312" s="1116"/>
      <c r="E312" s="1115"/>
      <c r="F312" s="1115"/>
      <c r="G312" s="1115"/>
      <c r="H312" s="1116"/>
      <c r="I312" s="1115"/>
      <c r="J312" s="1113"/>
    </row>
    <row r="313">
      <c r="A313" s="1113"/>
      <c r="B313" s="1114"/>
      <c r="C313" s="1115"/>
      <c r="D313" s="1116"/>
      <c r="E313" s="1115"/>
      <c r="F313" s="1115"/>
      <c r="G313" s="1115"/>
      <c r="H313" s="1116"/>
      <c r="I313" s="1115"/>
      <c r="J313" s="1113"/>
    </row>
    <row r="314">
      <c r="A314" s="1113"/>
      <c r="B314" s="1114"/>
      <c r="C314" s="1115"/>
      <c r="D314" s="1116"/>
      <c r="E314" s="1115"/>
      <c r="F314" s="1115"/>
      <c r="G314" s="1115"/>
      <c r="H314" s="1116"/>
      <c r="I314" s="1115"/>
      <c r="J314" s="1113"/>
    </row>
    <row r="315">
      <c r="A315" s="1113"/>
      <c r="B315" s="1114"/>
      <c r="C315" s="1115"/>
      <c r="D315" s="1116"/>
      <c r="E315" s="1115"/>
      <c r="F315" s="1115"/>
      <c r="G315" s="1115"/>
      <c r="H315" s="1116"/>
      <c r="I315" s="1115"/>
      <c r="J315" s="1113"/>
    </row>
    <row r="316">
      <c r="A316" s="1113"/>
      <c r="B316" s="1114"/>
      <c r="C316" s="1115"/>
      <c r="D316" s="1116"/>
      <c r="E316" s="1115"/>
      <c r="F316" s="1115"/>
      <c r="G316" s="1115"/>
      <c r="H316" s="1116"/>
      <c r="I316" s="1115"/>
      <c r="J316" s="1113"/>
    </row>
    <row r="317">
      <c r="A317" s="1113"/>
      <c r="B317" s="1114"/>
      <c r="C317" s="1115"/>
      <c r="D317" s="1116"/>
      <c r="E317" s="1115"/>
      <c r="F317" s="1115"/>
      <c r="G317" s="1115"/>
      <c r="H317" s="1116"/>
      <c r="I317" s="1115"/>
      <c r="J317" s="1113"/>
    </row>
    <row r="318">
      <c r="A318" s="1113"/>
      <c r="B318" s="1114"/>
      <c r="C318" s="1115"/>
      <c r="D318" s="1116"/>
      <c r="E318" s="1115"/>
      <c r="F318" s="1115"/>
      <c r="G318" s="1115"/>
      <c r="H318" s="1116"/>
      <c r="I318" s="1115"/>
      <c r="J318" s="1113"/>
    </row>
    <row r="319">
      <c r="A319" s="1113"/>
      <c r="B319" s="1114"/>
      <c r="C319" s="1115"/>
      <c r="D319" s="1116"/>
      <c r="E319" s="1115"/>
      <c r="F319" s="1115"/>
      <c r="G319" s="1115"/>
      <c r="H319" s="1116"/>
      <c r="I319" s="1115"/>
      <c r="J319" s="1113"/>
    </row>
    <row r="320">
      <c r="A320" s="1113"/>
      <c r="B320" s="1114"/>
      <c r="C320" s="1115"/>
      <c r="D320" s="1116"/>
      <c r="E320" s="1115"/>
      <c r="F320" s="1115"/>
      <c r="G320" s="1115"/>
      <c r="H320" s="1116"/>
      <c r="I320" s="1115"/>
      <c r="J320" s="1113"/>
    </row>
    <row r="321">
      <c r="A321" s="1113"/>
      <c r="B321" s="1114"/>
      <c r="C321" s="1115"/>
      <c r="D321" s="1116"/>
      <c r="E321" s="1115"/>
      <c r="F321" s="1115"/>
      <c r="G321" s="1115"/>
      <c r="H321" s="1116"/>
      <c r="I321" s="1115"/>
      <c r="J321" s="1113"/>
    </row>
    <row r="322">
      <c r="A322" s="1113"/>
      <c r="B322" s="1114"/>
      <c r="C322" s="1115"/>
      <c r="D322" s="1116"/>
      <c r="E322" s="1115"/>
      <c r="F322" s="1115"/>
      <c r="G322" s="1115"/>
      <c r="H322" s="1116"/>
      <c r="I322" s="1115"/>
      <c r="J322" s="1113"/>
    </row>
    <row r="323">
      <c r="A323" s="1113"/>
      <c r="B323" s="1114"/>
      <c r="C323" s="1115"/>
      <c r="D323" s="1116"/>
      <c r="E323" s="1115"/>
      <c r="F323" s="1115"/>
      <c r="G323" s="1115"/>
      <c r="H323" s="1116"/>
      <c r="I323" s="1115"/>
      <c r="J323" s="1113"/>
    </row>
    <row r="324">
      <c r="A324" s="1113"/>
      <c r="B324" s="1114"/>
      <c r="C324" s="1115"/>
      <c r="D324" s="1116"/>
      <c r="E324" s="1115"/>
      <c r="F324" s="1115"/>
      <c r="G324" s="1115"/>
      <c r="H324" s="1116"/>
      <c r="I324" s="1115"/>
      <c r="J324" s="1113"/>
    </row>
    <row r="325">
      <c r="A325" s="1113"/>
      <c r="B325" s="1114"/>
      <c r="C325" s="1115"/>
      <c r="D325" s="1116"/>
      <c r="E325" s="1115"/>
      <c r="F325" s="1115"/>
      <c r="G325" s="1115"/>
      <c r="H325" s="1116"/>
      <c r="I325" s="1115"/>
      <c r="J325" s="1113"/>
    </row>
    <row r="326">
      <c r="A326" s="1113"/>
      <c r="B326" s="1114"/>
      <c r="C326" s="1115"/>
      <c r="D326" s="1116"/>
      <c r="E326" s="1115"/>
      <c r="F326" s="1115"/>
      <c r="G326" s="1115"/>
      <c r="H326" s="1116"/>
      <c r="I326" s="1115"/>
      <c r="J326" s="1113"/>
    </row>
    <row r="327">
      <c r="A327" s="1113"/>
      <c r="B327" s="1114"/>
      <c r="C327" s="1115"/>
      <c r="D327" s="1116"/>
      <c r="E327" s="1115"/>
      <c r="F327" s="1115"/>
      <c r="G327" s="1115"/>
      <c r="H327" s="1116"/>
      <c r="I327" s="1115"/>
      <c r="J327" s="1113"/>
    </row>
    <row r="328">
      <c r="A328" s="1113"/>
      <c r="B328" s="1114"/>
      <c r="C328" s="1115"/>
      <c r="D328" s="1116"/>
      <c r="E328" s="1115"/>
      <c r="F328" s="1115"/>
      <c r="G328" s="1115"/>
      <c r="H328" s="1116"/>
      <c r="I328" s="1115"/>
      <c r="J328" s="1113"/>
    </row>
    <row r="329">
      <c r="A329" s="1113"/>
      <c r="B329" s="1114"/>
      <c r="C329" s="1115"/>
      <c r="D329" s="1116"/>
      <c r="E329" s="1115"/>
      <c r="F329" s="1115"/>
      <c r="G329" s="1115"/>
      <c r="H329" s="1116"/>
      <c r="I329" s="1115"/>
      <c r="J329" s="1113"/>
    </row>
    <row r="330">
      <c r="A330" s="1113"/>
      <c r="B330" s="1114"/>
      <c r="C330" s="1115"/>
      <c r="D330" s="1116"/>
      <c r="E330" s="1115"/>
      <c r="F330" s="1115"/>
      <c r="G330" s="1115"/>
      <c r="H330" s="1116"/>
      <c r="I330" s="1115"/>
      <c r="J330" s="1113"/>
    </row>
    <row r="331">
      <c r="A331" s="1113"/>
      <c r="B331" s="1114"/>
      <c r="C331" s="1115"/>
      <c r="D331" s="1116"/>
      <c r="E331" s="1115"/>
      <c r="F331" s="1115"/>
      <c r="G331" s="1115"/>
      <c r="H331" s="1116"/>
      <c r="I331" s="1115"/>
      <c r="J331" s="1113"/>
    </row>
    <row r="332">
      <c r="A332" s="1113"/>
      <c r="B332" s="1114"/>
      <c r="C332" s="1115"/>
      <c r="D332" s="1116"/>
      <c r="E332" s="1115"/>
      <c r="F332" s="1115"/>
      <c r="G332" s="1115"/>
      <c r="H332" s="1116"/>
      <c r="I332" s="1115"/>
      <c r="J332" s="1113"/>
    </row>
    <row r="333">
      <c r="A333" s="1113"/>
      <c r="B333" s="1114"/>
      <c r="C333" s="1115"/>
      <c r="D333" s="1116"/>
      <c r="E333" s="1115"/>
      <c r="F333" s="1115"/>
      <c r="G333" s="1115"/>
      <c r="H333" s="1116"/>
      <c r="I333" s="1115"/>
      <c r="J333" s="1113"/>
    </row>
    <row r="334">
      <c r="A334" s="1113"/>
      <c r="B334" s="1114"/>
      <c r="C334" s="1115"/>
      <c r="D334" s="1116"/>
      <c r="E334" s="1115"/>
      <c r="F334" s="1115"/>
      <c r="G334" s="1115"/>
      <c r="H334" s="1116"/>
      <c r="I334" s="1115"/>
      <c r="J334" s="1113"/>
    </row>
    <row r="335">
      <c r="A335" s="1113"/>
      <c r="B335" s="1114"/>
      <c r="C335" s="1115"/>
      <c r="D335" s="1116"/>
      <c r="E335" s="1115"/>
      <c r="F335" s="1115"/>
      <c r="G335" s="1115"/>
      <c r="H335" s="1116"/>
      <c r="I335" s="1115"/>
      <c r="J335" s="1113"/>
    </row>
    <row r="336">
      <c r="A336" s="1113"/>
      <c r="B336" s="1114"/>
      <c r="C336" s="1115"/>
      <c r="D336" s="1116"/>
      <c r="E336" s="1115"/>
      <c r="F336" s="1115"/>
      <c r="G336" s="1115"/>
      <c r="H336" s="1116"/>
      <c r="I336" s="1115"/>
      <c r="J336" s="1113"/>
    </row>
    <row r="337">
      <c r="A337" s="1113"/>
      <c r="B337" s="1114"/>
      <c r="C337" s="1115"/>
      <c r="D337" s="1116"/>
      <c r="E337" s="1115"/>
      <c r="F337" s="1115"/>
      <c r="G337" s="1115"/>
      <c r="H337" s="1116"/>
      <c r="I337" s="1115"/>
      <c r="J337" s="1113"/>
    </row>
    <row r="338">
      <c r="A338" s="1113"/>
      <c r="B338" s="1114"/>
      <c r="C338" s="1115"/>
      <c r="D338" s="1116"/>
      <c r="E338" s="1115"/>
      <c r="F338" s="1115"/>
      <c r="G338" s="1115"/>
      <c r="H338" s="1116"/>
      <c r="I338" s="1115"/>
      <c r="J338" s="1113"/>
    </row>
    <row r="339">
      <c r="A339" s="1113"/>
      <c r="B339" s="1114"/>
      <c r="C339" s="1115"/>
      <c r="D339" s="1116"/>
      <c r="E339" s="1115"/>
      <c r="F339" s="1115"/>
      <c r="G339" s="1115"/>
      <c r="H339" s="1116"/>
      <c r="I339" s="1115"/>
      <c r="J339" s="1113"/>
    </row>
    <row r="340">
      <c r="A340" s="1113"/>
      <c r="B340" s="1114"/>
      <c r="C340" s="1115"/>
      <c r="D340" s="1116"/>
      <c r="E340" s="1115"/>
      <c r="F340" s="1115"/>
      <c r="G340" s="1115"/>
      <c r="H340" s="1116"/>
      <c r="I340" s="1115"/>
      <c r="J340" s="1113"/>
    </row>
    <row r="341">
      <c r="A341" s="1113"/>
      <c r="B341" s="1114"/>
      <c r="C341" s="1115"/>
      <c r="D341" s="1116"/>
      <c r="E341" s="1115"/>
      <c r="F341" s="1115"/>
      <c r="G341" s="1115"/>
      <c r="H341" s="1116"/>
      <c r="I341" s="1115"/>
      <c r="J341" s="1113"/>
    </row>
    <row r="342">
      <c r="A342" s="1113"/>
      <c r="B342" s="1114"/>
      <c r="C342" s="1115"/>
      <c r="D342" s="1116"/>
      <c r="E342" s="1115"/>
      <c r="F342" s="1115"/>
      <c r="G342" s="1115"/>
      <c r="H342" s="1116"/>
      <c r="I342" s="1115"/>
      <c r="J342" s="1113"/>
    </row>
    <row r="343">
      <c r="A343" s="1113"/>
      <c r="B343" s="1114"/>
      <c r="C343" s="1115"/>
      <c r="D343" s="1116"/>
      <c r="E343" s="1115"/>
      <c r="F343" s="1115"/>
      <c r="G343" s="1115"/>
      <c r="H343" s="1116"/>
      <c r="I343" s="1115"/>
      <c r="J343" s="1113"/>
    </row>
    <row r="344">
      <c r="A344" s="1113"/>
      <c r="B344" s="1114"/>
      <c r="C344" s="1115"/>
      <c r="D344" s="1116"/>
      <c r="E344" s="1115"/>
      <c r="F344" s="1115"/>
      <c r="G344" s="1115"/>
      <c r="H344" s="1116"/>
      <c r="I344" s="1115"/>
      <c r="J344" s="1113"/>
    </row>
    <row r="345">
      <c r="A345" s="1113"/>
      <c r="B345" s="1114"/>
      <c r="C345" s="1115"/>
      <c r="D345" s="1116"/>
      <c r="E345" s="1115"/>
      <c r="F345" s="1115"/>
      <c r="G345" s="1115"/>
      <c r="H345" s="1116"/>
      <c r="I345" s="1115"/>
      <c r="J345" s="1113"/>
    </row>
    <row r="346">
      <c r="A346" s="1113"/>
      <c r="B346" s="1114"/>
      <c r="C346" s="1115"/>
      <c r="D346" s="1116"/>
      <c r="E346" s="1115"/>
      <c r="F346" s="1115"/>
      <c r="G346" s="1115"/>
      <c r="H346" s="1116"/>
      <c r="I346" s="1115"/>
      <c r="J346" s="1113"/>
    </row>
    <row r="347">
      <c r="A347" s="1113"/>
      <c r="B347" s="1114"/>
      <c r="C347" s="1115"/>
      <c r="D347" s="1116"/>
      <c r="E347" s="1115"/>
      <c r="F347" s="1115"/>
      <c r="G347" s="1115"/>
      <c r="H347" s="1116"/>
      <c r="I347" s="1115"/>
      <c r="J347" s="1113"/>
    </row>
    <row r="348">
      <c r="A348" s="1113"/>
      <c r="B348" s="1114"/>
      <c r="C348" s="1115"/>
      <c r="D348" s="1116"/>
      <c r="E348" s="1115"/>
      <c r="F348" s="1115"/>
      <c r="G348" s="1115"/>
      <c r="H348" s="1116"/>
      <c r="I348" s="1115"/>
      <c r="J348" s="1113"/>
    </row>
    <row r="349">
      <c r="A349" s="1113"/>
      <c r="B349" s="1114"/>
      <c r="C349" s="1115"/>
      <c r="D349" s="1116"/>
      <c r="E349" s="1115"/>
      <c r="F349" s="1115"/>
      <c r="G349" s="1115"/>
      <c r="H349" s="1116"/>
      <c r="I349" s="1115"/>
      <c r="J349" s="1113"/>
    </row>
    <row r="350">
      <c r="A350" s="1113"/>
      <c r="B350" s="1114"/>
      <c r="C350" s="1115"/>
      <c r="D350" s="1116"/>
      <c r="E350" s="1115"/>
      <c r="F350" s="1115"/>
      <c r="G350" s="1115"/>
      <c r="H350" s="1116"/>
      <c r="I350" s="1115"/>
      <c r="J350" s="1113"/>
    </row>
    <row r="351">
      <c r="A351" s="1113"/>
      <c r="B351" s="1114"/>
      <c r="C351" s="1115"/>
      <c r="D351" s="1116"/>
      <c r="E351" s="1115"/>
      <c r="F351" s="1115"/>
      <c r="G351" s="1115"/>
      <c r="H351" s="1116"/>
      <c r="I351" s="1115"/>
      <c r="J351" s="1113"/>
    </row>
    <row r="352">
      <c r="A352" s="1113"/>
      <c r="B352" s="1114"/>
      <c r="C352" s="1115"/>
      <c r="D352" s="1116"/>
      <c r="E352" s="1115"/>
      <c r="F352" s="1115"/>
      <c r="G352" s="1115"/>
      <c r="H352" s="1116"/>
      <c r="I352" s="1115"/>
      <c r="J352" s="1113"/>
    </row>
    <row r="353">
      <c r="A353" s="1113"/>
      <c r="B353" s="1114"/>
      <c r="C353" s="1115"/>
      <c r="D353" s="1116"/>
      <c r="E353" s="1115"/>
      <c r="F353" s="1115"/>
      <c r="G353" s="1115"/>
      <c r="H353" s="1116"/>
      <c r="I353" s="1115"/>
      <c r="J353" s="1113"/>
    </row>
    <row r="354">
      <c r="A354" s="1113"/>
      <c r="B354" s="1114"/>
      <c r="C354" s="1115"/>
      <c r="D354" s="1116"/>
      <c r="E354" s="1115"/>
      <c r="F354" s="1115"/>
      <c r="G354" s="1115"/>
      <c r="H354" s="1116"/>
      <c r="I354" s="1115"/>
      <c r="J354" s="1113"/>
    </row>
    <row r="355">
      <c r="A355" s="1113"/>
      <c r="B355" s="1114"/>
      <c r="C355" s="1115"/>
      <c r="D355" s="1116"/>
      <c r="E355" s="1115"/>
      <c r="F355" s="1115"/>
      <c r="G355" s="1115"/>
      <c r="H355" s="1116"/>
      <c r="I355" s="1115"/>
      <c r="J355" s="1113"/>
    </row>
    <row r="356">
      <c r="A356" s="1113"/>
      <c r="B356" s="1114"/>
      <c r="C356" s="1115"/>
      <c r="D356" s="1116"/>
      <c r="E356" s="1115"/>
      <c r="F356" s="1115"/>
      <c r="G356" s="1115"/>
      <c r="H356" s="1116"/>
      <c r="I356" s="1115"/>
      <c r="J356" s="1113"/>
    </row>
    <row r="357">
      <c r="A357" s="1113"/>
      <c r="B357" s="1114"/>
      <c r="C357" s="1115"/>
      <c r="D357" s="1116"/>
      <c r="E357" s="1115"/>
      <c r="F357" s="1115"/>
      <c r="G357" s="1115"/>
      <c r="H357" s="1116"/>
      <c r="I357" s="1115"/>
      <c r="J357" s="1113"/>
    </row>
    <row r="358">
      <c r="A358" s="1113"/>
      <c r="B358" s="1114"/>
      <c r="C358" s="1115"/>
      <c r="D358" s="1116"/>
      <c r="E358" s="1115"/>
      <c r="F358" s="1115"/>
      <c r="G358" s="1115"/>
      <c r="H358" s="1116"/>
      <c r="I358" s="1115"/>
      <c r="J358" s="1113"/>
    </row>
    <row r="359">
      <c r="A359" s="1113"/>
      <c r="B359" s="1114"/>
      <c r="C359" s="1115"/>
      <c r="D359" s="1116"/>
      <c r="E359" s="1115"/>
      <c r="F359" s="1115"/>
      <c r="G359" s="1115"/>
      <c r="H359" s="1116"/>
      <c r="I359" s="1115"/>
      <c r="J359" s="1113"/>
    </row>
    <row r="360">
      <c r="A360" s="1113"/>
      <c r="B360" s="1114"/>
      <c r="C360" s="1115"/>
      <c r="D360" s="1116"/>
      <c r="E360" s="1115"/>
      <c r="F360" s="1115"/>
      <c r="G360" s="1115"/>
      <c r="H360" s="1116"/>
      <c r="I360" s="1115"/>
      <c r="J360" s="1113"/>
    </row>
    <row r="361">
      <c r="A361" s="1113"/>
      <c r="B361" s="1114"/>
      <c r="C361" s="1115"/>
      <c r="D361" s="1116"/>
      <c r="E361" s="1115"/>
      <c r="F361" s="1115"/>
      <c r="G361" s="1115"/>
      <c r="H361" s="1116"/>
      <c r="I361" s="1115"/>
      <c r="J361" s="1113"/>
    </row>
    <row r="362">
      <c r="A362" s="1113"/>
      <c r="B362" s="1114"/>
      <c r="C362" s="1115"/>
      <c r="D362" s="1116"/>
      <c r="E362" s="1115"/>
      <c r="F362" s="1115"/>
      <c r="G362" s="1115"/>
      <c r="H362" s="1116"/>
      <c r="I362" s="1115"/>
      <c r="J362" s="1113"/>
    </row>
    <row r="363">
      <c r="A363" s="1113"/>
      <c r="B363" s="1114"/>
      <c r="C363" s="1115"/>
      <c r="D363" s="1116"/>
      <c r="E363" s="1115"/>
      <c r="F363" s="1115"/>
      <c r="G363" s="1115"/>
      <c r="H363" s="1116"/>
      <c r="I363" s="1115"/>
      <c r="J363" s="1113"/>
    </row>
    <row r="364">
      <c r="A364" s="1113"/>
      <c r="B364" s="1114"/>
      <c r="C364" s="1115"/>
      <c r="D364" s="1116"/>
      <c r="E364" s="1115"/>
      <c r="F364" s="1115"/>
      <c r="G364" s="1115"/>
      <c r="H364" s="1116"/>
      <c r="I364" s="1115"/>
      <c r="J364" s="1113"/>
    </row>
    <row r="365">
      <c r="A365" s="1113"/>
      <c r="B365" s="1114"/>
      <c r="C365" s="1115"/>
      <c r="D365" s="1116"/>
      <c r="E365" s="1115"/>
      <c r="F365" s="1115"/>
      <c r="G365" s="1115"/>
      <c r="H365" s="1116"/>
      <c r="I365" s="1115"/>
      <c r="J365" s="1113"/>
    </row>
    <row r="366">
      <c r="A366" s="1113"/>
      <c r="B366" s="1114"/>
      <c r="C366" s="1115"/>
      <c r="D366" s="1116"/>
      <c r="E366" s="1115"/>
      <c r="F366" s="1115"/>
      <c r="G366" s="1115"/>
      <c r="H366" s="1116"/>
      <c r="I366" s="1115"/>
      <c r="J366" s="1113"/>
    </row>
    <row r="367">
      <c r="A367" s="1113"/>
      <c r="B367" s="1114"/>
      <c r="C367" s="1115"/>
      <c r="D367" s="1116"/>
      <c r="E367" s="1115"/>
      <c r="F367" s="1115"/>
      <c r="G367" s="1115"/>
      <c r="H367" s="1116"/>
      <c r="I367" s="1115"/>
      <c r="J367" s="1113"/>
    </row>
    <row r="368">
      <c r="A368" s="1113"/>
      <c r="B368" s="1114"/>
      <c r="C368" s="1115"/>
      <c r="D368" s="1116"/>
      <c r="E368" s="1115"/>
      <c r="F368" s="1115"/>
      <c r="G368" s="1115"/>
      <c r="H368" s="1116"/>
      <c r="I368" s="1115"/>
      <c r="J368" s="1113"/>
    </row>
    <row r="369">
      <c r="A369" s="1113"/>
      <c r="B369" s="1114"/>
      <c r="C369" s="1115"/>
      <c r="D369" s="1116"/>
      <c r="E369" s="1115"/>
      <c r="F369" s="1115"/>
      <c r="G369" s="1115"/>
      <c r="H369" s="1116"/>
      <c r="I369" s="1115"/>
      <c r="J369" s="1113"/>
    </row>
    <row r="370">
      <c r="A370" s="1113"/>
      <c r="B370" s="1114"/>
      <c r="C370" s="1115"/>
      <c r="D370" s="1116"/>
      <c r="E370" s="1115"/>
      <c r="F370" s="1115"/>
      <c r="G370" s="1115"/>
      <c r="H370" s="1116"/>
      <c r="I370" s="1115"/>
      <c r="J370" s="1113"/>
    </row>
    <row r="371">
      <c r="A371" s="1113"/>
      <c r="B371" s="1114"/>
      <c r="C371" s="1115"/>
      <c r="D371" s="1116"/>
      <c r="E371" s="1115"/>
      <c r="F371" s="1115"/>
      <c r="G371" s="1115"/>
      <c r="H371" s="1116"/>
      <c r="I371" s="1115"/>
      <c r="J371" s="1113"/>
    </row>
    <row r="372">
      <c r="A372" s="1113"/>
      <c r="B372" s="1114"/>
      <c r="C372" s="1115"/>
      <c r="D372" s="1116"/>
      <c r="E372" s="1115"/>
      <c r="F372" s="1115"/>
      <c r="G372" s="1115"/>
      <c r="H372" s="1116"/>
      <c r="I372" s="1115"/>
      <c r="J372" s="1113"/>
    </row>
    <row r="373">
      <c r="A373" s="1113"/>
      <c r="B373" s="1114"/>
      <c r="C373" s="1115"/>
      <c r="D373" s="1116"/>
      <c r="E373" s="1115"/>
      <c r="F373" s="1115"/>
      <c r="G373" s="1115"/>
      <c r="H373" s="1116"/>
      <c r="I373" s="1115"/>
      <c r="J373" s="1113"/>
    </row>
    <row r="374">
      <c r="A374" s="1113"/>
      <c r="B374" s="1114"/>
      <c r="C374" s="1115"/>
      <c r="D374" s="1116"/>
      <c r="E374" s="1115"/>
      <c r="F374" s="1115"/>
      <c r="G374" s="1115"/>
      <c r="H374" s="1116"/>
      <c r="I374" s="1115"/>
      <c r="J374" s="1113"/>
    </row>
    <row r="375">
      <c r="A375" s="1113"/>
      <c r="B375" s="1114"/>
      <c r="C375" s="1115"/>
      <c r="D375" s="1116"/>
      <c r="E375" s="1115"/>
      <c r="F375" s="1115"/>
      <c r="G375" s="1115"/>
      <c r="H375" s="1116"/>
      <c r="I375" s="1115"/>
      <c r="J375" s="1113"/>
    </row>
    <row r="376">
      <c r="A376" s="1113"/>
      <c r="B376" s="1114"/>
      <c r="C376" s="1115"/>
      <c r="D376" s="1116"/>
      <c r="E376" s="1115"/>
      <c r="F376" s="1115"/>
      <c r="G376" s="1115"/>
      <c r="H376" s="1116"/>
      <c r="I376" s="1115"/>
      <c r="J376" s="1113"/>
    </row>
    <row r="377">
      <c r="A377" s="1113"/>
      <c r="B377" s="1114"/>
      <c r="C377" s="1115"/>
      <c r="D377" s="1116"/>
      <c r="E377" s="1115"/>
      <c r="F377" s="1115"/>
      <c r="G377" s="1115"/>
      <c r="H377" s="1116"/>
      <c r="I377" s="1115"/>
      <c r="J377" s="1113"/>
    </row>
    <row r="378">
      <c r="A378" s="1113"/>
      <c r="B378" s="1114"/>
      <c r="C378" s="1115"/>
      <c r="D378" s="1116"/>
      <c r="E378" s="1115"/>
      <c r="F378" s="1115"/>
      <c r="G378" s="1115"/>
      <c r="H378" s="1116"/>
      <c r="I378" s="1115"/>
      <c r="J378" s="1113"/>
    </row>
    <row r="379">
      <c r="A379" s="1113"/>
      <c r="B379" s="1114"/>
      <c r="C379" s="1115"/>
      <c r="D379" s="1116"/>
      <c r="E379" s="1115"/>
      <c r="F379" s="1115"/>
      <c r="G379" s="1115"/>
      <c r="H379" s="1116"/>
      <c r="I379" s="1115"/>
      <c r="J379" s="1113"/>
    </row>
    <row r="380">
      <c r="A380" s="1113"/>
      <c r="B380" s="1114"/>
      <c r="C380" s="1115"/>
      <c r="D380" s="1116"/>
      <c r="E380" s="1115"/>
      <c r="F380" s="1115"/>
      <c r="G380" s="1115"/>
      <c r="H380" s="1116"/>
      <c r="I380" s="1115"/>
      <c r="J380" s="1113"/>
    </row>
    <row r="381">
      <c r="A381" s="1113"/>
      <c r="B381" s="1114"/>
      <c r="C381" s="1115"/>
      <c r="D381" s="1116"/>
      <c r="E381" s="1115"/>
      <c r="F381" s="1115"/>
      <c r="G381" s="1115"/>
      <c r="H381" s="1116"/>
      <c r="I381" s="1115"/>
      <c r="J381" s="1113"/>
    </row>
    <row r="382">
      <c r="A382" s="1113"/>
      <c r="B382" s="1114"/>
      <c r="C382" s="1115"/>
      <c r="D382" s="1116"/>
      <c r="E382" s="1115"/>
      <c r="F382" s="1115"/>
      <c r="G382" s="1115"/>
      <c r="H382" s="1116"/>
      <c r="I382" s="1115"/>
      <c r="J382" s="1113"/>
    </row>
    <row r="383">
      <c r="A383" s="1113"/>
      <c r="B383" s="1114"/>
      <c r="C383" s="1115"/>
      <c r="D383" s="1116"/>
      <c r="E383" s="1115"/>
      <c r="F383" s="1115"/>
      <c r="G383" s="1115"/>
      <c r="H383" s="1116"/>
      <c r="I383" s="1115"/>
      <c r="J383" s="1113"/>
    </row>
    <row r="384">
      <c r="A384" s="1113"/>
      <c r="B384" s="1114"/>
      <c r="C384" s="1115"/>
      <c r="D384" s="1116"/>
      <c r="E384" s="1115"/>
      <c r="F384" s="1115"/>
      <c r="G384" s="1115"/>
      <c r="H384" s="1116"/>
      <c r="I384" s="1115"/>
      <c r="J384" s="1113"/>
    </row>
    <row r="385">
      <c r="A385" s="1113"/>
      <c r="B385" s="1114"/>
      <c r="C385" s="1115"/>
      <c r="D385" s="1116"/>
      <c r="E385" s="1115"/>
      <c r="F385" s="1115"/>
      <c r="G385" s="1115"/>
      <c r="H385" s="1116"/>
      <c r="I385" s="1115"/>
      <c r="J385" s="1113"/>
    </row>
    <row r="386">
      <c r="A386" s="1113"/>
      <c r="B386" s="1114"/>
      <c r="C386" s="1115"/>
      <c r="D386" s="1116"/>
      <c r="E386" s="1115"/>
      <c r="F386" s="1115"/>
      <c r="G386" s="1115"/>
      <c r="H386" s="1116"/>
      <c r="I386" s="1115"/>
      <c r="J386" s="1113"/>
    </row>
    <row r="387">
      <c r="A387" s="1113"/>
      <c r="B387" s="1114"/>
      <c r="C387" s="1115"/>
      <c r="D387" s="1116"/>
      <c r="E387" s="1115"/>
      <c r="F387" s="1115"/>
      <c r="G387" s="1115"/>
      <c r="H387" s="1116"/>
      <c r="I387" s="1115"/>
      <c r="J387" s="1113"/>
    </row>
    <row r="388">
      <c r="A388" s="1113"/>
      <c r="B388" s="1114"/>
      <c r="C388" s="1115"/>
      <c r="D388" s="1116"/>
      <c r="E388" s="1115"/>
      <c r="F388" s="1115"/>
      <c r="G388" s="1115"/>
      <c r="H388" s="1116"/>
      <c r="I388" s="1115"/>
      <c r="J388" s="1113"/>
    </row>
    <row r="389">
      <c r="A389" s="1113"/>
      <c r="B389" s="1114"/>
      <c r="C389" s="1115"/>
      <c r="D389" s="1116"/>
      <c r="E389" s="1115"/>
      <c r="F389" s="1115"/>
      <c r="G389" s="1115"/>
      <c r="H389" s="1116"/>
      <c r="I389" s="1115"/>
      <c r="J389" s="1113"/>
    </row>
    <row r="390">
      <c r="A390" s="1113"/>
      <c r="B390" s="1114"/>
      <c r="C390" s="1115"/>
      <c r="D390" s="1116"/>
      <c r="E390" s="1115"/>
      <c r="F390" s="1115"/>
      <c r="G390" s="1115"/>
      <c r="H390" s="1116"/>
      <c r="I390" s="1115"/>
      <c r="J390" s="1113"/>
    </row>
    <row r="391">
      <c r="A391" s="1113"/>
      <c r="B391" s="1114"/>
      <c r="C391" s="1115"/>
      <c r="D391" s="1116"/>
      <c r="E391" s="1115"/>
      <c r="F391" s="1115"/>
      <c r="G391" s="1115"/>
      <c r="H391" s="1116"/>
      <c r="I391" s="1115"/>
      <c r="J391" s="1113"/>
    </row>
    <row r="392">
      <c r="A392" s="1113"/>
      <c r="B392" s="1114"/>
      <c r="C392" s="1115"/>
      <c r="D392" s="1116"/>
      <c r="E392" s="1115"/>
      <c r="F392" s="1115"/>
      <c r="G392" s="1115"/>
      <c r="H392" s="1116"/>
      <c r="I392" s="1115"/>
      <c r="J392" s="1113"/>
    </row>
    <row r="393">
      <c r="A393" s="1113"/>
      <c r="B393" s="1114"/>
      <c r="C393" s="1115"/>
      <c r="D393" s="1116"/>
      <c r="E393" s="1115"/>
      <c r="F393" s="1115"/>
      <c r="G393" s="1115"/>
      <c r="H393" s="1116"/>
      <c r="I393" s="1115"/>
      <c r="J393" s="1113"/>
    </row>
    <row r="394">
      <c r="A394" s="1113"/>
      <c r="B394" s="1114"/>
      <c r="C394" s="1115"/>
      <c r="D394" s="1116"/>
      <c r="E394" s="1115"/>
      <c r="F394" s="1115"/>
      <c r="G394" s="1115"/>
      <c r="H394" s="1116"/>
      <c r="I394" s="1115"/>
      <c r="J394" s="1113"/>
    </row>
    <row r="395">
      <c r="A395" s="1113"/>
      <c r="B395" s="1114"/>
      <c r="C395" s="1115"/>
      <c r="D395" s="1116"/>
      <c r="E395" s="1115"/>
      <c r="F395" s="1115"/>
      <c r="G395" s="1115"/>
      <c r="H395" s="1116"/>
      <c r="I395" s="1115"/>
      <c r="J395" s="1113"/>
    </row>
    <row r="396">
      <c r="A396" s="1113"/>
      <c r="B396" s="1114"/>
      <c r="C396" s="1115"/>
      <c r="D396" s="1116"/>
      <c r="E396" s="1115"/>
      <c r="F396" s="1115"/>
      <c r="G396" s="1115"/>
      <c r="H396" s="1116"/>
      <c r="I396" s="1115"/>
      <c r="J396" s="1113"/>
    </row>
    <row r="397">
      <c r="A397" s="1113"/>
      <c r="B397" s="1114"/>
      <c r="C397" s="1115"/>
      <c r="D397" s="1116"/>
      <c r="E397" s="1115"/>
      <c r="F397" s="1115"/>
      <c r="G397" s="1115"/>
      <c r="H397" s="1116"/>
      <c r="I397" s="1115"/>
      <c r="J397" s="1113"/>
    </row>
    <row r="398">
      <c r="A398" s="1113"/>
      <c r="B398" s="1114"/>
      <c r="C398" s="1115"/>
      <c r="D398" s="1116"/>
      <c r="E398" s="1115"/>
      <c r="F398" s="1115"/>
      <c r="G398" s="1115"/>
      <c r="H398" s="1116"/>
      <c r="I398" s="1115"/>
      <c r="J398" s="1113"/>
    </row>
    <row r="399">
      <c r="A399" s="1113"/>
      <c r="B399" s="1114"/>
      <c r="C399" s="1115"/>
      <c r="D399" s="1116"/>
      <c r="E399" s="1115"/>
      <c r="F399" s="1115"/>
      <c r="G399" s="1115"/>
      <c r="H399" s="1116"/>
      <c r="I399" s="1115"/>
      <c r="J399" s="1113"/>
    </row>
    <row r="400">
      <c r="A400" s="1113"/>
      <c r="B400" s="1114"/>
      <c r="C400" s="1115"/>
      <c r="D400" s="1116"/>
      <c r="E400" s="1115"/>
      <c r="F400" s="1115"/>
      <c r="G400" s="1115"/>
      <c r="H400" s="1116"/>
      <c r="I400" s="1115"/>
      <c r="J400" s="1113"/>
    </row>
    <row r="401">
      <c r="A401" s="1113"/>
      <c r="B401" s="1114"/>
      <c r="C401" s="1115"/>
      <c r="D401" s="1116"/>
      <c r="E401" s="1115"/>
      <c r="F401" s="1115"/>
      <c r="G401" s="1115"/>
      <c r="H401" s="1116"/>
      <c r="I401" s="1115"/>
      <c r="J401" s="1113"/>
    </row>
    <row r="402">
      <c r="A402" s="1113"/>
      <c r="B402" s="1114"/>
      <c r="C402" s="1115"/>
      <c r="D402" s="1116"/>
      <c r="E402" s="1115"/>
      <c r="F402" s="1115"/>
      <c r="G402" s="1115"/>
      <c r="H402" s="1116"/>
      <c r="I402" s="1115"/>
      <c r="J402" s="1113"/>
    </row>
    <row r="403">
      <c r="A403" s="1113"/>
      <c r="B403" s="1114"/>
      <c r="C403" s="1115"/>
      <c r="D403" s="1116"/>
      <c r="E403" s="1115"/>
      <c r="F403" s="1115"/>
      <c r="G403" s="1115"/>
      <c r="H403" s="1116"/>
      <c r="I403" s="1115"/>
      <c r="J403" s="1113"/>
    </row>
    <row r="404">
      <c r="A404" s="1113"/>
      <c r="B404" s="1114"/>
      <c r="C404" s="1115"/>
      <c r="D404" s="1116"/>
      <c r="E404" s="1115"/>
      <c r="F404" s="1115"/>
      <c r="G404" s="1115"/>
      <c r="H404" s="1116"/>
      <c r="I404" s="1115"/>
      <c r="J404" s="1113"/>
    </row>
    <row r="405">
      <c r="A405" s="1113"/>
      <c r="B405" s="1114"/>
      <c r="C405" s="1115"/>
      <c r="D405" s="1116"/>
      <c r="E405" s="1115"/>
      <c r="F405" s="1115"/>
      <c r="G405" s="1115"/>
      <c r="H405" s="1116"/>
      <c r="I405" s="1115"/>
      <c r="J405" s="1113"/>
    </row>
    <row r="406">
      <c r="A406" s="1113"/>
      <c r="B406" s="1114"/>
      <c r="C406" s="1115"/>
      <c r="D406" s="1116"/>
      <c r="E406" s="1115"/>
      <c r="F406" s="1115"/>
      <c r="G406" s="1115"/>
      <c r="H406" s="1116"/>
      <c r="I406" s="1115"/>
      <c r="J406" s="1113"/>
    </row>
    <row r="407">
      <c r="A407" s="1113"/>
      <c r="B407" s="1114"/>
      <c r="C407" s="1115"/>
      <c r="D407" s="1116"/>
      <c r="E407" s="1115"/>
      <c r="F407" s="1115"/>
      <c r="G407" s="1115"/>
      <c r="H407" s="1116"/>
      <c r="I407" s="1115"/>
      <c r="J407" s="1113"/>
    </row>
    <row r="408">
      <c r="A408" s="1113"/>
      <c r="B408" s="1114"/>
      <c r="C408" s="1115"/>
      <c r="D408" s="1116"/>
      <c r="E408" s="1115"/>
      <c r="F408" s="1115"/>
      <c r="G408" s="1115"/>
      <c r="H408" s="1116"/>
      <c r="I408" s="1115"/>
      <c r="J408" s="1113"/>
    </row>
    <row r="409">
      <c r="A409" s="1113"/>
      <c r="B409" s="1114"/>
      <c r="C409" s="1115"/>
      <c r="D409" s="1116"/>
      <c r="E409" s="1115"/>
      <c r="F409" s="1115"/>
      <c r="G409" s="1115"/>
      <c r="H409" s="1116"/>
      <c r="I409" s="1115"/>
      <c r="J409" s="1113"/>
    </row>
    <row r="410">
      <c r="A410" s="1113"/>
      <c r="B410" s="1114"/>
      <c r="C410" s="1115"/>
      <c r="D410" s="1116"/>
      <c r="E410" s="1115"/>
      <c r="F410" s="1115"/>
      <c r="G410" s="1115"/>
      <c r="H410" s="1116"/>
      <c r="I410" s="1115"/>
      <c r="J410" s="1113"/>
    </row>
    <row r="411">
      <c r="A411" s="1113"/>
      <c r="B411" s="1114"/>
      <c r="C411" s="1115"/>
      <c r="D411" s="1116"/>
      <c r="E411" s="1115"/>
      <c r="F411" s="1115"/>
      <c r="G411" s="1115"/>
      <c r="H411" s="1116"/>
      <c r="I411" s="1115"/>
      <c r="J411" s="1113"/>
    </row>
    <row r="412">
      <c r="A412" s="1113"/>
      <c r="B412" s="1114"/>
      <c r="C412" s="1115"/>
      <c r="D412" s="1116"/>
      <c r="E412" s="1115"/>
      <c r="F412" s="1115"/>
      <c r="G412" s="1115"/>
      <c r="H412" s="1116"/>
      <c r="I412" s="1115"/>
      <c r="J412" s="1113"/>
    </row>
    <row r="413">
      <c r="A413" s="1113"/>
      <c r="B413" s="1114"/>
      <c r="C413" s="1115"/>
      <c r="D413" s="1116"/>
      <c r="E413" s="1115"/>
      <c r="F413" s="1115"/>
      <c r="G413" s="1115"/>
      <c r="H413" s="1116"/>
      <c r="I413" s="1115"/>
      <c r="J413" s="1113"/>
    </row>
    <row r="414">
      <c r="A414" s="1113"/>
      <c r="B414" s="1114"/>
      <c r="C414" s="1115"/>
      <c r="D414" s="1116"/>
      <c r="E414" s="1115"/>
      <c r="F414" s="1115"/>
      <c r="G414" s="1115"/>
      <c r="H414" s="1116"/>
      <c r="I414" s="1115"/>
      <c r="J414" s="1113"/>
    </row>
    <row r="415">
      <c r="A415" s="1113"/>
      <c r="B415" s="1114"/>
      <c r="C415" s="1115"/>
      <c r="D415" s="1116"/>
      <c r="E415" s="1115"/>
      <c r="F415" s="1115"/>
      <c r="G415" s="1115"/>
      <c r="H415" s="1116"/>
      <c r="I415" s="1115"/>
      <c r="J415" s="1113"/>
    </row>
    <row r="416">
      <c r="A416" s="1113"/>
      <c r="B416" s="1114"/>
      <c r="C416" s="1115"/>
      <c r="D416" s="1116"/>
      <c r="E416" s="1115"/>
      <c r="F416" s="1115"/>
      <c r="G416" s="1115"/>
      <c r="H416" s="1116"/>
      <c r="I416" s="1115"/>
      <c r="J416" s="1113"/>
    </row>
    <row r="417">
      <c r="A417" s="1113"/>
      <c r="B417" s="1114"/>
      <c r="C417" s="1115"/>
      <c r="D417" s="1116"/>
      <c r="E417" s="1115"/>
      <c r="F417" s="1115"/>
      <c r="G417" s="1115"/>
      <c r="H417" s="1116"/>
      <c r="I417" s="1115"/>
      <c r="J417" s="1113"/>
    </row>
    <row r="418">
      <c r="A418" s="1113"/>
      <c r="B418" s="1114"/>
      <c r="C418" s="1115"/>
      <c r="D418" s="1116"/>
      <c r="E418" s="1115"/>
      <c r="F418" s="1115"/>
      <c r="G418" s="1115"/>
      <c r="H418" s="1116"/>
      <c r="I418" s="1115"/>
      <c r="J418" s="1113"/>
    </row>
    <row r="419">
      <c r="A419" s="1113"/>
      <c r="B419" s="1114"/>
      <c r="C419" s="1115"/>
      <c r="D419" s="1116"/>
      <c r="E419" s="1115"/>
      <c r="F419" s="1115"/>
      <c r="G419" s="1115"/>
      <c r="H419" s="1116"/>
      <c r="I419" s="1115"/>
      <c r="J419" s="1113"/>
    </row>
    <row r="420">
      <c r="A420" s="1113"/>
      <c r="B420" s="1114"/>
      <c r="C420" s="1115"/>
      <c r="D420" s="1116"/>
      <c r="E420" s="1115"/>
      <c r="F420" s="1115"/>
      <c r="G420" s="1115"/>
      <c r="H420" s="1116"/>
      <c r="I420" s="1115"/>
      <c r="J420" s="1113"/>
    </row>
    <row r="421">
      <c r="A421" s="1113"/>
      <c r="B421" s="1114"/>
      <c r="C421" s="1115"/>
      <c r="D421" s="1116"/>
      <c r="E421" s="1115"/>
      <c r="F421" s="1115"/>
      <c r="G421" s="1115"/>
      <c r="H421" s="1116"/>
      <c r="I421" s="1115"/>
      <c r="J421" s="1113"/>
    </row>
    <row r="422">
      <c r="A422" s="1113"/>
      <c r="B422" s="1114"/>
      <c r="C422" s="1115"/>
      <c r="D422" s="1116"/>
      <c r="E422" s="1115"/>
      <c r="F422" s="1115"/>
      <c r="G422" s="1115"/>
      <c r="H422" s="1116"/>
      <c r="I422" s="1115"/>
      <c r="J422" s="1113"/>
    </row>
    <row r="423">
      <c r="A423" s="1113"/>
      <c r="B423" s="1114"/>
      <c r="C423" s="1115"/>
      <c r="D423" s="1116"/>
      <c r="E423" s="1115"/>
      <c r="F423" s="1115"/>
      <c r="G423" s="1115"/>
      <c r="H423" s="1116"/>
      <c r="I423" s="1115"/>
      <c r="J423" s="1113"/>
    </row>
    <row r="424">
      <c r="A424" s="1113"/>
      <c r="B424" s="1114"/>
      <c r="C424" s="1115"/>
      <c r="D424" s="1116"/>
      <c r="E424" s="1115"/>
      <c r="F424" s="1115"/>
      <c r="G424" s="1115"/>
      <c r="H424" s="1116"/>
      <c r="I424" s="1115"/>
      <c r="J424" s="1113"/>
    </row>
    <row r="425">
      <c r="A425" s="1113"/>
      <c r="B425" s="1114"/>
      <c r="C425" s="1115"/>
      <c r="D425" s="1116"/>
      <c r="E425" s="1115"/>
      <c r="F425" s="1115"/>
      <c r="G425" s="1115"/>
      <c r="H425" s="1116"/>
      <c r="I425" s="1115"/>
      <c r="J425" s="1113"/>
    </row>
    <row r="426">
      <c r="A426" s="1113"/>
      <c r="B426" s="1114"/>
      <c r="C426" s="1115"/>
      <c r="D426" s="1116"/>
      <c r="E426" s="1115"/>
      <c r="F426" s="1115"/>
      <c r="G426" s="1115"/>
      <c r="H426" s="1116"/>
      <c r="I426" s="1115"/>
      <c r="J426" s="1113"/>
    </row>
    <row r="427">
      <c r="A427" s="1113"/>
      <c r="B427" s="1114"/>
      <c r="C427" s="1115"/>
      <c r="D427" s="1116"/>
      <c r="E427" s="1115"/>
      <c r="F427" s="1115"/>
      <c r="G427" s="1115"/>
      <c r="H427" s="1116"/>
      <c r="I427" s="1115"/>
      <c r="J427" s="1113"/>
    </row>
    <row r="428">
      <c r="A428" s="1113"/>
      <c r="B428" s="1114"/>
      <c r="C428" s="1115"/>
      <c r="D428" s="1116"/>
      <c r="E428" s="1115"/>
      <c r="F428" s="1115"/>
      <c r="G428" s="1115"/>
      <c r="H428" s="1116"/>
      <c r="I428" s="1115"/>
      <c r="J428" s="1113"/>
    </row>
    <row r="429">
      <c r="A429" s="1113"/>
      <c r="B429" s="1114"/>
      <c r="C429" s="1115"/>
      <c r="D429" s="1116"/>
      <c r="E429" s="1115"/>
      <c r="F429" s="1115"/>
      <c r="G429" s="1115"/>
      <c r="H429" s="1116"/>
      <c r="I429" s="1115"/>
      <c r="J429" s="1113"/>
    </row>
    <row r="430">
      <c r="A430" s="1113"/>
      <c r="B430" s="1114"/>
      <c r="C430" s="1115"/>
      <c r="D430" s="1116"/>
      <c r="E430" s="1115"/>
      <c r="F430" s="1115"/>
      <c r="G430" s="1115"/>
      <c r="H430" s="1116"/>
      <c r="I430" s="1115"/>
      <c r="J430" s="1113"/>
    </row>
    <row r="431">
      <c r="A431" s="1113"/>
      <c r="B431" s="1114"/>
      <c r="C431" s="1115"/>
      <c r="D431" s="1116"/>
      <c r="E431" s="1115"/>
      <c r="F431" s="1115"/>
      <c r="G431" s="1115"/>
      <c r="H431" s="1116"/>
      <c r="I431" s="1115"/>
      <c r="J431" s="1113"/>
    </row>
    <row r="432">
      <c r="A432" s="1113"/>
      <c r="B432" s="1114"/>
      <c r="C432" s="1115"/>
      <c r="D432" s="1116"/>
      <c r="E432" s="1115"/>
      <c r="F432" s="1115"/>
      <c r="G432" s="1115"/>
      <c r="H432" s="1116"/>
      <c r="I432" s="1115"/>
      <c r="J432" s="1113"/>
    </row>
    <row r="433">
      <c r="A433" s="1113"/>
      <c r="B433" s="1114"/>
      <c r="C433" s="1115"/>
      <c r="D433" s="1116"/>
      <c r="E433" s="1115"/>
      <c r="F433" s="1115"/>
      <c r="G433" s="1115"/>
      <c r="H433" s="1116"/>
      <c r="I433" s="1115"/>
      <c r="J433" s="1113"/>
    </row>
    <row r="434">
      <c r="A434" s="1113"/>
      <c r="B434" s="1114"/>
      <c r="C434" s="1115"/>
      <c r="D434" s="1116"/>
      <c r="E434" s="1115"/>
      <c r="F434" s="1115"/>
      <c r="G434" s="1115"/>
      <c r="H434" s="1116"/>
      <c r="I434" s="1115"/>
      <c r="J434" s="1113"/>
    </row>
    <row r="435">
      <c r="A435" s="1113"/>
      <c r="B435" s="1114"/>
      <c r="C435" s="1115"/>
      <c r="D435" s="1116"/>
      <c r="E435" s="1115"/>
      <c r="F435" s="1115"/>
      <c r="G435" s="1115"/>
      <c r="H435" s="1116"/>
      <c r="I435" s="1115"/>
      <c r="J435" s="1113"/>
    </row>
    <row r="436">
      <c r="A436" s="1113"/>
      <c r="B436" s="1114"/>
      <c r="C436" s="1115"/>
      <c r="D436" s="1116"/>
      <c r="E436" s="1115"/>
      <c r="F436" s="1115"/>
      <c r="G436" s="1115"/>
      <c r="H436" s="1116"/>
      <c r="I436" s="1115"/>
      <c r="J436" s="1113"/>
    </row>
    <row r="437">
      <c r="A437" s="1113"/>
      <c r="B437" s="1114"/>
      <c r="C437" s="1115"/>
      <c r="D437" s="1116"/>
      <c r="E437" s="1115"/>
      <c r="F437" s="1115"/>
      <c r="G437" s="1115"/>
      <c r="H437" s="1116"/>
      <c r="I437" s="1115"/>
      <c r="J437" s="1113"/>
    </row>
    <row r="438">
      <c r="A438" s="1113"/>
      <c r="B438" s="1114"/>
      <c r="C438" s="1115"/>
      <c r="D438" s="1116"/>
      <c r="E438" s="1115"/>
      <c r="F438" s="1115"/>
      <c r="G438" s="1115"/>
      <c r="H438" s="1116"/>
      <c r="I438" s="1115"/>
      <c r="J438" s="1113"/>
    </row>
    <row r="439">
      <c r="A439" s="1113"/>
      <c r="B439" s="1114"/>
      <c r="C439" s="1115"/>
      <c r="D439" s="1116"/>
      <c r="E439" s="1115"/>
      <c r="F439" s="1115"/>
      <c r="G439" s="1115"/>
      <c r="H439" s="1116"/>
      <c r="I439" s="1115"/>
      <c r="J439" s="1113"/>
    </row>
    <row r="440">
      <c r="A440" s="1113"/>
      <c r="B440" s="1114"/>
      <c r="C440" s="1115"/>
      <c r="D440" s="1116"/>
      <c r="E440" s="1115"/>
      <c r="F440" s="1115"/>
      <c r="G440" s="1115"/>
      <c r="H440" s="1116"/>
      <c r="I440" s="1115"/>
      <c r="J440" s="1113"/>
    </row>
    <row r="441">
      <c r="A441" s="1113"/>
      <c r="B441" s="1114"/>
      <c r="C441" s="1115"/>
      <c r="D441" s="1116"/>
      <c r="E441" s="1115"/>
      <c r="F441" s="1115"/>
      <c r="G441" s="1115"/>
      <c r="H441" s="1116"/>
      <c r="I441" s="1115"/>
      <c r="J441" s="1113"/>
    </row>
    <row r="442">
      <c r="A442" s="1113"/>
      <c r="B442" s="1114"/>
      <c r="C442" s="1115"/>
      <c r="D442" s="1116"/>
      <c r="E442" s="1115"/>
      <c r="F442" s="1115"/>
      <c r="G442" s="1115"/>
      <c r="H442" s="1116"/>
      <c r="I442" s="1115"/>
      <c r="J442" s="1113"/>
    </row>
    <row r="443">
      <c r="A443" s="1113"/>
      <c r="B443" s="1114"/>
      <c r="C443" s="1115"/>
      <c r="D443" s="1116"/>
      <c r="E443" s="1115"/>
      <c r="F443" s="1115"/>
      <c r="G443" s="1115"/>
      <c r="H443" s="1116"/>
      <c r="I443" s="1115"/>
      <c r="J443" s="1113"/>
    </row>
    <row r="444">
      <c r="A444" s="1113"/>
      <c r="B444" s="1114"/>
      <c r="C444" s="1115"/>
      <c r="D444" s="1116"/>
      <c r="E444" s="1115"/>
      <c r="F444" s="1115"/>
      <c r="G444" s="1115"/>
      <c r="H444" s="1116"/>
      <c r="I444" s="1115"/>
      <c r="J444" s="1113"/>
    </row>
    <row r="445">
      <c r="A445" s="1113"/>
      <c r="B445" s="1114"/>
      <c r="C445" s="1115"/>
      <c r="D445" s="1116"/>
      <c r="E445" s="1115"/>
      <c r="F445" s="1115"/>
      <c r="G445" s="1115"/>
      <c r="H445" s="1116"/>
      <c r="I445" s="1115"/>
      <c r="J445" s="1113"/>
    </row>
    <row r="446">
      <c r="A446" s="1113"/>
      <c r="B446" s="1114"/>
      <c r="C446" s="1115"/>
      <c r="D446" s="1116"/>
      <c r="E446" s="1115"/>
      <c r="F446" s="1115"/>
      <c r="G446" s="1115"/>
      <c r="H446" s="1116"/>
      <c r="I446" s="1115"/>
      <c r="J446" s="1113"/>
    </row>
    <row r="447">
      <c r="A447" s="1113"/>
      <c r="B447" s="1114"/>
      <c r="C447" s="1115"/>
      <c r="D447" s="1116"/>
      <c r="E447" s="1115"/>
      <c r="F447" s="1115"/>
      <c r="G447" s="1115"/>
      <c r="H447" s="1116"/>
      <c r="I447" s="1115"/>
      <c r="J447" s="1113"/>
    </row>
    <row r="448">
      <c r="A448" s="1113"/>
      <c r="B448" s="1114"/>
      <c r="C448" s="1115"/>
      <c r="D448" s="1116"/>
      <c r="E448" s="1115"/>
      <c r="F448" s="1115"/>
      <c r="G448" s="1115"/>
      <c r="H448" s="1116"/>
      <c r="I448" s="1115"/>
      <c r="J448" s="1113"/>
    </row>
    <row r="449">
      <c r="A449" s="1113"/>
      <c r="B449" s="1114"/>
      <c r="C449" s="1115"/>
      <c r="D449" s="1116"/>
      <c r="E449" s="1115"/>
      <c r="F449" s="1115"/>
      <c r="G449" s="1115"/>
      <c r="H449" s="1116"/>
      <c r="I449" s="1115"/>
      <c r="J449" s="1113"/>
    </row>
    <row r="450">
      <c r="A450" s="1113"/>
      <c r="B450" s="1114"/>
      <c r="C450" s="1115"/>
      <c r="D450" s="1116"/>
      <c r="E450" s="1115"/>
      <c r="F450" s="1115"/>
      <c r="G450" s="1115"/>
      <c r="H450" s="1116"/>
      <c r="I450" s="1115"/>
      <c r="J450" s="1113"/>
    </row>
    <row r="451">
      <c r="A451" s="1113"/>
      <c r="B451" s="1114"/>
      <c r="C451" s="1115"/>
      <c r="D451" s="1116"/>
      <c r="E451" s="1115"/>
      <c r="F451" s="1115"/>
      <c r="G451" s="1115"/>
      <c r="H451" s="1116"/>
      <c r="I451" s="1115"/>
      <c r="J451" s="1113"/>
    </row>
    <row r="452">
      <c r="A452" s="1113"/>
      <c r="B452" s="1114"/>
      <c r="C452" s="1115"/>
      <c r="D452" s="1116"/>
      <c r="E452" s="1115"/>
      <c r="F452" s="1115"/>
      <c r="G452" s="1115"/>
      <c r="H452" s="1116"/>
      <c r="I452" s="1115"/>
      <c r="J452" s="1113"/>
    </row>
    <row r="453">
      <c r="A453" s="1113"/>
      <c r="B453" s="1114"/>
      <c r="C453" s="1115"/>
      <c r="D453" s="1116"/>
      <c r="E453" s="1115"/>
      <c r="F453" s="1115"/>
      <c r="G453" s="1115"/>
      <c r="H453" s="1116"/>
      <c r="I453" s="1115"/>
      <c r="J453" s="1113"/>
    </row>
    <row r="454">
      <c r="A454" s="1113"/>
      <c r="B454" s="1114"/>
      <c r="C454" s="1115"/>
      <c r="D454" s="1116"/>
      <c r="E454" s="1115"/>
      <c r="F454" s="1115"/>
      <c r="G454" s="1115"/>
      <c r="H454" s="1116"/>
      <c r="I454" s="1115"/>
      <c r="J454" s="1113"/>
    </row>
    <row r="455">
      <c r="A455" s="1113"/>
      <c r="B455" s="1114"/>
      <c r="C455" s="1115"/>
      <c r="D455" s="1116"/>
      <c r="E455" s="1115"/>
      <c r="F455" s="1115"/>
      <c r="G455" s="1115"/>
      <c r="H455" s="1116"/>
      <c r="I455" s="1115"/>
      <c r="J455" s="1113"/>
    </row>
    <row r="456">
      <c r="A456" s="1113"/>
      <c r="B456" s="1114"/>
      <c r="C456" s="1115"/>
      <c r="D456" s="1116"/>
      <c r="E456" s="1115"/>
      <c r="F456" s="1115"/>
      <c r="G456" s="1115"/>
      <c r="H456" s="1116"/>
      <c r="I456" s="1115"/>
      <c r="J456" s="1113"/>
    </row>
    <row r="457">
      <c r="A457" s="1113"/>
      <c r="B457" s="1114"/>
      <c r="C457" s="1115"/>
      <c r="D457" s="1116"/>
      <c r="E457" s="1115"/>
      <c r="F457" s="1115"/>
      <c r="G457" s="1115"/>
      <c r="H457" s="1116"/>
      <c r="I457" s="1115"/>
      <c r="J457" s="1113"/>
    </row>
    <row r="458">
      <c r="A458" s="1113"/>
      <c r="B458" s="1114"/>
      <c r="C458" s="1115"/>
      <c r="D458" s="1116"/>
      <c r="E458" s="1115"/>
      <c r="F458" s="1115"/>
      <c r="G458" s="1115"/>
      <c r="H458" s="1116"/>
      <c r="I458" s="1115"/>
      <c r="J458" s="1113"/>
    </row>
    <row r="459">
      <c r="A459" s="1113"/>
      <c r="B459" s="1114"/>
      <c r="C459" s="1115"/>
      <c r="D459" s="1116"/>
      <c r="E459" s="1115"/>
      <c r="F459" s="1115"/>
      <c r="G459" s="1115"/>
      <c r="H459" s="1116"/>
      <c r="I459" s="1115"/>
      <c r="J459" s="1113"/>
    </row>
    <row r="460">
      <c r="A460" s="1113"/>
      <c r="B460" s="1114"/>
      <c r="C460" s="1115"/>
      <c r="D460" s="1116"/>
      <c r="E460" s="1115"/>
      <c r="F460" s="1115"/>
      <c r="G460" s="1115"/>
      <c r="H460" s="1116"/>
      <c r="I460" s="1115"/>
      <c r="J460" s="1113"/>
    </row>
    <row r="461">
      <c r="A461" s="1113"/>
      <c r="B461" s="1114"/>
      <c r="C461" s="1115"/>
      <c r="D461" s="1116"/>
      <c r="E461" s="1115"/>
      <c r="F461" s="1115"/>
      <c r="G461" s="1115"/>
      <c r="H461" s="1116"/>
      <c r="I461" s="1115"/>
      <c r="J461" s="1113"/>
    </row>
    <row r="462">
      <c r="A462" s="1113"/>
      <c r="B462" s="1114"/>
      <c r="C462" s="1115"/>
      <c r="D462" s="1116"/>
      <c r="E462" s="1115"/>
      <c r="F462" s="1115"/>
      <c r="G462" s="1115"/>
      <c r="H462" s="1116"/>
      <c r="I462" s="1115"/>
      <c r="J462" s="1113"/>
    </row>
    <row r="463">
      <c r="A463" s="1113"/>
      <c r="B463" s="1114"/>
      <c r="C463" s="1115"/>
      <c r="D463" s="1116"/>
      <c r="E463" s="1115"/>
      <c r="F463" s="1115"/>
      <c r="G463" s="1115"/>
      <c r="H463" s="1116"/>
      <c r="I463" s="1115"/>
      <c r="J463" s="1113"/>
    </row>
    <row r="464">
      <c r="A464" s="1113"/>
      <c r="B464" s="1114"/>
      <c r="C464" s="1115"/>
      <c r="D464" s="1116"/>
      <c r="E464" s="1115"/>
      <c r="F464" s="1115"/>
      <c r="G464" s="1115"/>
      <c r="H464" s="1116"/>
      <c r="I464" s="1115"/>
      <c r="J464" s="1113"/>
    </row>
    <row r="465">
      <c r="A465" s="1113"/>
      <c r="B465" s="1114"/>
      <c r="C465" s="1115"/>
      <c r="D465" s="1116"/>
      <c r="E465" s="1115"/>
      <c r="F465" s="1115"/>
      <c r="G465" s="1115"/>
      <c r="H465" s="1116"/>
      <c r="I465" s="1115"/>
      <c r="J465" s="1113"/>
    </row>
    <row r="466">
      <c r="A466" s="1113"/>
      <c r="B466" s="1114"/>
      <c r="C466" s="1115"/>
      <c r="D466" s="1116"/>
      <c r="E466" s="1115"/>
      <c r="F466" s="1115"/>
      <c r="G466" s="1115"/>
      <c r="H466" s="1116"/>
      <c r="I466" s="1115"/>
      <c r="J466" s="1113"/>
    </row>
    <row r="467">
      <c r="A467" s="1113"/>
      <c r="B467" s="1114"/>
      <c r="C467" s="1115"/>
      <c r="D467" s="1116"/>
      <c r="E467" s="1115"/>
      <c r="F467" s="1115"/>
      <c r="G467" s="1115"/>
      <c r="H467" s="1116"/>
      <c r="I467" s="1115"/>
      <c r="J467" s="1113"/>
    </row>
    <row r="468">
      <c r="A468" s="1113"/>
      <c r="B468" s="1114"/>
      <c r="C468" s="1115"/>
      <c r="D468" s="1116"/>
      <c r="E468" s="1115"/>
      <c r="F468" s="1115"/>
      <c r="G468" s="1115"/>
      <c r="H468" s="1116"/>
      <c r="I468" s="1115"/>
      <c r="J468" s="1113"/>
    </row>
    <row r="469">
      <c r="A469" s="1113"/>
      <c r="B469" s="1114"/>
      <c r="C469" s="1115"/>
      <c r="D469" s="1116"/>
      <c r="E469" s="1115"/>
      <c r="F469" s="1115"/>
      <c r="G469" s="1115"/>
      <c r="H469" s="1116"/>
      <c r="I469" s="1115"/>
      <c r="J469" s="1113"/>
    </row>
    <row r="470">
      <c r="A470" s="1113"/>
      <c r="B470" s="1114"/>
      <c r="C470" s="1115"/>
      <c r="D470" s="1116"/>
      <c r="E470" s="1115"/>
      <c r="F470" s="1115"/>
      <c r="G470" s="1115"/>
      <c r="H470" s="1116"/>
      <c r="I470" s="1115"/>
      <c r="J470" s="1113"/>
    </row>
    <row r="471">
      <c r="A471" s="1113"/>
      <c r="B471" s="1114"/>
      <c r="C471" s="1115"/>
      <c r="D471" s="1116"/>
      <c r="E471" s="1115"/>
      <c r="F471" s="1115"/>
      <c r="G471" s="1115"/>
      <c r="H471" s="1116"/>
      <c r="I471" s="1115"/>
      <c r="J471" s="1113"/>
    </row>
    <row r="472">
      <c r="A472" s="1113"/>
      <c r="B472" s="1114"/>
      <c r="C472" s="1115"/>
      <c r="D472" s="1116"/>
      <c r="E472" s="1115"/>
      <c r="F472" s="1115"/>
      <c r="G472" s="1115"/>
      <c r="H472" s="1116"/>
      <c r="I472" s="1115"/>
      <c r="J472" s="1113"/>
    </row>
    <row r="473">
      <c r="A473" s="1113"/>
      <c r="B473" s="1114"/>
      <c r="C473" s="1115"/>
      <c r="D473" s="1116"/>
      <c r="E473" s="1115"/>
      <c r="F473" s="1115"/>
      <c r="G473" s="1115"/>
      <c r="H473" s="1116"/>
      <c r="I473" s="1115"/>
      <c r="J473" s="1113"/>
    </row>
    <row r="474">
      <c r="A474" s="1113"/>
      <c r="B474" s="1114"/>
      <c r="C474" s="1115"/>
      <c r="D474" s="1116"/>
      <c r="E474" s="1115"/>
      <c r="F474" s="1115"/>
      <c r="G474" s="1115"/>
      <c r="H474" s="1116"/>
      <c r="I474" s="1115"/>
      <c r="J474" s="1113"/>
    </row>
    <row r="475">
      <c r="A475" s="1113"/>
      <c r="B475" s="1114"/>
      <c r="C475" s="1115"/>
      <c r="D475" s="1116"/>
      <c r="E475" s="1115"/>
      <c r="F475" s="1115"/>
      <c r="G475" s="1115"/>
      <c r="H475" s="1116"/>
      <c r="I475" s="1115"/>
      <c r="J475" s="1113"/>
    </row>
    <row r="476">
      <c r="A476" s="1113"/>
      <c r="B476" s="1114"/>
      <c r="C476" s="1115"/>
      <c r="D476" s="1116"/>
      <c r="E476" s="1115"/>
      <c r="F476" s="1115"/>
      <c r="G476" s="1115"/>
      <c r="H476" s="1116"/>
      <c r="I476" s="1115"/>
      <c r="J476" s="1113"/>
    </row>
    <row r="477">
      <c r="A477" s="1113"/>
      <c r="B477" s="1114"/>
      <c r="C477" s="1115"/>
      <c r="D477" s="1116"/>
      <c r="E477" s="1115"/>
      <c r="F477" s="1115"/>
      <c r="G477" s="1115"/>
      <c r="H477" s="1116"/>
      <c r="I477" s="1115"/>
      <c r="J477" s="1113"/>
    </row>
    <row r="478">
      <c r="A478" s="1113"/>
      <c r="B478" s="1114"/>
      <c r="C478" s="1115"/>
      <c r="D478" s="1116"/>
      <c r="E478" s="1115"/>
      <c r="F478" s="1115"/>
      <c r="G478" s="1115"/>
      <c r="H478" s="1116"/>
      <c r="I478" s="1115"/>
      <c r="J478" s="1113"/>
    </row>
    <row r="479">
      <c r="A479" s="1113"/>
      <c r="B479" s="1114"/>
      <c r="C479" s="1115"/>
      <c r="D479" s="1116"/>
      <c r="E479" s="1115"/>
      <c r="F479" s="1115"/>
      <c r="G479" s="1115"/>
      <c r="H479" s="1116"/>
      <c r="I479" s="1115"/>
      <c r="J479" s="1113"/>
    </row>
    <row r="480">
      <c r="A480" s="1113"/>
      <c r="B480" s="1114"/>
      <c r="C480" s="1115"/>
      <c r="D480" s="1116"/>
      <c r="E480" s="1115"/>
      <c r="F480" s="1115"/>
      <c r="G480" s="1115"/>
      <c r="H480" s="1116"/>
      <c r="I480" s="1115"/>
      <c r="J480" s="1113"/>
    </row>
    <row r="481">
      <c r="A481" s="1113"/>
      <c r="B481" s="1114"/>
      <c r="C481" s="1115"/>
      <c r="D481" s="1116"/>
      <c r="E481" s="1115"/>
      <c r="F481" s="1115"/>
      <c r="G481" s="1115"/>
      <c r="H481" s="1116"/>
      <c r="I481" s="1115"/>
      <c r="J481" s="1113"/>
    </row>
    <row r="482">
      <c r="A482" s="1113"/>
      <c r="B482" s="1114"/>
      <c r="C482" s="1115"/>
      <c r="D482" s="1116"/>
      <c r="E482" s="1115"/>
      <c r="F482" s="1115"/>
      <c r="G482" s="1115"/>
      <c r="H482" s="1116"/>
      <c r="I482" s="1115"/>
      <c r="J482" s="1113"/>
    </row>
    <row r="483">
      <c r="A483" s="1113"/>
      <c r="B483" s="1114"/>
      <c r="C483" s="1115"/>
      <c r="D483" s="1116"/>
      <c r="E483" s="1115"/>
      <c r="F483" s="1115"/>
      <c r="G483" s="1115"/>
      <c r="H483" s="1116"/>
      <c r="I483" s="1115"/>
      <c r="J483" s="1113"/>
    </row>
    <row r="484">
      <c r="A484" s="1113"/>
      <c r="B484" s="1114"/>
      <c r="C484" s="1115"/>
      <c r="D484" s="1116"/>
      <c r="E484" s="1115"/>
      <c r="F484" s="1115"/>
      <c r="G484" s="1115"/>
      <c r="H484" s="1116"/>
      <c r="I484" s="1115"/>
      <c r="J484" s="1113"/>
    </row>
    <row r="485">
      <c r="A485" s="1113"/>
      <c r="B485" s="1114"/>
      <c r="C485" s="1115"/>
      <c r="D485" s="1116"/>
      <c r="E485" s="1115"/>
      <c r="F485" s="1115"/>
      <c r="G485" s="1115"/>
      <c r="H485" s="1116"/>
      <c r="I485" s="1115"/>
      <c r="J485" s="1113"/>
    </row>
    <row r="486">
      <c r="A486" s="1113"/>
      <c r="B486" s="1114"/>
      <c r="C486" s="1115"/>
      <c r="D486" s="1116"/>
      <c r="E486" s="1115"/>
      <c r="F486" s="1115"/>
      <c r="G486" s="1115"/>
      <c r="H486" s="1116"/>
      <c r="I486" s="1115"/>
      <c r="J486" s="1113"/>
    </row>
    <row r="487">
      <c r="A487" s="1113"/>
      <c r="B487" s="1114"/>
      <c r="C487" s="1115"/>
      <c r="D487" s="1116"/>
      <c r="E487" s="1115"/>
      <c r="F487" s="1115"/>
      <c r="G487" s="1115"/>
      <c r="H487" s="1116"/>
      <c r="I487" s="1115"/>
      <c r="J487" s="1113"/>
    </row>
    <row r="488">
      <c r="A488" s="1113"/>
      <c r="B488" s="1114"/>
      <c r="C488" s="1115"/>
      <c r="D488" s="1116"/>
      <c r="E488" s="1115"/>
      <c r="F488" s="1115"/>
      <c r="G488" s="1115"/>
      <c r="H488" s="1116"/>
      <c r="I488" s="1115"/>
      <c r="J488" s="1113"/>
    </row>
    <row r="489">
      <c r="A489" s="1113"/>
      <c r="B489" s="1114"/>
      <c r="C489" s="1115"/>
      <c r="D489" s="1116"/>
      <c r="E489" s="1115"/>
      <c r="F489" s="1115"/>
      <c r="G489" s="1115"/>
      <c r="H489" s="1116"/>
      <c r="I489" s="1115"/>
      <c r="J489" s="1113"/>
    </row>
    <row r="490">
      <c r="A490" s="1113"/>
      <c r="B490" s="1114"/>
      <c r="C490" s="1115"/>
      <c r="D490" s="1116"/>
      <c r="E490" s="1115"/>
      <c r="F490" s="1115"/>
      <c r="G490" s="1115"/>
      <c r="H490" s="1116"/>
      <c r="I490" s="1115"/>
      <c r="J490" s="1113"/>
    </row>
    <row r="491">
      <c r="A491" s="1113"/>
      <c r="B491" s="1114"/>
      <c r="C491" s="1115"/>
      <c r="D491" s="1116"/>
      <c r="E491" s="1115"/>
      <c r="F491" s="1115"/>
      <c r="G491" s="1115"/>
      <c r="H491" s="1116"/>
      <c r="I491" s="1115"/>
      <c r="J491" s="1113"/>
    </row>
    <row r="492">
      <c r="A492" s="1113"/>
      <c r="B492" s="1114"/>
      <c r="C492" s="1115"/>
      <c r="D492" s="1116"/>
      <c r="E492" s="1115"/>
      <c r="F492" s="1115"/>
      <c r="G492" s="1115"/>
      <c r="H492" s="1116"/>
      <c r="I492" s="1115"/>
      <c r="J492" s="1113"/>
    </row>
    <row r="493">
      <c r="A493" s="1113"/>
      <c r="B493" s="1114"/>
      <c r="C493" s="1115"/>
      <c r="D493" s="1116"/>
      <c r="E493" s="1115"/>
      <c r="F493" s="1115"/>
      <c r="G493" s="1115"/>
      <c r="H493" s="1116"/>
      <c r="I493" s="1115"/>
      <c r="J493" s="1113"/>
    </row>
    <row r="494">
      <c r="A494" s="1113"/>
      <c r="B494" s="1114"/>
      <c r="C494" s="1115"/>
      <c r="D494" s="1116"/>
      <c r="E494" s="1115"/>
      <c r="F494" s="1115"/>
      <c r="G494" s="1115"/>
      <c r="H494" s="1116"/>
      <c r="I494" s="1115"/>
      <c r="J494" s="1113"/>
    </row>
    <row r="495">
      <c r="A495" s="1113"/>
      <c r="B495" s="1114"/>
      <c r="C495" s="1115"/>
      <c r="D495" s="1116"/>
      <c r="E495" s="1115"/>
      <c r="F495" s="1115"/>
      <c r="G495" s="1115"/>
      <c r="H495" s="1116"/>
      <c r="I495" s="1115"/>
      <c r="J495" s="1113"/>
    </row>
    <row r="496">
      <c r="A496" s="1113"/>
      <c r="B496" s="1114"/>
      <c r="C496" s="1115"/>
      <c r="D496" s="1116"/>
      <c r="E496" s="1115"/>
      <c r="F496" s="1115"/>
      <c r="G496" s="1115"/>
      <c r="H496" s="1116"/>
      <c r="I496" s="1115"/>
      <c r="J496" s="1113"/>
    </row>
    <row r="497">
      <c r="A497" s="1113"/>
      <c r="B497" s="1114"/>
      <c r="C497" s="1115"/>
      <c r="D497" s="1116"/>
      <c r="E497" s="1115"/>
      <c r="F497" s="1115"/>
      <c r="G497" s="1115"/>
      <c r="H497" s="1116"/>
      <c r="I497" s="1115"/>
      <c r="J497" s="1113"/>
    </row>
    <row r="498">
      <c r="A498" s="1113"/>
      <c r="B498" s="1114"/>
      <c r="C498" s="1115"/>
      <c r="D498" s="1116"/>
      <c r="E498" s="1115"/>
      <c r="F498" s="1115"/>
      <c r="G498" s="1115"/>
      <c r="H498" s="1116"/>
      <c r="I498" s="1115"/>
      <c r="J498" s="1113"/>
    </row>
    <row r="499">
      <c r="A499" s="1113"/>
      <c r="B499" s="1114"/>
      <c r="C499" s="1115"/>
      <c r="D499" s="1116"/>
      <c r="E499" s="1115"/>
      <c r="F499" s="1115"/>
      <c r="G499" s="1115"/>
      <c r="H499" s="1116"/>
      <c r="I499" s="1115"/>
      <c r="J499" s="1113"/>
    </row>
    <row r="500">
      <c r="A500" s="1113"/>
      <c r="B500" s="1114"/>
      <c r="C500" s="1115"/>
      <c r="D500" s="1116"/>
      <c r="E500" s="1115"/>
      <c r="F500" s="1115"/>
      <c r="G500" s="1115"/>
      <c r="H500" s="1116"/>
      <c r="I500" s="1115"/>
      <c r="J500" s="1113"/>
    </row>
    <row r="501">
      <c r="A501" s="1113"/>
      <c r="B501" s="1114"/>
      <c r="C501" s="1115"/>
      <c r="D501" s="1116"/>
      <c r="E501" s="1115"/>
      <c r="F501" s="1115"/>
      <c r="G501" s="1115"/>
      <c r="H501" s="1116"/>
      <c r="I501" s="1115"/>
      <c r="J501" s="1113"/>
    </row>
    <row r="502">
      <c r="A502" s="1113"/>
      <c r="B502" s="1114"/>
      <c r="C502" s="1115"/>
      <c r="D502" s="1116"/>
      <c r="E502" s="1115"/>
      <c r="F502" s="1115"/>
      <c r="G502" s="1115"/>
      <c r="H502" s="1116"/>
      <c r="I502" s="1115"/>
      <c r="J502" s="1113"/>
    </row>
    <row r="503">
      <c r="A503" s="1113"/>
      <c r="B503" s="1114"/>
      <c r="C503" s="1115"/>
      <c r="D503" s="1116"/>
      <c r="E503" s="1115"/>
      <c r="F503" s="1115"/>
      <c r="G503" s="1115"/>
      <c r="H503" s="1116"/>
      <c r="I503" s="1115"/>
      <c r="J503" s="1113"/>
    </row>
    <row r="504">
      <c r="A504" s="1113"/>
      <c r="B504" s="1114"/>
      <c r="C504" s="1115"/>
      <c r="D504" s="1116"/>
      <c r="E504" s="1115"/>
      <c r="F504" s="1115"/>
      <c r="G504" s="1115"/>
      <c r="H504" s="1116"/>
      <c r="I504" s="1115"/>
      <c r="J504" s="1113"/>
    </row>
    <row r="505">
      <c r="A505" s="1113"/>
      <c r="B505" s="1114"/>
      <c r="C505" s="1115"/>
      <c r="D505" s="1116"/>
      <c r="E505" s="1115"/>
      <c r="F505" s="1115"/>
      <c r="G505" s="1115"/>
      <c r="H505" s="1116"/>
      <c r="I505" s="1115"/>
      <c r="J505" s="1113"/>
    </row>
    <row r="506">
      <c r="A506" s="1113"/>
      <c r="B506" s="1114"/>
      <c r="C506" s="1115"/>
      <c r="D506" s="1116"/>
      <c r="E506" s="1115"/>
      <c r="F506" s="1115"/>
      <c r="G506" s="1115"/>
      <c r="H506" s="1116"/>
      <c r="I506" s="1115"/>
      <c r="J506" s="1113"/>
    </row>
    <row r="507">
      <c r="A507" s="1113"/>
      <c r="B507" s="1114"/>
      <c r="C507" s="1115"/>
      <c r="D507" s="1116"/>
      <c r="E507" s="1115"/>
      <c r="F507" s="1115"/>
      <c r="G507" s="1115"/>
      <c r="H507" s="1116"/>
      <c r="I507" s="1115"/>
      <c r="J507" s="1113"/>
    </row>
    <row r="508">
      <c r="A508" s="1113"/>
      <c r="B508" s="1114"/>
      <c r="C508" s="1115"/>
      <c r="D508" s="1116"/>
      <c r="E508" s="1115"/>
      <c r="F508" s="1115"/>
      <c r="G508" s="1115"/>
      <c r="H508" s="1116"/>
      <c r="I508" s="1115"/>
      <c r="J508" s="1113"/>
    </row>
    <row r="509">
      <c r="A509" s="1113"/>
      <c r="B509" s="1114"/>
      <c r="C509" s="1115"/>
      <c r="D509" s="1116"/>
      <c r="E509" s="1115"/>
      <c r="F509" s="1115"/>
      <c r="G509" s="1115"/>
      <c r="H509" s="1116"/>
      <c r="I509" s="1115"/>
      <c r="J509" s="1113"/>
    </row>
    <row r="510">
      <c r="A510" s="1113"/>
      <c r="B510" s="1114"/>
      <c r="C510" s="1115"/>
      <c r="D510" s="1116"/>
      <c r="E510" s="1115"/>
      <c r="F510" s="1115"/>
      <c r="G510" s="1115"/>
      <c r="H510" s="1116"/>
      <c r="I510" s="1115"/>
      <c r="J510" s="1113"/>
    </row>
    <row r="511">
      <c r="A511" s="1113"/>
      <c r="B511" s="1114"/>
      <c r="C511" s="1115"/>
      <c r="D511" s="1116"/>
      <c r="E511" s="1115"/>
      <c r="F511" s="1115"/>
      <c r="G511" s="1115"/>
      <c r="H511" s="1116"/>
      <c r="I511" s="1115"/>
      <c r="J511" s="1113"/>
    </row>
    <row r="512">
      <c r="A512" s="1113"/>
      <c r="B512" s="1114"/>
      <c r="C512" s="1115"/>
      <c r="D512" s="1116"/>
      <c r="E512" s="1115"/>
      <c r="F512" s="1115"/>
      <c r="G512" s="1115"/>
      <c r="H512" s="1116"/>
      <c r="I512" s="1115"/>
      <c r="J512" s="1113"/>
    </row>
    <row r="513">
      <c r="A513" s="1113"/>
      <c r="B513" s="1114"/>
      <c r="C513" s="1115"/>
      <c r="D513" s="1116"/>
      <c r="E513" s="1115"/>
      <c r="F513" s="1115"/>
      <c r="G513" s="1115"/>
      <c r="H513" s="1116"/>
      <c r="I513" s="1115"/>
      <c r="J513" s="1113"/>
    </row>
    <row r="514">
      <c r="A514" s="1113"/>
      <c r="B514" s="1114"/>
      <c r="C514" s="1115"/>
      <c r="D514" s="1116"/>
      <c r="E514" s="1115"/>
      <c r="F514" s="1115"/>
      <c r="G514" s="1115"/>
      <c r="H514" s="1116"/>
      <c r="I514" s="1115"/>
      <c r="J514" s="1113"/>
    </row>
    <row r="515">
      <c r="A515" s="1113"/>
      <c r="B515" s="1114"/>
      <c r="C515" s="1115"/>
      <c r="D515" s="1116"/>
      <c r="E515" s="1115"/>
      <c r="F515" s="1115"/>
      <c r="G515" s="1115"/>
      <c r="H515" s="1116"/>
      <c r="I515" s="1115"/>
      <c r="J515" s="1113"/>
    </row>
    <row r="516">
      <c r="A516" s="1113"/>
      <c r="B516" s="1114"/>
      <c r="C516" s="1115"/>
      <c r="D516" s="1116"/>
      <c r="E516" s="1115"/>
      <c r="F516" s="1115"/>
      <c r="G516" s="1115"/>
      <c r="H516" s="1116"/>
      <c r="I516" s="1115"/>
      <c r="J516" s="1113"/>
    </row>
    <row r="517">
      <c r="A517" s="1113"/>
      <c r="B517" s="1114"/>
      <c r="C517" s="1115"/>
      <c r="D517" s="1116"/>
      <c r="E517" s="1115"/>
      <c r="F517" s="1115"/>
      <c r="G517" s="1115"/>
      <c r="H517" s="1116"/>
      <c r="I517" s="1115"/>
      <c r="J517" s="1113"/>
    </row>
    <row r="518">
      <c r="A518" s="1113"/>
      <c r="B518" s="1114"/>
      <c r="C518" s="1115"/>
      <c r="D518" s="1116"/>
      <c r="E518" s="1115"/>
      <c r="F518" s="1115"/>
      <c r="G518" s="1115"/>
      <c r="H518" s="1116"/>
      <c r="I518" s="1115"/>
      <c r="J518" s="1113"/>
    </row>
    <row r="519">
      <c r="A519" s="1113"/>
      <c r="B519" s="1114"/>
      <c r="C519" s="1115"/>
      <c r="D519" s="1116"/>
      <c r="E519" s="1115"/>
      <c r="F519" s="1115"/>
      <c r="G519" s="1115"/>
      <c r="H519" s="1116"/>
      <c r="I519" s="1115"/>
      <c r="J519" s="1113"/>
    </row>
    <row r="520">
      <c r="A520" s="1113"/>
      <c r="B520" s="1114"/>
      <c r="C520" s="1115"/>
      <c r="D520" s="1116"/>
      <c r="E520" s="1115"/>
      <c r="F520" s="1115"/>
      <c r="G520" s="1115"/>
      <c r="H520" s="1116"/>
      <c r="I520" s="1115"/>
      <c r="J520" s="1113"/>
    </row>
    <row r="521">
      <c r="A521" s="1113"/>
      <c r="B521" s="1114"/>
      <c r="C521" s="1115"/>
      <c r="D521" s="1116"/>
      <c r="E521" s="1115"/>
      <c r="F521" s="1115"/>
      <c r="G521" s="1115"/>
      <c r="H521" s="1116"/>
      <c r="I521" s="1115"/>
      <c r="J521" s="1113"/>
    </row>
    <row r="522">
      <c r="A522" s="1113"/>
      <c r="B522" s="1114"/>
      <c r="C522" s="1115"/>
      <c r="D522" s="1116"/>
      <c r="E522" s="1115"/>
      <c r="F522" s="1115"/>
      <c r="G522" s="1115"/>
      <c r="H522" s="1116"/>
      <c r="I522" s="1115"/>
      <c r="J522" s="1113"/>
    </row>
    <row r="523">
      <c r="A523" s="1113"/>
      <c r="B523" s="1114"/>
      <c r="C523" s="1115"/>
      <c r="D523" s="1116"/>
      <c r="E523" s="1115"/>
      <c r="F523" s="1115"/>
      <c r="G523" s="1115"/>
      <c r="H523" s="1116"/>
      <c r="I523" s="1115"/>
      <c r="J523" s="1113"/>
    </row>
    <row r="524">
      <c r="A524" s="1113"/>
      <c r="B524" s="1114"/>
      <c r="C524" s="1115"/>
      <c r="D524" s="1116"/>
      <c r="E524" s="1115"/>
      <c r="F524" s="1115"/>
      <c r="G524" s="1115"/>
      <c r="H524" s="1116"/>
      <c r="I524" s="1115"/>
      <c r="J524" s="1113"/>
    </row>
    <row r="525">
      <c r="A525" s="1113"/>
      <c r="B525" s="1114"/>
      <c r="C525" s="1115"/>
      <c r="D525" s="1116"/>
      <c r="E525" s="1115"/>
      <c r="F525" s="1115"/>
      <c r="G525" s="1115"/>
      <c r="H525" s="1116"/>
      <c r="I525" s="1115"/>
      <c r="J525" s="1113"/>
    </row>
    <row r="526">
      <c r="A526" s="1113"/>
      <c r="B526" s="1114"/>
      <c r="C526" s="1115"/>
      <c r="D526" s="1116"/>
      <c r="E526" s="1115"/>
      <c r="F526" s="1115"/>
      <c r="G526" s="1115"/>
      <c r="H526" s="1116"/>
      <c r="I526" s="1115"/>
      <c r="J526" s="1113"/>
    </row>
    <row r="527">
      <c r="A527" s="1113"/>
      <c r="B527" s="1114"/>
      <c r="C527" s="1115"/>
      <c r="D527" s="1116"/>
      <c r="E527" s="1115"/>
      <c r="F527" s="1115"/>
      <c r="G527" s="1115"/>
      <c r="H527" s="1116"/>
      <c r="I527" s="1115"/>
      <c r="J527" s="1113"/>
    </row>
    <row r="528">
      <c r="A528" s="1113"/>
      <c r="B528" s="1114"/>
      <c r="C528" s="1115"/>
      <c r="D528" s="1116"/>
      <c r="E528" s="1115"/>
      <c r="F528" s="1115"/>
      <c r="G528" s="1115"/>
      <c r="H528" s="1116"/>
      <c r="I528" s="1115"/>
      <c r="J528" s="1113"/>
    </row>
    <row r="529">
      <c r="A529" s="1113"/>
      <c r="B529" s="1114"/>
      <c r="C529" s="1115"/>
      <c r="D529" s="1116"/>
      <c r="E529" s="1115"/>
      <c r="F529" s="1115"/>
      <c r="G529" s="1115"/>
      <c r="H529" s="1116"/>
      <c r="I529" s="1115"/>
      <c r="J529" s="1113"/>
    </row>
    <row r="530">
      <c r="A530" s="1113"/>
      <c r="B530" s="1114"/>
      <c r="C530" s="1115"/>
      <c r="D530" s="1116"/>
      <c r="E530" s="1115"/>
      <c r="F530" s="1115"/>
      <c r="G530" s="1115"/>
      <c r="H530" s="1116"/>
      <c r="I530" s="1115"/>
      <c r="J530" s="1113"/>
    </row>
    <row r="531">
      <c r="A531" s="1113"/>
      <c r="B531" s="1114"/>
      <c r="C531" s="1115"/>
      <c r="D531" s="1116"/>
      <c r="E531" s="1115"/>
      <c r="F531" s="1115"/>
      <c r="G531" s="1115"/>
      <c r="H531" s="1116"/>
      <c r="I531" s="1115"/>
      <c r="J531" s="1113"/>
    </row>
    <row r="532">
      <c r="A532" s="1113"/>
      <c r="B532" s="1114"/>
      <c r="C532" s="1115"/>
      <c r="D532" s="1116"/>
      <c r="E532" s="1115"/>
      <c r="F532" s="1115"/>
      <c r="G532" s="1115"/>
      <c r="H532" s="1116"/>
      <c r="I532" s="1115"/>
      <c r="J532" s="1113"/>
    </row>
    <row r="533">
      <c r="A533" s="1113"/>
      <c r="B533" s="1114"/>
      <c r="C533" s="1115"/>
      <c r="D533" s="1116"/>
      <c r="E533" s="1115"/>
      <c r="F533" s="1115"/>
      <c r="G533" s="1115"/>
      <c r="H533" s="1116"/>
      <c r="I533" s="1115"/>
      <c r="J533" s="1113"/>
    </row>
    <row r="534">
      <c r="A534" s="1113"/>
      <c r="B534" s="1114"/>
      <c r="C534" s="1115"/>
      <c r="D534" s="1116"/>
      <c r="E534" s="1115"/>
      <c r="F534" s="1115"/>
      <c r="G534" s="1115"/>
      <c r="H534" s="1116"/>
      <c r="I534" s="1115"/>
      <c r="J534" s="1113"/>
    </row>
    <row r="535">
      <c r="A535" s="1113"/>
      <c r="B535" s="1114"/>
      <c r="C535" s="1115"/>
      <c r="D535" s="1116"/>
      <c r="E535" s="1115"/>
      <c r="F535" s="1115"/>
      <c r="G535" s="1115"/>
      <c r="H535" s="1116"/>
      <c r="I535" s="1115"/>
      <c r="J535" s="1113"/>
    </row>
    <row r="536">
      <c r="A536" s="1113"/>
      <c r="B536" s="1114"/>
      <c r="C536" s="1115"/>
      <c r="D536" s="1116"/>
      <c r="E536" s="1115"/>
      <c r="F536" s="1115"/>
      <c r="G536" s="1115"/>
      <c r="H536" s="1116"/>
      <c r="I536" s="1115"/>
      <c r="J536" s="1113"/>
    </row>
    <row r="537">
      <c r="A537" s="1113"/>
      <c r="B537" s="1114"/>
      <c r="C537" s="1115"/>
      <c r="D537" s="1116"/>
      <c r="E537" s="1115"/>
      <c r="F537" s="1115"/>
      <c r="G537" s="1115"/>
      <c r="H537" s="1116"/>
      <c r="I537" s="1115"/>
      <c r="J537" s="1113"/>
    </row>
    <row r="538">
      <c r="A538" s="1113"/>
      <c r="B538" s="1114"/>
      <c r="C538" s="1115"/>
      <c r="D538" s="1116"/>
      <c r="E538" s="1115"/>
      <c r="F538" s="1115"/>
      <c r="G538" s="1115"/>
      <c r="H538" s="1116"/>
      <c r="I538" s="1115"/>
      <c r="J538" s="1113"/>
    </row>
    <row r="539">
      <c r="A539" s="1113"/>
      <c r="B539" s="1114"/>
      <c r="C539" s="1115"/>
      <c r="D539" s="1116"/>
      <c r="E539" s="1115"/>
      <c r="F539" s="1115"/>
      <c r="G539" s="1115"/>
      <c r="H539" s="1116"/>
      <c r="I539" s="1115"/>
      <c r="J539" s="1113"/>
    </row>
    <row r="540">
      <c r="A540" s="1113"/>
      <c r="B540" s="1114"/>
      <c r="C540" s="1115"/>
      <c r="D540" s="1116"/>
      <c r="E540" s="1115"/>
      <c r="F540" s="1115"/>
      <c r="G540" s="1115"/>
      <c r="H540" s="1116"/>
      <c r="I540" s="1115"/>
      <c r="J540" s="1113"/>
    </row>
    <row r="541">
      <c r="A541" s="1113"/>
      <c r="B541" s="1114"/>
      <c r="C541" s="1115"/>
      <c r="D541" s="1116"/>
      <c r="E541" s="1115"/>
      <c r="F541" s="1115"/>
      <c r="G541" s="1115"/>
      <c r="H541" s="1116"/>
      <c r="I541" s="1115"/>
      <c r="J541" s="1113"/>
    </row>
    <row r="542">
      <c r="A542" s="1113"/>
      <c r="B542" s="1114"/>
      <c r="C542" s="1115"/>
      <c r="D542" s="1116"/>
      <c r="E542" s="1115"/>
      <c r="F542" s="1115"/>
      <c r="G542" s="1115"/>
      <c r="H542" s="1116"/>
      <c r="I542" s="1115"/>
      <c r="J542" s="1113"/>
    </row>
    <row r="543">
      <c r="A543" s="1113"/>
      <c r="B543" s="1114"/>
      <c r="C543" s="1115"/>
      <c r="D543" s="1116"/>
      <c r="E543" s="1115"/>
      <c r="F543" s="1115"/>
      <c r="G543" s="1115"/>
      <c r="H543" s="1116"/>
      <c r="I543" s="1115"/>
      <c r="J543" s="1113"/>
    </row>
    <row r="544">
      <c r="A544" s="1113"/>
      <c r="B544" s="1114"/>
      <c r="C544" s="1115"/>
      <c r="D544" s="1116"/>
      <c r="E544" s="1115"/>
      <c r="F544" s="1115"/>
      <c r="G544" s="1115"/>
      <c r="H544" s="1116"/>
      <c r="I544" s="1115"/>
      <c r="J544" s="1113"/>
    </row>
    <row r="545">
      <c r="A545" s="1113"/>
      <c r="B545" s="1114"/>
      <c r="C545" s="1115"/>
      <c r="D545" s="1116"/>
      <c r="E545" s="1115"/>
      <c r="F545" s="1115"/>
      <c r="G545" s="1115"/>
      <c r="H545" s="1116"/>
      <c r="I545" s="1115"/>
      <c r="J545" s="1113"/>
    </row>
    <row r="546">
      <c r="A546" s="1113"/>
      <c r="B546" s="1114"/>
      <c r="C546" s="1115"/>
      <c r="D546" s="1116"/>
      <c r="E546" s="1115"/>
      <c r="F546" s="1115"/>
      <c r="G546" s="1115"/>
      <c r="H546" s="1116"/>
      <c r="I546" s="1115"/>
      <c r="J546" s="1113"/>
    </row>
    <row r="547">
      <c r="A547" s="1113"/>
      <c r="B547" s="1114"/>
      <c r="C547" s="1115"/>
      <c r="D547" s="1116"/>
      <c r="E547" s="1115"/>
      <c r="F547" s="1115"/>
      <c r="G547" s="1115"/>
      <c r="H547" s="1116"/>
      <c r="I547" s="1115"/>
      <c r="J547" s="1113"/>
    </row>
    <row r="548">
      <c r="A548" s="1113"/>
      <c r="B548" s="1114"/>
      <c r="C548" s="1115"/>
      <c r="D548" s="1116"/>
      <c r="E548" s="1115"/>
      <c r="F548" s="1115"/>
      <c r="G548" s="1115"/>
      <c r="H548" s="1116"/>
      <c r="I548" s="1115"/>
      <c r="J548" s="1113"/>
    </row>
    <row r="549">
      <c r="A549" s="1113"/>
      <c r="B549" s="1114"/>
      <c r="C549" s="1115"/>
      <c r="D549" s="1116"/>
      <c r="E549" s="1115"/>
      <c r="F549" s="1115"/>
      <c r="G549" s="1115"/>
      <c r="H549" s="1116"/>
      <c r="I549" s="1115"/>
      <c r="J549" s="1113"/>
    </row>
    <row r="550">
      <c r="A550" s="1113"/>
      <c r="B550" s="1114"/>
      <c r="C550" s="1115"/>
      <c r="D550" s="1116"/>
      <c r="E550" s="1115"/>
      <c r="F550" s="1115"/>
      <c r="G550" s="1115"/>
      <c r="H550" s="1116"/>
      <c r="I550" s="1115"/>
      <c r="J550" s="1113"/>
    </row>
    <row r="551">
      <c r="A551" s="1113"/>
      <c r="B551" s="1114"/>
      <c r="C551" s="1115"/>
      <c r="D551" s="1116"/>
      <c r="E551" s="1115"/>
      <c r="F551" s="1115"/>
      <c r="G551" s="1115"/>
      <c r="H551" s="1116"/>
      <c r="I551" s="1115"/>
      <c r="J551" s="1113"/>
    </row>
    <row r="552">
      <c r="A552" s="1113"/>
      <c r="B552" s="1114"/>
      <c r="C552" s="1115"/>
      <c r="D552" s="1116"/>
      <c r="E552" s="1115"/>
      <c r="F552" s="1115"/>
      <c r="G552" s="1115"/>
      <c r="H552" s="1116"/>
      <c r="I552" s="1115"/>
      <c r="J552" s="1113"/>
    </row>
    <row r="553">
      <c r="A553" s="1113"/>
      <c r="B553" s="1114"/>
      <c r="C553" s="1115"/>
      <c r="D553" s="1116"/>
      <c r="E553" s="1115"/>
      <c r="F553" s="1115"/>
      <c r="G553" s="1115"/>
      <c r="H553" s="1116"/>
      <c r="I553" s="1115"/>
      <c r="J553" s="1113"/>
    </row>
    <row r="554">
      <c r="A554" s="1113"/>
      <c r="B554" s="1114"/>
      <c r="C554" s="1115"/>
      <c r="D554" s="1116"/>
      <c r="E554" s="1115"/>
      <c r="F554" s="1115"/>
      <c r="G554" s="1115"/>
      <c r="H554" s="1116"/>
      <c r="I554" s="1115"/>
      <c r="J554" s="1113"/>
    </row>
    <row r="555">
      <c r="A555" s="1113"/>
      <c r="B555" s="1114"/>
      <c r="C555" s="1115"/>
      <c r="D555" s="1116"/>
      <c r="E555" s="1115"/>
      <c r="F555" s="1115"/>
      <c r="G555" s="1115"/>
      <c r="H555" s="1116"/>
      <c r="I555" s="1115"/>
      <c r="J555" s="1113"/>
    </row>
    <row r="556">
      <c r="A556" s="1113"/>
      <c r="B556" s="1114"/>
      <c r="C556" s="1115"/>
      <c r="D556" s="1116"/>
      <c r="E556" s="1115"/>
      <c r="F556" s="1115"/>
      <c r="G556" s="1115"/>
      <c r="H556" s="1116"/>
      <c r="I556" s="1115"/>
      <c r="J556" s="1113"/>
    </row>
    <row r="557">
      <c r="A557" s="1113"/>
      <c r="B557" s="1114"/>
      <c r="C557" s="1115"/>
      <c r="D557" s="1116"/>
      <c r="E557" s="1115"/>
      <c r="F557" s="1115"/>
      <c r="G557" s="1115"/>
      <c r="H557" s="1116"/>
      <c r="I557" s="1115"/>
      <c r="J557" s="1113"/>
    </row>
    <row r="558">
      <c r="A558" s="1113"/>
      <c r="B558" s="1114"/>
      <c r="C558" s="1115"/>
      <c r="D558" s="1116"/>
      <c r="E558" s="1115"/>
      <c r="F558" s="1115"/>
      <c r="G558" s="1115"/>
      <c r="H558" s="1116"/>
      <c r="I558" s="1115"/>
      <c r="J558" s="1113"/>
    </row>
    <row r="559">
      <c r="A559" s="1113"/>
      <c r="B559" s="1114"/>
      <c r="C559" s="1115"/>
      <c r="D559" s="1116"/>
      <c r="E559" s="1115"/>
      <c r="F559" s="1115"/>
      <c r="G559" s="1115"/>
      <c r="H559" s="1116"/>
      <c r="I559" s="1115"/>
      <c r="J559" s="1113"/>
    </row>
    <row r="560">
      <c r="A560" s="1113"/>
      <c r="B560" s="1114"/>
      <c r="C560" s="1115"/>
      <c r="D560" s="1116"/>
      <c r="E560" s="1115"/>
      <c r="F560" s="1115"/>
      <c r="G560" s="1115"/>
      <c r="H560" s="1116"/>
      <c r="I560" s="1115"/>
      <c r="J560" s="1113"/>
    </row>
    <row r="561">
      <c r="A561" s="1113"/>
      <c r="B561" s="1114"/>
      <c r="C561" s="1115"/>
      <c r="D561" s="1116"/>
      <c r="E561" s="1115"/>
      <c r="F561" s="1115"/>
      <c r="G561" s="1115"/>
      <c r="H561" s="1116"/>
      <c r="I561" s="1115"/>
      <c r="J561" s="1113"/>
    </row>
    <row r="562">
      <c r="A562" s="1113"/>
      <c r="B562" s="1114"/>
      <c r="C562" s="1115"/>
      <c r="D562" s="1116"/>
      <c r="E562" s="1115"/>
      <c r="F562" s="1115"/>
      <c r="G562" s="1115"/>
      <c r="H562" s="1116"/>
      <c r="I562" s="1115"/>
      <c r="J562" s="1113"/>
    </row>
    <row r="563">
      <c r="A563" s="1113"/>
      <c r="B563" s="1114"/>
      <c r="C563" s="1115"/>
      <c r="D563" s="1116"/>
      <c r="E563" s="1115"/>
      <c r="F563" s="1115"/>
      <c r="G563" s="1115"/>
      <c r="H563" s="1116"/>
      <c r="I563" s="1115"/>
      <c r="J563" s="1113"/>
    </row>
    <row r="564">
      <c r="A564" s="1113"/>
      <c r="B564" s="1114"/>
      <c r="C564" s="1115"/>
      <c r="D564" s="1116"/>
      <c r="E564" s="1115"/>
      <c r="F564" s="1115"/>
      <c r="G564" s="1115"/>
      <c r="H564" s="1116"/>
      <c r="I564" s="1115"/>
      <c r="J564" s="1113"/>
    </row>
    <row r="565">
      <c r="A565" s="1113"/>
      <c r="B565" s="1114"/>
      <c r="C565" s="1115"/>
      <c r="D565" s="1116"/>
      <c r="E565" s="1115"/>
      <c r="F565" s="1115"/>
      <c r="G565" s="1115"/>
      <c r="H565" s="1116"/>
      <c r="I565" s="1115"/>
      <c r="J565" s="1113"/>
    </row>
    <row r="566">
      <c r="A566" s="1113"/>
      <c r="B566" s="1114"/>
      <c r="C566" s="1115"/>
      <c r="D566" s="1116"/>
      <c r="E566" s="1115"/>
      <c r="F566" s="1115"/>
      <c r="G566" s="1115"/>
      <c r="H566" s="1116"/>
      <c r="I566" s="1115"/>
      <c r="J566" s="1113"/>
    </row>
    <row r="567">
      <c r="A567" s="1113"/>
      <c r="B567" s="1114"/>
      <c r="C567" s="1115"/>
      <c r="D567" s="1116"/>
      <c r="E567" s="1115"/>
      <c r="F567" s="1115"/>
      <c r="G567" s="1115"/>
      <c r="H567" s="1116"/>
      <c r="I567" s="1115"/>
      <c r="J567" s="1113"/>
    </row>
    <row r="568">
      <c r="A568" s="1113"/>
      <c r="B568" s="1114"/>
      <c r="C568" s="1115"/>
      <c r="D568" s="1116"/>
      <c r="E568" s="1115"/>
      <c r="F568" s="1115"/>
      <c r="G568" s="1115"/>
      <c r="H568" s="1116"/>
      <c r="I568" s="1115"/>
      <c r="J568" s="1113"/>
    </row>
    <row r="569">
      <c r="A569" s="1113"/>
      <c r="B569" s="1114"/>
      <c r="C569" s="1115"/>
      <c r="D569" s="1116"/>
      <c r="E569" s="1115"/>
      <c r="F569" s="1115"/>
      <c r="G569" s="1115"/>
      <c r="H569" s="1116"/>
      <c r="I569" s="1115"/>
      <c r="J569" s="1113"/>
    </row>
    <row r="570">
      <c r="A570" s="1113"/>
      <c r="B570" s="1114"/>
      <c r="C570" s="1115"/>
      <c r="D570" s="1116"/>
      <c r="E570" s="1115"/>
      <c r="F570" s="1115"/>
      <c r="G570" s="1115"/>
      <c r="H570" s="1116"/>
      <c r="I570" s="1115"/>
      <c r="J570" s="1113"/>
    </row>
    <row r="571">
      <c r="A571" s="1113"/>
      <c r="B571" s="1114"/>
      <c r="C571" s="1115"/>
      <c r="D571" s="1116"/>
      <c r="E571" s="1115"/>
      <c r="F571" s="1115"/>
      <c r="G571" s="1115"/>
      <c r="H571" s="1116"/>
      <c r="I571" s="1115"/>
      <c r="J571" s="1113"/>
    </row>
    <row r="572">
      <c r="A572" s="1113"/>
      <c r="B572" s="1114"/>
      <c r="C572" s="1115"/>
      <c r="D572" s="1116"/>
      <c r="E572" s="1115"/>
      <c r="F572" s="1115"/>
      <c r="G572" s="1115"/>
      <c r="H572" s="1116"/>
      <c r="I572" s="1115"/>
      <c r="J572" s="1113"/>
    </row>
    <row r="573">
      <c r="A573" s="1113"/>
      <c r="B573" s="1114"/>
      <c r="C573" s="1115"/>
      <c r="D573" s="1116"/>
      <c r="E573" s="1115"/>
      <c r="F573" s="1115"/>
      <c r="G573" s="1115"/>
      <c r="H573" s="1116"/>
      <c r="I573" s="1115"/>
      <c r="J573" s="1113"/>
    </row>
    <row r="574">
      <c r="A574" s="1113"/>
      <c r="B574" s="1114"/>
      <c r="C574" s="1115"/>
      <c r="D574" s="1116"/>
      <c r="E574" s="1115"/>
      <c r="F574" s="1115"/>
      <c r="G574" s="1115"/>
      <c r="H574" s="1116"/>
      <c r="I574" s="1115"/>
      <c r="J574" s="1113"/>
    </row>
    <row r="575">
      <c r="A575" s="1113"/>
      <c r="B575" s="1114"/>
      <c r="C575" s="1115"/>
      <c r="D575" s="1116"/>
      <c r="E575" s="1115"/>
      <c r="F575" s="1115"/>
      <c r="G575" s="1115"/>
      <c r="H575" s="1116"/>
      <c r="I575" s="1115"/>
      <c r="J575" s="1113"/>
    </row>
    <row r="576">
      <c r="A576" s="1113"/>
      <c r="B576" s="1114"/>
      <c r="C576" s="1115"/>
      <c r="D576" s="1116"/>
      <c r="E576" s="1115"/>
      <c r="F576" s="1115"/>
      <c r="G576" s="1115"/>
      <c r="H576" s="1116"/>
      <c r="I576" s="1115"/>
      <c r="J576" s="1113"/>
    </row>
    <row r="577">
      <c r="A577" s="1113"/>
      <c r="B577" s="1114"/>
      <c r="C577" s="1115"/>
      <c r="D577" s="1116"/>
      <c r="E577" s="1115"/>
      <c r="F577" s="1115"/>
      <c r="G577" s="1115"/>
      <c r="H577" s="1116"/>
      <c r="I577" s="1115"/>
      <c r="J577" s="1113"/>
    </row>
    <row r="578">
      <c r="A578" s="1113"/>
      <c r="B578" s="1114"/>
      <c r="C578" s="1115"/>
      <c r="D578" s="1116"/>
      <c r="E578" s="1115"/>
      <c r="F578" s="1115"/>
      <c r="G578" s="1115"/>
      <c r="H578" s="1116"/>
      <c r="I578" s="1115"/>
      <c r="J578" s="1113"/>
    </row>
    <row r="579">
      <c r="A579" s="1113"/>
      <c r="B579" s="1114"/>
      <c r="C579" s="1115"/>
      <c r="D579" s="1116"/>
      <c r="E579" s="1115"/>
      <c r="F579" s="1115"/>
      <c r="G579" s="1115"/>
      <c r="H579" s="1116"/>
      <c r="I579" s="1115"/>
      <c r="J579" s="1113"/>
    </row>
    <row r="580">
      <c r="A580" s="1113"/>
      <c r="B580" s="1114"/>
      <c r="C580" s="1115"/>
      <c r="D580" s="1116"/>
      <c r="E580" s="1115"/>
      <c r="F580" s="1115"/>
      <c r="G580" s="1115"/>
      <c r="H580" s="1116"/>
      <c r="I580" s="1115"/>
      <c r="J580" s="1113"/>
    </row>
    <row r="581">
      <c r="A581" s="1113"/>
      <c r="B581" s="1114"/>
      <c r="C581" s="1115"/>
      <c r="D581" s="1116"/>
      <c r="E581" s="1115"/>
      <c r="F581" s="1115"/>
      <c r="G581" s="1115"/>
      <c r="H581" s="1116"/>
      <c r="I581" s="1115"/>
      <c r="J581" s="1113"/>
    </row>
    <row r="582">
      <c r="A582" s="1113"/>
      <c r="B582" s="1114"/>
      <c r="C582" s="1115"/>
      <c r="D582" s="1116"/>
      <c r="E582" s="1115"/>
      <c r="F582" s="1115"/>
      <c r="G582" s="1115"/>
      <c r="H582" s="1116"/>
      <c r="I582" s="1115"/>
      <c r="J582" s="1113"/>
    </row>
    <row r="583">
      <c r="A583" s="1113"/>
      <c r="B583" s="1114"/>
      <c r="C583" s="1115"/>
      <c r="D583" s="1116"/>
      <c r="E583" s="1115"/>
      <c r="F583" s="1115"/>
      <c r="G583" s="1115"/>
      <c r="H583" s="1116"/>
      <c r="I583" s="1115"/>
      <c r="J583" s="1113"/>
    </row>
    <row r="584">
      <c r="A584" s="1113"/>
      <c r="B584" s="1114"/>
      <c r="C584" s="1115"/>
      <c r="D584" s="1116"/>
      <c r="E584" s="1115"/>
      <c r="F584" s="1115"/>
      <c r="G584" s="1115"/>
      <c r="H584" s="1116"/>
      <c r="I584" s="1115"/>
      <c r="J584" s="1113"/>
    </row>
    <row r="585">
      <c r="A585" s="1113"/>
      <c r="B585" s="1114"/>
      <c r="C585" s="1115"/>
      <c r="D585" s="1116"/>
      <c r="E585" s="1115"/>
      <c r="F585" s="1115"/>
      <c r="G585" s="1115"/>
      <c r="H585" s="1116"/>
      <c r="I585" s="1115"/>
      <c r="J585" s="1113"/>
    </row>
    <row r="586">
      <c r="A586" s="1113"/>
      <c r="B586" s="1114"/>
      <c r="C586" s="1115"/>
      <c r="D586" s="1116"/>
      <c r="E586" s="1115"/>
      <c r="F586" s="1115"/>
      <c r="G586" s="1115"/>
      <c r="H586" s="1116"/>
      <c r="I586" s="1115"/>
      <c r="J586" s="1113"/>
    </row>
    <row r="587">
      <c r="A587" s="1113"/>
      <c r="B587" s="1114"/>
      <c r="C587" s="1115"/>
      <c r="D587" s="1116"/>
      <c r="E587" s="1115"/>
      <c r="F587" s="1115"/>
      <c r="G587" s="1115"/>
      <c r="H587" s="1116"/>
      <c r="I587" s="1115"/>
      <c r="J587" s="1113"/>
    </row>
    <row r="588">
      <c r="A588" s="1113"/>
      <c r="B588" s="1114"/>
      <c r="C588" s="1115"/>
      <c r="D588" s="1116"/>
      <c r="E588" s="1115"/>
      <c r="F588" s="1115"/>
      <c r="G588" s="1115"/>
      <c r="H588" s="1116"/>
      <c r="I588" s="1115"/>
      <c r="J588" s="1113"/>
    </row>
    <row r="589">
      <c r="A589" s="1113"/>
      <c r="B589" s="1114"/>
      <c r="C589" s="1115"/>
      <c r="D589" s="1116"/>
      <c r="E589" s="1115"/>
      <c r="F589" s="1115"/>
      <c r="G589" s="1115"/>
      <c r="H589" s="1116"/>
      <c r="I589" s="1115"/>
      <c r="J589" s="1113"/>
    </row>
    <row r="590">
      <c r="A590" s="1113"/>
      <c r="B590" s="1114"/>
      <c r="C590" s="1115"/>
      <c r="D590" s="1116"/>
      <c r="E590" s="1115"/>
      <c r="F590" s="1115"/>
      <c r="G590" s="1115"/>
      <c r="H590" s="1116"/>
      <c r="I590" s="1115"/>
      <c r="J590" s="1113"/>
    </row>
    <row r="591">
      <c r="A591" s="1113"/>
      <c r="B591" s="1114"/>
      <c r="C591" s="1115"/>
      <c r="D591" s="1116"/>
      <c r="E591" s="1115"/>
      <c r="F591" s="1115"/>
      <c r="G591" s="1115"/>
      <c r="H591" s="1116"/>
      <c r="I591" s="1115"/>
      <c r="J591" s="1113"/>
    </row>
    <row r="592">
      <c r="A592" s="1113"/>
      <c r="B592" s="1114"/>
      <c r="C592" s="1115"/>
      <c r="D592" s="1116"/>
      <c r="E592" s="1115"/>
      <c r="F592" s="1115"/>
      <c r="G592" s="1115"/>
      <c r="H592" s="1116"/>
      <c r="I592" s="1115"/>
      <c r="J592" s="1113"/>
    </row>
    <row r="593">
      <c r="A593" s="1113"/>
      <c r="B593" s="1114"/>
      <c r="C593" s="1115"/>
      <c r="D593" s="1116"/>
      <c r="E593" s="1115"/>
      <c r="F593" s="1115"/>
      <c r="G593" s="1115"/>
      <c r="H593" s="1116"/>
      <c r="I593" s="1115"/>
      <c r="J593" s="1113"/>
    </row>
    <row r="594">
      <c r="A594" s="1113"/>
      <c r="B594" s="1114"/>
      <c r="C594" s="1115"/>
      <c r="D594" s="1116"/>
      <c r="E594" s="1115"/>
      <c r="F594" s="1115"/>
      <c r="G594" s="1115"/>
      <c r="H594" s="1116"/>
      <c r="I594" s="1115"/>
      <c r="J594" s="1113"/>
    </row>
    <row r="595">
      <c r="A595" s="1113"/>
      <c r="B595" s="1114"/>
      <c r="C595" s="1115"/>
      <c r="D595" s="1116"/>
      <c r="E595" s="1115"/>
      <c r="F595" s="1115"/>
      <c r="G595" s="1115"/>
      <c r="H595" s="1116"/>
      <c r="I595" s="1115"/>
      <c r="J595" s="1113"/>
    </row>
    <row r="596">
      <c r="A596" s="1113"/>
      <c r="B596" s="1114"/>
      <c r="C596" s="1115"/>
      <c r="D596" s="1116"/>
      <c r="E596" s="1115"/>
      <c r="F596" s="1115"/>
      <c r="G596" s="1115"/>
      <c r="H596" s="1116"/>
      <c r="I596" s="1115"/>
      <c r="J596" s="1113"/>
    </row>
    <row r="597">
      <c r="A597" s="1113"/>
      <c r="B597" s="1114"/>
      <c r="C597" s="1115"/>
      <c r="D597" s="1116"/>
      <c r="E597" s="1115"/>
      <c r="F597" s="1115"/>
      <c r="G597" s="1115"/>
      <c r="H597" s="1116"/>
      <c r="I597" s="1115"/>
      <c r="J597" s="1113"/>
    </row>
    <row r="598">
      <c r="A598" s="1113"/>
      <c r="B598" s="1114"/>
      <c r="C598" s="1115"/>
      <c r="D598" s="1116"/>
      <c r="E598" s="1115"/>
      <c r="F598" s="1115"/>
      <c r="G598" s="1115"/>
      <c r="H598" s="1116"/>
      <c r="I598" s="1115"/>
      <c r="J598" s="1113"/>
    </row>
    <row r="599">
      <c r="A599" s="1113"/>
      <c r="B599" s="1114"/>
      <c r="C599" s="1115"/>
      <c r="D599" s="1116"/>
      <c r="E599" s="1115"/>
      <c r="F599" s="1115"/>
      <c r="G599" s="1115"/>
      <c r="H599" s="1116"/>
      <c r="I599" s="1115"/>
      <c r="J599" s="1113"/>
    </row>
    <row r="600">
      <c r="A600" s="1113"/>
      <c r="B600" s="1114"/>
      <c r="C600" s="1115"/>
      <c r="D600" s="1116"/>
      <c r="E600" s="1115"/>
      <c r="F600" s="1115"/>
      <c r="G600" s="1115"/>
      <c r="H600" s="1116"/>
      <c r="I600" s="1115"/>
      <c r="J600" s="1113"/>
    </row>
    <row r="601">
      <c r="A601" s="1113"/>
      <c r="B601" s="1114"/>
      <c r="C601" s="1115"/>
      <c r="D601" s="1116"/>
      <c r="E601" s="1115"/>
      <c r="F601" s="1115"/>
      <c r="G601" s="1115"/>
      <c r="H601" s="1116"/>
      <c r="I601" s="1115"/>
      <c r="J601" s="1113"/>
    </row>
    <row r="602">
      <c r="A602" s="1113"/>
      <c r="B602" s="1114"/>
      <c r="C602" s="1115"/>
      <c r="D602" s="1116"/>
      <c r="E602" s="1115"/>
      <c r="F602" s="1115"/>
      <c r="G602" s="1115"/>
      <c r="H602" s="1116"/>
      <c r="I602" s="1115"/>
      <c r="J602" s="1113"/>
    </row>
    <row r="603">
      <c r="A603" s="1113"/>
      <c r="B603" s="1114"/>
      <c r="C603" s="1115"/>
      <c r="D603" s="1116"/>
      <c r="E603" s="1115"/>
      <c r="F603" s="1115"/>
      <c r="G603" s="1115"/>
      <c r="H603" s="1116"/>
      <c r="I603" s="1115"/>
      <c r="J603" s="1113"/>
    </row>
    <row r="604">
      <c r="A604" s="1113"/>
      <c r="B604" s="1114"/>
      <c r="C604" s="1115"/>
      <c r="D604" s="1116"/>
      <c r="E604" s="1115"/>
      <c r="F604" s="1115"/>
      <c r="G604" s="1115"/>
      <c r="H604" s="1116"/>
      <c r="I604" s="1115"/>
      <c r="J604" s="1113"/>
    </row>
    <row r="605">
      <c r="A605" s="1113"/>
      <c r="B605" s="1114"/>
      <c r="C605" s="1115"/>
      <c r="D605" s="1116"/>
      <c r="E605" s="1115"/>
      <c r="F605" s="1115"/>
      <c r="G605" s="1115"/>
      <c r="H605" s="1116"/>
      <c r="I605" s="1115"/>
      <c r="J605" s="1113"/>
    </row>
    <row r="606">
      <c r="A606" s="1113"/>
      <c r="B606" s="1114"/>
      <c r="C606" s="1115"/>
      <c r="D606" s="1116"/>
      <c r="E606" s="1115"/>
      <c r="F606" s="1115"/>
      <c r="G606" s="1115"/>
      <c r="H606" s="1116"/>
      <c r="I606" s="1115"/>
      <c r="J606" s="1113"/>
    </row>
    <row r="607">
      <c r="A607" s="1113"/>
      <c r="B607" s="1114"/>
      <c r="C607" s="1115"/>
      <c r="D607" s="1116"/>
      <c r="E607" s="1115"/>
      <c r="F607" s="1115"/>
      <c r="G607" s="1115"/>
      <c r="H607" s="1116"/>
      <c r="I607" s="1115"/>
      <c r="J607" s="1113"/>
    </row>
    <row r="608">
      <c r="A608" s="1113"/>
      <c r="B608" s="1114"/>
      <c r="C608" s="1115"/>
      <c r="D608" s="1116"/>
      <c r="E608" s="1115"/>
      <c r="F608" s="1115"/>
      <c r="G608" s="1115"/>
      <c r="H608" s="1116"/>
      <c r="I608" s="1115"/>
      <c r="J608" s="1113"/>
    </row>
    <row r="609">
      <c r="A609" s="1113"/>
      <c r="B609" s="1114"/>
      <c r="C609" s="1115"/>
      <c r="D609" s="1116"/>
      <c r="E609" s="1115"/>
      <c r="F609" s="1115"/>
      <c r="G609" s="1115"/>
      <c r="H609" s="1116"/>
      <c r="I609" s="1115"/>
      <c r="J609" s="1113"/>
    </row>
    <row r="610">
      <c r="A610" s="1113"/>
      <c r="B610" s="1114"/>
      <c r="C610" s="1115"/>
      <c r="D610" s="1116"/>
      <c r="E610" s="1115"/>
      <c r="F610" s="1115"/>
      <c r="G610" s="1115"/>
      <c r="H610" s="1116"/>
      <c r="I610" s="1115"/>
      <c r="J610" s="1113"/>
    </row>
    <row r="611">
      <c r="A611" s="1113"/>
      <c r="B611" s="1114"/>
      <c r="C611" s="1115"/>
      <c r="D611" s="1116"/>
      <c r="E611" s="1115"/>
      <c r="F611" s="1115"/>
      <c r="G611" s="1115"/>
      <c r="H611" s="1116"/>
      <c r="I611" s="1115"/>
      <c r="J611" s="1113"/>
    </row>
    <row r="612">
      <c r="A612" s="1113"/>
      <c r="B612" s="1114"/>
      <c r="C612" s="1115"/>
      <c r="D612" s="1116"/>
      <c r="E612" s="1115"/>
      <c r="F612" s="1115"/>
      <c r="G612" s="1115"/>
      <c r="H612" s="1116"/>
      <c r="I612" s="1115"/>
      <c r="J612" s="1113"/>
    </row>
    <row r="613">
      <c r="A613" s="1113"/>
      <c r="B613" s="1114"/>
      <c r="C613" s="1115"/>
      <c r="D613" s="1116"/>
      <c r="E613" s="1115"/>
      <c r="F613" s="1115"/>
      <c r="G613" s="1115"/>
      <c r="H613" s="1116"/>
      <c r="I613" s="1115"/>
      <c r="J613" s="1113"/>
    </row>
    <row r="614">
      <c r="A614" s="1113"/>
      <c r="B614" s="1114"/>
      <c r="C614" s="1115"/>
      <c r="D614" s="1116"/>
      <c r="E614" s="1115"/>
      <c r="F614" s="1115"/>
      <c r="G614" s="1115"/>
      <c r="H614" s="1116"/>
      <c r="I614" s="1115"/>
      <c r="J614" s="1113"/>
    </row>
    <row r="615">
      <c r="A615" s="1113"/>
      <c r="B615" s="1114"/>
      <c r="C615" s="1115"/>
      <c r="D615" s="1116"/>
      <c r="E615" s="1115"/>
      <c r="F615" s="1115"/>
      <c r="G615" s="1115"/>
      <c r="H615" s="1116"/>
      <c r="I615" s="1115"/>
      <c r="J615" s="1113"/>
    </row>
    <row r="616">
      <c r="A616" s="1113"/>
      <c r="B616" s="1114"/>
      <c r="C616" s="1115"/>
      <c r="D616" s="1116"/>
      <c r="E616" s="1115"/>
      <c r="F616" s="1115"/>
      <c r="G616" s="1115"/>
      <c r="H616" s="1116"/>
      <c r="I616" s="1115"/>
      <c r="J616" s="1113"/>
    </row>
    <row r="617">
      <c r="A617" s="1113"/>
      <c r="B617" s="1114"/>
      <c r="C617" s="1115"/>
      <c r="D617" s="1116"/>
      <c r="E617" s="1115"/>
      <c r="F617" s="1115"/>
      <c r="G617" s="1115"/>
      <c r="H617" s="1116"/>
      <c r="I617" s="1115"/>
      <c r="J617" s="1113"/>
    </row>
    <row r="618">
      <c r="A618" s="1113"/>
      <c r="B618" s="1114"/>
      <c r="C618" s="1115"/>
      <c r="D618" s="1116"/>
      <c r="E618" s="1115"/>
      <c r="F618" s="1115"/>
      <c r="G618" s="1115"/>
      <c r="H618" s="1116"/>
      <c r="I618" s="1115"/>
      <c r="J618" s="1113"/>
    </row>
    <row r="619">
      <c r="A619" s="1113"/>
      <c r="B619" s="1114"/>
      <c r="C619" s="1115"/>
      <c r="D619" s="1116"/>
      <c r="E619" s="1115"/>
      <c r="F619" s="1115"/>
      <c r="G619" s="1115"/>
      <c r="H619" s="1116"/>
      <c r="I619" s="1115"/>
      <c r="J619" s="1113"/>
    </row>
    <row r="620">
      <c r="A620" s="1113"/>
      <c r="B620" s="1114"/>
      <c r="C620" s="1115"/>
      <c r="D620" s="1116"/>
      <c r="E620" s="1115"/>
      <c r="F620" s="1115"/>
      <c r="G620" s="1115"/>
      <c r="H620" s="1116"/>
      <c r="I620" s="1115"/>
      <c r="J620" s="1113"/>
    </row>
    <row r="621">
      <c r="A621" s="1113"/>
      <c r="B621" s="1114"/>
      <c r="C621" s="1115"/>
      <c r="D621" s="1116"/>
      <c r="E621" s="1115"/>
      <c r="F621" s="1115"/>
      <c r="G621" s="1115"/>
      <c r="H621" s="1116"/>
      <c r="I621" s="1115"/>
      <c r="J621" s="1113"/>
    </row>
    <row r="622">
      <c r="A622" s="1113"/>
      <c r="B622" s="1114"/>
      <c r="C622" s="1115"/>
      <c r="D622" s="1116"/>
      <c r="E622" s="1115"/>
      <c r="F622" s="1115"/>
      <c r="G622" s="1115"/>
      <c r="H622" s="1116"/>
      <c r="I622" s="1115"/>
      <c r="J622" s="1113"/>
    </row>
    <row r="623">
      <c r="A623" s="1113"/>
      <c r="B623" s="1114"/>
      <c r="C623" s="1115"/>
      <c r="D623" s="1116"/>
      <c r="E623" s="1115"/>
      <c r="F623" s="1115"/>
      <c r="G623" s="1115"/>
      <c r="H623" s="1116"/>
      <c r="I623" s="1115"/>
      <c r="J623" s="1113"/>
    </row>
    <row r="624">
      <c r="A624" s="1113"/>
      <c r="B624" s="1114"/>
      <c r="C624" s="1115"/>
      <c r="D624" s="1116"/>
      <c r="E624" s="1115"/>
      <c r="F624" s="1115"/>
      <c r="G624" s="1115"/>
      <c r="H624" s="1116"/>
      <c r="I624" s="1115"/>
      <c r="J624" s="1113"/>
    </row>
    <row r="625">
      <c r="A625" s="1113"/>
      <c r="B625" s="1114"/>
      <c r="C625" s="1115"/>
      <c r="D625" s="1116"/>
      <c r="E625" s="1115"/>
      <c r="F625" s="1115"/>
      <c r="G625" s="1115"/>
      <c r="H625" s="1116"/>
      <c r="I625" s="1115"/>
      <c r="J625" s="1113"/>
    </row>
    <row r="626">
      <c r="A626" s="1113"/>
      <c r="B626" s="1114"/>
      <c r="C626" s="1115"/>
      <c r="D626" s="1116"/>
      <c r="E626" s="1115"/>
      <c r="F626" s="1115"/>
      <c r="G626" s="1115"/>
      <c r="H626" s="1116"/>
      <c r="I626" s="1115"/>
      <c r="J626" s="1113"/>
    </row>
    <row r="627">
      <c r="A627" s="1113"/>
      <c r="B627" s="1114"/>
      <c r="C627" s="1115"/>
      <c r="D627" s="1116"/>
      <c r="E627" s="1115"/>
      <c r="F627" s="1115"/>
      <c r="G627" s="1115"/>
      <c r="H627" s="1116"/>
      <c r="I627" s="1115"/>
      <c r="J627" s="1113"/>
    </row>
    <row r="628">
      <c r="A628" s="1113"/>
      <c r="B628" s="1114"/>
      <c r="C628" s="1115"/>
      <c r="D628" s="1116"/>
      <c r="E628" s="1115"/>
      <c r="F628" s="1115"/>
      <c r="G628" s="1115"/>
      <c r="H628" s="1116"/>
      <c r="I628" s="1115"/>
      <c r="J628" s="1113"/>
    </row>
    <row r="629">
      <c r="A629" s="1113"/>
      <c r="B629" s="1114"/>
      <c r="C629" s="1115"/>
      <c r="D629" s="1116"/>
      <c r="E629" s="1115"/>
      <c r="F629" s="1115"/>
      <c r="G629" s="1115"/>
      <c r="H629" s="1116"/>
      <c r="I629" s="1115"/>
      <c r="J629" s="1113"/>
    </row>
    <row r="630">
      <c r="A630" s="1113"/>
      <c r="B630" s="1114"/>
      <c r="C630" s="1115"/>
      <c r="D630" s="1116"/>
      <c r="E630" s="1115"/>
      <c r="F630" s="1115"/>
      <c r="G630" s="1115"/>
      <c r="H630" s="1116"/>
      <c r="I630" s="1115"/>
      <c r="J630" s="1113"/>
    </row>
    <row r="631">
      <c r="A631" s="1113"/>
      <c r="B631" s="1114"/>
      <c r="C631" s="1115"/>
      <c r="D631" s="1116"/>
      <c r="E631" s="1115"/>
      <c r="F631" s="1115"/>
      <c r="G631" s="1115"/>
      <c r="H631" s="1116"/>
      <c r="I631" s="1115"/>
      <c r="J631" s="1113"/>
    </row>
    <row r="632">
      <c r="A632" s="1113"/>
      <c r="B632" s="1114"/>
      <c r="C632" s="1115"/>
      <c r="D632" s="1116"/>
      <c r="E632" s="1115"/>
      <c r="F632" s="1115"/>
      <c r="G632" s="1115"/>
      <c r="H632" s="1116"/>
      <c r="I632" s="1115"/>
      <c r="J632" s="1113"/>
    </row>
    <row r="633">
      <c r="A633" s="1113"/>
      <c r="B633" s="1114"/>
      <c r="C633" s="1115"/>
      <c r="D633" s="1116"/>
      <c r="E633" s="1115"/>
      <c r="F633" s="1115"/>
      <c r="G633" s="1115"/>
      <c r="H633" s="1116"/>
      <c r="I633" s="1115"/>
      <c r="J633" s="1113"/>
    </row>
    <row r="634">
      <c r="A634" s="1113"/>
      <c r="B634" s="1114"/>
      <c r="C634" s="1115"/>
      <c r="D634" s="1116"/>
      <c r="E634" s="1115"/>
      <c r="F634" s="1115"/>
      <c r="G634" s="1115"/>
      <c r="H634" s="1116"/>
      <c r="I634" s="1115"/>
      <c r="J634" s="1113"/>
    </row>
    <row r="635">
      <c r="A635" s="1113"/>
      <c r="B635" s="1114"/>
      <c r="C635" s="1115"/>
      <c r="D635" s="1116"/>
      <c r="E635" s="1115"/>
      <c r="F635" s="1115"/>
      <c r="G635" s="1115"/>
      <c r="H635" s="1116"/>
      <c r="I635" s="1115"/>
      <c r="J635" s="1113"/>
    </row>
    <row r="636">
      <c r="A636" s="1113"/>
      <c r="B636" s="1114"/>
      <c r="C636" s="1115"/>
      <c r="D636" s="1116"/>
      <c r="E636" s="1115"/>
      <c r="F636" s="1115"/>
      <c r="G636" s="1115"/>
      <c r="H636" s="1116"/>
      <c r="I636" s="1115"/>
      <c r="J636" s="1113"/>
    </row>
    <row r="637">
      <c r="A637" s="1113"/>
      <c r="B637" s="1114"/>
      <c r="C637" s="1115"/>
      <c r="D637" s="1116"/>
      <c r="E637" s="1115"/>
      <c r="F637" s="1115"/>
      <c r="G637" s="1115"/>
      <c r="H637" s="1116"/>
      <c r="I637" s="1115"/>
      <c r="J637" s="1113"/>
    </row>
    <row r="638">
      <c r="A638" s="1113"/>
      <c r="B638" s="1114"/>
      <c r="C638" s="1115"/>
      <c r="D638" s="1116"/>
      <c r="E638" s="1115"/>
      <c r="F638" s="1115"/>
      <c r="G638" s="1115"/>
      <c r="H638" s="1116"/>
      <c r="I638" s="1115"/>
      <c r="J638" s="1113"/>
    </row>
    <row r="639">
      <c r="A639" s="1113"/>
      <c r="B639" s="1114"/>
      <c r="C639" s="1115"/>
      <c r="D639" s="1116"/>
      <c r="E639" s="1115"/>
      <c r="F639" s="1115"/>
      <c r="G639" s="1115"/>
      <c r="H639" s="1116"/>
      <c r="I639" s="1115"/>
      <c r="J639" s="1113"/>
    </row>
    <row r="640">
      <c r="A640" s="1113"/>
      <c r="B640" s="1114"/>
      <c r="C640" s="1115"/>
      <c r="D640" s="1116"/>
      <c r="E640" s="1115"/>
      <c r="F640" s="1115"/>
      <c r="G640" s="1115"/>
      <c r="H640" s="1116"/>
      <c r="I640" s="1115"/>
      <c r="J640" s="1113"/>
    </row>
    <row r="641">
      <c r="A641" s="1113"/>
      <c r="B641" s="1114"/>
      <c r="C641" s="1115"/>
      <c r="D641" s="1116"/>
      <c r="E641" s="1115"/>
      <c r="F641" s="1115"/>
      <c r="G641" s="1115"/>
      <c r="H641" s="1116"/>
      <c r="I641" s="1115"/>
      <c r="J641" s="1113"/>
    </row>
    <row r="642">
      <c r="A642" s="1113"/>
      <c r="B642" s="1114"/>
      <c r="C642" s="1115"/>
      <c r="D642" s="1116"/>
      <c r="E642" s="1115"/>
      <c r="F642" s="1115"/>
      <c r="G642" s="1115"/>
      <c r="H642" s="1116"/>
      <c r="I642" s="1115"/>
      <c r="J642" s="1113"/>
    </row>
    <row r="643">
      <c r="A643" s="1113"/>
      <c r="B643" s="1114"/>
      <c r="C643" s="1115"/>
      <c r="D643" s="1116"/>
      <c r="E643" s="1115"/>
      <c r="F643" s="1115"/>
      <c r="G643" s="1115"/>
      <c r="H643" s="1116"/>
      <c r="I643" s="1115"/>
      <c r="J643" s="1113"/>
    </row>
    <row r="644">
      <c r="A644" s="1113"/>
      <c r="B644" s="1114"/>
      <c r="C644" s="1115"/>
      <c r="D644" s="1116"/>
      <c r="E644" s="1115"/>
      <c r="F644" s="1115"/>
      <c r="G644" s="1115"/>
      <c r="H644" s="1116"/>
      <c r="I644" s="1115"/>
      <c r="J644" s="1113"/>
    </row>
    <row r="645">
      <c r="A645" s="1113"/>
      <c r="B645" s="1114"/>
      <c r="C645" s="1115"/>
      <c r="D645" s="1116"/>
      <c r="E645" s="1115"/>
      <c r="F645" s="1115"/>
      <c r="G645" s="1115"/>
      <c r="H645" s="1116"/>
      <c r="I645" s="1115"/>
      <c r="J645" s="1113"/>
    </row>
    <row r="646">
      <c r="A646" s="1113"/>
      <c r="B646" s="1114"/>
      <c r="C646" s="1115"/>
      <c r="D646" s="1116"/>
      <c r="E646" s="1115"/>
      <c r="F646" s="1115"/>
      <c r="G646" s="1115"/>
      <c r="H646" s="1116"/>
      <c r="I646" s="1115"/>
      <c r="J646" s="1113"/>
    </row>
    <row r="647">
      <c r="A647" s="1113"/>
      <c r="B647" s="1114"/>
      <c r="C647" s="1115"/>
      <c r="D647" s="1116"/>
      <c r="E647" s="1115"/>
      <c r="F647" s="1115"/>
      <c r="G647" s="1115"/>
      <c r="H647" s="1116"/>
      <c r="I647" s="1115"/>
      <c r="J647" s="1113"/>
    </row>
    <row r="648">
      <c r="A648" s="1113"/>
      <c r="B648" s="1114"/>
      <c r="C648" s="1115"/>
      <c r="D648" s="1116"/>
      <c r="E648" s="1115"/>
      <c r="F648" s="1115"/>
      <c r="G648" s="1115"/>
      <c r="H648" s="1116"/>
      <c r="I648" s="1115"/>
      <c r="J648" s="1113"/>
    </row>
    <row r="649">
      <c r="A649" s="1113"/>
      <c r="B649" s="1114"/>
      <c r="C649" s="1115"/>
      <c r="D649" s="1116"/>
      <c r="E649" s="1115"/>
      <c r="F649" s="1115"/>
      <c r="G649" s="1115"/>
      <c r="H649" s="1116"/>
      <c r="I649" s="1115"/>
      <c r="J649" s="1113"/>
    </row>
    <row r="650">
      <c r="A650" s="1113"/>
      <c r="B650" s="1114"/>
      <c r="C650" s="1115"/>
      <c r="D650" s="1116"/>
      <c r="E650" s="1115"/>
      <c r="F650" s="1115"/>
      <c r="G650" s="1115"/>
      <c r="H650" s="1116"/>
      <c r="I650" s="1115"/>
      <c r="J650" s="1113"/>
    </row>
    <row r="651">
      <c r="A651" s="1113"/>
      <c r="B651" s="1114"/>
      <c r="C651" s="1115"/>
      <c r="D651" s="1116"/>
      <c r="E651" s="1115"/>
      <c r="F651" s="1115"/>
      <c r="G651" s="1115"/>
      <c r="H651" s="1116"/>
      <c r="I651" s="1115"/>
      <c r="J651" s="1113"/>
    </row>
    <row r="652">
      <c r="A652" s="1113"/>
      <c r="B652" s="1114"/>
      <c r="C652" s="1115"/>
      <c r="D652" s="1116"/>
      <c r="E652" s="1115"/>
      <c r="F652" s="1115"/>
      <c r="G652" s="1115"/>
      <c r="H652" s="1116"/>
      <c r="I652" s="1115"/>
      <c r="J652" s="1113"/>
    </row>
    <row r="653">
      <c r="A653" s="1113"/>
      <c r="B653" s="1114"/>
      <c r="C653" s="1115"/>
      <c r="D653" s="1116"/>
      <c r="E653" s="1115"/>
      <c r="F653" s="1115"/>
      <c r="G653" s="1115"/>
      <c r="H653" s="1116"/>
      <c r="I653" s="1115"/>
      <c r="J653" s="1113"/>
    </row>
    <row r="654">
      <c r="A654" s="1113"/>
      <c r="B654" s="1114"/>
      <c r="C654" s="1115"/>
      <c r="D654" s="1116"/>
      <c r="E654" s="1115"/>
      <c r="F654" s="1115"/>
      <c r="G654" s="1115"/>
      <c r="H654" s="1116"/>
      <c r="I654" s="1115"/>
      <c r="J654" s="1113"/>
    </row>
    <row r="655">
      <c r="A655" s="1113"/>
      <c r="B655" s="1114"/>
      <c r="C655" s="1115"/>
      <c r="D655" s="1116"/>
      <c r="E655" s="1115"/>
      <c r="F655" s="1115"/>
      <c r="G655" s="1115"/>
      <c r="H655" s="1116"/>
      <c r="I655" s="1115"/>
      <c r="J655" s="1113"/>
    </row>
    <row r="656">
      <c r="A656" s="1113"/>
      <c r="B656" s="1114"/>
      <c r="C656" s="1115"/>
      <c r="D656" s="1116"/>
      <c r="E656" s="1115"/>
      <c r="F656" s="1115"/>
      <c r="G656" s="1115"/>
      <c r="H656" s="1116"/>
      <c r="I656" s="1115"/>
      <c r="J656" s="1113"/>
    </row>
    <row r="657">
      <c r="A657" s="1113"/>
      <c r="B657" s="1114"/>
      <c r="C657" s="1115"/>
      <c r="D657" s="1116"/>
      <c r="E657" s="1115"/>
      <c r="F657" s="1115"/>
      <c r="G657" s="1115"/>
      <c r="H657" s="1116"/>
      <c r="I657" s="1115"/>
      <c r="J657" s="1113"/>
    </row>
    <row r="658">
      <c r="A658" s="1113"/>
      <c r="B658" s="1114"/>
      <c r="C658" s="1115"/>
      <c r="D658" s="1116"/>
      <c r="E658" s="1115"/>
      <c r="F658" s="1115"/>
      <c r="G658" s="1115"/>
      <c r="H658" s="1116"/>
      <c r="I658" s="1115"/>
      <c r="J658" s="1113"/>
    </row>
    <row r="659">
      <c r="A659" s="1113"/>
      <c r="B659" s="1114"/>
      <c r="C659" s="1115"/>
      <c r="D659" s="1116"/>
      <c r="E659" s="1115"/>
      <c r="F659" s="1115"/>
      <c r="G659" s="1115"/>
      <c r="H659" s="1116"/>
      <c r="I659" s="1115"/>
      <c r="J659" s="1113"/>
    </row>
    <row r="660">
      <c r="A660" s="1113"/>
      <c r="B660" s="1114"/>
      <c r="C660" s="1115"/>
      <c r="D660" s="1116"/>
      <c r="E660" s="1115"/>
      <c r="F660" s="1115"/>
      <c r="G660" s="1115"/>
      <c r="H660" s="1116"/>
      <c r="I660" s="1115"/>
      <c r="J660" s="1113"/>
    </row>
    <row r="661">
      <c r="A661" s="1113"/>
      <c r="B661" s="1114"/>
      <c r="C661" s="1115"/>
      <c r="D661" s="1116"/>
      <c r="E661" s="1115"/>
      <c r="F661" s="1115"/>
      <c r="G661" s="1115"/>
      <c r="H661" s="1116"/>
      <c r="I661" s="1115"/>
      <c r="J661" s="1113"/>
    </row>
    <row r="662">
      <c r="A662" s="1113"/>
      <c r="B662" s="1114"/>
      <c r="C662" s="1115"/>
      <c r="D662" s="1116"/>
      <c r="E662" s="1115"/>
      <c r="F662" s="1115"/>
      <c r="G662" s="1115"/>
      <c r="H662" s="1116"/>
      <c r="I662" s="1115"/>
      <c r="J662" s="1113"/>
    </row>
    <row r="663">
      <c r="A663" s="1113"/>
      <c r="B663" s="1114"/>
      <c r="C663" s="1115"/>
      <c r="D663" s="1116"/>
      <c r="E663" s="1115"/>
      <c r="F663" s="1115"/>
      <c r="G663" s="1115"/>
      <c r="H663" s="1116"/>
      <c r="I663" s="1115"/>
      <c r="J663" s="1113"/>
    </row>
    <row r="664">
      <c r="A664" s="1113"/>
      <c r="B664" s="1114"/>
      <c r="C664" s="1115"/>
      <c r="D664" s="1116"/>
      <c r="E664" s="1115"/>
      <c r="F664" s="1115"/>
      <c r="G664" s="1115"/>
      <c r="H664" s="1116"/>
      <c r="I664" s="1115"/>
      <c r="J664" s="1113"/>
    </row>
    <row r="665">
      <c r="A665" s="1113"/>
      <c r="B665" s="1114"/>
      <c r="C665" s="1115"/>
      <c r="D665" s="1116"/>
      <c r="E665" s="1115"/>
      <c r="F665" s="1115"/>
      <c r="G665" s="1115"/>
      <c r="H665" s="1116"/>
      <c r="I665" s="1115"/>
      <c r="J665" s="1113"/>
    </row>
    <row r="666">
      <c r="A666" s="1113"/>
      <c r="B666" s="1114"/>
      <c r="C666" s="1115"/>
      <c r="D666" s="1116"/>
      <c r="E666" s="1115"/>
      <c r="F666" s="1115"/>
      <c r="G666" s="1115"/>
      <c r="H666" s="1116"/>
      <c r="I666" s="1115"/>
      <c r="J666" s="1113"/>
    </row>
    <row r="667">
      <c r="A667" s="1113"/>
      <c r="B667" s="1114"/>
      <c r="C667" s="1115"/>
      <c r="D667" s="1116"/>
      <c r="E667" s="1115"/>
      <c r="F667" s="1115"/>
      <c r="G667" s="1115"/>
      <c r="H667" s="1116"/>
      <c r="I667" s="1115"/>
      <c r="J667" s="1113"/>
    </row>
    <row r="668">
      <c r="A668" s="1113"/>
      <c r="B668" s="1114"/>
      <c r="C668" s="1115"/>
      <c r="D668" s="1116"/>
      <c r="E668" s="1115"/>
      <c r="F668" s="1115"/>
      <c r="G668" s="1115"/>
      <c r="H668" s="1116"/>
      <c r="I668" s="1115"/>
      <c r="J668" s="1113"/>
    </row>
    <row r="669">
      <c r="A669" s="1113"/>
      <c r="B669" s="1114"/>
      <c r="C669" s="1115"/>
      <c r="D669" s="1116"/>
      <c r="E669" s="1115"/>
      <c r="F669" s="1115"/>
      <c r="G669" s="1115"/>
      <c r="H669" s="1116"/>
      <c r="I669" s="1115"/>
      <c r="J669" s="1113"/>
    </row>
    <row r="670">
      <c r="A670" s="1113"/>
      <c r="B670" s="1114"/>
      <c r="C670" s="1115"/>
      <c r="D670" s="1116"/>
      <c r="E670" s="1115"/>
      <c r="F670" s="1115"/>
      <c r="G670" s="1115"/>
      <c r="H670" s="1116"/>
      <c r="I670" s="1115"/>
      <c r="J670" s="1113"/>
    </row>
    <row r="671">
      <c r="A671" s="1113"/>
      <c r="B671" s="1114"/>
      <c r="C671" s="1115"/>
      <c r="D671" s="1116"/>
      <c r="E671" s="1115"/>
      <c r="F671" s="1115"/>
      <c r="G671" s="1115"/>
      <c r="H671" s="1116"/>
      <c r="I671" s="1115"/>
      <c r="J671" s="1113"/>
    </row>
    <row r="672">
      <c r="A672" s="1113"/>
      <c r="B672" s="1114"/>
      <c r="C672" s="1115"/>
      <c r="D672" s="1116"/>
      <c r="E672" s="1115"/>
      <c r="F672" s="1115"/>
      <c r="G672" s="1115"/>
      <c r="H672" s="1116"/>
      <c r="I672" s="1115"/>
      <c r="J672" s="1113"/>
    </row>
    <row r="673">
      <c r="A673" s="1113"/>
      <c r="B673" s="1114"/>
      <c r="C673" s="1115"/>
      <c r="D673" s="1116"/>
      <c r="E673" s="1115"/>
      <c r="F673" s="1115"/>
      <c r="G673" s="1115"/>
      <c r="H673" s="1116"/>
      <c r="I673" s="1115"/>
      <c r="J673" s="1113"/>
    </row>
    <row r="674">
      <c r="A674" s="1113"/>
      <c r="B674" s="1114"/>
      <c r="C674" s="1115"/>
      <c r="D674" s="1116"/>
      <c r="E674" s="1115"/>
      <c r="F674" s="1115"/>
      <c r="G674" s="1115"/>
      <c r="H674" s="1116"/>
      <c r="I674" s="1115"/>
      <c r="J674" s="1113"/>
    </row>
    <row r="675">
      <c r="A675" s="1113"/>
      <c r="B675" s="1114"/>
      <c r="C675" s="1115"/>
      <c r="D675" s="1116"/>
      <c r="E675" s="1115"/>
      <c r="F675" s="1115"/>
      <c r="G675" s="1115"/>
      <c r="H675" s="1116"/>
      <c r="I675" s="1115"/>
      <c r="J675" s="1113"/>
    </row>
    <row r="676">
      <c r="A676" s="1113"/>
      <c r="B676" s="1114"/>
      <c r="C676" s="1115"/>
      <c r="D676" s="1116"/>
      <c r="E676" s="1115"/>
      <c r="F676" s="1115"/>
      <c r="G676" s="1115"/>
      <c r="H676" s="1116"/>
      <c r="I676" s="1115"/>
      <c r="J676" s="1113"/>
    </row>
    <row r="677">
      <c r="A677" s="1113"/>
      <c r="B677" s="1114"/>
      <c r="C677" s="1115"/>
      <c r="D677" s="1116"/>
      <c r="E677" s="1115"/>
      <c r="F677" s="1115"/>
      <c r="G677" s="1115"/>
      <c r="H677" s="1116"/>
      <c r="I677" s="1115"/>
      <c r="J677" s="1113"/>
    </row>
    <row r="678">
      <c r="A678" s="1113"/>
      <c r="B678" s="1114"/>
      <c r="C678" s="1115"/>
      <c r="D678" s="1116"/>
      <c r="E678" s="1115"/>
      <c r="F678" s="1115"/>
      <c r="G678" s="1115"/>
      <c r="H678" s="1116"/>
      <c r="I678" s="1115"/>
      <c r="J678" s="1113"/>
    </row>
    <row r="679">
      <c r="A679" s="1113"/>
      <c r="B679" s="1114"/>
      <c r="C679" s="1115"/>
      <c r="D679" s="1116"/>
      <c r="E679" s="1115"/>
      <c r="F679" s="1115"/>
      <c r="G679" s="1115"/>
      <c r="H679" s="1116"/>
      <c r="I679" s="1115"/>
      <c r="J679" s="1113"/>
    </row>
    <row r="680">
      <c r="A680" s="1113"/>
      <c r="B680" s="1114"/>
      <c r="C680" s="1115"/>
      <c r="D680" s="1116"/>
      <c r="E680" s="1115"/>
      <c r="F680" s="1115"/>
      <c r="G680" s="1115"/>
      <c r="H680" s="1116"/>
      <c r="I680" s="1115"/>
      <c r="J680" s="1113"/>
    </row>
    <row r="681">
      <c r="A681" s="1113"/>
      <c r="B681" s="1114"/>
      <c r="C681" s="1115"/>
      <c r="D681" s="1116"/>
      <c r="E681" s="1115"/>
      <c r="F681" s="1115"/>
      <c r="G681" s="1115"/>
      <c r="H681" s="1116"/>
      <c r="I681" s="1115"/>
      <c r="J681" s="1113"/>
    </row>
    <row r="682">
      <c r="A682" s="1113"/>
      <c r="B682" s="1114"/>
      <c r="C682" s="1115"/>
      <c r="D682" s="1116"/>
      <c r="E682" s="1115"/>
      <c r="F682" s="1115"/>
      <c r="G682" s="1115"/>
      <c r="H682" s="1116"/>
      <c r="I682" s="1115"/>
      <c r="J682" s="1113"/>
    </row>
    <row r="683">
      <c r="A683" s="1113"/>
      <c r="B683" s="1114"/>
      <c r="C683" s="1115"/>
      <c r="D683" s="1116"/>
      <c r="E683" s="1115"/>
      <c r="F683" s="1115"/>
      <c r="G683" s="1115"/>
      <c r="H683" s="1116"/>
      <c r="I683" s="1115"/>
      <c r="J683" s="1113"/>
    </row>
    <row r="684">
      <c r="A684" s="1113"/>
      <c r="B684" s="1114"/>
      <c r="C684" s="1115"/>
      <c r="D684" s="1116"/>
      <c r="E684" s="1115"/>
      <c r="F684" s="1115"/>
      <c r="G684" s="1115"/>
      <c r="H684" s="1116"/>
      <c r="I684" s="1115"/>
      <c r="J684" s="1113"/>
    </row>
    <row r="685">
      <c r="A685" s="1113"/>
      <c r="B685" s="1114"/>
      <c r="C685" s="1115"/>
      <c r="D685" s="1116"/>
      <c r="E685" s="1115"/>
      <c r="F685" s="1115"/>
      <c r="G685" s="1115"/>
      <c r="H685" s="1116"/>
      <c r="I685" s="1115"/>
      <c r="J685" s="1113"/>
    </row>
    <row r="686">
      <c r="A686" s="1113"/>
      <c r="B686" s="1114"/>
      <c r="C686" s="1115"/>
      <c r="D686" s="1116"/>
      <c r="E686" s="1115"/>
      <c r="F686" s="1115"/>
      <c r="G686" s="1115"/>
      <c r="H686" s="1116"/>
      <c r="I686" s="1115"/>
      <c r="J686" s="1113"/>
    </row>
    <row r="687">
      <c r="A687" s="1113"/>
      <c r="B687" s="1114"/>
      <c r="C687" s="1115"/>
      <c r="D687" s="1116"/>
      <c r="E687" s="1115"/>
      <c r="F687" s="1115"/>
      <c r="G687" s="1115"/>
      <c r="H687" s="1116"/>
      <c r="I687" s="1115"/>
      <c r="J687" s="1113"/>
    </row>
    <row r="688">
      <c r="A688" s="1113"/>
      <c r="B688" s="1114"/>
      <c r="C688" s="1115"/>
      <c r="D688" s="1116"/>
      <c r="E688" s="1115"/>
      <c r="F688" s="1115"/>
      <c r="G688" s="1115"/>
      <c r="H688" s="1116"/>
      <c r="I688" s="1115"/>
      <c r="J688" s="1113"/>
    </row>
    <row r="689">
      <c r="A689" s="1113"/>
      <c r="B689" s="1114"/>
      <c r="C689" s="1115"/>
      <c r="D689" s="1116"/>
      <c r="E689" s="1115"/>
      <c r="F689" s="1115"/>
      <c r="G689" s="1115"/>
      <c r="H689" s="1116"/>
      <c r="I689" s="1115"/>
      <c r="J689" s="1113"/>
    </row>
    <row r="690">
      <c r="A690" s="1113"/>
      <c r="B690" s="1114"/>
      <c r="C690" s="1115"/>
      <c r="D690" s="1116"/>
      <c r="E690" s="1115"/>
      <c r="F690" s="1115"/>
      <c r="G690" s="1115"/>
      <c r="H690" s="1116"/>
      <c r="I690" s="1115"/>
      <c r="J690" s="1113"/>
    </row>
    <row r="691">
      <c r="A691" s="1113"/>
      <c r="B691" s="1114"/>
      <c r="C691" s="1115"/>
      <c r="D691" s="1116"/>
      <c r="E691" s="1115"/>
      <c r="F691" s="1115"/>
      <c r="G691" s="1115"/>
      <c r="H691" s="1116"/>
      <c r="I691" s="1115"/>
      <c r="J691" s="1113"/>
    </row>
    <row r="692">
      <c r="A692" s="1113"/>
      <c r="B692" s="1114"/>
      <c r="C692" s="1115"/>
      <c r="D692" s="1116"/>
      <c r="E692" s="1115"/>
      <c r="F692" s="1115"/>
      <c r="G692" s="1115"/>
      <c r="H692" s="1116"/>
      <c r="I692" s="1115"/>
      <c r="J692" s="1113"/>
    </row>
    <row r="693">
      <c r="A693" s="1113"/>
      <c r="B693" s="1114"/>
      <c r="C693" s="1115"/>
      <c r="D693" s="1116"/>
      <c r="E693" s="1115"/>
      <c r="F693" s="1115"/>
      <c r="G693" s="1115"/>
      <c r="H693" s="1116"/>
      <c r="I693" s="1115"/>
      <c r="J693" s="1113"/>
    </row>
    <row r="694">
      <c r="A694" s="1113"/>
      <c r="B694" s="1114"/>
      <c r="C694" s="1115"/>
      <c r="D694" s="1116"/>
      <c r="E694" s="1115"/>
      <c r="F694" s="1115"/>
      <c r="G694" s="1115"/>
      <c r="H694" s="1116"/>
      <c r="I694" s="1115"/>
      <c r="J694" s="1113"/>
    </row>
    <row r="695">
      <c r="A695" s="1113"/>
      <c r="B695" s="1114"/>
      <c r="C695" s="1115"/>
      <c r="D695" s="1116"/>
      <c r="E695" s="1115"/>
      <c r="F695" s="1115"/>
      <c r="G695" s="1115"/>
      <c r="H695" s="1116"/>
      <c r="I695" s="1115"/>
      <c r="J695" s="1113"/>
    </row>
    <row r="696">
      <c r="A696" s="1113"/>
      <c r="B696" s="1114"/>
      <c r="C696" s="1115"/>
      <c r="D696" s="1116"/>
      <c r="E696" s="1115"/>
      <c r="F696" s="1115"/>
      <c r="G696" s="1115"/>
      <c r="H696" s="1116"/>
      <c r="I696" s="1115"/>
      <c r="J696" s="1113"/>
    </row>
    <row r="697">
      <c r="A697" s="1113"/>
      <c r="B697" s="1114"/>
      <c r="C697" s="1115"/>
      <c r="D697" s="1116"/>
      <c r="E697" s="1115"/>
      <c r="F697" s="1115"/>
      <c r="G697" s="1115"/>
      <c r="H697" s="1116"/>
      <c r="I697" s="1115"/>
      <c r="J697" s="1113"/>
    </row>
    <row r="698">
      <c r="A698" s="1113"/>
      <c r="B698" s="1114"/>
      <c r="C698" s="1115"/>
      <c r="D698" s="1116"/>
      <c r="E698" s="1115"/>
      <c r="F698" s="1115"/>
      <c r="G698" s="1115"/>
      <c r="H698" s="1116"/>
      <c r="I698" s="1115"/>
      <c r="J698" s="1113"/>
    </row>
    <row r="699">
      <c r="A699" s="1113"/>
      <c r="B699" s="1114"/>
      <c r="C699" s="1115"/>
      <c r="D699" s="1116"/>
      <c r="E699" s="1115"/>
      <c r="F699" s="1115"/>
      <c r="G699" s="1115"/>
      <c r="H699" s="1116"/>
      <c r="I699" s="1115"/>
      <c r="J699" s="1113"/>
    </row>
    <row r="700">
      <c r="A700" s="1113"/>
      <c r="B700" s="1114"/>
      <c r="C700" s="1115"/>
      <c r="D700" s="1116"/>
      <c r="E700" s="1115"/>
      <c r="F700" s="1115"/>
      <c r="G700" s="1115"/>
      <c r="H700" s="1116"/>
      <c r="I700" s="1115"/>
      <c r="J700" s="1113"/>
    </row>
    <row r="701">
      <c r="A701" s="1113"/>
      <c r="B701" s="1114"/>
      <c r="C701" s="1115"/>
      <c r="D701" s="1116"/>
      <c r="E701" s="1115"/>
      <c r="F701" s="1115"/>
      <c r="G701" s="1115"/>
      <c r="H701" s="1116"/>
      <c r="I701" s="1115"/>
      <c r="J701" s="1113"/>
    </row>
    <row r="702">
      <c r="A702" s="1113"/>
      <c r="B702" s="1114"/>
      <c r="C702" s="1115"/>
      <c r="D702" s="1116"/>
      <c r="E702" s="1115"/>
      <c r="F702" s="1115"/>
      <c r="G702" s="1115"/>
      <c r="H702" s="1116"/>
      <c r="I702" s="1115"/>
      <c r="J702" s="1113"/>
    </row>
    <row r="703">
      <c r="A703" s="1113"/>
      <c r="B703" s="1114"/>
      <c r="C703" s="1115"/>
      <c r="D703" s="1116"/>
      <c r="E703" s="1115"/>
      <c r="F703" s="1115"/>
      <c r="G703" s="1115"/>
      <c r="H703" s="1116"/>
      <c r="I703" s="1115"/>
      <c r="J703" s="1113"/>
    </row>
    <row r="704">
      <c r="A704" s="1113"/>
      <c r="B704" s="1114"/>
      <c r="C704" s="1115"/>
      <c r="D704" s="1116"/>
      <c r="E704" s="1115"/>
      <c r="F704" s="1115"/>
      <c r="G704" s="1115"/>
      <c r="H704" s="1116"/>
      <c r="I704" s="1115"/>
      <c r="J704" s="1113"/>
    </row>
    <row r="705">
      <c r="A705" s="1113"/>
      <c r="B705" s="1114"/>
      <c r="C705" s="1115"/>
      <c r="D705" s="1116"/>
      <c r="E705" s="1115"/>
      <c r="F705" s="1115"/>
      <c r="G705" s="1115"/>
      <c r="H705" s="1116"/>
      <c r="I705" s="1115"/>
      <c r="J705" s="1113"/>
    </row>
    <row r="706">
      <c r="A706" s="1113"/>
      <c r="B706" s="1114"/>
      <c r="C706" s="1115"/>
      <c r="D706" s="1116"/>
      <c r="E706" s="1115"/>
      <c r="F706" s="1115"/>
      <c r="G706" s="1115"/>
      <c r="H706" s="1116"/>
      <c r="I706" s="1115"/>
      <c r="J706" s="1113"/>
    </row>
    <row r="707">
      <c r="A707" s="1113"/>
      <c r="B707" s="1114"/>
      <c r="C707" s="1115"/>
      <c r="D707" s="1116"/>
      <c r="E707" s="1115"/>
      <c r="F707" s="1115"/>
      <c r="G707" s="1115"/>
      <c r="H707" s="1116"/>
      <c r="I707" s="1115"/>
      <c r="J707" s="1113"/>
    </row>
    <row r="708">
      <c r="A708" s="1113"/>
      <c r="B708" s="1114"/>
      <c r="C708" s="1115"/>
      <c r="D708" s="1116"/>
      <c r="E708" s="1115"/>
      <c r="F708" s="1115"/>
      <c r="G708" s="1115"/>
      <c r="H708" s="1116"/>
      <c r="I708" s="1115"/>
      <c r="J708" s="1113"/>
    </row>
    <row r="709">
      <c r="A709" s="1113"/>
      <c r="B709" s="1114"/>
      <c r="C709" s="1115"/>
      <c r="D709" s="1116"/>
      <c r="E709" s="1115"/>
      <c r="F709" s="1115"/>
      <c r="G709" s="1115"/>
      <c r="H709" s="1116"/>
      <c r="I709" s="1115"/>
      <c r="J709" s="1113"/>
    </row>
    <row r="710">
      <c r="A710" s="1113"/>
      <c r="B710" s="1114"/>
      <c r="C710" s="1115"/>
      <c r="D710" s="1116"/>
      <c r="E710" s="1115"/>
      <c r="F710" s="1115"/>
      <c r="G710" s="1115"/>
      <c r="H710" s="1116"/>
      <c r="I710" s="1115"/>
      <c r="J710" s="1113"/>
    </row>
    <row r="711">
      <c r="A711" s="1113"/>
      <c r="B711" s="1114"/>
      <c r="C711" s="1115"/>
      <c r="D711" s="1116"/>
      <c r="E711" s="1115"/>
      <c r="F711" s="1115"/>
      <c r="G711" s="1115"/>
      <c r="H711" s="1116"/>
      <c r="I711" s="1115"/>
      <c r="J711" s="1113"/>
    </row>
    <row r="712">
      <c r="A712" s="1113"/>
      <c r="B712" s="1114"/>
      <c r="C712" s="1115"/>
      <c r="D712" s="1116"/>
      <c r="E712" s="1115"/>
      <c r="F712" s="1115"/>
      <c r="G712" s="1115"/>
      <c r="H712" s="1116"/>
      <c r="I712" s="1115"/>
      <c r="J712" s="1113"/>
    </row>
    <row r="713">
      <c r="A713" s="1113"/>
      <c r="B713" s="1114"/>
      <c r="C713" s="1115"/>
      <c r="D713" s="1116"/>
      <c r="E713" s="1115"/>
      <c r="F713" s="1115"/>
      <c r="G713" s="1115"/>
      <c r="H713" s="1116"/>
      <c r="I713" s="1115"/>
      <c r="J713" s="1113"/>
    </row>
    <row r="714">
      <c r="A714" s="1113"/>
      <c r="B714" s="1114"/>
      <c r="C714" s="1115"/>
      <c r="D714" s="1116"/>
      <c r="E714" s="1115"/>
      <c r="F714" s="1115"/>
      <c r="G714" s="1115"/>
      <c r="H714" s="1116"/>
      <c r="I714" s="1115"/>
      <c r="J714" s="1113"/>
    </row>
    <row r="715">
      <c r="A715" s="1113"/>
      <c r="B715" s="1114"/>
      <c r="C715" s="1115"/>
      <c r="D715" s="1116"/>
      <c r="E715" s="1115"/>
      <c r="F715" s="1115"/>
      <c r="G715" s="1115"/>
      <c r="H715" s="1116"/>
      <c r="I715" s="1115"/>
      <c r="J715" s="1113"/>
    </row>
    <row r="716">
      <c r="A716" s="1113"/>
      <c r="B716" s="1114"/>
      <c r="C716" s="1115"/>
      <c r="D716" s="1116"/>
      <c r="E716" s="1115"/>
      <c r="F716" s="1115"/>
      <c r="G716" s="1115"/>
      <c r="H716" s="1116"/>
      <c r="I716" s="1115"/>
      <c r="J716" s="1113"/>
    </row>
    <row r="717">
      <c r="A717" s="1113"/>
      <c r="B717" s="1114"/>
      <c r="C717" s="1115"/>
      <c r="D717" s="1116"/>
      <c r="E717" s="1115"/>
      <c r="F717" s="1115"/>
      <c r="G717" s="1115"/>
      <c r="H717" s="1116"/>
      <c r="I717" s="1115"/>
      <c r="J717" s="1113"/>
    </row>
    <row r="718">
      <c r="A718" s="1113"/>
      <c r="B718" s="1114"/>
      <c r="C718" s="1115"/>
      <c r="D718" s="1116"/>
      <c r="E718" s="1115"/>
      <c r="F718" s="1115"/>
      <c r="G718" s="1115"/>
      <c r="H718" s="1116"/>
      <c r="I718" s="1115"/>
      <c r="J718" s="1113"/>
    </row>
    <row r="719">
      <c r="A719" s="1113"/>
      <c r="B719" s="1114"/>
      <c r="C719" s="1115"/>
      <c r="D719" s="1116"/>
      <c r="E719" s="1115"/>
      <c r="F719" s="1115"/>
      <c r="G719" s="1115"/>
      <c r="H719" s="1116"/>
      <c r="I719" s="1115"/>
      <c r="J719" s="1113"/>
    </row>
    <row r="720">
      <c r="A720" s="1113"/>
      <c r="B720" s="1114"/>
      <c r="C720" s="1115"/>
      <c r="D720" s="1116"/>
      <c r="E720" s="1115"/>
      <c r="F720" s="1115"/>
      <c r="G720" s="1115"/>
      <c r="H720" s="1116"/>
      <c r="I720" s="1115"/>
      <c r="J720" s="1113"/>
    </row>
    <row r="721">
      <c r="A721" s="1113"/>
      <c r="B721" s="1114"/>
      <c r="C721" s="1115"/>
      <c r="D721" s="1116"/>
      <c r="E721" s="1115"/>
      <c r="F721" s="1115"/>
      <c r="G721" s="1115"/>
      <c r="H721" s="1116"/>
      <c r="I721" s="1115"/>
      <c r="J721" s="1113"/>
    </row>
    <row r="722">
      <c r="A722" s="1113"/>
      <c r="B722" s="1114"/>
      <c r="C722" s="1115"/>
      <c r="D722" s="1116"/>
      <c r="E722" s="1115"/>
      <c r="F722" s="1115"/>
      <c r="G722" s="1115"/>
      <c r="H722" s="1116"/>
      <c r="I722" s="1115"/>
      <c r="J722" s="1113"/>
    </row>
    <row r="723">
      <c r="A723" s="1113"/>
      <c r="B723" s="1114"/>
      <c r="C723" s="1115"/>
      <c r="D723" s="1116"/>
      <c r="E723" s="1115"/>
      <c r="F723" s="1115"/>
      <c r="G723" s="1115"/>
      <c r="H723" s="1116"/>
      <c r="I723" s="1115"/>
      <c r="J723" s="1113"/>
    </row>
    <row r="724">
      <c r="A724" s="1113"/>
      <c r="B724" s="1114"/>
      <c r="C724" s="1115"/>
      <c r="D724" s="1116"/>
      <c r="E724" s="1115"/>
      <c r="F724" s="1115"/>
      <c r="G724" s="1115"/>
      <c r="H724" s="1116"/>
      <c r="I724" s="1115"/>
      <c r="J724" s="1113"/>
    </row>
    <row r="725">
      <c r="A725" s="1113"/>
      <c r="B725" s="1114"/>
      <c r="C725" s="1115"/>
      <c r="D725" s="1116"/>
      <c r="E725" s="1115"/>
      <c r="F725" s="1115"/>
      <c r="G725" s="1115"/>
      <c r="H725" s="1116"/>
      <c r="I725" s="1115"/>
      <c r="J725" s="1113"/>
    </row>
    <row r="726">
      <c r="A726" s="1113"/>
      <c r="B726" s="1114"/>
      <c r="C726" s="1115"/>
      <c r="D726" s="1116"/>
      <c r="E726" s="1115"/>
      <c r="F726" s="1115"/>
      <c r="G726" s="1115"/>
      <c r="H726" s="1116"/>
      <c r="I726" s="1115"/>
      <c r="J726" s="1113"/>
    </row>
    <row r="727">
      <c r="A727" s="1113"/>
      <c r="B727" s="1114"/>
      <c r="C727" s="1115"/>
      <c r="D727" s="1116"/>
      <c r="E727" s="1115"/>
      <c r="F727" s="1115"/>
      <c r="G727" s="1115"/>
      <c r="H727" s="1116"/>
      <c r="I727" s="1115"/>
      <c r="J727" s="1113"/>
    </row>
    <row r="728">
      <c r="A728" s="1113"/>
      <c r="B728" s="1114"/>
      <c r="C728" s="1115"/>
      <c r="D728" s="1116"/>
      <c r="E728" s="1115"/>
      <c r="F728" s="1115"/>
      <c r="G728" s="1115"/>
      <c r="H728" s="1116"/>
      <c r="I728" s="1115"/>
      <c r="J728" s="1113"/>
    </row>
    <row r="729">
      <c r="A729" s="1113"/>
      <c r="B729" s="1114"/>
      <c r="C729" s="1115"/>
      <c r="D729" s="1116"/>
      <c r="E729" s="1115"/>
      <c r="F729" s="1115"/>
      <c r="G729" s="1115"/>
      <c r="H729" s="1116"/>
      <c r="I729" s="1115"/>
      <c r="J729" s="1113"/>
    </row>
    <row r="730">
      <c r="A730" s="1113"/>
      <c r="B730" s="1114"/>
      <c r="C730" s="1115"/>
      <c r="D730" s="1116"/>
      <c r="E730" s="1115"/>
      <c r="F730" s="1115"/>
      <c r="G730" s="1115"/>
      <c r="H730" s="1116"/>
      <c r="I730" s="1115"/>
      <c r="J730" s="1113"/>
    </row>
    <row r="731">
      <c r="A731" s="1113"/>
      <c r="B731" s="1114"/>
      <c r="C731" s="1115"/>
      <c r="D731" s="1116"/>
      <c r="E731" s="1115"/>
      <c r="F731" s="1115"/>
      <c r="G731" s="1115"/>
      <c r="H731" s="1116"/>
      <c r="I731" s="1115"/>
      <c r="J731" s="1113"/>
    </row>
    <row r="732">
      <c r="A732" s="1113"/>
      <c r="B732" s="1114"/>
      <c r="C732" s="1115"/>
      <c r="D732" s="1116"/>
      <c r="E732" s="1115"/>
      <c r="F732" s="1115"/>
      <c r="G732" s="1115"/>
      <c r="H732" s="1116"/>
      <c r="I732" s="1115"/>
      <c r="J732" s="1113"/>
    </row>
    <row r="733">
      <c r="A733" s="1113"/>
      <c r="B733" s="1114"/>
      <c r="C733" s="1115"/>
      <c r="D733" s="1116"/>
      <c r="E733" s="1115"/>
      <c r="F733" s="1115"/>
      <c r="G733" s="1115"/>
      <c r="H733" s="1116"/>
      <c r="I733" s="1115"/>
      <c r="J733" s="1113"/>
    </row>
    <row r="734">
      <c r="A734" s="1113"/>
      <c r="B734" s="1114"/>
      <c r="C734" s="1115"/>
      <c r="D734" s="1116"/>
      <c r="E734" s="1115"/>
      <c r="F734" s="1115"/>
      <c r="G734" s="1115"/>
      <c r="H734" s="1116"/>
      <c r="I734" s="1115"/>
      <c r="J734" s="1113"/>
    </row>
    <row r="735">
      <c r="A735" s="1113"/>
      <c r="B735" s="1114"/>
      <c r="C735" s="1115"/>
      <c r="D735" s="1116"/>
      <c r="E735" s="1115"/>
      <c r="F735" s="1115"/>
      <c r="G735" s="1115"/>
      <c r="H735" s="1116"/>
      <c r="I735" s="1115"/>
      <c r="J735" s="1113"/>
    </row>
    <row r="736">
      <c r="A736" s="1113"/>
      <c r="B736" s="1114"/>
      <c r="C736" s="1115"/>
      <c r="D736" s="1116"/>
      <c r="E736" s="1115"/>
      <c r="F736" s="1115"/>
      <c r="G736" s="1115"/>
      <c r="H736" s="1116"/>
      <c r="I736" s="1115"/>
      <c r="J736" s="1113"/>
    </row>
    <row r="737">
      <c r="A737" s="1113"/>
      <c r="B737" s="1114"/>
      <c r="C737" s="1115"/>
      <c r="D737" s="1116"/>
      <c r="E737" s="1115"/>
      <c r="F737" s="1115"/>
      <c r="G737" s="1115"/>
      <c r="H737" s="1116"/>
      <c r="I737" s="1115"/>
      <c r="J737" s="1113"/>
    </row>
    <row r="738">
      <c r="A738" s="1113"/>
      <c r="B738" s="1114"/>
      <c r="C738" s="1115"/>
      <c r="D738" s="1116"/>
      <c r="E738" s="1115"/>
      <c r="F738" s="1115"/>
      <c r="G738" s="1115"/>
      <c r="H738" s="1116"/>
      <c r="I738" s="1115"/>
      <c r="J738" s="1113"/>
    </row>
    <row r="739">
      <c r="A739" s="1113"/>
      <c r="B739" s="1114"/>
      <c r="C739" s="1115"/>
      <c r="D739" s="1116"/>
      <c r="E739" s="1115"/>
      <c r="F739" s="1115"/>
      <c r="G739" s="1115"/>
      <c r="H739" s="1116"/>
      <c r="I739" s="1115"/>
      <c r="J739" s="1113"/>
    </row>
    <row r="740">
      <c r="A740" s="1113"/>
      <c r="B740" s="1114"/>
      <c r="C740" s="1115"/>
      <c r="D740" s="1116"/>
      <c r="E740" s="1115"/>
      <c r="F740" s="1115"/>
      <c r="G740" s="1115"/>
      <c r="H740" s="1116"/>
      <c r="I740" s="1115"/>
      <c r="J740" s="1113"/>
    </row>
    <row r="741">
      <c r="A741" s="1113"/>
      <c r="B741" s="1114"/>
      <c r="C741" s="1115"/>
      <c r="D741" s="1116"/>
      <c r="E741" s="1115"/>
      <c r="F741" s="1115"/>
      <c r="G741" s="1115"/>
      <c r="H741" s="1116"/>
      <c r="I741" s="1115"/>
      <c r="J741" s="1113"/>
    </row>
    <row r="742">
      <c r="A742" s="1113"/>
      <c r="B742" s="1114"/>
      <c r="C742" s="1115"/>
      <c r="D742" s="1116"/>
      <c r="E742" s="1115"/>
      <c r="F742" s="1115"/>
      <c r="G742" s="1115"/>
      <c r="H742" s="1116"/>
      <c r="I742" s="1115"/>
      <c r="J742" s="1113"/>
    </row>
    <row r="743">
      <c r="A743" s="1113"/>
      <c r="B743" s="1114"/>
      <c r="C743" s="1115"/>
      <c r="D743" s="1116"/>
      <c r="E743" s="1115"/>
      <c r="F743" s="1115"/>
      <c r="G743" s="1115"/>
      <c r="H743" s="1116"/>
      <c r="I743" s="1115"/>
      <c r="J743" s="1113"/>
    </row>
    <row r="744">
      <c r="A744" s="1113"/>
      <c r="B744" s="1114"/>
      <c r="C744" s="1115"/>
      <c r="D744" s="1116"/>
      <c r="E744" s="1115"/>
      <c r="F744" s="1115"/>
      <c r="G744" s="1115"/>
      <c r="H744" s="1116"/>
      <c r="I744" s="1115"/>
      <c r="J744" s="1113"/>
    </row>
    <row r="745">
      <c r="A745" s="1113"/>
      <c r="B745" s="1114"/>
      <c r="C745" s="1115"/>
      <c r="D745" s="1116"/>
      <c r="E745" s="1115"/>
      <c r="F745" s="1115"/>
      <c r="G745" s="1115"/>
      <c r="H745" s="1116"/>
      <c r="I745" s="1115"/>
      <c r="J745" s="1113"/>
    </row>
    <row r="746">
      <c r="A746" s="1113"/>
      <c r="B746" s="1114"/>
      <c r="C746" s="1115"/>
      <c r="D746" s="1116"/>
      <c r="E746" s="1115"/>
      <c r="F746" s="1115"/>
      <c r="G746" s="1115"/>
      <c r="H746" s="1116"/>
      <c r="I746" s="1115"/>
      <c r="J746" s="1113"/>
    </row>
    <row r="747">
      <c r="A747" s="1113"/>
      <c r="B747" s="1114"/>
      <c r="C747" s="1115"/>
      <c r="D747" s="1116"/>
      <c r="E747" s="1115"/>
      <c r="F747" s="1115"/>
      <c r="G747" s="1115"/>
      <c r="H747" s="1116"/>
      <c r="I747" s="1115"/>
      <c r="J747" s="1113"/>
    </row>
    <row r="748">
      <c r="A748" s="1113"/>
      <c r="B748" s="1114"/>
      <c r="C748" s="1115"/>
      <c r="D748" s="1116"/>
      <c r="E748" s="1115"/>
      <c r="F748" s="1115"/>
      <c r="G748" s="1115"/>
      <c r="H748" s="1116"/>
      <c r="I748" s="1115"/>
      <c r="J748" s="1113"/>
    </row>
    <row r="749">
      <c r="A749" s="1113"/>
      <c r="B749" s="1114"/>
      <c r="C749" s="1115"/>
      <c r="D749" s="1116"/>
      <c r="E749" s="1115"/>
      <c r="F749" s="1115"/>
      <c r="G749" s="1115"/>
      <c r="H749" s="1116"/>
      <c r="I749" s="1115"/>
      <c r="J749" s="1113"/>
    </row>
    <row r="750">
      <c r="A750" s="1113"/>
      <c r="B750" s="1114"/>
      <c r="C750" s="1115"/>
      <c r="D750" s="1116"/>
      <c r="E750" s="1115"/>
      <c r="F750" s="1115"/>
      <c r="G750" s="1115"/>
      <c r="H750" s="1116"/>
      <c r="I750" s="1115"/>
      <c r="J750" s="1113"/>
    </row>
    <row r="751">
      <c r="A751" s="1113"/>
      <c r="B751" s="1114"/>
      <c r="C751" s="1115"/>
      <c r="D751" s="1116"/>
      <c r="E751" s="1115"/>
      <c r="F751" s="1115"/>
      <c r="G751" s="1115"/>
      <c r="H751" s="1116"/>
      <c r="I751" s="1115"/>
      <c r="J751" s="1113"/>
    </row>
    <row r="752">
      <c r="A752" s="1113"/>
      <c r="B752" s="1114"/>
      <c r="C752" s="1115"/>
      <c r="D752" s="1116"/>
      <c r="E752" s="1115"/>
      <c r="F752" s="1115"/>
      <c r="G752" s="1115"/>
      <c r="H752" s="1116"/>
      <c r="I752" s="1115"/>
      <c r="J752" s="1113"/>
    </row>
    <row r="753">
      <c r="A753" s="1113"/>
      <c r="B753" s="1114"/>
      <c r="C753" s="1115"/>
      <c r="D753" s="1116"/>
      <c r="E753" s="1115"/>
      <c r="F753" s="1115"/>
      <c r="G753" s="1115"/>
      <c r="H753" s="1116"/>
      <c r="I753" s="1115"/>
      <c r="J753" s="1113"/>
    </row>
    <row r="754">
      <c r="A754" s="1113"/>
      <c r="B754" s="1114"/>
      <c r="C754" s="1115"/>
      <c r="D754" s="1116"/>
      <c r="E754" s="1115"/>
      <c r="F754" s="1115"/>
      <c r="G754" s="1115"/>
      <c r="H754" s="1116"/>
      <c r="I754" s="1115"/>
      <c r="J754" s="1113"/>
    </row>
    <row r="755">
      <c r="A755" s="1113"/>
      <c r="B755" s="1114"/>
      <c r="C755" s="1115"/>
      <c r="D755" s="1116"/>
      <c r="E755" s="1115"/>
      <c r="F755" s="1115"/>
      <c r="G755" s="1115"/>
      <c r="H755" s="1116"/>
      <c r="I755" s="1115"/>
      <c r="J755" s="1113"/>
    </row>
    <row r="756">
      <c r="A756" s="1113"/>
      <c r="B756" s="1114"/>
      <c r="C756" s="1115"/>
      <c r="D756" s="1116"/>
      <c r="E756" s="1115"/>
      <c r="F756" s="1115"/>
      <c r="G756" s="1115"/>
      <c r="H756" s="1116"/>
      <c r="I756" s="1115"/>
      <c r="J756" s="1113"/>
    </row>
    <row r="757">
      <c r="A757" s="1113"/>
      <c r="B757" s="1114"/>
      <c r="C757" s="1115"/>
      <c r="D757" s="1116"/>
      <c r="E757" s="1115"/>
      <c r="F757" s="1115"/>
      <c r="G757" s="1115"/>
      <c r="H757" s="1116"/>
      <c r="I757" s="1115"/>
      <c r="J757" s="1113"/>
    </row>
    <row r="758">
      <c r="A758" s="1113"/>
      <c r="B758" s="1114"/>
      <c r="C758" s="1115"/>
      <c r="D758" s="1116"/>
      <c r="E758" s="1115"/>
      <c r="F758" s="1115"/>
      <c r="G758" s="1115"/>
      <c r="H758" s="1116"/>
      <c r="I758" s="1115"/>
      <c r="J758" s="1113"/>
    </row>
    <row r="759">
      <c r="A759" s="1113"/>
      <c r="B759" s="1114"/>
      <c r="C759" s="1115"/>
      <c r="D759" s="1116"/>
      <c r="E759" s="1115"/>
      <c r="F759" s="1115"/>
      <c r="G759" s="1115"/>
      <c r="H759" s="1116"/>
      <c r="I759" s="1115"/>
      <c r="J759" s="1113"/>
    </row>
    <row r="760">
      <c r="A760" s="1113"/>
      <c r="B760" s="1114"/>
      <c r="C760" s="1115"/>
      <c r="D760" s="1116"/>
      <c r="E760" s="1115"/>
      <c r="F760" s="1115"/>
      <c r="G760" s="1115"/>
      <c r="H760" s="1116"/>
      <c r="I760" s="1115"/>
      <c r="J760" s="1113"/>
    </row>
    <row r="761">
      <c r="A761" s="1113"/>
      <c r="B761" s="1114"/>
      <c r="C761" s="1115"/>
      <c r="D761" s="1116"/>
      <c r="E761" s="1115"/>
      <c r="F761" s="1115"/>
      <c r="G761" s="1115"/>
      <c r="H761" s="1116"/>
      <c r="I761" s="1115"/>
      <c r="J761" s="1113"/>
    </row>
    <row r="762">
      <c r="A762" s="1113"/>
      <c r="B762" s="1114"/>
      <c r="C762" s="1115"/>
      <c r="D762" s="1116"/>
      <c r="E762" s="1115"/>
      <c r="F762" s="1115"/>
      <c r="G762" s="1115"/>
      <c r="H762" s="1116"/>
      <c r="I762" s="1115"/>
      <c r="J762" s="1113"/>
    </row>
    <row r="763">
      <c r="A763" s="1113"/>
      <c r="B763" s="1114"/>
      <c r="C763" s="1115"/>
      <c r="D763" s="1116"/>
      <c r="E763" s="1115"/>
      <c r="F763" s="1115"/>
      <c r="G763" s="1115"/>
      <c r="H763" s="1116"/>
      <c r="I763" s="1115"/>
      <c r="J763" s="1113"/>
    </row>
    <row r="764">
      <c r="A764" s="1113"/>
      <c r="B764" s="1114"/>
      <c r="C764" s="1115"/>
      <c r="D764" s="1116"/>
      <c r="E764" s="1115"/>
      <c r="F764" s="1115"/>
      <c r="G764" s="1115"/>
      <c r="H764" s="1116"/>
      <c r="I764" s="1115"/>
      <c r="J764" s="1113"/>
    </row>
    <row r="765">
      <c r="A765" s="1113"/>
      <c r="B765" s="1114"/>
      <c r="C765" s="1115"/>
      <c r="D765" s="1116"/>
      <c r="E765" s="1115"/>
      <c r="F765" s="1115"/>
      <c r="G765" s="1115"/>
      <c r="H765" s="1116"/>
      <c r="I765" s="1115"/>
      <c r="J765" s="1113"/>
    </row>
    <row r="766">
      <c r="A766" s="1113"/>
      <c r="B766" s="1114"/>
      <c r="C766" s="1115"/>
      <c r="D766" s="1116"/>
      <c r="E766" s="1115"/>
      <c r="F766" s="1115"/>
      <c r="G766" s="1115"/>
      <c r="H766" s="1116"/>
      <c r="I766" s="1115"/>
      <c r="J766" s="1113"/>
    </row>
    <row r="767">
      <c r="A767" s="1113"/>
      <c r="B767" s="1114"/>
      <c r="C767" s="1115"/>
      <c r="D767" s="1116"/>
      <c r="E767" s="1115"/>
      <c r="F767" s="1115"/>
      <c r="G767" s="1115"/>
      <c r="H767" s="1116"/>
      <c r="I767" s="1115"/>
      <c r="J767" s="1113"/>
    </row>
    <row r="768">
      <c r="A768" s="1113"/>
      <c r="B768" s="1114"/>
      <c r="C768" s="1115"/>
      <c r="D768" s="1116"/>
      <c r="E768" s="1115"/>
      <c r="F768" s="1115"/>
      <c r="G768" s="1115"/>
      <c r="H768" s="1116"/>
      <c r="I768" s="1115"/>
      <c r="J768" s="1113"/>
    </row>
    <row r="769">
      <c r="A769" s="1113"/>
      <c r="B769" s="1114"/>
      <c r="C769" s="1115"/>
      <c r="D769" s="1116"/>
      <c r="E769" s="1115"/>
      <c r="F769" s="1115"/>
      <c r="G769" s="1115"/>
      <c r="H769" s="1116"/>
      <c r="I769" s="1115"/>
      <c r="J769" s="1113"/>
    </row>
    <row r="770">
      <c r="A770" s="1113"/>
      <c r="B770" s="1114"/>
      <c r="C770" s="1115"/>
      <c r="D770" s="1116"/>
      <c r="E770" s="1115"/>
      <c r="F770" s="1115"/>
      <c r="G770" s="1115"/>
      <c r="H770" s="1116"/>
      <c r="I770" s="1115"/>
      <c r="J770" s="1113"/>
    </row>
    <row r="771">
      <c r="A771" s="1113"/>
      <c r="B771" s="1114"/>
      <c r="C771" s="1115"/>
      <c r="D771" s="1116"/>
      <c r="E771" s="1115"/>
      <c r="F771" s="1115"/>
      <c r="G771" s="1115"/>
      <c r="H771" s="1116"/>
      <c r="I771" s="1115"/>
      <c r="J771" s="1113"/>
    </row>
    <row r="772">
      <c r="A772" s="1113"/>
      <c r="B772" s="1114"/>
      <c r="C772" s="1115"/>
      <c r="D772" s="1116"/>
      <c r="E772" s="1115"/>
      <c r="F772" s="1115"/>
      <c r="G772" s="1115"/>
      <c r="H772" s="1116"/>
      <c r="I772" s="1115"/>
      <c r="J772" s="1113"/>
    </row>
    <row r="773">
      <c r="A773" s="1113"/>
      <c r="B773" s="1114"/>
      <c r="C773" s="1115"/>
      <c r="D773" s="1116"/>
      <c r="E773" s="1115"/>
      <c r="F773" s="1115"/>
      <c r="G773" s="1115"/>
      <c r="H773" s="1116"/>
      <c r="I773" s="1115"/>
      <c r="J773" s="1113"/>
    </row>
    <row r="774">
      <c r="A774" s="1113"/>
      <c r="B774" s="1114"/>
      <c r="C774" s="1115"/>
      <c r="D774" s="1116"/>
      <c r="E774" s="1115"/>
      <c r="F774" s="1115"/>
      <c r="G774" s="1115"/>
      <c r="H774" s="1116"/>
      <c r="I774" s="1115"/>
      <c r="J774" s="1113"/>
    </row>
    <row r="775">
      <c r="A775" s="1113"/>
      <c r="B775" s="1114"/>
      <c r="C775" s="1115"/>
      <c r="D775" s="1116"/>
      <c r="E775" s="1115"/>
      <c r="F775" s="1115"/>
      <c r="G775" s="1115"/>
      <c r="H775" s="1116"/>
      <c r="I775" s="1115"/>
      <c r="J775" s="1113"/>
    </row>
    <row r="776">
      <c r="A776" s="1113"/>
      <c r="B776" s="1114"/>
      <c r="C776" s="1115"/>
      <c r="D776" s="1116"/>
      <c r="E776" s="1115"/>
      <c r="F776" s="1115"/>
      <c r="G776" s="1115"/>
      <c r="H776" s="1116"/>
      <c r="I776" s="1115"/>
      <c r="J776" s="1113"/>
    </row>
    <row r="777">
      <c r="A777" s="1113"/>
      <c r="B777" s="1114"/>
      <c r="C777" s="1115"/>
      <c r="D777" s="1116"/>
      <c r="E777" s="1115"/>
      <c r="F777" s="1115"/>
      <c r="G777" s="1115"/>
      <c r="H777" s="1116"/>
      <c r="I777" s="1115"/>
      <c r="J777" s="1113"/>
    </row>
    <row r="778">
      <c r="A778" s="1113"/>
      <c r="B778" s="1114"/>
      <c r="C778" s="1115"/>
      <c r="D778" s="1116"/>
      <c r="E778" s="1115"/>
      <c r="F778" s="1115"/>
      <c r="G778" s="1115"/>
      <c r="H778" s="1116"/>
      <c r="I778" s="1115"/>
      <c r="J778" s="1113"/>
    </row>
    <row r="779">
      <c r="A779" s="1113"/>
      <c r="B779" s="1114"/>
      <c r="C779" s="1115"/>
      <c r="D779" s="1116"/>
      <c r="E779" s="1115"/>
      <c r="F779" s="1115"/>
      <c r="G779" s="1115"/>
      <c r="H779" s="1116"/>
      <c r="I779" s="1115"/>
      <c r="J779" s="1113"/>
    </row>
    <row r="780">
      <c r="A780" s="1113"/>
      <c r="B780" s="1114"/>
      <c r="C780" s="1115"/>
      <c r="D780" s="1116"/>
      <c r="E780" s="1115"/>
      <c r="F780" s="1115"/>
      <c r="G780" s="1115"/>
      <c r="H780" s="1116"/>
      <c r="I780" s="1115"/>
      <c r="J780" s="1113"/>
    </row>
    <row r="781">
      <c r="A781" s="1113"/>
      <c r="B781" s="1114"/>
      <c r="C781" s="1115"/>
      <c r="D781" s="1116"/>
      <c r="E781" s="1115"/>
      <c r="F781" s="1115"/>
      <c r="G781" s="1115"/>
      <c r="H781" s="1116"/>
      <c r="I781" s="1115"/>
      <c r="J781" s="1113"/>
    </row>
    <row r="782">
      <c r="A782" s="1113"/>
      <c r="B782" s="1114"/>
      <c r="C782" s="1115"/>
      <c r="D782" s="1116"/>
      <c r="E782" s="1115"/>
      <c r="F782" s="1115"/>
      <c r="G782" s="1115"/>
      <c r="H782" s="1116"/>
      <c r="I782" s="1115"/>
      <c r="J782" s="1113"/>
    </row>
    <row r="783">
      <c r="A783" s="1113"/>
      <c r="B783" s="1114"/>
      <c r="C783" s="1115"/>
      <c r="D783" s="1116"/>
      <c r="E783" s="1115"/>
      <c r="F783" s="1115"/>
      <c r="G783" s="1115"/>
      <c r="H783" s="1116"/>
      <c r="I783" s="1115"/>
      <c r="J783" s="1113"/>
    </row>
    <row r="784">
      <c r="A784" s="1113"/>
      <c r="B784" s="1114"/>
      <c r="C784" s="1115"/>
      <c r="D784" s="1116"/>
      <c r="E784" s="1115"/>
      <c r="F784" s="1115"/>
      <c r="G784" s="1115"/>
      <c r="H784" s="1116"/>
      <c r="I784" s="1115"/>
      <c r="J784" s="1113"/>
    </row>
    <row r="785">
      <c r="A785" s="1113"/>
      <c r="B785" s="1114"/>
      <c r="C785" s="1115"/>
      <c r="D785" s="1116"/>
      <c r="E785" s="1115"/>
      <c r="F785" s="1115"/>
      <c r="G785" s="1115"/>
      <c r="H785" s="1116"/>
      <c r="I785" s="1115"/>
      <c r="J785" s="1113"/>
    </row>
    <row r="786">
      <c r="A786" s="1113"/>
      <c r="B786" s="1114"/>
      <c r="C786" s="1115"/>
      <c r="D786" s="1116"/>
      <c r="E786" s="1115"/>
      <c r="F786" s="1115"/>
      <c r="G786" s="1115"/>
      <c r="H786" s="1116"/>
      <c r="I786" s="1115"/>
      <c r="J786" s="1113"/>
    </row>
    <row r="787">
      <c r="A787" s="1113"/>
      <c r="B787" s="1114"/>
      <c r="C787" s="1115"/>
      <c r="D787" s="1116"/>
      <c r="E787" s="1115"/>
      <c r="F787" s="1115"/>
      <c r="G787" s="1115"/>
      <c r="H787" s="1116"/>
      <c r="I787" s="1115"/>
      <c r="J787" s="1113"/>
    </row>
    <row r="788">
      <c r="A788" s="1113"/>
      <c r="B788" s="1114"/>
      <c r="C788" s="1115"/>
      <c r="D788" s="1116"/>
      <c r="E788" s="1115"/>
      <c r="F788" s="1115"/>
      <c r="G788" s="1115"/>
      <c r="H788" s="1116"/>
      <c r="I788" s="1115"/>
      <c r="J788" s="1113"/>
    </row>
    <row r="789">
      <c r="A789" s="1113"/>
      <c r="B789" s="1114"/>
      <c r="C789" s="1115"/>
      <c r="D789" s="1116"/>
      <c r="E789" s="1115"/>
      <c r="F789" s="1115"/>
      <c r="G789" s="1115"/>
      <c r="H789" s="1116"/>
      <c r="I789" s="1115"/>
      <c r="J789" s="1113"/>
    </row>
    <row r="790">
      <c r="A790" s="1113"/>
      <c r="B790" s="1114"/>
      <c r="C790" s="1115"/>
      <c r="D790" s="1116"/>
      <c r="E790" s="1115"/>
      <c r="F790" s="1115"/>
      <c r="G790" s="1115"/>
      <c r="H790" s="1116"/>
      <c r="I790" s="1115"/>
      <c r="J790" s="1113"/>
    </row>
    <row r="791">
      <c r="A791" s="1113"/>
      <c r="B791" s="1114"/>
      <c r="C791" s="1115"/>
      <c r="D791" s="1116"/>
      <c r="E791" s="1115"/>
      <c r="F791" s="1115"/>
      <c r="G791" s="1115"/>
      <c r="H791" s="1116"/>
      <c r="I791" s="1115"/>
      <c r="J791" s="1113"/>
    </row>
    <row r="792">
      <c r="A792" s="1113"/>
      <c r="B792" s="1114"/>
      <c r="C792" s="1115"/>
      <c r="D792" s="1116"/>
      <c r="E792" s="1115"/>
      <c r="F792" s="1115"/>
      <c r="G792" s="1115"/>
      <c r="H792" s="1116"/>
      <c r="I792" s="1115"/>
      <c r="J792" s="1113"/>
    </row>
    <row r="793">
      <c r="A793" s="1113"/>
      <c r="B793" s="1114"/>
      <c r="C793" s="1115"/>
      <c r="D793" s="1116"/>
      <c r="E793" s="1115"/>
      <c r="F793" s="1115"/>
      <c r="G793" s="1115"/>
      <c r="H793" s="1116"/>
      <c r="I793" s="1115"/>
      <c r="J793" s="1113"/>
    </row>
    <row r="794">
      <c r="A794" s="1113"/>
      <c r="B794" s="1114"/>
      <c r="C794" s="1115"/>
      <c r="D794" s="1116"/>
      <c r="E794" s="1115"/>
      <c r="F794" s="1115"/>
      <c r="G794" s="1115"/>
      <c r="H794" s="1116"/>
      <c r="I794" s="1115"/>
      <c r="J794" s="1113"/>
    </row>
    <row r="795">
      <c r="A795" s="1113"/>
      <c r="B795" s="1114"/>
      <c r="C795" s="1115"/>
      <c r="D795" s="1116"/>
      <c r="E795" s="1115"/>
      <c r="F795" s="1115"/>
      <c r="G795" s="1115"/>
      <c r="H795" s="1116"/>
      <c r="I795" s="1115"/>
      <c r="J795" s="1113"/>
    </row>
    <row r="796">
      <c r="A796" s="1113"/>
      <c r="B796" s="1114"/>
      <c r="C796" s="1115"/>
      <c r="D796" s="1116"/>
      <c r="E796" s="1115"/>
      <c r="F796" s="1115"/>
      <c r="G796" s="1115"/>
      <c r="H796" s="1116"/>
      <c r="I796" s="1115"/>
      <c r="J796" s="1113"/>
    </row>
    <row r="797">
      <c r="A797" s="1113"/>
      <c r="B797" s="1114"/>
      <c r="C797" s="1115"/>
      <c r="D797" s="1116"/>
      <c r="E797" s="1115"/>
      <c r="F797" s="1115"/>
      <c r="G797" s="1115"/>
      <c r="H797" s="1116"/>
      <c r="I797" s="1115"/>
      <c r="J797" s="1113"/>
    </row>
    <row r="798">
      <c r="A798" s="1113"/>
      <c r="B798" s="1114"/>
      <c r="C798" s="1115"/>
      <c r="D798" s="1116"/>
      <c r="E798" s="1115"/>
      <c r="F798" s="1115"/>
      <c r="G798" s="1115"/>
      <c r="H798" s="1116"/>
      <c r="I798" s="1115"/>
      <c r="J798" s="1113"/>
    </row>
    <row r="799">
      <c r="A799" s="1113"/>
      <c r="B799" s="1114"/>
      <c r="C799" s="1115"/>
      <c r="D799" s="1116"/>
      <c r="E799" s="1115"/>
      <c r="F799" s="1115"/>
      <c r="G799" s="1115"/>
      <c r="H799" s="1116"/>
      <c r="I799" s="1115"/>
      <c r="J799" s="1113"/>
    </row>
    <row r="800">
      <c r="A800" s="1113"/>
      <c r="B800" s="1114"/>
      <c r="C800" s="1115"/>
      <c r="D800" s="1116"/>
      <c r="E800" s="1115"/>
      <c r="F800" s="1115"/>
      <c r="G800" s="1115"/>
      <c r="H800" s="1116"/>
      <c r="I800" s="1115"/>
      <c r="J800" s="1113"/>
    </row>
    <row r="801">
      <c r="A801" s="1113"/>
      <c r="B801" s="1114"/>
      <c r="C801" s="1115"/>
      <c r="D801" s="1116"/>
      <c r="E801" s="1115"/>
      <c r="F801" s="1115"/>
      <c r="G801" s="1115"/>
      <c r="H801" s="1116"/>
      <c r="I801" s="1115"/>
      <c r="J801" s="1113"/>
    </row>
    <row r="802">
      <c r="A802" s="1113"/>
      <c r="B802" s="1114"/>
      <c r="C802" s="1115"/>
      <c r="D802" s="1116"/>
      <c r="E802" s="1115"/>
      <c r="F802" s="1115"/>
      <c r="G802" s="1115"/>
      <c r="H802" s="1116"/>
      <c r="I802" s="1115"/>
      <c r="J802" s="1113"/>
    </row>
    <row r="803">
      <c r="A803" s="1113"/>
      <c r="B803" s="1114"/>
      <c r="C803" s="1115"/>
      <c r="D803" s="1116"/>
      <c r="E803" s="1115"/>
      <c r="F803" s="1115"/>
      <c r="G803" s="1115"/>
      <c r="H803" s="1116"/>
      <c r="I803" s="1115"/>
      <c r="J803" s="1113"/>
    </row>
    <row r="804">
      <c r="A804" s="1113"/>
      <c r="B804" s="1114"/>
      <c r="C804" s="1115"/>
      <c r="D804" s="1116"/>
      <c r="E804" s="1115"/>
      <c r="F804" s="1115"/>
      <c r="G804" s="1115"/>
      <c r="H804" s="1116"/>
      <c r="I804" s="1115"/>
      <c r="J804" s="1113"/>
    </row>
    <row r="805">
      <c r="A805" s="1113"/>
      <c r="B805" s="1114"/>
      <c r="C805" s="1115"/>
      <c r="D805" s="1116"/>
      <c r="E805" s="1115"/>
      <c r="F805" s="1115"/>
      <c r="G805" s="1115"/>
      <c r="H805" s="1116"/>
      <c r="I805" s="1115"/>
      <c r="J805" s="1113"/>
    </row>
    <row r="806">
      <c r="A806" s="1113"/>
      <c r="B806" s="1114"/>
      <c r="C806" s="1115"/>
      <c r="D806" s="1116"/>
      <c r="E806" s="1115"/>
      <c r="F806" s="1115"/>
      <c r="G806" s="1115"/>
      <c r="H806" s="1116"/>
      <c r="I806" s="1115"/>
      <c r="J806" s="1113"/>
    </row>
    <row r="807">
      <c r="A807" s="1113"/>
      <c r="B807" s="1114"/>
      <c r="C807" s="1115"/>
      <c r="D807" s="1116"/>
      <c r="E807" s="1115"/>
      <c r="F807" s="1115"/>
      <c r="G807" s="1115"/>
      <c r="H807" s="1116"/>
      <c r="I807" s="1115"/>
      <c r="J807" s="1113"/>
    </row>
    <row r="808">
      <c r="A808" s="1113"/>
      <c r="B808" s="1114"/>
      <c r="C808" s="1115"/>
      <c r="D808" s="1116"/>
      <c r="E808" s="1115"/>
      <c r="F808" s="1115"/>
      <c r="G808" s="1115"/>
      <c r="H808" s="1116"/>
      <c r="I808" s="1115"/>
      <c r="J808" s="1113"/>
    </row>
    <row r="809">
      <c r="A809" s="1113"/>
      <c r="B809" s="1114"/>
      <c r="C809" s="1115"/>
      <c r="D809" s="1116"/>
      <c r="E809" s="1115"/>
      <c r="F809" s="1115"/>
      <c r="G809" s="1115"/>
      <c r="H809" s="1116"/>
      <c r="I809" s="1115"/>
      <c r="J809" s="1113"/>
    </row>
    <row r="810">
      <c r="A810" s="1113"/>
      <c r="B810" s="1114"/>
      <c r="C810" s="1115"/>
      <c r="D810" s="1116"/>
      <c r="E810" s="1115"/>
      <c r="F810" s="1115"/>
      <c r="G810" s="1115"/>
      <c r="H810" s="1116"/>
      <c r="I810" s="1115"/>
      <c r="J810" s="1113"/>
    </row>
    <row r="811">
      <c r="A811" s="1113"/>
      <c r="B811" s="1114"/>
      <c r="C811" s="1115"/>
      <c r="D811" s="1116"/>
      <c r="E811" s="1115"/>
      <c r="F811" s="1115"/>
      <c r="G811" s="1115"/>
      <c r="H811" s="1116"/>
      <c r="I811" s="1115"/>
      <c r="J811" s="1113"/>
    </row>
    <row r="812">
      <c r="A812" s="1113"/>
      <c r="B812" s="1114"/>
      <c r="C812" s="1115"/>
      <c r="D812" s="1116"/>
      <c r="E812" s="1115"/>
      <c r="F812" s="1115"/>
      <c r="G812" s="1115"/>
      <c r="H812" s="1116"/>
      <c r="I812" s="1115"/>
      <c r="J812" s="1113"/>
    </row>
    <row r="813">
      <c r="A813" s="1113"/>
      <c r="B813" s="1114"/>
      <c r="C813" s="1115"/>
      <c r="D813" s="1116"/>
      <c r="E813" s="1115"/>
      <c r="F813" s="1115"/>
      <c r="G813" s="1115"/>
      <c r="H813" s="1116"/>
      <c r="I813" s="1115"/>
      <c r="J813" s="1113"/>
    </row>
    <row r="814">
      <c r="A814" s="1113"/>
      <c r="B814" s="1114"/>
      <c r="C814" s="1115"/>
      <c r="D814" s="1116"/>
      <c r="E814" s="1115"/>
      <c r="F814" s="1115"/>
      <c r="G814" s="1115"/>
      <c r="H814" s="1116"/>
      <c r="I814" s="1115"/>
      <c r="J814" s="1113"/>
    </row>
    <row r="815">
      <c r="A815" s="1113"/>
      <c r="B815" s="1114"/>
      <c r="C815" s="1115"/>
      <c r="D815" s="1116"/>
      <c r="E815" s="1115"/>
      <c r="F815" s="1115"/>
      <c r="G815" s="1115"/>
      <c r="H815" s="1116"/>
      <c r="I815" s="1115"/>
      <c r="J815" s="1113"/>
    </row>
    <row r="816">
      <c r="A816" s="1113"/>
      <c r="B816" s="1114"/>
      <c r="C816" s="1115"/>
      <c r="D816" s="1116"/>
      <c r="E816" s="1115"/>
      <c r="F816" s="1115"/>
      <c r="G816" s="1115"/>
      <c r="H816" s="1116"/>
      <c r="I816" s="1115"/>
      <c r="J816" s="1113"/>
    </row>
    <row r="817">
      <c r="A817" s="1113"/>
      <c r="B817" s="1114"/>
      <c r="C817" s="1115"/>
      <c r="D817" s="1116"/>
      <c r="E817" s="1115"/>
      <c r="F817" s="1115"/>
      <c r="G817" s="1115"/>
      <c r="H817" s="1116"/>
      <c r="I817" s="1115"/>
      <c r="J817" s="1113"/>
    </row>
    <row r="818">
      <c r="A818" s="1113"/>
      <c r="B818" s="1114"/>
      <c r="C818" s="1115"/>
      <c r="D818" s="1116"/>
      <c r="E818" s="1115"/>
      <c r="F818" s="1115"/>
      <c r="G818" s="1115"/>
      <c r="H818" s="1116"/>
      <c r="I818" s="1115"/>
      <c r="J818" s="1113"/>
    </row>
    <row r="819">
      <c r="A819" s="1113"/>
      <c r="B819" s="1114"/>
      <c r="C819" s="1115"/>
      <c r="D819" s="1116"/>
      <c r="E819" s="1115"/>
      <c r="F819" s="1115"/>
      <c r="G819" s="1115"/>
      <c r="H819" s="1116"/>
      <c r="I819" s="1115"/>
      <c r="J819" s="1113"/>
    </row>
    <row r="820">
      <c r="A820" s="1113"/>
      <c r="B820" s="1114"/>
      <c r="C820" s="1115"/>
      <c r="D820" s="1116"/>
      <c r="E820" s="1115"/>
      <c r="F820" s="1115"/>
      <c r="G820" s="1115"/>
      <c r="H820" s="1116"/>
      <c r="I820" s="1115"/>
      <c r="J820" s="1113"/>
    </row>
    <row r="821">
      <c r="A821" s="1113"/>
      <c r="B821" s="1114"/>
      <c r="C821" s="1115"/>
      <c r="D821" s="1116"/>
      <c r="E821" s="1115"/>
      <c r="F821" s="1115"/>
      <c r="G821" s="1115"/>
      <c r="H821" s="1116"/>
      <c r="I821" s="1115"/>
      <c r="J821" s="1113"/>
    </row>
    <row r="822">
      <c r="A822" s="1113"/>
      <c r="B822" s="1114"/>
      <c r="C822" s="1115"/>
      <c r="D822" s="1116"/>
      <c r="E822" s="1115"/>
      <c r="F822" s="1115"/>
      <c r="G822" s="1115"/>
      <c r="H822" s="1116"/>
      <c r="I822" s="1115"/>
      <c r="J822" s="1113"/>
    </row>
    <row r="823">
      <c r="A823" s="1113"/>
      <c r="B823" s="1114"/>
      <c r="C823" s="1115"/>
      <c r="D823" s="1116"/>
      <c r="E823" s="1115"/>
      <c r="F823" s="1115"/>
      <c r="G823" s="1115"/>
      <c r="H823" s="1116"/>
      <c r="I823" s="1115"/>
      <c r="J823" s="1113"/>
    </row>
    <row r="824">
      <c r="A824" s="1113"/>
      <c r="B824" s="1114"/>
      <c r="C824" s="1115"/>
      <c r="D824" s="1116"/>
      <c r="E824" s="1115"/>
      <c r="F824" s="1115"/>
      <c r="G824" s="1115"/>
      <c r="H824" s="1116"/>
      <c r="I824" s="1115"/>
      <c r="J824" s="1113"/>
    </row>
    <row r="825">
      <c r="A825" s="1113"/>
      <c r="B825" s="1114"/>
      <c r="C825" s="1115"/>
      <c r="D825" s="1116"/>
      <c r="E825" s="1115"/>
      <c r="F825" s="1115"/>
      <c r="G825" s="1115"/>
      <c r="H825" s="1116"/>
      <c r="I825" s="1115"/>
      <c r="J825" s="1113"/>
    </row>
    <row r="826">
      <c r="A826" s="1113"/>
      <c r="B826" s="1114"/>
      <c r="C826" s="1115"/>
      <c r="D826" s="1116"/>
      <c r="E826" s="1115"/>
      <c r="F826" s="1115"/>
      <c r="G826" s="1115"/>
      <c r="H826" s="1116"/>
      <c r="I826" s="1115"/>
      <c r="J826" s="1113"/>
    </row>
    <row r="827">
      <c r="A827" s="1113"/>
      <c r="B827" s="1114"/>
      <c r="C827" s="1115"/>
      <c r="D827" s="1116"/>
      <c r="E827" s="1115"/>
      <c r="F827" s="1115"/>
      <c r="G827" s="1115"/>
      <c r="H827" s="1116"/>
      <c r="I827" s="1115"/>
      <c r="J827" s="1113"/>
    </row>
    <row r="828">
      <c r="A828" s="1113"/>
      <c r="B828" s="1114"/>
      <c r="C828" s="1115"/>
      <c r="D828" s="1116"/>
      <c r="E828" s="1115"/>
      <c r="F828" s="1115"/>
      <c r="G828" s="1115"/>
      <c r="H828" s="1116"/>
      <c r="I828" s="1115"/>
      <c r="J828" s="1113"/>
    </row>
    <row r="829">
      <c r="A829" s="1113"/>
      <c r="B829" s="1114"/>
      <c r="C829" s="1115"/>
      <c r="D829" s="1116"/>
      <c r="E829" s="1115"/>
      <c r="F829" s="1115"/>
      <c r="G829" s="1115"/>
      <c r="H829" s="1116"/>
      <c r="I829" s="1115"/>
      <c r="J829" s="1113"/>
    </row>
    <row r="830">
      <c r="A830" s="1113"/>
      <c r="B830" s="1114"/>
      <c r="C830" s="1115"/>
      <c r="D830" s="1116"/>
      <c r="E830" s="1115"/>
      <c r="F830" s="1115"/>
      <c r="G830" s="1115"/>
      <c r="H830" s="1116"/>
      <c r="I830" s="1115"/>
      <c r="J830" s="1113"/>
    </row>
    <row r="831">
      <c r="A831" s="1113"/>
      <c r="B831" s="1114"/>
      <c r="C831" s="1115"/>
      <c r="D831" s="1116"/>
      <c r="E831" s="1115"/>
      <c r="F831" s="1115"/>
      <c r="G831" s="1115"/>
      <c r="H831" s="1116"/>
      <c r="I831" s="1115"/>
      <c r="J831" s="1113"/>
    </row>
    <row r="832">
      <c r="A832" s="1113"/>
      <c r="B832" s="1114"/>
      <c r="C832" s="1115"/>
      <c r="D832" s="1116"/>
      <c r="E832" s="1115"/>
      <c r="F832" s="1115"/>
      <c r="G832" s="1115"/>
      <c r="H832" s="1116"/>
      <c r="I832" s="1115"/>
      <c r="J832" s="1113"/>
    </row>
    <row r="833">
      <c r="A833" s="1113"/>
      <c r="B833" s="1114"/>
      <c r="C833" s="1115"/>
      <c r="D833" s="1116"/>
      <c r="E833" s="1115"/>
      <c r="F833" s="1115"/>
      <c r="G833" s="1115"/>
      <c r="H833" s="1116"/>
      <c r="I833" s="1115"/>
      <c r="J833" s="1113"/>
    </row>
    <row r="834">
      <c r="A834" s="1113"/>
      <c r="B834" s="1114"/>
      <c r="C834" s="1115"/>
      <c r="D834" s="1116"/>
      <c r="E834" s="1115"/>
      <c r="F834" s="1115"/>
      <c r="G834" s="1115"/>
      <c r="H834" s="1116"/>
      <c r="I834" s="1115"/>
      <c r="J834" s="1113"/>
    </row>
    <row r="835">
      <c r="A835" s="1113"/>
      <c r="B835" s="1114"/>
      <c r="C835" s="1115"/>
      <c r="D835" s="1116"/>
      <c r="E835" s="1115"/>
      <c r="F835" s="1115"/>
      <c r="G835" s="1115"/>
      <c r="H835" s="1116"/>
      <c r="I835" s="1115"/>
      <c r="J835" s="1113"/>
    </row>
    <row r="836">
      <c r="A836" s="1113"/>
      <c r="B836" s="1114"/>
      <c r="C836" s="1115"/>
      <c r="D836" s="1116"/>
      <c r="E836" s="1115"/>
      <c r="F836" s="1115"/>
      <c r="G836" s="1115"/>
      <c r="H836" s="1116"/>
      <c r="I836" s="1115"/>
      <c r="J836" s="1113"/>
    </row>
    <row r="837">
      <c r="A837" s="1113"/>
      <c r="B837" s="1114"/>
      <c r="C837" s="1115"/>
      <c r="D837" s="1116"/>
      <c r="E837" s="1115"/>
      <c r="F837" s="1115"/>
      <c r="G837" s="1115"/>
      <c r="H837" s="1116"/>
      <c r="I837" s="1115"/>
      <c r="J837" s="1113"/>
    </row>
    <row r="838">
      <c r="A838" s="1113"/>
      <c r="B838" s="1114"/>
      <c r="C838" s="1115"/>
      <c r="D838" s="1116"/>
      <c r="E838" s="1115"/>
      <c r="F838" s="1115"/>
      <c r="G838" s="1115"/>
      <c r="H838" s="1116"/>
      <c r="I838" s="1115"/>
      <c r="J838" s="1113"/>
    </row>
    <row r="839">
      <c r="A839" s="1113"/>
      <c r="B839" s="1114"/>
      <c r="C839" s="1115"/>
      <c r="D839" s="1116"/>
      <c r="E839" s="1115"/>
      <c r="F839" s="1115"/>
      <c r="G839" s="1115"/>
      <c r="H839" s="1116"/>
      <c r="I839" s="1115"/>
      <c r="J839" s="1113"/>
    </row>
    <row r="840">
      <c r="A840" s="1113"/>
      <c r="B840" s="1114"/>
      <c r="C840" s="1115"/>
      <c r="D840" s="1116"/>
      <c r="E840" s="1115"/>
      <c r="F840" s="1115"/>
      <c r="G840" s="1115"/>
      <c r="H840" s="1116"/>
      <c r="I840" s="1115"/>
      <c r="J840" s="1113"/>
    </row>
    <row r="841">
      <c r="A841" s="1113"/>
      <c r="B841" s="1114"/>
      <c r="C841" s="1115"/>
      <c r="D841" s="1116"/>
      <c r="E841" s="1115"/>
      <c r="F841" s="1115"/>
      <c r="G841" s="1115"/>
      <c r="H841" s="1116"/>
      <c r="I841" s="1115"/>
      <c r="J841" s="1113"/>
    </row>
    <row r="842">
      <c r="A842" s="1113"/>
      <c r="B842" s="1114"/>
      <c r="C842" s="1115"/>
      <c r="D842" s="1116"/>
      <c r="E842" s="1115"/>
      <c r="F842" s="1115"/>
      <c r="G842" s="1115"/>
      <c r="H842" s="1116"/>
      <c r="I842" s="1115"/>
      <c r="J842" s="1113"/>
    </row>
    <row r="843">
      <c r="A843" s="1113"/>
      <c r="B843" s="1114"/>
      <c r="C843" s="1115"/>
      <c r="D843" s="1116"/>
      <c r="E843" s="1115"/>
      <c r="F843" s="1115"/>
      <c r="G843" s="1115"/>
      <c r="H843" s="1116"/>
      <c r="I843" s="1115"/>
      <c r="J843" s="1113"/>
    </row>
    <row r="844">
      <c r="A844" s="1113"/>
      <c r="B844" s="1114"/>
      <c r="C844" s="1115"/>
      <c r="D844" s="1116"/>
      <c r="E844" s="1115"/>
      <c r="F844" s="1115"/>
      <c r="G844" s="1115"/>
      <c r="H844" s="1116"/>
      <c r="I844" s="1115"/>
      <c r="J844" s="1113"/>
    </row>
    <row r="845">
      <c r="A845" s="1113"/>
      <c r="B845" s="1114"/>
      <c r="C845" s="1115"/>
      <c r="D845" s="1116"/>
      <c r="E845" s="1115"/>
      <c r="F845" s="1115"/>
      <c r="G845" s="1115"/>
      <c r="H845" s="1116"/>
      <c r="I845" s="1115"/>
      <c r="J845" s="1113"/>
    </row>
    <row r="846">
      <c r="A846" s="1113"/>
      <c r="B846" s="1114"/>
      <c r="C846" s="1115"/>
      <c r="D846" s="1116"/>
      <c r="E846" s="1115"/>
      <c r="F846" s="1115"/>
      <c r="G846" s="1115"/>
      <c r="H846" s="1116"/>
      <c r="I846" s="1115"/>
      <c r="J846" s="1113"/>
    </row>
    <row r="847">
      <c r="A847" s="1113"/>
      <c r="B847" s="1114"/>
      <c r="C847" s="1115"/>
      <c r="D847" s="1116"/>
      <c r="E847" s="1115"/>
      <c r="F847" s="1115"/>
      <c r="G847" s="1115"/>
      <c r="H847" s="1116"/>
      <c r="I847" s="1115"/>
      <c r="J847" s="1113"/>
    </row>
    <row r="848">
      <c r="A848" s="1113"/>
      <c r="B848" s="1114"/>
      <c r="C848" s="1115"/>
      <c r="D848" s="1116"/>
      <c r="E848" s="1115"/>
      <c r="F848" s="1115"/>
      <c r="G848" s="1115"/>
      <c r="H848" s="1116"/>
      <c r="I848" s="1115"/>
      <c r="J848" s="1113"/>
    </row>
    <row r="849">
      <c r="A849" s="1113"/>
      <c r="B849" s="1114"/>
      <c r="C849" s="1115"/>
      <c r="D849" s="1116"/>
      <c r="E849" s="1115"/>
      <c r="F849" s="1115"/>
      <c r="G849" s="1115"/>
      <c r="H849" s="1116"/>
      <c r="I849" s="1115"/>
      <c r="J849" s="1113"/>
    </row>
    <row r="850">
      <c r="A850" s="1113"/>
      <c r="B850" s="1114"/>
      <c r="C850" s="1115"/>
      <c r="D850" s="1116"/>
      <c r="E850" s="1115"/>
      <c r="F850" s="1115"/>
      <c r="G850" s="1115"/>
      <c r="H850" s="1116"/>
      <c r="I850" s="1115"/>
      <c r="J850" s="1113"/>
    </row>
    <row r="851">
      <c r="A851" s="1113"/>
      <c r="B851" s="1114"/>
      <c r="C851" s="1115"/>
      <c r="D851" s="1116"/>
      <c r="E851" s="1115"/>
      <c r="F851" s="1115"/>
      <c r="G851" s="1115"/>
      <c r="H851" s="1116"/>
      <c r="I851" s="1115"/>
      <c r="J851" s="1113"/>
    </row>
    <row r="852">
      <c r="A852" s="1113"/>
      <c r="B852" s="1114"/>
      <c r="C852" s="1115"/>
      <c r="D852" s="1116"/>
      <c r="E852" s="1115"/>
      <c r="F852" s="1115"/>
      <c r="G852" s="1115"/>
      <c r="H852" s="1116"/>
      <c r="I852" s="1115"/>
      <c r="J852" s="1113"/>
    </row>
    <row r="853">
      <c r="A853" s="1113"/>
      <c r="B853" s="1114"/>
      <c r="C853" s="1115"/>
      <c r="D853" s="1116"/>
      <c r="E853" s="1115"/>
      <c r="F853" s="1115"/>
      <c r="G853" s="1115"/>
      <c r="H853" s="1116"/>
      <c r="I853" s="1115"/>
      <c r="J853" s="1113"/>
    </row>
    <row r="854">
      <c r="A854" s="1113"/>
      <c r="B854" s="1114"/>
      <c r="C854" s="1115"/>
      <c r="D854" s="1116"/>
      <c r="E854" s="1115"/>
      <c r="F854" s="1115"/>
      <c r="G854" s="1115"/>
      <c r="H854" s="1116"/>
      <c r="I854" s="1115"/>
      <c r="J854" s="1113"/>
    </row>
    <row r="855">
      <c r="A855" s="1113"/>
      <c r="B855" s="1114"/>
      <c r="C855" s="1115"/>
      <c r="D855" s="1116"/>
      <c r="E855" s="1115"/>
      <c r="F855" s="1115"/>
      <c r="G855" s="1115"/>
      <c r="H855" s="1116"/>
      <c r="I855" s="1115"/>
      <c r="J855" s="1113"/>
    </row>
    <row r="856">
      <c r="A856" s="1113"/>
      <c r="B856" s="1114"/>
      <c r="C856" s="1115"/>
      <c r="D856" s="1116"/>
      <c r="E856" s="1115"/>
      <c r="F856" s="1115"/>
      <c r="G856" s="1115"/>
      <c r="H856" s="1116"/>
      <c r="I856" s="1115"/>
      <c r="J856" s="1113"/>
    </row>
    <row r="857">
      <c r="A857" s="1113"/>
      <c r="B857" s="1114"/>
      <c r="C857" s="1115"/>
      <c r="D857" s="1116"/>
      <c r="E857" s="1115"/>
      <c r="F857" s="1115"/>
      <c r="G857" s="1115"/>
      <c r="H857" s="1116"/>
      <c r="I857" s="1115"/>
      <c r="J857" s="1113"/>
    </row>
    <row r="858">
      <c r="A858" s="1113"/>
      <c r="B858" s="1114"/>
      <c r="C858" s="1115"/>
      <c r="D858" s="1116"/>
      <c r="E858" s="1115"/>
      <c r="F858" s="1115"/>
      <c r="G858" s="1115"/>
      <c r="H858" s="1116"/>
      <c r="I858" s="1115"/>
      <c r="J858" s="1113"/>
    </row>
    <row r="859">
      <c r="A859" s="1113"/>
      <c r="B859" s="1114"/>
      <c r="C859" s="1115"/>
      <c r="D859" s="1116"/>
      <c r="E859" s="1115"/>
      <c r="F859" s="1115"/>
      <c r="G859" s="1115"/>
      <c r="H859" s="1116"/>
      <c r="I859" s="1115"/>
      <c r="J859" s="1113"/>
    </row>
    <row r="860">
      <c r="A860" s="1113"/>
      <c r="B860" s="1114"/>
      <c r="C860" s="1115"/>
      <c r="D860" s="1116"/>
      <c r="E860" s="1115"/>
      <c r="F860" s="1115"/>
      <c r="G860" s="1115"/>
      <c r="H860" s="1116"/>
      <c r="I860" s="1115"/>
      <c r="J860" s="1113"/>
    </row>
    <row r="861">
      <c r="A861" s="1113"/>
      <c r="B861" s="1114"/>
      <c r="C861" s="1115"/>
      <c r="D861" s="1116"/>
      <c r="E861" s="1115"/>
      <c r="F861" s="1115"/>
      <c r="G861" s="1115"/>
      <c r="H861" s="1116"/>
      <c r="I861" s="1115"/>
      <c r="J861" s="1113"/>
    </row>
    <row r="862">
      <c r="A862" s="1113"/>
      <c r="B862" s="1114"/>
      <c r="C862" s="1115"/>
      <c r="D862" s="1116"/>
      <c r="E862" s="1115"/>
      <c r="F862" s="1115"/>
      <c r="G862" s="1115"/>
      <c r="H862" s="1116"/>
      <c r="I862" s="1115"/>
      <c r="J862" s="1113"/>
    </row>
    <row r="863">
      <c r="A863" s="1113"/>
      <c r="B863" s="1114"/>
      <c r="C863" s="1115"/>
      <c r="D863" s="1116"/>
      <c r="E863" s="1115"/>
      <c r="F863" s="1115"/>
      <c r="G863" s="1115"/>
      <c r="H863" s="1116"/>
      <c r="I863" s="1115"/>
      <c r="J863" s="1113"/>
    </row>
    <row r="864">
      <c r="A864" s="1113"/>
      <c r="B864" s="1114"/>
      <c r="C864" s="1115"/>
      <c r="D864" s="1116"/>
      <c r="E864" s="1115"/>
      <c r="F864" s="1115"/>
      <c r="G864" s="1115"/>
      <c r="H864" s="1116"/>
      <c r="I864" s="1115"/>
      <c r="J864" s="1113"/>
    </row>
    <row r="865">
      <c r="A865" s="1113"/>
      <c r="B865" s="1114"/>
      <c r="C865" s="1115"/>
      <c r="D865" s="1116"/>
      <c r="E865" s="1115"/>
      <c r="F865" s="1115"/>
      <c r="G865" s="1115"/>
      <c r="H865" s="1116"/>
      <c r="I865" s="1115"/>
      <c r="J865" s="1113"/>
    </row>
    <row r="866">
      <c r="A866" s="1113"/>
      <c r="B866" s="1114"/>
      <c r="C866" s="1115"/>
      <c r="D866" s="1116"/>
      <c r="E866" s="1115"/>
      <c r="F866" s="1115"/>
      <c r="G866" s="1115"/>
      <c r="H866" s="1116"/>
      <c r="I866" s="1115"/>
      <c r="J866" s="1113"/>
    </row>
    <row r="867">
      <c r="A867" s="1113"/>
      <c r="B867" s="1114"/>
      <c r="C867" s="1115"/>
      <c r="D867" s="1116"/>
      <c r="E867" s="1115"/>
      <c r="F867" s="1115"/>
      <c r="G867" s="1115"/>
      <c r="H867" s="1116"/>
      <c r="I867" s="1115"/>
      <c r="J867" s="1113"/>
    </row>
    <row r="868">
      <c r="A868" s="1113"/>
      <c r="B868" s="1114"/>
      <c r="C868" s="1115"/>
      <c r="D868" s="1116"/>
      <c r="E868" s="1115"/>
      <c r="F868" s="1115"/>
      <c r="G868" s="1115"/>
      <c r="H868" s="1116"/>
      <c r="I868" s="1115"/>
      <c r="J868" s="1113"/>
    </row>
    <row r="869">
      <c r="A869" s="1113"/>
      <c r="B869" s="1114"/>
      <c r="C869" s="1115"/>
      <c r="D869" s="1116"/>
      <c r="E869" s="1115"/>
      <c r="F869" s="1115"/>
      <c r="G869" s="1115"/>
      <c r="H869" s="1116"/>
      <c r="I869" s="1115"/>
      <c r="J869" s="1113"/>
    </row>
    <row r="870">
      <c r="A870" s="1113"/>
      <c r="B870" s="1114"/>
      <c r="C870" s="1115"/>
      <c r="D870" s="1116"/>
      <c r="E870" s="1115"/>
      <c r="F870" s="1115"/>
      <c r="G870" s="1115"/>
      <c r="H870" s="1116"/>
      <c r="I870" s="1115"/>
      <c r="J870" s="1113"/>
    </row>
    <row r="871">
      <c r="A871" s="1113"/>
      <c r="B871" s="1114"/>
      <c r="C871" s="1115"/>
      <c r="D871" s="1116"/>
      <c r="E871" s="1115"/>
      <c r="F871" s="1115"/>
      <c r="G871" s="1115"/>
      <c r="H871" s="1116"/>
      <c r="I871" s="1115"/>
      <c r="J871" s="1113"/>
    </row>
    <row r="872">
      <c r="A872" s="1113"/>
      <c r="B872" s="1114"/>
      <c r="C872" s="1115"/>
      <c r="D872" s="1116"/>
      <c r="E872" s="1115"/>
      <c r="F872" s="1115"/>
      <c r="G872" s="1115"/>
      <c r="H872" s="1116"/>
      <c r="I872" s="1115"/>
      <c r="J872" s="1113"/>
    </row>
    <row r="873">
      <c r="A873" s="1113"/>
      <c r="B873" s="1114"/>
      <c r="C873" s="1115"/>
      <c r="D873" s="1116"/>
      <c r="E873" s="1115"/>
      <c r="F873" s="1115"/>
      <c r="G873" s="1115"/>
      <c r="H873" s="1116"/>
      <c r="I873" s="1115"/>
      <c r="J873" s="1113"/>
    </row>
    <row r="874">
      <c r="A874" s="1113"/>
      <c r="B874" s="1114"/>
      <c r="C874" s="1115"/>
      <c r="D874" s="1116"/>
      <c r="E874" s="1115"/>
      <c r="F874" s="1115"/>
      <c r="G874" s="1115"/>
      <c r="H874" s="1116"/>
      <c r="I874" s="1115"/>
      <c r="J874" s="1113"/>
    </row>
    <row r="875">
      <c r="A875" s="1113"/>
      <c r="B875" s="1114"/>
      <c r="C875" s="1115"/>
      <c r="D875" s="1116"/>
      <c r="E875" s="1115"/>
      <c r="F875" s="1115"/>
      <c r="G875" s="1115"/>
      <c r="H875" s="1116"/>
      <c r="I875" s="1115"/>
      <c r="J875" s="1113"/>
    </row>
    <row r="876">
      <c r="A876" s="1113"/>
      <c r="B876" s="1114"/>
      <c r="C876" s="1115"/>
      <c r="D876" s="1116"/>
      <c r="E876" s="1115"/>
      <c r="F876" s="1115"/>
      <c r="G876" s="1115"/>
      <c r="H876" s="1116"/>
      <c r="I876" s="1115"/>
      <c r="J876" s="1113"/>
    </row>
    <row r="877">
      <c r="A877" s="1113"/>
      <c r="B877" s="1114"/>
      <c r="C877" s="1115"/>
      <c r="D877" s="1116"/>
      <c r="E877" s="1115"/>
      <c r="F877" s="1115"/>
      <c r="G877" s="1115"/>
      <c r="H877" s="1116"/>
      <c r="I877" s="1115"/>
      <c r="J877" s="1113"/>
    </row>
    <row r="878">
      <c r="A878" s="1113"/>
      <c r="B878" s="1114"/>
      <c r="C878" s="1115"/>
      <c r="D878" s="1116"/>
      <c r="E878" s="1115"/>
      <c r="F878" s="1115"/>
      <c r="G878" s="1115"/>
      <c r="H878" s="1116"/>
      <c r="I878" s="1115"/>
      <c r="J878" s="1113"/>
    </row>
    <row r="879">
      <c r="A879" s="1113"/>
      <c r="B879" s="1114"/>
      <c r="C879" s="1115"/>
      <c r="D879" s="1116"/>
      <c r="E879" s="1115"/>
      <c r="F879" s="1115"/>
      <c r="G879" s="1115"/>
      <c r="H879" s="1116"/>
      <c r="I879" s="1115"/>
      <c r="J879" s="1113"/>
    </row>
    <row r="880">
      <c r="A880" s="1113"/>
      <c r="B880" s="1114"/>
      <c r="C880" s="1115"/>
      <c r="D880" s="1116"/>
      <c r="E880" s="1115"/>
      <c r="F880" s="1115"/>
      <c r="G880" s="1115"/>
      <c r="H880" s="1116"/>
      <c r="I880" s="1115"/>
      <c r="J880" s="1113"/>
    </row>
    <row r="881">
      <c r="A881" s="1113"/>
      <c r="B881" s="1114"/>
      <c r="C881" s="1115"/>
      <c r="D881" s="1116"/>
      <c r="E881" s="1115"/>
      <c r="F881" s="1115"/>
      <c r="G881" s="1115"/>
      <c r="H881" s="1116"/>
      <c r="I881" s="1115"/>
      <c r="J881" s="1113"/>
    </row>
    <row r="882">
      <c r="A882" s="1113"/>
      <c r="B882" s="1114"/>
      <c r="C882" s="1115"/>
      <c r="D882" s="1116"/>
      <c r="E882" s="1115"/>
      <c r="F882" s="1115"/>
      <c r="G882" s="1115"/>
      <c r="H882" s="1116"/>
      <c r="I882" s="1115"/>
      <c r="J882" s="1113"/>
    </row>
    <row r="883">
      <c r="A883" s="1113"/>
      <c r="B883" s="1114"/>
      <c r="C883" s="1115"/>
      <c r="D883" s="1116"/>
      <c r="E883" s="1115"/>
      <c r="F883" s="1115"/>
      <c r="G883" s="1115"/>
      <c r="H883" s="1116"/>
      <c r="I883" s="1115"/>
      <c r="J883" s="1113"/>
    </row>
    <row r="884">
      <c r="A884" s="1113"/>
      <c r="B884" s="1114"/>
      <c r="C884" s="1115"/>
      <c r="D884" s="1116"/>
      <c r="E884" s="1115"/>
      <c r="F884" s="1115"/>
      <c r="G884" s="1115"/>
      <c r="H884" s="1116"/>
      <c r="I884" s="1115"/>
      <c r="J884" s="1113"/>
    </row>
    <row r="885">
      <c r="A885" s="1113"/>
      <c r="B885" s="1114"/>
      <c r="C885" s="1115"/>
      <c r="D885" s="1116"/>
      <c r="E885" s="1115"/>
      <c r="F885" s="1115"/>
      <c r="G885" s="1115"/>
      <c r="H885" s="1116"/>
      <c r="I885" s="1115"/>
      <c r="J885" s="1113"/>
    </row>
    <row r="886">
      <c r="A886" s="1113"/>
      <c r="B886" s="1114"/>
      <c r="C886" s="1115"/>
      <c r="D886" s="1116"/>
      <c r="E886" s="1115"/>
      <c r="F886" s="1115"/>
      <c r="G886" s="1115"/>
      <c r="H886" s="1116"/>
      <c r="I886" s="1115"/>
      <c r="J886" s="1113"/>
    </row>
    <row r="887">
      <c r="A887" s="1113"/>
      <c r="B887" s="1114"/>
      <c r="C887" s="1115"/>
      <c r="D887" s="1116"/>
      <c r="E887" s="1115"/>
      <c r="F887" s="1115"/>
      <c r="G887" s="1115"/>
      <c r="H887" s="1116"/>
      <c r="I887" s="1115"/>
      <c r="J887" s="1113"/>
    </row>
    <row r="888">
      <c r="A888" s="1113"/>
      <c r="B888" s="1114"/>
      <c r="C888" s="1115"/>
      <c r="D888" s="1116"/>
      <c r="E888" s="1115"/>
      <c r="F888" s="1115"/>
      <c r="G888" s="1115"/>
      <c r="H888" s="1116"/>
      <c r="I888" s="1115"/>
      <c r="J888" s="1113"/>
    </row>
    <row r="889">
      <c r="A889" s="1113"/>
      <c r="B889" s="1114"/>
      <c r="C889" s="1115"/>
      <c r="D889" s="1116"/>
      <c r="E889" s="1115"/>
      <c r="F889" s="1115"/>
      <c r="G889" s="1115"/>
      <c r="H889" s="1116"/>
      <c r="I889" s="1115"/>
      <c r="J889" s="1113"/>
    </row>
    <row r="890">
      <c r="A890" s="1113"/>
      <c r="B890" s="1114"/>
      <c r="C890" s="1115"/>
      <c r="D890" s="1116"/>
      <c r="E890" s="1115"/>
      <c r="F890" s="1115"/>
      <c r="G890" s="1115"/>
      <c r="H890" s="1116"/>
      <c r="I890" s="1115"/>
      <c r="J890" s="1113"/>
    </row>
    <row r="891">
      <c r="A891" s="1113"/>
      <c r="B891" s="1114"/>
      <c r="C891" s="1115"/>
      <c r="D891" s="1116"/>
      <c r="E891" s="1115"/>
      <c r="F891" s="1115"/>
      <c r="G891" s="1115"/>
      <c r="H891" s="1116"/>
      <c r="I891" s="1115"/>
      <c r="J891" s="1113"/>
    </row>
    <row r="892">
      <c r="A892" s="1113"/>
      <c r="B892" s="1114"/>
      <c r="C892" s="1115"/>
      <c r="D892" s="1116"/>
      <c r="E892" s="1115"/>
      <c r="F892" s="1115"/>
      <c r="G892" s="1115"/>
      <c r="H892" s="1116"/>
      <c r="I892" s="1115"/>
      <c r="J892" s="1113"/>
    </row>
    <row r="893">
      <c r="A893" s="1113"/>
      <c r="B893" s="1114"/>
      <c r="C893" s="1115"/>
      <c r="D893" s="1116"/>
      <c r="E893" s="1115"/>
      <c r="F893" s="1115"/>
      <c r="G893" s="1115"/>
      <c r="H893" s="1116"/>
      <c r="I893" s="1115"/>
      <c r="J893" s="1113"/>
    </row>
    <row r="894">
      <c r="A894" s="1113"/>
      <c r="B894" s="1114"/>
      <c r="C894" s="1115"/>
      <c r="D894" s="1116"/>
      <c r="E894" s="1115"/>
      <c r="F894" s="1115"/>
      <c r="G894" s="1115"/>
      <c r="H894" s="1116"/>
      <c r="I894" s="1115"/>
      <c r="J894" s="1113"/>
    </row>
    <row r="895">
      <c r="A895" s="1113"/>
      <c r="B895" s="1114"/>
      <c r="C895" s="1115"/>
      <c r="D895" s="1116"/>
      <c r="E895" s="1115"/>
      <c r="F895" s="1115"/>
      <c r="G895" s="1115"/>
      <c r="H895" s="1116"/>
      <c r="I895" s="1115"/>
      <c r="J895" s="1113"/>
    </row>
    <row r="896">
      <c r="A896" s="1113"/>
      <c r="B896" s="1114"/>
      <c r="C896" s="1115"/>
      <c r="D896" s="1116"/>
      <c r="E896" s="1115"/>
      <c r="F896" s="1115"/>
      <c r="G896" s="1115"/>
      <c r="H896" s="1116"/>
      <c r="I896" s="1115"/>
      <c r="J896" s="1113"/>
    </row>
    <row r="897">
      <c r="A897" s="1113"/>
      <c r="B897" s="1114"/>
      <c r="C897" s="1115"/>
      <c r="D897" s="1116"/>
      <c r="E897" s="1115"/>
      <c r="F897" s="1115"/>
      <c r="G897" s="1115"/>
      <c r="H897" s="1116"/>
      <c r="I897" s="1115"/>
      <c r="J897" s="1113"/>
    </row>
    <row r="898">
      <c r="A898" s="1113"/>
      <c r="B898" s="1114"/>
      <c r="C898" s="1115"/>
      <c r="D898" s="1116"/>
      <c r="E898" s="1115"/>
      <c r="F898" s="1115"/>
      <c r="G898" s="1115"/>
      <c r="H898" s="1116"/>
      <c r="I898" s="1115"/>
      <c r="J898" s="1113"/>
    </row>
    <row r="899">
      <c r="A899" s="1113"/>
      <c r="B899" s="1114"/>
      <c r="C899" s="1115"/>
      <c r="D899" s="1116"/>
      <c r="E899" s="1115"/>
      <c r="F899" s="1115"/>
      <c r="G899" s="1115"/>
      <c r="H899" s="1116"/>
      <c r="I899" s="1115"/>
      <c r="J899" s="1113"/>
    </row>
    <row r="900">
      <c r="A900" s="1113"/>
      <c r="B900" s="1114"/>
      <c r="C900" s="1115"/>
      <c r="D900" s="1116"/>
      <c r="E900" s="1115"/>
      <c r="F900" s="1115"/>
      <c r="G900" s="1115"/>
      <c r="H900" s="1116"/>
      <c r="I900" s="1115"/>
      <c r="J900" s="1113"/>
    </row>
    <row r="901">
      <c r="A901" s="1113"/>
      <c r="B901" s="1114"/>
      <c r="C901" s="1115"/>
      <c r="D901" s="1116"/>
      <c r="E901" s="1115"/>
      <c r="F901" s="1115"/>
      <c r="G901" s="1115"/>
      <c r="H901" s="1116"/>
      <c r="I901" s="1115"/>
      <c r="J901" s="1113"/>
    </row>
    <row r="902">
      <c r="A902" s="1113"/>
      <c r="B902" s="1114"/>
      <c r="C902" s="1115"/>
      <c r="D902" s="1116"/>
      <c r="E902" s="1115"/>
      <c r="F902" s="1115"/>
      <c r="G902" s="1115"/>
      <c r="H902" s="1116"/>
      <c r="I902" s="1115"/>
      <c r="J902" s="1113"/>
    </row>
    <row r="903">
      <c r="A903" s="1113"/>
      <c r="B903" s="1114"/>
      <c r="C903" s="1115"/>
      <c r="D903" s="1116"/>
      <c r="E903" s="1115"/>
      <c r="F903" s="1115"/>
      <c r="G903" s="1115"/>
      <c r="H903" s="1116"/>
      <c r="I903" s="1115"/>
      <c r="J903" s="1113"/>
    </row>
    <row r="904">
      <c r="A904" s="1113"/>
      <c r="B904" s="1114"/>
      <c r="C904" s="1115"/>
      <c r="D904" s="1116"/>
      <c r="E904" s="1115"/>
      <c r="F904" s="1115"/>
      <c r="G904" s="1115"/>
      <c r="H904" s="1116"/>
      <c r="I904" s="1115"/>
      <c r="J904" s="1113"/>
    </row>
    <row r="905">
      <c r="A905" s="1113"/>
      <c r="B905" s="1114"/>
      <c r="C905" s="1115"/>
      <c r="D905" s="1116"/>
      <c r="E905" s="1115"/>
      <c r="F905" s="1115"/>
      <c r="G905" s="1115"/>
      <c r="H905" s="1116"/>
      <c r="I905" s="1115"/>
      <c r="J905" s="1113"/>
    </row>
    <row r="906">
      <c r="A906" s="1113"/>
      <c r="B906" s="1114"/>
      <c r="C906" s="1115"/>
      <c r="D906" s="1116"/>
      <c r="E906" s="1115"/>
      <c r="F906" s="1115"/>
      <c r="G906" s="1115"/>
      <c r="H906" s="1116"/>
      <c r="I906" s="1115"/>
      <c r="J906" s="1113"/>
    </row>
    <row r="907">
      <c r="A907" s="1113"/>
      <c r="B907" s="1114"/>
      <c r="C907" s="1115"/>
      <c r="D907" s="1116"/>
      <c r="E907" s="1115"/>
      <c r="F907" s="1115"/>
      <c r="G907" s="1115"/>
      <c r="H907" s="1116"/>
      <c r="I907" s="1115"/>
      <c r="J907" s="1113"/>
    </row>
    <row r="908">
      <c r="A908" s="1113"/>
      <c r="B908" s="1114"/>
      <c r="C908" s="1115"/>
      <c r="D908" s="1116"/>
      <c r="E908" s="1115"/>
      <c r="F908" s="1115"/>
      <c r="G908" s="1115"/>
      <c r="H908" s="1116"/>
      <c r="I908" s="1115"/>
      <c r="J908" s="1113"/>
    </row>
    <row r="909">
      <c r="A909" s="1113"/>
      <c r="B909" s="1114"/>
      <c r="C909" s="1115"/>
      <c r="D909" s="1116"/>
      <c r="E909" s="1115"/>
      <c r="F909" s="1115"/>
      <c r="G909" s="1115"/>
      <c r="H909" s="1116"/>
      <c r="I909" s="1115"/>
      <c r="J909" s="1113"/>
    </row>
    <row r="910">
      <c r="A910" s="1113"/>
      <c r="B910" s="1114"/>
      <c r="C910" s="1115"/>
      <c r="D910" s="1116"/>
      <c r="E910" s="1115"/>
      <c r="F910" s="1115"/>
      <c r="G910" s="1115"/>
      <c r="H910" s="1116"/>
      <c r="I910" s="1115"/>
      <c r="J910" s="1113"/>
    </row>
    <row r="911">
      <c r="A911" s="1113"/>
      <c r="B911" s="1114"/>
      <c r="C911" s="1115"/>
      <c r="D911" s="1116"/>
      <c r="E911" s="1115"/>
      <c r="F911" s="1115"/>
      <c r="G911" s="1115"/>
      <c r="H911" s="1116"/>
      <c r="I911" s="1115"/>
      <c r="J911" s="1113"/>
    </row>
    <row r="912">
      <c r="A912" s="1113"/>
      <c r="B912" s="1114"/>
      <c r="C912" s="1115"/>
      <c r="D912" s="1116"/>
      <c r="E912" s="1115"/>
      <c r="F912" s="1115"/>
      <c r="G912" s="1115"/>
      <c r="H912" s="1116"/>
      <c r="I912" s="1115"/>
      <c r="J912" s="1113"/>
    </row>
    <row r="913">
      <c r="A913" s="1113"/>
      <c r="B913" s="1114"/>
      <c r="C913" s="1115"/>
      <c r="D913" s="1116"/>
      <c r="E913" s="1115"/>
      <c r="F913" s="1115"/>
      <c r="G913" s="1115"/>
      <c r="H913" s="1116"/>
      <c r="I913" s="1115"/>
      <c r="J913" s="1113"/>
    </row>
    <row r="914">
      <c r="A914" s="1113"/>
      <c r="B914" s="1114"/>
      <c r="C914" s="1115"/>
      <c r="D914" s="1116"/>
      <c r="E914" s="1115"/>
      <c r="F914" s="1115"/>
      <c r="G914" s="1115"/>
      <c r="H914" s="1116"/>
      <c r="I914" s="1115"/>
      <c r="J914" s="1113"/>
    </row>
    <row r="915">
      <c r="A915" s="1113"/>
      <c r="B915" s="1114"/>
      <c r="C915" s="1115"/>
      <c r="D915" s="1116"/>
      <c r="E915" s="1115"/>
      <c r="F915" s="1115"/>
      <c r="G915" s="1115"/>
      <c r="H915" s="1116"/>
      <c r="I915" s="1115"/>
      <c r="J915" s="1113"/>
    </row>
    <row r="916">
      <c r="A916" s="1113"/>
      <c r="B916" s="1114"/>
      <c r="C916" s="1115"/>
      <c r="D916" s="1116"/>
      <c r="E916" s="1115"/>
      <c r="F916" s="1115"/>
      <c r="G916" s="1115"/>
      <c r="H916" s="1116"/>
      <c r="I916" s="1115"/>
      <c r="J916" s="1113"/>
    </row>
    <row r="917">
      <c r="A917" s="1113"/>
      <c r="B917" s="1114"/>
      <c r="C917" s="1115"/>
      <c r="D917" s="1116"/>
      <c r="E917" s="1115"/>
      <c r="F917" s="1115"/>
      <c r="G917" s="1115"/>
      <c r="H917" s="1116"/>
      <c r="I917" s="1115"/>
      <c r="J917" s="1113"/>
    </row>
    <row r="918">
      <c r="A918" s="1113"/>
      <c r="B918" s="1114"/>
      <c r="C918" s="1115"/>
      <c r="D918" s="1116"/>
      <c r="E918" s="1115"/>
      <c r="F918" s="1115"/>
      <c r="G918" s="1115"/>
      <c r="H918" s="1116"/>
      <c r="I918" s="1115"/>
      <c r="J918" s="1113"/>
    </row>
    <row r="919">
      <c r="A919" s="1113"/>
      <c r="B919" s="1114"/>
      <c r="C919" s="1115"/>
      <c r="D919" s="1116"/>
      <c r="E919" s="1115"/>
      <c r="F919" s="1115"/>
      <c r="G919" s="1115"/>
      <c r="H919" s="1116"/>
      <c r="I919" s="1115"/>
      <c r="J919" s="1113"/>
    </row>
    <row r="920">
      <c r="A920" s="1113"/>
      <c r="B920" s="1114"/>
      <c r="C920" s="1115"/>
      <c r="D920" s="1116"/>
      <c r="E920" s="1115"/>
      <c r="F920" s="1115"/>
      <c r="G920" s="1115"/>
      <c r="H920" s="1116"/>
      <c r="I920" s="1115"/>
      <c r="J920" s="1113"/>
    </row>
    <row r="921">
      <c r="A921" s="1113"/>
      <c r="B921" s="1114"/>
      <c r="C921" s="1115"/>
      <c r="D921" s="1116"/>
      <c r="E921" s="1115"/>
      <c r="F921" s="1115"/>
      <c r="G921" s="1115"/>
      <c r="H921" s="1116"/>
      <c r="I921" s="1115"/>
      <c r="J921" s="1113"/>
    </row>
    <row r="922">
      <c r="A922" s="1113"/>
      <c r="B922" s="1114"/>
      <c r="C922" s="1115"/>
      <c r="D922" s="1116"/>
      <c r="E922" s="1115"/>
      <c r="F922" s="1115"/>
      <c r="G922" s="1115"/>
      <c r="H922" s="1116"/>
      <c r="I922" s="1115"/>
      <c r="J922" s="1113"/>
    </row>
    <row r="923">
      <c r="A923" s="1113"/>
      <c r="B923" s="1114"/>
      <c r="C923" s="1115"/>
      <c r="D923" s="1116"/>
      <c r="E923" s="1115"/>
      <c r="F923" s="1115"/>
      <c r="G923" s="1115"/>
      <c r="H923" s="1116"/>
      <c r="I923" s="1115"/>
      <c r="J923" s="1113"/>
    </row>
    <row r="924">
      <c r="A924" s="1113"/>
      <c r="B924" s="1114"/>
      <c r="C924" s="1115"/>
      <c r="D924" s="1116"/>
      <c r="E924" s="1115"/>
      <c r="F924" s="1115"/>
      <c r="G924" s="1115"/>
      <c r="H924" s="1116"/>
      <c r="I924" s="1115"/>
      <c r="J924" s="1113"/>
    </row>
    <row r="925">
      <c r="A925" s="1113"/>
      <c r="B925" s="1114"/>
      <c r="C925" s="1115"/>
      <c r="D925" s="1116"/>
      <c r="E925" s="1115"/>
      <c r="F925" s="1115"/>
      <c r="G925" s="1115"/>
      <c r="H925" s="1116"/>
      <c r="I925" s="1115"/>
      <c r="J925" s="1113"/>
    </row>
    <row r="926">
      <c r="A926" s="1113"/>
      <c r="B926" s="1114"/>
      <c r="C926" s="1115"/>
      <c r="D926" s="1116"/>
      <c r="E926" s="1115"/>
      <c r="F926" s="1115"/>
      <c r="G926" s="1115"/>
      <c r="H926" s="1116"/>
      <c r="I926" s="1115"/>
      <c r="J926" s="1113"/>
    </row>
    <row r="927">
      <c r="A927" s="1113"/>
      <c r="B927" s="1114"/>
      <c r="C927" s="1115"/>
      <c r="D927" s="1116"/>
      <c r="E927" s="1115"/>
      <c r="F927" s="1115"/>
      <c r="G927" s="1115"/>
      <c r="H927" s="1116"/>
      <c r="I927" s="1115"/>
      <c r="J927" s="1113"/>
    </row>
    <row r="928">
      <c r="A928" s="1113"/>
      <c r="B928" s="1114"/>
      <c r="C928" s="1115"/>
      <c r="D928" s="1116"/>
      <c r="E928" s="1115"/>
      <c r="F928" s="1115"/>
      <c r="G928" s="1115"/>
      <c r="H928" s="1116"/>
      <c r="I928" s="1115"/>
      <c r="J928" s="1113"/>
    </row>
    <row r="929">
      <c r="A929" s="1113"/>
      <c r="B929" s="1114"/>
      <c r="C929" s="1115"/>
      <c r="D929" s="1116"/>
      <c r="E929" s="1115"/>
      <c r="F929" s="1115"/>
      <c r="G929" s="1115"/>
      <c r="H929" s="1116"/>
      <c r="I929" s="1115"/>
      <c r="J929" s="1113"/>
    </row>
    <row r="930">
      <c r="A930" s="1113"/>
      <c r="B930" s="1114"/>
      <c r="C930" s="1115"/>
      <c r="D930" s="1116"/>
      <c r="E930" s="1115"/>
      <c r="F930" s="1115"/>
      <c r="G930" s="1115"/>
      <c r="H930" s="1116"/>
      <c r="I930" s="1115"/>
      <c r="J930" s="1113"/>
    </row>
    <row r="931">
      <c r="A931" s="1113"/>
      <c r="B931" s="1114"/>
      <c r="C931" s="1115"/>
      <c r="D931" s="1116"/>
      <c r="E931" s="1115"/>
      <c r="F931" s="1115"/>
      <c r="G931" s="1115"/>
      <c r="H931" s="1116"/>
      <c r="I931" s="1115"/>
      <c r="J931" s="1113"/>
    </row>
    <row r="932">
      <c r="A932" s="1113"/>
      <c r="B932" s="1114"/>
      <c r="C932" s="1115"/>
      <c r="D932" s="1116"/>
      <c r="E932" s="1115"/>
      <c r="F932" s="1115"/>
      <c r="G932" s="1115"/>
      <c r="H932" s="1116"/>
      <c r="I932" s="1115"/>
      <c r="J932" s="1113"/>
    </row>
    <row r="933">
      <c r="A933" s="1113"/>
      <c r="B933" s="1114"/>
      <c r="C933" s="1115"/>
      <c r="D933" s="1116"/>
      <c r="E933" s="1115"/>
      <c r="F933" s="1115"/>
      <c r="G933" s="1115"/>
      <c r="H933" s="1116"/>
      <c r="I933" s="1115"/>
      <c r="J933" s="1113"/>
    </row>
    <row r="934">
      <c r="A934" s="1113"/>
      <c r="B934" s="1114"/>
      <c r="C934" s="1115"/>
      <c r="D934" s="1116"/>
      <c r="E934" s="1115"/>
      <c r="F934" s="1115"/>
      <c r="G934" s="1115"/>
      <c r="H934" s="1116"/>
      <c r="I934" s="1115"/>
      <c r="J934" s="1113"/>
    </row>
    <row r="935">
      <c r="A935" s="1113"/>
      <c r="B935" s="1114"/>
      <c r="C935" s="1115"/>
      <c r="D935" s="1116"/>
      <c r="E935" s="1115"/>
      <c r="F935" s="1115"/>
      <c r="G935" s="1115"/>
      <c r="H935" s="1116"/>
      <c r="I935" s="1115"/>
      <c r="J935" s="1113"/>
    </row>
    <row r="936">
      <c r="A936" s="1113"/>
      <c r="B936" s="1114"/>
      <c r="C936" s="1115"/>
      <c r="D936" s="1116"/>
      <c r="E936" s="1115"/>
      <c r="F936" s="1115"/>
      <c r="G936" s="1115"/>
      <c r="H936" s="1116"/>
      <c r="I936" s="1115"/>
      <c r="J936" s="1113"/>
    </row>
    <row r="937">
      <c r="A937" s="1113"/>
      <c r="B937" s="1114"/>
      <c r="C937" s="1115"/>
      <c r="D937" s="1116"/>
      <c r="E937" s="1115"/>
      <c r="F937" s="1115"/>
      <c r="G937" s="1115"/>
      <c r="H937" s="1116"/>
      <c r="I937" s="1115"/>
      <c r="J937" s="1113"/>
    </row>
    <row r="938">
      <c r="A938" s="1113"/>
      <c r="B938" s="1114"/>
      <c r="C938" s="1115"/>
      <c r="D938" s="1116"/>
      <c r="E938" s="1115"/>
      <c r="F938" s="1115"/>
      <c r="G938" s="1115"/>
      <c r="H938" s="1116"/>
      <c r="I938" s="1115"/>
      <c r="J938" s="1113"/>
    </row>
    <row r="939">
      <c r="A939" s="1113"/>
      <c r="B939" s="1114"/>
      <c r="C939" s="1115"/>
      <c r="D939" s="1116"/>
      <c r="E939" s="1115"/>
      <c r="F939" s="1115"/>
      <c r="G939" s="1115"/>
      <c r="H939" s="1116"/>
      <c r="I939" s="1115"/>
      <c r="J939" s="1113"/>
    </row>
    <row r="940">
      <c r="A940" s="1113"/>
      <c r="B940" s="1114"/>
      <c r="C940" s="1115"/>
      <c r="D940" s="1116"/>
      <c r="E940" s="1115"/>
      <c r="F940" s="1115"/>
      <c r="G940" s="1115"/>
      <c r="H940" s="1116"/>
      <c r="I940" s="1115"/>
      <c r="J940" s="1113"/>
    </row>
    <row r="941">
      <c r="A941" s="1113"/>
      <c r="B941" s="1114"/>
      <c r="C941" s="1115"/>
      <c r="D941" s="1116"/>
      <c r="E941" s="1115"/>
      <c r="F941" s="1115"/>
      <c r="G941" s="1115"/>
      <c r="H941" s="1116"/>
      <c r="I941" s="1115"/>
      <c r="J941" s="1113"/>
    </row>
    <row r="942">
      <c r="A942" s="1113"/>
      <c r="B942" s="1114"/>
      <c r="C942" s="1115"/>
      <c r="D942" s="1116"/>
      <c r="E942" s="1115"/>
      <c r="F942" s="1115"/>
      <c r="G942" s="1115"/>
      <c r="H942" s="1116"/>
      <c r="I942" s="1115"/>
      <c r="J942" s="1113"/>
    </row>
    <row r="943">
      <c r="A943" s="1113"/>
      <c r="B943" s="1114"/>
      <c r="C943" s="1115"/>
      <c r="D943" s="1116"/>
      <c r="E943" s="1115"/>
      <c r="F943" s="1115"/>
      <c r="G943" s="1115"/>
      <c r="H943" s="1116"/>
      <c r="I943" s="1115"/>
      <c r="J943" s="1113"/>
    </row>
    <row r="944">
      <c r="A944" s="1113"/>
      <c r="B944" s="1114"/>
      <c r="C944" s="1115"/>
      <c r="D944" s="1116"/>
      <c r="E944" s="1115"/>
      <c r="F944" s="1115"/>
      <c r="G944" s="1115"/>
      <c r="H944" s="1116"/>
      <c r="I944" s="1115"/>
      <c r="J944" s="1113"/>
    </row>
    <row r="945">
      <c r="A945" s="1113"/>
      <c r="B945" s="1114"/>
      <c r="C945" s="1115"/>
      <c r="D945" s="1116"/>
      <c r="E945" s="1115"/>
      <c r="F945" s="1115"/>
      <c r="G945" s="1115"/>
      <c r="H945" s="1116"/>
      <c r="I945" s="1115"/>
      <c r="J945" s="1113"/>
    </row>
    <row r="946">
      <c r="A946" s="1113"/>
      <c r="B946" s="1114"/>
      <c r="C946" s="1115"/>
      <c r="D946" s="1116"/>
      <c r="E946" s="1115"/>
      <c r="F946" s="1115"/>
      <c r="G946" s="1115"/>
      <c r="H946" s="1116"/>
      <c r="I946" s="1115"/>
      <c r="J946" s="1113"/>
    </row>
    <row r="947">
      <c r="A947" s="1113"/>
      <c r="B947" s="1114"/>
      <c r="C947" s="1115"/>
      <c r="D947" s="1116"/>
      <c r="E947" s="1115"/>
      <c r="F947" s="1115"/>
      <c r="G947" s="1115"/>
      <c r="H947" s="1116"/>
      <c r="I947" s="1115"/>
      <c r="J947" s="1113"/>
    </row>
    <row r="948">
      <c r="A948" s="1113"/>
      <c r="B948" s="1114"/>
      <c r="C948" s="1115"/>
      <c r="D948" s="1116"/>
      <c r="E948" s="1115"/>
      <c r="F948" s="1115"/>
      <c r="G948" s="1115"/>
      <c r="H948" s="1116"/>
      <c r="I948" s="1115"/>
      <c r="J948" s="1113"/>
    </row>
    <row r="949">
      <c r="A949" s="1113"/>
      <c r="B949" s="1114"/>
      <c r="C949" s="1115"/>
      <c r="D949" s="1116"/>
      <c r="E949" s="1115"/>
      <c r="F949" s="1115"/>
      <c r="G949" s="1115"/>
      <c r="H949" s="1116"/>
      <c r="I949" s="1115"/>
      <c r="J949" s="1113"/>
    </row>
    <row r="950">
      <c r="A950" s="1113"/>
      <c r="B950" s="1114"/>
      <c r="C950" s="1115"/>
      <c r="D950" s="1116"/>
      <c r="E950" s="1115"/>
      <c r="F950" s="1115"/>
      <c r="G950" s="1115"/>
      <c r="H950" s="1116"/>
      <c r="I950" s="1115"/>
      <c r="J950" s="1113"/>
    </row>
    <row r="951">
      <c r="A951" s="1113"/>
      <c r="B951" s="1114"/>
      <c r="C951" s="1115"/>
      <c r="D951" s="1116"/>
      <c r="E951" s="1115"/>
      <c r="F951" s="1115"/>
      <c r="G951" s="1115"/>
      <c r="H951" s="1116"/>
      <c r="I951" s="1115"/>
      <c r="J951" s="1113"/>
    </row>
    <row r="952">
      <c r="A952" s="1113"/>
      <c r="B952" s="1114"/>
      <c r="C952" s="1115"/>
      <c r="D952" s="1116"/>
      <c r="E952" s="1115"/>
      <c r="F952" s="1115"/>
      <c r="G952" s="1115"/>
      <c r="H952" s="1116"/>
      <c r="I952" s="1115"/>
      <c r="J952" s="1113"/>
    </row>
    <row r="953">
      <c r="A953" s="1113"/>
      <c r="B953" s="1114"/>
      <c r="C953" s="1115"/>
      <c r="D953" s="1116"/>
      <c r="E953" s="1115"/>
      <c r="F953" s="1115"/>
      <c r="G953" s="1115"/>
      <c r="H953" s="1116"/>
      <c r="I953" s="1115"/>
      <c r="J953" s="1113"/>
    </row>
    <row r="954">
      <c r="A954" s="1113"/>
      <c r="B954" s="1114"/>
      <c r="C954" s="1115"/>
      <c r="D954" s="1116"/>
      <c r="E954" s="1115"/>
      <c r="F954" s="1115"/>
      <c r="G954" s="1115"/>
      <c r="H954" s="1116"/>
      <c r="I954" s="1115"/>
      <c r="J954" s="1113"/>
    </row>
    <row r="955">
      <c r="A955" s="1113"/>
      <c r="B955" s="1114"/>
      <c r="C955" s="1115"/>
      <c r="D955" s="1116"/>
      <c r="E955" s="1115"/>
      <c r="F955" s="1115"/>
      <c r="G955" s="1115"/>
      <c r="H955" s="1116"/>
      <c r="I955" s="1115"/>
      <c r="J955" s="1113"/>
    </row>
    <row r="956">
      <c r="A956" s="1113"/>
      <c r="B956" s="1114"/>
      <c r="C956" s="1115"/>
      <c r="D956" s="1116"/>
      <c r="E956" s="1115"/>
      <c r="F956" s="1115"/>
      <c r="G956" s="1115"/>
      <c r="H956" s="1116"/>
      <c r="I956" s="1115"/>
      <c r="J956" s="1113"/>
    </row>
    <row r="957">
      <c r="A957" s="1113"/>
      <c r="B957" s="1114"/>
      <c r="C957" s="1115"/>
      <c r="D957" s="1116"/>
      <c r="E957" s="1115"/>
      <c r="F957" s="1115"/>
      <c r="G957" s="1115"/>
      <c r="H957" s="1116"/>
      <c r="I957" s="1115"/>
      <c r="J957" s="1113"/>
    </row>
    <row r="958">
      <c r="A958" s="1113"/>
      <c r="B958" s="1114"/>
      <c r="C958" s="1115"/>
      <c r="D958" s="1116"/>
      <c r="E958" s="1115"/>
      <c r="F958" s="1115"/>
      <c r="G958" s="1115"/>
      <c r="H958" s="1116"/>
      <c r="I958" s="1115"/>
      <c r="J958" s="1113"/>
    </row>
    <row r="959">
      <c r="A959" s="1113"/>
      <c r="B959" s="1114"/>
      <c r="C959" s="1115"/>
      <c r="D959" s="1116"/>
      <c r="E959" s="1115"/>
      <c r="F959" s="1115"/>
      <c r="G959" s="1115"/>
      <c r="H959" s="1116"/>
      <c r="I959" s="1115"/>
      <c r="J959" s="1113"/>
    </row>
    <row r="960">
      <c r="A960" s="1113"/>
      <c r="B960" s="1114"/>
      <c r="C960" s="1115"/>
      <c r="D960" s="1116"/>
      <c r="E960" s="1115"/>
      <c r="F960" s="1115"/>
      <c r="G960" s="1115"/>
      <c r="H960" s="1116"/>
      <c r="I960" s="1115"/>
      <c r="J960" s="1113"/>
    </row>
    <row r="961">
      <c r="A961" s="1113"/>
      <c r="B961" s="1114"/>
      <c r="C961" s="1115"/>
      <c r="D961" s="1116"/>
      <c r="E961" s="1115"/>
      <c r="F961" s="1115"/>
      <c r="G961" s="1115"/>
      <c r="H961" s="1116"/>
      <c r="I961" s="1115"/>
      <c r="J961" s="1113"/>
    </row>
    <row r="962">
      <c r="A962" s="1113"/>
      <c r="B962" s="1114"/>
      <c r="C962" s="1115"/>
      <c r="D962" s="1116"/>
      <c r="E962" s="1115"/>
      <c r="F962" s="1115"/>
      <c r="G962" s="1115"/>
      <c r="H962" s="1116"/>
      <c r="I962" s="1115"/>
      <c r="J962" s="1113"/>
    </row>
    <row r="963">
      <c r="A963" s="1113"/>
      <c r="B963" s="1114"/>
      <c r="C963" s="1115"/>
      <c r="D963" s="1116"/>
      <c r="E963" s="1115"/>
      <c r="F963" s="1115"/>
      <c r="G963" s="1115"/>
      <c r="H963" s="1116"/>
      <c r="I963" s="1115"/>
      <c r="J963" s="1113"/>
    </row>
    <row r="964">
      <c r="A964" s="1113"/>
      <c r="B964" s="1114"/>
      <c r="C964" s="1115"/>
      <c r="D964" s="1116"/>
      <c r="E964" s="1115"/>
      <c r="F964" s="1115"/>
      <c r="G964" s="1115"/>
      <c r="H964" s="1116"/>
      <c r="I964" s="1115"/>
      <c r="J964" s="1113"/>
    </row>
    <row r="965">
      <c r="A965" s="1113"/>
      <c r="B965" s="1114"/>
      <c r="C965" s="1115"/>
      <c r="D965" s="1116"/>
      <c r="E965" s="1115"/>
      <c r="F965" s="1115"/>
      <c r="G965" s="1115"/>
      <c r="H965" s="1116"/>
      <c r="I965" s="1115"/>
      <c r="J965" s="1113"/>
    </row>
    <row r="966">
      <c r="A966" s="1113"/>
      <c r="B966" s="1114"/>
      <c r="C966" s="1115"/>
      <c r="D966" s="1116"/>
      <c r="E966" s="1115"/>
      <c r="F966" s="1115"/>
      <c r="G966" s="1115"/>
      <c r="H966" s="1116"/>
      <c r="I966" s="1115"/>
      <c r="J966" s="1113"/>
    </row>
    <row r="967">
      <c r="A967" s="1113"/>
      <c r="B967" s="1114"/>
      <c r="C967" s="1115"/>
      <c r="D967" s="1116"/>
      <c r="E967" s="1115"/>
      <c r="F967" s="1115"/>
      <c r="G967" s="1115"/>
      <c r="H967" s="1116"/>
      <c r="I967" s="1115"/>
      <c r="J967" s="1113"/>
    </row>
    <row r="968">
      <c r="A968" s="1113"/>
      <c r="B968" s="1114"/>
      <c r="C968" s="1115"/>
      <c r="D968" s="1116"/>
      <c r="E968" s="1115"/>
      <c r="F968" s="1115"/>
      <c r="G968" s="1115"/>
      <c r="H968" s="1116"/>
      <c r="I968" s="1115"/>
      <c r="J968" s="1113"/>
    </row>
    <row r="969">
      <c r="A969" s="1113"/>
      <c r="B969" s="1114"/>
      <c r="C969" s="1115"/>
      <c r="D969" s="1116"/>
      <c r="E969" s="1115"/>
      <c r="F969" s="1115"/>
      <c r="G969" s="1115"/>
      <c r="H969" s="1116"/>
      <c r="I969" s="1115"/>
      <c r="J969" s="1113"/>
    </row>
    <row r="970">
      <c r="A970" s="1113"/>
      <c r="B970" s="1114"/>
      <c r="C970" s="1115"/>
      <c r="D970" s="1116"/>
      <c r="E970" s="1115"/>
      <c r="F970" s="1115"/>
      <c r="G970" s="1115"/>
      <c r="H970" s="1116"/>
      <c r="I970" s="1115"/>
      <c r="J970" s="1113"/>
    </row>
    <row r="971">
      <c r="A971" s="1113"/>
      <c r="B971" s="1114"/>
      <c r="C971" s="1115"/>
      <c r="D971" s="1116"/>
      <c r="E971" s="1115"/>
      <c r="F971" s="1115"/>
      <c r="G971" s="1115"/>
      <c r="H971" s="1116"/>
      <c r="I971" s="1115"/>
      <c r="J971" s="1113"/>
    </row>
    <row r="972">
      <c r="A972" s="1113"/>
      <c r="B972" s="1114"/>
      <c r="C972" s="1115"/>
      <c r="D972" s="1116"/>
      <c r="E972" s="1115"/>
      <c r="F972" s="1115"/>
      <c r="G972" s="1115"/>
      <c r="H972" s="1116"/>
      <c r="I972" s="1115"/>
      <c r="J972" s="1113"/>
    </row>
    <row r="973">
      <c r="A973" s="1113"/>
      <c r="B973" s="1114"/>
      <c r="C973" s="1115"/>
      <c r="D973" s="1116"/>
      <c r="E973" s="1115"/>
      <c r="F973" s="1115"/>
      <c r="G973" s="1115"/>
      <c r="H973" s="1116"/>
      <c r="I973" s="1115"/>
      <c r="J973" s="1113"/>
    </row>
    <row r="974">
      <c r="A974" s="1113"/>
      <c r="B974" s="1114"/>
      <c r="C974" s="1115"/>
      <c r="D974" s="1116"/>
      <c r="E974" s="1115"/>
      <c r="F974" s="1115"/>
      <c r="G974" s="1115"/>
      <c r="H974" s="1116"/>
      <c r="I974" s="1115"/>
      <c r="J974" s="1113"/>
    </row>
    <row r="975">
      <c r="A975" s="1113"/>
      <c r="B975" s="1114"/>
      <c r="C975" s="1115"/>
      <c r="D975" s="1116"/>
      <c r="E975" s="1115"/>
      <c r="F975" s="1115"/>
      <c r="G975" s="1115"/>
      <c r="H975" s="1116"/>
      <c r="I975" s="1115"/>
      <c r="J975" s="1113"/>
    </row>
    <row r="976">
      <c r="A976" s="1113"/>
      <c r="B976" s="1114"/>
      <c r="C976" s="1115"/>
      <c r="D976" s="1116"/>
      <c r="E976" s="1115"/>
      <c r="F976" s="1115"/>
      <c r="G976" s="1115"/>
      <c r="H976" s="1116"/>
      <c r="I976" s="1115"/>
      <c r="J976" s="1113"/>
    </row>
    <row r="977">
      <c r="A977" s="1113"/>
      <c r="B977" s="1114"/>
      <c r="C977" s="1115"/>
      <c r="D977" s="1116"/>
      <c r="E977" s="1115"/>
      <c r="F977" s="1115"/>
      <c r="G977" s="1115"/>
      <c r="H977" s="1116"/>
      <c r="I977" s="1115"/>
      <c r="J977" s="1113"/>
    </row>
    <row r="978">
      <c r="A978" s="1113"/>
      <c r="B978" s="1114"/>
      <c r="C978" s="1115"/>
      <c r="D978" s="1116"/>
      <c r="E978" s="1115"/>
      <c r="F978" s="1115"/>
      <c r="G978" s="1115"/>
      <c r="H978" s="1116"/>
      <c r="I978" s="1115"/>
      <c r="J978" s="1113"/>
    </row>
    <row r="979">
      <c r="A979" s="1113"/>
      <c r="B979" s="1114"/>
      <c r="C979" s="1115"/>
      <c r="D979" s="1116"/>
      <c r="E979" s="1115"/>
      <c r="F979" s="1115"/>
      <c r="G979" s="1115"/>
      <c r="H979" s="1116"/>
      <c r="I979" s="1115"/>
      <c r="J979" s="1113"/>
    </row>
    <row r="980">
      <c r="A980" s="1113"/>
      <c r="B980" s="1114"/>
      <c r="C980" s="1115"/>
      <c r="D980" s="1116"/>
      <c r="E980" s="1115"/>
      <c r="F980" s="1115"/>
      <c r="G980" s="1115"/>
      <c r="H980" s="1116"/>
      <c r="I980" s="1115"/>
      <c r="J980" s="1113"/>
    </row>
    <row r="981">
      <c r="A981" s="1113"/>
      <c r="B981" s="1114"/>
      <c r="C981" s="1115"/>
      <c r="D981" s="1116"/>
      <c r="E981" s="1115"/>
      <c r="F981" s="1115"/>
      <c r="G981" s="1115"/>
      <c r="H981" s="1116"/>
      <c r="I981" s="1115"/>
      <c r="J981" s="1113"/>
    </row>
    <row r="982">
      <c r="A982" s="1113"/>
      <c r="B982" s="1114"/>
      <c r="C982" s="1115"/>
      <c r="D982" s="1116"/>
      <c r="E982" s="1115"/>
      <c r="F982" s="1115"/>
      <c r="G982" s="1115"/>
      <c r="H982" s="1116"/>
      <c r="I982" s="1115"/>
      <c r="J982" s="1113"/>
    </row>
    <row r="983">
      <c r="A983" s="1113"/>
      <c r="B983" s="1114"/>
      <c r="C983" s="1115"/>
      <c r="D983" s="1116"/>
      <c r="E983" s="1115"/>
      <c r="F983" s="1115"/>
      <c r="G983" s="1115"/>
      <c r="H983" s="1116"/>
      <c r="I983" s="1115"/>
      <c r="J983" s="1113"/>
    </row>
    <row r="984">
      <c r="A984" s="1113"/>
      <c r="B984" s="1114"/>
      <c r="C984" s="1115"/>
      <c r="D984" s="1116"/>
      <c r="E984" s="1115"/>
      <c r="F984" s="1115"/>
      <c r="G984" s="1115"/>
      <c r="H984" s="1116"/>
      <c r="I984" s="1115"/>
      <c r="J984" s="1113"/>
    </row>
    <row r="985">
      <c r="A985" s="1113"/>
      <c r="B985" s="1114"/>
      <c r="C985" s="1115"/>
      <c r="D985" s="1116"/>
      <c r="E985" s="1115"/>
      <c r="F985" s="1115"/>
      <c r="G985" s="1115"/>
      <c r="H985" s="1116"/>
      <c r="I985" s="1115"/>
      <c r="J985" s="1113"/>
    </row>
    <row r="986">
      <c r="A986" s="1113"/>
      <c r="B986" s="1114"/>
      <c r="C986" s="1115"/>
      <c r="D986" s="1116"/>
      <c r="E986" s="1115"/>
      <c r="F986" s="1115"/>
      <c r="G986" s="1115"/>
      <c r="H986" s="1116"/>
      <c r="I986" s="1115"/>
      <c r="J986" s="1113"/>
    </row>
    <row r="987">
      <c r="A987" s="1113"/>
      <c r="B987" s="1114"/>
      <c r="C987" s="1115"/>
      <c r="D987" s="1116"/>
      <c r="E987" s="1115"/>
      <c r="F987" s="1115"/>
      <c r="G987" s="1115"/>
      <c r="H987" s="1116"/>
      <c r="I987" s="1115"/>
      <c r="J987" s="1113"/>
    </row>
    <row r="988">
      <c r="A988" s="1113"/>
      <c r="B988" s="1114"/>
      <c r="C988" s="1115"/>
      <c r="D988" s="1116"/>
      <c r="E988" s="1115"/>
      <c r="F988" s="1115"/>
      <c r="G988" s="1115"/>
      <c r="H988" s="1116"/>
      <c r="I988" s="1115"/>
      <c r="J988" s="1113"/>
    </row>
    <row r="989">
      <c r="A989" s="1113"/>
      <c r="B989" s="1114"/>
      <c r="C989" s="1115"/>
      <c r="D989" s="1116"/>
      <c r="E989" s="1115"/>
      <c r="F989" s="1115"/>
      <c r="G989" s="1115"/>
      <c r="H989" s="1116"/>
      <c r="I989" s="1115"/>
      <c r="J989" s="1113"/>
    </row>
    <row r="990">
      <c r="A990" s="1113"/>
      <c r="B990" s="1114"/>
      <c r="C990" s="1115"/>
      <c r="D990" s="1116"/>
      <c r="E990" s="1115"/>
      <c r="F990" s="1115"/>
      <c r="G990" s="1115"/>
      <c r="H990" s="1116"/>
      <c r="I990" s="1115"/>
      <c r="J990" s="1113"/>
    </row>
    <row r="991">
      <c r="A991" s="1113"/>
      <c r="B991" s="1114"/>
      <c r="C991" s="1115"/>
      <c r="D991" s="1116"/>
      <c r="E991" s="1115"/>
      <c r="F991" s="1115"/>
      <c r="G991" s="1115"/>
      <c r="H991" s="1116"/>
      <c r="I991" s="1115"/>
      <c r="J991" s="1113"/>
    </row>
    <row r="992">
      <c r="A992" s="1113"/>
      <c r="B992" s="1114"/>
      <c r="C992" s="1115"/>
      <c r="D992" s="1116"/>
      <c r="E992" s="1115"/>
      <c r="F992" s="1115"/>
      <c r="G992" s="1115"/>
      <c r="H992" s="1116"/>
      <c r="I992" s="1115"/>
      <c r="J992" s="1113"/>
    </row>
    <row r="993">
      <c r="A993" s="1113"/>
      <c r="B993" s="1114"/>
      <c r="C993" s="1115"/>
      <c r="D993" s="1116"/>
      <c r="E993" s="1115"/>
      <c r="F993" s="1115"/>
      <c r="G993" s="1115"/>
      <c r="H993" s="1116"/>
      <c r="I993" s="1115"/>
      <c r="J993" s="1113"/>
    </row>
    <row r="994">
      <c r="A994" s="1113"/>
      <c r="B994" s="1114"/>
      <c r="C994" s="1115"/>
      <c r="D994" s="1116"/>
      <c r="E994" s="1115"/>
      <c r="F994" s="1115"/>
      <c r="G994" s="1115"/>
      <c r="H994" s="1116"/>
      <c r="I994" s="1115"/>
      <c r="J994" s="1113"/>
    </row>
    <row r="995">
      <c r="A995" s="1113"/>
      <c r="B995" s="1114"/>
      <c r="C995" s="1115"/>
      <c r="D995" s="1116"/>
      <c r="E995" s="1115"/>
      <c r="F995" s="1115"/>
      <c r="G995" s="1115"/>
      <c r="H995" s="1116"/>
      <c r="I995" s="1115"/>
      <c r="J995" s="1113"/>
    </row>
    <row r="996">
      <c r="A996" s="1113"/>
      <c r="B996" s="1114"/>
      <c r="C996" s="1115"/>
      <c r="D996" s="1116"/>
      <c r="E996" s="1115"/>
      <c r="F996" s="1115"/>
      <c r="G996" s="1115"/>
      <c r="H996" s="1116"/>
      <c r="I996" s="1115"/>
      <c r="J996" s="1113"/>
    </row>
    <row r="997">
      <c r="A997" s="1113"/>
      <c r="B997" s="1114"/>
      <c r="C997" s="1115"/>
      <c r="D997" s="1116"/>
      <c r="E997" s="1115"/>
      <c r="F997" s="1115"/>
      <c r="G997" s="1115"/>
      <c r="H997" s="1116"/>
      <c r="I997" s="1115"/>
      <c r="J997" s="1113"/>
    </row>
    <row r="998">
      <c r="A998" s="1113"/>
      <c r="B998" s="1114"/>
      <c r="C998" s="1115"/>
      <c r="D998" s="1116"/>
      <c r="E998" s="1115"/>
      <c r="F998" s="1115"/>
      <c r="G998" s="1115"/>
      <c r="H998" s="1116"/>
      <c r="I998" s="1115"/>
      <c r="J998" s="1113"/>
    </row>
    <row r="999">
      <c r="A999" s="1113"/>
      <c r="B999" s="1114"/>
      <c r="C999" s="1115"/>
      <c r="D999" s="1116"/>
      <c r="E999" s="1115"/>
      <c r="F999" s="1115"/>
      <c r="G999" s="1115"/>
      <c r="H999" s="1116"/>
      <c r="I999" s="1115"/>
      <c r="J999" s="1113"/>
    </row>
    <row r="1000">
      <c r="A1000" s="1113"/>
      <c r="B1000" s="1114"/>
      <c r="C1000" s="1115"/>
      <c r="D1000" s="1116"/>
      <c r="E1000" s="1115"/>
      <c r="F1000" s="1115"/>
      <c r="G1000" s="1115"/>
      <c r="H1000" s="1116"/>
      <c r="I1000" s="1115"/>
      <c r="J1000" s="1113"/>
    </row>
    <row r="1001">
      <c r="A1001" s="1113"/>
      <c r="B1001" s="1114"/>
      <c r="C1001" s="1115"/>
      <c r="D1001" s="1116"/>
      <c r="E1001" s="1115"/>
      <c r="F1001" s="1115"/>
      <c r="G1001" s="1115"/>
      <c r="H1001" s="1116"/>
      <c r="I1001" s="1115"/>
      <c r="J1001" s="1113"/>
    </row>
    <row r="1002">
      <c r="A1002" s="1113"/>
      <c r="B1002" s="1114"/>
      <c r="C1002" s="1115"/>
      <c r="D1002" s="1116"/>
      <c r="E1002" s="1115"/>
      <c r="F1002" s="1115"/>
      <c r="G1002" s="1115"/>
      <c r="H1002" s="1116"/>
      <c r="I1002" s="1115"/>
      <c r="J1002" s="1113"/>
    </row>
    <row r="1003">
      <c r="A1003" s="1113"/>
      <c r="B1003" s="1114"/>
      <c r="C1003" s="1115"/>
      <c r="D1003" s="1116"/>
      <c r="E1003" s="1115"/>
      <c r="F1003" s="1115"/>
      <c r="G1003" s="1115"/>
      <c r="H1003" s="1116"/>
      <c r="I1003" s="1115"/>
      <c r="J1003" s="1113"/>
    </row>
    <row r="1004">
      <c r="A1004" s="1113"/>
      <c r="B1004" s="1114"/>
      <c r="C1004" s="1115"/>
      <c r="D1004" s="1116"/>
      <c r="E1004" s="1115"/>
      <c r="F1004" s="1115"/>
      <c r="G1004" s="1115"/>
      <c r="H1004" s="1116"/>
      <c r="I1004" s="1115"/>
      <c r="J1004" s="1113"/>
    </row>
    <row r="1005">
      <c r="A1005" s="1113"/>
      <c r="B1005" s="1114"/>
      <c r="C1005" s="1115"/>
      <c r="D1005" s="1116"/>
      <c r="E1005" s="1115"/>
      <c r="F1005" s="1115"/>
      <c r="G1005" s="1115"/>
      <c r="H1005" s="1116"/>
      <c r="I1005" s="1115"/>
      <c r="J1005" s="1113"/>
    </row>
    <row r="1006">
      <c r="A1006" s="1113"/>
      <c r="B1006" s="1114"/>
      <c r="C1006" s="1115"/>
      <c r="D1006" s="1116"/>
      <c r="E1006" s="1115"/>
      <c r="F1006" s="1115"/>
      <c r="G1006" s="1115"/>
      <c r="H1006" s="1116"/>
      <c r="I1006" s="1115"/>
      <c r="J1006" s="1113"/>
    </row>
    <row r="1007">
      <c r="A1007" s="1113"/>
      <c r="B1007" s="1114"/>
      <c r="C1007" s="1115"/>
      <c r="D1007" s="1116"/>
      <c r="E1007" s="1115"/>
      <c r="F1007" s="1115"/>
      <c r="G1007" s="1115"/>
      <c r="H1007" s="1116"/>
      <c r="I1007" s="1115"/>
      <c r="J1007" s="1113"/>
    </row>
    <row r="1008">
      <c r="A1008" s="1113"/>
      <c r="B1008" s="1114"/>
      <c r="C1008" s="1115"/>
      <c r="D1008" s="1116"/>
      <c r="E1008" s="1115"/>
      <c r="F1008" s="1115"/>
      <c r="G1008" s="1115"/>
      <c r="H1008" s="1116"/>
      <c r="I1008" s="1115"/>
      <c r="J1008" s="1113"/>
    </row>
    <row r="1009">
      <c r="A1009" s="1113"/>
      <c r="B1009" s="1114"/>
      <c r="C1009" s="1115"/>
      <c r="D1009" s="1116"/>
      <c r="E1009" s="1115"/>
      <c r="F1009" s="1115"/>
      <c r="G1009" s="1115"/>
      <c r="H1009" s="1116"/>
      <c r="I1009" s="1115"/>
      <c r="J1009" s="1113"/>
    </row>
    <row r="1010">
      <c r="A1010" s="1113"/>
      <c r="B1010" s="1114"/>
      <c r="C1010" s="1115"/>
      <c r="D1010" s="1116"/>
      <c r="E1010" s="1115"/>
      <c r="F1010" s="1115"/>
      <c r="G1010" s="1115"/>
      <c r="H1010" s="1116"/>
      <c r="I1010" s="1115"/>
      <c r="J1010" s="1113"/>
    </row>
    <row r="1011">
      <c r="A1011" s="1113"/>
      <c r="B1011" s="1114"/>
      <c r="C1011" s="1115"/>
      <c r="D1011" s="1116"/>
      <c r="E1011" s="1115"/>
      <c r="F1011" s="1115"/>
      <c r="G1011" s="1115"/>
      <c r="H1011" s="1116"/>
      <c r="I1011" s="1115"/>
      <c r="J1011" s="1113"/>
    </row>
    <row r="1012">
      <c r="A1012" s="1113"/>
      <c r="B1012" s="1114"/>
      <c r="C1012" s="1115"/>
      <c r="D1012" s="1116"/>
      <c r="E1012" s="1115"/>
      <c r="F1012" s="1115"/>
      <c r="G1012" s="1115"/>
      <c r="H1012" s="1116"/>
      <c r="I1012" s="1115"/>
      <c r="J1012" s="1113"/>
    </row>
    <row r="1013">
      <c r="A1013" s="1113"/>
      <c r="B1013" s="1114"/>
      <c r="C1013" s="1115"/>
      <c r="D1013" s="1116"/>
      <c r="E1013" s="1115"/>
      <c r="F1013" s="1115"/>
      <c r="G1013" s="1115"/>
      <c r="H1013" s="1116"/>
      <c r="I1013" s="1115"/>
      <c r="J1013" s="1113"/>
    </row>
    <row r="1014">
      <c r="A1014" s="1113"/>
      <c r="B1014" s="1114"/>
      <c r="C1014" s="1115"/>
      <c r="D1014" s="1116"/>
      <c r="E1014" s="1115"/>
      <c r="F1014" s="1115"/>
      <c r="G1014" s="1115"/>
      <c r="H1014" s="1116"/>
      <c r="I1014" s="1115"/>
      <c r="J1014" s="1113"/>
    </row>
    <row r="1015">
      <c r="A1015" s="1113"/>
      <c r="B1015" s="1114"/>
      <c r="C1015" s="1115"/>
      <c r="D1015" s="1116"/>
      <c r="E1015" s="1115"/>
      <c r="F1015" s="1115"/>
      <c r="G1015" s="1115"/>
      <c r="H1015" s="1116"/>
      <c r="I1015" s="1115"/>
      <c r="J1015" s="1113"/>
    </row>
    <row r="1016">
      <c r="A1016" s="1113"/>
      <c r="B1016" s="1114"/>
      <c r="C1016" s="1115"/>
      <c r="D1016" s="1116"/>
      <c r="E1016" s="1115"/>
      <c r="F1016" s="1115"/>
      <c r="G1016" s="1115"/>
      <c r="H1016" s="1116"/>
      <c r="I1016" s="1115"/>
      <c r="J1016" s="1113"/>
    </row>
  </sheetData>
  <conditionalFormatting sqref="E5:E45">
    <cfRule type="cellIs" dxfId="35" priority="1" operator="lessThan">
      <formula>0</formula>
    </cfRule>
  </conditionalFormatting>
  <conditionalFormatting sqref="E5:E45">
    <cfRule type="cellIs" dxfId="36" priority="2" operator="greaterThan">
      <formula>0</formula>
    </cfRule>
  </conditionalFormatting>
  <conditionalFormatting sqref="D5:D44">
    <cfRule type="cellIs" dxfId="35" priority="3" operator="lessThan">
      <formula>0</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1136"/>
      <c r="B1" s="1136" t="s">
        <v>963</v>
      </c>
      <c r="C1" s="1136" t="s">
        <v>964</v>
      </c>
      <c r="D1" s="1136" t="s">
        <v>965</v>
      </c>
      <c r="E1" s="1136" t="s">
        <v>966</v>
      </c>
      <c r="F1" s="1136" t="s">
        <v>967</v>
      </c>
      <c r="G1" s="1136" t="s">
        <v>968</v>
      </c>
      <c r="H1" s="1136" t="s">
        <v>969</v>
      </c>
    </row>
    <row r="2">
      <c r="A2" s="1137">
        <v>1928.0</v>
      </c>
      <c r="B2" s="1137">
        <v>19.94</v>
      </c>
      <c r="C2" s="1137">
        <v>17.76</v>
      </c>
      <c r="D2" s="1137">
        <v>24.35</v>
      </c>
      <c r="E2" s="1137">
        <v>16.95</v>
      </c>
      <c r="F2" s="1137">
        <v>24.35</v>
      </c>
      <c r="G2" s="1138">
        <v>0.3788</v>
      </c>
      <c r="H2" s="1139">
        <v>-0.012</v>
      </c>
    </row>
    <row r="3">
      <c r="A3" s="1137">
        <v>1929.0</v>
      </c>
      <c r="B3" s="1137">
        <v>26.19</v>
      </c>
      <c r="C3" s="1137">
        <v>24.81</v>
      </c>
      <c r="D3" s="1137">
        <v>31.86</v>
      </c>
      <c r="E3" s="1137">
        <v>17.66</v>
      </c>
      <c r="F3" s="1137">
        <v>21.45</v>
      </c>
      <c r="G3" s="1140">
        <v>-0.1191</v>
      </c>
      <c r="H3" s="1139">
        <v>0.0</v>
      </c>
    </row>
    <row r="4">
      <c r="A4" s="1137">
        <v>1930.0</v>
      </c>
      <c r="B4" s="1137">
        <v>21.0</v>
      </c>
      <c r="C4" s="1137">
        <v>21.18</v>
      </c>
      <c r="D4" s="1137">
        <v>25.92</v>
      </c>
      <c r="E4" s="1137">
        <v>14.44</v>
      </c>
      <c r="F4" s="1137">
        <v>15.34</v>
      </c>
      <c r="G4" s="1140">
        <v>-0.2848</v>
      </c>
      <c r="H4" s="1139">
        <v>-0.027</v>
      </c>
    </row>
    <row r="5">
      <c r="A5" s="1137">
        <v>1931.0</v>
      </c>
      <c r="B5" s="1137">
        <v>13.66</v>
      </c>
      <c r="C5" s="1137">
        <v>15.85</v>
      </c>
      <c r="D5" s="1137">
        <v>18.17</v>
      </c>
      <c r="E5" s="1137">
        <v>7.72</v>
      </c>
      <c r="F5" s="1137">
        <v>8.12</v>
      </c>
      <c r="G5" s="1140">
        <v>-0.4707</v>
      </c>
      <c r="H5" s="1139">
        <v>-0.089</v>
      </c>
    </row>
    <row r="6">
      <c r="A6" s="1137">
        <v>1932.0</v>
      </c>
      <c r="B6" s="1137">
        <v>6.92</v>
      </c>
      <c r="C6" s="1137">
        <v>7.82</v>
      </c>
      <c r="D6" s="1137">
        <v>9.31</v>
      </c>
      <c r="E6" s="1137">
        <v>4.4</v>
      </c>
      <c r="F6" s="1137">
        <v>6.89</v>
      </c>
      <c r="G6" s="1140">
        <v>-0.1515</v>
      </c>
      <c r="H6" s="1139">
        <v>-0.103</v>
      </c>
    </row>
    <row r="7">
      <c r="A7" s="1137">
        <v>1933.0</v>
      </c>
      <c r="B7" s="1137">
        <v>9.04</v>
      </c>
      <c r="C7" s="1137">
        <v>6.83</v>
      </c>
      <c r="D7" s="1137">
        <v>12.2</v>
      </c>
      <c r="E7" s="1137">
        <v>5.53</v>
      </c>
      <c r="F7" s="1137">
        <v>10.1</v>
      </c>
      <c r="G7" s="1138">
        <v>0.4659</v>
      </c>
      <c r="H7" s="1139">
        <v>-0.052</v>
      </c>
    </row>
    <row r="8">
      <c r="A8" s="1137">
        <v>1934.0</v>
      </c>
      <c r="B8" s="1137">
        <v>9.83</v>
      </c>
      <c r="C8" s="1137">
        <v>10.11</v>
      </c>
      <c r="D8" s="1137">
        <v>11.82</v>
      </c>
      <c r="E8" s="1137">
        <v>8.36</v>
      </c>
      <c r="F8" s="1137">
        <v>9.5</v>
      </c>
      <c r="G8" s="1140">
        <v>-0.0594</v>
      </c>
      <c r="H8" s="1139">
        <v>0.035</v>
      </c>
    </row>
    <row r="9">
      <c r="A9" s="1137">
        <v>1935.0</v>
      </c>
      <c r="B9" s="1137">
        <v>10.58</v>
      </c>
      <c r="C9" s="1137">
        <v>9.51</v>
      </c>
      <c r="D9" s="1137">
        <v>13.46</v>
      </c>
      <c r="E9" s="1137">
        <v>8.06</v>
      </c>
      <c r="F9" s="1137">
        <v>13.43</v>
      </c>
      <c r="G9" s="1138">
        <v>0.4137</v>
      </c>
      <c r="H9" s="1139">
        <v>0.026</v>
      </c>
    </row>
    <row r="10">
      <c r="A10" s="1137">
        <v>1936.0</v>
      </c>
      <c r="B10" s="1137">
        <v>15.45</v>
      </c>
      <c r="C10" s="1137">
        <v>13.4</v>
      </c>
      <c r="D10" s="1137">
        <v>17.69</v>
      </c>
      <c r="E10" s="1137">
        <v>13.4</v>
      </c>
      <c r="F10" s="1137">
        <v>17.18</v>
      </c>
      <c r="G10" s="1138">
        <v>0.2792</v>
      </c>
      <c r="H10" s="1139">
        <v>0.01</v>
      </c>
    </row>
    <row r="11">
      <c r="A11" s="1137">
        <v>1937.0</v>
      </c>
      <c r="B11" s="1137">
        <v>15.41</v>
      </c>
      <c r="C11" s="1137">
        <v>17.02</v>
      </c>
      <c r="D11" s="1137">
        <v>18.68</v>
      </c>
      <c r="E11" s="1137">
        <v>10.17</v>
      </c>
      <c r="F11" s="1137">
        <v>10.55</v>
      </c>
      <c r="G11" s="1140">
        <v>-0.3859</v>
      </c>
      <c r="H11" s="1139">
        <v>0.037</v>
      </c>
    </row>
    <row r="12">
      <c r="A12" s="1137">
        <v>1938.0</v>
      </c>
      <c r="B12" s="1137">
        <v>11.48</v>
      </c>
      <c r="C12" s="1137">
        <v>10.52</v>
      </c>
      <c r="D12" s="1137">
        <v>13.91</v>
      </c>
      <c r="E12" s="1137">
        <v>8.5</v>
      </c>
      <c r="F12" s="1137">
        <v>13.21</v>
      </c>
      <c r="G12" s="1138">
        <v>0.2521</v>
      </c>
      <c r="H12" s="1139">
        <v>-0.02</v>
      </c>
    </row>
    <row r="13">
      <c r="A13" s="1137">
        <v>1939.0</v>
      </c>
      <c r="B13" s="1137">
        <v>12.05</v>
      </c>
      <c r="C13" s="1137">
        <v>13.08</v>
      </c>
      <c r="D13" s="1137">
        <v>13.23</v>
      </c>
      <c r="E13" s="1137">
        <v>10.18</v>
      </c>
      <c r="F13" s="1137">
        <v>12.49</v>
      </c>
      <c r="G13" s="1140">
        <v>-0.0545</v>
      </c>
      <c r="H13" s="1139">
        <v>-0.013</v>
      </c>
    </row>
    <row r="14">
      <c r="A14" s="1137">
        <v>1940.0</v>
      </c>
      <c r="B14" s="1137">
        <v>11.01</v>
      </c>
      <c r="C14" s="1137">
        <v>12.63</v>
      </c>
      <c r="D14" s="1137">
        <v>12.77</v>
      </c>
      <c r="E14" s="1137">
        <v>8.99</v>
      </c>
      <c r="F14" s="1137">
        <v>10.58</v>
      </c>
      <c r="G14" s="1140">
        <v>-0.1529</v>
      </c>
      <c r="H14" s="1139">
        <v>0.007</v>
      </c>
    </row>
    <row r="15">
      <c r="A15" s="1137">
        <v>1941.0</v>
      </c>
      <c r="B15" s="1137">
        <v>9.83</v>
      </c>
      <c r="C15" s="1137">
        <v>10.48</v>
      </c>
      <c r="D15" s="1137">
        <v>10.86</v>
      </c>
      <c r="E15" s="1137">
        <v>8.37</v>
      </c>
      <c r="F15" s="1137">
        <v>8.69</v>
      </c>
      <c r="G15" s="1140">
        <v>-0.1786</v>
      </c>
      <c r="H15" s="1139">
        <v>0.051</v>
      </c>
    </row>
    <row r="16">
      <c r="A16" s="1137">
        <v>1942.0</v>
      </c>
      <c r="B16" s="1137">
        <v>8.67</v>
      </c>
      <c r="C16" s="1137">
        <v>8.89</v>
      </c>
      <c r="D16" s="1137">
        <v>9.77</v>
      </c>
      <c r="E16" s="1137">
        <v>7.47</v>
      </c>
      <c r="F16" s="1137">
        <v>9.77</v>
      </c>
      <c r="G16" s="1138">
        <v>0.1243</v>
      </c>
      <c r="H16" s="1139">
        <v>0.109</v>
      </c>
    </row>
    <row r="17">
      <c r="A17" s="1137">
        <v>1943.0</v>
      </c>
      <c r="B17" s="1137">
        <v>11.52</v>
      </c>
      <c r="C17" s="1137">
        <v>9.84</v>
      </c>
      <c r="D17" s="1137">
        <v>12.64</v>
      </c>
      <c r="E17" s="1137">
        <v>9.84</v>
      </c>
      <c r="F17" s="1137">
        <v>11.67</v>
      </c>
      <c r="G17" s="1138">
        <v>0.1945</v>
      </c>
      <c r="H17" s="1139">
        <v>0.06</v>
      </c>
    </row>
    <row r="18">
      <c r="A18" s="1137">
        <v>1944.0</v>
      </c>
      <c r="B18" s="1137">
        <v>12.47</v>
      </c>
      <c r="C18" s="1137">
        <v>11.66</v>
      </c>
      <c r="D18" s="1137">
        <v>13.29</v>
      </c>
      <c r="E18" s="1137">
        <v>11.56</v>
      </c>
      <c r="F18" s="1137">
        <v>13.28</v>
      </c>
      <c r="G18" s="1138">
        <v>0.138</v>
      </c>
      <c r="H18" s="1139">
        <v>0.016</v>
      </c>
    </row>
    <row r="19">
      <c r="A19" s="1137">
        <v>1945.0</v>
      </c>
      <c r="B19" s="1137">
        <v>15.14</v>
      </c>
      <c r="C19" s="1137">
        <v>13.33</v>
      </c>
      <c r="D19" s="1137">
        <v>17.68</v>
      </c>
      <c r="E19" s="1137">
        <v>13.21</v>
      </c>
      <c r="F19" s="1137">
        <v>17.36</v>
      </c>
      <c r="G19" s="1138">
        <v>0.3072</v>
      </c>
      <c r="H19" s="1139">
        <v>0.023</v>
      </c>
    </row>
    <row r="20">
      <c r="A20" s="1137">
        <v>1946.0</v>
      </c>
      <c r="B20" s="1137">
        <v>17.07</v>
      </c>
      <c r="C20" s="1137">
        <v>17.25</v>
      </c>
      <c r="D20" s="1137">
        <v>19.25</v>
      </c>
      <c r="E20" s="1137">
        <v>14.12</v>
      </c>
      <c r="F20" s="1137">
        <v>15.3</v>
      </c>
      <c r="G20" s="1140">
        <v>-0.1187</v>
      </c>
      <c r="H20" s="1139">
        <v>0.085</v>
      </c>
    </row>
    <row r="21">
      <c r="A21" s="1137">
        <v>1947.0</v>
      </c>
      <c r="B21" s="1137">
        <v>15.15</v>
      </c>
      <c r="C21" s="1137">
        <v>15.2</v>
      </c>
      <c r="D21" s="1137">
        <v>16.2</v>
      </c>
      <c r="E21" s="1137">
        <v>13.71</v>
      </c>
      <c r="F21" s="1137">
        <v>15.3</v>
      </c>
      <c r="G21" s="1140">
        <v>0.0</v>
      </c>
      <c r="H21" s="1139">
        <v>0.144</v>
      </c>
    </row>
    <row r="22">
      <c r="A22" s="1137">
        <v>1948.0</v>
      </c>
      <c r="B22" s="1137">
        <v>15.51</v>
      </c>
      <c r="C22" s="1137">
        <v>15.34</v>
      </c>
      <c r="D22" s="1137">
        <v>17.06</v>
      </c>
      <c r="E22" s="1137">
        <v>13.84</v>
      </c>
      <c r="F22" s="1137">
        <v>15.2</v>
      </c>
      <c r="G22" s="1140">
        <v>-0.0065</v>
      </c>
      <c r="H22" s="1139">
        <v>0.077</v>
      </c>
    </row>
    <row r="23">
      <c r="A23" s="1137">
        <v>1949.0</v>
      </c>
      <c r="B23" s="1137">
        <v>15.24</v>
      </c>
      <c r="C23" s="1137">
        <v>14.95</v>
      </c>
      <c r="D23" s="1137">
        <v>16.79</v>
      </c>
      <c r="E23" s="1137">
        <v>13.55</v>
      </c>
      <c r="F23" s="1137">
        <v>16.76</v>
      </c>
      <c r="G23" s="1138">
        <v>0.1026</v>
      </c>
      <c r="H23" s="1139">
        <v>-0.01</v>
      </c>
    </row>
    <row r="24">
      <c r="A24" s="1137">
        <v>1950.0</v>
      </c>
      <c r="B24" s="1137">
        <v>18.39</v>
      </c>
      <c r="C24" s="1137">
        <v>16.66</v>
      </c>
      <c r="D24" s="1137">
        <v>20.43</v>
      </c>
      <c r="E24" s="1137">
        <v>16.65</v>
      </c>
      <c r="F24" s="1137">
        <v>20.41</v>
      </c>
      <c r="G24" s="1138">
        <v>0.2178</v>
      </c>
      <c r="H24" s="1139">
        <v>0.011</v>
      </c>
    </row>
    <row r="25">
      <c r="A25" s="1137">
        <v>1951.0</v>
      </c>
      <c r="B25" s="1137">
        <v>22.32</v>
      </c>
      <c r="C25" s="1137">
        <v>20.77</v>
      </c>
      <c r="D25" s="1137">
        <v>23.85</v>
      </c>
      <c r="E25" s="1137">
        <v>20.69</v>
      </c>
      <c r="F25" s="1137">
        <v>23.77</v>
      </c>
      <c r="G25" s="1138">
        <v>0.1646</v>
      </c>
      <c r="H25" s="1139">
        <v>0.079</v>
      </c>
    </row>
    <row r="26">
      <c r="A26" s="1137">
        <v>1952.0</v>
      </c>
      <c r="B26" s="1137">
        <v>24.45</v>
      </c>
      <c r="C26" s="1137">
        <v>23.8</v>
      </c>
      <c r="D26" s="1137">
        <v>26.59</v>
      </c>
      <c r="E26" s="1137">
        <v>23.09</v>
      </c>
      <c r="F26" s="1137">
        <v>26.57</v>
      </c>
      <c r="G26" s="1138">
        <v>0.1178</v>
      </c>
      <c r="H26" s="1139">
        <v>0.023</v>
      </c>
    </row>
    <row r="27">
      <c r="A27" s="1137">
        <v>1953.0</v>
      </c>
      <c r="B27" s="1137">
        <v>24.72</v>
      </c>
      <c r="C27" s="1137">
        <v>26.54</v>
      </c>
      <c r="D27" s="1137">
        <v>26.66</v>
      </c>
      <c r="E27" s="1137">
        <v>22.71</v>
      </c>
      <c r="F27" s="1137">
        <v>24.81</v>
      </c>
      <c r="G27" s="1140">
        <v>-0.0662</v>
      </c>
      <c r="H27" s="1139">
        <v>0.008</v>
      </c>
    </row>
    <row r="28">
      <c r="A28" s="1137">
        <v>1954.0</v>
      </c>
      <c r="B28" s="1137">
        <v>29.72</v>
      </c>
      <c r="C28" s="1137">
        <v>24.95</v>
      </c>
      <c r="D28" s="1137">
        <v>35.98</v>
      </c>
      <c r="E28" s="1137">
        <v>24.8</v>
      </c>
      <c r="F28" s="1137">
        <v>35.98</v>
      </c>
      <c r="G28" s="1138">
        <v>0.4502</v>
      </c>
      <c r="H28" s="1139">
        <v>0.003</v>
      </c>
    </row>
    <row r="29">
      <c r="A29" s="1137">
        <v>1955.0</v>
      </c>
      <c r="B29" s="1137">
        <v>40.5</v>
      </c>
      <c r="C29" s="1137">
        <v>36.75</v>
      </c>
      <c r="D29" s="1137">
        <v>46.41</v>
      </c>
      <c r="E29" s="1137">
        <v>34.58</v>
      </c>
      <c r="F29" s="1137">
        <v>45.48</v>
      </c>
      <c r="G29" s="1138">
        <v>0.264</v>
      </c>
      <c r="H29" s="1139">
        <v>-0.003</v>
      </c>
    </row>
    <row r="30">
      <c r="A30" s="1137">
        <v>1956.0</v>
      </c>
      <c r="B30" s="1137">
        <v>46.64</v>
      </c>
      <c r="C30" s="1137">
        <v>45.16</v>
      </c>
      <c r="D30" s="1137">
        <v>49.64</v>
      </c>
      <c r="E30" s="1137">
        <v>43.11</v>
      </c>
      <c r="F30" s="1137">
        <v>46.67</v>
      </c>
      <c r="G30" s="1138">
        <v>0.0262</v>
      </c>
      <c r="H30" s="1139">
        <v>0.015</v>
      </c>
    </row>
    <row r="31">
      <c r="A31" s="1137">
        <v>1957.0</v>
      </c>
      <c r="B31" s="1137">
        <v>44.42</v>
      </c>
      <c r="C31" s="1137">
        <v>46.2</v>
      </c>
      <c r="D31" s="1137">
        <v>49.13</v>
      </c>
      <c r="E31" s="1137">
        <v>38.98</v>
      </c>
      <c r="F31" s="1137">
        <v>39.99</v>
      </c>
      <c r="G31" s="1140">
        <v>-0.1431</v>
      </c>
      <c r="H31" s="1139">
        <v>0.033</v>
      </c>
    </row>
    <row r="32">
      <c r="A32" s="1137">
        <v>1958.0</v>
      </c>
      <c r="B32" s="1137">
        <v>46.2</v>
      </c>
      <c r="C32" s="1137">
        <v>40.33</v>
      </c>
      <c r="D32" s="1137">
        <v>55.21</v>
      </c>
      <c r="E32" s="1137">
        <v>40.33</v>
      </c>
      <c r="F32" s="1137">
        <v>55.21</v>
      </c>
      <c r="G32" s="1138">
        <v>0.3806</v>
      </c>
      <c r="H32" s="1139">
        <v>0.027</v>
      </c>
    </row>
    <row r="33">
      <c r="A33" s="1137">
        <v>1959.0</v>
      </c>
      <c r="B33" s="1137">
        <v>57.42</v>
      </c>
      <c r="C33" s="1137">
        <v>55.44</v>
      </c>
      <c r="D33" s="1137">
        <v>60.71</v>
      </c>
      <c r="E33" s="1137">
        <v>53.58</v>
      </c>
      <c r="F33" s="1137">
        <v>59.89</v>
      </c>
      <c r="G33" s="1138">
        <v>0.0848</v>
      </c>
      <c r="H33" s="1139">
        <v>0.0108</v>
      </c>
    </row>
    <row r="34">
      <c r="A34" s="1137">
        <v>1960.0</v>
      </c>
      <c r="B34" s="1137">
        <v>55.85</v>
      </c>
      <c r="C34" s="1137">
        <v>59.91</v>
      </c>
      <c r="D34" s="1137">
        <v>60.39</v>
      </c>
      <c r="E34" s="1137">
        <v>52.2</v>
      </c>
      <c r="F34" s="1137">
        <v>58.11</v>
      </c>
      <c r="G34" s="1140">
        <v>-0.0297</v>
      </c>
      <c r="H34" s="1139">
        <v>0.015</v>
      </c>
    </row>
    <row r="35">
      <c r="A35" s="1137">
        <v>1961.0</v>
      </c>
      <c r="B35" s="1137">
        <v>66.27</v>
      </c>
      <c r="C35" s="1137">
        <v>57.57</v>
      </c>
      <c r="D35" s="1137">
        <v>72.64</v>
      </c>
      <c r="E35" s="1137">
        <v>57.57</v>
      </c>
      <c r="F35" s="1137">
        <v>71.55</v>
      </c>
      <c r="G35" s="1138">
        <v>0.2313</v>
      </c>
      <c r="H35" s="1139">
        <v>0.011</v>
      </c>
    </row>
    <row r="36">
      <c r="A36" s="1137">
        <v>1962.0</v>
      </c>
      <c r="B36" s="1137">
        <v>62.32</v>
      </c>
      <c r="C36" s="1137">
        <v>70.96</v>
      </c>
      <c r="D36" s="1137">
        <v>71.13</v>
      </c>
      <c r="E36" s="1137">
        <v>52.32</v>
      </c>
      <c r="F36" s="1137">
        <v>63.1</v>
      </c>
      <c r="G36" s="1140">
        <v>-0.1181</v>
      </c>
      <c r="H36" s="1139">
        <v>0.012</v>
      </c>
    </row>
    <row r="37">
      <c r="A37" s="1137">
        <v>1963.0</v>
      </c>
      <c r="B37" s="1137">
        <v>69.86</v>
      </c>
      <c r="C37" s="1137">
        <v>62.69</v>
      </c>
      <c r="D37" s="1137">
        <v>75.02</v>
      </c>
      <c r="E37" s="1137">
        <v>62.69</v>
      </c>
      <c r="F37" s="1137">
        <v>75.02</v>
      </c>
      <c r="G37" s="1138">
        <v>0.1889</v>
      </c>
      <c r="H37" s="1139">
        <v>0.012</v>
      </c>
    </row>
    <row r="38">
      <c r="A38" s="1137">
        <v>1964.0</v>
      </c>
      <c r="B38" s="1137">
        <v>81.37</v>
      </c>
      <c r="C38" s="1137">
        <v>75.43</v>
      </c>
      <c r="D38" s="1137">
        <v>86.28</v>
      </c>
      <c r="E38" s="1137">
        <v>75.43</v>
      </c>
      <c r="F38" s="1137">
        <v>84.75</v>
      </c>
      <c r="G38" s="1138">
        <v>0.1297</v>
      </c>
      <c r="H38" s="1139">
        <v>0.013</v>
      </c>
    </row>
    <row r="39">
      <c r="A39" s="1137">
        <v>1965.0</v>
      </c>
      <c r="B39" s="1137">
        <v>88.16</v>
      </c>
      <c r="C39" s="1137">
        <v>84.23</v>
      </c>
      <c r="D39" s="1137">
        <v>92.63</v>
      </c>
      <c r="E39" s="1137">
        <v>81.6</v>
      </c>
      <c r="F39" s="1137">
        <v>92.43</v>
      </c>
      <c r="G39" s="1138">
        <v>0.0906</v>
      </c>
      <c r="H39" s="1139">
        <v>0.016</v>
      </c>
    </row>
    <row r="40">
      <c r="A40" s="1137">
        <v>1966.0</v>
      </c>
      <c r="B40" s="1137">
        <v>85.18</v>
      </c>
      <c r="C40" s="1137">
        <v>92.18</v>
      </c>
      <c r="D40" s="1137">
        <v>94.06</v>
      </c>
      <c r="E40" s="1137">
        <v>73.2</v>
      </c>
      <c r="F40" s="1137">
        <v>80.33</v>
      </c>
      <c r="G40" s="1140">
        <v>-0.1309</v>
      </c>
      <c r="H40" s="1139">
        <v>0.03</v>
      </c>
    </row>
    <row r="41">
      <c r="A41" s="1137">
        <v>1967.0</v>
      </c>
      <c r="B41" s="1137">
        <v>91.96</v>
      </c>
      <c r="C41" s="1137">
        <v>80.38</v>
      </c>
      <c r="D41" s="1137">
        <v>97.59</v>
      </c>
      <c r="E41" s="1137">
        <v>80.38</v>
      </c>
      <c r="F41" s="1137">
        <v>96.47</v>
      </c>
      <c r="G41" s="1138">
        <v>0.2009</v>
      </c>
      <c r="H41" s="1139">
        <v>0.028</v>
      </c>
    </row>
    <row r="42">
      <c r="A42" s="1137">
        <v>1968.0</v>
      </c>
      <c r="B42" s="1137">
        <v>98.38</v>
      </c>
      <c r="C42" s="1137">
        <v>96.11</v>
      </c>
      <c r="D42" s="1137">
        <v>108.37</v>
      </c>
      <c r="E42" s="1137">
        <v>87.72</v>
      </c>
      <c r="F42" s="1137">
        <v>103.86</v>
      </c>
      <c r="G42" s="1138">
        <v>0.0766</v>
      </c>
      <c r="H42" s="1139">
        <v>0.043</v>
      </c>
    </row>
    <row r="43">
      <c r="A43" s="1137">
        <v>1969.0</v>
      </c>
      <c r="B43" s="1137">
        <v>97.77</v>
      </c>
      <c r="C43" s="1137">
        <v>103.93</v>
      </c>
      <c r="D43" s="1137">
        <v>106.16</v>
      </c>
      <c r="E43" s="1137">
        <v>89.2</v>
      </c>
      <c r="F43" s="1137">
        <v>92.06</v>
      </c>
      <c r="G43" s="1140">
        <v>-0.1136</v>
      </c>
      <c r="H43" s="1139">
        <v>0.055</v>
      </c>
    </row>
    <row r="44">
      <c r="A44" s="1137">
        <v>1970.0</v>
      </c>
      <c r="B44" s="1137">
        <v>83.15</v>
      </c>
      <c r="C44" s="1137">
        <v>93.0</v>
      </c>
      <c r="D44" s="1137">
        <v>93.46</v>
      </c>
      <c r="E44" s="1137">
        <v>69.29</v>
      </c>
      <c r="F44" s="1137">
        <v>92.15</v>
      </c>
      <c r="G44" s="1138">
        <v>0.001</v>
      </c>
      <c r="H44" s="1139">
        <v>0.058</v>
      </c>
    </row>
    <row r="45">
      <c r="A45" s="1137">
        <v>1971.0</v>
      </c>
      <c r="B45" s="1137">
        <v>98.32</v>
      </c>
      <c r="C45" s="1137">
        <v>91.15</v>
      </c>
      <c r="D45" s="1137">
        <v>104.77</v>
      </c>
      <c r="E45" s="1137">
        <v>90.16</v>
      </c>
      <c r="F45" s="1137">
        <v>102.09</v>
      </c>
      <c r="G45" s="1138">
        <v>0.1079</v>
      </c>
      <c r="H45" s="1139">
        <v>0.043</v>
      </c>
    </row>
    <row r="46">
      <c r="A46" s="1137">
        <v>1972.0</v>
      </c>
      <c r="B46" s="1137">
        <v>109.13</v>
      </c>
      <c r="C46" s="1137">
        <v>101.67</v>
      </c>
      <c r="D46" s="1137">
        <v>119.12</v>
      </c>
      <c r="E46" s="1137">
        <v>101.67</v>
      </c>
      <c r="F46" s="1137">
        <v>118.05</v>
      </c>
      <c r="G46" s="1138">
        <v>0.1563</v>
      </c>
      <c r="H46" s="1139">
        <v>0.033</v>
      </c>
    </row>
    <row r="47">
      <c r="A47" s="1137">
        <v>1973.0</v>
      </c>
      <c r="B47" s="1137">
        <v>107.44</v>
      </c>
      <c r="C47" s="1137">
        <v>119.1</v>
      </c>
      <c r="D47" s="1137">
        <v>120.24</v>
      </c>
      <c r="E47" s="1137">
        <v>92.16</v>
      </c>
      <c r="F47" s="1137">
        <v>97.55</v>
      </c>
      <c r="G47" s="1140">
        <v>-0.1737</v>
      </c>
      <c r="H47" s="1139">
        <v>0.062</v>
      </c>
    </row>
    <row r="48">
      <c r="A48" s="1137">
        <v>1974.0</v>
      </c>
      <c r="B48" s="1137">
        <v>82.78</v>
      </c>
      <c r="C48" s="1137">
        <v>97.68</v>
      </c>
      <c r="D48" s="1137">
        <v>99.8</v>
      </c>
      <c r="E48" s="1137">
        <v>62.28</v>
      </c>
      <c r="F48" s="1137">
        <v>68.56</v>
      </c>
      <c r="G48" s="1140">
        <v>-0.2972</v>
      </c>
      <c r="H48" s="1139">
        <v>0.111</v>
      </c>
    </row>
    <row r="49">
      <c r="A49" s="1137">
        <v>1975.0</v>
      </c>
      <c r="B49" s="1137">
        <v>86.18</v>
      </c>
      <c r="C49" s="1137">
        <v>70.23</v>
      </c>
      <c r="D49" s="1137">
        <v>95.61</v>
      </c>
      <c r="E49" s="1137">
        <v>70.04</v>
      </c>
      <c r="F49" s="1137">
        <v>90.19</v>
      </c>
      <c r="G49" s="1138">
        <v>0.3155</v>
      </c>
      <c r="H49" s="1139">
        <v>0.091</v>
      </c>
    </row>
    <row r="50">
      <c r="A50" s="1137">
        <v>1976.0</v>
      </c>
      <c r="B50" s="1137">
        <v>102.04</v>
      </c>
      <c r="C50" s="1137">
        <v>90.9</v>
      </c>
      <c r="D50" s="1137">
        <v>107.83</v>
      </c>
      <c r="E50" s="1137">
        <v>90.9</v>
      </c>
      <c r="F50" s="1137">
        <v>107.46</v>
      </c>
      <c r="G50" s="1138">
        <v>0.1915</v>
      </c>
      <c r="H50" s="1139">
        <v>0.057</v>
      </c>
    </row>
    <row r="51">
      <c r="A51" s="1137">
        <v>1977.0</v>
      </c>
      <c r="B51" s="1137">
        <v>98.18</v>
      </c>
      <c r="C51" s="1137">
        <v>107.0</v>
      </c>
      <c r="D51" s="1137">
        <v>107.0</v>
      </c>
      <c r="E51" s="1137">
        <v>90.71</v>
      </c>
      <c r="F51" s="1137">
        <v>95.1</v>
      </c>
      <c r="G51" s="1140">
        <v>-0.115</v>
      </c>
      <c r="H51" s="1139">
        <v>0.065</v>
      </c>
    </row>
    <row r="52">
      <c r="A52" s="1137">
        <v>1978.0</v>
      </c>
      <c r="B52" s="1137">
        <v>96.11</v>
      </c>
      <c r="C52" s="1137">
        <v>93.82</v>
      </c>
      <c r="D52" s="1137">
        <v>106.99</v>
      </c>
      <c r="E52" s="1137">
        <v>86.9</v>
      </c>
      <c r="F52" s="1137">
        <v>96.11</v>
      </c>
      <c r="G52" s="1138">
        <v>0.0106</v>
      </c>
      <c r="H52" s="1139">
        <v>0.076</v>
      </c>
    </row>
    <row r="53">
      <c r="A53" s="1137">
        <v>1979.0</v>
      </c>
      <c r="B53" s="1137">
        <v>103.0</v>
      </c>
      <c r="C53" s="1137">
        <v>96.73</v>
      </c>
      <c r="D53" s="1137">
        <v>111.27</v>
      </c>
      <c r="E53" s="1137">
        <v>96.13</v>
      </c>
      <c r="F53" s="1137">
        <v>107.94</v>
      </c>
      <c r="G53" s="1138">
        <v>0.1231</v>
      </c>
      <c r="H53" s="1139">
        <v>0.113</v>
      </c>
    </row>
    <row r="54">
      <c r="A54" s="1137">
        <v>1980.0</v>
      </c>
      <c r="B54" s="1137">
        <v>118.71</v>
      </c>
      <c r="C54" s="1137">
        <v>105.76</v>
      </c>
      <c r="D54" s="1137">
        <v>140.52</v>
      </c>
      <c r="E54" s="1137">
        <v>98.22</v>
      </c>
      <c r="F54" s="1137">
        <v>135.76</v>
      </c>
      <c r="G54" s="1138">
        <v>0.2577</v>
      </c>
      <c r="H54" s="1139">
        <v>0.135</v>
      </c>
    </row>
    <row r="55">
      <c r="A55" s="1137">
        <v>1981.0</v>
      </c>
      <c r="B55" s="1137">
        <v>128.04</v>
      </c>
      <c r="C55" s="1137">
        <v>136.34</v>
      </c>
      <c r="D55" s="1137">
        <v>138.12</v>
      </c>
      <c r="E55" s="1137">
        <v>112.77</v>
      </c>
      <c r="F55" s="1137">
        <v>122.55</v>
      </c>
      <c r="G55" s="1140">
        <v>-0.0973</v>
      </c>
      <c r="H55" s="1139">
        <v>0.103</v>
      </c>
    </row>
    <row r="56">
      <c r="A56" s="1137">
        <v>1982.0</v>
      </c>
      <c r="B56" s="1137">
        <v>119.71</v>
      </c>
      <c r="C56" s="1137">
        <v>122.74</v>
      </c>
      <c r="D56" s="1137">
        <v>143.02</v>
      </c>
      <c r="E56" s="1137">
        <v>102.42</v>
      </c>
      <c r="F56" s="1137">
        <v>140.64</v>
      </c>
      <c r="G56" s="1138">
        <v>0.1476</v>
      </c>
      <c r="H56" s="1139">
        <v>0.061</v>
      </c>
    </row>
    <row r="57">
      <c r="A57" s="1137">
        <v>1983.0</v>
      </c>
      <c r="B57" s="1137">
        <v>160.47</v>
      </c>
      <c r="C57" s="1137">
        <v>138.34</v>
      </c>
      <c r="D57" s="1137">
        <v>172.65</v>
      </c>
      <c r="E57" s="1137">
        <v>138.34</v>
      </c>
      <c r="F57" s="1137">
        <v>164.93</v>
      </c>
      <c r="G57" s="1138">
        <v>0.1727</v>
      </c>
      <c r="H57" s="1139">
        <v>0.032</v>
      </c>
    </row>
    <row r="58">
      <c r="A58" s="1137">
        <v>1984.0</v>
      </c>
      <c r="B58" s="1137">
        <v>160.46</v>
      </c>
      <c r="C58" s="1137">
        <v>164.04</v>
      </c>
      <c r="D58" s="1137">
        <v>170.41</v>
      </c>
      <c r="E58" s="1137">
        <v>147.82</v>
      </c>
      <c r="F58" s="1137">
        <v>167.24</v>
      </c>
      <c r="G58" s="1138">
        <v>0.014</v>
      </c>
      <c r="H58" s="1139">
        <v>0.043</v>
      </c>
    </row>
    <row r="59">
      <c r="A59" s="1137">
        <v>1985.0</v>
      </c>
      <c r="B59" s="1137">
        <v>186.83</v>
      </c>
      <c r="C59" s="1137">
        <v>165.37</v>
      </c>
      <c r="D59" s="1137">
        <v>212.02</v>
      </c>
      <c r="E59" s="1137">
        <v>163.68</v>
      </c>
      <c r="F59" s="1137">
        <v>211.28</v>
      </c>
      <c r="G59" s="1138">
        <v>0.2633</v>
      </c>
      <c r="H59" s="1139">
        <v>0.035</v>
      </c>
    </row>
    <row r="60">
      <c r="A60" s="1137">
        <v>1986.0</v>
      </c>
      <c r="B60" s="1137">
        <v>236.39</v>
      </c>
      <c r="C60" s="1137">
        <v>209.59</v>
      </c>
      <c r="D60" s="1137">
        <v>254.0</v>
      </c>
      <c r="E60" s="1137">
        <v>203.49</v>
      </c>
      <c r="F60" s="1137">
        <v>242.17</v>
      </c>
      <c r="G60" s="1138">
        <v>0.1462</v>
      </c>
      <c r="H60" s="1139">
        <v>0.019</v>
      </c>
    </row>
    <row r="61">
      <c r="A61" s="1137">
        <v>1987.0</v>
      </c>
      <c r="B61" s="1137">
        <v>287.0</v>
      </c>
      <c r="C61" s="1137">
        <v>246.45</v>
      </c>
      <c r="D61" s="1137">
        <v>336.77</v>
      </c>
      <c r="E61" s="1137">
        <v>223.92</v>
      </c>
      <c r="F61" s="1137">
        <v>247.08</v>
      </c>
      <c r="G61" s="1138">
        <v>0.0203</v>
      </c>
      <c r="H61" s="1139">
        <v>0.037</v>
      </c>
    </row>
    <row r="62">
      <c r="A62" s="1137">
        <v>1988.0</v>
      </c>
      <c r="B62" s="1137">
        <v>265.88</v>
      </c>
      <c r="C62" s="1137">
        <v>255.94</v>
      </c>
      <c r="D62" s="1137">
        <v>283.66</v>
      </c>
      <c r="E62" s="1137">
        <v>242.63</v>
      </c>
      <c r="F62" s="1137">
        <v>277.72</v>
      </c>
      <c r="G62" s="1138">
        <v>0.124</v>
      </c>
      <c r="H62" s="1139">
        <v>0.041</v>
      </c>
    </row>
    <row r="63">
      <c r="A63" s="1137">
        <v>1989.0</v>
      </c>
      <c r="B63" s="1137">
        <v>323.05</v>
      </c>
      <c r="C63" s="1137">
        <v>275.31</v>
      </c>
      <c r="D63" s="1137">
        <v>359.8</v>
      </c>
      <c r="E63" s="1137">
        <v>275.31</v>
      </c>
      <c r="F63" s="1137">
        <v>353.4</v>
      </c>
      <c r="G63" s="1138">
        <v>0.2725</v>
      </c>
      <c r="H63" s="1139">
        <v>0.048</v>
      </c>
    </row>
    <row r="64">
      <c r="A64" s="1137">
        <v>1990.0</v>
      </c>
      <c r="B64" s="1137">
        <v>334.63</v>
      </c>
      <c r="C64" s="1137">
        <v>359.69</v>
      </c>
      <c r="D64" s="1137">
        <v>368.95</v>
      </c>
      <c r="E64" s="1137">
        <v>295.46</v>
      </c>
      <c r="F64" s="1137">
        <v>330.22</v>
      </c>
      <c r="G64" s="1140">
        <v>-0.0656</v>
      </c>
      <c r="H64" s="1139">
        <v>0.054</v>
      </c>
    </row>
    <row r="65">
      <c r="A65" s="1137">
        <v>1991.0</v>
      </c>
      <c r="B65" s="1137">
        <v>376.19</v>
      </c>
      <c r="C65" s="1137">
        <v>326.45</v>
      </c>
      <c r="D65" s="1137">
        <v>417.09</v>
      </c>
      <c r="E65" s="1137">
        <v>311.49</v>
      </c>
      <c r="F65" s="1137">
        <v>417.09</v>
      </c>
      <c r="G65" s="1138">
        <v>0.2631</v>
      </c>
      <c r="H65" s="1139">
        <v>0.042</v>
      </c>
    </row>
    <row r="66">
      <c r="A66" s="1137">
        <v>1992.0</v>
      </c>
      <c r="B66" s="1137">
        <v>415.75</v>
      </c>
      <c r="C66" s="1137">
        <v>417.26</v>
      </c>
      <c r="D66" s="1137">
        <v>441.28</v>
      </c>
      <c r="E66" s="1137">
        <v>394.5</v>
      </c>
      <c r="F66" s="1137">
        <v>435.71</v>
      </c>
      <c r="G66" s="1138">
        <v>0.0446</v>
      </c>
      <c r="H66" s="1139">
        <v>0.03</v>
      </c>
    </row>
    <row r="67">
      <c r="A67" s="1137">
        <v>1993.0</v>
      </c>
      <c r="B67" s="1137">
        <v>451.61</v>
      </c>
      <c r="C67" s="1137">
        <v>435.38</v>
      </c>
      <c r="D67" s="1137">
        <v>470.94</v>
      </c>
      <c r="E67" s="1137">
        <v>429.05</v>
      </c>
      <c r="F67" s="1137">
        <v>466.45</v>
      </c>
      <c r="G67" s="1138">
        <v>0.0706</v>
      </c>
      <c r="H67" s="1139">
        <v>0.03</v>
      </c>
    </row>
    <row r="68">
      <c r="A68" s="1137">
        <v>1994.0</v>
      </c>
      <c r="B68" s="1137">
        <v>460.42</v>
      </c>
      <c r="C68" s="1137">
        <v>465.44</v>
      </c>
      <c r="D68" s="1137">
        <v>482.0</v>
      </c>
      <c r="E68" s="1137">
        <v>438.92</v>
      </c>
      <c r="F68" s="1137">
        <v>459.27</v>
      </c>
      <c r="G68" s="1140">
        <v>-0.0154</v>
      </c>
      <c r="H68" s="1139">
        <v>0.026</v>
      </c>
    </row>
    <row r="69">
      <c r="A69" s="1137">
        <v>1995.0</v>
      </c>
      <c r="B69" s="1137">
        <v>541.72</v>
      </c>
      <c r="C69" s="1137">
        <v>459.11</v>
      </c>
      <c r="D69" s="1137">
        <v>621.69</v>
      </c>
      <c r="E69" s="1137">
        <v>459.11</v>
      </c>
      <c r="F69" s="1137">
        <v>615.93</v>
      </c>
      <c r="G69" s="1138">
        <v>0.3411</v>
      </c>
      <c r="H69" s="1139">
        <v>0.028</v>
      </c>
    </row>
    <row r="70">
      <c r="A70" s="1137">
        <v>1996.0</v>
      </c>
      <c r="B70" s="1137">
        <v>670.49</v>
      </c>
      <c r="C70" s="1137">
        <v>620.73</v>
      </c>
      <c r="D70" s="1137">
        <v>757.03</v>
      </c>
      <c r="E70" s="1137">
        <v>598.48</v>
      </c>
      <c r="F70" s="1137">
        <v>740.74</v>
      </c>
      <c r="G70" s="1138">
        <v>0.2026</v>
      </c>
      <c r="H70" s="1139">
        <v>0.029</v>
      </c>
    </row>
    <row r="71">
      <c r="A71" s="1137">
        <v>1997.0</v>
      </c>
      <c r="B71" s="1137">
        <v>873.43</v>
      </c>
      <c r="C71" s="1137">
        <v>737.01</v>
      </c>
      <c r="D71" s="1137">
        <v>983.79</v>
      </c>
      <c r="E71" s="1137">
        <v>737.01</v>
      </c>
      <c r="F71" s="1137">
        <v>970.43</v>
      </c>
      <c r="G71" s="1138">
        <v>0.3101</v>
      </c>
      <c r="H71" s="1139">
        <v>0.023</v>
      </c>
    </row>
    <row r="72">
      <c r="A72" s="1137">
        <v>1998.0</v>
      </c>
      <c r="B72" s="1141">
        <v>1085.5</v>
      </c>
      <c r="C72" s="1137">
        <v>975.04</v>
      </c>
      <c r="D72" s="1141">
        <v>1241.81</v>
      </c>
      <c r="E72" s="1137">
        <v>927.69</v>
      </c>
      <c r="F72" s="1141">
        <v>1229.23</v>
      </c>
      <c r="G72" s="1138">
        <v>0.2667</v>
      </c>
      <c r="H72" s="1139">
        <v>0.016</v>
      </c>
    </row>
    <row r="73">
      <c r="A73" s="1137">
        <v>1999.0</v>
      </c>
      <c r="B73" s="1141">
        <v>1327.33</v>
      </c>
      <c r="C73" s="1141">
        <v>1228.1</v>
      </c>
      <c r="D73" s="1141">
        <v>1469.25</v>
      </c>
      <c r="E73" s="1141">
        <v>1212.19</v>
      </c>
      <c r="F73" s="1141">
        <v>1469.25</v>
      </c>
      <c r="G73" s="1138">
        <v>0.1953</v>
      </c>
      <c r="H73" s="1139">
        <v>0.022</v>
      </c>
    </row>
    <row r="74">
      <c r="A74" s="1137">
        <v>2000.0</v>
      </c>
      <c r="B74" s="1141">
        <v>1427.22</v>
      </c>
      <c r="C74" s="1141">
        <v>1455.22</v>
      </c>
      <c r="D74" s="1141">
        <v>1527.46</v>
      </c>
      <c r="E74" s="1141">
        <v>1264.74</v>
      </c>
      <c r="F74" s="1141">
        <v>1320.28</v>
      </c>
      <c r="G74" s="1140">
        <v>-0.1014</v>
      </c>
      <c r="H74" s="1139">
        <v>0.034</v>
      </c>
    </row>
    <row r="75">
      <c r="A75" s="1137">
        <v>2001.0</v>
      </c>
      <c r="B75" s="1141">
        <v>1192.57</v>
      </c>
      <c r="C75" s="1141">
        <v>1283.27</v>
      </c>
      <c r="D75" s="1141">
        <v>1373.73</v>
      </c>
      <c r="E75" s="1137">
        <v>965.8</v>
      </c>
      <c r="F75" s="1141">
        <v>1148.08</v>
      </c>
      <c r="G75" s="1140">
        <v>-0.1304</v>
      </c>
      <c r="H75" s="1139">
        <v>0.028</v>
      </c>
    </row>
    <row r="76">
      <c r="A76" s="1137">
        <v>2002.0</v>
      </c>
      <c r="B76" s="1137">
        <v>993.93</v>
      </c>
      <c r="C76" s="1141">
        <v>1154.67</v>
      </c>
      <c r="D76" s="1141">
        <v>1172.51</v>
      </c>
      <c r="E76" s="1137">
        <v>776.76</v>
      </c>
      <c r="F76" s="1137">
        <v>879.82</v>
      </c>
      <c r="G76" s="1140">
        <v>-0.2337</v>
      </c>
      <c r="H76" s="1139">
        <v>0.016</v>
      </c>
    </row>
    <row r="77">
      <c r="A77" s="1137">
        <v>2003.0</v>
      </c>
      <c r="B77" s="1137">
        <v>965.23</v>
      </c>
      <c r="C77" s="1137">
        <v>909.03</v>
      </c>
      <c r="D77" s="1141">
        <v>1111.92</v>
      </c>
      <c r="E77" s="1137">
        <v>800.73</v>
      </c>
      <c r="F77" s="1141">
        <v>1111.92</v>
      </c>
      <c r="G77" s="1138">
        <v>0.2638</v>
      </c>
      <c r="H77" s="1139">
        <v>0.023</v>
      </c>
    </row>
    <row r="78">
      <c r="A78" s="1137">
        <v>2004.0</v>
      </c>
      <c r="B78" s="1141">
        <v>1130.65</v>
      </c>
      <c r="C78" s="1141">
        <v>1108.48</v>
      </c>
      <c r="D78" s="1141">
        <v>1213.55</v>
      </c>
      <c r="E78" s="1141">
        <v>1063.23</v>
      </c>
      <c r="F78" s="1141">
        <v>1211.92</v>
      </c>
      <c r="G78" s="1138">
        <v>0.0899</v>
      </c>
      <c r="H78" s="1139">
        <v>0.027</v>
      </c>
    </row>
    <row r="79">
      <c r="A79" s="1137">
        <v>2005.0</v>
      </c>
      <c r="B79" s="1141">
        <v>1207.23</v>
      </c>
      <c r="C79" s="1141">
        <v>1202.08</v>
      </c>
      <c r="D79" s="1141">
        <v>1272.74</v>
      </c>
      <c r="E79" s="1141">
        <v>1137.5</v>
      </c>
      <c r="F79" s="1141">
        <v>1248.29</v>
      </c>
      <c r="G79" s="1138">
        <v>0.03</v>
      </c>
      <c r="H79" s="1139">
        <v>0.034</v>
      </c>
    </row>
    <row r="80">
      <c r="A80" s="1137">
        <v>2006.0</v>
      </c>
      <c r="B80" s="1141">
        <v>1310.46</v>
      </c>
      <c r="C80" s="1141">
        <v>1268.8</v>
      </c>
      <c r="D80" s="1141">
        <v>1427.09</v>
      </c>
      <c r="E80" s="1141">
        <v>1223.69</v>
      </c>
      <c r="F80" s="1141">
        <v>1418.3</v>
      </c>
      <c r="G80" s="1138">
        <v>0.1362</v>
      </c>
      <c r="H80" s="1139">
        <v>0.032</v>
      </c>
    </row>
    <row r="81">
      <c r="A81" s="1137">
        <v>2007.0</v>
      </c>
      <c r="B81" s="1141">
        <v>1477.18</v>
      </c>
      <c r="C81" s="1141">
        <v>1416.6</v>
      </c>
      <c r="D81" s="1141">
        <v>1565.15</v>
      </c>
      <c r="E81" s="1141">
        <v>1374.12</v>
      </c>
      <c r="F81" s="1141">
        <v>1468.36</v>
      </c>
      <c r="G81" s="1138">
        <v>0.0353</v>
      </c>
      <c r="H81" s="1139">
        <v>0.029</v>
      </c>
    </row>
    <row r="82">
      <c r="A82" s="1137">
        <v>2008.0</v>
      </c>
      <c r="B82" s="1141">
        <v>1220.04</v>
      </c>
      <c r="C82" s="1141">
        <v>1447.16</v>
      </c>
      <c r="D82" s="1141">
        <v>1447.16</v>
      </c>
      <c r="E82" s="1137">
        <v>752.44</v>
      </c>
      <c r="F82" s="1137">
        <v>903.25</v>
      </c>
      <c r="G82" s="1140">
        <v>-0.3849</v>
      </c>
      <c r="H82" s="1139">
        <v>0.038</v>
      </c>
    </row>
    <row r="83">
      <c r="A83" s="1137">
        <v>2009.0</v>
      </c>
      <c r="B83" s="1137">
        <v>948.05</v>
      </c>
      <c r="C83" s="1137">
        <v>931.8</v>
      </c>
      <c r="D83" s="1141">
        <v>1127.78</v>
      </c>
      <c r="E83" s="1137">
        <v>676.53</v>
      </c>
      <c r="F83" s="1141">
        <v>1115.1</v>
      </c>
      <c r="G83" s="1138">
        <v>0.2345</v>
      </c>
      <c r="H83" s="1139">
        <v>-0.004</v>
      </c>
    </row>
    <row r="84">
      <c r="A84" s="1137">
        <v>2010.0</v>
      </c>
      <c r="B84" s="1141">
        <v>1139.97</v>
      </c>
      <c r="C84" s="1141">
        <v>1132.99</v>
      </c>
      <c r="D84" s="1141">
        <v>1259.78</v>
      </c>
      <c r="E84" s="1141">
        <v>1022.58</v>
      </c>
      <c r="F84" s="1141">
        <v>1257.64</v>
      </c>
      <c r="G84" s="1138">
        <v>0.1278</v>
      </c>
      <c r="H84" s="1139">
        <v>0.016</v>
      </c>
    </row>
    <row r="85">
      <c r="A85" s="1137">
        <v>2011.0</v>
      </c>
      <c r="B85" s="1141">
        <v>1267.64</v>
      </c>
      <c r="C85" s="1141">
        <v>1271.87</v>
      </c>
      <c r="D85" s="1141">
        <v>1363.61</v>
      </c>
      <c r="E85" s="1141">
        <v>1099.23</v>
      </c>
      <c r="F85" s="1141">
        <v>1257.6</v>
      </c>
      <c r="G85" s="1140">
        <v>0.0</v>
      </c>
      <c r="H85" s="1139">
        <v>0.032</v>
      </c>
    </row>
    <row r="86">
      <c r="A86" s="1137">
        <v>2012.0</v>
      </c>
      <c r="B86" s="1141">
        <v>1379.61</v>
      </c>
      <c r="C86" s="1141">
        <v>1277.06</v>
      </c>
      <c r="D86" s="1141">
        <v>1465.77</v>
      </c>
      <c r="E86" s="1141">
        <v>1277.06</v>
      </c>
      <c r="F86" s="1141">
        <v>1426.19</v>
      </c>
      <c r="G86" s="1138">
        <v>0.1341</v>
      </c>
      <c r="H86" s="1139">
        <v>0.021</v>
      </c>
    </row>
    <row r="87">
      <c r="A87" s="1137">
        <v>2013.0</v>
      </c>
      <c r="B87" s="1141">
        <v>1643.8</v>
      </c>
      <c r="C87" s="1141">
        <v>1462.42</v>
      </c>
      <c r="D87" s="1141">
        <v>1848.36</v>
      </c>
      <c r="E87" s="1141">
        <v>1457.15</v>
      </c>
      <c r="F87" s="1141">
        <v>1848.36</v>
      </c>
      <c r="G87" s="1138">
        <v>0.296</v>
      </c>
      <c r="H87" s="1139">
        <v>0.015</v>
      </c>
    </row>
    <row r="88">
      <c r="A88" s="1137">
        <v>2014.0</v>
      </c>
      <c r="B88" s="1141">
        <v>1931.38</v>
      </c>
      <c r="C88" s="1141">
        <v>1831.98</v>
      </c>
      <c r="D88" s="1141">
        <v>2090.57</v>
      </c>
      <c r="E88" s="1141">
        <v>1741.89</v>
      </c>
      <c r="F88" s="1141">
        <v>2058.9</v>
      </c>
      <c r="G88" s="1138">
        <v>0.1139</v>
      </c>
      <c r="H88" s="1139">
        <v>0.016</v>
      </c>
    </row>
    <row r="89">
      <c r="A89" s="1137">
        <v>2015.0</v>
      </c>
      <c r="B89" s="1141">
        <v>2061.07</v>
      </c>
      <c r="C89" s="1141">
        <v>2058.2</v>
      </c>
      <c r="D89" s="1141">
        <v>2130.82</v>
      </c>
      <c r="E89" s="1141">
        <v>1867.61</v>
      </c>
      <c r="F89" s="1141">
        <v>2043.94</v>
      </c>
      <c r="G89" s="1140">
        <v>-0.0073</v>
      </c>
      <c r="H89" s="1139">
        <v>0.001</v>
      </c>
    </row>
    <row r="90">
      <c r="A90" s="1137">
        <v>2016.0</v>
      </c>
      <c r="B90" s="1141">
        <v>2094.65</v>
      </c>
      <c r="C90" s="1141">
        <v>2012.66</v>
      </c>
      <c r="D90" s="1141">
        <v>2271.72</v>
      </c>
      <c r="E90" s="1141">
        <v>1829.08</v>
      </c>
      <c r="F90" s="1141">
        <v>2238.83</v>
      </c>
      <c r="G90" s="1138">
        <v>0.0954</v>
      </c>
      <c r="H90" s="1139">
        <v>0.013</v>
      </c>
    </row>
    <row r="91">
      <c r="A91" s="1137">
        <v>2017.0</v>
      </c>
      <c r="B91" s="1141">
        <v>2449.08</v>
      </c>
      <c r="C91" s="1141">
        <v>2257.83</v>
      </c>
      <c r="D91" s="1141">
        <v>2690.16</v>
      </c>
      <c r="E91" s="1141">
        <v>2257.83</v>
      </c>
      <c r="F91" s="1141">
        <v>2673.61</v>
      </c>
      <c r="G91" s="1138">
        <v>0.1942</v>
      </c>
      <c r="H91" s="1139">
        <v>0.021</v>
      </c>
    </row>
    <row r="92">
      <c r="A92" s="1137">
        <v>2018.0</v>
      </c>
      <c r="B92" s="1141">
        <v>2746.21</v>
      </c>
      <c r="C92" s="1141">
        <v>2695.81</v>
      </c>
      <c r="D92" s="1141">
        <v>2930.75</v>
      </c>
      <c r="E92" s="1141">
        <v>2351.1</v>
      </c>
      <c r="F92" s="1141">
        <v>2506.85</v>
      </c>
      <c r="G92" s="1140">
        <v>-0.0624</v>
      </c>
      <c r="H92" s="1139">
        <v>0.024</v>
      </c>
    </row>
    <row r="93">
      <c r="A93" s="1137">
        <v>2019.0</v>
      </c>
      <c r="B93" s="1141">
        <v>2913.36</v>
      </c>
      <c r="C93" s="1141">
        <v>2510.03</v>
      </c>
      <c r="D93" s="1141">
        <v>3240.02</v>
      </c>
      <c r="E93" s="1141">
        <v>2447.89</v>
      </c>
      <c r="F93" s="1141">
        <v>3230.78</v>
      </c>
      <c r="G93" s="1138">
        <v>0.2888</v>
      </c>
      <c r="H93" s="1139">
        <v>0.018</v>
      </c>
    </row>
    <row r="94">
      <c r="A94" s="1137">
        <v>2020.0</v>
      </c>
      <c r="B94" s="1141">
        <v>3217.86</v>
      </c>
      <c r="C94" s="1141">
        <v>3257.85</v>
      </c>
      <c r="D94" s="1141">
        <v>3756.07</v>
      </c>
      <c r="E94" s="1141">
        <v>2237.4</v>
      </c>
      <c r="F94" s="1141">
        <v>3756.07</v>
      </c>
      <c r="G94" s="1138">
        <v>0.1626</v>
      </c>
      <c r="H94" s="1139">
        <v>0.012</v>
      </c>
    </row>
    <row r="95">
      <c r="A95" s="1137">
        <v>2021.0</v>
      </c>
      <c r="B95" s="1141">
        <v>4273.41</v>
      </c>
      <c r="C95" s="1141">
        <v>3700.65</v>
      </c>
      <c r="D95" s="1141">
        <v>4793.06</v>
      </c>
      <c r="E95" s="1141">
        <v>3700.65</v>
      </c>
      <c r="F95" s="1141">
        <v>4766.18</v>
      </c>
      <c r="G95" s="1138">
        <v>0.2689</v>
      </c>
      <c r="H95" s="1139">
        <v>0.047</v>
      </c>
    </row>
    <row r="96">
      <c r="A96" s="1137">
        <v>2022.0</v>
      </c>
      <c r="B96" s="1141">
        <v>4097.49</v>
      </c>
      <c r="C96" s="1141">
        <v>4796.56</v>
      </c>
      <c r="D96" s="1141">
        <v>4796.56</v>
      </c>
      <c r="E96" s="1141">
        <v>3577.03</v>
      </c>
      <c r="F96" s="1141">
        <v>3839.5</v>
      </c>
      <c r="G96" s="1140">
        <v>-0.1944</v>
      </c>
      <c r="H96" s="1139">
        <v>0.08</v>
      </c>
    </row>
    <row r="97">
      <c r="A97" s="1137">
        <v>2023.0</v>
      </c>
      <c r="B97" s="1141">
        <v>4283.73</v>
      </c>
      <c r="C97" s="1141">
        <v>3824.14</v>
      </c>
      <c r="D97" s="1141">
        <v>4783.35</v>
      </c>
      <c r="E97" s="1141">
        <v>3808.1</v>
      </c>
      <c r="F97" s="1141">
        <v>4769.83</v>
      </c>
      <c r="G97" s="1138">
        <v>0.2423</v>
      </c>
      <c r="H97" s="1139">
        <v>0.041</v>
      </c>
    </row>
    <row r="98">
      <c r="A98" s="1137">
        <v>2024.0</v>
      </c>
      <c r="B98" s="1141">
        <v>5428.24</v>
      </c>
      <c r="C98" s="1141">
        <v>4742.83</v>
      </c>
      <c r="D98" s="1141">
        <v>6090.27</v>
      </c>
      <c r="E98" s="1141">
        <v>4688.68</v>
      </c>
      <c r="F98" s="1141">
        <v>5881.63</v>
      </c>
      <c r="G98" s="1138">
        <v>0.2331</v>
      </c>
      <c r="H98" s="1139">
        <v>0.032</v>
      </c>
    </row>
    <row r="99">
      <c r="A99" s="1137">
        <v>2025.0</v>
      </c>
      <c r="B99" s="1141">
        <v>5755.9</v>
      </c>
      <c r="C99" s="1141">
        <v>5868.55</v>
      </c>
      <c r="D99" s="1141">
        <v>6144.15</v>
      </c>
      <c r="E99" s="1141">
        <v>4982.77</v>
      </c>
      <c r="F99" s="1141">
        <v>5686.67</v>
      </c>
      <c r="G99" s="1140">
        <v>-0.0331</v>
      </c>
      <c r="H99" s="1142"/>
    </row>
    <row r="100">
      <c r="A100" s="1143" t="s">
        <v>959</v>
      </c>
      <c r="B100" s="1144"/>
      <c r="C100" s="1144"/>
      <c r="D100" s="1144"/>
      <c r="E100" s="1144"/>
      <c r="F100" s="1144"/>
      <c r="G100" s="1145">
        <f t="shared" ref="G100:H100" si="1">AVERAGE(G2:G99)</f>
        <v>0.0790755102</v>
      </c>
      <c r="H100" s="1146">
        <f t="shared" si="1"/>
        <v>0.03097731959</v>
      </c>
    </row>
    <row r="101">
      <c r="B101" s="1147"/>
      <c r="C101" s="1147"/>
      <c r="D101" s="1147"/>
      <c r="E101" s="1147"/>
      <c r="F101" s="1147"/>
      <c r="G101" s="1142"/>
      <c r="H101" s="1142"/>
    </row>
    <row r="102">
      <c r="A102" s="1143"/>
      <c r="B102" s="1148" t="s">
        <v>970</v>
      </c>
      <c r="C102" s="1147"/>
      <c r="D102" s="1147"/>
      <c r="E102" s="1147"/>
      <c r="F102" s="1147"/>
      <c r="G102" s="1142"/>
      <c r="H102" s="1142"/>
    </row>
  </sheetData>
  <hyperlinks>
    <hyperlink r:id="rId1" ref="B10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BC9D"/>
    <outlinePr summaryBelow="0" summaryRight="0"/>
  </sheetPr>
  <sheetViews>
    <sheetView workbookViewId="0"/>
  </sheetViews>
  <sheetFormatPr customHeight="1" defaultColWidth="12.63" defaultRowHeight="15.75"/>
  <cols>
    <col customWidth="1" min="4" max="4" width="14.13"/>
    <col customWidth="1" min="6" max="6" width="11.63"/>
    <col customWidth="1" min="7" max="7" width="6.13"/>
    <col customWidth="1" min="8" max="8" width="32.38"/>
    <col customWidth="1" min="9" max="9" width="29.13"/>
    <col customWidth="1" min="10" max="10" width="5.13"/>
    <col customWidth="1" min="11" max="11" width="26.25"/>
    <col customWidth="1" min="12" max="12" width="21.75"/>
    <col customWidth="1" min="13" max="13" width="13.38"/>
    <col customWidth="1" min="14" max="14" width="23.25"/>
    <col customWidth="1" min="15" max="15" width="17.13"/>
    <col customWidth="1" min="16" max="16" width="13.13"/>
    <col customWidth="1" min="17" max="17" width="10.0"/>
    <col customWidth="1" min="19" max="19" width="18.88"/>
    <col customWidth="1" min="20" max="20" width="32.25"/>
    <col customWidth="1" min="21" max="22" width="14.0"/>
    <col customWidth="1" min="23" max="23" width="22.88"/>
    <col customWidth="1" min="24" max="24" width="12.0"/>
    <col customWidth="1" min="25" max="25" width="6.38"/>
    <col customWidth="1" min="26" max="26" width="14.0"/>
    <col customWidth="1" min="27" max="27" width="7.88"/>
    <col customWidth="1" min="28" max="28" width="14.0"/>
    <col customWidth="1" min="29" max="29" width="12.38"/>
    <col customWidth="1" min="30" max="59" width="14.0"/>
  </cols>
  <sheetData>
    <row r="1">
      <c r="A1" s="553" t="s">
        <v>71</v>
      </c>
      <c r="B1" s="13"/>
      <c r="C1" s="554" t="s">
        <v>72</v>
      </c>
      <c r="D1" s="13"/>
      <c r="E1" s="554" t="s">
        <v>86</v>
      </c>
      <c r="F1" s="14"/>
      <c r="H1" s="555" t="s">
        <v>652</v>
      </c>
      <c r="I1" s="5"/>
      <c r="J1" s="5"/>
      <c r="K1" s="5"/>
      <c r="L1" s="6"/>
      <c r="N1" s="556" t="s">
        <v>653</v>
      </c>
      <c r="Q1" s="557"/>
      <c r="R1" s="558" t="s">
        <v>654</v>
      </c>
      <c r="V1" s="559" t="s">
        <v>77</v>
      </c>
      <c r="W1" s="1149" t="s">
        <v>71</v>
      </c>
      <c r="X1" s="1150" t="s">
        <v>104</v>
      </c>
      <c r="Y1" s="562"/>
      <c r="Z1" s="1151">
        <v>574.8425639079873</v>
      </c>
      <c r="AA1" s="564"/>
      <c r="AB1" s="556" t="s">
        <v>655</v>
      </c>
      <c r="AD1" s="565"/>
      <c r="AE1" s="565"/>
      <c r="AF1" s="565"/>
      <c r="AG1" s="565"/>
      <c r="AH1" s="565"/>
      <c r="AI1" s="565"/>
      <c r="AJ1" s="565"/>
      <c r="AK1" s="565"/>
      <c r="AL1" s="565"/>
      <c r="AM1" s="565"/>
      <c r="AP1" s="566"/>
      <c r="AQ1" s="566"/>
      <c r="AR1" s="566"/>
      <c r="AS1" s="566"/>
      <c r="AT1" s="566"/>
      <c r="AU1" s="566"/>
      <c r="AV1" s="566"/>
      <c r="AW1" s="566"/>
      <c r="AX1" s="566"/>
      <c r="AY1" s="566"/>
      <c r="AZ1" s="566"/>
      <c r="BA1" s="566"/>
      <c r="BB1" s="566"/>
      <c r="BC1" s="566"/>
      <c r="BD1" s="566"/>
      <c r="BE1" s="566"/>
      <c r="BF1" s="566"/>
      <c r="BG1" s="566"/>
    </row>
    <row r="2">
      <c r="A2" s="567" t="s">
        <v>104</v>
      </c>
      <c r="C2" s="568" t="s">
        <v>510</v>
      </c>
      <c r="E2" s="568" t="s">
        <v>511</v>
      </c>
      <c r="F2" s="17"/>
      <c r="H2" s="1152" t="s">
        <v>656</v>
      </c>
      <c r="I2" s="14"/>
      <c r="J2" s="570"/>
      <c r="K2" s="1153" t="s">
        <v>77</v>
      </c>
      <c r="L2" s="6"/>
      <c r="N2" s="572" t="s">
        <v>625</v>
      </c>
      <c r="O2" s="572" t="s">
        <v>657</v>
      </c>
      <c r="P2" s="573" t="s">
        <v>658</v>
      </c>
      <c r="Q2" s="557"/>
      <c r="R2" s="572" t="s">
        <v>625</v>
      </c>
      <c r="S2" s="572" t="s">
        <v>659</v>
      </c>
      <c r="T2" s="574" t="s">
        <v>660</v>
      </c>
      <c r="V2" s="34"/>
      <c r="W2" s="575" t="s">
        <v>661</v>
      </c>
      <c r="X2" s="1154">
        <v>437.42</v>
      </c>
      <c r="Y2" s="577"/>
      <c r="Z2" s="17"/>
      <c r="AA2" s="564"/>
      <c r="AB2" s="565"/>
      <c r="AC2" s="565"/>
      <c r="AD2" s="565"/>
      <c r="AE2" s="565"/>
      <c r="AF2" s="565"/>
      <c r="AG2" s="565"/>
      <c r="AH2" s="565"/>
      <c r="AI2" s="565"/>
      <c r="AJ2" s="565"/>
      <c r="AK2" s="565"/>
      <c r="AL2" s="565"/>
      <c r="AM2" s="565"/>
      <c r="AP2" s="574"/>
      <c r="AQ2" s="574"/>
      <c r="AR2" s="574"/>
      <c r="AS2" s="574"/>
      <c r="AT2" s="574"/>
      <c r="AU2" s="574"/>
      <c r="AV2" s="574"/>
      <c r="AW2" s="574"/>
      <c r="AX2" s="574"/>
      <c r="AY2" s="574"/>
      <c r="AZ2" s="574"/>
      <c r="BA2" s="574"/>
      <c r="BB2" s="574"/>
      <c r="BC2" s="574"/>
      <c r="BD2" s="574"/>
      <c r="BE2" s="574"/>
      <c r="BF2" s="574"/>
      <c r="BG2" s="574"/>
    </row>
    <row r="3" ht="20.25" customHeight="1">
      <c r="A3" s="29"/>
      <c r="B3" s="30"/>
      <c r="C3" s="30"/>
      <c r="D3" s="30"/>
      <c r="E3" s="30"/>
      <c r="F3" s="31"/>
      <c r="H3" s="1155" t="s">
        <v>629</v>
      </c>
      <c r="I3" s="1156" t="s">
        <v>662</v>
      </c>
      <c r="J3" s="570"/>
      <c r="K3" s="1157" t="s">
        <v>663</v>
      </c>
      <c r="L3" s="712" t="s">
        <v>664</v>
      </c>
      <c r="N3" s="572">
        <v>2024.0</v>
      </c>
      <c r="O3" s="582">
        <v>7.4071E10</v>
      </c>
      <c r="P3" s="1158">
        <v>0.24541403951240018</v>
      </c>
      <c r="Q3" s="570"/>
      <c r="R3" s="584">
        <v>1.0</v>
      </c>
      <c r="S3" s="1159">
        <v>8.23903836988079E10</v>
      </c>
      <c r="T3" s="1159">
        <v>7.742102093372429E10</v>
      </c>
      <c r="V3" s="34"/>
      <c r="W3" s="586" t="s">
        <v>665</v>
      </c>
      <c r="X3" s="1160">
        <v>9.916921575746574</v>
      </c>
      <c r="Y3" s="588"/>
      <c r="Z3" s="1161">
        <v>0.31416616503129086</v>
      </c>
      <c r="AA3" s="590"/>
      <c r="AB3" s="590"/>
      <c r="AC3" s="590"/>
      <c r="AD3" s="590"/>
      <c r="AE3" s="590"/>
      <c r="AF3" s="590"/>
      <c r="AG3" s="590"/>
      <c r="AH3" s="590"/>
      <c r="AI3" s="590"/>
      <c r="AJ3" s="590"/>
      <c r="AK3" s="590"/>
      <c r="AL3" s="590"/>
      <c r="AM3" s="590"/>
      <c r="AP3" s="585"/>
      <c r="AQ3" s="585"/>
      <c r="AR3" s="585"/>
      <c r="AS3" s="585"/>
      <c r="AT3" s="585"/>
      <c r="AU3" s="585"/>
      <c r="AV3" s="585"/>
      <c r="AW3" s="585"/>
      <c r="AX3" s="585"/>
      <c r="AY3" s="585"/>
      <c r="AZ3" s="585"/>
      <c r="BA3" s="585"/>
      <c r="BB3" s="585"/>
      <c r="BC3" s="585"/>
      <c r="BD3" s="585"/>
      <c r="BE3" s="585"/>
      <c r="BF3" s="585"/>
      <c r="BG3" s="585"/>
    </row>
    <row r="4">
      <c r="A4" s="591" t="s">
        <v>77</v>
      </c>
      <c r="B4" s="30"/>
      <c r="C4" s="30"/>
      <c r="D4" s="30"/>
      <c r="E4" s="30"/>
      <c r="F4" s="31"/>
      <c r="H4" s="592">
        <v>0.9</v>
      </c>
      <c r="I4" s="593">
        <v>1.09433E11</v>
      </c>
      <c r="J4" s="570"/>
      <c r="K4" s="594">
        <v>1.8315E10</v>
      </c>
      <c r="L4" s="593">
        <v>9.7852E10</v>
      </c>
      <c r="N4" s="572">
        <v>2023.0</v>
      </c>
      <c r="O4" s="582">
        <v>5.9475E10</v>
      </c>
      <c r="P4" s="1158">
        <v>-0.08709266450751355</v>
      </c>
      <c r="Q4" s="570"/>
      <c r="R4" s="584">
        <v>2.0</v>
      </c>
      <c r="S4" s="1159">
        <v>9.164417013455728E10</v>
      </c>
      <c r="T4" s="1159">
        <v>8.092255379865501E10</v>
      </c>
      <c r="V4" s="29"/>
      <c r="W4" s="595" t="s">
        <v>666</v>
      </c>
      <c r="X4" s="596">
        <v>0.09169460152795322</v>
      </c>
      <c r="Y4" s="597"/>
      <c r="Z4" s="31"/>
      <c r="AA4" s="590"/>
      <c r="AB4" s="590"/>
      <c r="AC4" s="590"/>
      <c r="AD4" s="590"/>
      <c r="AE4" s="590"/>
      <c r="AF4" s="590"/>
      <c r="AG4" s="590"/>
      <c r="AH4" s="590"/>
      <c r="AI4" s="590"/>
      <c r="AJ4" s="590"/>
      <c r="AK4" s="590"/>
      <c r="AL4" s="590"/>
      <c r="AM4" s="590"/>
      <c r="AP4" s="585"/>
      <c r="AQ4" s="585"/>
      <c r="AR4" s="585"/>
      <c r="AS4" s="585"/>
      <c r="AT4" s="585"/>
      <c r="AU4" s="585"/>
      <c r="AV4" s="585"/>
      <c r="AW4" s="585"/>
      <c r="AX4" s="585"/>
      <c r="AY4" s="585"/>
      <c r="AZ4" s="585"/>
      <c r="BA4" s="585"/>
      <c r="BB4" s="585"/>
      <c r="BC4" s="585"/>
      <c r="BD4" s="585"/>
      <c r="BE4" s="585"/>
      <c r="BF4" s="585"/>
      <c r="BG4" s="585"/>
    </row>
    <row r="5" ht="15.0" customHeight="1">
      <c r="A5" s="598" t="s">
        <v>667</v>
      </c>
      <c r="B5" s="13"/>
      <c r="C5" s="599" t="s">
        <v>668</v>
      </c>
      <c r="D5" s="13"/>
      <c r="E5" s="599" t="s">
        <v>669</v>
      </c>
      <c r="F5" s="14"/>
      <c r="H5" s="34"/>
      <c r="I5" s="17"/>
      <c r="J5" s="570"/>
      <c r="K5" s="29"/>
      <c r="L5" s="31"/>
      <c r="N5" s="572">
        <v>2022.0</v>
      </c>
      <c r="O5" s="582">
        <v>6.5149E10</v>
      </c>
      <c r="P5" s="1158">
        <v>0.16092875726148473</v>
      </c>
      <c r="Q5" s="570"/>
      <c r="R5" s="584">
        <v>3.0</v>
      </c>
      <c r="S5" s="1159">
        <v>1.0193730800373975E11</v>
      </c>
      <c r="T5" s="1159">
        <v>8.458245104907588E10</v>
      </c>
      <c r="V5" s="600"/>
      <c r="W5" s="600"/>
      <c r="X5" s="601"/>
      <c r="Y5" s="590"/>
      <c r="Z5" s="1162">
        <v>278.617171114195</v>
      </c>
      <c r="AA5" s="590"/>
      <c r="AB5" s="590"/>
      <c r="AC5" s="590"/>
      <c r="AD5" s="590"/>
      <c r="AE5" s="590"/>
      <c r="AF5" s="590"/>
      <c r="AG5" s="590"/>
      <c r="AH5" s="590"/>
      <c r="AI5" s="590"/>
      <c r="AJ5" s="590"/>
      <c r="AK5" s="590"/>
      <c r="AL5" s="590"/>
      <c r="AM5" s="1163" t="s">
        <v>670</v>
      </c>
      <c r="AP5" s="585"/>
      <c r="AQ5" s="585"/>
      <c r="AR5" s="585"/>
      <c r="AS5" s="585"/>
      <c r="AT5" s="585"/>
      <c r="AU5" s="585"/>
      <c r="AV5" s="585"/>
      <c r="AW5" s="585"/>
      <c r="AX5" s="585"/>
      <c r="AY5" s="585"/>
      <c r="AZ5" s="585"/>
      <c r="BA5" s="585"/>
      <c r="BB5" s="585"/>
      <c r="BC5" s="585"/>
      <c r="BD5" s="585"/>
      <c r="BE5" s="585"/>
      <c r="BF5" s="585"/>
      <c r="BG5" s="585"/>
    </row>
    <row r="6" ht="24.75" customHeight="1">
      <c r="A6" s="34"/>
      <c r="F6" s="17"/>
      <c r="H6" s="1157" t="s">
        <v>671</v>
      </c>
      <c r="I6" s="712" t="s">
        <v>672</v>
      </c>
      <c r="J6" s="570"/>
      <c r="K6" s="1157" t="s">
        <v>673</v>
      </c>
      <c r="L6" s="712" t="s">
        <v>674</v>
      </c>
      <c r="N6" s="572">
        <v>2021.0</v>
      </c>
      <c r="O6" s="582">
        <v>5.6118E10</v>
      </c>
      <c r="P6" s="1158">
        <v>0.2406154662422072</v>
      </c>
      <c r="Q6" s="570"/>
      <c r="R6" s="584">
        <v>4.0</v>
      </c>
      <c r="S6" s="1159">
        <v>1.1338653345643613E11</v>
      </c>
      <c r="T6" s="1159">
        <v>8.840787505631374E10</v>
      </c>
      <c r="V6" s="604" t="s">
        <v>675</v>
      </c>
      <c r="W6" s="605" t="s">
        <v>676</v>
      </c>
      <c r="X6" s="606">
        <v>0.11231634106206098</v>
      </c>
      <c r="Y6" s="607"/>
      <c r="Z6" s="1164">
        <v>557.23434222839</v>
      </c>
      <c r="AA6" s="607"/>
      <c r="AB6" s="605" t="s">
        <v>625</v>
      </c>
      <c r="AC6" s="1165">
        <v>1.0</v>
      </c>
      <c r="AD6" s="1165">
        <v>2.0</v>
      </c>
      <c r="AE6" s="1165">
        <v>3.0</v>
      </c>
      <c r="AF6" s="1165">
        <v>4.0</v>
      </c>
      <c r="AG6" s="1165">
        <v>5.0</v>
      </c>
      <c r="AH6" s="1165">
        <v>6.0</v>
      </c>
      <c r="AI6" s="1165">
        <v>7.0</v>
      </c>
      <c r="AJ6" s="1165">
        <v>8.0</v>
      </c>
      <c r="AK6" s="1165">
        <v>9.0</v>
      </c>
      <c r="AL6" s="1165">
        <v>10.0</v>
      </c>
      <c r="AM6" s="1166">
        <v>10.0</v>
      </c>
      <c r="AP6" s="585"/>
      <c r="AQ6" s="585"/>
      <c r="AR6" s="585"/>
      <c r="AS6" s="585"/>
      <c r="AT6" s="585"/>
      <c r="AU6" s="585"/>
      <c r="AV6" s="585"/>
      <c r="AW6" s="585"/>
      <c r="AX6" s="585"/>
      <c r="AY6" s="585"/>
      <c r="AZ6" s="585"/>
      <c r="BA6" s="585"/>
      <c r="BB6" s="585"/>
      <c r="BC6" s="585"/>
      <c r="BD6" s="585"/>
      <c r="BE6" s="585"/>
      <c r="BF6" s="585"/>
      <c r="BG6" s="585"/>
    </row>
    <row r="7">
      <c r="A7" s="611" t="s">
        <v>677</v>
      </c>
      <c r="B7" s="30"/>
      <c r="C7" s="611" t="s">
        <v>678</v>
      </c>
      <c r="D7" s="30"/>
      <c r="E7" s="611" t="s">
        <v>679</v>
      </c>
      <c r="F7" s="31"/>
      <c r="H7" s="612">
        <v>37.285519591141394</v>
      </c>
      <c r="I7" s="1167">
        <v>0.02999427707149573</v>
      </c>
      <c r="J7" s="570"/>
      <c r="K7" s="614">
        <v>7.469152542372881E9</v>
      </c>
      <c r="L7" s="1168">
        <v>2.0522651555511162E12</v>
      </c>
      <c r="N7" s="572">
        <v>2020.0</v>
      </c>
      <c r="O7" s="582">
        <v>4.5234E10</v>
      </c>
      <c r="P7" s="1158">
        <v>0.1822791427077888</v>
      </c>
      <c r="Q7" s="570"/>
      <c r="R7" s="584">
        <v>5.0</v>
      </c>
      <c r="S7" s="1159">
        <v>1.2612169401997398E11</v>
      </c>
      <c r="T7" s="1159">
        <v>9.240631212540599E10</v>
      </c>
      <c r="V7" s="616"/>
      <c r="W7" s="617" t="s">
        <v>680</v>
      </c>
      <c r="X7" s="618">
        <v>0.07862143874344268</v>
      </c>
      <c r="Y7" s="619"/>
      <c r="AA7" s="619"/>
      <c r="AB7" s="620"/>
      <c r="AC7" s="620"/>
      <c r="AD7" s="620"/>
      <c r="AE7" s="620"/>
      <c r="AF7" s="620"/>
      <c r="AG7" s="620"/>
      <c r="AH7" s="620"/>
      <c r="AI7" s="620"/>
      <c r="AJ7" s="620"/>
      <c r="AK7" s="620"/>
      <c r="AL7" s="620"/>
      <c r="AM7" s="621"/>
      <c r="AP7" s="585"/>
      <c r="AQ7" s="585"/>
      <c r="AR7" s="585"/>
      <c r="AS7" s="585"/>
      <c r="AT7" s="585"/>
      <c r="AU7" s="585"/>
      <c r="AV7" s="585"/>
      <c r="AW7" s="585"/>
      <c r="AX7" s="585"/>
      <c r="AY7" s="585"/>
      <c r="AZ7" s="585"/>
      <c r="BA7" s="585"/>
      <c r="BB7" s="585"/>
      <c r="BC7" s="585"/>
      <c r="BD7" s="585"/>
      <c r="BE7" s="585"/>
      <c r="BF7" s="585"/>
      <c r="BG7" s="585"/>
    </row>
    <row r="8">
      <c r="A8" s="622">
        <v>274.7654628699189</v>
      </c>
      <c r="C8" s="623">
        <v>512.3438249999999</v>
      </c>
      <c r="E8" s="623">
        <v>228.06381322957196</v>
      </c>
      <c r="F8" s="17"/>
      <c r="H8" s="34"/>
      <c r="I8" s="17"/>
      <c r="J8" s="570"/>
      <c r="K8" s="29"/>
      <c r="L8" s="31"/>
      <c r="N8" s="572">
        <v>2019.0</v>
      </c>
      <c r="O8" s="624">
        <v>3.826E10</v>
      </c>
      <c r="P8" s="1158">
        <v>0.1862830212079871</v>
      </c>
      <c r="Q8" s="1169">
        <v>38260.0</v>
      </c>
      <c r="R8" s="584">
        <v>6.0</v>
      </c>
      <c r="S8" s="1159">
        <v>1.4028722122084628E11</v>
      </c>
      <c r="T8" s="1159">
        <v>9.658558714570236E10</v>
      </c>
      <c r="V8" s="616"/>
      <c r="W8" s="617" t="s">
        <v>681</v>
      </c>
      <c r="X8" s="1170">
        <v>44.10844601915386</v>
      </c>
      <c r="Y8" s="619"/>
      <c r="Z8" s="1171">
        <v>0.2739114403282657</v>
      </c>
      <c r="AA8" s="619"/>
      <c r="AB8" s="617" t="s">
        <v>665</v>
      </c>
      <c r="AC8" s="1172">
        <v>11.030753921733837</v>
      </c>
      <c r="AD8" s="1172">
        <v>12.26968784137896</v>
      </c>
      <c r="AE8" s="1172">
        <v>13.647774285696302</v>
      </c>
      <c r="AF8" s="1172">
        <v>15.180642357106592</v>
      </c>
      <c r="AG8" s="1172">
        <v>16.885676561628543</v>
      </c>
      <c r="AH8" s="1172">
        <v>18.21325274706021</v>
      </c>
      <c r="AI8" s="1172">
        <v>19.645204882232044</v>
      </c>
      <c r="AJ8" s="1172">
        <v>21.189739154482833</v>
      </c>
      <c r="AK8" s="1172">
        <v>22.855706933406534</v>
      </c>
      <c r="AL8" s="1172">
        <v>24.652655496009434</v>
      </c>
      <c r="AM8" s="1173">
        <v>1087.3903241745288</v>
      </c>
      <c r="AP8" s="585"/>
      <c r="AQ8" s="585"/>
      <c r="AR8" s="585"/>
      <c r="AS8" s="585"/>
      <c r="AT8" s="585"/>
      <c r="AU8" s="585"/>
      <c r="AV8" s="585"/>
      <c r="AW8" s="585"/>
      <c r="AX8" s="585"/>
      <c r="AY8" s="585"/>
      <c r="AZ8" s="585"/>
      <c r="BA8" s="585"/>
      <c r="BB8" s="585"/>
      <c r="BC8" s="585"/>
      <c r="BD8" s="585"/>
      <c r="BE8" s="585"/>
      <c r="BF8" s="585"/>
      <c r="BG8" s="585"/>
    </row>
    <row r="9">
      <c r="F9" s="17"/>
      <c r="H9" s="1157" t="s">
        <v>682</v>
      </c>
      <c r="I9" s="712" t="s">
        <v>683</v>
      </c>
      <c r="J9" s="570"/>
      <c r="K9" s="631" t="s">
        <v>684</v>
      </c>
      <c r="L9" s="632" t="s">
        <v>685</v>
      </c>
      <c r="N9" s="572">
        <v>2018.0</v>
      </c>
      <c r="O9" s="624">
        <v>3.2252E10</v>
      </c>
      <c r="P9" s="1158">
        <v>0.027853910383070942</v>
      </c>
      <c r="Q9" s="1169">
        <v>32252.0</v>
      </c>
      <c r="R9" s="584">
        <v>7.0</v>
      </c>
      <c r="S9" s="1159">
        <v>1.5604376860613565E11</v>
      </c>
      <c r="T9" s="1159">
        <v>1.0095387890407146E11</v>
      </c>
      <c r="V9" s="633"/>
      <c r="W9" s="634" t="s">
        <v>686</v>
      </c>
      <c r="X9" s="635">
        <v>0.5</v>
      </c>
      <c r="Y9" s="636"/>
      <c r="Z9" s="30"/>
      <c r="AA9" s="636"/>
      <c r="AB9" s="634" t="s">
        <v>687</v>
      </c>
      <c r="AC9" s="1174">
        <v>10.104248849719527</v>
      </c>
      <c r="AD9" s="1174">
        <v>10.295114672152915</v>
      </c>
      <c r="AE9" s="1174">
        <v>10.48958588502304</v>
      </c>
      <c r="AF9" s="1174">
        <v>10.687730592928384</v>
      </c>
      <c r="AG9" s="1174">
        <v>10.889618186940124</v>
      </c>
      <c r="AH9" s="1174">
        <v>10.759213812841562</v>
      </c>
      <c r="AI9" s="1174">
        <v>10.63037104544877</v>
      </c>
      <c r="AJ9" s="1174">
        <v>10.503071184349897</v>
      </c>
      <c r="AK9" s="1174">
        <v>10.37729575307257</v>
      </c>
      <c r="AL9" s="1174">
        <v>10.253026496402208</v>
      </c>
      <c r="AM9" s="1175">
        <v>452.245065749511</v>
      </c>
      <c r="AP9" s="585"/>
      <c r="AQ9" s="585"/>
      <c r="AR9" s="585"/>
      <c r="AS9" s="585"/>
      <c r="AT9" s="585"/>
      <c r="AU9" s="585"/>
      <c r="AV9" s="585"/>
      <c r="AW9" s="585"/>
      <c r="AX9" s="585"/>
      <c r="AY9" s="585"/>
      <c r="AZ9" s="585"/>
      <c r="BA9" s="585"/>
      <c r="BB9" s="585"/>
      <c r="BC9" s="585"/>
      <c r="BD9" s="585"/>
      <c r="BE9" s="585"/>
      <c r="BF9" s="585"/>
      <c r="BG9" s="585"/>
    </row>
    <row r="10">
      <c r="A10" s="598" t="s">
        <v>688</v>
      </c>
      <c r="B10" s="13"/>
      <c r="C10" s="640" t="s">
        <v>77</v>
      </c>
      <c r="D10" s="13"/>
      <c r="E10" s="641" t="s">
        <v>689</v>
      </c>
      <c r="F10" s="14"/>
      <c r="H10" s="1176">
        <v>0.09335</v>
      </c>
      <c r="I10" s="1177">
        <v>0.023695478886481627</v>
      </c>
      <c r="J10" s="570"/>
      <c r="K10" s="644">
        <v>0.16045191580294427</v>
      </c>
      <c r="L10" s="1178">
        <v>0.11231634106206098</v>
      </c>
      <c r="N10" s="572">
        <v>2017.0</v>
      </c>
      <c r="O10" s="624">
        <v>3.1378E10</v>
      </c>
      <c r="P10" s="1158">
        <v>0.25602433752301657</v>
      </c>
      <c r="Q10" s="1169">
        <v>31378.0</v>
      </c>
      <c r="R10" s="584">
        <v>8.0</v>
      </c>
      <c r="S10" s="1159">
        <v>1.735700337415117E11</v>
      </c>
      <c r="T10" s="1159">
        <v>1.0551973609068033E11</v>
      </c>
      <c r="V10" s="646"/>
      <c r="W10" s="647"/>
      <c r="X10" s="648"/>
      <c r="Y10" s="648"/>
      <c r="Z10" s="1162">
        <v>205.07326769662373</v>
      </c>
      <c r="AA10" s="648"/>
      <c r="AB10" s="647"/>
      <c r="AC10" s="647"/>
      <c r="AD10" s="647"/>
      <c r="AE10" s="647"/>
      <c r="AF10" s="647"/>
      <c r="AG10" s="647"/>
      <c r="AH10" s="647"/>
      <c r="AI10" s="647"/>
      <c r="AJ10" s="647"/>
      <c r="AK10" s="647"/>
      <c r="AL10" s="647"/>
      <c r="AM10" s="649"/>
      <c r="AP10" s="585"/>
      <c r="AQ10" s="585"/>
      <c r="AR10" s="585"/>
      <c r="AS10" s="585"/>
      <c r="AT10" s="585"/>
      <c r="AU10" s="585"/>
      <c r="AV10" s="585"/>
      <c r="AW10" s="585"/>
      <c r="AX10" s="585"/>
      <c r="AY10" s="585"/>
      <c r="AZ10" s="585"/>
      <c r="BA10" s="585"/>
      <c r="BB10" s="585"/>
      <c r="BC10" s="585"/>
      <c r="BD10" s="585"/>
      <c r="BE10" s="585"/>
      <c r="BF10" s="585"/>
      <c r="BG10" s="585"/>
    </row>
    <row r="11">
      <c r="A11" s="34"/>
      <c r="F11" s="17"/>
      <c r="H11" s="29"/>
      <c r="I11" s="31"/>
      <c r="J11" s="570"/>
      <c r="K11" s="34"/>
      <c r="L11" s="17"/>
      <c r="N11" s="572">
        <v>2016.0</v>
      </c>
      <c r="O11" s="624">
        <v>2.4982E10</v>
      </c>
      <c r="P11" s="1158">
        <v>0.07978907330567081</v>
      </c>
      <c r="Q11" s="1169">
        <v>24982.0</v>
      </c>
      <c r="R11" s="584">
        <v>9.0</v>
      </c>
      <c r="S11" s="1159">
        <v>1.9306478484937674E11</v>
      </c>
      <c r="T11" s="1159">
        <v>1.1029209402867014E11</v>
      </c>
      <c r="V11" s="650" t="s">
        <v>690</v>
      </c>
      <c r="W11" s="651" t="s">
        <v>676</v>
      </c>
      <c r="X11" s="652">
        <v>0.14039542632757623</v>
      </c>
      <c r="Y11" s="653"/>
      <c r="Z11" s="1179">
        <v>820.2930707864949</v>
      </c>
      <c r="AA11" s="653"/>
      <c r="AB11" s="655"/>
      <c r="AC11" s="655"/>
      <c r="AD11" s="655"/>
      <c r="AE11" s="655"/>
      <c r="AF11" s="655"/>
      <c r="AG11" s="655"/>
      <c r="AH11" s="655"/>
      <c r="AI11" s="655"/>
      <c r="AJ11" s="655"/>
      <c r="AK11" s="655"/>
      <c r="AL11" s="655"/>
      <c r="AM11" s="656"/>
      <c r="AP11" s="585"/>
      <c r="AQ11" s="585"/>
      <c r="AR11" s="585"/>
      <c r="AS11" s="585"/>
      <c r="AT11" s="585"/>
      <c r="AU11" s="585"/>
      <c r="AV11" s="585"/>
      <c r="AW11" s="585"/>
      <c r="AX11" s="585"/>
      <c r="AY11" s="585"/>
      <c r="AZ11" s="585"/>
      <c r="BA11" s="585"/>
      <c r="BB11" s="585"/>
      <c r="BC11" s="585"/>
      <c r="BD11" s="585"/>
      <c r="BE11" s="585"/>
      <c r="BF11" s="585"/>
      <c r="BG11" s="585"/>
    </row>
    <row r="12">
      <c r="A12" s="29"/>
      <c r="B12" s="30"/>
      <c r="C12" s="30"/>
      <c r="D12" s="30"/>
      <c r="E12" s="30"/>
      <c r="F12" s="31"/>
      <c r="H12" s="1157" t="s">
        <v>691</v>
      </c>
      <c r="I12" s="712" t="s">
        <v>692</v>
      </c>
      <c r="J12" s="570"/>
      <c r="K12" s="657" t="s">
        <v>77</v>
      </c>
      <c r="L12" s="658" t="s">
        <v>689</v>
      </c>
      <c r="N12" s="572">
        <v>2015.0</v>
      </c>
      <c r="O12" s="624">
        <v>2.3136E10</v>
      </c>
      <c r="P12" s="583"/>
      <c r="Q12" s="1169">
        <v>23136.0</v>
      </c>
      <c r="R12" s="584" t="s">
        <v>693</v>
      </c>
      <c r="S12" s="1159">
        <v>2.266373075916658E12</v>
      </c>
      <c r="T12" s="1159">
        <v>1.2947106464188171E12</v>
      </c>
      <c r="V12" s="659"/>
      <c r="W12" s="660" t="s">
        <v>680</v>
      </c>
      <c r="X12" s="661">
        <v>0.09827679842930336</v>
      </c>
      <c r="Y12" s="662"/>
      <c r="AA12" s="662"/>
      <c r="AB12" s="663"/>
      <c r="AC12" s="663"/>
      <c r="AD12" s="663"/>
      <c r="AE12" s="663"/>
      <c r="AF12" s="663"/>
      <c r="AG12" s="663"/>
      <c r="AH12" s="663"/>
      <c r="AI12" s="663"/>
      <c r="AJ12" s="663"/>
      <c r="AK12" s="663"/>
      <c r="AL12" s="663"/>
      <c r="AM12" s="664"/>
      <c r="AP12" s="585"/>
      <c r="AQ12" s="585"/>
      <c r="AR12" s="585"/>
      <c r="AS12" s="585"/>
      <c r="AT12" s="585"/>
      <c r="AU12" s="585"/>
      <c r="AV12" s="585"/>
      <c r="AW12" s="585"/>
      <c r="AX12" s="585"/>
      <c r="AY12" s="585"/>
      <c r="AZ12" s="585"/>
      <c r="BA12" s="585"/>
      <c r="BB12" s="585"/>
      <c r="BC12" s="585"/>
      <c r="BD12" s="585"/>
      <c r="BE12" s="585"/>
      <c r="BF12" s="585"/>
      <c r="BG12" s="585"/>
    </row>
    <row r="13">
      <c r="A13" s="665">
        <v>0.7</v>
      </c>
      <c r="B13" s="13"/>
      <c r="C13" s="1180">
        <v>341.3688065449085</v>
      </c>
      <c r="D13" s="13"/>
      <c r="E13" s="1181">
        <v>0.2813707392519344</v>
      </c>
      <c r="F13" s="14"/>
      <c r="H13" s="1182">
        <v>3.2671567050847456E12</v>
      </c>
      <c r="I13" s="1168">
        <v>7.9537E10</v>
      </c>
      <c r="K13" s="34"/>
      <c r="L13" s="17"/>
      <c r="N13" s="572"/>
      <c r="O13" s="669"/>
      <c r="P13" s="570"/>
      <c r="Q13" s="583"/>
      <c r="R13" s="670" t="s">
        <v>0</v>
      </c>
      <c r="S13" s="670"/>
      <c r="T13" s="786">
        <v>2.1318021555511162E12</v>
      </c>
      <c r="V13" s="659"/>
      <c r="W13" s="660" t="s">
        <v>681</v>
      </c>
      <c r="X13" s="672">
        <v>55.135557523942325</v>
      </c>
      <c r="Y13" s="662"/>
      <c r="Z13" s="1183">
        <v>0.8752985020952286</v>
      </c>
      <c r="AA13" s="662"/>
      <c r="AB13" s="660" t="s">
        <v>665</v>
      </c>
      <c r="AC13" s="1184">
        <v>11.309212008230654</v>
      </c>
      <c r="AD13" s="1184">
        <v>12.896973649555141</v>
      </c>
      <c r="AE13" s="1184">
        <v>14.707649763419951</v>
      </c>
      <c r="AF13" s="1184">
        <v>16.77253652223197</v>
      </c>
      <c r="AG13" s="1184">
        <v>19.12732393786557</v>
      </c>
      <c r="AH13" s="1184">
        <v>21.007096096999174</v>
      </c>
      <c r="AI13" s="1184">
        <v>23.071606245708967</v>
      </c>
      <c r="AJ13" s="1184">
        <v>25.339009842158763</v>
      </c>
      <c r="AK13" s="1184">
        <v>27.829246604814735</v>
      </c>
      <c r="AL13" s="1184">
        <v>30.56421586383549</v>
      </c>
      <c r="AM13" s="1185">
        <v>1685.1750819346921</v>
      </c>
      <c r="AP13" s="677"/>
      <c r="AQ13" s="677"/>
      <c r="AR13" s="677"/>
      <c r="AS13" s="677"/>
      <c r="AT13" s="677"/>
      <c r="AU13" s="677"/>
      <c r="AV13" s="677"/>
      <c r="AW13" s="677"/>
      <c r="AX13" s="677"/>
      <c r="AY13" s="677"/>
      <c r="AZ13" s="677"/>
      <c r="BA13" s="677"/>
      <c r="BB13" s="677"/>
      <c r="BC13" s="677"/>
      <c r="BD13" s="677"/>
      <c r="BE13" s="677"/>
      <c r="BF13" s="677"/>
      <c r="BG13" s="677"/>
    </row>
    <row r="14" ht="19.5" customHeight="1">
      <c r="A14" s="34"/>
      <c r="F14" s="17"/>
      <c r="H14" s="34"/>
      <c r="I14" s="17"/>
      <c r="K14" s="678">
        <v>274.7654628699189</v>
      </c>
      <c r="L14" s="1186">
        <v>0.3718497945454737</v>
      </c>
      <c r="V14" s="680"/>
      <c r="W14" s="681" t="s">
        <v>686</v>
      </c>
      <c r="X14" s="682">
        <v>0.25</v>
      </c>
      <c r="Y14" s="683"/>
      <c r="Z14" s="684"/>
      <c r="AA14" s="683"/>
      <c r="AB14" s="1187" t="s">
        <v>687</v>
      </c>
      <c r="AC14" s="1188">
        <v>10.35931843246463</v>
      </c>
      <c r="AD14" s="1188">
        <v>10.821450746132617</v>
      </c>
      <c r="AE14" s="1188">
        <v>11.304198921425908</v>
      </c>
      <c r="AF14" s="1188">
        <v>11.808482638137455</v>
      </c>
      <c r="AG14" s="1188">
        <v>12.335262603252636</v>
      </c>
      <c r="AH14" s="1188">
        <v>12.409636083867847</v>
      </c>
      <c r="AI14" s="1188">
        <v>12.484457987414675</v>
      </c>
      <c r="AJ14" s="1188">
        <v>12.559731017587017</v>
      </c>
      <c r="AK14" s="1188">
        <v>12.635457894380258</v>
      </c>
      <c r="AL14" s="1188">
        <v>12.711641354189556</v>
      </c>
      <c r="AM14" s="1189">
        <v>700.8634331076423</v>
      </c>
    </row>
    <row r="15" ht="18.0" customHeight="1">
      <c r="A15" s="29"/>
      <c r="B15" s="30"/>
      <c r="C15" s="30"/>
      <c r="D15" s="30"/>
      <c r="E15" s="30"/>
      <c r="F15" s="31"/>
      <c r="H15" s="1157" t="s">
        <v>694</v>
      </c>
      <c r="I15" s="712" t="s">
        <v>695</v>
      </c>
      <c r="J15" s="570"/>
      <c r="K15" s="34"/>
      <c r="L15" s="17"/>
      <c r="N15" s="631" t="s">
        <v>684</v>
      </c>
      <c r="V15" s="688"/>
      <c r="W15" s="689"/>
      <c r="X15" s="690"/>
      <c r="Y15" s="690"/>
      <c r="Z15" s="1162">
        <v>91.15212509716852</v>
      </c>
      <c r="AA15" s="690"/>
      <c r="AB15" s="689"/>
      <c r="AC15" s="689"/>
      <c r="AD15" s="689"/>
      <c r="AE15" s="689"/>
      <c r="AF15" s="689"/>
      <c r="AG15" s="689"/>
      <c r="AH15" s="689"/>
      <c r="AI15" s="689"/>
      <c r="AJ15" s="689"/>
      <c r="AK15" s="689"/>
      <c r="AL15" s="689"/>
      <c r="AM15" s="691"/>
    </row>
    <row r="16">
      <c r="A16" s="692" t="s">
        <v>87</v>
      </c>
      <c r="B16" s="13"/>
      <c r="C16" s="693" t="s">
        <v>696</v>
      </c>
      <c r="D16" s="13"/>
      <c r="E16" s="693" t="s">
        <v>697</v>
      </c>
      <c r="F16" s="14"/>
      <c r="H16" s="1176">
        <v>0.9762341561526361</v>
      </c>
      <c r="I16" s="1177">
        <v>0.023765843847363962</v>
      </c>
      <c r="J16" s="570"/>
      <c r="K16" s="34"/>
      <c r="L16" s="17"/>
      <c r="N16" s="644">
        <v>0.1435661204040125</v>
      </c>
      <c r="V16" s="695" t="s">
        <v>699</v>
      </c>
      <c r="W16" s="696" t="s">
        <v>676</v>
      </c>
      <c r="X16" s="697">
        <v>0.08423725579654573</v>
      </c>
      <c r="Y16" s="698"/>
      <c r="Z16" s="1190">
        <v>364.6085003886741</v>
      </c>
      <c r="AA16" s="698"/>
      <c r="AB16" s="700"/>
      <c r="AC16" s="700"/>
      <c r="AD16" s="700"/>
      <c r="AE16" s="700"/>
      <c r="AF16" s="700"/>
      <c r="AG16" s="700"/>
      <c r="AH16" s="700"/>
      <c r="AI16" s="700"/>
      <c r="AJ16" s="700"/>
      <c r="AK16" s="700"/>
      <c r="AL16" s="700"/>
      <c r="AM16" s="701"/>
      <c r="AP16" s="702"/>
      <c r="AQ16" s="702"/>
      <c r="AR16" s="702"/>
      <c r="AS16" s="702"/>
      <c r="AT16" s="702"/>
      <c r="AU16" s="702"/>
      <c r="AV16" s="702"/>
      <c r="AW16" s="702"/>
      <c r="AX16" s="702"/>
      <c r="AY16" s="702"/>
      <c r="AZ16" s="702"/>
      <c r="BA16" s="702"/>
      <c r="BB16" s="702"/>
      <c r="BC16" s="702"/>
      <c r="BD16" s="702"/>
      <c r="BE16" s="702"/>
      <c r="BF16" s="702"/>
      <c r="BG16" s="702"/>
    </row>
    <row r="17">
      <c r="A17" s="703" t="s">
        <v>103</v>
      </c>
      <c r="C17" s="622">
        <v>341.3688065449085</v>
      </c>
      <c r="E17" s="622">
        <v>322.68814668876973</v>
      </c>
      <c r="H17" s="29"/>
      <c r="I17" s="31"/>
      <c r="J17" s="570"/>
      <c r="K17" s="29"/>
      <c r="L17" s="31"/>
      <c r="N17" s="34"/>
      <c r="V17" s="659"/>
      <c r="W17" s="706" t="s">
        <v>680</v>
      </c>
      <c r="X17" s="707">
        <v>0.058966079057582006</v>
      </c>
      <c r="Y17" s="708"/>
      <c r="AA17" s="708"/>
      <c r="AB17" s="709"/>
      <c r="AC17" s="709"/>
      <c r="AD17" s="709"/>
      <c r="AE17" s="709"/>
      <c r="AF17" s="709"/>
      <c r="AG17" s="709"/>
      <c r="AH17" s="709"/>
      <c r="AI17" s="709"/>
      <c r="AJ17" s="709"/>
      <c r="AK17" s="709"/>
      <c r="AL17" s="709"/>
      <c r="AM17" s="710"/>
      <c r="AP17" s="711"/>
      <c r="AQ17" s="711"/>
      <c r="AR17" s="711"/>
      <c r="AS17" s="711"/>
      <c r="AT17" s="711"/>
      <c r="AU17" s="711"/>
      <c r="AV17" s="711"/>
      <c r="AW17" s="711"/>
      <c r="AX17" s="711"/>
      <c r="AY17" s="711"/>
      <c r="AZ17" s="711"/>
      <c r="BA17" s="711"/>
      <c r="BB17" s="711"/>
      <c r="BC17" s="711"/>
      <c r="BD17" s="711"/>
      <c r="BE17" s="711"/>
      <c r="BF17" s="711"/>
      <c r="BG17" s="711"/>
    </row>
    <row r="18" ht="21.75" customHeight="1">
      <c r="H18" s="1157" t="s">
        <v>656</v>
      </c>
      <c r="I18" s="712" t="s">
        <v>701</v>
      </c>
      <c r="J18" s="570"/>
      <c r="K18" s="1191">
        <v>384.00396512170886</v>
      </c>
      <c r="L18" s="714" t="s">
        <v>702</v>
      </c>
      <c r="V18" s="659"/>
      <c r="W18" s="706" t="s">
        <v>681</v>
      </c>
      <c r="X18" s="717">
        <v>33.081334514365395</v>
      </c>
      <c r="Y18" s="718"/>
      <c r="Z18" s="1192">
        <v>-0.1664567226265967</v>
      </c>
      <c r="AA18" s="718"/>
      <c r="AB18" s="1193" t="s">
        <v>665</v>
      </c>
      <c r="AC18" s="1194">
        <v>10.752295835237021</v>
      </c>
      <c r="AD18" s="1194">
        <v>11.658039729910014</v>
      </c>
      <c r="AE18" s="1194">
        <v>12.640081004724735</v>
      </c>
      <c r="AF18" s="1194">
        <v>13.70484674160879</v>
      </c>
      <c r="AG18" s="1194">
        <v>14.859305422234145</v>
      </c>
      <c r="AH18" s="1194">
        <v>15.735500400502362</v>
      </c>
      <c r="AI18" s="1194">
        <v>16.663361161129</v>
      </c>
      <c r="AJ18" s="1194">
        <v>17.645934232721174</v>
      </c>
      <c r="AK18" s="1194">
        <v>18.686445785732705</v>
      </c>
      <c r="AL18" s="1194">
        <v>19.78831222523944</v>
      </c>
      <c r="AM18" s="1195">
        <v>654.6237761978522</v>
      </c>
      <c r="AP18" s="723"/>
      <c r="AQ18" s="723"/>
      <c r="AR18" s="723"/>
      <c r="AS18" s="723"/>
      <c r="AT18" s="723"/>
      <c r="AU18" s="723"/>
      <c r="AV18" s="723"/>
      <c r="AW18" s="723"/>
      <c r="AX18" s="723"/>
      <c r="AY18" s="723"/>
      <c r="AZ18" s="723"/>
      <c r="BA18" s="723"/>
      <c r="BB18" s="723"/>
      <c r="BC18" s="723"/>
      <c r="BD18" s="723"/>
      <c r="BE18" s="723"/>
      <c r="BF18" s="723"/>
      <c r="BG18" s="723"/>
    </row>
    <row r="19">
      <c r="A19" s="724" t="s">
        <v>703</v>
      </c>
      <c r="H19" s="1176">
        <v>0.09169460152795322</v>
      </c>
      <c r="I19" s="725">
        <v>0.06418622106956726</v>
      </c>
      <c r="J19" s="570"/>
      <c r="V19" s="680"/>
      <c r="W19" s="727" t="s">
        <v>686</v>
      </c>
      <c r="X19" s="728">
        <v>0.25</v>
      </c>
      <c r="Y19" s="729"/>
      <c r="Z19" s="684"/>
      <c r="AA19" s="729"/>
      <c r="AB19" s="1196" t="s">
        <v>687</v>
      </c>
      <c r="AC19" s="1197">
        <v>9.849179266974424</v>
      </c>
      <c r="AD19" s="1197">
        <v>9.78189970466676</v>
      </c>
      <c r="AE19" s="1197">
        <v>9.715079727811002</v>
      </c>
      <c r="AF19" s="1197">
        <v>9.648716196987387</v>
      </c>
      <c r="AG19" s="1197">
        <v>9.582805994221468</v>
      </c>
      <c r="AH19" s="1197">
        <v>9.295517698692553</v>
      </c>
      <c r="AI19" s="1197">
        <v>9.016842179504689</v>
      </c>
      <c r="AJ19" s="1197">
        <v>8.746521229423346</v>
      </c>
      <c r="AK19" s="1197">
        <v>8.48430438215296</v>
      </c>
      <c r="AL19" s="1197">
        <v>8.229948680266995</v>
      </c>
      <c r="AM19" s="1198">
        <v>272.25768532797247</v>
      </c>
      <c r="AP19" s="733"/>
      <c r="AQ19" s="733"/>
      <c r="AR19" s="733"/>
      <c r="AS19" s="733"/>
      <c r="AT19" s="733"/>
      <c r="AU19" s="733"/>
      <c r="AV19" s="733"/>
      <c r="AW19" s="733"/>
      <c r="AX19" s="733"/>
      <c r="AY19" s="733"/>
      <c r="AZ19" s="733"/>
      <c r="BA19" s="733"/>
      <c r="BB19" s="733"/>
      <c r="BC19" s="733"/>
      <c r="BD19" s="733"/>
      <c r="BE19" s="733"/>
      <c r="BF19" s="733"/>
      <c r="BG19" s="733"/>
    </row>
    <row r="20">
      <c r="A20" s="34"/>
      <c r="H20" s="29"/>
      <c r="I20" s="31"/>
      <c r="J20" s="570"/>
      <c r="K20" s="1199" t="s">
        <v>705</v>
      </c>
      <c r="L20" s="1200" t="s">
        <v>706</v>
      </c>
      <c r="V20" s="739"/>
      <c r="W20" s="739"/>
      <c r="X20" s="1201">
        <v>1.0</v>
      </c>
      <c r="Y20" s="739"/>
      <c r="Z20" s="739"/>
      <c r="AA20" s="739"/>
      <c r="AB20" s="739"/>
      <c r="AC20" s="739"/>
      <c r="AD20" s="739"/>
      <c r="AE20" s="739"/>
      <c r="AF20" s="739"/>
      <c r="AG20" s="739"/>
      <c r="AH20" s="739"/>
      <c r="AI20" s="739"/>
      <c r="AJ20" s="739"/>
      <c r="AK20" s="739"/>
      <c r="AL20" s="739"/>
      <c r="AM20" s="739"/>
      <c r="AP20" s="733"/>
      <c r="AQ20" s="733"/>
      <c r="AR20" s="733"/>
      <c r="AS20" s="733"/>
      <c r="AT20" s="733"/>
      <c r="AU20" s="733"/>
      <c r="AV20" s="733"/>
      <c r="AW20" s="733"/>
      <c r="AX20" s="733"/>
      <c r="AY20" s="733"/>
      <c r="AZ20" s="733"/>
      <c r="BA20" s="733"/>
      <c r="BB20" s="733"/>
      <c r="BC20" s="733"/>
      <c r="BD20" s="733"/>
      <c r="BE20" s="733"/>
      <c r="BF20" s="733"/>
      <c r="BG20" s="733"/>
    </row>
    <row r="21" ht="24.0" customHeight="1">
      <c r="A21" s="740" t="s">
        <v>76</v>
      </c>
      <c r="B21" s="13"/>
      <c r="C21" s="741" t="s">
        <v>708</v>
      </c>
      <c r="D21" s="13"/>
      <c r="E21" s="741" t="s">
        <v>709</v>
      </c>
      <c r="F21" s="14"/>
      <c r="H21" s="742"/>
      <c r="I21" s="570"/>
      <c r="J21" s="570"/>
      <c r="P21" s="694" t="s">
        <v>698</v>
      </c>
      <c r="U21" s="702"/>
      <c r="V21" s="702"/>
      <c r="W21" s="702"/>
      <c r="X21" s="733"/>
      <c r="Y21" s="733"/>
      <c r="Z21" s="733"/>
      <c r="AA21" s="733"/>
      <c r="AB21" s="733"/>
      <c r="AC21" s="733"/>
      <c r="AD21" s="733"/>
      <c r="AE21" s="733"/>
      <c r="AF21" s="733"/>
      <c r="AG21" s="733"/>
      <c r="AH21" s="733"/>
      <c r="AI21" s="733"/>
      <c r="AJ21" s="733"/>
      <c r="AK21" s="733"/>
      <c r="AL21" s="733"/>
      <c r="AM21" s="733"/>
      <c r="AN21" s="733"/>
      <c r="AO21" s="733"/>
      <c r="AP21" s="733"/>
      <c r="AQ21" s="733"/>
      <c r="AR21" s="733"/>
      <c r="AS21" s="733"/>
      <c r="AT21" s="733"/>
      <c r="AU21" s="733"/>
      <c r="AV21" s="733"/>
      <c r="AW21" s="733"/>
      <c r="AX21" s="733"/>
      <c r="AY21" s="733"/>
      <c r="AZ21" s="733"/>
      <c r="BA21" s="733"/>
      <c r="BB21" s="733"/>
      <c r="BC21" s="733"/>
      <c r="BD21" s="733"/>
      <c r="BE21" s="733"/>
      <c r="BF21" s="733"/>
      <c r="BG21" s="733"/>
    </row>
    <row r="22">
      <c r="A22" s="1202">
        <v>437.42</v>
      </c>
      <c r="C22" s="1203">
        <v>6.22</v>
      </c>
      <c r="E22" s="1203">
        <v>36.11</v>
      </c>
      <c r="F22" s="17"/>
      <c r="H22" s="570"/>
      <c r="I22" s="570"/>
      <c r="J22" s="570"/>
      <c r="P22" s="704" t="s">
        <v>700</v>
      </c>
      <c r="Q22" s="13"/>
      <c r="R22" s="13"/>
      <c r="S22" s="13"/>
      <c r="T22" s="1204" t="s">
        <v>104</v>
      </c>
      <c r="U22" s="711"/>
      <c r="V22" s="711"/>
      <c r="W22" s="711"/>
      <c r="X22" s="733"/>
      <c r="Y22" s="733"/>
      <c r="Z22" s="733"/>
      <c r="AA22" s="733"/>
      <c r="AB22" s="733"/>
      <c r="AC22" s="733"/>
      <c r="AD22" s="733"/>
      <c r="AE22" s="733"/>
      <c r="AF22" s="733"/>
      <c r="AG22" s="733"/>
      <c r="AH22" s="733"/>
      <c r="AI22" s="733"/>
      <c r="AJ22" s="733"/>
      <c r="AK22" s="733"/>
      <c r="AL22" s="733"/>
      <c r="AM22" s="733"/>
      <c r="AN22" s="733"/>
      <c r="AO22" s="733"/>
      <c r="AP22" s="733"/>
      <c r="AQ22" s="733"/>
      <c r="AR22" s="733"/>
      <c r="AS22" s="733"/>
      <c r="AT22" s="733"/>
      <c r="AU22" s="733"/>
      <c r="AV22" s="733"/>
      <c r="AW22" s="733"/>
      <c r="AX22" s="733"/>
      <c r="AY22" s="733"/>
      <c r="AZ22" s="733"/>
      <c r="BA22" s="733"/>
      <c r="BB22" s="733"/>
      <c r="BC22" s="733"/>
      <c r="BD22" s="733"/>
      <c r="BE22" s="733"/>
      <c r="BF22" s="733"/>
      <c r="BG22" s="733"/>
    </row>
    <row r="23">
      <c r="A23" s="34"/>
      <c r="F23" s="17"/>
      <c r="H23" s="239" t="s">
        <v>718</v>
      </c>
      <c r="I23" s="13"/>
      <c r="J23" s="13"/>
      <c r="K23" s="13"/>
      <c r="L23" s="13"/>
      <c r="M23" s="14"/>
      <c r="N23" s="756" t="s">
        <v>77</v>
      </c>
      <c r="P23" s="715" t="s">
        <v>301</v>
      </c>
      <c r="T23" s="726">
        <v>12.11</v>
      </c>
      <c r="U23" s="723"/>
      <c r="V23" s="723"/>
      <c r="W23" s="723"/>
      <c r="X23" s="733"/>
      <c r="Y23" s="733"/>
      <c r="Z23" s="733"/>
      <c r="AA23" s="733"/>
      <c r="AB23" s="733"/>
      <c r="AC23" s="733"/>
      <c r="AD23" s="733"/>
      <c r="AE23" s="733"/>
      <c r="AF23" s="733"/>
      <c r="AG23" s="733"/>
      <c r="AH23" s="733"/>
      <c r="AI23" s="733"/>
      <c r="AJ23" s="733"/>
      <c r="AK23" s="733"/>
      <c r="AL23" s="733"/>
      <c r="AM23" s="733"/>
      <c r="AN23" s="733"/>
      <c r="AO23" s="733"/>
      <c r="AP23" s="733"/>
      <c r="AQ23" s="733"/>
      <c r="AR23" s="733"/>
      <c r="AS23" s="733"/>
      <c r="AT23" s="733"/>
      <c r="AU23" s="733"/>
      <c r="AV23" s="733"/>
      <c r="AW23" s="733"/>
      <c r="AX23" s="733"/>
      <c r="AY23" s="733"/>
      <c r="AZ23" s="733"/>
      <c r="BA23" s="733"/>
      <c r="BB23" s="733"/>
      <c r="BC23" s="733"/>
      <c r="BD23" s="733"/>
      <c r="BE23" s="733"/>
      <c r="BF23" s="733"/>
      <c r="BG23" s="733"/>
    </row>
    <row r="24">
      <c r="A24" s="768" t="s">
        <v>724</v>
      </c>
      <c r="C24" s="255" t="s">
        <v>83</v>
      </c>
      <c r="E24" s="255" t="s">
        <v>725</v>
      </c>
      <c r="F24" s="17"/>
      <c r="H24" s="29"/>
      <c r="I24" s="30"/>
      <c r="J24" s="30"/>
      <c r="K24" s="30"/>
      <c r="L24" s="30"/>
      <c r="M24" s="31"/>
      <c r="N24" s="769"/>
      <c r="P24" s="715" t="s">
        <v>971</v>
      </c>
      <c r="T24" s="726">
        <v>7.0</v>
      </c>
      <c r="U24" s="733"/>
      <c r="V24" s="733"/>
      <c r="W24" s="733"/>
      <c r="X24" s="779"/>
      <c r="Y24" s="779"/>
      <c r="Z24" s="779"/>
      <c r="AA24" s="779"/>
      <c r="AB24" s="779"/>
      <c r="AC24" s="779"/>
      <c r="AD24" s="779"/>
      <c r="AE24" s="779"/>
      <c r="AF24" s="779"/>
      <c r="AG24" s="779"/>
      <c r="AH24" s="779"/>
      <c r="AI24" s="779"/>
      <c r="AJ24" s="779"/>
      <c r="AK24" s="779"/>
      <c r="AL24" s="779"/>
      <c r="AM24" s="779"/>
      <c r="AN24" s="779"/>
      <c r="AO24" s="779"/>
      <c r="AP24" s="779"/>
      <c r="AQ24" s="779"/>
      <c r="AR24" s="779"/>
      <c r="AS24" s="779"/>
      <c r="AT24" s="779"/>
      <c r="AU24" s="779"/>
      <c r="AV24" s="779"/>
      <c r="AW24" s="779"/>
      <c r="AX24" s="779"/>
      <c r="AY24" s="779"/>
      <c r="AZ24" s="779"/>
      <c r="BA24" s="779"/>
      <c r="BB24" s="779"/>
      <c r="BC24" s="779"/>
      <c r="BD24" s="779"/>
      <c r="BE24" s="779"/>
      <c r="BF24" s="779"/>
      <c r="BG24" s="779"/>
    </row>
    <row r="25">
      <c r="A25" s="1202">
        <v>365.62</v>
      </c>
      <c r="C25" s="780"/>
      <c r="E25" s="1205">
        <v>468.35</v>
      </c>
      <c r="F25" s="17"/>
      <c r="H25" s="782" t="s">
        <v>71</v>
      </c>
      <c r="I25" s="783" t="s">
        <v>730</v>
      </c>
      <c r="J25" s="783" t="s">
        <v>76</v>
      </c>
      <c r="L25" s="783" t="s">
        <v>301</v>
      </c>
      <c r="M25" s="783" t="s">
        <v>300</v>
      </c>
      <c r="N25" s="87"/>
      <c r="P25" s="715" t="s">
        <v>707</v>
      </c>
      <c r="T25" s="736">
        <v>15.0</v>
      </c>
      <c r="U25" s="733"/>
      <c r="V25" s="1206" t="s">
        <v>972</v>
      </c>
      <c r="W25" s="733"/>
      <c r="X25" s="767"/>
      <c r="Y25" s="767"/>
      <c r="Z25" s="767"/>
      <c r="AA25" s="767"/>
      <c r="AB25" s="767"/>
      <c r="AC25" s="767"/>
      <c r="AD25" s="767"/>
      <c r="AE25" s="767"/>
      <c r="AF25" s="767"/>
      <c r="AG25" s="767"/>
      <c r="AH25" s="767"/>
      <c r="AI25" s="767"/>
      <c r="AJ25" s="767"/>
      <c r="AK25" s="767"/>
      <c r="AL25" s="767"/>
      <c r="AM25" s="767"/>
      <c r="AN25" s="767"/>
      <c r="AO25" s="767"/>
      <c r="AP25" s="767"/>
      <c r="AQ25" s="767"/>
      <c r="AR25" s="767"/>
      <c r="AS25" s="767"/>
      <c r="AT25" s="767"/>
      <c r="AU25" s="767"/>
      <c r="AV25" s="767"/>
      <c r="AW25" s="767"/>
      <c r="AX25" s="767"/>
      <c r="AY25" s="767"/>
      <c r="AZ25" s="767"/>
      <c r="BA25" s="767"/>
      <c r="BB25" s="767"/>
      <c r="BC25" s="767"/>
      <c r="BD25" s="767"/>
      <c r="BE25" s="767"/>
      <c r="BF25" s="767"/>
      <c r="BG25" s="767"/>
    </row>
    <row r="26">
      <c r="A26" s="29"/>
      <c r="B26" s="30"/>
      <c r="C26" s="30"/>
      <c r="D26" s="30"/>
      <c r="E26" s="30"/>
      <c r="F26" s="31"/>
      <c r="H26" s="794" t="s">
        <v>306</v>
      </c>
      <c r="I26" s="1207" t="s">
        <v>973</v>
      </c>
      <c r="J26" s="1208">
        <v>243.01</v>
      </c>
      <c r="L26" s="1208">
        <v>6.08</v>
      </c>
      <c r="M26" s="1209">
        <v>39.95</v>
      </c>
      <c r="N26" s="798">
        <v>512.3438249999999</v>
      </c>
      <c r="P26" s="715" t="s">
        <v>710</v>
      </c>
      <c r="T26" s="726">
        <v>1.0</v>
      </c>
      <c r="U26" s="733"/>
      <c r="V26" s="733" t="s">
        <v>974</v>
      </c>
      <c r="W26" s="733"/>
      <c r="X26" s="767"/>
      <c r="Y26" s="767"/>
      <c r="Z26" s="767"/>
      <c r="AA26" s="767"/>
      <c r="AB26" s="767"/>
      <c r="AC26" s="767"/>
      <c r="AD26" s="767"/>
      <c r="AE26" s="767"/>
      <c r="AF26" s="767"/>
      <c r="AG26" s="767"/>
      <c r="AH26" s="767"/>
      <c r="AI26" s="767"/>
      <c r="AJ26" s="767"/>
      <c r="AK26" s="767"/>
      <c r="AL26" s="767"/>
      <c r="AM26" s="767"/>
      <c r="AN26" s="767"/>
      <c r="AO26" s="767"/>
      <c r="AP26" s="767"/>
      <c r="AQ26" s="767"/>
      <c r="AR26" s="767"/>
      <c r="AS26" s="767"/>
      <c r="AT26" s="767"/>
      <c r="AU26" s="767"/>
      <c r="AV26" s="767"/>
      <c r="AW26" s="767"/>
      <c r="AX26" s="767"/>
      <c r="AY26" s="767"/>
      <c r="AZ26" s="767"/>
      <c r="BA26" s="767"/>
      <c r="BB26" s="767"/>
      <c r="BC26" s="767"/>
      <c r="BD26" s="767"/>
      <c r="BE26" s="767"/>
      <c r="BF26" s="767"/>
      <c r="BG26" s="767"/>
    </row>
    <row r="27">
      <c r="A27" s="804"/>
      <c r="F27" s="17"/>
      <c r="H27" s="794" t="s">
        <v>453</v>
      </c>
      <c r="I27" s="1207" t="s">
        <v>975</v>
      </c>
      <c r="J27" s="1208">
        <v>233.49</v>
      </c>
      <c r="L27" s="1208">
        <v>6.87</v>
      </c>
      <c r="M27" s="1209">
        <v>33.99</v>
      </c>
      <c r="N27" s="769"/>
      <c r="P27" s="747" t="s">
        <v>711</v>
      </c>
      <c r="T27" s="726">
        <v>4.4</v>
      </c>
      <c r="U27" s="799"/>
      <c r="V27" s="733"/>
      <c r="W27" s="733"/>
    </row>
    <row r="28">
      <c r="A28" s="34"/>
      <c r="F28" s="17"/>
      <c r="H28" s="794" t="s">
        <v>345</v>
      </c>
      <c r="I28" s="1207" t="s">
        <v>976</v>
      </c>
      <c r="J28" s="1208">
        <v>218.16</v>
      </c>
      <c r="L28" s="1208">
        <v>4.67</v>
      </c>
      <c r="M28" s="1209">
        <v>46.76</v>
      </c>
      <c r="N28" s="756" t="s">
        <v>689</v>
      </c>
      <c r="P28" s="747" t="s">
        <v>719</v>
      </c>
      <c r="T28" s="757">
        <v>5.14</v>
      </c>
      <c r="U28" s="733"/>
      <c r="V28" s="1206" t="s">
        <v>977</v>
      </c>
      <c r="W28" s="733"/>
    </row>
    <row r="29">
      <c r="A29" s="34"/>
      <c r="F29" s="17"/>
      <c r="H29" s="811" t="s">
        <v>978</v>
      </c>
      <c r="I29" s="1207" t="s">
        <v>979</v>
      </c>
      <c r="J29" s="1208">
        <v>188.19</v>
      </c>
      <c r="L29" s="1208">
        <v>3.88</v>
      </c>
      <c r="M29" s="1209">
        <v>48.53</v>
      </c>
      <c r="N29" s="87"/>
      <c r="P29" s="770" t="s">
        <v>77</v>
      </c>
      <c r="Q29" s="13"/>
      <c r="R29" s="14"/>
      <c r="S29" s="771" t="s">
        <v>689</v>
      </c>
      <c r="T29" s="14"/>
      <c r="U29" s="779"/>
      <c r="V29" s="779"/>
      <c r="W29" s="779"/>
    </row>
    <row r="30">
      <c r="A30" s="34"/>
      <c r="F30" s="17"/>
      <c r="H30" s="817" t="s">
        <v>749</v>
      </c>
      <c r="I30" s="1210">
        <v>42.3075</v>
      </c>
      <c r="J30" s="819" t="s">
        <v>750</v>
      </c>
      <c r="K30" s="1210">
        <v>512.3438249999999</v>
      </c>
      <c r="L30" s="817" t="s">
        <v>751</v>
      </c>
      <c r="M30" s="1211">
        <v>12.11</v>
      </c>
      <c r="N30" s="1186">
        <v>-0.17128577797082872</v>
      </c>
      <c r="P30" s="1212">
        <v>228.06381322957196</v>
      </c>
      <c r="R30" s="17"/>
      <c r="S30" s="1181">
        <v>0.47861594524810946</v>
      </c>
      <c r="T30" s="14"/>
      <c r="U30" s="767"/>
      <c r="V30" s="767"/>
      <c r="W30" s="767"/>
    </row>
    <row r="31">
      <c r="A31" s="34"/>
      <c r="F31" s="17"/>
      <c r="H31" s="825" t="s">
        <v>754</v>
      </c>
      <c r="I31" s="826">
        <v>43.355000000000004</v>
      </c>
      <c r="J31" s="827" t="s">
        <v>755</v>
      </c>
      <c r="K31" s="1213">
        <v>525.02905</v>
      </c>
      <c r="L31" s="29"/>
      <c r="M31" s="87"/>
      <c r="N31" s="31"/>
      <c r="P31" s="29"/>
      <c r="Q31" s="30"/>
      <c r="R31" s="31"/>
      <c r="S31" s="30"/>
      <c r="T31" s="31"/>
      <c r="U31" s="767"/>
      <c r="V31" s="767"/>
      <c r="W31" s="767"/>
    </row>
    <row r="32">
      <c r="A32" s="34"/>
      <c r="F32" s="17"/>
      <c r="N32" s="799"/>
    </row>
    <row r="33">
      <c r="A33" s="34"/>
      <c r="F33" s="17"/>
      <c r="H33" s="1214" t="s">
        <v>980</v>
      </c>
      <c r="J33" s="799"/>
      <c r="M33" s="743"/>
      <c r="N33" s="799"/>
      <c r="O33" s="799"/>
    </row>
    <row r="34">
      <c r="A34" s="29"/>
      <c r="B34" s="30"/>
      <c r="C34" s="30"/>
      <c r="D34" s="30"/>
      <c r="E34" s="30"/>
      <c r="F34" s="31"/>
      <c r="H34" s="1215" t="s">
        <v>981</v>
      </c>
      <c r="J34" s="799"/>
      <c r="K34" s="111"/>
      <c r="N34" s="799"/>
      <c r="O34" s="799"/>
      <c r="P34" s="1216" t="s">
        <v>740</v>
      </c>
      <c r="Q34" s="806"/>
      <c r="R34" s="806"/>
      <c r="S34" s="807"/>
      <c r="T34" s="808"/>
    </row>
    <row r="35">
      <c r="A35" s="239" t="s">
        <v>771</v>
      </c>
      <c r="B35" s="13"/>
      <c r="C35" s="13"/>
      <c r="D35" s="13"/>
      <c r="E35" s="13"/>
      <c r="F35" s="14"/>
      <c r="H35" s="1215" t="s">
        <v>982</v>
      </c>
      <c r="J35" s="799"/>
      <c r="N35" s="799"/>
      <c r="O35" s="799"/>
      <c r="P35" s="1217" t="s">
        <v>744</v>
      </c>
      <c r="Q35" s="269"/>
      <c r="R35" s="269"/>
      <c r="S35" s="813"/>
      <c r="T35" s="814"/>
    </row>
    <row r="36">
      <c r="A36" s="34"/>
      <c r="F36" s="17"/>
      <c r="H36" s="799"/>
      <c r="I36" s="799"/>
      <c r="J36" s="799"/>
      <c r="K36" s="488"/>
      <c r="L36" s="488"/>
      <c r="M36" s="488"/>
      <c r="O36" s="799"/>
      <c r="P36" s="1217" t="s">
        <v>752</v>
      </c>
      <c r="Q36" s="269"/>
      <c r="R36" s="269"/>
      <c r="S36" s="813"/>
      <c r="T36" s="814"/>
    </row>
    <row r="37">
      <c r="A37" s="768" t="s">
        <v>780</v>
      </c>
      <c r="E37" s="255" t="s">
        <v>661</v>
      </c>
      <c r="H37" s="799"/>
      <c r="I37" s="799"/>
      <c r="J37" s="799"/>
      <c r="M37" s="743"/>
      <c r="N37" s="799"/>
      <c r="O37" s="799"/>
      <c r="P37" s="1217" t="s">
        <v>756</v>
      </c>
      <c r="Q37" s="269"/>
      <c r="R37" s="269"/>
      <c r="S37" s="813"/>
      <c r="T37" s="814"/>
    </row>
    <row r="38">
      <c r="A38" s="859" t="s">
        <v>785</v>
      </c>
      <c r="E38" s="860"/>
      <c r="I38" s="799"/>
      <c r="J38" s="799"/>
      <c r="M38" s="743"/>
      <c r="N38" s="799"/>
      <c r="O38" s="799"/>
      <c r="P38" s="1218" t="s">
        <v>760</v>
      </c>
      <c r="Q38" s="269"/>
      <c r="R38" s="269"/>
      <c r="S38" s="813"/>
      <c r="T38" s="814"/>
    </row>
    <row r="39">
      <c r="A39" s="859" t="s">
        <v>792</v>
      </c>
      <c r="E39" s="864"/>
      <c r="H39" s="799"/>
      <c r="I39" s="799"/>
      <c r="J39" s="799"/>
      <c r="K39" s="744"/>
      <c r="L39" s="799"/>
      <c r="M39" s="799"/>
      <c r="N39" s="799"/>
      <c r="O39" s="799"/>
      <c r="P39" s="1218" t="s">
        <v>764</v>
      </c>
      <c r="Q39" s="269"/>
      <c r="R39" s="269"/>
      <c r="S39" s="813"/>
      <c r="T39" s="814"/>
    </row>
    <row r="40">
      <c r="A40" s="870" t="s">
        <v>798</v>
      </c>
      <c r="E40" s="864"/>
      <c r="H40" s="799"/>
      <c r="I40" s="799"/>
      <c r="J40" s="799"/>
      <c r="K40" s="799"/>
      <c r="L40" s="799"/>
      <c r="M40" s="799"/>
      <c r="N40" s="799"/>
      <c r="O40" s="799"/>
      <c r="P40" s="1219" t="s">
        <v>768</v>
      </c>
      <c r="Q40" s="269"/>
      <c r="R40" s="269"/>
      <c r="S40" s="813"/>
      <c r="T40" s="814"/>
    </row>
    <row r="41">
      <c r="A41" s="870"/>
      <c r="E41" s="864"/>
      <c r="H41" s="799"/>
      <c r="I41" s="799"/>
      <c r="J41" s="799"/>
      <c r="L41" s="799"/>
      <c r="M41" s="799"/>
      <c r="N41" s="799"/>
      <c r="O41" s="799"/>
      <c r="P41" s="1218" t="s">
        <v>772</v>
      </c>
      <c r="Q41" s="269"/>
      <c r="R41" s="269"/>
      <c r="S41" s="813"/>
      <c r="T41" s="814"/>
    </row>
    <row r="42">
      <c r="A42" s="255" t="s">
        <v>803</v>
      </c>
      <c r="E42" s="786" t="e">
        <v>#DIV/0!</v>
      </c>
      <c r="H42" s="799"/>
      <c r="I42" s="799"/>
      <c r="J42" s="799"/>
      <c r="K42" s="799"/>
      <c r="L42" s="799"/>
      <c r="M42" s="799"/>
      <c r="N42" s="799"/>
      <c r="O42" s="799"/>
      <c r="P42" s="1218" t="s">
        <v>776</v>
      </c>
      <c r="Q42" s="269"/>
      <c r="R42" s="269"/>
      <c r="S42" s="269"/>
      <c r="T42" s="814"/>
    </row>
    <row r="43">
      <c r="H43" s="799"/>
      <c r="I43" s="799"/>
      <c r="J43" s="799"/>
      <c r="K43" s="799"/>
      <c r="L43" s="799"/>
      <c r="M43" s="799"/>
      <c r="N43" s="799"/>
      <c r="O43" s="799"/>
      <c r="P43" s="1218" t="s">
        <v>781</v>
      </c>
      <c r="Q43" s="269"/>
      <c r="R43" s="269"/>
      <c r="S43" s="269"/>
      <c r="T43" s="814"/>
    </row>
    <row r="44">
      <c r="H44" s="799"/>
      <c r="I44" s="799"/>
      <c r="J44" s="799"/>
      <c r="K44" s="799"/>
      <c r="L44" s="799"/>
      <c r="M44" s="799"/>
      <c r="N44" s="799"/>
      <c r="O44" s="799"/>
      <c r="P44" s="861" t="s">
        <v>787</v>
      </c>
      <c r="Q44" s="862"/>
      <c r="R44" s="862"/>
      <c r="S44" s="862"/>
      <c r="T44" s="863"/>
    </row>
    <row r="45" ht="17.25" customHeight="1">
      <c r="H45" s="799"/>
      <c r="I45" s="799"/>
      <c r="J45" s="799"/>
      <c r="K45" s="799"/>
      <c r="L45" s="799"/>
      <c r="M45" s="799"/>
      <c r="N45" s="799"/>
      <c r="O45" s="799"/>
    </row>
    <row r="46">
      <c r="A46" s="910" t="s">
        <v>826</v>
      </c>
      <c r="H46" s="911" t="s">
        <v>827</v>
      </c>
      <c r="I46" s="912" t="s">
        <v>828</v>
      </c>
      <c r="J46" s="913"/>
      <c r="K46" s="913"/>
      <c r="L46" s="799"/>
      <c r="M46" s="799"/>
      <c r="N46" s="799"/>
      <c r="O46" s="799"/>
    </row>
    <row r="47">
      <c r="A47" s="1220" t="s">
        <v>983</v>
      </c>
      <c r="B47" s="1221"/>
      <c r="C47" s="1221"/>
      <c r="D47" s="1221"/>
      <c r="E47" s="1221"/>
      <c r="F47" s="1221"/>
      <c r="G47" s="1221"/>
      <c r="H47" s="1222"/>
      <c r="I47" s="1223"/>
      <c r="J47" s="913"/>
      <c r="K47" s="913"/>
      <c r="L47" s="913"/>
      <c r="M47" s="913"/>
      <c r="N47" s="913"/>
      <c r="O47" s="913"/>
      <c r="P47" s="480"/>
      <c r="Q47" s="480"/>
      <c r="R47" s="480"/>
      <c r="S47" s="480"/>
      <c r="T47" s="480"/>
      <c r="U47" s="480"/>
      <c r="V47" s="480"/>
      <c r="W47" s="480"/>
      <c r="X47" s="480"/>
      <c r="Y47" s="480"/>
      <c r="Z47" s="480"/>
      <c r="AA47" s="480"/>
      <c r="AB47" s="480"/>
      <c r="AC47" s="480"/>
      <c r="AD47" s="480"/>
      <c r="AE47" s="480"/>
      <c r="AF47" s="480"/>
      <c r="AG47" s="480"/>
      <c r="AH47" s="480"/>
      <c r="AI47" s="480"/>
      <c r="AJ47" s="480"/>
      <c r="AK47" s="480"/>
      <c r="AL47" s="480"/>
      <c r="AM47" s="480"/>
      <c r="AN47" s="480"/>
      <c r="AO47" s="480"/>
      <c r="AP47" s="480"/>
      <c r="AQ47" s="480"/>
      <c r="AR47" s="480"/>
      <c r="AS47" s="480"/>
      <c r="AT47" s="480"/>
      <c r="AU47" s="480"/>
      <c r="AV47" s="480"/>
      <c r="AW47" s="480"/>
      <c r="AX47" s="480"/>
      <c r="AY47" s="480"/>
      <c r="AZ47" s="480"/>
      <c r="BA47" s="480"/>
      <c r="BB47" s="480"/>
      <c r="BC47" s="480"/>
      <c r="BD47" s="480"/>
      <c r="BE47" s="480"/>
      <c r="BF47" s="480"/>
      <c r="BG47" s="480"/>
    </row>
    <row r="48">
      <c r="A48" s="1224" t="s">
        <v>984</v>
      </c>
      <c r="B48" s="1224" t="s">
        <v>985</v>
      </c>
      <c r="C48" s="1225" t="s">
        <v>986</v>
      </c>
      <c r="D48" s="1224" t="s">
        <v>987</v>
      </c>
      <c r="E48" s="1224" t="s">
        <v>988</v>
      </c>
      <c r="F48" s="1224" t="s">
        <v>989</v>
      </c>
      <c r="G48" s="1224" t="s">
        <v>990</v>
      </c>
      <c r="H48" s="1226" t="s">
        <v>991</v>
      </c>
      <c r="I48" s="1227" t="s">
        <v>992</v>
      </c>
      <c r="J48" s="1226" t="s">
        <v>993</v>
      </c>
      <c r="K48" s="1226" t="s">
        <v>994</v>
      </c>
      <c r="L48" s="1226" t="s">
        <v>995</v>
      </c>
      <c r="M48" s="1226" t="s">
        <v>996</v>
      </c>
      <c r="N48" s="1226" t="s">
        <v>997</v>
      </c>
      <c r="O48" s="1226" t="s">
        <v>998</v>
      </c>
      <c r="P48" s="1228" t="s">
        <v>999</v>
      </c>
      <c r="Q48" s="1228" t="s">
        <v>1000</v>
      </c>
      <c r="R48" s="1228" t="s">
        <v>1001</v>
      </c>
      <c r="S48" s="1228" t="s">
        <v>1002</v>
      </c>
      <c r="T48" s="1229" t="s">
        <v>1003</v>
      </c>
      <c r="U48" s="1228" t="s">
        <v>1004</v>
      </c>
      <c r="V48" s="1228" t="s">
        <v>1005</v>
      </c>
      <c r="W48" s="1228" t="s">
        <v>1006</v>
      </c>
      <c r="X48" s="1228" t="s">
        <v>1007</v>
      </c>
      <c r="Y48" s="1228" t="s">
        <v>1008</v>
      </c>
      <c r="Z48" s="1228" t="s">
        <v>1009</v>
      </c>
      <c r="AA48" s="1228" t="s">
        <v>1010</v>
      </c>
      <c r="AB48" s="1228" t="s">
        <v>1011</v>
      </c>
      <c r="AC48" s="1229" t="s">
        <v>1012</v>
      </c>
      <c r="AD48" s="1228" t="s">
        <v>1013</v>
      </c>
      <c r="AE48" s="1228" t="s">
        <v>1014</v>
      </c>
      <c r="AF48" s="1228" t="s">
        <v>1015</v>
      </c>
      <c r="AG48" s="1228" t="s">
        <v>1016</v>
      </c>
      <c r="AH48" s="1228" t="s">
        <v>1017</v>
      </c>
      <c r="AI48" s="1228" t="s">
        <v>1018</v>
      </c>
      <c r="AJ48" s="1228" t="s">
        <v>1019</v>
      </c>
      <c r="AK48" s="1230"/>
      <c r="AL48" s="1230"/>
      <c r="AM48" s="1230"/>
      <c r="AN48" s="1230"/>
      <c r="AO48" s="1230"/>
      <c r="AP48" s="1230"/>
      <c r="AQ48" s="1230"/>
      <c r="AR48" s="1230"/>
      <c r="AS48" s="1230"/>
      <c r="AT48" s="1230"/>
      <c r="AU48" s="1230"/>
      <c r="AV48" s="1230"/>
      <c r="AW48" s="1230"/>
      <c r="AX48" s="1230"/>
      <c r="AY48" s="1230"/>
      <c r="AZ48" s="1230"/>
      <c r="BA48" s="1230"/>
      <c r="BB48" s="1230"/>
      <c r="BC48" s="1230"/>
      <c r="BD48" s="1230"/>
      <c r="BE48" s="1230"/>
      <c r="BF48" s="1230"/>
      <c r="BG48" s="1230"/>
    </row>
    <row r="49">
      <c r="A49" s="1224" t="s">
        <v>104</v>
      </c>
      <c r="B49" s="1224">
        <v>437.42</v>
      </c>
      <c r="C49" s="1225">
        <v>0.904</v>
      </c>
      <c r="D49" s="1224">
        <v>2.0048049E7</v>
      </c>
      <c r="E49" s="1224">
        <v>3.2521652096E12</v>
      </c>
      <c r="F49" s="1224">
        <v>3.32</v>
      </c>
      <c r="G49" s="1224" t="s">
        <v>1020</v>
      </c>
      <c r="H49" s="1226">
        <v>6.22</v>
      </c>
      <c r="I49" s="1227" t="s">
        <v>510</v>
      </c>
      <c r="J49" s="1226" t="s">
        <v>1021</v>
      </c>
      <c r="K49" s="1226">
        <v>789019.0</v>
      </c>
      <c r="L49" s="1226" t="s">
        <v>1022</v>
      </c>
      <c r="M49" s="1226">
        <v>5.94918104E8</v>
      </c>
      <c r="N49" s="1226" t="s">
        <v>1023</v>
      </c>
      <c r="O49" s="1226" t="s">
        <v>1024</v>
      </c>
      <c r="P49" s="1228" t="s">
        <v>1025</v>
      </c>
      <c r="Q49" s="1231" t="s">
        <v>1026</v>
      </c>
      <c r="R49" s="1228" t="s">
        <v>1027</v>
      </c>
      <c r="S49" s="1228" t="s">
        <v>1028</v>
      </c>
      <c r="T49" s="1229" t="s">
        <v>511</v>
      </c>
      <c r="U49" s="1228" t="s">
        <v>1029</v>
      </c>
      <c r="V49" s="1228">
        <v>228000.0</v>
      </c>
      <c r="W49" s="1228" t="s">
        <v>1030</v>
      </c>
      <c r="X49" s="1228" t="s">
        <v>1031</v>
      </c>
      <c r="Y49" s="1228" t="s">
        <v>1032</v>
      </c>
      <c r="Z49" s="1228" t="s">
        <v>1033</v>
      </c>
      <c r="AA49" s="1228" t="s">
        <v>1034</v>
      </c>
      <c r="AB49" s="1232">
        <v>53.54603</v>
      </c>
      <c r="AC49" s="1233">
        <v>384.00396512170886</v>
      </c>
      <c r="AD49" s="1231" t="s">
        <v>1035</v>
      </c>
      <c r="AE49" s="1234">
        <v>31484.0</v>
      </c>
      <c r="AF49" s="1228" t="b">
        <v>0</v>
      </c>
      <c r="AG49" s="1228" t="b">
        <v>0</v>
      </c>
      <c r="AH49" s="1228" t="b">
        <v>1</v>
      </c>
      <c r="AI49" s="1228" t="b">
        <v>0</v>
      </c>
      <c r="AJ49" s="1228" t="b">
        <v>0</v>
      </c>
      <c r="AK49" s="1230"/>
      <c r="AL49" s="1230"/>
      <c r="AM49" s="1230"/>
      <c r="AN49" s="1230"/>
      <c r="AO49" s="1230"/>
      <c r="AP49" s="1230"/>
      <c r="AQ49" s="1230"/>
      <c r="AR49" s="1230"/>
      <c r="AS49" s="1230"/>
      <c r="AT49" s="1230"/>
      <c r="AU49" s="1230"/>
      <c r="AV49" s="1230"/>
      <c r="AW49" s="1230"/>
      <c r="AX49" s="1230"/>
      <c r="AY49" s="1230"/>
      <c r="AZ49" s="1230"/>
      <c r="BA49" s="1230"/>
      <c r="BB49" s="1230"/>
      <c r="BC49" s="1230"/>
      <c r="BD49" s="1230"/>
      <c r="BE49" s="1230"/>
      <c r="BF49" s="1230"/>
      <c r="BG49" s="1230"/>
    </row>
    <row r="50">
      <c r="A50" s="1221"/>
      <c r="B50" s="1221"/>
      <c r="C50" s="1221"/>
      <c r="D50" s="1221"/>
      <c r="E50" s="1221"/>
      <c r="F50" s="1221"/>
      <c r="G50" s="1221"/>
      <c r="H50" s="1222"/>
      <c r="I50" s="1223"/>
      <c r="J50" s="913"/>
      <c r="K50" s="913"/>
      <c r="L50" s="913"/>
      <c r="M50" s="913"/>
      <c r="N50" s="913"/>
      <c r="O50" s="913"/>
      <c r="P50" s="480"/>
      <c r="Q50" s="480"/>
      <c r="R50" s="480"/>
      <c r="S50" s="480"/>
      <c r="T50" s="480"/>
      <c r="U50" s="480"/>
      <c r="V50" s="480"/>
      <c r="W50" s="480"/>
      <c r="X50" s="480"/>
      <c r="Y50" s="480"/>
      <c r="Z50" s="480"/>
      <c r="AA50" s="480"/>
      <c r="AB50" s="480"/>
      <c r="AC50" s="480"/>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c r="BE50" s="480"/>
      <c r="BF50" s="480"/>
      <c r="BG50" s="480"/>
    </row>
    <row r="51">
      <c r="A51" s="1220" t="s">
        <v>1036</v>
      </c>
      <c r="B51" s="480"/>
      <c r="C51" s="480"/>
      <c r="D51" s="480"/>
      <c r="E51" s="480"/>
      <c r="F51" s="480"/>
      <c r="G51" s="480"/>
      <c r="H51" s="913"/>
      <c r="I51" s="913"/>
      <c r="J51" s="913"/>
      <c r="K51" s="913"/>
      <c r="L51" s="913"/>
      <c r="M51" s="913"/>
      <c r="N51" s="913"/>
      <c r="O51" s="913"/>
      <c r="P51" s="913"/>
      <c r="Q51" s="913"/>
      <c r="R51" s="913"/>
      <c r="S51" s="913"/>
      <c r="T51" s="913"/>
      <c r="U51" s="913"/>
      <c r="V51" s="913"/>
      <c r="W51" s="913"/>
      <c r="X51" s="913"/>
      <c r="Y51" s="913"/>
      <c r="Z51" s="913"/>
      <c r="AA51" s="913"/>
      <c r="AB51" s="913"/>
      <c r="AC51" s="913"/>
      <c r="AD51" s="913"/>
      <c r="AE51" s="913"/>
      <c r="AF51" s="913"/>
      <c r="AG51" s="913"/>
      <c r="AH51" s="913"/>
      <c r="AI51" s="913"/>
      <c r="AJ51" s="913"/>
      <c r="AK51" s="913"/>
      <c r="AL51" s="913"/>
      <c r="AM51" s="913"/>
      <c r="AN51" s="913"/>
      <c r="AO51" s="913"/>
      <c r="AP51" s="913"/>
      <c r="AQ51" s="913"/>
      <c r="AR51" s="913"/>
      <c r="AS51" s="913"/>
      <c r="AT51" s="913"/>
      <c r="AU51" s="913"/>
      <c r="AV51" s="913"/>
      <c r="AW51" s="913"/>
      <c r="AX51" s="913"/>
      <c r="AY51" s="913"/>
      <c r="AZ51" s="913"/>
      <c r="BA51" s="913"/>
      <c r="BB51" s="913"/>
      <c r="BC51" s="913"/>
      <c r="BD51" s="913"/>
      <c r="BE51" s="913"/>
      <c r="BF51" s="913"/>
      <c r="BG51" s="913"/>
    </row>
    <row r="52">
      <c r="A52" s="1235" t="s">
        <v>1037</v>
      </c>
      <c r="B52" s="1220" t="s">
        <v>984</v>
      </c>
      <c r="C52" s="1220" t="s">
        <v>1038</v>
      </c>
      <c r="D52" s="1220" t="s">
        <v>994</v>
      </c>
      <c r="E52" s="1220" t="s">
        <v>1039</v>
      </c>
      <c r="F52" s="1220" t="s">
        <v>1040</v>
      </c>
      <c r="G52" s="1220" t="s">
        <v>1041</v>
      </c>
      <c r="H52" s="1236" t="s">
        <v>1042</v>
      </c>
      <c r="I52" s="1236" t="s">
        <v>1043</v>
      </c>
      <c r="J52" s="1236" t="s">
        <v>1044</v>
      </c>
      <c r="K52" s="1236" t="s">
        <v>1045</v>
      </c>
      <c r="L52" s="1236" t="s">
        <v>1046</v>
      </c>
      <c r="M52" s="1236" t="s">
        <v>1047</v>
      </c>
      <c r="N52" s="1236" t="s">
        <v>1048</v>
      </c>
      <c r="O52" s="1236" t="s">
        <v>1049</v>
      </c>
      <c r="P52" s="1236" t="s">
        <v>1050</v>
      </c>
      <c r="Q52" s="1236" t="s">
        <v>1051</v>
      </c>
      <c r="R52" s="1236" t="s">
        <v>1052</v>
      </c>
      <c r="S52" s="1236" t="s">
        <v>1053</v>
      </c>
      <c r="T52" s="1236" t="s">
        <v>1054</v>
      </c>
      <c r="U52" s="1236" t="s">
        <v>1055</v>
      </c>
      <c r="V52" s="1236" t="s">
        <v>1056</v>
      </c>
      <c r="W52" s="1236" t="s">
        <v>1057</v>
      </c>
      <c r="X52" s="1236" t="s">
        <v>1058</v>
      </c>
      <c r="Y52" s="1237" t="s">
        <v>1059</v>
      </c>
      <c r="Z52" s="1236" t="s">
        <v>1060</v>
      </c>
      <c r="AA52" s="1236" t="s">
        <v>1061</v>
      </c>
      <c r="AB52" s="1236" t="s">
        <v>1062</v>
      </c>
      <c r="AC52" s="1236" t="s">
        <v>1063</v>
      </c>
      <c r="AD52" s="1236" t="s">
        <v>1064</v>
      </c>
      <c r="AE52" s="1236" t="s">
        <v>1065</v>
      </c>
      <c r="AF52" s="1236" t="s">
        <v>1066</v>
      </c>
      <c r="AG52" s="1236" t="s">
        <v>1067</v>
      </c>
      <c r="AH52" s="1237" t="s">
        <v>1068</v>
      </c>
      <c r="AI52" s="1236" t="s">
        <v>1069</v>
      </c>
      <c r="AJ52" s="1236" t="s">
        <v>1070</v>
      </c>
      <c r="AK52" s="1236" t="s">
        <v>1071</v>
      </c>
      <c r="AL52" s="1236" t="s">
        <v>1072</v>
      </c>
      <c r="AM52" s="913"/>
      <c r="AN52" s="913"/>
      <c r="AO52" s="913"/>
      <c r="AP52" s="913"/>
      <c r="AQ52" s="913"/>
      <c r="AR52" s="913"/>
      <c r="AS52" s="913"/>
      <c r="AT52" s="913"/>
      <c r="AU52" s="913"/>
      <c r="AV52" s="913"/>
      <c r="AW52" s="913"/>
      <c r="AX52" s="913"/>
      <c r="AY52" s="913"/>
      <c r="AZ52" s="913"/>
      <c r="BA52" s="913"/>
      <c r="BB52" s="913"/>
      <c r="BC52" s="913"/>
      <c r="BD52" s="913"/>
      <c r="BE52" s="913"/>
      <c r="BF52" s="913"/>
      <c r="BG52" s="913"/>
    </row>
    <row r="53">
      <c r="A53" s="1238">
        <v>45473.0</v>
      </c>
      <c r="B53" s="1220" t="s">
        <v>104</v>
      </c>
      <c r="C53" s="1220" t="s">
        <v>1021</v>
      </c>
      <c r="D53" s="1220">
        <v>789019.0</v>
      </c>
      <c r="E53" s="1238">
        <v>45503.0</v>
      </c>
      <c r="F53" s="1239">
        <v>45503.67108796296</v>
      </c>
      <c r="G53" s="1220">
        <v>2024.0</v>
      </c>
      <c r="H53" s="1236" t="s">
        <v>1073</v>
      </c>
      <c r="I53" s="1240">
        <v>2.45122E11</v>
      </c>
      <c r="J53" s="1240">
        <v>7.4114E10</v>
      </c>
      <c r="K53" s="1240">
        <v>1.71008E11</v>
      </c>
      <c r="L53" s="1240">
        <v>0.6976444383</v>
      </c>
      <c r="M53" s="1240">
        <v>2.951E10</v>
      </c>
      <c r="N53" s="1240">
        <v>7.609E9</v>
      </c>
      <c r="O53" s="1240">
        <v>2.4456E10</v>
      </c>
      <c r="P53" s="1240">
        <v>3.2065E10</v>
      </c>
      <c r="Q53" s="1240">
        <v>0.0</v>
      </c>
      <c r="R53" s="1240">
        <v>6.1575E10</v>
      </c>
      <c r="S53" s="1240">
        <v>1.35689E11</v>
      </c>
      <c r="T53" s="1240">
        <v>3.157E9</v>
      </c>
      <c r="U53" s="1240">
        <v>2.935E9</v>
      </c>
      <c r="V53" s="1240">
        <v>2.2287E10</v>
      </c>
      <c r="W53" s="1240">
        <v>1.33009E11</v>
      </c>
      <c r="X53" s="1240">
        <v>0.5426236731</v>
      </c>
      <c r="Y53" s="1241">
        <v>1.09433E11</v>
      </c>
      <c r="Z53" s="1240">
        <v>0.4464429957</v>
      </c>
      <c r="AA53" s="1240">
        <v>-1.646E9</v>
      </c>
      <c r="AB53" s="1240">
        <v>1.07787E11</v>
      </c>
      <c r="AC53" s="1240">
        <v>0.4397279722</v>
      </c>
      <c r="AD53" s="1240">
        <v>1.9651E10</v>
      </c>
      <c r="AE53" s="1240">
        <v>8.8136E10</v>
      </c>
      <c r="AF53" s="1240">
        <v>0.3595597294</v>
      </c>
      <c r="AG53" s="1240">
        <v>11.86</v>
      </c>
      <c r="AH53" s="1241">
        <v>11.8</v>
      </c>
      <c r="AI53" s="1240">
        <v>7.431E9</v>
      </c>
      <c r="AJ53" s="1240">
        <v>7.469E9</v>
      </c>
      <c r="AK53" s="1242" t="s">
        <v>1074</v>
      </c>
      <c r="AL53" s="1242" t="s">
        <v>1075</v>
      </c>
      <c r="AM53" s="913"/>
      <c r="AN53" s="913"/>
      <c r="AO53" s="913"/>
      <c r="AP53" s="913"/>
      <c r="AQ53" s="913"/>
      <c r="AR53" s="913"/>
      <c r="AS53" s="913"/>
      <c r="AT53" s="913"/>
      <c r="AU53" s="913"/>
      <c r="AV53" s="913"/>
      <c r="AW53" s="913"/>
      <c r="AX53" s="913"/>
      <c r="AY53" s="913"/>
      <c r="AZ53" s="913"/>
      <c r="BA53" s="913"/>
      <c r="BB53" s="913"/>
      <c r="BC53" s="913"/>
      <c r="BD53" s="913"/>
      <c r="BE53" s="913"/>
      <c r="BF53" s="913"/>
      <c r="BG53" s="913"/>
    </row>
    <row r="54">
      <c r="A54" s="1238">
        <v>45107.0</v>
      </c>
      <c r="B54" s="1220" t="s">
        <v>104</v>
      </c>
      <c r="C54" s="1220" t="s">
        <v>1021</v>
      </c>
      <c r="D54" s="1220">
        <v>789019.0</v>
      </c>
      <c r="E54" s="1238">
        <v>45134.0</v>
      </c>
      <c r="F54" s="1239">
        <v>45134.66800925926</v>
      </c>
      <c r="G54" s="1220">
        <v>2023.0</v>
      </c>
      <c r="H54" s="1236" t="s">
        <v>1073</v>
      </c>
      <c r="I54" s="1240">
        <v>2.11915E11</v>
      </c>
      <c r="J54" s="1240">
        <v>6.5863E10</v>
      </c>
      <c r="K54" s="1240">
        <v>1.46052E11</v>
      </c>
      <c r="L54" s="1240">
        <v>0.6892008588</v>
      </c>
      <c r="M54" s="1240">
        <v>2.7195E10</v>
      </c>
      <c r="N54" s="1240">
        <v>7.575E9</v>
      </c>
      <c r="O54" s="1240">
        <v>2.2759E10</v>
      </c>
      <c r="P54" s="1240">
        <v>3.0334E10</v>
      </c>
      <c r="Q54" s="1240">
        <v>-2.23E8</v>
      </c>
      <c r="R54" s="1240">
        <v>5.7529E10</v>
      </c>
      <c r="S54" s="1240">
        <v>1.23392E11</v>
      </c>
      <c r="T54" s="1240">
        <v>2.994E9</v>
      </c>
      <c r="U54" s="1240">
        <v>1.968E9</v>
      </c>
      <c r="V54" s="1240">
        <v>1.3861E10</v>
      </c>
      <c r="W54" s="1240">
        <v>1.0514E11</v>
      </c>
      <c r="X54" s="1240">
        <v>0.4962131043</v>
      </c>
      <c r="Y54" s="1240">
        <v>8.8523E10</v>
      </c>
      <c r="Z54" s="1240">
        <v>0.4177288064</v>
      </c>
      <c r="AA54" s="1240">
        <v>7.88E8</v>
      </c>
      <c r="AB54" s="1240">
        <v>8.9311E10</v>
      </c>
      <c r="AC54" s="1240">
        <v>0.4214472784</v>
      </c>
      <c r="AD54" s="1240">
        <v>1.695E10</v>
      </c>
      <c r="AE54" s="1240">
        <v>7.2361E10</v>
      </c>
      <c r="AF54" s="1240">
        <v>0.3414623788</v>
      </c>
      <c r="AG54" s="1240">
        <v>9.72</v>
      </c>
      <c r="AH54" s="1240">
        <v>9.68</v>
      </c>
      <c r="AI54" s="1240">
        <v>7.446E9</v>
      </c>
      <c r="AJ54" s="1240">
        <v>7.472E9</v>
      </c>
      <c r="AK54" s="1242" t="s">
        <v>1076</v>
      </c>
      <c r="AL54" s="1242" t="s">
        <v>1077</v>
      </c>
      <c r="AM54" s="913"/>
      <c r="AN54" s="913"/>
      <c r="AO54" s="913"/>
      <c r="AP54" s="913"/>
      <c r="AQ54" s="913"/>
      <c r="AR54" s="913"/>
      <c r="AS54" s="913"/>
      <c r="AT54" s="913"/>
      <c r="AU54" s="913"/>
      <c r="AV54" s="913"/>
      <c r="AW54" s="913"/>
      <c r="AX54" s="913"/>
      <c r="AY54" s="913"/>
      <c r="AZ54" s="913"/>
      <c r="BA54" s="913"/>
      <c r="BB54" s="913"/>
      <c r="BC54" s="913"/>
      <c r="BD54" s="913"/>
      <c r="BE54" s="913"/>
      <c r="BF54" s="913"/>
      <c r="BG54" s="913"/>
    </row>
    <row r="55">
      <c r="A55" s="1238">
        <v>44742.0</v>
      </c>
      <c r="B55" s="1220" t="s">
        <v>104</v>
      </c>
      <c r="C55" s="1220" t="s">
        <v>1021</v>
      </c>
      <c r="D55" s="1220">
        <v>789019.0</v>
      </c>
      <c r="E55" s="1238">
        <v>44770.0</v>
      </c>
      <c r="F55" s="1239">
        <v>44770.67105324074</v>
      </c>
      <c r="G55" s="1220">
        <v>2022.0</v>
      </c>
      <c r="H55" s="1236" t="s">
        <v>1073</v>
      </c>
      <c r="I55" s="1240">
        <v>1.9827E11</v>
      </c>
      <c r="J55" s="1240">
        <v>6.265E10</v>
      </c>
      <c r="K55" s="1240">
        <v>1.3562E11</v>
      </c>
      <c r="L55" s="1240">
        <v>0.6840167448</v>
      </c>
      <c r="M55" s="1240">
        <v>2.4512E10</v>
      </c>
      <c r="N55" s="1240">
        <v>5.9E9</v>
      </c>
      <c r="O55" s="1240">
        <v>2.1825E10</v>
      </c>
      <c r="P55" s="1240">
        <v>2.7725E10</v>
      </c>
      <c r="Q55" s="1240">
        <v>-3.2E7</v>
      </c>
      <c r="R55" s="1240">
        <v>5.2237E10</v>
      </c>
      <c r="S55" s="1240">
        <v>1.14887E11</v>
      </c>
      <c r="T55" s="1240">
        <v>2.094E9</v>
      </c>
      <c r="U55" s="1240">
        <v>2.063E9</v>
      </c>
      <c r="V55" s="1240">
        <v>1.446E10</v>
      </c>
      <c r="W55" s="1240">
        <v>1.00239E11</v>
      </c>
      <c r="X55" s="1240">
        <v>0.5038835931</v>
      </c>
      <c r="Y55" s="1240">
        <v>8.3383E10</v>
      </c>
      <c r="Z55" s="1240">
        <v>0.4205527816</v>
      </c>
      <c r="AA55" s="1240">
        <v>3.33E8</v>
      </c>
      <c r="AB55" s="1240">
        <v>8.3716E10</v>
      </c>
      <c r="AC55" s="1240">
        <v>0.4222323095</v>
      </c>
      <c r="AD55" s="1240">
        <v>1.0978E10</v>
      </c>
      <c r="AE55" s="1240">
        <v>7.2738E10</v>
      </c>
      <c r="AF55" s="1240">
        <v>0.3668633681</v>
      </c>
      <c r="AG55" s="1240">
        <v>9.7</v>
      </c>
      <c r="AH55" s="1240">
        <v>9.65</v>
      </c>
      <c r="AI55" s="1240">
        <v>7.496E9</v>
      </c>
      <c r="AJ55" s="1240">
        <v>7.54E9</v>
      </c>
      <c r="AK55" s="1242" t="s">
        <v>1078</v>
      </c>
      <c r="AL55" s="1242" t="s">
        <v>1079</v>
      </c>
      <c r="AM55" s="913"/>
      <c r="AN55" s="913"/>
      <c r="AO55" s="913"/>
      <c r="AP55" s="913"/>
      <c r="AQ55" s="913"/>
      <c r="AR55" s="913"/>
      <c r="AS55" s="913"/>
      <c r="AT55" s="913"/>
      <c r="AU55" s="913"/>
      <c r="AV55" s="913"/>
      <c r="AW55" s="913"/>
      <c r="AX55" s="913"/>
      <c r="AY55" s="913"/>
      <c r="AZ55" s="913"/>
      <c r="BA55" s="913"/>
      <c r="BB55" s="913"/>
      <c r="BC55" s="913"/>
      <c r="BD55" s="913"/>
      <c r="BE55" s="913"/>
      <c r="BF55" s="913"/>
      <c r="BG55" s="913"/>
    </row>
    <row r="56">
      <c r="A56" s="1238">
        <v>44377.0</v>
      </c>
      <c r="B56" s="1220" t="s">
        <v>104</v>
      </c>
      <c r="C56" s="1220" t="s">
        <v>1021</v>
      </c>
      <c r="D56" s="1220">
        <v>789019.0</v>
      </c>
      <c r="E56" s="1238">
        <v>44406.0</v>
      </c>
      <c r="F56" s="1239">
        <v>44406.68188657407</v>
      </c>
      <c r="G56" s="1220">
        <v>2021.0</v>
      </c>
      <c r="H56" s="1236" t="s">
        <v>1073</v>
      </c>
      <c r="I56" s="1240">
        <v>1.68088E11</v>
      </c>
      <c r="J56" s="1240">
        <v>5.2232E10</v>
      </c>
      <c r="K56" s="1240">
        <v>1.15856E11</v>
      </c>
      <c r="L56" s="1240">
        <v>0.6892580077</v>
      </c>
      <c r="M56" s="1240">
        <v>2.0716E10</v>
      </c>
      <c r="N56" s="1240">
        <v>5.107E9</v>
      </c>
      <c r="O56" s="1240">
        <v>2.0117E10</v>
      </c>
      <c r="P56" s="1240">
        <v>2.5224E10</v>
      </c>
      <c r="Q56" s="1240">
        <v>9.8E7</v>
      </c>
      <c r="R56" s="1240">
        <v>4.594E10</v>
      </c>
      <c r="S56" s="1240">
        <v>9.8172E10</v>
      </c>
      <c r="T56" s="1240">
        <v>2.131E9</v>
      </c>
      <c r="U56" s="1240">
        <v>2.346E9</v>
      </c>
      <c r="V56" s="1240">
        <v>1.09E10</v>
      </c>
      <c r="W56" s="1240">
        <v>8.4348E10</v>
      </c>
      <c r="X56" s="1240">
        <v>0.4987328066</v>
      </c>
      <c r="Y56" s="1240">
        <v>6.9916E10</v>
      </c>
      <c r="Z56" s="1240">
        <v>0.4159487887</v>
      </c>
      <c r="AA56" s="1240">
        <v>1.186E9</v>
      </c>
      <c r="AB56" s="1240">
        <v>7.1102E10</v>
      </c>
      <c r="AC56" s="1240">
        <v>0.4230046166</v>
      </c>
      <c r="AD56" s="1240">
        <v>9.831E9</v>
      </c>
      <c r="AE56" s="1240">
        <v>6.1271E10</v>
      </c>
      <c r="AF56" s="1240">
        <v>0.3645173956</v>
      </c>
      <c r="AG56" s="1240">
        <v>8.12</v>
      </c>
      <c r="AH56" s="1240">
        <v>8.05</v>
      </c>
      <c r="AI56" s="1240">
        <v>7.547E9</v>
      </c>
      <c r="AJ56" s="1240">
        <v>7.608E9</v>
      </c>
      <c r="AK56" s="1242" t="s">
        <v>1080</v>
      </c>
      <c r="AL56" s="1242" t="s">
        <v>1081</v>
      </c>
      <c r="AM56" s="913"/>
      <c r="AN56" s="913"/>
      <c r="AO56" s="913"/>
      <c r="AP56" s="913"/>
      <c r="AQ56" s="913"/>
      <c r="AR56" s="913"/>
      <c r="AS56" s="913"/>
      <c r="AT56" s="913"/>
      <c r="AU56" s="913"/>
      <c r="AV56" s="913"/>
      <c r="AW56" s="913"/>
      <c r="AX56" s="913"/>
      <c r="AY56" s="913"/>
      <c r="AZ56" s="913"/>
      <c r="BA56" s="913"/>
      <c r="BB56" s="913"/>
      <c r="BC56" s="913"/>
      <c r="BD56" s="913"/>
      <c r="BE56" s="913"/>
      <c r="BF56" s="913"/>
      <c r="BG56" s="913"/>
    </row>
    <row r="57">
      <c r="A57" s="1238">
        <v>44012.0</v>
      </c>
      <c r="B57" s="1220" t="s">
        <v>104</v>
      </c>
      <c r="C57" s="1220" t="s">
        <v>1021</v>
      </c>
      <c r="D57" s="1220">
        <v>789019.0</v>
      </c>
      <c r="E57" s="1238">
        <v>44042.0</v>
      </c>
      <c r="F57" s="1239">
        <v>44042.8644212963</v>
      </c>
      <c r="G57" s="1220">
        <v>2020.0</v>
      </c>
      <c r="H57" s="1236" t="s">
        <v>1073</v>
      </c>
      <c r="I57" s="1240">
        <v>1.43015E11</v>
      </c>
      <c r="J57" s="1240">
        <v>4.6078E10</v>
      </c>
      <c r="K57" s="1240">
        <v>9.6937E10</v>
      </c>
      <c r="L57" s="1240">
        <v>0.6778100199</v>
      </c>
      <c r="M57" s="1240">
        <v>1.9269E10</v>
      </c>
      <c r="N57" s="1240">
        <v>5.111E9</v>
      </c>
      <c r="O57" s="1240">
        <v>1.9598E10</v>
      </c>
      <c r="P57" s="1240">
        <v>2.4709E10</v>
      </c>
      <c r="Q57" s="1240">
        <v>-4.0E7</v>
      </c>
      <c r="R57" s="1240">
        <v>4.3978E10</v>
      </c>
      <c r="S57" s="1240">
        <v>9.0056E10</v>
      </c>
      <c r="T57" s="1240">
        <v>2.68E9</v>
      </c>
      <c r="U57" s="1240">
        <v>2.591E9</v>
      </c>
      <c r="V57" s="1240">
        <v>1.23E10</v>
      </c>
      <c r="W57" s="1240">
        <v>6.7927E10</v>
      </c>
      <c r="X57" s="1240">
        <v>0.4782365486</v>
      </c>
      <c r="Y57" s="1240">
        <v>5.2959E10</v>
      </c>
      <c r="Z57" s="1240">
        <v>0.3703038143</v>
      </c>
      <c r="AA57" s="1240">
        <v>7.7E7</v>
      </c>
      <c r="AB57" s="1240">
        <v>5.3036E10</v>
      </c>
      <c r="AC57" s="1240">
        <v>0.3708422193</v>
      </c>
      <c r="AD57" s="1240">
        <v>8.755E9</v>
      </c>
      <c r="AE57" s="1240">
        <v>4.4281E10</v>
      </c>
      <c r="AF57" s="1240">
        <v>0.3096248645</v>
      </c>
      <c r="AG57" s="1240">
        <v>5.82</v>
      </c>
      <c r="AH57" s="1240">
        <v>5.76</v>
      </c>
      <c r="AI57" s="1240">
        <v>7.61E9</v>
      </c>
      <c r="AJ57" s="1240">
        <v>7.683E9</v>
      </c>
      <c r="AK57" s="1242" t="s">
        <v>1082</v>
      </c>
      <c r="AL57" s="1242" t="s">
        <v>1083</v>
      </c>
      <c r="AM57" s="913"/>
      <c r="AN57" s="913"/>
      <c r="AO57" s="913"/>
      <c r="AP57" s="913"/>
      <c r="AQ57" s="913"/>
      <c r="AR57" s="913"/>
      <c r="AS57" s="913"/>
      <c r="AT57" s="913"/>
      <c r="AU57" s="913"/>
      <c r="AV57" s="913"/>
      <c r="AW57" s="913"/>
      <c r="AX57" s="913"/>
      <c r="AY57" s="913"/>
      <c r="AZ57" s="913"/>
      <c r="BA57" s="913"/>
      <c r="BB57" s="913"/>
      <c r="BC57" s="913"/>
      <c r="BD57" s="913"/>
      <c r="BE57" s="913"/>
      <c r="BF57" s="913"/>
      <c r="BG57" s="913"/>
    </row>
    <row r="58">
      <c r="A58" s="480"/>
      <c r="B58" s="480"/>
      <c r="C58" s="480"/>
      <c r="D58" s="480"/>
      <c r="E58" s="480"/>
      <c r="F58" s="480"/>
      <c r="G58" s="480"/>
      <c r="H58" s="913"/>
      <c r="I58" s="913"/>
      <c r="J58" s="913"/>
      <c r="K58" s="913"/>
      <c r="L58" s="913"/>
      <c r="M58" s="913"/>
      <c r="N58" s="913"/>
      <c r="O58" s="913"/>
      <c r="P58" s="913"/>
      <c r="Q58" s="913"/>
      <c r="R58" s="913"/>
      <c r="S58" s="913"/>
      <c r="T58" s="913"/>
      <c r="U58" s="913"/>
      <c r="V58" s="913"/>
      <c r="W58" s="913"/>
      <c r="X58" s="913"/>
      <c r="Y58" s="913"/>
      <c r="Z58" s="913"/>
      <c r="AA58" s="913"/>
      <c r="AB58" s="913"/>
      <c r="AC58" s="913"/>
      <c r="AD58" s="913"/>
      <c r="AE58" s="913"/>
      <c r="AF58" s="913"/>
      <c r="AG58" s="913"/>
      <c r="AH58" s="913"/>
      <c r="AI58" s="913"/>
      <c r="AJ58" s="913"/>
      <c r="AK58" s="913"/>
      <c r="AL58" s="913"/>
      <c r="AM58" s="913"/>
      <c r="AN58" s="913"/>
      <c r="AO58" s="913"/>
      <c r="AP58" s="913"/>
      <c r="AQ58" s="913"/>
      <c r="AR58" s="913"/>
      <c r="AS58" s="913"/>
      <c r="AT58" s="913"/>
      <c r="AU58" s="913"/>
      <c r="AV58" s="913"/>
      <c r="AW58" s="913"/>
      <c r="AX58" s="913"/>
      <c r="AY58" s="913"/>
      <c r="AZ58" s="913"/>
      <c r="BA58" s="913"/>
      <c r="BB58" s="913"/>
      <c r="BC58" s="913"/>
      <c r="BD58" s="913"/>
      <c r="BE58" s="913"/>
      <c r="BF58" s="913"/>
      <c r="BG58" s="913"/>
    </row>
    <row r="59">
      <c r="A59" s="1220" t="s">
        <v>1084</v>
      </c>
      <c r="B59" s="480"/>
      <c r="C59" s="480"/>
      <c r="D59" s="480"/>
      <c r="E59" s="480"/>
      <c r="F59" s="480"/>
      <c r="G59" s="480"/>
      <c r="H59" s="913"/>
      <c r="I59" s="913"/>
      <c r="J59" s="913"/>
      <c r="K59" s="913"/>
      <c r="L59" s="913"/>
      <c r="M59" s="913"/>
      <c r="N59" s="913"/>
      <c r="O59" s="913"/>
      <c r="P59" s="913"/>
      <c r="Q59" s="913"/>
      <c r="R59" s="913"/>
      <c r="S59" s="913"/>
      <c r="T59" s="913"/>
      <c r="U59" s="913"/>
      <c r="V59" s="913"/>
      <c r="W59" s="913"/>
      <c r="X59" s="913"/>
      <c r="Y59" s="913"/>
      <c r="Z59" s="913"/>
      <c r="AA59" s="913"/>
      <c r="AB59" s="913"/>
      <c r="AC59" s="913"/>
      <c r="AD59" s="913"/>
      <c r="AE59" s="913"/>
      <c r="AF59" s="913"/>
      <c r="AG59" s="913"/>
      <c r="AH59" s="913"/>
      <c r="AI59" s="913"/>
      <c r="AJ59" s="913"/>
      <c r="AK59" s="913"/>
      <c r="AL59" s="913"/>
      <c r="AM59" s="913"/>
      <c r="AN59" s="913"/>
      <c r="AO59" s="913"/>
      <c r="AP59" s="913"/>
      <c r="AQ59" s="913"/>
      <c r="AR59" s="913"/>
      <c r="AS59" s="913"/>
      <c r="AT59" s="913"/>
      <c r="AU59" s="913"/>
      <c r="AV59" s="913"/>
      <c r="AW59" s="913"/>
      <c r="AX59" s="913"/>
      <c r="AY59" s="913"/>
      <c r="AZ59" s="913"/>
      <c r="BA59" s="913"/>
      <c r="BB59" s="913"/>
      <c r="BC59" s="913"/>
      <c r="BD59" s="913"/>
      <c r="BE59" s="913"/>
      <c r="BF59" s="913"/>
      <c r="BG59" s="913"/>
    </row>
    <row r="60">
      <c r="A60" s="1243" t="s">
        <v>1037</v>
      </c>
      <c r="B60" s="1220" t="s">
        <v>984</v>
      </c>
      <c r="C60" s="1220" t="s">
        <v>1038</v>
      </c>
      <c r="D60" s="1220" t="s">
        <v>994</v>
      </c>
      <c r="E60" s="1220" t="s">
        <v>1039</v>
      </c>
      <c r="F60" s="1220" t="s">
        <v>1040</v>
      </c>
      <c r="G60" s="1220" t="s">
        <v>1041</v>
      </c>
      <c r="H60" s="1236" t="s">
        <v>1042</v>
      </c>
      <c r="I60" s="1237" t="s">
        <v>1085</v>
      </c>
      <c r="J60" s="1236" t="s">
        <v>1086</v>
      </c>
      <c r="K60" s="1236" t="s">
        <v>1087</v>
      </c>
      <c r="L60" s="1236" t="s">
        <v>1088</v>
      </c>
      <c r="M60" s="1236" t="s">
        <v>1089</v>
      </c>
      <c r="N60" s="1236" t="s">
        <v>1090</v>
      </c>
      <c r="O60" s="1236" t="s">
        <v>1091</v>
      </c>
      <c r="P60" s="1236" t="s">
        <v>1092</v>
      </c>
      <c r="Q60" s="1236" t="s">
        <v>1093</v>
      </c>
      <c r="R60" s="1236" t="s">
        <v>1094</v>
      </c>
      <c r="S60" s="1236" t="s">
        <v>1095</v>
      </c>
      <c r="T60" s="1236" t="s">
        <v>1096</v>
      </c>
      <c r="U60" s="1236" t="s">
        <v>1097</v>
      </c>
      <c r="V60" s="1236" t="s">
        <v>1098</v>
      </c>
      <c r="W60" s="1236" t="s">
        <v>1099</v>
      </c>
      <c r="X60" s="1236" t="s">
        <v>1100</v>
      </c>
      <c r="Y60" s="1236" t="s">
        <v>1101</v>
      </c>
      <c r="Z60" s="1236" t="s">
        <v>1102</v>
      </c>
      <c r="AA60" s="1236" t="s">
        <v>1103</v>
      </c>
      <c r="AB60" s="1236" t="s">
        <v>1104</v>
      </c>
      <c r="AC60" s="1236" t="s">
        <v>1105</v>
      </c>
      <c r="AD60" s="1236" t="s">
        <v>1106</v>
      </c>
      <c r="AE60" s="1236" t="s">
        <v>1107</v>
      </c>
      <c r="AF60" s="1236" t="s">
        <v>1108</v>
      </c>
      <c r="AG60" s="1236" t="s">
        <v>1109</v>
      </c>
      <c r="AH60" s="1236" t="s">
        <v>1110</v>
      </c>
      <c r="AI60" s="1236" t="s">
        <v>1111</v>
      </c>
      <c r="AJ60" s="1236" t="s">
        <v>1112</v>
      </c>
      <c r="AK60" s="1236" t="s">
        <v>1113</v>
      </c>
      <c r="AL60" s="1236" t="s">
        <v>1114</v>
      </c>
      <c r="AM60" s="1236" t="s">
        <v>1115</v>
      </c>
      <c r="AN60" s="1236" t="s">
        <v>1116</v>
      </c>
      <c r="AO60" s="1236" t="s">
        <v>1117</v>
      </c>
      <c r="AP60" s="1236" t="s">
        <v>1118</v>
      </c>
      <c r="AQ60" s="1236" t="s">
        <v>1119</v>
      </c>
      <c r="AR60" s="1236" t="s">
        <v>1120</v>
      </c>
      <c r="AS60" s="1236" t="s">
        <v>1121</v>
      </c>
      <c r="AT60" s="1236" t="s">
        <v>1122</v>
      </c>
      <c r="AU60" s="1236" t="s">
        <v>1123</v>
      </c>
      <c r="AV60" s="1236" t="s">
        <v>1124</v>
      </c>
      <c r="AW60" s="1236" t="s">
        <v>1125</v>
      </c>
      <c r="AX60" s="1236" t="s">
        <v>1126</v>
      </c>
      <c r="AY60" s="1237" t="s">
        <v>1127</v>
      </c>
      <c r="AZ60" s="1236" t="s">
        <v>1128</v>
      </c>
      <c r="BA60" s="1236" t="s">
        <v>1071</v>
      </c>
      <c r="BB60" s="1236" t="s">
        <v>1072</v>
      </c>
      <c r="BC60" s="913"/>
      <c r="BD60" s="913"/>
      <c r="BE60" s="913"/>
      <c r="BF60" s="913"/>
      <c r="BG60" s="913"/>
    </row>
    <row r="61">
      <c r="A61" s="1238">
        <v>45473.0</v>
      </c>
      <c r="B61" s="1220" t="s">
        <v>104</v>
      </c>
      <c r="C61" s="1220" t="s">
        <v>1021</v>
      </c>
      <c r="D61" s="1220">
        <v>789019.0</v>
      </c>
      <c r="E61" s="1238">
        <v>45503.0</v>
      </c>
      <c r="F61" s="1239">
        <v>45503.67108796296</v>
      </c>
      <c r="G61" s="1220">
        <v>2024.0</v>
      </c>
      <c r="H61" s="1236" t="s">
        <v>1073</v>
      </c>
      <c r="I61" s="1241">
        <v>1.8315E10</v>
      </c>
      <c r="J61" s="1240">
        <v>5.7216E10</v>
      </c>
      <c r="K61" s="1240">
        <v>7.5531E10</v>
      </c>
      <c r="L61" s="1240">
        <v>5.6924E10</v>
      </c>
      <c r="M61" s="1240">
        <v>1.246E9</v>
      </c>
      <c r="N61" s="1240">
        <v>2.6033E10</v>
      </c>
      <c r="O61" s="1240">
        <v>1.59734E11</v>
      </c>
      <c r="P61" s="1240">
        <v>1.54552E11</v>
      </c>
      <c r="Q61" s="1240">
        <v>1.1922E11</v>
      </c>
      <c r="R61" s="1240">
        <v>2.7597E10</v>
      </c>
      <c r="S61" s="1240">
        <v>1.46817E11</v>
      </c>
      <c r="T61" s="1240">
        <v>1.46E10</v>
      </c>
      <c r="U61" s="1240">
        <v>0.0</v>
      </c>
      <c r="V61" s="1240">
        <v>3.646E10</v>
      </c>
      <c r="W61" s="1240">
        <v>3.52429E11</v>
      </c>
      <c r="X61" s="1240">
        <v>0.0</v>
      </c>
      <c r="Y61" s="1240">
        <v>5.12163E11</v>
      </c>
      <c r="Z61" s="1240">
        <v>2.1996E10</v>
      </c>
      <c r="AA61" s="1240">
        <v>1.4871E10</v>
      </c>
      <c r="AB61" s="1240">
        <v>5.017E9</v>
      </c>
      <c r="AC61" s="1240">
        <v>5.7582E10</v>
      </c>
      <c r="AD61" s="1240">
        <v>2.582E10</v>
      </c>
      <c r="AE61" s="1240">
        <v>1.25286E11</v>
      </c>
      <c r="AF61" s="1240">
        <v>8.2981E10</v>
      </c>
      <c r="AG61" s="1240">
        <v>2.602E9</v>
      </c>
      <c r="AH61" s="1240">
        <v>2.618E9</v>
      </c>
      <c r="AI61" s="1240">
        <v>3.0199E10</v>
      </c>
      <c r="AJ61" s="1240">
        <v>1.184E11</v>
      </c>
      <c r="AK61" s="1240">
        <v>0.0</v>
      </c>
      <c r="AL61" s="1240">
        <v>4.6222E10</v>
      </c>
      <c r="AM61" s="1240">
        <v>2.43686E11</v>
      </c>
      <c r="AN61" s="1240">
        <v>0.0</v>
      </c>
      <c r="AO61" s="1240">
        <v>1.00923E11</v>
      </c>
      <c r="AP61" s="1240">
        <v>1.73144E11</v>
      </c>
      <c r="AQ61" s="1240">
        <v>-5.59E9</v>
      </c>
      <c r="AR61" s="1240">
        <v>0.0</v>
      </c>
      <c r="AS61" s="1240">
        <v>2.68477E11</v>
      </c>
      <c r="AT61" s="1240">
        <v>2.68477E11</v>
      </c>
      <c r="AU61" s="1240">
        <v>5.12163E11</v>
      </c>
      <c r="AV61" s="1240">
        <v>0.0</v>
      </c>
      <c r="AW61" s="1240">
        <v>5.12163E11</v>
      </c>
      <c r="AX61" s="1240">
        <v>7.1816E10</v>
      </c>
      <c r="AY61" s="1241">
        <v>9.7852E10</v>
      </c>
      <c r="AZ61" s="1240">
        <v>7.9537E10</v>
      </c>
      <c r="BA61" s="1242" t="s">
        <v>1074</v>
      </c>
      <c r="BB61" s="1242" t="s">
        <v>1075</v>
      </c>
      <c r="BC61" s="913"/>
      <c r="BD61" s="913"/>
      <c r="BE61" s="913"/>
      <c r="BF61" s="913"/>
      <c r="BG61" s="913"/>
    </row>
    <row r="62">
      <c r="A62" s="1238">
        <v>45107.0</v>
      </c>
      <c r="B62" s="1220" t="s">
        <v>104</v>
      </c>
      <c r="C62" s="1220" t="s">
        <v>1021</v>
      </c>
      <c r="D62" s="1220">
        <v>789019.0</v>
      </c>
      <c r="E62" s="1238">
        <v>45134.0</v>
      </c>
      <c r="F62" s="1239">
        <v>45134.66800925926</v>
      </c>
      <c r="G62" s="1220">
        <v>2023.0</v>
      </c>
      <c r="H62" s="1236" t="s">
        <v>1073</v>
      </c>
      <c r="I62" s="1240">
        <v>3.4704E10</v>
      </c>
      <c r="J62" s="1240">
        <v>7.6552E10</v>
      </c>
      <c r="K62" s="1240">
        <v>1.11256E11</v>
      </c>
      <c r="L62" s="1240">
        <v>4.8688E10</v>
      </c>
      <c r="M62" s="1240">
        <v>2.5E9</v>
      </c>
      <c r="N62" s="1240">
        <v>2.1813E10</v>
      </c>
      <c r="O62" s="1240">
        <v>1.84257E11</v>
      </c>
      <c r="P62" s="1240">
        <v>1.09987E11</v>
      </c>
      <c r="Q62" s="1240">
        <v>6.7886E10</v>
      </c>
      <c r="R62" s="1240">
        <v>9.366E9</v>
      </c>
      <c r="S62" s="1240">
        <v>7.7252E10</v>
      </c>
      <c r="T62" s="1240">
        <v>9.879E9</v>
      </c>
      <c r="U62" s="1240">
        <v>0.0</v>
      </c>
      <c r="V62" s="1240">
        <v>3.0601E10</v>
      </c>
      <c r="W62" s="1240">
        <v>2.27719E11</v>
      </c>
      <c r="X62" s="1240">
        <v>0.0</v>
      </c>
      <c r="Y62" s="1240">
        <v>4.11976E11</v>
      </c>
      <c r="Z62" s="1240">
        <v>1.8095E10</v>
      </c>
      <c r="AA62" s="1240">
        <v>8.853E9</v>
      </c>
      <c r="AB62" s="1240">
        <v>4.152E9</v>
      </c>
      <c r="AC62" s="1240">
        <v>5.0901E10</v>
      </c>
      <c r="AD62" s="1240">
        <v>2.2148E10</v>
      </c>
      <c r="AE62" s="1240">
        <v>1.04149E11</v>
      </c>
      <c r="AF62" s="1240">
        <v>7.0588E10</v>
      </c>
      <c r="AG62" s="1240">
        <v>2.912E9</v>
      </c>
      <c r="AH62" s="1240">
        <v>4.33E8</v>
      </c>
      <c r="AI62" s="1240">
        <v>2.7671E10</v>
      </c>
      <c r="AJ62" s="1240">
        <v>1.01604E11</v>
      </c>
      <c r="AK62" s="1240">
        <v>0.0</v>
      </c>
      <c r="AL62" s="1240">
        <v>3.2204E10</v>
      </c>
      <c r="AM62" s="1240">
        <v>2.05753E11</v>
      </c>
      <c r="AN62" s="1240">
        <v>0.0</v>
      </c>
      <c r="AO62" s="1240">
        <v>9.3718E10</v>
      </c>
      <c r="AP62" s="1240">
        <v>1.18848E11</v>
      </c>
      <c r="AQ62" s="1240">
        <v>-6.343E9</v>
      </c>
      <c r="AR62" s="1240">
        <v>0.0</v>
      </c>
      <c r="AS62" s="1240">
        <v>2.06223E11</v>
      </c>
      <c r="AT62" s="1240">
        <v>2.06223E11</v>
      </c>
      <c r="AU62" s="1240">
        <v>4.11976E11</v>
      </c>
      <c r="AV62" s="1240">
        <v>0.0</v>
      </c>
      <c r="AW62" s="1240">
        <v>4.11976E11</v>
      </c>
      <c r="AX62" s="1240">
        <v>8.6431E10</v>
      </c>
      <c r="AY62" s="1240">
        <v>7.9441E10</v>
      </c>
      <c r="AZ62" s="1240">
        <v>4.4737E10</v>
      </c>
      <c r="BA62" s="1242" t="s">
        <v>1076</v>
      </c>
      <c r="BB62" s="1242" t="s">
        <v>1077</v>
      </c>
      <c r="BC62" s="913"/>
      <c r="BD62" s="913"/>
      <c r="BE62" s="913"/>
      <c r="BF62" s="913"/>
      <c r="BG62" s="913"/>
    </row>
    <row r="63">
      <c r="A63" s="1238">
        <v>44742.0</v>
      </c>
      <c r="B63" s="1220" t="s">
        <v>104</v>
      </c>
      <c r="C63" s="1220" t="s">
        <v>1021</v>
      </c>
      <c r="D63" s="1220">
        <v>789019.0</v>
      </c>
      <c r="E63" s="1238">
        <v>44770.0</v>
      </c>
      <c r="F63" s="1239">
        <v>44770.67105324074</v>
      </c>
      <c r="G63" s="1220">
        <v>2022.0</v>
      </c>
      <c r="H63" s="1236" t="s">
        <v>1073</v>
      </c>
      <c r="I63" s="1240">
        <v>1.3931E10</v>
      </c>
      <c r="J63" s="1240">
        <v>9.0818E10</v>
      </c>
      <c r="K63" s="1240">
        <v>1.04749E11</v>
      </c>
      <c r="L63" s="1240">
        <v>4.4261E10</v>
      </c>
      <c r="M63" s="1240">
        <v>3.742E9</v>
      </c>
      <c r="N63" s="1240">
        <v>1.6932E10</v>
      </c>
      <c r="O63" s="1240">
        <v>1.69684E11</v>
      </c>
      <c r="P63" s="1240">
        <v>8.7546E10</v>
      </c>
      <c r="Q63" s="1240">
        <v>6.7524E10</v>
      </c>
      <c r="R63" s="1240">
        <v>1.1298E10</v>
      </c>
      <c r="S63" s="1240">
        <v>7.8822E10</v>
      </c>
      <c r="T63" s="1240">
        <v>6.891E9</v>
      </c>
      <c r="U63" s="1240">
        <v>0.0</v>
      </c>
      <c r="V63" s="1240">
        <v>2.1897E10</v>
      </c>
      <c r="W63" s="1240">
        <v>1.95156E11</v>
      </c>
      <c r="X63" s="1240">
        <v>0.0</v>
      </c>
      <c r="Y63" s="1240">
        <v>3.6484E11</v>
      </c>
      <c r="Z63" s="1240">
        <v>1.9E10</v>
      </c>
      <c r="AA63" s="1240">
        <v>6.037E9</v>
      </c>
      <c r="AB63" s="1240">
        <v>4.067E9</v>
      </c>
      <c r="AC63" s="1240">
        <v>4.5538E10</v>
      </c>
      <c r="AD63" s="1240">
        <v>2.044E10</v>
      </c>
      <c r="AE63" s="1240">
        <v>9.5082E10</v>
      </c>
      <c r="AF63" s="1240">
        <v>7.2363E10</v>
      </c>
      <c r="AG63" s="1240">
        <v>2.87E9</v>
      </c>
      <c r="AH63" s="1240">
        <v>2.3E8</v>
      </c>
      <c r="AI63" s="1240">
        <v>2.7753E10</v>
      </c>
      <c r="AJ63" s="1240">
        <v>1.03216E11</v>
      </c>
      <c r="AK63" s="1240">
        <v>0.0</v>
      </c>
      <c r="AL63" s="1240">
        <v>2.8619E10</v>
      </c>
      <c r="AM63" s="1240">
        <v>1.98298E11</v>
      </c>
      <c r="AN63" s="1240">
        <v>0.0</v>
      </c>
      <c r="AO63" s="1240">
        <v>8.6939E10</v>
      </c>
      <c r="AP63" s="1240">
        <v>8.4281E10</v>
      </c>
      <c r="AQ63" s="1240">
        <v>-4.678E9</v>
      </c>
      <c r="AR63" s="1240">
        <v>0.0</v>
      </c>
      <c r="AS63" s="1240">
        <v>1.66542E11</v>
      </c>
      <c r="AT63" s="1240">
        <v>1.66542E11</v>
      </c>
      <c r="AU63" s="1240">
        <v>3.6484E11</v>
      </c>
      <c r="AV63" s="1240">
        <v>0.0</v>
      </c>
      <c r="AW63" s="1240">
        <v>3.6484E11</v>
      </c>
      <c r="AX63" s="1240">
        <v>9.7709E10</v>
      </c>
      <c r="AY63" s="1240">
        <v>7.84E10</v>
      </c>
      <c r="AZ63" s="1240">
        <v>6.4469E10</v>
      </c>
      <c r="BA63" s="1242" t="s">
        <v>1078</v>
      </c>
      <c r="BB63" s="1242" t="s">
        <v>1079</v>
      </c>
      <c r="BC63" s="913"/>
      <c r="BD63" s="913"/>
      <c r="BE63" s="913"/>
      <c r="BF63" s="913"/>
      <c r="BG63" s="913"/>
    </row>
    <row r="64">
      <c r="A64" s="1238">
        <v>44377.0</v>
      </c>
      <c r="B64" s="1220" t="s">
        <v>104</v>
      </c>
      <c r="C64" s="1220" t="s">
        <v>1021</v>
      </c>
      <c r="D64" s="1220">
        <v>789019.0</v>
      </c>
      <c r="E64" s="1238">
        <v>44406.0</v>
      </c>
      <c r="F64" s="1239">
        <v>44406.68188657407</v>
      </c>
      <c r="G64" s="1220">
        <v>2021.0</v>
      </c>
      <c r="H64" s="1236" t="s">
        <v>1073</v>
      </c>
      <c r="I64" s="1240">
        <v>1.4224E10</v>
      </c>
      <c r="J64" s="1240">
        <v>1.16032E11</v>
      </c>
      <c r="K64" s="1240">
        <v>1.30256E11</v>
      </c>
      <c r="L64" s="1240">
        <v>3.8043E10</v>
      </c>
      <c r="M64" s="1240">
        <v>2.636E9</v>
      </c>
      <c r="N64" s="1240">
        <v>1.3471E10</v>
      </c>
      <c r="O64" s="1240">
        <v>1.84406E11</v>
      </c>
      <c r="P64" s="1240">
        <v>7.0803E10</v>
      </c>
      <c r="Q64" s="1240">
        <v>4.9711E10</v>
      </c>
      <c r="R64" s="1240">
        <v>7.8E9</v>
      </c>
      <c r="S64" s="1240">
        <v>5.7511E10</v>
      </c>
      <c r="T64" s="1240">
        <v>5.984E9</v>
      </c>
      <c r="U64" s="1240">
        <v>0.0</v>
      </c>
      <c r="V64" s="1240">
        <v>1.5075E10</v>
      </c>
      <c r="W64" s="1240">
        <v>1.49373E11</v>
      </c>
      <c r="X64" s="1240">
        <v>0.0</v>
      </c>
      <c r="Y64" s="1240">
        <v>3.33779E11</v>
      </c>
      <c r="Z64" s="1240">
        <v>1.5163E10</v>
      </c>
      <c r="AA64" s="1240">
        <v>1.0825E10</v>
      </c>
      <c r="AB64" s="1240">
        <v>2.174E9</v>
      </c>
      <c r="AC64" s="1240">
        <v>4.1525E10</v>
      </c>
      <c r="AD64" s="1240">
        <v>1.897E10</v>
      </c>
      <c r="AE64" s="1240">
        <v>8.8657E10</v>
      </c>
      <c r="AF64" s="1240">
        <v>7.1453E10</v>
      </c>
      <c r="AG64" s="1240">
        <v>2.616E9</v>
      </c>
      <c r="AH64" s="1240">
        <v>1.98E8</v>
      </c>
      <c r="AI64" s="1240">
        <v>2.8867E10</v>
      </c>
      <c r="AJ64" s="1240">
        <v>1.03134E11</v>
      </c>
      <c r="AK64" s="1240">
        <v>0.0</v>
      </c>
      <c r="AL64" s="1240">
        <v>2.4132E10</v>
      </c>
      <c r="AM64" s="1240">
        <v>1.91791E11</v>
      </c>
      <c r="AN64" s="1240">
        <v>0.0</v>
      </c>
      <c r="AO64" s="1240">
        <v>8.3111E10</v>
      </c>
      <c r="AP64" s="1240">
        <v>5.7055E10</v>
      </c>
      <c r="AQ64" s="1240">
        <v>1.822E9</v>
      </c>
      <c r="AR64" s="1240">
        <v>0.0</v>
      </c>
      <c r="AS64" s="1240">
        <v>1.41988E11</v>
      </c>
      <c r="AT64" s="1240">
        <v>1.41988E11</v>
      </c>
      <c r="AU64" s="1240">
        <v>3.33779E11</v>
      </c>
      <c r="AV64" s="1240">
        <v>0.0</v>
      </c>
      <c r="AW64" s="1240">
        <v>3.33779E11</v>
      </c>
      <c r="AX64" s="1240">
        <v>1.22016E11</v>
      </c>
      <c r="AY64" s="1240">
        <v>8.2278E10</v>
      </c>
      <c r="AZ64" s="1240">
        <v>6.8054E10</v>
      </c>
      <c r="BA64" s="1242" t="s">
        <v>1080</v>
      </c>
      <c r="BB64" s="1242" t="s">
        <v>1081</v>
      </c>
      <c r="BC64" s="913"/>
      <c r="BD64" s="913"/>
      <c r="BE64" s="913"/>
      <c r="BF64" s="913"/>
      <c r="BG64" s="913"/>
    </row>
    <row r="65">
      <c r="A65" s="1238">
        <v>44012.0</v>
      </c>
      <c r="B65" s="1220" t="s">
        <v>104</v>
      </c>
      <c r="C65" s="1220" t="s">
        <v>1021</v>
      </c>
      <c r="D65" s="1220">
        <v>789019.0</v>
      </c>
      <c r="E65" s="1238">
        <v>44042.0</v>
      </c>
      <c r="F65" s="1239">
        <v>44042.8644212963</v>
      </c>
      <c r="G65" s="1220">
        <v>2020.0</v>
      </c>
      <c r="H65" s="1236" t="s">
        <v>1073</v>
      </c>
      <c r="I65" s="1240">
        <v>1.3576E10</v>
      </c>
      <c r="J65" s="1240">
        <v>1.22916E11</v>
      </c>
      <c r="K65" s="1240">
        <v>1.36492E11</v>
      </c>
      <c r="L65" s="1240">
        <v>3.2011E10</v>
      </c>
      <c r="M65" s="1240">
        <v>1.895E9</v>
      </c>
      <c r="N65" s="1240">
        <v>1.1517E10</v>
      </c>
      <c r="O65" s="1240">
        <v>1.81915E11</v>
      </c>
      <c r="P65" s="1240">
        <v>5.2904E10</v>
      </c>
      <c r="Q65" s="1240">
        <v>4.3351E10</v>
      </c>
      <c r="R65" s="1240">
        <v>7.038E9</v>
      </c>
      <c r="S65" s="1240">
        <v>5.0389E10</v>
      </c>
      <c r="T65" s="1240">
        <v>2.965E9</v>
      </c>
      <c r="U65" s="1240">
        <v>0.0</v>
      </c>
      <c r="V65" s="1240">
        <v>1.3138E10</v>
      </c>
      <c r="W65" s="1240">
        <v>1.19396E11</v>
      </c>
      <c r="X65" s="1240">
        <v>0.0</v>
      </c>
      <c r="Y65" s="1240">
        <v>3.01311E11</v>
      </c>
      <c r="Z65" s="1240">
        <v>1.253E10</v>
      </c>
      <c r="AA65" s="1240">
        <v>5.905E9</v>
      </c>
      <c r="AB65" s="1240">
        <v>2.13E9</v>
      </c>
      <c r="AC65" s="1240">
        <v>3.6E10</v>
      </c>
      <c r="AD65" s="1240">
        <v>1.5745E10</v>
      </c>
      <c r="AE65" s="1240">
        <v>7.231E10</v>
      </c>
      <c r="AF65" s="1240">
        <v>7.6205E10</v>
      </c>
      <c r="AG65" s="1240">
        <v>3.18E9</v>
      </c>
      <c r="AH65" s="1240">
        <v>2.04E8</v>
      </c>
      <c r="AI65" s="1240">
        <v>3.1108E10</v>
      </c>
      <c r="AJ65" s="1240">
        <v>1.10697E11</v>
      </c>
      <c r="AK65" s="1240">
        <v>0.0</v>
      </c>
      <c r="AL65" s="1240">
        <v>1.8783E10</v>
      </c>
      <c r="AM65" s="1240">
        <v>1.83007E11</v>
      </c>
      <c r="AN65" s="1240">
        <v>0.0</v>
      </c>
      <c r="AO65" s="1240">
        <v>8.0552E10</v>
      </c>
      <c r="AP65" s="1240">
        <v>3.4566E10</v>
      </c>
      <c r="AQ65" s="1240">
        <v>3.186E9</v>
      </c>
      <c r="AR65" s="1240">
        <v>0.0</v>
      </c>
      <c r="AS65" s="1240">
        <v>1.18304E11</v>
      </c>
      <c r="AT65" s="1240">
        <v>1.18304E11</v>
      </c>
      <c r="AU65" s="1240">
        <v>3.01311E11</v>
      </c>
      <c r="AV65" s="1240">
        <v>0.0</v>
      </c>
      <c r="AW65" s="1240">
        <v>3.01311E11</v>
      </c>
      <c r="AX65" s="1240">
        <v>1.25881E11</v>
      </c>
      <c r="AY65" s="1240">
        <v>8.211E10</v>
      </c>
      <c r="AZ65" s="1240">
        <v>6.8534E10</v>
      </c>
      <c r="BA65" s="1242" t="s">
        <v>1082</v>
      </c>
      <c r="BB65" s="1242" t="s">
        <v>1083</v>
      </c>
      <c r="BC65" s="913"/>
      <c r="BD65" s="913"/>
      <c r="BE65" s="913"/>
      <c r="BF65" s="913"/>
      <c r="BG65" s="913"/>
    </row>
    <row r="66">
      <c r="A66" s="480"/>
      <c r="B66" s="480"/>
      <c r="C66" s="480"/>
      <c r="D66" s="480"/>
      <c r="E66" s="480"/>
      <c r="F66" s="480"/>
      <c r="G66" s="480"/>
      <c r="H66" s="913"/>
      <c r="I66" s="913"/>
      <c r="J66" s="913"/>
      <c r="K66" s="913"/>
      <c r="L66" s="913"/>
      <c r="M66" s="913"/>
      <c r="N66" s="913"/>
      <c r="O66" s="913"/>
      <c r="P66" s="913"/>
      <c r="Q66" s="913"/>
      <c r="R66" s="913"/>
      <c r="S66" s="913"/>
      <c r="T66" s="913"/>
      <c r="U66" s="913"/>
      <c r="V66" s="913"/>
      <c r="W66" s="913"/>
      <c r="X66" s="913"/>
      <c r="Y66" s="913"/>
      <c r="Z66" s="913"/>
      <c r="AA66" s="913"/>
      <c r="AB66" s="913"/>
      <c r="AC66" s="913"/>
      <c r="AD66" s="913"/>
      <c r="AE66" s="913"/>
      <c r="AF66" s="913"/>
      <c r="AG66" s="913"/>
      <c r="AH66" s="913"/>
      <c r="AI66" s="913"/>
      <c r="AJ66" s="913"/>
      <c r="AK66" s="913"/>
      <c r="AL66" s="913"/>
      <c r="AM66" s="913"/>
      <c r="AN66" s="913"/>
      <c r="AO66" s="913"/>
      <c r="AP66" s="913"/>
      <c r="AQ66" s="913"/>
      <c r="AR66" s="913"/>
      <c r="AS66" s="913"/>
      <c r="AT66" s="913"/>
      <c r="AU66" s="913"/>
      <c r="AV66" s="913"/>
      <c r="AW66" s="913"/>
      <c r="AX66" s="913"/>
      <c r="AY66" s="913"/>
      <c r="AZ66" s="913"/>
      <c r="BA66" s="913"/>
      <c r="BB66" s="913"/>
      <c r="BC66" s="913"/>
      <c r="BD66" s="913"/>
      <c r="BE66" s="913"/>
      <c r="BF66" s="913"/>
      <c r="BG66" s="913"/>
    </row>
    <row r="67">
      <c r="A67" s="1220" t="s">
        <v>1129</v>
      </c>
      <c r="B67" s="480"/>
      <c r="C67" s="480"/>
      <c r="D67" s="480"/>
      <c r="E67" s="480"/>
      <c r="F67" s="480"/>
      <c r="G67" s="480"/>
      <c r="H67" s="913"/>
      <c r="I67" s="913"/>
      <c r="J67" s="913"/>
      <c r="K67" s="913"/>
      <c r="L67" s="913"/>
      <c r="M67" s="913"/>
      <c r="N67" s="913"/>
      <c r="O67" s="913"/>
      <c r="P67" s="913"/>
      <c r="Q67" s="913"/>
      <c r="R67" s="913"/>
      <c r="S67" s="913"/>
      <c r="T67" s="913"/>
      <c r="U67" s="913"/>
      <c r="V67" s="913"/>
      <c r="W67" s="913"/>
      <c r="X67" s="913"/>
      <c r="Y67" s="913"/>
      <c r="Z67" s="913"/>
      <c r="AA67" s="913"/>
      <c r="AB67" s="913"/>
      <c r="AC67" s="913"/>
      <c r="AD67" s="913"/>
      <c r="AE67" s="913"/>
      <c r="AF67" s="913"/>
      <c r="AG67" s="913"/>
      <c r="AH67" s="913"/>
      <c r="AI67" s="913"/>
      <c r="AJ67" s="913"/>
      <c r="AK67" s="913"/>
      <c r="AL67" s="913"/>
      <c r="AM67" s="913"/>
      <c r="AN67" s="913"/>
      <c r="AO67" s="913"/>
      <c r="AP67" s="913"/>
      <c r="AQ67" s="913"/>
      <c r="AR67" s="913"/>
      <c r="AS67" s="913"/>
      <c r="AT67" s="913"/>
      <c r="AU67" s="913"/>
      <c r="AV67" s="913"/>
      <c r="AW67" s="913"/>
      <c r="AX67" s="913"/>
      <c r="AY67" s="913"/>
      <c r="AZ67" s="913"/>
      <c r="BA67" s="913"/>
      <c r="BB67" s="913"/>
      <c r="BC67" s="913"/>
      <c r="BD67" s="913"/>
      <c r="BE67" s="913"/>
      <c r="BF67" s="913"/>
      <c r="BG67" s="913"/>
    </row>
    <row r="68">
      <c r="A68" s="1243" t="s">
        <v>1037</v>
      </c>
      <c r="B68" s="1220" t="s">
        <v>984</v>
      </c>
      <c r="C68" s="1220" t="s">
        <v>1038</v>
      </c>
      <c r="D68" s="1220" t="s">
        <v>994</v>
      </c>
      <c r="E68" s="1220" t="s">
        <v>1039</v>
      </c>
      <c r="F68" s="1220" t="s">
        <v>1040</v>
      </c>
      <c r="G68" s="1220" t="s">
        <v>1041</v>
      </c>
      <c r="H68" s="1236" t="s">
        <v>1042</v>
      </c>
      <c r="I68" s="1237" t="s">
        <v>1065</v>
      </c>
      <c r="J68" s="1236" t="s">
        <v>1056</v>
      </c>
      <c r="K68" s="1236" t="s">
        <v>1130</v>
      </c>
      <c r="L68" s="1236" t="s">
        <v>1131</v>
      </c>
      <c r="M68" s="1236" t="s">
        <v>1132</v>
      </c>
      <c r="N68" s="1236" t="s">
        <v>1133</v>
      </c>
      <c r="O68" s="1236" t="s">
        <v>1089</v>
      </c>
      <c r="P68" s="1236" t="s">
        <v>1134</v>
      </c>
      <c r="Q68" s="1236" t="s">
        <v>1135</v>
      </c>
      <c r="R68" s="1236" t="s">
        <v>1136</v>
      </c>
      <c r="S68" s="1236" t="s">
        <v>1137</v>
      </c>
      <c r="T68" s="1236" t="s">
        <v>1138</v>
      </c>
      <c r="U68" s="1236" t="s">
        <v>1139</v>
      </c>
      <c r="V68" s="1236" t="s">
        <v>1140</v>
      </c>
      <c r="W68" s="1236" t="s">
        <v>1141</v>
      </c>
      <c r="X68" s="1236" t="s">
        <v>1142</v>
      </c>
      <c r="Y68" s="1236" t="s">
        <v>1143</v>
      </c>
      <c r="Z68" s="1236" t="s">
        <v>1144</v>
      </c>
      <c r="AA68" s="1236" t="s">
        <v>1145</v>
      </c>
      <c r="AB68" s="1236" t="s">
        <v>1146</v>
      </c>
      <c r="AC68" s="1236" t="s">
        <v>1147</v>
      </c>
      <c r="AD68" s="1236" t="s">
        <v>1148</v>
      </c>
      <c r="AE68" s="1236" t="s">
        <v>1149</v>
      </c>
      <c r="AF68" s="1236" t="s">
        <v>1150</v>
      </c>
      <c r="AG68" s="1236" t="s">
        <v>1151</v>
      </c>
      <c r="AH68" s="1236" t="s">
        <v>1152</v>
      </c>
      <c r="AI68" s="1236" t="s">
        <v>1153</v>
      </c>
      <c r="AJ68" s="1236" t="s">
        <v>1154</v>
      </c>
      <c r="AK68" s="1236" t="s">
        <v>1155</v>
      </c>
      <c r="AL68" s="1237" t="s">
        <v>1156</v>
      </c>
      <c r="AM68" s="1236" t="s">
        <v>1071</v>
      </c>
      <c r="AN68" s="1236" t="s">
        <v>1072</v>
      </c>
      <c r="AO68" s="913"/>
      <c r="AP68" s="913"/>
      <c r="AQ68" s="913"/>
      <c r="AR68" s="913"/>
      <c r="AS68" s="913"/>
      <c r="AT68" s="913"/>
      <c r="AU68" s="913"/>
      <c r="AV68" s="913"/>
      <c r="AW68" s="913"/>
      <c r="AX68" s="913"/>
      <c r="AY68" s="913"/>
      <c r="AZ68" s="913"/>
      <c r="BA68" s="913"/>
      <c r="BB68" s="913"/>
      <c r="BC68" s="913"/>
      <c r="BD68" s="913"/>
      <c r="BE68" s="913"/>
      <c r="BF68" s="913"/>
      <c r="BG68" s="913"/>
    </row>
    <row r="69">
      <c r="A69" s="1238">
        <v>45473.0</v>
      </c>
      <c r="B69" s="1220" t="s">
        <v>104</v>
      </c>
      <c r="C69" s="1220" t="s">
        <v>1021</v>
      </c>
      <c r="D69" s="1220">
        <v>789019.0</v>
      </c>
      <c r="E69" s="1238">
        <v>45503.0</v>
      </c>
      <c r="F69" s="1239">
        <v>45503.67108796296</v>
      </c>
      <c r="G69" s="1220">
        <v>2024.0</v>
      </c>
      <c r="H69" s="1236" t="s">
        <v>1073</v>
      </c>
      <c r="I69" s="1241">
        <v>8.8136E10</v>
      </c>
      <c r="J69" s="1240">
        <v>2.2287E10</v>
      </c>
      <c r="K69" s="1240">
        <v>-4.738E9</v>
      </c>
      <c r="L69" s="1240">
        <v>1.0734E10</v>
      </c>
      <c r="M69" s="1240">
        <v>1.824E9</v>
      </c>
      <c r="N69" s="1240">
        <v>-7.191E9</v>
      </c>
      <c r="O69" s="1240">
        <v>1.284E9</v>
      </c>
      <c r="P69" s="1240">
        <v>3.545E9</v>
      </c>
      <c r="Q69" s="1240">
        <v>4.186E9</v>
      </c>
      <c r="R69" s="1240">
        <v>3.05E8</v>
      </c>
      <c r="S69" s="1240">
        <v>1.18548E11</v>
      </c>
      <c r="T69" s="1240">
        <v>-4.4477E10</v>
      </c>
      <c r="U69" s="1240">
        <v>-6.9132E10</v>
      </c>
      <c r="V69" s="1240">
        <v>-1.7732E10</v>
      </c>
      <c r="W69" s="1240">
        <v>3.5669E10</v>
      </c>
      <c r="X69" s="1240">
        <v>-1.298E9</v>
      </c>
      <c r="Y69" s="1240">
        <v>-9.697E10</v>
      </c>
      <c r="Z69" s="1240">
        <v>5.75E8</v>
      </c>
      <c r="AA69" s="1240">
        <v>2.002E9</v>
      </c>
      <c r="AB69" s="1240">
        <v>-1.7254E10</v>
      </c>
      <c r="AC69" s="1240">
        <v>-2.1771E10</v>
      </c>
      <c r="AD69" s="1240">
        <v>-1.309E9</v>
      </c>
      <c r="AE69" s="1240">
        <v>-3.7757E10</v>
      </c>
      <c r="AF69" s="1240">
        <v>-2.1E8</v>
      </c>
      <c r="AG69" s="1240">
        <v>-1.6389E10</v>
      </c>
      <c r="AH69" s="1240">
        <v>1.8315E10</v>
      </c>
      <c r="AI69" s="1240">
        <v>3.4704E10</v>
      </c>
      <c r="AJ69" s="1240">
        <v>1.18548E11</v>
      </c>
      <c r="AK69" s="1240">
        <v>-4.4477E10</v>
      </c>
      <c r="AL69" s="1241">
        <v>7.4071E10</v>
      </c>
      <c r="AM69" s="1242" t="s">
        <v>1074</v>
      </c>
      <c r="AN69" s="1242" t="s">
        <v>1075</v>
      </c>
      <c r="AO69" s="913"/>
      <c r="AP69" s="913"/>
      <c r="AQ69" s="913"/>
      <c r="AR69" s="913"/>
      <c r="AS69" s="913"/>
      <c r="AT69" s="913"/>
      <c r="AU69" s="913"/>
      <c r="AV69" s="913"/>
      <c r="AW69" s="913"/>
      <c r="AX69" s="913"/>
      <c r="AY69" s="913"/>
      <c r="AZ69" s="913"/>
      <c r="BA69" s="913"/>
      <c r="BB69" s="913"/>
      <c r="BC69" s="913"/>
      <c r="BD69" s="913"/>
      <c r="BE69" s="913"/>
      <c r="BF69" s="913"/>
      <c r="BG69" s="913"/>
    </row>
    <row r="70">
      <c r="A70" s="1238">
        <v>45107.0</v>
      </c>
      <c r="B70" s="1220" t="s">
        <v>104</v>
      </c>
      <c r="C70" s="1220" t="s">
        <v>1021</v>
      </c>
      <c r="D70" s="1220">
        <v>789019.0</v>
      </c>
      <c r="E70" s="1238">
        <v>45134.0</v>
      </c>
      <c r="F70" s="1239">
        <v>45134.66800925926</v>
      </c>
      <c r="G70" s="1220">
        <v>2023.0</v>
      </c>
      <c r="H70" s="1236" t="s">
        <v>1073</v>
      </c>
      <c r="I70" s="1240">
        <v>7.2361E10</v>
      </c>
      <c r="J70" s="1240">
        <v>1.3861E10</v>
      </c>
      <c r="K70" s="1240">
        <v>-6.059E9</v>
      </c>
      <c r="L70" s="1240">
        <v>9.611E9</v>
      </c>
      <c r="M70" s="1240">
        <v>-2.388E9</v>
      </c>
      <c r="N70" s="1240">
        <v>-4.087E9</v>
      </c>
      <c r="O70" s="1240">
        <v>1.242E9</v>
      </c>
      <c r="P70" s="1240">
        <v>-2.721E9</v>
      </c>
      <c r="Q70" s="1240">
        <v>3.178E9</v>
      </c>
      <c r="R70" s="1240">
        <v>1.96E8</v>
      </c>
      <c r="S70" s="1240">
        <v>8.7582E10</v>
      </c>
      <c r="T70" s="1240">
        <v>-2.8107E10</v>
      </c>
      <c r="U70" s="1240">
        <v>-1.67E9</v>
      </c>
      <c r="V70" s="1240">
        <v>-3.7651E10</v>
      </c>
      <c r="W70" s="1240">
        <v>4.7864E10</v>
      </c>
      <c r="X70" s="1240">
        <v>-3.116E9</v>
      </c>
      <c r="Y70" s="1240">
        <v>-2.268E10</v>
      </c>
      <c r="Z70" s="1240">
        <v>-2.75E9</v>
      </c>
      <c r="AA70" s="1240">
        <v>1.866E9</v>
      </c>
      <c r="AB70" s="1240">
        <v>-2.2245E10</v>
      </c>
      <c r="AC70" s="1240">
        <v>-1.98E10</v>
      </c>
      <c r="AD70" s="1240">
        <v>-1.006E9</v>
      </c>
      <c r="AE70" s="1240">
        <v>-4.3935E10</v>
      </c>
      <c r="AF70" s="1240">
        <v>-1.94E8</v>
      </c>
      <c r="AG70" s="1240">
        <v>2.0773E10</v>
      </c>
      <c r="AH70" s="1240">
        <v>3.4704E10</v>
      </c>
      <c r="AI70" s="1240">
        <v>1.3931E10</v>
      </c>
      <c r="AJ70" s="1240">
        <v>8.7582E10</v>
      </c>
      <c r="AK70" s="1240">
        <v>-2.8107E10</v>
      </c>
      <c r="AL70" s="1241">
        <v>5.9475E10</v>
      </c>
      <c r="AM70" s="1242" t="s">
        <v>1076</v>
      </c>
      <c r="AN70" s="1242" t="s">
        <v>1077</v>
      </c>
      <c r="AO70" s="913"/>
      <c r="AP70" s="913"/>
      <c r="AQ70" s="913"/>
      <c r="AR70" s="913"/>
      <c r="AS70" s="913"/>
      <c r="AT70" s="913"/>
      <c r="AU70" s="913"/>
      <c r="AV70" s="913"/>
      <c r="AW70" s="913"/>
      <c r="AX70" s="913"/>
      <c r="AY70" s="913"/>
      <c r="AZ70" s="913"/>
      <c r="BA70" s="913"/>
      <c r="BB70" s="913"/>
      <c r="BC70" s="913"/>
      <c r="BD70" s="913"/>
      <c r="BE70" s="913"/>
      <c r="BF70" s="913"/>
      <c r="BG70" s="913"/>
    </row>
    <row r="71">
      <c r="A71" s="1238">
        <v>44742.0</v>
      </c>
      <c r="B71" s="1220" t="s">
        <v>104</v>
      </c>
      <c r="C71" s="1220" t="s">
        <v>1021</v>
      </c>
      <c r="D71" s="1220">
        <v>789019.0</v>
      </c>
      <c r="E71" s="1238">
        <v>44770.0</v>
      </c>
      <c r="F71" s="1239">
        <v>44770.67105324074</v>
      </c>
      <c r="G71" s="1220">
        <v>2022.0</v>
      </c>
      <c r="H71" s="1236" t="s">
        <v>1073</v>
      </c>
      <c r="I71" s="1240">
        <v>7.2738E10</v>
      </c>
      <c r="J71" s="1240">
        <v>1.446E10</v>
      </c>
      <c r="K71" s="1240">
        <v>-5.702E9</v>
      </c>
      <c r="L71" s="1240">
        <v>7.502E9</v>
      </c>
      <c r="M71" s="1240">
        <v>4.46E8</v>
      </c>
      <c r="N71" s="1240">
        <v>-6.834E9</v>
      </c>
      <c r="O71" s="1240">
        <v>-1.123E9</v>
      </c>
      <c r="P71" s="1240">
        <v>2.943E9</v>
      </c>
      <c r="Q71" s="1240">
        <v>5.46E9</v>
      </c>
      <c r="R71" s="1240">
        <v>-4.09E8</v>
      </c>
      <c r="S71" s="1240">
        <v>8.9035E10</v>
      </c>
      <c r="T71" s="1240">
        <v>-2.3886E10</v>
      </c>
      <c r="U71" s="1240">
        <v>-2.2038E10</v>
      </c>
      <c r="V71" s="1240">
        <v>-2.6456E10</v>
      </c>
      <c r="W71" s="1240">
        <v>4.4894E10</v>
      </c>
      <c r="X71" s="1240">
        <v>-2.825E9</v>
      </c>
      <c r="Y71" s="1240">
        <v>-3.0311E10</v>
      </c>
      <c r="Z71" s="1240">
        <v>-9.023E9</v>
      </c>
      <c r="AA71" s="1240">
        <v>1.841E9</v>
      </c>
      <c r="AB71" s="1240">
        <v>-3.2696E10</v>
      </c>
      <c r="AC71" s="1240">
        <v>-1.8135E10</v>
      </c>
      <c r="AD71" s="1240">
        <v>-8.63E8</v>
      </c>
      <c r="AE71" s="1240">
        <v>-5.8876E10</v>
      </c>
      <c r="AF71" s="1240">
        <v>-1.41E8</v>
      </c>
      <c r="AG71" s="1240">
        <v>-2.93E8</v>
      </c>
      <c r="AH71" s="1240">
        <v>1.3931E10</v>
      </c>
      <c r="AI71" s="1240">
        <v>1.4224E10</v>
      </c>
      <c r="AJ71" s="1240">
        <v>8.9035E10</v>
      </c>
      <c r="AK71" s="1240">
        <v>-2.3886E10</v>
      </c>
      <c r="AL71" s="1241">
        <v>6.5149E10</v>
      </c>
      <c r="AM71" s="1242" t="s">
        <v>1078</v>
      </c>
      <c r="AN71" s="1242" t="s">
        <v>1079</v>
      </c>
      <c r="AO71" s="913"/>
      <c r="AP71" s="913"/>
      <c r="AQ71" s="913"/>
      <c r="AR71" s="913"/>
      <c r="AS71" s="913"/>
      <c r="AT71" s="913"/>
      <c r="AU71" s="913"/>
      <c r="AV71" s="913"/>
      <c r="AW71" s="913"/>
      <c r="AX71" s="913"/>
      <c r="AY71" s="913"/>
      <c r="AZ71" s="913"/>
      <c r="BA71" s="913"/>
      <c r="BB71" s="913"/>
      <c r="BC71" s="913"/>
      <c r="BD71" s="913"/>
      <c r="BE71" s="913"/>
      <c r="BF71" s="913"/>
      <c r="BG71" s="913"/>
    </row>
    <row r="72">
      <c r="A72" s="1238">
        <v>44377.0</v>
      </c>
      <c r="B72" s="1220" t="s">
        <v>104</v>
      </c>
      <c r="C72" s="1220" t="s">
        <v>1021</v>
      </c>
      <c r="D72" s="1220">
        <v>789019.0</v>
      </c>
      <c r="E72" s="1238">
        <v>44406.0</v>
      </c>
      <c r="F72" s="1239">
        <v>44406.68188657407</v>
      </c>
      <c r="G72" s="1220">
        <v>2021.0</v>
      </c>
      <c r="H72" s="1236" t="s">
        <v>1073</v>
      </c>
      <c r="I72" s="1240">
        <v>6.1271E10</v>
      </c>
      <c r="J72" s="1240">
        <v>1.1686E10</v>
      </c>
      <c r="K72" s="1240">
        <v>-1.5E8</v>
      </c>
      <c r="L72" s="1240">
        <v>6.118E9</v>
      </c>
      <c r="M72" s="1240">
        <v>-9.36E8</v>
      </c>
      <c r="N72" s="1240">
        <v>-6.481E9</v>
      </c>
      <c r="O72" s="1240">
        <v>-7.37E8</v>
      </c>
      <c r="P72" s="1240">
        <v>2.798E9</v>
      </c>
      <c r="Q72" s="1240">
        <v>3.484E9</v>
      </c>
      <c r="R72" s="1240">
        <v>-1.249E9</v>
      </c>
      <c r="S72" s="1240">
        <v>7.674E10</v>
      </c>
      <c r="T72" s="1240">
        <v>-2.0622E10</v>
      </c>
      <c r="U72" s="1240">
        <v>-8.909E9</v>
      </c>
      <c r="V72" s="1240">
        <v>-6.2924E10</v>
      </c>
      <c r="W72" s="1240">
        <v>6.58E10</v>
      </c>
      <c r="X72" s="1240">
        <v>-9.22E8</v>
      </c>
      <c r="Y72" s="1240">
        <v>-2.7577E10</v>
      </c>
      <c r="Z72" s="1240">
        <v>-3.75E9</v>
      </c>
      <c r="AA72" s="1240">
        <v>1.693E9</v>
      </c>
      <c r="AB72" s="1240">
        <v>-2.7385E10</v>
      </c>
      <c r="AC72" s="1240">
        <v>-1.6521E10</v>
      </c>
      <c r="AD72" s="1240">
        <v>-2.523E9</v>
      </c>
      <c r="AE72" s="1240">
        <v>-4.8486E10</v>
      </c>
      <c r="AF72" s="1240">
        <v>-2.9E7</v>
      </c>
      <c r="AG72" s="1240">
        <v>6.48E8</v>
      </c>
      <c r="AH72" s="1240">
        <v>1.4224E10</v>
      </c>
      <c r="AI72" s="1240">
        <v>1.3576E10</v>
      </c>
      <c r="AJ72" s="1240">
        <v>7.674E10</v>
      </c>
      <c r="AK72" s="1240">
        <v>-2.0622E10</v>
      </c>
      <c r="AL72" s="1241">
        <v>5.6118E10</v>
      </c>
      <c r="AM72" s="1242" t="s">
        <v>1080</v>
      </c>
      <c r="AN72" s="1242" t="s">
        <v>1081</v>
      </c>
      <c r="AO72" s="913"/>
      <c r="AP72" s="913"/>
      <c r="AQ72" s="913"/>
      <c r="AR72" s="913"/>
      <c r="AS72" s="913"/>
      <c r="AT72" s="913"/>
      <c r="AU72" s="913"/>
      <c r="AV72" s="913"/>
      <c r="AW72" s="913"/>
      <c r="AX72" s="913"/>
      <c r="AY72" s="913"/>
      <c r="AZ72" s="913"/>
      <c r="BA72" s="913"/>
      <c r="BB72" s="913"/>
      <c r="BC72" s="913"/>
      <c r="BD72" s="913"/>
      <c r="BE72" s="913"/>
      <c r="BF72" s="913"/>
      <c r="BG72" s="913"/>
    </row>
    <row r="73">
      <c r="A73" s="1238">
        <v>44012.0</v>
      </c>
      <c r="B73" s="1220" t="s">
        <v>104</v>
      </c>
      <c r="C73" s="1220" t="s">
        <v>1021</v>
      </c>
      <c r="D73" s="1220">
        <v>789019.0</v>
      </c>
      <c r="E73" s="1238">
        <v>44042.0</v>
      </c>
      <c r="F73" s="1239">
        <v>44042.8644212963</v>
      </c>
      <c r="G73" s="1220">
        <v>2020.0</v>
      </c>
      <c r="H73" s="1236" t="s">
        <v>1073</v>
      </c>
      <c r="I73" s="1240">
        <v>4.4281E10</v>
      </c>
      <c r="J73" s="1240">
        <v>1.2796E10</v>
      </c>
      <c r="K73" s="1240">
        <v>-3.62E9</v>
      </c>
      <c r="L73" s="1240">
        <v>5.289E9</v>
      </c>
      <c r="M73" s="1240">
        <v>2.148E9</v>
      </c>
      <c r="N73" s="1240">
        <v>-2.577E9</v>
      </c>
      <c r="O73" s="1240">
        <v>1.68E8</v>
      </c>
      <c r="P73" s="1240">
        <v>3.018E9</v>
      </c>
      <c r="Q73" s="1240">
        <v>1.539E9</v>
      </c>
      <c r="R73" s="1240">
        <v>-2.19E8</v>
      </c>
      <c r="S73" s="1240">
        <v>6.0675E10</v>
      </c>
      <c r="T73" s="1240">
        <v>-1.5441E10</v>
      </c>
      <c r="U73" s="1240">
        <v>-2.521E9</v>
      </c>
      <c r="V73" s="1240">
        <v>-7.719E10</v>
      </c>
      <c r="W73" s="1240">
        <v>8.417E10</v>
      </c>
      <c r="X73" s="1240">
        <v>-1.241E9</v>
      </c>
      <c r="Y73" s="1240">
        <v>-1.2223E10</v>
      </c>
      <c r="Z73" s="1240">
        <v>-5.518E9</v>
      </c>
      <c r="AA73" s="1240">
        <v>1.343E9</v>
      </c>
      <c r="AB73" s="1240">
        <v>-2.2968E10</v>
      </c>
      <c r="AC73" s="1240">
        <v>-1.5137E10</v>
      </c>
      <c r="AD73" s="1240">
        <v>-3.751E9</v>
      </c>
      <c r="AE73" s="1240">
        <v>-4.6031E10</v>
      </c>
      <c r="AF73" s="1240">
        <v>-2.01E8</v>
      </c>
      <c r="AG73" s="1240">
        <v>2.22E9</v>
      </c>
      <c r="AH73" s="1240">
        <v>1.3576E10</v>
      </c>
      <c r="AI73" s="1240">
        <v>1.1356E10</v>
      </c>
      <c r="AJ73" s="1240">
        <v>6.0675E10</v>
      </c>
      <c r="AK73" s="1240">
        <v>-1.5441E10</v>
      </c>
      <c r="AL73" s="1241">
        <v>4.5234E10</v>
      </c>
      <c r="AM73" s="1242" t="s">
        <v>1082</v>
      </c>
      <c r="AN73" s="1242" t="s">
        <v>1083</v>
      </c>
      <c r="AO73" s="913"/>
      <c r="AP73" s="913"/>
      <c r="AQ73" s="913"/>
      <c r="AR73" s="913"/>
      <c r="AS73" s="913"/>
      <c r="AT73" s="913"/>
      <c r="AU73" s="913"/>
      <c r="AV73" s="913"/>
      <c r="AW73" s="913"/>
      <c r="AX73" s="913"/>
      <c r="AY73" s="913"/>
      <c r="AZ73" s="913"/>
      <c r="BA73" s="913"/>
      <c r="BB73" s="913"/>
      <c r="BC73" s="913"/>
      <c r="BD73" s="913"/>
      <c r="BE73" s="913"/>
      <c r="BF73" s="913"/>
      <c r="BG73" s="913"/>
    </row>
    <row r="74">
      <c r="A74" s="480"/>
      <c r="B74" s="480"/>
      <c r="C74" s="480"/>
      <c r="D74" s="480"/>
      <c r="E74" s="480"/>
      <c r="F74" s="480"/>
      <c r="G74" s="480"/>
      <c r="H74" s="913"/>
      <c r="I74" s="913"/>
      <c r="J74" s="913"/>
      <c r="K74" s="913"/>
      <c r="L74" s="913"/>
      <c r="M74" s="913"/>
      <c r="N74" s="913"/>
      <c r="O74" s="913"/>
      <c r="P74" s="913"/>
      <c r="Q74" s="913"/>
      <c r="R74" s="913"/>
      <c r="S74" s="913"/>
      <c r="T74" s="913"/>
      <c r="U74" s="913"/>
      <c r="V74" s="913"/>
      <c r="W74" s="913"/>
      <c r="X74" s="913"/>
      <c r="Y74" s="913"/>
      <c r="Z74" s="913"/>
      <c r="AA74" s="913"/>
      <c r="AB74" s="913"/>
      <c r="AC74" s="913"/>
      <c r="AD74" s="913"/>
      <c r="AE74" s="913"/>
      <c r="AF74" s="913"/>
      <c r="AG74" s="913"/>
      <c r="AH74" s="913"/>
      <c r="AI74" s="913"/>
      <c r="AJ74" s="913"/>
      <c r="AK74" s="913"/>
      <c r="AL74" s="913"/>
      <c r="AM74" s="913"/>
      <c r="AN74" s="913"/>
      <c r="AO74" s="913"/>
      <c r="AP74" s="913"/>
      <c r="AQ74" s="913"/>
      <c r="AR74" s="913"/>
      <c r="AS74" s="913"/>
      <c r="AT74" s="913"/>
      <c r="AU74" s="913"/>
      <c r="AV74" s="913"/>
      <c r="AW74" s="913"/>
      <c r="AX74" s="913"/>
      <c r="AY74" s="913"/>
      <c r="AZ74" s="913"/>
      <c r="BA74" s="913"/>
      <c r="BB74" s="913"/>
      <c r="BC74" s="913"/>
      <c r="BD74" s="913"/>
      <c r="BE74" s="913"/>
      <c r="BF74" s="913"/>
      <c r="BG74" s="913"/>
    </row>
    <row r="75">
      <c r="A75" s="1220" t="s">
        <v>1157</v>
      </c>
      <c r="B75" s="480"/>
      <c r="C75" s="480"/>
      <c r="D75" s="480"/>
      <c r="E75" s="480"/>
      <c r="F75" s="480"/>
      <c r="G75" s="480"/>
      <c r="H75" s="913"/>
      <c r="I75" s="913"/>
      <c r="J75" s="913"/>
      <c r="K75" s="913"/>
      <c r="L75" s="913"/>
      <c r="M75" s="913"/>
      <c r="N75" s="913"/>
      <c r="O75" s="913"/>
      <c r="P75" s="913"/>
      <c r="Q75" s="913"/>
      <c r="R75" s="913"/>
      <c r="S75" s="913"/>
      <c r="T75" s="913"/>
      <c r="U75" s="913"/>
      <c r="V75" s="913"/>
      <c r="W75" s="913"/>
      <c r="X75" s="913"/>
      <c r="Y75" s="913"/>
      <c r="Z75" s="913"/>
      <c r="AA75" s="913"/>
      <c r="AB75" s="913"/>
      <c r="AC75" s="913"/>
      <c r="AD75" s="913"/>
      <c r="AE75" s="913"/>
      <c r="AF75" s="913"/>
      <c r="AG75" s="913"/>
      <c r="AH75" s="913"/>
      <c r="AI75" s="913"/>
      <c r="AJ75" s="913"/>
      <c r="AK75" s="913"/>
      <c r="AL75" s="913"/>
      <c r="AM75" s="913"/>
      <c r="AN75" s="913"/>
      <c r="AO75" s="913"/>
      <c r="AP75" s="913"/>
      <c r="AQ75" s="913"/>
      <c r="AR75" s="913"/>
      <c r="AS75" s="913"/>
      <c r="AT75" s="913"/>
      <c r="AU75" s="913"/>
      <c r="AV75" s="913"/>
      <c r="AW75" s="913"/>
      <c r="AX75" s="913"/>
      <c r="AY75" s="913"/>
      <c r="AZ75" s="913"/>
      <c r="BA75" s="913"/>
      <c r="BB75" s="913"/>
      <c r="BC75" s="913"/>
      <c r="BD75" s="913"/>
      <c r="BE75" s="913"/>
      <c r="BF75" s="913"/>
      <c r="BG75" s="913"/>
    </row>
    <row r="76">
      <c r="A76" s="1220" t="s">
        <v>984</v>
      </c>
      <c r="B76" s="1220" t="s">
        <v>1037</v>
      </c>
      <c r="C76" s="1220" t="s">
        <v>1041</v>
      </c>
      <c r="D76" s="1220" t="s">
        <v>1042</v>
      </c>
      <c r="E76" s="1220" t="s">
        <v>1158</v>
      </c>
      <c r="F76" s="1220" t="s">
        <v>1159</v>
      </c>
      <c r="G76" s="1220" t="s">
        <v>1160</v>
      </c>
      <c r="H76" s="1236" t="s">
        <v>1161</v>
      </c>
      <c r="I76" s="1236" t="s">
        <v>1162</v>
      </c>
      <c r="J76" s="1236" t="s">
        <v>1163</v>
      </c>
      <c r="K76" s="1236" t="s">
        <v>1164</v>
      </c>
      <c r="L76" s="1236" t="s">
        <v>1165</v>
      </c>
      <c r="M76" s="1236" t="s">
        <v>1166</v>
      </c>
      <c r="N76" s="1236" t="s">
        <v>1167</v>
      </c>
      <c r="O76" s="1236" t="s">
        <v>1168</v>
      </c>
      <c r="P76" s="1236" t="s">
        <v>1169</v>
      </c>
      <c r="Q76" s="1236" t="s">
        <v>1170</v>
      </c>
      <c r="R76" s="1236" t="s">
        <v>1171</v>
      </c>
      <c r="S76" s="1236" t="s">
        <v>1172</v>
      </c>
      <c r="T76" s="1236" t="s">
        <v>1173</v>
      </c>
      <c r="U76" s="1236" t="s">
        <v>1174</v>
      </c>
      <c r="V76" s="1236" t="s">
        <v>1175</v>
      </c>
      <c r="W76" s="1236" t="s">
        <v>1176</v>
      </c>
      <c r="X76" s="1236" t="s">
        <v>1177</v>
      </c>
      <c r="Y76" s="1236" t="s">
        <v>1178</v>
      </c>
      <c r="Z76" s="1236" t="s">
        <v>1179</v>
      </c>
      <c r="AA76" s="1236" t="s">
        <v>1180</v>
      </c>
      <c r="AB76" s="1237" t="s">
        <v>1181</v>
      </c>
      <c r="AC76" s="1236" t="s">
        <v>1182</v>
      </c>
      <c r="AD76" s="1236" t="s">
        <v>1183</v>
      </c>
      <c r="AE76" s="1236" t="s">
        <v>1184</v>
      </c>
      <c r="AF76" s="1236" t="s">
        <v>1185</v>
      </c>
      <c r="AG76" s="1236" t="s">
        <v>1186</v>
      </c>
      <c r="AH76" s="1236" t="s">
        <v>1187</v>
      </c>
      <c r="AI76" s="1236" t="s">
        <v>1188</v>
      </c>
      <c r="AJ76" s="1236" t="s">
        <v>1189</v>
      </c>
      <c r="AK76" s="1236" t="s">
        <v>1190</v>
      </c>
      <c r="AL76" s="1236" t="s">
        <v>1191</v>
      </c>
      <c r="AM76" s="1236" t="s">
        <v>1192</v>
      </c>
      <c r="AN76" s="1236" t="s">
        <v>1193</v>
      </c>
      <c r="AO76" s="1236" t="s">
        <v>1194</v>
      </c>
      <c r="AP76" s="1236" t="s">
        <v>1195</v>
      </c>
      <c r="AQ76" s="1236" t="s">
        <v>1196</v>
      </c>
      <c r="AR76" s="1236" t="s">
        <v>1197</v>
      </c>
      <c r="AS76" s="1236" t="s">
        <v>1198</v>
      </c>
      <c r="AT76" s="1236" t="s">
        <v>1199</v>
      </c>
      <c r="AU76" s="1236" t="s">
        <v>1200</v>
      </c>
      <c r="AV76" s="1236" t="s">
        <v>1201</v>
      </c>
      <c r="AW76" s="1236" t="s">
        <v>1202</v>
      </c>
      <c r="AX76" s="1236" t="s">
        <v>1203</v>
      </c>
      <c r="AY76" s="1236" t="s">
        <v>1204</v>
      </c>
      <c r="AZ76" s="1236" t="s">
        <v>1205</v>
      </c>
      <c r="BA76" s="1236" t="s">
        <v>1206</v>
      </c>
      <c r="BB76" s="1236" t="s">
        <v>1207</v>
      </c>
      <c r="BC76" s="1236" t="s">
        <v>1208</v>
      </c>
      <c r="BD76" s="1236" t="s">
        <v>1209</v>
      </c>
      <c r="BE76" s="1236" t="s">
        <v>1210</v>
      </c>
      <c r="BF76" s="1236" t="s">
        <v>1211</v>
      </c>
      <c r="BG76" s="913"/>
    </row>
    <row r="77">
      <c r="A77" s="1220" t="s">
        <v>104</v>
      </c>
      <c r="B77" s="1238">
        <v>45473.0</v>
      </c>
      <c r="C77" s="1220">
        <v>2024.0</v>
      </c>
      <c r="D77" s="1220" t="s">
        <v>1073</v>
      </c>
      <c r="E77" s="1244">
        <v>1.2749549031815206</v>
      </c>
      <c r="F77" s="1244">
        <v>1.2650096579027186</v>
      </c>
      <c r="G77" s="1244">
        <v>0.14618552751305014</v>
      </c>
      <c r="H77" s="1240">
        <v>84.76293437553545</v>
      </c>
      <c r="I77" s="1240">
        <v>6.136357503305718</v>
      </c>
      <c r="J77" s="1240">
        <v>90.89929187884117</v>
      </c>
      <c r="K77" s="1240">
        <v>108.32690179992983</v>
      </c>
      <c r="L77" s="1240">
        <v>-17.42760992108866</v>
      </c>
      <c r="M77" s="1240">
        <v>0.6976444382797138</v>
      </c>
      <c r="N77" s="1240">
        <v>0.44644299573273716</v>
      </c>
      <c r="O77" s="1240">
        <v>0.43972797219343834</v>
      </c>
      <c r="P77" s="1240">
        <v>0.35955972944084985</v>
      </c>
      <c r="Q77" s="1240">
        <v>0.18231326597827197</v>
      </c>
      <c r="R77" s="1240">
        <v>0.17208583985957596</v>
      </c>
      <c r="S77" s="1240">
        <v>0.32828137978299815</v>
      </c>
      <c r="T77" s="1240">
        <v>0.2828625118577739</v>
      </c>
      <c r="U77" s="1240">
        <v>0.8176867340217281</v>
      </c>
      <c r="V77" s="1240">
        <v>0.9849588332587063</v>
      </c>
      <c r="W77" s="1240">
        <v>0.44644299573273716</v>
      </c>
      <c r="X77" s="1240">
        <v>0.10080775065750552</v>
      </c>
      <c r="Y77" s="1240">
        <v>0.19230697601656752</v>
      </c>
      <c r="Z77" s="1240">
        <v>0.13718766570790417</v>
      </c>
      <c r="AA77" s="1240">
        <v>0.16128981871686654</v>
      </c>
      <c r="AB77" s="1241">
        <v>37.285519591141394</v>
      </c>
      <c r="AC77" s="1240">
        <v>2.296106914584544</v>
      </c>
      <c r="AD77" s="1240">
        <v>1.9076606189729475</v>
      </c>
      <c r="AE77" s="1240">
        <v>4.3061274682032185</v>
      </c>
      <c r="AF77" s="1240">
        <v>3.3694308056010183</v>
      </c>
      <c r="AG77" s="1240">
        <v>59.481540930979136</v>
      </c>
      <c r="AH77" s="1240">
        <v>1.5860163569542938</v>
      </c>
      <c r="AI77" s="1240">
        <v>0.47860153896318164</v>
      </c>
      <c r="AJ77" s="1240">
        <v>15.953169156237385</v>
      </c>
      <c r="AK77" s="1240">
        <v>9.967837437760732</v>
      </c>
      <c r="AL77" s="1240">
        <v>10.164311667339524</v>
      </c>
      <c r="AM77" s="1240">
        <v>0.24701597531088318</v>
      </c>
      <c r="AN77" s="1240">
        <v>0.48362856047192826</v>
      </c>
      <c r="AO77" s="1240">
        <v>0.6248186388635827</v>
      </c>
      <c r="AP77" s="1240">
        <v>2.296106914584544</v>
      </c>
      <c r="AQ77" s="1240">
        <v>13.257436815030195</v>
      </c>
      <c r="AR77" s="1240">
        <v>2.665377610900016</v>
      </c>
      <c r="AS77" s="1240">
        <v>1.7894577949523005</v>
      </c>
      <c r="AT77" s="1240">
        <v>0.24701597531088318</v>
      </c>
      <c r="AU77" s="1240">
        <v>12.641532161041727</v>
      </c>
      <c r="AV77" s="1240">
        <v>12.641532161041727</v>
      </c>
      <c r="AW77" s="1240">
        <v>13.846005784874471</v>
      </c>
      <c r="AX77" s="1240">
        <v>38.508221725515114</v>
      </c>
      <c r="AY77" s="1240">
        <v>45.82037005035709</v>
      </c>
      <c r="AZ77" s="1240">
        <v>28.629421247089788</v>
      </c>
      <c r="BA77" s="1240">
        <v>28.629421247089788</v>
      </c>
      <c r="BB77" s="1240">
        <v>1.749065024168257</v>
      </c>
      <c r="BC77" s="1240">
        <v>13.846005784874471</v>
      </c>
      <c r="BD77" s="1240">
        <v>0.006414629506176681</v>
      </c>
      <c r="BE77" s="1240">
        <v>26.11475636986971</v>
      </c>
      <c r="BF77" s="1240">
        <v>12.641532161041727</v>
      </c>
      <c r="BG77" s="913"/>
    </row>
    <row r="78">
      <c r="A78" s="1220" t="s">
        <v>104</v>
      </c>
      <c r="B78" s="1238">
        <v>45107.0</v>
      </c>
      <c r="C78" s="1220">
        <v>2023.0</v>
      </c>
      <c r="D78" s="1220" t="s">
        <v>1073</v>
      </c>
      <c r="E78" s="1244">
        <v>1.76916725076573</v>
      </c>
      <c r="F78" s="1244">
        <v>1.745163179675273</v>
      </c>
      <c r="G78" s="1244">
        <v>0.3332149132492871</v>
      </c>
      <c r="H78" s="1240">
        <v>83.85966071302173</v>
      </c>
      <c r="I78" s="1240">
        <v>13.854516192703034</v>
      </c>
      <c r="J78" s="1240">
        <v>97.71417690572476</v>
      </c>
      <c r="K78" s="1240">
        <v>100.27898820278456</v>
      </c>
      <c r="L78" s="1240">
        <v>-2.564811297059805</v>
      </c>
      <c r="M78" s="1240">
        <v>0.6892008588349102</v>
      </c>
      <c r="N78" s="1240">
        <v>0.417728806361041</v>
      </c>
      <c r="O78" s="1240">
        <v>0.42144727838992047</v>
      </c>
      <c r="P78" s="1240">
        <v>0.3414623787839464</v>
      </c>
      <c r="Q78" s="1240">
        <v>0.18978625253328257</v>
      </c>
      <c r="R78" s="1240">
        <v>0.175643726819038</v>
      </c>
      <c r="S78" s="1240">
        <v>0.35088714643856406</v>
      </c>
      <c r="T78" s="1240">
        <v>0.28757386454079725</v>
      </c>
      <c r="U78" s="1240">
        <v>0.8102137474667174</v>
      </c>
      <c r="V78" s="1240">
        <v>1.0089016413813359</v>
      </c>
      <c r="W78" s="1240">
        <v>0.417728806361041</v>
      </c>
      <c r="X78" s="1240">
        <v>0.11465959182088277</v>
      </c>
      <c r="Y78" s="1240">
        <v>0.2290578645446919</v>
      </c>
      <c r="Z78" s="1240">
        <v>0.16916922159596798</v>
      </c>
      <c r="AA78" s="1240">
        <v>0.18636865777637496</v>
      </c>
      <c r="AB78" s="1240">
        <v>44.98119918699187</v>
      </c>
      <c r="AC78" s="1240">
        <v>1.8540974236297818</v>
      </c>
      <c r="AD78" s="1240">
        <v>1.9977209137681053</v>
      </c>
      <c r="AE78" s="1240">
        <v>4.3525098586920805</v>
      </c>
      <c r="AF78" s="1240">
        <v>3.639845261121857</v>
      </c>
      <c r="AG78" s="1240">
        <v>26.3452</v>
      </c>
      <c r="AH78" s="1240">
        <v>1.9267277041832216</v>
      </c>
      <c r="AI78" s="1240">
        <v>0.5143867603938094</v>
      </c>
      <c r="AJ78" s="1240">
        <v>11.76228847703465</v>
      </c>
      <c r="AK78" s="1240">
        <v>7.987510072522159</v>
      </c>
      <c r="AL78" s="1240">
        <v>14.941713671770078</v>
      </c>
      <c r="AM78" s="1240">
        <v>0.2736280593137187</v>
      </c>
      <c r="AN78" s="1240">
        <v>0.4132883467427978</v>
      </c>
      <c r="AO78" s="1240">
        <v>0.6790778927176817</v>
      </c>
      <c r="AP78" s="1240">
        <v>1.8540974236297818</v>
      </c>
      <c r="AQ78" s="1240">
        <v>16.69182389937107</v>
      </c>
      <c r="AR78" s="1240">
        <v>3.1160209200555022</v>
      </c>
      <c r="AS78" s="1240">
        <v>1.828167073705304</v>
      </c>
      <c r="AT78" s="1240">
        <v>0.2736280593137187</v>
      </c>
      <c r="AU78" s="1240">
        <v>12.29572278552829</v>
      </c>
      <c r="AV78" s="1240">
        <v>12.29572278552829</v>
      </c>
      <c r="AW78" s="1240">
        <v>11.96546181251917</v>
      </c>
      <c r="AX78" s="1240">
        <v>35.04181589530272</v>
      </c>
      <c r="AY78" s="1240">
        <v>42.63406204287516</v>
      </c>
      <c r="AZ78" s="1240">
        <v>28.951849010070564</v>
      </c>
      <c r="BA78" s="1240">
        <v>28.951849010070564</v>
      </c>
      <c r="BB78" s="1240">
        <v>169.9528070922005</v>
      </c>
      <c r="BC78" s="1240">
        <v>11.96546181251917</v>
      </c>
      <c r="BD78" s="1240">
        <v>0.00780861528783952</v>
      </c>
      <c r="BE78" s="1240">
        <v>24.54249419821191</v>
      </c>
      <c r="BF78" s="1240">
        <v>12.29572278552829</v>
      </c>
      <c r="BG78" s="913"/>
    </row>
    <row r="79">
      <c r="A79" s="1220" t="s">
        <v>104</v>
      </c>
      <c r="B79" s="1238">
        <v>44742.0</v>
      </c>
      <c r="C79" s="1220">
        <v>2022.0</v>
      </c>
      <c r="D79" s="1220" t="s">
        <v>1073</v>
      </c>
      <c r="E79" s="1244">
        <v>1.7846069708251824</v>
      </c>
      <c r="F79" s="1244">
        <v>1.7452514671546664</v>
      </c>
      <c r="G79" s="1244">
        <v>0.14651563913253823</v>
      </c>
      <c r="H79" s="1240">
        <v>81.48113683361075</v>
      </c>
      <c r="I79" s="1240">
        <v>21.80095770151636</v>
      </c>
      <c r="J79" s="1240">
        <v>103.2820945351271</v>
      </c>
      <c r="K79" s="1240">
        <v>110.69433359936153</v>
      </c>
      <c r="L79" s="1240">
        <v>-7.412239064234427</v>
      </c>
      <c r="M79" s="1240">
        <v>0.684016744842891</v>
      </c>
      <c r="N79" s="1240">
        <v>0.4205527815604983</v>
      </c>
      <c r="O79" s="1240">
        <v>0.4222323094769758</v>
      </c>
      <c r="P79" s="1240">
        <v>0.3668633681343622</v>
      </c>
      <c r="Q79" s="1240">
        <v>0.13113383343685794</v>
      </c>
      <c r="R79" s="1240">
        <v>0.19936958666812848</v>
      </c>
      <c r="S79" s="1240">
        <v>0.4367546925099975</v>
      </c>
      <c r="T79" s="1240">
        <v>0.309102973776496</v>
      </c>
      <c r="U79" s="1240">
        <v>0.8688661665631421</v>
      </c>
      <c r="V79" s="1240">
        <v>1.0039936198025976</v>
      </c>
      <c r="W79" s="1240">
        <v>0.4205527815604983</v>
      </c>
      <c r="X79" s="1240">
        <v>0.13644611336476264</v>
      </c>
      <c r="Y79" s="1240">
        <v>0.2989095843691081</v>
      </c>
      <c r="Z79" s="1240">
        <v>0.2202140710011518</v>
      </c>
      <c r="AA79" s="1240">
        <v>0.23012347276988576</v>
      </c>
      <c r="AB79" s="1240">
        <v>40.41832283082889</v>
      </c>
      <c r="AC79" s="1240">
        <v>1.7885337779474098</v>
      </c>
      <c r="AD79" s="1240">
        <v>2.1906786276134547</v>
      </c>
      <c r="AE79" s="1240">
        <v>4.479564402069542</v>
      </c>
      <c r="AF79" s="1240">
        <v>3.2973684210526315</v>
      </c>
      <c r="AG79" s="1240">
        <v>16.742383752004276</v>
      </c>
      <c r="AH79" s="1240">
        <v>2.264752244534302</v>
      </c>
      <c r="AI79" s="1240">
        <v>0.5434437013485364</v>
      </c>
      <c r="AJ79" s="1240">
        <v>11.877668089647813</v>
      </c>
      <c r="AK79" s="1240">
        <v>8.691168623265742</v>
      </c>
      <c r="AL79" s="1240">
        <v>13.97398612593383</v>
      </c>
      <c r="AM79" s="1240">
        <v>0.24931947537738183</v>
      </c>
      <c r="AN79" s="1240">
        <v>0.44905936349422504</v>
      </c>
      <c r="AO79" s="1240">
        <v>0.7317234795305217</v>
      </c>
      <c r="AP79" s="1240">
        <v>1.7885337779474098</v>
      </c>
      <c r="AQ79" s="1240">
        <v>32.388141142233536</v>
      </c>
      <c r="AR79" s="1240">
        <v>3.727497278740685</v>
      </c>
      <c r="AS79" s="1240">
        <v>2.1188215416101475</v>
      </c>
      <c r="AT79" s="1240">
        <v>0.24931947537738183</v>
      </c>
      <c r="AU79" s="1240">
        <v>11.559832834960549</v>
      </c>
      <c r="AV79" s="1240">
        <v>11.559832834960549</v>
      </c>
      <c r="AW79" s="1240">
        <v>9.709979724617945</v>
      </c>
      <c r="AX79" s="1240">
        <v>26.467564134290193</v>
      </c>
      <c r="AY79" s="1240">
        <v>29.550686579993553</v>
      </c>
      <c r="AZ79" s="1240">
        <v>21.622931206828774</v>
      </c>
      <c r="BA79" s="1240">
        <v>21.622931206828774</v>
      </c>
      <c r="BB79" s="1240">
        <v>1.3602317770280787</v>
      </c>
      <c r="BC79" s="1240">
        <v>9.709979724617945</v>
      </c>
      <c r="BD79" s="1240">
        <v>0.009419811891732594</v>
      </c>
      <c r="BE79" s="1240">
        <v>19.849227147118388</v>
      </c>
      <c r="BF79" s="1240">
        <v>11.559832834960549</v>
      </c>
      <c r="BG79" s="913"/>
    </row>
    <row r="80">
      <c r="A80" s="1220" t="s">
        <v>104</v>
      </c>
      <c r="B80" s="1238">
        <v>44377.0</v>
      </c>
      <c r="C80" s="1220">
        <v>2021.0</v>
      </c>
      <c r="D80" s="1220" t="s">
        <v>1073</v>
      </c>
      <c r="E80" s="1244">
        <v>2.0799936835218875</v>
      </c>
      <c r="F80" s="1244">
        <v>2.0502611186933914</v>
      </c>
      <c r="G80" s="1244">
        <v>0.1604385440517951</v>
      </c>
      <c r="H80" s="1240">
        <v>82.6096746942078</v>
      </c>
      <c r="I80" s="1240">
        <v>18.420508500536073</v>
      </c>
      <c r="J80" s="1240">
        <v>101.03018319474387</v>
      </c>
      <c r="K80" s="1240">
        <v>105.95985219788636</v>
      </c>
      <c r="L80" s="1240">
        <v>-4.929669003142493</v>
      </c>
      <c r="M80" s="1240">
        <v>0.689258007710247</v>
      </c>
      <c r="N80" s="1240">
        <v>0.415948788729713</v>
      </c>
      <c r="O80" s="1240">
        <v>0.4230046166293846</v>
      </c>
      <c r="P80" s="1240">
        <v>0.36451739564989766</v>
      </c>
      <c r="Q80" s="1240">
        <v>0.13826615285083402</v>
      </c>
      <c r="R80" s="1240">
        <v>0.18356757015869782</v>
      </c>
      <c r="S80" s="1240">
        <v>0.4315223821731414</v>
      </c>
      <c r="T80" s="1240">
        <v>0.28522939597424957</v>
      </c>
      <c r="U80" s="1240">
        <v>0.861733847149166</v>
      </c>
      <c r="V80" s="1240">
        <v>1.0169632129984554</v>
      </c>
      <c r="W80" s="1240">
        <v>0.415948788729713</v>
      </c>
      <c r="X80" s="1240">
        <v>0.1742050877976146</v>
      </c>
      <c r="Y80" s="1240">
        <v>0.4095134800123954</v>
      </c>
      <c r="Z80" s="1240">
        <v>0.2607178931803272</v>
      </c>
      <c r="AA80" s="1240">
        <v>0.2905353413213147</v>
      </c>
      <c r="AB80" s="1240">
        <v>29.80221653878943</v>
      </c>
      <c r="AC80" s="1240">
        <v>1.3197812403260758</v>
      </c>
      <c r="AD80" s="1240">
        <v>2.3507549933797223</v>
      </c>
      <c r="AE80" s="1240">
        <v>4.418368688063507</v>
      </c>
      <c r="AF80" s="1240">
        <v>3.4447009167051377</v>
      </c>
      <c r="AG80" s="1240">
        <v>19.814871016691956</v>
      </c>
      <c r="AH80" s="1240">
        <v>2.374023699560753</v>
      </c>
      <c r="AI80" s="1240">
        <v>0.5035906992351227</v>
      </c>
      <c r="AJ80" s="1240">
        <v>10.16827878627269</v>
      </c>
      <c r="AK80" s="1240">
        <v>7.435802305551875</v>
      </c>
      <c r="AL80" s="1240">
        <v>17.259308334437524</v>
      </c>
      <c r="AM80" s="1240">
        <v>0.269638164874084</v>
      </c>
      <c r="AN80" s="1240">
        <v>0.4565465708438437</v>
      </c>
      <c r="AO80" s="1240">
        <v>0.7312744331508991</v>
      </c>
      <c r="AP80" s="1240">
        <v>1.3197812403260758</v>
      </c>
      <c r="AQ80" s="1240">
        <v>9.506937561942518</v>
      </c>
      <c r="AR80" s="1240">
        <v>3.7212685481524583</v>
      </c>
      <c r="AS80" s="1240">
        <v>2.066068976657782</v>
      </c>
      <c r="AT80" s="1240">
        <v>0.269638164874084</v>
      </c>
      <c r="AU80" s="1240">
        <v>14.398979491224608</v>
      </c>
      <c r="AV80" s="1240">
        <v>14.398979491224608</v>
      </c>
      <c r="AW80" s="1240">
        <v>12.163166317643137</v>
      </c>
      <c r="AX80" s="1240">
        <v>33.367862447160974</v>
      </c>
      <c r="AY80" s="1240">
        <v>36.43184539719876</v>
      </c>
      <c r="AZ80" s="1240">
        <v>26.641677091477717</v>
      </c>
      <c r="BA80" s="1240">
        <v>26.641677091477717</v>
      </c>
      <c r="BB80" s="1240">
        <v>0.844351997575987</v>
      </c>
      <c r="BC80" s="1240">
        <v>12.163166317643137</v>
      </c>
      <c r="BD80" s="1240">
        <v>0.008080774286967414</v>
      </c>
      <c r="BE80" s="1240">
        <v>25.045481813439558</v>
      </c>
      <c r="BF80" s="1240">
        <v>14.398979491224608</v>
      </c>
      <c r="BG80" s="913"/>
    </row>
    <row r="81">
      <c r="A81" s="1220" t="s">
        <v>104</v>
      </c>
      <c r="B81" s="1238">
        <v>44012.0</v>
      </c>
      <c r="C81" s="1220">
        <v>2020.0</v>
      </c>
      <c r="D81" s="1220" t="s">
        <v>1073</v>
      </c>
      <c r="E81" s="1244">
        <v>2.5157654542940118</v>
      </c>
      <c r="F81" s="1244">
        <v>2.489558843866685</v>
      </c>
      <c r="G81" s="1244">
        <v>0.18774719955746094</v>
      </c>
      <c r="H81" s="1240">
        <v>81.69782889906652</v>
      </c>
      <c r="I81" s="1240">
        <v>15.010959677069318</v>
      </c>
      <c r="J81" s="1240">
        <v>96.70878857613585</v>
      </c>
      <c r="K81" s="1240">
        <v>99.25452493597813</v>
      </c>
      <c r="L81" s="1240">
        <v>-2.54573635984228</v>
      </c>
      <c r="M81" s="1240">
        <v>0.6778100199279796</v>
      </c>
      <c r="N81" s="1240">
        <v>0.37030381428521486</v>
      </c>
      <c r="O81" s="1240">
        <v>0.3708422193476209</v>
      </c>
      <c r="P81" s="1240">
        <v>0.3096248645247002</v>
      </c>
      <c r="Q81" s="1240">
        <v>0.16507655177615205</v>
      </c>
      <c r="R81" s="1240">
        <v>0.14696111326835065</v>
      </c>
      <c r="S81" s="1240">
        <v>0.37429841763592103</v>
      </c>
      <c r="T81" s="1240">
        <v>0.231260998860267</v>
      </c>
      <c r="U81" s="1240">
        <v>0.8349234482238479</v>
      </c>
      <c r="V81" s="1240">
        <v>1.001453954946279</v>
      </c>
      <c r="W81" s="1240">
        <v>0.37030381428521486</v>
      </c>
      <c r="X81" s="1240">
        <v>0.2101715503250794</v>
      </c>
      <c r="Y81" s="1240">
        <v>0.5352904381931296</v>
      </c>
      <c r="Z81" s="1240">
        <v>0.3349298973476799</v>
      </c>
      <c r="AA81" s="1240">
        <v>0.3486574428374011</v>
      </c>
      <c r="AB81" s="1240">
        <v>20.439598610575068</v>
      </c>
      <c r="AC81" s="1240">
        <v>0.9581221280022739</v>
      </c>
      <c r="AD81" s="1240">
        <v>2.5469214903976196</v>
      </c>
      <c r="AE81" s="1240">
        <v>4.4676829839742584</v>
      </c>
      <c r="AF81" s="1240">
        <v>3.677414205905826</v>
      </c>
      <c r="AG81" s="1240">
        <v>24.3155672823219</v>
      </c>
      <c r="AH81" s="1240">
        <v>2.7032927566913654</v>
      </c>
      <c r="AI81" s="1240">
        <v>0.4746424790332912</v>
      </c>
      <c r="AJ81" s="1240">
        <v>7.973061760840999</v>
      </c>
      <c r="AK81" s="1240">
        <v>5.944021024967149</v>
      </c>
      <c r="AL81" s="1240">
        <v>17.93587385019711</v>
      </c>
      <c r="AM81" s="1240">
        <v>0.34183961518484224</v>
      </c>
      <c r="AN81" s="1240">
        <v>0.42425619690242283</v>
      </c>
      <c r="AO81" s="1240">
        <v>0.745512978986403</v>
      </c>
      <c r="AP81" s="1240">
        <v>0.9581221280022739</v>
      </c>
      <c r="AQ81" s="1240">
        <v>16.184315817551347</v>
      </c>
      <c r="AR81" s="1240">
        <v>3.929473479696911</v>
      </c>
      <c r="AS81" s="1240">
        <v>1.9842697364117994</v>
      </c>
      <c r="AT81" s="1240">
        <v>0.34183961518484224</v>
      </c>
      <c r="AU81" s="1240">
        <v>13.09094451582364</v>
      </c>
      <c r="AV81" s="1240">
        <v>13.09094451582364</v>
      </c>
      <c r="AW81" s="1240">
        <v>10.829011642135441</v>
      </c>
      <c r="AX81" s="1240">
        <v>34.97461891104537</v>
      </c>
      <c r="AY81" s="1240">
        <v>34.23776583985498</v>
      </c>
      <c r="AZ81" s="1240">
        <v>25.52469880510919</v>
      </c>
      <c r="BA81" s="1240">
        <v>25.52469880510919</v>
      </c>
      <c r="BB81" s="1240">
        <v>2.51718736106256</v>
      </c>
      <c r="BC81" s="1240">
        <v>10.829011642135441</v>
      </c>
      <c r="BD81" s="1240">
        <v>0.009773933950625136</v>
      </c>
      <c r="BE81" s="1240">
        <v>23.80857538239581</v>
      </c>
      <c r="BF81" s="1240">
        <v>13.09094451582364</v>
      </c>
      <c r="BG81" s="913"/>
    </row>
    <row r="82">
      <c r="H82" s="799"/>
      <c r="I82" s="799"/>
      <c r="J82" s="799"/>
      <c r="K82" s="799"/>
      <c r="L82" s="799"/>
      <c r="M82" s="799"/>
      <c r="N82" s="799"/>
      <c r="O82" s="799"/>
      <c r="P82" s="799"/>
      <c r="Q82" s="799"/>
      <c r="R82" s="799"/>
      <c r="S82" s="799"/>
      <c r="T82" s="799"/>
      <c r="U82" s="799"/>
      <c r="V82" s="799"/>
      <c r="W82" s="799"/>
      <c r="X82" s="799"/>
      <c r="Y82" s="799"/>
      <c r="Z82" s="799"/>
      <c r="AA82" s="799"/>
      <c r="AB82" s="799"/>
      <c r="AC82" s="799"/>
      <c r="AD82" s="799"/>
      <c r="AE82" s="799"/>
      <c r="AF82" s="799"/>
      <c r="AG82" s="799"/>
      <c r="AH82" s="799"/>
      <c r="AI82" s="799"/>
      <c r="AJ82" s="799"/>
      <c r="AK82" s="799"/>
      <c r="AL82" s="799"/>
      <c r="AM82" s="799"/>
      <c r="AN82" s="799"/>
      <c r="AO82" s="799"/>
      <c r="AP82" s="799"/>
      <c r="AQ82" s="799"/>
      <c r="AR82" s="799"/>
      <c r="AS82" s="799"/>
      <c r="AT82" s="799"/>
      <c r="AU82" s="799"/>
      <c r="AV82" s="799"/>
      <c r="AW82" s="799"/>
      <c r="AX82" s="799"/>
      <c r="AY82" s="799"/>
      <c r="AZ82" s="799"/>
      <c r="BA82" s="799"/>
      <c r="BB82" s="799"/>
      <c r="BC82" s="799"/>
      <c r="BD82" s="799"/>
      <c r="BE82" s="799"/>
      <c r="BF82" s="799"/>
      <c r="BG82" s="799"/>
    </row>
    <row r="83">
      <c r="H83" s="799"/>
      <c r="I83" s="799"/>
      <c r="J83" s="799"/>
      <c r="K83" s="799"/>
      <c r="L83" s="799"/>
      <c r="M83" s="799"/>
      <c r="N83" s="799"/>
      <c r="O83" s="799"/>
      <c r="P83" s="799"/>
      <c r="Q83" s="799"/>
      <c r="R83" s="799"/>
      <c r="S83" s="799"/>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799"/>
      <c r="AR83" s="799"/>
      <c r="AS83" s="799"/>
      <c r="AT83" s="799"/>
      <c r="AU83" s="799"/>
      <c r="AV83" s="799"/>
      <c r="AW83" s="799"/>
      <c r="AX83" s="799"/>
      <c r="AY83" s="799"/>
      <c r="AZ83" s="799"/>
      <c r="BA83" s="799"/>
      <c r="BB83" s="799"/>
      <c r="BC83" s="799"/>
      <c r="BD83" s="799"/>
      <c r="BE83" s="799"/>
      <c r="BF83" s="799"/>
      <c r="BG83" s="799"/>
    </row>
    <row r="84">
      <c r="H84" s="799"/>
      <c r="I84" s="799"/>
      <c r="J84" s="799"/>
      <c r="K84" s="799"/>
      <c r="L84" s="799"/>
      <c r="M84" s="799"/>
      <c r="N84" s="799"/>
      <c r="O84" s="799"/>
      <c r="P84" s="799"/>
      <c r="Q84" s="799"/>
      <c r="R84" s="799"/>
      <c r="S84" s="799"/>
      <c r="T84" s="799"/>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799"/>
      <c r="AR84" s="799"/>
      <c r="AS84" s="799"/>
      <c r="AT84" s="799"/>
      <c r="AU84" s="799"/>
      <c r="AV84" s="799"/>
      <c r="AW84" s="799"/>
      <c r="AX84" s="799"/>
      <c r="AY84" s="799"/>
      <c r="AZ84" s="799"/>
      <c r="BA84" s="799"/>
      <c r="BB84" s="799"/>
      <c r="BC84" s="799"/>
      <c r="BD84" s="799"/>
      <c r="BE84" s="799"/>
      <c r="BF84" s="799"/>
      <c r="BG84" s="799"/>
    </row>
    <row r="85">
      <c r="H85" s="799"/>
      <c r="I85" s="799"/>
      <c r="J85" s="799"/>
      <c r="K85" s="799"/>
      <c r="L85" s="799"/>
      <c r="M85" s="799"/>
      <c r="N85" s="799"/>
      <c r="O85" s="799"/>
      <c r="P85" s="799"/>
      <c r="Q85" s="799"/>
      <c r="R85" s="799"/>
      <c r="S85" s="799"/>
      <c r="T85" s="799"/>
      <c r="U85" s="799"/>
      <c r="V85" s="799"/>
      <c r="W85" s="799"/>
      <c r="X85" s="799"/>
      <c r="Y85" s="799"/>
      <c r="Z85" s="799"/>
      <c r="AA85" s="799"/>
      <c r="AB85" s="799"/>
      <c r="AC85" s="799"/>
      <c r="AD85" s="799"/>
      <c r="AE85" s="799"/>
      <c r="AF85" s="1245"/>
      <c r="AG85" s="799"/>
      <c r="AH85" s="799"/>
      <c r="AI85" s="799"/>
      <c r="AJ85" s="799"/>
      <c r="AK85" s="799"/>
      <c r="AL85" s="799"/>
      <c r="AM85" s="799"/>
      <c r="AN85" s="799"/>
      <c r="AO85" s="799"/>
      <c r="AP85" s="799"/>
      <c r="AQ85" s="799"/>
      <c r="AR85" s="799"/>
      <c r="AS85" s="799"/>
      <c r="AT85" s="799"/>
      <c r="AU85" s="799"/>
      <c r="AV85" s="799"/>
      <c r="AW85" s="799"/>
      <c r="AX85" s="799"/>
      <c r="AY85" s="799"/>
      <c r="AZ85" s="799"/>
      <c r="BA85" s="799"/>
      <c r="BB85" s="799"/>
      <c r="BC85" s="799"/>
      <c r="BD85" s="799"/>
      <c r="BE85" s="799"/>
      <c r="BF85" s="799"/>
      <c r="BG85" s="799"/>
    </row>
    <row r="86">
      <c r="A86" s="1246"/>
      <c r="H86" s="799"/>
      <c r="I86" s="799"/>
      <c r="J86" s="799"/>
      <c r="K86" s="799"/>
      <c r="L86" s="799"/>
      <c r="M86" s="799"/>
      <c r="N86" s="799"/>
      <c r="O86" s="799"/>
      <c r="P86" s="799"/>
      <c r="Q86" s="799"/>
      <c r="R86" s="799"/>
      <c r="S86" s="799"/>
      <c r="T86" s="799"/>
      <c r="U86" s="799"/>
      <c r="V86" s="799"/>
      <c r="W86" s="799"/>
      <c r="X86" s="799"/>
      <c r="Y86" s="799"/>
      <c r="Z86" s="799"/>
      <c r="AA86" s="799"/>
      <c r="AB86" s="799"/>
      <c r="AC86" s="799"/>
      <c r="AD86" s="799"/>
      <c r="AE86" s="799"/>
      <c r="AF86" s="799"/>
      <c r="AG86" s="799"/>
      <c r="AH86" s="799"/>
      <c r="AI86" s="799"/>
      <c r="AJ86" s="799"/>
      <c r="AK86" s="799"/>
      <c r="AL86" s="799"/>
      <c r="AM86" s="799"/>
      <c r="AN86" s="799"/>
      <c r="AO86" s="799"/>
      <c r="AP86" s="799"/>
      <c r="AQ86" s="799"/>
      <c r="AR86" s="799"/>
      <c r="AS86" s="799"/>
      <c r="AT86" s="799"/>
      <c r="AU86" s="799"/>
      <c r="AV86" s="799"/>
      <c r="AW86" s="799"/>
      <c r="AX86" s="799"/>
      <c r="AY86" s="799"/>
      <c r="AZ86" s="799"/>
      <c r="BA86" s="799"/>
      <c r="BB86" s="799"/>
      <c r="BC86" s="799"/>
      <c r="BD86" s="799"/>
      <c r="BE86" s="799"/>
      <c r="BF86" s="799"/>
      <c r="BG86" s="799"/>
    </row>
    <row r="87">
      <c r="H87" s="799"/>
      <c r="I87" s="799"/>
      <c r="J87" s="799"/>
      <c r="K87" s="799"/>
      <c r="L87" s="799"/>
      <c r="M87" s="799"/>
      <c r="N87" s="799"/>
      <c r="O87" s="799"/>
      <c r="P87" s="799"/>
      <c r="Q87" s="799"/>
      <c r="R87" s="799"/>
      <c r="S87" s="799"/>
      <c r="T87" s="799"/>
      <c r="U87" s="799"/>
      <c r="V87" s="799"/>
      <c r="W87" s="799"/>
      <c r="X87" s="799"/>
      <c r="Y87" s="799"/>
      <c r="Z87" s="799"/>
      <c r="AA87" s="799"/>
      <c r="AB87" s="799"/>
      <c r="AC87" s="799"/>
      <c r="AD87" s="799"/>
      <c r="AE87" s="799"/>
      <c r="AF87" s="799"/>
      <c r="AG87" s="799"/>
      <c r="AH87" s="799"/>
      <c r="AI87" s="799"/>
      <c r="AJ87" s="799"/>
      <c r="AK87" s="799"/>
      <c r="AL87" s="799"/>
      <c r="AM87" s="799"/>
      <c r="AN87" s="799"/>
      <c r="AO87" s="799"/>
      <c r="AP87" s="799"/>
      <c r="AQ87" s="799"/>
      <c r="AR87" s="799"/>
      <c r="AS87" s="799"/>
      <c r="AT87" s="799"/>
      <c r="AU87" s="799"/>
      <c r="AV87" s="799"/>
      <c r="AW87" s="799"/>
      <c r="AX87" s="799"/>
      <c r="AY87" s="799"/>
      <c r="AZ87" s="799"/>
      <c r="BA87" s="799"/>
      <c r="BB87" s="799"/>
      <c r="BC87" s="799"/>
      <c r="BD87" s="799"/>
      <c r="BE87" s="799"/>
      <c r="BF87" s="799"/>
      <c r="BG87" s="799"/>
    </row>
    <row r="88">
      <c r="H88" s="799"/>
      <c r="I88" s="799"/>
      <c r="J88" s="799"/>
      <c r="K88" s="799"/>
      <c r="L88" s="799"/>
      <c r="M88" s="799"/>
      <c r="N88" s="799"/>
      <c r="O88" s="799"/>
      <c r="P88" s="799"/>
      <c r="Q88" s="799"/>
      <c r="R88" s="799"/>
      <c r="S88" s="799"/>
      <c r="T88" s="799"/>
      <c r="U88" s="799"/>
      <c r="V88" s="799"/>
      <c r="W88" s="799"/>
      <c r="X88" s="799"/>
      <c r="Y88" s="799"/>
      <c r="Z88" s="799"/>
      <c r="AA88" s="799"/>
      <c r="AB88" s="799"/>
      <c r="AC88" s="799"/>
      <c r="AD88" s="799"/>
      <c r="AE88" s="799"/>
      <c r="AF88" s="799"/>
      <c r="AG88" s="799"/>
      <c r="AH88" s="799"/>
      <c r="AI88" s="799"/>
      <c r="AJ88" s="799"/>
      <c r="AK88" s="799"/>
      <c r="AL88" s="799"/>
      <c r="AM88" s="799"/>
      <c r="AN88" s="799"/>
      <c r="AO88" s="799"/>
      <c r="AP88" s="799"/>
      <c r="AQ88" s="799"/>
      <c r="AR88" s="799"/>
      <c r="AS88" s="799"/>
      <c r="AT88" s="799"/>
      <c r="AU88" s="799"/>
      <c r="AV88" s="799"/>
      <c r="AW88" s="799"/>
      <c r="AX88" s="799"/>
      <c r="AY88" s="799"/>
      <c r="AZ88" s="799"/>
      <c r="BA88" s="799"/>
      <c r="BB88" s="799"/>
      <c r="BC88" s="799"/>
      <c r="BD88" s="799"/>
      <c r="BE88" s="799"/>
      <c r="BF88" s="799"/>
      <c r="BG88" s="799"/>
    </row>
    <row r="89">
      <c r="H89" s="799"/>
      <c r="I89" s="799"/>
      <c r="J89" s="799"/>
      <c r="K89" s="799"/>
      <c r="L89" s="799"/>
      <c r="M89" s="799"/>
      <c r="N89" s="799"/>
      <c r="O89" s="799"/>
      <c r="P89" s="799"/>
      <c r="Q89" s="799"/>
      <c r="R89" s="799"/>
      <c r="S89" s="799"/>
      <c r="T89" s="799"/>
      <c r="U89" s="799"/>
      <c r="V89" s="799"/>
      <c r="W89" s="799"/>
      <c r="X89" s="799"/>
      <c r="Y89" s="799"/>
      <c r="Z89" s="799"/>
      <c r="AA89" s="799"/>
      <c r="AB89" s="799"/>
      <c r="AC89" s="799"/>
      <c r="AD89" s="799"/>
      <c r="AE89" s="799"/>
      <c r="AF89" s="799"/>
      <c r="AG89" s="799"/>
      <c r="AH89" s="799"/>
      <c r="AI89" s="799"/>
      <c r="AJ89" s="799"/>
      <c r="AK89" s="799"/>
      <c r="AL89" s="799"/>
      <c r="AM89" s="799"/>
      <c r="AN89" s="799"/>
      <c r="AO89" s="799"/>
      <c r="AP89" s="799"/>
      <c r="AQ89" s="799"/>
      <c r="AR89" s="799"/>
      <c r="AS89" s="799"/>
      <c r="AT89" s="799"/>
      <c r="AU89" s="799"/>
      <c r="AV89" s="799"/>
      <c r="AW89" s="799"/>
      <c r="AX89" s="799"/>
      <c r="AY89" s="799"/>
      <c r="AZ89" s="799"/>
      <c r="BA89" s="799"/>
      <c r="BB89" s="799"/>
      <c r="BC89" s="799"/>
      <c r="BD89" s="799"/>
      <c r="BE89" s="799"/>
      <c r="BF89" s="799"/>
      <c r="BG89" s="799"/>
    </row>
    <row r="90">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799"/>
      <c r="AQ90" s="799"/>
      <c r="AR90" s="799"/>
      <c r="AS90" s="799"/>
      <c r="AT90" s="799"/>
      <c r="AU90" s="799"/>
      <c r="AV90" s="799"/>
      <c r="AW90" s="799"/>
      <c r="AX90" s="799"/>
      <c r="AY90" s="799"/>
      <c r="AZ90" s="799"/>
      <c r="BA90" s="799"/>
      <c r="BB90" s="799"/>
      <c r="BC90" s="799"/>
      <c r="BD90" s="799"/>
      <c r="BE90" s="799"/>
      <c r="BF90" s="799"/>
      <c r="BG90" s="799"/>
    </row>
    <row r="91">
      <c r="H91" s="799"/>
      <c r="I91" s="799"/>
      <c r="J91" s="799"/>
      <c r="K91" s="799"/>
      <c r="L91" s="799"/>
      <c r="M91" s="799"/>
      <c r="N91" s="799"/>
      <c r="O91" s="799"/>
      <c r="P91" s="799"/>
      <c r="Q91" s="799"/>
      <c r="R91" s="799"/>
      <c r="S91" s="799"/>
      <c r="T91" s="799"/>
      <c r="U91" s="799"/>
      <c r="V91" s="799"/>
      <c r="W91" s="799"/>
      <c r="X91" s="799"/>
      <c r="Y91" s="799"/>
      <c r="Z91" s="799"/>
      <c r="AA91" s="799"/>
      <c r="AB91" s="799"/>
      <c r="AC91" s="799"/>
      <c r="AD91" s="799"/>
      <c r="AE91" s="799"/>
      <c r="AF91" s="799"/>
      <c r="AG91" s="799"/>
      <c r="AH91" s="799"/>
      <c r="AI91" s="799"/>
      <c r="AJ91" s="799"/>
      <c r="AK91" s="799"/>
      <c r="AL91" s="799"/>
      <c r="AM91" s="799"/>
      <c r="AN91" s="799"/>
      <c r="AO91" s="799"/>
      <c r="AP91" s="799"/>
      <c r="AQ91" s="799"/>
      <c r="AR91" s="799"/>
      <c r="AS91" s="799"/>
      <c r="AT91" s="799"/>
      <c r="AU91" s="799"/>
      <c r="AV91" s="799"/>
      <c r="AW91" s="799"/>
      <c r="AX91" s="799"/>
      <c r="AY91" s="799"/>
      <c r="AZ91" s="799"/>
      <c r="BA91" s="799"/>
      <c r="BB91" s="799"/>
      <c r="BC91" s="799"/>
      <c r="BD91" s="799"/>
      <c r="BE91" s="799"/>
      <c r="BF91" s="799"/>
      <c r="BG91" s="799"/>
    </row>
    <row r="92">
      <c r="H92" s="799"/>
      <c r="I92" s="799"/>
      <c r="J92" s="799"/>
      <c r="K92" s="799"/>
      <c r="L92" s="799"/>
      <c r="M92" s="799"/>
      <c r="N92" s="799"/>
      <c r="O92" s="799"/>
      <c r="P92" s="799"/>
      <c r="Q92" s="799"/>
      <c r="R92" s="799"/>
      <c r="S92" s="799"/>
      <c r="T92" s="799"/>
      <c r="U92" s="799"/>
      <c r="V92" s="799"/>
      <c r="W92" s="799"/>
      <c r="X92" s="799"/>
      <c r="Y92" s="799"/>
      <c r="Z92" s="799"/>
      <c r="AA92" s="799"/>
      <c r="AB92" s="799"/>
      <c r="AC92" s="799"/>
      <c r="AD92" s="799"/>
      <c r="AE92" s="799"/>
      <c r="AF92" s="799"/>
      <c r="AG92" s="799"/>
      <c r="AH92" s="799"/>
      <c r="AI92" s="799"/>
      <c r="AJ92" s="799"/>
      <c r="AK92" s="799"/>
      <c r="AL92" s="799"/>
      <c r="AM92" s="799"/>
      <c r="AN92" s="799"/>
      <c r="AO92" s="799"/>
      <c r="AP92" s="799"/>
      <c r="AQ92" s="799"/>
      <c r="AR92" s="799"/>
      <c r="AS92" s="799"/>
      <c r="AT92" s="799"/>
      <c r="AU92" s="799"/>
      <c r="AV92" s="799"/>
      <c r="AW92" s="799"/>
      <c r="AX92" s="799"/>
      <c r="AY92" s="799"/>
      <c r="AZ92" s="799"/>
      <c r="BA92" s="799"/>
      <c r="BB92" s="799"/>
      <c r="BC92" s="799"/>
      <c r="BD92" s="799"/>
      <c r="BE92" s="799"/>
      <c r="BF92" s="799"/>
      <c r="BG92" s="799"/>
    </row>
    <row r="93">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c r="AY93" s="799"/>
      <c r="AZ93" s="799"/>
      <c r="BA93" s="799"/>
      <c r="BB93" s="799"/>
      <c r="BC93" s="799"/>
      <c r="BD93" s="799"/>
      <c r="BE93" s="799"/>
      <c r="BF93" s="799"/>
      <c r="BG93" s="799"/>
    </row>
    <row r="94">
      <c r="H94" s="799"/>
      <c r="I94" s="799"/>
      <c r="J94" s="799"/>
      <c r="K94" s="799"/>
      <c r="L94" s="799"/>
      <c r="M94" s="799"/>
      <c r="N94" s="799"/>
      <c r="O94" s="799"/>
      <c r="P94" s="799"/>
      <c r="Q94" s="799"/>
      <c r="R94" s="799"/>
      <c r="S94" s="799"/>
      <c r="T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799"/>
      <c r="AY94" s="799"/>
      <c r="AZ94" s="799"/>
      <c r="BA94" s="799"/>
      <c r="BB94" s="799"/>
      <c r="BC94" s="799"/>
      <c r="BD94" s="799"/>
      <c r="BE94" s="799"/>
      <c r="BF94" s="799"/>
      <c r="BG94" s="799"/>
    </row>
    <row r="95">
      <c r="H95" s="799"/>
      <c r="I95" s="799"/>
      <c r="J95" s="799"/>
      <c r="K95" s="799"/>
      <c r="L95" s="799"/>
      <c r="M95" s="799"/>
      <c r="N95" s="799"/>
      <c r="O95" s="799"/>
      <c r="P95" s="799"/>
      <c r="Q95" s="799"/>
      <c r="R95" s="799"/>
      <c r="S95" s="799"/>
      <c r="T95" s="799"/>
      <c r="U95" s="799"/>
      <c r="V95" s="799"/>
      <c r="W95" s="799"/>
      <c r="X95" s="799"/>
      <c r="Y95" s="799"/>
      <c r="Z95" s="799"/>
      <c r="AA95" s="799"/>
      <c r="AB95" s="799"/>
      <c r="AC95" s="799"/>
      <c r="AD95" s="799"/>
      <c r="AE95" s="799"/>
      <c r="AF95" s="799"/>
      <c r="AG95" s="799"/>
      <c r="AH95" s="799"/>
      <c r="AI95" s="799"/>
      <c r="AJ95" s="799"/>
      <c r="AK95" s="799"/>
      <c r="AL95" s="799"/>
      <c r="AM95" s="799"/>
      <c r="AN95" s="799"/>
      <c r="AO95" s="799"/>
      <c r="AP95" s="799"/>
      <c r="AQ95" s="799"/>
      <c r="AR95" s="799"/>
      <c r="AS95" s="799"/>
      <c r="AT95" s="799"/>
      <c r="AU95" s="799"/>
      <c r="AV95" s="799"/>
      <c r="AW95" s="799"/>
      <c r="AX95" s="799"/>
      <c r="AY95" s="799"/>
      <c r="AZ95" s="799"/>
      <c r="BA95" s="799"/>
      <c r="BB95" s="799"/>
      <c r="BC95" s="799"/>
      <c r="BD95" s="799"/>
      <c r="BE95" s="799"/>
      <c r="BF95" s="799"/>
      <c r="BG95" s="799"/>
    </row>
    <row r="96">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row>
    <row r="97">
      <c r="H97" s="799"/>
      <c r="I97" s="799"/>
      <c r="J97" s="799"/>
      <c r="K97" s="799"/>
      <c r="L97" s="799"/>
      <c r="M97" s="799"/>
      <c r="N97" s="799"/>
      <c r="O97" s="799"/>
      <c r="P97" s="799"/>
      <c r="Q97" s="799"/>
      <c r="R97" s="799"/>
      <c r="S97" s="799"/>
      <c r="T97" s="799"/>
      <c r="U97" s="799"/>
      <c r="V97" s="799"/>
      <c r="W97" s="799"/>
      <c r="X97" s="799"/>
      <c r="Y97" s="799"/>
      <c r="Z97" s="799"/>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799"/>
      <c r="AX97" s="799"/>
      <c r="AY97" s="799"/>
      <c r="AZ97" s="799"/>
      <c r="BA97" s="799"/>
      <c r="BB97" s="799"/>
      <c r="BC97" s="799"/>
      <c r="BD97" s="799"/>
      <c r="BE97" s="799"/>
      <c r="BF97" s="799"/>
      <c r="BG97" s="799"/>
    </row>
    <row r="98">
      <c r="H98" s="799"/>
      <c r="I98" s="799"/>
      <c r="J98" s="799"/>
      <c r="K98" s="799"/>
      <c r="L98" s="799"/>
      <c r="M98" s="799"/>
      <c r="N98" s="799"/>
      <c r="O98" s="799"/>
      <c r="P98" s="799"/>
      <c r="Q98" s="799"/>
      <c r="R98" s="799"/>
      <c r="S98" s="799"/>
      <c r="T98" s="799"/>
      <c r="U98" s="799"/>
      <c r="V98" s="799"/>
      <c r="W98" s="799"/>
      <c r="X98" s="799"/>
      <c r="Y98" s="799"/>
      <c r="Z98" s="799"/>
      <c r="AA98" s="799"/>
      <c r="AB98" s="799"/>
      <c r="AC98" s="799"/>
      <c r="AD98" s="799"/>
      <c r="AE98" s="799"/>
      <c r="AF98" s="799"/>
      <c r="AG98" s="799"/>
      <c r="AH98" s="799"/>
      <c r="AI98" s="799"/>
      <c r="AJ98" s="799"/>
      <c r="AK98" s="799"/>
      <c r="AL98" s="799"/>
      <c r="AM98" s="799"/>
      <c r="AN98" s="799"/>
      <c r="AO98" s="799"/>
      <c r="AP98" s="799"/>
      <c r="AQ98" s="799"/>
      <c r="AR98" s="799"/>
      <c r="AS98" s="799"/>
      <c r="AT98" s="799"/>
      <c r="AU98" s="799"/>
      <c r="AV98" s="799"/>
      <c r="AW98" s="799"/>
      <c r="AX98" s="799"/>
      <c r="AY98" s="799"/>
      <c r="AZ98" s="799"/>
      <c r="BA98" s="799"/>
      <c r="BB98" s="799"/>
      <c r="BC98" s="799"/>
      <c r="BD98" s="799"/>
      <c r="BE98" s="799"/>
      <c r="BF98" s="799"/>
      <c r="BG98" s="799"/>
    </row>
    <row r="99">
      <c r="H99" s="799"/>
      <c r="I99" s="799"/>
      <c r="J99" s="799"/>
      <c r="K99" s="799"/>
      <c r="L99" s="799"/>
      <c r="M99" s="799"/>
      <c r="N99" s="799"/>
      <c r="O99" s="799"/>
      <c r="P99" s="799"/>
      <c r="Q99" s="799"/>
      <c r="R99" s="799"/>
      <c r="S99" s="799"/>
      <c r="T99" s="799"/>
      <c r="U99" s="799"/>
      <c r="V99" s="799"/>
      <c r="W99" s="799"/>
      <c r="X99" s="799"/>
      <c r="Y99" s="799"/>
      <c r="Z99" s="799"/>
      <c r="AA99" s="799"/>
      <c r="AB99" s="799"/>
      <c r="AC99" s="799"/>
      <c r="AD99" s="799"/>
      <c r="AE99" s="799"/>
      <c r="AF99" s="799"/>
      <c r="AG99" s="799"/>
      <c r="AH99" s="799"/>
      <c r="AI99" s="799"/>
      <c r="AJ99" s="799"/>
      <c r="AK99" s="799"/>
      <c r="AL99" s="799"/>
      <c r="AM99" s="799"/>
      <c r="AN99" s="799"/>
      <c r="AO99" s="799"/>
      <c r="AP99" s="799"/>
      <c r="AQ99" s="799"/>
      <c r="AR99" s="799"/>
      <c r="AS99" s="799"/>
      <c r="AT99" s="799"/>
      <c r="AU99" s="799"/>
      <c r="AV99" s="799"/>
      <c r="AW99" s="799"/>
      <c r="AX99" s="799"/>
      <c r="AY99" s="799"/>
      <c r="AZ99" s="799"/>
      <c r="BA99" s="799"/>
      <c r="BB99" s="799"/>
      <c r="BC99" s="799"/>
      <c r="BD99" s="799"/>
      <c r="BE99" s="799"/>
      <c r="BF99" s="799"/>
      <c r="BG99" s="799"/>
    </row>
    <row r="100">
      <c r="H100" s="799"/>
      <c r="I100" s="799"/>
      <c r="J100" s="799"/>
      <c r="K100" s="799"/>
      <c r="L100" s="799"/>
      <c r="M100" s="799"/>
      <c r="N100" s="799"/>
      <c r="O100" s="799"/>
      <c r="P100" s="799"/>
      <c r="Q100" s="799"/>
      <c r="R100" s="799"/>
      <c r="S100" s="799"/>
      <c r="T100" s="799"/>
      <c r="U100" s="799"/>
      <c r="V100" s="799"/>
      <c r="W100" s="799"/>
      <c r="X100" s="799"/>
      <c r="Y100" s="799"/>
      <c r="Z100" s="799"/>
      <c r="AA100" s="799"/>
      <c r="AB100" s="799"/>
      <c r="AC100" s="799"/>
      <c r="AD100" s="799"/>
      <c r="AE100" s="799"/>
      <c r="AF100" s="799"/>
      <c r="AG100" s="799"/>
      <c r="AH100" s="799"/>
      <c r="AI100" s="799"/>
      <c r="AJ100" s="799"/>
      <c r="AK100" s="799"/>
      <c r="AL100" s="799"/>
      <c r="AM100" s="799"/>
      <c r="AN100" s="799"/>
      <c r="AO100" s="799"/>
      <c r="AP100" s="799"/>
      <c r="AQ100" s="799"/>
      <c r="AR100" s="799"/>
      <c r="AS100" s="799"/>
      <c r="AT100" s="799"/>
      <c r="AU100" s="799"/>
      <c r="AV100" s="799"/>
      <c r="AW100" s="799"/>
      <c r="AX100" s="799"/>
      <c r="AY100" s="799"/>
      <c r="AZ100" s="799"/>
      <c r="BA100" s="799"/>
      <c r="BB100" s="799"/>
      <c r="BC100" s="799"/>
      <c r="BD100" s="799"/>
      <c r="BE100" s="799"/>
      <c r="BF100" s="799"/>
      <c r="BG100" s="799"/>
    </row>
    <row r="101">
      <c r="H101" s="799"/>
      <c r="I101" s="799"/>
      <c r="J101" s="799"/>
      <c r="K101" s="799"/>
      <c r="L101" s="799"/>
      <c r="M101" s="799"/>
      <c r="N101" s="799"/>
      <c r="O101" s="799"/>
      <c r="P101" s="799"/>
      <c r="Q101" s="799"/>
      <c r="R101" s="799"/>
      <c r="S101" s="799"/>
      <c r="T101" s="799"/>
      <c r="U101" s="799"/>
      <c r="V101" s="799"/>
      <c r="W101" s="799"/>
      <c r="X101" s="799"/>
      <c r="Y101" s="799"/>
      <c r="Z101" s="799"/>
      <c r="AA101" s="799"/>
      <c r="AB101" s="799"/>
      <c r="AC101" s="799"/>
      <c r="AD101" s="799"/>
      <c r="AE101" s="799"/>
      <c r="AF101" s="799"/>
      <c r="AG101" s="799"/>
      <c r="AH101" s="799"/>
      <c r="AI101" s="799"/>
      <c r="AJ101" s="799"/>
      <c r="AK101" s="799"/>
      <c r="AL101" s="799"/>
      <c r="AM101" s="799"/>
      <c r="AN101" s="799"/>
      <c r="AO101" s="799"/>
      <c r="AP101" s="799"/>
      <c r="AQ101" s="799"/>
      <c r="AR101" s="799"/>
      <c r="AS101" s="799"/>
      <c r="AT101" s="799"/>
      <c r="AU101" s="799"/>
      <c r="AV101" s="799"/>
      <c r="AW101" s="799"/>
      <c r="AX101" s="799"/>
      <c r="AY101" s="799"/>
      <c r="AZ101" s="799"/>
      <c r="BA101" s="799"/>
      <c r="BB101" s="799"/>
      <c r="BC101" s="799"/>
      <c r="BD101" s="799"/>
      <c r="BE101" s="799"/>
      <c r="BF101" s="799"/>
      <c r="BG101" s="799"/>
    </row>
    <row r="102">
      <c r="H102" s="799"/>
      <c r="I102" s="799"/>
      <c r="J102" s="799"/>
      <c r="K102" s="799"/>
      <c r="L102" s="799"/>
      <c r="M102" s="799"/>
      <c r="N102" s="799"/>
      <c r="O102" s="799"/>
      <c r="P102" s="799"/>
      <c r="Q102" s="799"/>
      <c r="R102" s="799"/>
      <c r="S102" s="799"/>
      <c r="T102" s="799"/>
      <c r="U102" s="799"/>
      <c r="V102" s="799"/>
      <c r="W102" s="799"/>
      <c r="X102" s="799"/>
      <c r="Y102" s="799"/>
      <c r="Z102" s="799"/>
      <c r="AA102" s="799"/>
      <c r="AB102" s="799"/>
      <c r="AC102" s="799"/>
      <c r="AD102" s="799"/>
      <c r="AE102" s="799"/>
      <c r="AF102" s="799"/>
      <c r="AG102" s="799"/>
      <c r="AH102" s="799"/>
      <c r="AI102" s="799"/>
      <c r="AJ102" s="799"/>
      <c r="AK102" s="799"/>
      <c r="AL102" s="799"/>
      <c r="AM102" s="799"/>
      <c r="AN102" s="799"/>
      <c r="AO102" s="799"/>
      <c r="AP102" s="799"/>
      <c r="AQ102" s="799"/>
      <c r="AR102" s="799"/>
      <c r="AS102" s="799"/>
      <c r="AT102" s="799"/>
      <c r="AU102" s="799"/>
      <c r="AV102" s="799"/>
      <c r="AW102" s="799"/>
      <c r="AX102" s="799"/>
      <c r="AY102" s="799"/>
      <c r="AZ102" s="799"/>
      <c r="BA102" s="799"/>
      <c r="BB102" s="799"/>
      <c r="BC102" s="799"/>
      <c r="BD102" s="799"/>
      <c r="BE102" s="799"/>
      <c r="BF102" s="799"/>
      <c r="BG102" s="799"/>
    </row>
    <row r="103">
      <c r="H103" s="799"/>
      <c r="I103" s="799"/>
      <c r="J103" s="799"/>
      <c r="K103" s="799"/>
      <c r="L103" s="799"/>
      <c r="M103" s="799"/>
      <c r="N103" s="799"/>
      <c r="O103" s="799"/>
      <c r="P103" s="799"/>
      <c r="Q103" s="799"/>
      <c r="R103" s="799"/>
      <c r="S103" s="799"/>
      <c r="T103" s="799"/>
      <c r="U103" s="799"/>
      <c r="V103" s="799"/>
      <c r="W103" s="799"/>
      <c r="X103" s="799"/>
      <c r="Y103" s="799"/>
      <c r="Z103" s="799"/>
      <c r="AA103" s="799"/>
      <c r="AB103" s="799"/>
      <c r="AC103" s="799"/>
      <c r="AD103" s="799"/>
      <c r="AE103" s="799"/>
      <c r="AF103" s="799"/>
      <c r="AG103" s="799"/>
      <c r="AH103" s="799"/>
      <c r="AI103" s="799"/>
      <c r="AJ103" s="799"/>
      <c r="AK103" s="799"/>
      <c r="AL103" s="799"/>
      <c r="AM103" s="799"/>
      <c r="AN103" s="799"/>
      <c r="AO103" s="799"/>
      <c r="AP103" s="799"/>
      <c r="AQ103" s="799"/>
      <c r="AR103" s="799"/>
      <c r="AS103" s="799"/>
      <c r="AT103" s="799"/>
      <c r="AU103" s="799"/>
      <c r="AV103" s="799"/>
      <c r="AW103" s="799"/>
      <c r="AX103" s="799"/>
      <c r="AY103" s="799"/>
      <c r="AZ103" s="799"/>
      <c r="BA103" s="799"/>
      <c r="BB103" s="799"/>
      <c r="BC103" s="799"/>
      <c r="BD103" s="799"/>
      <c r="BE103" s="799"/>
      <c r="BF103" s="799"/>
      <c r="BG103" s="799"/>
    </row>
    <row r="104">
      <c r="H104" s="799"/>
      <c r="I104" s="799"/>
      <c r="J104" s="799"/>
      <c r="K104" s="799"/>
      <c r="L104" s="799"/>
      <c r="M104" s="799"/>
      <c r="N104" s="799"/>
      <c r="O104" s="799"/>
      <c r="P104" s="799"/>
      <c r="Q104" s="799"/>
      <c r="R104" s="799"/>
      <c r="S104" s="799"/>
      <c r="T104" s="799"/>
      <c r="U104" s="799"/>
      <c r="V104" s="799"/>
      <c r="W104" s="799"/>
      <c r="X104" s="799"/>
      <c r="Y104" s="799"/>
      <c r="Z104" s="799"/>
      <c r="AA104" s="799"/>
      <c r="AB104" s="799"/>
      <c r="AC104" s="799"/>
      <c r="AD104" s="799"/>
      <c r="AE104" s="799"/>
      <c r="AF104" s="799"/>
      <c r="AG104" s="799"/>
      <c r="AH104" s="799"/>
      <c r="AI104" s="799"/>
      <c r="AJ104" s="799"/>
      <c r="AK104" s="799"/>
      <c r="AL104" s="799"/>
      <c r="AM104" s="799"/>
      <c r="AN104" s="799"/>
      <c r="AO104" s="799"/>
      <c r="AP104" s="799"/>
      <c r="AQ104" s="799"/>
      <c r="AR104" s="799"/>
      <c r="AS104" s="799"/>
      <c r="AT104" s="799"/>
      <c r="AU104" s="799"/>
      <c r="AV104" s="799"/>
      <c r="AW104" s="799"/>
      <c r="AX104" s="799"/>
      <c r="AY104" s="799"/>
      <c r="AZ104" s="799"/>
      <c r="BA104" s="799"/>
      <c r="BB104" s="799"/>
      <c r="BC104" s="799"/>
      <c r="BD104" s="799"/>
      <c r="BE104" s="799"/>
      <c r="BF104" s="799"/>
      <c r="BG104" s="799"/>
    </row>
    <row r="105">
      <c r="H105" s="799"/>
      <c r="I105" s="799"/>
      <c r="J105" s="799"/>
      <c r="K105" s="799"/>
      <c r="L105" s="799"/>
      <c r="M105" s="799"/>
      <c r="N105" s="799"/>
      <c r="O105" s="799"/>
      <c r="P105" s="799"/>
      <c r="Q105" s="799"/>
      <c r="R105" s="799"/>
      <c r="S105" s="799"/>
      <c r="T105" s="799"/>
      <c r="U105" s="799"/>
      <c r="V105" s="799"/>
      <c r="W105" s="799"/>
      <c r="X105" s="799"/>
      <c r="Y105" s="799"/>
      <c r="Z105" s="799"/>
      <c r="AA105" s="799"/>
      <c r="AB105" s="799"/>
      <c r="AC105" s="799"/>
      <c r="AD105" s="799"/>
      <c r="AE105" s="799"/>
      <c r="AF105" s="799"/>
      <c r="AG105" s="799"/>
      <c r="AH105" s="799"/>
      <c r="AI105" s="799"/>
      <c r="AJ105" s="799"/>
      <c r="AK105" s="799"/>
      <c r="AL105" s="799"/>
      <c r="AM105" s="799"/>
      <c r="AN105" s="799"/>
      <c r="AO105" s="799"/>
      <c r="AP105" s="799"/>
      <c r="AQ105" s="799"/>
      <c r="AR105" s="799"/>
      <c r="AS105" s="799"/>
      <c r="AT105" s="799"/>
      <c r="AU105" s="799"/>
      <c r="AV105" s="799"/>
      <c r="AW105" s="799"/>
      <c r="AX105" s="799"/>
      <c r="AY105" s="799"/>
      <c r="AZ105" s="799"/>
      <c r="BA105" s="799"/>
      <c r="BB105" s="799"/>
      <c r="BC105" s="799"/>
      <c r="BD105" s="799"/>
      <c r="BE105" s="799"/>
      <c r="BF105" s="799"/>
      <c r="BG105" s="799"/>
    </row>
    <row r="106">
      <c r="H106" s="799"/>
      <c r="I106" s="799"/>
      <c r="J106" s="799"/>
      <c r="K106" s="799"/>
      <c r="L106" s="799"/>
      <c r="M106" s="799"/>
      <c r="N106" s="799"/>
      <c r="O106" s="799"/>
      <c r="P106" s="799"/>
      <c r="Q106" s="799"/>
      <c r="R106" s="799"/>
      <c r="S106" s="799"/>
      <c r="T106" s="799"/>
      <c r="U106" s="799"/>
      <c r="V106" s="799"/>
      <c r="W106" s="799"/>
      <c r="X106" s="799"/>
      <c r="Y106" s="799"/>
      <c r="Z106" s="799"/>
      <c r="AA106" s="799"/>
      <c r="AB106" s="799"/>
      <c r="AC106" s="799"/>
      <c r="AD106" s="799"/>
      <c r="AE106" s="799"/>
      <c r="AF106" s="799"/>
      <c r="AG106" s="799"/>
      <c r="AH106" s="799"/>
      <c r="AI106" s="799"/>
      <c r="AJ106" s="799"/>
      <c r="AK106" s="799"/>
      <c r="AL106" s="799"/>
      <c r="AM106" s="799"/>
      <c r="AN106" s="799"/>
      <c r="AO106" s="799"/>
      <c r="AP106" s="799"/>
      <c r="AQ106" s="799"/>
      <c r="AR106" s="799"/>
      <c r="AS106" s="799"/>
      <c r="AT106" s="799"/>
      <c r="AU106" s="799"/>
      <c r="AV106" s="799"/>
      <c r="AW106" s="799"/>
      <c r="AX106" s="799"/>
      <c r="AY106" s="799"/>
      <c r="AZ106" s="799"/>
      <c r="BA106" s="799"/>
      <c r="BB106" s="799"/>
      <c r="BC106" s="799"/>
      <c r="BD106" s="799"/>
      <c r="BE106" s="799"/>
      <c r="BF106" s="799"/>
      <c r="BG106" s="799"/>
    </row>
    <row r="107">
      <c r="H107" s="799"/>
      <c r="I107" s="799"/>
      <c r="J107" s="799"/>
      <c r="K107" s="799"/>
      <c r="L107" s="799"/>
      <c r="M107" s="799"/>
      <c r="N107" s="799"/>
      <c r="O107" s="799"/>
      <c r="P107" s="799"/>
      <c r="Q107" s="799"/>
      <c r="R107" s="799"/>
      <c r="S107" s="799"/>
      <c r="T107" s="799"/>
      <c r="U107" s="799"/>
      <c r="V107" s="799"/>
      <c r="W107" s="799"/>
      <c r="X107" s="799"/>
      <c r="Y107" s="799"/>
      <c r="Z107" s="799"/>
      <c r="AA107" s="799"/>
      <c r="AB107" s="799"/>
      <c r="AC107" s="799"/>
      <c r="AD107" s="799"/>
      <c r="AE107" s="799"/>
      <c r="AF107" s="799"/>
      <c r="AG107" s="799"/>
      <c r="AH107" s="799"/>
      <c r="AI107" s="799"/>
      <c r="AJ107" s="799"/>
      <c r="AK107" s="799"/>
      <c r="AL107" s="799"/>
      <c r="AM107" s="799"/>
      <c r="AN107" s="799"/>
      <c r="AO107" s="799"/>
      <c r="AP107" s="799"/>
      <c r="AQ107" s="799"/>
      <c r="AR107" s="799"/>
      <c r="AS107" s="799"/>
      <c r="AT107" s="799"/>
      <c r="AU107" s="799"/>
      <c r="AV107" s="799"/>
      <c r="AW107" s="799"/>
      <c r="AX107" s="799"/>
      <c r="AY107" s="799"/>
      <c r="AZ107" s="799"/>
      <c r="BA107" s="799"/>
      <c r="BB107" s="799"/>
      <c r="BC107" s="799"/>
      <c r="BD107" s="799"/>
      <c r="BE107" s="799"/>
      <c r="BF107" s="799"/>
      <c r="BG107" s="799"/>
    </row>
    <row r="108">
      <c r="H108" s="799"/>
      <c r="I108" s="799"/>
      <c r="J108" s="799"/>
      <c r="K108" s="799"/>
      <c r="L108" s="799"/>
      <c r="M108" s="799"/>
      <c r="N108" s="799"/>
      <c r="O108" s="799"/>
      <c r="P108" s="799"/>
      <c r="Q108" s="799"/>
      <c r="R108" s="799"/>
      <c r="S108" s="799"/>
      <c r="T108" s="799"/>
      <c r="U108" s="799"/>
      <c r="V108" s="799"/>
      <c r="W108" s="799"/>
      <c r="X108" s="799"/>
      <c r="Y108" s="799"/>
      <c r="Z108" s="799"/>
      <c r="AA108" s="799"/>
      <c r="AB108" s="799"/>
      <c r="AC108" s="799"/>
      <c r="AD108" s="799"/>
      <c r="AE108" s="799"/>
      <c r="AF108" s="799"/>
      <c r="AG108" s="799"/>
      <c r="AH108" s="799"/>
      <c r="AI108" s="799"/>
      <c r="AJ108" s="799"/>
      <c r="AK108" s="799"/>
      <c r="AL108" s="799"/>
      <c r="AM108" s="799"/>
      <c r="AN108" s="799"/>
      <c r="AO108" s="799"/>
      <c r="AP108" s="799"/>
      <c r="AQ108" s="799"/>
      <c r="AR108" s="799"/>
      <c r="AS108" s="799"/>
      <c r="AT108" s="799"/>
      <c r="AU108" s="799"/>
      <c r="AV108" s="799"/>
      <c r="AW108" s="799"/>
      <c r="AX108" s="799"/>
      <c r="AY108" s="799"/>
      <c r="AZ108" s="799"/>
      <c r="BA108" s="799"/>
      <c r="BB108" s="799"/>
      <c r="BC108" s="799"/>
      <c r="BD108" s="799"/>
      <c r="BE108" s="799"/>
      <c r="BF108" s="799"/>
      <c r="BG108" s="799"/>
    </row>
    <row r="109">
      <c r="H109" s="799"/>
      <c r="I109" s="799"/>
      <c r="J109" s="799"/>
      <c r="K109" s="799"/>
      <c r="L109" s="799"/>
      <c r="M109" s="799"/>
      <c r="N109" s="799"/>
      <c r="O109" s="799"/>
      <c r="P109" s="799"/>
      <c r="Q109" s="799"/>
      <c r="R109" s="799"/>
      <c r="S109" s="799"/>
      <c r="T109" s="799"/>
      <c r="U109" s="799"/>
      <c r="V109" s="799"/>
      <c r="W109" s="799"/>
      <c r="X109" s="799"/>
      <c r="Y109" s="799"/>
      <c r="Z109" s="799"/>
      <c r="AA109" s="799"/>
      <c r="AB109" s="799"/>
      <c r="AC109" s="799"/>
      <c r="AD109" s="799"/>
      <c r="AE109" s="799"/>
      <c r="AF109" s="799"/>
      <c r="AG109" s="799"/>
      <c r="AH109" s="799"/>
      <c r="AI109" s="799"/>
      <c r="AJ109" s="799"/>
      <c r="AK109" s="799"/>
      <c r="AL109" s="799"/>
      <c r="AM109" s="799"/>
      <c r="AN109" s="799"/>
      <c r="AO109" s="799"/>
      <c r="AP109" s="799"/>
      <c r="AQ109" s="799"/>
      <c r="AR109" s="799"/>
      <c r="AS109" s="799"/>
      <c r="AT109" s="799"/>
      <c r="AU109" s="799"/>
      <c r="AV109" s="799"/>
      <c r="AW109" s="799"/>
      <c r="AX109" s="799"/>
      <c r="AY109" s="799"/>
      <c r="AZ109" s="799"/>
      <c r="BA109" s="799"/>
      <c r="BB109" s="799"/>
      <c r="BC109" s="799"/>
      <c r="BD109" s="799"/>
      <c r="BE109" s="799"/>
      <c r="BF109" s="799"/>
      <c r="BG109" s="799"/>
    </row>
    <row r="110">
      <c r="H110" s="799"/>
      <c r="I110" s="799"/>
      <c r="J110" s="799"/>
      <c r="K110" s="799"/>
      <c r="L110" s="799"/>
      <c r="M110" s="799"/>
      <c r="N110" s="799"/>
      <c r="O110" s="799"/>
      <c r="P110" s="799"/>
      <c r="Q110" s="799"/>
      <c r="R110" s="799"/>
      <c r="S110" s="799"/>
      <c r="T110" s="799"/>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c r="AP110" s="799"/>
      <c r="AQ110" s="799"/>
      <c r="AR110" s="799"/>
      <c r="AS110" s="799"/>
      <c r="AT110" s="799"/>
      <c r="AU110" s="799"/>
      <c r="AV110" s="799"/>
      <c r="AW110" s="799"/>
      <c r="AX110" s="799"/>
      <c r="AY110" s="799"/>
      <c r="AZ110" s="799"/>
      <c r="BA110" s="799"/>
      <c r="BB110" s="799"/>
      <c r="BC110" s="799"/>
      <c r="BD110" s="799"/>
      <c r="BE110" s="799"/>
      <c r="BF110" s="799"/>
      <c r="BG110" s="799"/>
    </row>
    <row r="111">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row>
    <row r="112">
      <c r="H112" s="799"/>
      <c r="I112" s="799"/>
      <c r="J112" s="799"/>
      <c r="K112" s="799"/>
      <c r="L112" s="799"/>
      <c r="M112" s="799"/>
      <c r="N112" s="799"/>
      <c r="O112" s="799"/>
      <c r="P112" s="799"/>
      <c r="Q112" s="799"/>
      <c r="R112" s="799"/>
      <c r="S112" s="799"/>
      <c r="T112" s="799"/>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c r="AP112" s="799"/>
      <c r="AQ112" s="799"/>
      <c r="AR112" s="799"/>
      <c r="AS112" s="799"/>
      <c r="AT112" s="799"/>
      <c r="AU112" s="799"/>
      <c r="AV112" s="799"/>
      <c r="AW112" s="799"/>
      <c r="AX112" s="799"/>
      <c r="AY112" s="799"/>
      <c r="AZ112" s="799"/>
      <c r="BA112" s="799"/>
      <c r="BB112" s="799"/>
      <c r="BC112" s="799"/>
      <c r="BD112" s="799"/>
      <c r="BE112" s="799"/>
      <c r="BF112" s="799"/>
      <c r="BG112" s="799"/>
    </row>
    <row r="113">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row>
    <row r="114">
      <c r="H114" s="799"/>
      <c r="I114" s="799"/>
      <c r="J114" s="799"/>
      <c r="K114" s="799"/>
      <c r="L114" s="799"/>
      <c r="M114" s="799"/>
      <c r="N114" s="799"/>
      <c r="O114" s="799"/>
      <c r="P114" s="799"/>
      <c r="Q114" s="799"/>
      <c r="R114" s="799"/>
      <c r="S114" s="799"/>
      <c r="T114" s="799"/>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c r="AP114" s="799"/>
      <c r="AQ114" s="799"/>
      <c r="AR114" s="799"/>
      <c r="AS114" s="799"/>
      <c r="AT114" s="799"/>
      <c r="AU114" s="799"/>
      <c r="AV114" s="799"/>
      <c r="AW114" s="799"/>
      <c r="AX114" s="799"/>
      <c r="AY114" s="799"/>
      <c r="AZ114" s="799"/>
      <c r="BA114" s="799"/>
      <c r="BB114" s="799"/>
      <c r="BC114" s="799"/>
      <c r="BD114" s="799"/>
      <c r="BE114" s="799"/>
      <c r="BF114" s="799"/>
      <c r="BG114" s="799"/>
    </row>
    <row r="115">
      <c r="H115" s="799"/>
      <c r="I115" s="799"/>
      <c r="J115" s="799"/>
      <c r="K115" s="799"/>
      <c r="L115" s="799"/>
      <c r="M115" s="799"/>
      <c r="N115" s="799"/>
      <c r="O115" s="799"/>
      <c r="P115" s="799"/>
      <c r="Q115" s="799"/>
      <c r="R115" s="799"/>
      <c r="S115" s="799"/>
      <c r="T115" s="799"/>
      <c r="U115" s="799"/>
      <c r="V115" s="799"/>
      <c r="W115" s="799"/>
      <c r="X115" s="799"/>
      <c r="Y115" s="799"/>
      <c r="Z115" s="799"/>
      <c r="AA115" s="799"/>
      <c r="AB115" s="799"/>
      <c r="AC115" s="799"/>
      <c r="AD115" s="799"/>
      <c r="AE115" s="799"/>
      <c r="AF115" s="799"/>
      <c r="AG115" s="799"/>
      <c r="AH115" s="799"/>
      <c r="AI115" s="799"/>
      <c r="AJ115" s="799"/>
      <c r="AK115" s="799"/>
      <c r="AL115" s="799"/>
      <c r="AM115" s="799"/>
      <c r="AN115" s="799"/>
      <c r="AO115" s="799"/>
      <c r="AP115" s="799"/>
      <c r="AQ115" s="799"/>
      <c r="AR115" s="799"/>
      <c r="AS115" s="799"/>
      <c r="AT115" s="799"/>
      <c r="AU115" s="799"/>
      <c r="AV115" s="799"/>
      <c r="AW115" s="799"/>
      <c r="AX115" s="799"/>
      <c r="AY115" s="799"/>
      <c r="AZ115" s="799"/>
      <c r="BA115" s="799"/>
      <c r="BB115" s="799"/>
      <c r="BC115" s="799"/>
      <c r="BD115" s="799"/>
      <c r="BE115" s="799"/>
      <c r="BF115" s="799"/>
      <c r="BG115" s="799"/>
    </row>
    <row r="116">
      <c r="H116" s="799"/>
      <c r="I116" s="799"/>
      <c r="J116" s="799"/>
      <c r="K116" s="799"/>
      <c r="L116" s="799"/>
      <c r="M116" s="799"/>
      <c r="N116" s="799"/>
      <c r="O116" s="799"/>
      <c r="P116" s="799"/>
      <c r="Q116" s="799"/>
      <c r="R116" s="799"/>
      <c r="S116" s="799"/>
      <c r="T116" s="799"/>
      <c r="U116" s="799"/>
      <c r="V116" s="799"/>
      <c r="W116" s="799"/>
      <c r="X116" s="799"/>
      <c r="Y116" s="799"/>
      <c r="Z116" s="799"/>
      <c r="AA116" s="799"/>
      <c r="AB116" s="799"/>
      <c r="AC116" s="799"/>
      <c r="AD116" s="799"/>
      <c r="AE116" s="799"/>
      <c r="AF116" s="799"/>
      <c r="AG116" s="799"/>
      <c r="AH116" s="799"/>
      <c r="AI116" s="799"/>
      <c r="AJ116" s="799"/>
      <c r="AK116" s="799"/>
      <c r="AL116" s="799"/>
      <c r="AM116" s="799"/>
      <c r="AN116" s="799"/>
      <c r="AO116" s="799"/>
      <c r="AP116" s="799"/>
      <c r="AQ116" s="799"/>
      <c r="AR116" s="799"/>
      <c r="AS116" s="799"/>
      <c r="AT116" s="799"/>
      <c r="AU116" s="799"/>
      <c r="AV116" s="799"/>
      <c r="AW116" s="799"/>
      <c r="AX116" s="799"/>
      <c r="AY116" s="799"/>
      <c r="AZ116" s="799"/>
      <c r="BA116" s="799"/>
      <c r="BB116" s="799"/>
      <c r="BC116" s="799"/>
      <c r="BD116" s="799"/>
      <c r="BE116" s="799"/>
      <c r="BF116" s="799"/>
      <c r="BG116" s="799"/>
    </row>
    <row r="117">
      <c r="H117" s="799"/>
      <c r="I117" s="799"/>
      <c r="J117" s="799"/>
      <c r="K117" s="799"/>
      <c r="L117" s="799"/>
      <c r="M117" s="799"/>
      <c r="N117" s="799"/>
      <c r="O117" s="799"/>
      <c r="P117" s="799"/>
      <c r="Q117" s="799"/>
      <c r="R117" s="799"/>
      <c r="S117" s="799"/>
      <c r="T117" s="799"/>
      <c r="U117" s="799"/>
      <c r="V117" s="799"/>
      <c r="W117" s="799"/>
      <c r="X117" s="799"/>
      <c r="Y117" s="799"/>
      <c r="Z117" s="799"/>
      <c r="AA117" s="799"/>
      <c r="AB117" s="799"/>
      <c r="AC117" s="799"/>
      <c r="AD117" s="799"/>
      <c r="AE117" s="799"/>
      <c r="AF117" s="799"/>
      <c r="AG117" s="799"/>
      <c r="AH117" s="799"/>
      <c r="AI117" s="799"/>
      <c r="AJ117" s="799"/>
      <c r="AK117" s="799"/>
      <c r="AL117" s="799"/>
      <c r="AM117" s="799"/>
      <c r="AN117" s="799"/>
      <c r="AO117" s="799"/>
      <c r="AP117" s="799"/>
      <c r="AQ117" s="799"/>
      <c r="AR117" s="799"/>
      <c r="AS117" s="799"/>
      <c r="AT117" s="799"/>
      <c r="AU117" s="799"/>
      <c r="AV117" s="799"/>
      <c r="AW117" s="799"/>
      <c r="AX117" s="799"/>
      <c r="AY117" s="799"/>
      <c r="AZ117" s="799"/>
      <c r="BA117" s="799"/>
      <c r="BB117" s="799"/>
      <c r="BC117" s="799"/>
      <c r="BD117" s="799"/>
      <c r="BE117" s="799"/>
      <c r="BF117" s="799"/>
      <c r="BG117" s="799"/>
    </row>
    <row r="118">
      <c r="H118" s="799"/>
      <c r="I118" s="799"/>
      <c r="J118" s="799"/>
      <c r="K118" s="799"/>
      <c r="L118" s="799"/>
      <c r="M118" s="799"/>
      <c r="N118" s="799"/>
      <c r="O118" s="799"/>
      <c r="P118" s="799"/>
      <c r="Q118" s="799"/>
      <c r="R118" s="799"/>
      <c r="S118" s="799"/>
      <c r="T118" s="799"/>
      <c r="U118" s="799"/>
      <c r="V118" s="799"/>
      <c r="W118" s="799"/>
      <c r="X118" s="799"/>
      <c r="Y118" s="799"/>
      <c r="Z118" s="799"/>
      <c r="AA118" s="799"/>
      <c r="AB118" s="799"/>
      <c r="AC118" s="799"/>
      <c r="AD118" s="799"/>
      <c r="AE118" s="799"/>
      <c r="AF118" s="799"/>
      <c r="AG118" s="799"/>
      <c r="AH118" s="799"/>
      <c r="AI118" s="799"/>
      <c r="AJ118" s="799"/>
      <c r="AK118" s="799"/>
      <c r="AL118" s="799"/>
      <c r="AM118" s="799"/>
      <c r="AN118" s="799"/>
      <c r="AO118" s="799"/>
      <c r="AP118" s="799"/>
      <c r="AQ118" s="799"/>
      <c r="AR118" s="799"/>
      <c r="AS118" s="799"/>
      <c r="AT118" s="799"/>
      <c r="AU118" s="799"/>
      <c r="AV118" s="799"/>
      <c r="AW118" s="799"/>
      <c r="AX118" s="799"/>
      <c r="AY118" s="799"/>
      <c r="AZ118" s="799"/>
      <c r="BA118" s="799"/>
      <c r="BB118" s="799"/>
      <c r="BC118" s="799"/>
      <c r="BD118" s="799"/>
      <c r="BE118" s="799"/>
      <c r="BF118" s="799"/>
      <c r="BG118" s="799"/>
    </row>
    <row r="119">
      <c r="H119" s="799"/>
      <c r="I119" s="799"/>
      <c r="J119" s="799"/>
      <c r="K119" s="799"/>
      <c r="L119" s="799"/>
      <c r="M119" s="799"/>
      <c r="N119" s="799"/>
      <c r="O119" s="799"/>
      <c r="P119" s="799"/>
      <c r="Q119" s="799"/>
      <c r="R119" s="799"/>
      <c r="S119" s="799"/>
      <c r="T119" s="799"/>
      <c r="U119" s="799"/>
      <c r="V119" s="799"/>
      <c r="W119" s="799"/>
      <c r="X119" s="799"/>
      <c r="Y119" s="799"/>
      <c r="Z119" s="799"/>
      <c r="AA119" s="799"/>
      <c r="AB119" s="799"/>
      <c r="AC119" s="799"/>
      <c r="AD119" s="799"/>
      <c r="AE119" s="799"/>
      <c r="AF119" s="799"/>
      <c r="AG119" s="799"/>
      <c r="AH119" s="799"/>
      <c r="AI119" s="799"/>
      <c r="AJ119" s="799"/>
      <c r="AK119" s="799"/>
      <c r="AL119" s="799"/>
      <c r="AM119" s="799"/>
      <c r="AN119" s="799"/>
      <c r="AO119" s="799"/>
      <c r="AP119" s="799"/>
      <c r="AQ119" s="799"/>
      <c r="AR119" s="799"/>
      <c r="AS119" s="799"/>
      <c r="AT119" s="799"/>
      <c r="AU119" s="799"/>
      <c r="AV119" s="799"/>
      <c r="AW119" s="799"/>
      <c r="AX119" s="799"/>
      <c r="AY119" s="799"/>
      <c r="AZ119" s="799"/>
      <c r="BA119" s="799"/>
      <c r="BB119" s="799"/>
      <c r="BC119" s="799"/>
      <c r="BD119" s="799"/>
      <c r="BE119" s="799"/>
      <c r="BF119" s="799"/>
      <c r="BG119" s="799"/>
    </row>
    <row r="120">
      <c r="H120" s="799"/>
      <c r="I120" s="799"/>
      <c r="J120" s="799"/>
      <c r="K120" s="799"/>
      <c r="L120" s="799"/>
      <c r="M120" s="799"/>
      <c r="N120" s="799"/>
      <c r="O120" s="799"/>
      <c r="P120" s="799"/>
      <c r="Q120" s="799"/>
      <c r="R120" s="799"/>
      <c r="S120" s="799"/>
      <c r="T120" s="799"/>
      <c r="U120" s="799"/>
      <c r="V120" s="799"/>
      <c r="W120" s="799"/>
      <c r="X120" s="799"/>
      <c r="Y120" s="799"/>
      <c r="Z120" s="799"/>
      <c r="AA120" s="799"/>
      <c r="AB120" s="799"/>
      <c r="AC120" s="799"/>
      <c r="AD120" s="799"/>
      <c r="AE120" s="799"/>
      <c r="AF120" s="799"/>
      <c r="AG120" s="799"/>
      <c r="AH120" s="799"/>
      <c r="AI120" s="799"/>
      <c r="AJ120" s="799"/>
      <c r="AK120" s="799"/>
      <c r="AL120" s="799"/>
      <c r="AM120" s="799"/>
      <c r="AN120" s="799"/>
      <c r="AO120" s="799"/>
      <c r="AP120" s="799"/>
      <c r="AQ120" s="799"/>
      <c r="AR120" s="799"/>
      <c r="AS120" s="799"/>
      <c r="AT120" s="799"/>
      <c r="AU120" s="799"/>
      <c r="AV120" s="799"/>
      <c r="AW120" s="799"/>
      <c r="AX120" s="799"/>
      <c r="AY120" s="799"/>
      <c r="AZ120" s="799"/>
      <c r="BA120" s="799"/>
      <c r="BB120" s="799"/>
      <c r="BC120" s="799"/>
      <c r="BD120" s="799"/>
      <c r="BE120" s="799"/>
      <c r="BF120" s="799"/>
      <c r="BG120" s="799"/>
    </row>
    <row r="121">
      <c r="H121" s="799"/>
      <c r="I121" s="799"/>
      <c r="J121" s="799"/>
      <c r="K121" s="799"/>
      <c r="L121" s="799"/>
      <c r="M121" s="799"/>
      <c r="N121" s="799"/>
      <c r="O121" s="799"/>
      <c r="P121" s="799"/>
      <c r="Q121" s="799"/>
      <c r="R121" s="799"/>
      <c r="S121" s="799"/>
      <c r="T121" s="799"/>
      <c r="U121" s="799"/>
      <c r="V121" s="799"/>
      <c r="W121" s="799"/>
      <c r="X121" s="799"/>
      <c r="Y121" s="799"/>
      <c r="Z121" s="799"/>
      <c r="AA121" s="799"/>
      <c r="AB121" s="799"/>
      <c r="AC121" s="799"/>
      <c r="AD121" s="799"/>
      <c r="AE121" s="799"/>
      <c r="AF121" s="799"/>
      <c r="AG121" s="799"/>
      <c r="AH121" s="799"/>
      <c r="AI121" s="799"/>
      <c r="AJ121" s="799"/>
      <c r="AK121" s="799"/>
      <c r="AL121" s="799"/>
      <c r="AM121" s="799"/>
      <c r="AN121" s="799"/>
      <c r="AO121" s="799"/>
      <c r="AP121" s="799"/>
      <c r="AQ121" s="799"/>
      <c r="AR121" s="799"/>
      <c r="AS121" s="799"/>
      <c r="AT121" s="799"/>
      <c r="AU121" s="799"/>
      <c r="AV121" s="799"/>
      <c r="AW121" s="799"/>
      <c r="AX121" s="799"/>
      <c r="AY121" s="799"/>
      <c r="AZ121" s="799"/>
      <c r="BA121" s="799"/>
      <c r="BB121" s="799"/>
      <c r="BC121" s="799"/>
      <c r="BD121" s="799"/>
      <c r="BE121" s="799"/>
      <c r="BF121" s="799"/>
      <c r="BG121" s="799"/>
    </row>
    <row r="122">
      <c r="H122" s="799"/>
      <c r="I122" s="799"/>
      <c r="J122" s="799"/>
      <c r="K122" s="799"/>
      <c r="L122" s="799"/>
      <c r="M122" s="799"/>
      <c r="N122" s="799"/>
      <c r="O122" s="799"/>
      <c r="P122" s="799"/>
      <c r="Q122" s="799"/>
      <c r="R122" s="799"/>
      <c r="S122" s="799"/>
      <c r="T122" s="799"/>
      <c r="U122" s="799"/>
      <c r="V122" s="799"/>
      <c r="W122" s="799"/>
      <c r="X122" s="799"/>
      <c r="Y122" s="799"/>
      <c r="Z122" s="799"/>
      <c r="AA122" s="799"/>
      <c r="AB122" s="799"/>
      <c r="AC122" s="799"/>
      <c r="AD122" s="799"/>
      <c r="AE122" s="799"/>
      <c r="AF122" s="799"/>
      <c r="AG122" s="799"/>
      <c r="AH122" s="799"/>
      <c r="AI122" s="799"/>
      <c r="AJ122" s="799"/>
      <c r="AK122" s="799"/>
      <c r="AL122" s="799"/>
      <c r="AM122" s="799"/>
      <c r="AN122" s="799"/>
      <c r="AO122" s="799"/>
      <c r="AP122" s="799"/>
      <c r="AQ122" s="799"/>
      <c r="AR122" s="799"/>
      <c r="AS122" s="799"/>
      <c r="AT122" s="799"/>
      <c r="AU122" s="799"/>
      <c r="AV122" s="799"/>
      <c r="AW122" s="799"/>
      <c r="AX122" s="799"/>
      <c r="AY122" s="799"/>
      <c r="AZ122" s="799"/>
      <c r="BA122" s="799"/>
      <c r="BB122" s="799"/>
      <c r="BC122" s="799"/>
      <c r="BD122" s="799"/>
      <c r="BE122" s="799"/>
      <c r="BF122" s="799"/>
      <c r="BG122" s="799"/>
    </row>
    <row r="123">
      <c r="H123" s="799"/>
      <c r="I123" s="799"/>
      <c r="J123" s="799"/>
      <c r="K123" s="799"/>
      <c r="L123" s="799"/>
      <c r="M123" s="799"/>
      <c r="N123" s="799"/>
      <c r="O123" s="799"/>
      <c r="P123" s="799"/>
      <c r="Q123" s="799"/>
      <c r="R123" s="799"/>
      <c r="S123" s="799"/>
      <c r="T123" s="799"/>
      <c r="U123" s="799"/>
      <c r="V123" s="799"/>
      <c r="W123" s="799"/>
      <c r="X123" s="799"/>
      <c r="Y123" s="799"/>
      <c r="Z123" s="799"/>
      <c r="AA123" s="799"/>
      <c r="AB123" s="799"/>
      <c r="AC123" s="799"/>
      <c r="AD123" s="799"/>
      <c r="AE123" s="799"/>
      <c r="AF123" s="799"/>
      <c r="AG123" s="799"/>
      <c r="AH123" s="799"/>
      <c r="AI123" s="799"/>
      <c r="AJ123" s="799"/>
      <c r="AK123" s="799"/>
      <c r="AL123" s="799"/>
      <c r="AM123" s="799"/>
      <c r="AN123" s="799"/>
      <c r="AO123" s="799"/>
      <c r="AP123" s="799"/>
      <c r="AQ123" s="799"/>
      <c r="AR123" s="799"/>
      <c r="AS123" s="799"/>
      <c r="AT123" s="799"/>
      <c r="AU123" s="799"/>
      <c r="AV123" s="799"/>
      <c r="AW123" s="799"/>
      <c r="AX123" s="799"/>
      <c r="AY123" s="799"/>
      <c r="AZ123" s="799"/>
      <c r="BA123" s="799"/>
      <c r="BB123" s="799"/>
      <c r="BC123" s="799"/>
      <c r="BD123" s="799"/>
      <c r="BE123" s="799"/>
      <c r="BF123" s="799"/>
      <c r="BG123" s="799"/>
    </row>
    <row r="124">
      <c r="H124" s="799"/>
      <c r="I124" s="799"/>
      <c r="J124" s="799"/>
      <c r="K124" s="799"/>
      <c r="L124" s="799"/>
      <c r="M124" s="799"/>
      <c r="N124" s="799"/>
      <c r="O124" s="799"/>
      <c r="P124" s="799"/>
      <c r="Q124" s="799"/>
      <c r="R124" s="799"/>
      <c r="S124" s="799"/>
      <c r="T124" s="799"/>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799"/>
      <c r="BF124" s="799"/>
      <c r="BG124" s="799"/>
    </row>
    <row r="125">
      <c r="H125" s="799"/>
      <c r="I125" s="799"/>
      <c r="J125" s="799"/>
      <c r="K125" s="799"/>
      <c r="L125" s="799"/>
      <c r="M125" s="799"/>
      <c r="N125" s="799"/>
      <c r="O125" s="799"/>
      <c r="P125" s="799"/>
      <c r="Q125" s="799"/>
      <c r="R125" s="799"/>
      <c r="S125" s="799"/>
      <c r="T125" s="799"/>
      <c r="U125" s="799"/>
      <c r="V125" s="799"/>
      <c r="W125" s="799"/>
      <c r="X125" s="799"/>
      <c r="Y125" s="799"/>
      <c r="Z125" s="799"/>
      <c r="AA125" s="799"/>
      <c r="AB125" s="799"/>
      <c r="AC125" s="799"/>
      <c r="AD125" s="799"/>
      <c r="AE125" s="799"/>
      <c r="AF125" s="799"/>
      <c r="AG125" s="799"/>
      <c r="AH125" s="799"/>
      <c r="AI125" s="799"/>
      <c r="AJ125" s="799"/>
      <c r="AK125" s="799"/>
      <c r="AL125" s="799"/>
      <c r="AM125" s="799"/>
      <c r="AN125" s="799"/>
      <c r="AO125" s="799"/>
      <c r="AP125" s="799"/>
      <c r="AQ125" s="799"/>
      <c r="AR125" s="799"/>
      <c r="AS125" s="799"/>
      <c r="AT125" s="799"/>
      <c r="AU125" s="799"/>
      <c r="AV125" s="799"/>
      <c r="AW125" s="799"/>
      <c r="AX125" s="799"/>
      <c r="AY125" s="799"/>
      <c r="AZ125" s="799"/>
      <c r="BA125" s="799"/>
      <c r="BB125" s="799"/>
      <c r="BC125" s="799"/>
      <c r="BD125" s="799"/>
      <c r="BE125" s="799"/>
      <c r="BF125" s="799"/>
      <c r="BG125" s="799"/>
    </row>
    <row r="126">
      <c r="H126" s="799"/>
      <c r="I126" s="799"/>
      <c r="J126" s="799"/>
      <c r="K126" s="799"/>
      <c r="L126" s="799"/>
      <c r="M126" s="799"/>
      <c r="N126" s="799"/>
      <c r="O126" s="799"/>
      <c r="P126" s="799"/>
      <c r="Q126" s="799"/>
      <c r="R126" s="799"/>
      <c r="S126" s="799"/>
      <c r="T126" s="799"/>
      <c r="U126" s="799"/>
      <c r="V126" s="799"/>
      <c r="W126" s="799"/>
      <c r="X126" s="799"/>
      <c r="Y126" s="799"/>
      <c r="Z126" s="799"/>
      <c r="AA126" s="799"/>
      <c r="AB126" s="799"/>
      <c r="AC126" s="799"/>
      <c r="AD126" s="799"/>
      <c r="AE126" s="799"/>
      <c r="AF126" s="799"/>
      <c r="AG126" s="799"/>
      <c r="AH126" s="799"/>
      <c r="AI126" s="799"/>
      <c r="AJ126" s="799"/>
      <c r="AK126" s="799"/>
      <c r="AL126" s="799"/>
      <c r="AM126" s="799"/>
      <c r="AN126" s="799"/>
      <c r="AO126" s="799"/>
      <c r="AP126" s="799"/>
      <c r="AQ126" s="799"/>
      <c r="AR126" s="799"/>
      <c r="AS126" s="799"/>
      <c r="AT126" s="799"/>
      <c r="AU126" s="799"/>
      <c r="AV126" s="799"/>
      <c r="AW126" s="799"/>
      <c r="AX126" s="799"/>
      <c r="AY126" s="799"/>
      <c r="AZ126" s="799"/>
      <c r="BA126" s="799"/>
      <c r="BB126" s="799"/>
      <c r="BC126" s="799"/>
      <c r="BD126" s="799"/>
      <c r="BE126" s="799"/>
      <c r="BF126" s="799"/>
      <c r="BG126" s="799"/>
    </row>
    <row r="127">
      <c r="H127" s="799"/>
      <c r="I127" s="799"/>
      <c r="J127" s="799"/>
      <c r="K127" s="799"/>
      <c r="L127" s="799"/>
      <c r="M127" s="799"/>
      <c r="N127" s="799"/>
      <c r="O127" s="799"/>
      <c r="P127" s="799"/>
      <c r="Q127" s="799"/>
      <c r="R127" s="799"/>
      <c r="S127" s="799"/>
      <c r="T127" s="799"/>
      <c r="U127" s="799"/>
      <c r="V127" s="799"/>
      <c r="W127" s="799"/>
      <c r="X127" s="799"/>
      <c r="Y127" s="799"/>
      <c r="Z127" s="799"/>
      <c r="AA127" s="799"/>
      <c r="AB127" s="799"/>
      <c r="AC127" s="799"/>
      <c r="AD127" s="799"/>
      <c r="AE127" s="799"/>
      <c r="AF127" s="799"/>
      <c r="AG127" s="799"/>
      <c r="AH127" s="799"/>
      <c r="AI127" s="799"/>
      <c r="AJ127" s="799"/>
      <c r="AK127" s="799"/>
      <c r="AL127" s="799"/>
      <c r="AM127" s="799"/>
      <c r="AN127" s="799"/>
      <c r="AO127" s="799"/>
      <c r="AP127" s="799"/>
      <c r="AQ127" s="799"/>
      <c r="AR127" s="799"/>
      <c r="AS127" s="799"/>
      <c r="AT127" s="799"/>
      <c r="AU127" s="799"/>
      <c r="AV127" s="799"/>
      <c r="AW127" s="799"/>
      <c r="AX127" s="799"/>
      <c r="AY127" s="799"/>
      <c r="AZ127" s="799"/>
      <c r="BA127" s="799"/>
      <c r="BB127" s="799"/>
      <c r="BC127" s="799"/>
      <c r="BD127" s="799"/>
      <c r="BE127" s="799"/>
      <c r="BF127" s="799"/>
      <c r="BG127" s="799"/>
    </row>
    <row r="128">
      <c r="H128" s="799"/>
      <c r="I128" s="799"/>
      <c r="J128" s="799"/>
      <c r="K128" s="799"/>
      <c r="L128" s="799"/>
      <c r="M128" s="799"/>
      <c r="N128" s="799"/>
      <c r="O128" s="799"/>
      <c r="P128" s="799"/>
      <c r="Q128" s="799"/>
      <c r="R128" s="799"/>
      <c r="S128" s="799"/>
      <c r="T128" s="799"/>
      <c r="U128" s="799"/>
      <c r="V128" s="799"/>
      <c r="W128" s="799"/>
      <c r="X128" s="799"/>
      <c r="Y128" s="799"/>
      <c r="Z128" s="799"/>
      <c r="AA128" s="799"/>
      <c r="AB128" s="799"/>
      <c r="AC128" s="799"/>
      <c r="AD128" s="799"/>
      <c r="AE128" s="799"/>
      <c r="AF128" s="799"/>
      <c r="AG128" s="799"/>
      <c r="AH128" s="799"/>
      <c r="AI128" s="799"/>
      <c r="AJ128" s="799"/>
      <c r="AK128" s="799"/>
      <c r="AL128" s="799"/>
      <c r="AM128" s="799"/>
      <c r="AN128" s="799"/>
      <c r="AO128" s="799"/>
      <c r="AP128" s="799"/>
      <c r="AQ128" s="799"/>
      <c r="AR128" s="799"/>
      <c r="AS128" s="799"/>
      <c r="AT128" s="799"/>
      <c r="AU128" s="799"/>
      <c r="AV128" s="799"/>
      <c r="AW128" s="799"/>
      <c r="AX128" s="799"/>
      <c r="AY128" s="799"/>
      <c r="AZ128" s="799"/>
      <c r="BA128" s="799"/>
      <c r="BB128" s="799"/>
      <c r="BC128" s="799"/>
      <c r="BD128" s="799"/>
      <c r="BE128" s="799"/>
      <c r="BF128" s="799"/>
      <c r="BG128" s="799"/>
    </row>
    <row r="12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799"/>
      <c r="AE129" s="799"/>
      <c r="AF129" s="799"/>
      <c r="AG129" s="799"/>
      <c r="AH129" s="799"/>
      <c r="AI129" s="799"/>
      <c r="AJ129" s="799"/>
      <c r="AK129" s="799"/>
      <c r="AL129" s="799"/>
      <c r="AM129" s="799"/>
      <c r="AN129" s="799"/>
      <c r="AO129" s="799"/>
      <c r="AP129" s="799"/>
      <c r="AQ129" s="799"/>
      <c r="AR129" s="799"/>
      <c r="AS129" s="799"/>
      <c r="AT129" s="799"/>
      <c r="AU129" s="799"/>
      <c r="AV129" s="799"/>
      <c r="AW129" s="799"/>
      <c r="AX129" s="799"/>
      <c r="AY129" s="799"/>
      <c r="AZ129" s="799"/>
      <c r="BA129" s="799"/>
      <c r="BB129" s="799"/>
      <c r="BC129" s="799"/>
      <c r="BD129" s="799"/>
      <c r="BE129" s="799"/>
      <c r="BF129" s="799"/>
      <c r="BG129" s="799"/>
    </row>
    <row r="130">
      <c r="H130" s="799"/>
      <c r="I130" s="799"/>
      <c r="J130" s="799"/>
      <c r="K130" s="799"/>
      <c r="L130" s="799"/>
      <c r="M130" s="799"/>
      <c r="N130" s="799"/>
      <c r="O130" s="799"/>
      <c r="P130" s="799"/>
      <c r="Q130" s="799"/>
      <c r="R130" s="799"/>
      <c r="S130" s="799"/>
      <c r="T130" s="799"/>
      <c r="U130" s="799"/>
      <c r="V130" s="799"/>
      <c r="W130" s="799"/>
      <c r="X130" s="799"/>
      <c r="Y130" s="799"/>
      <c r="Z130" s="799"/>
      <c r="AA130" s="799"/>
      <c r="AB130" s="799"/>
      <c r="AC130" s="799"/>
      <c r="AD130" s="799"/>
      <c r="AE130" s="799"/>
      <c r="AF130" s="799"/>
      <c r="AG130" s="799"/>
      <c r="AH130" s="799"/>
      <c r="AI130" s="799"/>
      <c r="AJ130" s="799"/>
      <c r="AK130" s="799"/>
      <c r="AL130" s="799"/>
      <c r="AM130" s="799"/>
      <c r="AN130" s="799"/>
      <c r="AO130" s="799"/>
      <c r="AP130" s="799"/>
      <c r="AQ130" s="799"/>
      <c r="AR130" s="799"/>
      <c r="AS130" s="799"/>
      <c r="AT130" s="799"/>
      <c r="AU130" s="799"/>
      <c r="AV130" s="799"/>
      <c r="AW130" s="799"/>
      <c r="AX130" s="799"/>
      <c r="AY130" s="799"/>
      <c r="AZ130" s="799"/>
      <c r="BA130" s="799"/>
      <c r="BB130" s="799"/>
      <c r="BC130" s="799"/>
      <c r="BD130" s="799"/>
      <c r="BE130" s="799"/>
      <c r="BF130" s="799"/>
      <c r="BG130" s="799"/>
    </row>
    <row r="131">
      <c r="H131" s="799"/>
      <c r="I131" s="799"/>
      <c r="J131" s="799"/>
      <c r="K131" s="799"/>
      <c r="L131" s="799"/>
      <c r="M131" s="799"/>
      <c r="N131" s="799"/>
      <c r="O131" s="799"/>
      <c r="P131" s="799"/>
      <c r="Q131" s="799"/>
      <c r="R131" s="799"/>
      <c r="S131" s="799"/>
      <c r="T131" s="799"/>
      <c r="U131" s="799"/>
      <c r="V131" s="799"/>
      <c r="W131" s="799"/>
      <c r="X131" s="799"/>
      <c r="Y131" s="799"/>
      <c r="Z131" s="799"/>
      <c r="AA131" s="799"/>
      <c r="AB131" s="799"/>
      <c r="AC131" s="799"/>
      <c r="AD131" s="799"/>
      <c r="AE131" s="799"/>
      <c r="AF131" s="799"/>
      <c r="AG131" s="799"/>
      <c r="AH131" s="799"/>
      <c r="AI131" s="799"/>
      <c r="AJ131" s="799"/>
      <c r="AK131" s="799"/>
      <c r="AL131" s="799"/>
      <c r="AM131" s="799"/>
      <c r="AN131" s="799"/>
      <c r="AO131" s="799"/>
      <c r="AP131" s="799"/>
      <c r="AQ131" s="799"/>
      <c r="AR131" s="799"/>
      <c r="AS131" s="799"/>
      <c r="AT131" s="799"/>
      <c r="AU131" s="799"/>
      <c r="AV131" s="799"/>
      <c r="AW131" s="799"/>
      <c r="AX131" s="799"/>
      <c r="AY131" s="799"/>
      <c r="AZ131" s="799"/>
      <c r="BA131" s="799"/>
      <c r="BB131" s="799"/>
      <c r="BC131" s="799"/>
      <c r="BD131" s="799"/>
      <c r="BE131" s="799"/>
      <c r="BF131" s="799"/>
      <c r="BG131" s="799"/>
    </row>
    <row r="132">
      <c r="H132" s="799"/>
      <c r="I132" s="799"/>
      <c r="J132" s="799"/>
      <c r="K132" s="799"/>
      <c r="L132" s="799"/>
      <c r="M132" s="799"/>
      <c r="N132" s="799"/>
      <c r="O132" s="799"/>
      <c r="P132" s="799"/>
      <c r="Q132" s="799"/>
      <c r="R132" s="799"/>
      <c r="S132" s="799"/>
      <c r="T132" s="799"/>
      <c r="U132" s="799"/>
      <c r="V132" s="799"/>
      <c r="W132" s="799"/>
      <c r="X132" s="799"/>
      <c r="Y132" s="799"/>
      <c r="Z132" s="799"/>
      <c r="AA132" s="799"/>
      <c r="AB132" s="799"/>
      <c r="AC132" s="799"/>
      <c r="AD132" s="799"/>
      <c r="AE132" s="799"/>
      <c r="AF132" s="799"/>
      <c r="AG132" s="799"/>
      <c r="AH132" s="799"/>
      <c r="AI132" s="799"/>
      <c r="AJ132" s="799"/>
      <c r="AK132" s="799"/>
      <c r="AL132" s="799"/>
      <c r="AM132" s="799"/>
      <c r="AN132" s="799"/>
      <c r="AO132" s="799"/>
      <c r="AP132" s="799"/>
      <c r="AQ132" s="799"/>
      <c r="AR132" s="799"/>
      <c r="AS132" s="799"/>
      <c r="AT132" s="799"/>
      <c r="AU132" s="799"/>
      <c r="AV132" s="799"/>
      <c r="AW132" s="799"/>
      <c r="AX132" s="799"/>
      <c r="AY132" s="799"/>
      <c r="AZ132" s="799"/>
      <c r="BA132" s="799"/>
      <c r="BB132" s="799"/>
      <c r="BC132" s="799"/>
      <c r="BD132" s="799"/>
      <c r="BE132" s="799"/>
      <c r="BF132" s="799"/>
      <c r="BG132" s="799"/>
    </row>
    <row r="133">
      <c r="H133" s="799"/>
      <c r="I133" s="799"/>
      <c r="J133" s="799"/>
      <c r="K133" s="799"/>
      <c r="L133" s="799"/>
      <c r="M133" s="799"/>
      <c r="N133" s="799"/>
      <c r="O133" s="799"/>
      <c r="P133" s="799"/>
      <c r="Q133" s="799"/>
      <c r="R133" s="799"/>
      <c r="S133" s="799"/>
      <c r="T133" s="799"/>
      <c r="U133" s="799"/>
      <c r="V133" s="799"/>
      <c r="W133" s="799"/>
      <c r="X133" s="799"/>
      <c r="Y133" s="799"/>
      <c r="Z133" s="799"/>
      <c r="AA133" s="799"/>
      <c r="AB133" s="799"/>
      <c r="AC133" s="799"/>
      <c r="AD133" s="799"/>
      <c r="AE133" s="799"/>
      <c r="AF133" s="799"/>
      <c r="AG133" s="799"/>
      <c r="AH133" s="799"/>
      <c r="AI133" s="799"/>
      <c r="AJ133" s="799"/>
      <c r="AK133" s="799"/>
      <c r="AL133" s="799"/>
      <c r="AM133" s="799"/>
      <c r="AN133" s="799"/>
      <c r="AO133" s="799"/>
      <c r="AP133" s="799"/>
      <c r="AQ133" s="799"/>
      <c r="AR133" s="799"/>
      <c r="AS133" s="799"/>
      <c r="AT133" s="799"/>
      <c r="AU133" s="799"/>
      <c r="AV133" s="799"/>
      <c r="AW133" s="799"/>
      <c r="AX133" s="799"/>
      <c r="AY133" s="799"/>
      <c r="AZ133" s="799"/>
      <c r="BA133" s="799"/>
      <c r="BB133" s="799"/>
      <c r="BC133" s="799"/>
      <c r="BD133" s="799"/>
      <c r="BE133" s="799"/>
      <c r="BF133" s="799"/>
      <c r="BG133" s="799"/>
    </row>
    <row r="134">
      <c r="H134" s="799"/>
      <c r="I134" s="799"/>
      <c r="J134" s="799"/>
      <c r="K134" s="799"/>
      <c r="L134" s="799"/>
      <c r="M134" s="799"/>
      <c r="N134" s="799"/>
      <c r="O134" s="799"/>
      <c r="P134" s="799"/>
      <c r="Q134" s="799"/>
      <c r="R134" s="799"/>
      <c r="S134" s="799"/>
      <c r="T134" s="799"/>
      <c r="U134" s="799"/>
      <c r="V134" s="799"/>
      <c r="W134" s="799"/>
      <c r="X134" s="799"/>
      <c r="Y134" s="799"/>
      <c r="Z134" s="799"/>
      <c r="AA134" s="799"/>
      <c r="AB134" s="799"/>
      <c r="AC134" s="799"/>
      <c r="AD134" s="799"/>
      <c r="AE134" s="799"/>
      <c r="AF134" s="799"/>
      <c r="AG134" s="799"/>
      <c r="AH134" s="799"/>
      <c r="AI134" s="799"/>
      <c r="AJ134" s="799"/>
      <c r="AK134" s="799"/>
      <c r="AL134" s="799"/>
      <c r="AM134" s="799"/>
      <c r="AN134" s="799"/>
      <c r="AO134" s="799"/>
      <c r="AP134" s="799"/>
      <c r="AQ134" s="799"/>
      <c r="AR134" s="799"/>
      <c r="AS134" s="799"/>
      <c r="AT134" s="799"/>
      <c r="AU134" s="799"/>
      <c r="AV134" s="799"/>
      <c r="AW134" s="799"/>
      <c r="AX134" s="799"/>
      <c r="AY134" s="799"/>
      <c r="AZ134" s="799"/>
      <c r="BA134" s="799"/>
      <c r="BB134" s="799"/>
      <c r="BC134" s="799"/>
      <c r="BD134" s="799"/>
      <c r="BE134" s="799"/>
      <c r="BF134" s="799"/>
      <c r="BG134" s="799"/>
    </row>
    <row r="135">
      <c r="H135" s="799"/>
      <c r="I135" s="799"/>
      <c r="J135" s="799"/>
      <c r="K135" s="799"/>
      <c r="L135" s="799"/>
      <c r="M135" s="799"/>
      <c r="N135" s="799"/>
      <c r="O135" s="799"/>
      <c r="P135" s="799"/>
      <c r="Q135" s="799"/>
      <c r="R135" s="799"/>
      <c r="S135" s="799"/>
      <c r="T135" s="799"/>
      <c r="U135" s="799"/>
      <c r="V135" s="799"/>
      <c r="W135" s="799"/>
      <c r="X135" s="799"/>
      <c r="Y135" s="799"/>
      <c r="Z135" s="799"/>
      <c r="AA135" s="799"/>
      <c r="AB135" s="799"/>
      <c r="AC135" s="799"/>
      <c r="AD135" s="799"/>
      <c r="AE135" s="799"/>
      <c r="AF135" s="799"/>
      <c r="AG135" s="799"/>
      <c r="AH135" s="799"/>
      <c r="AI135" s="799"/>
      <c r="AJ135" s="799"/>
      <c r="AK135" s="799"/>
      <c r="AL135" s="799"/>
      <c r="AM135" s="799"/>
      <c r="AN135" s="799"/>
      <c r="AO135" s="799"/>
      <c r="AP135" s="799"/>
      <c r="AQ135" s="799"/>
      <c r="AR135" s="799"/>
      <c r="AS135" s="799"/>
      <c r="AT135" s="799"/>
      <c r="AU135" s="799"/>
      <c r="AV135" s="799"/>
      <c r="AW135" s="799"/>
      <c r="AX135" s="799"/>
      <c r="AY135" s="799"/>
      <c r="AZ135" s="799"/>
      <c r="BA135" s="799"/>
      <c r="BB135" s="799"/>
      <c r="BC135" s="799"/>
      <c r="BD135" s="799"/>
      <c r="BE135" s="799"/>
      <c r="BF135" s="799"/>
      <c r="BG135" s="799"/>
    </row>
    <row r="136">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row>
    <row r="137">
      <c r="H137" s="799"/>
      <c r="I137" s="799"/>
      <c r="J137" s="799"/>
      <c r="K137" s="799"/>
      <c r="L137" s="799"/>
      <c r="M137" s="799"/>
      <c r="N137" s="799"/>
      <c r="O137" s="799"/>
      <c r="P137" s="799"/>
      <c r="Q137" s="799"/>
      <c r="R137" s="799"/>
      <c r="S137" s="799"/>
      <c r="T137" s="799"/>
      <c r="U137" s="799"/>
      <c r="V137" s="799"/>
      <c r="W137" s="799"/>
      <c r="X137" s="799"/>
      <c r="Y137" s="799"/>
      <c r="Z137" s="799"/>
      <c r="AA137" s="799"/>
      <c r="AB137" s="799"/>
      <c r="AC137" s="799"/>
      <c r="AD137" s="799"/>
      <c r="AE137" s="799"/>
      <c r="AF137" s="799"/>
      <c r="AG137" s="799"/>
      <c r="AH137" s="799"/>
      <c r="AI137" s="799"/>
      <c r="AJ137" s="799"/>
      <c r="AK137" s="799"/>
      <c r="AL137" s="799"/>
      <c r="AM137" s="799"/>
      <c r="AN137" s="799"/>
      <c r="AO137" s="799"/>
      <c r="AP137" s="799"/>
      <c r="AQ137" s="799"/>
      <c r="AR137" s="799"/>
      <c r="AS137" s="799"/>
      <c r="AT137" s="799"/>
      <c r="AU137" s="799"/>
      <c r="AV137" s="799"/>
      <c r="AW137" s="799"/>
      <c r="AX137" s="799"/>
      <c r="AY137" s="799"/>
      <c r="AZ137" s="799"/>
      <c r="BA137" s="799"/>
      <c r="BB137" s="799"/>
      <c r="BC137" s="799"/>
      <c r="BD137" s="799"/>
      <c r="BE137" s="799"/>
      <c r="BF137" s="799"/>
      <c r="BG137" s="799"/>
    </row>
    <row r="138">
      <c r="H138" s="799"/>
      <c r="I138" s="799"/>
      <c r="J138" s="799"/>
      <c r="K138" s="799"/>
      <c r="L138" s="799"/>
      <c r="M138" s="799"/>
      <c r="N138" s="799"/>
      <c r="O138" s="799"/>
      <c r="P138" s="799"/>
      <c r="Q138" s="799"/>
      <c r="R138" s="799"/>
      <c r="S138" s="799"/>
      <c r="T138" s="799"/>
      <c r="U138" s="799"/>
      <c r="V138" s="799"/>
      <c r="W138" s="799"/>
      <c r="X138" s="799"/>
      <c r="Y138" s="799"/>
      <c r="Z138" s="799"/>
      <c r="AA138" s="799"/>
      <c r="AB138" s="799"/>
      <c r="AC138" s="799"/>
      <c r="AD138" s="799"/>
      <c r="AE138" s="799"/>
      <c r="AF138" s="799"/>
      <c r="AG138" s="799"/>
      <c r="AH138" s="799"/>
      <c r="AI138" s="799"/>
      <c r="AJ138" s="799"/>
      <c r="AK138" s="799"/>
      <c r="AL138" s="799"/>
      <c r="AM138" s="799"/>
      <c r="AN138" s="799"/>
      <c r="AO138" s="799"/>
      <c r="AP138" s="799"/>
      <c r="AQ138" s="799"/>
      <c r="AR138" s="799"/>
      <c r="AS138" s="799"/>
      <c r="AT138" s="799"/>
      <c r="AU138" s="799"/>
      <c r="AV138" s="799"/>
      <c r="AW138" s="799"/>
      <c r="AX138" s="799"/>
      <c r="AY138" s="799"/>
      <c r="AZ138" s="799"/>
      <c r="BA138" s="799"/>
      <c r="BB138" s="799"/>
      <c r="BC138" s="799"/>
      <c r="BD138" s="799"/>
      <c r="BE138" s="799"/>
      <c r="BF138" s="799"/>
      <c r="BG138" s="799"/>
    </row>
    <row r="139">
      <c r="H139" s="799"/>
      <c r="I139" s="799"/>
      <c r="J139" s="799"/>
      <c r="K139" s="799"/>
      <c r="L139" s="799"/>
      <c r="M139" s="799"/>
      <c r="N139" s="799"/>
      <c r="O139" s="799"/>
      <c r="P139" s="799"/>
      <c r="Q139" s="799"/>
      <c r="R139" s="799"/>
      <c r="S139" s="799"/>
      <c r="T139" s="799"/>
      <c r="U139" s="799"/>
      <c r="V139" s="799"/>
      <c r="W139" s="799"/>
      <c r="X139" s="799"/>
      <c r="Y139" s="799"/>
      <c r="Z139" s="799"/>
      <c r="AA139" s="799"/>
      <c r="AB139" s="799"/>
      <c r="AC139" s="799"/>
      <c r="AD139" s="799"/>
      <c r="AE139" s="799"/>
      <c r="AF139" s="799"/>
      <c r="AG139" s="799"/>
      <c r="AH139" s="799"/>
      <c r="AI139" s="799"/>
      <c r="AJ139" s="799"/>
      <c r="AK139" s="799"/>
      <c r="AL139" s="799"/>
      <c r="AM139" s="799"/>
      <c r="AN139" s="799"/>
      <c r="AO139" s="799"/>
      <c r="AP139" s="799"/>
      <c r="AQ139" s="799"/>
      <c r="AR139" s="799"/>
      <c r="AS139" s="799"/>
      <c r="AT139" s="799"/>
      <c r="AU139" s="799"/>
      <c r="AV139" s="799"/>
      <c r="AW139" s="799"/>
      <c r="AX139" s="799"/>
      <c r="AY139" s="799"/>
      <c r="AZ139" s="799"/>
      <c r="BA139" s="799"/>
      <c r="BB139" s="799"/>
      <c r="BC139" s="799"/>
      <c r="BD139" s="799"/>
      <c r="BE139" s="799"/>
      <c r="BF139" s="799"/>
      <c r="BG139" s="799"/>
    </row>
    <row r="140">
      <c r="H140" s="799"/>
      <c r="I140" s="799"/>
      <c r="J140" s="799"/>
      <c r="K140" s="799"/>
      <c r="L140" s="799"/>
      <c r="M140" s="799"/>
      <c r="N140" s="799"/>
      <c r="O140" s="799"/>
      <c r="P140" s="799"/>
      <c r="Q140" s="799"/>
      <c r="R140" s="799"/>
      <c r="S140" s="799"/>
      <c r="T140" s="799"/>
      <c r="U140" s="799"/>
      <c r="V140" s="799"/>
      <c r="W140" s="799"/>
      <c r="X140" s="799"/>
      <c r="Y140" s="799"/>
      <c r="Z140" s="799"/>
      <c r="AA140" s="799"/>
      <c r="AB140" s="799"/>
      <c r="AC140" s="799"/>
      <c r="AD140" s="799"/>
      <c r="AE140" s="799"/>
      <c r="AF140" s="799"/>
      <c r="AG140" s="799"/>
      <c r="AH140" s="799"/>
      <c r="AI140" s="799"/>
      <c r="AJ140" s="799"/>
      <c r="AK140" s="799"/>
      <c r="AL140" s="799"/>
      <c r="AM140" s="799"/>
      <c r="AN140" s="799"/>
      <c r="AO140" s="799"/>
      <c r="AP140" s="799"/>
      <c r="AQ140" s="799"/>
      <c r="AR140" s="799"/>
      <c r="AS140" s="799"/>
      <c r="AT140" s="799"/>
      <c r="AU140" s="799"/>
      <c r="AV140" s="799"/>
      <c r="AW140" s="799"/>
      <c r="AX140" s="799"/>
      <c r="AY140" s="799"/>
      <c r="AZ140" s="799"/>
      <c r="BA140" s="799"/>
      <c r="BB140" s="799"/>
      <c r="BC140" s="799"/>
      <c r="BD140" s="799"/>
      <c r="BE140" s="799"/>
      <c r="BF140" s="799"/>
      <c r="BG140" s="799"/>
    </row>
    <row r="141">
      <c r="H141" s="799"/>
      <c r="I141" s="799"/>
      <c r="J141" s="799"/>
      <c r="K141" s="799"/>
      <c r="L141" s="799"/>
      <c r="M141" s="799"/>
      <c r="N141" s="799"/>
      <c r="O141" s="799"/>
      <c r="P141" s="799"/>
      <c r="Q141" s="799"/>
      <c r="R141" s="799"/>
      <c r="S141" s="799"/>
      <c r="T141" s="799"/>
      <c r="U141" s="799"/>
      <c r="V141" s="799"/>
      <c r="W141" s="799"/>
      <c r="X141" s="799"/>
      <c r="Y141" s="799"/>
      <c r="Z141" s="799"/>
      <c r="AA141" s="799"/>
      <c r="AB141" s="799"/>
      <c r="AC141" s="799"/>
      <c r="AD141" s="799"/>
      <c r="AE141" s="799"/>
      <c r="AF141" s="799"/>
      <c r="AG141" s="799"/>
      <c r="AH141" s="799"/>
      <c r="AI141" s="799"/>
      <c r="AJ141" s="799"/>
      <c r="AK141" s="799"/>
      <c r="AL141" s="799"/>
      <c r="AM141" s="799"/>
      <c r="AN141" s="799"/>
      <c r="AO141" s="799"/>
      <c r="AP141" s="799"/>
      <c r="AQ141" s="799"/>
      <c r="AR141" s="799"/>
      <c r="AS141" s="799"/>
      <c r="AT141" s="799"/>
      <c r="AU141" s="799"/>
      <c r="AV141" s="799"/>
      <c r="AW141" s="799"/>
      <c r="AX141" s="799"/>
      <c r="AY141" s="799"/>
      <c r="AZ141" s="799"/>
      <c r="BA141" s="799"/>
      <c r="BB141" s="799"/>
      <c r="BC141" s="799"/>
      <c r="BD141" s="799"/>
      <c r="BE141" s="799"/>
      <c r="BF141" s="799"/>
      <c r="BG141" s="799"/>
    </row>
    <row r="142">
      <c r="H142" s="799"/>
      <c r="I142" s="799"/>
      <c r="J142" s="799"/>
      <c r="K142" s="799"/>
      <c r="L142" s="799"/>
      <c r="M142" s="799"/>
      <c r="N142" s="799"/>
      <c r="O142" s="799"/>
      <c r="P142" s="799"/>
      <c r="Q142" s="799"/>
      <c r="R142" s="799"/>
      <c r="S142" s="799"/>
      <c r="T142" s="799"/>
      <c r="U142" s="799"/>
      <c r="V142" s="799"/>
      <c r="W142" s="799"/>
      <c r="X142" s="799"/>
      <c r="Y142" s="799"/>
      <c r="Z142" s="799"/>
      <c r="AA142" s="799"/>
      <c r="AB142" s="799"/>
      <c r="AC142" s="799"/>
      <c r="AD142" s="799"/>
      <c r="AE142" s="799"/>
      <c r="AF142" s="799"/>
      <c r="AG142" s="799"/>
      <c r="AH142" s="799"/>
      <c r="AI142" s="799"/>
      <c r="AJ142" s="799"/>
      <c r="AK142" s="799"/>
      <c r="AL142" s="799"/>
      <c r="AM142" s="799"/>
      <c r="AN142" s="799"/>
      <c r="AO142" s="799"/>
      <c r="AP142" s="799"/>
      <c r="AQ142" s="799"/>
      <c r="AR142" s="799"/>
      <c r="AS142" s="799"/>
      <c r="AT142" s="799"/>
      <c r="AU142" s="799"/>
      <c r="AV142" s="799"/>
      <c r="AW142" s="799"/>
      <c r="AX142" s="799"/>
      <c r="AY142" s="799"/>
      <c r="AZ142" s="799"/>
      <c r="BA142" s="799"/>
      <c r="BB142" s="799"/>
      <c r="BC142" s="799"/>
      <c r="BD142" s="799"/>
      <c r="BE142" s="799"/>
      <c r="BF142" s="799"/>
      <c r="BG142" s="799"/>
    </row>
    <row r="143">
      <c r="H143" s="799"/>
      <c r="I143" s="799"/>
      <c r="J143" s="799"/>
      <c r="K143" s="799"/>
      <c r="L143" s="799"/>
      <c r="M143" s="799"/>
      <c r="N143" s="799"/>
      <c r="O143" s="799"/>
      <c r="P143" s="799"/>
      <c r="Q143" s="799"/>
      <c r="R143" s="799"/>
      <c r="S143" s="799"/>
      <c r="T143" s="799"/>
      <c r="U143" s="799"/>
      <c r="V143" s="799"/>
      <c r="W143" s="799"/>
      <c r="X143" s="799"/>
      <c r="Y143" s="799"/>
      <c r="Z143" s="799"/>
      <c r="AA143" s="799"/>
      <c r="AB143" s="799"/>
      <c r="AC143" s="799"/>
      <c r="AD143" s="799"/>
      <c r="AE143" s="799"/>
      <c r="AF143" s="799"/>
      <c r="AG143" s="799"/>
      <c r="AH143" s="799"/>
      <c r="AI143" s="799"/>
      <c r="AJ143" s="799"/>
      <c r="AK143" s="799"/>
      <c r="AL143" s="799"/>
      <c r="AM143" s="799"/>
      <c r="AN143" s="799"/>
      <c r="AO143" s="799"/>
      <c r="AP143" s="799"/>
      <c r="AQ143" s="799"/>
      <c r="AR143" s="799"/>
      <c r="AS143" s="799"/>
      <c r="AT143" s="799"/>
      <c r="AU143" s="799"/>
      <c r="AV143" s="799"/>
      <c r="AW143" s="799"/>
      <c r="AX143" s="799"/>
      <c r="AY143" s="799"/>
      <c r="AZ143" s="799"/>
      <c r="BA143" s="799"/>
      <c r="BB143" s="799"/>
      <c r="BC143" s="799"/>
      <c r="BD143" s="799"/>
      <c r="BE143" s="799"/>
      <c r="BF143" s="799"/>
      <c r="BG143" s="799"/>
    </row>
    <row r="144">
      <c r="H144" s="799"/>
      <c r="I144" s="799"/>
      <c r="J144" s="799"/>
      <c r="K144" s="799"/>
      <c r="L144" s="799"/>
      <c r="M144" s="799"/>
      <c r="N144" s="799"/>
      <c r="O144" s="799"/>
      <c r="P144" s="799"/>
      <c r="Q144" s="799"/>
      <c r="R144" s="799"/>
      <c r="S144" s="799"/>
      <c r="T144" s="799"/>
      <c r="U144" s="799"/>
      <c r="V144" s="799"/>
      <c r="W144" s="799"/>
      <c r="X144" s="799"/>
      <c r="Y144" s="799"/>
      <c r="Z144" s="799"/>
      <c r="AA144" s="799"/>
      <c r="AB144" s="799"/>
      <c r="AC144" s="799"/>
      <c r="AD144" s="799"/>
      <c r="AE144" s="799"/>
      <c r="AF144" s="799"/>
      <c r="AG144" s="799"/>
      <c r="AH144" s="799"/>
      <c r="AI144" s="799"/>
      <c r="AJ144" s="799"/>
      <c r="AK144" s="799"/>
      <c r="AL144" s="799"/>
      <c r="AM144" s="799"/>
      <c r="AN144" s="799"/>
      <c r="AO144" s="799"/>
      <c r="AP144" s="799"/>
      <c r="AQ144" s="799"/>
      <c r="AR144" s="799"/>
      <c r="AS144" s="799"/>
      <c r="AT144" s="799"/>
      <c r="AU144" s="799"/>
      <c r="AV144" s="799"/>
      <c r="AW144" s="799"/>
      <c r="AX144" s="799"/>
      <c r="AY144" s="799"/>
      <c r="AZ144" s="799"/>
      <c r="BA144" s="799"/>
      <c r="BB144" s="799"/>
      <c r="BC144" s="799"/>
      <c r="BD144" s="799"/>
      <c r="BE144" s="799"/>
      <c r="BF144" s="799"/>
      <c r="BG144" s="799"/>
    </row>
    <row r="145">
      <c r="H145" s="799"/>
      <c r="I145" s="799"/>
      <c r="J145" s="799"/>
      <c r="K145" s="799"/>
      <c r="L145" s="799"/>
      <c r="M145" s="799"/>
      <c r="N145" s="799"/>
      <c r="O145" s="799"/>
      <c r="P145" s="799"/>
      <c r="Q145" s="799"/>
      <c r="R145" s="799"/>
      <c r="S145" s="799"/>
      <c r="T145" s="799"/>
      <c r="U145" s="799"/>
      <c r="V145" s="799"/>
      <c r="W145" s="799"/>
      <c r="X145" s="799"/>
      <c r="Y145" s="799"/>
      <c r="Z145" s="799"/>
      <c r="AA145" s="799"/>
      <c r="AB145" s="799"/>
      <c r="AC145" s="799"/>
      <c r="AD145" s="799"/>
      <c r="AE145" s="799"/>
      <c r="AF145" s="799"/>
      <c r="AG145" s="799"/>
      <c r="AH145" s="799"/>
      <c r="AI145" s="799"/>
      <c r="AJ145" s="799"/>
      <c r="AK145" s="799"/>
      <c r="AL145" s="799"/>
      <c r="AM145" s="799"/>
      <c r="AN145" s="799"/>
      <c r="AO145" s="799"/>
      <c r="AP145" s="799"/>
      <c r="AQ145" s="799"/>
      <c r="AR145" s="799"/>
      <c r="AS145" s="799"/>
      <c r="AT145" s="799"/>
      <c r="AU145" s="799"/>
      <c r="AV145" s="799"/>
      <c r="AW145" s="799"/>
      <c r="AX145" s="799"/>
      <c r="AY145" s="799"/>
      <c r="AZ145" s="799"/>
      <c r="BA145" s="799"/>
      <c r="BB145" s="799"/>
      <c r="BC145" s="799"/>
      <c r="BD145" s="799"/>
      <c r="BE145" s="799"/>
      <c r="BF145" s="799"/>
      <c r="BG145" s="799"/>
    </row>
    <row r="146">
      <c r="H146" s="799"/>
      <c r="I146" s="799"/>
      <c r="J146" s="799"/>
      <c r="K146" s="799"/>
      <c r="L146" s="799"/>
      <c r="M146" s="799"/>
      <c r="N146" s="799"/>
      <c r="O146" s="799"/>
      <c r="P146" s="799"/>
      <c r="Q146" s="799"/>
      <c r="R146" s="799"/>
      <c r="S146" s="799"/>
      <c r="T146" s="799"/>
      <c r="U146" s="799"/>
      <c r="V146" s="799"/>
      <c r="W146" s="799"/>
      <c r="X146" s="799"/>
      <c r="Y146" s="799"/>
      <c r="Z146" s="799"/>
      <c r="AA146" s="799"/>
      <c r="AB146" s="799"/>
      <c r="AC146" s="799"/>
      <c r="AD146" s="799"/>
      <c r="AE146" s="799"/>
      <c r="AF146" s="799"/>
      <c r="AG146" s="799"/>
      <c r="AH146" s="799"/>
      <c r="AI146" s="799"/>
      <c r="AJ146" s="799"/>
      <c r="AK146" s="799"/>
      <c r="AL146" s="799"/>
      <c r="AM146" s="799"/>
      <c r="AN146" s="799"/>
      <c r="AO146" s="799"/>
      <c r="AP146" s="799"/>
      <c r="AQ146" s="799"/>
      <c r="AR146" s="799"/>
      <c r="AS146" s="799"/>
      <c r="AT146" s="799"/>
      <c r="AU146" s="799"/>
      <c r="AV146" s="799"/>
      <c r="AW146" s="799"/>
      <c r="AX146" s="799"/>
      <c r="AY146" s="799"/>
      <c r="AZ146" s="799"/>
      <c r="BA146" s="799"/>
      <c r="BB146" s="799"/>
      <c r="BC146" s="799"/>
      <c r="BD146" s="799"/>
      <c r="BE146" s="799"/>
      <c r="BF146" s="799"/>
      <c r="BG146" s="799"/>
    </row>
    <row r="147">
      <c r="H147" s="799"/>
      <c r="I147" s="799"/>
      <c r="J147" s="799"/>
      <c r="K147" s="799"/>
      <c r="L147" s="799"/>
      <c r="M147" s="799"/>
      <c r="N147" s="799"/>
      <c r="O147" s="799"/>
      <c r="P147" s="799"/>
      <c r="Q147" s="799"/>
      <c r="R147" s="799"/>
      <c r="S147" s="799"/>
      <c r="T147" s="799"/>
      <c r="U147" s="799"/>
      <c r="V147" s="799"/>
      <c r="W147" s="799"/>
      <c r="X147" s="799"/>
      <c r="Y147" s="799"/>
      <c r="Z147" s="799"/>
      <c r="AA147" s="799"/>
      <c r="AB147" s="799"/>
      <c r="AC147" s="799"/>
      <c r="AD147" s="799"/>
      <c r="AE147" s="799"/>
      <c r="AF147" s="799"/>
      <c r="AG147" s="799"/>
      <c r="AH147" s="799"/>
      <c r="AI147" s="799"/>
      <c r="AJ147" s="799"/>
      <c r="AK147" s="799"/>
      <c r="AL147" s="799"/>
      <c r="AM147" s="799"/>
      <c r="AN147" s="799"/>
      <c r="AO147" s="799"/>
      <c r="AP147" s="799"/>
      <c r="AQ147" s="799"/>
      <c r="AR147" s="799"/>
      <c r="AS147" s="799"/>
      <c r="AT147" s="799"/>
      <c r="AU147" s="799"/>
      <c r="AV147" s="799"/>
      <c r="AW147" s="799"/>
      <c r="AX147" s="799"/>
      <c r="AY147" s="799"/>
      <c r="AZ147" s="799"/>
      <c r="BA147" s="799"/>
      <c r="BB147" s="799"/>
      <c r="BC147" s="799"/>
      <c r="BD147" s="799"/>
      <c r="BE147" s="799"/>
      <c r="BF147" s="799"/>
      <c r="BG147" s="799"/>
    </row>
    <row r="148">
      <c r="H148" s="799"/>
      <c r="I148" s="799"/>
      <c r="J148" s="799"/>
      <c r="K148" s="799"/>
      <c r="L148" s="799"/>
      <c r="M148" s="799"/>
      <c r="N148" s="799"/>
      <c r="O148" s="799"/>
      <c r="P148" s="799"/>
      <c r="Q148" s="799"/>
      <c r="R148" s="799"/>
      <c r="S148" s="799"/>
      <c r="T148" s="799"/>
      <c r="U148" s="799"/>
      <c r="V148" s="799"/>
      <c r="W148" s="799"/>
      <c r="X148" s="799"/>
      <c r="Y148" s="799"/>
      <c r="Z148" s="799"/>
      <c r="AA148" s="799"/>
      <c r="AB148" s="799"/>
      <c r="AC148" s="799"/>
      <c r="AD148" s="799"/>
      <c r="AE148" s="799"/>
      <c r="AF148" s="799"/>
      <c r="AG148" s="799"/>
      <c r="AH148" s="799"/>
      <c r="AI148" s="799"/>
      <c r="AJ148" s="799"/>
      <c r="AK148" s="799"/>
      <c r="AL148" s="799"/>
      <c r="AM148" s="799"/>
      <c r="AN148" s="799"/>
      <c r="AO148" s="799"/>
      <c r="AP148" s="799"/>
      <c r="AQ148" s="799"/>
      <c r="AR148" s="799"/>
      <c r="AS148" s="799"/>
      <c r="AT148" s="799"/>
      <c r="AU148" s="799"/>
      <c r="AV148" s="799"/>
      <c r="AW148" s="799"/>
      <c r="AX148" s="799"/>
      <c r="AY148" s="799"/>
      <c r="AZ148" s="799"/>
      <c r="BA148" s="799"/>
      <c r="BB148" s="799"/>
      <c r="BC148" s="799"/>
      <c r="BD148" s="799"/>
      <c r="BE148" s="799"/>
      <c r="BF148" s="799"/>
      <c r="BG148" s="799"/>
    </row>
    <row r="149">
      <c r="H149" s="799"/>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799"/>
      <c r="AL149" s="799"/>
      <c r="AM149" s="799"/>
      <c r="AN149" s="799"/>
      <c r="AO149" s="799"/>
      <c r="AP149" s="799"/>
      <c r="AQ149" s="799"/>
      <c r="AR149" s="799"/>
      <c r="AS149" s="799"/>
      <c r="AT149" s="799"/>
      <c r="AU149" s="799"/>
      <c r="AV149" s="799"/>
      <c r="AW149" s="799"/>
      <c r="AX149" s="799"/>
      <c r="AY149" s="799"/>
      <c r="AZ149" s="799"/>
      <c r="BA149" s="799"/>
      <c r="BB149" s="799"/>
      <c r="BC149" s="799"/>
      <c r="BD149" s="799"/>
      <c r="BE149" s="799"/>
      <c r="BF149" s="799"/>
      <c r="BG149" s="799"/>
    </row>
    <row r="150">
      <c r="H150" s="799"/>
      <c r="I150" s="799"/>
      <c r="J150" s="799"/>
      <c r="K150" s="799"/>
      <c r="L150" s="799"/>
      <c r="M150" s="799"/>
      <c r="N150" s="799"/>
      <c r="O150" s="799"/>
      <c r="P150" s="799"/>
      <c r="Q150" s="799"/>
      <c r="R150" s="799"/>
      <c r="S150" s="799"/>
      <c r="T150" s="799"/>
      <c r="U150" s="799"/>
      <c r="V150" s="799"/>
      <c r="W150" s="799"/>
      <c r="X150" s="799"/>
      <c r="Y150" s="799"/>
      <c r="Z150" s="799"/>
      <c r="AA150" s="799"/>
      <c r="AB150" s="799"/>
      <c r="AC150" s="799"/>
      <c r="AD150" s="799"/>
      <c r="AE150" s="799"/>
      <c r="AF150" s="799"/>
      <c r="AG150" s="799"/>
      <c r="AH150" s="799"/>
      <c r="AI150" s="799"/>
      <c r="AJ150" s="799"/>
      <c r="AK150" s="799"/>
      <c r="AL150" s="799"/>
      <c r="AM150" s="799"/>
      <c r="AN150" s="799"/>
      <c r="AO150" s="799"/>
      <c r="AP150" s="799"/>
      <c r="AQ150" s="799"/>
      <c r="AR150" s="799"/>
      <c r="AS150" s="799"/>
      <c r="AT150" s="799"/>
      <c r="AU150" s="799"/>
      <c r="AV150" s="799"/>
      <c r="AW150" s="799"/>
      <c r="AX150" s="799"/>
      <c r="AY150" s="799"/>
      <c r="AZ150" s="799"/>
      <c r="BA150" s="799"/>
      <c r="BB150" s="799"/>
      <c r="BC150" s="799"/>
      <c r="BD150" s="799"/>
      <c r="BE150" s="799"/>
      <c r="BF150" s="799"/>
      <c r="BG150" s="799"/>
    </row>
    <row r="151">
      <c r="H151" s="799"/>
      <c r="I151" s="799"/>
      <c r="J151" s="799"/>
      <c r="K151" s="799"/>
      <c r="L151" s="799"/>
      <c r="M151" s="799"/>
      <c r="N151" s="799"/>
      <c r="O151" s="799"/>
      <c r="P151" s="799"/>
      <c r="Q151" s="799"/>
      <c r="R151" s="799"/>
      <c r="S151" s="799"/>
      <c r="T151" s="799"/>
      <c r="U151" s="799"/>
      <c r="V151" s="799"/>
      <c r="W151" s="799"/>
      <c r="X151" s="799"/>
      <c r="Y151" s="799"/>
      <c r="Z151" s="799"/>
      <c r="AA151" s="799"/>
      <c r="AB151" s="799"/>
      <c r="AC151" s="799"/>
      <c r="AD151" s="799"/>
      <c r="AE151" s="799"/>
      <c r="AF151" s="799"/>
      <c r="AG151" s="799"/>
      <c r="AH151" s="799"/>
      <c r="AI151" s="799"/>
      <c r="AJ151" s="799"/>
      <c r="AK151" s="799"/>
      <c r="AL151" s="799"/>
      <c r="AM151" s="799"/>
      <c r="AN151" s="799"/>
      <c r="AO151" s="799"/>
      <c r="AP151" s="799"/>
      <c r="AQ151" s="799"/>
      <c r="AR151" s="799"/>
      <c r="AS151" s="799"/>
      <c r="AT151" s="799"/>
      <c r="AU151" s="799"/>
      <c r="AV151" s="799"/>
      <c r="AW151" s="799"/>
      <c r="AX151" s="799"/>
      <c r="AY151" s="799"/>
      <c r="AZ151" s="799"/>
      <c r="BA151" s="799"/>
      <c r="BB151" s="799"/>
      <c r="BC151" s="799"/>
      <c r="BD151" s="799"/>
      <c r="BE151" s="799"/>
      <c r="BF151" s="799"/>
      <c r="BG151" s="799"/>
    </row>
    <row r="152">
      <c r="H152" s="799"/>
      <c r="I152" s="799"/>
      <c r="J152" s="799"/>
      <c r="K152" s="799"/>
      <c r="L152" s="799"/>
      <c r="M152" s="799"/>
      <c r="N152" s="799"/>
      <c r="O152" s="799"/>
      <c r="P152" s="799"/>
      <c r="Q152" s="799"/>
      <c r="R152" s="799"/>
      <c r="S152" s="799"/>
      <c r="T152" s="799"/>
      <c r="U152" s="799"/>
      <c r="V152" s="799"/>
      <c r="W152" s="799"/>
      <c r="X152" s="799"/>
      <c r="Y152" s="799"/>
      <c r="Z152" s="799"/>
      <c r="AA152" s="799"/>
      <c r="AB152" s="799"/>
      <c r="AC152" s="799"/>
      <c r="AD152" s="799"/>
      <c r="AE152" s="799"/>
      <c r="AF152" s="799"/>
      <c r="AG152" s="799"/>
      <c r="AH152" s="799"/>
      <c r="AI152" s="799"/>
      <c r="AJ152" s="799"/>
      <c r="AK152" s="799"/>
      <c r="AL152" s="799"/>
      <c r="AM152" s="799"/>
      <c r="AN152" s="799"/>
      <c r="AO152" s="799"/>
      <c r="AP152" s="799"/>
      <c r="AQ152" s="799"/>
      <c r="AR152" s="799"/>
      <c r="AS152" s="799"/>
      <c r="AT152" s="799"/>
      <c r="AU152" s="799"/>
      <c r="AV152" s="799"/>
      <c r="AW152" s="799"/>
      <c r="AX152" s="799"/>
      <c r="AY152" s="799"/>
      <c r="AZ152" s="799"/>
      <c r="BA152" s="799"/>
      <c r="BB152" s="799"/>
      <c r="BC152" s="799"/>
      <c r="BD152" s="799"/>
      <c r="BE152" s="799"/>
      <c r="BF152" s="799"/>
      <c r="BG152" s="799"/>
    </row>
    <row r="153">
      <c r="H153" s="799"/>
      <c r="I153" s="799"/>
      <c r="J153" s="799"/>
      <c r="K153" s="799"/>
      <c r="L153" s="799"/>
      <c r="M153" s="799"/>
      <c r="N153" s="799"/>
      <c r="O153" s="799"/>
      <c r="P153" s="799"/>
      <c r="Q153" s="799"/>
      <c r="R153" s="799"/>
      <c r="S153" s="799"/>
      <c r="T153" s="799"/>
      <c r="U153" s="799"/>
      <c r="V153" s="799"/>
      <c r="W153" s="799"/>
      <c r="X153" s="799"/>
      <c r="Y153" s="799"/>
      <c r="Z153" s="799"/>
      <c r="AA153" s="799"/>
      <c r="AB153" s="799"/>
      <c r="AC153" s="799"/>
      <c r="AD153" s="799"/>
      <c r="AE153" s="799"/>
      <c r="AF153" s="799"/>
      <c r="AG153" s="799"/>
      <c r="AH153" s="799"/>
      <c r="AI153" s="799"/>
      <c r="AJ153" s="799"/>
      <c r="AK153" s="799"/>
      <c r="AL153" s="799"/>
      <c r="AM153" s="799"/>
      <c r="AN153" s="799"/>
      <c r="AO153" s="799"/>
      <c r="AP153" s="799"/>
      <c r="AQ153" s="799"/>
      <c r="AR153" s="799"/>
      <c r="AS153" s="799"/>
      <c r="AT153" s="799"/>
      <c r="AU153" s="799"/>
      <c r="AV153" s="799"/>
      <c r="AW153" s="799"/>
      <c r="AX153" s="799"/>
      <c r="AY153" s="799"/>
      <c r="AZ153" s="799"/>
      <c r="BA153" s="799"/>
      <c r="BB153" s="799"/>
      <c r="BC153" s="799"/>
      <c r="BD153" s="799"/>
      <c r="BE153" s="799"/>
      <c r="BF153" s="799"/>
      <c r="BG153" s="799"/>
    </row>
    <row r="154">
      <c r="H154" s="799"/>
      <c r="I154" s="799"/>
      <c r="J154" s="799"/>
      <c r="K154" s="799"/>
      <c r="L154" s="799"/>
      <c r="M154" s="799"/>
      <c r="N154" s="799"/>
      <c r="O154" s="799"/>
      <c r="P154" s="799"/>
      <c r="Q154" s="799"/>
      <c r="R154" s="799"/>
      <c r="S154" s="799"/>
      <c r="T154" s="799"/>
      <c r="U154" s="799"/>
      <c r="V154" s="799"/>
      <c r="W154" s="799"/>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row>
    <row r="155">
      <c r="H155" s="799"/>
      <c r="I155" s="799"/>
      <c r="J155" s="799"/>
      <c r="K155" s="799"/>
      <c r="L155" s="799"/>
      <c r="M155" s="799"/>
      <c r="N155" s="799"/>
      <c r="O155" s="799"/>
      <c r="P155" s="799"/>
      <c r="Q155" s="799"/>
      <c r="R155" s="799"/>
      <c r="S155" s="799"/>
      <c r="T155" s="799"/>
      <c r="U155" s="799"/>
      <c r="V155" s="799"/>
      <c r="W155" s="799"/>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row>
    <row r="156">
      <c r="H156" s="799"/>
      <c r="I156" s="799"/>
      <c r="J156" s="799"/>
      <c r="K156" s="799"/>
      <c r="L156" s="799"/>
      <c r="M156" s="799"/>
      <c r="N156" s="799"/>
      <c r="O156" s="799"/>
      <c r="P156" s="799"/>
      <c r="Q156" s="799"/>
      <c r="R156" s="799"/>
      <c r="S156" s="799"/>
      <c r="T156" s="799"/>
      <c r="U156" s="799"/>
      <c r="V156" s="799"/>
      <c r="W156" s="799"/>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row>
    <row r="157">
      <c r="H157" s="799"/>
      <c r="I157" s="799"/>
      <c r="J157" s="799"/>
      <c r="K157" s="799"/>
      <c r="L157" s="799"/>
      <c r="M157" s="799"/>
      <c r="N157" s="799"/>
      <c r="O157" s="799"/>
      <c r="P157" s="799"/>
      <c r="Q157" s="799"/>
      <c r="R157" s="799"/>
      <c r="S157" s="799"/>
      <c r="T157" s="799"/>
      <c r="U157" s="799"/>
      <c r="V157" s="799"/>
      <c r="W157" s="799"/>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row>
    <row r="158">
      <c r="H158" s="799"/>
      <c r="I158" s="799"/>
      <c r="J158" s="799"/>
      <c r="K158" s="799"/>
      <c r="L158" s="799"/>
      <c r="M158" s="799"/>
      <c r="N158" s="799"/>
      <c r="O158" s="799"/>
      <c r="P158" s="799"/>
      <c r="Q158" s="799"/>
      <c r="R158" s="799"/>
      <c r="S158" s="799"/>
      <c r="T158" s="799"/>
      <c r="U158" s="799"/>
      <c r="V158" s="799"/>
      <c r="W158" s="799"/>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row>
    <row r="159">
      <c r="H159" s="799"/>
      <c r="I159" s="799"/>
      <c r="J159" s="799"/>
      <c r="K159" s="799"/>
      <c r="L159" s="799"/>
      <c r="M159" s="799"/>
      <c r="N159" s="799"/>
      <c r="O159" s="799"/>
      <c r="P159" s="799"/>
      <c r="Q159" s="799"/>
      <c r="R159" s="799"/>
      <c r="S159" s="799"/>
      <c r="T159" s="799"/>
      <c r="U159" s="799"/>
      <c r="V159" s="799"/>
      <c r="W159" s="799"/>
      <c r="X159" s="799"/>
      <c r="Y159" s="799"/>
      <c r="Z159" s="799"/>
      <c r="AA159" s="799"/>
      <c r="AB159" s="799"/>
      <c r="AC159" s="799"/>
      <c r="AD159" s="799"/>
      <c r="AE159" s="799"/>
      <c r="AF159" s="799"/>
      <c r="AG159" s="799"/>
      <c r="AH159" s="799"/>
      <c r="AI159" s="799"/>
      <c r="AJ159" s="799"/>
      <c r="AK159" s="799"/>
      <c r="AL159" s="799"/>
      <c r="AM159" s="799"/>
      <c r="AN159" s="799"/>
      <c r="AO159" s="799"/>
      <c r="AP159" s="799"/>
      <c r="AQ159" s="799"/>
      <c r="AR159" s="799"/>
      <c r="AS159" s="799"/>
      <c r="AT159" s="799"/>
      <c r="AU159" s="799"/>
      <c r="AV159" s="799"/>
      <c r="AW159" s="799"/>
      <c r="AX159" s="799"/>
      <c r="AY159" s="799"/>
      <c r="AZ159" s="799"/>
      <c r="BA159" s="799"/>
      <c r="BB159" s="799"/>
      <c r="BC159" s="799"/>
      <c r="BD159" s="799"/>
      <c r="BE159" s="799"/>
      <c r="BF159" s="799"/>
      <c r="BG159" s="799"/>
    </row>
    <row r="160">
      <c r="H160" s="799"/>
      <c r="I160" s="799"/>
      <c r="J160" s="799"/>
      <c r="K160" s="799"/>
      <c r="L160" s="799"/>
      <c r="M160" s="799"/>
      <c r="N160" s="799"/>
      <c r="O160" s="799"/>
      <c r="P160" s="799"/>
      <c r="Q160" s="799"/>
      <c r="R160" s="799"/>
      <c r="S160" s="799"/>
      <c r="T160" s="799"/>
      <c r="U160" s="799"/>
      <c r="V160" s="799"/>
      <c r="W160" s="799"/>
      <c r="X160" s="799"/>
      <c r="Y160" s="799"/>
      <c r="Z160" s="799"/>
      <c r="AA160" s="799"/>
      <c r="AB160" s="799"/>
      <c r="AC160" s="799"/>
      <c r="AD160" s="799"/>
      <c r="AE160" s="799"/>
      <c r="AF160" s="799"/>
      <c r="AG160" s="799"/>
      <c r="AH160" s="799"/>
      <c r="AI160" s="799"/>
      <c r="AJ160" s="799"/>
      <c r="AK160" s="799"/>
      <c r="AL160" s="799"/>
      <c r="AM160" s="799"/>
      <c r="AN160" s="799"/>
      <c r="AO160" s="799"/>
      <c r="AP160" s="799"/>
      <c r="AQ160" s="799"/>
      <c r="AR160" s="799"/>
      <c r="AS160" s="799"/>
      <c r="AT160" s="799"/>
      <c r="AU160" s="799"/>
      <c r="AV160" s="799"/>
      <c r="AW160" s="799"/>
      <c r="AX160" s="799"/>
      <c r="AY160" s="799"/>
      <c r="AZ160" s="799"/>
      <c r="BA160" s="799"/>
      <c r="BB160" s="799"/>
      <c r="BC160" s="799"/>
      <c r="BD160" s="799"/>
      <c r="BE160" s="799"/>
      <c r="BF160" s="799"/>
      <c r="BG160" s="799"/>
    </row>
    <row r="161">
      <c r="H161" s="799"/>
      <c r="I161" s="799"/>
      <c r="J161" s="799"/>
      <c r="K161" s="799"/>
      <c r="L161" s="799"/>
      <c r="M161" s="799"/>
      <c r="N161" s="799"/>
      <c r="O161" s="799"/>
      <c r="P161" s="799"/>
      <c r="Q161" s="799"/>
      <c r="R161" s="799"/>
      <c r="S161" s="799"/>
      <c r="T161" s="799"/>
      <c r="U161" s="799"/>
      <c r="V161" s="799"/>
      <c r="W161" s="799"/>
      <c r="X161" s="799"/>
      <c r="Y161" s="799"/>
      <c r="Z161" s="799"/>
      <c r="AA161" s="799"/>
      <c r="AB161" s="799"/>
      <c r="AC161" s="799"/>
      <c r="AD161" s="799"/>
      <c r="AE161" s="799"/>
      <c r="AF161" s="799"/>
      <c r="AG161" s="799"/>
      <c r="AH161" s="799"/>
      <c r="AI161" s="799"/>
      <c r="AJ161" s="799"/>
      <c r="AK161" s="799"/>
      <c r="AL161" s="799"/>
      <c r="AM161" s="799"/>
      <c r="AN161" s="799"/>
      <c r="AO161" s="799"/>
      <c r="AP161" s="799"/>
      <c r="AQ161" s="799"/>
      <c r="AR161" s="799"/>
      <c r="AS161" s="799"/>
      <c r="AT161" s="799"/>
      <c r="AU161" s="799"/>
      <c r="AV161" s="799"/>
      <c r="AW161" s="799"/>
      <c r="AX161" s="799"/>
      <c r="AY161" s="799"/>
      <c r="AZ161" s="799"/>
      <c r="BA161" s="799"/>
      <c r="BB161" s="799"/>
      <c r="BC161" s="799"/>
      <c r="BD161" s="799"/>
      <c r="BE161" s="799"/>
      <c r="BF161" s="799"/>
      <c r="BG161" s="799"/>
    </row>
    <row r="162">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row>
    <row r="163">
      <c r="H163" s="799"/>
      <c r="I163" s="799"/>
      <c r="J163" s="799"/>
      <c r="K163" s="799"/>
      <c r="L163" s="799"/>
      <c r="M163" s="799"/>
      <c r="N163" s="799"/>
      <c r="O163" s="799"/>
      <c r="P163" s="799"/>
      <c r="Q163" s="799"/>
      <c r="R163" s="799"/>
      <c r="S163" s="799"/>
      <c r="T163" s="799"/>
      <c r="U163" s="799"/>
      <c r="V163" s="799"/>
      <c r="W163" s="799"/>
      <c r="X163" s="799"/>
      <c r="Y163" s="799"/>
      <c r="Z163" s="799"/>
      <c r="AA163" s="799"/>
      <c r="AB163" s="799"/>
      <c r="AC163" s="799"/>
      <c r="AD163" s="799"/>
      <c r="AE163" s="799"/>
      <c r="AF163" s="799"/>
      <c r="AG163" s="799"/>
      <c r="AH163" s="799"/>
      <c r="AI163" s="799"/>
      <c r="AJ163" s="799"/>
      <c r="AK163" s="799"/>
      <c r="AL163" s="799"/>
      <c r="AM163" s="799"/>
      <c r="AN163" s="799"/>
      <c r="AO163" s="799"/>
      <c r="AP163" s="799"/>
      <c r="AQ163" s="799"/>
      <c r="AR163" s="799"/>
      <c r="AS163" s="799"/>
      <c r="AT163" s="799"/>
      <c r="AU163" s="799"/>
      <c r="AV163" s="799"/>
      <c r="AW163" s="799"/>
      <c r="AX163" s="799"/>
      <c r="AY163" s="799"/>
      <c r="AZ163" s="799"/>
      <c r="BA163" s="799"/>
      <c r="BB163" s="799"/>
      <c r="BC163" s="799"/>
      <c r="BD163" s="799"/>
      <c r="BE163" s="799"/>
      <c r="BF163" s="799"/>
      <c r="BG163" s="799"/>
    </row>
    <row r="164">
      <c r="H164" s="799"/>
      <c r="I164" s="799"/>
      <c r="J164" s="799"/>
      <c r="K164" s="799"/>
      <c r="L164" s="799"/>
      <c r="M164" s="799"/>
      <c r="N164" s="799"/>
      <c r="O164" s="799"/>
      <c r="P164" s="799"/>
      <c r="Q164" s="799"/>
      <c r="R164" s="799"/>
      <c r="S164" s="799"/>
      <c r="T164" s="799"/>
      <c r="U164" s="799"/>
      <c r="V164" s="799"/>
      <c r="W164" s="799"/>
      <c r="X164" s="799"/>
      <c r="Y164" s="799"/>
      <c r="Z164" s="799"/>
      <c r="AA164" s="799"/>
      <c r="AB164" s="799"/>
      <c r="AC164" s="799"/>
      <c r="AD164" s="799"/>
      <c r="AE164" s="799"/>
      <c r="AF164" s="799"/>
      <c r="AG164" s="799"/>
      <c r="AH164" s="799"/>
      <c r="AI164" s="799"/>
      <c r="AJ164" s="799"/>
      <c r="AK164" s="799"/>
      <c r="AL164" s="799"/>
      <c r="AM164" s="799"/>
      <c r="AN164" s="799"/>
      <c r="AO164" s="799"/>
      <c r="AP164" s="799"/>
      <c r="AQ164" s="799"/>
      <c r="AR164" s="799"/>
      <c r="AS164" s="799"/>
      <c r="AT164" s="799"/>
      <c r="AU164" s="799"/>
      <c r="AV164" s="799"/>
      <c r="AW164" s="799"/>
      <c r="AX164" s="799"/>
      <c r="AY164" s="799"/>
      <c r="AZ164" s="799"/>
      <c r="BA164" s="799"/>
      <c r="BB164" s="799"/>
      <c r="BC164" s="799"/>
      <c r="BD164" s="799"/>
      <c r="BE164" s="799"/>
      <c r="BF164" s="799"/>
      <c r="BG164" s="799"/>
    </row>
    <row r="165">
      <c r="H165" s="799"/>
      <c r="I165" s="799"/>
      <c r="J165" s="799"/>
      <c r="K165" s="799"/>
      <c r="L165" s="799"/>
      <c r="M165" s="799"/>
      <c r="N165" s="799"/>
      <c r="O165" s="799"/>
      <c r="P165" s="799"/>
      <c r="Q165" s="799"/>
      <c r="R165" s="799"/>
      <c r="S165" s="799"/>
      <c r="T165" s="799"/>
      <c r="U165" s="799"/>
      <c r="V165" s="799"/>
      <c r="W165" s="799"/>
      <c r="X165" s="799"/>
      <c r="Y165" s="799"/>
      <c r="Z165" s="799"/>
      <c r="AA165" s="799"/>
      <c r="AB165" s="799"/>
      <c r="AC165" s="799"/>
      <c r="AD165" s="799"/>
      <c r="AE165" s="799"/>
      <c r="AF165" s="799"/>
      <c r="AG165" s="799"/>
      <c r="AH165" s="799"/>
      <c r="AI165" s="799"/>
      <c r="AJ165" s="799"/>
      <c r="AK165" s="799"/>
      <c r="AL165" s="799"/>
      <c r="AM165" s="799"/>
      <c r="AN165" s="799"/>
      <c r="AO165" s="799"/>
      <c r="AP165" s="799"/>
      <c r="AQ165" s="799"/>
      <c r="AR165" s="799"/>
      <c r="AS165" s="799"/>
      <c r="AT165" s="799"/>
      <c r="AU165" s="799"/>
      <c r="AV165" s="799"/>
      <c r="AW165" s="799"/>
      <c r="AX165" s="799"/>
      <c r="AY165" s="799"/>
      <c r="AZ165" s="799"/>
      <c r="BA165" s="799"/>
      <c r="BB165" s="799"/>
      <c r="BC165" s="799"/>
      <c r="BD165" s="799"/>
      <c r="BE165" s="799"/>
      <c r="BF165" s="799"/>
      <c r="BG165" s="799"/>
    </row>
    <row r="166">
      <c r="H166" s="799"/>
      <c r="I166" s="799"/>
      <c r="J166" s="799"/>
      <c r="K166" s="799"/>
      <c r="L166" s="799"/>
      <c r="M166" s="799"/>
      <c r="N166" s="799"/>
      <c r="O166" s="799"/>
      <c r="P166" s="799"/>
      <c r="Q166" s="799"/>
      <c r="R166" s="799"/>
      <c r="S166" s="799"/>
      <c r="T166" s="799"/>
      <c r="U166" s="799"/>
      <c r="V166" s="799"/>
      <c r="W166" s="799"/>
      <c r="X166" s="799"/>
      <c r="Y166" s="799"/>
      <c r="Z166" s="799"/>
      <c r="AA166" s="799"/>
      <c r="AB166" s="799"/>
      <c r="AC166" s="799"/>
      <c r="AD166" s="799"/>
      <c r="AE166" s="799"/>
      <c r="AF166" s="799"/>
      <c r="AG166" s="799"/>
      <c r="AH166" s="799"/>
      <c r="AI166" s="799"/>
      <c r="AJ166" s="799"/>
      <c r="AK166" s="799"/>
      <c r="AL166" s="799"/>
      <c r="AM166" s="799"/>
      <c r="AN166" s="799"/>
      <c r="AO166" s="799"/>
      <c r="AP166" s="799"/>
      <c r="AQ166" s="799"/>
      <c r="AR166" s="799"/>
      <c r="AS166" s="799"/>
      <c r="AT166" s="799"/>
      <c r="AU166" s="799"/>
      <c r="AV166" s="799"/>
      <c r="AW166" s="799"/>
      <c r="AX166" s="799"/>
      <c r="AY166" s="799"/>
      <c r="AZ166" s="799"/>
      <c r="BA166" s="799"/>
      <c r="BB166" s="799"/>
      <c r="BC166" s="799"/>
      <c r="BD166" s="799"/>
      <c r="BE166" s="799"/>
      <c r="BF166" s="799"/>
      <c r="BG166" s="799"/>
    </row>
    <row r="167">
      <c r="H167" s="799"/>
      <c r="I167" s="799"/>
      <c r="J167" s="799"/>
      <c r="K167" s="799"/>
      <c r="L167" s="799"/>
      <c r="M167" s="799"/>
      <c r="N167" s="799"/>
      <c r="O167" s="799"/>
      <c r="P167" s="799"/>
      <c r="Q167" s="799"/>
      <c r="R167" s="799"/>
      <c r="S167" s="799"/>
      <c r="T167" s="799"/>
      <c r="U167" s="799"/>
      <c r="V167" s="799"/>
      <c r="W167" s="799"/>
      <c r="X167" s="799"/>
      <c r="Y167" s="799"/>
      <c r="Z167" s="799"/>
      <c r="AA167" s="799"/>
      <c r="AB167" s="799"/>
      <c r="AC167" s="799"/>
      <c r="AD167" s="799"/>
      <c r="AE167" s="799"/>
      <c r="AF167" s="799"/>
      <c r="AG167" s="799"/>
      <c r="AH167" s="799"/>
      <c r="AI167" s="799"/>
      <c r="AJ167" s="799"/>
      <c r="AK167" s="799"/>
      <c r="AL167" s="799"/>
      <c r="AM167" s="799"/>
      <c r="AN167" s="799"/>
      <c r="AO167" s="799"/>
      <c r="AP167" s="799"/>
      <c r="AQ167" s="799"/>
      <c r="AR167" s="799"/>
      <c r="AS167" s="799"/>
      <c r="AT167" s="799"/>
      <c r="AU167" s="799"/>
      <c r="AV167" s="799"/>
      <c r="AW167" s="799"/>
      <c r="AX167" s="799"/>
      <c r="AY167" s="799"/>
      <c r="AZ167" s="799"/>
      <c r="BA167" s="799"/>
      <c r="BB167" s="799"/>
      <c r="BC167" s="799"/>
      <c r="BD167" s="799"/>
      <c r="BE167" s="799"/>
      <c r="BF167" s="799"/>
      <c r="BG167" s="799"/>
    </row>
    <row r="168">
      <c r="H168" s="799"/>
      <c r="I168" s="799"/>
      <c r="J168" s="799"/>
      <c r="K168" s="799"/>
      <c r="L168" s="799"/>
      <c r="M168" s="799"/>
      <c r="N168" s="799"/>
      <c r="O168" s="799"/>
      <c r="P168" s="799"/>
      <c r="Q168" s="799"/>
      <c r="R168" s="799"/>
      <c r="S168" s="799"/>
      <c r="T168" s="799"/>
      <c r="U168" s="799"/>
      <c r="V168" s="799"/>
      <c r="W168" s="799"/>
      <c r="X168" s="799"/>
      <c r="Y168" s="799"/>
      <c r="Z168" s="799"/>
      <c r="AA168" s="799"/>
      <c r="AB168" s="799"/>
      <c r="AC168" s="799"/>
      <c r="AD168" s="799"/>
      <c r="AE168" s="799"/>
      <c r="AF168" s="799"/>
      <c r="AG168" s="799"/>
      <c r="AH168" s="799"/>
      <c r="AI168" s="799"/>
      <c r="AJ168" s="799"/>
      <c r="AK168" s="799"/>
      <c r="AL168" s="799"/>
      <c r="AM168" s="799"/>
      <c r="AN168" s="799"/>
      <c r="AO168" s="799"/>
      <c r="AP168" s="799"/>
      <c r="AQ168" s="799"/>
      <c r="AR168" s="799"/>
      <c r="AS168" s="799"/>
      <c r="AT168" s="799"/>
      <c r="AU168" s="799"/>
      <c r="AV168" s="799"/>
      <c r="AW168" s="799"/>
      <c r="AX168" s="799"/>
      <c r="AY168" s="799"/>
      <c r="AZ168" s="799"/>
      <c r="BA168" s="799"/>
      <c r="BB168" s="799"/>
      <c r="BC168" s="799"/>
      <c r="BD168" s="799"/>
      <c r="BE168" s="799"/>
      <c r="BF168" s="799"/>
      <c r="BG168" s="799"/>
    </row>
    <row r="169">
      <c r="H169" s="799"/>
      <c r="I169" s="799"/>
      <c r="J169" s="799"/>
      <c r="K169" s="799"/>
      <c r="L169" s="799"/>
      <c r="M169" s="799"/>
      <c r="N169" s="799"/>
      <c r="O169" s="799"/>
      <c r="P169" s="799"/>
      <c r="Q169" s="799"/>
      <c r="R169" s="799"/>
      <c r="S169" s="799"/>
      <c r="T169" s="799"/>
      <c r="U169" s="799"/>
      <c r="V169" s="799"/>
      <c r="W169" s="799"/>
      <c r="X169" s="799"/>
      <c r="Y169" s="799"/>
      <c r="Z169" s="799"/>
      <c r="AA169" s="799"/>
      <c r="AB169" s="799"/>
      <c r="AC169" s="799"/>
      <c r="AD169" s="799"/>
      <c r="AE169" s="799"/>
      <c r="AF169" s="799"/>
      <c r="AG169" s="799"/>
      <c r="AH169" s="799"/>
      <c r="AI169" s="799"/>
      <c r="AJ169" s="799"/>
      <c r="AK169" s="799"/>
      <c r="AL169" s="799"/>
      <c r="AM169" s="799"/>
      <c r="AN169" s="799"/>
      <c r="AO169" s="799"/>
      <c r="AP169" s="799"/>
      <c r="AQ169" s="799"/>
      <c r="AR169" s="799"/>
      <c r="AS169" s="799"/>
      <c r="AT169" s="799"/>
      <c r="AU169" s="799"/>
      <c r="AV169" s="799"/>
      <c r="AW169" s="799"/>
      <c r="AX169" s="799"/>
      <c r="AY169" s="799"/>
      <c r="AZ169" s="799"/>
      <c r="BA169" s="799"/>
      <c r="BB169" s="799"/>
      <c r="BC169" s="799"/>
      <c r="BD169" s="799"/>
      <c r="BE169" s="799"/>
      <c r="BF169" s="799"/>
      <c r="BG169" s="799"/>
    </row>
    <row r="170">
      <c r="H170" s="799"/>
      <c r="I170" s="799"/>
      <c r="J170" s="799"/>
      <c r="K170" s="799"/>
      <c r="L170" s="799"/>
      <c r="M170" s="799"/>
      <c r="N170" s="799"/>
      <c r="O170" s="799"/>
      <c r="P170" s="799"/>
      <c r="Q170" s="799"/>
      <c r="R170" s="799"/>
      <c r="S170" s="799"/>
      <c r="T170" s="799"/>
      <c r="U170" s="799"/>
      <c r="V170" s="799"/>
      <c r="W170" s="799"/>
      <c r="X170" s="799"/>
      <c r="Y170" s="799"/>
      <c r="Z170" s="799"/>
      <c r="AA170" s="799"/>
      <c r="AB170" s="799"/>
      <c r="AC170" s="799"/>
      <c r="AD170" s="799"/>
      <c r="AE170" s="799"/>
      <c r="AF170" s="799"/>
      <c r="AG170" s="799"/>
      <c r="AH170" s="799"/>
      <c r="AI170" s="799"/>
      <c r="AJ170" s="799"/>
      <c r="AK170" s="799"/>
      <c r="AL170" s="799"/>
      <c r="AM170" s="799"/>
      <c r="AN170" s="799"/>
      <c r="AO170" s="799"/>
      <c r="AP170" s="799"/>
      <c r="AQ170" s="799"/>
      <c r="AR170" s="799"/>
      <c r="AS170" s="799"/>
      <c r="AT170" s="799"/>
      <c r="AU170" s="799"/>
      <c r="AV170" s="799"/>
      <c r="AW170" s="799"/>
      <c r="AX170" s="799"/>
      <c r="AY170" s="799"/>
      <c r="AZ170" s="799"/>
      <c r="BA170" s="799"/>
      <c r="BB170" s="799"/>
      <c r="BC170" s="799"/>
      <c r="BD170" s="799"/>
      <c r="BE170" s="799"/>
      <c r="BF170" s="799"/>
      <c r="BG170" s="799"/>
    </row>
    <row r="171">
      <c r="H171" s="799"/>
      <c r="I171" s="799"/>
      <c r="J171" s="799"/>
      <c r="K171" s="799"/>
      <c r="L171" s="799"/>
      <c r="M171" s="799"/>
      <c r="N171" s="799"/>
      <c r="O171" s="799"/>
      <c r="P171" s="799"/>
      <c r="Q171" s="799"/>
      <c r="R171" s="799"/>
      <c r="S171" s="799"/>
      <c r="T171" s="799"/>
      <c r="U171" s="799"/>
      <c r="V171" s="799"/>
      <c r="W171" s="799"/>
      <c r="X171" s="799"/>
      <c r="Y171" s="799"/>
      <c r="Z171" s="799"/>
      <c r="AA171" s="799"/>
      <c r="AB171" s="799"/>
      <c r="AC171" s="799"/>
      <c r="AD171" s="799"/>
      <c r="AE171" s="799"/>
      <c r="AF171" s="799"/>
      <c r="AG171" s="799"/>
      <c r="AH171" s="799"/>
      <c r="AI171" s="799"/>
      <c r="AJ171" s="799"/>
      <c r="AK171" s="799"/>
      <c r="AL171" s="799"/>
      <c r="AM171" s="799"/>
      <c r="AN171" s="799"/>
      <c r="AO171" s="799"/>
      <c r="AP171" s="799"/>
      <c r="AQ171" s="799"/>
      <c r="AR171" s="799"/>
      <c r="AS171" s="799"/>
      <c r="AT171" s="799"/>
      <c r="AU171" s="799"/>
      <c r="AV171" s="799"/>
      <c r="AW171" s="799"/>
      <c r="AX171" s="799"/>
      <c r="AY171" s="799"/>
      <c r="AZ171" s="799"/>
      <c r="BA171" s="799"/>
      <c r="BB171" s="799"/>
      <c r="BC171" s="799"/>
      <c r="BD171" s="799"/>
      <c r="BE171" s="799"/>
      <c r="BF171" s="799"/>
      <c r="BG171" s="799"/>
    </row>
    <row r="172">
      <c r="H172" s="799"/>
      <c r="I172" s="799"/>
      <c r="J172" s="799"/>
      <c r="K172" s="799"/>
      <c r="L172" s="799"/>
      <c r="M172" s="799"/>
      <c r="N172" s="799"/>
      <c r="O172" s="799"/>
      <c r="P172" s="799"/>
      <c r="Q172" s="799"/>
      <c r="R172" s="799"/>
      <c r="S172" s="799"/>
      <c r="T172" s="799"/>
      <c r="U172" s="799"/>
      <c r="V172" s="799"/>
      <c r="W172" s="799"/>
      <c r="X172" s="799"/>
      <c r="Y172" s="799"/>
      <c r="Z172" s="799"/>
      <c r="AA172" s="799"/>
      <c r="AB172" s="799"/>
      <c r="AC172" s="799"/>
      <c r="AD172" s="799"/>
      <c r="AE172" s="799"/>
      <c r="AF172" s="799"/>
      <c r="AG172" s="799"/>
      <c r="AH172" s="799"/>
      <c r="AI172" s="799"/>
      <c r="AJ172" s="799"/>
      <c r="AK172" s="799"/>
      <c r="AL172" s="799"/>
      <c r="AM172" s="799"/>
      <c r="AN172" s="799"/>
      <c r="AO172" s="799"/>
      <c r="AP172" s="799"/>
      <c r="AQ172" s="799"/>
      <c r="AR172" s="799"/>
      <c r="AS172" s="799"/>
      <c r="AT172" s="799"/>
      <c r="AU172" s="799"/>
      <c r="AV172" s="799"/>
      <c r="AW172" s="799"/>
      <c r="AX172" s="799"/>
      <c r="AY172" s="799"/>
      <c r="AZ172" s="799"/>
      <c r="BA172" s="799"/>
      <c r="BB172" s="799"/>
      <c r="BC172" s="799"/>
      <c r="BD172" s="799"/>
      <c r="BE172" s="799"/>
      <c r="BF172" s="799"/>
      <c r="BG172" s="799"/>
    </row>
    <row r="173">
      <c r="H173" s="799"/>
      <c r="I173" s="799"/>
      <c r="J173" s="799"/>
      <c r="K173" s="799"/>
      <c r="L173" s="799"/>
      <c r="M173" s="799"/>
      <c r="N173" s="799"/>
      <c r="O173" s="799"/>
      <c r="P173" s="799"/>
      <c r="Q173" s="799"/>
      <c r="R173" s="799"/>
      <c r="S173" s="799"/>
      <c r="T173" s="799"/>
      <c r="U173" s="799"/>
      <c r="V173" s="799"/>
      <c r="W173" s="799"/>
      <c r="X173" s="799"/>
      <c r="Y173" s="799"/>
      <c r="Z173" s="799"/>
      <c r="AA173" s="799"/>
      <c r="AB173" s="799"/>
      <c r="AC173" s="799"/>
      <c r="AD173" s="799"/>
      <c r="AE173" s="799"/>
      <c r="AF173" s="799"/>
      <c r="AG173" s="799"/>
      <c r="AH173" s="799"/>
      <c r="AI173" s="799"/>
      <c r="AJ173" s="799"/>
      <c r="AK173" s="799"/>
      <c r="AL173" s="799"/>
      <c r="AM173" s="799"/>
      <c r="AN173" s="799"/>
      <c r="AO173" s="799"/>
      <c r="AP173" s="799"/>
      <c r="AQ173" s="799"/>
      <c r="AR173" s="799"/>
      <c r="AS173" s="799"/>
      <c r="AT173" s="799"/>
      <c r="AU173" s="799"/>
      <c r="AV173" s="799"/>
      <c r="AW173" s="799"/>
      <c r="AX173" s="799"/>
      <c r="AY173" s="799"/>
      <c r="AZ173" s="799"/>
      <c r="BA173" s="799"/>
      <c r="BB173" s="799"/>
      <c r="BC173" s="799"/>
      <c r="BD173" s="799"/>
      <c r="BE173" s="799"/>
      <c r="BF173" s="799"/>
      <c r="BG173" s="799"/>
    </row>
    <row r="174">
      <c r="H174" s="799"/>
      <c r="I174" s="799"/>
      <c r="J174" s="799"/>
      <c r="K174" s="799"/>
      <c r="L174" s="799"/>
      <c r="M174" s="799"/>
      <c r="N174" s="799"/>
      <c r="O174" s="799"/>
      <c r="P174" s="799"/>
      <c r="Q174" s="799"/>
      <c r="R174" s="799"/>
      <c r="S174" s="799"/>
      <c r="T174" s="799"/>
      <c r="U174" s="799"/>
      <c r="V174" s="799"/>
      <c r="W174" s="799"/>
      <c r="X174" s="799"/>
      <c r="Y174" s="799"/>
      <c r="Z174" s="799"/>
      <c r="AA174" s="799"/>
      <c r="AB174" s="799"/>
      <c r="AC174" s="799"/>
      <c r="AD174" s="799"/>
      <c r="AE174" s="799"/>
      <c r="AF174" s="799"/>
      <c r="AG174" s="799"/>
      <c r="AH174" s="799"/>
      <c r="AI174" s="799"/>
      <c r="AJ174" s="799"/>
      <c r="AK174" s="799"/>
      <c r="AL174" s="799"/>
      <c r="AM174" s="799"/>
      <c r="AN174" s="799"/>
      <c r="AO174" s="799"/>
      <c r="AP174" s="799"/>
      <c r="AQ174" s="799"/>
      <c r="AR174" s="799"/>
      <c r="AS174" s="799"/>
      <c r="AT174" s="799"/>
      <c r="AU174" s="799"/>
      <c r="AV174" s="799"/>
      <c r="AW174" s="799"/>
      <c r="AX174" s="799"/>
      <c r="AY174" s="799"/>
      <c r="AZ174" s="799"/>
      <c r="BA174" s="799"/>
      <c r="BB174" s="799"/>
      <c r="BC174" s="799"/>
      <c r="BD174" s="799"/>
      <c r="BE174" s="799"/>
      <c r="BF174" s="799"/>
      <c r="BG174" s="799"/>
    </row>
    <row r="175">
      <c r="H175" s="799"/>
      <c r="I175" s="799"/>
      <c r="J175" s="799"/>
      <c r="K175" s="799"/>
      <c r="L175" s="799"/>
      <c r="M175" s="799"/>
      <c r="N175" s="799"/>
      <c r="O175" s="799"/>
      <c r="P175" s="799"/>
      <c r="Q175" s="799"/>
      <c r="R175" s="799"/>
      <c r="S175" s="799"/>
      <c r="T175" s="799"/>
      <c r="U175" s="799"/>
      <c r="V175" s="799"/>
      <c r="W175" s="799"/>
      <c r="X175" s="799"/>
      <c r="Y175" s="799"/>
      <c r="Z175" s="799"/>
      <c r="AA175" s="799"/>
      <c r="AB175" s="799"/>
      <c r="AC175" s="799"/>
      <c r="AD175" s="799"/>
      <c r="AE175" s="799"/>
      <c r="AF175" s="799"/>
      <c r="AG175" s="799"/>
      <c r="AH175" s="799"/>
      <c r="AI175" s="799"/>
      <c r="AJ175" s="799"/>
      <c r="AK175" s="799"/>
      <c r="AL175" s="799"/>
      <c r="AM175" s="799"/>
      <c r="AN175" s="799"/>
      <c r="AO175" s="799"/>
      <c r="AP175" s="799"/>
      <c r="AQ175" s="799"/>
      <c r="AR175" s="799"/>
      <c r="AS175" s="799"/>
      <c r="AT175" s="799"/>
      <c r="AU175" s="799"/>
      <c r="AV175" s="799"/>
      <c r="AW175" s="799"/>
      <c r="AX175" s="799"/>
      <c r="AY175" s="799"/>
      <c r="AZ175" s="799"/>
      <c r="BA175" s="799"/>
      <c r="BB175" s="799"/>
      <c r="BC175" s="799"/>
      <c r="BD175" s="799"/>
      <c r="BE175" s="799"/>
      <c r="BF175" s="799"/>
      <c r="BG175" s="799"/>
    </row>
    <row r="176">
      <c r="H176" s="799"/>
      <c r="I176" s="799"/>
      <c r="J176" s="799"/>
      <c r="K176" s="799"/>
      <c r="L176" s="799"/>
      <c r="M176" s="799"/>
      <c r="N176" s="799"/>
      <c r="O176" s="799"/>
      <c r="P176" s="799"/>
      <c r="Q176" s="799"/>
      <c r="R176" s="799"/>
      <c r="S176" s="799"/>
      <c r="T176" s="799"/>
      <c r="U176" s="799"/>
      <c r="V176" s="799"/>
      <c r="W176" s="799"/>
      <c r="X176" s="799"/>
      <c r="Y176" s="799"/>
      <c r="Z176" s="799"/>
      <c r="AA176" s="799"/>
      <c r="AB176" s="799"/>
      <c r="AC176" s="799"/>
      <c r="AD176" s="799"/>
      <c r="AE176" s="799"/>
      <c r="AF176" s="799"/>
      <c r="AG176" s="799"/>
      <c r="AH176" s="799"/>
      <c r="AI176" s="799"/>
      <c r="AJ176" s="799"/>
      <c r="AK176" s="799"/>
      <c r="AL176" s="799"/>
      <c r="AM176" s="799"/>
      <c r="AN176" s="799"/>
      <c r="AO176" s="799"/>
      <c r="AP176" s="799"/>
      <c r="AQ176" s="799"/>
      <c r="AR176" s="799"/>
      <c r="AS176" s="799"/>
      <c r="AT176" s="799"/>
      <c r="AU176" s="799"/>
      <c r="AV176" s="799"/>
      <c r="AW176" s="799"/>
      <c r="AX176" s="799"/>
      <c r="AY176" s="799"/>
      <c r="AZ176" s="799"/>
      <c r="BA176" s="799"/>
      <c r="BB176" s="799"/>
      <c r="BC176" s="799"/>
      <c r="BD176" s="799"/>
      <c r="BE176" s="799"/>
      <c r="BF176" s="799"/>
      <c r="BG176" s="799"/>
    </row>
    <row r="177">
      <c r="H177" s="799"/>
      <c r="I177" s="799"/>
      <c r="J177" s="799"/>
      <c r="K177" s="799"/>
      <c r="L177" s="799"/>
      <c r="M177" s="799"/>
      <c r="N177" s="799"/>
      <c r="O177" s="799"/>
      <c r="P177" s="799"/>
      <c r="Q177" s="799"/>
      <c r="R177" s="799"/>
      <c r="S177" s="799"/>
      <c r="T177" s="799"/>
      <c r="U177" s="799"/>
      <c r="V177" s="799"/>
      <c r="W177" s="799"/>
      <c r="X177" s="799"/>
      <c r="Y177" s="799"/>
      <c r="Z177" s="799"/>
      <c r="AA177" s="799"/>
      <c r="AB177" s="799"/>
      <c r="AC177" s="799"/>
      <c r="AD177" s="799"/>
      <c r="AE177" s="799"/>
      <c r="AF177" s="799"/>
      <c r="AG177" s="799"/>
      <c r="AH177" s="799"/>
      <c r="AI177" s="799"/>
      <c r="AJ177" s="799"/>
      <c r="AK177" s="799"/>
      <c r="AL177" s="799"/>
      <c r="AM177" s="799"/>
      <c r="AN177" s="799"/>
      <c r="AO177" s="799"/>
      <c r="AP177" s="799"/>
      <c r="AQ177" s="799"/>
      <c r="AR177" s="799"/>
      <c r="AS177" s="799"/>
      <c r="AT177" s="799"/>
      <c r="AU177" s="799"/>
      <c r="AV177" s="799"/>
      <c r="AW177" s="799"/>
      <c r="AX177" s="799"/>
      <c r="AY177" s="799"/>
      <c r="AZ177" s="799"/>
      <c r="BA177" s="799"/>
      <c r="BB177" s="799"/>
      <c r="BC177" s="799"/>
      <c r="BD177" s="799"/>
      <c r="BE177" s="799"/>
      <c r="BF177" s="799"/>
      <c r="BG177" s="799"/>
    </row>
    <row r="178">
      <c r="H178" s="799"/>
      <c r="I178" s="799"/>
      <c r="J178" s="799"/>
      <c r="K178" s="799"/>
      <c r="L178" s="799"/>
      <c r="M178" s="799"/>
      <c r="N178" s="799"/>
      <c r="O178" s="799"/>
      <c r="P178" s="799"/>
      <c r="Q178" s="799"/>
      <c r="R178" s="799"/>
      <c r="S178" s="799"/>
      <c r="T178" s="799"/>
      <c r="U178" s="799"/>
      <c r="V178" s="799"/>
      <c r="W178" s="799"/>
      <c r="X178" s="799"/>
      <c r="Y178" s="799"/>
      <c r="Z178" s="799"/>
      <c r="AA178" s="799"/>
      <c r="AB178" s="799"/>
      <c r="AC178" s="799"/>
      <c r="AD178" s="799"/>
      <c r="AE178" s="799"/>
      <c r="AF178" s="799"/>
      <c r="AG178" s="799"/>
      <c r="AH178" s="799"/>
      <c r="AI178" s="799"/>
      <c r="AJ178" s="799"/>
      <c r="AK178" s="799"/>
      <c r="AL178" s="799"/>
      <c r="AM178" s="799"/>
      <c r="AN178" s="799"/>
      <c r="AO178" s="799"/>
      <c r="AP178" s="799"/>
      <c r="AQ178" s="799"/>
      <c r="AR178" s="799"/>
      <c r="AS178" s="799"/>
      <c r="AT178" s="799"/>
      <c r="AU178" s="799"/>
      <c r="AV178" s="799"/>
      <c r="AW178" s="799"/>
      <c r="AX178" s="799"/>
      <c r="AY178" s="799"/>
      <c r="AZ178" s="799"/>
      <c r="BA178" s="799"/>
      <c r="BB178" s="799"/>
      <c r="BC178" s="799"/>
      <c r="BD178" s="799"/>
      <c r="BE178" s="799"/>
      <c r="BF178" s="799"/>
      <c r="BG178" s="799"/>
    </row>
    <row r="179">
      <c r="H179" s="799"/>
      <c r="I179" s="799"/>
      <c r="J179" s="799"/>
      <c r="K179" s="799"/>
      <c r="L179" s="799"/>
      <c r="M179" s="799"/>
      <c r="N179" s="799"/>
      <c r="O179" s="799"/>
      <c r="P179" s="799"/>
      <c r="Q179" s="799"/>
      <c r="R179" s="799"/>
      <c r="S179" s="799"/>
      <c r="T179" s="799"/>
      <c r="U179" s="799"/>
      <c r="V179" s="799"/>
      <c r="W179" s="799"/>
      <c r="X179" s="799"/>
      <c r="Y179" s="799"/>
      <c r="Z179" s="799"/>
      <c r="AA179" s="799"/>
      <c r="AB179" s="799"/>
      <c r="AC179" s="799"/>
      <c r="AD179" s="799"/>
      <c r="AE179" s="799"/>
      <c r="AF179" s="799"/>
      <c r="AG179" s="799"/>
      <c r="AH179" s="799"/>
      <c r="AI179" s="799"/>
      <c r="AJ179" s="799"/>
      <c r="AK179" s="799"/>
      <c r="AL179" s="799"/>
      <c r="AM179" s="799"/>
      <c r="AN179" s="799"/>
      <c r="AO179" s="799"/>
      <c r="AP179" s="799"/>
      <c r="AQ179" s="799"/>
      <c r="AR179" s="799"/>
      <c r="AS179" s="799"/>
      <c r="AT179" s="799"/>
      <c r="AU179" s="799"/>
      <c r="AV179" s="799"/>
      <c r="AW179" s="799"/>
      <c r="AX179" s="799"/>
      <c r="AY179" s="799"/>
      <c r="AZ179" s="799"/>
      <c r="BA179" s="799"/>
      <c r="BB179" s="799"/>
      <c r="BC179" s="799"/>
      <c r="BD179" s="799"/>
      <c r="BE179" s="799"/>
      <c r="BF179" s="799"/>
      <c r="BG179" s="799"/>
    </row>
    <row r="180">
      <c r="H180" s="799"/>
      <c r="I180" s="799"/>
      <c r="J180" s="799"/>
      <c r="K180" s="799"/>
      <c r="L180" s="799"/>
      <c r="M180" s="799"/>
      <c r="N180" s="799"/>
      <c r="O180" s="799"/>
      <c r="P180" s="799"/>
      <c r="Q180" s="799"/>
      <c r="R180" s="799"/>
      <c r="S180" s="799"/>
      <c r="T180" s="799"/>
      <c r="U180" s="799"/>
      <c r="V180" s="799"/>
      <c r="W180" s="799"/>
      <c r="X180" s="799"/>
      <c r="Y180" s="799"/>
      <c r="Z180" s="799"/>
      <c r="AA180" s="799"/>
      <c r="AB180" s="799"/>
      <c r="AC180" s="799"/>
      <c r="AD180" s="799"/>
      <c r="AE180" s="799"/>
      <c r="AF180" s="799"/>
      <c r="AG180" s="799"/>
      <c r="AH180" s="799"/>
      <c r="AI180" s="799"/>
      <c r="AJ180" s="799"/>
      <c r="AK180" s="799"/>
      <c r="AL180" s="799"/>
      <c r="AM180" s="799"/>
      <c r="AN180" s="799"/>
      <c r="AO180" s="799"/>
      <c r="AP180" s="799"/>
      <c r="AQ180" s="799"/>
      <c r="AR180" s="799"/>
      <c r="AS180" s="799"/>
      <c r="AT180" s="799"/>
      <c r="AU180" s="799"/>
      <c r="AV180" s="799"/>
      <c r="AW180" s="799"/>
      <c r="AX180" s="799"/>
      <c r="AY180" s="799"/>
      <c r="AZ180" s="799"/>
      <c r="BA180" s="799"/>
      <c r="BB180" s="799"/>
      <c r="BC180" s="799"/>
      <c r="BD180" s="799"/>
      <c r="BE180" s="799"/>
      <c r="BF180" s="799"/>
      <c r="BG180" s="799"/>
    </row>
    <row r="181">
      <c r="H181" s="799"/>
      <c r="I181" s="799"/>
      <c r="J181" s="799"/>
      <c r="K181" s="799"/>
      <c r="L181" s="799"/>
      <c r="M181" s="799"/>
      <c r="N181" s="799"/>
      <c r="O181" s="799"/>
      <c r="P181" s="799"/>
      <c r="Q181" s="799"/>
      <c r="R181" s="799"/>
      <c r="S181" s="799"/>
      <c r="T181" s="799"/>
      <c r="U181" s="799"/>
      <c r="V181" s="799"/>
      <c r="W181" s="799"/>
      <c r="X181" s="799"/>
      <c r="Y181" s="799"/>
      <c r="Z181" s="799"/>
      <c r="AA181" s="799"/>
      <c r="AB181" s="799"/>
      <c r="AC181" s="799"/>
      <c r="AD181" s="799"/>
      <c r="AE181" s="799"/>
      <c r="AF181" s="799"/>
      <c r="AG181" s="799"/>
      <c r="AH181" s="799"/>
      <c r="AI181" s="799"/>
      <c r="AJ181" s="799"/>
      <c r="AK181" s="799"/>
      <c r="AL181" s="799"/>
      <c r="AM181" s="799"/>
      <c r="AN181" s="799"/>
      <c r="AO181" s="799"/>
      <c r="AP181" s="799"/>
      <c r="AQ181" s="799"/>
      <c r="AR181" s="799"/>
      <c r="AS181" s="799"/>
      <c r="AT181" s="799"/>
      <c r="AU181" s="799"/>
      <c r="AV181" s="799"/>
      <c r="AW181" s="799"/>
      <c r="AX181" s="799"/>
      <c r="AY181" s="799"/>
      <c r="AZ181" s="799"/>
      <c r="BA181" s="799"/>
      <c r="BB181" s="799"/>
      <c r="BC181" s="799"/>
      <c r="BD181" s="799"/>
      <c r="BE181" s="799"/>
      <c r="BF181" s="799"/>
      <c r="BG181" s="799"/>
    </row>
    <row r="182">
      <c r="H182" s="799"/>
      <c r="I182" s="799"/>
      <c r="J182" s="799"/>
      <c r="K182" s="799"/>
      <c r="L182" s="799"/>
      <c r="M182" s="799"/>
      <c r="N182" s="799"/>
      <c r="O182" s="799"/>
      <c r="P182" s="799"/>
      <c r="Q182" s="799"/>
      <c r="R182" s="799"/>
      <c r="S182" s="799"/>
      <c r="T182" s="799"/>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99"/>
      <c r="AU182" s="799"/>
      <c r="AV182" s="799"/>
      <c r="AW182" s="799"/>
      <c r="AX182" s="799"/>
      <c r="AY182" s="799"/>
      <c r="AZ182" s="799"/>
      <c r="BA182" s="799"/>
      <c r="BB182" s="799"/>
      <c r="BC182" s="799"/>
      <c r="BD182" s="799"/>
      <c r="BE182" s="799"/>
      <c r="BF182" s="799"/>
      <c r="BG182" s="799"/>
    </row>
    <row r="183">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99"/>
      <c r="AU183" s="799"/>
      <c r="AV183" s="799"/>
      <c r="AW183" s="799"/>
      <c r="AX183" s="799"/>
      <c r="AY183" s="799"/>
      <c r="AZ183" s="799"/>
      <c r="BA183" s="799"/>
      <c r="BB183" s="799"/>
      <c r="BC183" s="799"/>
      <c r="BD183" s="799"/>
      <c r="BE183" s="799"/>
      <c r="BF183" s="799"/>
      <c r="BG183" s="799"/>
    </row>
    <row r="184">
      <c r="H184" s="799"/>
      <c r="I184" s="799"/>
      <c r="J184" s="799"/>
      <c r="K184" s="799"/>
      <c r="L184" s="799"/>
      <c r="M184" s="799"/>
      <c r="N184" s="799"/>
      <c r="O184" s="799"/>
      <c r="P184" s="799"/>
      <c r="Q184" s="799"/>
      <c r="R184" s="799"/>
      <c r="S184" s="799"/>
      <c r="T184" s="799"/>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99"/>
      <c r="AU184" s="799"/>
      <c r="AV184" s="799"/>
      <c r="AW184" s="799"/>
      <c r="AX184" s="799"/>
      <c r="AY184" s="799"/>
      <c r="AZ184" s="799"/>
      <c r="BA184" s="799"/>
      <c r="BB184" s="799"/>
      <c r="BC184" s="799"/>
      <c r="BD184" s="799"/>
      <c r="BE184" s="799"/>
      <c r="BF184" s="799"/>
      <c r="BG184" s="799"/>
    </row>
    <row r="185">
      <c r="H185" s="799"/>
      <c r="I185" s="799"/>
      <c r="J185" s="799"/>
      <c r="K185" s="799"/>
      <c r="L185" s="799"/>
      <c r="M185" s="799"/>
      <c r="N185" s="799"/>
      <c r="O185" s="799"/>
      <c r="P185" s="799"/>
      <c r="Q185" s="799"/>
      <c r="R185" s="799"/>
      <c r="S185" s="799"/>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99"/>
      <c r="AU185" s="799"/>
      <c r="AV185" s="799"/>
      <c r="AW185" s="799"/>
      <c r="AX185" s="799"/>
      <c r="AY185" s="799"/>
      <c r="AZ185" s="799"/>
      <c r="BA185" s="799"/>
      <c r="BB185" s="799"/>
      <c r="BC185" s="799"/>
      <c r="BD185" s="799"/>
      <c r="BE185" s="799"/>
      <c r="BF185" s="799"/>
      <c r="BG185" s="799"/>
    </row>
    <row r="186">
      <c r="H186" s="799"/>
      <c r="I186" s="799"/>
      <c r="J186" s="799"/>
      <c r="K186" s="799"/>
      <c r="L186" s="799"/>
      <c r="M186" s="799"/>
      <c r="N186" s="799"/>
      <c r="O186" s="799"/>
      <c r="P186" s="799"/>
      <c r="Q186" s="799"/>
      <c r="R186" s="799"/>
      <c r="S186" s="799"/>
      <c r="T186" s="799"/>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99"/>
      <c r="AU186" s="799"/>
      <c r="AV186" s="799"/>
      <c r="AW186" s="799"/>
      <c r="AX186" s="799"/>
      <c r="AY186" s="799"/>
      <c r="AZ186" s="799"/>
      <c r="BA186" s="799"/>
      <c r="BB186" s="799"/>
      <c r="BC186" s="799"/>
      <c r="BD186" s="799"/>
      <c r="BE186" s="799"/>
      <c r="BF186" s="799"/>
      <c r="BG186" s="799"/>
    </row>
    <row r="187">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row>
    <row r="188">
      <c r="H188" s="799"/>
      <c r="I188" s="799"/>
      <c r="J188" s="799"/>
      <c r="K188" s="799"/>
      <c r="L188" s="799"/>
      <c r="M188" s="799"/>
      <c r="N188" s="799"/>
      <c r="O188" s="799"/>
      <c r="P188" s="799"/>
      <c r="Q188" s="799"/>
      <c r="R188" s="799"/>
      <c r="S188" s="799"/>
      <c r="T188" s="799"/>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99"/>
      <c r="AU188" s="799"/>
      <c r="AV188" s="799"/>
      <c r="AW188" s="799"/>
      <c r="AX188" s="799"/>
      <c r="AY188" s="799"/>
      <c r="AZ188" s="799"/>
      <c r="BA188" s="799"/>
      <c r="BB188" s="799"/>
      <c r="BC188" s="799"/>
      <c r="BD188" s="799"/>
      <c r="BE188" s="799"/>
      <c r="BF188" s="799"/>
      <c r="BG188" s="799"/>
    </row>
    <row r="18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99"/>
      <c r="AU189" s="799"/>
      <c r="AV189" s="799"/>
      <c r="AW189" s="799"/>
      <c r="AX189" s="799"/>
      <c r="AY189" s="799"/>
      <c r="AZ189" s="799"/>
      <c r="BA189" s="799"/>
      <c r="BB189" s="799"/>
      <c r="BC189" s="799"/>
      <c r="BD189" s="799"/>
      <c r="BE189" s="799"/>
      <c r="BF189" s="799"/>
      <c r="BG189" s="799"/>
    </row>
    <row r="190">
      <c r="H190" s="799"/>
      <c r="I190" s="799"/>
      <c r="J190" s="799"/>
      <c r="K190" s="799"/>
      <c r="L190" s="799"/>
      <c r="M190" s="799"/>
      <c r="N190" s="799"/>
      <c r="O190" s="799"/>
      <c r="P190" s="799"/>
      <c r="Q190" s="799"/>
      <c r="R190" s="799"/>
      <c r="S190" s="799"/>
      <c r="T190" s="799"/>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99"/>
      <c r="AU190" s="799"/>
      <c r="AV190" s="799"/>
      <c r="AW190" s="799"/>
      <c r="AX190" s="799"/>
      <c r="AY190" s="799"/>
      <c r="AZ190" s="799"/>
      <c r="BA190" s="799"/>
      <c r="BB190" s="799"/>
      <c r="BC190" s="799"/>
      <c r="BD190" s="799"/>
      <c r="BE190" s="799"/>
      <c r="BF190" s="799"/>
      <c r="BG190" s="799"/>
    </row>
    <row r="191">
      <c r="H191" s="799"/>
      <c r="I191" s="799"/>
      <c r="J191" s="799"/>
      <c r="K191" s="799"/>
      <c r="L191" s="799"/>
      <c r="M191" s="799"/>
      <c r="N191" s="799"/>
      <c r="O191" s="799"/>
      <c r="P191" s="799"/>
      <c r="Q191" s="799"/>
      <c r="R191" s="799"/>
      <c r="S191" s="799"/>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99"/>
      <c r="AU191" s="799"/>
      <c r="AV191" s="799"/>
      <c r="AW191" s="799"/>
      <c r="AX191" s="799"/>
      <c r="AY191" s="799"/>
      <c r="AZ191" s="799"/>
      <c r="BA191" s="799"/>
      <c r="BB191" s="799"/>
      <c r="BC191" s="799"/>
      <c r="BD191" s="799"/>
      <c r="BE191" s="799"/>
      <c r="BF191" s="799"/>
      <c r="BG191" s="799"/>
    </row>
    <row r="192">
      <c r="H192" s="799"/>
      <c r="I192" s="799"/>
      <c r="J192" s="799"/>
      <c r="K192" s="799"/>
      <c r="L192" s="799"/>
      <c r="M192" s="799"/>
      <c r="N192" s="799"/>
      <c r="O192" s="799"/>
      <c r="P192" s="799"/>
      <c r="Q192" s="799"/>
      <c r="R192" s="799"/>
      <c r="S192" s="799"/>
      <c r="T192" s="799"/>
      <c r="U192" s="799"/>
      <c r="V192" s="799"/>
      <c r="W192" s="799"/>
      <c r="X192" s="799"/>
      <c r="Y192" s="799"/>
      <c r="Z192" s="799"/>
      <c r="AA192" s="799"/>
      <c r="AB192" s="799"/>
      <c r="AC192" s="799"/>
      <c r="AD192" s="799"/>
      <c r="AE192" s="799"/>
      <c r="AF192" s="799"/>
      <c r="AG192" s="799"/>
      <c r="AH192" s="799"/>
      <c r="AI192" s="799"/>
      <c r="AJ192" s="799"/>
      <c r="AK192" s="799"/>
      <c r="AL192" s="799"/>
      <c r="AM192" s="799"/>
      <c r="AN192" s="799"/>
      <c r="AO192" s="799"/>
      <c r="AP192" s="799"/>
      <c r="AQ192" s="799"/>
      <c r="AR192" s="799"/>
      <c r="AS192" s="799"/>
      <c r="AT192" s="799"/>
      <c r="AU192" s="799"/>
      <c r="AV192" s="799"/>
      <c r="AW192" s="799"/>
      <c r="AX192" s="799"/>
      <c r="AY192" s="799"/>
      <c r="AZ192" s="799"/>
      <c r="BA192" s="799"/>
      <c r="BB192" s="799"/>
      <c r="BC192" s="799"/>
      <c r="BD192" s="799"/>
      <c r="BE192" s="799"/>
      <c r="BF192" s="799"/>
      <c r="BG192" s="799"/>
    </row>
    <row r="193">
      <c r="H193" s="799"/>
      <c r="I193" s="799"/>
      <c r="J193" s="799"/>
      <c r="K193" s="799"/>
      <c r="L193" s="799"/>
      <c r="M193" s="799"/>
      <c r="N193" s="799"/>
      <c r="O193" s="799"/>
      <c r="P193" s="799"/>
      <c r="Q193" s="799"/>
      <c r="R193" s="799"/>
      <c r="S193" s="799"/>
      <c r="T193" s="799"/>
      <c r="U193" s="799"/>
      <c r="V193" s="799"/>
      <c r="W193" s="799"/>
      <c r="X193" s="799"/>
      <c r="Y193" s="799"/>
      <c r="Z193" s="799"/>
      <c r="AA193" s="799"/>
      <c r="AB193" s="799"/>
      <c r="AC193" s="799"/>
      <c r="AD193" s="799"/>
      <c r="AE193" s="799"/>
      <c r="AF193" s="799"/>
      <c r="AG193" s="799"/>
      <c r="AH193" s="799"/>
      <c r="AI193" s="799"/>
      <c r="AJ193" s="799"/>
      <c r="AK193" s="799"/>
      <c r="AL193" s="799"/>
      <c r="AM193" s="799"/>
      <c r="AN193" s="799"/>
      <c r="AO193" s="799"/>
      <c r="AP193" s="799"/>
      <c r="AQ193" s="799"/>
      <c r="AR193" s="799"/>
      <c r="AS193" s="799"/>
      <c r="AT193" s="799"/>
      <c r="AU193" s="799"/>
      <c r="AV193" s="799"/>
      <c r="AW193" s="799"/>
      <c r="AX193" s="799"/>
      <c r="AY193" s="799"/>
      <c r="AZ193" s="799"/>
      <c r="BA193" s="799"/>
      <c r="BB193" s="799"/>
      <c r="BC193" s="799"/>
      <c r="BD193" s="799"/>
      <c r="BE193" s="799"/>
      <c r="BF193" s="799"/>
      <c r="BG193" s="799"/>
    </row>
    <row r="194">
      <c r="H194" s="799"/>
      <c r="I194" s="799"/>
      <c r="J194" s="799"/>
      <c r="K194" s="799"/>
      <c r="L194" s="799"/>
      <c r="M194" s="799"/>
      <c r="N194" s="799"/>
      <c r="O194" s="799"/>
      <c r="P194" s="799"/>
      <c r="Q194" s="799"/>
      <c r="R194" s="799"/>
      <c r="S194" s="799"/>
      <c r="T194" s="799"/>
      <c r="U194" s="799"/>
      <c r="V194" s="799"/>
      <c r="W194" s="799"/>
      <c r="X194" s="799"/>
      <c r="Y194" s="799"/>
      <c r="Z194" s="799"/>
      <c r="AA194" s="799"/>
      <c r="AB194" s="799"/>
      <c r="AC194" s="799"/>
      <c r="AD194" s="799"/>
      <c r="AE194" s="799"/>
      <c r="AF194" s="799"/>
      <c r="AG194" s="799"/>
      <c r="AH194" s="799"/>
      <c r="AI194" s="799"/>
      <c r="AJ194" s="799"/>
      <c r="AK194" s="799"/>
      <c r="AL194" s="799"/>
      <c r="AM194" s="799"/>
      <c r="AN194" s="799"/>
      <c r="AO194" s="799"/>
      <c r="AP194" s="799"/>
      <c r="AQ194" s="799"/>
      <c r="AR194" s="799"/>
      <c r="AS194" s="799"/>
      <c r="AT194" s="799"/>
      <c r="AU194" s="799"/>
      <c r="AV194" s="799"/>
      <c r="AW194" s="799"/>
      <c r="AX194" s="799"/>
      <c r="AY194" s="799"/>
      <c r="AZ194" s="799"/>
      <c r="BA194" s="799"/>
      <c r="BB194" s="799"/>
      <c r="BC194" s="799"/>
      <c r="BD194" s="799"/>
      <c r="BE194" s="799"/>
      <c r="BF194" s="799"/>
      <c r="BG194" s="799"/>
    </row>
    <row r="195">
      <c r="H195" s="799"/>
      <c r="I195" s="799"/>
      <c r="J195" s="799"/>
      <c r="K195" s="799"/>
      <c r="L195" s="799"/>
      <c r="M195" s="799"/>
      <c r="N195" s="799"/>
      <c r="O195" s="799"/>
      <c r="P195" s="799"/>
      <c r="Q195" s="799"/>
      <c r="R195" s="799"/>
      <c r="S195" s="799"/>
      <c r="T195" s="799"/>
      <c r="U195" s="799"/>
      <c r="V195" s="799"/>
      <c r="W195" s="799"/>
      <c r="X195" s="799"/>
      <c r="Y195" s="799"/>
      <c r="Z195" s="799"/>
      <c r="AA195" s="799"/>
      <c r="AB195" s="799"/>
      <c r="AC195" s="799"/>
      <c r="AD195" s="799"/>
      <c r="AE195" s="799"/>
      <c r="AF195" s="799"/>
      <c r="AG195" s="799"/>
      <c r="AH195" s="799"/>
      <c r="AI195" s="799"/>
      <c r="AJ195" s="799"/>
      <c r="AK195" s="799"/>
      <c r="AL195" s="799"/>
      <c r="AM195" s="799"/>
      <c r="AN195" s="799"/>
      <c r="AO195" s="799"/>
      <c r="AP195" s="799"/>
      <c r="AQ195" s="799"/>
      <c r="AR195" s="799"/>
      <c r="AS195" s="799"/>
      <c r="AT195" s="799"/>
      <c r="AU195" s="799"/>
      <c r="AV195" s="799"/>
      <c r="AW195" s="799"/>
      <c r="AX195" s="799"/>
      <c r="AY195" s="799"/>
      <c r="AZ195" s="799"/>
      <c r="BA195" s="799"/>
      <c r="BB195" s="799"/>
      <c r="BC195" s="799"/>
      <c r="BD195" s="799"/>
      <c r="BE195" s="799"/>
      <c r="BF195" s="799"/>
      <c r="BG195" s="799"/>
    </row>
    <row r="196">
      <c r="H196" s="799"/>
      <c r="I196" s="799"/>
      <c r="J196" s="799"/>
      <c r="K196" s="799"/>
      <c r="L196" s="799"/>
      <c r="M196" s="799"/>
      <c r="N196" s="799"/>
      <c r="O196" s="799"/>
      <c r="P196" s="799"/>
      <c r="Q196" s="799"/>
      <c r="R196" s="799"/>
      <c r="S196" s="799"/>
      <c r="T196" s="799"/>
      <c r="U196" s="799"/>
      <c r="V196" s="799"/>
      <c r="W196" s="799"/>
      <c r="X196" s="799"/>
      <c r="Y196" s="799"/>
      <c r="Z196" s="799"/>
      <c r="AA196" s="799"/>
      <c r="AB196" s="799"/>
      <c r="AC196" s="799"/>
      <c r="AD196" s="799"/>
      <c r="AE196" s="799"/>
      <c r="AF196" s="799"/>
      <c r="AG196" s="799"/>
      <c r="AH196" s="799"/>
      <c r="AI196" s="799"/>
      <c r="AJ196" s="799"/>
      <c r="AK196" s="799"/>
      <c r="AL196" s="799"/>
      <c r="AM196" s="799"/>
      <c r="AN196" s="799"/>
      <c r="AO196" s="799"/>
      <c r="AP196" s="799"/>
      <c r="AQ196" s="799"/>
      <c r="AR196" s="799"/>
      <c r="AS196" s="799"/>
      <c r="AT196" s="799"/>
      <c r="AU196" s="799"/>
      <c r="AV196" s="799"/>
      <c r="AW196" s="799"/>
      <c r="AX196" s="799"/>
      <c r="AY196" s="799"/>
      <c r="AZ196" s="799"/>
      <c r="BA196" s="799"/>
      <c r="BB196" s="799"/>
      <c r="BC196" s="799"/>
      <c r="BD196" s="799"/>
      <c r="BE196" s="799"/>
      <c r="BF196" s="799"/>
      <c r="BG196" s="799"/>
    </row>
    <row r="197">
      <c r="H197" s="799"/>
      <c r="I197" s="799"/>
      <c r="J197" s="799"/>
      <c r="K197" s="799"/>
      <c r="L197" s="799"/>
      <c r="M197" s="799"/>
      <c r="N197" s="799"/>
      <c r="O197" s="799"/>
      <c r="P197" s="799"/>
      <c r="Q197" s="799"/>
      <c r="R197" s="799"/>
      <c r="S197" s="799"/>
      <c r="T197" s="799"/>
      <c r="U197" s="799"/>
      <c r="V197" s="799"/>
      <c r="W197" s="799"/>
      <c r="X197" s="799"/>
      <c r="Y197" s="799"/>
      <c r="Z197" s="799"/>
      <c r="AA197" s="799"/>
      <c r="AB197" s="799"/>
      <c r="AC197" s="799"/>
      <c r="AD197" s="799"/>
      <c r="AE197" s="799"/>
      <c r="AF197" s="799"/>
      <c r="AG197" s="799"/>
      <c r="AH197" s="799"/>
      <c r="AI197" s="799"/>
      <c r="AJ197" s="799"/>
      <c r="AK197" s="799"/>
      <c r="AL197" s="799"/>
      <c r="AM197" s="799"/>
      <c r="AN197" s="799"/>
      <c r="AO197" s="799"/>
      <c r="AP197" s="799"/>
      <c r="AQ197" s="799"/>
      <c r="AR197" s="799"/>
      <c r="AS197" s="799"/>
      <c r="AT197" s="799"/>
      <c r="AU197" s="799"/>
      <c r="AV197" s="799"/>
      <c r="AW197" s="799"/>
      <c r="AX197" s="799"/>
      <c r="AY197" s="799"/>
      <c r="AZ197" s="799"/>
      <c r="BA197" s="799"/>
      <c r="BB197" s="799"/>
      <c r="BC197" s="799"/>
      <c r="BD197" s="799"/>
      <c r="BE197" s="799"/>
      <c r="BF197" s="799"/>
      <c r="BG197" s="799"/>
    </row>
    <row r="198">
      <c r="H198" s="799"/>
      <c r="I198" s="799"/>
      <c r="J198" s="799"/>
      <c r="K198" s="799"/>
      <c r="L198" s="799"/>
      <c r="M198" s="799"/>
      <c r="N198" s="799"/>
      <c r="O198" s="799"/>
      <c r="P198" s="799"/>
      <c r="Q198" s="799"/>
      <c r="R198" s="799"/>
      <c r="S198" s="799"/>
      <c r="T198" s="799"/>
      <c r="U198" s="799"/>
      <c r="V198" s="799"/>
      <c r="W198" s="799"/>
      <c r="X198" s="799"/>
      <c r="Y198" s="799"/>
      <c r="Z198" s="799"/>
      <c r="AA198" s="799"/>
      <c r="AB198" s="799"/>
      <c r="AC198" s="799"/>
      <c r="AD198" s="799"/>
      <c r="AE198" s="799"/>
      <c r="AF198" s="799"/>
      <c r="AG198" s="799"/>
      <c r="AH198" s="799"/>
      <c r="AI198" s="799"/>
      <c r="AJ198" s="799"/>
      <c r="AK198" s="799"/>
      <c r="AL198" s="799"/>
      <c r="AM198" s="799"/>
      <c r="AN198" s="799"/>
      <c r="AO198" s="799"/>
      <c r="AP198" s="799"/>
      <c r="AQ198" s="799"/>
      <c r="AR198" s="799"/>
      <c r="AS198" s="799"/>
      <c r="AT198" s="799"/>
      <c r="AU198" s="799"/>
      <c r="AV198" s="799"/>
      <c r="AW198" s="799"/>
      <c r="AX198" s="799"/>
      <c r="AY198" s="799"/>
      <c r="AZ198" s="799"/>
      <c r="BA198" s="799"/>
      <c r="BB198" s="799"/>
      <c r="BC198" s="799"/>
      <c r="BD198" s="799"/>
      <c r="BE198" s="799"/>
      <c r="BF198" s="799"/>
      <c r="BG198" s="799"/>
    </row>
    <row r="199">
      <c r="H199" s="799"/>
      <c r="I199" s="799"/>
      <c r="J199" s="799"/>
      <c r="K199" s="799"/>
      <c r="L199" s="799"/>
      <c r="M199" s="799"/>
      <c r="N199" s="799"/>
      <c r="O199" s="799"/>
      <c r="P199" s="799"/>
      <c r="Q199" s="799"/>
      <c r="R199" s="799"/>
      <c r="S199" s="799"/>
      <c r="T199" s="799"/>
      <c r="U199" s="799"/>
      <c r="V199" s="799"/>
      <c r="W199" s="799"/>
      <c r="X199" s="799"/>
      <c r="Y199" s="799"/>
      <c r="Z199" s="799"/>
      <c r="AA199" s="799"/>
      <c r="AB199" s="799"/>
      <c r="AC199" s="799"/>
      <c r="AD199" s="799"/>
      <c r="AE199" s="799"/>
      <c r="AF199" s="799"/>
      <c r="AG199" s="799"/>
      <c r="AH199" s="799"/>
      <c r="AI199" s="799"/>
      <c r="AJ199" s="799"/>
      <c r="AK199" s="799"/>
      <c r="AL199" s="799"/>
      <c r="AM199" s="799"/>
      <c r="AN199" s="799"/>
      <c r="AO199" s="799"/>
      <c r="AP199" s="799"/>
      <c r="AQ199" s="799"/>
      <c r="AR199" s="799"/>
      <c r="AS199" s="799"/>
      <c r="AT199" s="799"/>
      <c r="AU199" s="799"/>
      <c r="AV199" s="799"/>
      <c r="AW199" s="799"/>
      <c r="AX199" s="799"/>
      <c r="AY199" s="799"/>
      <c r="AZ199" s="799"/>
      <c r="BA199" s="799"/>
      <c r="BB199" s="799"/>
      <c r="BC199" s="799"/>
      <c r="BD199" s="799"/>
      <c r="BE199" s="799"/>
      <c r="BF199" s="799"/>
      <c r="BG199" s="799"/>
    </row>
    <row r="200">
      <c r="H200" s="799"/>
      <c r="I200" s="799"/>
      <c r="J200" s="799"/>
      <c r="K200" s="799"/>
      <c r="L200" s="799"/>
      <c r="M200" s="799"/>
      <c r="N200" s="799"/>
      <c r="O200" s="799"/>
      <c r="P200" s="799"/>
      <c r="Q200" s="799"/>
      <c r="R200" s="799"/>
      <c r="S200" s="799"/>
      <c r="T200" s="799"/>
      <c r="U200" s="799"/>
      <c r="V200" s="799"/>
      <c r="W200" s="799"/>
      <c r="X200" s="799"/>
      <c r="Y200" s="799"/>
      <c r="Z200" s="799"/>
      <c r="AA200" s="799"/>
      <c r="AB200" s="799"/>
      <c r="AC200" s="799"/>
      <c r="AD200" s="799"/>
      <c r="AE200" s="799"/>
      <c r="AF200" s="799"/>
      <c r="AG200" s="799"/>
      <c r="AH200" s="799"/>
      <c r="AI200" s="799"/>
      <c r="AJ200" s="799"/>
      <c r="AK200" s="799"/>
      <c r="AL200" s="799"/>
      <c r="AM200" s="799"/>
      <c r="AN200" s="799"/>
      <c r="AO200" s="799"/>
      <c r="AP200" s="799"/>
      <c r="AQ200" s="799"/>
      <c r="AR200" s="799"/>
      <c r="AS200" s="799"/>
      <c r="AT200" s="799"/>
      <c r="AU200" s="799"/>
      <c r="AV200" s="799"/>
      <c r="AW200" s="799"/>
      <c r="AX200" s="799"/>
      <c r="AY200" s="799"/>
      <c r="AZ200" s="799"/>
      <c r="BA200" s="799"/>
      <c r="BB200" s="799"/>
      <c r="BC200" s="799"/>
      <c r="BD200" s="799"/>
      <c r="BE200" s="799"/>
      <c r="BF200" s="799"/>
      <c r="BG200" s="799"/>
    </row>
    <row r="201">
      <c r="H201" s="799"/>
      <c r="I201" s="799"/>
      <c r="J201" s="799"/>
      <c r="K201" s="799"/>
      <c r="L201" s="799"/>
      <c r="M201" s="799"/>
      <c r="N201" s="799"/>
      <c r="O201" s="799"/>
      <c r="P201" s="799"/>
      <c r="Q201" s="799"/>
      <c r="R201" s="799"/>
      <c r="S201" s="799"/>
      <c r="T201" s="799"/>
      <c r="U201" s="799"/>
      <c r="V201" s="799"/>
      <c r="W201" s="799"/>
      <c r="X201" s="799"/>
      <c r="Y201" s="799"/>
      <c r="Z201" s="799"/>
      <c r="AA201" s="799"/>
      <c r="AB201" s="799"/>
      <c r="AC201" s="799"/>
      <c r="AD201" s="799"/>
      <c r="AE201" s="799"/>
      <c r="AF201" s="799"/>
      <c r="AG201" s="799"/>
      <c r="AH201" s="799"/>
      <c r="AI201" s="799"/>
      <c r="AJ201" s="799"/>
      <c r="AK201" s="799"/>
      <c r="AL201" s="799"/>
      <c r="AM201" s="799"/>
      <c r="AN201" s="799"/>
      <c r="AO201" s="799"/>
      <c r="AP201" s="799"/>
      <c r="AQ201" s="799"/>
      <c r="AR201" s="799"/>
      <c r="AS201" s="799"/>
      <c r="AT201" s="799"/>
      <c r="AU201" s="799"/>
      <c r="AV201" s="799"/>
      <c r="AW201" s="799"/>
      <c r="AX201" s="799"/>
      <c r="AY201" s="799"/>
      <c r="AZ201" s="799"/>
      <c r="BA201" s="799"/>
      <c r="BB201" s="799"/>
      <c r="BC201" s="799"/>
      <c r="BD201" s="799"/>
      <c r="BE201" s="799"/>
      <c r="BF201" s="799"/>
      <c r="BG201" s="799"/>
    </row>
    <row r="202">
      <c r="H202" s="799"/>
      <c r="I202" s="799"/>
      <c r="J202" s="799"/>
      <c r="K202" s="799"/>
      <c r="L202" s="799"/>
      <c r="M202" s="799"/>
      <c r="N202" s="799"/>
      <c r="O202" s="799"/>
      <c r="P202" s="799"/>
      <c r="Q202" s="799"/>
      <c r="R202" s="799"/>
      <c r="S202" s="799"/>
      <c r="T202" s="799"/>
      <c r="U202" s="799"/>
      <c r="V202" s="799"/>
      <c r="W202" s="799"/>
      <c r="X202" s="799"/>
      <c r="Y202" s="799"/>
      <c r="Z202" s="799"/>
      <c r="AA202" s="799"/>
      <c r="AB202" s="799"/>
      <c r="AC202" s="799"/>
      <c r="AD202" s="799"/>
      <c r="AE202" s="799"/>
      <c r="AF202" s="799"/>
      <c r="AG202" s="799"/>
      <c r="AH202" s="799"/>
      <c r="AI202" s="799"/>
      <c r="AJ202" s="799"/>
      <c r="AK202" s="799"/>
      <c r="AL202" s="799"/>
      <c r="AM202" s="799"/>
      <c r="AN202" s="799"/>
      <c r="AO202" s="799"/>
      <c r="AP202" s="799"/>
      <c r="AQ202" s="799"/>
      <c r="AR202" s="799"/>
      <c r="AS202" s="799"/>
      <c r="AT202" s="799"/>
      <c r="AU202" s="799"/>
      <c r="AV202" s="799"/>
      <c r="AW202" s="799"/>
      <c r="AX202" s="799"/>
      <c r="AY202" s="799"/>
      <c r="AZ202" s="799"/>
      <c r="BA202" s="799"/>
      <c r="BB202" s="799"/>
      <c r="BC202" s="799"/>
      <c r="BD202" s="799"/>
      <c r="BE202" s="799"/>
      <c r="BF202" s="799"/>
      <c r="BG202" s="799"/>
    </row>
    <row r="203">
      <c r="H203" s="799"/>
      <c r="I203" s="799"/>
      <c r="J203" s="799"/>
      <c r="K203" s="799"/>
      <c r="L203" s="799"/>
      <c r="M203" s="799"/>
      <c r="N203" s="799"/>
      <c r="O203" s="799"/>
      <c r="P203" s="799"/>
      <c r="Q203" s="799"/>
      <c r="R203" s="799"/>
      <c r="S203" s="799"/>
      <c r="T203" s="799"/>
      <c r="U203" s="799"/>
      <c r="V203" s="799"/>
      <c r="W203" s="799"/>
      <c r="X203" s="799"/>
      <c r="Y203" s="799"/>
      <c r="Z203" s="799"/>
      <c r="AA203" s="799"/>
      <c r="AB203" s="799"/>
      <c r="AC203" s="799"/>
      <c r="AD203" s="799"/>
      <c r="AE203" s="799"/>
      <c r="AF203" s="799"/>
      <c r="AG203" s="799"/>
      <c r="AH203" s="799"/>
      <c r="AI203" s="799"/>
      <c r="AJ203" s="799"/>
      <c r="AK203" s="799"/>
      <c r="AL203" s="799"/>
      <c r="AM203" s="799"/>
      <c r="AN203" s="799"/>
      <c r="AO203" s="799"/>
      <c r="AP203" s="799"/>
      <c r="AQ203" s="799"/>
      <c r="AR203" s="799"/>
      <c r="AS203" s="799"/>
      <c r="AT203" s="799"/>
      <c r="AU203" s="799"/>
      <c r="AV203" s="799"/>
      <c r="AW203" s="799"/>
      <c r="AX203" s="799"/>
      <c r="AY203" s="799"/>
      <c r="AZ203" s="799"/>
      <c r="BA203" s="799"/>
      <c r="BB203" s="799"/>
      <c r="BC203" s="799"/>
      <c r="BD203" s="799"/>
      <c r="BE203" s="799"/>
      <c r="BF203" s="799"/>
      <c r="BG203" s="799"/>
    </row>
    <row r="204">
      <c r="H204" s="799"/>
      <c r="I204" s="799"/>
      <c r="J204" s="799"/>
      <c r="K204" s="799"/>
      <c r="L204" s="799"/>
      <c r="M204" s="799"/>
      <c r="N204" s="799"/>
      <c r="O204" s="799"/>
      <c r="P204" s="799"/>
      <c r="Q204" s="799"/>
      <c r="R204" s="799"/>
      <c r="S204" s="799"/>
      <c r="T204" s="799"/>
      <c r="U204" s="799"/>
      <c r="V204" s="799"/>
      <c r="W204" s="799"/>
      <c r="X204" s="799"/>
      <c r="Y204" s="799"/>
      <c r="Z204" s="799"/>
      <c r="AA204" s="799"/>
      <c r="AB204" s="799"/>
      <c r="AC204" s="799"/>
      <c r="AD204" s="799"/>
      <c r="AE204" s="799"/>
      <c r="AF204" s="799"/>
      <c r="AG204" s="799"/>
      <c r="AH204" s="799"/>
      <c r="AI204" s="799"/>
      <c r="AJ204" s="799"/>
      <c r="AK204" s="799"/>
      <c r="AL204" s="799"/>
      <c r="AM204" s="799"/>
      <c r="AN204" s="799"/>
      <c r="AO204" s="799"/>
      <c r="AP204" s="799"/>
      <c r="AQ204" s="799"/>
      <c r="AR204" s="799"/>
      <c r="AS204" s="799"/>
      <c r="AT204" s="799"/>
      <c r="AU204" s="799"/>
      <c r="AV204" s="799"/>
      <c r="AW204" s="799"/>
      <c r="AX204" s="799"/>
      <c r="AY204" s="799"/>
      <c r="AZ204" s="799"/>
      <c r="BA204" s="799"/>
      <c r="BB204" s="799"/>
      <c r="BC204" s="799"/>
      <c r="BD204" s="799"/>
      <c r="BE204" s="799"/>
      <c r="BF204" s="799"/>
      <c r="BG204" s="799"/>
    </row>
    <row r="205">
      <c r="H205" s="799"/>
      <c r="I205" s="799"/>
      <c r="J205" s="799"/>
      <c r="K205" s="799"/>
      <c r="L205" s="799"/>
      <c r="M205" s="799"/>
      <c r="N205" s="799"/>
      <c r="O205" s="799"/>
      <c r="P205" s="799"/>
      <c r="Q205" s="799"/>
      <c r="R205" s="799"/>
      <c r="S205" s="799"/>
      <c r="T205" s="799"/>
      <c r="U205" s="799"/>
      <c r="V205" s="799"/>
      <c r="W205" s="799"/>
      <c r="X205" s="799"/>
      <c r="Y205" s="799"/>
      <c r="Z205" s="799"/>
      <c r="AA205" s="799"/>
      <c r="AB205" s="799"/>
      <c r="AC205" s="799"/>
      <c r="AD205" s="799"/>
      <c r="AE205" s="799"/>
      <c r="AF205" s="799"/>
      <c r="AG205" s="799"/>
      <c r="AH205" s="799"/>
      <c r="AI205" s="799"/>
      <c r="AJ205" s="799"/>
      <c r="AK205" s="799"/>
      <c r="AL205" s="799"/>
      <c r="AM205" s="799"/>
      <c r="AN205" s="799"/>
      <c r="AO205" s="799"/>
      <c r="AP205" s="799"/>
      <c r="AQ205" s="799"/>
      <c r="AR205" s="799"/>
      <c r="AS205" s="799"/>
      <c r="AT205" s="799"/>
      <c r="AU205" s="799"/>
      <c r="AV205" s="799"/>
      <c r="AW205" s="799"/>
      <c r="AX205" s="799"/>
      <c r="AY205" s="799"/>
      <c r="AZ205" s="799"/>
      <c r="BA205" s="799"/>
      <c r="BB205" s="799"/>
      <c r="BC205" s="799"/>
      <c r="BD205" s="799"/>
      <c r="BE205" s="799"/>
      <c r="BF205" s="799"/>
      <c r="BG205" s="799"/>
    </row>
    <row r="206">
      <c r="H206" s="799"/>
      <c r="I206" s="799"/>
      <c r="J206" s="799"/>
      <c r="K206" s="799"/>
      <c r="L206" s="799"/>
      <c r="M206" s="799"/>
      <c r="N206" s="799"/>
      <c r="O206" s="799"/>
      <c r="P206" s="799"/>
      <c r="Q206" s="799"/>
      <c r="R206" s="799"/>
      <c r="S206" s="799"/>
      <c r="T206" s="799"/>
      <c r="U206" s="799"/>
      <c r="V206" s="799"/>
      <c r="W206" s="799"/>
      <c r="X206" s="799"/>
      <c r="Y206" s="799"/>
      <c r="Z206" s="799"/>
      <c r="AA206" s="799"/>
      <c r="AB206" s="799"/>
      <c r="AC206" s="799"/>
      <c r="AD206" s="799"/>
      <c r="AE206" s="799"/>
      <c r="AF206" s="799"/>
      <c r="AG206" s="799"/>
      <c r="AH206" s="799"/>
      <c r="AI206" s="799"/>
      <c r="AJ206" s="799"/>
      <c r="AK206" s="799"/>
      <c r="AL206" s="799"/>
      <c r="AM206" s="799"/>
      <c r="AN206" s="799"/>
      <c r="AO206" s="799"/>
      <c r="AP206" s="799"/>
      <c r="AQ206" s="799"/>
      <c r="AR206" s="799"/>
      <c r="AS206" s="799"/>
      <c r="AT206" s="799"/>
      <c r="AU206" s="799"/>
      <c r="AV206" s="799"/>
      <c r="AW206" s="799"/>
      <c r="AX206" s="799"/>
      <c r="AY206" s="799"/>
      <c r="AZ206" s="799"/>
      <c r="BA206" s="799"/>
      <c r="BB206" s="799"/>
      <c r="BC206" s="799"/>
      <c r="BD206" s="799"/>
      <c r="BE206" s="799"/>
      <c r="BF206" s="799"/>
      <c r="BG206" s="799"/>
    </row>
    <row r="207">
      <c r="H207" s="799"/>
      <c r="I207" s="799"/>
      <c r="J207" s="799"/>
      <c r="K207" s="799"/>
      <c r="L207" s="799"/>
      <c r="M207" s="799"/>
      <c r="N207" s="799"/>
      <c r="O207" s="799"/>
      <c r="P207" s="799"/>
      <c r="Q207" s="799"/>
      <c r="R207" s="799"/>
      <c r="S207" s="799"/>
      <c r="T207" s="799"/>
      <c r="U207" s="799"/>
      <c r="V207" s="799"/>
      <c r="W207" s="799"/>
      <c r="X207" s="799"/>
      <c r="Y207" s="799"/>
      <c r="Z207" s="799"/>
      <c r="AA207" s="799"/>
      <c r="AB207" s="799"/>
      <c r="AC207" s="799"/>
      <c r="AD207" s="799"/>
      <c r="AE207" s="799"/>
      <c r="AF207" s="799"/>
      <c r="AG207" s="799"/>
      <c r="AH207" s="799"/>
      <c r="AI207" s="799"/>
      <c r="AJ207" s="799"/>
      <c r="AK207" s="799"/>
      <c r="AL207" s="799"/>
      <c r="AM207" s="799"/>
      <c r="AN207" s="799"/>
      <c r="AO207" s="799"/>
      <c r="AP207" s="799"/>
      <c r="AQ207" s="799"/>
      <c r="AR207" s="799"/>
      <c r="AS207" s="799"/>
      <c r="AT207" s="799"/>
      <c r="AU207" s="799"/>
      <c r="AV207" s="799"/>
      <c r="AW207" s="799"/>
      <c r="AX207" s="799"/>
      <c r="AY207" s="799"/>
      <c r="AZ207" s="799"/>
      <c r="BA207" s="799"/>
      <c r="BB207" s="799"/>
      <c r="BC207" s="799"/>
      <c r="BD207" s="799"/>
      <c r="BE207" s="799"/>
      <c r="BF207" s="799"/>
      <c r="BG207" s="799"/>
    </row>
    <row r="208">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c r="AE208" s="799"/>
      <c r="AF208" s="799"/>
      <c r="AG208" s="799"/>
      <c r="AH208" s="799"/>
      <c r="AI208" s="799"/>
      <c r="AJ208" s="799"/>
      <c r="AK208" s="799"/>
      <c r="AL208" s="799"/>
      <c r="AM208" s="799"/>
      <c r="AN208" s="799"/>
      <c r="AO208" s="799"/>
      <c r="AP208" s="799"/>
      <c r="AQ208" s="799"/>
      <c r="AR208" s="799"/>
      <c r="AS208" s="799"/>
      <c r="AT208" s="799"/>
      <c r="AU208" s="799"/>
      <c r="AV208" s="799"/>
      <c r="AW208" s="799"/>
      <c r="AX208" s="799"/>
      <c r="AY208" s="799"/>
      <c r="AZ208" s="799"/>
      <c r="BA208" s="799"/>
      <c r="BB208" s="799"/>
      <c r="BC208" s="799"/>
      <c r="BD208" s="799"/>
      <c r="BE208" s="799"/>
      <c r="BF208" s="799"/>
      <c r="BG208" s="799"/>
    </row>
    <row r="209">
      <c r="H209" s="799"/>
      <c r="I209" s="799"/>
      <c r="J209" s="799"/>
      <c r="K209" s="799"/>
      <c r="L209" s="799"/>
      <c r="M209" s="799"/>
      <c r="N209" s="799"/>
      <c r="O209" s="799"/>
      <c r="P209" s="799"/>
      <c r="Q209" s="799"/>
      <c r="R209" s="799"/>
      <c r="S209" s="799"/>
      <c r="T209" s="799"/>
      <c r="U209" s="799"/>
      <c r="V209" s="799"/>
      <c r="W209" s="799"/>
      <c r="X209" s="799"/>
      <c r="Y209" s="799"/>
      <c r="Z209" s="799"/>
      <c r="AA209" s="799"/>
      <c r="AB209" s="799"/>
      <c r="AC209" s="799"/>
      <c r="AD209" s="799"/>
      <c r="AE209" s="799"/>
      <c r="AF209" s="799"/>
      <c r="AG209" s="799"/>
      <c r="AH209" s="799"/>
      <c r="AI209" s="799"/>
      <c r="AJ209" s="799"/>
      <c r="AK209" s="799"/>
      <c r="AL209" s="799"/>
      <c r="AM209" s="799"/>
      <c r="AN209" s="799"/>
      <c r="AO209" s="799"/>
      <c r="AP209" s="799"/>
      <c r="AQ209" s="799"/>
      <c r="AR209" s="799"/>
      <c r="AS209" s="799"/>
      <c r="AT209" s="799"/>
      <c r="AU209" s="799"/>
      <c r="AV209" s="799"/>
      <c r="AW209" s="799"/>
      <c r="AX209" s="799"/>
      <c r="AY209" s="799"/>
      <c r="AZ209" s="799"/>
      <c r="BA209" s="799"/>
      <c r="BB209" s="799"/>
      <c r="BC209" s="799"/>
      <c r="BD209" s="799"/>
      <c r="BE209" s="799"/>
      <c r="BF209" s="799"/>
      <c r="BG209" s="799"/>
    </row>
    <row r="210">
      <c r="H210" s="799"/>
      <c r="I210" s="799"/>
      <c r="J210" s="799"/>
      <c r="K210" s="799"/>
      <c r="L210" s="799"/>
      <c r="M210" s="799"/>
      <c r="N210" s="799"/>
      <c r="O210" s="799"/>
      <c r="P210" s="799"/>
      <c r="Q210" s="799"/>
      <c r="R210" s="799"/>
      <c r="S210" s="799"/>
      <c r="T210" s="799"/>
      <c r="U210" s="799"/>
      <c r="V210" s="799"/>
      <c r="W210" s="799"/>
      <c r="X210" s="799"/>
      <c r="Y210" s="799"/>
      <c r="Z210" s="799"/>
      <c r="AA210" s="799"/>
      <c r="AB210" s="799"/>
      <c r="AC210" s="799"/>
      <c r="AD210" s="799"/>
      <c r="AE210" s="799"/>
      <c r="AF210" s="799"/>
      <c r="AG210" s="799"/>
      <c r="AH210" s="799"/>
      <c r="AI210" s="799"/>
      <c r="AJ210" s="799"/>
      <c r="AK210" s="799"/>
      <c r="AL210" s="799"/>
      <c r="AM210" s="799"/>
      <c r="AN210" s="799"/>
      <c r="AO210" s="799"/>
      <c r="AP210" s="799"/>
      <c r="AQ210" s="799"/>
      <c r="AR210" s="799"/>
      <c r="AS210" s="799"/>
      <c r="AT210" s="799"/>
      <c r="AU210" s="799"/>
      <c r="AV210" s="799"/>
      <c r="AW210" s="799"/>
      <c r="AX210" s="799"/>
      <c r="AY210" s="799"/>
      <c r="AZ210" s="799"/>
      <c r="BA210" s="799"/>
      <c r="BB210" s="799"/>
      <c r="BC210" s="799"/>
      <c r="BD210" s="799"/>
      <c r="BE210" s="799"/>
      <c r="BF210" s="799"/>
      <c r="BG210" s="799"/>
    </row>
    <row r="211">
      <c r="H211" s="799"/>
      <c r="I211" s="799"/>
      <c r="J211" s="799"/>
      <c r="K211" s="799"/>
      <c r="L211" s="799"/>
      <c r="M211" s="799"/>
      <c r="N211" s="799"/>
      <c r="O211" s="799"/>
      <c r="P211" s="799"/>
      <c r="Q211" s="799"/>
      <c r="R211" s="799"/>
      <c r="S211" s="799"/>
      <c r="T211" s="799"/>
      <c r="U211" s="799"/>
      <c r="V211" s="799"/>
      <c r="W211" s="799"/>
      <c r="X211" s="799"/>
      <c r="Y211" s="799"/>
      <c r="Z211" s="799"/>
      <c r="AA211" s="799"/>
      <c r="AB211" s="799"/>
      <c r="AC211" s="799"/>
      <c r="AD211" s="799"/>
      <c r="AE211" s="799"/>
      <c r="AF211" s="799"/>
      <c r="AG211" s="799"/>
      <c r="AH211" s="799"/>
      <c r="AI211" s="799"/>
      <c r="AJ211" s="799"/>
      <c r="AK211" s="799"/>
      <c r="AL211" s="799"/>
      <c r="AM211" s="799"/>
      <c r="AN211" s="799"/>
      <c r="AO211" s="799"/>
      <c r="AP211" s="799"/>
      <c r="AQ211" s="799"/>
      <c r="AR211" s="799"/>
      <c r="AS211" s="799"/>
      <c r="AT211" s="799"/>
      <c r="AU211" s="799"/>
      <c r="AV211" s="799"/>
      <c r="AW211" s="799"/>
      <c r="AX211" s="799"/>
      <c r="AY211" s="799"/>
      <c r="AZ211" s="799"/>
      <c r="BA211" s="799"/>
      <c r="BB211" s="799"/>
      <c r="BC211" s="799"/>
      <c r="BD211" s="799"/>
      <c r="BE211" s="799"/>
      <c r="BF211" s="799"/>
      <c r="BG211" s="799"/>
    </row>
    <row r="212">
      <c r="H212" s="799"/>
      <c r="I212" s="799"/>
      <c r="J212" s="799"/>
      <c r="K212" s="799"/>
      <c r="L212" s="799"/>
      <c r="M212" s="799"/>
      <c r="N212" s="799"/>
      <c r="O212" s="799"/>
      <c r="P212" s="799"/>
      <c r="Q212" s="799"/>
      <c r="R212" s="799"/>
      <c r="S212" s="799"/>
      <c r="T212" s="799"/>
      <c r="U212" s="799"/>
      <c r="V212" s="799"/>
      <c r="W212" s="799"/>
      <c r="X212" s="799"/>
      <c r="Y212" s="799"/>
      <c r="Z212" s="799"/>
      <c r="AA212" s="799"/>
      <c r="AB212" s="799"/>
      <c r="AC212" s="799"/>
      <c r="AD212" s="799"/>
      <c r="AE212" s="799"/>
      <c r="AF212" s="799"/>
      <c r="AG212" s="799"/>
      <c r="AH212" s="799"/>
      <c r="AI212" s="799"/>
      <c r="AJ212" s="799"/>
      <c r="AK212" s="799"/>
      <c r="AL212" s="799"/>
      <c r="AM212" s="799"/>
      <c r="AN212" s="799"/>
      <c r="AO212" s="799"/>
      <c r="AP212" s="799"/>
      <c r="AQ212" s="799"/>
      <c r="AR212" s="799"/>
      <c r="AS212" s="799"/>
      <c r="AT212" s="799"/>
      <c r="AU212" s="799"/>
      <c r="AV212" s="799"/>
      <c r="AW212" s="799"/>
      <c r="AX212" s="799"/>
      <c r="AY212" s="799"/>
      <c r="AZ212" s="799"/>
      <c r="BA212" s="799"/>
      <c r="BB212" s="799"/>
      <c r="BC212" s="799"/>
      <c r="BD212" s="799"/>
      <c r="BE212" s="799"/>
      <c r="BF212" s="799"/>
      <c r="BG212" s="799"/>
    </row>
    <row r="213">
      <c r="H213" s="799"/>
      <c r="I213" s="799"/>
      <c r="J213" s="799"/>
      <c r="K213" s="799"/>
      <c r="L213" s="799"/>
      <c r="M213" s="799"/>
      <c r="N213" s="799"/>
      <c r="O213" s="799"/>
      <c r="P213" s="799"/>
      <c r="Q213" s="799"/>
      <c r="R213" s="799"/>
      <c r="S213" s="799"/>
      <c r="T213" s="799"/>
      <c r="U213" s="799"/>
      <c r="V213" s="799"/>
      <c r="W213" s="799"/>
      <c r="X213" s="799"/>
      <c r="Y213" s="799"/>
      <c r="Z213" s="799"/>
      <c r="AA213" s="799"/>
      <c r="AB213" s="799"/>
      <c r="AC213" s="799"/>
      <c r="AD213" s="799"/>
      <c r="AE213" s="799"/>
      <c r="AF213" s="799"/>
      <c r="AG213" s="799"/>
      <c r="AH213" s="799"/>
      <c r="AI213" s="799"/>
      <c r="AJ213" s="799"/>
      <c r="AK213" s="799"/>
      <c r="AL213" s="799"/>
      <c r="AM213" s="799"/>
      <c r="AN213" s="799"/>
      <c r="AO213" s="799"/>
      <c r="AP213" s="799"/>
      <c r="AQ213" s="799"/>
      <c r="AR213" s="799"/>
      <c r="AS213" s="799"/>
      <c r="AT213" s="799"/>
      <c r="AU213" s="799"/>
      <c r="AV213" s="799"/>
      <c r="AW213" s="799"/>
      <c r="AX213" s="799"/>
      <c r="AY213" s="799"/>
      <c r="AZ213" s="799"/>
      <c r="BA213" s="799"/>
      <c r="BB213" s="799"/>
      <c r="BC213" s="799"/>
      <c r="BD213" s="799"/>
      <c r="BE213" s="799"/>
      <c r="BF213" s="799"/>
      <c r="BG213" s="799"/>
    </row>
    <row r="214">
      <c r="H214" s="799"/>
      <c r="I214" s="799"/>
      <c r="J214" s="799"/>
      <c r="K214" s="799"/>
      <c r="L214" s="799"/>
      <c r="M214" s="799"/>
      <c r="N214" s="799"/>
      <c r="O214" s="799"/>
      <c r="P214" s="799"/>
      <c r="Q214" s="799"/>
      <c r="R214" s="799"/>
      <c r="S214" s="799"/>
      <c r="T214" s="799"/>
      <c r="U214" s="799"/>
      <c r="V214" s="799"/>
      <c r="W214" s="799"/>
      <c r="X214" s="799"/>
      <c r="Y214" s="799"/>
      <c r="Z214" s="799"/>
      <c r="AA214" s="799"/>
      <c r="AB214" s="799"/>
      <c r="AC214" s="799"/>
      <c r="AD214" s="799"/>
      <c r="AE214" s="799"/>
      <c r="AF214" s="799"/>
      <c r="AG214" s="799"/>
      <c r="AH214" s="799"/>
      <c r="AI214" s="799"/>
      <c r="AJ214" s="799"/>
      <c r="AK214" s="799"/>
      <c r="AL214" s="799"/>
      <c r="AM214" s="799"/>
      <c r="AN214" s="799"/>
      <c r="AO214" s="799"/>
      <c r="AP214" s="799"/>
      <c r="AQ214" s="799"/>
      <c r="AR214" s="799"/>
      <c r="AS214" s="799"/>
      <c r="AT214" s="799"/>
      <c r="AU214" s="799"/>
      <c r="AV214" s="799"/>
      <c r="AW214" s="799"/>
      <c r="AX214" s="799"/>
      <c r="AY214" s="799"/>
      <c r="AZ214" s="799"/>
      <c r="BA214" s="799"/>
      <c r="BB214" s="799"/>
      <c r="BC214" s="799"/>
      <c r="BD214" s="799"/>
      <c r="BE214" s="799"/>
      <c r="BF214" s="799"/>
      <c r="BG214" s="799"/>
    </row>
    <row r="215">
      <c r="H215" s="799"/>
      <c r="I215" s="799"/>
      <c r="J215" s="799"/>
      <c r="K215" s="799"/>
      <c r="L215" s="799"/>
      <c r="M215" s="799"/>
      <c r="N215" s="799"/>
      <c r="O215" s="799"/>
      <c r="P215" s="799"/>
      <c r="Q215" s="799"/>
      <c r="R215" s="799"/>
      <c r="S215" s="799"/>
      <c r="T215" s="799"/>
      <c r="U215" s="799"/>
      <c r="V215" s="799"/>
      <c r="W215" s="799"/>
      <c r="X215" s="799"/>
      <c r="Y215" s="799"/>
      <c r="Z215" s="799"/>
      <c r="AA215" s="799"/>
      <c r="AB215" s="799"/>
      <c r="AC215" s="799"/>
      <c r="AD215" s="799"/>
      <c r="AE215" s="799"/>
      <c r="AF215" s="799"/>
      <c r="AG215" s="799"/>
      <c r="AH215" s="799"/>
      <c r="AI215" s="799"/>
      <c r="AJ215" s="799"/>
      <c r="AK215" s="799"/>
      <c r="AL215" s="799"/>
      <c r="AM215" s="799"/>
      <c r="AN215" s="799"/>
      <c r="AO215" s="799"/>
      <c r="AP215" s="799"/>
      <c r="AQ215" s="799"/>
      <c r="AR215" s="799"/>
      <c r="AS215" s="799"/>
      <c r="AT215" s="799"/>
      <c r="AU215" s="799"/>
      <c r="AV215" s="799"/>
      <c r="AW215" s="799"/>
      <c r="AX215" s="799"/>
      <c r="AY215" s="799"/>
      <c r="AZ215" s="799"/>
      <c r="BA215" s="799"/>
      <c r="BB215" s="799"/>
      <c r="BC215" s="799"/>
      <c r="BD215" s="799"/>
      <c r="BE215" s="799"/>
      <c r="BF215" s="799"/>
      <c r="BG215" s="799"/>
    </row>
    <row r="216">
      <c r="H216" s="799"/>
      <c r="I216" s="799"/>
      <c r="J216" s="799"/>
      <c r="K216" s="799"/>
      <c r="L216" s="799"/>
      <c r="M216" s="799"/>
      <c r="N216" s="799"/>
      <c r="O216" s="799"/>
      <c r="P216" s="799"/>
      <c r="Q216" s="799"/>
      <c r="R216" s="799"/>
      <c r="S216" s="799"/>
      <c r="T216" s="799"/>
      <c r="U216" s="799"/>
      <c r="V216" s="799"/>
      <c r="W216" s="799"/>
      <c r="X216" s="799"/>
      <c r="Y216" s="799"/>
      <c r="Z216" s="799"/>
      <c r="AA216" s="799"/>
      <c r="AB216" s="799"/>
      <c r="AC216" s="799"/>
      <c r="AD216" s="799"/>
      <c r="AE216" s="799"/>
      <c r="AF216" s="799"/>
      <c r="AG216" s="799"/>
      <c r="AH216" s="799"/>
      <c r="AI216" s="799"/>
      <c r="AJ216" s="799"/>
      <c r="AK216" s="799"/>
      <c r="AL216" s="799"/>
      <c r="AM216" s="799"/>
      <c r="AN216" s="799"/>
      <c r="AO216" s="799"/>
      <c r="AP216" s="799"/>
      <c r="AQ216" s="799"/>
      <c r="AR216" s="799"/>
      <c r="AS216" s="799"/>
      <c r="AT216" s="799"/>
      <c r="AU216" s="799"/>
      <c r="AV216" s="799"/>
      <c r="AW216" s="799"/>
      <c r="AX216" s="799"/>
      <c r="AY216" s="799"/>
      <c r="AZ216" s="799"/>
      <c r="BA216" s="799"/>
      <c r="BB216" s="799"/>
      <c r="BC216" s="799"/>
      <c r="BD216" s="799"/>
      <c r="BE216" s="799"/>
      <c r="BF216" s="799"/>
      <c r="BG216" s="799"/>
    </row>
    <row r="217">
      <c r="H217" s="799"/>
      <c r="I217" s="799"/>
      <c r="J217" s="799"/>
      <c r="K217" s="799"/>
      <c r="L217" s="799"/>
      <c r="M217" s="799"/>
      <c r="N217" s="799"/>
      <c r="O217" s="799"/>
      <c r="P217" s="799"/>
      <c r="Q217" s="799"/>
      <c r="R217" s="799"/>
      <c r="S217" s="799"/>
      <c r="T217" s="799"/>
      <c r="U217" s="799"/>
      <c r="V217" s="799"/>
      <c r="W217" s="799"/>
      <c r="X217" s="799"/>
      <c r="Y217" s="799"/>
      <c r="Z217" s="799"/>
      <c r="AA217" s="799"/>
      <c r="AB217" s="799"/>
      <c r="AC217" s="799"/>
      <c r="AD217" s="799"/>
      <c r="AE217" s="799"/>
      <c r="AF217" s="799"/>
      <c r="AG217" s="799"/>
      <c r="AH217" s="799"/>
      <c r="AI217" s="799"/>
      <c r="AJ217" s="799"/>
      <c r="AK217" s="799"/>
      <c r="AL217" s="799"/>
      <c r="AM217" s="799"/>
      <c r="AN217" s="799"/>
      <c r="AO217" s="799"/>
      <c r="AP217" s="799"/>
      <c r="AQ217" s="799"/>
      <c r="AR217" s="799"/>
      <c r="AS217" s="799"/>
      <c r="AT217" s="799"/>
      <c r="AU217" s="799"/>
      <c r="AV217" s="799"/>
      <c r="AW217" s="799"/>
      <c r="AX217" s="799"/>
      <c r="AY217" s="799"/>
      <c r="AZ217" s="799"/>
      <c r="BA217" s="799"/>
      <c r="BB217" s="799"/>
      <c r="BC217" s="799"/>
      <c r="BD217" s="799"/>
      <c r="BE217" s="799"/>
      <c r="BF217" s="799"/>
      <c r="BG217" s="799"/>
    </row>
    <row r="218">
      <c r="H218" s="799"/>
      <c r="I218" s="799"/>
      <c r="J218" s="799"/>
      <c r="K218" s="799"/>
      <c r="L218" s="799"/>
      <c r="M218" s="799"/>
      <c r="N218" s="799"/>
      <c r="O218" s="799"/>
      <c r="P218" s="799"/>
      <c r="Q218" s="799"/>
      <c r="R218" s="799"/>
      <c r="S218" s="799"/>
      <c r="T218" s="799"/>
      <c r="U218" s="799"/>
      <c r="V218" s="799"/>
      <c r="W218" s="799"/>
      <c r="X218" s="799"/>
      <c r="Y218" s="799"/>
      <c r="Z218" s="799"/>
      <c r="AA218" s="799"/>
      <c r="AB218" s="799"/>
      <c r="AC218" s="799"/>
      <c r="AD218" s="799"/>
      <c r="AE218" s="799"/>
      <c r="AF218" s="799"/>
      <c r="AG218" s="799"/>
      <c r="AH218" s="799"/>
      <c r="AI218" s="799"/>
      <c r="AJ218" s="799"/>
      <c r="AK218" s="799"/>
      <c r="AL218" s="799"/>
      <c r="AM218" s="799"/>
      <c r="AN218" s="799"/>
      <c r="AO218" s="799"/>
      <c r="AP218" s="799"/>
      <c r="AQ218" s="799"/>
      <c r="AR218" s="799"/>
      <c r="AS218" s="799"/>
      <c r="AT218" s="799"/>
      <c r="AU218" s="799"/>
      <c r="AV218" s="799"/>
      <c r="AW218" s="799"/>
      <c r="AX218" s="799"/>
      <c r="AY218" s="799"/>
      <c r="AZ218" s="799"/>
      <c r="BA218" s="799"/>
      <c r="BB218" s="799"/>
      <c r="BC218" s="799"/>
      <c r="BD218" s="799"/>
      <c r="BE218" s="799"/>
      <c r="BF218" s="799"/>
      <c r="BG218" s="799"/>
    </row>
    <row r="219">
      <c r="H219" s="799"/>
      <c r="I219" s="799"/>
      <c r="J219" s="799"/>
      <c r="K219" s="799"/>
      <c r="L219" s="799"/>
      <c r="M219" s="799"/>
      <c r="N219" s="799"/>
      <c r="O219" s="799"/>
      <c r="P219" s="799"/>
      <c r="Q219" s="799"/>
      <c r="R219" s="799"/>
      <c r="S219" s="799"/>
      <c r="T219" s="799"/>
      <c r="U219" s="799"/>
      <c r="V219" s="799"/>
      <c r="W219" s="799"/>
      <c r="X219" s="799"/>
      <c r="Y219" s="799"/>
      <c r="Z219" s="799"/>
      <c r="AA219" s="799"/>
      <c r="AB219" s="799"/>
      <c r="AC219" s="799"/>
      <c r="AD219" s="799"/>
      <c r="AE219" s="799"/>
      <c r="AF219" s="799"/>
      <c r="AG219" s="799"/>
      <c r="AH219" s="799"/>
      <c r="AI219" s="799"/>
      <c r="AJ219" s="799"/>
      <c r="AK219" s="799"/>
      <c r="AL219" s="799"/>
      <c r="AM219" s="799"/>
      <c r="AN219" s="799"/>
      <c r="AO219" s="799"/>
      <c r="AP219" s="799"/>
      <c r="AQ219" s="799"/>
      <c r="AR219" s="799"/>
      <c r="AS219" s="799"/>
      <c r="AT219" s="799"/>
      <c r="AU219" s="799"/>
      <c r="AV219" s="799"/>
      <c r="AW219" s="799"/>
      <c r="AX219" s="799"/>
      <c r="AY219" s="799"/>
      <c r="AZ219" s="799"/>
      <c r="BA219" s="799"/>
      <c r="BB219" s="799"/>
      <c r="BC219" s="799"/>
      <c r="BD219" s="799"/>
      <c r="BE219" s="799"/>
      <c r="BF219" s="799"/>
      <c r="BG219" s="799"/>
    </row>
    <row r="220">
      <c r="H220" s="799"/>
      <c r="I220" s="799"/>
      <c r="J220" s="799"/>
      <c r="K220" s="799"/>
      <c r="L220" s="799"/>
      <c r="M220" s="799"/>
      <c r="N220" s="799"/>
      <c r="O220" s="799"/>
      <c r="P220" s="799"/>
      <c r="Q220" s="799"/>
      <c r="R220" s="799"/>
      <c r="S220" s="799"/>
      <c r="T220" s="799"/>
      <c r="U220" s="799"/>
      <c r="V220" s="799"/>
      <c r="W220" s="799"/>
      <c r="X220" s="799"/>
      <c r="Y220" s="799"/>
      <c r="Z220" s="799"/>
      <c r="AA220" s="799"/>
      <c r="AB220" s="799"/>
      <c r="AC220" s="799"/>
      <c r="AD220" s="799"/>
      <c r="AE220" s="799"/>
      <c r="AF220" s="799"/>
      <c r="AG220" s="799"/>
      <c r="AH220" s="799"/>
      <c r="AI220" s="799"/>
      <c r="AJ220" s="799"/>
      <c r="AK220" s="799"/>
      <c r="AL220" s="799"/>
      <c r="AM220" s="799"/>
      <c r="AN220" s="799"/>
      <c r="AO220" s="799"/>
      <c r="AP220" s="799"/>
      <c r="AQ220" s="799"/>
      <c r="AR220" s="799"/>
      <c r="AS220" s="799"/>
      <c r="AT220" s="799"/>
      <c r="AU220" s="799"/>
      <c r="AV220" s="799"/>
      <c r="AW220" s="799"/>
      <c r="AX220" s="799"/>
      <c r="AY220" s="799"/>
      <c r="AZ220" s="799"/>
      <c r="BA220" s="799"/>
      <c r="BB220" s="799"/>
      <c r="BC220" s="799"/>
      <c r="BD220" s="799"/>
      <c r="BE220" s="799"/>
      <c r="BF220" s="799"/>
      <c r="BG220" s="799"/>
    </row>
    <row r="221">
      <c r="H221" s="799"/>
      <c r="I221" s="799"/>
      <c r="J221" s="799"/>
      <c r="K221" s="799"/>
      <c r="L221" s="799"/>
      <c r="M221" s="799"/>
      <c r="N221" s="799"/>
      <c r="O221" s="799"/>
      <c r="P221" s="799"/>
      <c r="Q221" s="799"/>
      <c r="R221" s="799"/>
      <c r="S221" s="799"/>
      <c r="T221" s="799"/>
      <c r="U221" s="799"/>
      <c r="V221" s="799"/>
      <c r="W221" s="799"/>
      <c r="X221" s="799"/>
      <c r="Y221" s="799"/>
      <c r="Z221" s="799"/>
      <c r="AA221" s="799"/>
      <c r="AB221" s="799"/>
      <c r="AC221" s="799"/>
      <c r="AD221" s="799"/>
      <c r="AE221" s="799"/>
      <c r="AF221" s="799"/>
      <c r="AG221" s="799"/>
      <c r="AH221" s="799"/>
      <c r="AI221" s="799"/>
      <c r="AJ221" s="799"/>
      <c r="AK221" s="799"/>
      <c r="AL221" s="799"/>
      <c r="AM221" s="799"/>
      <c r="AN221" s="799"/>
      <c r="AO221" s="799"/>
      <c r="AP221" s="799"/>
      <c r="AQ221" s="799"/>
      <c r="AR221" s="799"/>
      <c r="AS221" s="799"/>
      <c r="AT221" s="799"/>
      <c r="AU221" s="799"/>
      <c r="AV221" s="799"/>
      <c r="AW221" s="799"/>
      <c r="AX221" s="799"/>
      <c r="AY221" s="799"/>
      <c r="AZ221" s="799"/>
      <c r="BA221" s="799"/>
      <c r="BB221" s="799"/>
      <c r="BC221" s="799"/>
      <c r="BD221" s="799"/>
      <c r="BE221" s="799"/>
      <c r="BF221" s="799"/>
      <c r="BG221" s="799"/>
    </row>
    <row r="222">
      <c r="H222" s="799"/>
      <c r="I222" s="799"/>
      <c r="J222" s="799"/>
      <c r="K222" s="799"/>
      <c r="L222" s="799"/>
      <c r="M222" s="799"/>
      <c r="N222" s="799"/>
      <c r="O222" s="799"/>
      <c r="P222" s="799"/>
      <c r="Q222" s="799"/>
      <c r="R222" s="799"/>
      <c r="S222" s="799"/>
      <c r="T222" s="799"/>
      <c r="U222" s="799"/>
      <c r="V222" s="799"/>
      <c r="W222" s="799"/>
      <c r="X222" s="799"/>
      <c r="Y222" s="799"/>
      <c r="Z222" s="799"/>
      <c r="AA222" s="799"/>
      <c r="AB222" s="799"/>
      <c r="AC222" s="799"/>
      <c r="AD222" s="799"/>
      <c r="AE222" s="799"/>
      <c r="AF222" s="799"/>
      <c r="AG222" s="799"/>
      <c r="AH222" s="799"/>
      <c r="AI222" s="799"/>
      <c r="AJ222" s="799"/>
      <c r="AK222" s="799"/>
      <c r="AL222" s="799"/>
      <c r="AM222" s="799"/>
      <c r="AN222" s="799"/>
      <c r="AO222" s="799"/>
      <c r="AP222" s="799"/>
      <c r="AQ222" s="799"/>
      <c r="AR222" s="799"/>
      <c r="AS222" s="799"/>
      <c r="AT222" s="799"/>
      <c r="AU222" s="799"/>
      <c r="AV222" s="799"/>
      <c r="AW222" s="799"/>
      <c r="AX222" s="799"/>
      <c r="AY222" s="799"/>
      <c r="AZ222" s="799"/>
      <c r="BA222" s="799"/>
      <c r="BB222" s="799"/>
      <c r="BC222" s="799"/>
      <c r="BD222" s="799"/>
      <c r="BE222" s="799"/>
      <c r="BF222" s="799"/>
      <c r="BG222" s="799"/>
    </row>
    <row r="223">
      <c r="H223" s="799"/>
      <c r="I223" s="799"/>
      <c r="J223" s="799"/>
      <c r="K223" s="799"/>
      <c r="L223" s="799"/>
      <c r="M223" s="799"/>
      <c r="N223" s="799"/>
      <c r="O223" s="799"/>
      <c r="P223" s="799"/>
      <c r="Q223" s="799"/>
      <c r="R223" s="799"/>
      <c r="S223" s="799"/>
      <c r="T223" s="799"/>
      <c r="U223" s="799"/>
      <c r="V223" s="799"/>
      <c r="W223" s="799"/>
      <c r="X223" s="799"/>
      <c r="Y223" s="799"/>
      <c r="Z223" s="799"/>
      <c r="AA223" s="799"/>
      <c r="AB223" s="799"/>
      <c r="AC223" s="799"/>
      <c r="AD223" s="799"/>
      <c r="AE223" s="799"/>
      <c r="AF223" s="799"/>
      <c r="AG223" s="799"/>
      <c r="AH223" s="799"/>
      <c r="AI223" s="799"/>
      <c r="AJ223" s="799"/>
      <c r="AK223" s="799"/>
      <c r="AL223" s="799"/>
      <c r="AM223" s="799"/>
      <c r="AN223" s="799"/>
      <c r="AO223" s="799"/>
      <c r="AP223" s="799"/>
      <c r="AQ223" s="799"/>
      <c r="AR223" s="799"/>
      <c r="AS223" s="799"/>
      <c r="AT223" s="799"/>
      <c r="AU223" s="799"/>
      <c r="AV223" s="799"/>
      <c r="AW223" s="799"/>
      <c r="AX223" s="799"/>
      <c r="AY223" s="799"/>
      <c r="AZ223" s="799"/>
      <c r="BA223" s="799"/>
      <c r="BB223" s="799"/>
      <c r="BC223" s="799"/>
      <c r="BD223" s="799"/>
      <c r="BE223" s="799"/>
      <c r="BF223" s="799"/>
      <c r="BG223" s="799"/>
    </row>
    <row r="224">
      <c r="H224" s="799"/>
      <c r="I224" s="799"/>
      <c r="J224" s="799"/>
      <c r="K224" s="799"/>
      <c r="L224" s="799"/>
      <c r="M224" s="799"/>
      <c r="N224" s="799"/>
      <c r="O224" s="799"/>
      <c r="P224" s="799"/>
      <c r="Q224" s="799"/>
      <c r="R224" s="799"/>
      <c r="S224" s="799"/>
      <c r="T224" s="799"/>
      <c r="U224" s="799"/>
      <c r="V224" s="799"/>
      <c r="W224" s="799"/>
      <c r="X224" s="799"/>
      <c r="Y224" s="799"/>
      <c r="Z224" s="799"/>
      <c r="AA224" s="799"/>
      <c r="AB224" s="799"/>
      <c r="AC224" s="799"/>
      <c r="AD224" s="799"/>
      <c r="AE224" s="799"/>
      <c r="AF224" s="799"/>
      <c r="AG224" s="799"/>
      <c r="AH224" s="799"/>
      <c r="AI224" s="799"/>
      <c r="AJ224" s="799"/>
      <c r="AK224" s="799"/>
      <c r="AL224" s="799"/>
      <c r="AM224" s="799"/>
      <c r="AN224" s="799"/>
      <c r="AO224" s="799"/>
      <c r="AP224" s="799"/>
      <c r="AQ224" s="799"/>
      <c r="AR224" s="799"/>
      <c r="AS224" s="799"/>
      <c r="AT224" s="799"/>
      <c r="AU224" s="799"/>
      <c r="AV224" s="799"/>
      <c r="AW224" s="799"/>
      <c r="AX224" s="799"/>
      <c r="AY224" s="799"/>
      <c r="AZ224" s="799"/>
      <c r="BA224" s="799"/>
      <c r="BB224" s="799"/>
      <c r="BC224" s="799"/>
      <c r="BD224" s="799"/>
      <c r="BE224" s="799"/>
      <c r="BF224" s="799"/>
      <c r="BG224" s="799"/>
    </row>
    <row r="225">
      <c r="H225" s="799"/>
      <c r="I225" s="799"/>
      <c r="J225" s="799"/>
      <c r="K225" s="799"/>
      <c r="L225" s="799"/>
      <c r="M225" s="799"/>
      <c r="N225" s="799"/>
      <c r="O225" s="799"/>
      <c r="P225" s="799"/>
      <c r="Q225" s="799"/>
      <c r="R225" s="799"/>
      <c r="S225" s="799"/>
      <c r="T225" s="799"/>
      <c r="U225" s="799"/>
      <c r="V225" s="799"/>
      <c r="W225" s="799"/>
      <c r="X225" s="799"/>
      <c r="Y225" s="799"/>
      <c r="Z225" s="799"/>
      <c r="AA225" s="799"/>
      <c r="AB225" s="799"/>
      <c r="AC225" s="799"/>
      <c r="AD225" s="799"/>
      <c r="AE225" s="799"/>
      <c r="AF225" s="799"/>
      <c r="AG225" s="799"/>
      <c r="AH225" s="799"/>
      <c r="AI225" s="799"/>
      <c r="AJ225" s="799"/>
      <c r="AK225" s="799"/>
      <c r="AL225" s="799"/>
      <c r="AM225" s="799"/>
      <c r="AN225" s="799"/>
      <c r="AO225" s="799"/>
      <c r="AP225" s="799"/>
      <c r="AQ225" s="799"/>
      <c r="AR225" s="799"/>
      <c r="AS225" s="799"/>
      <c r="AT225" s="799"/>
      <c r="AU225" s="799"/>
      <c r="AV225" s="799"/>
      <c r="AW225" s="799"/>
      <c r="AX225" s="799"/>
      <c r="AY225" s="799"/>
      <c r="AZ225" s="799"/>
      <c r="BA225" s="799"/>
      <c r="BB225" s="799"/>
      <c r="BC225" s="799"/>
      <c r="BD225" s="799"/>
      <c r="BE225" s="799"/>
      <c r="BF225" s="799"/>
      <c r="BG225" s="799"/>
    </row>
    <row r="226">
      <c r="H226" s="799"/>
      <c r="I226" s="799"/>
      <c r="J226" s="799"/>
      <c r="K226" s="799"/>
      <c r="L226" s="799"/>
      <c r="M226" s="799"/>
      <c r="N226" s="799"/>
      <c r="O226" s="799"/>
      <c r="P226" s="799"/>
      <c r="Q226" s="799"/>
      <c r="R226" s="799"/>
      <c r="S226" s="799"/>
      <c r="T226" s="799"/>
      <c r="U226" s="799"/>
      <c r="V226" s="799"/>
      <c r="W226" s="799"/>
      <c r="X226" s="799"/>
      <c r="Y226" s="799"/>
      <c r="Z226" s="799"/>
      <c r="AA226" s="799"/>
      <c r="AB226" s="799"/>
      <c r="AC226" s="799"/>
      <c r="AD226" s="799"/>
      <c r="AE226" s="799"/>
      <c r="AF226" s="799"/>
      <c r="AG226" s="799"/>
      <c r="AH226" s="799"/>
      <c r="AI226" s="799"/>
      <c r="AJ226" s="799"/>
      <c r="AK226" s="799"/>
      <c r="AL226" s="799"/>
      <c r="AM226" s="799"/>
      <c r="AN226" s="799"/>
      <c r="AO226" s="799"/>
      <c r="AP226" s="799"/>
      <c r="AQ226" s="799"/>
      <c r="AR226" s="799"/>
      <c r="AS226" s="799"/>
      <c r="AT226" s="799"/>
      <c r="AU226" s="799"/>
      <c r="AV226" s="799"/>
      <c r="AW226" s="799"/>
      <c r="AX226" s="799"/>
      <c r="AY226" s="799"/>
      <c r="AZ226" s="799"/>
      <c r="BA226" s="799"/>
      <c r="BB226" s="799"/>
      <c r="BC226" s="799"/>
      <c r="BD226" s="799"/>
      <c r="BE226" s="799"/>
      <c r="BF226" s="799"/>
      <c r="BG226" s="799"/>
    </row>
    <row r="227">
      <c r="H227" s="799"/>
      <c r="I227" s="799"/>
      <c r="J227" s="799"/>
      <c r="K227" s="799"/>
      <c r="L227" s="799"/>
      <c r="M227" s="799"/>
      <c r="N227" s="799"/>
      <c r="O227" s="799"/>
      <c r="P227" s="799"/>
      <c r="Q227" s="799"/>
      <c r="R227" s="799"/>
      <c r="S227" s="799"/>
      <c r="T227" s="799"/>
      <c r="U227" s="799"/>
      <c r="V227" s="799"/>
      <c r="W227" s="799"/>
      <c r="X227" s="799"/>
      <c r="Y227" s="799"/>
      <c r="Z227" s="799"/>
      <c r="AA227" s="799"/>
      <c r="AB227" s="799"/>
      <c r="AC227" s="799"/>
      <c r="AD227" s="799"/>
      <c r="AE227" s="799"/>
      <c r="AF227" s="799"/>
      <c r="AG227" s="799"/>
      <c r="AH227" s="799"/>
      <c r="AI227" s="799"/>
      <c r="AJ227" s="799"/>
      <c r="AK227" s="799"/>
      <c r="AL227" s="799"/>
      <c r="AM227" s="799"/>
      <c r="AN227" s="799"/>
      <c r="AO227" s="799"/>
      <c r="AP227" s="799"/>
      <c r="AQ227" s="799"/>
      <c r="AR227" s="799"/>
      <c r="AS227" s="799"/>
      <c r="AT227" s="799"/>
      <c r="AU227" s="799"/>
      <c r="AV227" s="799"/>
      <c r="AW227" s="799"/>
      <c r="AX227" s="799"/>
      <c r="AY227" s="799"/>
      <c r="AZ227" s="799"/>
      <c r="BA227" s="799"/>
      <c r="BB227" s="799"/>
      <c r="BC227" s="799"/>
      <c r="BD227" s="799"/>
      <c r="BE227" s="799"/>
      <c r="BF227" s="799"/>
      <c r="BG227" s="799"/>
    </row>
    <row r="228">
      <c r="H228" s="799"/>
      <c r="I228" s="799"/>
      <c r="J228" s="799"/>
      <c r="K228" s="799"/>
      <c r="L228" s="799"/>
      <c r="M228" s="799"/>
      <c r="N228" s="799"/>
      <c r="O228" s="799"/>
      <c r="P228" s="799"/>
      <c r="Q228" s="799"/>
      <c r="R228" s="799"/>
      <c r="S228" s="799"/>
      <c r="T228" s="799"/>
      <c r="U228" s="799"/>
      <c r="V228" s="799"/>
      <c r="W228" s="799"/>
      <c r="X228" s="799"/>
      <c r="Y228" s="799"/>
      <c r="Z228" s="799"/>
      <c r="AA228" s="799"/>
      <c r="AB228" s="799"/>
      <c r="AC228" s="799"/>
      <c r="AD228" s="799"/>
      <c r="AE228" s="799"/>
      <c r="AF228" s="799"/>
      <c r="AG228" s="799"/>
      <c r="AH228" s="799"/>
      <c r="AI228" s="799"/>
      <c r="AJ228" s="799"/>
      <c r="AK228" s="799"/>
      <c r="AL228" s="799"/>
      <c r="AM228" s="799"/>
      <c r="AN228" s="799"/>
      <c r="AO228" s="799"/>
      <c r="AP228" s="799"/>
      <c r="AQ228" s="799"/>
      <c r="AR228" s="799"/>
      <c r="AS228" s="799"/>
      <c r="AT228" s="799"/>
      <c r="AU228" s="799"/>
      <c r="AV228" s="799"/>
      <c r="AW228" s="799"/>
      <c r="AX228" s="799"/>
      <c r="AY228" s="799"/>
      <c r="AZ228" s="799"/>
      <c r="BA228" s="799"/>
      <c r="BB228" s="799"/>
      <c r="BC228" s="799"/>
      <c r="BD228" s="799"/>
      <c r="BE228" s="799"/>
      <c r="BF228" s="799"/>
      <c r="BG228" s="799"/>
    </row>
    <row r="229">
      <c r="H229" s="799"/>
      <c r="I229" s="799"/>
      <c r="J229" s="799"/>
      <c r="K229" s="799"/>
      <c r="L229" s="799"/>
      <c r="M229" s="799"/>
      <c r="N229" s="799"/>
      <c r="O229" s="799"/>
      <c r="P229" s="799"/>
      <c r="Q229" s="799"/>
      <c r="R229" s="799"/>
      <c r="S229" s="799"/>
      <c r="T229" s="799"/>
      <c r="U229" s="799"/>
      <c r="V229" s="799"/>
      <c r="W229" s="799"/>
      <c r="X229" s="799"/>
      <c r="Y229" s="799"/>
      <c r="Z229" s="799"/>
      <c r="AA229" s="799"/>
      <c r="AB229" s="799"/>
      <c r="AC229" s="799"/>
      <c r="AD229" s="799"/>
      <c r="AE229" s="799"/>
      <c r="AF229" s="799"/>
      <c r="AG229" s="799"/>
      <c r="AH229" s="799"/>
      <c r="AI229" s="799"/>
      <c r="AJ229" s="799"/>
      <c r="AK229" s="799"/>
      <c r="AL229" s="799"/>
      <c r="AM229" s="799"/>
      <c r="AN229" s="799"/>
      <c r="AO229" s="799"/>
      <c r="AP229" s="799"/>
      <c r="AQ229" s="799"/>
      <c r="AR229" s="799"/>
      <c r="AS229" s="799"/>
      <c r="AT229" s="799"/>
      <c r="AU229" s="799"/>
      <c r="AV229" s="799"/>
      <c r="AW229" s="799"/>
      <c r="AX229" s="799"/>
      <c r="AY229" s="799"/>
      <c r="AZ229" s="799"/>
      <c r="BA229" s="799"/>
      <c r="BB229" s="799"/>
      <c r="BC229" s="799"/>
      <c r="BD229" s="799"/>
      <c r="BE229" s="799"/>
      <c r="BF229" s="799"/>
      <c r="BG229" s="799"/>
    </row>
    <row r="230">
      <c r="H230" s="799"/>
      <c r="I230" s="799"/>
      <c r="J230" s="799"/>
      <c r="K230" s="799"/>
      <c r="L230" s="799"/>
      <c r="M230" s="799"/>
      <c r="N230" s="799"/>
      <c r="O230" s="799"/>
      <c r="P230" s="799"/>
      <c r="Q230" s="799"/>
      <c r="R230" s="799"/>
      <c r="S230" s="799"/>
      <c r="T230" s="799"/>
      <c r="U230" s="799"/>
      <c r="V230" s="799"/>
      <c r="W230" s="799"/>
      <c r="X230" s="799"/>
      <c r="Y230" s="799"/>
      <c r="Z230" s="799"/>
      <c r="AA230" s="799"/>
      <c r="AB230" s="799"/>
      <c r="AC230" s="799"/>
      <c r="AD230" s="799"/>
      <c r="AE230" s="799"/>
      <c r="AF230" s="799"/>
      <c r="AG230" s="799"/>
      <c r="AH230" s="799"/>
      <c r="AI230" s="799"/>
      <c r="AJ230" s="799"/>
      <c r="AK230" s="799"/>
      <c r="AL230" s="799"/>
      <c r="AM230" s="799"/>
      <c r="AN230" s="799"/>
      <c r="AO230" s="799"/>
      <c r="AP230" s="799"/>
      <c r="AQ230" s="799"/>
      <c r="AR230" s="799"/>
      <c r="AS230" s="799"/>
      <c r="AT230" s="799"/>
      <c r="AU230" s="799"/>
      <c r="AV230" s="799"/>
      <c r="AW230" s="799"/>
      <c r="AX230" s="799"/>
      <c r="AY230" s="799"/>
      <c r="AZ230" s="799"/>
      <c r="BA230" s="799"/>
      <c r="BB230" s="799"/>
      <c r="BC230" s="799"/>
      <c r="BD230" s="799"/>
      <c r="BE230" s="799"/>
      <c r="BF230" s="799"/>
      <c r="BG230" s="799"/>
    </row>
    <row r="231">
      <c r="H231" s="799"/>
      <c r="I231" s="799"/>
      <c r="J231" s="799"/>
      <c r="K231" s="799"/>
      <c r="L231" s="799"/>
      <c r="M231" s="799"/>
      <c r="N231" s="799"/>
      <c r="O231" s="799"/>
      <c r="P231" s="799"/>
      <c r="Q231" s="799"/>
      <c r="R231" s="799"/>
      <c r="S231" s="799"/>
      <c r="T231" s="799"/>
      <c r="U231" s="799"/>
      <c r="V231" s="799"/>
      <c r="W231" s="799"/>
      <c r="X231" s="799"/>
      <c r="Y231" s="799"/>
      <c r="Z231" s="799"/>
      <c r="AA231" s="799"/>
      <c r="AB231" s="799"/>
      <c r="AC231" s="799"/>
      <c r="AD231" s="799"/>
      <c r="AE231" s="799"/>
      <c r="AF231" s="799"/>
      <c r="AG231" s="799"/>
      <c r="AH231" s="799"/>
      <c r="AI231" s="799"/>
      <c r="AJ231" s="799"/>
      <c r="AK231" s="799"/>
      <c r="AL231" s="799"/>
      <c r="AM231" s="799"/>
      <c r="AN231" s="799"/>
      <c r="AO231" s="799"/>
      <c r="AP231" s="799"/>
      <c r="AQ231" s="799"/>
      <c r="AR231" s="799"/>
      <c r="AS231" s="799"/>
      <c r="AT231" s="799"/>
      <c r="AU231" s="799"/>
      <c r="AV231" s="799"/>
      <c r="AW231" s="799"/>
      <c r="AX231" s="799"/>
      <c r="AY231" s="799"/>
      <c r="AZ231" s="799"/>
      <c r="BA231" s="799"/>
      <c r="BB231" s="799"/>
      <c r="BC231" s="799"/>
      <c r="BD231" s="799"/>
      <c r="BE231" s="799"/>
      <c r="BF231" s="799"/>
      <c r="BG231" s="799"/>
    </row>
    <row r="232">
      <c r="H232" s="799"/>
      <c r="I232" s="799"/>
      <c r="J232" s="799"/>
      <c r="K232" s="799"/>
      <c r="L232" s="799"/>
      <c r="M232" s="799"/>
      <c r="N232" s="799"/>
      <c r="O232" s="799"/>
      <c r="P232" s="799"/>
      <c r="Q232" s="799"/>
      <c r="R232" s="799"/>
      <c r="S232" s="799"/>
      <c r="T232" s="799"/>
      <c r="U232" s="799"/>
      <c r="V232" s="799"/>
      <c r="W232" s="799"/>
      <c r="X232" s="799"/>
      <c r="Y232" s="799"/>
      <c r="Z232" s="799"/>
      <c r="AA232" s="799"/>
      <c r="AB232" s="799"/>
      <c r="AC232" s="799"/>
      <c r="AD232" s="799"/>
      <c r="AE232" s="799"/>
      <c r="AF232" s="799"/>
      <c r="AG232" s="799"/>
      <c r="AH232" s="799"/>
      <c r="AI232" s="799"/>
      <c r="AJ232" s="799"/>
      <c r="AK232" s="799"/>
      <c r="AL232" s="799"/>
      <c r="AM232" s="799"/>
      <c r="AN232" s="799"/>
      <c r="AO232" s="799"/>
      <c r="AP232" s="799"/>
      <c r="AQ232" s="799"/>
      <c r="AR232" s="799"/>
      <c r="AS232" s="799"/>
      <c r="AT232" s="799"/>
      <c r="AU232" s="799"/>
      <c r="AV232" s="799"/>
      <c r="AW232" s="799"/>
      <c r="AX232" s="799"/>
      <c r="AY232" s="799"/>
      <c r="AZ232" s="799"/>
      <c r="BA232" s="799"/>
      <c r="BB232" s="799"/>
      <c r="BC232" s="799"/>
      <c r="BD232" s="799"/>
      <c r="BE232" s="799"/>
      <c r="BF232" s="799"/>
      <c r="BG232" s="799"/>
    </row>
    <row r="233">
      <c r="H233" s="799"/>
      <c r="I233" s="799"/>
      <c r="J233" s="799"/>
      <c r="K233" s="799"/>
      <c r="L233" s="799"/>
      <c r="M233" s="799"/>
      <c r="N233" s="799"/>
      <c r="O233" s="799"/>
      <c r="P233" s="799"/>
      <c r="Q233" s="799"/>
      <c r="R233" s="799"/>
      <c r="S233" s="799"/>
      <c r="T233" s="799"/>
      <c r="U233" s="799"/>
      <c r="V233" s="799"/>
      <c r="W233" s="799"/>
      <c r="X233" s="799"/>
      <c r="Y233" s="799"/>
      <c r="Z233" s="799"/>
      <c r="AA233" s="799"/>
      <c r="AB233" s="799"/>
      <c r="AC233" s="799"/>
      <c r="AD233" s="799"/>
      <c r="AE233" s="799"/>
      <c r="AF233" s="799"/>
      <c r="AG233" s="799"/>
      <c r="AH233" s="799"/>
      <c r="AI233" s="799"/>
      <c r="AJ233" s="799"/>
      <c r="AK233" s="799"/>
      <c r="AL233" s="799"/>
      <c r="AM233" s="799"/>
      <c r="AN233" s="799"/>
      <c r="AO233" s="799"/>
      <c r="AP233" s="799"/>
      <c r="AQ233" s="799"/>
      <c r="AR233" s="799"/>
      <c r="AS233" s="799"/>
      <c r="AT233" s="799"/>
      <c r="AU233" s="799"/>
      <c r="AV233" s="799"/>
      <c r="AW233" s="799"/>
      <c r="AX233" s="799"/>
      <c r="AY233" s="799"/>
      <c r="AZ233" s="799"/>
      <c r="BA233" s="799"/>
      <c r="BB233" s="799"/>
      <c r="BC233" s="799"/>
      <c r="BD233" s="799"/>
      <c r="BE233" s="799"/>
      <c r="BF233" s="799"/>
      <c r="BG233" s="799"/>
    </row>
    <row r="234">
      <c r="H234" s="799"/>
      <c r="I234" s="799"/>
      <c r="J234" s="799"/>
      <c r="K234" s="799"/>
      <c r="L234" s="799"/>
      <c r="M234" s="799"/>
      <c r="N234" s="799"/>
      <c r="O234" s="799"/>
      <c r="P234" s="799"/>
      <c r="Q234" s="799"/>
      <c r="R234" s="799"/>
      <c r="S234" s="799"/>
      <c r="T234" s="799"/>
      <c r="U234" s="799"/>
      <c r="V234" s="799"/>
      <c r="W234" s="799"/>
      <c r="X234" s="799"/>
      <c r="Y234" s="799"/>
      <c r="Z234" s="799"/>
      <c r="AA234" s="799"/>
      <c r="AB234" s="799"/>
      <c r="AC234" s="799"/>
      <c r="AD234" s="799"/>
      <c r="AE234" s="799"/>
      <c r="AF234" s="799"/>
      <c r="AG234" s="799"/>
      <c r="AH234" s="799"/>
      <c r="AI234" s="799"/>
      <c r="AJ234" s="799"/>
      <c r="AK234" s="799"/>
      <c r="AL234" s="799"/>
      <c r="AM234" s="799"/>
      <c r="AN234" s="799"/>
      <c r="AO234" s="799"/>
      <c r="AP234" s="799"/>
      <c r="AQ234" s="799"/>
      <c r="AR234" s="799"/>
      <c r="AS234" s="799"/>
      <c r="AT234" s="799"/>
      <c r="AU234" s="799"/>
      <c r="AV234" s="799"/>
      <c r="AW234" s="799"/>
      <c r="AX234" s="799"/>
      <c r="AY234" s="799"/>
      <c r="AZ234" s="799"/>
      <c r="BA234" s="799"/>
      <c r="BB234" s="799"/>
      <c r="BC234" s="799"/>
      <c r="BD234" s="799"/>
      <c r="BE234" s="799"/>
      <c r="BF234" s="799"/>
      <c r="BG234" s="799"/>
    </row>
    <row r="235">
      <c r="H235" s="799"/>
      <c r="I235" s="799"/>
      <c r="J235" s="799"/>
      <c r="K235" s="799"/>
      <c r="L235" s="799"/>
      <c r="M235" s="799"/>
      <c r="N235" s="799"/>
      <c r="O235" s="799"/>
      <c r="P235" s="799"/>
      <c r="Q235" s="799"/>
      <c r="R235" s="799"/>
      <c r="S235" s="799"/>
      <c r="T235" s="799"/>
      <c r="U235" s="799"/>
      <c r="V235" s="799"/>
      <c r="W235" s="799"/>
      <c r="X235" s="799"/>
      <c r="Y235" s="799"/>
      <c r="Z235" s="799"/>
      <c r="AA235" s="799"/>
      <c r="AB235" s="799"/>
      <c r="AC235" s="799"/>
      <c r="AD235" s="799"/>
      <c r="AE235" s="799"/>
      <c r="AF235" s="799"/>
      <c r="AG235" s="799"/>
      <c r="AH235" s="799"/>
      <c r="AI235" s="799"/>
      <c r="AJ235" s="799"/>
      <c r="AK235" s="799"/>
      <c r="AL235" s="799"/>
      <c r="AM235" s="799"/>
      <c r="AN235" s="799"/>
      <c r="AO235" s="799"/>
      <c r="AP235" s="799"/>
      <c r="AQ235" s="799"/>
      <c r="AR235" s="799"/>
      <c r="AS235" s="799"/>
      <c r="AT235" s="799"/>
      <c r="AU235" s="799"/>
      <c r="AV235" s="799"/>
      <c r="AW235" s="799"/>
      <c r="AX235" s="799"/>
      <c r="AY235" s="799"/>
      <c r="AZ235" s="799"/>
      <c r="BA235" s="799"/>
      <c r="BB235" s="799"/>
      <c r="BC235" s="799"/>
      <c r="BD235" s="799"/>
      <c r="BE235" s="799"/>
      <c r="BF235" s="799"/>
      <c r="BG235" s="799"/>
    </row>
    <row r="236">
      <c r="H236" s="799"/>
      <c r="I236" s="799"/>
      <c r="J236" s="799"/>
      <c r="K236" s="799"/>
      <c r="L236" s="799"/>
      <c r="M236" s="799"/>
      <c r="N236" s="799"/>
      <c r="O236" s="799"/>
      <c r="P236" s="799"/>
      <c r="Q236" s="799"/>
      <c r="R236" s="799"/>
      <c r="S236" s="799"/>
      <c r="T236" s="799"/>
      <c r="U236" s="799"/>
      <c r="V236" s="799"/>
      <c r="W236" s="799"/>
      <c r="X236" s="799"/>
      <c r="Y236" s="799"/>
      <c r="Z236" s="799"/>
      <c r="AA236" s="799"/>
      <c r="AB236" s="799"/>
      <c r="AC236" s="799"/>
      <c r="AD236" s="799"/>
      <c r="AE236" s="799"/>
      <c r="AF236" s="799"/>
      <c r="AG236" s="799"/>
      <c r="AH236" s="799"/>
      <c r="AI236" s="799"/>
      <c r="AJ236" s="799"/>
      <c r="AK236" s="799"/>
      <c r="AL236" s="799"/>
      <c r="AM236" s="799"/>
      <c r="AN236" s="799"/>
      <c r="AO236" s="799"/>
      <c r="AP236" s="799"/>
      <c r="AQ236" s="799"/>
      <c r="AR236" s="799"/>
      <c r="AS236" s="799"/>
      <c r="AT236" s="799"/>
      <c r="AU236" s="799"/>
      <c r="AV236" s="799"/>
      <c r="AW236" s="799"/>
      <c r="AX236" s="799"/>
      <c r="AY236" s="799"/>
      <c r="AZ236" s="799"/>
      <c r="BA236" s="799"/>
      <c r="BB236" s="799"/>
      <c r="BC236" s="799"/>
      <c r="BD236" s="799"/>
      <c r="BE236" s="799"/>
      <c r="BF236" s="799"/>
      <c r="BG236" s="799"/>
    </row>
    <row r="237">
      <c r="H237" s="799"/>
      <c r="I237" s="799"/>
      <c r="J237" s="799"/>
      <c r="K237" s="799"/>
      <c r="L237" s="799"/>
      <c r="M237" s="799"/>
      <c r="N237" s="799"/>
      <c r="O237" s="799"/>
      <c r="P237" s="799"/>
      <c r="Q237" s="799"/>
      <c r="R237" s="799"/>
      <c r="S237" s="799"/>
      <c r="T237" s="799"/>
      <c r="U237" s="799"/>
      <c r="V237" s="799"/>
      <c r="W237" s="799"/>
      <c r="X237" s="799"/>
      <c r="Y237" s="799"/>
      <c r="Z237" s="799"/>
      <c r="AA237" s="799"/>
      <c r="AB237" s="799"/>
      <c r="AC237" s="799"/>
      <c r="AD237" s="799"/>
      <c r="AE237" s="799"/>
      <c r="AF237" s="799"/>
      <c r="AG237" s="799"/>
      <c r="AH237" s="799"/>
      <c r="AI237" s="799"/>
      <c r="AJ237" s="799"/>
      <c r="AK237" s="799"/>
      <c r="AL237" s="799"/>
      <c r="AM237" s="799"/>
      <c r="AN237" s="799"/>
      <c r="AO237" s="799"/>
      <c r="AP237" s="799"/>
      <c r="AQ237" s="799"/>
      <c r="AR237" s="799"/>
      <c r="AS237" s="799"/>
      <c r="AT237" s="799"/>
      <c r="AU237" s="799"/>
      <c r="AV237" s="799"/>
      <c r="AW237" s="799"/>
      <c r="AX237" s="799"/>
      <c r="AY237" s="799"/>
      <c r="AZ237" s="799"/>
      <c r="BA237" s="799"/>
      <c r="BB237" s="799"/>
      <c r="BC237" s="799"/>
      <c r="BD237" s="799"/>
      <c r="BE237" s="799"/>
      <c r="BF237" s="799"/>
      <c r="BG237" s="799"/>
    </row>
    <row r="238">
      <c r="H238" s="799"/>
      <c r="I238" s="799"/>
      <c r="J238" s="799"/>
      <c r="K238" s="799"/>
      <c r="L238" s="799"/>
      <c r="M238" s="799"/>
      <c r="N238" s="799"/>
      <c r="O238" s="799"/>
      <c r="P238" s="799"/>
      <c r="Q238" s="799"/>
      <c r="R238" s="799"/>
      <c r="S238" s="799"/>
      <c r="T238" s="799"/>
      <c r="U238" s="799"/>
      <c r="V238" s="799"/>
      <c r="W238" s="799"/>
      <c r="X238" s="799"/>
      <c r="Y238" s="799"/>
      <c r="Z238" s="799"/>
      <c r="AA238" s="799"/>
      <c r="AB238" s="799"/>
      <c r="AC238" s="799"/>
      <c r="AD238" s="799"/>
      <c r="AE238" s="799"/>
      <c r="AF238" s="799"/>
      <c r="AG238" s="799"/>
      <c r="AH238" s="799"/>
      <c r="AI238" s="799"/>
      <c r="AJ238" s="799"/>
      <c r="AK238" s="799"/>
      <c r="AL238" s="799"/>
      <c r="AM238" s="799"/>
      <c r="AN238" s="799"/>
      <c r="AO238" s="799"/>
      <c r="AP238" s="799"/>
      <c r="AQ238" s="799"/>
      <c r="AR238" s="799"/>
      <c r="AS238" s="799"/>
      <c r="AT238" s="799"/>
      <c r="AU238" s="799"/>
      <c r="AV238" s="799"/>
      <c r="AW238" s="799"/>
      <c r="AX238" s="799"/>
      <c r="AY238" s="799"/>
      <c r="AZ238" s="799"/>
      <c r="BA238" s="799"/>
      <c r="BB238" s="799"/>
      <c r="BC238" s="799"/>
      <c r="BD238" s="799"/>
      <c r="BE238" s="799"/>
      <c r="BF238" s="799"/>
      <c r="BG238" s="799"/>
    </row>
    <row r="239">
      <c r="H239" s="799"/>
      <c r="I239" s="799"/>
      <c r="J239" s="799"/>
      <c r="K239" s="799"/>
      <c r="L239" s="799"/>
      <c r="M239" s="799"/>
      <c r="N239" s="799"/>
      <c r="O239" s="799"/>
      <c r="P239" s="799"/>
      <c r="Q239" s="799"/>
      <c r="R239" s="799"/>
      <c r="S239" s="799"/>
      <c r="T239" s="799"/>
      <c r="U239" s="799"/>
      <c r="V239" s="799"/>
      <c r="W239" s="799"/>
      <c r="X239" s="799"/>
      <c r="Y239" s="799"/>
      <c r="Z239" s="799"/>
      <c r="AA239" s="799"/>
      <c r="AB239" s="799"/>
      <c r="AC239" s="799"/>
      <c r="AD239" s="799"/>
      <c r="AE239" s="799"/>
      <c r="AF239" s="799"/>
      <c r="AG239" s="799"/>
      <c r="AH239" s="799"/>
      <c r="AI239" s="799"/>
      <c r="AJ239" s="799"/>
      <c r="AK239" s="799"/>
      <c r="AL239" s="799"/>
      <c r="AM239" s="799"/>
      <c r="AN239" s="799"/>
      <c r="AO239" s="799"/>
      <c r="AP239" s="799"/>
      <c r="AQ239" s="799"/>
      <c r="AR239" s="799"/>
      <c r="AS239" s="799"/>
      <c r="AT239" s="799"/>
      <c r="AU239" s="799"/>
      <c r="AV239" s="799"/>
      <c r="AW239" s="799"/>
      <c r="AX239" s="799"/>
      <c r="AY239" s="799"/>
      <c r="AZ239" s="799"/>
      <c r="BA239" s="799"/>
      <c r="BB239" s="799"/>
      <c r="BC239" s="799"/>
      <c r="BD239" s="799"/>
      <c r="BE239" s="799"/>
      <c r="BF239" s="799"/>
      <c r="BG239" s="799"/>
    </row>
    <row r="240">
      <c r="H240" s="799"/>
      <c r="I240" s="799"/>
      <c r="J240" s="799"/>
      <c r="K240" s="799"/>
      <c r="L240" s="799"/>
      <c r="M240" s="799"/>
      <c r="N240" s="799"/>
      <c r="O240" s="799"/>
      <c r="P240" s="799"/>
      <c r="Q240" s="799"/>
      <c r="R240" s="799"/>
      <c r="S240" s="799"/>
      <c r="T240" s="799"/>
      <c r="U240" s="799"/>
      <c r="V240" s="799"/>
      <c r="W240" s="799"/>
      <c r="X240" s="799"/>
      <c r="Y240" s="799"/>
      <c r="Z240" s="799"/>
      <c r="AA240" s="799"/>
      <c r="AB240" s="799"/>
      <c r="AC240" s="799"/>
      <c r="AD240" s="799"/>
      <c r="AE240" s="799"/>
      <c r="AF240" s="799"/>
      <c r="AG240" s="799"/>
      <c r="AH240" s="799"/>
      <c r="AI240" s="799"/>
      <c r="AJ240" s="799"/>
      <c r="AK240" s="799"/>
      <c r="AL240" s="799"/>
      <c r="AM240" s="799"/>
      <c r="AN240" s="799"/>
      <c r="AO240" s="799"/>
      <c r="AP240" s="799"/>
      <c r="AQ240" s="799"/>
      <c r="AR240" s="799"/>
      <c r="AS240" s="799"/>
      <c r="AT240" s="799"/>
      <c r="AU240" s="799"/>
      <c r="AV240" s="799"/>
      <c r="AW240" s="799"/>
      <c r="AX240" s="799"/>
      <c r="AY240" s="799"/>
      <c r="AZ240" s="799"/>
      <c r="BA240" s="799"/>
      <c r="BB240" s="799"/>
      <c r="BC240" s="799"/>
      <c r="BD240" s="799"/>
      <c r="BE240" s="799"/>
      <c r="BF240" s="799"/>
      <c r="BG240" s="799"/>
    </row>
    <row r="241">
      <c r="H241" s="799"/>
      <c r="I241" s="799"/>
      <c r="J241" s="799"/>
      <c r="K241" s="799"/>
      <c r="L241" s="799"/>
      <c r="M241" s="799"/>
      <c r="N241" s="799"/>
      <c r="O241" s="799"/>
      <c r="P241" s="799"/>
      <c r="Q241" s="799"/>
      <c r="R241" s="799"/>
      <c r="S241" s="799"/>
      <c r="T241" s="799"/>
      <c r="U241" s="799"/>
      <c r="V241" s="799"/>
      <c r="W241" s="799"/>
      <c r="X241" s="799"/>
      <c r="Y241" s="799"/>
      <c r="Z241" s="799"/>
      <c r="AA241" s="799"/>
      <c r="AB241" s="799"/>
      <c r="AC241" s="799"/>
      <c r="AD241" s="799"/>
      <c r="AE241" s="799"/>
      <c r="AF241" s="799"/>
      <c r="AG241" s="799"/>
      <c r="AH241" s="799"/>
      <c r="AI241" s="799"/>
      <c r="AJ241" s="799"/>
      <c r="AK241" s="799"/>
      <c r="AL241" s="799"/>
      <c r="AM241" s="799"/>
      <c r="AN241" s="799"/>
      <c r="AO241" s="799"/>
      <c r="AP241" s="799"/>
      <c r="AQ241" s="799"/>
      <c r="AR241" s="799"/>
      <c r="AS241" s="799"/>
      <c r="AT241" s="799"/>
      <c r="AU241" s="799"/>
      <c r="AV241" s="799"/>
      <c r="AW241" s="799"/>
      <c r="AX241" s="799"/>
      <c r="AY241" s="799"/>
      <c r="AZ241" s="799"/>
      <c r="BA241" s="799"/>
      <c r="BB241" s="799"/>
      <c r="BC241" s="799"/>
      <c r="BD241" s="799"/>
      <c r="BE241" s="799"/>
      <c r="BF241" s="799"/>
      <c r="BG241" s="799"/>
    </row>
    <row r="242">
      <c r="H242" s="799"/>
      <c r="I242" s="799"/>
      <c r="J242" s="799"/>
      <c r="K242" s="799"/>
      <c r="L242" s="799"/>
      <c r="M242" s="799"/>
      <c r="N242" s="799"/>
      <c r="O242" s="799"/>
      <c r="P242" s="799"/>
      <c r="Q242" s="799"/>
      <c r="R242" s="799"/>
      <c r="S242" s="799"/>
      <c r="T242" s="799"/>
      <c r="U242" s="799"/>
      <c r="V242" s="799"/>
      <c r="W242" s="799"/>
      <c r="X242" s="799"/>
      <c r="Y242" s="799"/>
      <c r="Z242" s="799"/>
      <c r="AA242" s="799"/>
      <c r="AB242" s="799"/>
      <c r="AC242" s="799"/>
      <c r="AD242" s="799"/>
      <c r="AE242" s="799"/>
      <c r="AF242" s="799"/>
      <c r="AG242" s="799"/>
      <c r="AH242" s="799"/>
      <c r="AI242" s="799"/>
      <c r="AJ242" s="799"/>
      <c r="AK242" s="799"/>
      <c r="AL242" s="799"/>
      <c r="AM242" s="799"/>
      <c r="AN242" s="799"/>
      <c r="AO242" s="799"/>
      <c r="AP242" s="799"/>
      <c r="AQ242" s="799"/>
      <c r="AR242" s="799"/>
      <c r="AS242" s="799"/>
      <c r="AT242" s="799"/>
      <c r="AU242" s="799"/>
      <c r="AV242" s="799"/>
      <c r="AW242" s="799"/>
      <c r="AX242" s="799"/>
      <c r="AY242" s="799"/>
      <c r="AZ242" s="799"/>
      <c r="BA242" s="799"/>
      <c r="BB242" s="799"/>
      <c r="BC242" s="799"/>
      <c r="BD242" s="799"/>
      <c r="BE242" s="799"/>
      <c r="BF242" s="799"/>
      <c r="BG242" s="799"/>
    </row>
    <row r="243">
      <c r="H243" s="799"/>
      <c r="I243" s="799"/>
      <c r="J243" s="799"/>
      <c r="K243" s="799"/>
      <c r="L243" s="799"/>
      <c r="M243" s="799"/>
      <c r="N243" s="799"/>
      <c r="O243" s="799"/>
      <c r="P243" s="799"/>
      <c r="Q243" s="799"/>
      <c r="R243" s="799"/>
      <c r="S243" s="799"/>
      <c r="T243" s="799"/>
      <c r="U243" s="799"/>
      <c r="V243" s="799"/>
      <c r="W243" s="799"/>
      <c r="X243" s="799"/>
      <c r="Y243" s="799"/>
      <c r="Z243" s="799"/>
      <c r="AA243" s="799"/>
      <c r="AB243" s="799"/>
      <c r="AC243" s="799"/>
      <c r="AD243" s="799"/>
      <c r="AE243" s="799"/>
      <c r="AF243" s="799"/>
      <c r="AG243" s="799"/>
      <c r="AH243" s="799"/>
      <c r="AI243" s="799"/>
      <c r="AJ243" s="799"/>
      <c r="AK243" s="799"/>
      <c r="AL243" s="799"/>
      <c r="AM243" s="799"/>
      <c r="AN243" s="799"/>
      <c r="AO243" s="799"/>
      <c r="AP243" s="799"/>
      <c r="AQ243" s="799"/>
      <c r="AR243" s="799"/>
      <c r="AS243" s="799"/>
      <c r="AT243" s="799"/>
      <c r="AU243" s="799"/>
      <c r="AV243" s="799"/>
      <c r="AW243" s="799"/>
      <c r="AX243" s="799"/>
      <c r="AY243" s="799"/>
      <c r="AZ243" s="799"/>
      <c r="BA243" s="799"/>
      <c r="BB243" s="799"/>
      <c r="BC243" s="799"/>
      <c r="BD243" s="799"/>
      <c r="BE243" s="799"/>
      <c r="BF243" s="799"/>
      <c r="BG243" s="799"/>
    </row>
    <row r="244">
      <c r="H244" s="799"/>
      <c r="I244" s="799"/>
      <c r="J244" s="799"/>
      <c r="K244" s="799"/>
      <c r="L244" s="799"/>
      <c r="M244" s="799"/>
      <c r="N244" s="799"/>
      <c r="O244" s="799"/>
      <c r="P244" s="799"/>
      <c r="Q244" s="799"/>
      <c r="R244" s="799"/>
      <c r="S244" s="799"/>
      <c r="T244" s="799"/>
      <c r="U244" s="799"/>
      <c r="V244" s="799"/>
      <c r="W244" s="799"/>
      <c r="X244" s="799"/>
      <c r="Y244" s="799"/>
      <c r="Z244" s="799"/>
      <c r="AA244" s="799"/>
      <c r="AB244" s="799"/>
      <c r="AC244" s="799"/>
      <c r="AD244" s="799"/>
      <c r="AE244" s="799"/>
      <c r="AF244" s="799"/>
      <c r="AG244" s="799"/>
      <c r="AH244" s="799"/>
      <c r="AI244" s="799"/>
      <c r="AJ244" s="799"/>
      <c r="AK244" s="799"/>
      <c r="AL244" s="799"/>
      <c r="AM244" s="799"/>
      <c r="AN244" s="799"/>
      <c r="AO244" s="799"/>
      <c r="AP244" s="799"/>
      <c r="AQ244" s="799"/>
      <c r="AR244" s="799"/>
      <c r="AS244" s="799"/>
      <c r="AT244" s="799"/>
      <c r="AU244" s="799"/>
      <c r="AV244" s="799"/>
      <c r="AW244" s="799"/>
      <c r="AX244" s="799"/>
      <c r="AY244" s="799"/>
      <c r="AZ244" s="799"/>
      <c r="BA244" s="799"/>
      <c r="BB244" s="799"/>
      <c r="BC244" s="799"/>
      <c r="BD244" s="799"/>
      <c r="BE244" s="799"/>
      <c r="BF244" s="799"/>
      <c r="BG244" s="799"/>
    </row>
    <row r="245">
      <c r="H245" s="799"/>
      <c r="I245" s="799"/>
      <c r="J245" s="799"/>
      <c r="K245" s="799"/>
      <c r="L245" s="799"/>
      <c r="M245" s="799"/>
      <c r="N245" s="799"/>
      <c r="O245" s="799"/>
      <c r="P245" s="799"/>
      <c r="Q245" s="799"/>
      <c r="R245" s="799"/>
      <c r="S245" s="799"/>
      <c r="T245" s="799"/>
      <c r="U245" s="799"/>
      <c r="V245" s="799"/>
      <c r="W245" s="799"/>
      <c r="X245" s="799"/>
      <c r="Y245" s="799"/>
      <c r="Z245" s="799"/>
      <c r="AA245" s="799"/>
      <c r="AB245" s="799"/>
      <c r="AC245" s="799"/>
      <c r="AD245" s="799"/>
      <c r="AE245" s="799"/>
      <c r="AF245" s="799"/>
      <c r="AG245" s="799"/>
      <c r="AH245" s="799"/>
      <c r="AI245" s="799"/>
      <c r="AJ245" s="799"/>
      <c r="AK245" s="799"/>
      <c r="AL245" s="799"/>
      <c r="AM245" s="799"/>
      <c r="AN245" s="799"/>
      <c r="AO245" s="799"/>
      <c r="AP245" s="799"/>
      <c r="AQ245" s="799"/>
      <c r="AR245" s="799"/>
      <c r="AS245" s="799"/>
      <c r="AT245" s="799"/>
      <c r="AU245" s="799"/>
      <c r="AV245" s="799"/>
      <c r="AW245" s="799"/>
      <c r="AX245" s="799"/>
      <c r="AY245" s="799"/>
      <c r="AZ245" s="799"/>
      <c r="BA245" s="799"/>
      <c r="BB245" s="799"/>
      <c r="BC245" s="799"/>
      <c r="BD245" s="799"/>
      <c r="BE245" s="799"/>
      <c r="BF245" s="799"/>
      <c r="BG245" s="799"/>
    </row>
    <row r="246">
      <c r="H246" s="799"/>
      <c r="I246" s="799"/>
      <c r="J246" s="799"/>
      <c r="K246" s="799"/>
      <c r="L246" s="799"/>
      <c r="M246" s="799"/>
      <c r="N246" s="799"/>
      <c r="O246" s="799"/>
      <c r="P246" s="799"/>
      <c r="Q246" s="799"/>
      <c r="R246" s="799"/>
      <c r="S246" s="799"/>
      <c r="T246" s="799"/>
      <c r="U246" s="799"/>
      <c r="V246" s="799"/>
      <c r="W246" s="799"/>
      <c r="X246" s="799"/>
      <c r="Y246" s="799"/>
      <c r="Z246" s="799"/>
      <c r="AA246" s="799"/>
      <c r="AB246" s="799"/>
      <c r="AC246" s="799"/>
      <c r="AD246" s="799"/>
      <c r="AE246" s="799"/>
      <c r="AF246" s="799"/>
      <c r="AG246" s="799"/>
      <c r="AH246" s="799"/>
      <c r="AI246" s="799"/>
      <c r="AJ246" s="799"/>
      <c r="AK246" s="799"/>
      <c r="AL246" s="799"/>
      <c r="AM246" s="799"/>
      <c r="AN246" s="799"/>
      <c r="AO246" s="799"/>
      <c r="AP246" s="799"/>
      <c r="AQ246" s="799"/>
      <c r="AR246" s="799"/>
      <c r="AS246" s="799"/>
      <c r="AT246" s="799"/>
      <c r="AU246" s="799"/>
      <c r="AV246" s="799"/>
      <c r="AW246" s="799"/>
      <c r="AX246" s="799"/>
      <c r="AY246" s="799"/>
      <c r="AZ246" s="799"/>
      <c r="BA246" s="799"/>
      <c r="BB246" s="799"/>
      <c r="BC246" s="799"/>
      <c r="BD246" s="799"/>
      <c r="BE246" s="799"/>
      <c r="BF246" s="799"/>
      <c r="BG246" s="799"/>
    </row>
    <row r="247">
      <c r="H247" s="799"/>
      <c r="I247" s="799"/>
      <c r="J247" s="799"/>
      <c r="K247" s="799"/>
      <c r="L247" s="799"/>
      <c r="M247" s="799"/>
      <c r="N247" s="799"/>
      <c r="O247" s="799"/>
      <c r="P247" s="799"/>
      <c r="Q247" s="799"/>
      <c r="R247" s="799"/>
      <c r="S247" s="799"/>
      <c r="T247" s="799"/>
      <c r="U247" s="799"/>
      <c r="V247" s="799"/>
      <c r="W247" s="799"/>
      <c r="X247" s="799"/>
      <c r="Y247" s="799"/>
      <c r="Z247" s="799"/>
      <c r="AA247" s="799"/>
      <c r="AB247" s="799"/>
      <c r="AC247" s="799"/>
      <c r="AD247" s="799"/>
      <c r="AE247" s="799"/>
      <c r="AF247" s="799"/>
      <c r="AG247" s="799"/>
      <c r="AH247" s="799"/>
      <c r="AI247" s="799"/>
      <c r="AJ247" s="799"/>
      <c r="AK247" s="799"/>
      <c r="AL247" s="799"/>
      <c r="AM247" s="799"/>
      <c r="AN247" s="799"/>
      <c r="AO247" s="799"/>
      <c r="AP247" s="799"/>
      <c r="AQ247" s="799"/>
      <c r="AR247" s="799"/>
      <c r="AS247" s="799"/>
      <c r="AT247" s="799"/>
      <c r="AU247" s="799"/>
      <c r="AV247" s="799"/>
      <c r="AW247" s="799"/>
      <c r="AX247" s="799"/>
      <c r="AY247" s="799"/>
      <c r="AZ247" s="799"/>
      <c r="BA247" s="799"/>
      <c r="BB247" s="799"/>
      <c r="BC247" s="799"/>
      <c r="BD247" s="799"/>
      <c r="BE247" s="799"/>
      <c r="BF247" s="799"/>
      <c r="BG247" s="799"/>
    </row>
    <row r="248">
      <c r="H248" s="799"/>
      <c r="I248" s="799"/>
      <c r="J248" s="799"/>
      <c r="K248" s="799"/>
      <c r="L248" s="799"/>
      <c r="M248" s="799"/>
      <c r="N248" s="799"/>
      <c r="O248" s="799"/>
      <c r="P248" s="799"/>
      <c r="Q248" s="799"/>
      <c r="R248" s="799"/>
      <c r="S248" s="799"/>
      <c r="T248" s="799"/>
      <c r="U248" s="799"/>
      <c r="V248" s="799"/>
      <c r="W248" s="799"/>
      <c r="X248" s="799"/>
      <c r="Y248" s="799"/>
      <c r="Z248" s="799"/>
      <c r="AA248" s="799"/>
      <c r="AB248" s="799"/>
      <c r="AC248" s="799"/>
      <c r="AD248" s="799"/>
      <c r="AE248" s="799"/>
      <c r="AF248" s="799"/>
      <c r="AG248" s="799"/>
      <c r="AH248" s="799"/>
      <c r="AI248" s="799"/>
      <c r="AJ248" s="799"/>
      <c r="AK248" s="799"/>
      <c r="AL248" s="799"/>
      <c r="AM248" s="799"/>
      <c r="AN248" s="799"/>
      <c r="AO248" s="799"/>
      <c r="AP248" s="799"/>
      <c r="AQ248" s="799"/>
      <c r="AR248" s="799"/>
      <c r="AS248" s="799"/>
      <c r="AT248" s="799"/>
      <c r="AU248" s="799"/>
      <c r="AV248" s="799"/>
      <c r="AW248" s="799"/>
      <c r="AX248" s="799"/>
      <c r="AY248" s="799"/>
      <c r="AZ248" s="799"/>
      <c r="BA248" s="799"/>
      <c r="BB248" s="799"/>
      <c r="BC248" s="799"/>
      <c r="BD248" s="799"/>
      <c r="BE248" s="799"/>
      <c r="BF248" s="799"/>
      <c r="BG248" s="799"/>
    </row>
    <row r="249">
      <c r="H249" s="799"/>
      <c r="I249" s="799"/>
      <c r="J249" s="799"/>
      <c r="K249" s="799"/>
      <c r="L249" s="799"/>
      <c r="M249" s="799"/>
      <c r="N249" s="799"/>
      <c r="O249" s="799"/>
      <c r="P249" s="799"/>
      <c r="Q249" s="799"/>
      <c r="R249" s="799"/>
      <c r="S249" s="799"/>
      <c r="T249" s="799"/>
      <c r="U249" s="799"/>
      <c r="V249" s="799"/>
      <c r="W249" s="799"/>
      <c r="X249" s="799"/>
      <c r="Y249" s="799"/>
      <c r="Z249" s="799"/>
      <c r="AA249" s="799"/>
      <c r="AB249" s="799"/>
      <c r="AC249" s="799"/>
      <c r="AD249" s="799"/>
      <c r="AE249" s="799"/>
      <c r="AF249" s="799"/>
      <c r="AG249" s="799"/>
      <c r="AH249" s="799"/>
      <c r="AI249" s="799"/>
      <c r="AJ249" s="799"/>
      <c r="AK249" s="799"/>
      <c r="AL249" s="799"/>
      <c r="AM249" s="799"/>
      <c r="AN249" s="799"/>
      <c r="AO249" s="799"/>
      <c r="AP249" s="799"/>
      <c r="AQ249" s="799"/>
      <c r="AR249" s="799"/>
      <c r="AS249" s="799"/>
      <c r="AT249" s="799"/>
      <c r="AU249" s="799"/>
      <c r="AV249" s="799"/>
      <c r="AW249" s="799"/>
      <c r="AX249" s="799"/>
      <c r="AY249" s="799"/>
      <c r="AZ249" s="799"/>
      <c r="BA249" s="799"/>
      <c r="BB249" s="799"/>
      <c r="BC249" s="799"/>
      <c r="BD249" s="799"/>
      <c r="BE249" s="799"/>
      <c r="BF249" s="799"/>
      <c r="BG249" s="799"/>
    </row>
    <row r="250">
      <c r="H250" s="799"/>
      <c r="I250" s="799"/>
      <c r="J250" s="799"/>
      <c r="K250" s="799"/>
      <c r="L250" s="799"/>
      <c r="M250" s="799"/>
      <c r="N250" s="799"/>
      <c r="O250" s="799"/>
      <c r="P250" s="799"/>
      <c r="Q250" s="799"/>
      <c r="R250" s="799"/>
      <c r="S250" s="799"/>
      <c r="T250" s="799"/>
      <c r="U250" s="799"/>
      <c r="V250" s="799"/>
      <c r="W250" s="799"/>
      <c r="X250" s="799"/>
      <c r="Y250" s="799"/>
      <c r="Z250" s="799"/>
      <c r="AA250" s="799"/>
      <c r="AB250" s="799"/>
      <c r="AC250" s="799"/>
      <c r="AD250" s="799"/>
      <c r="AE250" s="799"/>
      <c r="AF250" s="799"/>
      <c r="AG250" s="799"/>
      <c r="AH250" s="799"/>
      <c r="AI250" s="799"/>
      <c r="AJ250" s="799"/>
      <c r="AK250" s="799"/>
      <c r="AL250" s="799"/>
      <c r="AM250" s="799"/>
      <c r="AN250" s="799"/>
      <c r="AO250" s="799"/>
      <c r="AP250" s="799"/>
      <c r="AQ250" s="799"/>
      <c r="AR250" s="799"/>
      <c r="AS250" s="799"/>
      <c r="AT250" s="799"/>
      <c r="AU250" s="799"/>
      <c r="AV250" s="799"/>
      <c r="AW250" s="799"/>
      <c r="AX250" s="799"/>
      <c r="AY250" s="799"/>
      <c r="AZ250" s="799"/>
      <c r="BA250" s="799"/>
      <c r="BB250" s="799"/>
      <c r="BC250" s="799"/>
      <c r="BD250" s="799"/>
      <c r="BE250" s="799"/>
      <c r="BF250" s="799"/>
      <c r="BG250" s="799"/>
    </row>
    <row r="251">
      <c r="H251" s="799"/>
      <c r="I251" s="799"/>
      <c r="J251" s="799"/>
      <c r="K251" s="799"/>
      <c r="L251" s="799"/>
      <c r="M251" s="799"/>
      <c r="N251" s="799"/>
      <c r="O251" s="799"/>
      <c r="P251" s="799"/>
      <c r="Q251" s="799"/>
      <c r="R251" s="799"/>
      <c r="S251" s="799"/>
      <c r="T251" s="799"/>
      <c r="U251" s="799"/>
      <c r="V251" s="799"/>
      <c r="W251" s="799"/>
      <c r="X251" s="799"/>
      <c r="Y251" s="799"/>
      <c r="Z251" s="799"/>
      <c r="AA251" s="799"/>
      <c r="AB251" s="799"/>
      <c r="AC251" s="799"/>
      <c r="AD251" s="799"/>
      <c r="AE251" s="799"/>
      <c r="AF251" s="799"/>
      <c r="AG251" s="799"/>
      <c r="AH251" s="799"/>
      <c r="AI251" s="799"/>
      <c r="AJ251" s="799"/>
      <c r="AK251" s="799"/>
      <c r="AL251" s="799"/>
      <c r="AM251" s="799"/>
      <c r="AN251" s="799"/>
      <c r="AO251" s="799"/>
      <c r="AP251" s="799"/>
      <c r="AQ251" s="799"/>
      <c r="AR251" s="799"/>
      <c r="AS251" s="799"/>
      <c r="AT251" s="799"/>
      <c r="AU251" s="799"/>
      <c r="AV251" s="799"/>
      <c r="AW251" s="799"/>
      <c r="AX251" s="799"/>
      <c r="AY251" s="799"/>
      <c r="AZ251" s="799"/>
      <c r="BA251" s="799"/>
      <c r="BB251" s="799"/>
      <c r="BC251" s="799"/>
      <c r="BD251" s="799"/>
      <c r="BE251" s="799"/>
      <c r="BF251" s="799"/>
      <c r="BG251" s="799"/>
    </row>
    <row r="252">
      <c r="H252" s="799"/>
      <c r="I252" s="799"/>
      <c r="J252" s="799"/>
      <c r="K252" s="799"/>
      <c r="L252" s="799"/>
      <c r="M252" s="799"/>
      <c r="N252" s="799"/>
      <c r="O252" s="799"/>
      <c r="P252" s="799"/>
      <c r="Q252" s="799"/>
      <c r="R252" s="799"/>
      <c r="S252" s="799"/>
      <c r="T252" s="799"/>
      <c r="U252" s="799"/>
      <c r="V252" s="799"/>
      <c r="W252" s="799"/>
      <c r="X252" s="799"/>
      <c r="Y252" s="799"/>
      <c r="Z252" s="799"/>
      <c r="AA252" s="799"/>
      <c r="AB252" s="799"/>
      <c r="AC252" s="799"/>
      <c r="AD252" s="799"/>
      <c r="AE252" s="799"/>
      <c r="AF252" s="799"/>
      <c r="AG252" s="799"/>
      <c r="AH252" s="799"/>
      <c r="AI252" s="799"/>
      <c r="AJ252" s="799"/>
      <c r="AK252" s="799"/>
      <c r="AL252" s="799"/>
      <c r="AM252" s="799"/>
      <c r="AN252" s="799"/>
      <c r="AO252" s="799"/>
      <c r="AP252" s="799"/>
      <c r="AQ252" s="799"/>
      <c r="AR252" s="799"/>
      <c r="AS252" s="799"/>
      <c r="AT252" s="799"/>
      <c r="AU252" s="799"/>
      <c r="AV252" s="799"/>
      <c r="AW252" s="799"/>
      <c r="AX252" s="799"/>
      <c r="AY252" s="799"/>
      <c r="AZ252" s="799"/>
      <c r="BA252" s="799"/>
      <c r="BB252" s="799"/>
      <c r="BC252" s="799"/>
      <c r="BD252" s="799"/>
      <c r="BE252" s="799"/>
      <c r="BF252" s="799"/>
      <c r="BG252" s="799"/>
    </row>
    <row r="253">
      <c r="H253" s="799"/>
      <c r="I253" s="799"/>
      <c r="J253" s="799"/>
      <c r="K253" s="799"/>
      <c r="L253" s="799"/>
      <c r="M253" s="799"/>
      <c r="N253" s="799"/>
      <c r="O253" s="799"/>
      <c r="P253" s="799"/>
      <c r="Q253" s="799"/>
      <c r="R253" s="799"/>
      <c r="S253" s="799"/>
      <c r="T253" s="799"/>
      <c r="U253" s="799"/>
      <c r="V253" s="799"/>
      <c r="W253" s="799"/>
      <c r="X253" s="799"/>
      <c r="Y253" s="799"/>
      <c r="Z253" s="799"/>
      <c r="AA253" s="799"/>
      <c r="AB253" s="799"/>
      <c r="AC253" s="799"/>
      <c r="AD253" s="799"/>
      <c r="AE253" s="799"/>
      <c r="AF253" s="799"/>
      <c r="AG253" s="799"/>
      <c r="AH253" s="799"/>
      <c r="AI253" s="799"/>
      <c r="AJ253" s="799"/>
      <c r="AK253" s="799"/>
      <c r="AL253" s="799"/>
      <c r="AM253" s="799"/>
      <c r="AN253" s="799"/>
      <c r="AO253" s="799"/>
      <c r="AP253" s="799"/>
      <c r="AQ253" s="799"/>
      <c r="AR253" s="799"/>
      <c r="AS253" s="799"/>
      <c r="AT253" s="799"/>
      <c r="AU253" s="799"/>
      <c r="AV253" s="799"/>
      <c r="AW253" s="799"/>
      <c r="AX253" s="799"/>
      <c r="AY253" s="799"/>
      <c r="AZ253" s="799"/>
      <c r="BA253" s="799"/>
      <c r="BB253" s="799"/>
      <c r="BC253" s="799"/>
      <c r="BD253" s="799"/>
      <c r="BE253" s="799"/>
      <c r="BF253" s="799"/>
      <c r="BG253" s="799"/>
    </row>
    <row r="254">
      <c r="H254" s="799"/>
      <c r="I254" s="799"/>
      <c r="J254" s="799"/>
      <c r="K254" s="799"/>
      <c r="L254" s="799"/>
      <c r="M254" s="799"/>
      <c r="N254" s="799"/>
      <c r="O254" s="799"/>
      <c r="P254" s="799"/>
      <c r="Q254" s="799"/>
      <c r="R254" s="799"/>
      <c r="S254" s="799"/>
      <c r="T254" s="799"/>
      <c r="U254" s="799"/>
      <c r="V254" s="799"/>
      <c r="W254" s="799"/>
      <c r="X254" s="799"/>
      <c r="Y254" s="799"/>
      <c r="Z254" s="799"/>
      <c r="AA254" s="799"/>
      <c r="AB254" s="799"/>
      <c r="AC254" s="799"/>
      <c r="AD254" s="799"/>
      <c r="AE254" s="799"/>
      <c r="AF254" s="799"/>
      <c r="AG254" s="799"/>
      <c r="AH254" s="799"/>
      <c r="AI254" s="799"/>
      <c r="AJ254" s="799"/>
      <c r="AK254" s="799"/>
      <c r="AL254" s="799"/>
      <c r="AM254" s="799"/>
      <c r="AN254" s="799"/>
      <c r="AO254" s="799"/>
      <c r="AP254" s="799"/>
      <c r="AQ254" s="799"/>
      <c r="AR254" s="799"/>
      <c r="AS254" s="799"/>
      <c r="AT254" s="799"/>
      <c r="AU254" s="799"/>
      <c r="AV254" s="799"/>
      <c r="AW254" s="799"/>
      <c r="AX254" s="799"/>
      <c r="AY254" s="799"/>
      <c r="AZ254" s="799"/>
      <c r="BA254" s="799"/>
      <c r="BB254" s="799"/>
      <c r="BC254" s="799"/>
      <c r="BD254" s="799"/>
      <c r="BE254" s="799"/>
      <c r="BF254" s="799"/>
      <c r="BG254" s="799"/>
    </row>
    <row r="255">
      <c r="H255" s="799"/>
      <c r="I255" s="799"/>
      <c r="J255" s="799"/>
      <c r="K255" s="799"/>
      <c r="L255" s="799"/>
      <c r="M255" s="799"/>
      <c r="N255" s="799"/>
      <c r="O255" s="799"/>
      <c r="P255" s="799"/>
      <c r="Q255" s="799"/>
      <c r="R255" s="799"/>
      <c r="S255" s="799"/>
      <c r="T255" s="799"/>
      <c r="U255" s="799"/>
      <c r="V255" s="799"/>
      <c r="W255" s="799"/>
      <c r="X255" s="799"/>
      <c r="Y255" s="799"/>
      <c r="Z255" s="799"/>
      <c r="AA255" s="799"/>
      <c r="AB255" s="799"/>
      <c r="AC255" s="799"/>
      <c r="AD255" s="799"/>
      <c r="AE255" s="799"/>
      <c r="AF255" s="799"/>
      <c r="AG255" s="799"/>
      <c r="AH255" s="799"/>
      <c r="AI255" s="799"/>
      <c r="AJ255" s="799"/>
      <c r="AK255" s="799"/>
      <c r="AL255" s="799"/>
      <c r="AM255" s="799"/>
      <c r="AN255" s="799"/>
      <c r="AO255" s="799"/>
      <c r="AP255" s="799"/>
      <c r="AQ255" s="799"/>
      <c r="AR255" s="799"/>
      <c r="AS255" s="799"/>
      <c r="AT255" s="799"/>
      <c r="AU255" s="799"/>
      <c r="AV255" s="799"/>
      <c r="AW255" s="799"/>
      <c r="AX255" s="799"/>
      <c r="AY255" s="799"/>
      <c r="AZ255" s="799"/>
      <c r="BA255" s="799"/>
      <c r="BB255" s="799"/>
      <c r="BC255" s="799"/>
      <c r="BD255" s="799"/>
      <c r="BE255" s="799"/>
      <c r="BF255" s="799"/>
      <c r="BG255" s="799"/>
    </row>
    <row r="256">
      <c r="H256" s="799"/>
      <c r="I256" s="799"/>
      <c r="J256" s="799"/>
      <c r="K256" s="799"/>
      <c r="L256" s="799"/>
      <c r="M256" s="799"/>
      <c r="N256" s="799"/>
      <c r="O256" s="799"/>
      <c r="P256" s="799"/>
      <c r="Q256" s="799"/>
      <c r="R256" s="799"/>
      <c r="S256" s="799"/>
      <c r="T256" s="799"/>
      <c r="U256" s="799"/>
      <c r="V256" s="799"/>
      <c r="W256" s="799"/>
      <c r="X256" s="799"/>
      <c r="Y256" s="799"/>
      <c r="Z256" s="799"/>
      <c r="AA256" s="799"/>
      <c r="AB256" s="799"/>
      <c r="AC256" s="799"/>
      <c r="AD256" s="799"/>
      <c r="AE256" s="799"/>
      <c r="AF256" s="799"/>
      <c r="AG256" s="799"/>
      <c r="AH256" s="799"/>
      <c r="AI256" s="799"/>
      <c r="AJ256" s="799"/>
      <c r="AK256" s="799"/>
      <c r="AL256" s="799"/>
      <c r="AM256" s="799"/>
      <c r="AN256" s="799"/>
      <c r="AO256" s="799"/>
      <c r="AP256" s="799"/>
      <c r="AQ256" s="799"/>
      <c r="AR256" s="799"/>
      <c r="AS256" s="799"/>
      <c r="AT256" s="799"/>
      <c r="AU256" s="799"/>
      <c r="AV256" s="799"/>
      <c r="AW256" s="799"/>
      <c r="AX256" s="799"/>
      <c r="AY256" s="799"/>
      <c r="AZ256" s="799"/>
      <c r="BA256" s="799"/>
      <c r="BB256" s="799"/>
      <c r="BC256" s="799"/>
      <c r="BD256" s="799"/>
      <c r="BE256" s="799"/>
      <c r="BF256" s="799"/>
      <c r="BG256" s="799"/>
    </row>
    <row r="257">
      <c r="H257" s="799"/>
      <c r="I257" s="799"/>
      <c r="J257" s="799"/>
      <c r="K257" s="799"/>
      <c r="L257" s="799"/>
      <c r="M257" s="799"/>
      <c r="N257" s="799"/>
      <c r="O257" s="799"/>
      <c r="P257" s="799"/>
      <c r="Q257" s="799"/>
      <c r="R257" s="799"/>
      <c r="S257" s="799"/>
      <c r="T257" s="799"/>
      <c r="U257" s="799"/>
      <c r="V257" s="799"/>
      <c r="W257" s="799"/>
      <c r="X257" s="799"/>
      <c r="Y257" s="799"/>
      <c r="Z257" s="799"/>
      <c r="AA257" s="799"/>
      <c r="AB257" s="799"/>
      <c r="AC257" s="799"/>
      <c r="AD257" s="799"/>
      <c r="AE257" s="799"/>
      <c r="AF257" s="799"/>
      <c r="AG257" s="799"/>
      <c r="AH257" s="799"/>
      <c r="AI257" s="799"/>
      <c r="AJ257" s="799"/>
      <c r="AK257" s="799"/>
      <c r="AL257" s="799"/>
      <c r="AM257" s="799"/>
      <c r="AN257" s="799"/>
      <c r="AO257" s="799"/>
      <c r="AP257" s="799"/>
      <c r="AQ257" s="799"/>
      <c r="AR257" s="799"/>
      <c r="AS257" s="799"/>
      <c r="AT257" s="799"/>
      <c r="AU257" s="799"/>
      <c r="AV257" s="799"/>
      <c r="AW257" s="799"/>
      <c r="AX257" s="799"/>
      <c r="AY257" s="799"/>
      <c r="AZ257" s="799"/>
      <c r="BA257" s="799"/>
      <c r="BB257" s="799"/>
      <c r="BC257" s="799"/>
      <c r="BD257" s="799"/>
      <c r="BE257" s="799"/>
      <c r="BF257" s="799"/>
      <c r="BG257" s="799"/>
    </row>
    <row r="258">
      <c r="H258" s="799"/>
      <c r="I258" s="799"/>
      <c r="J258" s="799"/>
      <c r="K258" s="799"/>
      <c r="L258" s="799"/>
      <c r="M258" s="799"/>
      <c r="N258" s="799"/>
      <c r="O258" s="799"/>
      <c r="P258" s="799"/>
      <c r="Q258" s="799"/>
      <c r="R258" s="799"/>
      <c r="S258" s="799"/>
      <c r="T258" s="799"/>
      <c r="U258" s="799"/>
      <c r="V258" s="799"/>
      <c r="W258" s="799"/>
      <c r="X258" s="799"/>
      <c r="Y258" s="799"/>
      <c r="Z258" s="799"/>
      <c r="AA258" s="799"/>
      <c r="AB258" s="799"/>
      <c r="AC258" s="799"/>
      <c r="AD258" s="799"/>
      <c r="AE258" s="799"/>
      <c r="AF258" s="799"/>
      <c r="AG258" s="799"/>
      <c r="AH258" s="799"/>
      <c r="AI258" s="799"/>
      <c r="AJ258" s="799"/>
      <c r="AK258" s="799"/>
      <c r="AL258" s="799"/>
      <c r="AM258" s="799"/>
      <c r="AN258" s="799"/>
      <c r="AO258" s="799"/>
      <c r="AP258" s="799"/>
      <c r="AQ258" s="799"/>
      <c r="AR258" s="799"/>
      <c r="AS258" s="799"/>
      <c r="AT258" s="799"/>
      <c r="AU258" s="799"/>
      <c r="AV258" s="799"/>
      <c r="AW258" s="799"/>
      <c r="AX258" s="799"/>
      <c r="AY258" s="799"/>
      <c r="AZ258" s="799"/>
      <c r="BA258" s="799"/>
      <c r="BB258" s="799"/>
      <c r="BC258" s="799"/>
      <c r="BD258" s="799"/>
      <c r="BE258" s="799"/>
      <c r="BF258" s="799"/>
      <c r="BG258" s="799"/>
    </row>
    <row r="259">
      <c r="H259" s="799"/>
      <c r="I259" s="799"/>
      <c r="J259" s="799"/>
      <c r="K259" s="799"/>
      <c r="L259" s="799"/>
      <c r="M259" s="799"/>
      <c r="N259" s="799"/>
      <c r="O259" s="799"/>
      <c r="P259" s="799"/>
      <c r="Q259" s="799"/>
      <c r="R259" s="799"/>
      <c r="S259" s="799"/>
      <c r="T259" s="799"/>
      <c r="U259" s="799"/>
      <c r="V259" s="799"/>
      <c r="W259" s="799"/>
      <c r="X259" s="799"/>
      <c r="Y259" s="799"/>
      <c r="Z259" s="799"/>
      <c r="AA259" s="799"/>
      <c r="AB259" s="799"/>
      <c r="AC259" s="799"/>
      <c r="AD259" s="799"/>
      <c r="AE259" s="799"/>
      <c r="AF259" s="799"/>
      <c r="AG259" s="799"/>
      <c r="AH259" s="799"/>
      <c r="AI259" s="799"/>
      <c r="AJ259" s="799"/>
      <c r="AK259" s="799"/>
      <c r="AL259" s="799"/>
      <c r="AM259" s="799"/>
      <c r="AN259" s="799"/>
      <c r="AO259" s="799"/>
      <c r="AP259" s="799"/>
      <c r="AQ259" s="799"/>
      <c r="AR259" s="799"/>
      <c r="AS259" s="799"/>
      <c r="AT259" s="799"/>
      <c r="AU259" s="799"/>
      <c r="AV259" s="799"/>
      <c r="AW259" s="799"/>
      <c r="AX259" s="799"/>
      <c r="AY259" s="799"/>
      <c r="AZ259" s="799"/>
      <c r="BA259" s="799"/>
      <c r="BB259" s="799"/>
      <c r="BC259" s="799"/>
      <c r="BD259" s="799"/>
      <c r="BE259" s="799"/>
      <c r="BF259" s="799"/>
      <c r="BG259" s="799"/>
    </row>
    <row r="260">
      <c r="H260" s="799"/>
      <c r="I260" s="799"/>
      <c r="J260" s="799"/>
      <c r="K260" s="799"/>
      <c r="L260" s="799"/>
      <c r="M260" s="799"/>
      <c r="N260" s="799"/>
      <c r="O260" s="799"/>
      <c r="P260" s="799"/>
      <c r="Q260" s="799"/>
      <c r="R260" s="799"/>
      <c r="S260" s="799"/>
      <c r="T260" s="799"/>
      <c r="U260" s="799"/>
      <c r="V260" s="799"/>
      <c r="W260" s="799"/>
      <c r="X260" s="799"/>
      <c r="Y260" s="799"/>
      <c r="Z260" s="799"/>
      <c r="AA260" s="799"/>
      <c r="AB260" s="799"/>
      <c r="AC260" s="799"/>
      <c r="AD260" s="799"/>
      <c r="AE260" s="799"/>
      <c r="AF260" s="799"/>
      <c r="AG260" s="799"/>
      <c r="AH260" s="799"/>
      <c r="AI260" s="799"/>
      <c r="AJ260" s="799"/>
      <c r="AK260" s="799"/>
      <c r="AL260" s="799"/>
      <c r="AM260" s="799"/>
      <c r="AN260" s="799"/>
      <c r="AO260" s="799"/>
      <c r="AP260" s="799"/>
      <c r="AQ260" s="799"/>
      <c r="AR260" s="799"/>
      <c r="AS260" s="799"/>
      <c r="AT260" s="799"/>
      <c r="AU260" s="799"/>
      <c r="AV260" s="799"/>
      <c r="AW260" s="799"/>
      <c r="AX260" s="799"/>
      <c r="AY260" s="799"/>
      <c r="AZ260" s="799"/>
      <c r="BA260" s="799"/>
      <c r="BB260" s="799"/>
      <c r="BC260" s="799"/>
      <c r="BD260" s="799"/>
      <c r="BE260" s="799"/>
      <c r="BF260" s="799"/>
      <c r="BG260" s="799"/>
    </row>
    <row r="261">
      <c r="H261" s="799"/>
      <c r="I261" s="799"/>
      <c r="J261" s="799"/>
      <c r="K261" s="799"/>
      <c r="L261" s="799"/>
      <c r="M261" s="799"/>
      <c r="N261" s="799"/>
      <c r="O261" s="799"/>
      <c r="P261" s="799"/>
      <c r="Q261" s="799"/>
      <c r="R261" s="799"/>
      <c r="S261" s="799"/>
      <c r="T261" s="799"/>
      <c r="U261" s="799"/>
      <c r="V261" s="799"/>
      <c r="W261" s="799"/>
      <c r="X261" s="799"/>
      <c r="Y261" s="799"/>
      <c r="Z261" s="799"/>
      <c r="AA261" s="799"/>
      <c r="AB261" s="799"/>
      <c r="AC261" s="799"/>
      <c r="AD261" s="799"/>
      <c r="AE261" s="799"/>
      <c r="AF261" s="799"/>
      <c r="AG261" s="799"/>
      <c r="AH261" s="799"/>
      <c r="AI261" s="799"/>
      <c r="AJ261" s="799"/>
      <c r="AK261" s="799"/>
      <c r="AL261" s="799"/>
      <c r="AM261" s="799"/>
      <c r="AN261" s="799"/>
      <c r="AO261" s="799"/>
      <c r="AP261" s="799"/>
      <c r="AQ261" s="799"/>
      <c r="AR261" s="799"/>
      <c r="AS261" s="799"/>
      <c r="AT261" s="799"/>
      <c r="AU261" s="799"/>
      <c r="AV261" s="799"/>
      <c r="AW261" s="799"/>
      <c r="AX261" s="799"/>
      <c r="AY261" s="799"/>
      <c r="AZ261" s="799"/>
      <c r="BA261" s="799"/>
      <c r="BB261" s="799"/>
      <c r="BC261" s="799"/>
      <c r="BD261" s="799"/>
      <c r="BE261" s="799"/>
      <c r="BF261" s="799"/>
      <c r="BG261" s="799"/>
    </row>
    <row r="262">
      <c r="H262" s="799"/>
      <c r="I262" s="799"/>
      <c r="J262" s="799"/>
      <c r="K262" s="799"/>
      <c r="L262" s="799"/>
      <c r="M262" s="799"/>
      <c r="N262" s="799"/>
      <c r="O262" s="799"/>
      <c r="P262" s="799"/>
      <c r="Q262" s="799"/>
      <c r="R262" s="799"/>
      <c r="S262" s="799"/>
      <c r="T262" s="799"/>
      <c r="U262" s="799"/>
      <c r="V262" s="799"/>
      <c r="W262" s="799"/>
      <c r="X262" s="799"/>
      <c r="Y262" s="799"/>
      <c r="Z262" s="799"/>
      <c r="AA262" s="799"/>
      <c r="AB262" s="799"/>
      <c r="AC262" s="799"/>
      <c r="AD262" s="799"/>
      <c r="AE262" s="799"/>
      <c r="AF262" s="799"/>
      <c r="AG262" s="799"/>
      <c r="AH262" s="799"/>
      <c r="AI262" s="799"/>
      <c r="AJ262" s="799"/>
      <c r="AK262" s="799"/>
      <c r="AL262" s="799"/>
      <c r="AM262" s="799"/>
      <c r="AN262" s="799"/>
      <c r="AO262" s="799"/>
      <c r="AP262" s="799"/>
      <c r="AQ262" s="799"/>
      <c r="AR262" s="799"/>
      <c r="AS262" s="799"/>
      <c r="AT262" s="799"/>
      <c r="AU262" s="799"/>
      <c r="AV262" s="799"/>
      <c r="AW262" s="799"/>
      <c r="AX262" s="799"/>
      <c r="AY262" s="799"/>
      <c r="AZ262" s="799"/>
      <c r="BA262" s="799"/>
      <c r="BB262" s="799"/>
      <c r="BC262" s="799"/>
      <c r="BD262" s="799"/>
      <c r="BE262" s="799"/>
      <c r="BF262" s="799"/>
      <c r="BG262" s="799"/>
    </row>
    <row r="263">
      <c r="H263" s="799"/>
      <c r="I263" s="799"/>
      <c r="J263" s="799"/>
      <c r="K263" s="799"/>
      <c r="L263" s="799"/>
      <c r="M263" s="799"/>
      <c r="N263" s="799"/>
      <c r="O263" s="799"/>
      <c r="P263" s="799"/>
      <c r="Q263" s="799"/>
      <c r="R263" s="799"/>
      <c r="S263" s="799"/>
      <c r="T263" s="799"/>
      <c r="U263" s="799"/>
      <c r="V263" s="799"/>
      <c r="W263" s="799"/>
      <c r="X263" s="799"/>
      <c r="Y263" s="799"/>
      <c r="Z263" s="799"/>
      <c r="AA263" s="799"/>
      <c r="AB263" s="799"/>
      <c r="AC263" s="799"/>
      <c r="AD263" s="799"/>
      <c r="AE263" s="799"/>
      <c r="AF263" s="799"/>
      <c r="AG263" s="799"/>
      <c r="AH263" s="799"/>
      <c r="AI263" s="799"/>
      <c r="AJ263" s="799"/>
      <c r="AK263" s="799"/>
      <c r="AL263" s="799"/>
      <c r="AM263" s="799"/>
      <c r="AN263" s="799"/>
      <c r="AO263" s="799"/>
      <c r="AP263" s="799"/>
      <c r="AQ263" s="799"/>
      <c r="AR263" s="799"/>
      <c r="AS263" s="799"/>
      <c r="AT263" s="799"/>
      <c r="AU263" s="799"/>
      <c r="AV263" s="799"/>
      <c r="AW263" s="799"/>
      <c r="AX263" s="799"/>
      <c r="AY263" s="799"/>
      <c r="AZ263" s="799"/>
      <c r="BA263" s="799"/>
      <c r="BB263" s="799"/>
      <c r="BC263" s="799"/>
      <c r="BD263" s="799"/>
      <c r="BE263" s="799"/>
      <c r="BF263" s="799"/>
      <c r="BG263" s="799"/>
    </row>
    <row r="264">
      <c r="H264" s="799"/>
      <c r="I264" s="799"/>
      <c r="J264" s="799"/>
      <c r="K264" s="799"/>
      <c r="L264" s="799"/>
      <c r="M264" s="799"/>
      <c r="N264" s="799"/>
      <c r="O264" s="799"/>
      <c r="P264" s="799"/>
      <c r="Q264" s="799"/>
      <c r="R264" s="799"/>
      <c r="S264" s="799"/>
      <c r="T264" s="799"/>
      <c r="U264" s="799"/>
      <c r="V264" s="799"/>
      <c r="W264" s="799"/>
      <c r="X264" s="799"/>
      <c r="Y264" s="799"/>
      <c r="Z264" s="799"/>
      <c r="AA264" s="799"/>
      <c r="AB264" s="799"/>
      <c r="AC264" s="799"/>
      <c r="AD264" s="799"/>
      <c r="AE264" s="799"/>
      <c r="AF264" s="799"/>
      <c r="AG264" s="799"/>
      <c r="AH264" s="799"/>
      <c r="AI264" s="799"/>
      <c r="AJ264" s="799"/>
      <c r="AK264" s="799"/>
      <c r="AL264" s="799"/>
      <c r="AM264" s="799"/>
      <c r="AN264" s="799"/>
      <c r="AO264" s="799"/>
      <c r="AP264" s="799"/>
      <c r="AQ264" s="799"/>
      <c r="AR264" s="799"/>
      <c r="AS264" s="799"/>
      <c r="AT264" s="799"/>
      <c r="AU264" s="799"/>
      <c r="AV264" s="799"/>
      <c r="AW264" s="799"/>
      <c r="AX264" s="799"/>
      <c r="AY264" s="799"/>
      <c r="AZ264" s="799"/>
      <c r="BA264" s="799"/>
      <c r="BB264" s="799"/>
      <c r="BC264" s="799"/>
      <c r="BD264" s="799"/>
      <c r="BE264" s="799"/>
      <c r="BF264" s="799"/>
      <c r="BG264" s="799"/>
    </row>
    <row r="265">
      <c r="H265" s="799"/>
      <c r="I265" s="799"/>
      <c r="J265" s="799"/>
      <c r="K265" s="799"/>
      <c r="L265" s="799"/>
      <c r="M265" s="799"/>
      <c r="N265" s="799"/>
      <c r="O265" s="799"/>
      <c r="P265" s="799"/>
      <c r="Q265" s="799"/>
      <c r="R265" s="799"/>
      <c r="S265" s="799"/>
      <c r="T265" s="799"/>
      <c r="U265" s="799"/>
      <c r="V265" s="799"/>
      <c r="W265" s="799"/>
      <c r="X265" s="799"/>
      <c r="Y265" s="799"/>
      <c r="Z265" s="799"/>
      <c r="AA265" s="799"/>
      <c r="AB265" s="799"/>
      <c r="AC265" s="799"/>
      <c r="AD265" s="799"/>
      <c r="AE265" s="799"/>
      <c r="AF265" s="799"/>
      <c r="AG265" s="799"/>
      <c r="AH265" s="799"/>
      <c r="AI265" s="799"/>
      <c r="AJ265" s="799"/>
      <c r="AK265" s="799"/>
      <c r="AL265" s="799"/>
      <c r="AM265" s="799"/>
      <c r="AN265" s="799"/>
      <c r="AO265" s="799"/>
      <c r="AP265" s="799"/>
      <c r="AQ265" s="799"/>
      <c r="AR265" s="799"/>
      <c r="AS265" s="799"/>
      <c r="AT265" s="799"/>
      <c r="AU265" s="799"/>
      <c r="AV265" s="799"/>
      <c r="AW265" s="799"/>
      <c r="AX265" s="799"/>
      <c r="AY265" s="799"/>
      <c r="AZ265" s="799"/>
      <c r="BA265" s="799"/>
      <c r="BB265" s="799"/>
      <c r="BC265" s="799"/>
      <c r="BD265" s="799"/>
      <c r="BE265" s="799"/>
      <c r="BF265" s="799"/>
      <c r="BG265" s="799"/>
    </row>
    <row r="266">
      <c r="H266" s="799"/>
      <c r="I266" s="799"/>
      <c r="J266" s="799"/>
      <c r="K266" s="799"/>
      <c r="L266" s="799"/>
      <c r="M266" s="799"/>
      <c r="N266" s="799"/>
      <c r="O266" s="799"/>
      <c r="P266" s="799"/>
      <c r="Q266" s="799"/>
      <c r="R266" s="799"/>
      <c r="S266" s="799"/>
      <c r="T266" s="799"/>
      <c r="U266" s="799"/>
      <c r="V266" s="799"/>
      <c r="W266" s="799"/>
      <c r="X266" s="799"/>
      <c r="Y266" s="799"/>
      <c r="Z266" s="799"/>
      <c r="AA266" s="799"/>
      <c r="AB266" s="799"/>
      <c r="AC266" s="799"/>
      <c r="AD266" s="799"/>
      <c r="AE266" s="799"/>
      <c r="AF266" s="799"/>
      <c r="AG266" s="799"/>
      <c r="AH266" s="799"/>
      <c r="AI266" s="799"/>
      <c r="AJ266" s="799"/>
      <c r="AK266" s="799"/>
      <c r="AL266" s="799"/>
      <c r="AM266" s="799"/>
      <c r="AN266" s="799"/>
      <c r="AO266" s="799"/>
      <c r="AP266" s="799"/>
      <c r="AQ266" s="799"/>
      <c r="AR266" s="799"/>
      <c r="AS266" s="799"/>
      <c r="AT266" s="799"/>
      <c r="AU266" s="799"/>
      <c r="AV266" s="799"/>
      <c r="AW266" s="799"/>
      <c r="AX266" s="799"/>
      <c r="AY266" s="799"/>
      <c r="AZ266" s="799"/>
      <c r="BA266" s="799"/>
      <c r="BB266" s="799"/>
      <c r="BC266" s="799"/>
      <c r="BD266" s="799"/>
      <c r="BE266" s="799"/>
      <c r="BF266" s="799"/>
      <c r="BG266" s="799"/>
    </row>
    <row r="267">
      <c r="H267" s="799"/>
      <c r="I267" s="799"/>
      <c r="J267" s="799"/>
      <c r="K267" s="799"/>
      <c r="L267" s="799"/>
      <c r="M267" s="799"/>
      <c r="N267" s="799"/>
      <c r="O267" s="799"/>
      <c r="P267" s="799"/>
      <c r="Q267" s="799"/>
      <c r="R267" s="799"/>
      <c r="S267" s="799"/>
      <c r="T267" s="799"/>
      <c r="U267" s="799"/>
      <c r="V267" s="799"/>
      <c r="W267" s="799"/>
      <c r="X267" s="799"/>
      <c r="Y267" s="799"/>
      <c r="Z267" s="799"/>
      <c r="AA267" s="799"/>
      <c r="AB267" s="799"/>
      <c r="AC267" s="799"/>
      <c r="AD267" s="799"/>
      <c r="AE267" s="799"/>
      <c r="AF267" s="799"/>
      <c r="AG267" s="799"/>
      <c r="AH267" s="799"/>
      <c r="AI267" s="799"/>
      <c r="AJ267" s="799"/>
      <c r="AK267" s="799"/>
      <c r="AL267" s="799"/>
      <c r="AM267" s="799"/>
      <c r="AN267" s="799"/>
      <c r="AO267" s="799"/>
      <c r="AP267" s="799"/>
      <c r="AQ267" s="799"/>
      <c r="AR267" s="799"/>
      <c r="AS267" s="799"/>
      <c r="AT267" s="799"/>
      <c r="AU267" s="799"/>
      <c r="AV267" s="799"/>
      <c r="AW267" s="799"/>
      <c r="AX267" s="799"/>
      <c r="AY267" s="799"/>
      <c r="AZ267" s="799"/>
      <c r="BA267" s="799"/>
      <c r="BB267" s="799"/>
      <c r="BC267" s="799"/>
      <c r="BD267" s="799"/>
      <c r="BE267" s="799"/>
      <c r="BF267" s="799"/>
      <c r="BG267" s="799"/>
    </row>
    <row r="268">
      <c r="H268" s="799"/>
      <c r="I268" s="799"/>
      <c r="J268" s="799"/>
      <c r="K268" s="799"/>
      <c r="L268" s="799"/>
      <c r="M268" s="799"/>
      <c r="N268" s="799"/>
      <c r="O268" s="799"/>
      <c r="P268" s="799"/>
      <c r="Q268" s="799"/>
      <c r="R268" s="799"/>
      <c r="S268" s="799"/>
      <c r="T268" s="799"/>
      <c r="U268" s="799"/>
      <c r="V268" s="799"/>
      <c r="W268" s="799"/>
      <c r="X268" s="799"/>
      <c r="Y268" s="799"/>
      <c r="Z268" s="799"/>
      <c r="AA268" s="799"/>
      <c r="AB268" s="799"/>
      <c r="AC268" s="799"/>
      <c r="AD268" s="799"/>
      <c r="AE268" s="799"/>
      <c r="AF268" s="799"/>
      <c r="AG268" s="799"/>
      <c r="AH268" s="799"/>
      <c r="AI268" s="799"/>
      <c r="AJ268" s="799"/>
      <c r="AK268" s="799"/>
      <c r="AL268" s="799"/>
      <c r="AM268" s="799"/>
      <c r="AN268" s="799"/>
      <c r="AO268" s="799"/>
      <c r="AP268" s="799"/>
      <c r="AQ268" s="799"/>
      <c r="AR268" s="799"/>
      <c r="AS268" s="799"/>
      <c r="AT268" s="799"/>
      <c r="AU268" s="799"/>
      <c r="AV268" s="799"/>
      <c r="AW268" s="799"/>
      <c r="AX268" s="799"/>
      <c r="AY268" s="799"/>
      <c r="AZ268" s="799"/>
      <c r="BA268" s="799"/>
      <c r="BB268" s="799"/>
      <c r="BC268" s="799"/>
      <c r="BD268" s="799"/>
      <c r="BE268" s="799"/>
      <c r="BF268" s="799"/>
      <c r="BG268" s="799"/>
    </row>
    <row r="269">
      <c r="H269" s="799"/>
      <c r="I269" s="799"/>
      <c r="J269" s="799"/>
      <c r="K269" s="799"/>
      <c r="L269" s="799"/>
      <c r="M269" s="799"/>
      <c r="N269" s="799"/>
      <c r="O269" s="799"/>
      <c r="P269" s="799"/>
      <c r="Q269" s="799"/>
      <c r="R269" s="799"/>
      <c r="S269" s="799"/>
      <c r="T269" s="799"/>
      <c r="U269" s="799"/>
      <c r="V269" s="799"/>
      <c r="W269" s="799"/>
      <c r="X269" s="799"/>
      <c r="Y269" s="799"/>
      <c r="Z269" s="799"/>
      <c r="AA269" s="799"/>
      <c r="AB269" s="799"/>
      <c r="AC269" s="799"/>
      <c r="AD269" s="799"/>
      <c r="AE269" s="799"/>
      <c r="AF269" s="799"/>
      <c r="AG269" s="799"/>
      <c r="AH269" s="799"/>
      <c r="AI269" s="799"/>
      <c r="AJ269" s="799"/>
      <c r="AK269" s="799"/>
      <c r="AL269" s="799"/>
      <c r="AM269" s="799"/>
      <c r="AN269" s="799"/>
      <c r="AO269" s="799"/>
      <c r="AP269" s="799"/>
      <c r="AQ269" s="799"/>
      <c r="AR269" s="799"/>
      <c r="AS269" s="799"/>
      <c r="AT269" s="799"/>
      <c r="AU269" s="799"/>
      <c r="AV269" s="799"/>
      <c r="AW269" s="799"/>
      <c r="AX269" s="799"/>
      <c r="AY269" s="799"/>
      <c r="AZ269" s="799"/>
      <c r="BA269" s="799"/>
      <c r="BB269" s="799"/>
      <c r="BC269" s="799"/>
      <c r="BD269" s="799"/>
      <c r="BE269" s="799"/>
      <c r="BF269" s="799"/>
      <c r="BG269" s="799"/>
    </row>
    <row r="270">
      <c r="H270" s="799"/>
      <c r="I270" s="799"/>
      <c r="J270" s="799"/>
      <c r="K270" s="799"/>
      <c r="L270" s="799"/>
      <c r="M270" s="799"/>
      <c r="N270" s="799"/>
      <c r="O270" s="799"/>
      <c r="P270" s="799"/>
      <c r="Q270" s="799"/>
      <c r="R270" s="799"/>
      <c r="S270" s="799"/>
      <c r="T270" s="799"/>
      <c r="U270" s="799"/>
      <c r="V270" s="799"/>
      <c r="W270" s="799"/>
      <c r="X270" s="799"/>
      <c r="Y270" s="799"/>
      <c r="Z270" s="799"/>
      <c r="AA270" s="799"/>
      <c r="AB270" s="799"/>
      <c r="AC270" s="799"/>
      <c r="AD270" s="799"/>
      <c r="AE270" s="799"/>
      <c r="AF270" s="799"/>
      <c r="AG270" s="799"/>
      <c r="AH270" s="799"/>
      <c r="AI270" s="799"/>
      <c r="AJ270" s="799"/>
      <c r="AK270" s="799"/>
      <c r="AL270" s="799"/>
      <c r="AM270" s="799"/>
      <c r="AN270" s="799"/>
      <c r="AO270" s="799"/>
      <c r="AP270" s="799"/>
      <c r="AQ270" s="799"/>
      <c r="AR270" s="799"/>
      <c r="AS270" s="799"/>
      <c r="AT270" s="799"/>
      <c r="AU270" s="799"/>
      <c r="AV270" s="799"/>
      <c r="AW270" s="799"/>
      <c r="AX270" s="799"/>
      <c r="AY270" s="799"/>
      <c r="AZ270" s="799"/>
      <c r="BA270" s="799"/>
      <c r="BB270" s="799"/>
      <c r="BC270" s="799"/>
      <c r="BD270" s="799"/>
      <c r="BE270" s="799"/>
      <c r="BF270" s="799"/>
      <c r="BG270" s="799"/>
    </row>
    <row r="271">
      <c r="H271" s="799"/>
      <c r="I271" s="799"/>
      <c r="J271" s="799"/>
      <c r="K271" s="799"/>
      <c r="L271" s="799"/>
      <c r="M271" s="799"/>
      <c r="N271" s="799"/>
      <c r="O271" s="799"/>
      <c r="P271" s="799"/>
      <c r="Q271" s="799"/>
      <c r="R271" s="799"/>
      <c r="S271" s="799"/>
      <c r="T271" s="799"/>
      <c r="U271" s="799"/>
      <c r="V271" s="799"/>
      <c r="W271" s="799"/>
      <c r="X271" s="799"/>
      <c r="Y271" s="799"/>
      <c r="Z271" s="799"/>
      <c r="AA271" s="799"/>
      <c r="AB271" s="799"/>
      <c r="AC271" s="799"/>
      <c r="AD271" s="799"/>
      <c r="AE271" s="799"/>
      <c r="AF271" s="799"/>
      <c r="AG271" s="799"/>
      <c r="AH271" s="799"/>
      <c r="AI271" s="799"/>
      <c r="AJ271" s="799"/>
      <c r="AK271" s="799"/>
      <c r="AL271" s="799"/>
      <c r="AM271" s="799"/>
      <c r="AN271" s="799"/>
      <c r="AO271" s="799"/>
      <c r="AP271" s="799"/>
      <c r="AQ271" s="799"/>
      <c r="AR271" s="799"/>
      <c r="AS271" s="799"/>
      <c r="AT271" s="799"/>
      <c r="AU271" s="799"/>
      <c r="AV271" s="799"/>
      <c r="AW271" s="799"/>
      <c r="AX271" s="799"/>
      <c r="AY271" s="799"/>
      <c r="AZ271" s="799"/>
      <c r="BA271" s="799"/>
      <c r="BB271" s="799"/>
      <c r="BC271" s="799"/>
      <c r="BD271" s="799"/>
      <c r="BE271" s="799"/>
      <c r="BF271" s="799"/>
      <c r="BG271" s="799"/>
    </row>
    <row r="272">
      <c r="H272" s="799"/>
      <c r="I272" s="799"/>
      <c r="J272" s="799"/>
      <c r="K272" s="799"/>
      <c r="L272" s="799"/>
      <c r="M272" s="799"/>
      <c r="N272" s="799"/>
      <c r="O272" s="799"/>
      <c r="P272" s="799"/>
      <c r="Q272" s="799"/>
      <c r="R272" s="799"/>
      <c r="S272" s="799"/>
      <c r="T272" s="799"/>
      <c r="U272" s="799"/>
      <c r="V272" s="799"/>
      <c r="W272" s="799"/>
      <c r="X272" s="799"/>
      <c r="Y272" s="799"/>
      <c r="Z272" s="799"/>
      <c r="AA272" s="799"/>
      <c r="AB272" s="799"/>
      <c r="AC272" s="799"/>
      <c r="AD272" s="799"/>
      <c r="AE272" s="799"/>
      <c r="AF272" s="799"/>
      <c r="AG272" s="799"/>
      <c r="AH272" s="799"/>
      <c r="AI272" s="799"/>
      <c r="AJ272" s="799"/>
      <c r="AK272" s="799"/>
      <c r="AL272" s="799"/>
      <c r="AM272" s="799"/>
      <c r="AN272" s="799"/>
      <c r="AO272" s="799"/>
      <c r="AP272" s="799"/>
      <c r="AQ272" s="799"/>
      <c r="AR272" s="799"/>
      <c r="AS272" s="799"/>
      <c r="AT272" s="799"/>
      <c r="AU272" s="799"/>
      <c r="AV272" s="799"/>
      <c r="AW272" s="799"/>
      <c r="AX272" s="799"/>
      <c r="AY272" s="799"/>
      <c r="AZ272" s="799"/>
      <c r="BA272" s="799"/>
      <c r="BB272" s="799"/>
      <c r="BC272" s="799"/>
      <c r="BD272" s="799"/>
      <c r="BE272" s="799"/>
      <c r="BF272" s="799"/>
      <c r="BG272" s="799"/>
    </row>
    <row r="273">
      <c r="H273" s="799"/>
      <c r="I273" s="799"/>
      <c r="J273" s="799"/>
      <c r="K273" s="799"/>
      <c r="L273" s="799"/>
      <c r="M273" s="799"/>
      <c r="N273" s="799"/>
      <c r="O273" s="799"/>
      <c r="P273" s="799"/>
      <c r="Q273" s="799"/>
      <c r="R273" s="799"/>
      <c r="S273" s="799"/>
      <c r="T273" s="799"/>
      <c r="U273" s="799"/>
      <c r="V273" s="799"/>
      <c r="W273" s="799"/>
      <c r="X273" s="799"/>
      <c r="Y273" s="799"/>
      <c r="Z273" s="799"/>
      <c r="AA273" s="799"/>
      <c r="AB273" s="799"/>
      <c r="AC273" s="799"/>
      <c r="AD273" s="799"/>
      <c r="AE273" s="799"/>
      <c r="AF273" s="799"/>
      <c r="AG273" s="799"/>
      <c r="AH273" s="799"/>
      <c r="AI273" s="799"/>
      <c r="AJ273" s="799"/>
      <c r="AK273" s="799"/>
      <c r="AL273" s="799"/>
      <c r="AM273" s="799"/>
      <c r="AN273" s="799"/>
      <c r="AO273" s="799"/>
      <c r="AP273" s="799"/>
      <c r="AQ273" s="799"/>
      <c r="AR273" s="799"/>
      <c r="AS273" s="799"/>
      <c r="AT273" s="799"/>
      <c r="AU273" s="799"/>
      <c r="AV273" s="799"/>
      <c r="AW273" s="799"/>
      <c r="AX273" s="799"/>
      <c r="AY273" s="799"/>
      <c r="AZ273" s="799"/>
      <c r="BA273" s="799"/>
      <c r="BB273" s="799"/>
      <c r="BC273" s="799"/>
      <c r="BD273" s="799"/>
      <c r="BE273" s="799"/>
      <c r="BF273" s="799"/>
      <c r="BG273" s="799"/>
    </row>
    <row r="274">
      <c r="H274" s="799"/>
      <c r="I274" s="799"/>
      <c r="J274" s="799"/>
      <c r="K274" s="799"/>
      <c r="L274" s="799"/>
      <c r="M274" s="799"/>
      <c r="N274" s="799"/>
      <c r="O274" s="799"/>
      <c r="P274" s="799"/>
      <c r="Q274" s="799"/>
      <c r="R274" s="799"/>
      <c r="S274" s="799"/>
      <c r="T274" s="799"/>
      <c r="U274" s="799"/>
      <c r="V274" s="799"/>
      <c r="W274" s="799"/>
      <c r="X274" s="799"/>
      <c r="Y274" s="799"/>
      <c r="Z274" s="799"/>
      <c r="AA274" s="799"/>
      <c r="AB274" s="799"/>
      <c r="AC274" s="799"/>
      <c r="AD274" s="799"/>
      <c r="AE274" s="799"/>
      <c r="AF274" s="799"/>
      <c r="AG274" s="799"/>
      <c r="AH274" s="799"/>
      <c r="AI274" s="799"/>
      <c r="AJ274" s="799"/>
      <c r="AK274" s="799"/>
      <c r="AL274" s="799"/>
      <c r="AM274" s="799"/>
      <c r="AN274" s="799"/>
      <c r="AO274" s="799"/>
      <c r="AP274" s="799"/>
      <c r="AQ274" s="799"/>
      <c r="AR274" s="799"/>
      <c r="AS274" s="799"/>
      <c r="AT274" s="799"/>
      <c r="AU274" s="799"/>
      <c r="AV274" s="799"/>
      <c r="AW274" s="799"/>
      <c r="AX274" s="799"/>
      <c r="AY274" s="799"/>
      <c r="AZ274" s="799"/>
      <c r="BA274" s="799"/>
      <c r="BB274" s="799"/>
      <c r="BC274" s="799"/>
      <c r="BD274" s="799"/>
      <c r="BE274" s="799"/>
      <c r="BF274" s="799"/>
      <c r="BG274" s="799"/>
    </row>
    <row r="275">
      <c r="H275" s="799"/>
      <c r="I275" s="799"/>
      <c r="J275" s="799"/>
      <c r="K275" s="799"/>
      <c r="L275" s="799"/>
      <c r="M275" s="799"/>
      <c r="N275" s="799"/>
      <c r="O275" s="799"/>
      <c r="P275" s="799"/>
      <c r="Q275" s="799"/>
      <c r="R275" s="799"/>
      <c r="S275" s="799"/>
      <c r="T275" s="799"/>
      <c r="U275" s="799"/>
      <c r="V275" s="799"/>
      <c r="W275" s="799"/>
      <c r="X275" s="799"/>
      <c r="Y275" s="799"/>
      <c r="Z275" s="799"/>
      <c r="AA275" s="799"/>
      <c r="AB275" s="799"/>
      <c r="AC275" s="799"/>
      <c r="AD275" s="799"/>
      <c r="AE275" s="799"/>
      <c r="AF275" s="799"/>
      <c r="AG275" s="799"/>
      <c r="AH275" s="799"/>
      <c r="AI275" s="799"/>
      <c r="AJ275" s="799"/>
      <c r="AK275" s="799"/>
      <c r="AL275" s="799"/>
      <c r="AM275" s="799"/>
      <c r="AN275" s="799"/>
      <c r="AO275" s="799"/>
      <c r="AP275" s="799"/>
      <c r="AQ275" s="799"/>
      <c r="AR275" s="799"/>
      <c r="AS275" s="799"/>
      <c r="AT275" s="799"/>
      <c r="AU275" s="799"/>
      <c r="AV275" s="799"/>
      <c r="AW275" s="799"/>
      <c r="AX275" s="799"/>
      <c r="AY275" s="799"/>
      <c r="AZ275" s="799"/>
      <c r="BA275" s="799"/>
      <c r="BB275" s="799"/>
      <c r="BC275" s="799"/>
      <c r="BD275" s="799"/>
      <c r="BE275" s="799"/>
      <c r="BF275" s="799"/>
      <c r="BG275" s="799"/>
    </row>
    <row r="276">
      <c r="H276" s="799"/>
      <c r="I276" s="799"/>
      <c r="J276" s="799"/>
      <c r="K276" s="799"/>
      <c r="L276" s="799"/>
      <c r="M276" s="799"/>
      <c r="N276" s="799"/>
      <c r="O276" s="799"/>
      <c r="P276" s="799"/>
      <c r="Q276" s="799"/>
      <c r="R276" s="799"/>
      <c r="S276" s="799"/>
      <c r="T276" s="799"/>
      <c r="U276" s="799"/>
      <c r="V276" s="799"/>
      <c r="W276" s="799"/>
      <c r="X276" s="799"/>
      <c r="Y276" s="799"/>
      <c r="Z276" s="799"/>
      <c r="AA276" s="799"/>
      <c r="AB276" s="799"/>
      <c r="AC276" s="799"/>
      <c r="AD276" s="799"/>
      <c r="AE276" s="799"/>
      <c r="AF276" s="799"/>
      <c r="AG276" s="799"/>
      <c r="AH276" s="799"/>
      <c r="AI276" s="799"/>
      <c r="AJ276" s="799"/>
      <c r="AK276" s="799"/>
      <c r="AL276" s="799"/>
      <c r="AM276" s="799"/>
      <c r="AN276" s="799"/>
      <c r="AO276" s="799"/>
      <c r="AP276" s="799"/>
      <c r="AQ276" s="799"/>
      <c r="AR276" s="799"/>
      <c r="AS276" s="799"/>
      <c r="AT276" s="799"/>
      <c r="AU276" s="799"/>
      <c r="AV276" s="799"/>
      <c r="AW276" s="799"/>
      <c r="AX276" s="799"/>
      <c r="AY276" s="799"/>
      <c r="AZ276" s="799"/>
      <c r="BA276" s="799"/>
      <c r="BB276" s="799"/>
      <c r="BC276" s="799"/>
      <c r="BD276" s="799"/>
      <c r="BE276" s="799"/>
      <c r="BF276" s="799"/>
      <c r="BG276" s="799"/>
    </row>
    <row r="277">
      <c r="H277" s="799"/>
      <c r="I277" s="799"/>
      <c r="J277" s="799"/>
      <c r="K277" s="799"/>
      <c r="L277" s="799"/>
      <c r="M277" s="799"/>
      <c r="N277" s="799"/>
      <c r="O277" s="799"/>
      <c r="P277" s="799"/>
      <c r="Q277" s="799"/>
      <c r="R277" s="799"/>
      <c r="S277" s="799"/>
      <c r="T277" s="799"/>
      <c r="U277" s="799"/>
      <c r="V277" s="799"/>
      <c r="W277" s="799"/>
      <c r="X277" s="799"/>
      <c r="Y277" s="799"/>
      <c r="Z277" s="799"/>
      <c r="AA277" s="799"/>
      <c r="AB277" s="799"/>
      <c r="AC277" s="799"/>
      <c r="AD277" s="799"/>
      <c r="AE277" s="799"/>
      <c r="AF277" s="799"/>
      <c r="AG277" s="799"/>
      <c r="AH277" s="799"/>
      <c r="AI277" s="799"/>
      <c r="AJ277" s="799"/>
      <c r="AK277" s="799"/>
      <c r="AL277" s="799"/>
      <c r="AM277" s="799"/>
      <c r="AN277" s="799"/>
      <c r="AO277" s="799"/>
      <c r="AP277" s="799"/>
      <c r="AQ277" s="799"/>
      <c r="AR277" s="799"/>
      <c r="AS277" s="799"/>
      <c r="AT277" s="799"/>
      <c r="AU277" s="799"/>
      <c r="AV277" s="799"/>
      <c r="AW277" s="799"/>
      <c r="AX277" s="799"/>
      <c r="AY277" s="799"/>
      <c r="AZ277" s="799"/>
      <c r="BA277" s="799"/>
      <c r="BB277" s="799"/>
      <c r="BC277" s="799"/>
      <c r="BD277" s="799"/>
      <c r="BE277" s="799"/>
      <c r="BF277" s="799"/>
      <c r="BG277" s="799"/>
    </row>
    <row r="278">
      <c r="H278" s="799"/>
      <c r="I278" s="799"/>
      <c r="J278" s="799"/>
      <c r="K278" s="799"/>
      <c r="L278" s="799"/>
      <c r="M278" s="799"/>
      <c r="N278" s="799"/>
      <c r="O278" s="799"/>
      <c r="P278" s="799"/>
      <c r="Q278" s="799"/>
      <c r="R278" s="799"/>
      <c r="S278" s="799"/>
      <c r="T278" s="799"/>
      <c r="U278" s="799"/>
      <c r="V278" s="799"/>
      <c r="W278" s="799"/>
      <c r="X278" s="799"/>
      <c r="Y278" s="799"/>
      <c r="Z278" s="799"/>
      <c r="AA278" s="799"/>
      <c r="AB278" s="799"/>
      <c r="AC278" s="799"/>
      <c r="AD278" s="799"/>
      <c r="AE278" s="799"/>
      <c r="AF278" s="799"/>
      <c r="AG278" s="799"/>
      <c r="AH278" s="799"/>
      <c r="AI278" s="799"/>
      <c r="AJ278" s="799"/>
      <c r="AK278" s="799"/>
      <c r="AL278" s="799"/>
      <c r="AM278" s="799"/>
      <c r="AN278" s="799"/>
      <c r="AO278" s="799"/>
      <c r="AP278" s="799"/>
      <c r="AQ278" s="799"/>
      <c r="AR278" s="799"/>
      <c r="AS278" s="799"/>
      <c r="AT278" s="799"/>
      <c r="AU278" s="799"/>
      <c r="AV278" s="799"/>
      <c r="AW278" s="799"/>
      <c r="AX278" s="799"/>
      <c r="AY278" s="799"/>
      <c r="AZ278" s="799"/>
      <c r="BA278" s="799"/>
      <c r="BB278" s="799"/>
      <c r="BC278" s="799"/>
      <c r="BD278" s="799"/>
      <c r="BE278" s="799"/>
      <c r="BF278" s="799"/>
      <c r="BG278" s="799"/>
    </row>
    <row r="279">
      <c r="H279" s="799"/>
      <c r="I279" s="799"/>
      <c r="J279" s="799"/>
      <c r="K279" s="799"/>
      <c r="L279" s="799"/>
      <c r="M279" s="799"/>
      <c r="N279" s="799"/>
      <c r="O279" s="799"/>
      <c r="P279" s="799"/>
      <c r="Q279" s="799"/>
      <c r="R279" s="799"/>
      <c r="S279" s="799"/>
      <c r="T279" s="799"/>
      <c r="U279" s="799"/>
      <c r="V279" s="799"/>
      <c r="W279" s="799"/>
      <c r="X279" s="799"/>
      <c r="Y279" s="799"/>
      <c r="Z279" s="799"/>
      <c r="AA279" s="799"/>
      <c r="AB279" s="799"/>
      <c r="AC279" s="799"/>
      <c r="AD279" s="799"/>
      <c r="AE279" s="799"/>
      <c r="AF279" s="799"/>
      <c r="AG279" s="799"/>
      <c r="AH279" s="799"/>
      <c r="AI279" s="799"/>
      <c r="AJ279" s="799"/>
      <c r="AK279" s="799"/>
      <c r="AL279" s="799"/>
      <c r="AM279" s="799"/>
      <c r="AN279" s="799"/>
      <c r="AO279" s="799"/>
      <c r="AP279" s="799"/>
      <c r="AQ279" s="799"/>
      <c r="AR279" s="799"/>
      <c r="AS279" s="799"/>
      <c r="AT279" s="799"/>
      <c r="AU279" s="799"/>
      <c r="AV279" s="799"/>
      <c r="AW279" s="799"/>
      <c r="AX279" s="799"/>
      <c r="AY279" s="799"/>
      <c r="AZ279" s="799"/>
      <c r="BA279" s="799"/>
      <c r="BB279" s="799"/>
      <c r="BC279" s="799"/>
      <c r="BD279" s="799"/>
      <c r="BE279" s="799"/>
      <c r="BF279" s="799"/>
      <c r="BG279" s="799"/>
    </row>
    <row r="280">
      <c r="H280" s="799"/>
      <c r="I280" s="799"/>
      <c r="J280" s="799"/>
      <c r="K280" s="799"/>
      <c r="L280" s="799"/>
      <c r="M280" s="799"/>
      <c r="N280" s="799"/>
      <c r="O280" s="799"/>
      <c r="P280" s="799"/>
      <c r="Q280" s="799"/>
      <c r="R280" s="799"/>
      <c r="S280" s="799"/>
      <c r="T280" s="799"/>
      <c r="U280" s="799"/>
      <c r="V280" s="799"/>
      <c r="W280" s="799"/>
      <c r="X280" s="799"/>
      <c r="Y280" s="799"/>
      <c r="Z280" s="799"/>
      <c r="AA280" s="799"/>
      <c r="AB280" s="799"/>
      <c r="AC280" s="799"/>
      <c r="AD280" s="799"/>
      <c r="AE280" s="799"/>
      <c r="AF280" s="799"/>
      <c r="AG280" s="799"/>
      <c r="AH280" s="799"/>
      <c r="AI280" s="799"/>
      <c r="AJ280" s="799"/>
      <c r="AK280" s="799"/>
      <c r="AL280" s="799"/>
      <c r="AM280" s="799"/>
      <c r="AN280" s="799"/>
      <c r="AO280" s="799"/>
      <c r="AP280" s="799"/>
      <c r="AQ280" s="799"/>
      <c r="AR280" s="799"/>
      <c r="AS280" s="799"/>
      <c r="AT280" s="799"/>
      <c r="AU280" s="799"/>
      <c r="AV280" s="799"/>
      <c r="AW280" s="799"/>
      <c r="AX280" s="799"/>
      <c r="AY280" s="799"/>
      <c r="AZ280" s="799"/>
      <c r="BA280" s="799"/>
      <c r="BB280" s="799"/>
      <c r="BC280" s="799"/>
      <c r="BD280" s="799"/>
      <c r="BE280" s="799"/>
      <c r="BF280" s="799"/>
      <c r="BG280" s="799"/>
    </row>
    <row r="281">
      <c r="H281" s="799"/>
      <c r="I281" s="799"/>
      <c r="J281" s="799"/>
      <c r="K281" s="799"/>
      <c r="L281" s="799"/>
      <c r="M281" s="799"/>
      <c r="N281" s="799"/>
      <c r="O281" s="799"/>
      <c r="P281" s="799"/>
      <c r="Q281" s="799"/>
      <c r="R281" s="799"/>
      <c r="S281" s="799"/>
      <c r="T281" s="799"/>
      <c r="U281" s="799"/>
      <c r="V281" s="799"/>
      <c r="W281" s="799"/>
      <c r="X281" s="799"/>
      <c r="Y281" s="799"/>
      <c r="Z281" s="799"/>
      <c r="AA281" s="799"/>
      <c r="AB281" s="799"/>
      <c r="AC281" s="799"/>
      <c r="AD281" s="799"/>
      <c r="AE281" s="799"/>
      <c r="AF281" s="799"/>
      <c r="AG281" s="799"/>
      <c r="AH281" s="799"/>
      <c r="AI281" s="799"/>
      <c r="AJ281" s="799"/>
      <c r="AK281" s="799"/>
      <c r="AL281" s="799"/>
      <c r="AM281" s="799"/>
      <c r="AN281" s="799"/>
      <c r="AO281" s="799"/>
      <c r="AP281" s="799"/>
      <c r="AQ281" s="799"/>
      <c r="AR281" s="799"/>
      <c r="AS281" s="799"/>
      <c r="AT281" s="799"/>
      <c r="AU281" s="799"/>
      <c r="AV281" s="799"/>
      <c r="AW281" s="799"/>
      <c r="AX281" s="799"/>
      <c r="AY281" s="799"/>
      <c r="AZ281" s="799"/>
      <c r="BA281" s="799"/>
      <c r="BB281" s="799"/>
      <c r="BC281" s="799"/>
      <c r="BD281" s="799"/>
      <c r="BE281" s="799"/>
      <c r="BF281" s="799"/>
      <c r="BG281" s="799"/>
    </row>
    <row r="282">
      <c r="H282" s="799"/>
      <c r="I282" s="799"/>
      <c r="J282" s="799"/>
      <c r="K282" s="799"/>
      <c r="L282" s="799"/>
      <c r="M282" s="799"/>
      <c r="N282" s="799"/>
      <c r="O282" s="799"/>
      <c r="P282" s="799"/>
      <c r="Q282" s="799"/>
      <c r="R282" s="799"/>
      <c r="S282" s="799"/>
      <c r="T282" s="799"/>
      <c r="U282" s="799"/>
      <c r="V282" s="799"/>
      <c r="W282" s="799"/>
      <c r="X282" s="799"/>
      <c r="Y282" s="799"/>
      <c r="Z282" s="799"/>
      <c r="AA282" s="799"/>
      <c r="AB282" s="799"/>
      <c r="AC282" s="799"/>
      <c r="AD282" s="799"/>
      <c r="AE282" s="799"/>
      <c r="AF282" s="799"/>
      <c r="AG282" s="799"/>
      <c r="AH282" s="799"/>
      <c r="AI282" s="799"/>
      <c r="AJ282" s="799"/>
      <c r="AK282" s="799"/>
      <c r="AL282" s="799"/>
      <c r="AM282" s="799"/>
      <c r="AN282" s="799"/>
      <c r="AO282" s="799"/>
      <c r="AP282" s="799"/>
      <c r="AQ282" s="799"/>
      <c r="AR282" s="799"/>
      <c r="AS282" s="799"/>
      <c r="AT282" s="799"/>
      <c r="AU282" s="799"/>
      <c r="AV282" s="799"/>
      <c r="AW282" s="799"/>
      <c r="AX282" s="799"/>
      <c r="AY282" s="799"/>
      <c r="AZ282" s="799"/>
      <c r="BA282" s="799"/>
      <c r="BB282" s="799"/>
      <c r="BC282" s="799"/>
      <c r="BD282" s="799"/>
      <c r="BE282" s="799"/>
      <c r="BF282" s="799"/>
      <c r="BG282" s="799"/>
    </row>
    <row r="283">
      <c r="H283" s="799"/>
      <c r="I283" s="799"/>
      <c r="J283" s="799"/>
      <c r="K283" s="799"/>
      <c r="L283" s="799"/>
      <c r="M283" s="799"/>
      <c r="N283" s="799"/>
      <c r="O283" s="799"/>
      <c r="P283" s="799"/>
      <c r="Q283" s="799"/>
      <c r="R283" s="799"/>
      <c r="S283" s="799"/>
      <c r="T283" s="799"/>
      <c r="U283" s="799"/>
      <c r="V283" s="799"/>
      <c r="W283" s="799"/>
      <c r="X283" s="799"/>
      <c r="Y283" s="799"/>
      <c r="Z283" s="799"/>
      <c r="AA283" s="799"/>
      <c r="AB283" s="799"/>
      <c r="AC283" s="799"/>
      <c r="AD283" s="799"/>
      <c r="AE283" s="799"/>
      <c r="AF283" s="799"/>
      <c r="AG283" s="799"/>
      <c r="AH283" s="799"/>
      <c r="AI283" s="799"/>
      <c r="AJ283" s="799"/>
      <c r="AK283" s="799"/>
      <c r="AL283" s="799"/>
      <c r="AM283" s="799"/>
      <c r="AN283" s="799"/>
      <c r="AO283" s="799"/>
      <c r="AP283" s="799"/>
      <c r="AQ283" s="799"/>
      <c r="AR283" s="799"/>
      <c r="AS283" s="799"/>
      <c r="AT283" s="799"/>
      <c r="AU283" s="799"/>
      <c r="AV283" s="799"/>
      <c r="AW283" s="799"/>
      <c r="AX283" s="799"/>
      <c r="AY283" s="799"/>
      <c r="AZ283" s="799"/>
      <c r="BA283" s="799"/>
      <c r="BB283" s="799"/>
      <c r="BC283" s="799"/>
      <c r="BD283" s="799"/>
      <c r="BE283" s="799"/>
      <c r="BF283" s="799"/>
      <c r="BG283" s="799"/>
    </row>
    <row r="284">
      <c r="H284" s="799"/>
      <c r="I284" s="799"/>
      <c r="J284" s="799"/>
      <c r="K284" s="799"/>
      <c r="L284" s="799"/>
      <c r="M284" s="799"/>
      <c r="N284" s="799"/>
      <c r="O284" s="799"/>
      <c r="P284" s="799"/>
      <c r="Q284" s="799"/>
      <c r="R284" s="799"/>
      <c r="S284" s="799"/>
      <c r="T284" s="799"/>
      <c r="U284" s="799"/>
      <c r="V284" s="799"/>
      <c r="W284" s="799"/>
      <c r="X284" s="799"/>
      <c r="Y284" s="799"/>
      <c r="Z284" s="799"/>
      <c r="AA284" s="799"/>
      <c r="AB284" s="799"/>
      <c r="AC284" s="799"/>
      <c r="AD284" s="799"/>
      <c r="AE284" s="799"/>
      <c r="AF284" s="799"/>
      <c r="AG284" s="799"/>
      <c r="AH284" s="799"/>
      <c r="AI284" s="799"/>
      <c r="AJ284" s="799"/>
      <c r="AK284" s="799"/>
      <c r="AL284" s="799"/>
      <c r="AM284" s="799"/>
      <c r="AN284" s="799"/>
      <c r="AO284" s="799"/>
      <c r="AP284" s="799"/>
      <c r="AQ284" s="799"/>
      <c r="AR284" s="799"/>
      <c r="AS284" s="799"/>
      <c r="AT284" s="799"/>
      <c r="AU284" s="799"/>
      <c r="AV284" s="799"/>
      <c r="AW284" s="799"/>
      <c r="AX284" s="799"/>
      <c r="AY284" s="799"/>
      <c r="AZ284" s="799"/>
      <c r="BA284" s="799"/>
      <c r="BB284" s="799"/>
      <c r="BC284" s="799"/>
      <c r="BD284" s="799"/>
      <c r="BE284" s="799"/>
      <c r="BF284" s="799"/>
      <c r="BG284" s="799"/>
    </row>
    <row r="285">
      <c r="H285" s="799"/>
      <c r="I285" s="799"/>
      <c r="J285" s="799"/>
      <c r="K285" s="799"/>
      <c r="L285" s="799"/>
      <c r="M285" s="799"/>
      <c r="N285" s="799"/>
      <c r="O285" s="799"/>
      <c r="P285" s="799"/>
      <c r="Q285" s="799"/>
      <c r="R285" s="799"/>
      <c r="S285" s="799"/>
      <c r="T285" s="799"/>
      <c r="U285" s="799"/>
      <c r="V285" s="799"/>
      <c r="W285" s="799"/>
      <c r="X285" s="799"/>
      <c r="Y285" s="799"/>
      <c r="Z285" s="799"/>
      <c r="AA285" s="799"/>
      <c r="AB285" s="799"/>
      <c r="AC285" s="799"/>
      <c r="AD285" s="799"/>
      <c r="AE285" s="799"/>
      <c r="AF285" s="799"/>
      <c r="AG285" s="799"/>
      <c r="AH285" s="799"/>
      <c r="AI285" s="799"/>
      <c r="AJ285" s="799"/>
      <c r="AK285" s="799"/>
      <c r="AL285" s="799"/>
      <c r="AM285" s="799"/>
      <c r="AN285" s="799"/>
      <c r="AO285" s="799"/>
      <c r="AP285" s="799"/>
      <c r="AQ285" s="799"/>
      <c r="AR285" s="799"/>
      <c r="AS285" s="799"/>
      <c r="AT285" s="799"/>
      <c r="AU285" s="799"/>
      <c r="AV285" s="799"/>
      <c r="AW285" s="799"/>
      <c r="AX285" s="799"/>
      <c r="AY285" s="799"/>
      <c r="AZ285" s="799"/>
      <c r="BA285" s="799"/>
      <c r="BB285" s="799"/>
      <c r="BC285" s="799"/>
      <c r="BD285" s="799"/>
      <c r="BE285" s="799"/>
      <c r="BF285" s="799"/>
      <c r="BG285" s="799"/>
    </row>
    <row r="286">
      <c r="H286" s="799"/>
      <c r="I286" s="799"/>
      <c r="J286" s="799"/>
      <c r="K286" s="799"/>
      <c r="L286" s="799"/>
      <c r="M286" s="799"/>
      <c r="N286" s="799"/>
      <c r="O286" s="799"/>
      <c r="P286" s="799"/>
      <c r="Q286" s="799"/>
      <c r="R286" s="799"/>
      <c r="S286" s="799"/>
      <c r="T286" s="799"/>
      <c r="U286" s="799"/>
      <c r="V286" s="799"/>
      <c r="W286" s="799"/>
      <c r="X286" s="799"/>
      <c r="Y286" s="799"/>
      <c r="Z286" s="799"/>
      <c r="AA286" s="799"/>
      <c r="AB286" s="799"/>
      <c r="AC286" s="799"/>
      <c r="AD286" s="799"/>
      <c r="AE286" s="799"/>
      <c r="AF286" s="799"/>
      <c r="AG286" s="799"/>
      <c r="AH286" s="799"/>
      <c r="AI286" s="799"/>
      <c r="AJ286" s="799"/>
      <c r="AK286" s="799"/>
      <c r="AL286" s="799"/>
      <c r="AM286" s="799"/>
      <c r="AN286" s="799"/>
      <c r="AO286" s="799"/>
      <c r="AP286" s="799"/>
      <c r="AQ286" s="799"/>
      <c r="AR286" s="799"/>
      <c r="AS286" s="799"/>
      <c r="AT286" s="799"/>
      <c r="AU286" s="799"/>
      <c r="AV286" s="799"/>
      <c r="AW286" s="799"/>
      <c r="AX286" s="799"/>
      <c r="AY286" s="799"/>
      <c r="AZ286" s="799"/>
      <c r="BA286" s="799"/>
      <c r="BB286" s="799"/>
      <c r="BC286" s="799"/>
      <c r="BD286" s="799"/>
      <c r="BE286" s="799"/>
      <c r="BF286" s="799"/>
      <c r="BG286" s="799"/>
    </row>
    <row r="287">
      <c r="H287" s="799"/>
      <c r="I287" s="799"/>
      <c r="J287" s="799"/>
      <c r="K287" s="799"/>
      <c r="L287" s="799"/>
      <c r="M287" s="799"/>
      <c r="N287" s="799"/>
      <c r="O287" s="799"/>
      <c r="P287" s="799"/>
      <c r="Q287" s="799"/>
      <c r="R287" s="799"/>
      <c r="S287" s="799"/>
      <c r="T287" s="799"/>
      <c r="U287" s="799"/>
      <c r="V287" s="799"/>
      <c r="W287" s="799"/>
      <c r="X287" s="799"/>
      <c r="Y287" s="799"/>
      <c r="Z287" s="799"/>
      <c r="AA287" s="799"/>
      <c r="AB287" s="799"/>
      <c r="AC287" s="799"/>
      <c r="AD287" s="799"/>
      <c r="AE287" s="799"/>
      <c r="AF287" s="799"/>
      <c r="AG287" s="799"/>
      <c r="AH287" s="799"/>
      <c r="AI287" s="799"/>
      <c r="AJ287" s="799"/>
      <c r="AK287" s="799"/>
      <c r="AL287" s="799"/>
      <c r="AM287" s="799"/>
      <c r="AN287" s="799"/>
      <c r="AO287" s="799"/>
      <c r="AP287" s="799"/>
      <c r="AQ287" s="799"/>
      <c r="AR287" s="799"/>
      <c r="AS287" s="799"/>
      <c r="AT287" s="799"/>
      <c r="AU287" s="799"/>
      <c r="AV287" s="799"/>
      <c r="AW287" s="799"/>
      <c r="AX287" s="799"/>
      <c r="AY287" s="799"/>
      <c r="AZ287" s="799"/>
      <c r="BA287" s="799"/>
      <c r="BB287" s="799"/>
      <c r="BC287" s="799"/>
      <c r="BD287" s="799"/>
      <c r="BE287" s="799"/>
      <c r="BF287" s="799"/>
      <c r="BG287" s="799"/>
    </row>
    <row r="288">
      <c r="H288" s="799"/>
      <c r="I288" s="799"/>
      <c r="J288" s="799"/>
      <c r="K288" s="799"/>
      <c r="L288" s="799"/>
      <c r="M288" s="799"/>
      <c r="N288" s="799"/>
      <c r="O288" s="799"/>
      <c r="P288" s="799"/>
      <c r="Q288" s="799"/>
      <c r="R288" s="799"/>
      <c r="S288" s="799"/>
      <c r="T288" s="799"/>
      <c r="U288" s="799"/>
      <c r="V288" s="799"/>
      <c r="W288" s="799"/>
      <c r="X288" s="799"/>
      <c r="Y288" s="799"/>
      <c r="Z288" s="799"/>
      <c r="AA288" s="799"/>
      <c r="AB288" s="799"/>
      <c r="AC288" s="799"/>
      <c r="AD288" s="799"/>
      <c r="AE288" s="799"/>
      <c r="AF288" s="799"/>
      <c r="AG288" s="799"/>
      <c r="AH288" s="799"/>
      <c r="AI288" s="799"/>
      <c r="AJ288" s="799"/>
      <c r="AK288" s="799"/>
      <c r="AL288" s="799"/>
      <c r="AM288" s="799"/>
      <c r="AN288" s="799"/>
      <c r="AO288" s="799"/>
      <c r="AP288" s="799"/>
      <c r="AQ288" s="799"/>
      <c r="AR288" s="799"/>
      <c r="AS288" s="799"/>
      <c r="AT288" s="799"/>
      <c r="AU288" s="799"/>
      <c r="AV288" s="799"/>
      <c r="AW288" s="799"/>
      <c r="AX288" s="799"/>
      <c r="AY288" s="799"/>
      <c r="AZ288" s="799"/>
      <c r="BA288" s="799"/>
      <c r="BB288" s="799"/>
      <c r="BC288" s="799"/>
      <c r="BD288" s="799"/>
      <c r="BE288" s="799"/>
      <c r="BF288" s="799"/>
      <c r="BG288" s="799"/>
    </row>
    <row r="289">
      <c r="H289" s="799"/>
      <c r="I289" s="799"/>
      <c r="J289" s="799"/>
      <c r="K289" s="799"/>
      <c r="L289" s="799"/>
      <c r="M289" s="799"/>
      <c r="N289" s="799"/>
      <c r="O289" s="799"/>
      <c r="P289" s="799"/>
      <c r="Q289" s="799"/>
      <c r="R289" s="799"/>
      <c r="S289" s="799"/>
      <c r="T289" s="799"/>
      <c r="U289" s="799"/>
      <c r="V289" s="799"/>
      <c r="W289" s="799"/>
      <c r="X289" s="799"/>
      <c r="Y289" s="799"/>
      <c r="Z289" s="799"/>
      <c r="AA289" s="799"/>
      <c r="AB289" s="799"/>
      <c r="AC289" s="799"/>
      <c r="AD289" s="799"/>
      <c r="AE289" s="799"/>
      <c r="AF289" s="799"/>
      <c r="AG289" s="799"/>
      <c r="AH289" s="799"/>
      <c r="AI289" s="799"/>
      <c r="AJ289" s="799"/>
      <c r="AK289" s="799"/>
      <c r="AL289" s="799"/>
      <c r="AM289" s="799"/>
      <c r="AN289" s="799"/>
      <c r="AO289" s="799"/>
      <c r="AP289" s="799"/>
      <c r="AQ289" s="799"/>
      <c r="AR289" s="799"/>
      <c r="AS289" s="799"/>
      <c r="AT289" s="799"/>
      <c r="AU289" s="799"/>
      <c r="AV289" s="799"/>
      <c r="AW289" s="799"/>
      <c r="AX289" s="799"/>
      <c r="AY289" s="799"/>
      <c r="AZ289" s="799"/>
      <c r="BA289" s="799"/>
      <c r="BB289" s="799"/>
      <c r="BC289" s="799"/>
      <c r="BD289" s="799"/>
      <c r="BE289" s="799"/>
      <c r="BF289" s="799"/>
      <c r="BG289" s="799"/>
    </row>
    <row r="290">
      <c r="H290" s="799"/>
      <c r="I290" s="799"/>
      <c r="J290" s="799"/>
      <c r="K290" s="799"/>
      <c r="L290" s="799"/>
      <c r="M290" s="799"/>
      <c r="N290" s="799"/>
      <c r="O290" s="799"/>
      <c r="P290" s="799"/>
      <c r="Q290" s="799"/>
      <c r="R290" s="799"/>
      <c r="S290" s="799"/>
      <c r="T290" s="799"/>
      <c r="U290" s="799"/>
      <c r="V290" s="799"/>
      <c r="W290" s="799"/>
      <c r="X290" s="799"/>
      <c r="Y290" s="799"/>
      <c r="Z290" s="799"/>
      <c r="AA290" s="799"/>
      <c r="AB290" s="799"/>
      <c r="AC290" s="799"/>
      <c r="AD290" s="799"/>
      <c r="AE290" s="799"/>
      <c r="AF290" s="799"/>
      <c r="AG290" s="799"/>
      <c r="AH290" s="799"/>
      <c r="AI290" s="799"/>
      <c r="AJ290" s="799"/>
      <c r="AK290" s="799"/>
      <c r="AL290" s="799"/>
      <c r="AM290" s="799"/>
      <c r="AN290" s="799"/>
      <c r="AO290" s="799"/>
      <c r="AP290" s="799"/>
      <c r="AQ290" s="799"/>
      <c r="AR290" s="799"/>
      <c r="AS290" s="799"/>
      <c r="AT290" s="799"/>
      <c r="AU290" s="799"/>
      <c r="AV290" s="799"/>
      <c r="AW290" s="799"/>
      <c r="AX290" s="799"/>
      <c r="AY290" s="799"/>
      <c r="AZ290" s="799"/>
      <c r="BA290" s="799"/>
      <c r="BB290" s="799"/>
      <c r="BC290" s="799"/>
      <c r="BD290" s="799"/>
      <c r="BE290" s="799"/>
      <c r="BF290" s="799"/>
      <c r="BG290" s="799"/>
    </row>
    <row r="291">
      <c r="H291" s="799"/>
      <c r="I291" s="799"/>
      <c r="J291" s="799"/>
      <c r="K291" s="799"/>
      <c r="L291" s="799"/>
      <c r="M291" s="799"/>
      <c r="N291" s="799"/>
      <c r="O291" s="799"/>
      <c r="P291" s="799"/>
      <c r="Q291" s="799"/>
      <c r="R291" s="799"/>
      <c r="S291" s="799"/>
      <c r="T291" s="799"/>
      <c r="U291" s="799"/>
      <c r="V291" s="799"/>
      <c r="W291" s="799"/>
      <c r="X291" s="799"/>
      <c r="Y291" s="799"/>
      <c r="Z291" s="799"/>
      <c r="AA291" s="799"/>
      <c r="AB291" s="799"/>
      <c r="AC291" s="799"/>
      <c r="AD291" s="799"/>
      <c r="AE291" s="799"/>
      <c r="AF291" s="799"/>
      <c r="AG291" s="799"/>
      <c r="AH291" s="799"/>
      <c r="AI291" s="799"/>
      <c r="AJ291" s="799"/>
      <c r="AK291" s="799"/>
      <c r="AL291" s="799"/>
      <c r="AM291" s="799"/>
      <c r="AN291" s="799"/>
      <c r="AO291" s="799"/>
      <c r="AP291" s="799"/>
      <c r="AQ291" s="799"/>
      <c r="AR291" s="799"/>
      <c r="AS291" s="799"/>
      <c r="AT291" s="799"/>
      <c r="AU291" s="799"/>
      <c r="AV291" s="799"/>
      <c r="AW291" s="799"/>
      <c r="AX291" s="799"/>
      <c r="AY291" s="799"/>
      <c r="AZ291" s="799"/>
      <c r="BA291" s="799"/>
      <c r="BB291" s="799"/>
      <c r="BC291" s="799"/>
      <c r="BD291" s="799"/>
      <c r="BE291" s="799"/>
      <c r="BF291" s="799"/>
      <c r="BG291" s="799"/>
    </row>
    <row r="292">
      <c r="H292" s="799"/>
      <c r="I292" s="799"/>
      <c r="J292" s="799"/>
      <c r="K292" s="799"/>
      <c r="L292" s="799"/>
      <c r="M292" s="799"/>
      <c r="N292" s="799"/>
      <c r="O292" s="799"/>
      <c r="P292" s="799"/>
      <c r="Q292" s="799"/>
      <c r="R292" s="799"/>
      <c r="S292" s="799"/>
      <c r="T292" s="799"/>
      <c r="U292" s="799"/>
      <c r="V292" s="799"/>
      <c r="W292" s="799"/>
      <c r="X292" s="799"/>
      <c r="Y292" s="799"/>
      <c r="Z292" s="799"/>
      <c r="AA292" s="799"/>
      <c r="AB292" s="799"/>
      <c r="AC292" s="799"/>
      <c r="AD292" s="799"/>
      <c r="AE292" s="799"/>
      <c r="AF292" s="799"/>
      <c r="AG292" s="799"/>
      <c r="AH292" s="799"/>
      <c r="AI292" s="799"/>
      <c r="AJ292" s="799"/>
      <c r="AK292" s="799"/>
      <c r="AL292" s="799"/>
      <c r="AM292" s="799"/>
      <c r="AN292" s="799"/>
      <c r="AO292" s="799"/>
      <c r="AP292" s="799"/>
      <c r="AQ292" s="799"/>
      <c r="AR292" s="799"/>
      <c r="AS292" s="799"/>
      <c r="AT292" s="799"/>
      <c r="AU292" s="799"/>
      <c r="AV292" s="799"/>
      <c r="AW292" s="799"/>
      <c r="AX292" s="799"/>
      <c r="AY292" s="799"/>
      <c r="AZ292" s="799"/>
      <c r="BA292" s="799"/>
      <c r="BB292" s="799"/>
      <c r="BC292" s="799"/>
      <c r="BD292" s="799"/>
      <c r="BE292" s="799"/>
      <c r="BF292" s="799"/>
      <c r="BG292" s="799"/>
    </row>
    <row r="293">
      <c r="H293" s="799"/>
      <c r="I293" s="799"/>
      <c r="J293" s="799"/>
      <c r="K293" s="799"/>
      <c r="L293" s="799"/>
      <c r="M293" s="799"/>
      <c r="N293" s="799"/>
      <c r="O293" s="799"/>
      <c r="P293" s="799"/>
      <c r="Q293" s="799"/>
      <c r="R293" s="799"/>
      <c r="S293" s="799"/>
      <c r="T293" s="799"/>
      <c r="U293" s="799"/>
      <c r="V293" s="799"/>
      <c r="W293" s="799"/>
      <c r="X293" s="799"/>
      <c r="Y293" s="799"/>
      <c r="Z293" s="799"/>
      <c r="AA293" s="799"/>
      <c r="AB293" s="799"/>
      <c r="AC293" s="799"/>
      <c r="AD293" s="799"/>
      <c r="AE293" s="799"/>
      <c r="AF293" s="799"/>
      <c r="AG293" s="799"/>
      <c r="AH293" s="799"/>
      <c r="AI293" s="799"/>
      <c r="AJ293" s="799"/>
      <c r="AK293" s="799"/>
      <c r="AL293" s="799"/>
      <c r="AM293" s="799"/>
      <c r="AN293" s="799"/>
      <c r="AO293" s="799"/>
      <c r="AP293" s="799"/>
      <c r="AQ293" s="799"/>
      <c r="AR293" s="799"/>
      <c r="AS293" s="799"/>
      <c r="AT293" s="799"/>
      <c r="AU293" s="799"/>
      <c r="AV293" s="799"/>
      <c r="AW293" s="799"/>
      <c r="AX293" s="799"/>
      <c r="AY293" s="799"/>
      <c r="AZ293" s="799"/>
      <c r="BA293" s="799"/>
      <c r="BB293" s="799"/>
      <c r="BC293" s="799"/>
      <c r="BD293" s="799"/>
      <c r="BE293" s="799"/>
      <c r="BF293" s="799"/>
      <c r="BG293" s="799"/>
    </row>
    <row r="294">
      <c r="H294" s="799"/>
      <c r="I294" s="799"/>
      <c r="J294" s="799"/>
      <c r="K294" s="799"/>
      <c r="L294" s="799"/>
      <c r="M294" s="799"/>
      <c r="N294" s="799"/>
      <c r="O294" s="799"/>
      <c r="P294" s="799"/>
      <c r="Q294" s="799"/>
      <c r="R294" s="799"/>
      <c r="S294" s="799"/>
      <c r="T294" s="799"/>
      <c r="U294" s="799"/>
      <c r="V294" s="799"/>
      <c r="W294" s="799"/>
      <c r="X294" s="799"/>
      <c r="Y294" s="799"/>
      <c r="Z294" s="799"/>
      <c r="AA294" s="799"/>
      <c r="AB294" s="799"/>
      <c r="AC294" s="799"/>
      <c r="AD294" s="799"/>
      <c r="AE294" s="799"/>
      <c r="AF294" s="799"/>
      <c r="AG294" s="799"/>
      <c r="AH294" s="799"/>
      <c r="AI294" s="799"/>
      <c r="AJ294" s="799"/>
      <c r="AK294" s="799"/>
      <c r="AL294" s="799"/>
      <c r="AM294" s="799"/>
      <c r="AN294" s="799"/>
      <c r="AO294" s="799"/>
      <c r="AP294" s="799"/>
      <c r="AQ294" s="799"/>
      <c r="AR294" s="799"/>
      <c r="AS294" s="799"/>
      <c r="AT294" s="799"/>
      <c r="AU294" s="799"/>
      <c r="AV294" s="799"/>
      <c r="AW294" s="799"/>
      <c r="AX294" s="799"/>
      <c r="AY294" s="799"/>
      <c r="AZ294" s="799"/>
      <c r="BA294" s="799"/>
      <c r="BB294" s="799"/>
      <c r="BC294" s="799"/>
      <c r="BD294" s="799"/>
      <c r="BE294" s="799"/>
      <c r="BF294" s="799"/>
      <c r="BG294" s="799"/>
    </row>
    <row r="295">
      <c r="H295" s="799"/>
      <c r="I295" s="799"/>
      <c r="J295" s="799"/>
      <c r="K295" s="799"/>
      <c r="L295" s="799"/>
      <c r="M295" s="799"/>
      <c r="N295" s="799"/>
      <c r="O295" s="799"/>
      <c r="P295" s="799"/>
      <c r="Q295" s="799"/>
      <c r="R295" s="799"/>
      <c r="S295" s="799"/>
      <c r="T295" s="799"/>
      <c r="U295" s="799"/>
      <c r="V295" s="799"/>
      <c r="W295" s="799"/>
      <c r="X295" s="799"/>
      <c r="Y295" s="799"/>
      <c r="Z295" s="799"/>
      <c r="AA295" s="799"/>
      <c r="AB295" s="799"/>
      <c r="AC295" s="799"/>
      <c r="AD295" s="799"/>
      <c r="AE295" s="799"/>
      <c r="AF295" s="799"/>
      <c r="AG295" s="799"/>
      <c r="AH295" s="799"/>
      <c r="AI295" s="799"/>
      <c r="AJ295" s="799"/>
      <c r="AK295" s="799"/>
      <c r="AL295" s="799"/>
      <c r="AM295" s="799"/>
      <c r="AN295" s="799"/>
      <c r="AO295" s="799"/>
      <c r="AP295" s="799"/>
      <c r="AQ295" s="799"/>
      <c r="AR295" s="799"/>
      <c r="AS295" s="799"/>
      <c r="AT295" s="799"/>
      <c r="AU295" s="799"/>
      <c r="AV295" s="799"/>
      <c r="AW295" s="799"/>
      <c r="AX295" s="799"/>
      <c r="AY295" s="799"/>
      <c r="AZ295" s="799"/>
      <c r="BA295" s="799"/>
      <c r="BB295" s="799"/>
      <c r="BC295" s="799"/>
      <c r="BD295" s="799"/>
      <c r="BE295" s="799"/>
      <c r="BF295" s="799"/>
      <c r="BG295" s="799"/>
    </row>
    <row r="296">
      <c r="H296" s="799"/>
      <c r="I296" s="799"/>
      <c r="J296" s="799"/>
      <c r="K296" s="799"/>
      <c r="L296" s="799"/>
      <c r="M296" s="799"/>
      <c r="N296" s="799"/>
      <c r="O296" s="799"/>
      <c r="P296" s="799"/>
      <c r="Q296" s="799"/>
      <c r="R296" s="799"/>
      <c r="S296" s="799"/>
      <c r="T296" s="799"/>
      <c r="U296" s="799"/>
      <c r="V296" s="799"/>
      <c r="W296" s="799"/>
      <c r="X296" s="799"/>
      <c r="Y296" s="799"/>
      <c r="Z296" s="799"/>
      <c r="AA296" s="799"/>
      <c r="AB296" s="799"/>
      <c r="AC296" s="799"/>
      <c r="AD296" s="799"/>
      <c r="AE296" s="799"/>
      <c r="AF296" s="799"/>
      <c r="AG296" s="799"/>
      <c r="AH296" s="799"/>
      <c r="AI296" s="799"/>
      <c r="AJ296" s="799"/>
      <c r="AK296" s="799"/>
      <c r="AL296" s="799"/>
      <c r="AM296" s="799"/>
      <c r="AN296" s="799"/>
      <c r="AO296" s="799"/>
      <c r="AP296" s="799"/>
      <c r="AQ296" s="799"/>
      <c r="AR296" s="799"/>
      <c r="AS296" s="799"/>
      <c r="AT296" s="799"/>
      <c r="AU296" s="799"/>
      <c r="AV296" s="799"/>
      <c r="AW296" s="799"/>
      <c r="AX296" s="799"/>
      <c r="AY296" s="799"/>
      <c r="AZ296" s="799"/>
      <c r="BA296" s="799"/>
      <c r="BB296" s="799"/>
      <c r="BC296" s="799"/>
      <c r="BD296" s="799"/>
      <c r="BE296" s="799"/>
      <c r="BF296" s="799"/>
      <c r="BG296" s="799"/>
    </row>
    <row r="297">
      <c r="H297" s="799"/>
      <c r="I297" s="799"/>
      <c r="J297" s="799"/>
      <c r="K297" s="799"/>
      <c r="L297" s="799"/>
      <c r="M297" s="799"/>
      <c r="N297" s="799"/>
      <c r="O297" s="799"/>
      <c r="P297" s="799"/>
      <c r="Q297" s="799"/>
      <c r="R297" s="799"/>
      <c r="S297" s="799"/>
      <c r="T297" s="799"/>
      <c r="U297" s="799"/>
      <c r="V297" s="799"/>
      <c r="W297" s="799"/>
      <c r="X297" s="799"/>
      <c r="Y297" s="799"/>
      <c r="Z297" s="799"/>
      <c r="AA297" s="799"/>
      <c r="AB297" s="799"/>
      <c r="AC297" s="799"/>
      <c r="AD297" s="799"/>
      <c r="AE297" s="799"/>
      <c r="AF297" s="799"/>
      <c r="AG297" s="799"/>
      <c r="AH297" s="799"/>
      <c r="AI297" s="799"/>
      <c r="AJ297" s="799"/>
      <c r="AK297" s="799"/>
      <c r="AL297" s="799"/>
      <c r="AM297" s="799"/>
      <c r="AN297" s="799"/>
      <c r="AO297" s="799"/>
      <c r="AP297" s="799"/>
      <c r="AQ297" s="799"/>
      <c r="AR297" s="799"/>
      <c r="AS297" s="799"/>
      <c r="AT297" s="799"/>
      <c r="AU297" s="799"/>
      <c r="AV297" s="799"/>
      <c r="AW297" s="799"/>
      <c r="AX297" s="799"/>
      <c r="AY297" s="799"/>
      <c r="AZ297" s="799"/>
      <c r="BA297" s="799"/>
      <c r="BB297" s="799"/>
      <c r="BC297" s="799"/>
      <c r="BD297" s="799"/>
      <c r="BE297" s="799"/>
      <c r="BF297" s="799"/>
      <c r="BG297" s="799"/>
    </row>
    <row r="298">
      <c r="H298" s="799"/>
      <c r="I298" s="799"/>
      <c r="J298" s="799"/>
      <c r="K298" s="799"/>
      <c r="L298" s="799"/>
      <c r="M298" s="799"/>
      <c r="N298" s="799"/>
      <c r="O298" s="799"/>
      <c r="P298" s="799"/>
      <c r="Q298" s="799"/>
      <c r="R298" s="799"/>
      <c r="S298" s="799"/>
      <c r="T298" s="799"/>
      <c r="U298" s="799"/>
      <c r="V298" s="799"/>
      <c r="W298" s="799"/>
      <c r="X298" s="799"/>
      <c r="Y298" s="799"/>
      <c r="Z298" s="799"/>
      <c r="AA298" s="799"/>
      <c r="AB298" s="799"/>
      <c r="AC298" s="799"/>
      <c r="AD298" s="799"/>
      <c r="AE298" s="799"/>
      <c r="AF298" s="799"/>
      <c r="AG298" s="799"/>
      <c r="AH298" s="799"/>
      <c r="AI298" s="799"/>
      <c r="AJ298" s="799"/>
      <c r="AK298" s="799"/>
      <c r="AL298" s="799"/>
      <c r="AM298" s="799"/>
      <c r="AN298" s="799"/>
      <c r="AO298" s="799"/>
      <c r="AP298" s="799"/>
      <c r="AQ298" s="799"/>
      <c r="AR298" s="799"/>
      <c r="AS298" s="799"/>
      <c r="AT298" s="799"/>
      <c r="AU298" s="799"/>
      <c r="AV298" s="799"/>
      <c r="AW298" s="799"/>
      <c r="AX298" s="799"/>
      <c r="AY298" s="799"/>
      <c r="AZ298" s="799"/>
      <c r="BA298" s="799"/>
      <c r="BB298" s="799"/>
      <c r="BC298" s="799"/>
      <c r="BD298" s="799"/>
      <c r="BE298" s="799"/>
      <c r="BF298" s="799"/>
      <c r="BG298" s="799"/>
    </row>
    <row r="299">
      <c r="H299" s="799"/>
      <c r="I299" s="799"/>
      <c r="J299" s="799"/>
      <c r="K299" s="799"/>
      <c r="L299" s="799"/>
      <c r="M299" s="799"/>
      <c r="N299" s="799"/>
      <c r="O299" s="799"/>
      <c r="P299" s="799"/>
      <c r="Q299" s="799"/>
      <c r="R299" s="799"/>
      <c r="S299" s="799"/>
      <c r="T299" s="799"/>
      <c r="U299" s="799"/>
      <c r="V299" s="799"/>
      <c r="W299" s="799"/>
      <c r="X299" s="799"/>
      <c r="Y299" s="799"/>
      <c r="Z299" s="799"/>
      <c r="AA299" s="799"/>
      <c r="AB299" s="799"/>
      <c r="AC299" s="799"/>
      <c r="AD299" s="799"/>
      <c r="AE299" s="799"/>
      <c r="AF299" s="799"/>
      <c r="AG299" s="799"/>
      <c r="AH299" s="799"/>
      <c r="AI299" s="799"/>
      <c r="AJ299" s="799"/>
      <c r="AK299" s="799"/>
      <c r="AL299" s="799"/>
      <c r="AM299" s="799"/>
      <c r="AN299" s="799"/>
      <c r="AO299" s="799"/>
      <c r="AP299" s="799"/>
      <c r="AQ299" s="799"/>
      <c r="AR299" s="799"/>
      <c r="AS299" s="799"/>
      <c r="AT299" s="799"/>
      <c r="AU299" s="799"/>
      <c r="AV299" s="799"/>
      <c r="AW299" s="799"/>
      <c r="AX299" s="799"/>
      <c r="AY299" s="799"/>
      <c r="AZ299" s="799"/>
      <c r="BA299" s="799"/>
      <c r="BB299" s="799"/>
      <c r="BC299" s="799"/>
      <c r="BD299" s="799"/>
      <c r="BE299" s="799"/>
      <c r="BF299" s="799"/>
      <c r="BG299" s="799"/>
    </row>
    <row r="300">
      <c r="H300" s="799"/>
      <c r="I300" s="799"/>
      <c r="J300" s="799"/>
      <c r="K300" s="799"/>
      <c r="L300" s="799"/>
      <c r="M300" s="799"/>
      <c r="N300" s="799"/>
      <c r="O300" s="799"/>
      <c r="P300" s="799"/>
      <c r="Q300" s="799"/>
      <c r="R300" s="799"/>
      <c r="S300" s="799"/>
      <c r="T300" s="799"/>
      <c r="U300" s="799"/>
      <c r="V300" s="799"/>
      <c r="W300" s="799"/>
      <c r="X300" s="799"/>
      <c r="Y300" s="799"/>
      <c r="Z300" s="799"/>
      <c r="AA300" s="799"/>
      <c r="AB300" s="799"/>
      <c r="AC300" s="799"/>
      <c r="AD300" s="799"/>
      <c r="AE300" s="799"/>
      <c r="AF300" s="799"/>
      <c r="AG300" s="799"/>
      <c r="AH300" s="799"/>
      <c r="AI300" s="799"/>
      <c r="AJ300" s="799"/>
      <c r="AK300" s="799"/>
      <c r="AL300" s="799"/>
      <c r="AM300" s="799"/>
      <c r="AN300" s="799"/>
      <c r="AO300" s="799"/>
      <c r="AP300" s="799"/>
      <c r="AQ300" s="799"/>
      <c r="AR300" s="799"/>
      <c r="AS300" s="799"/>
      <c r="AT300" s="799"/>
      <c r="AU300" s="799"/>
      <c r="AV300" s="799"/>
      <c r="AW300" s="799"/>
      <c r="AX300" s="799"/>
      <c r="AY300" s="799"/>
      <c r="AZ300" s="799"/>
      <c r="BA300" s="799"/>
      <c r="BB300" s="799"/>
      <c r="BC300" s="799"/>
      <c r="BD300" s="799"/>
      <c r="BE300" s="799"/>
      <c r="BF300" s="799"/>
      <c r="BG300" s="799"/>
    </row>
    <row r="301">
      <c r="H301" s="799"/>
      <c r="I301" s="799"/>
      <c r="J301" s="799"/>
      <c r="K301" s="799"/>
      <c r="L301" s="799"/>
      <c r="M301" s="799"/>
      <c r="N301" s="799"/>
      <c r="O301" s="799"/>
      <c r="P301" s="799"/>
      <c r="Q301" s="799"/>
      <c r="R301" s="799"/>
      <c r="S301" s="799"/>
      <c r="T301" s="799"/>
      <c r="U301" s="799"/>
      <c r="V301" s="799"/>
      <c r="W301" s="799"/>
      <c r="X301" s="799"/>
      <c r="Y301" s="799"/>
      <c r="Z301" s="799"/>
      <c r="AA301" s="799"/>
      <c r="AB301" s="799"/>
      <c r="AC301" s="799"/>
      <c r="AD301" s="799"/>
      <c r="AE301" s="799"/>
      <c r="AF301" s="799"/>
      <c r="AG301" s="799"/>
      <c r="AH301" s="799"/>
      <c r="AI301" s="799"/>
      <c r="AJ301" s="799"/>
      <c r="AK301" s="799"/>
      <c r="AL301" s="799"/>
      <c r="AM301" s="799"/>
      <c r="AN301" s="799"/>
      <c r="AO301" s="799"/>
      <c r="AP301" s="799"/>
      <c r="AQ301" s="799"/>
      <c r="AR301" s="799"/>
      <c r="AS301" s="799"/>
      <c r="AT301" s="799"/>
      <c r="AU301" s="799"/>
      <c r="AV301" s="799"/>
      <c r="AW301" s="799"/>
      <c r="AX301" s="799"/>
      <c r="AY301" s="799"/>
      <c r="AZ301" s="799"/>
      <c r="BA301" s="799"/>
      <c r="BB301" s="799"/>
      <c r="BC301" s="799"/>
      <c r="BD301" s="799"/>
      <c r="BE301" s="799"/>
      <c r="BF301" s="799"/>
      <c r="BG301" s="799"/>
    </row>
    <row r="302">
      <c r="H302" s="799"/>
      <c r="I302" s="799"/>
      <c r="J302" s="799"/>
      <c r="K302" s="799"/>
      <c r="L302" s="799"/>
      <c r="M302" s="799"/>
      <c r="N302" s="799"/>
      <c r="O302" s="799"/>
      <c r="P302" s="799"/>
      <c r="Q302" s="799"/>
      <c r="R302" s="799"/>
      <c r="S302" s="799"/>
      <c r="T302" s="799"/>
      <c r="U302" s="799"/>
      <c r="V302" s="799"/>
      <c r="W302" s="799"/>
      <c r="X302" s="799"/>
      <c r="Y302" s="799"/>
      <c r="Z302" s="799"/>
      <c r="AA302" s="799"/>
      <c r="AB302" s="799"/>
      <c r="AC302" s="799"/>
      <c r="AD302" s="799"/>
      <c r="AE302" s="799"/>
      <c r="AF302" s="799"/>
      <c r="AG302" s="799"/>
      <c r="AH302" s="799"/>
      <c r="AI302" s="799"/>
      <c r="AJ302" s="799"/>
      <c r="AK302" s="799"/>
      <c r="AL302" s="799"/>
      <c r="AM302" s="799"/>
      <c r="AN302" s="799"/>
      <c r="AO302" s="799"/>
      <c r="AP302" s="799"/>
      <c r="AQ302" s="799"/>
      <c r="AR302" s="799"/>
      <c r="AS302" s="799"/>
      <c r="AT302" s="799"/>
      <c r="AU302" s="799"/>
      <c r="AV302" s="799"/>
      <c r="AW302" s="799"/>
      <c r="AX302" s="799"/>
      <c r="AY302" s="799"/>
      <c r="AZ302" s="799"/>
      <c r="BA302" s="799"/>
      <c r="BB302" s="799"/>
      <c r="BC302" s="799"/>
      <c r="BD302" s="799"/>
      <c r="BE302" s="799"/>
      <c r="BF302" s="799"/>
      <c r="BG302" s="799"/>
    </row>
    <row r="303">
      <c r="H303" s="799"/>
      <c r="I303" s="799"/>
      <c r="J303" s="799"/>
      <c r="K303" s="799"/>
      <c r="L303" s="799"/>
      <c r="M303" s="799"/>
      <c r="N303" s="799"/>
      <c r="O303" s="799"/>
      <c r="P303" s="799"/>
      <c r="Q303" s="799"/>
      <c r="R303" s="799"/>
      <c r="S303" s="799"/>
      <c r="T303" s="799"/>
      <c r="U303" s="799"/>
      <c r="V303" s="799"/>
      <c r="W303" s="799"/>
      <c r="X303" s="799"/>
      <c r="Y303" s="799"/>
      <c r="Z303" s="799"/>
      <c r="AA303" s="799"/>
      <c r="AB303" s="799"/>
      <c r="AC303" s="799"/>
      <c r="AD303" s="799"/>
      <c r="AE303" s="799"/>
      <c r="AF303" s="799"/>
      <c r="AG303" s="799"/>
      <c r="AH303" s="799"/>
      <c r="AI303" s="799"/>
      <c r="AJ303" s="799"/>
      <c r="AK303" s="799"/>
      <c r="AL303" s="799"/>
      <c r="AM303" s="799"/>
      <c r="AN303" s="799"/>
      <c r="AO303" s="799"/>
      <c r="AP303" s="799"/>
      <c r="AQ303" s="799"/>
      <c r="AR303" s="799"/>
      <c r="AS303" s="799"/>
      <c r="AT303" s="799"/>
      <c r="AU303" s="799"/>
      <c r="AV303" s="799"/>
      <c r="AW303" s="799"/>
      <c r="AX303" s="799"/>
      <c r="AY303" s="799"/>
      <c r="AZ303" s="799"/>
      <c r="BA303" s="799"/>
      <c r="BB303" s="799"/>
      <c r="BC303" s="799"/>
      <c r="BD303" s="799"/>
      <c r="BE303" s="799"/>
      <c r="BF303" s="799"/>
      <c r="BG303" s="799"/>
    </row>
    <row r="304">
      <c r="H304" s="799"/>
      <c r="I304" s="799"/>
      <c r="J304" s="799"/>
      <c r="K304" s="799"/>
      <c r="L304" s="799"/>
      <c r="M304" s="799"/>
      <c r="N304" s="799"/>
      <c r="O304" s="799"/>
      <c r="P304" s="799"/>
      <c r="Q304" s="799"/>
      <c r="R304" s="799"/>
      <c r="S304" s="799"/>
      <c r="T304" s="799"/>
      <c r="U304" s="799"/>
      <c r="V304" s="799"/>
      <c r="W304" s="799"/>
      <c r="X304" s="799"/>
      <c r="Y304" s="799"/>
      <c r="Z304" s="799"/>
      <c r="AA304" s="799"/>
      <c r="AB304" s="799"/>
      <c r="AC304" s="799"/>
      <c r="AD304" s="799"/>
      <c r="AE304" s="799"/>
      <c r="AF304" s="799"/>
      <c r="AG304" s="799"/>
      <c r="AH304" s="799"/>
      <c r="AI304" s="799"/>
      <c r="AJ304" s="799"/>
      <c r="AK304" s="799"/>
      <c r="AL304" s="799"/>
      <c r="AM304" s="799"/>
      <c r="AN304" s="799"/>
      <c r="AO304" s="799"/>
      <c r="AP304" s="799"/>
      <c r="AQ304" s="799"/>
      <c r="AR304" s="799"/>
      <c r="AS304" s="799"/>
      <c r="AT304" s="799"/>
      <c r="AU304" s="799"/>
      <c r="AV304" s="799"/>
      <c r="AW304" s="799"/>
      <c r="AX304" s="799"/>
      <c r="AY304" s="799"/>
      <c r="AZ304" s="799"/>
      <c r="BA304" s="799"/>
      <c r="BB304" s="799"/>
      <c r="BC304" s="799"/>
      <c r="BD304" s="799"/>
      <c r="BE304" s="799"/>
      <c r="BF304" s="799"/>
      <c r="BG304" s="799"/>
    </row>
    <row r="305">
      <c r="H305" s="799"/>
      <c r="I305" s="799"/>
      <c r="J305" s="799"/>
      <c r="K305" s="799"/>
      <c r="L305" s="799"/>
      <c r="M305" s="799"/>
      <c r="N305" s="799"/>
      <c r="O305" s="799"/>
      <c r="P305" s="799"/>
      <c r="Q305" s="799"/>
      <c r="R305" s="799"/>
      <c r="S305" s="799"/>
      <c r="T305" s="799"/>
      <c r="U305" s="799"/>
      <c r="V305" s="799"/>
      <c r="W305" s="799"/>
      <c r="X305" s="799"/>
      <c r="Y305" s="799"/>
      <c r="Z305" s="799"/>
      <c r="AA305" s="799"/>
      <c r="AB305" s="799"/>
      <c r="AC305" s="799"/>
      <c r="AD305" s="799"/>
      <c r="AE305" s="799"/>
      <c r="AF305" s="799"/>
      <c r="AG305" s="799"/>
      <c r="AH305" s="799"/>
      <c r="AI305" s="799"/>
      <c r="AJ305" s="799"/>
      <c r="AK305" s="799"/>
      <c r="AL305" s="799"/>
      <c r="AM305" s="799"/>
      <c r="AN305" s="799"/>
      <c r="AO305" s="799"/>
      <c r="AP305" s="799"/>
      <c r="AQ305" s="799"/>
      <c r="AR305" s="799"/>
      <c r="AS305" s="799"/>
      <c r="AT305" s="799"/>
      <c r="AU305" s="799"/>
      <c r="AV305" s="799"/>
      <c r="AW305" s="799"/>
      <c r="AX305" s="799"/>
      <c r="AY305" s="799"/>
      <c r="AZ305" s="799"/>
      <c r="BA305" s="799"/>
      <c r="BB305" s="799"/>
      <c r="BC305" s="799"/>
      <c r="BD305" s="799"/>
      <c r="BE305" s="799"/>
      <c r="BF305" s="799"/>
      <c r="BG305" s="799"/>
    </row>
    <row r="306">
      <c r="H306" s="799"/>
      <c r="I306" s="799"/>
      <c r="J306" s="799"/>
      <c r="K306" s="799"/>
      <c r="L306" s="799"/>
      <c r="M306" s="799"/>
      <c r="N306" s="799"/>
      <c r="O306" s="799"/>
      <c r="P306" s="799"/>
      <c r="Q306" s="799"/>
      <c r="R306" s="799"/>
      <c r="S306" s="799"/>
      <c r="T306" s="799"/>
      <c r="U306" s="799"/>
      <c r="V306" s="799"/>
      <c r="W306" s="799"/>
      <c r="X306" s="799"/>
      <c r="Y306" s="799"/>
      <c r="Z306" s="799"/>
      <c r="AA306" s="799"/>
      <c r="AB306" s="799"/>
      <c r="AC306" s="799"/>
      <c r="AD306" s="799"/>
      <c r="AE306" s="799"/>
      <c r="AF306" s="799"/>
      <c r="AG306" s="799"/>
      <c r="AH306" s="799"/>
      <c r="AI306" s="799"/>
      <c r="AJ306" s="799"/>
      <c r="AK306" s="799"/>
      <c r="AL306" s="799"/>
      <c r="AM306" s="799"/>
      <c r="AN306" s="799"/>
      <c r="AO306" s="799"/>
      <c r="AP306" s="799"/>
      <c r="AQ306" s="799"/>
      <c r="AR306" s="799"/>
      <c r="AS306" s="799"/>
      <c r="AT306" s="799"/>
      <c r="AU306" s="799"/>
      <c r="AV306" s="799"/>
      <c r="AW306" s="799"/>
      <c r="AX306" s="799"/>
      <c r="AY306" s="799"/>
      <c r="AZ306" s="799"/>
      <c r="BA306" s="799"/>
      <c r="BB306" s="799"/>
      <c r="BC306" s="799"/>
      <c r="BD306" s="799"/>
      <c r="BE306" s="799"/>
      <c r="BF306" s="799"/>
      <c r="BG306" s="799"/>
    </row>
    <row r="307">
      <c r="H307" s="799"/>
      <c r="I307" s="799"/>
      <c r="J307" s="799"/>
      <c r="K307" s="799"/>
      <c r="L307" s="799"/>
      <c r="M307" s="799"/>
      <c r="N307" s="799"/>
      <c r="O307" s="799"/>
      <c r="P307" s="799"/>
      <c r="Q307" s="799"/>
      <c r="R307" s="799"/>
      <c r="S307" s="799"/>
      <c r="T307" s="799"/>
      <c r="U307" s="799"/>
      <c r="V307" s="799"/>
      <c r="W307" s="799"/>
      <c r="X307" s="799"/>
      <c r="Y307" s="799"/>
      <c r="Z307" s="799"/>
      <c r="AA307" s="799"/>
      <c r="AB307" s="799"/>
      <c r="AC307" s="799"/>
      <c r="AD307" s="799"/>
      <c r="AE307" s="799"/>
      <c r="AF307" s="799"/>
      <c r="AG307" s="799"/>
      <c r="AH307" s="799"/>
      <c r="AI307" s="799"/>
      <c r="AJ307" s="799"/>
      <c r="AK307" s="799"/>
      <c r="AL307" s="799"/>
      <c r="AM307" s="799"/>
      <c r="AN307" s="799"/>
      <c r="AO307" s="799"/>
      <c r="AP307" s="799"/>
      <c r="AQ307" s="799"/>
      <c r="AR307" s="799"/>
      <c r="AS307" s="799"/>
      <c r="AT307" s="799"/>
      <c r="AU307" s="799"/>
      <c r="AV307" s="799"/>
      <c r="AW307" s="799"/>
      <c r="AX307" s="799"/>
      <c r="AY307" s="799"/>
      <c r="AZ307" s="799"/>
      <c r="BA307" s="799"/>
      <c r="BB307" s="799"/>
      <c r="BC307" s="799"/>
      <c r="BD307" s="799"/>
      <c r="BE307" s="799"/>
      <c r="BF307" s="799"/>
      <c r="BG307" s="799"/>
    </row>
    <row r="308">
      <c r="H308" s="799"/>
      <c r="I308" s="799"/>
      <c r="J308" s="799"/>
      <c r="K308" s="799"/>
      <c r="L308" s="799"/>
      <c r="M308" s="799"/>
      <c r="N308" s="799"/>
      <c r="O308" s="799"/>
      <c r="P308" s="799"/>
      <c r="Q308" s="799"/>
      <c r="R308" s="799"/>
      <c r="S308" s="799"/>
      <c r="T308" s="799"/>
      <c r="U308" s="799"/>
      <c r="V308" s="799"/>
      <c r="W308" s="799"/>
      <c r="X308" s="799"/>
      <c r="Y308" s="799"/>
      <c r="Z308" s="799"/>
      <c r="AA308" s="799"/>
      <c r="AB308" s="799"/>
      <c r="AC308" s="799"/>
      <c r="AD308" s="799"/>
      <c r="AE308" s="799"/>
      <c r="AF308" s="799"/>
      <c r="AG308" s="799"/>
      <c r="AH308" s="799"/>
      <c r="AI308" s="799"/>
      <c r="AJ308" s="799"/>
      <c r="AK308" s="799"/>
      <c r="AL308" s="799"/>
      <c r="AM308" s="799"/>
      <c r="AN308" s="799"/>
      <c r="AO308" s="799"/>
      <c r="AP308" s="799"/>
      <c r="AQ308" s="799"/>
      <c r="AR308" s="799"/>
      <c r="AS308" s="799"/>
      <c r="AT308" s="799"/>
      <c r="AU308" s="799"/>
      <c r="AV308" s="799"/>
      <c r="AW308" s="799"/>
      <c r="AX308" s="799"/>
      <c r="AY308" s="799"/>
      <c r="AZ308" s="799"/>
      <c r="BA308" s="799"/>
      <c r="BB308" s="799"/>
      <c r="BC308" s="799"/>
      <c r="BD308" s="799"/>
      <c r="BE308" s="799"/>
      <c r="BF308" s="799"/>
      <c r="BG308" s="799"/>
    </row>
    <row r="309">
      <c r="H309" s="799"/>
      <c r="I309" s="799"/>
      <c r="J309" s="799"/>
      <c r="K309" s="799"/>
      <c r="L309" s="799"/>
      <c r="M309" s="799"/>
      <c r="N309" s="799"/>
      <c r="O309" s="799"/>
      <c r="P309" s="799"/>
      <c r="Q309" s="799"/>
      <c r="R309" s="799"/>
      <c r="S309" s="799"/>
      <c r="T309" s="799"/>
      <c r="U309" s="799"/>
      <c r="V309" s="799"/>
      <c r="W309" s="799"/>
      <c r="X309" s="799"/>
      <c r="Y309" s="799"/>
      <c r="Z309" s="799"/>
      <c r="AA309" s="799"/>
      <c r="AB309" s="799"/>
      <c r="AC309" s="799"/>
      <c r="AD309" s="799"/>
      <c r="AE309" s="799"/>
      <c r="AF309" s="799"/>
      <c r="AG309" s="799"/>
      <c r="AH309" s="799"/>
      <c r="AI309" s="799"/>
      <c r="AJ309" s="799"/>
      <c r="AK309" s="799"/>
      <c r="AL309" s="799"/>
      <c r="AM309" s="799"/>
      <c r="AN309" s="799"/>
      <c r="AO309" s="799"/>
      <c r="AP309" s="799"/>
      <c r="AQ309" s="799"/>
      <c r="AR309" s="799"/>
      <c r="AS309" s="799"/>
      <c r="AT309" s="799"/>
      <c r="AU309" s="799"/>
      <c r="AV309" s="799"/>
      <c r="AW309" s="799"/>
      <c r="AX309" s="799"/>
      <c r="AY309" s="799"/>
      <c r="AZ309" s="799"/>
      <c r="BA309" s="799"/>
      <c r="BB309" s="799"/>
      <c r="BC309" s="799"/>
      <c r="BD309" s="799"/>
      <c r="BE309" s="799"/>
      <c r="BF309" s="799"/>
      <c r="BG309" s="799"/>
    </row>
    <row r="310">
      <c r="H310" s="799"/>
      <c r="I310" s="799"/>
      <c r="J310" s="799"/>
      <c r="K310" s="799"/>
      <c r="L310" s="799"/>
      <c r="M310" s="799"/>
      <c r="N310" s="799"/>
      <c r="O310" s="799"/>
      <c r="P310" s="799"/>
      <c r="Q310" s="799"/>
      <c r="R310" s="799"/>
      <c r="S310" s="799"/>
      <c r="T310" s="799"/>
      <c r="U310" s="799"/>
      <c r="V310" s="799"/>
      <c r="W310" s="799"/>
      <c r="X310" s="799"/>
      <c r="Y310" s="799"/>
      <c r="Z310" s="799"/>
      <c r="AA310" s="799"/>
      <c r="AB310" s="799"/>
      <c r="AC310" s="799"/>
      <c r="AD310" s="799"/>
      <c r="AE310" s="799"/>
      <c r="AF310" s="799"/>
      <c r="AG310" s="799"/>
      <c r="AH310" s="799"/>
      <c r="AI310" s="799"/>
      <c r="AJ310" s="799"/>
      <c r="AK310" s="799"/>
      <c r="AL310" s="799"/>
      <c r="AM310" s="799"/>
      <c r="AN310" s="799"/>
      <c r="AO310" s="799"/>
      <c r="AP310" s="799"/>
      <c r="AQ310" s="799"/>
      <c r="AR310" s="799"/>
      <c r="AS310" s="799"/>
      <c r="AT310" s="799"/>
      <c r="AU310" s="799"/>
      <c r="AV310" s="799"/>
      <c r="AW310" s="799"/>
      <c r="AX310" s="799"/>
      <c r="AY310" s="799"/>
      <c r="AZ310" s="799"/>
      <c r="BA310" s="799"/>
      <c r="BB310" s="799"/>
      <c r="BC310" s="799"/>
      <c r="BD310" s="799"/>
      <c r="BE310" s="799"/>
      <c r="BF310" s="799"/>
      <c r="BG310" s="799"/>
    </row>
    <row r="311">
      <c r="H311" s="799"/>
      <c r="I311" s="799"/>
      <c r="J311" s="799"/>
      <c r="K311" s="799"/>
      <c r="L311" s="799"/>
      <c r="M311" s="799"/>
      <c r="N311" s="799"/>
      <c r="O311" s="799"/>
      <c r="P311" s="799"/>
      <c r="Q311" s="799"/>
      <c r="R311" s="799"/>
      <c r="S311" s="799"/>
      <c r="T311" s="799"/>
      <c r="U311" s="799"/>
      <c r="V311" s="799"/>
      <c r="W311" s="799"/>
      <c r="X311" s="799"/>
      <c r="Y311" s="799"/>
      <c r="Z311" s="799"/>
      <c r="AA311" s="799"/>
      <c r="AB311" s="799"/>
      <c r="AC311" s="799"/>
      <c r="AD311" s="799"/>
      <c r="AE311" s="799"/>
      <c r="AF311" s="799"/>
      <c r="AG311" s="799"/>
      <c r="AH311" s="799"/>
      <c r="AI311" s="799"/>
      <c r="AJ311" s="799"/>
      <c r="AK311" s="799"/>
      <c r="AL311" s="799"/>
      <c r="AM311" s="799"/>
      <c r="AN311" s="799"/>
      <c r="AO311" s="799"/>
      <c r="AP311" s="799"/>
      <c r="AQ311" s="799"/>
      <c r="AR311" s="799"/>
      <c r="AS311" s="799"/>
      <c r="AT311" s="799"/>
      <c r="AU311" s="799"/>
      <c r="AV311" s="799"/>
      <c r="AW311" s="799"/>
      <c r="AX311" s="799"/>
      <c r="AY311" s="799"/>
      <c r="AZ311" s="799"/>
      <c r="BA311" s="799"/>
      <c r="BB311" s="799"/>
      <c r="BC311" s="799"/>
      <c r="BD311" s="799"/>
      <c r="BE311" s="799"/>
      <c r="BF311" s="799"/>
      <c r="BG311" s="799"/>
    </row>
    <row r="312">
      <c r="H312" s="799"/>
      <c r="I312" s="799"/>
      <c r="J312" s="799"/>
      <c r="K312" s="799"/>
      <c r="L312" s="799"/>
      <c r="M312" s="799"/>
      <c r="N312" s="799"/>
      <c r="O312" s="799"/>
      <c r="P312" s="799"/>
      <c r="Q312" s="799"/>
      <c r="R312" s="799"/>
      <c r="S312" s="799"/>
      <c r="T312" s="799"/>
      <c r="U312" s="799"/>
      <c r="V312" s="799"/>
      <c r="W312" s="799"/>
      <c r="X312" s="799"/>
      <c r="Y312" s="799"/>
      <c r="Z312" s="799"/>
      <c r="AA312" s="799"/>
      <c r="AB312" s="799"/>
      <c r="AC312" s="799"/>
      <c r="AD312" s="799"/>
      <c r="AE312" s="799"/>
      <c r="AF312" s="799"/>
      <c r="AG312" s="799"/>
      <c r="AH312" s="799"/>
      <c r="AI312" s="799"/>
      <c r="AJ312" s="799"/>
      <c r="AK312" s="799"/>
      <c r="AL312" s="799"/>
      <c r="AM312" s="799"/>
      <c r="AN312" s="799"/>
      <c r="AO312" s="799"/>
      <c r="AP312" s="799"/>
      <c r="AQ312" s="799"/>
      <c r="AR312" s="799"/>
      <c r="AS312" s="799"/>
      <c r="AT312" s="799"/>
      <c r="AU312" s="799"/>
      <c r="AV312" s="799"/>
      <c r="AW312" s="799"/>
      <c r="AX312" s="799"/>
      <c r="AY312" s="799"/>
      <c r="AZ312" s="799"/>
      <c r="BA312" s="799"/>
      <c r="BB312" s="799"/>
      <c r="BC312" s="799"/>
      <c r="BD312" s="799"/>
      <c r="BE312" s="799"/>
      <c r="BF312" s="799"/>
      <c r="BG312" s="799"/>
    </row>
    <row r="313">
      <c r="H313" s="799"/>
      <c r="I313" s="799"/>
      <c r="J313" s="799"/>
      <c r="K313" s="799"/>
      <c r="L313" s="799"/>
      <c r="M313" s="799"/>
      <c r="N313" s="799"/>
      <c r="O313" s="799"/>
      <c r="P313" s="799"/>
      <c r="Q313" s="799"/>
      <c r="R313" s="799"/>
      <c r="S313" s="799"/>
      <c r="T313" s="799"/>
      <c r="U313" s="799"/>
      <c r="V313" s="799"/>
      <c r="W313" s="799"/>
      <c r="X313" s="799"/>
      <c r="Y313" s="799"/>
      <c r="Z313" s="799"/>
      <c r="AA313" s="799"/>
      <c r="AB313" s="799"/>
      <c r="AC313" s="799"/>
      <c r="AD313" s="799"/>
      <c r="AE313" s="799"/>
      <c r="AF313" s="799"/>
      <c r="AG313" s="799"/>
      <c r="AH313" s="799"/>
      <c r="AI313" s="799"/>
      <c r="AJ313" s="799"/>
      <c r="AK313" s="799"/>
      <c r="AL313" s="799"/>
      <c r="AM313" s="799"/>
      <c r="AN313" s="799"/>
      <c r="AO313" s="799"/>
      <c r="AP313" s="799"/>
      <c r="AQ313" s="799"/>
      <c r="AR313" s="799"/>
      <c r="AS313" s="799"/>
      <c r="AT313" s="799"/>
      <c r="AU313" s="799"/>
      <c r="AV313" s="799"/>
      <c r="AW313" s="799"/>
      <c r="AX313" s="799"/>
      <c r="AY313" s="799"/>
      <c r="AZ313" s="799"/>
      <c r="BA313" s="799"/>
      <c r="BB313" s="799"/>
      <c r="BC313" s="799"/>
      <c r="BD313" s="799"/>
      <c r="BE313" s="799"/>
      <c r="BF313" s="799"/>
      <c r="BG313" s="799"/>
    </row>
    <row r="314">
      <c r="H314" s="799"/>
      <c r="I314" s="799"/>
      <c r="J314" s="799"/>
      <c r="K314" s="799"/>
      <c r="L314" s="799"/>
      <c r="M314" s="799"/>
      <c r="N314" s="799"/>
      <c r="O314" s="799"/>
      <c r="P314" s="799"/>
      <c r="Q314" s="799"/>
      <c r="R314" s="799"/>
      <c r="S314" s="799"/>
      <c r="T314" s="799"/>
      <c r="U314" s="799"/>
      <c r="V314" s="799"/>
      <c r="W314" s="799"/>
      <c r="X314" s="799"/>
      <c r="Y314" s="799"/>
      <c r="Z314" s="799"/>
      <c r="AA314" s="799"/>
      <c r="AB314" s="799"/>
      <c r="AC314" s="799"/>
      <c r="AD314" s="799"/>
      <c r="AE314" s="799"/>
      <c r="AF314" s="799"/>
      <c r="AG314" s="799"/>
      <c r="AH314" s="799"/>
      <c r="AI314" s="799"/>
      <c r="AJ314" s="799"/>
      <c r="AK314" s="799"/>
      <c r="AL314" s="799"/>
      <c r="AM314" s="799"/>
      <c r="AN314" s="799"/>
      <c r="AO314" s="799"/>
      <c r="AP314" s="799"/>
      <c r="AQ314" s="799"/>
      <c r="AR314" s="799"/>
      <c r="AS314" s="799"/>
      <c r="AT314" s="799"/>
      <c r="AU314" s="799"/>
      <c r="AV314" s="799"/>
      <c r="AW314" s="799"/>
      <c r="AX314" s="799"/>
      <c r="AY314" s="799"/>
      <c r="AZ314" s="799"/>
      <c r="BA314" s="799"/>
      <c r="BB314" s="799"/>
      <c r="BC314" s="799"/>
      <c r="BD314" s="799"/>
      <c r="BE314" s="799"/>
      <c r="BF314" s="799"/>
      <c r="BG314" s="799"/>
    </row>
    <row r="315">
      <c r="H315" s="799"/>
      <c r="I315" s="799"/>
      <c r="J315" s="799"/>
      <c r="K315" s="799"/>
      <c r="L315" s="799"/>
      <c r="M315" s="799"/>
      <c r="N315" s="799"/>
      <c r="O315" s="799"/>
      <c r="P315" s="799"/>
      <c r="Q315" s="799"/>
      <c r="R315" s="799"/>
      <c r="S315" s="799"/>
      <c r="T315" s="799"/>
      <c r="U315" s="799"/>
      <c r="V315" s="799"/>
      <c r="W315" s="799"/>
      <c r="X315" s="799"/>
      <c r="Y315" s="799"/>
      <c r="Z315" s="799"/>
      <c r="AA315" s="799"/>
      <c r="AB315" s="799"/>
      <c r="AC315" s="799"/>
      <c r="AD315" s="799"/>
      <c r="AE315" s="799"/>
      <c r="AF315" s="799"/>
      <c r="AG315" s="799"/>
      <c r="AH315" s="799"/>
      <c r="AI315" s="799"/>
      <c r="AJ315" s="799"/>
      <c r="AK315" s="799"/>
      <c r="AL315" s="799"/>
      <c r="AM315" s="799"/>
      <c r="AN315" s="799"/>
      <c r="AO315" s="799"/>
      <c r="AP315" s="799"/>
      <c r="AQ315" s="799"/>
      <c r="AR315" s="799"/>
      <c r="AS315" s="799"/>
      <c r="AT315" s="799"/>
      <c r="AU315" s="799"/>
      <c r="AV315" s="799"/>
      <c r="AW315" s="799"/>
      <c r="AX315" s="799"/>
      <c r="AY315" s="799"/>
      <c r="AZ315" s="799"/>
      <c r="BA315" s="799"/>
      <c r="BB315" s="799"/>
      <c r="BC315" s="799"/>
      <c r="BD315" s="799"/>
      <c r="BE315" s="799"/>
      <c r="BF315" s="799"/>
      <c r="BG315" s="799"/>
    </row>
    <row r="316">
      <c r="H316" s="799"/>
      <c r="I316" s="799"/>
      <c r="J316" s="799"/>
      <c r="K316" s="799"/>
      <c r="L316" s="799"/>
      <c r="M316" s="799"/>
      <c r="N316" s="799"/>
      <c r="O316" s="799"/>
      <c r="P316" s="799"/>
      <c r="Q316" s="799"/>
      <c r="R316" s="799"/>
      <c r="S316" s="799"/>
      <c r="T316" s="799"/>
      <c r="U316" s="799"/>
      <c r="V316" s="799"/>
      <c r="W316" s="799"/>
      <c r="X316" s="799"/>
      <c r="Y316" s="799"/>
      <c r="Z316" s="799"/>
      <c r="AA316" s="799"/>
      <c r="AB316" s="799"/>
      <c r="AC316" s="799"/>
      <c r="AD316" s="799"/>
      <c r="AE316" s="799"/>
      <c r="AF316" s="799"/>
      <c r="AG316" s="799"/>
      <c r="AH316" s="799"/>
      <c r="AI316" s="799"/>
      <c r="AJ316" s="799"/>
      <c r="AK316" s="799"/>
      <c r="AL316" s="799"/>
      <c r="AM316" s="799"/>
      <c r="AN316" s="799"/>
      <c r="AO316" s="799"/>
      <c r="AP316" s="799"/>
      <c r="AQ316" s="799"/>
      <c r="AR316" s="799"/>
      <c r="AS316" s="799"/>
      <c r="AT316" s="799"/>
      <c r="AU316" s="799"/>
      <c r="AV316" s="799"/>
      <c r="AW316" s="799"/>
      <c r="AX316" s="799"/>
      <c r="AY316" s="799"/>
      <c r="AZ316" s="799"/>
      <c r="BA316" s="799"/>
      <c r="BB316" s="799"/>
      <c r="BC316" s="799"/>
      <c r="BD316" s="799"/>
      <c r="BE316" s="799"/>
      <c r="BF316" s="799"/>
      <c r="BG316" s="799"/>
    </row>
    <row r="317">
      <c r="H317" s="799"/>
      <c r="I317" s="799"/>
      <c r="J317" s="799"/>
      <c r="K317" s="799"/>
      <c r="L317" s="799"/>
      <c r="M317" s="799"/>
      <c r="N317" s="799"/>
      <c r="O317" s="799"/>
      <c r="P317" s="799"/>
      <c r="Q317" s="799"/>
      <c r="R317" s="799"/>
      <c r="S317" s="799"/>
      <c r="T317" s="799"/>
      <c r="U317" s="799"/>
      <c r="V317" s="799"/>
      <c r="W317" s="799"/>
      <c r="X317" s="799"/>
      <c r="Y317" s="799"/>
      <c r="Z317" s="799"/>
      <c r="AA317" s="799"/>
      <c r="AB317" s="799"/>
      <c r="AC317" s="799"/>
      <c r="AD317" s="799"/>
      <c r="AE317" s="799"/>
      <c r="AF317" s="799"/>
      <c r="AG317" s="799"/>
      <c r="AH317" s="799"/>
      <c r="AI317" s="799"/>
      <c r="AJ317" s="799"/>
      <c r="AK317" s="799"/>
      <c r="AL317" s="799"/>
      <c r="AM317" s="799"/>
      <c r="AN317" s="799"/>
      <c r="AO317" s="799"/>
      <c r="AP317" s="799"/>
      <c r="AQ317" s="799"/>
      <c r="AR317" s="799"/>
      <c r="AS317" s="799"/>
      <c r="AT317" s="799"/>
      <c r="AU317" s="799"/>
      <c r="AV317" s="799"/>
      <c r="AW317" s="799"/>
      <c r="AX317" s="799"/>
      <c r="AY317" s="799"/>
      <c r="AZ317" s="799"/>
      <c r="BA317" s="799"/>
      <c r="BB317" s="799"/>
      <c r="BC317" s="799"/>
      <c r="BD317" s="799"/>
      <c r="BE317" s="799"/>
      <c r="BF317" s="799"/>
      <c r="BG317" s="799"/>
    </row>
    <row r="318">
      <c r="H318" s="799"/>
      <c r="I318" s="799"/>
      <c r="J318" s="799"/>
      <c r="K318" s="799"/>
      <c r="L318" s="799"/>
      <c r="M318" s="799"/>
      <c r="N318" s="799"/>
      <c r="O318" s="799"/>
      <c r="P318" s="799"/>
      <c r="Q318" s="799"/>
      <c r="R318" s="799"/>
      <c r="S318" s="799"/>
      <c r="T318" s="799"/>
      <c r="U318" s="799"/>
      <c r="V318" s="799"/>
      <c r="W318" s="799"/>
      <c r="X318" s="799"/>
      <c r="Y318" s="799"/>
      <c r="Z318" s="799"/>
      <c r="AA318" s="799"/>
      <c r="AB318" s="799"/>
      <c r="AC318" s="799"/>
      <c r="AD318" s="799"/>
      <c r="AE318" s="799"/>
      <c r="AF318" s="799"/>
      <c r="AG318" s="799"/>
      <c r="AH318" s="799"/>
      <c r="AI318" s="799"/>
      <c r="AJ318" s="799"/>
      <c r="AK318" s="799"/>
      <c r="AL318" s="799"/>
      <c r="AM318" s="799"/>
      <c r="AN318" s="799"/>
      <c r="AO318" s="799"/>
      <c r="AP318" s="799"/>
      <c r="AQ318" s="799"/>
      <c r="AR318" s="799"/>
      <c r="AS318" s="799"/>
      <c r="AT318" s="799"/>
      <c r="AU318" s="799"/>
      <c r="AV318" s="799"/>
      <c r="AW318" s="799"/>
      <c r="AX318" s="799"/>
      <c r="AY318" s="799"/>
      <c r="AZ318" s="799"/>
      <c r="BA318" s="799"/>
      <c r="BB318" s="799"/>
      <c r="BC318" s="799"/>
      <c r="BD318" s="799"/>
      <c r="BE318" s="799"/>
      <c r="BF318" s="799"/>
      <c r="BG318" s="799"/>
    </row>
    <row r="319">
      <c r="H319" s="799"/>
      <c r="I319" s="799"/>
      <c r="J319" s="799"/>
      <c r="K319" s="799"/>
      <c r="L319" s="799"/>
      <c r="M319" s="799"/>
      <c r="N319" s="799"/>
      <c r="O319" s="799"/>
      <c r="P319" s="799"/>
      <c r="Q319" s="799"/>
      <c r="R319" s="799"/>
      <c r="S319" s="799"/>
      <c r="T319" s="799"/>
      <c r="U319" s="799"/>
      <c r="V319" s="799"/>
      <c r="W319" s="799"/>
      <c r="X319" s="799"/>
      <c r="Y319" s="799"/>
      <c r="Z319" s="799"/>
      <c r="AA319" s="799"/>
      <c r="AB319" s="799"/>
      <c r="AC319" s="799"/>
      <c r="AD319" s="799"/>
      <c r="AE319" s="799"/>
      <c r="AF319" s="799"/>
      <c r="AG319" s="799"/>
      <c r="AH319" s="799"/>
      <c r="AI319" s="799"/>
      <c r="AJ319" s="799"/>
      <c r="AK319" s="799"/>
      <c r="AL319" s="799"/>
      <c r="AM319" s="799"/>
      <c r="AN319" s="799"/>
      <c r="AO319" s="799"/>
      <c r="AP319" s="799"/>
      <c r="AQ319" s="799"/>
      <c r="AR319" s="799"/>
      <c r="AS319" s="799"/>
      <c r="AT319" s="799"/>
      <c r="AU319" s="799"/>
      <c r="AV319" s="799"/>
      <c r="AW319" s="799"/>
      <c r="AX319" s="799"/>
      <c r="AY319" s="799"/>
      <c r="AZ319" s="799"/>
      <c r="BA319" s="799"/>
      <c r="BB319" s="799"/>
      <c r="BC319" s="799"/>
      <c r="BD319" s="799"/>
      <c r="BE319" s="799"/>
      <c r="BF319" s="799"/>
      <c r="BG319" s="799"/>
    </row>
    <row r="320">
      <c r="H320" s="799"/>
      <c r="I320" s="799"/>
      <c r="J320" s="799"/>
      <c r="K320" s="799"/>
      <c r="L320" s="799"/>
      <c r="M320" s="799"/>
      <c r="N320" s="799"/>
      <c r="O320" s="799"/>
      <c r="P320" s="799"/>
      <c r="Q320" s="799"/>
      <c r="R320" s="799"/>
      <c r="S320" s="799"/>
      <c r="T320" s="799"/>
      <c r="U320" s="799"/>
      <c r="V320" s="799"/>
      <c r="W320" s="799"/>
      <c r="X320" s="799"/>
      <c r="Y320" s="799"/>
      <c r="Z320" s="799"/>
      <c r="AA320" s="799"/>
      <c r="AB320" s="799"/>
      <c r="AC320" s="799"/>
      <c r="AD320" s="799"/>
      <c r="AE320" s="799"/>
      <c r="AF320" s="799"/>
      <c r="AG320" s="799"/>
      <c r="AH320" s="799"/>
      <c r="AI320" s="799"/>
      <c r="AJ320" s="799"/>
      <c r="AK320" s="799"/>
      <c r="AL320" s="799"/>
      <c r="AM320" s="799"/>
      <c r="AN320" s="799"/>
      <c r="AO320" s="799"/>
      <c r="AP320" s="799"/>
      <c r="AQ320" s="799"/>
      <c r="AR320" s="799"/>
      <c r="AS320" s="799"/>
      <c r="AT320" s="799"/>
      <c r="AU320" s="799"/>
      <c r="AV320" s="799"/>
      <c r="AW320" s="799"/>
      <c r="AX320" s="799"/>
      <c r="AY320" s="799"/>
      <c r="AZ320" s="799"/>
      <c r="BA320" s="799"/>
      <c r="BB320" s="799"/>
      <c r="BC320" s="799"/>
      <c r="BD320" s="799"/>
      <c r="BE320" s="799"/>
      <c r="BF320" s="799"/>
      <c r="BG320" s="799"/>
    </row>
    <row r="321">
      <c r="H321" s="799"/>
      <c r="I321" s="799"/>
      <c r="J321" s="799"/>
      <c r="K321" s="799"/>
      <c r="L321" s="799"/>
      <c r="M321" s="799"/>
      <c r="N321" s="799"/>
      <c r="O321" s="799"/>
      <c r="P321" s="799"/>
      <c r="Q321" s="799"/>
      <c r="R321" s="799"/>
      <c r="S321" s="799"/>
      <c r="T321" s="799"/>
      <c r="U321" s="799"/>
      <c r="V321" s="799"/>
      <c r="W321" s="799"/>
      <c r="X321" s="799"/>
      <c r="Y321" s="799"/>
      <c r="Z321" s="799"/>
      <c r="AA321" s="799"/>
      <c r="AB321" s="799"/>
      <c r="AC321" s="799"/>
      <c r="AD321" s="799"/>
      <c r="AE321" s="799"/>
      <c r="AF321" s="799"/>
      <c r="AG321" s="799"/>
      <c r="AH321" s="799"/>
      <c r="AI321" s="799"/>
      <c r="AJ321" s="799"/>
      <c r="AK321" s="799"/>
      <c r="AL321" s="799"/>
      <c r="AM321" s="799"/>
      <c r="AN321" s="799"/>
      <c r="AO321" s="799"/>
      <c r="AP321" s="799"/>
      <c r="AQ321" s="799"/>
      <c r="AR321" s="799"/>
      <c r="AS321" s="799"/>
      <c r="AT321" s="799"/>
      <c r="AU321" s="799"/>
      <c r="AV321" s="799"/>
      <c r="AW321" s="799"/>
      <c r="AX321" s="799"/>
      <c r="AY321" s="799"/>
      <c r="AZ321" s="799"/>
      <c r="BA321" s="799"/>
      <c r="BB321" s="799"/>
      <c r="BC321" s="799"/>
      <c r="BD321" s="799"/>
      <c r="BE321" s="799"/>
      <c r="BF321" s="799"/>
      <c r="BG321" s="799"/>
    </row>
    <row r="322">
      <c r="H322" s="799"/>
      <c r="I322" s="799"/>
      <c r="J322" s="799"/>
      <c r="K322" s="799"/>
      <c r="L322" s="799"/>
      <c r="M322" s="799"/>
      <c r="N322" s="799"/>
      <c r="O322" s="799"/>
      <c r="P322" s="799"/>
      <c r="Q322" s="799"/>
      <c r="R322" s="799"/>
      <c r="S322" s="799"/>
      <c r="T322" s="799"/>
      <c r="U322" s="799"/>
      <c r="V322" s="799"/>
      <c r="W322" s="799"/>
      <c r="X322" s="799"/>
      <c r="Y322" s="799"/>
      <c r="Z322" s="799"/>
      <c r="AA322" s="799"/>
      <c r="AB322" s="799"/>
      <c r="AC322" s="799"/>
      <c r="AD322" s="799"/>
      <c r="AE322" s="799"/>
      <c r="AF322" s="799"/>
      <c r="AG322" s="799"/>
      <c r="AH322" s="799"/>
      <c r="AI322" s="799"/>
      <c r="AJ322" s="799"/>
      <c r="AK322" s="799"/>
      <c r="AL322" s="799"/>
      <c r="AM322" s="799"/>
      <c r="AN322" s="799"/>
      <c r="AO322" s="799"/>
      <c r="AP322" s="799"/>
      <c r="AQ322" s="799"/>
      <c r="AR322" s="799"/>
      <c r="AS322" s="799"/>
      <c r="AT322" s="799"/>
      <c r="AU322" s="799"/>
      <c r="AV322" s="799"/>
      <c r="AW322" s="799"/>
      <c r="AX322" s="799"/>
      <c r="AY322" s="799"/>
      <c r="AZ322" s="799"/>
      <c r="BA322" s="799"/>
      <c r="BB322" s="799"/>
      <c r="BC322" s="799"/>
      <c r="BD322" s="799"/>
      <c r="BE322" s="799"/>
      <c r="BF322" s="799"/>
      <c r="BG322" s="799"/>
    </row>
    <row r="323">
      <c r="H323" s="799"/>
      <c r="I323" s="799"/>
      <c r="J323" s="799"/>
      <c r="K323" s="799"/>
      <c r="L323" s="799"/>
      <c r="M323" s="799"/>
      <c r="N323" s="799"/>
      <c r="O323" s="799"/>
      <c r="P323" s="799"/>
      <c r="Q323" s="799"/>
      <c r="R323" s="799"/>
      <c r="S323" s="799"/>
      <c r="T323" s="799"/>
      <c r="U323" s="799"/>
      <c r="V323" s="799"/>
      <c r="W323" s="799"/>
      <c r="X323" s="799"/>
      <c r="Y323" s="799"/>
      <c r="Z323" s="799"/>
      <c r="AA323" s="799"/>
      <c r="AB323" s="799"/>
      <c r="AC323" s="799"/>
      <c r="AD323" s="799"/>
      <c r="AE323" s="799"/>
      <c r="AF323" s="799"/>
      <c r="AG323" s="799"/>
      <c r="AH323" s="799"/>
      <c r="AI323" s="799"/>
      <c r="AJ323" s="799"/>
      <c r="AK323" s="799"/>
      <c r="AL323" s="799"/>
      <c r="AM323" s="799"/>
      <c r="AN323" s="799"/>
      <c r="AO323" s="799"/>
      <c r="AP323" s="799"/>
      <c r="AQ323" s="799"/>
      <c r="AR323" s="799"/>
      <c r="AS323" s="799"/>
      <c r="AT323" s="799"/>
      <c r="AU323" s="799"/>
      <c r="AV323" s="799"/>
      <c r="AW323" s="799"/>
      <c r="AX323" s="799"/>
      <c r="AY323" s="799"/>
      <c r="AZ323" s="799"/>
      <c r="BA323" s="799"/>
      <c r="BB323" s="799"/>
      <c r="BC323" s="799"/>
      <c r="BD323" s="799"/>
      <c r="BE323" s="799"/>
      <c r="BF323" s="799"/>
      <c r="BG323" s="799"/>
    </row>
    <row r="324">
      <c r="H324" s="799"/>
      <c r="I324" s="799"/>
      <c r="J324" s="799"/>
      <c r="K324" s="799"/>
      <c r="L324" s="799"/>
      <c r="M324" s="799"/>
      <c r="N324" s="799"/>
      <c r="O324" s="799"/>
      <c r="P324" s="799"/>
      <c r="Q324" s="799"/>
      <c r="R324" s="799"/>
      <c r="S324" s="799"/>
      <c r="T324" s="799"/>
      <c r="U324" s="799"/>
      <c r="V324" s="799"/>
      <c r="W324" s="799"/>
      <c r="X324" s="799"/>
      <c r="Y324" s="799"/>
      <c r="Z324" s="799"/>
      <c r="AA324" s="799"/>
      <c r="AB324" s="799"/>
      <c r="AC324" s="799"/>
      <c r="AD324" s="799"/>
      <c r="AE324" s="799"/>
      <c r="AF324" s="799"/>
      <c r="AG324" s="799"/>
      <c r="AH324" s="799"/>
      <c r="AI324" s="799"/>
      <c r="AJ324" s="799"/>
      <c r="AK324" s="799"/>
      <c r="AL324" s="799"/>
      <c r="AM324" s="799"/>
      <c r="AN324" s="799"/>
      <c r="AO324" s="799"/>
      <c r="AP324" s="799"/>
      <c r="AQ324" s="799"/>
      <c r="AR324" s="799"/>
      <c r="AS324" s="799"/>
      <c r="AT324" s="799"/>
      <c r="AU324" s="799"/>
      <c r="AV324" s="799"/>
      <c r="AW324" s="799"/>
      <c r="AX324" s="799"/>
      <c r="AY324" s="799"/>
      <c r="AZ324" s="799"/>
      <c r="BA324" s="799"/>
      <c r="BB324" s="799"/>
      <c r="BC324" s="799"/>
      <c r="BD324" s="799"/>
      <c r="BE324" s="799"/>
      <c r="BF324" s="799"/>
      <c r="BG324" s="799"/>
    </row>
    <row r="325">
      <c r="H325" s="799"/>
      <c r="I325" s="799"/>
      <c r="J325" s="799"/>
      <c r="K325" s="799"/>
      <c r="L325" s="799"/>
      <c r="M325" s="799"/>
      <c r="N325" s="799"/>
      <c r="O325" s="799"/>
      <c r="P325" s="799"/>
      <c r="Q325" s="799"/>
      <c r="R325" s="799"/>
      <c r="S325" s="799"/>
      <c r="T325" s="799"/>
      <c r="U325" s="799"/>
      <c r="V325" s="799"/>
      <c r="W325" s="799"/>
      <c r="X325" s="799"/>
      <c r="Y325" s="799"/>
      <c r="Z325" s="799"/>
      <c r="AA325" s="799"/>
      <c r="AB325" s="799"/>
      <c r="AC325" s="799"/>
      <c r="AD325" s="799"/>
      <c r="AE325" s="799"/>
      <c r="AF325" s="799"/>
      <c r="AG325" s="799"/>
      <c r="AH325" s="799"/>
      <c r="AI325" s="799"/>
      <c r="AJ325" s="799"/>
      <c r="AK325" s="799"/>
      <c r="AL325" s="799"/>
      <c r="AM325" s="799"/>
      <c r="AN325" s="799"/>
      <c r="AO325" s="799"/>
      <c r="AP325" s="799"/>
      <c r="AQ325" s="799"/>
      <c r="AR325" s="799"/>
      <c r="AS325" s="799"/>
      <c r="AT325" s="799"/>
      <c r="AU325" s="799"/>
      <c r="AV325" s="799"/>
      <c r="AW325" s="799"/>
      <c r="AX325" s="799"/>
      <c r="AY325" s="799"/>
      <c r="AZ325" s="799"/>
      <c r="BA325" s="799"/>
      <c r="BB325" s="799"/>
      <c r="BC325" s="799"/>
      <c r="BD325" s="799"/>
      <c r="BE325" s="799"/>
      <c r="BF325" s="799"/>
      <c r="BG325" s="799"/>
    </row>
    <row r="326">
      <c r="H326" s="799"/>
      <c r="I326" s="799"/>
      <c r="J326" s="799"/>
      <c r="K326" s="799"/>
      <c r="L326" s="799"/>
      <c r="M326" s="799"/>
      <c r="N326" s="799"/>
      <c r="O326" s="799"/>
      <c r="P326" s="799"/>
      <c r="Q326" s="799"/>
      <c r="R326" s="799"/>
      <c r="S326" s="799"/>
      <c r="T326" s="799"/>
      <c r="U326" s="799"/>
      <c r="V326" s="799"/>
      <c r="W326" s="799"/>
      <c r="X326" s="799"/>
      <c r="Y326" s="799"/>
      <c r="Z326" s="799"/>
      <c r="AA326" s="799"/>
      <c r="AB326" s="799"/>
      <c r="AC326" s="799"/>
      <c r="AD326" s="799"/>
      <c r="AE326" s="799"/>
      <c r="AF326" s="799"/>
      <c r="AG326" s="799"/>
      <c r="AH326" s="799"/>
      <c r="AI326" s="799"/>
      <c r="AJ326" s="799"/>
      <c r="AK326" s="799"/>
      <c r="AL326" s="799"/>
      <c r="AM326" s="799"/>
      <c r="AN326" s="799"/>
      <c r="AO326" s="799"/>
      <c r="AP326" s="799"/>
      <c r="AQ326" s="799"/>
      <c r="AR326" s="799"/>
      <c r="AS326" s="799"/>
      <c r="AT326" s="799"/>
      <c r="AU326" s="799"/>
      <c r="AV326" s="799"/>
      <c r="AW326" s="799"/>
      <c r="AX326" s="799"/>
      <c r="AY326" s="799"/>
      <c r="AZ326" s="799"/>
      <c r="BA326" s="799"/>
      <c r="BB326" s="799"/>
      <c r="BC326" s="799"/>
      <c r="BD326" s="799"/>
      <c r="BE326" s="799"/>
      <c r="BF326" s="799"/>
      <c r="BG326" s="799"/>
    </row>
    <row r="327">
      <c r="H327" s="799"/>
      <c r="I327" s="799"/>
      <c r="J327" s="799"/>
      <c r="K327" s="799"/>
      <c r="L327" s="799"/>
      <c r="M327" s="799"/>
      <c r="N327" s="799"/>
      <c r="O327" s="799"/>
      <c r="P327" s="799"/>
      <c r="Q327" s="799"/>
      <c r="R327" s="799"/>
      <c r="S327" s="799"/>
      <c r="T327" s="799"/>
      <c r="U327" s="799"/>
      <c r="V327" s="799"/>
      <c r="W327" s="799"/>
      <c r="X327" s="799"/>
      <c r="Y327" s="799"/>
      <c r="Z327" s="799"/>
      <c r="AA327" s="799"/>
      <c r="AB327" s="799"/>
      <c r="AC327" s="799"/>
      <c r="AD327" s="799"/>
      <c r="AE327" s="799"/>
      <c r="AF327" s="799"/>
      <c r="AG327" s="799"/>
      <c r="AH327" s="799"/>
      <c r="AI327" s="799"/>
      <c r="AJ327" s="799"/>
      <c r="AK327" s="799"/>
      <c r="AL327" s="799"/>
      <c r="AM327" s="799"/>
      <c r="AN327" s="799"/>
      <c r="AO327" s="799"/>
      <c r="AP327" s="799"/>
      <c r="AQ327" s="799"/>
      <c r="AR327" s="799"/>
      <c r="AS327" s="799"/>
      <c r="AT327" s="799"/>
      <c r="AU327" s="799"/>
      <c r="AV327" s="799"/>
      <c r="AW327" s="799"/>
      <c r="AX327" s="799"/>
      <c r="AY327" s="799"/>
      <c r="AZ327" s="799"/>
      <c r="BA327" s="799"/>
      <c r="BB327" s="799"/>
      <c r="BC327" s="799"/>
      <c r="BD327" s="799"/>
      <c r="BE327" s="799"/>
      <c r="BF327" s="799"/>
      <c r="BG327" s="799"/>
    </row>
    <row r="328">
      <c r="H328" s="799"/>
      <c r="I328" s="799"/>
      <c r="J328" s="799"/>
      <c r="K328" s="799"/>
      <c r="L328" s="799"/>
      <c r="M328" s="799"/>
      <c r="N328" s="799"/>
      <c r="O328" s="799"/>
      <c r="P328" s="799"/>
      <c r="Q328" s="799"/>
      <c r="R328" s="799"/>
      <c r="S328" s="799"/>
      <c r="T328" s="799"/>
      <c r="U328" s="799"/>
      <c r="V328" s="799"/>
      <c r="W328" s="799"/>
      <c r="X328" s="799"/>
      <c r="Y328" s="799"/>
      <c r="Z328" s="799"/>
      <c r="AA328" s="799"/>
      <c r="AB328" s="799"/>
      <c r="AC328" s="799"/>
      <c r="AD328" s="799"/>
      <c r="AE328" s="799"/>
      <c r="AF328" s="799"/>
      <c r="AG328" s="799"/>
      <c r="AH328" s="799"/>
      <c r="AI328" s="799"/>
      <c r="AJ328" s="799"/>
      <c r="AK328" s="799"/>
      <c r="AL328" s="799"/>
      <c r="AM328" s="799"/>
      <c r="AN328" s="799"/>
      <c r="AO328" s="799"/>
      <c r="AP328" s="799"/>
      <c r="AQ328" s="799"/>
      <c r="AR328" s="799"/>
      <c r="AS328" s="799"/>
      <c r="AT328" s="799"/>
      <c r="AU328" s="799"/>
      <c r="AV328" s="799"/>
      <c r="AW328" s="799"/>
      <c r="AX328" s="799"/>
      <c r="AY328" s="799"/>
      <c r="AZ328" s="799"/>
      <c r="BA328" s="799"/>
      <c r="BB328" s="799"/>
      <c r="BC328" s="799"/>
      <c r="BD328" s="799"/>
      <c r="BE328" s="799"/>
      <c r="BF328" s="799"/>
      <c r="BG328" s="799"/>
    </row>
    <row r="329">
      <c r="H329" s="799"/>
      <c r="I329" s="799"/>
      <c r="J329" s="799"/>
      <c r="K329" s="799"/>
      <c r="L329" s="799"/>
      <c r="M329" s="799"/>
      <c r="N329" s="799"/>
      <c r="O329" s="799"/>
      <c r="P329" s="799"/>
      <c r="Q329" s="799"/>
      <c r="R329" s="799"/>
      <c r="S329" s="799"/>
      <c r="T329" s="799"/>
      <c r="U329" s="799"/>
      <c r="V329" s="799"/>
      <c r="W329" s="799"/>
      <c r="X329" s="799"/>
      <c r="Y329" s="799"/>
      <c r="Z329" s="799"/>
      <c r="AA329" s="799"/>
      <c r="AB329" s="799"/>
      <c r="AC329" s="799"/>
      <c r="AD329" s="799"/>
      <c r="AE329" s="799"/>
      <c r="AF329" s="799"/>
      <c r="AG329" s="799"/>
      <c r="AH329" s="799"/>
      <c r="AI329" s="799"/>
      <c r="AJ329" s="799"/>
      <c r="AK329" s="799"/>
      <c r="AL329" s="799"/>
      <c r="AM329" s="799"/>
      <c r="AN329" s="799"/>
      <c r="AO329" s="799"/>
      <c r="AP329" s="799"/>
      <c r="AQ329" s="799"/>
      <c r="AR329" s="799"/>
      <c r="AS329" s="799"/>
      <c r="AT329" s="799"/>
      <c r="AU329" s="799"/>
      <c r="AV329" s="799"/>
      <c r="AW329" s="799"/>
      <c r="AX329" s="799"/>
      <c r="AY329" s="799"/>
      <c r="AZ329" s="799"/>
      <c r="BA329" s="799"/>
      <c r="BB329" s="799"/>
      <c r="BC329" s="799"/>
      <c r="BD329" s="799"/>
      <c r="BE329" s="799"/>
      <c r="BF329" s="799"/>
      <c r="BG329" s="799"/>
    </row>
    <row r="330">
      <c r="H330" s="799"/>
      <c r="I330" s="799"/>
      <c r="J330" s="799"/>
      <c r="K330" s="799"/>
      <c r="L330" s="799"/>
      <c r="M330" s="799"/>
      <c r="N330" s="799"/>
      <c r="O330" s="799"/>
      <c r="P330" s="799"/>
      <c r="Q330" s="799"/>
      <c r="R330" s="799"/>
      <c r="S330" s="799"/>
      <c r="T330" s="799"/>
      <c r="U330" s="799"/>
      <c r="V330" s="799"/>
      <c r="W330" s="799"/>
      <c r="X330" s="799"/>
      <c r="Y330" s="799"/>
      <c r="Z330" s="799"/>
      <c r="AA330" s="799"/>
      <c r="AB330" s="799"/>
      <c r="AC330" s="799"/>
      <c r="AD330" s="799"/>
      <c r="AE330" s="799"/>
      <c r="AF330" s="799"/>
      <c r="AG330" s="799"/>
      <c r="AH330" s="799"/>
      <c r="AI330" s="799"/>
      <c r="AJ330" s="799"/>
      <c r="AK330" s="799"/>
      <c r="AL330" s="799"/>
      <c r="AM330" s="799"/>
      <c r="AN330" s="799"/>
      <c r="AO330" s="799"/>
      <c r="AP330" s="799"/>
      <c r="AQ330" s="799"/>
      <c r="AR330" s="799"/>
      <c r="AS330" s="799"/>
      <c r="AT330" s="799"/>
      <c r="AU330" s="799"/>
      <c r="AV330" s="799"/>
      <c r="AW330" s="799"/>
      <c r="AX330" s="799"/>
      <c r="AY330" s="799"/>
      <c r="AZ330" s="799"/>
      <c r="BA330" s="799"/>
      <c r="BB330" s="799"/>
      <c r="BC330" s="799"/>
      <c r="BD330" s="799"/>
      <c r="BE330" s="799"/>
      <c r="BF330" s="799"/>
      <c r="BG330" s="799"/>
    </row>
    <row r="331">
      <c r="H331" s="799"/>
      <c r="I331" s="799"/>
      <c r="J331" s="799"/>
      <c r="K331" s="799"/>
      <c r="L331" s="799"/>
      <c r="M331" s="799"/>
      <c r="N331" s="799"/>
      <c r="O331" s="799"/>
      <c r="P331" s="799"/>
      <c r="Q331" s="799"/>
      <c r="R331" s="799"/>
      <c r="S331" s="799"/>
      <c r="T331" s="799"/>
      <c r="U331" s="799"/>
      <c r="V331" s="799"/>
      <c r="W331" s="799"/>
      <c r="X331" s="799"/>
      <c r="Y331" s="799"/>
      <c r="Z331" s="799"/>
      <c r="AA331" s="799"/>
      <c r="AB331" s="799"/>
      <c r="AC331" s="799"/>
      <c r="AD331" s="799"/>
      <c r="AE331" s="799"/>
      <c r="AF331" s="799"/>
      <c r="AG331" s="799"/>
      <c r="AH331" s="799"/>
      <c r="AI331" s="799"/>
      <c r="AJ331" s="799"/>
      <c r="AK331" s="799"/>
      <c r="AL331" s="799"/>
      <c r="AM331" s="799"/>
      <c r="AN331" s="799"/>
      <c r="AO331" s="799"/>
      <c r="AP331" s="799"/>
      <c r="AQ331" s="799"/>
      <c r="AR331" s="799"/>
      <c r="AS331" s="799"/>
      <c r="AT331" s="799"/>
      <c r="AU331" s="799"/>
      <c r="AV331" s="799"/>
      <c r="AW331" s="799"/>
      <c r="AX331" s="799"/>
      <c r="AY331" s="799"/>
      <c r="AZ331" s="799"/>
      <c r="BA331" s="799"/>
      <c r="BB331" s="799"/>
      <c r="BC331" s="799"/>
      <c r="BD331" s="799"/>
      <c r="BE331" s="799"/>
      <c r="BF331" s="799"/>
      <c r="BG331" s="799"/>
    </row>
    <row r="332">
      <c r="H332" s="799"/>
      <c r="I332" s="799"/>
      <c r="J332" s="799"/>
      <c r="K332" s="799"/>
      <c r="L332" s="799"/>
      <c r="M332" s="799"/>
      <c r="N332" s="799"/>
      <c r="O332" s="799"/>
      <c r="P332" s="799"/>
      <c r="Q332" s="799"/>
      <c r="R332" s="799"/>
      <c r="S332" s="799"/>
      <c r="T332" s="799"/>
      <c r="U332" s="799"/>
      <c r="V332" s="799"/>
      <c r="W332" s="799"/>
      <c r="X332" s="799"/>
      <c r="Y332" s="799"/>
      <c r="Z332" s="799"/>
      <c r="AA332" s="799"/>
      <c r="AB332" s="799"/>
      <c r="AC332" s="799"/>
      <c r="AD332" s="799"/>
      <c r="AE332" s="799"/>
      <c r="AF332" s="799"/>
      <c r="AG332" s="799"/>
      <c r="AH332" s="799"/>
      <c r="AI332" s="799"/>
      <c r="AJ332" s="799"/>
      <c r="AK332" s="799"/>
      <c r="AL332" s="799"/>
      <c r="AM332" s="799"/>
      <c r="AN332" s="799"/>
      <c r="AO332" s="799"/>
      <c r="AP332" s="799"/>
      <c r="AQ332" s="799"/>
      <c r="AR332" s="799"/>
      <c r="AS332" s="799"/>
      <c r="AT332" s="799"/>
      <c r="AU332" s="799"/>
      <c r="AV332" s="799"/>
      <c r="AW332" s="799"/>
      <c r="AX332" s="799"/>
      <c r="AY332" s="799"/>
      <c r="AZ332" s="799"/>
      <c r="BA332" s="799"/>
      <c r="BB332" s="799"/>
      <c r="BC332" s="799"/>
      <c r="BD332" s="799"/>
      <c r="BE332" s="799"/>
      <c r="BF332" s="799"/>
      <c r="BG332" s="799"/>
    </row>
    <row r="333">
      <c r="H333" s="799"/>
      <c r="I333" s="799"/>
      <c r="J333" s="799"/>
      <c r="K333" s="799"/>
      <c r="L333" s="799"/>
      <c r="M333" s="799"/>
      <c r="N333" s="799"/>
      <c r="O333" s="799"/>
      <c r="P333" s="799"/>
      <c r="Q333" s="799"/>
      <c r="R333" s="799"/>
      <c r="S333" s="799"/>
      <c r="T333" s="799"/>
      <c r="U333" s="799"/>
      <c r="V333" s="799"/>
      <c r="W333" s="799"/>
      <c r="X333" s="799"/>
      <c r="Y333" s="799"/>
      <c r="Z333" s="799"/>
      <c r="AA333" s="799"/>
      <c r="AB333" s="799"/>
      <c r="AC333" s="799"/>
      <c r="AD333" s="799"/>
      <c r="AE333" s="799"/>
      <c r="AF333" s="799"/>
      <c r="AG333" s="799"/>
      <c r="AH333" s="799"/>
      <c r="AI333" s="799"/>
      <c r="AJ333" s="799"/>
      <c r="AK333" s="799"/>
      <c r="AL333" s="799"/>
      <c r="AM333" s="799"/>
      <c r="AN333" s="799"/>
      <c r="AO333" s="799"/>
      <c r="AP333" s="799"/>
      <c r="AQ333" s="799"/>
      <c r="AR333" s="799"/>
      <c r="AS333" s="799"/>
      <c r="AT333" s="799"/>
      <c r="AU333" s="799"/>
      <c r="AV333" s="799"/>
      <c r="AW333" s="799"/>
      <c r="AX333" s="799"/>
      <c r="AY333" s="799"/>
      <c r="AZ333" s="799"/>
      <c r="BA333" s="799"/>
      <c r="BB333" s="799"/>
      <c r="BC333" s="799"/>
      <c r="BD333" s="799"/>
      <c r="BE333" s="799"/>
      <c r="BF333" s="799"/>
      <c r="BG333" s="799"/>
    </row>
    <row r="334">
      <c r="H334" s="799"/>
      <c r="I334" s="799"/>
      <c r="J334" s="799"/>
      <c r="K334" s="799"/>
      <c r="L334" s="799"/>
      <c r="M334" s="799"/>
      <c r="N334" s="799"/>
      <c r="O334" s="799"/>
      <c r="P334" s="799"/>
      <c r="Q334" s="799"/>
      <c r="R334" s="799"/>
      <c r="S334" s="799"/>
      <c r="T334" s="799"/>
      <c r="U334" s="799"/>
      <c r="V334" s="799"/>
      <c r="W334" s="799"/>
      <c r="X334" s="799"/>
      <c r="Y334" s="799"/>
      <c r="Z334" s="799"/>
      <c r="AA334" s="799"/>
      <c r="AB334" s="799"/>
      <c r="AC334" s="799"/>
      <c r="AD334" s="799"/>
      <c r="AE334" s="799"/>
      <c r="AF334" s="799"/>
      <c r="AG334" s="799"/>
      <c r="AH334" s="799"/>
      <c r="AI334" s="799"/>
      <c r="AJ334" s="799"/>
      <c r="AK334" s="799"/>
      <c r="AL334" s="799"/>
      <c r="AM334" s="799"/>
      <c r="AN334" s="799"/>
      <c r="AO334" s="799"/>
      <c r="AP334" s="799"/>
      <c r="AQ334" s="799"/>
      <c r="AR334" s="799"/>
      <c r="AS334" s="799"/>
      <c r="AT334" s="799"/>
      <c r="AU334" s="799"/>
      <c r="AV334" s="799"/>
      <c r="AW334" s="799"/>
      <c r="AX334" s="799"/>
      <c r="AY334" s="799"/>
      <c r="AZ334" s="799"/>
      <c r="BA334" s="799"/>
      <c r="BB334" s="799"/>
      <c r="BC334" s="799"/>
      <c r="BD334" s="799"/>
      <c r="BE334" s="799"/>
      <c r="BF334" s="799"/>
      <c r="BG334" s="799"/>
    </row>
    <row r="335">
      <c r="H335" s="799"/>
      <c r="I335" s="799"/>
      <c r="J335" s="799"/>
      <c r="K335" s="799"/>
      <c r="L335" s="799"/>
      <c r="M335" s="799"/>
      <c r="N335" s="799"/>
      <c r="O335" s="799"/>
      <c r="P335" s="799"/>
      <c r="Q335" s="799"/>
      <c r="R335" s="799"/>
      <c r="S335" s="799"/>
      <c r="T335" s="799"/>
      <c r="U335" s="799"/>
      <c r="V335" s="799"/>
      <c r="W335" s="799"/>
      <c r="X335" s="799"/>
      <c r="Y335" s="799"/>
      <c r="Z335" s="799"/>
      <c r="AA335" s="799"/>
      <c r="AB335" s="799"/>
      <c r="AC335" s="799"/>
      <c r="AD335" s="799"/>
      <c r="AE335" s="799"/>
      <c r="AF335" s="799"/>
      <c r="AG335" s="799"/>
      <c r="AH335" s="799"/>
      <c r="AI335" s="799"/>
      <c r="AJ335" s="799"/>
      <c r="AK335" s="799"/>
      <c r="AL335" s="799"/>
      <c r="AM335" s="799"/>
      <c r="AN335" s="799"/>
      <c r="AO335" s="799"/>
      <c r="AP335" s="799"/>
      <c r="AQ335" s="799"/>
      <c r="AR335" s="799"/>
      <c r="AS335" s="799"/>
      <c r="AT335" s="799"/>
      <c r="AU335" s="799"/>
      <c r="AV335" s="799"/>
      <c r="AW335" s="799"/>
      <c r="AX335" s="799"/>
      <c r="AY335" s="799"/>
      <c r="AZ335" s="799"/>
      <c r="BA335" s="799"/>
      <c r="BB335" s="799"/>
      <c r="BC335" s="799"/>
      <c r="BD335" s="799"/>
      <c r="BE335" s="799"/>
      <c r="BF335" s="799"/>
      <c r="BG335" s="799"/>
    </row>
    <row r="336">
      <c r="H336" s="799"/>
      <c r="I336" s="799"/>
      <c r="J336" s="799"/>
      <c r="K336" s="799"/>
      <c r="L336" s="799"/>
      <c r="M336" s="799"/>
      <c r="N336" s="799"/>
      <c r="O336" s="799"/>
      <c r="P336" s="799"/>
      <c r="Q336" s="799"/>
      <c r="R336" s="799"/>
      <c r="S336" s="799"/>
      <c r="T336" s="799"/>
      <c r="U336" s="799"/>
      <c r="V336" s="799"/>
      <c r="W336" s="799"/>
      <c r="X336" s="799"/>
      <c r="Y336" s="799"/>
      <c r="Z336" s="799"/>
      <c r="AA336" s="799"/>
      <c r="AB336" s="799"/>
      <c r="AC336" s="799"/>
      <c r="AD336" s="799"/>
      <c r="AE336" s="799"/>
      <c r="AF336" s="799"/>
      <c r="AG336" s="799"/>
      <c r="AH336" s="799"/>
      <c r="AI336" s="799"/>
      <c r="AJ336" s="799"/>
      <c r="AK336" s="799"/>
      <c r="AL336" s="799"/>
      <c r="AM336" s="799"/>
      <c r="AN336" s="799"/>
      <c r="AO336" s="799"/>
      <c r="AP336" s="799"/>
      <c r="AQ336" s="799"/>
      <c r="AR336" s="799"/>
      <c r="AS336" s="799"/>
      <c r="AT336" s="799"/>
      <c r="AU336" s="799"/>
      <c r="AV336" s="799"/>
      <c r="AW336" s="799"/>
      <c r="AX336" s="799"/>
      <c r="AY336" s="799"/>
      <c r="AZ336" s="799"/>
      <c r="BA336" s="799"/>
      <c r="BB336" s="799"/>
      <c r="BC336" s="799"/>
      <c r="BD336" s="799"/>
      <c r="BE336" s="799"/>
      <c r="BF336" s="799"/>
      <c r="BG336" s="799"/>
    </row>
    <row r="337">
      <c r="H337" s="799"/>
      <c r="I337" s="799"/>
      <c r="J337" s="799"/>
      <c r="K337" s="799"/>
      <c r="L337" s="799"/>
      <c r="M337" s="799"/>
      <c r="N337" s="799"/>
      <c r="O337" s="799"/>
      <c r="P337" s="799"/>
      <c r="Q337" s="799"/>
      <c r="R337" s="799"/>
      <c r="S337" s="799"/>
      <c r="T337" s="799"/>
      <c r="U337" s="799"/>
      <c r="V337" s="799"/>
      <c r="W337" s="799"/>
      <c r="X337" s="799"/>
      <c r="Y337" s="799"/>
      <c r="Z337" s="799"/>
      <c r="AA337" s="799"/>
      <c r="AB337" s="799"/>
      <c r="AC337" s="799"/>
      <c r="AD337" s="799"/>
      <c r="AE337" s="799"/>
      <c r="AF337" s="799"/>
      <c r="AG337" s="799"/>
      <c r="AH337" s="799"/>
      <c r="AI337" s="799"/>
      <c r="AJ337" s="799"/>
      <c r="AK337" s="799"/>
      <c r="AL337" s="799"/>
      <c r="AM337" s="799"/>
      <c r="AN337" s="799"/>
      <c r="AO337" s="799"/>
      <c r="AP337" s="799"/>
      <c r="AQ337" s="799"/>
      <c r="AR337" s="799"/>
      <c r="AS337" s="799"/>
      <c r="AT337" s="799"/>
      <c r="AU337" s="799"/>
      <c r="AV337" s="799"/>
      <c r="AW337" s="799"/>
      <c r="AX337" s="799"/>
      <c r="AY337" s="799"/>
      <c r="AZ337" s="799"/>
      <c r="BA337" s="799"/>
      <c r="BB337" s="799"/>
      <c r="BC337" s="799"/>
      <c r="BD337" s="799"/>
      <c r="BE337" s="799"/>
      <c r="BF337" s="799"/>
      <c r="BG337" s="799"/>
    </row>
    <row r="338">
      <c r="H338" s="799"/>
      <c r="I338" s="799"/>
      <c r="J338" s="799"/>
      <c r="K338" s="799"/>
      <c r="L338" s="799"/>
      <c r="M338" s="799"/>
      <c r="N338" s="799"/>
      <c r="O338" s="799"/>
      <c r="P338" s="799"/>
      <c r="Q338" s="799"/>
      <c r="R338" s="799"/>
      <c r="S338" s="799"/>
      <c r="T338" s="799"/>
      <c r="U338" s="799"/>
      <c r="V338" s="799"/>
      <c r="W338" s="799"/>
      <c r="X338" s="799"/>
      <c r="Y338" s="799"/>
      <c r="Z338" s="799"/>
      <c r="AA338" s="799"/>
      <c r="AB338" s="799"/>
      <c r="AC338" s="799"/>
      <c r="AD338" s="799"/>
      <c r="AE338" s="799"/>
      <c r="AF338" s="799"/>
      <c r="AG338" s="799"/>
      <c r="AH338" s="799"/>
      <c r="AI338" s="799"/>
      <c r="AJ338" s="799"/>
      <c r="AK338" s="799"/>
      <c r="AL338" s="799"/>
      <c r="AM338" s="799"/>
      <c r="AN338" s="799"/>
      <c r="AO338" s="799"/>
      <c r="AP338" s="799"/>
      <c r="AQ338" s="799"/>
      <c r="AR338" s="799"/>
      <c r="AS338" s="799"/>
      <c r="AT338" s="799"/>
      <c r="AU338" s="799"/>
      <c r="AV338" s="799"/>
      <c r="AW338" s="799"/>
      <c r="AX338" s="799"/>
      <c r="AY338" s="799"/>
      <c r="AZ338" s="799"/>
      <c r="BA338" s="799"/>
      <c r="BB338" s="799"/>
      <c r="BC338" s="799"/>
      <c r="BD338" s="799"/>
      <c r="BE338" s="799"/>
      <c r="BF338" s="799"/>
      <c r="BG338" s="799"/>
    </row>
    <row r="339">
      <c r="H339" s="799"/>
      <c r="I339" s="799"/>
      <c r="J339" s="799"/>
      <c r="K339" s="799"/>
      <c r="L339" s="799"/>
      <c r="M339" s="799"/>
      <c r="N339" s="799"/>
      <c r="O339" s="799"/>
      <c r="P339" s="799"/>
      <c r="Q339" s="799"/>
      <c r="R339" s="799"/>
      <c r="S339" s="799"/>
      <c r="T339" s="799"/>
      <c r="U339" s="799"/>
      <c r="V339" s="799"/>
      <c r="W339" s="799"/>
      <c r="X339" s="799"/>
      <c r="Y339" s="799"/>
      <c r="Z339" s="799"/>
      <c r="AA339" s="799"/>
      <c r="AB339" s="799"/>
      <c r="AC339" s="799"/>
      <c r="AD339" s="799"/>
      <c r="AE339" s="799"/>
      <c r="AF339" s="799"/>
      <c r="AG339" s="799"/>
      <c r="AH339" s="799"/>
      <c r="AI339" s="799"/>
      <c r="AJ339" s="799"/>
      <c r="AK339" s="799"/>
      <c r="AL339" s="799"/>
      <c r="AM339" s="799"/>
      <c r="AN339" s="799"/>
      <c r="AO339" s="799"/>
      <c r="AP339" s="799"/>
      <c r="AQ339" s="799"/>
      <c r="AR339" s="799"/>
      <c r="AS339" s="799"/>
      <c r="AT339" s="799"/>
      <c r="AU339" s="799"/>
      <c r="AV339" s="799"/>
      <c r="AW339" s="799"/>
      <c r="AX339" s="799"/>
      <c r="AY339" s="799"/>
      <c r="AZ339" s="799"/>
      <c r="BA339" s="799"/>
      <c r="BB339" s="799"/>
      <c r="BC339" s="799"/>
      <c r="BD339" s="799"/>
      <c r="BE339" s="799"/>
      <c r="BF339" s="799"/>
      <c r="BG339" s="799"/>
    </row>
    <row r="340">
      <c r="H340" s="799"/>
      <c r="I340" s="799"/>
      <c r="J340" s="799"/>
      <c r="K340" s="799"/>
      <c r="L340" s="799"/>
      <c r="M340" s="799"/>
      <c r="N340" s="799"/>
      <c r="O340" s="799"/>
      <c r="P340" s="799"/>
      <c r="Q340" s="799"/>
      <c r="R340" s="799"/>
      <c r="S340" s="799"/>
      <c r="T340" s="799"/>
      <c r="U340" s="799"/>
      <c r="V340" s="799"/>
      <c r="W340" s="799"/>
      <c r="X340" s="799"/>
      <c r="Y340" s="799"/>
      <c r="Z340" s="799"/>
      <c r="AA340" s="799"/>
      <c r="AB340" s="799"/>
      <c r="AC340" s="799"/>
      <c r="AD340" s="799"/>
      <c r="AE340" s="799"/>
      <c r="AF340" s="799"/>
      <c r="AG340" s="799"/>
      <c r="AH340" s="799"/>
      <c r="AI340" s="799"/>
      <c r="AJ340" s="799"/>
      <c r="AK340" s="799"/>
      <c r="AL340" s="799"/>
      <c r="AM340" s="799"/>
      <c r="AN340" s="799"/>
      <c r="AO340" s="799"/>
      <c r="AP340" s="799"/>
      <c r="AQ340" s="799"/>
      <c r="AR340" s="799"/>
      <c r="AS340" s="799"/>
      <c r="AT340" s="799"/>
      <c r="AU340" s="799"/>
      <c r="AV340" s="799"/>
      <c r="AW340" s="799"/>
      <c r="AX340" s="799"/>
      <c r="AY340" s="799"/>
      <c r="AZ340" s="799"/>
      <c r="BA340" s="799"/>
      <c r="BB340" s="799"/>
      <c r="BC340" s="799"/>
      <c r="BD340" s="799"/>
      <c r="BE340" s="799"/>
      <c r="BF340" s="799"/>
      <c r="BG340" s="799"/>
    </row>
    <row r="341">
      <c r="H341" s="799"/>
      <c r="I341" s="799"/>
      <c r="J341" s="799"/>
      <c r="K341" s="799"/>
      <c r="L341" s="799"/>
      <c r="M341" s="799"/>
      <c r="N341" s="799"/>
      <c r="O341" s="799"/>
      <c r="P341" s="799"/>
      <c r="Q341" s="799"/>
      <c r="R341" s="799"/>
      <c r="S341" s="799"/>
      <c r="T341" s="799"/>
      <c r="U341" s="799"/>
      <c r="V341" s="799"/>
      <c r="W341" s="799"/>
      <c r="X341" s="799"/>
      <c r="Y341" s="799"/>
      <c r="Z341" s="799"/>
      <c r="AA341" s="799"/>
      <c r="AB341" s="799"/>
      <c r="AC341" s="799"/>
      <c r="AD341" s="799"/>
      <c r="AE341" s="799"/>
      <c r="AF341" s="799"/>
      <c r="AG341" s="799"/>
      <c r="AH341" s="799"/>
      <c r="AI341" s="799"/>
      <c r="AJ341" s="799"/>
      <c r="AK341" s="799"/>
      <c r="AL341" s="799"/>
      <c r="AM341" s="799"/>
      <c r="AN341" s="799"/>
      <c r="AO341" s="799"/>
      <c r="AP341" s="799"/>
      <c r="AQ341" s="799"/>
      <c r="AR341" s="799"/>
      <c r="AS341" s="799"/>
      <c r="AT341" s="799"/>
      <c r="AU341" s="799"/>
      <c r="AV341" s="799"/>
      <c r="AW341" s="799"/>
      <c r="AX341" s="799"/>
      <c r="AY341" s="799"/>
      <c r="AZ341" s="799"/>
      <c r="BA341" s="799"/>
      <c r="BB341" s="799"/>
      <c r="BC341" s="799"/>
      <c r="BD341" s="799"/>
      <c r="BE341" s="799"/>
      <c r="BF341" s="799"/>
      <c r="BG341" s="799"/>
    </row>
    <row r="342">
      <c r="H342" s="799"/>
      <c r="I342" s="799"/>
      <c r="J342" s="799"/>
      <c r="K342" s="799"/>
      <c r="L342" s="799"/>
      <c r="M342" s="799"/>
      <c r="N342" s="799"/>
      <c r="O342" s="799"/>
      <c r="P342" s="799"/>
      <c r="Q342" s="799"/>
      <c r="R342" s="799"/>
      <c r="S342" s="799"/>
      <c r="T342" s="799"/>
      <c r="U342" s="799"/>
      <c r="V342" s="799"/>
      <c r="W342" s="799"/>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c r="AV342" s="799"/>
      <c r="AW342" s="799"/>
      <c r="AX342" s="799"/>
      <c r="AY342" s="799"/>
      <c r="AZ342" s="799"/>
      <c r="BA342" s="799"/>
      <c r="BB342" s="799"/>
      <c r="BC342" s="799"/>
      <c r="BD342" s="799"/>
      <c r="BE342" s="799"/>
      <c r="BF342" s="799"/>
      <c r="BG342" s="799"/>
    </row>
    <row r="343">
      <c r="H343" s="799"/>
      <c r="I343" s="799"/>
      <c r="J343" s="799"/>
      <c r="K343" s="799"/>
      <c r="L343" s="799"/>
      <c r="M343" s="799"/>
      <c r="N343" s="799"/>
      <c r="O343" s="799"/>
      <c r="P343" s="799"/>
      <c r="Q343" s="799"/>
      <c r="R343" s="799"/>
      <c r="S343" s="799"/>
      <c r="T343" s="799"/>
      <c r="U343" s="799"/>
      <c r="V343" s="799"/>
      <c r="W343" s="799"/>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c r="AV343" s="799"/>
      <c r="AW343" s="799"/>
      <c r="AX343" s="799"/>
      <c r="AY343" s="799"/>
      <c r="AZ343" s="799"/>
      <c r="BA343" s="799"/>
      <c r="BB343" s="799"/>
      <c r="BC343" s="799"/>
      <c r="BD343" s="799"/>
      <c r="BE343" s="799"/>
      <c r="BF343" s="799"/>
      <c r="BG343" s="799"/>
    </row>
    <row r="344">
      <c r="H344" s="799"/>
      <c r="I344" s="799"/>
      <c r="J344" s="799"/>
      <c r="K344" s="799"/>
      <c r="L344" s="799"/>
      <c r="M344" s="799"/>
      <c r="N344" s="799"/>
      <c r="O344" s="799"/>
      <c r="P344" s="799"/>
      <c r="Q344" s="799"/>
      <c r="R344" s="799"/>
      <c r="S344" s="799"/>
      <c r="T344" s="799"/>
      <c r="U344" s="799"/>
      <c r="V344" s="799"/>
      <c r="W344" s="799"/>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c r="AV344" s="799"/>
      <c r="AW344" s="799"/>
      <c r="AX344" s="799"/>
      <c r="AY344" s="799"/>
      <c r="AZ344" s="799"/>
      <c r="BA344" s="799"/>
      <c r="BB344" s="799"/>
      <c r="BC344" s="799"/>
      <c r="BD344" s="799"/>
      <c r="BE344" s="799"/>
      <c r="BF344" s="799"/>
      <c r="BG344" s="799"/>
    </row>
    <row r="345">
      <c r="H345" s="799"/>
      <c r="I345" s="799"/>
      <c r="J345" s="799"/>
      <c r="K345" s="799"/>
      <c r="L345" s="799"/>
      <c r="M345" s="799"/>
      <c r="N345" s="799"/>
      <c r="O345" s="799"/>
      <c r="P345" s="799"/>
      <c r="Q345" s="799"/>
      <c r="R345" s="799"/>
      <c r="S345" s="799"/>
      <c r="T345" s="799"/>
      <c r="U345" s="799"/>
      <c r="V345" s="799"/>
      <c r="W345" s="799"/>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c r="AV345" s="799"/>
      <c r="AW345" s="799"/>
      <c r="AX345" s="799"/>
      <c r="AY345" s="799"/>
      <c r="AZ345" s="799"/>
      <c r="BA345" s="799"/>
      <c r="BB345" s="799"/>
      <c r="BC345" s="799"/>
      <c r="BD345" s="799"/>
      <c r="BE345" s="799"/>
      <c r="BF345" s="799"/>
      <c r="BG345" s="799"/>
    </row>
    <row r="346">
      <c r="H346" s="799"/>
      <c r="I346" s="799"/>
      <c r="J346" s="799"/>
      <c r="K346" s="799"/>
      <c r="L346" s="799"/>
      <c r="M346" s="799"/>
      <c r="N346" s="799"/>
      <c r="O346" s="799"/>
      <c r="P346" s="799"/>
      <c r="Q346" s="799"/>
      <c r="R346" s="799"/>
      <c r="S346" s="799"/>
      <c r="T346" s="799"/>
      <c r="U346" s="799"/>
      <c r="V346" s="799"/>
      <c r="W346" s="799"/>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799"/>
      <c r="AX346" s="799"/>
      <c r="AY346" s="799"/>
      <c r="AZ346" s="799"/>
      <c r="BA346" s="799"/>
      <c r="BB346" s="799"/>
      <c r="BC346" s="799"/>
      <c r="BD346" s="799"/>
      <c r="BE346" s="799"/>
      <c r="BF346" s="799"/>
      <c r="BG346" s="799"/>
    </row>
    <row r="347">
      <c r="H347" s="799"/>
      <c r="I347" s="799"/>
      <c r="J347" s="799"/>
      <c r="K347" s="799"/>
      <c r="L347" s="799"/>
      <c r="M347" s="799"/>
      <c r="N347" s="799"/>
      <c r="O347" s="799"/>
      <c r="P347" s="799"/>
      <c r="Q347" s="799"/>
      <c r="R347" s="799"/>
      <c r="S347" s="799"/>
      <c r="T347" s="799"/>
      <c r="U347" s="799"/>
      <c r="V347" s="799"/>
      <c r="W347" s="799"/>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799"/>
      <c r="AX347" s="799"/>
      <c r="AY347" s="799"/>
      <c r="AZ347" s="799"/>
      <c r="BA347" s="799"/>
      <c r="BB347" s="799"/>
      <c r="BC347" s="799"/>
      <c r="BD347" s="799"/>
      <c r="BE347" s="799"/>
      <c r="BF347" s="799"/>
      <c r="BG347" s="799"/>
    </row>
    <row r="348">
      <c r="H348" s="799"/>
      <c r="I348" s="799"/>
      <c r="J348" s="799"/>
      <c r="K348" s="799"/>
      <c r="L348" s="799"/>
      <c r="M348" s="799"/>
      <c r="N348" s="799"/>
      <c r="O348" s="799"/>
      <c r="P348" s="799"/>
      <c r="Q348" s="799"/>
      <c r="R348" s="799"/>
      <c r="S348" s="799"/>
      <c r="T348" s="799"/>
      <c r="U348" s="799"/>
      <c r="V348" s="799"/>
      <c r="W348" s="799"/>
      <c r="X348" s="799"/>
      <c r="Y348" s="799"/>
      <c r="Z348" s="799"/>
      <c r="AA348" s="799"/>
      <c r="AB348" s="799"/>
      <c r="AC348" s="799"/>
      <c r="AD348" s="799"/>
      <c r="AE348" s="799"/>
      <c r="AF348" s="799"/>
      <c r="AG348" s="799"/>
      <c r="AH348" s="799"/>
      <c r="AI348" s="799"/>
      <c r="AJ348" s="799"/>
      <c r="AK348" s="799"/>
      <c r="AL348" s="799"/>
      <c r="AM348" s="799"/>
      <c r="AN348" s="799"/>
      <c r="AO348" s="799"/>
      <c r="AP348" s="799"/>
      <c r="AQ348" s="799"/>
      <c r="AR348" s="799"/>
      <c r="AS348" s="799"/>
      <c r="AT348" s="799"/>
      <c r="AU348" s="799"/>
      <c r="AV348" s="799"/>
      <c r="AW348" s="799"/>
      <c r="AX348" s="799"/>
      <c r="AY348" s="799"/>
      <c r="AZ348" s="799"/>
      <c r="BA348" s="799"/>
      <c r="BB348" s="799"/>
      <c r="BC348" s="799"/>
      <c r="BD348" s="799"/>
      <c r="BE348" s="799"/>
      <c r="BF348" s="799"/>
      <c r="BG348" s="799"/>
    </row>
    <row r="349">
      <c r="H349" s="799"/>
      <c r="I349" s="799"/>
      <c r="J349" s="799"/>
      <c r="K349" s="799"/>
      <c r="L349" s="799"/>
      <c r="M349" s="799"/>
      <c r="N349" s="799"/>
      <c r="O349" s="799"/>
      <c r="P349" s="799"/>
      <c r="Q349" s="799"/>
      <c r="R349" s="799"/>
      <c r="S349" s="799"/>
      <c r="T349" s="799"/>
      <c r="U349" s="799"/>
      <c r="V349" s="799"/>
      <c r="W349" s="799"/>
      <c r="X349" s="799"/>
      <c r="Y349" s="799"/>
      <c r="Z349" s="799"/>
      <c r="AA349" s="799"/>
      <c r="AB349" s="799"/>
      <c r="AC349" s="799"/>
      <c r="AD349" s="799"/>
      <c r="AE349" s="799"/>
      <c r="AF349" s="799"/>
      <c r="AG349" s="799"/>
      <c r="AH349" s="799"/>
      <c r="AI349" s="799"/>
      <c r="AJ349" s="799"/>
      <c r="AK349" s="799"/>
      <c r="AL349" s="799"/>
      <c r="AM349" s="799"/>
      <c r="AN349" s="799"/>
      <c r="AO349" s="799"/>
      <c r="AP349" s="799"/>
      <c r="AQ349" s="799"/>
      <c r="AR349" s="799"/>
      <c r="AS349" s="799"/>
      <c r="AT349" s="799"/>
      <c r="AU349" s="799"/>
      <c r="AV349" s="799"/>
      <c r="AW349" s="799"/>
      <c r="AX349" s="799"/>
      <c r="AY349" s="799"/>
      <c r="AZ349" s="799"/>
      <c r="BA349" s="799"/>
      <c r="BB349" s="799"/>
      <c r="BC349" s="799"/>
      <c r="BD349" s="799"/>
      <c r="BE349" s="799"/>
      <c r="BF349" s="799"/>
      <c r="BG349" s="799"/>
    </row>
    <row r="350">
      <c r="H350" s="799"/>
      <c r="I350" s="799"/>
      <c r="J350" s="799"/>
      <c r="K350" s="799"/>
      <c r="L350" s="799"/>
      <c r="M350" s="799"/>
      <c r="N350" s="799"/>
      <c r="O350" s="799"/>
      <c r="P350" s="799"/>
      <c r="Q350" s="799"/>
      <c r="R350" s="799"/>
      <c r="S350" s="799"/>
      <c r="T350" s="799"/>
      <c r="U350" s="799"/>
      <c r="V350" s="799"/>
      <c r="W350" s="799"/>
      <c r="X350" s="799"/>
      <c r="Y350" s="799"/>
      <c r="Z350" s="799"/>
      <c r="AA350" s="799"/>
      <c r="AB350" s="799"/>
      <c r="AC350" s="799"/>
      <c r="AD350" s="799"/>
      <c r="AE350" s="799"/>
      <c r="AF350" s="799"/>
      <c r="AG350" s="799"/>
      <c r="AH350" s="799"/>
      <c r="AI350" s="799"/>
      <c r="AJ350" s="799"/>
      <c r="AK350" s="799"/>
      <c r="AL350" s="799"/>
      <c r="AM350" s="799"/>
      <c r="AN350" s="799"/>
      <c r="AO350" s="799"/>
      <c r="AP350" s="799"/>
      <c r="AQ350" s="799"/>
      <c r="AR350" s="799"/>
      <c r="AS350" s="799"/>
      <c r="AT350" s="799"/>
      <c r="AU350" s="799"/>
      <c r="AV350" s="799"/>
      <c r="AW350" s="799"/>
      <c r="AX350" s="799"/>
      <c r="AY350" s="799"/>
      <c r="AZ350" s="799"/>
      <c r="BA350" s="799"/>
      <c r="BB350" s="799"/>
      <c r="BC350" s="799"/>
      <c r="BD350" s="799"/>
      <c r="BE350" s="799"/>
      <c r="BF350" s="799"/>
      <c r="BG350" s="799"/>
    </row>
    <row r="351">
      <c r="H351" s="799"/>
      <c r="I351" s="799"/>
      <c r="J351" s="799"/>
      <c r="K351" s="799"/>
      <c r="L351" s="799"/>
      <c r="M351" s="799"/>
      <c r="N351" s="799"/>
      <c r="O351" s="799"/>
      <c r="P351" s="799"/>
      <c r="Q351" s="799"/>
      <c r="R351" s="799"/>
      <c r="S351" s="799"/>
      <c r="T351" s="799"/>
      <c r="U351" s="799"/>
      <c r="V351" s="799"/>
      <c r="W351" s="799"/>
      <c r="X351" s="799"/>
      <c r="Y351" s="799"/>
      <c r="Z351" s="799"/>
      <c r="AA351" s="799"/>
      <c r="AB351" s="799"/>
      <c r="AC351" s="799"/>
      <c r="AD351" s="799"/>
      <c r="AE351" s="799"/>
      <c r="AF351" s="799"/>
      <c r="AG351" s="799"/>
      <c r="AH351" s="799"/>
      <c r="AI351" s="799"/>
      <c r="AJ351" s="799"/>
      <c r="AK351" s="799"/>
      <c r="AL351" s="799"/>
      <c r="AM351" s="799"/>
      <c r="AN351" s="799"/>
      <c r="AO351" s="799"/>
      <c r="AP351" s="799"/>
      <c r="AQ351" s="799"/>
      <c r="AR351" s="799"/>
      <c r="AS351" s="799"/>
      <c r="AT351" s="799"/>
      <c r="AU351" s="799"/>
      <c r="AV351" s="799"/>
      <c r="AW351" s="799"/>
      <c r="AX351" s="799"/>
      <c r="AY351" s="799"/>
      <c r="AZ351" s="799"/>
      <c r="BA351" s="799"/>
      <c r="BB351" s="799"/>
      <c r="BC351" s="799"/>
      <c r="BD351" s="799"/>
      <c r="BE351" s="799"/>
      <c r="BF351" s="799"/>
      <c r="BG351" s="799"/>
    </row>
    <row r="352">
      <c r="H352" s="799"/>
      <c r="I352" s="799"/>
      <c r="J352" s="799"/>
      <c r="K352" s="799"/>
      <c r="L352" s="799"/>
      <c r="M352" s="799"/>
      <c r="N352" s="799"/>
      <c r="O352" s="799"/>
      <c r="P352" s="799"/>
      <c r="Q352" s="799"/>
      <c r="R352" s="799"/>
      <c r="S352" s="799"/>
      <c r="T352" s="799"/>
      <c r="U352" s="799"/>
      <c r="V352" s="799"/>
      <c r="W352" s="799"/>
      <c r="X352" s="799"/>
      <c r="Y352" s="799"/>
      <c r="Z352" s="799"/>
      <c r="AA352" s="799"/>
      <c r="AB352" s="799"/>
      <c r="AC352" s="799"/>
      <c r="AD352" s="799"/>
      <c r="AE352" s="799"/>
      <c r="AF352" s="799"/>
      <c r="AG352" s="799"/>
      <c r="AH352" s="799"/>
      <c r="AI352" s="799"/>
      <c r="AJ352" s="799"/>
      <c r="AK352" s="799"/>
      <c r="AL352" s="799"/>
      <c r="AM352" s="799"/>
      <c r="AN352" s="799"/>
      <c r="AO352" s="799"/>
      <c r="AP352" s="799"/>
      <c r="AQ352" s="799"/>
      <c r="AR352" s="799"/>
      <c r="AS352" s="799"/>
      <c r="AT352" s="799"/>
      <c r="AU352" s="799"/>
      <c r="AV352" s="799"/>
      <c r="AW352" s="799"/>
      <c r="AX352" s="799"/>
      <c r="AY352" s="799"/>
      <c r="AZ352" s="799"/>
      <c r="BA352" s="799"/>
      <c r="BB352" s="799"/>
      <c r="BC352" s="799"/>
      <c r="BD352" s="799"/>
      <c r="BE352" s="799"/>
      <c r="BF352" s="799"/>
      <c r="BG352" s="799"/>
    </row>
    <row r="353">
      <c r="H353" s="799"/>
      <c r="I353" s="799"/>
      <c r="J353" s="799"/>
      <c r="K353" s="799"/>
      <c r="L353" s="799"/>
      <c r="M353" s="799"/>
      <c r="N353" s="799"/>
      <c r="O353" s="799"/>
      <c r="P353" s="799"/>
      <c r="Q353" s="799"/>
      <c r="R353" s="799"/>
      <c r="S353" s="799"/>
      <c r="T353" s="799"/>
      <c r="U353" s="799"/>
      <c r="V353" s="799"/>
      <c r="W353" s="799"/>
      <c r="X353" s="799"/>
      <c r="Y353" s="799"/>
      <c r="Z353" s="799"/>
      <c r="AA353" s="799"/>
      <c r="AB353" s="799"/>
      <c r="AC353" s="799"/>
      <c r="AD353" s="799"/>
      <c r="AE353" s="799"/>
      <c r="AF353" s="799"/>
      <c r="AG353" s="799"/>
      <c r="AH353" s="799"/>
      <c r="AI353" s="799"/>
      <c r="AJ353" s="799"/>
      <c r="AK353" s="799"/>
      <c r="AL353" s="799"/>
      <c r="AM353" s="799"/>
      <c r="AN353" s="799"/>
      <c r="AO353" s="799"/>
      <c r="AP353" s="799"/>
      <c r="AQ353" s="799"/>
      <c r="AR353" s="799"/>
      <c r="AS353" s="799"/>
      <c r="AT353" s="799"/>
      <c r="AU353" s="799"/>
      <c r="AV353" s="799"/>
      <c r="AW353" s="799"/>
      <c r="AX353" s="799"/>
      <c r="AY353" s="799"/>
      <c r="AZ353" s="799"/>
      <c r="BA353" s="799"/>
      <c r="BB353" s="799"/>
      <c r="BC353" s="799"/>
      <c r="BD353" s="799"/>
      <c r="BE353" s="799"/>
      <c r="BF353" s="799"/>
      <c r="BG353" s="799"/>
    </row>
    <row r="354">
      <c r="H354" s="799"/>
      <c r="I354" s="799"/>
      <c r="J354" s="799"/>
      <c r="K354" s="799"/>
      <c r="L354" s="799"/>
      <c r="M354" s="799"/>
      <c r="N354" s="799"/>
      <c r="O354" s="799"/>
      <c r="P354" s="799"/>
      <c r="Q354" s="799"/>
      <c r="R354" s="799"/>
      <c r="S354" s="799"/>
      <c r="T354" s="799"/>
      <c r="U354" s="799"/>
      <c r="V354" s="799"/>
      <c r="W354" s="799"/>
      <c r="X354" s="799"/>
      <c r="Y354" s="799"/>
      <c r="Z354" s="799"/>
      <c r="AA354" s="799"/>
      <c r="AB354" s="799"/>
      <c r="AC354" s="799"/>
      <c r="AD354" s="799"/>
      <c r="AE354" s="799"/>
      <c r="AF354" s="799"/>
      <c r="AG354" s="799"/>
      <c r="AH354" s="799"/>
      <c r="AI354" s="799"/>
      <c r="AJ354" s="799"/>
      <c r="AK354" s="799"/>
      <c r="AL354" s="799"/>
      <c r="AM354" s="799"/>
      <c r="AN354" s="799"/>
      <c r="AO354" s="799"/>
      <c r="AP354" s="799"/>
      <c r="AQ354" s="799"/>
      <c r="AR354" s="799"/>
      <c r="AS354" s="799"/>
      <c r="AT354" s="799"/>
      <c r="AU354" s="799"/>
      <c r="AV354" s="799"/>
      <c r="AW354" s="799"/>
      <c r="AX354" s="799"/>
      <c r="AY354" s="799"/>
      <c r="AZ354" s="799"/>
      <c r="BA354" s="799"/>
      <c r="BB354" s="799"/>
      <c r="BC354" s="799"/>
      <c r="BD354" s="799"/>
      <c r="BE354" s="799"/>
      <c r="BF354" s="799"/>
      <c r="BG354" s="799"/>
    </row>
    <row r="355">
      <c r="H355" s="799"/>
      <c r="I355" s="799"/>
      <c r="J355" s="799"/>
      <c r="K355" s="799"/>
      <c r="L355" s="799"/>
      <c r="M355" s="799"/>
      <c r="N355" s="799"/>
      <c r="O355" s="799"/>
      <c r="P355" s="799"/>
      <c r="Q355" s="799"/>
      <c r="R355" s="799"/>
      <c r="S355" s="799"/>
      <c r="T355" s="799"/>
      <c r="U355" s="799"/>
      <c r="V355" s="799"/>
      <c r="W355" s="799"/>
      <c r="X355" s="799"/>
      <c r="Y355" s="799"/>
      <c r="Z355" s="799"/>
      <c r="AA355" s="799"/>
      <c r="AB355" s="799"/>
      <c r="AC355" s="799"/>
      <c r="AD355" s="799"/>
      <c r="AE355" s="799"/>
      <c r="AF355" s="799"/>
      <c r="AG355" s="799"/>
      <c r="AH355" s="799"/>
      <c r="AI355" s="799"/>
      <c r="AJ355" s="799"/>
      <c r="AK355" s="799"/>
      <c r="AL355" s="799"/>
      <c r="AM355" s="799"/>
      <c r="AN355" s="799"/>
      <c r="AO355" s="799"/>
      <c r="AP355" s="799"/>
      <c r="AQ355" s="799"/>
      <c r="AR355" s="799"/>
      <c r="AS355" s="799"/>
      <c r="AT355" s="799"/>
      <c r="AU355" s="799"/>
      <c r="AV355" s="799"/>
      <c r="AW355" s="799"/>
      <c r="AX355" s="799"/>
      <c r="AY355" s="799"/>
      <c r="AZ355" s="799"/>
      <c r="BA355" s="799"/>
      <c r="BB355" s="799"/>
      <c r="BC355" s="799"/>
      <c r="BD355" s="799"/>
      <c r="BE355" s="799"/>
      <c r="BF355" s="799"/>
      <c r="BG355" s="799"/>
    </row>
    <row r="356">
      <c r="H356" s="799"/>
      <c r="I356" s="799"/>
      <c r="J356" s="799"/>
      <c r="K356" s="799"/>
      <c r="L356" s="799"/>
      <c r="M356" s="799"/>
      <c r="N356" s="799"/>
      <c r="O356" s="799"/>
      <c r="P356" s="799"/>
      <c r="Q356" s="799"/>
      <c r="R356" s="799"/>
      <c r="S356" s="799"/>
      <c r="T356" s="799"/>
      <c r="U356" s="799"/>
      <c r="V356" s="799"/>
      <c r="W356" s="799"/>
      <c r="X356" s="799"/>
      <c r="Y356" s="799"/>
      <c r="Z356" s="799"/>
      <c r="AA356" s="799"/>
      <c r="AB356" s="799"/>
      <c r="AC356" s="799"/>
      <c r="AD356" s="799"/>
      <c r="AE356" s="799"/>
      <c r="AF356" s="799"/>
      <c r="AG356" s="799"/>
      <c r="AH356" s="799"/>
      <c r="AI356" s="799"/>
      <c r="AJ356" s="799"/>
      <c r="AK356" s="799"/>
      <c r="AL356" s="799"/>
      <c r="AM356" s="799"/>
      <c r="AN356" s="799"/>
      <c r="AO356" s="799"/>
      <c r="AP356" s="799"/>
      <c r="AQ356" s="799"/>
      <c r="AR356" s="799"/>
      <c r="AS356" s="799"/>
      <c r="AT356" s="799"/>
      <c r="AU356" s="799"/>
      <c r="AV356" s="799"/>
      <c r="AW356" s="799"/>
      <c r="AX356" s="799"/>
      <c r="AY356" s="799"/>
      <c r="AZ356" s="799"/>
      <c r="BA356" s="799"/>
      <c r="BB356" s="799"/>
      <c r="BC356" s="799"/>
      <c r="BD356" s="799"/>
      <c r="BE356" s="799"/>
      <c r="BF356" s="799"/>
      <c r="BG356" s="799"/>
    </row>
    <row r="357">
      <c r="H357" s="799"/>
      <c r="I357" s="799"/>
      <c r="J357" s="799"/>
      <c r="K357" s="799"/>
      <c r="L357" s="799"/>
      <c r="M357" s="799"/>
      <c r="N357" s="799"/>
      <c r="O357" s="799"/>
      <c r="P357" s="799"/>
      <c r="Q357" s="799"/>
      <c r="R357" s="799"/>
      <c r="S357" s="799"/>
      <c r="T357" s="799"/>
      <c r="U357" s="799"/>
      <c r="V357" s="799"/>
      <c r="W357" s="799"/>
      <c r="X357" s="799"/>
      <c r="Y357" s="799"/>
      <c r="Z357" s="799"/>
      <c r="AA357" s="799"/>
      <c r="AB357" s="799"/>
      <c r="AC357" s="799"/>
      <c r="AD357" s="799"/>
      <c r="AE357" s="799"/>
      <c r="AF357" s="799"/>
      <c r="AG357" s="799"/>
      <c r="AH357" s="799"/>
      <c r="AI357" s="799"/>
      <c r="AJ357" s="799"/>
      <c r="AK357" s="799"/>
      <c r="AL357" s="799"/>
      <c r="AM357" s="799"/>
      <c r="AN357" s="799"/>
      <c r="AO357" s="799"/>
      <c r="AP357" s="799"/>
      <c r="AQ357" s="799"/>
      <c r="AR357" s="799"/>
      <c r="AS357" s="799"/>
      <c r="AT357" s="799"/>
      <c r="AU357" s="799"/>
      <c r="AV357" s="799"/>
      <c r="AW357" s="799"/>
      <c r="AX357" s="799"/>
      <c r="AY357" s="799"/>
      <c r="AZ357" s="799"/>
      <c r="BA357" s="799"/>
      <c r="BB357" s="799"/>
      <c r="BC357" s="799"/>
      <c r="BD357" s="799"/>
      <c r="BE357" s="799"/>
      <c r="BF357" s="799"/>
      <c r="BG357" s="799"/>
    </row>
    <row r="358">
      <c r="H358" s="799"/>
      <c r="I358" s="799"/>
      <c r="J358" s="799"/>
      <c r="K358" s="799"/>
      <c r="L358" s="799"/>
      <c r="M358" s="799"/>
      <c r="N358" s="799"/>
      <c r="O358" s="799"/>
      <c r="P358" s="799"/>
      <c r="Q358" s="799"/>
      <c r="R358" s="799"/>
      <c r="S358" s="799"/>
      <c r="T358" s="799"/>
      <c r="U358" s="799"/>
      <c r="V358" s="799"/>
      <c r="W358" s="799"/>
      <c r="X358" s="799"/>
      <c r="Y358" s="799"/>
      <c r="Z358" s="799"/>
      <c r="AA358" s="799"/>
      <c r="AB358" s="799"/>
      <c r="AC358" s="799"/>
      <c r="AD358" s="799"/>
      <c r="AE358" s="799"/>
      <c r="AF358" s="799"/>
      <c r="AG358" s="799"/>
      <c r="AH358" s="799"/>
      <c r="AI358" s="799"/>
      <c r="AJ358" s="799"/>
      <c r="AK358" s="799"/>
      <c r="AL358" s="799"/>
      <c r="AM358" s="799"/>
      <c r="AN358" s="799"/>
      <c r="AO358" s="799"/>
      <c r="AP358" s="799"/>
      <c r="AQ358" s="799"/>
      <c r="AR358" s="799"/>
      <c r="AS358" s="799"/>
      <c r="AT358" s="799"/>
      <c r="AU358" s="799"/>
      <c r="AV358" s="799"/>
      <c r="AW358" s="799"/>
      <c r="AX358" s="799"/>
      <c r="AY358" s="799"/>
      <c r="AZ358" s="799"/>
      <c r="BA358" s="799"/>
      <c r="BB358" s="799"/>
      <c r="BC358" s="799"/>
      <c r="BD358" s="799"/>
      <c r="BE358" s="799"/>
      <c r="BF358" s="799"/>
      <c r="BG358" s="799"/>
    </row>
    <row r="359">
      <c r="H359" s="799"/>
      <c r="I359" s="799"/>
      <c r="J359" s="799"/>
      <c r="K359" s="799"/>
      <c r="L359" s="799"/>
      <c r="M359" s="799"/>
      <c r="N359" s="799"/>
      <c r="O359" s="799"/>
      <c r="P359" s="799"/>
      <c r="Q359" s="799"/>
      <c r="R359" s="799"/>
      <c r="S359" s="799"/>
      <c r="T359" s="799"/>
      <c r="U359" s="799"/>
      <c r="V359" s="799"/>
      <c r="W359" s="799"/>
      <c r="X359" s="799"/>
      <c r="Y359" s="799"/>
      <c r="Z359" s="799"/>
      <c r="AA359" s="799"/>
      <c r="AB359" s="799"/>
      <c r="AC359" s="799"/>
      <c r="AD359" s="799"/>
      <c r="AE359" s="799"/>
      <c r="AF359" s="799"/>
      <c r="AG359" s="799"/>
      <c r="AH359" s="799"/>
      <c r="AI359" s="799"/>
      <c r="AJ359" s="799"/>
      <c r="AK359" s="799"/>
      <c r="AL359" s="799"/>
      <c r="AM359" s="799"/>
      <c r="AN359" s="799"/>
      <c r="AO359" s="799"/>
      <c r="AP359" s="799"/>
      <c r="AQ359" s="799"/>
      <c r="AR359" s="799"/>
      <c r="AS359" s="799"/>
      <c r="AT359" s="799"/>
      <c r="AU359" s="799"/>
      <c r="AV359" s="799"/>
      <c r="AW359" s="799"/>
      <c r="AX359" s="799"/>
      <c r="AY359" s="799"/>
      <c r="AZ359" s="799"/>
      <c r="BA359" s="799"/>
      <c r="BB359" s="799"/>
      <c r="BC359" s="799"/>
      <c r="BD359" s="799"/>
      <c r="BE359" s="799"/>
      <c r="BF359" s="799"/>
      <c r="BG359" s="799"/>
    </row>
    <row r="360">
      <c r="H360" s="799"/>
      <c r="I360" s="799"/>
      <c r="J360" s="799"/>
      <c r="K360" s="799"/>
      <c r="L360" s="799"/>
      <c r="M360" s="799"/>
      <c r="N360" s="799"/>
      <c r="O360" s="799"/>
      <c r="P360" s="799"/>
      <c r="Q360" s="799"/>
      <c r="R360" s="799"/>
      <c r="S360" s="799"/>
      <c r="T360" s="799"/>
      <c r="U360" s="799"/>
      <c r="V360" s="799"/>
      <c r="W360" s="799"/>
      <c r="X360" s="799"/>
      <c r="Y360" s="799"/>
      <c r="Z360" s="799"/>
      <c r="AA360" s="799"/>
      <c r="AB360" s="799"/>
      <c r="AC360" s="799"/>
      <c r="AD360" s="799"/>
      <c r="AE360" s="799"/>
      <c r="AF360" s="799"/>
      <c r="AG360" s="799"/>
      <c r="AH360" s="799"/>
      <c r="AI360" s="799"/>
      <c r="AJ360" s="799"/>
      <c r="AK360" s="799"/>
      <c r="AL360" s="799"/>
      <c r="AM360" s="799"/>
      <c r="AN360" s="799"/>
      <c r="AO360" s="799"/>
      <c r="AP360" s="799"/>
      <c r="AQ360" s="799"/>
      <c r="AR360" s="799"/>
      <c r="AS360" s="799"/>
      <c r="AT360" s="799"/>
      <c r="AU360" s="799"/>
      <c r="AV360" s="799"/>
      <c r="AW360" s="799"/>
      <c r="AX360" s="799"/>
      <c r="AY360" s="799"/>
      <c r="AZ360" s="799"/>
      <c r="BA360" s="799"/>
      <c r="BB360" s="799"/>
      <c r="BC360" s="799"/>
      <c r="BD360" s="799"/>
      <c r="BE360" s="799"/>
      <c r="BF360" s="799"/>
      <c r="BG360" s="799"/>
    </row>
    <row r="361">
      <c r="H361" s="799"/>
      <c r="I361" s="799"/>
      <c r="J361" s="799"/>
      <c r="K361" s="799"/>
      <c r="L361" s="799"/>
      <c r="M361" s="799"/>
      <c r="N361" s="799"/>
      <c r="O361" s="799"/>
      <c r="P361" s="799"/>
      <c r="Q361" s="799"/>
      <c r="R361" s="799"/>
      <c r="S361" s="799"/>
      <c r="T361" s="799"/>
      <c r="U361" s="799"/>
      <c r="V361" s="799"/>
      <c r="W361" s="799"/>
      <c r="X361" s="799"/>
      <c r="Y361" s="799"/>
      <c r="Z361" s="799"/>
      <c r="AA361" s="799"/>
      <c r="AB361" s="799"/>
      <c r="AC361" s="799"/>
      <c r="AD361" s="799"/>
      <c r="AE361" s="799"/>
      <c r="AF361" s="799"/>
      <c r="AG361" s="799"/>
      <c r="AH361" s="799"/>
      <c r="AI361" s="799"/>
      <c r="AJ361" s="799"/>
      <c r="AK361" s="799"/>
      <c r="AL361" s="799"/>
      <c r="AM361" s="799"/>
      <c r="AN361" s="799"/>
      <c r="AO361" s="799"/>
      <c r="AP361" s="799"/>
      <c r="AQ361" s="799"/>
      <c r="AR361" s="799"/>
      <c r="AS361" s="799"/>
      <c r="AT361" s="799"/>
      <c r="AU361" s="799"/>
      <c r="AV361" s="799"/>
      <c r="AW361" s="799"/>
      <c r="AX361" s="799"/>
      <c r="AY361" s="799"/>
      <c r="AZ361" s="799"/>
      <c r="BA361" s="799"/>
      <c r="BB361" s="799"/>
      <c r="BC361" s="799"/>
      <c r="BD361" s="799"/>
      <c r="BE361" s="799"/>
      <c r="BF361" s="799"/>
      <c r="BG361" s="799"/>
    </row>
    <row r="362">
      <c r="H362" s="799"/>
      <c r="I362" s="799"/>
      <c r="J362" s="799"/>
      <c r="K362" s="799"/>
      <c r="L362" s="799"/>
      <c r="M362" s="799"/>
      <c r="N362" s="799"/>
      <c r="O362" s="799"/>
      <c r="P362" s="799"/>
      <c r="Q362" s="799"/>
      <c r="R362" s="799"/>
      <c r="S362" s="799"/>
      <c r="T362" s="799"/>
      <c r="U362" s="799"/>
      <c r="V362" s="799"/>
      <c r="W362" s="799"/>
      <c r="X362" s="799"/>
      <c r="Y362" s="799"/>
      <c r="Z362" s="799"/>
      <c r="AA362" s="799"/>
      <c r="AB362" s="799"/>
      <c r="AC362" s="799"/>
      <c r="AD362" s="799"/>
      <c r="AE362" s="799"/>
      <c r="AF362" s="799"/>
      <c r="AG362" s="799"/>
      <c r="AH362" s="799"/>
      <c r="AI362" s="799"/>
      <c r="AJ362" s="799"/>
      <c r="AK362" s="799"/>
      <c r="AL362" s="799"/>
      <c r="AM362" s="799"/>
      <c r="AN362" s="799"/>
      <c r="AO362" s="799"/>
      <c r="AP362" s="799"/>
      <c r="AQ362" s="799"/>
      <c r="AR362" s="799"/>
      <c r="AS362" s="799"/>
      <c r="AT362" s="799"/>
      <c r="AU362" s="799"/>
      <c r="AV362" s="799"/>
      <c r="AW362" s="799"/>
      <c r="AX362" s="799"/>
      <c r="AY362" s="799"/>
      <c r="AZ362" s="799"/>
      <c r="BA362" s="799"/>
      <c r="BB362" s="799"/>
      <c r="BC362" s="799"/>
      <c r="BD362" s="799"/>
      <c r="BE362" s="799"/>
      <c r="BF362" s="799"/>
      <c r="BG362" s="799"/>
    </row>
    <row r="363">
      <c r="H363" s="799"/>
      <c r="I363" s="799"/>
      <c r="J363" s="799"/>
      <c r="K363" s="799"/>
      <c r="L363" s="799"/>
      <c r="M363" s="799"/>
      <c r="N363" s="799"/>
      <c r="O363" s="799"/>
      <c r="P363" s="799"/>
      <c r="Q363" s="799"/>
      <c r="R363" s="799"/>
      <c r="S363" s="799"/>
      <c r="T363" s="799"/>
      <c r="U363" s="799"/>
      <c r="V363" s="799"/>
      <c r="W363" s="799"/>
      <c r="X363" s="799"/>
      <c r="Y363" s="799"/>
      <c r="Z363" s="799"/>
      <c r="AA363" s="799"/>
      <c r="AB363" s="799"/>
      <c r="AC363" s="799"/>
      <c r="AD363" s="799"/>
      <c r="AE363" s="799"/>
      <c r="AF363" s="799"/>
      <c r="AG363" s="799"/>
      <c r="AH363" s="799"/>
      <c r="AI363" s="799"/>
      <c r="AJ363" s="799"/>
      <c r="AK363" s="799"/>
      <c r="AL363" s="799"/>
      <c r="AM363" s="799"/>
      <c r="AN363" s="799"/>
      <c r="AO363" s="799"/>
      <c r="AP363" s="799"/>
      <c r="AQ363" s="799"/>
      <c r="AR363" s="799"/>
      <c r="AS363" s="799"/>
      <c r="AT363" s="799"/>
      <c r="AU363" s="799"/>
      <c r="AV363" s="799"/>
      <c r="AW363" s="799"/>
      <c r="AX363" s="799"/>
      <c r="AY363" s="799"/>
      <c r="AZ363" s="799"/>
      <c r="BA363" s="799"/>
      <c r="BB363" s="799"/>
      <c r="BC363" s="799"/>
      <c r="BD363" s="799"/>
      <c r="BE363" s="799"/>
      <c r="BF363" s="799"/>
      <c r="BG363" s="799"/>
    </row>
    <row r="364">
      <c r="H364" s="799"/>
      <c r="I364" s="799"/>
      <c r="J364" s="799"/>
      <c r="K364" s="799"/>
      <c r="L364" s="799"/>
      <c r="M364" s="799"/>
      <c r="N364" s="799"/>
      <c r="O364" s="799"/>
      <c r="P364" s="799"/>
      <c r="Q364" s="799"/>
      <c r="R364" s="799"/>
      <c r="S364" s="799"/>
      <c r="T364" s="799"/>
      <c r="U364" s="799"/>
      <c r="V364" s="799"/>
      <c r="W364" s="799"/>
      <c r="X364" s="799"/>
      <c r="Y364" s="799"/>
      <c r="Z364" s="799"/>
      <c r="AA364" s="799"/>
      <c r="AB364" s="799"/>
      <c r="AC364" s="799"/>
      <c r="AD364" s="799"/>
      <c r="AE364" s="799"/>
      <c r="AF364" s="799"/>
      <c r="AG364" s="799"/>
      <c r="AH364" s="799"/>
      <c r="AI364" s="799"/>
      <c r="AJ364" s="799"/>
      <c r="AK364" s="799"/>
      <c r="AL364" s="799"/>
      <c r="AM364" s="799"/>
      <c r="AN364" s="799"/>
      <c r="AO364" s="799"/>
      <c r="AP364" s="799"/>
      <c r="AQ364" s="799"/>
      <c r="AR364" s="799"/>
      <c r="AS364" s="799"/>
      <c r="AT364" s="799"/>
      <c r="AU364" s="799"/>
      <c r="AV364" s="799"/>
      <c r="AW364" s="799"/>
      <c r="AX364" s="799"/>
      <c r="AY364" s="799"/>
      <c r="AZ364" s="799"/>
      <c r="BA364" s="799"/>
      <c r="BB364" s="799"/>
      <c r="BC364" s="799"/>
      <c r="BD364" s="799"/>
      <c r="BE364" s="799"/>
      <c r="BF364" s="799"/>
      <c r="BG364" s="799"/>
    </row>
    <row r="365">
      <c r="H365" s="799"/>
      <c r="I365" s="799"/>
      <c r="J365" s="799"/>
      <c r="K365" s="799"/>
      <c r="L365" s="799"/>
      <c r="M365" s="799"/>
      <c r="N365" s="799"/>
      <c r="O365" s="799"/>
      <c r="P365" s="799"/>
      <c r="Q365" s="799"/>
      <c r="R365" s="799"/>
      <c r="S365" s="799"/>
      <c r="T365" s="799"/>
      <c r="U365" s="799"/>
      <c r="V365" s="799"/>
      <c r="W365" s="799"/>
      <c r="X365" s="799"/>
      <c r="Y365" s="799"/>
      <c r="Z365" s="799"/>
      <c r="AA365" s="799"/>
      <c r="AB365" s="799"/>
      <c r="AC365" s="799"/>
      <c r="AD365" s="799"/>
      <c r="AE365" s="799"/>
      <c r="AF365" s="799"/>
      <c r="AG365" s="799"/>
      <c r="AH365" s="799"/>
      <c r="AI365" s="799"/>
      <c r="AJ365" s="799"/>
      <c r="AK365" s="799"/>
      <c r="AL365" s="799"/>
      <c r="AM365" s="799"/>
      <c r="AN365" s="799"/>
      <c r="AO365" s="799"/>
      <c r="AP365" s="799"/>
      <c r="AQ365" s="799"/>
      <c r="AR365" s="799"/>
      <c r="AS365" s="799"/>
      <c r="AT365" s="799"/>
      <c r="AU365" s="799"/>
      <c r="AV365" s="799"/>
      <c r="AW365" s="799"/>
      <c r="AX365" s="799"/>
      <c r="AY365" s="799"/>
      <c r="AZ365" s="799"/>
      <c r="BA365" s="799"/>
      <c r="BB365" s="799"/>
      <c r="BC365" s="799"/>
      <c r="BD365" s="799"/>
      <c r="BE365" s="799"/>
      <c r="BF365" s="799"/>
      <c r="BG365" s="799"/>
    </row>
    <row r="366">
      <c r="H366" s="799"/>
      <c r="I366" s="799"/>
      <c r="J366" s="799"/>
      <c r="K366" s="799"/>
      <c r="L366" s="799"/>
      <c r="M366" s="799"/>
      <c r="N366" s="799"/>
      <c r="O366" s="799"/>
      <c r="P366" s="799"/>
      <c r="Q366" s="799"/>
      <c r="R366" s="799"/>
      <c r="S366" s="799"/>
      <c r="T366" s="799"/>
      <c r="U366" s="799"/>
      <c r="V366" s="799"/>
      <c r="W366" s="799"/>
      <c r="X366" s="799"/>
      <c r="Y366" s="799"/>
      <c r="Z366" s="799"/>
      <c r="AA366" s="799"/>
      <c r="AB366" s="799"/>
      <c r="AC366" s="799"/>
      <c r="AD366" s="799"/>
      <c r="AE366" s="799"/>
      <c r="AF366" s="799"/>
      <c r="AG366" s="799"/>
      <c r="AH366" s="799"/>
      <c r="AI366" s="799"/>
      <c r="AJ366" s="799"/>
      <c r="AK366" s="799"/>
      <c r="AL366" s="799"/>
      <c r="AM366" s="799"/>
      <c r="AN366" s="799"/>
      <c r="AO366" s="799"/>
      <c r="AP366" s="799"/>
      <c r="AQ366" s="799"/>
      <c r="AR366" s="799"/>
      <c r="AS366" s="799"/>
      <c r="AT366" s="799"/>
      <c r="AU366" s="799"/>
      <c r="AV366" s="799"/>
      <c r="AW366" s="799"/>
      <c r="AX366" s="799"/>
      <c r="AY366" s="799"/>
      <c r="AZ366" s="799"/>
      <c r="BA366" s="799"/>
      <c r="BB366" s="799"/>
      <c r="BC366" s="799"/>
      <c r="BD366" s="799"/>
      <c r="BE366" s="799"/>
      <c r="BF366" s="799"/>
      <c r="BG366" s="799"/>
    </row>
    <row r="367">
      <c r="H367" s="799"/>
      <c r="I367" s="799"/>
      <c r="J367" s="799"/>
      <c r="K367" s="799"/>
      <c r="L367" s="799"/>
      <c r="M367" s="799"/>
      <c r="N367" s="799"/>
      <c r="O367" s="799"/>
      <c r="P367" s="799"/>
      <c r="Q367" s="799"/>
      <c r="R367" s="799"/>
      <c r="S367" s="799"/>
      <c r="T367" s="799"/>
      <c r="U367" s="799"/>
      <c r="V367" s="799"/>
      <c r="W367" s="799"/>
      <c r="X367" s="799"/>
      <c r="Y367" s="799"/>
      <c r="Z367" s="799"/>
      <c r="AA367" s="799"/>
      <c r="AB367" s="799"/>
      <c r="AC367" s="799"/>
      <c r="AD367" s="799"/>
      <c r="AE367" s="799"/>
      <c r="AF367" s="799"/>
      <c r="AG367" s="799"/>
      <c r="AH367" s="799"/>
      <c r="AI367" s="799"/>
      <c r="AJ367" s="799"/>
      <c r="AK367" s="799"/>
      <c r="AL367" s="799"/>
      <c r="AM367" s="799"/>
      <c r="AN367" s="799"/>
      <c r="AO367" s="799"/>
      <c r="AP367" s="799"/>
      <c r="AQ367" s="799"/>
      <c r="AR367" s="799"/>
      <c r="AS367" s="799"/>
      <c r="AT367" s="799"/>
      <c r="AU367" s="799"/>
      <c r="AV367" s="799"/>
      <c r="AW367" s="799"/>
      <c r="AX367" s="799"/>
      <c r="AY367" s="799"/>
      <c r="AZ367" s="799"/>
      <c r="BA367" s="799"/>
      <c r="BB367" s="799"/>
      <c r="BC367" s="799"/>
      <c r="BD367" s="799"/>
      <c r="BE367" s="799"/>
      <c r="BF367" s="799"/>
      <c r="BG367" s="799"/>
    </row>
    <row r="368">
      <c r="H368" s="799"/>
      <c r="I368" s="799"/>
      <c r="J368" s="799"/>
      <c r="K368" s="799"/>
      <c r="L368" s="799"/>
      <c r="M368" s="799"/>
      <c r="N368" s="799"/>
      <c r="O368" s="799"/>
      <c r="P368" s="799"/>
      <c r="Q368" s="799"/>
      <c r="R368" s="799"/>
      <c r="S368" s="799"/>
      <c r="T368" s="799"/>
      <c r="U368" s="799"/>
      <c r="V368" s="799"/>
      <c r="W368" s="799"/>
      <c r="X368" s="799"/>
      <c r="Y368" s="799"/>
      <c r="Z368" s="799"/>
      <c r="AA368" s="799"/>
      <c r="AB368" s="799"/>
      <c r="AC368" s="799"/>
      <c r="AD368" s="799"/>
      <c r="AE368" s="799"/>
      <c r="AF368" s="799"/>
      <c r="AG368" s="799"/>
      <c r="AH368" s="799"/>
      <c r="AI368" s="799"/>
      <c r="AJ368" s="799"/>
      <c r="AK368" s="799"/>
      <c r="AL368" s="799"/>
      <c r="AM368" s="799"/>
      <c r="AN368" s="799"/>
      <c r="AO368" s="799"/>
      <c r="AP368" s="799"/>
      <c r="AQ368" s="799"/>
      <c r="AR368" s="799"/>
      <c r="AS368" s="799"/>
      <c r="AT368" s="799"/>
      <c r="AU368" s="799"/>
      <c r="AV368" s="799"/>
      <c r="AW368" s="799"/>
      <c r="AX368" s="799"/>
      <c r="AY368" s="799"/>
      <c r="AZ368" s="799"/>
      <c r="BA368" s="799"/>
      <c r="BB368" s="799"/>
      <c r="BC368" s="799"/>
      <c r="BD368" s="799"/>
      <c r="BE368" s="799"/>
      <c r="BF368" s="799"/>
      <c r="BG368" s="799"/>
    </row>
    <row r="369">
      <c r="H369" s="799"/>
      <c r="I369" s="799"/>
      <c r="J369" s="799"/>
      <c r="K369" s="799"/>
      <c r="L369" s="799"/>
      <c r="M369" s="799"/>
      <c r="N369" s="799"/>
      <c r="O369" s="799"/>
      <c r="P369" s="799"/>
      <c r="Q369" s="799"/>
      <c r="R369" s="799"/>
      <c r="S369" s="799"/>
      <c r="T369" s="799"/>
      <c r="U369" s="799"/>
      <c r="V369" s="799"/>
      <c r="W369" s="799"/>
      <c r="X369" s="799"/>
      <c r="Y369" s="799"/>
      <c r="Z369" s="799"/>
      <c r="AA369" s="799"/>
      <c r="AB369" s="799"/>
      <c r="AC369" s="799"/>
      <c r="AD369" s="799"/>
      <c r="AE369" s="799"/>
      <c r="AF369" s="799"/>
      <c r="AG369" s="799"/>
      <c r="AH369" s="799"/>
      <c r="AI369" s="799"/>
      <c r="AJ369" s="799"/>
      <c r="AK369" s="799"/>
      <c r="AL369" s="799"/>
      <c r="AM369" s="799"/>
      <c r="AN369" s="799"/>
      <c r="AO369" s="799"/>
      <c r="AP369" s="799"/>
      <c r="AQ369" s="799"/>
      <c r="AR369" s="799"/>
      <c r="AS369" s="799"/>
      <c r="AT369" s="799"/>
      <c r="AU369" s="799"/>
      <c r="AV369" s="799"/>
      <c r="AW369" s="799"/>
      <c r="AX369" s="799"/>
      <c r="AY369" s="799"/>
      <c r="AZ369" s="799"/>
      <c r="BA369" s="799"/>
      <c r="BB369" s="799"/>
      <c r="BC369" s="799"/>
      <c r="BD369" s="799"/>
      <c r="BE369" s="799"/>
      <c r="BF369" s="799"/>
      <c r="BG369" s="799"/>
    </row>
    <row r="370">
      <c r="H370" s="799"/>
      <c r="I370" s="799"/>
      <c r="J370" s="799"/>
      <c r="K370" s="799"/>
      <c r="L370" s="799"/>
      <c r="M370" s="799"/>
      <c r="N370" s="799"/>
      <c r="O370" s="799"/>
      <c r="P370" s="799"/>
      <c r="Q370" s="799"/>
      <c r="R370" s="799"/>
      <c r="S370" s="799"/>
      <c r="T370" s="799"/>
      <c r="U370" s="799"/>
      <c r="V370" s="799"/>
      <c r="W370" s="799"/>
      <c r="X370" s="799"/>
      <c r="Y370" s="799"/>
      <c r="Z370" s="799"/>
      <c r="AA370" s="799"/>
      <c r="AB370" s="799"/>
      <c r="AC370" s="799"/>
      <c r="AD370" s="799"/>
      <c r="AE370" s="799"/>
      <c r="AF370" s="799"/>
      <c r="AG370" s="799"/>
      <c r="AH370" s="799"/>
      <c r="AI370" s="799"/>
      <c r="AJ370" s="799"/>
      <c r="AK370" s="799"/>
      <c r="AL370" s="799"/>
      <c r="AM370" s="799"/>
      <c r="AN370" s="799"/>
      <c r="AO370" s="799"/>
      <c r="AP370" s="799"/>
      <c r="AQ370" s="799"/>
      <c r="AR370" s="799"/>
      <c r="AS370" s="799"/>
      <c r="AT370" s="799"/>
      <c r="AU370" s="799"/>
      <c r="AV370" s="799"/>
      <c r="AW370" s="799"/>
      <c r="AX370" s="799"/>
      <c r="AY370" s="799"/>
      <c r="AZ370" s="799"/>
      <c r="BA370" s="799"/>
      <c r="BB370" s="799"/>
      <c r="BC370" s="799"/>
      <c r="BD370" s="799"/>
      <c r="BE370" s="799"/>
      <c r="BF370" s="799"/>
      <c r="BG370" s="799"/>
    </row>
    <row r="371">
      <c r="H371" s="799"/>
      <c r="I371" s="799"/>
      <c r="J371" s="799"/>
      <c r="K371" s="799"/>
      <c r="L371" s="799"/>
      <c r="M371" s="799"/>
      <c r="N371" s="799"/>
      <c r="O371" s="799"/>
      <c r="P371" s="799"/>
      <c r="Q371" s="799"/>
      <c r="R371" s="799"/>
      <c r="S371" s="799"/>
      <c r="T371" s="799"/>
      <c r="U371" s="799"/>
      <c r="V371" s="799"/>
      <c r="W371" s="799"/>
      <c r="X371" s="799"/>
      <c r="Y371" s="799"/>
      <c r="Z371" s="799"/>
      <c r="AA371" s="799"/>
      <c r="AB371" s="799"/>
      <c r="AC371" s="799"/>
      <c r="AD371" s="799"/>
      <c r="AE371" s="799"/>
      <c r="AF371" s="799"/>
      <c r="AG371" s="799"/>
      <c r="AH371" s="799"/>
      <c r="AI371" s="799"/>
      <c r="AJ371" s="799"/>
      <c r="AK371" s="799"/>
      <c r="AL371" s="799"/>
      <c r="AM371" s="799"/>
      <c r="AN371" s="799"/>
      <c r="AO371" s="799"/>
      <c r="AP371" s="799"/>
      <c r="AQ371" s="799"/>
      <c r="AR371" s="799"/>
      <c r="AS371" s="799"/>
      <c r="AT371" s="799"/>
      <c r="AU371" s="799"/>
      <c r="AV371" s="799"/>
      <c r="AW371" s="799"/>
      <c r="AX371" s="799"/>
      <c r="AY371" s="799"/>
      <c r="AZ371" s="799"/>
      <c r="BA371" s="799"/>
      <c r="BB371" s="799"/>
      <c r="BC371" s="799"/>
      <c r="BD371" s="799"/>
      <c r="BE371" s="799"/>
      <c r="BF371" s="799"/>
      <c r="BG371" s="799"/>
    </row>
    <row r="372">
      <c r="H372" s="799"/>
      <c r="I372" s="799"/>
      <c r="J372" s="799"/>
      <c r="K372" s="799"/>
      <c r="L372" s="799"/>
      <c r="M372" s="799"/>
      <c r="N372" s="799"/>
      <c r="O372" s="799"/>
      <c r="P372" s="799"/>
      <c r="Q372" s="799"/>
      <c r="R372" s="799"/>
      <c r="S372" s="799"/>
      <c r="T372" s="799"/>
      <c r="U372" s="799"/>
      <c r="V372" s="799"/>
      <c r="W372" s="799"/>
      <c r="X372" s="799"/>
      <c r="Y372" s="799"/>
      <c r="Z372" s="799"/>
      <c r="AA372" s="799"/>
      <c r="AB372" s="799"/>
      <c r="AC372" s="799"/>
      <c r="AD372" s="799"/>
      <c r="AE372" s="799"/>
      <c r="AF372" s="799"/>
      <c r="AG372" s="799"/>
      <c r="AH372" s="799"/>
      <c r="AI372" s="799"/>
      <c r="AJ372" s="799"/>
      <c r="AK372" s="799"/>
      <c r="AL372" s="799"/>
      <c r="AM372" s="799"/>
      <c r="AN372" s="799"/>
      <c r="AO372" s="799"/>
      <c r="AP372" s="799"/>
      <c r="AQ372" s="799"/>
      <c r="AR372" s="799"/>
      <c r="AS372" s="799"/>
      <c r="AT372" s="799"/>
      <c r="AU372" s="799"/>
      <c r="AV372" s="799"/>
      <c r="AW372" s="799"/>
      <c r="AX372" s="799"/>
      <c r="AY372" s="799"/>
      <c r="AZ372" s="799"/>
      <c r="BA372" s="799"/>
      <c r="BB372" s="799"/>
      <c r="BC372" s="799"/>
      <c r="BD372" s="799"/>
      <c r="BE372" s="799"/>
      <c r="BF372" s="799"/>
      <c r="BG372" s="799"/>
    </row>
    <row r="373">
      <c r="H373" s="799"/>
      <c r="I373" s="799"/>
      <c r="J373" s="799"/>
      <c r="K373" s="799"/>
      <c r="L373" s="799"/>
      <c r="M373" s="799"/>
      <c r="N373" s="799"/>
      <c r="O373" s="799"/>
      <c r="P373" s="799"/>
      <c r="Q373" s="799"/>
      <c r="R373" s="799"/>
      <c r="S373" s="799"/>
      <c r="T373" s="799"/>
      <c r="U373" s="799"/>
      <c r="V373" s="799"/>
      <c r="W373" s="799"/>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799"/>
      <c r="AX373" s="799"/>
      <c r="AY373" s="799"/>
      <c r="AZ373" s="799"/>
      <c r="BA373" s="799"/>
      <c r="BB373" s="799"/>
      <c r="BC373" s="799"/>
      <c r="BD373" s="799"/>
      <c r="BE373" s="799"/>
      <c r="BF373" s="799"/>
      <c r="BG373" s="799"/>
    </row>
    <row r="374">
      <c r="H374" s="799"/>
      <c r="I374" s="799"/>
      <c r="J374" s="799"/>
      <c r="K374" s="799"/>
      <c r="L374" s="799"/>
      <c r="M374" s="799"/>
      <c r="N374" s="799"/>
      <c r="O374" s="799"/>
      <c r="P374" s="799"/>
      <c r="Q374" s="799"/>
      <c r="R374" s="799"/>
      <c r="S374" s="799"/>
      <c r="T374" s="799"/>
      <c r="U374" s="799"/>
      <c r="V374" s="799"/>
      <c r="W374" s="799"/>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799"/>
      <c r="AX374" s="799"/>
      <c r="AY374" s="799"/>
      <c r="AZ374" s="799"/>
      <c r="BA374" s="799"/>
      <c r="BB374" s="799"/>
      <c r="BC374" s="799"/>
      <c r="BD374" s="799"/>
      <c r="BE374" s="799"/>
      <c r="BF374" s="799"/>
      <c r="BG374" s="799"/>
    </row>
    <row r="375">
      <c r="H375" s="799"/>
      <c r="I375" s="799"/>
      <c r="J375" s="799"/>
      <c r="K375" s="799"/>
      <c r="L375" s="799"/>
      <c r="M375" s="799"/>
      <c r="N375" s="799"/>
      <c r="O375" s="799"/>
      <c r="P375" s="799"/>
      <c r="Q375" s="799"/>
      <c r="R375" s="799"/>
      <c r="S375" s="799"/>
      <c r="T375" s="799"/>
      <c r="U375" s="799"/>
      <c r="V375" s="799"/>
      <c r="W375" s="799"/>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799"/>
      <c r="AX375" s="799"/>
      <c r="AY375" s="799"/>
      <c r="AZ375" s="799"/>
      <c r="BA375" s="799"/>
      <c r="BB375" s="799"/>
      <c r="BC375" s="799"/>
      <c r="BD375" s="799"/>
      <c r="BE375" s="799"/>
      <c r="BF375" s="799"/>
      <c r="BG375" s="799"/>
    </row>
    <row r="376">
      <c r="H376" s="799"/>
      <c r="I376" s="799"/>
      <c r="J376" s="799"/>
      <c r="K376" s="799"/>
      <c r="L376" s="799"/>
      <c r="M376" s="799"/>
      <c r="N376" s="799"/>
      <c r="O376" s="799"/>
      <c r="P376" s="799"/>
      <c r="Q376" s="799"/>
      <c r="R376" s="799"/>
      <c r="S376" s="799"/>
      <c r="T376" s="799"/>
      <c r="U376" s="799"/>
      <c r="V376" s="799"/>
      <c r="W376" s="799"/>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799"/>
      <c r="AX376" s="799"/>
      <c r="AY376" s="799"/>
      <c r="AZ376" s="799"/>
      <c r="BA376" s="799"/>
      <c r="BB376" s="799"/>
      <c r="BC376" s="799"/>
      <c r="BD376" s="799"/>
      <c r="BE376" s="799"/>
      <c r="BF376" s="799"/>
      <c r="BG376" s="799"/>
    </row>
    <row r="377">
      <c r="H377" s="799"/>
      <c r="I377" s="799"/>
      <c r="J377" s="799"/>
      <c r="K377" s="799"/>
      <c r="L377" s="799"/>
      <c r="M377" s="799"/>
      <c r="N377" s="799"/>
      <c r="O377" s="799"/>
      <c r="P377" s="799"/>
      <c r="Q377" s="799"/>
      <c r="R377" s="799"/>
      <c r="S377" s="799"/>
      <c r="T377" s="799"/>
      <c r="U377" s="799"/>
      <c r="V377" s="799"/>
      <c r="W377" s="799"/>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799"/>
      <c r="AX377" s="799"/>
      <c r="AY377" s="799"/>
      <c r="AZ377" s="799"/>
      <c r="BA377" s="799"/>
      <c r="BB377" s="799"/>
      <c r="BC377" s="799"/>
      <c r="BD377" s="799"/>
      <c r="BE377" s="799"/>
      <c r="BF377" s="799"/>
      <c r="BG377" s="799"/>
    </row>
    <row r="378">
      <c r="H378" s="799"/>
      <c r="I378" s="799"/>
      <c r="J378" s="799"/>
      <c r="K378" s="799"/>
      <c r="L378" s="799"/>
      <c r="M378" s="799"/>
      <c r="N378" s="799"/>
      <c r="O378" s="799"/>
      <c r="P378" s="799"/>
      <c r="Q378" s="799"/>
      <c r="R378" s="799"/>
      <c r="S378" s="799"/>
      <c r="T378" s="799"/>
      <c r="U378" s="799"/>
      <c r="V378" s="799"/>
      <c r="W378" s="799"/>
      <c r="X378" s="799"/>
      <c r="Y378" s="799"/>
      <c r="Z378" s="799"/>
      <c r="AA378" s="799"/>
      <c r="AB378" s="799"/>
      <c r="AC378" s="799"/>
      <c r="AD378" s="799"/>
      <c r="AE378" s="799"/>
      <c r="AF378" s="799"/>
      <c r="AG378" s="799"/>
      <c r="AH378" s="799"/>
      <c r="AI378" s="799"/>
      <c r="AJ378" s="799"/>
      <c r="AK378" s="799"/>
      <c r="AL378" s="799"/>
      <c r="AM378" s="799"/>
      <c r="AN378" s="799"/>
      <c r="AO378" s="799"/>
      <c r="AP378" s="799"/>
      <c r="AQ378" s="799"/>
      <c r="AR378" s="799"/>
      <c r="AS378" s="799"/>
      <c r="AT378" s="799"/>
      <c r="AU378" s="799"/>
      <c r="AV378" s="799"/>
      <c r="AW378" s="799"/>
      <c r="AX378" s="799"/>
      <c r="AY378" s="799"/>
      <c r="AZ378" s="799"/>
      <c r="BA378" s="799"/>
      <c r="BB378" s="799"/>
      <c r="BC378" s="799"/>
      <c r="BD378" s="799"/>
      <c r="BE378" s="799"/>
      <c r="BF378" s="799"/>
      <c r="BG378" s="799"/>
    </row>
    <row r="379">
      <c r="H379" s="799"/>
      <c r="I379" s="799"/>
      <c r="J379" s="799"/>
      <c r="K379" s="799"/>
      <c r="L379" s="799"/>
      <c r="M379" s="799"/>
      <c r="N379" s="799"/>
      <c r="O379" s="799"/>
      <c r="P379" s="799"/>
      <c r="Q379" s="799"/>
      <c r="R379" s="799"/>
      <c r="S379" s="799"/>
      <c r="T379" s="799"/>
      <c r="U379" s="799"/>
      <c r="V379" s="799"/>
      <c r="W379" s="799"/>
      <c r="X379" s="799"/>
      <c r="Y379" s="799"/>
      <c r="Z379" s="799"/>
      <c r="AA379" s="799"/>
      <c r="AB379" s="799"/>
      <c r="AC379" s="799"/>
      <c r="AD379" s="799"/>
      <c r="AE379" s="799"/>
      <c r="AF379" s="799"/>
      <c r="AG379" s="799"/>
      <c r="AH379" s="799"/>
      <c r="AI379" s="799"/>
      <c r="AJ379" s="799"/>
      <c r="AK379" s="799"/>
      <c r="AL379" s="799"/>
      <c r="AM379" s="799"/>
      <c r="AN379" s="799"/>
      <c r="AO379" s="799"/>
      <c r="AP379" s="799"/>
      <c r="AQ379" s="799"/>
      <c r="AR379" s="799"/>
      <c r="AS379" s="799"/>
      <c r="AT379" s="799"/>
      <c r="AU379" s="799"/>
      <c r="AV379" s="799"/>
      <c r="AW379" s="799"/>
      <c r="AX379" s="799"/>
      <c r="AY379" s="799"/>
      <c r="AZ379" s="799"/>
      <c r="BA379" s="799"/>
      <c r="BB379" s="799"/>
      <c r="BC379" s="799"/>
      <c r="BD379" s="799"/>
      <c r="BE379" s="799"/>
      <c r="BF379" s="799"/>
      <c r="BG379" s="799"/>
    </row>
    <row r="380">
      <c r="H380" s="799"/>
      <c r="I380" s="799"/>
      <c r="J380" s="799"/>
      <c r="K380" s="799"/>
      <c r="L380" s="799"/>
      <c r="M380" s="799"/>
      <c r="N380" s="799"/>
      <c r="O380" s="799"/>
      <c r="P380" s="799"/>
      <c r="Q380" s="799"/>
      <c r="R380" s="799"/>
      <c r="S380" s="799"/>
      <c r="T380" s="799"/>
      <c r="U380" s="799"/>
      <c r="V380" s="799"/>
      <c r="W380" s="799"/>
      <c r="X380" s="799"/>
      <c r="Y380" s="799"/>
      <c r="Z380" s="799"/>
      <c r="AA380" s="799"/>
      <c r="AB380" s="799"/>
      <c r="AC380" s="799"/>
      <c r="AD380" s="799"/>
      <c r="AE380" s="799"/>
      <c r="AF380" s="799"/>
      <c r="AG380" s="799"/>
      <c r="AH380" s="799"/>
      <c r="AI380" s="799"/>
      <c r="AJ380" s="799"/>
      <c r="AK380" s="799"/>
      <c r="AL380" s="799"/>
      <c r="AM380" s="799"/>
      <c r="AN380" s="799"/>
      <c r="AO380" s="799"/>
      <c r="AP380" s="799"/>
      <c r="AQ380" s="799"/>
      <c r="AR380" s="799"/>
      <c r="AS380" s="799"/>
      <c r="AT380" s="799"/>
      <c r="AU380" s="799"/>
      <c r="AV380" s="799"/>
      <c r="AW380" s="799"/>
      <c r="AX380" s="799"/>
      <c r="AY380" s="799"/>
      <c r="AZ380" s="799"/>
      <c r="BA380" s="799"/>
      <c r="BB380" s="799"/>
      <c r="BC380" s="799"/>
      <c r="BD380" s="799"/>
      <c r="BE380" s="799"/>
      <c r="BF380" s="799"/>
      <c r="BG380" s="799"/>
    </row>
    <row r="381">
      <c r="H381" s="799"/>
      <c r="I381" s="799"/>
      <c r="J381" s="799"/>
      <c r="K381" s="799"/>
      <c r="L381" s="799"/>
      <c r="M381" s="799"/>
      <c r="N381" s="799"/>
      <c r="O381" s="799"/>
      <c r="P381" s="799"/>
      <c r="Q381" s="799"/>
      <c r="R381" s="799"/>
      <c r="S381" s="799"/>
      <c r="T381" s="799"/>
      <c r="U381" s="799"/>
      <c r="V381" s="799"/>
      <c r="W381" s="799"/>
      <c r="X381" s="799"/>
      <c r="Y381" s="799"/>
      <c r="Z381" s="799"/>
      <c r="AA381" s="799"/>
      <c r="AB381" s="799"/>
      <c r="AC381" s="799"/>
      <c r="AD381" s="799"/>
      <c r="AE381" s="799"/>
      <c r="AF381" s="799"/>
      <c r="AG381" s="799"/>
      <c r="AH381" s="799"/>
      <c r="AI381" s="799"/>
      <c r="AJ381" s="799"/>
      <c r="AK381" s="799"/>
      <c r="AL381" s="799"/>
      <c r="AM381" s="799"/>
      <c r="AN381" s="799"/>
      <c r="AO381" s="799"/>
      <c r="AP381" s="799"/>
      <c r="AQ381" s="799"/>
      <c r="AR381" s="799"/>
      <c r="AS381" s="799"/>
      <c r="AT381" s="799"/>
      <c r="AU381" s="799"/>
      <c r="AV381" s="799"/>
      <c r="AW381" s="799"/>
      <c r="AX381" s="799"/>
      <c r="AY381" s="799"/>
      <c r="AZ381" s="799"/>
      <c r="BA381" s="799"/>
      <c r="BB381" s="799"/>
      <c r="BC381" s="799"/>
      <c r="BD381" s="799"/>
      <c r="BE381" s="799"/>
      <c r="BF381" s="799"/>
      <c r="BG381" s="799"/>
    </row>
    <row r="382">
      <c r="H382" s="799"/>
      <c r="I382" s="799"/>
      <c r="J382" s="799"/>
      <c r="K382" s="799"/>
      <c r="L382" s="799"/>
      <c r="M382" s="799"/>
      <c r="N382" s="799"/>
      <c r="O382" s="799"/>
      <c r="P382" s="799"/>
      <c r="Q382" s="799"/>
      <c r="R382" s="799"/>
      <c r="S382" s="799"/>
      <c r="T382" s="799"/>
      <c r="U382" s="799"/>
      <c r="V382" s="799"/>
      <c r="W382" s="799"/>
      <c r="X382" s="799"/>
      <c r="Y382" s="799"/>
      <c r="Z382" s="799"/>
      <c r="AA382" s="799"/>
      <c r="AB382" s="799"/>
      <c r="AC382" s="799"/>
      <c r="AD382" s="799"/>
      <c r="AE382" s="799"/>
      <c r="AF382" s="799"/>
      <c r="AG382" s="799"/>
      <c r="AH382" s="799"/>
      <c r="AI382" s="799"/>
      <c r="AJ382" s="799"/>
      <c r="AK382" s="799"/>
      <c r="AL382" s="799"/>
      <c r="AM382" s="799"/>
      <c r="AN382" s="799"/>
      <c r="AO382" s="799"/>
      <c r="AP382" s="799"/>
      <c r="AQ382" s="799"/>
      <c r="AR382" s="799"/>
      <c r="AS382" s="799"/>
      <c r="AT382" s="799"/>
      <c r="AU382" s="799"/>
      <c r="AV382" s="799"/>
      <c r="AW382" s="799"/>
      <c r="AX382" s="799"/>
      <c r="AY382" s="799"/>
      <c r="AZ382" s="799"/>
      <c r="BA382" s="799"/>
      <c r="BB382" s="799"/>
      <c r="BC382" s="799"/>
      <c r="BD382" s="799"/>
      <c r="BE382" s="799"/>
      <c r="BF382" s="799"/>
      <c r="BG382" s="799"/>
    </row>
    <row r="383">
      <c r="H383" s="799"/>
      <c r="I383" s="799"/>
      <c r="J383" s="799"/>
      <c r="K383" s="799"/>
      <c r="L383" s="799"/>
      <c r="M383" s="799"/>
      <c r="N383" s="799"/>
      <c r="O383" s="799"/>
      <c r="P383" s="799"/>
      <c r="Q383" s="799"/>
      <c r="R383" s="799"/>
      <c r="S383" s="799"/>
      <c r="T383" s="799"/>
      <c r="U383" s="799"/>
      <c r="V383" s="799"/>
      <c r="W383" s="799"/>
      <c r="X383" s="799"/>
      <c r="Y383" s="799"/>
      <c r="Z383" s="799"/>
      <c r="AA383" s="799"/>
      <c r="AB383" s="799"/>
      <c r="AC383" s="799"/>
      <c r="AD383" s="799"/>
      <c r="AE383" s="799"/>
      <c r="AF383" s="799"/>
      <c r="AG383" s="799"/>
      <c r="AH383" s="799"/>
      <c r="AI383" s="799"/>
      <c r="AJ383" s="799"/>
      <c r="AK383" s="799"/>
      <c r="AL383" s="799"/>
      <c r="AM383" s="799"/>
      <c r="AN383" s="799"/>
      <c r="AO383" s="799"/>
      <c r="AP383" s="799"/>
      <c r="AQ383" s="799"/>
      <c r="AR383" s="799"/>
      <c r="AS383" s="799"/>
      <c r="AT383" s="799"/>
      <c r="AU383" s="799"/>
      <c r="AV383" s="799"/>
      <c r="AW383" s="799"/>
      <c r="AX383" s="799"/>
      <c r="AY383" s="799"/>
      <c r="AZ383" s="799"/>
      <c r="BA383" s="799"/>
      <c r="BB383" s="799"/>
      <c r="BC383" s="799"/>
      <c r="BD383" s="799"/>
      <c r="BE383" s="799"/>
      <c r="BF383" s="799"/>
      <c r="BG383" s="799"/>
    </row>
    <row r="384">
      <c r="H384" s="799"/>
      <c r="I384" s="799"/>
      <c r="J384" s="799"/>
      <c r="K384" s="799"/>
      <c r="L384" s="799"/>
      <c r="M384" s="799"/>
      <c r="N384" s="799"/>
      <c r="O384" s="799"/>
      <c r="P384" s="799"/>
      <c r="Q384" s="799"/>
      <c r="R384" s="799"/>
      <c r="S384" s="799"/>
      <c r="T384" s="799"/>
      <c r="U384" s="799"/>
      <c r="V384" s="799"/>
      <c r="W384" s="799"/>
      <c r="X384" s="799"/>
      <c r="Y384" s="799"/>
      <c r="Z384" s="799"/>
      <c r="AA384" s="799"/>
      <c r="AB384" s="799"/>
      <c r="AC384" s="799"/>
      <c r="AD384" s="799"/>
      <c r="AE384" s="799"/>
      <c r="AF384" s="799"/>
      <c r="AG384" s="799"/>
      <c r="AH384" s="799"/>
      <c r="AI384" s="799"/>
      <c r="AJ384" s="799"/>
      <c r="AK384" s="799"/>
      <c r="AL384" s="799"/>
      <c r="AM384" s="799"/>
      <c r="AN384" s="799"/>
      <c r="AO384" s="799"/>
      <c r="AP384" s="799"/>
      <c r="AQ384" s="799"/>
      <c r="AR384" s="799"/>
      <c r="AS384" s="799"/>
      <c r="AT384" s="799"/>
      <c r="AU384" s="799"/>
      <c r="AV384" s="799"/>
      <c r="AW384" s="799"/>
      <c r="AX384" s="799"/>
      <c r="AY384" s="799"/>
      <c r="AZ384" s="799"/>
      <c r="BA384" s="799"/>
      <c r="BB384" s="799"/>
      <c r="BC384" s="799"/>
      <c r="BD384" s="799"/>
      <c r="BE384" s="799"/>
      <c r="BF384" s="799"/>
      <c r="BG384" s="799"/>
    </row>
    <row r="385">
      <c r="H385" s="799"/>
      <c r="I385" s="799"/>
      <c r="J385" s="799"/>
      <c r="K385" s="799"/>
      <c r="L385" s="799"/>
      <c r="M385" s="799"/>
      <c r="N385" s="799"/>
      <c r="O385" s="799"/>
      <c r="P385" s="799"/>
      <c r="Q385" s="799"/>
      <c r="R385" s="799"/>
      <c r="S385" s="799"/>
      <c r="T385" s="799"/>
      <c r="U385" s="799"/>
      <c r="V385" s="799"/>
      <c r="W385" s="799"/>
      <c r="X385" s="799"/>
      <c r="Y385" s="799"/>
      <c r="Z385" s="799"/>
      <c r="AA385" s="799"/>
      <c r="AB385" s="799"/>
      <c r="AC385" s="799"/>
      <c r="AD385" s="799"/>
      <c r="AE385" s="799"/>
      <c r="AF385" s="799"/>
      <c r="AG385" s="799"/>
      <c r="AH385" s="799"/>
      <c r="AI385" s="799"/>
      <c r="AJ385" s="799"/>
      <c r="AK385" s="799"/>
      <c r="AL385" s="799"/>
      <c r="AM385" s="799"/>
      <c r="AN385" s="799"/>
      <c r="AO385" s="799"/>
      <c r="AP385" s="799"/>
      <c r="AQ385" s="799"/>
      <c r="AR385" s="799"/>
      <c r="AS385" s="799"/>
      <c r="AT385" s="799"/>
      <c r="AU385" s="799"/>
      <c r="AV385" s="799"/>
      <c r="AW385" s="799"/>
      <c r="AX385" s="799"/>
      <c r="AY385" s="799"/>
      <c r="AZ385" s="799"/>
      <c r="BA385" s="799"/>
      <c r="BB385" s="799"/>
      <c r="BC385" s="799"/>
      <c r="BD385" s="799"/>
      <c r="BE385" s="799"/>
      <c r="BF385" s="799"/>
      <c r="BG385" s="799"/>
    </row>
    <row r="386">
      <c r="H386" s="799"/>
      <c r="I386" s="799"/>
      <c r="J386" s="799"/>
      <c r="K386" s="799"/>
      <c r="L386" s="799"/>
      <c r="M386" s="799"/>
      <c r="N386" s="799"/>
      <c r="O386" s="799"/>
      <c r="P386" s="799"/>
      <c r="Q386" s="799"/>
      <c r="R386" s="799"/>
      <c r="S386" s="799"/>
      <c r="T386" s="799"/>
      <c r="U386" s="799"/>
      <c r="V386" s="799"/>
      <c r="W386" s="799"/>
      <c r="X386" s="799"/>
      <c r="Y386" s="799"/>
      <c r="Z386" s="799"/>
      <c r="AA386" s="799"/>
      <c r="AB386" s="799"/>
      <c r="AC386" s="799"/>
      <c r="AD386" s="799"/>
      <c r="AE386" s="799"/>
      <c r="AF386" s="799"/>
      <c r="AG386" s="799"/>
      <c r="AH386" s="799"/>
      <c r="AI386" s="799"/>
      <c r="AJ386" s="799"/>
      <c r="AK386" s="799"/>
      <c r="AL386" s="799"/>
      <c r="AM386" s="799"/>
      <c r="AN386" s="799"/>
      <c r="AO386" s="799"/>
      <c r="AP386" s="799"/>
      <c r="AQ386" s="799"/>
      <c r="AR386" s="799"/>
      <c r="AS386" s="799"/>
      <c r="AT386" s="799"/>
      <c r="AU386" s="799"/>
      <c r="AV386" s="799"/>
      <c r="AW386" s="799"/>
      <c r="AX386" s="799"/>
      <c r="AY386" s="799"/>
      <c r="AZ386" s="799"/>
      <c r="BA386" s="799"/>
      <c r="BB386" s="799"/>
      <c r="BC386" s="799"/>
      <c r="BD386" s="799"/>
      <c r="BE386" s="799"/>
      <c r="BF386" s="799"/>
      <c r="BG386" s="799"/>
    </row>
    <row r="387">
      <c r="H387" s="799"/>
      <c r="I387" s="799"/>
      <c r="J387" s="799"/>
      <c r="K387" s="799"/>
      <c r="L387" s="799"/>
      <c r="M387" s="799"/>
      <c r="N387" s="799"/>
      <c r="O387" s="799"/>
      <c r="P387" s="799"/>
      <c r="Q387" s="799"/>
      <c r="R387" s="799"/>
      <c r="S387" s="799"/>
      <c r="T387" s="799"/>
      <c r="U387" s="799"/>
      <c r="V387" s="799"/>
      <c r="W387" s="799"/>
      <c r="X387" s="799"/>
      <c r="Y387" s="799"/>
      <c r="Z387" s="799"/>
      <c r="AA387" s="799"/>
      <c r="AB387" s="799"/>
      <c r="AC387" s="799"/>
      <c r="AD387" s="799"/>
      <c r="AE387" s="799"/>
      <c r="AF387" s="799"/>
      <c r="AG387" s="799"/>
      <c r="AH387" s="799"/>
      <c r="AI387" s="799"/>
      <c r="AJ387" s="799"/>
      <c r="AK387" s="799"/>
      <c r="AL387" s="799"/>
      <c r="AM387" s="799"/>
      <c r="AN387" s="799"/>
      <c r="AO387" s="799"/>
      <c r="AP387" s="799"/>
      <c r="AQ387" s="799"/>
      <c r="AR387" s="799"/>
      <c r="AS387" s="799"/>
      <c r="AT387" s="799"/>
      <c r="AU387" s="799"/>
      <c r="AV387" s="799"/>
      <c r="AW387" s="799"/>
      <c r="AX387" s="799"/>
      <c r="AY387" s="799"/>
      <c r="AZ387" s="799"/>
      <c r="BA387" s="799"/>
      <c r="BB387" s="799"/>
      <c r="BC387" s="799"/>
      <c r="BD387" s="799"/>
      <c r="BE387" s="799"/>
      <c r="BF387" s="799"/>
      <c r="BG387" s="799"/>
    </row>
    <row r="388">
      <c r="H388" s="799"/>
      <c r="I388" s="799"/>
      <c r="J388" s="799"/>
      <c r="K388" s="799"/>
      <c r="L388" s="799"/>
      <c r="M388" s="799"/>
      <c r="N388" s="799"/>
      <c r="O388" s="799"/>
      <c r="P388" s="799"/>
      <c r="Q388" s="799"/>
      <c r="R388" s="799"/>
      <c r="S388" s="799"/>
      <c r="T388" s="799"/>
      <c r="U388" s="799"/>
      <c r="V388" s="799"/>
      <c r="W388" s="799"/>
      <c r="X388" s="799"/>
      <c r="Y388" s="799"/>
      <c r="Z388" s="799"/>
      <c r="AA388" s="799"/>
      <c r="AB388" s="799"/>
      <c r="AC388" s="799"/>
      <c r="AD388" s="799"/>
      <c r="AE388" s="799"/>
      <c r="AF388" s="799"/>
      <c r="AG388" s="799"/>
      <c r="AH388" s="799"/>
      <c r="AI388" s="799"/>
      <c r="AJ388" s="799"/>
      <c r="AK388" s="799"/>
      <c r="AL388" s="799"/>
      <c r="AM388" s="799"/>
      <c r="AN388" s="799"/>
      <c r="AO388" s="799"/>
      <c r="AP388" s="799"/>
      <c r="AQ388" s="799"/>
      <c r="AR388" s="799"/>
      <c r="AS388" s="799"/>
      <c r="AT388" s="799"/>
      <c r="AU388" s="799"/>
      <c r="AV388" s="799"/>
      <c r="AW388" s="799"/>
      <c r="AX388" s="799"/>
      <c r="AY388" s="799"/>
      <c r="AZ388" s="799"/>
      <c r="BA388" s="799"/>
      <c r="BB388" s="799"/>
      <c r="BC388" s="799"/>
      <c r="BD388" s="799"/>
      <c r="BE388" s="799"/>
      <c r="BF388" s="799"/>
      <c r="BG388" s="799"/>
    </row>
    <row r="389">
      <c r="H389" s="799"/>
      <c r="I389" s="799"/>
      <c r="J389" s="799"/>
      <c r="K389" s="799"/>
      <c r="L389" s="799"/>
      <c r="M389" s="799"/>
      <c r="N389" s="799"/>
      <c r="O389" s="799"/>
      <c r="P389" s="799"/>
      <c r="Q389" s="799"/>
      <c r="R389" s="799"/>
      <c r="S389" s="799"/>
      <c r="T389" s="799"/>
      <c r="U389" s="799"/>
      <c r="V389" s="799"/>
      <c r="W389" s="799"/>
      <c r="X389" s="799"/>
      <c r="Y389" s="799"/>
      <c r="Z389" s="799"/>
      <c r="AA389" s="799"/>
      <c r="AB389" s="799"/>
      <c r="AC389" s="799"/>
      <c r="AD389" s="799"/>
      <c r="AE389" s="799"/>
      <c r="AF389" s="799"/>
      <c r="AG389" s="799"/>
      <c r="AH389" s="799"/>
      <c r="AI389" s="799"/>
      <c r="AJ389" s="799"/>
      <c r="AK389" s="799"/>
      <c r="AL389" s="799"/>
      <c r="AM389" s="799"/>
      <c r="AN389" s="799"/>
      <c r="AO389" s="799"/>
      <c r="AP389" s="799"/>
      <c r="AQ389" s="799"/>
      <c r="AR389" s="799"/>
      <c r="AS389" s="799"/>
      <c r="AT389" s="799"/>
      <c r="AU389" s="799"/>
      <c r="AV389" s="799"/>
      <c r="AW389" s="799"/>
      <c r="AX389" s="799"/>
      <c r="AY389" s="799"/>
      <c r="AZ389" s="799"/>
      <c r="BA389" s="799"/>
      <c r="BB389" s="799"/>
      <c r="BC389" s="799"/>
      <c r="BD389" s="799"/>
      <c r="BE389" s="799"/>
      <c r="BF389" s="799"/>
      <c r="BG389" s="799"/>
    </row>
    <row r="390">
      <c r="H390" s="799"/>
      <c r="I390" s="799"/>
      <c r="J390" s="799"/>
      <c r="K390" s="799"/>
      <c r="L390" s="799"/>
      <c r="M390" s="799"/>
      <c r="N390" s="799"/>
      <c r="O390" s="799"/>
      <c r="P390" s="799"/>
      <c r="Q390" s="799"/>
      <c r="R390" s="799"/>
      <c r="S390" s="799"/>
      <c r="T390" s="799"/>
      <c r="U390" s="799"/>
      <c r="V390" s="799"/>
      <c r="W390" s="799"/>
      <c r="X390" s="799"/>
      <c r="Y390" s="799"/>
      <c r="Z390" s="799"/>
      <c r="AA390" s="799"/>
      <c r="AB390" s="799"/>
      <c r="AC390" s="799"/>
      <c r="AD390" s="799"/>
      <c r="AE390" s="799"/>
      <c r="AF390" s="799"/>
      <c r="AG390" s="799"/>
      <c r="AH390" s="799"/>
      <c r="AI390" s="799"/>
      <c r="AJ390" s="799"/>
      <c r="AK390" s="799"/>
      <c r="AL390" s="799"/>
      <c r="AM390" s="799"/>
      <c r="AN390" s="799"/>
      <c r="AO390" s="799"/>
      <c r="AP390" s="799"/>
      <c r="AQ390" s="799"/>
      <c r="AR390" s="799"/>
      <c r="AS390" s="799"/>
      <c r="AT390" s="799"/>
      <c r="AU390" s="799"/>
      <c r="AV390" s="799"/>
      <c r="AW390" s="799"/>
      <c r="AX390" s="799"/>
      <c r="AY390" s="799"/>
      <c r="AZ390" s="799"/>
      <c r="BA390" s="799"/>
      <c r="BB390" s="799"/>
      <c r="BC390" s="799"/>
      <c r="BD390" s="799"/>
      <c r="BE390" s="799"/>
      <c r="BF390" s="799"/>
      <c r="BG390" s="799"/>
    </row>
    <row r="391">
      <c r="H391" s="799"/>
      <c r="I391" s="799"/>
      <c r="J391" s="799"/>
      <c r="K391" s="799"/>
      <c r="L391" s="799"/>
      <c r="M391" s="799"/>
      <c r="N391" s="799"/>
      <c r="O391" s="799"/>
      <c r="P391" s="799"/>
      <c r="Q391" s="799"/>
      <c r="R391" s="799"/>
      <c r="S391" s="799"/>
      <c r="T391" s="799"/>
      <c r="U391" s="799"/>
      <c r="V391" s="799"/>
      <c r="W391" s="799"/>
      <c r="X391" s="799"/>
      <c r="Y391" s="799"/>
      <c r="Z391" s="799"/>
      <c r="AA391" s="799"/>
      <c r="AB391" s="799"/>
      <c r="AC391" s="799"/>
      <c r="AD391" s="799"/>
      <c r="AE391" s="799"/>
      <c r="AF391" s="799"/>
      <c r="AG391" s="799"/>
      <c r="AH391" s="799"/>
      <c r="AI391" s="799"/>
      <c r="AJ391" s="799"/>
      <c r="AK391" s="799"/>
      <c r="AL391" s="799"/>
      <c r="AM391" s="799"/>
      <c r="AN391" s="799"/>
      <c r="AO391" s="799"/>
      <c r="AP391" s="799"/>
      <c r="AQ391" s="799"/>
      <c r="AR391" s="799"/>
      <c r="AS391" s="799"/>
      <c r="AT391" s="799"/>
      <c r="AU391" s="799"/>
      <c r="AV391" s="799"/>
      <c r="AW391" s="799"/>
      <c r="AX391" s="799"/>
      <c r="AY391" s="799"/>
      <c r="AZ391" s="799"/>
      <c r="BA391" s="799"/>
      <c r="BB391" s="799"/>
      <c r="BC391" s="799"/>
      <c r="BD391" s="799"/>
      <c r="BE391" s="799"/>
      <c r="BF391" s="799"/>
      <c r="BG391" s="799"/>
    </row>
    <row r="392">
      <c r="H392" s="799"/>
      <c r="I392" s="799"/>
      <c r="J392" s="799"/>
      <c r="K392" s="799"/>
      <c r="L392" s="799"/>
      <c r="M392" s="799"/>
      <c r="N392" s="799"/>
      <c r="O392" s="799"/>
      <c r="P392" s="799"/>
      <c r="Q392" s="799"/>
      <c r="R392" s="799"/>
      <c r="S392" s="799"/>
      <c r="T392" s="799"/>
      <c r="U392" s="799"/>
      <c r="V392" s="799"/>
      <c r="W392" s="799"/>
      <c r="X392" s="799"/>
      <c r="Y392" s="799"/>
      <c r="Z392" s="799"/>
      <c r="AA392" s="799"/>
      <c r="AB392" s="799"/>
      <c r="AC392" s="799"/>
      <c r="AD392" s="799"/>
      <c r="AE392" s="799"/>
      <c r="AF392" s="799"/>
      <c r="AG392" s="799"/>
      <c r="AH392" s="799"/>
      <c r="AI392" s="799"/>
      <c r="AJ392" s="799"/>
      <c r="AK392" s="799"/>
      <c r="AL392" s="799"/>
      <c r="AM392" s="799"/>
      <c r="AN392" s="799"/>
      <c r="AO392" s="799"/>
      <c r="AP392" s="799"/>
      <c r="AQ392" s="799"/>
      <c r="AR392" s="799"/>
      <c r="AS392" s="799"/>
      <c r="AT392" s="799"/>
      <c r="AU392" s="799"/>
      <c r="AV392" s="799"/>
      <c r="AW392" s="799"/>
      <c r="AX392" s="799"/>
      <c r="AY392" s="799"/>
      <c r="AZ392" s="799"/>
      <c r="BA392" s="799"/>
      <c r="BB392" s="799"/>
      <c r="BC392" s="799"/>
      <c r="BD392" s="799"/>
      <c r="BE392" s="799"/>
      <c r="BF392" s="799"/>
      <c r="BG392" s="799"/>
    </row>
    <row r="393">
      <c r="H393" s="799"/>
      <c r="I393" s="799"/>
      <c r="J393" s="799"/>
      <c r="K393" s="799"/>
      <c r="L393" s="799"/>
      <c r="M393" s="799"/>
      <c r="N393" s="799"/>
      <c r="O393" s="799"/>
      <c r="P393" s="799"/>
      <c r="Q393" s="799"/>
      <c r="R393" s="799"/>
      <c r="S393" s="799"/>
      <c r="T393" s="799"/>
      <c r="U393" s="799"/>
      <c r="V393" s="799"/>
      <c r="W393" s="799"/>
      <c r="X393" s="799"/>
      <c r="Y393" s="799"/>
      <c r="Z393" s="799"/>
      <c r="AA393" s="799"/>
      <c r="AB393" s="799"/>
      <c r="AC393" s="799"/>
      <c r="AD393" s="799"/>
      <c r="AE393" s="799"/>
      <c r="AF393" s="799"/>
      <c r="AG393" s="799"/>
      <c r="AH393" s="799"/>
      <c r="AI393" s="799"/>
      <c r="AJ393" s="799"/>
      <c r="AK393" s="799"/>
      <c r="AL393" s="799"/>
      <c r="AM393" s="799"/>
      <c r="AN393" s="799"/>
      <c r="AO393" s="799"/>
      <c r="AP393" s="799"/>
      <c r="AQ393" s="799"/>
      <c r="AR393" s="799"/>
      <c r="AS393" s="799"/>
      <c r="AT393" s="799"/>
      <c r="AU393" s="799"/>
      <c r="AV393" s="799"/>
      <c r="AW393" s="799"/>
      <c r="AX393" s="799"/>
      <c r="AY393" s="799"/>
      <c r="AZ393" s="799"/>
      <c r="BA393" s="799"/>
      <c r="BB393" s="799"/>
      <c r="BC393" s="799"/>
      <c r="BD393" s="799"/>
      <c r="BE393" s="799"/>
      <c r="BF393" s="799"/>
      <c r="BG393" s="799"/>
    </row>
    <row r="394">
      <c r="H394" s="799"/>
      <c r="I394" s="799"/>
      <c r="J394" s="799"/>
      <c r="K394" s="799"/>
      <c r="L394" s="799"/>
      <c r="M394" s="799"/>
      <c r="N394" s="799"/>
      <c r="O394" s="799"/>
      <c r="P394" s="799"/>
      <c r="Q394" s="799"/>
      <c r="R394" s="799"/>
      <c r="S394" s="799"/>
      <c r="T394" s="799"/>
      <c r="U394" s="799"/>
      <c r="V394" s="799"/>
      <c r="W394" s="799"/>
      <c r="X394" s="799"/>
      <c r="Y394" s="799"/>
      <c r="Z394" s="799"/>
      <c r="AA394" s="799"/>
      <c r="AB394" s="799"/>
      <c r="AC394" s="799"/>
      <c r="AD394" s="799"/>
      <c r="AE394" s="799"/>
      <c r="AF394" s="799"/>
      <c r="AG394" s="799"/>
      <c r="AH394" s="799"/>
      <c r="AI394" s="799"/>
      <c r="AJ394" s="799"/>
      <c r="AK394" s="799"/>
      <c r="AL394" s="799"/>
      <c r="AM394" s="799"/>
      <c r="AN394" s="799"/>
      <c r="AO394" s="799"/>
      <c r="AP394" s="799"/>
      <c r="AQ394" s="799"/>
      <c r="AR394" s="799"/>
      <c r="AS394" s="799"/>
      <c r="AT394" s="799"/>
      <c r="AU394" s="799"/>
      <c r="AV394" s="799"/>
      <c r="AW394" s="799"/>
      <c r="AX394" s="799"/>
      <c r="AY394" s="799"/>
      <c r="AZ394" s="799"/>
      <c r="BA394" s="799"/>
      <c r="BB394" s="799"/>
      <c r="BC394" s="799"/>
      <c r="BD394" s="799"/>
      <c r="BE394" s="799"/>
      <c r="BF394" s="799"/>
      <c r="BG394" s="799"/>
    </row>
    <row r="395">
      <c r="H395" s="799"/>
      <c r="I395" s="799"/>
      <c r="J395" s="799"/>
      <c r="K395" s="799"/>
      <c r="L395" s="799"/>
      <c r="M395" s="799"/>
      <c r="N395" s="799"/>
      <c r="O395" s="799"/>
      <c r="P395" s="799"/>
      <c r="Q395" s="799"/>
      <c r="R395" s="799"/>
      <c r="S395" s="799"/>
      <c r="T395" s="799"/>
      <c r="U395" s="799"/>
      <c r="V395" s="799"/>
      <c r="W395" s="799"/>
      <c r="X395" s="799"/>
      <c r="Y395" s="799"/>
      <c r="Z395" s="799"/>
      <c r="AA395" s="799"/>
      <c r="AB395" s="799"/>
      <c r="AC395" s="799"/>
      <c r="AD395" s="799"/>
      <c r="AE395" s="799"/>
      <c r="AF395" s="799"/>
      <c r="AG395" s="799"/>
      <c r="AH395" s="799"/>
      <c r="AI395" s="799"/>
      <c r="AJ395" s="799"/>
      <c r="AK395" s="799"/>
      <c r="AL395" s="799"/>
      <c r="AM395" s="799"/>
      <c r="AN395" s="799"/>
      <c r="AO395" s="799"/>
      <c r="AP395" s="799"/>
      <c r="AQ395" s="799"/>
      <c r="AR395" s="799"/>
      <c r="AS395" s="799"/>
      <c r="AT395" s="799"/>
      <c r="AU395" s="799"/>
      <c r="AV395" s="799"/>
      <c r="AW395" s="799"/>
      <c r="AX395" s="799"/>
      <c r="AY395" s="799"/>
      <c r="AZ395" s="799"/>
      <c r="BA395" s="799"/>
      <c r="BB395" s="799"/>
      <c r="BC395" s="799"/>
      <c r="BD395" s="799"/>
      <c r="BE395" s="799"/>
      <c r="BF395" s="799"/>
      <c r="BG395" s="799"/>
    </row>
    <row r="396">
      <c r="H396" s="799"/>
      <c r="I396" s="799"/>
      <c r="J396" s="799"/>
      <c r="K396" s="799"/>
      <c r="L396" s="799"/>
      <c r="M396" s="799"/>
      <c r="N396" s="799"/>
      <c r="O396" s="799"/>
      <c r="P396" s="799"/>
      <c r="Q396" s="799"/>
      <c r="R396" s="799"/>
      <c r="S396" s="799"/>
      <c r="T396" s="799"/>
      <c r="U396" s="799"/>
      <c r="V396" s="799"/>
      <c r="W396" s="799"/>
      <c r="X396" s="799"/>
      <c r="Y396" s="799"/>
      <c r="Z396" s="799"/>
      <c r="AA396" s="799"/>
      <c r="AB396" s="799"/>
      <c r="AC396" s="799"/>
      <c r="AD396" s="799"/>
      <c r="AE396" s="799"/>
      <c r="AF396" s="799"/>
      <c r="AG396" s="799"/>
      <c r="AH396" s="799"/>
      <c r="AI396" s="799"/>
      <c r="AJ396" s="799"/>
      <c r="AK396" s="799"/>
      <c r="AL396" s="799"/>
      <c r="AM396" s="799"/>
      <c r="AN396" s="799"/>
      <c r="AO396" s="799"/>
      <c r="AP396" s="799"/>
      <c r="AQ396" s="799"/>
      <c r="AR396" s="799"/>
      <c r="AS396" s="799"/>
      <c r="AT396" s="799"/>
      <c r="AU396" s="799"/>
      <c r="AV396" s="799"/>
      <c r="AW396" s="799"/>
      <c r="AX396" s="799"/>
      <c r="AY396" s="799"/>
      <c r="AZ396" s="799"/>
      <c r="BA396" s="799"/>
      <c r="BB396" s="799"/>
      <c r="BC396" s="799"/>
      <c r="BD396" s="799"/>
      <c r="BE396" s="799"/>
      <c r="BF396" s="799"/>
      <c r="BG396" s="799"/>
    </row>
    <row r="397">
      <c r="H397" s="799"/>
      <c r="I397" s="799"/>
      <c r="J397" s="799"/>
      <c r="K397" s="799"/>
      <c r="L397" s="799"/>
      <c r="M397" s="799"/>
      <c r="N397" s="799"/>
      <c r="O397" s="799"/>
      <c r="P397" s="799"/>
      <c r="Q397" s="799"/>
      <c r="R397" s="799"/>
      <c r="S397" s="799"/>
      <c r="T397" s="799"/>
      <c r="U397" s="799"/>
      <c r="V397" s="799"/>
      <c r="W397" s="799"/>
      <c r="X397" s="799"/>
      <c r="Y397" s="799"/>
      <c r="Z397" s="799"/>
      <c r="AA397" s="799"/>
      <c r="AB397" s="799"/>
      <c r="AC397" s="799"/>
      <c r="AD397" s="799"/>
      <c r="AE397" s="799"/>
      <c r="AF397" s="799"/>
      <c r="AG397" s="799"/>
      <c r="AH397" s="799"/>
      <c r="AI397" s="799"/>
      <c r="AJ397" s="799"/>
      <c r="AK397" s="799"/>
      <c r="AL397" s="799"/>
      <c r="AM397" s="799"/>
      <c r="AN397" s="799"/>
      <c r="AO397" s="799"/>
      <c r="AP397" s="799"/>
      <c r="AQ397" s="799"/>
      <c r="AR397" s="799"/>
      <c r="AS397" s="799"/>
      <c r="AT397" s="799"/>
      <c r="AU397" s="799"/>
      <c r="AV397" s="799"/>
      <c r="AW397" s="799"/>
      <c r="AX397" s="799"/>
      <c r="AY397" s="799"/>
      <c r="AZ397" s="799"/>
      <c r="BA397" s="799"/>
      <c r="BB397" s="799"/>
      <c r="BC397" s="799"/>
      <c r="BD397" s="799"/>
      <c r="BE397" s="799"/>
      <c r="BF397" s="799"/>
      <c r="BG397" s="799"/>
    </row>
    <row r="398">
      <c r="H398" s="799"/>
      <c r="I398" s="799"/>
      <c r="J398" s="799"/>
      <c r="K398" s="799"/>
      <c r="L398" s="799"/>
      <c r="M398" s="799"/>
      <c r="N398" s="799"/>
      <c r="O398" s="799"/>
      <c r="P398" s="799"/>
      <c r="Q398" s="799"/>
      <c r="R398" s="799"/>
      <c r="S398" s="799"/>
      <c r="T398" s="799"/>
      <c r="U398" s="799"/>
      <c r="V398" s="799"/>
      <c r="W398" s="799"/>
      <c r="X398" s="799"/>
      <c r="Y398" s="799"/>
      <c r="Z398" s="799"/>
      <c r="AA398" s="799"/>
      <c r="AB398" s="799"/>
      <c r="AC398" s="799"/>
      <c r="AD398" s="799"/>
      <c r="AE398" s="799"/>
      <c r="AF398" s="799"/>
      <c r="AG398" s="799"/>
      <c r="AH398" s="799"/>
      <c r="AI398" s="799"/>
      <c r="AJ398" s="799"/>
      <c r="AK398" s="799"/>
      <c r="AL398" s="799"/>
      <c r="AM398" s="799"/>
      <c r="AN398" s="799"/>
      <c r="AO398" s="799"/>
      <c r="AP398" s="799"/>
      <c r="AQ398" s="799"/>
      <c r="AR398" s="799"/>
      <c r="AS398" s="799"/>
      <c r="AT398" s="799"/>
      <c r="AU398" s="799"/>
      <c r="AV398" s="799"/>
      <c r="AW398" s="799"/>
      <c r="AX398" s="799"/>
      <c r="AY398" s="799"/>
      <c r="AZ398" s="799"/>
      <c r="BA398" s="799"/>
      <c r="BB398" s="799"/>
      <c r="BC398" s="799"/>
      <c r="BD398" s="799"/>
      <c r="BE398" s="799"/>
      <c r="BF398" s="799"/>
      <c r="BG398" s="799"/>
    </row>
    <row r="399">
      <c r="H399" s="799"/>
      <c r="I399" s="799"/>
      <c r="J399" s="799"/>
      <c r="K399" s="799"/>
      <c r="L399" s="799"/>
      <c r="M399" s="799"/>
      <c r="N399" s="799"/>
      <c r="O399" s="799"/>
      <c r="P399" s="799"/>
      <c r="Q399" s="799"/>
      <c r="R399" s="799"/>
      <c r="S399" s="799"/>
      <c r="T399" s="799"/>
      <c r="U399" s="799"/>
      <c r="V399" s="799"/>
      <c r="W399" s="799"/>
      <c r="X399" s="799"/>
      <c r="Y399" s="799"/>
      <c r="Z399" s="799"/>
      <c r="AA399" s="799"/>
      <c r="AB399" s="799"/>
      <c r="AC399" s="799"/>
      <c r="AD399" s="799"/>
      <c r="AE399" s="799"/>
      <c r="AF399" s="799"/>
      <c r="AG399" s="799"/>
      <c r="AH399" s="799"/>
      <c r="AI399" s="799"/>
      <c r="AJ399" s="799"/>
      <c r="AK399" s="799"/>
      <c r="AL399" s="799"/>
      <c r="AM399" s="799"/>
      <c r="AN399" s="799"/>
      <c r="AO399" s="799"/>
      <c r="AP399" s="799"/>
      <c r="AQ399" s="799"/>
      <c r="AR399" s="799"/>
      <c r="AS399" s="799"/>
      <c r="AT399" s="799"/>
      <c r="AU399" s="799"/>
      <c r="AV399" s="799"/>
      <c r="AW399" s="799"/>
      <c r="AX399" s="799"/>
      <c r="AY399" s="799"/>
      <c r="AZ399" s="799"/>
      <c r="BA399" s="799"/>
      <c r="BB399" s="799"/>
      <c r="BC399" s="799"/>
      <c r="BD399" s="799"/>
      <c r="BE399" s="799"/>
      <c r="BF399" s="799"/>
      <c r="BG399" s="799"/>
    </row>
    <row r="400">
      <c r="H400" s="799"/>
      <c r="I400" s="799"/>
      <c r="J400" s="799"/>
      <c r="K400" s="799"/>
      <c r="L400" s="799"/>
      <c r="M400" s="799"/>
      <c r="N400" s="799"/>
      <c r="O400" s="799"/>
      <c r="P400" s="799"/>
      <c r="Q400" s="799"/>
      <c r="R400" s="799"/>
      <c r="S400" s="799"/>
      <c r="T400" s="799"/>
      <c r="U400" s="799"/>
      <c r="V400" s="799"/>
      <c r="W400" s="799"/>
      <c r="X400" s="799"/>
      <c r="Y400" s="799"/>
      <c r="Z400" s="799"/>
      <c r="AA400" s="799"/>
      <c r="AB400" s="799"/>
      <c r="AC400" s="799"/>
      <c r="AD400" s="799"/>
      <c r="AE400" s="799"/>
      <c r="AF400" s="799"/>
      <c r="AG400" s="799"/>
      <c r="AH400" s="799"/>
      <c r="AI400" s="799"/>
      <c r="AJ400" s="799"/>
      <c r="AK400" s="799"/>
      <c r="AL400" s="799"/>
      <c r="AM400" s="799"/>
      <c r="AN400" s="799"/>
      <c r="AO400" s="799"/>
      <c r="AP400" s="799"/>
      <c r="AQ400" s="799"/>
      <c r="AR400" s="799"/>
      <c r="AS400" s="799"/>
      <c r="AT400" s="799"/>
      <c r="AU400" s="799"/>
      <c r="AV400" s="799"/>
      <c r="AW400" s="799"/>
      <c r="AX400" s="799"/>
      <c r="AY400" s="799"/>
      <c r="AZ400" s="799"/>
      <c r="BA400" s="799"/>
      <c r="BB400" s="799"/>
      <c r="BC400" s="799"/>
      <c r="BD400" s="799"/>
      <c r="BE400" s="799"/>
      <c r="BF400" s="799"/>
      <c r="BG400" s="799"/>
    </row>
    <row r="401">
      <c r="H401" s="799"/>
      <c r="I401" s="799"/>
      <c r="J401" s="799"/>
      <c r="K401" s="799"/>
      <c r="L401" s="799"/>
      <c r="M401" s="799"/>
      <c r="N401" s="799"/>
      <c r="O401" s="799"/>
      <c r="P401" s="799"/>
      <c r="Q401" s="799"/>
      <c r="R401" s="799"/>
      <c r="S401" s="799"/>
      <c r="T401" s="799"/>
      <c r="U401" s="799"/>
      <c r="V401" s="799"/>
      <c r="W401" s="799"/>
      <c r="X401" s="799"/>
      <c r="Y401" s="799"/>
      <c r="Z401" s="799"/>
      <c r="AA401" s="799"/>
      <c r="AB401" s="799"/>
      <c r="AC401" s="799"/>
      <c r="AD401" s="799"/>
      <c r="AE401" s="799"/>
      <c r="AF401" s="799"/>
      <c r="AG401" s="799"/>
      <c r="AH401" s="799"/>
      <c r="AI401" s="799"/>
      <c r="AJ401" s="799"/>
      <c r="AK401" s="799"/>
      <c r="AL401" s="799"/>
      <c r="AM401" s="799"/>
      <c r="AN401" s="799"/>
      <c r="AO401" s="799"/>
      <c r="AP401" s="799"/>
      <c r="AQ401" s="799"/>
      <c r="AR401" s="799"/>
      <c r="AS401" s="799"/>
      <c r="AT401" s="799"/>
      <c r="AU401" s="799"/>
      <c r="AV401" s="799"/>
      <c r="AW401" s="799"/>
      <c r="AX401" s="799"/>
      <c r="AY401" s="799"/>
      <c r="AZ401" s="799"/>
      <c r="BA401" s="799"/>
      <c r="BB401" s="799"/>
      <c r="BC401" s="799"/>
      <c r="BD401" s="799"/>
      <c r="BE401" s="799"/>
      <c r="BF401" s="799"/>
      <c r="BG401" s="799"/>
    </row>
    <row r="402">
      <c r="H402" s="799"/>
      <c r="I402" s="799"/>
      <c r="J402" s="799"/>
      <c r="K402" s="799"/>
      <c r="L402" s="799"/>
      <c r="M402" s="799"/>
      <c r="N402" s="799"/>
      <c r="O402" s="799"/>
      <c r="P402" s="799"/>
      <c r="Q402" s="799"/>
      <c r="R402" s="799"/>
      <c r="S402" s="799"/>
      <c r="T402" s="799"/>
      <c r="U402" s="799"/>
      <c r="V402" s="799"/>
      <c r="W402" s="799"/>
      <c r="X402" s="799"/>
      <c r="Y402" s="799"/>
      <c r="Z402" s="799"/>
      <c r="AA402" s="799"/>
      <c r="AB402" s="799"/>
      <c r="AC402" s="799"/>
      <c r="AD402" s="799"/>
      <c r="AE402" s="799"/>
      <c r="AF402" s="799"/>
      <c r="AG402" s="799"/>
      <c r="AH402" s="799"/>
      <c r="AI402" s="799"/>
      <c r="AJ402" s="799"/>
      <c r="AK402" s="799"/>
      <c r="AL402" s="799"/>
      <c r="AM402" s="799"/>
      <c r="AN402" s="799"/>
      <c r="AO402" s="799"/>
      <c r="AP402" s="799"/>
      <c r="AQ402" s="799"/>
      <c r="AR402" s="799"/>
      <c r="AS402" s="799"/>
      <c r="AT402" s="799"/>
      <c r="AU402" s="799"/>
      <c r="AV402" s="799"/>
      <c r="AW402" s="799"/>
      <c r="AX402" s="799"/>
      <c r="AY402" s="799"/>
      <c r="AZ402" s="799"/>
      <c r="BA402" s="799"/>
      <c r="BB402" s="799"/>
      <c r="BC402" s="799"/>
      <c r="BD402" s="799"/>
      <c r="BE402" s="799"/>
      <c r="BF402" s="799"/>
      <c r="BG402" s="799"/>
    </row>
    <row r="403">
      <c r="H403" s="799"/>
      <c r="I403" s="799"/>
      <c r="J403" s="799"/>
      <c r="K403" s="799"/>
      <c r="L403" s="799"/>
      <c r="M403" s="799"/>
      <c r="N403" s="799"/>
      <c r="O403" s="799"/>
      <c r="P403" s="799"/>
      <c r="Q403" s="799"/>
      <c r="R403" s="799"/>
      <c r="S403" s="799"/>
      <c r="T403" s="799"/>
      <c r="U403" s="799"/>
      <c r="V403" s="799"/>
      <c r="W403" s="799"/>
      <c r="X403" s="799"/>
      <c r="Y403" s="799"/>
      <c r="Z403" s="799"/>
      <c r="AA403" s="799"/>
      <c r="AB403" s="799"/>
      <c r="AC403" s="799"/>
      <c r="AD403" s="799"/>
      <c r="AE403" s="799"/>
      <c r="AF403" s="799"/>
      <c r="AG403" s="799"/>
      <c r="AH403" s="799"/>
      <c r="AI403" s="799"/>
      <c r="AJ403" s="799"/>
      <c r="AK403" s="799"/>
      <c r="AL403" s="799"/>
      <c r="AM403" s="799"/>
      <c r="AN403" s="799"/>
      <c r="AO403" s="799"/>
      <c r="AP403" s="799"/>
      <c r="AQ403" s="799"/>
      <c r="AR403" s="799"/>
      <c r="AS403" s="799"/>
      <c r="AT403" s="799"/>
      <c r="AU403" s="799"/>
      <c r="AV403" s="799"/>
      <c r="AW403" s="799"/>
      <c r="AX403" s="799"/>
      <c r="AY403" s="799"/>
      <c r="AZ403" s="799"/>
      <c r="BA403" s="799"/>
      <c r="BB403" s="799"/>
      <c r="BC403" s="799"/>
      <c r="BD403" s="799"/>
      <c r="BE403" s="799"/>
      <c r="BF403" s="799"/>
      <c r="BG403" s="799"/>
    </row>
    <row r="404">
      <c r="H404" s="799"/>
      <c r="I404" s="799"/>
      <c r="J404" s="799"/>
      <c r="K404" s="799"/>
      <c r="L404" s="799"/>
      <c r="M404" s="799"/>
      <c r="N404" s="799"/>
      <c r="O404" s="799"/>
      <c r="P404" s="799"/>
      <c r="Q404" s="799"/>
      <c r="R404" s="799"/>
      <c r="S404" s="799"/>
      <c r="T404" s="799"/>
      <c r="U404" s="799"/>
      <c r="V404" s="799"/>
      <c r="W404" s="799"/>
      <c r="X404" s="799"/>
      <c r="Y404" s="799"/>
      <c r="Z404" s="799"/>
      <c r="AA404" s="799"/>
      <c r="AB404" s="799"/>
      <c r="AC404" s="799"/>
      <c r="AD404" s="799"/>
      <c r="AE404" s="799"/>
      <c r="AF404" s="799"/>
      <c r="AG404" s="799"/>
      <c r="AH404" s="799"/>
      <c r="AI404" s="799"/>
      <c r="AJ404" s="799"/>
      <c r="AK404" s="799"/>
      <c r="AL404" s="799"/>
      <c r="AM404" s="799"/>
      <c r="AN404" s="799"/>
      <c r="AO404" s="799"/>
      <c r="AP404" s="799"/>
      <c r="AQ404" s="799"/>
      <c r="AR404" s="799"/>
      <c r="AS404" s="799"/>
      <c r="AT404" s="799"/>
      <c r="AU404" s="799"/>
      <c r="AV404" s="799"/>
      <c r="AW404" s="799"/>
      <c r="AX404" s="799"/>
      <c r="AY404" s="799"/>
      <c r="AZ404" s="799"/>
      <c r="BA404" s="799"/>
      <c r="BB404" s="799"/>
      <c r="BC404" s="799"/>
      <c r="BD404" s="799"/>
      <c r="BE404" s="799"/>
      <c r="BF404" s="799"/>
      <c r="BG404" s="799"/>
    </row>
    <row r="405">
      <c r="H405" s="799"/>
      <c r="I405" s="799"/>
      <c r="J405" s="799"/>
      <c r="K405" s="799"/>
      <c r="L405" s="799"/>
      <c r="M405" s="799"/>
      <c r="N405" s="799"/>
      <c r="O405" s="799"/>
      <c r="P405" s="799"/>
      <c r="Q405" s="799"/>
      <c r="R405" s="799"/>
      <c r="S405" s="799"/>
      <c r="T405" s="799"/>
      <c r="U405" s="799"/>
      <c r="V405" s="799"/>
      <c r="W405" s="799"/>
      <c r="X405" s="799"/>
      <c r="Y405" s="799"/>
      <c r="Z405" s="799"/>
      <c r="AA405" s="799"/>
      <c r="AB405" s="799"/>
      <c r="AC405" s="799"/>
      <c r="AD405" s="799"/>
      <c r="AE405" s="799"/>
      <c r="AF405" s="799"/>
      <c r="AG405" s="799"/>
      <c r="AH405" s="799"/>
      <c r="AI405" s="799"/>
      <c r="AJ405" s="799"/>
      <c r="AK405" s="799"/>
      <c r="AL405" s="799"/>
      <c r="AM405" s="799"/>
      <c r="AN405" s="799"/>
      <c r="AO405" s="799"/>
      <c r="AP405" s="799"/>
      <c r="AQ405" s="799"/>
      <c r="AR405" s="799"/>
      <c r="AS405" s="799"/>
      <c r="AT405" s="799"/>
      <c r="AU405" s="799"/>
      <c r="AV405" s="799"/>
      <c r="AW405" s="799"/>
      <c r="AX405" s="799"/>
      <c r="AY405" s="799"/>
      <c r="AZ405" s="799"/>
      <c r="BA405" s="799"/>
      <c r="BB405" s="799"/>
      <c r="BC405" s="799"/>
      <c r="BD405" s="799"/>
      <c r="BE405" s="799"/>
      <c r="BF405" s="799"/>
      <c r="BG405" s="799"/>
    </row>
    <row r="406">
      <c r="H406" s="799"/>
      <c r="I406" s="799"/>
      <c r="J406" s="799"/>
      <c r="K406" s="799"/>
      <c r="L406" s="799"/>
      <c r="M406" s="799"/>
      <c r="N406" s="799"/>
      <c r="O406" s="799"/>
      <c r="P406" s="799"/>
      <c r="Q406" s="799"/>
      <c r="R406" s="799"/>
      <c r="S406" s="799"/>
      <c r="T406" s="799"/>
      <c r="U406" s="799"/>
      <c r="V406" s="799"/>
      <c r="W406" s="799"/>
      <c r="X406" s="799"/>
      <c r="Y406" s="799"/>
      <c r="Z406" s="799"/>
      <c r="AA406" s="799"/>
      <c r="AB406" s="799"/>
      <c r="AC406" s="799"/>
      <c r="AD406" s="799"/>
      <c r="AE406" s="799"/>
      <c r="AF406" s="799"/>
      <c r="AG406" s="799"/>
      <c r="AH406" s="799"/>
      <c r="AI406" s="799"/>
      <c r="AJ406" s="799"/>
      <c r="AK406" s="799"/>
      <c r="AL406" s="799"/>
      <c r="AM406" s="799"/>
      <c r="AN406" s="799"/>
      <c r="AO406" s="799"/>
      <c r="AP406" s="799"/>
      <c r="AQ406" s="799"/>
      <c r="AR406" s="799"/>
      <c r="AS406" s="799"/>
      <c r="AT406" s="799"/>
      <c r="AU406" s="799"/>
      <c r="AV406" s="799"/>
      <c r="AW406" s="799"/>
      <c r="AX406" s="799"/>
      <c r="AY406" s="799"/>
      <c r="AZ406" s="799"/>
      <c r="BA406" s="799"/>
      <c r="BB406" s="799"/>
      <c r="BC406" s="799"/>
      <c r="BD406" s="799"/>
      <c r="BE406" s="799"/>
      <c r="BF406" s="799"/>
      <c r="BG406" s="799"/>
    </row>
    <row r="407">
      <c r="H407" s="799"/>
      <c r="I407" s="799"/>
      <c r="J407" s="799"/>
      <c r="K407" s="799"/>
      <c r="L407" s="799"/>
      <c r="M407" s="799"/>
      <c r="N407" s="799"/>
      <c r="O407" s="799"/>
      <c r="P407" s="799"/>
      <c r="Q407" s="799"/>
      <c r="R407" s="799"/>
      <c r="S407" s="799"/>
      <c r="T407" s="799"/>
      <c r="U407" s="799"/>
      <c r="V407" s="799"/>
      <c r="W407" s="799"/>
      <c r="X407" s="799"/>
      <c r="Y407" s="799"/>
      <c r="Z407" s="799"/>
      <c r="AA407" s="799"/>
      <c r="AB407" s="799"/>
      <c r="AC407" s="799"/>
      <c r="AD407" s="799"/>
      <c r="AE407" s="799"/>
      <c r="AF407" s="799"/>
      <c r="AG407" s="799"/>
      <c r="AH407" s="799"/>
      <c r="AI407" s="799"/>
      <c r="AJ407" s="799"/>
      <c r="AK407" s="799"/>
      <c r="AL407" s="799"/>
      <c r="AM407" s="799"/>
      <c r="AN407" s="799"/>
      <c r="AO407" s="799"/>
      <c r="AP407" s="799"/>
      <c r="AQ407" s="799"/>
      <c r="AR407" s="799"/>
      <c r="AS407" s="799"/>
      <c r="AT407" s="799"/>
      <c r="AU407" s="799"/>
      <c r="AV407" s="799"/>
      <c r="AW407" s="799"/>
      <c r="AX407" s="799"/>
      <c r="AY407" s="799"/>
      <c r="AZ407" s="799"/>
      <c r="BA407" s="799"/>
      <c r="BB407" s="799"/>
      <c r="BC407" s="799"/>
      <c r="BD407" s="799"/>
      <c r="BE407" s="799"/>
      <c r="BF407" s="799"/>
      <c r="BG407" s="799"/>
    </row>
    <row r="408">
      <c r="H408" s="799"/>
      <c r="I408" s="799"/>
      <c r="J408" s="799"/>
      <c r="K408" s="799"/>
      <c r="L408" s="799"/>
      <c r="M408" s="799"/>
      <c r="N408" s="799"/>
      <c r="O408" s="799"/>
      <c r="P408" s="799"/>
      <c r="Q408" s="799"/>
      <c r="R408" s="799"/>
      <c r="S408" s="799"/>
      <c r="T408" s="799"/>
      <c r="U408" s="799"/>
      <c r="V408" s="799"/>
      <c r="W408" s="799"/>
      <c r="X408" s="799"/>
      <c r="Y408" s="799"/>
      <c r="Z408" s="799"/>
      <c r="AA408" s="799"/>
      <c r="AB408" s="799"/>
      <c r="AC408" s="799"/>
      <c r="AD408" s="799"/>
      <c r="AE408" s="799"/>
      <c r="AF408" s="799"/>
      <c r="AG408" s="799"/>
      <c r="AH408" s="799"/>
      <c r="AI408" s="799"/>
      <c r="AJ408" s="799"/>
      <c r="AK408" s="799"/>
      <c r="AL408" s="799"/>
      <c r="AM408" s="799"/>
      <c r="AN408" s="799"/>
      <c r="AO408" s="799"/>
      <c r="AP408" s="799"/>
      <c r="AQ408" s="799"/>
      <c r="AR408" s="799"/>
      <c r="AS408" s="799"/>
      <c r="AT408" s="799"/>
      <c r="AU408" s="799"/>
      <c r="AV408" s="799"/>
      <c r="AW408" s="799"/>
      <c r="AX408" s="799"/>
      <c r="AY408" s="799"/>
      <c r="AZ408" s="799"/>
      <c r="BA408" s="799"/>
      <c r="BB408" s="799"/>
      <c r="BC408" s="799"/>
      <c r="BD408" s="799"/>
      <c r="BE408" s="799"/>
      <c r="BF408" s="799"/>
      <c r="BG408" s="799"/>
    </row>
    <row r="409">
      <c r="H409" s="799"/>
      <c r="I409" s="799"/>
      <c r="J409" s="799"/>
      <c r="K409" s="799"/>
      <c r="L409" s="799"/>
      <c r="M409" s="799"/>
      <c r="N409" s="799"/>
      <c r="O409" s="799"/>
      <c r="P409" s="799"/>
      <c r="Q409" s="799"/>
      <c r="R409" s="799"/>
      <c r="S409" s="799"/>
      <c r="T409" s="799"/>
      <c r="U409" s="799"/>
      <c r="V409" s="799"/>
      <c r="W409" s="799"/>
      <c r="X409" s="799"/>
      <c r="Y409" s="799"/>
      <c r="Z409" s="799"/>
      <c r="AA409" s="799"/>
      <c r="AB409" s="799"/>
      <c r="AC409" s="799"/>
      <c r="AD409" s="799"/>
      <c r="AE409" s="799"/>
      <c r="AF409" s="799"/>
      <c r="AG409" s="799"/>
      <c r="AH409" s="799"/>
      <c r="AI409" s="799"/>
      <c r="AJ409" s="799"/>
      <c r="AK409" s="799"/>
      <c r="AL409" s="799"/>
      <c r="AM409" s="799"/>
      <c r="AN409" s="799"/>
      <c r="AO409" s="799"/>
      <c r="AP409" s="799"/>
      <c r="AQ409" s="799"/>
      <c r="AR409" s="799"/>
      <c r="AS409" s="799"/>
      <c r="AT409" s="799"/>
      <c r="AU409" s="799"/>
      <c r="AV409" s="799"/>
      <c r="AW409" s="799"/>
      <c r="AX409" s="799"/>
      <c r="AY409" s="799"/>
      <c r="AZ409" s="799"/>
      <c r="BA409" s="799"/>
      <c r="BB409" s="799"/>
      <c r="BC409" s="799"/>
      <c r="BD409" s="799"/>
      <c r="BE409" s="799"/>
      <c r="BF409" s="799"/>
      <c r="BG409" s="799"/>
    </row>
    <row r="410">
      <c r="H410" s="799"/>
      <c r="I410" s="799"/>
      <c r="J410" s="799"/>
      <c r="K410" s="799"/>
      <c r="L410" s="799"/>
      <c r="M410" s="799"/>
      <c r="N410" s="799"/>
      <c r="O410" s="799"/>
      <c r="P410" s="799"/>
      <c r="Q410" s="799"/>
      <c r="R410" s="799"/>
      <c r="S410" s="799"/>
      <c r="T410" s="799"/>
      <c r="U410" s="799"/>
      <c r="V410" s="799"/>
      <c r="W410" s="799"/>
      <c r="X410" s="799"/>
      <c r="Y410" s="799"/>
      <c r="Z410" s="799"/>
      <c r="AA410" s="799"/>
      <c r="AB410" s="799"/>
      <c r="AC410" s="799"/>
      <c r="AD410" s="799"/>
      <c r="AE410" s="799"/>
      <c r="AF410" s="799"/>
      <c r="AG410" s="799"/>
      <c r="AH410" s="799"/>
      <c r="AI410" s="799"/>
      <c r="AJ410" s="799"/>
      <c r="AK410" s="799"/>
      <c r="AL410" s="799"/>
      <c r="AM410" s="799"/>
      <c r="AN410" s="799"/>
      <c r="AO410" s="799"/>
      <c r="AP410" s="799"/>
      <c r="AQ410" s="799"/>
      <c r="AR410" s="799"/>
      <c r="AS410" s="799"/>
      <c r="AT410" s="799"/>
      <c r="AU410" s="799"/>
      <c r="AV410" s="799"/>
      <c r="AW410" s="799"/>
      <c r="AX410" s="799"/>
      <c r="AY410" s="799"/>
      <c r="AZ410" s="799"/>
      <c r="BA410" s="799"/>
      <c r="BB410" s="799"/>
      <c r="BC410" s="799"/>
      <c r="BD410" s="799"/>
      <c r="BE410" s="799"/>
      <c r="BF410" s="799"/>
      <c r="BG410" s="799"/>
    </row>
    <row r="411">
      <c r="H411" s="799"/>
      <c r="I411" s="799"/>
      <c r="J411" s="799"/>
      <c r="K411" s="799"/>
      <c r="L411" s="799"/>
      <c r="M411" s="799"/>
      <c r="N411" s="799"/>
      <c r="O411" s="799"/>
      <c r="P411" s="799"/>
      <c r="Q411" s="799"/>
      <c r="R411" s="799"/>
      <c r="S411" s="799"/>
      <c r="T411" s="799"/>
      <c r="U411" s="799"/>
      <c r="V411" s="799"/>
      <c r="W411" s="799"/>
      <c r="X411" s="799"/>
      <c r="Y411" s="799"/>
      <c r="Z411" s="799"/>
      <c r="AA411" s="799"/>
      <c r="AB411" s="799"/>
      <c r="AC411" s="799"/>
      <c r="AD411" s="799"/>
      <c r="AE411" s="799"/>
      <c r="AF411" s="799"/>
      <c r="AG411" s="799"/>
      <c r="AH411" s="799"/>
      <c r="AI411" s="799"/>
      <c r="AJ411" s="799"/>
      <c r="AK411" s="799"/>
      <c r="AL411" s="799"/>
      <c r="AM411" s="799"/>
      <c r="AN411" s="799"/>
      <c r="AO411" s="799"/>
      <c r="AP411" s="799"/>
      <c r="AQ411" s="799"/>
      <c r="AR411" s="799"/>
      <c r="AS411" s="799"/>
      <c r="AT411" s="799"/>
      <c r="AU411" s="799"/>
      <c r="AV411" s="799"/>
      <c r="AW411" s="799"/>
      <c r="AX411" s="799"/>
      <c r="AY411" s="799"/>
      <c r="AZ411" s="799"/>
      <c r="BA411" s="799"/>
      <c r="BB411" s="799"/>
      <c r="BC411" s="799"/>
      <c r="BD411" s="799"/>
      <c r="BE411" s="799"/>
      <c r="BF411" s="799"/>
      <c r="BG411" s="799"/>
    </row>
    <row r="412">
      <c r="H412" s="799"/>
      <c r="I412" s="799"/>
      <c r="J412" s="799"/>
      <c r="K412" s="799"/>
      <c r="L412" s="799"/>
      <c r="M412" s="799"/>
      <c r="N412" s="799"/>
      <c r="O412" s="799"/>
      <c r="P412" s="799"/>
      <c r="Q412" s="799"/>
      <c r="R412" s="799"/>
      <c r="S412" s="799"/>
      <c r="T412" s="799"/>
      <c r="U412" s="799"/>
      <c r="V412" s="799"/>
      <c r="W412" s="799"/>
      <c r="X412" s="799"/>
      <c r="Y412" s="799"/>
      <c r="Z412" s="799"/>
      <c r="AA412" s="799"/>
      <c r="AB412" s="799"/>
      <c r="AC412" s="799"/>
      <c r="AD412" s="799"/>
      <c r="AE412" s="799"/>
      <c r="AF412" s="799"/>
      <c r="AG412" s="799"/>
      <c r="AH412" s="799"/>
      <c r="AI412" s="799"/>
      <c r="AJ412" s="799"/>
      <c r="AK412" s="799"/>
      <c r="AL412" s="799"/>
      <c r="AM412" s="799"/>
      <c r="AN412" s="799"/>
      <c r="AO412" s="799"/>
      <c r="AP412" s="799"/>
      <c r="AQ412" s="799"/>
      <c r="AR412" s="799"/>
      <c r="AS412" s="799"/>
      <c r="AT412" s="799"/>
      <c r="AU412" s="799"/>
      <c r="AV412" s="799"/>
      <c r="AW412" s="799"/>
      <c r="AX412" s="799"/>
      <c r="AY412" s="799"/>
      <c r="AZ412" s="799"/>
      <c r="BA412" s="799"/>
      <c r="BB412" s="799"/>
      <c r="BC412" s="799"/>
      <c r="BD412" s="799"/>
      <c r="BE412" s="799"/>
      <c r="BF412" s="799"/>
      <c r="BG412" s="799"/>
    </row>
    <row r="413">
      <c r="H413" s="799"/>
      <c r="I413" s="799"/>
      <c r="J413" s="799"/>
      <c r="K413" s="799"/>
      <c r="L413" s="799"/>
      <c r="M413" s="799"/>
      <c r="N413" s="799"/>
      <c r="O413" s="799"/>
      <c r="P413" s="799"/>
      <c r="Q413" s="799"/>
      <c r="R413" s="799"/>
      <c r="S413" s="799"/>
      <c r="T413" s="799"/>
      <c r="U413" s="799"/>
      <c r="V413" s="799"/>
      <c r="W413" s="799"/>
      <c r="X413" s="799"/>
      <c r="Y413" s="799"/>
      <c r="Z413" s="799"/>
      <c r="AA413" s="799"/>
      <c r="AB413" s="799"/>
      <c r="AC413" s="799"/>
      <c r="AD413" s="799"/>
      <c r="AE413" s="799"/>
      <c r="AF413" s="799"/>
      <c r="AG413" s="799"/>
      <c r="AH413" s="799"/>
      <c r="AI413" s="799"/>
      <c r="AJ413" s="799"/>
      <c r="AK413" s="799"/>
      <c r="AL413" s="799"/>
      <c r="AM413" s="799"/>
      <c r="AN413" s="799"/>
      <c r="AO413" s="799"/>
      <c r="AP413" s="799"/>
      <c r="AQ413" s="799"/>
      <c r="AR413" s="799"/>
      <c r="AS413" s="799"/>
      <c r="AT413" s="799"/>
      <c r="AU413" s="799"/>
      <c r="AV413" s="799"/>
      <c r="AW413" s="799"/>
      <c r="AX413" s="799"/>
      <c r="AY413" s="799"/>
      <c r="AZ413" s="799"/>
      <c r="BA413" s="799"/>
      <c r="BB413" s="799"/>
      <c r="BC413" s="799"/>
      <c r="BD413" s="799"/>
      <c r="BE413" s="799"/>
      <c r="BF413" s="799"/>
      <c r="BG413" s="799"/>
    </row>
    <row r="414">
      <c r="H414" s="799"/>
      <c r="I414" s="799"/>
      <c r="J414" s="799"/>
      <c r="K414" s="799"/>
      <c r="L414" s="799"/>
      <c r="M414" s="799"/>
      <c r="N414" s="799"/>
      <c r="O414" s="799"/>
      <c r="P414" s="799"/>
      <c r="Q414" s="799"/>
      <c r="R414" s="799"/>
      <c r="S414" s="799"/>
      <c r="T414" s="799"/>
      <c r="U414" s="799"/>
      <c r="V414" s="799"/>
      <c r="W414" s="799"/>
      <c r="X414" s="799"/>
      <c r="Y414" s="799"/>
      <c r="Z414" s="799"/>
      <c r="AA414" s="799"/>
      <c r="AB414" s="799"/>
      <c r="AC414" s="799"/>
      <c r="AD414" s="799"/>
      <c r="AE414" s="799"/>
      <c r="AF414" s="799"/>
      <c r="AG414" s="799"/>
      <c r="AH414" s="799"/>
      <c r="AI414" s="799"/>
      <c r="AJ414" s="799"/>
      <c r="AK414" s="799"/>
      <c r="AL414" s="799"/>
      <c r="AM414" s="799"/>
      <c r="AN414" s="799"/>
      <c r="AO414" s="799"/>
      <c r="AP414" s="799"/>
      <c r="AQ414" s="799"/>
      <c r="AR414" s="799"/>
      <c r="AS414" s="799"/>
      <c r="AT414" s="799"/>
      <c r="AU414" s="799"/>
      <c r="AV414" s="799"/>
      <c r="AW414" s="799"/>
      <c r="AX414" s="799"/>
      <c r="AY414" s="799"/>
      <c r="AZ414" s="799"/>
      <c r="BA414" s="799"/>
      <c r="BB414" s="799"/>
      <c r="BC414" s="799"/>
      <c r="BD414" s="799"/>
      <c r="BE414" s="799"/>
      <c r="BF414" s="799"/>
      <c r="BG414" s="799"/>
    </row>
    <row r="415">
      <c r="H415" s="799"/>
      <c r="I415" s="799"/>
      <c r="J415" s="799"/>
      <c r="K415" s="799"/>
      <c r="L415" s="799"/>
      <c r="M415" s="799"/>
      <c r="N415" s="799"/>
      <c r="O415" s="799"/>
      <c r="P415" s="799"/>
      <c r="Q415" s="799"/>
      <c r="R415" s="799"/>
      <c r="S415" s="799"/>
      <c r="T415" s="799"/>
      <c r="U415" s="799"/>
      <c r="V415" s="799"/>
      <c r="W415" s="799"/>
      <c r="X415" s="799"/>
      <c r="Y415" s="799"/>
      <c r="Z415" s="799"/>
      <c r="AA415" s="799"/>
      <c r="AB415" s="799"/>
      <c r="AC415" s="799"/>
      <c r="AD415" s="799"/>
      <c r="AE415" s="799"/>
      <c r="AF415" s="799"/>
      <c r="AG415" s="799"/>
      <c r="AH415" s="799"/>
      <c r="AI415" s="799"/>
      <c r="AJ415" s="799"/>
      <c r="AK415" s="799"/>
      <c r="AL415" s="799"/>
      <c r="AM415" s="799"/>
      <c r="AN415" s="799"/>
      <c r="AO415" s="799"/>
      <c r="AP415" s="799"/>
      <c r="AQ415" s="799"/>
      <c r="AR415" s="799"/>
      <c r="AS415" s="799"/>
      <c r="AT415" s="799"/>
      <c r="AU415" s="799"/>
      <c r="AV415" s="799"/>
      <c r="AW415" s="799"/>
      <c r="AX415" s="799"/>
      <c r="AY415" s="799"/>
      <c r="AZ415" s="799"/>
      <c r="BA415" s="799"/>
      <c r="BB415" s="799"/>
      <c r="BC415" s="799"/>
      <c r="BD415" s="799"/>
      <c r="BE415" s="799"/>
      <c r="BF415" s="799"/>
      <c r="BG415" s="799"/>
    </row>
    <row r="416">
      <c r="H416" s="799"/>
      <c r="I416" s="799"/>
      <c r="J416" s="799"/>
      <c r="K416" s="799"/>
      <c r="L416" s="799"/>
      <c r="M416" s="799"/>
      <c r="N416" s="799"/>
      <c r="O416" s="799"/>
      <c r="P416" s="799"/>
      <c r="Q416" s="799"/>
      <c r="R416" s="799"/>
      <c r="S416" s="799"/>
      <c r="T416" s="799"/>
      <c r="U416" s="799"/>
      <c r="V416" s="799"/>
      <c r="W416" s="799"/>
      <c r="X416" s="799"/>
      <c r="Y416" s="799"/>
      <c r="Z416" s="799"/>
      <c r="AA416" s="799"/>
      <c r="AB416" s="799"/>
      <c r="AC416" s="799"/>
      <c r="AD416" s="799"/>
      <c r="AE416" s="799"/>
      <c r="AF416" s="799"/>
      <c r="AG416" s="799"/>
      <c r="AH416" s="799"/>
      <c r="AI416" s="799"/>
      <c r="AJ416" s="799"/>
      <c r="AK416" s="799"/>
      <c r="AL416" s="799"/>
      <c r="AM416" s="799"/>
      <c r="AN416" s="799"/>
      <c r="AO416" s="799"/>
      <c r="AP416" s="799"/>
      <c r="AQ416" s="799"/>
      <c r="AR416" s="799"/>
      <c r="AS416" s="799"/>
      <c r="AT416" s="799"/>
      <c r="AU416" s="799"/>
      <c r="AV416" s="799"/>
      <c r="AW416" s="799"/>
      <c r="AX416" s="799"/>
      <c r="AY416" s="799"/>
      <c r="AZ416" s="799"/>
      <c r="BA416" s="799"/>
      <c r="BB416" s="799"/>
      <c r="BC416" s="799"/>
      <c r="BD416" s="799"/>
      <c r="BE416" s="799"/>
      <c r="BF416" s="799"/>
      <c r="BG416" s="799"/>
    </row>
    <row r="417">
      <c r="H417" s="799"/>
      <c r="I417" s="799"/>
      <c r="J417" s="799"/>
      <c r="K417" s="799"/>
      <c r="L417" s="799"/>
      <c r="M417" s="799"/>
      <c r="N417" s="799"/>
      <c r="O417" s="799"/>
      <c r="P417" s="799"/>
      <c r="Q417" s="799"/>
      <c r="R417" s="799"/>
      <c r="S417" s="799"/>
      <c r="T417" s="799"/>
      <c r="U417" s="799"/>
      <c r="V417" s="799"/>
      <c r="W417" s="799"/>
      <c r="X417" s="799"/>
      <c r="Y417" s="799"/>
      <c r="Z417" s="799"/>
      <c r="AA417" s="799"/>
      <c r="AB417" s="799"/>
      <c r="AC417" s="799"/>
      <c r="AD417" s="799"/>
      <c r="AE417" s="799"/>
      <c r="AF417" s="799"/>
      <c r="AG417" s="799"/>
      <c r="AH417" s="799"/>
      <c r="AI417" s="799"/>
      <c r="AJ417" s="799"/>
      <c r="AK417" s="799"/>
      <c r="AL417" s="799"/>
      <c r="AM417" s="799"/>
      <c r="AN417" s="799"/>
      <c r="AO417" s="799"/>
      <c r="AP417" s="799"/>
      <c r="AQ417" s="799"/>
      <c r="AR417" s="799"/>
      <c r="AS417" s="799"/>
      <c r="AT417" s="799"/>
      <c r="AU417" s="799"/>
      <c r="AV417" s="799"/>
      <c r="AW417" s="799"/>
      <c r="AX417" s="799"/>
      <c r="AY417" s="799"/>
      <c r="AZ417" s="799"/>
      <c r="BA417" s="799"/>
      <c r="BB417" s="799"/>
      <c r="BC417" s="799"/>
      <c r="BD417" s="799"/>
      <c r="BE417" s="799"/>
      <c r="BF417" s="799"/>
      <c r="BG417" s="799"/>
    </row>
    <row r="418">
      <c r="H418" s="799"/>
      <c r="I418" s="799"/>
      <c r="J418" s="799"/>
      <c r="K418" s="799"/>
      <c r="L418" s="799"/>
      <c r="M418" s="799"/>
      <c r="N418" s="799"/>
      <c r="O418" s="799"/>
      <c r="P418" s="799"/>
      <c r="Q418" s="799"/>
      <c r="R418" s="799"/>
      <c r="S418" s="799"/>
      <c r="T418" s="799"/>
      <c r="U418" s="799"/>
      <c r="V418" s="799"/>
      <c r="W418" s="799"/>
      <c r="X418" s="799"/>
      <c r="Y418" s="799"/>
      <c r="Z418" s="799"/>
      <c r="AA418" s="799"/>
      <c r="AB418" s="799"/>
      <c r="AC418" s="799"/>
      <c r="AD418" s="799"/>
      <c r="AE418" s="799"/>
      <c r="AF418" s="799"/>
      <c r="AG418" s="799"/>
      <c r="AH418" s="799"/>
      <c r="AI418" s="799"/>
      <c r="AJ418" s="799"/>
      <c r="AK418" s="799"/>
      <c r="AL418" s="799"/>
      <c r="AM418" s="799"/>
      <c r="AN418" s="799"/>
      <c r="AO418" s="799"/>
      <c r="AP418" s="799"/>
      <c r="AQ418" s="799"/>
      <c r="AR418" s="799"/>
      <c r="AS418" s="799"/>
      <c r="AT418" s="799"/>
      <c r="AU418" s="799"/>
      <c r="AV418" s="799"/>
      <c r="AW418" s="799"/>
      <c r="AX418" s="799"/>
      <c r="AY418" s="799"/>
      <c r="AZ418" s="799"/>
      <c r="BA418" s="799"/>
      <c r="BB418" s="799"/>
      <c r="BC418" s="799"/>
      <c r="BD418" s="799"/>
      <c r="BE418" s="799"/>
      <c r="BF418" s="799"/>
      <c r="BG418" s="799"/>
    </row>
    <row r="419">
      <c r="H419" s="799"/>
      <c r="I419" s="799"/>
      <c r="J419" s="799"/>
      <c r="K419" s="799"/>
      <c r="L419" s="799"/>
      <c r="M419" s="799"/>
      <c r="N419" s="799"/>
      <c r="O419" s="799"/>
      <c r="P419" s="799"/>
      <c r="Q419" s="799"/>
      <c r="R419" s="799"/>
      <c r="S419" s="799"/>
      <c r="T419" s="799"/>
      <c r="U419" s="799"/>
      <c r="V419" s="799"/>
      <c r="W419" s="799"/>
      <c r="X419" s="799"/>
      <c r="Y419" s="799"/>
      <c r="Z419" s="799"/>
      <c r="AA419" s="799"/>
      <c r="AB419" s="799"/>
      <c r="AC419" s="799"/>
      <c r="AD419" s="799"/>
      <c r="AE419" s="799"/>
      <c r="AF419" s="799"/>
      <c r="AG419" s="799"/>
      <c r="AH419" s="799"/>
      <c r="AI419" s="799"/>
      <c r="AJ419" s="799"/>
      <c r="AK419" s="799"/>
      <c r="AL419" s="799"/>
      <c r="AM419" s="799"/>
      <c r="AN419" s="799"/>
      <c r="AO419" s="799"/>
      <c r="AP419" s="799"/>
      <c r="AQ419" s="799"/>
      <c r="AR419" s="799"/>
      <c r="AS419" s="799"/>
      <c r="AT419" s="799"/>
      <c r="AU419" s="799"/>
      <c r="AV419" s="799"/>
      <c r="AW419" s="799"/>
      <c r="AX419" s="799"/>
      <c r="AY419" s="799"/>
      <c r="AZ419" s="799"/>
      <c r="BA419" s="799"/>
      <c r="BB419" s="799"/>
      <c r="BC419" s="799"/>
      <c r="BD419" s="799"/>
      <c r="BE419" s="799"/>
      <c r="BF419" s="799"/>
      <c r="BG419" s="799"/>
    </row>
    <row r="420">
      <c r="H420" s="799"/>
      <c r="I420" s="799"/>
      <c r="J420" s="799"/>
      <c r="K420" s="799"/>
      <c r="L420" s="799"/>
      <c r="M420" s="799"/>
      <c r="N420" s="799"/>
      <c r="O420" s="799"/>
      <c r="P420" s="799"/>
      <c r="Q420" s="799"/>
      <c r="R420" s="799"/>
      <c r="S420" s="799"/>
      <c r="T420" s="799"/>
      <c r="U420" s="799"/>
      <c r="V420" s="799"/>
      <c r="W420" s="799"/>
      <c r="X420" s="799"/>
      <c r="Y420" s="799"/>
      <c r="Z420" s="799"/>
      <c r="AA420" s="799"/>
      <c r="AB420" s="799"/>
      <c r="AC420" s="799"/>
      <c r="AD420" s="799"/>
      <c r="AE420" s="799"/>
      <c r="AF420" s="799"/>
      <c r="AG420" s="799"/>
      <c r="AH420" s="799"/>
      <c r="AI420" s="799"/>
      <c r="AJ420" s="799"/>
      <c r="AK420" s="799"/>
      <c r="AL420" s="799"/>
      <c r="AM420" s="799"/>
      <c r="AN420" s="799"/>
      <c r="AO420" s="799"/>
      <c r="AP420" s="799"/>
      <c r="AQ420" s="799"/>
      <c r="AR420" s="799"/>
      <c r="AS420" s="799"/>
      <c r="AT420" s="799"/>
      <c r="AU420" s="799"/>
      <c r="AV420" s="799"/>
      <c r="AW420" s="799"/>
      <c r="AX420" s="799"/>
      <c r="AY420" s="799"/>
      <c r="AZ420" s="799"/>
      <c r="BA420" s="799"/>
      <c r="BB420" s="799"/>
      <c r="BC420" s="799"/>
      <c r="BD420" s="799"/>
      <c r="BE420" s="799"/>
      <c r="BF420" s="799"/>
      <c r="BG420" s="799"/>
    </row>
    <row r="421">
      <c r="H421" s="799"/>
      <c r="I421" s="799"/>
      <c r="J421" s="799"/>
      <c r="K421" s="799"/>
      <c r="L421" s="799"/>
      <c r="M421" s="799"/>
      <c r="N421" s="799"/>
      <c r="O421" s="799"/>
      <c r="P421" s="799"/>
      <c r="Q421" s="799"/>
      <c r="R421" s="799"/>
      <c r="S421" s="799"/>
      <c r="T421" s="799"/>
      <c r="U421" s="799"/>
      <c r="V421" s="799"/>
      <c r="W421" s="799"/>
      <c r="X421" s="799"/>
      <c r="Y421" s="799"/>
      <c r="Z421" s="799"/>
      <c r="AA421" s="799"/>
      <c r="AB421" s="799"/>
      <c r="AC421" s="799"/>
      <c r="AD421" s="799"/>
      <c r="AE421" s="799"/>
      <c r="AF421" s="799"/>
      <c r="AG421" s="799"/>
      <c r="AH421" s="799"/>
      <c r="AI421" s="799"/>
      <c r="AJ421" s="799"/>
      <c r="AK421" s="799"/>
      <c r="AL421" s="799"/>
      <c r="AM421" s="799"/>
      <c r="AN421" s="799"/>
      <c r="AO421" s="799"/>
      <c r="AP421" s="799"/>
      <c r="AQ421" s="799"/>
      <c r="AR421" s="799"/>
      <c r="AS421" s="799"/>
      <c r="AT421" s="799"/>
      <c r="AU421" s="799"/>
      <c r="AV421" s="799"/>
      <c r="AW421" s="799"/>
      <c r="AX421" s="799"/>
      <c r="AY421" s="799"/>
      <c r="AZ421" s="799"/>
      <c r="BA421" s="799"/>
      <c r="BB421" s="799"/>
      <c r="BC421" s="799"/>
      <c r="BD421" s="799"/>
      <c r="BE421" s="799"/>
      <c r="BF421" s="799"/>
      <c r="BG421" s="799"/>
    </row>
    <row r="422">
      <c r="H422" s="799"/>
      <c r="I422" s="799"/>
      <c r="J422" s="799"/>
      <c r="K422" s="799"/>
      <c r="L422" s="799"/>
      <c r="M422" s="799"/>
      <c r="N422" s="799"/>
      <c r="O422" s="799"/>
      <c r="P422" s="799"/>
      <c r="Q422" s="799"/>
      <c r="R422" s="799"/>
      <c r="S422" s="799"/>
      <c r="T422" s="799"/>
      <c r="U422" s="799"/>
      <c r="V422" s="799"/>
      <c r="W422" s="799"/>
      <c r="X422" s="799"/>
      <c r="Y422" s="799"/>
      <c r="Z422" s="799"/>
      <c r="AA422" s="799"/>
      <c r="AB422" s="799"/>
      <c r="AC422" s="799"/>
      <c r="AD422" s="799"/>
      <c r="AE422" s="799"/>
      <c r="AF422" s="799"/>
      <c r="AG422" s="799"/>
      <c r="AH422" s="799"/>
      <c r="AI422" s="799"/>
      <c r="AJ422" s="799"/>
      <c r="AK422" s="799"/>
      <c r="AL422" s="799"/>
      <c r="AM422" s="799"/>
      <c r="AN422" s="799"/>
      <c r="AO422" s="799"/>
      <c r="AP422" s="799"/>
      <c r="AQ422" s="799"/>
      <c r="AR422" s="799"/>
      <c r="AS422" s="799"/>
      <c r="AT422" s="799"/>
      <c r="AU422" s="799"/>
      <c r="AV422" s="799"/>
      <c r="AW422" s="799"/>
      <c r="AX422" s="799"/>
      <c r="AY422" s="799"/>
      <c r="AZ422" s="799"/>
      <c r="BA422" s="799"/>
      <c r="BB422" s="799"/>
      <c r="BC422" s="799"/>
      <c r="BD422" s="799"/>
      <c r="BE422" s="799"/>
      <c r="BF422" s="799"/>
      <c r="BG422" s="799"/>
    </row>
    <row r="423">
      <c r="H423" s="799"/>
      <c r="I423" s="799"/>
      <c r="J423" s="799"/>
      <c r="K423" s="799"/>
      <c r="L423" s="799"/>
      <c r="M423" s="799"/>
      <c r="N423" s="799"/>
      <c r="O423" s="799"/>
      <c r="P423" s="799"/>
      <c r="Q423" s="799"/>
      <c r="R423" s="799"/>
      <c r="S423" s="799"/>
      <c r="T423" s="799"/>
      <c r="U423" s="799"/>
      <c r="V423" s="799"/>
      <c r="W423" s="799"/>
      <c r="X423" s="799"/>
      <c r="Y423" s="799"/>
      <c r="Z423" s="799"/>
      <c r="AA423" s="799"/>
      <c r="AB423" s="799"/>
      <c r="AC423" s="799"/>
      <c r="AD423" s="799"/>
      <c r="AE423" s="799"/>
      <c r="AF423" s="799"/>
      <c r="AG423" s="799"/>
      <c r="AH423" s="799"/>
      <c r="AI423" s="799"/>
      <c r="AJ423" s="799"/>
      <c r="AK423" s="799"/>
      <c r="AL423" s="799"/>
      <c r="AM423" s="799"/>
      <c r="AN423" s="799"/>
      <c r="AO423" s="799"/>
      <c r="AP423" s="799"/>
      <c r="AQ423" s="799"/>
      <c r="AR423" s="799"/>
      <c r="AS423" s="799"/>
      <c r="AT423" s="799"/>
      <c r="AU423" s="799"/>
      <c r="AV423" s="799"/>
      <c r="AW423" s="799"/>
      <c r="AX423" s="799"/>
      <c r="AY423" s="799"/>
      <c r="AZ423" s="799"/>
      <c r="BA423" s="799"/>
      <c r="BB423" s="799"/>
      <c r="BC423" s="799"/>
      <c r="BD423" s="799"/>
      <c r="BE423" s="799"/>
      <c r="BF423" s="799"/>
      <c r="BG423" s="799"/>
    </row>
    <row r="424">
      <c r="H424" s="799"/>
      <c r="I424" s="799"/>
      <c r="J424" s="799"/>
      <c r="K424" s="799"/>
      <c r="L424" s="799"/>
      <c r="M424" s="799"/>
      <c r="N424" s="799"/>
      <c r="O424" s="799"/>
      <c r="P424" s="799"/>
      <c r="Q424" s="799"/>
      <c r="R424" s="799"/>
      <c r="S424" s="799"/>
      <c r="T424" s="799"/>
      <c r="U424" s="799"/>
      <c r="V424" s="799"/>
      <c r="W424" s="799"/>
      <c r="X424" s="799"/>
      <c r="Y424" s="799"/>
      <c r="Z424" s="799"/>
      <c r="AA424" s="799"/>
      <c r="AB424" s="799"/>
      <c r="AC424" s="799"/>
      <c r="AD424" s="799"/>
      <c r="AE424" s="799"/>
      <c r="AF424" s="799"/>
      <c r="AG424" s="799"/>
      <c r="AH424" s="799"/>
      <c r="AI424" s="799"/>
      <c r="AJ424" s="799"/>
      <c r="AK424" s="799"/>
      <c r="AL424" s="799"/>
      <c r="AM424" s="799"/>
      <c r="AN424" s="799"/>
      <c r="AO424" s="799"/>
      <c r="AP424" s="799"/>
      <c r="AQ424" s="799"/>
      <c r="AR424" s="799"/>
      <c r="AS424" s="799"/>
      <c r="AT424" s="799"/>
      <c r="AU424" s="799"/>
      <c r="AV424" s="799"/>
      <c r="AW424" s="799"/>
      <c r="AX424" s="799"/>
      <c r="AY424" s="799"/>
      <c r="AZ424" s="799"/>
      <c r="BA424" s="799"/>
      <c r="BB424" s="799"/>
      <c r="BC424" s="799"/>
      <c r="BD424" s="799"/>
      <c r="BE424" s="799"/>
      <c r="BF424" s="799"/>
      <c r="BG424" s="799"/>
    </row>
    <row r="425">
      <c r="H425" s="799"/>
      <c r="I425" s="799"/>
      <c r="J425" s="799"/>
      <c r="K425" s="799"/>
      <c r="L425" s="799"/>
      <c r="M425" s="799"/>
      <c r="N425" s="799"/>
      <c r="O425" s="799"/>
      <c r="P425" s="799"/>
      <c r="Q425" s="799"/>
      <c r="R425" s="799"/>
      <c r="S425" s="799"/>
      <c r="T425" s="799"/>
      <c r="U425" s="799"/>
      <c r="V425" s="799"/>
      <c r="W425" s="799"/>
      <c r="X425" s="799"/>
      <c r="Y425" s="799"/>
      <c r="Z425" s="799"/>
      <c r="AA425" s="799"/>
      <c r="AB425" s="799"/>
      <c r="AC425" s="799"/>
      <c r="AD425" s="799"/>
      <c r="AE425" s="799"/>
      <c r="AF425" s="799"/>
      <c r="AG425" s="799"/>
      <c r="AH425" s="799"/>
      <c r="AI425" s="799"/>
      <c r="AJ425" s="799"/>
      <c r="AK425" s="799"/>
      <c r="AL425" s="799"/>
      <c r="AM425" s="799"/>
      <c r="AN425" s="799"/>
      <c r="AO425" s="799"/>
      <c r="AP425" s="799"/>
      <c r="AQ425" s="799"/>
      <c r="AR425" s="799"/>
      <c r="AS425" s="799"/>
      <c r="AT425" s="799"/>
      <c r="AU425" s="799"/>
      <c r="AV425" s="799"/>
      <c r="AW425" s="799"/>
      <c r="AX425" s="799"/>
      <c r="AY425" s="799"/>
      <c r="AZ425" s="799"/>
      <c r="BA425" s="799"/>
      <c r="BB425" s="799"/>
      <c r="BC425" s="799"/>
      <c r="BD425" s="799"/>
      <c r="BE425" s="799"/>
      <c r="BF425" s="799"/>
      <c r="BG425" s="799"/>
    </row>
    <row r="426">
      <c r="H426" s="799"/>
      <c r="I426" s="799"/>
      <c r="J426" s="799"/>
      <c r="K426" s="799"/>
      <c r="L426" s="799"/>
      <c r="M426" s="799"/>
      <c r="N426" s="799"/>
      <c r="O426" s="799"/>
      <c r="P426" s="799"/>
      <c r="Q426" s="799"/>
      <c r="R426" s="799"/>
      <c r="S426" s="799"/>
      <c r="T426" s="799"/>
      <c r="U426" s="799"/>
      <c r="V426" s="799"/>
      <c r="W426" s="799"/>
      <c r="X426" s="799"/>
      <c r="Y426" s="799"/>
      <c r="Z426" s="799"/>
      <c r="AA426" s="799"/>
      <c r="AB426" s="799"/>
      <c r="AC426" s="799"/>
      <c r="AD426" s="799"/>
      <c r="AE426" s="799"/>
      <c r="AF426" s="799"/>
      <c r="AG426" s="799"/>
      <c r="AH426" s="799"/>
      <c r="AI426" s="799"/>
      <c r="AJ426" s="799"/>
      <c r="AK426" s="799"/>
      <c r="AL426" s="799"/>
      <c r="AM426" s="799"/>
      <c r="AN426" s="799"/>
      <c r="AO426" s="799"/>
      <c r="AP426" s="799"/>
      <c r="AQ426" s="799"/>
      <c r="AR426" s="799"/>
      <c r="AS426" s="799"/>
      <c r="AT426" s="799"/>
      <c r="AU426" s="799"/>
      <c r="AV426" s="799"/>
      <c r="AW426" s="799"/>
      <c r="AX426" s="799"/>
      <c r="AY426" s="799"/>
      <c r="AZ426" s="799"/>
      <c r="BA426" s="799"/>
      <c r="BB426" s="799"/>
      <c r="BC426" s="799"/>
      <c r="BD426" s="799"/>
      <c r="BE426" s="799"/>
      <c r="BF426" s="799"/>
      <c r="BG426" s="799"/>
    </row>
    <row r="427">
      <c r="H427" s="799"/>
      <c r="I427" s="799"/>
      <c r="J427" s="799"/>
      <c r="K427" s="799"/>
      <c r="L427" s="799"/>
      <c r="M427" s="799"/>
      <c r="N427" s="799"/>
      <c r="O427" s="799"/>
      <c r="P427" s="799"/>
      <c r="Q427" s="799"/>
      <c r="R427" s="799"/>
      <c r="S427" s="799"/>
      <c r="T427" s="799"/>
      <c r="U427" s="799"/>
      <c r="V427" s="799"/>
      <c r="W427" s="799"/>
      <c r="X427" s="799"/>
      <c r="Y427" s="799"/>
      <c r="Z427" s="799"/>
      <c r="AA427" s="799"/>
      <c r="AB427" s="799"/>
      <c r="AC427" s="799"/>
      <c r="AD427" s="799"/>
      <c r="AE427" s="799"/>
      <c r="AF427" s="799"/>
      <c r="AG427" s="799"/>
      <c r="AH427" s="799"/>
      <c r="AI427" s="799"/>
      <c r="AJ427" s="799"/>
      <c r="AK427" s="799"/>
      <c r="AL427" s="799"/>
      <c r="AM427" s="799"/>
      <c r="AN427" s="799"/>
      <c r="AO427" s="799"/>
      <c r="AP427" s="799"/>
      <c r="AQ427" s="799"/>
      <c r="AR427" s="799"/>
      <c r="AS427" s="799"/>
      <c r="AT427" s="799"/>
      <c r="AU427" s="799"/>
      <c r="AV427" s="799"/>
      <c r="AW427" s="799"/>
      <c r="AX427" s="799"/>
      <c r="AY427" s="799"/>
      <c r="AZ427" s="799"/>
      <c r="BA427" s="799"/>
      <c r="BB427" s="799"/>
      <c r="BC427" s="799"/>
      <c r="BD427" s="799"/>
      <c r="BE427" s="799"/>
      <c r="BF427" s="799"/>
      <c r="BG427" s="799"/>
    </row>
    <row r="428">
      <c r="H428" s="799"/>
      <c r="I428" s="799"/>
      <c r="J428" s="799"/>
      <c r="K428" s="799"/>
      <c r="L428" s="799"/>
      <c r="M428" s="799"/>
      <c r="N428" s="799"/>
      <c r="O428" s="799"/>
      <c r="P428" s="799"/>
      <c r="Q428" s="799"/>
      <c r="R428" s="799"/>
      <c r="S428" s="799"/>
      <c r="T428" s="799"/>
      <c r="U428" s="799"/>
      <c r="V428" s="799"/>
      <c r="W428" s="799"/>
      <c r="X428" s="799"/>
      <c r="Y428" s="799"/>
      <c r="Z428" s="799"/>
      <c r="AA428" s="799"/>
      <c r="AB428" s="799"/>
      <c r="AC428" s="799"/>
      <c r="AD428" s="799"/>
      <c r="AE428" s="799"/>
      <c r="AF428" s="799"/>
      <c r="AG428" s="799"/>
      <c r="AH428" s="799"/>
      <c r="AI428" s="799"/>
      <c r="AJ428" s="799"/>
      <c r="AK428" s="799"/>
      <c r="AL428" s="799"/>
      <c r="AM428" s="799"/>
      <c r="AN428" s="799"/>
      <c r="AO428" s="799"/>
      <c r="AP428" s="799"/>
      <c r="AQ428" s="799"/>
      <c r="AR428" s="799"/>
      <c r="AS428" s="799"/>
      <c r="AT428" s="799"/>
      <c r="AU428" s="799"/>
      <c r="AV428" s="799"/>
      <c r="AW428" s="799"/>
      <c r="AX428" s="799"/>
      <c r="AY428" s="799"/>
      <c r="AZ428" s="799"/>
      <c r="BA428" s="799"/>
      <c r="BB428" s="799"/>
      <c r="BC428" s="799"/>
      <c r="BD428" s="799"/>
      <c r="BE428" s="799"/>
      <c r="BF428" s="799"/>
      <c r="BG428" s="799"/>
    </row>
    <row r="429">
      <c r="H429" s="799"/>
      <c r="I429" s="799"/>
      <c r="J429" s="799"/>
      <c r="K429" s="799"/>
      <c r="L429" s="799"/>
      <c r="M429" s="799"/>
      <c r="N429" s="799"/>
      <c r="O429" s="799"/>
      <c r="P429" s="799"/>
      <c r="Q429" s="799"/>
      <c r="R429" s="799"/>
      <c r="S429" s="799"/>
      <c r="T429" s="799"/>
      <c r="U429" s="799"/>
      <c r="V429" s="799"/>
      <c r="W429" s="799"/>
      <c r="X429" s="799"/>
      <c r="Y429" s="799"/>
      <c r="Z429" s="799"/>
      <c r="AA429" s="799"/>
      <c r="AB429" s="799"/>
      <c r="AC429" s="799"/>
      <c r="AD429" s="799"/>
      <c r="AE429" s="799"/>
      <c r="AF429" s="799"/>
      <c r="AG429" s="799"/>
      <c r="AH429" s="799"/>
      <c r="AI429" s="799"/>
      <c r="AJ429" s="799"/>
      <c r="AK429" s="799"/>
      <c r="AL429" s="799"/>
      <c r="AM429" s="799"/>
      <c r="AN429" s="799"/>
      <c r="AO429" s="799"/>
      <c r="AP429" s="799"/>
      <c r="AQ429" s="799"/>
      <c r="AR429" s="799"/>
      <c r="AS429" s="799"/>
      <c r="AT429" s="799"/>
      <c r="AU429" s="799"/>
      <c r="AV429" s="799"/>
      <c r="AW429" s="799"/>
      <c r="AX429" s="799"/>
      <c r="AY429" s="799"/>
      <c r="AZ429" s="799"/>
      <c r="BA429" s="799"/>
      <c r="BB429" s="799"/>
      <c r="BC429" s="799"/>
      <c r="BD429" s="799"/>
      <c r="BE429" s="799"/>
      <c r="BF429" s="799"/>
      <c r="BG429" s="799"/>
    </row>
    <row r="430">
      <c r="H430" s="799"/>
      <c r="I430" s="799"/>
      <c r="J430" s="799"/>
      <c r="K430" s="799"/>
      <c r="L430" s="799"/>
      <c r="M430" s="799"/>
      <c r="N430" s="799"/>
      <c r="O430" s="799"/>
      <c r="P430" s="799"/>
      <c r="Q430" s="799"/>
      <c r="R430" s="799"/>
      <c r="S430" s="799"/>
      <c r="T430" s="799"/>
      <c r="U430" s="799"/>
      <c r="V430" s="799"/>
      <c r="W430" s="799"/>
      <c r="X430" s="799"/>
      <c r="Y430" s="799"/>
      <c r="Z430" s="799"/>
      <c r="AA430" s="799"/>
      <c r="AB430" s="799"/>
      <c r="AC430" s="799"/>
      <c r="AD430" s="799"/>
      <c r="AE430" s="799"/>
      <c r="AF430" s="799"/>
      <c r="AG430" s="799"/>
      <c r="AH430" s="799"/>
      <c r="AI430" s="799"/>
      <c r="AJ430" s="799"/>
      <c r="AK430" s="799"/>
      <c r="AL430" s="799"/>
      <c r="AM430" s="799"/>
      <c r="AN430" s="799"/>
      <c r="AO430" s="799"/>
      <c r="AP430" s="799"/>
      <c r="AQ430" s="799"/>
      <c r="AR430" s="799"/>
      <c r="AS430" s="799"/>
      <c r="AT430" s="799"/>
      <c r="AU430" s="799"/>
      <c r="AV430" s="799"/>
      <c r="AW430" s="799"/>
      <c r="AX430" s="799"/>
      <c r="AY430" s="799"/>
      <c r="AZ430" s="799"/>
      <c r="BA430" s="799"/>
      <c r="BB430" s="799"/>
      <c r="BC430" s="799"/>
      <c r="BD430" s="799"/>
      <c r="BE430" s="799"/>
      <c r="BF430" s="799"/>
      <c r="BG430" s="799"/>
    </row>
    <row r="431">
      <c r="H431" s="799"/>
      <c r="I431" s="799"/>
      <c r="J431" s="799"/>
      <c r="K431" s="799"/>
      <c r="L431" s="799"/>
      <c r="M431" s="799"/>
      <c r="N431" s="799"/>
      <c r="O431" s="799"/>
      <c r="P431" s="799"/>
      <c r="Q431" s="799"/>
      <c r="R431" s="799"/>
      <c r="S431" s="799"/>
      <c r="T431" s="799"/>
      <c r="U431" s="799"/>
      <c r="V431" s="799"/>
      <c r="W431" s="799"/>
      <c r="X431" s="799"/>
      <c r="Y431" s="799"/>
      <c r="Z431" s="799"/>
      <c r="AA431" s="799"/>
      <c r="AB431" s="799"/>
      <c r="AC431" s="799"/>
      <c r="AD431" s="799"/>
      <c r="AE431" s="799"/>
      <c r="AF431" s="799"/>
      <c r="AG431" s="799"/>
      <c r="AH431" s="799"/>
      <c r="AI431" s="799"/>
      <c r="AJ431" s="799"/>
      <c r="AK431" s="799"/>
      <c r="AL431" s="799"/>
      <c r="AM431" s="799"/>
      <c r="AN431" s="799"/>
      <c r="AO431" s="799"/>
      <c r="AP431" s="799"/>
      <c r="AQ431" s="799"/>
      <c r="AR431" s="799"/>
      <c r="AS431" s="799"/>
      <c r="AT431" s="799"/>
      <c r="AU431" s="799"/>
      <c r="AV431" s="799"/>
      <c r="AW431" s="799"/>
      <c r="AX431" s="799"/>
      <c r="AY431" s="799"/>
      <c r="AZ431" s="799"/>
      <c r="BA431" s="799"/>
      <c r="BB431" s="799"/>
      <c r="BC431" s="799"/>
      <c r="BD431" s="799"/>
      <c r="BE431" s="799"/>
      <c r="BF431" s="799"/>
      <c r="BG431" s="799"/>
    </row>
    <row r="432">
      <c r="H432" s="799"/>
      <c r="I432" s="799"/>
      <c r="J432" s="799"/>
      <c r="K432" s="799"/>
      <c r="L432" s="799"/>
      <c r="M432" s="799"/>
      <c r="N432" s="799"/>
      <c r="O432" s="799"/>
      <c r="P432" s="799"/>
      <c r="Q432" s="799"/>
      <c r="R432" s="799"/>
      <c r="S432" s="799"/>
      <c r="T432" s="799"/>
      <c r="U432" s="799"/>
      <c r="V432" s="799"/>
      <c r="W432" s="799"/>
      <c r="X432" s="799"/>
      <c r="Y432" s="799"/>
      <c r="Z432" s="799"/>
      <c r="AA432" s="799"/>
      <c r="AB432" s="799"/>
      <c r="AC432" s="799"/>
      <c r="AD432" s="799"/>
      <c r="AE432" s="799"/>
      <c r="AF432" s="799"/>
      <c r="AG432" s="799"/>
      <c r="AH432" s="799"/>
      <c r="AI432" s="799"/>
      <c r="AJ432" s="799"/>
      <c r="AK432" s="799"/>
      <c r="AL432" s="799"/>
      <c r="AM432" s="799"/>
      <c r="AN432" s="799"/>
      <c r="AO432" s="799"/>
      <c r="AP432" s="799"/>
      <c r="AQ432" s="799"/>
      <c r="AR432" s="799"/>
      <c r="AS432" s="799"/>
      <c r="AT432" s="799"/>
      <c r="AU432" s="799"/>
      <c r="AV432" s="799"/>
      <c r="AW432" s="799"/>
      <c r="AX432" s="799"/>
      <c r="AY432" s="799"/>
      <c r="AZ432" s="799"/>
      <c r="BA432" s="799"/>
      <c r="BB432" s="799"/>
      <c r="BC432" s="799"/>
      <c r="BD432" s="799"/>
      <c r="BE432" s="799"/>
      <c r="BF432" s="799"/>
      <c r="BG432" s="799"/>
    </row>
    <row r="433">
      <c r="H433" s="799"/>
      <c r="I433" s="799"/>
      <c r="J433" s="799"/>
      <c r="K433" s="799"/>
      <c r="L433" s="799"/>
      <c r="M433" s="799"/>
      <c r="N433" s="799"/>
      <c r="O433" s="799"/>
      <c r="P433" s="799"/>
      <c r="Q433" s="799"/>
      <c r="R433" s="799"/>
      <c r="S433" s="799"/>
      <c r="T433" s="799"/>
      <c r="U433" s="799"/>
      <c r="V433" s="799"/>
      <c r="W433" s="799"/>
      <c r="X433" s="799"/>
      <c r="Y433" s="799"/>
      <c r="Z433" s="799"/>
      <c r="AA433" s="799"/>
      <c r="AB433" s="799"/>
      <c r="AC433" s="799"/>
      <c r="AD433" s="799"/>
      <c r="AE433" s="799"/>
      <c r="AF433" s="799"/>
      <c r="AG433" s="799"/>
      <c r="AH433" s="799"/>
      <c r="AI433" s="799"/>
      <c r="AJ433" s="799"/>
      <c r="AK433" s="799"/>
      <c r="AL433" s="799"/>
      <c r="AM433" s="799"/>
      <c r="AN433" s="799"/>
      <c r="AO433" s="799"/>
      <c r="AP433" s="799"/>
      <c r="AQ433" s="799"/>
      <c r="AR433" s="799"/>
      <c r="AS433" s="799"/>
      <c r="AT433" s="799"/>
      <c r="AU433" s="799"/>
      <c r="AV433" s="799"/>
      <c r="AW433" s="799"/>
      <c r="AX433" s="799"/>
      <c r="AY433" s="799"/>
      <c r="AZ433" s="799"/>
      <c r="BA433" s="799"/>
      <c r="BB433" s="799"/>
      <c r="BC433" s="799"/>
      <c r="BD433" s="799"/>
      <c r="BE433" s="799"/>
      <c r="BF433" s="799"/>
      <c r="BG433" s="799"/>
    </row>
    <row r="434">
      <c r="H434" s="799"/>
      <c r="I434" s="799"/>
      <c r="J434" s="799"/>
      <c r="K434" s="799"/>
      <c r="L434" s="799"/>
      <c r="M434" s="799"/>
      <c r="N434" s="799"/>
      <c r="O434" s="799"/>
      <c r="P434" s="799"/>
      <c r="Q434" s="799"/>
      <c r="R434" s="799"/>
      <c r="S434" s="799"/>
      <c r="T434" s="799"/>
      <c r="U434" s="799"/>
      <c r="V434" s="799"/>
      <c r="W434" s="799"/>
      <c r="X434" s="799"/>
      <c r="Y434" s="799"/>
      <c r="Z434" s="799"/>
      <c r="AA434" s="799"/>
      <c r="AB434" s="799"/>
      <c r="AC434" s="799"/>
      <c r="AD434" s="799"/>
      <c r="AE434" s="799"/>
      <c r="AF434" s="799"/>
      <c r="AG434" s="799"/>
      <c r="AH434" s="799"/>
      <c r="AI434" s="799"/>
      <c r="AJ434" s="799"/>
      <c r="AK434" s="799"/>
      <c r="AL434" s="799"/>
      <c r="AM434" s="799"/>
      <c r="AN434" s="799"/>
      <c r="AO434" s="799"/>
      <c r="AP434" s="799"/>
      <c r="AQ434" s="799"/>
      <c r="AR434" s="799"/>
      <c r="AS434" s="799"/>
      <c r="AT434" s="799"/>
      <c r="AU434" s="799"/>
      <c r="AV434" s="799"/>
      <c r="AW434" s="799"/>
      <c r="AX434" s="799"/>
      <c r="AY434" s="799"/>
      <c r="AZ434" s="799"/>
      <c r="BA434" s="799"/>
      <c r="BB434" s="799"/>
      <c r="BC434" s="799"/>
      <c r="BD434" s="799"/>
      <c r="BE434" s="799"/>
      <c r="BF434" s="799"/>
      <c r="BG434" s="799"/>
    </row>
    <row r="435">
      <c r="H435" s="799"/>
      <c r="I435" s="799"/>
      <c r="J435" s="799"/>
      <c r="K435" s="799"/>
      <c r="L435" s="799"/>
      <c r="M435" s="799"/>
      <c r="N435" s="799"/>
      <c r="O435" s="799"/>
      <c r="P435" s="799"/>
      <c r="Q435" s="799"/>
      <c r="R435" s="799"/>
      <c r="S435" s="799"/>
      <c r="T435" s="799"/>
      <c r="U435" s="799"/>
      <c r="V435" s="799"/>
      <c r="W435" s="799"/>
      <c r="X435" s="799"/>
      <c r="Y435" s="799"/>
      <c r="Z435" s="799"/>
      <c r="AA435" s="799"/>
      <c r="AB435" s="799"/>
      <c r="AC435" s="799"/>
      <c r="AD435" s="799"/>
      <c r="AE435" s="799"/>
      <c r="AF435" s="799"/>
      <c r="AG435" s="799"/>
      <c r="AH435" s="799"/>
      <c r="AI435" s="799"/>
      <c r="AJ435" s="799"/>
      <c r="AK435" s="799"/>
      <c r="AL435" s="799"/>
      <c r="AM435" s="799"/>
      <c r="AN435" s="799"/>
      <c r="AO435" s="799"/>
      <c r="AP435" s="799"/>
      <c r="AQ435" s="799"/>
      <c r="AR435" s="799"/>
      <c r="AS435" s="799"/>
      <c r="AT435" s="799"/>
      <c r="AU435" s="799"/>
      <c r="AV435" s="799"/>
      <c r="AW435" s="799"/>
      <c r="AX435" s="799"/>
      <c r="AY435" s="799"/>
      <c r="AZ435" s="799"/>
      <c r="BA435" s="799"/>
      <c r="BB435" s="799"/>
      <c r="BC435" s="799"/>
      <c r="BD435" s="799"/>
      <c r="BE435" s="799"/>
      <c r="BF435" s="799"/>
      <c r="BG435" s="799"/>
    </row>
    <row r="436">
      <c r="H436" s="799"/>
      <c r="I436" s="799"/>
      <c r="J436" s="799"/>
      <c r="K436" s="799"/>
      <c r="L436" s="799"/>
      <c r="M436" s="799"/>
      <c r="N436" s="799"/>
      <c r="O436" s="799"/>
      <c r="P436" s="799"/>
      <c r="Q436" s="799"/>
      <c r="R436" s="799"/>
      <c r="S436" s="799"/>
      <c r="T436" s="799"/>
      <c r="U436" s="799"/>
      <c r="V436" s="799"/>
      <c r="W436" s="799"/>
      <c r="X436" s="799"/>
      <c r="Y436" s="799"/>
      <c r="Z436" s="799"/>
      <c r="AA436" s="799"/>
      <c r="AB436" s="799"/>
      <c r="AC436" s="799"/>
      <c r="AD436" s="799"/>
      <c r="AE436" s="799"/>
      <c r="AF436" s="799"/>
      <c r="AG436" s="799"/>
      <c r="AH436" s="799"/>
      <c r="AI436" s="799"/>
      <c r="AJ436" s="799"/>
      <c r="AK436" s="799"/>
      <c r="AL436" s="799"/>
      <c r="AM436" s="799"/>
      <c r="AN436" s="799"/>
      <c r="AO436" s="799"/>
      <c r="AP436" s="799"/>
      <c r="AQ436" s="799"/>
      <c r="AR436" s="799"/>
      <c r="AS436" s="799"/>
      <c r="AT436" s="799"/>
      <c r="AU436" s="799"/>
      <c r="AV436" s="799"/>
      <c r="AW436" s="799"/>
      <c r="AX436" s="799"/>
      <c r="AY436" s="799"/>
      <c r="AZ436" s="799"/>
      <c r="BA436" s="799"/>
      <c r="BB436" s="799"/>
      <c r="BC436" s="799"/>
      <c r="BD436" s="799"/>
      <c r="BE436" s="799"/>
      <c r="BF436" s="799"/>
      <c r="BG436" s="799"/>
    </row>
    <row r="437">
      <c r="H437" s="799"/>
      <c r="I437" s="799"/>
      <c r="J437" s="799"/>
      <c r="K437" s="799"/>
      <c r="L437" s="799"/>
      <c r="M437" s="799"/>
      <c r="N437" s="799"/>
      <c r="O437" s="799"/>
      <c r="P437" s="799"/>
      <c r="Q437" s="799"/>
      <c r="R437" s="799"/>
      <c r="S437" s="799"/>
      <c r="T437" s="799"/>
      <c r="U437" s="799"/>
      <c r="V437" s="799"/>
      <c r="W437" s="799"/>
      <c r="X437" s="799"/>
      <c r="Y437" s="799"/>
      <c r="Z437" s="799"/>
      <c r="AA437" s="799"/>
      <c r="AB437" s="799"/>
      <c r="AC437" s="799"/>
      <c r="AD437" s="799"/>
      <c r="AE437" s="799"/>
      <c r="AF437" s="799"/>
      <c r="AG437" s="799"/>
      <c r="AH437" s="799"/>
      <c r="AI437" s="799"/>
      <c r="AJ437" s="799"/>
      <c r="AK437" s="799"/>
      <c r="AL437" s="799"/>
      <c r="AM437" s="799"/>
      <c r="AN437" s="799"/>
      <c r="AO437" s="799"/>
      <c r="AP437" s="799"/>
      <c r="AQ437" s="799"/>
      <c r="AR437" s="799"/>
      <c r="AS437" s="799"/>
      <c r="AT437" s="799"/>
      <c r="AU437" s="799"/>
      <c r="AV437" s="799"/>
      <c r="AW437" s="799"/>
      <c r="AX437" s="799"/>
      <c r="AY437" s="799"/>
      <c r="AZ437" s="799"/>
      <c r="BA437" s="799"/>
      <c r="BB437" s="799"/>
      <c r="BC437" s="799"/>
      <c r="BD437" s="799"/>
      <c r="BE437" s="799"/>
      <c r="BF437" s="799"/>
      <c r="BG437" s="799"/>
    </row>
    <row r="438">
      <c r="H438" s="799"/>
      <c r="I438" s="799"/>
      <c r="J438" s="799"/>
      <c r="K438" s="799"/>
      <c r="L438" s="799"/>
      <c r="M438" s="799"/>
      <c r="N438" s="799"/>
      <c r="O438" s="799"/>
      <c r="P438" s="799"/>
      <c r="Q438" s="799"/>
      <c r="R438" s="799"/>
      <c r="S438" s="799"/>
      <c r="T438" s="799"/>
      <c r="U438" s="799"/>
      <c r="V438" s="799"/>
      <c r="W438" s="799"/>
      <c r="X438" s="799"/>
      <c r="Y438" s="799"/>
      <c r="Z438" s="799"/>
      <c r="AA438" s="799"/>
      <c r="AB438" s="799"/>
      <c r="AC438" s="799"/>
      <c r="AD438" s="799"/>
      <c r="AE438" s="799"/>
      <c r="AF438" s="799"/>
      <c r="AG438" s="799"/>
      <c r="AH438" s="799"/>
      <c r="AI438" s="799"/>
      <c r="AJ438" s="799"/>
      <c r="AK438" s="799"/>
      <c r="AL438" s="799"/>
      <c r="AM438" s="799"/>
      <c r="AN438" s="799"/>
      <c r="AO438" s="799"/>
      <c r="AP438" s="799"/>
      <c r="AQ438" s="799"/>
      <c r="AR438" s="799"/>
      <c r="AS438" s="799"/>
      <c r="AT438" s="799"/>
      <c r="AU438" s="799"/>
      <c r="AV438" s="799"/>
      <c r="AW438" s="799"/>
      <c r="AX438" s="799"/>
      <c r="AY438" s="799"/>
      <c r="AZ438" s="799"/>
      <c r="BA438" s="799"/>
      <c r="BB438" s="799"/>
      <c r="BC438" s="799"/>
      <c r="BD438" s="799"/>
      <c r="BE438" s="799"/>
      <c r="BF438" s="799"/>
      <c r="BG438" s="799"/>
    </row>
    <row r="439">
      <c r="H439" s="799"/>
      <c r="I439" s="799"/>
      <c r="J439" s="799"/>
      <c r="K439" s="799"/>
      <c r="L439" s="799"/>
      <c r="M439" s="799"/>
      <c r="N439" s="799"/>
      <c r="O439" s="799"/>
      <c r="P439" s="799"/>
      <c r="Q439" s="799"/>
      <c r="R439" s="799"/>
      <c r="S439" s="799"/>
      <c r="T439" s="799"/>
      <c r="U439" s="799"/>
      <c r="V439" s="799"/>
      <c r="W439" s="799"/>
      <c r="X439" s="799"/>
      <c r="Y439" s="799"/>
      <c r="Z439" s="799"/>
      <c r="AA439" s="799"/>
      <c r="AB439" s="799"/>
      <c r="AC439" s="799"/>
      <c r="AD439" s="799"/>
      <c r="AE439" s="799"/>
      <c r="AF439" s="799"/>
      <c r="AG439" s="799"/>
      <c r="AH439" s="799"/>
      <c r="AI439" s="799"/>
      <c r="AJ439" s="799"/>
      <c r="AK439" s="799"/>
      <c r="AL439" s="799"/>
      <c r="AM439" s="799"/>
      <c r="AN439" s="799"/>
      <c r="AO439" s="799"/>
      <c r="AP439" s="799"/>
      <c r="AQ439" s="799"/>
      <c r="AR439" s="799"/>
      <c r="AS439" s="799"/>
      <c r="AT439" s="799"/>
      <c r="AU439" s="799"/>
      <c r="AV439" s="799"/>
      <c r="AW439" s="799"/>
      <c r="AX439" s="799"/>
      <c r="AY439" s="799"/>
      <c r="AZ439" s="799"/>
      <c r="BA439" s="799"/>
      <c r="BB439" s="799"/>
      <c r="BC439" s="799"/>
      <c r="BD439" s="799"/>
      <c r="BE439" s="799"/>
      <c r="BF439" s="799"/>
      <c r="BG439" s="799"/>
    </row>
    <row r="440">
      <c r="H440" s="799"/>
      <c r="I440" s="799"/>
      <c r="J440" s="799"/>
      <c r="K440" s="799"/>
      <c r="L440" s="799"/>
      <c r="M440" s="799"/>
      <c r="N440" s="799"/>
      <c r="O440" s="799"/>
      <c r="P440" s="799"/>
      <c r="Q440" s="799"/>
      <c r="R440" s="799"/>
      <c r="S440" s="799"/>
      <c r="T440" s="799"/>
      <c r="U440" s="799"/>
      <c r="V440" s="799"/>
      <c r="W440" s="799"/>
      <c r="X440" s="799"/>
      <c r="Y440" s="799"/>
      <c r="Z440" s="799"/>
      <c r="AA440" s="799"/>
      <c r="AB440" s="799"/>
      <c r="AC440" s="799"/>
      <c r="AD440" s="799"/>
      <c r="AE440" s="799"/>
      <c r="AF440" s="799"/>
      <c r="AG440" s="799"/>
      <c r="AH440" s="799"/>
      <c r="AI440" s="799"/>
      <c r="AJ440" s="799"/>
      <c r="AK440" s="799"/>
      <c r="AL440" s="799"/>
      <c r="AM440" s="799"/>
      <c r="AN440" s="799"/>
      <c r="AO440" s="799"/>
      <c r="AP440" s="799"/>
      <c r="AQ440" s="799"/>
      <c r="AR440" s="799"/>
      <c r="AS440" s="799"/>
      <c r="AT440" s="799"/>
      <c r="AU440" s="799"/>
      <c r="AV440" s="799"/>
      <c r="AW440" s="799"/>
      <c r="AX440" s="799"/>
      <c r="AY440" s="799"/>
      <c r="AZ440" s="799"/>
      <c r="BA440" s="799"/>
      <c r="BB440" s="799"/>
      <c r="BC440" s="799"/>
      <c r="BD440" s="799"/>
      <c r="BE440" s="799"/>
      <c r="BF440" s="799"/>
      <c r="BG440" s="799"/>
    </row>
    <row r="441">
      <c r="H441" s="799"/>
      <c r="I441" s="799"/>
      <c r="J441" s="799"/>
      <c r="K441" s="799"/>
      <c r="L441" s="799"/>
      <c r="M441" s="799"/>
      <c r="N441" s="799"/>
      <c r="O441" s="799"/>
      <c r="P441" s="799"/>
      <c r="Q441" s="799"/>
      <c r="R441" s="799"/>
      <c r="S441" s="799"/>
      <c r="T441" s="799"/>
      <c r="U441" s="799"/>
      <c r="V441" s="799"/>
      <c r="W441" s="799"/>
      <c r="X441" s="799"/>
      <c r="Y441" s="799"/>
      <c r="Z441" s="799"/>
      <c r="AA441" s="799"/>
      <c r="AB441" s="799"/>
      <c r="AC441" s="799"/>
      <c r="AD441" s="799"/>
      <c r="AE441" s="799"/>
      <c r="AF441" s="799"/>
      <c r="AG441" s="799"/>
      <c r="AH441" s="799"/>
      <c r="AI441" s="799"/>
      <c r="AJ441" s="799"/>
      <c r="AK441" s="799"/>
      <c r="AL441" s="799"/>
      <c r="AM441" s="799"/>
      <c r="AN441" s="799"/>
      <c r="AO441" s="799"/>
      <c r="AP441" s="799"/>
      <c r="AQ441" s="799"/>
      <c r="AR441" s="799"/>
      <c r="AS441" s="799"/>
      <c r="AT441" s="799"/>
      <c r="AU441" s="799"/>
      <c r="AV441" s="799"/>
      <c r="AW441" s="799"/>
      <c r="AX441" s="799"/>
      <c r="AY441" s="799"/>
      <c r="AZ441" s="799"/>
      <c r="BA441" s="799"/>
      <c r="BB441" s="799"/>
      <c r="BC441" s="799"/>
      <c r="BD441" s="799"/>
      <c r="BE441" s="799"/>
      <c r="BF441" s="799"/>
      <c r="BG441" s="799"/>
    </row>
    <row r="442">
      <c r="H442" s="799"/>
      <c r="I442" s="799"/>
      <c r="J442" s="799"/>
      <c r="K442" s="799"/>
      <c r="L442" s="799"/>
      <c r="M442" s="799"/>
      <c r="N442" s="799"/>
      <c r="O442" s="799"/>
      <c r="P442" s="799"/>
      <c r="Q442" s="799"/>
      <c r="R442" s="799"/>
      <c r="S442" s="799"/>
      <c r="T442" s="799"/>
      <c r="U442" s="799"/>
      <c r="V442" s="799"/>
      <c r="W442" s="799"/>
      <c r="X442" s="799"/>
      <c r="Y442" s="799"/>
      <c r="Z442" s="799"/>
      <c r="AA442" s="799"/>
      <c r="AB442" s="799"/>
      <c r="AC442" s="799"/>
      <c r="AD442" s="799"/>
      <c r="AE442" s="799"/>
      <c r="AF442" s="799"/>
      <c r="AG442" s="799"/>
      <c r="AH442" s="799"/>
      <c r="AI442" s="799"/>
      <c r="AJ442" s="799"/>
      <c r="AK442" s="799"/>
      <c r="AL442" s="799"/>
      <c r="AM442" s="799"/>
      <c r="AN442" s="799"/>
      <c r="AO442" s="799"/>
      <c r="AP442" s="799"/>
      <c r="AQ442" s="799"/>
      <c r="AR442" s="799"/>
      <c r="AS442" s="799"/>
      <c r="AT442" s="799"/>
      <c r="AU442" s="799"/>
      <c r="AV442" s="799"/>
      <c r="AW442" s="799"/>
      <c r="AX442" s="799"/>
      <c r="AY442" s="799"/>
      <c r="AZ442" s="799"/>
      <c r="BA442" s="799"/>
      <c r="BB442" s="799"/>
      <c r="BC442" s="799"/>
      <c r="BD442" s="799"/>
      <c r="BE442" s="799"/>
      <c r="BF442" s="799"/>
      <c r="BG442" s="799"/>
    </row>
    <row r="443">
      <c r="H443" s="799"/>
      <c r="I443" s="799"/>
      <c r="J443" s="799"/>
      <c r="K443" s="799"/>
      <c r="L443" s="799"/>
      <c r="M443" s="799"/>
      <c r="N443" s="799"/>
      <c r="O443" s="799"/>
      <c r="P443" s="799"/>
      <c r="Q443" s="799"/>
      <c r="R443" s="799"/>
      <c r="S443" s="799"/>
      <c r="T443" s="799"/>
      <c r="U443" s="799"/>
      <c r="V443" s="799"/>
      <c r="W443" s="799"/>
      <c r="X443" s="799"/>
      <c r="Y443" s="799"/>
      <c r="Z443" s="799"/>
      <c r="AA443" s="799"/>
      <c r="AB443" s="799"/>
      <c r="AC443" s="799"/>
      <c r="AD443" s="799"/>
      <c r="AE443" s="799"/>
      <c r="AF443" s="799"/>
      <c r="AG443" s="799"/>
      <c r="AH443" s="799"/>
      <c r="AI443" s="799"/>
      <c r="AJ443" s="799"/>
      <c r="AK443" s="799"/>
      <c r="AL443" s="799"/>
      <c r="AM443" s="799"/>
      <c r="AN443" s="799"/>
      <c r="AO443" s="799"/>
      <c r="AP443" s="799"/>
      <c r="AQ443" s="799"/>
      <c r="AR443" s="799"/>
      <c r="AS443" s="799"/>
      <c r="AT443" s="799"/>
      <c r="AU443" s="799"/>
      <c r="AV443" s="799"/>
      <c r="AW443" s="799"/>
      <c r="AX443" s="799"/>
      <c r="AY443" s="799"/>
      <c r="AZ443" s="799"/>
      <c r="BA443" s="799"/>
      <c r="BB443" s="799"/>
      <c r="BC443" s="799"/>
      <c r="BD443" s="799"/>
      <c r="BE443" s="799"/>
      <c r="BF443" s="799"/>
      <c r="BG443" s="799"/>
    </row>
    <row r="444">
      <c r="H444" s="799"/>
      <c r="I444" s="799"/>
      <c r="J444" s="799"/>
      <c r="K444" s="799"/>
      <c r="L444" s="799"/>
      <c r="M444" s="799"/>
      <c r="N444" s="799"/>
      <c r="O444" s="799"/>
      <c r="P444" s="799"/>
      <c r="Q444" s="799"/>
      <c r="R444" s="799"/>
      <c r="S444" s="799"/>
      <c r="T444" s="799"/>
      <c r="U444" s="799"/>
      <c r="V444" s="799"/>
      <c r="W444" s="799"/>
      <c r="X444" s="799"/>
      <c r="Y444" s="799"/>
      <c r="Z444" s="799"/>
      <c r="AA444" s="799"/>
      <c r="AB444" s="799"/>
      <c r="AC444" s="799"/>
      <c r="AD444" s="799"/>
      <c r="AE444" s="799"/>
      <c r="AF444" s="799"/>
      <c r="AG444" s="799"/>
      <c r="AH444" s="799"/>
      <c r="AI444" s="799"/>
      <c r="AJ444" s="799"/>
      <c r="AK444" s="799"/>
      <c r="AL444" s="799"/>
      <c r="AM444" s="799"/>
      <c r="AN444" s="799"/>
      <c r="AO444" s="799"/>
      <c r="AP444" s="799"/>
      <c r="AQ444" s="799"/>
      <c r="AR444" s="799"/>
      <c r="AS444" s="799"/>
      <c r="AT444" s="799"/>
      <c r="AU444" s="799"/>
      <c r="AV444" s="799"/>
      <c r="AW444" s="799"/>
      <c r="AX444" s="799"/>
      <c r="AY444" s="799"/>
      <c r="AZ444" s="799"/>
      <c r="BA444" s="799"/>
      <c r="BB444" s="799"/>
      <c r="BC444" s="799"/>
      <c r="BD444" s="799"/>
      <c r="BE444" s="799"/>
      <c r="BF444" s="799"/>
      <c r="BG444" s="799"/>
    </row>
    <row r="445">
      <c r="H445" s="799"/>
      <c r="I445" s="799"/>
      <c r="J445" s="799"/>
      <c r="K445" s="799"/>
      <c r="L445" s="799"/>
      <c r="M445" s="799"/>
      <c r="N445" s="799"/>
      <c r="O445" s="799"/>
      <c r="P445" s="799"/>
      <c r="Q445" s="799"/>
      <c r="R445" s="799"/>
      <c r="S445" s="799"/>
      <c r="T445" s="799"/>
      <c r="U445" s="799"/>
      <c r="V445" s="799"/>
      <c r="W445" s="799"/>
      <c r="X445" s="799"/>
      <c r="Y445" s="799"/>
      <c r="Z445" s="799"/>
      <c r="AA445" s="799"/>
      <c r="AB445" s="799"/>
      <c r="AC445" s="799"/>
      <c r="AD445" s="799"/>
      <c r="AE445" s="799"/>
      <c r="AF445" s="799"/>
      <c r="AG445" s="799"/>
      <c r="AH445" s="799"/>
      <c r="AI445" s="799"/>
      <c r="AJ445" s="799"/>
      <c r="AK445" s="799"/>
      <c r="AL445" s="799"/>
      <c r="AM445" s="799"/>
      <c r="AN445" s="799"/>
      <c r="AO445" s="799"/>
      <c r="AP445" s="799"/>
      <c r="AQ445" s="799"/>
      <c r="AR445" s="799"/>
      <c r="AS445" s="799"/>
      <c r="AT445" s="799"/>
      <c r="AU445" s="799"/>
      <c r="AV445" s="799"/>
      <c r="AW445" s="799"/>
      <c r="AX445" s="799"/>
      <c r="AY445" s="799"/>
      <c r="AZ445" s="799"/>
      <c r="BA445" s="799"/>
      <c r="BB445" s="799"/>
      <c r="BC445" s="799"/>
      <c r="BD445" s="799"/>
      <c r="BE445" s="799"/>
      <c r="BF445" s="799"/>
      <c r="BG445" s="799"/>
    </row>
    <row r="446">
      <c r="H446" s="799"/>
      <c r="I446" s="799"/>
      <c r="J446" s="799"/>
      <c r="K446" s="799"/>
      <c r="L446" s="799"/>
      <c r="M446" s="799"/>
      <c r="N446" s="799"/>
      <c r="O446" s="799"/>
      <c r="P446" s="799"/>
      <c r="Q446" s="799"/>
      <c r="R446" s="799"/>
      <c r="S446" s="799"/>
      <c r="T446" s="799"/>
      <c r="U446" s="799"/>
      <c r="V446" s="799"/>
      <c r="W446" s="799"/>
      <c r="X446" s="799"/>
      <c r="Y446" s="799"/>
      <c r="Z446" s="799"/>
      <c r="AA446" s="799"/>
      <c r="AB446" s="799"/>
      <c r="AC446" s="799"/>
      <c r="AD446" s="799"/>
      <c r="AE446" s="799"/>
      <c r="AF446" s="799"/>
      <c r="AG446" s="799"/>
      <c r="AH446" s="799"/>
      <c r="AI446" s="799"/>
      <c r="AJ446" s="799"/>
      <c r="AK446" s="799"/>
      <c r="AL446" s="799"/>
      <c r="AM446" s="799"/>
      <c r="AN446" s="799"/>
      <c r="AO446" s="799"/>
      <c r="AP446" s="799"/>
      <c r="AQ446" s="799"/>
      <c r="AR446" s="799"/>
      <c r="AS446" s="799"/>
      <c r="AT446" s="799"/>
      <c r="AU446" s="799"/>
      <c r="AV446" s="799"/>
      <c r="AW446" s="799"/>
      <c r="AX446" s="799"/>
      <c r="AY446" s="799"/>
      <c r="AZ446" s="799"/>
      <c r="BA446" s="799"/>
      <c r="BB446" s="799"/>
      <c r="BC446" s="799"/>
      <c r="BD446" s="799"/>
      <c r="BE446" s="799"/>
      <c r="BF446" s="799"/>
      <c r="BG446" s="799"/>
    </row>
    <row r="447">
      <c r="H447" s="799"/>
      <c r="I447" s="799"/>
      <c r="J447" s="799"/>
      <c r="K447" s="799"/>
      <c r="L447" s="799"/>
      <c r="M447" s="799"/>
      <c r="N447" s="799"/>
      <c r="O447" s="799"/>
      <c r="P447" s="799"/>
      <c r="Q447" s="799"/>
      <c r="R447" s="799"/>
      <c r="S447" s="799"/>
      <c r="T447" s="799"/>
      <c r="U447" s="799"/>
      <c r="V447" s="799"/>
      <c r="W447" s="799"/>
      <c r="X447" s="799"/>
      <c r="Y447" s="799"/>
      <c r="Z447" s="799"/>
      <c r="AA447" s="799"/>
      <c r="AB447" s="799"/>
      <c r="AC447" s="799"/>
      <c r="AD447" s="799"/>
      <c r="AE447" s="799"/>
      <c r="AF447" s="799"/>
      <c r="AG447" s="799"/>
      <c r="AH447" s="799"/>
      <c r="AI447" s="799"/>
      <c r="AJ447" s="799"/>
      <c r="AK447" s="799"/>
      <c r="AL447" s="799"/>
      <c r="AM447" s="799"/>
      <c r="AN447" s="799"/>
      <c r="AO447" s="799"/>
      <c r="AP447" s="799"/>
      <c r="AQ447" s="799"/>
      <c r="AR447" s="799"/>
      <c r="AS447" s="799"/>
      <c r="AT447" s="799"/>
      <c r="AU447" s="799"/>
      <c r="AV447" s="799"/>
      <c r="AW447" s="799"/>
      <c r="AX447" s="799"/>
      <c r="AY447" s="799"/>
      <c r="AZ447" s="799"/>
      <c r="BA447" s="799"/>
      <c r="BB447" s="799"/>
      <c r="BC447" s="799"/>
      <c r="BD447" s="799"/>
      <c r="BE447" s="799"/>
      <c r="BF447" s="799"/>
      <c r="BG447" s="799"/>
    </row>
    <row r="448">
      <c r="H448" s="799"/>
      <c r="I448" s="799"/>
      <c r="J448" s="799"/>
      <c r="K448" s="799"/>
      <c r="L448" s="799"/>
      <c r="M448" s="799"/>
      <c r="N448" s="799"/>
      <c r="O448" s="799"/>
      <c r="P448" s="799"/>
      <c r="Q448" s="799"/>
      <c r="R448" s="799"/>
      <c r="S448" s="799"/>
      <c r="T448" s="799"/>
      <c r="U448" s="799"/>
      <c r="V448" s="799"/>
      <c r="W448" s="799"/>
      <c r="X448" s="799"/>
      <c r="Y448" s="799"/>
      <c r="Z448" s="799"/>
      <c r="AA448" s="799"/>
      <c r="AB448" s="799"/>
      <c r="AC448" s="799"/>
      <c r="AD448" s="799"/>
      <c r="AE448" s="799"/>
      <c r="AF448" s="799"/>
      <c r="AG448" s="799"/>
      <c r="AH448" s="799"/>
      <c r="AI448" s="799"/>
      <c r="AJ448" s="799"/>
      <c r="AK448" s="799"/>
      <c r="AL448" s="799"/>
      <c r="AM448" s="799"/>
      <c r="AN448" s="799"/>
      <c r="AO448" s="799"/>
      <c r="AP448" s="799"/>
      <c r="AQ448" s="799"/>
      <c r="AR448" s="799"/>
      <c r="AS448" s="799"/>
      <c r="AT448" s="799"/>
      <c r="AU448" s="799"/>
      <c r="AV448" s="799"/>
      <c r="AW448" s="799"/>
      <c r="AX448" s="799"/>
      <c r="AY448" s="799"/>
      <c r="AZ448" s="799"/>
      <c r="BA448" s="799"/>
      <c r="BB448" s="799"/>
      <c r="BC448" s="799"/>
      <c r="BD448" s="799"/>
      <c r="BE448" s="799"/>
      <c r="BF448" s="799"/>
      <c r="BG448" s="799"/>
    </row>
    <row r="449">
      <c r="H449" s="799"/>
      <c r="I449" s="799"/>
      <c r="J449" s="799"/>
      <c r="K449" s="799"/>
      <c r="L449" s="799"/>
      <c r="M449" s="799"/>
      <c r="N449" s="799"/>
      <c r="O449" s="799"/>
      <c r="P449" s="799"/>
      <c r="Q449" s="799"/>
      <c r="R449" s="799"/>
      <c r="S449" s="799"/>
      <c r="T449" s="799"/>
      <c r="U449" s="799"/>
      <c r="V449" s="799"/>
      <c r="W449" s="799"/>
      <c r="X449" s="799"/>
      <c r="Y449" s="799"/>
      <c r="Z449" s="799"/>
      <c r="AA449" s="799"/>
      <c r="AB449" s="799"/>
      <c r="AC449" s="799"/>
      <c r="AD449" s="799"/>
      <c r="AE449" s="799"/>
      <c r="AF449" s="799"/>
      <c r="AG449" s="799"/>
      <c r="AH449" s="799"/>
      <c r="AI449" s="799"/>
      <c r="AJ449" s="799"/>
      <c r="AK449" s="799"/>
      <c r="AL449" s="799"/>
      <c r="AM449" s="799"/>
      <c r="AN449" s="799"/>
      <c r="AO449" s="799"/>
      <c r="AP449" s="799"/>
      <c r="AQ449" s="799"/>
      <c r="AR449" s="799"/>
      <c r="AS449" s="799"/>
      <c r="AT449" s="799"/>
      <c r="AU449" s="799"/>
      <c r="AV449" s="799"/>
      <c r="AW449" s="799"/>
      <c r="AX449" s="799"/>
      <c r="AY449" s="799"/>
      <c r="AZ449" s="799"/>
      <c r="BA449" s="799"/>
      <c r="BB449" s="799"/>
      <c r="BC449" s="799"/>
      <c r="BD449" s="799"/>
      <c r="BE449" s="799"/>
      <c r="BF449" s="799"/>
      <c r="BG449" s="799"/>
    </row>
    <row r="450">
      <c r="H450" s="799"/>
      <c r="I450" s="799"/>
      <c r="J450" s="799"/>
      <c r="K450" s="799"/>
      <c r="L450" s="799"/>
      <c r="M450" s="799"/>
      <c r="N450" s="799"/>
      <c r="O450" s="799"/>
      <c r="P450" s="799"/>
      <c r="Q450" s="799"/>
      <c r="R450" s="799"/>
      <c r="S450" s="799"/>
      <c r="T450" s="799"/>
      <c r="U450" s="799"/>
      <c r="V450" s="799"/>
      <c r="W450" s="799"/>
      <c r="X450" s="799"/>
      <c r="Y450" s="799"/>
      <c r="Z450" s="799"/>
      <c r="AA450" s="799"/>
      <c r="AB450" s="799"/>
      <c r="AC450" s="799"/>
      <c r="AD450" s="799"/>
      <c r="AE450" s="799"/>
      <c r="AF450" s="799"/>
      <c r="AG450" s="799"/>
      <c r="AH450" s="799"/>
      <c r="AI450" s="799"/>
      <c r="AJ450" s="799"/>
      <c r="AK450" s="799"/>
      <c r="AL450" s="799"/>
      <c r="AM450" s="799"/>
      <c r="AN450" s="799"/>
      <c r="AO450" s="799"/>
      <c r="AP450" s="799"/>
      <c r="AQ450" s="799"/>
      <c r="AR450" s="799"/>
      <c r="AS450" s="799"/>
      <c r="AT450" s="799"/>
      <c r="AU450" s="799"/>
      <c r="AV450" s="799"/>
      <c r="AW450" s="799"/>
      <c r="AX450" s="799"/>
      <c r="AY450" s="799"/>
      <c r="AZ450" s="799"/>
      <c r="BA450" s="799"/>
      <c r="BB450" s="799"/>
      <c r="BC450" s="799"/>
      <c r="BD450" s="799"/>
      <c r="BE450" s="799"/>
      <c r="BF450" s="799"/>
      <c r="BG450" s="799"/>
    </row>
    <row r="451">
      <c r="H451" s="799"/>
      <c r="I451" s="799"/>
      <c r="J451" s="799"/>
      <c r="K451" s="799"/>
      <c r="L451" s="799"/>
      <c r="M451" s="799"/>
      <c r="N451" s="799"/>
      <c r="O451" s="799"/>
      <c r="P451" s="799"/>
      <c r="Q451" s="799"/>
      <c r="R451" s="799"/>
      <c r="S451" s="799"/>
      <c r="T451" s="799"/>
      <c r="U451" s="799"/>
      <c r="V451" s="799"/>
      <c r="W451" s="799"/>
      <c r="X451" s="799"/>
      <c r="Y451" s="799"/>
      <c r="Z451" s="799"/>
      <c r="AA451" s="799"/>
      <c r="AB451" s="799"/>
      <c r="AC451" s="799"/>
      <c r="AD451" s="799"/>
      <c r="AE451" s="799"/>
      <c r="AF451" s="799"/>
      <c r="AG451" s="799"/>
      <c r="AH451" s="799"/>
      <c r="AI451" s="799"/>
      <c r="AJ451" s="799"/>
      <c r="AK451" s="799"/>
      <c r="AL451" s="799"/>
      <c r="AM451" s="799"/>
      <c r="AN451" s="799"/>
      <c r="AO451" s="799"/>
      <c r="AP451" s="799"/>
      <c r="AQ451" s="799"/>
      <c r="AR451" s="799"/>
      <c r="AS451" s="799"/>
      <c r="AT451" s="799"/>
      <c r="AU451" s="799"/>
      <c r="AV451" s="799"/>
      <c r="AW451" s="799"/>
      <c r="AX451" s="799"/>
      <c r="AY451" s="799"/>
      <c r="AZ451" s="799"/>
      <c r="BA451" s="799"/>
      <c r="BB451" s="799"/>
      <c r="BC451" s="799"/>
      <c r="BD451" s="799"/>
      <c r="BE451" s="799"/>
      <c r="BF451" s="799"/>
      <c r="BG451" s="799"/>
    </row>
    <row r="452">
      <c r="H452" s="799"/>
      <c r="I452" s="799"/>
      <c r="J452" s="799"/>
      <c r="K452" s="799"/>
      <c r="L452" s="799"/>
      <c r="M452" s="799"/>
      <c r="N452" s="799"/>
      <c r="O452" s="799"/>
      <c r="P452" s="799"/>
      <c r="Q452" s="799"/>
      <c r="R452" s="799"/>
      <c r="S452" s="799"/>
      <c r="T452" s="799"/>
      <c r="U452" s="799"/>
      <c r="V452" s="799"/>
      <c r="W452" s="799"/>
      <c r="X452" s="799"/>
      <c r="Y452" s="799"/>
      <c r="Z452" s="799"/>
      <c r="AA452" s="799"/>
      <c r="AB452" s="799"/>
      <c r="AC452" s="799"/>
      <c r="AD452" s="799"/>
      <c r="AE452" s="799"/>
      <c r="AF452" s="799"/>
      <c r="AG452" s="799"/>
      <c r="AH452" s="799"/>
      <c r="AI452" s="799"/>
      <c r="AJ452" s="799"/>
      <c r="AK452" s="799"/>
      <c r="AL452" s="799"/>
      <c r="AM452" s="799"/>
      <c r="AN452" s="799"/>
      <c r="AO452" s="799"/>
      <c r="AP452" s="799"/>
      <c r="AQ452" s="799"/>
      <c r="AR452" s="799"/>
      <c r="AS452" s="799"/>
      <c r="AT452" s="799"/>
      <c r="AU452" s="799"/>
      <c r="AV452" s="799"/>
      <c r="AW452" s="799"/>
      <c r="AX452" s="799"/>
      <c r="AY452" s="799"/>
      <c r="AZ452" s="799"/>
      <c r="BA452" s="799"/>
      <c r="BB452" s="799"/>
      <c r="BC452" s="799"/>
      <c r="BD452" s="799"/>
      <c r="BE452" s="799"/>
      <c r="BF452" s="799"/>
      <c r="BG452" s="799"/>
    </row>
    <row r="453">
      <c r="H453" s="799"/>
      <c r="I453" s="799"/>
      <c r="J453" s="799"/>
      <c r="K453" s="799"/>
      <c r="L453" s="799"/>
      <c r="M453" s="799"/>
      <c r="N453" s="799"/>
      <c r="O453" s="799"/>
      <c r="P453" s="799"/>
      <c r="Q453" s="799"/>
      <c r="R453" s="799"/>
      <c r="S453" s="799"/>
      <c r="T453" s="799"/>
      <c r="U453" s="799"/>
      <c r="V453" s="799"/>
      <c r="W453" s="799"/>
      <c r="X453" s="799"/>
      <c r="Y453" s="799"/>
      <c r="Z453" s="799"/>
      <c r="AA453" s="799"/>
      <c r="AB453" s="799"/>
      <c r="AC453" s="799"/>
      <c r="AD453" s="799"/>
      <c r="AE453" s="799"/>
      <c r="AF453" s="799"/>
      <c r="AG453" s="799"/>
      <c r="AH453" s="799"/>
      <c r="AI453" s="799"/>
      <c r="AJ453" s="799"/>
      <c r="AK453" s="799"/>
      <c r="AL453" s="799"/>
      <c r="AM453" s="799"/>
      <c r="AN453" s="799"/>
      <c r="AO453" s="799"/>
      <c r="AP453" s="799"/>
      <c r="AQ453" s="799"/>
      <c r="AR453" s="799"/>
      <c r="AS453" s="799"/>
      <c r="AT453" s="799"/>
      <c r="AU453" s="799"/>
      <c r="AV453" s="799"/>
      <c r="AW453" s="799"/>
      <c r="AX453" s="799"/>
      <c r="AY453" s="799"/>
      <c r="AZ453" s="799"/>
      <c r="BA453" s="799"/>
      <c r="BB453" s="799"/>
      <c r="BC453" s="799"/>
      <c r="BD453" s="799"/>
      <c r="BE453" s="799"/>
      <c r="BF453" s="799"/>
      <c r="BG453" s="799"/>
    </row>
    <row r="454">
      <c r="H454" s="799"/>
      <c r="I454" s="799"/>
      <c r="J454" s="799"/>
      <c r="K454" s="799"/>
      <c r="L454" s="799"/>
      <c r="M454" s="799"/>
      <c r="N454" s="799"/>
      <c r="O454" s="799"/>
      <c r="P454" s="799"/>
      <c r="Q454" s="799"/>
      <c r="R454" s="799"/>
      <c r="S454" s="799"/>
      <c r="T454" s="799"/>
      <c r="U454" s="799"/>
      <c r="V454" s="799"/>
      <c r="W454" s="799"/>
      <c r="X454" s="799"/>
      <c r="Y454" s="799"/>
      <c r="Z454" s="799"/>
      <c r="AA454" s="799"/>
      <c r="AB454" s="799"/>
      <c r="AC454" s="799"/>
      <c r="AD454" s="799"/>
      <c r="AE454" s="799"/>
      <c r="AF454" s="799"/>
      <c r="AG454" s="799"/>
      <c r="AH454" s="799"/>
      <c r="AI454" s="799"/>
      <c r="AJ454" s="799"/>
      <c r="AK454" s="799"/>
      <c r="AL454" s="799"/>
      <c r="AM454" s="799"/>
      <c r="AN454" s="799"/>
      <c r="AO454" s="799"/>
      <c r="AP454" s="799"/>
      <c r="AQ454" s="799"/>
      <c r="AR454" s="799"/>
      <c r="AS454" s="799"/>
      <c r="AT454" s="799"/>
      <c r="AU454" s="799"/>
      <c r="AV454" s="799"/>
      <c r="AW454" s="799"/>
      <c r="AX454" s="799"/>
      <c r="AY454" s="799"/>
      <c r="AZ454" s="799"/>
      <c r="BA454" s="799"/>
      <c r="BB454" s="799"/>
      <c r="BC454" s="799"/>
      <c r="BD454" s="799"/>
      <c r="BE454" s="799"/>
      <c r="BF454" s="799"/>
      <c r="BG454" s="799"/>
    </row>
    <row r="455">
      <c r="H455" s="799"/>
      <c r="I455" s="799"/>
      <c r="J455" s="799"/>
      <c r="K455" s="799"/>
      <c r="L455" s="799"/>
      <c r="M455" s="799"/>
      <c r="N455" s="799"/>
      <c r="O455" s="799"/>
      <c r="P455" s="799"/>
      <c r="Q455" s="799"/>
      <c r="R455" s="799"/>
      <c r="S455" s="799"/>
      <c r="T455" s="799"/>
      <c r="U455" s="799"/>
      <c r="V455" s="799"/>
      <c r="W455" s="799"/>
      <c r="X455" s="799"/>
      <c r="Y455" s="799"/>
      <c r="Z455" s="799"/>
      <c r="AA455" s="799"/>
      <c r="AB455" s="799"/>
      <c r="AC455" s="799"/>
      <c r="AD455" s="799"/>
      <c r="AE455" s="799"/>
      <c r="AF455" s="799"/>
      <c r="AG455" s="799"/>
      <c r="AH455" s="799"/>
      <c r="AI455" s="799"/>
      <c r="AJ455" s="799"/>
      <c r="AK455" s="799"/>
      <c r="AL455" s="799"/>
      <c r="AM455" s="799"/>
      <c r="AN455" s="799"/>
      <c r="AO455" s="799"/>
      <c r="AP455" s="799"/>
      <c r="AQ455" s="799"/>
      <c r="AR455" s="799"/>
      <c r="AS455" s="799"/>
      <c r="AT455" s="799"/>
      <c r="AU455" s="799"/>
      <c r="AV455" s="799"/>
      <c r="AW455" s="799"/>
      <c r="AX455" s="799"/>
      <c r="AY455" s="799"/>
      <c r="AZ455" s="799"/>
      <c r="BA455" s="799"/>
      <c r="BB455" s="799"/>
      <c r="BC455" s="799"/>
      <c r="BD455" s="799"/>
      <c r="BE455" s="799"/>
      <c r="BF455" s="799"/>
      <c r="BG455" s="799"/>
    </row>
    <row r="456">
      <c r="H456" s="799"/>
      <c r="I456" s="799"/>
      <c r="J456" s="799"/>
      <c r="K456" s="799"/>
      <c r="L456" s="799"/>
      <c r="M456" s="799"/>
      <c r="N456" s="799"/>
      <c r="O456" s="799"/>
      <c r="P456" s="799"/>
      <c r="Q456" s="799"/>
      <c r="R456" s="799"/>
      <c r="S456" s="799"/>
      <c r="T456" s="799"/>
      <c r="U456" s="799"/>
      <c r="V456" s="799"/>
      <c r="W456" s="799"/>
      <c r="X456" s="799"/>
      <c r="Y456" s="799"/>
      <c r="Z456" s="799"/>
      <c r="AA456" s="799"/>
      <c r="AB456" s="799"/>
      <c r="AC456" s="799"/>
      <c r="AD456" s="799"/>
      <c r="AE456" s="799"/>
      <c r="AF456" s="799"/>
      <c r="AG456" s="799"/>
      <c r="AH456" s="799"/>
      <c r="AI456" s="799"/>
      <c r="AJ456" s="799"/>
      <c r="AK456" s="799"/>
      <c r="AL456" s="799"/>
      <c r="AM456" s="799"/>
      <c r="AN456" s="799"/>
      <c r="AO456" s="799"/>
      <c r="AP456" s="799"/>
      <c r="AQ456" s="799"/>
      <c r="AR456" s="799"/>
      <c r="AS456" s="799"/>
      <c r="AT456" s="799"/>
      <c r="AU456" s="799"/>
      <c r="AV456" s="799"/>
      <c r="AW456" s="799"/>
      <c r="AX456" s="799"/>
      <c r="AY456" s="799"/>
      <c r="AZ456" s="799"/>
      <c r="BA456" s="799"/>
      <c r="BB456" s="799"/>
      <c r="BC456" s="799"/>
      <c r="BD456" s="799"/>
      <c r="BE456" s="799"/>
      <c r="BF456" s="799"/>
      <c r="BG456" s="799"/>
    </row>
    <row r="457">
      <c r="H457" s="799"/>
      <c r="I457" s="799"/>
      <c r="J457" s="799"/>
      <c r="K457" s="799"/>
      <c r="L457" s="799"/>
      <c r="M457" s="799"/>
      <c r="N457" s="799"/>
      <c r="O457" s="799"/>
      <c r="P457" s="799"/>
      <c r="Q457" s="799"/>
      <c r="R457" s="799"/>
      <c r="S457" s="799"/>
      <c r="T457" s="799"/>
      <c r="U457" s="799"/>
      <c r="V457" s="799"/>
      <c r="W457" s="799"/>
      <c r="X457" s="799"/>
      <c r="Y457" s="799"/>
      <c r="Z457" s="799"/>
      <c r="AA457" s="799"/>
      <c r="AB457" s="799"/>
      <c r="AC457" s="799"/>
      <c r="AD457" s="799"/>
      <c r="AE457" s="799"/>
      <c r="AF457" s="799"/>
      <c r="AG457" s="799"/>
      <c r="AH457" s="799"/>
      <c r="AI457" s="799"/>
      <c r="AJ457" s="799"/>
      <c r="AK457" s="799"/>
      <c r="AL457" s="799"/>
      <c r="AM457" s="799"/>
      <c r="AN457" s="799"/>
      <c r="AO457" s="799"/>
      <c r="AP457" s="799"/>
      <c r="AQ457" s="799"/>
      <c r="AR457" s="799"/>
      <c r="AS457" s="799"/>
      <c r="AT457" s="799"/>
      <c r="AU457" s="799"/>
      <c r="AV457" s="799"/>
      <c r="AW457" s="799"/>
      <c r="AX457" s="799"/>
      <c r="AY457" s="799"/>
      <c r="AZ457" s="799"/>
      <c r="BA457" s="799"/>
      <c r="BB457" s="799"/>
      <c r="BC457" s="799"/>
      <c r="BD457" s="799"/>
      <c r="BE457" s="799"/>
      <c r="BF457" s="799"/>
      <c r="BG457" s="799"/>
    </row>
    <row r="458">
      <c r="H458" s="799"/>
      <c r="I458" s="799"/>
      <c r="J458" s="799"/>
      <c r="K458" s="799"/>
      <c r="L458" s="799"/>
      <c r="M458" s="799"/>
      <c r="N458" s="799"/>
      <c r="O458" s="799"/>
      <c r="P458" s="799"/>
      <c r="Q458" s="799"/>
      <c r="R458" s="799"/>
      <c r="S458" s="799"/>
      <c r="T458" s="799"/>
      <c r="U458" s="799"/>
      <c r="V458" s="799"/>
      <c r="W458" s="799"/>
      <c r="X458" s="799"/>
      <c r="Y458" s="799"/>
      <c r="Z458" s="799"/>
      <c r="AA458" s="799"/>
      <c r="AB458" s="799"/>
      <c r="AC458" s="799"/>
      <c r="AD458" s="799"/>
      <c r="AE458" s="799"/>
      <c r="AF458" s="799"/>
      <c r="AG458" s="799"/>
      <c r="AH458" s="799"/>
      <c r="AI458" s="799"/>
      <c r="AJ458" s="799"/>
      <c r="AK458" s="799"/>
      <c r="AL458" s="799"/>
      <c r="AM458" s="799"/>
      <c r="AN458" s="799"/>
      <c r="AO458" s="799"/>
      <c r="AP458" s="799"/>
      <c r="AQ458" s="799"/>
      <c r="AR458" s="799"/>
      <c r="AS458" s="799"/>
      <c r="AT458" s="799"/>
      <c r="AU458" s="799"/>
      <c r="AV458" s="799"/>
      <c r="AW458" s="799"/>
      <c r="AX458" s="799"/>
      <c r="AY458" s="799"/>
      <c r="AZ458" s="799"/>
      <c r="BA458" s="799"/>
      <c r="BB458" s="799"/>
      <c r="BC458" s="799"/>
      <c r="BD458" s="799"/>
      <c r="BE458" s="799"/>
      <c r="BF458" s="799"/>
      <c r="BG458" s="799"/>
    </row>
    <row r="459">
      <c r="H459" s="799"/>
      <c r="I459" s="799"/>
      <c r="J459" s="799"/>
      <c r="K459" s="799"/>
      <c r="L459" s="799"/>
      <c r="M459" s="799"/>
      <c r="N459" s="799"/>
      <c r="O459" s="799"/>
      <c r="P459" s="799"/>
      <c r="Q459" s="799"/>
      <c r="R459" s="799"/>
      <c r="S459" s="799"/>
      <c r="T459" s="799"/>
      <c r="U459" s="799"/>
      <c r="V459" s="799"/>
      <c r="W459" s="799"/>
      <c r="X459" s="799"/>
      <c r="Y459" s="799"/>
      <c r="Z459" s="799"/>
      <c r="AA459" s="799"/>
      <c r="AB459" s="799"/>
      <c r="AC459" s="799"/>
      <c r="AD459" s="799"/>
      <c r="AE459" s="799"/>
      <c r="AF459" s="799"/>
      <c r="AG459" s="799"/>
      <c r="AH459" s="799"/>
      <c r="AI459" s="799"/>
      <c r="AJ459" s="799"/>
      <c r="AK459" s="799"/>
      <c r="AL459" s="799"/>
      <c r="AM459" s="799"/>
      <c r="AN459" s="799"/>
      <c r="AO459" s="799"/>
      <c r="AP459" s="799"/>
      <c r="AQ459" s="799"/>
      <c r="AR459" s="799"/>
      <c r="AS459" s="799"/>
      <c r="AT459" s="799"/>
      <c r="AU459" s="799"/>
      <c r="AV459" s="799"/>
      <c r="AW459" s="799"/>
      <c r="AX459" s="799"/>
      <c r="AY459" s="799"/>
      <c r="AZ459" s="799"/>
      <c r="BA459" s="799"/>
      <c r="BB459" s="799"/>
      <c r="BC459" s="799"/>
      <c r="BD459" s="799"/>
      <c r="BE459" s="799"/>
      <c r="BF459" s="799"/>
      <c r="BG459" s="799"/>
    </row>
    <row r="460">
      <c r="H460" s="799"/>
      <c r="I460" s="799"/>
      <c r="J460" s="799"/>
      <c r="K460" s="799"/>
      <c r="L460" s="799"/>
      <c r="M460" s="799"/>
      <c r="N460" s="799"/>
      <c r="O460" s="799"/>
      <c r="P460" s="799"/>
      <c r="Q460" s="799"/>
      <c r="R460" s="799"/>
      <c r="S460" s="799"/>
      <c r="T460" s="799"/>
      <c r="U460" s="799"/>
      <c r="V460" s="799"/>
      <c r="W460" s="799"/>
      <c r="X460" s="799"/>
      <c r="Y460" s="799"/>
      <c r="Z460" s="799"/>
      <c r="AA460" s="799"/>
      <c r="AB460" s="799"/>
      <c r="AC460" s="799"/>
      <c r="AD460" s="799"/>
      <c r="AE460" s="799"/>
      <c r="AF460" s="799"/>
      <c r="AG460" s="799"/>
      <c r="AH460" s="799"/>
      <c r="AI460" s="799"/>
      <c r="AJ460" s="799"/>
      <c r="AK460" s="799"/>
      <c r="AL460" s="799"/>
      <c r="AM460" s="799"/>
      <c r="AN460" s="799"/>
      <c r="AO460" s="799"/>
      <c r="AP460" s="799"/>
      <c r="AQ460" s="799"/>
      <c r="AR460" s="799"/>
      <c r="AS460" s="799"/>
      <c r="AT460" s="799"/>
      <c r="AU460" s="799"/>
      <c r="AV460" s="799"/>
      <c r="AW460" s="799"/>
      <c r="AX460" s="799"/>
      <c r="AY460" s="799"/>
      <c r="AZ460" s="799"/>
      <c r="BA460" s="799"/>
      <c r="BB460" s="799"/>
      <c r="BC460" s="799"/>
      <c r="BD460" s="799"/>
      <c r="BE460" s="799"/>
      <c r="BF460" s="799"/>
      <c r="BG460" s="799"/>
    </row>
    <row r="461">
      <c r="H461" s="799"/>
      <c r="I461" s="799"/>
      <c r="J461" s="799"/>
      <c r="K461" s="799"/>
      <c r="L461" s="799"/>
      <c r="M461" s="799"/>
      <c r="N461" s="799"/>
      <c r="O461" s="799"/>
      <c r="P461" s="799"/>
      <c r="Q461" s="799"/>
      <c r="R461" s="799"/>
      <c r="S461" s="799"/>
      <c r="T461" s="799"/>
      <c r="U461" s="799"/>
      <c r="V461" s="799"/>
      <c r="W461" s="799"/>
      <c r="X461" s="799"/>
      <c r="Y461" s="799"/>
      <c r="Z461" s="799"/>
      <c r="AA461" s="799"/>
      <c r="AB461" s="799"/>
      <c r="AC461" s="799"/>
      <c r="AD461" s="799"/>
      <c r="AE461" s="799"/>
      <c r="AF461" s="799"/>
      <c r="AG461" s="799"/>
      <c r="AH461" s="799"/>
      <c r="AI461" s="799"/>
      <c r="AJ461" s="799"/>
      <c r="AK461" s="799"/>
      <c r="AL461" s="799"/>
      <c r="AM461" s="799"/>
      <c r="AN461" s="799"/>
      <c r="AO461" s="799"/>
      <c r="AP461" s="799"/>
      <c r="AQ461" s="799"/>
      <c r="AR461" s="799"/>
      <c r="AS461" s="799"/>
      <c r="AT461" s="799"/>
      <c r="AU461" s="799"/>
      <c r="AV461" s="799"/>
      <c r="AW461" s="799"/>
      <c r="AX461" s="799"/>
      <c r="AY461" s="799"/>
      <c r="AZ461" s="799"/>
      <c r="BA461" s="799"/>
      <c r="BB461" s="799"/>
      <c r="BC461" s="799"/>
      <c r="BD461" s="799"/>
      <c r="BE461" s="799"/>
      <c r="BF461" s="799"/>
      <c r="BG461" s="799"/>
    </row>
    <row r="462">
      <c r="H462" s="799"/>
      <c r="I462" s="799"/>
      <c r="J462" s="799"/>
      <c r="K462" s="799"/>
      <c r="L462" s="799"/>
      <c r="M462" s="799"/>
      <c r="N462" s="799"/>
      <c r="O462" s="799"/>
      <c r="P462" s="799"/>
      <c r="Q462" s="799"/>
      <c r="R462" s="799"/>
      <c r="S462" s="799"/>
      <c r="T462" s="799"/>
      <c r="U462" s="799"/>
      <c r="V462" s="799"/>
      <c r="W462" s="799"/>
      <c r="X462" s="799"/>
      <c r="Y462" s="799"/>
      <c r="Z462" s="799"/>
      <c r="AA462" s="799"/>
      <c r="AB462" s="799"/>
      <c r="AC462" s="799"/>
      <c r="AD462" s="799"/>
      <c r="AE462" s="799"/>
      <c r="AF462" s="799"/>
      <c r="AG462" s="799"/>
      <c r="AH462" s="799"/>
      <c r="AI462" s="799"/>
      <c r="AJ462" s="799"/>
      <c r="AK462" s="799"/>
      <c r="AL462" s="799"/>
      <c r="AM462" s="799"/>
      <c r="AN462" s="799"/>
      <c r="AO462" s="799"/>
      <c r="AP462" s="799"/>
      <c r="AQ462" s="799"/>
      <c r="AR462" s="799"/>
      <c r="AS462" s="799"/>
      <c r="AT462" s="799"/>
      <c r="AU462" s="799"/>
      <c r="AV462" s="799"/>
      <c r="AW462" s="799"/>
      <c r="AX462" s="799"/>
      <c r="AY462" s="799"/>
      <c r="AZ462" s="799"/>
      <c r="BA462" s="799"/>
      <c r="BB462" s="799"/>
      <c r="BC462" s="799"/>
      <c r="BD462" s="799"/>
      <c r="BE462" s="799"/>
      <c r="BF462" s="799"/>
      <c r="BG462" s="799"/>
    </row>
    <row r="463">
      <c r="H463" s="799"/>
      <c r="I463" s="799"/>
      <c r="J463" s="799"/>
      <c r="K463" s="799"/>
      <c r="L463" s="799"/>
      <c r="M463" s="799"/>
      <c r="N463" s="799"/>
      <c r="O463" s="799"/>
      <c r="P463" s="799"/>
      <c r="Q463" s="799"/>
      <c r="R463" s="799"/>
      <c r="S463" s="799"/>
      <c r="T463" s="799"/>
      <c r="U463" s="799"/>
      <c r="V463" s="799"/>
      <c r="W463" s="799"/>
      <c r="X463" s="799"/>
      <c r="Y463" s="799"/>
      <c r="Z463" s="799"/>
      <c r="AA463" s="799"/>
      <c r="AB463" s="799"/>
      <c r="AC463" s="799"/>
      <c r="AD463" s="799"/>
      <c r="AE463" s="799"/>
      <c r="AF463" s="799"/>
      <c r="AG463" s="799"/>
      <c r="AH463" s="799"/>
      <c r="AI463" s="799"/>
      <c r="AJ463" s="799"/>
      <c r="AK463" s="799"/>
      <c r="AL463" s="799"/>
      <c r="AM463" s="799"/>
      <c r="AN463" s="799"/>
      <c r="AO463" s="799"/>
      <c r="AP463" s="799"/>
      <c r="AQ463" s="799"/>
      <c r="AR463" s="799"/>
      <c r="AS463" s="799"/>
      <c r="AT463" s="799"/>
      <c r="AU463" s="799"/>
      <c r="AV463" s="799"/>
      <c r="AW463" s="799"/>
      <c r="AX463" s="799"/>
      <c r="AY463" s="799"/>
      <c r="AZ463" s="799"/>
      <c r="BA463" s="799"/>
      <c r="BB463" s="799"/>
      <c r="BC463" s="799"/>
      <c r="BD463" s="799"/>
      <c r="BE463" s="799"/>
      <c r="BF463" s="799"/>
      <c r="BG463" s="799"/>
    </row>
    <row r="464">
      <c r="H464" s="799"/>
      <c r="I464" s="799"/>
      <c r="J464" s="799"/>
      <c r="K464" s="799"/>
      <c r="L464" s="799"/>
      <c r="M464" s="799"/>
      <c r="N464" s="799"/>
      <c r="O464" s="799"/>
      <c r="P464" s="799"/>
      <c r="Q464" s="799"/>
      <c r="R464" s="799"/>
      <c r="S464" s="799"/>
      <c r="T464" s="799"/>
      <c r="U464" s="799"/>
      <c r="V464" s="799"/>
      <c r="W464" s="799"/>
      <c r="X464" s="799"/>
      <c r="Y464" s="799"/>
      <c r="Z464" s="799"/>
      <c r="AA464" s="799"/>
      <c r="AB464" s="799"/>
      <c r="AC464" s="799"/>
      <c r="AD464" s="799"/>
      <c r="AE464" s="799"/>
      <c r="AF464" s="799"/>
      <c r="AG464" s="799"/>
      <c r="AH464" s="799"/>
      <c r="AI464" s="799"/>
      <c r="AJ464" s="799"/>
      <c r="AK464" s="799"/>
      <c r="AL464" s="799"/>
      <c r="AM464" s="799"/>
      <c r="AN464" s="799"/>
      <c r="AO464" s="799"/>
      <c r="AP464" s="799"/>
      <c r="AQ464" s="799"/>
      <c r="AR464" s="799"/>
      <c r="AS464" s="799"/>
      <c r="AT464" s="799"/>
      <c r="AU464" s="799"/>
      <c r="AV464" s="799"/>
      <c r="AW464" s="799"/>
      <c r="AX464" s="799"/>
      <c r="AY464" s="799"/>
      <c r="AZ464" s="799"/>
      <c r="BA464" s="799"/>
      <c r="BB464" s="799"/>
      <c r="BC464" s="799"/>
      <c r="BD464" s="799"/>
      <c r="BE464" s="799"/>
      <c r="BF464" s="799"/>
      <c r="BG464" s="799"/>
    </row>
    <row r="465">
      <c r="H465" s="799"/>
      <c r="I465" s="799"/>
      <c r="J465" s="799"/>
      <c r="K465" s="799"/>
      <c r="L465" s="799"/>
      <c r="M465" s="799"/>
      <c r="N465" s="799"/>
      <c r="O465" s="799"/>
      <c r="P465" s="799"/>
      <c r="Q465" s="799"/>
      <c r="R465" s="799"/>
      <c r="S465" s="799"/>
      <c r="T465" s="799"/>
      <c r="U465" s="799"/>
      <c r="V465" s="799"/>
      <c r="W465" s="799"/>
      <c r="X465" s="799"/>
      <c r="Y465" s="799"/>
      <c r="Z465" s="799"/>
      <c r="AA465" s="799"/>
      <c r="AB465" s="799"/>
      <c r="AC465" s="799"/>
      <c r="AD465" s="799"/>
      <c r="AE465" s="799"/>
      <c r="AF465" s="799"/>
      <c r="AG465" s="799"/>
      <c r="AH465" s="799"/>
      <c r="AI465" s="799"/>
      <c r="AJ465" s="799"/>
      <c r="AK465" s="799"/>
      <c r="AL465" s="799"/>
      <c r="AM465" s="799"/>
      <c r="AN465" s="799"/>
      <c r="AO465" s="799"/>
      <c r="AP465" s="799"/>
      <c r="AQ465" s="799"/>
      <c r="AR465" s="799"/>
      <c r="AS465" s="799"/>
      <c r="AT465" s="799"/>
      <c r="AU465" s="799"/>
      <c r="AV465" s="799"/>
      <c r="AW465" s="799"/>
      <c r="AX465" s="799"/>
      <c r="AY465" s="799"/>
      <c r="AZ465" s="799"/>
      <c r="BA465" s="799"/>
      <c r="BB465" s="799"/>
      <c r="BC465" s="799"/>
      <c r="BD465" s="799"/>
      <c r="BE465" s="799"/>
      <c r="BF465" s="799"/>
      <c r="BG465" s="799"/>
    </row>
    <row r="466">
      <c r="H466" s="799"/>
      <c r="I466" s="799"/>
      <c r="J466" s="799"/>
      <c r="K466" s="799"/>
      <c r="L466" s="799"/>
      <c r="M466" s="799"/>
      <c r="N466" s="799"/>
      <c r="O466" s="799"/>
      <c r="P466" s="799"/>
      <c r="Q466" s="799"/>
      <c r="R466" s="799"/>
      <c r="S466" s="799"/>
      <c r="T466" s="799"/>
      <c r="U466" s="799"/>
      <c r="V466" s="799"/>
      <c r="W466" s="799"/>
      <c r="X466" s="799"/>
      <c r="Y466" s="799"/>
      <c r="Z466" s="799"/>
      <c r="AA466" s="799"/>
      <c r="AB466" s="799"/>
      <c r="AC466" s="799"/>
      <c r="AD466" s="799"/>
      <c r="AE466" s="799"/>
      <c r="AF466" s="799"/>
      <c r="AG466" s="799"/>
      <c r="AH466" s="799"/>
      <c r="AI466" s="799"/>
      <c r="AJ466" s="799"/>
      <c r="AK466" s="799"/>
      <c r="AL466" s="799"/>
      <c r="AM466" s="799"/>
      <c r="AN466" s="799"/>
      <c r="AO466" s="799"/>
      <c r="AP466" s="799"/>
      <c r="AQ466" s="799"/>
      <c r="AR466" s="799"/>
      <c r="AS466" s="799"/>
      <c r="AT466" s="799"/>
      <c r="AU466" s="799"/>
      <c r="AV466" s="799"/>
      <c r="AW466" s="799"/>
      <c r="AX466" s="799"/>
      <c r="AY466" s="799"/>
      <c r="AZ466" s="799"/>
      <c r="BA466" s="799"/>
      <c r="BB466" s="799"/>
      <c r="BC466" s="799"/>
      <c r="BD466" s="799"/>
      <c r="BE466" s="799"/>
      <c r="BF466" s="799"/>
      <c r="BG466" s="799"/>
    </row>
    <row r="467">
      <c r="H467" s="799"/>
      <c r="I467" s="799"/>
      <c r="J467" s="799"/>
      <c r="K467" s="799"/>
      <c r="L467" s="799"/>
      <c r="M467" s="799"/>
      <c r="N467" s="799"/>
      <c r="O467" s="799"/>
      <c r="P467" s="799"/>
      <c r="Q467" s="799"/>
      <c r="R467" s="799"/>
      <c r="S467" s="799"/>
      <c r="T467" s="799"/>
      <c r="U467" s="799"/>
      <c r="V467" s="799"/>
      <c r="W467" s="799"/>
      <c r="X467" s="799"/>
      <c r="Y467" s="799"/>
      <c r="Z467" s="799"/>
      <c r="AA467" s="799"/>
      <c r="AB467" s="799"/>
      <c r="AC467" s="799"/>
      <c r="AD467" s="799"/>
      <c r="AE467" s="799"/>
      <c r="AF467" s="799"/>
      <c r="AG467" s="799"/>
      <c r="AH467" s="799"/>
      <c r="AI467" s="799"/>
      <c r="AJ467" s="799"/>
      <c r="AK467" s="799"/>
      <c r="AL467" s="799"/>
      <c r="AM467" s="799"/>
      <c r="AN467" s="799"/>
      <c r="AO467" s="799"/>
      <c r="AP467" s="799"/>
      <c r="AQ467" s="799"/>
      <c r="AR467" s="799"/>
      <c r="AS467" s="799"/>
      <c r="AT467" s="799"/>
      <c r="AU467" s="799"/>
      <c r="AV467" s="799"/>
      <c r="AW467" s="799"/>
      <c r="AX467" s="799"/>
      <c r="AY467" s="799"/>
      <c r="AZ467" s="799"/>
      <c r="BA467" s="799"/>
      <c r="BB467" s="799"/>
      <c r="BC467" s="799"/>
      <c r="BD467" s="799"/>
      <c r="BE467" s="799"/>
      <c r="BF467" s="799"/>
      <c r="BG467" s="799"/>
    </row>
    <row r="468">
      <c r="H468" s="799"/>
      <c r="I468" s="799"/>
      <c r="J468" s="799"/>
      <c r="K468" s="799"/>
      <c r="L468" s="799"/>
      <c r="M468" s="799"/>
      <c r="N468" s="799"/>
      <c r="O468" s="799"/>
      <c r="P468" s="799"/>
      <c r="Q468" s="799"/>
      <c r="R468" s="799"/>
      <c r="S468" s="799"/>
      <c r="T468" s="799"/>
      <c r="U468" s="799"/>
      <c r="V468" s="799"/>
      <c r="W468" s="799"/>
      <c r="X468" s="799"/>
      <c r="Y468" s="799"/>
      <c r="Z468" s="799"/>
      <c r="AA468" s="799"/>
      <c r="AB468" s="799"/>
      <c r="AC468" s="799"/>
      <c r="AD468" s="799"/>
      <c r="AE468" s="799"/>
      <c r="AF468" s="799"/>
      <c r="AG468" s="799"/>
      <c r="AH468" s="799"/>
      <c r="AI468" s="799"/>
      <c r="AJ468" s="799"/>
      <c r="AK468" s="799"/>
      <c r="AL468" s="799"/>
      <c r="AM468" s="799"/>
      <c r="AN468" s="799"/>
      <c r="AO468" s="799"/>
      <c r="AP468" s="799"/>
      <c r="AQ468" s="799"/>
      <c r="AR468" s="799"/>
      <c r="AS468" s="799"/>
      <c r="AT468" s="799"/>
      <c r="AU468" s="799"/>
      <c r="AV468" s="799"/>
      <c r="AW468" s="799"/>
      <c r="AX468" s="799"/>
      <c r="AY468" s="799"/>
      <c r="AZ468" s="799"/>
      <c r="BA468" s="799"/>
      <c r="BB468" s="799"/>
      <c r="BC468" s="799"/>
      <c r="BD468" s="799"/>
      <c r="BE468" s="799"/>
      <c r="BF468" s="799"/>
      <c r="BG468" s="799"/>
    </row>
    <row r="469">
      <c r="H469" s="799"/>
      <c r="I469" s="799"/>
      <c r="J469" s="799"/>
      <c r="K469" s="799"/>
      <c r="L469" s="799"/>
      <c r="M469" s="799"/>
      <c r="N469" s="799"/>
      <c r="O469" s="799"/>
      <c r="P469" s="799"/>
      <c r="Q469" s="799"/>
      <c r="R469" s="799"/>
      <c r="S469" s="799"/>
      <c r="T469" s="799"/>
      <c r="U469" s="799"/>
      <c r="V469" s="799"/>
      <c r="W469" s="799"/>
      <c r="X469" s="799"/>
      <c r="Y469" s="799"/>
      <c r="Z469" s="799"/>
      <c r="AA469" s="799"/>
      <c r="AB469" s="799"/>
      <c r="AC469" s="799"/>
      <c r="AD469" s="799"/>
      <c r="AE469" s="799"/>
      <c r="AF469" s="799"/>
      <c r="AG469" s="799"/>
      <c r="AH469" s="799"/>
      <c r="AI469" s="799"/>
      <c r="AJ469" s="799"/>
      <c r="AK469" s="799"/>
      <c r="AL469" s="799"/>
      <c r="AM469" s="799"/>
      <c r="AN469" s="799"/>
      <c r="AO469" s="799"/>
      <c r="AP469" s="799"/>
      <c r="AQ469" s="799"/>
      <c r="AR469" s="799"/>
      <c r="AS469" s="799"/>
      <c r="AT469" s="799"/>
      <c r="AU469" s="799"/>
      <c r="AV469" s="799"/>
      <c r="AW469" s="799"/>
      <c r="AX469" s="799"/>
      <c r="AY469" s="799"/>
      <c r="AZ469" s="799"/>
      <c r="BA469" s="799"/>
      <c r="BB469" s="799"/>
      <c r="BC469" s="799"/>
      <c r="BD469" s="799"/>
      <c r="BE469" s="799"/>
      <c r="BF469" s="799"/>
      <c r="BG469" s="799"/>
    </row>
    <row r="470">
      <c r="H470" s="799"/>
      <c r="I470" s="799"/>
      <c r="J470" s="799"/>
      <c r="K470" s="799"/>
      <c r="L470" s="799"/>
      <c r="M470" s="799"/>
      <c r="N470" s="799"/>
      <c r="O470" s="799"/>
      <c r="P470" s="799"/>
      <c r="Q470" s="799"/>
      <c r="R470" s="799"/>
      <c r="S470" s="799"/>
      <c r="T470" s="799"/>
      <c r="U470" s="799"/>
      <c r="V470" s="799"/>
      <c r="W470" s="799"/>
      <c r="X470" s="799"/>
      <c r="Y470" s="799"/>
      <c r="Z470" s="799"/>
      <c r="AA470" s="799"/>
      <c r="AB470" s="799"/>
      <c r="AC470" s="799"/>
      <c r="AD470" s="799"/>
      <c r="AE470" s="799"/>
      <c r="AF470" s="799"/>
      <c r="AG470" s="799"/>
      <c r="AH470" s="799"/>
      <c r="AI470" s="799"/>
      <c r="AJ470" s="799"/>
      <c r="AK470" s="799"/>
      <c r="AL470" s="799"/>
      <c r="AM470" s="799"/>
      <c r="AN470" s="799"/>
      <c r="AO470" s="799"/>
      <c r="AP470" s="799"/>
      <c r="AQ470" s="799"/>
      <c r="AR470" s="799"/>
      <c r="AS470" s="799"/>
      <c r="AT470" s="799"/>
      <c r="AU470" s="799"/>
      <c r="AV470" s="799"/>
      <c r="AW470" s="799"/>
      <c r="AX470" s="799"/>
      <c r="AY470" s="799"/>
      <c r="AZ470" s="799"/>
      <c r="BA470" s="799"/>
      <c r="BB470" s="799"/>
      <c r="BC470" s="799"/>
      <c r="BD470" s="799"/>
      <c r="BE470" s="799"/>
      <c r="BF470" s="799"/>
      <c r="BG470" s="799"/>
    </row>
    <row r="471">
      <c r="H471" s="799"/>
      <c r="I471" s="799"/>
      <c r="J471" s="799"/>
      <c r="K471" s="799"/>
      <c r="L471" s="799"/>
      <c r="M471" s="799"/>
      <c r="N471" s="799"/>
      <c r="O471" s="799"/>
      <c r="P471" s="799"/>
      <c r="Q471" s="799"/>
      <c r="R471" s="799"/>
      <c r="S471" s="799"/>
      <c r="T471" s="799"/>
      <c r="U471" s="799"/>
      <c r="V471" s="799"/>
      <c r="W471" s="799"/>
      <c r="X471" s="799"/>
      <c r="Y471" s="799"/>
      <c r="Z471" s="799"/>
      <c r="AA471" s="799"/>
      <c r="AB471" s="799"/>
      <c r="AC471" s="799"/>
      <c r="AD471" s="799"/>
      <c r="AE471" s="799"/>
      <c r="AF471" s="799"/>
      <c r="AG471" s="799"/>
      <c r="AH471" s="799"/>
      <c r="AI471" s="799"/>
      <c r="AJ471" s="799"/>
      <c r="AK471" s="799"/>
      <c r="AL471" s="799"/>
      <c r="AM471" s="799"/>
      <c r="AN471" s="799"/>
      <c r="AO471" s="799"/>
      <c r="AP471" s="799"/>
      <c r="AQ471" s="799"/>
      <c r="AR471" s="799"/>
      <c r="AS471" s="799"/>
      <c r="AT471" s="799"/>
      <c r="AU471" s="799"/>
      <c r="AV471" s="799"/>
      <c r="AW471" s="799"/>
      <c r="AX471" s="799"/>
      <c r="AY471" s="799"/>
      <c r="AZ471" s="799"/>
      <c r="BA471" s="799"/>
      <c r="BB471" s="799"/>
      <c r="BC471" s="799"/>
      <c r="BD471" s="799"/>
      <c r="BE471" s="799"/>
      <c r="BF471" s="799"/>
      <c r="BG471" s="799"/>
    </row>
    <row r="472">
      <c r="H472" s="799"/>
      <c r="I472" s="799"/>
      <c r="J472" s="799"/>
      <c r="K472" s="799"/>
      <c r="L472" s="799"/>
      <c r="M472" s="799"/>
      <c r="N472" s="799"/>
      <c r="O472" s="799"/>
      <c r="P472" s="799"/>
      <c r="Q472" s="799"/>
      <c r="R472" s="799"/>
      <c r="S472" s="799"/>
      <c r="T472" s="799"/>
      <c r="U472" s="799"/>
      <c r="V472" s="799"/>
      <c r="W472" s="799"/>
      <c r="X472" s="799"/>
      <c r="Y472" s="799"/>
      <c r="Z472" s="799"/>
      <c r="AA472" s="799"/>
      <c r="AB472" s="799"/>
      <c r="AC472" s="799"/>
      <c r="AD472" s="799"/>
      <c r="AE472" s="799"/>
      <c r="AF472" s="799"/>
      <c r="AG472" s="799"/>
      <c r="AH472" s="799"/>
      <c r="AI472" s="799"/>
      <c r="AJ472" s="799"/>
      <c r="AK472" s="799"/>
      <c r="AL472" s="799"/>
      <c r="AM472" s="799"/>
      <c r="AN472" s="799"/>
      <c r="AO472" s="799"/>
      <c r="AP472" s="799"/>
      <c r="AQ472" s="799"/>
      <c r="AR472" s="799"/>
      <c r="AS472" s="799"/>
      <c r="AT472" s="799"/>
      <c r="AU472" s="799"/>
      <c r="AV472" s="799"/>
      <c r="AW472" s="799"/>
      <c r="AX472" s="799"/>
      <c r="AY472" s="799"/>
      <c r="AZ472" s="799"/>
      <c r="BA472" s="799"/>
      <c r="BB472" s="799"/>
      <c r="BC472" s="799"/>
      <c r="BD472" s="799"/>
      <c r="BE472" s="799"/>
      <c r="BF472" s="799"/>
      <c r="BG472" s="799"/>
    </row>
    <row r="473">
      <c r="H473" s="799"/>
      <c r="I473" s="799"/>
      <c r="J473" s="799"/>
      <c r="K473" s="799"/>
      <c r="L473" s="799"/>
      <c r="M473" s="799"/>
      <c r="N473" s="799"/>
      <c r="O473" s="799"/>
      <c r="P473" s="799"/>
      <c r="Q473" s="799"/>
      <c r="R473" s="799"/>
      <c r="S473" s="799"/>
      <c r="T473" s="799"/>
      <c r="U473" s="799"/>
      <c r="V473" s="799"/>
      <c r="W473" s="799"/>
      <c r="X473" s="799"/>
      <c r="Y473" s="799"/>
      <c r="Z473" s="799"/>
      <c r="AA473" s="799"/>
      <c r="AB473" s="799"/>
      <c r="AC473" s="799"/>
      <c r="AD473" s="799"/>
      <c r="AE473" s="799"/>
      <c r="AF473" s="799"/>
      <c r="AG473" s="799"/>
      <c r="AH473" s="799"/>
      <c r="AI473" s="799"/>
      <c r="AJ473" s="799"/>
      <c r="AK473" s="799"/>
      <c r="AL473" s="799"/>
      <c r="AM473" s="799"/>
      <c r="AN473" s="799"/>
      <c r="AO473" s="799"/>
      <c r="AP473" s="799"/>
      <c r="AQ473" s="799"/>
      <c r="AR473" s="799"/>
      <c r="AS473" s="799"/>
      <c r="AT473" s="799"/>
      <c r="AU473" s="799"/>
      <c r="AV473" s="799"/>
      <c r="AW473" s="799"/>
      <c r="AX473" s="799"/>
      <c r="AY473" s="799"/>
      <c r="AZ473" s="799"/>
      <c r="BA473" s="799"/>
      <c r="BB473" s="799"/>
      <c r="BC473" s="799"/>
      <c r="BD473" s="799"/>
      <c r="BE473" s="799"/>
      <c r="BF473" s="799"/>
      <c r="BG473" s="799"/>
    </row>
    <row r="474">
      <c r="H474" s="799"/>
      <c r="I474" s="799"/>
      <c r="J474" s="799"/>
      <c r="K474" s="799"/>
      <c r="L474" s="799"/>
      <c r="M474" s="799"/>
      <c r="N474" s="799"/>
      <c r="O474" s="799"/>
      <c r="P474" s="799"/>
      <c r="Q474" s="799"/>
      <c r="R474" s="799"/>
      <c r="S474" s="799"/>
      <c r="T474" s="799"/>
      <c r="U474" s="799"/>
      <c r="V474" s="799"/>
      <c r="W474" s="799"/>
      <c r="X474" s="799"/>
      <c r="Y474" s="799"/>
      <c r="Z474" s="799"/>
      <c r="AA474" s="799"/>
      <c r="AB474" s="799"/>
      <c r="AC474" s="799"/>
      <c r="AD474" s="799"/>
      <c r="AE474" s="799"/>
      <c r="AF474" s="799"/>
      <c r="AG474" s="799"/>
      <c r="AH474" s="799"/>
      <c r="AI474" s="799"/>
      <c r="AJ474" s="799"/>
      <c r="AK474" s="799"/>
      <c r="AL474" s="799"/>
      <c r="AM474" s="799"/>
      <c r="AN474" s="799"/>
      <c r="AO474" s="799"/>
      <c r="AP474" s="799"/>
      <c r="AQ474" s="799"/>
      <c r="AR474" s="799"/>
      <c r="AS474" s="799"/>
      <c r="AT474" s="799"/>
      <c r="AU474" s="799"/>
      <c r="AV474" s="799"/>
      <c r="AW474" s="799"/>
      <c r="AX474" s="799"/>
      <c r="AY474" s="799"/>
      <c r="AZ474" s="799"/>
      <c r="BA474" s="799"/>
      <c r="BB474" s="799"/>
      <c r="BC474" s="799"/>
      <c r="BD474" s="799"/>
      <c r="BE474" s="799"/>
      <c r="BF474" s="799"/>
      <c r="BG474" s="799"/>
    </row>
    <row r="475">
      <c r="H475" s="799"/>
      <c r="I475" s="799"/>
      <c r="J475" s="799"/>
      <c r="K475" s="799"/>
      <c r="L475" s="799"/>
      <c r="M475" s="799"/>
      <c r="N475" s="799"/>
      <c r="O475" s="799"/>
      <c r="P475" s="799"/>
      <c r="Q475" s="799"/>
      <c r="R475" s="799"/>
      <c r="S475" s="799"/>
      <c r="T475" s="799"/>
      <c r="U475" s="799"/>
      <c r="V475" s="799"/>
      <c r="W475" s="799"/>
      <c r="X475" s="799"/>
      <c r="Y475" s="799"/>
      <c r="Z475" s="799"/>
      <c r="AA475" s="799"/>
      <c r="AB475" s="799"/>
      <c r="AC475" s="799"/>
      <c r="AD475" s="799"/>
      <c r="AE475" s="799"/>
      <c r="AF475" s="799"/>
      <c r="AG475" s="799"/>
      <c r="AH475" s="799"/>
      <c r="AI475" s="799"/>
      <c r="AJ475" s="799"/>
      <c r="AK475" s="799"/>
      <c r="AL475" s="799"/>
      <c r="AM475" s="799"/>
      <c r="AN475" s="799"/>
      <c r="AO475" s="799"/>
      <c r="AP475" s="799"/>
      <c r="AQ475" s="799"/>
      <c r="AR475" s="799"/>
      <c r="AS475" s="799"/>
      <c r="AT475" s="799"/>
      <c r="AU475" s="799"/>
      <c r="AV475" s="799"/>
      <c r="AW475" s="799"/>
      <c r="AX475" s="799"/>
      <c r="AY475" s="799"/>
      <c r="AZ475" s="799"/>
      <c r="BA475" s="799"/>
      <c r="BB475" s="799"/>
      <c r="BC475" s="799"/>
      <c r="BD475" s="799"/>
      <c r="BE475" s="799"/>
      <c r="BF475" s="799"/>
      <c r="BG475" s="799"/>
    </row>
    <row r="476">
      <c r="H476" s="799"/>
      <c r="I476" s="799"/>
      <c r="J476" s="799"/>
      <c r="K476" s="799"/>
      <c r="L476" s="799"/>
      <c r="M476" s="799"/>
      <c r="N476" s="799"/>
      <c r="O476" s="799"/>
      <c r="P476" s="799"/>
      <c r="Q476" s="799"/>
      <c r="R476" s="799"/>
      <c r="S476" s="799"/>
      <c r="T476" s="799"/>
      <c r="U476" s="799"/>
      <c r="V476" s="799"/>
      <c r="W476" s="799"/>
      <c r="X476" s="799"/>
      <c r="Y476" s="799"/>
      <c r="Z476" s="799"/>
      <c r="AA476" s="799"/>
      <c r="AB476" s="799"/>
      <c r="AC476" s="799"/>
      <c r="AD476" s="799"/>
      <c r="AE476" s="799"/>
      <c r="AF476" s="799"/>
      <c r="AG476" s="799"/>
      <c r="AH476" s="799"/>
      <c r="AI476" s="799"/>
      <c r="AJ476" s="799"/>
      <c r="AK476" s="799"/>
      <c r="AL476" s="799"/>
      <c r="AM476" s="799"/>
      <c r="AN476" s="799"/>
      <c r="AO476" s="799"/>
      <c r="AP476" s="799"/>
      <c r="AQ476" s="799"/>
      <c r="AR476" s="799"/>
      <c r="AS476" s="799"/>
      <c r="AT476" s="799"/>
      <c r="AU476" s="799"/>
      <c r="AV476" s="799"/>
      <c r="AW476" s="799"/>
      <c r="AX476" s="799"/>
      <c r="AY476" s="799"/>
      <c r="AZ476" s="799"/>
      <c r="BA476" s="799"/>
      <c r="BB476" s="799"/>
      <c r="BC476" s="799"/>
      <c r="BD476" s="799"/>
      <c r="BE476" s="799"/>
      <c r="BF476" s="799"/>
      <c r="BG476" s="799"/>
    </row>
    <row r="477">
      <c r="H477" s="799"/>
      <c r="I477" s="799"/>
      <c r="J477" s="799"/>
      <c r="K477" s="799"/>
      <c r="L477" s="799"/>
      <c r="M477" s="799"/>
      <c r="N477" s="799"/>
      <c r="O477" s="799"/>
      <c r="P477" s="799"/>
      <c r="Q477" s="799"/>
      <c r="R477" s="799"/>
      <c r="S477" s="799"/>
      <c r="T477" s="799"/>
      <c r="U477" s="799"/>
      <c r="V477" s="799"/>
      <c r="W477" s="799"/>
      <c r="X477" s="799"/>
      <c r="Y477" s="799"/>
      <c r="Z477" s="799"/>
      <c r="AA477" s="799"/>
      <c r="AB477" s="799"/>
      <c r="AC477" s="799"/>
      <c r="AD477" s="799"/>
      <c r="AE477" s="799"/>
      <c r="AF477" s="799"/>
      <c r="AG477" s="799"/>
      <c r="AH477" s="799"/>
      <c r="AI477" s="799"/>
      <c r="AJ477" s="799"/>
      <c r="AK477" s="799"/>
      <c r="AL477" s="799"/>
      <c r="AM477" s="799"/>
      <c r="AN477" s="799"/>
      <c r="AO477" s="799"/>
      <c r="AP477" s="799"/>
      <c r="AQ477" s="799"/>
      <c r="AR477" s="799"/>
      <c r="AS477" s="799"/>
      <c r="AT477" s="799"/>
      <c r="AU477" s="799"/>
      <c r="AV477" s="799"/>
      <c r="AW477" s="799"/>
      <c r="AX477" s="799"/>
      <c r="AY477" s="799"/>
      <c r="AZ477" s="799"/>
      <c r="BA477" s="799"/>
      <c r="BB477" s="799"/>
      <c r="BC477" s="799"/>
      <c r="BD477" s="799"/>
      <c r="BE477" s="799"/>
      <c r="BF477" s="799"/>
      <c r="BG477" s="799"/>
    </row>
    <row r="478">
      <c r="H478" s="799"/>
      <c r="I478" s="799"/>
      <c r="J478" s="799"/>
      <c r="K478" s="799"/>
      <c r="L478" s="799"/>
      <c r="M478" s="799"/>
      <c r="N478" s="799"/>
      <c r="O478" s="799"/>
      <c r="P478" s="799"/>
      <c r="Q478" s="799"/>
      <c r="R478" s="799"/>
      <c r="S478" s="799"/>
      <c r="T478" s="799"/>
      <c r="U478" s="799"/>
      <c r="V478" s="799"/>
      <c r="W478" s="799"/>
      <c r="X478" s="799"/>
      <c r="Y478" s="799"/>
      <c r="Z478" s="799"/>
      <c r="AA478" s="799"/>
      <c r="AB478" s="799"/>
      <c r="AC478" s="799"/>
      <c r="AD478" s="799"/>
      <c r="AE478" s="799"/>
      <c r="AF478" s="799"/>
      <c r="AG478" s="799"/>
      <c r="AH478" s="799"/>
      <c r="AI478" s="799"/>
      <c r="AJ478" s="799"/>
      <c r="AK478" s="799"/>
      <c r="AL478" s="799"/>
      <c r="AM478" s="799"/>
      <c r="AN478" s="799"/>
      <c r="AO478" s="799"/>
      <c r="AP478" s="799"/>
      <c r="AQ478" s="799"/>
      <c r="AR478" s="799"/>
      <c r="AS478" s="799"/>
      <c r="AT478" s="799"/>
      <c r="AU478" s="799"/>
      <c r="AV478" s="799"/>
      <c r="AW478" s="799"/>
      <c r="AX478" s="799"/>
      <c r="AY478" s="799"/>
      <c r="AZ478" s="799"/>
      <c r="BA478" s="799"/>
      <c r="BB478" s="799"/>
      <c r="BC478" s="799"/>
      <c r="BD478" s="799"/>
      <c r="BE478" s="799"/>
      <c r="BF478" s="799"/>
      <c r="BG478" s="799"/>
    </row>
    <row r="479">
      <c r="H479" s="799"/>
      <c r="I479" s="799"/>
      <c r="J479" s="799"/>
      <c r="K479" s="799"/>
      <c r="L479" s="799"/>
      <c r="M479" s="799"/>
      <c r="N479" s="799"/>
      <c r="O479" s="799"/>
      <c r="P479" s="799"/>
      <c r="Q479" s="799"/>
      <c r="R479" s="799"/>
      <c r="S479" s="799"/>
      <c r="T479" s="799"/>
      <c r="U479" s="799"/>
      <c r="V479" s="799"/>
      <c r="W479" s="799"/>
      <c r="X479" s="799"/>
      <c r="Y479" s="799"/>
      <c r="Z479" s="799"/>
      <c r="AA479" s="799"/>
      <c r="AB479" s="799"/>
      <c r="AC479" s="799"/>
      <c r="AD479" s="799"/>
      <c r="AE479" s="799"/>
      <c r="AF479" s="799"/>
      <c r="AG479" s="799"/>
      <c r="AH479" s="799"/>
      <c r="AI479" s="799"/>
      <c r="AJ479" s="799"/>
      <c r="AK479" s="799"/>
      <c r="AL479" s="799"/>
      <c r="AM479" s="799"/>
      <c r="AN479" s="799"/>
      <c r="AO479" s="799"/>
      <c r="AP479" s="799"/>
      <c r="AQ479" s="799"/>
      <c r="AR479" s="799"/>
      <c r="AS479" s="799"/>
      <c r="AT479" s="799"/>
      <c r="AU479" s="799"/>
      <c r="AV479" s="799"/>
      <c r="AW479" s="799"/>
      <c r="AX479" s="799"/>
      <c r="AY479" s="799"/>
      <c r="AZ479" s="799"/>
      <c r="BA479" s="799"/>
      <c r="BB479" s="799"/>
      <c r="BC479" s="799"/>
      <c r="BD479" s="799"/>
      <c r="BE479" s="799"/>
      <c r="BF479" s="799"/>
      <c r="BG479" s="799"/>
    </row>
    <row r="480">
      <c r="H480" s="799"/>
      <c r="I480" s="799"/>
      <c r="J480" s="799"/>
      <c r="K480" s="799"/>
      <c r="L480" s="799"/>
      <c r="M480" s="799"/>
      <c r="N480" s="799"/>
      <c r="O480" s="799"/>
      <c r="P480" s="799"/>
      <c r="Q480" s="799"/>
      <c r="R480" s="799"/>
      <c r="S480" s="799"/>
      <c r="T480" s="799"/>
      <c r="U480" s="799"/>
      <c r="V480" s="799"/>
      <c r="W480" s="799"/>
      <c r="X480" s="799"/>
      <c r="Y480" s="799"/>
      <c r="Z480" s="799"/>
      <c r="AA480" s="799"/>
      <c r="AB480" s="799"/>
      <c r="AC480" s="799"/>
      <c r="AD480" s="799"/>
      <c r="AE480" s="799"/>
      <c r="AF480" s="799"/>
      <c r="AG480" s="799"/>
      <c r="AH480" s="799"/>
      <c r="AI480" s="799"/>
      <c r="AJ480" s="799"/>
      <c r="AK480" s="799"/>
      <c r="AL480" s="799"/>
      <c r="AM480" s="799"/>
      <c r="AN480" s="799"/>
      <c r="AO480" s="799"/>
      <c r="AP480" s="799"/>
      <c r="AQ480" s="799"/>
      <c r="AR480" s="799"/>
      <c r="AS480" s="799"/>
      <c r="AT480" s="799"/>
      <c r="AU480" s="799"/>
      <c r="AV480" s="799"/>
      <c r="AW480" s="799"/>
      <c r="AX480" s="799"/>
      <c r="AY480" s="799"/>
      <c r="AZ480" s="799"/>
      <c r="BA480" s="799"/>
      <c r="BB480" s="799"/>
      <c r="BC480" s="799"/>
      <c r="BD480" s="799"/>
      <c r="BE480" s="799"/>
      <c r="BF480" s="799"/>
      <c r="BG480" s="799"/>
    </row>
    <row r="481">
      <c r="H481" s="799"/>
      <c r="I481" s="799"/>
      <c r="J481" s="799"/>
      <c r="K481" s="799"/>
      <c r="L481" s="799"/>
      <c r="M481" s="799"/>
      <c r="N481" s="799"/>
      <c r="O481" s="799"/>
      <c r="P481" s="799"/>
      <c r="Q481" s="799"/>
      <c r="R481" s="799"/>
      <c r="S481" s="799"/>
      <c r="T481" s="799"/>
      <c r="U481" s="799"/>
      <c r="V481" s="799"/>
      <c r="W481" s="799"/>
      <c r="X481" s="799"/>
      <c r="Y481" s="799"/>
      <c r="Z481" s="799"/>
      <c r="AA481" s="799"/>
      <c r="AB481" s="799"/>
      <c r="AC481" s="799"/>
      <c r="AD481" s="799"/>
      <c r="AE481" s="799"/>
      <c r="AF481" s="799"/>
      <c r="AG481" s="799"/>
      <c r="AH481" s="799"/>
      <c r="AI481" s="799"/>
      <c r="AJ481" s="799"/>
      <c r="AK481" s="799"/>
      <c r="AL481" s="799"/>
      <c r="AM481" s="799"/>
      <c r="AN481" s="799"/>
      <c r="AO481" s="799"/>
      <c r="AP481" s="799"/>
      <c r="AQ481" s="799"/>
      <c r="AR481" s="799"/>
      <c r="AS481" s="799"/>
      <c r="AT481" s="799"/>
      <c r="AU481" s="799"/>
      <c r="AV481" s="799"/>
      <c r="AW481" s="799"/>
      <c r="AX481" s="799"/>
      <c r="AY481" s="799"/>
      <c r="AZ481" s="799"/>
      <c r="BA481" s="799"/>
      <c r="BB481" s="799"/>
      <c r="BC481" s="799"/>
      <c r="BD481" s="799"/>
      <c r="BE481" s="799"/>
      <c r="BF481" s="799"/>
      <c r="BG481" s="799"/>
    </row>
    <row r="482">
      <c r="H482" s="799"/>
      <c r="I482" s="799"/>
      <c r="J482" s="799"/>
      <c r="K482" s="799"/>
      <c r="L482" s="799"/>
      <c r="M482" s="799"/>
      <c r="N482" s="799"/>
      <c r="O482" s="799"/>
      <c r="P482" s="799"/>
      <c r="Q482" s="799"/>
      <c r="R482" s="799"/>
      <c r="S482" s="799"/>
      <c r="T482" s="799"/>
      <c r="U482" s="799"/>
      <c r="V482" s="799"/>
      <c r="W482" s="799"/>
      <c r="X482" s="799"/>
      <c r="Y482" s="799"/>
      <c r="Z482" s="799"/>
      <c r="AA482" s="799"/>
      <c r="AB482" s="799"/>
      <c r="AC482" s="799"/>
      <c r="AD482" s="799"/>
      <c r="AE482" s="799"/>
      <c r="AF482" s="799"/>
      <c r="AG482" s="799"/>
      <c r="AH482" s="799"/>
      <c r="AI482" s="799"/>
      <c r="AJ482" s="799"/>
      <c r="AK482" s="799"/>
      <c r="AL482" s="799"/>
      <c r="AM482" s="799"/>
      <c r="AN482" s="799"/>
      <c r="AO482" s="799"/>
      <c r="AP482" s="799"/>
      <c r="AQ482" s="799"/>
      <c r="AR482" s="799"/>
      <c r="AS482" s="799"/>
      <c r="AT482" s="799"/>
      <c r="AU482" s="799"/>
      <c r="AV482" s="799"/>
      <c r="AW482" s="799"/>
      <c r="AX482" s="799"/>
      <c r="AY482" s="799"/>
      <c r="AZ482" s="799"/>
      <c r="BA482" s="799"/>
      <c r="BB482" s="799"/>
      <c r="BC482" s="799"/>
      <c r="BD482" s="799"/>
      <c r="BE482" s="799"/>
      <c r="BF482" s="799"/>
      <c r="BG482" s="799"/>
    </row>
    <row r="483">
      <c r="H483" s="799"/>
      <c r="I483" s="799"/>
      <c r="J483" s="799"/>
      <c r="K483" s="799"/>
      <c r="L483" s="799"/>
      <c r="M483" s="799"/>
      <c r="N483" s="799"/>
      <c r="O483" s="799"/>
      <c r="P483" s="799"/>
      <c r="Q483" s="799"/>
      <c r="R483" s="799"/>
      <c r="S483" s="799"/>
      <c r="T483" s="799"/>
      <c r="U483" s="799"/>
      <c r="V483" s="799"/>
      <c r="W483" s="799"/>
      <c r="X483" s="799"/>
      <c r="Y483" s="799"/>
      <c r="Z483" s="799"/>
      <c r="AA483" s="799"/>
      <c r="AB483" s="799"/>
      <c r="AC483" s="799"/>
      <c r="AD483" s="799"/>
      <c r="AE483" s="799"/>
      <c r="AF483" s="799"/>
      <c r="AG483" s="799"/>
      <c r="AH483" s="799"/>
      <c r="AI483" s="799"/>
      <c r="AJ483" s="799"/>
      <c r="AK483" s="799"/>
      <c r="AL483" s="799"/>
      <c r="AM483" s="799"/>
      <c r="AN483" s="799"/>
      <c r="AO483" s="799"/>
      <c r="AP483" s="799"/>
      <c r="AQ483" s="799"/>
      <c r="AR483" s="799"/>
      <c r="AS483" s="799"/>
      <c r="AT483" s="799"/>
      <c r="AU483" s="799"/>
      <c r="AV483" s="799"/>
      <c r="AW483" s="799"/>
      <c r="AX483" s="799"/>
      <c r="AY483" s="799"/>
      <c r="AZ483" s="799"/>
      <c r="BA483" s="799"/>
      <c r="BB483" s="799"/>
      <c r="BC483" s="799"/>
      <c r="BD483" s="799"/>
      <c r="BE483" s="799"/>
      <c r="BF483" s="799"/>
      <c r="BG483" s="799"/>
    </row>
    <row r="484">
      <c r="H484" s="799"/>
      <c r="I484" s="799"/>
      <c r="J484" s="799"/>
      <c r="K484" s="799"/>
      <c r="L484" s="799"/>
      <c r="M484" s="799"/>
      <c r="N484" s="799"/>
      <c r="O484" s="799"/>
      <c r="P484" s="799"/>
      <c r="Q484" s="799"/>
      <c r="R484" s="799"/>
      <c r="S484" s="799"/>
      <c r="T484" s="799"/>
      <c r="U484" s="799"/>
      <c r="V484" s="799"/>
      <c r="W484" s="799"/>
      <c r="X484" s="799"/>
      <c r="Y484" s="799"/>
      <c r="Z484" s="799"/>
      <c r="AA484" s="799"/>
      <c r="AB484" s="799"/>
      <c r="AC484" s="799"/>
      <c r="AD484" s="799"/>
      <c r="AE484" s="799"/>
      <c r="AF484" s="799"/>
      <c r="AG484" s="799"/>
      <c r="AH484" s="799"/>
      <c r="AI484" s="799"/>
      <c r="AJ484" s="799"/>
      <c r="AK484" s="799"/>
      <c r="AL484" s="799"/>
      <c r="AM484" s="799"/>
      <c r="AN484" s="799"/>
      <c r="AO484" s="799"/>
      <c r="AP484" s="799"/>
      <c r="AQ484" s="799"/>
      <c r="AR484" s="799"/>
      <c r="AS484" s="799"/>
      <c r="AT484" s="799"/>
      <c r="AU484" s="799"/>
      <c r="AV484" s="799"/>
      <c r="AW484" s="799"/>
      <c r="AX484" s="799"/>
      <c r="AY484" s="799"/>
      <c r="AZ484" s="799"/>
      <c r="BA484" s="799"/>
      <c r="BB484" s="799"/>
      <c r="BC484" s="799"/>
      <c r="BD484" s="799"/>
      <c r="BE484" s="799"/>
      <c r="BF484" s="799"/>
      <c r="BG484" s="799"/>
    </row>
    <row r="485">
      <c r="H485" s="799"/>
      <c r="I485" s="799"/>
      <c r="J485" s="799"/>
      <c r="K485" s="799"/>
      <c r="L485" s="799"/>
      <c r="M485" s="799"/>
      <c r="N485" s="799"/>
      <c r="O485" s="799"/>
      <c r="P485" s="799"/>
      <c r="Q485" s="799"/>
      <c r="R485" s="799"/>
      <c r="S485" s="799"/>
      <c r="T485" s="799"/>
      <c r="U485" s="799"/>
      <c r="V485" s="799"/>
      <c r="W485" s="799"/>
      <c r="X485" s="799"/>
      <c r="Y485" s="799"/>
      <c r="Z485" s="799"/>
      <c r="AA485" s="799"/>
      <c r="AB485" s="799"/>
      <c r="AC485" s="799"/>
      <c r="AD485" s="799"/>
      <c r="AE485" s="799"/>
      <c r="AF485" s="799"/>
      <c r="AG485" s="799"/>
      <c r="AH485" s="799"/>
      <c r="AI485" s="799"/>
      <c r="AJ485" s="799"/>
      <c r="AK485" s="799"/>
      <c r="AL485" s="799"/>
      <c r="AM485" s="799"/>
      <c r="AN485" s="799"/>
      <c r="AO485" s="799"/>
      <c r="AP485" s="799"/>
      <c r="AQ485" s="799"/>
      <c r="AR485" s="799"/>
      <c r="AS485" s="799"/>
      <c r="AT485" s="799"/>
      <c r="AU485" s="799"/>
      <c r="AV485" s="799"/>
      <c r="AW485" s="799"/>
      <c r="AX485" s="799"/>
      <c r="AY485" s="799"/>
      <c r="AZ485" s="799"/>
      <c r="BA485" s="799"/>
      <c r="BB485" s="799"/>
      <c r="BC485" s="799"/>
      <c r="BD485" s="799"/>
      <c r="BE485" s="799"/>
      <c r="BF485" s="799"/>
      <c r="BG485" s="799"/>
    </row>
    <row r="486">
      <c r="H486" s="799"/>
      <c r="I486" s="799"/>
      <c r="J486" s="799"/>
      <c r="K486" s="799"/>
      <c r="L486" s="799"/>
      <c r="M486" s="799"/>
      <c r="N486" s="799"/>
      <c r="O486" s="799"/>
      <c r="P486" s="799"/>
      <c r="Q486" s="799"/>
      <c r="R486" s="799"/>
      <c r="S486" s="799"/>
      <c r="T486" s="799"/>
      <c r="U486" s="799"/>
      <c r="V486" s="799"/>
      <c r="W486" s="799"/>
      <c r="X486" s="799"/>
      <c r="Y486" s="799"/>
      <c r="Z486" s="799"/>
      <c r="AA486" s="799"/>
      <c r="AB486" s="799"/>
      <c r="AC486" s="799"/>
      <c r="AD486" s="799"/>
      <c r="AE486" s="799"/>
      <c r="AF486" s="799"/>
      <c r="AG486" s="799"/>
      <c r="AH486" s="799"/>
      <c r="AI486" s="799"/>
      <c r="AJ486" s="799"/>
      <c r="AK486" s="799"/>
      <c r="AL486" s="799"/>
      <c r="AM486" s="799"/>
      <c r="AN486" s="799"/>
      <c r="AO486" s="799"/>
      <c r="AP486" s="799"/>
      <c r="AQ486" s="799"/>
      <c r="AR486" s="799"/>
      <c r="AS486" s="799"/>
      <c r="AT486" s="799"/>
      <c r="AU486" s="799"/>
      <c r="AV486" s="799"/>
      <c r="AW486" s="799"/>
      <c r="AX486" s="799"/>
      <c r="AY486" s="799"/>
      <c r="AZ486" s="799"/>
      <c r="BA486" s="799"/>
      <c r="BB486" s="799"/>
      <c r="BC486" s="799"/>
      <c r="BD486" s="799"/>
      <c r="BE486" s="799"/>
      <c r="BF486" s="799"/>
      <c r="BG486" s="799"/>
    </row>
    <row r="487">
      <c r="H487" s="799"/>
      <c r="I487" s="799"/>
      <c r="J487" s="799"/>
      <c r="K487" s="799"/>
      <c r="L487" s="799"/>
      <c r="M487" s="799"/>
      <c r="N487" s="799"/>
      <c r="O487" s="799"/>
      <c r="P487" s="799"/>
      <c r="Q487" s="799"/>
      <c r="R487" s="799"/>
      <c r="S487" s="799"/>
      <c r="T487" s="799"/>
      <c r="U487" s="799"/>
      <c r="V487" s="799"/>
      <c r="W487" s="799"/>
      <c r="X487" s="799"/>
      <c r="Y487" s="799"/>
      <c r="Z487" s="799"/>
      <c r="AA487" s="799"/>
      <c r="AB487" s="799"/>
      <c r="AC487" s="799"/>
      <c r="AD487" s="799"/>
      <c r="AE487" s="799"/>
      <c r="AF487" s="799"/>
      <c r="AG487" s="799"/>
      <c r="AH487" s="799"/>
      <c r="AI487" s="799"/>
      <c r="AJ487" s="799"/>
      <c r="AK487" s="799"/>
      <c r="AL487" s="799"/>
      <c r="AM487" s="799"/>
      <c r="AN487" s="799"/>
      <c r="AO487" s="799"/>
      <c r="AP487" s="799"/>
      <c r="AQ487" s="799"/>
      <c r="AR487" s="799"/>
      <c r="AS487" s="799"/>
      <c r="AT487" s="799"/>
      <c r="AU487" s="799"/>
      <c r="AV487" s="799"/>
      <c r="AW487" s="799"/>
      <c r="AX487" s="799"/>
      <c r="AY487" s="799"/>
      <c r="AZ487" s="799"/>
      <c r="BA487" s="799"/>
      <c r="BB487" s="799"/>
      <c r="BC487" s="799"/>
      <c r="BD487" s="799"/>
      <c r="BE487" s="799"/>
      <c r="BF487" s="799"/>
      <c r="BG487" s="799"/>
    </row>
    <row r="488">
      <c r="H488" s="799"/>
      <c r="I488" s="799"/>
      <c r="J488" s="799"/>
      <c r="K488" s="799"/>
      <c r="L488" s="799"/>
      <c r="M488" s="799"/>
      <c r="N488" s="799"/>
      <c r="O488" s="799"/>
      <c r="P488" s="799"/>
      <c r="Q488" s="799"/>
      <c r="R488" s="799"/>
      <c r="S488" s="799"/>
      <c r="T488" s="799"/>
      <c r="U488" s="799"/>
      <c r="V488" s="799"/>
      <c r="W488" s="799"/>
      <c r="X488" s="799"/>
      <c r="Y488" s="799"/>
      <c r="Z488" s="799"/>
      <c r="AA488" s="799"/>
      <c r="AB488" s="799"/>
      <c r="AC488" s="799"/>
      <c r="AD488" s="799"/>
      <c r="AE488" s="799"/>
      <c r="AF488" s="799"/>
      <c r="AG488" s="799"/>
      <c r="AH488" s="799"/>
      <c r="AI488" s="799"/>
      <c r="AJ488" s="799"/>
      <c r="AK488" s="799"/>
      <c r="AL488" s="799"/>
      <c r="AM488" s="799"/>
      <c r="AN488" s="799"/>
      <c r="AO488" s="799"/>
      <c r="AP488" s="799"/>
      <c r="AQ488" s="799"/>
      <c r="AR488" s="799"/>
      <c r="AS488" s="799"/>
      <c r="AT488" s="799"/>
      <c r="AU488" s="799"/>
      <c r="AV488" s="799"/>
      <c r="AW488" s="799"/>
      <c r="AX488" s="799"/>
      <c r="AY488" s="799"/>
      <c r="AZ488" s="799"/>
      <c r="BA488" s="799"/>
      <c r="BB488" s="799"/>
      <c r="BC488" s="799"/>
      <c r="BD488" s="799"/>
      <c r="BE488" s="799"/>
      <c r="BF488" s="799"/>
      <c r="BG488" s="799"/>
    </row>
    <row r="489">
      <c r="H489" s="799"/>
      <c r="I489" s="799"/>
      <c r="J489" s="799"/>
      <c r="K489" s="799"/>
      <c r="L489" s="799"/>
      <c r="M489" s="799"/>
      <c r="N489" s="799"/>
      <c r="O489" s="799"/>
      <c r="P489" s="799"/>
      <c r="Q489" s="799"/>
      <c r="R489" s="799"/>
      <c r="S489" s="799"/>
      <c r="T489" s="799"/>
      <c r="U489" s="799"/>
      <c r="V489" s="799"/>
      <c r="W489" s="799"/>
      <c r="X489" s="799"/>
      <c r="Y489" s="799"/>
      <c r="Z489" s="799"/>
      <c r="AA489" s="799"/>
      <c r="AB489" s="799"/>
      <c r="AC489" s="799"/>
      <c r="AD489" s="799"/>
      <c r="AE489" s="799"/>
      <c r="AF489" s="799"/>
      <c r="AG489" s="799"/>
      <c r="AH489" s="799"/>
      <c r="AI489" s="799"/>
      <c r="AJ489" s="799"/>
      <c r="AK489" s="799"/>
      <c r="AL489" s="799"/>
      <c r="AM489" s="799"/>
      <c r="AN489" s="799"/>
      <c r="AO489" s="799"/>
      <c r="AP489" s="799"/>
      <c r="AQ489" s="799"/>
      <c r="AR489" s="799"/>
      <c r="AS489" s="799"/>
      <c r="AT489" s="799"/>
      <c r="AU489" s="799"/>
      <c r="AV489" s="799"/>
      <c r="AW489" s="799"/>
      <c r="AX489" s="799"/>
      <c r="AY489" s="799"/>
      <c r="AZ489" s="799"/>
      <c r="BA489" s="799"/>
      <c r="BB489" s="799"/>
      <c r="BC489" s="799"/>
      <c r="BD489" s="799"/>
      <c r="BE489" s="799"/>
      <c r="BF489" s="799"/>
      <c r="BG489" s="799"/>
    </row>
    <row r="490">
      <c r="H490" s="799"/>
      <c r="I490" s="799"/>
      <c r="J490" s="799"/>
      <c r="K490" s="799"/>
      <c r="L490" s="799"/>
      <c r="M490" s="799"/>
      <c r="N490" s="799"/>
      <c r="O490" s="799"/>
      <c r="P490" s="799"/>
      <c r="Q490" s="799"/>
      <c r="R490" s="799"/>
      <c r="S490" s="799"/>
      <c r="T490" s="799"/>
      <c r="U490" s="799"/>
      <c r="V490" s="799"/>
      <c r="W490" s="799"/>
      <c r="X490" s="799"/>
      <c r="Y490" s="799"/>
      <c r="Z490" s="799"/>
      <c r="AA490" s="799"/>
      <c r="AB490" s="799"/>
      <c r="AC490" s="799"/>
      <c r="AD490" s="799"/>
      <c r="AE490" s="799"/>
      <c r="AF490" s="799"/>
      <c r="AG490" s="799"/>
      <c r="AH490" s="799"/>
      <c r="AI490" s="799"/>
      <c r="AJ490" s="799"/>
      <c r="AK490" s="799"/>
      <c r="AL490" s="799"/>
      <c r="AM490" s="799"/>
      <c r="AN490" s="799"/>
      <c r="AO490" s="799"/>
      <c r="AP490" s="799"/>
      <c r="AQ490" s="799"/>
      <c r="AR490" s="799"/>
      <c r="AS490" s="799"/>
      <c r="AT490" s="799"/>
      <c r="AU490" s="799"/>
      <c r="AV490" s="799"/>
      <c r="AW490" s="799"/>
      <c r="AX490" s="799"/>
      <c r="AY490" s="799"/>
      <c r="AZ490" s="799"/>
      <c r="BA490" s="799"/>
      <c r="BB490" s="799"/>
      <c r="BC490" s="799"/>
      <c r="BD490" s="799"/>
      <c r="BE490" s="799"/>
      <c r="BF490" s="799"/>
      <c r="BG490" s="799"/>
    </row>
    <row r="491">
      <c r="H491" s="799"/>
      <c r="I491" s="799"/>
      <c r="J491" s="799"/>
      <c r="K491" s="799"/>
      <c r="L491" s="799"/>
      <c r="M491" s="799"/>
      <c r="N491" s="799"/>
      <c r="O491" s="799"/>
      <c r="P491" s="799"/>
      <c r="Q491" s="799"/>
      <c r="R491" s="799"/>
      <c r="S491" s="799"/>
      <c r="T491" s="799"/>
      <c r="U491" s="799"/>
      <c r="V491" s="799"/>
      <c r="W491" s="799"/>
      <c r="X491" s="799"/>
      <c r="Y491" s="799"/>
      <c r="Z491" s="799"/>
      <c r="AA491" s="799"/>
      <c r="AB491" s="799"/>
      <c r="AC491" s="799"/>
      <c r="AD491" s="799"/>
      <c r="AE491" s="799"/>
      <c r="AF491" s="799"/>
      <c r="AG491" s="799"/>
      <c r="AH491" s="799"/>
      <c r="AI491" s="799"/>
      <c r="AJ491" s="799"/>
      <c r="AK491" s="799"/>
      <c r="AL491" s="799"/>
      <c r="AM491" s="799"/>
      <c r="AN491" s="799"/>
      <c r="AO491" s="799"/>
      <c r="AP491" s="799"/>
      <c r="AQ491" s="799"/>
      <c r="AR491" s="799"/>
      <c r="AS491" s="799"/>
      <c r="AT491" s="799"/>
      <c r="AU491" s="799"/>
      <c r="AV491" s="799"/>
      <c r="AW491" s="799"/>
      <c r="AX491" s="799"/>
      <c r="AY491" s="799"/>
      <c r="AZ491" s="799"/>
      <c r="BA491" s="799"/>
      <c r="BB491" s="799"/>
      <c r="BC491" s="799"/>
      <c r="BD491" s="799"/>
      <c r="BE491" s="799"/>
      <c r="BF491" s="799"/>
      <c r="BG491" s="799"/>
    </row>
    <row r="492">
      <c r="H492" s="799"/>
      <c r="I492" s="799"/>
      <c r="J492" s="799"/>
      <c r="K492" s="799"/>
      <c r="L492" s="799"/>
      <c r="M492" s="799"/>
      <c r="N492" s="799"/>
      <c r="O492" s="799"/>
      <c r="P492" s="799"/>
      <c r="Q492" s="799"/>
      <c r="R492" s="799"/>
      <c r="S492" s="799"/>
      <c r="T492" s="799"/>
      <c r="U492" s="799"/>
      <c r="V492" s="799"/>
      <c r="W492" s="799"/>
      <c r="X492" s="799"/>
      <c r="Y492" s="799"/>
      <c r="Z492" s="799"/>
      <c r="AA492" s="799"/>
      <c r="AB492" s="799"/>
      <c r="AC492" s="799"/>
      <c r="AD492" s="799"/>
      <c r="AE492" s="799"/>
      <c r="AF492" s="799"/>
      <c r="AG492" s="799"/>
      <c r="AH492" s="799"/>
      <c r="AI492" s="799"/>
      <c r="AJ492" s="799"/>
      <c r="AK492" s="799"/>
      <c r="AL492" s="799"/>
      <c r="AM492" s="799"/>
      <c r="AN492" s="799"/>
      <c r="AO492" s="799"/>
      <c r="AP492" s="799"/>
      <c r="AQ492" s="799"/>
      <c r="AR492" s="799"/>
      <c r="AS492" s="799"/>
      <c r="AT492" s="799"/>
      <c r="AU492" s="799"/>
      <c r="AV492" s="799"/>
      <c r="AW492" s="799"/>
      <c r="AX492" s="799"/>
      <c r="AY492" s="799"/>
      <c r="AZ492" s="799"/>
      <c r="BA492" s="799"/>
      <c r="BB492" s="799"/>
      <c r="BC492" s="799"/>
      <c r="BD492" s="799"/>
      <c r="BE492" s="799"/>
      <c r="BF492" s="799"/>
      <c r="BG492" s="799"/>
    </row>
    <row r="493">
      <c r="H493" s="799"/>
      <c r="I493" s="799"/>
      <c r="J493" s="799"/>
      <c r="K493" s="799"/>
      <c r="L493" s="799"/>
      <c r="M493" s="799"/>
      <c r="N493" s="799"/>
      <c r="O493" s="799"/>
      <c r="P493" s="799"/>
      <c r="Q493" s="799"/>
      <c r="R493" s="799"/>
      <c r="S493" s="799"/>
      <c r="T493" s="799"/>
      <c r="U493" s="799"/>
      <c r="V493" s="799"/>
      <c r="W493" s="799"/>
      <c r="X493" s="799"/>
      <c r="Y493" s="799"/>
      <c r="Z493" s="799"/>
      <c r="AA493" s="799"/>
      <c r="AB493" s="799"/>
      <c r="AC493" s="799"/>
      <c r="AD493" s="799"/>
      <c r="AE493" s="799"/>
      <c r="AF493" s="799"/>
      <c r="AG493" s="799"/>
      <c r="AH493" s="799"/>
      <c r="AI493" s="799"/>
      <c r="AJ493" s="799"/>
      <c r="AK493" s="799"/>
      <c r="AL493" s="799"/>
      <c r="AM493" s="799"/>
      <c r="AN493" s="799"/>
      <c r="AO493" s="799"/>
      <c r="AP493" s="799"/>
      <c r="AQ493" s="799"/>
      <c r="AR493" s="799"/>
      <c r="AS493" s="799"/>
      <c r="AT493" s="799"/>
      <c r="AU493" s="799"/>
      <c r="AV493" s="799"/>
      <c r="AW493" s="799"/>
      <c r="AX493" s="799"/>
      <c r="AY493" s="799"/>
      <c r="AZ493" s="799"/>
      <c r="BA493" s="799"/>
      <c r="BB493" s="799"/>
      <c r="BC493" s="799"/>
      <c r="BD493" s="799"/>
      <c r="BE493" s="799"/>
      <c r="BF493" s="799"/>
      <c r="BG493" s="799"/>
    </row>
    <row r="494">
      <c r="H494" s="799"/>
      <c r="I494" s="799"/>
      <c r="J494" s="799"/>
      <c r="K494" s="799"/>
      <c r="L494" s="799"/>
      <c r="M494" s="799"/>
      <c r="N494" s="799"/>
      <c r="O494" s="799"/>
      <c r="P494" s="799"/>
      <c r="Q494" s="799"/>
      <c r="R494" s="799"/>
      <c r="S494" s="799"/>
      <c r="T494" s="799"/>
      <c r="U494" s="799"/>
      <c r="V494" s="799"/>
      <c r="W494" s="799"/>
      <c r="X494" s="799"/>
      <c r="Y494" s="799"/>
      <c r="Z494" s="799"/>
      <c r="AA494" s="799"/>
      <c r="AB494" s="799"/>
      <c r="AC494" s="799"/>
      <c r="AD494" s="799"/>
      <c r="AE494" s="799"/>
      <c r="AF494" s="799"/>
      <c r="AG494" s="799"/>
      <c r="AH494" s="799"/>
      <c r="AI494" s="799"/>
      <c r="AJ494" s="799"/>
      <c r="AK494" s="799"/>
      <c r="AL494" s="799"/>
      <c r="AM494" s="799"/>
      <c r="AN494" s="799"/>
      <c r="AO494" s="799"/>
      <c r="AP494" s="799"/>
      <c r="AQ494" s="799"/>
      <c r="AR494" s="799"/>
      <c r="AS494" s="799"/>
      <c r="AT494" s="799"/>
      <c r="AU494" s="799"/>
      <c r="AV494" s="799"/>
      <c r="AW494" s="799"/>
      <c r="AX494" s="799"/>
      <c r="AY494" s="799"/>
      <c r="AZ494" s="799"/>
      <c r="BA494" s="799"/>
      <c r="BB494" s="799"/>
      <c r="BC494" s="799"/>
      <c r="BD494" s="799"/>
      <c r="BE494" s="799"/>
      <c r="BF494" s="799"/>
      <c r="BG494" s="799"/>
    </row>
    <row r="495">
      <c r="H495" s="799"/>
      <c r="I495" s="799"/>
      <c r="J495" s="799"/>
      <c r="K495" s="799"/>
      <c r="L495" s="799"/>
      <c r="M495" s="799"/>
      <c r="N495" s="799"/>
      <c r="O495" s="799"/>
      <c r="P495" s="799"/>
      <c r="Q495" s="799"/>
      <c r="R495" s="799"/>
      <c r="S495" s="799"/>
      <c r="T495" s="799"/>
      <c r="U495" s="799"/>
      <c r="V495" s="799"/>
      <c r="W495" s="799"/>
      <c r="X495" s="799"/>
      <c r="Y495" s="799"/>
      <c r="Z495" s="799"/>
      <c r="AA495" s="799"/>
      <c r="AB495" s="799"/>
      <c r="AC495" s="799"/>
      <c r="AD495" s="799"/>
      <c r="AE495" s="799"/>
      <c r="AF495" s="799"/>
      <c r="AG495" s="799"/>
      <c r="AH495" s="799"/>
      <c r="AI495" s="799"/>
      <c r="AJ495" s="799"/>
      <c r="AK495" s="799"/>
      <c r="AL495" s="799"/>
      <c r="AM495" s="799"/>
      <c r="AN495" s="799"/>
      <c r="AO495" s="799"/>
      <c r="AP495" s="799"/>
      <c r="AQ495" s="799"/>
      <c r="AR495" s="799"/>
      <c r="AS495" s="799"/>
      <c r="AT495" s="799"/>
      <c r="AU495" s="799"/>
      <c r="AV495" s="799"/>
      <c r="AW495" s="799"/>
      <c r="AX495" s="799"/>
      <c r="AY495" s="799"/>
      <c r="AZ495" s="799"/>
      <c r="BA495" s="799"/>
      <c r="BB495" s="799"/>
      <c r="BC495" s="799"/>
      <c r="BD495" s="799"/>
      <c r="BE495" s="799"/>
      <c r="BF495" s="799"/>
      <c r="BG495" s="799"/>
    </row>
    <row r="496">
      <c r="H496" s="799"/>
      <c r="I496" s="799"/>
      <c r="J496" s="799"/>
      <c r="K496" s="799"/>
      <c r="L496" s="799"/>
      <c r="M496" s="799"/>
      <c r="N496" s="799"/>
      <c r="O496" s="799"/>
      <c r="P496" s="799"/>
      <c r="Q496" s="799"/>
      <c r="R496" s="799"/>
      <c r="S496" s="799"/>
      <c r="T496" s="799"/>
      <c r="U496" s="799"/>
      <c r="V496" s="799"/>
      <c r="W496" s="799"/>
      <c r="X496" s="799"/>
      <c r="Y496" s="799"/>
      <c r="Z496" s="799"/>
      <c r="AA496" s="799"/>
      <c r="AB496" s="799"/>
      <c r="AC496" s="799"/>
      <c r="AD496" s="799"/>
      <c r="AE496" s="799"/>
      <c r="AF496" s="799"/>
      <c r="AG496" s="799"/>
      <c r="AH496" s="799"/>
      <c r="AI496" s="799"/>
      <c r="AJ496" s="799"/>
      <c r="AK496" s="799"/>
      <c r="AL496" s="799"/>
      <c r="AM496" s="799"/>
      <c r="AN496" s="799"/>
      <c r="AO496" s="799"/>
      <c r="AP496" s="799"/>
      <c r="AQ496" s="799"/>
      <c r="AR496" s="799"/>
      <c r="AS496" s="799"/>
      <c r="AT496" s="799"/>
      <c r="AU496" s="799"/>
      <c r="AV496" s="799"/>
      <c r="AW496" s="799"/>
      <c r="AX496" s="799"/>
      <c r="AY496" s="799"/>
      <c r="AZ496" s="799"/>
      <c r="BA496" s="799"/>
      <c r="BB496" s="799"/>
      <c r="BC496" s="799"/>
      <c r="BD496" s="799"/>
      <c r="BE496" s="799"/>
      <c r="BF496" s="799"/>
      <c r="BG496" s="799"/>
    </row>
    <row r="497">
      <c r="H497" s="799"/>
      <c r="I497" s="799"/>
      <c r="J497" s="799"/>
      <c r="K497" s="799"/>
      <c r="L497" s="799"/>
      <c r="M497" s="799"/>
      <c r="N497" s="799"/>
      <c r="O497" s="799"/>
      <c r="P497" s="799"/>
      <c r="Q497" s="799"/>
      <c r="R497" s="799"/>
      <c r="S497" s="799"/>
      <c r="T497" s="799"/>
      <c r="U497" s="799"/>
      <c r="V497" s="799"/>
      <c r="W497" s="799"/>
      <c r="X497" s="799"/>
      <c r="Y497" s="799"/>
      <c r="Z497" s="799"/>
      <c r="AA497" s="799"/>
      <c r="AB497" s="799"/>
      <c r="AC497" s="799"/>
      <c r="AD497" s="799"/>
      <c r="AE497" s="799"/>
      <c r="AF497" s="799"/>
      <c r="AG497" s="799"/>
      <c r="AH497" s="799"/>
      <c r="AI497" s="799"/>
      <c r="AJ497" s="799"/>
      <c r="AK497" s="799"/>
      <c r="AL497" s="799"/>
      <c r="AM497" s="799"/>
      <c r="AN497" s="799"/>
      <c r="AO497" s="799"/>
      <c r="AP497" s="799"/>
      <c r="AQ497" s="799"/>
      <c r="AR497" s="799"/>
      <c r="AS497" s="799"/>
      <c r="AT497" s="799"/>
      <c r="AU497" s="799"/>
      <c r="AV497" s="799"/>
      <c r="AW497" s="799"/>
      <c r="AX497" s="799"/>
      <c r="AY497" s="799"/>
      <c r="AZ497" s="799"/>
      <c r="BA497" s="799"/>
      <c r="BB497" s="799"/>
      <c r="BC497" s="799"/>
      <c r="BD497" s="799"/>
      <c r="BE497" s="799"/>
      <c r="BF497" s="799"/>
      <c r="BG497" s="799"/>
    </row>
    <row r="498">
      <c r="H498" s="799"/>
      <c r="I498" s="799"/>
      <c r="J498" s="799"/>
      <c r="K498" s="799"/>
      <c r="L498" s="799"/>
      <c r="M498" s="799"/>
      <c r="N498" s="799"/>
      <c r="O498" s="799"/>
      <c r="P498" s="799"/>
      <c r="Q498" s="799"/>
      <c r="R498" s="799"/>
      <c r="S498" s="799"/>
      <c r="T498" s="799"/>
      <c r="U498" s="799"/>
      <c r="V498" s="799"/>
      <c r="W498" s="799"/>
      <c r="X498" s="799"/>
      <c r="Y498" s="799"/>
      <c r="Z498" s="799"/>
      <c r="AA498" s="799"/>
      <c r="AB498" s="799"/>
      <c r="AC498" s="799"/>
      <c r="AD498" s="799"/>
      <c r="AE498" s="799"/>
      <c r="AF498" s="799"/>
      <c r="AG498" s="799"/>
      <c r="AH498" s="799"/>
      <c r="AI498" s="799"/>
      <c r="AJ498" s="799"/>
      <c r="AK498" s="799"/>
      <c r="AL498" s="799"/>
      <c r="AM498" s="799"/>
      <c r="AN498" s="799"/>
      <c r="AO498" s="799"/>
      <c r="AP498" s="799"/>
      <c r="AQ498" s="799"/>
      <c r="AR498" s="799"/>
      <c r="AS498" s="799"/>
      <c r="AT498" s="799"/>
      <c r="AU498" s="799"/>
      <c r="AV498" s="799"/>
      <c r="AW498" s="799"/>
      <c r="AX498" s="799"/>
      <c r="AY498" s="799"/>
      <c r="AZ498" s="799"/>
      <c r="BA498" s="799"/>
      <c r="BB498" s="799"/>
      <c r="BC498" s="799"/>
      <c r="BD498" s="799"/>
      <c r="BE498" s="799"/>
      <c r="BF498" s="799"/>
      <c r="BG498" s="799"/>
    </row>
    <row r="499">
      <c r="H499" s="799"/>
      <c r="I499" s="799"/>
      <c r="J499" s="799"/>
      <c r="K499" s="799"/>
      <c r="L499" s="799"/>
      <c r="M499" s="799"/>
      <c r="N499" s="799"/>
      <c r="O499" s="799"/>
      <c r="P499" s="799"/>
      <c r="Q499" s="799"/>
      <c r="R499" s="799"/>
      <c r="S499" s="799"/>
      <c r="T499" s="799"/>
      <c r="U499" s="799"/>
      <c r="V499" s="799"/>
      <c r="W499" s="799"/>
      <c r="X499" s="799"/>
      <c r="Y499" s="799"/>
      <c r="Z499" s="799"/>
      <c r="AA499" s="799"/>
      <c r="AB499" s="799"/>
      <c r="AC499" s="799"/>
      <c r="AD499" s="799"/>
      <c r="AE499" s="799"/>
      <c r="AF499" s="799"/>
      <c r="AG499" s="799"/>
      <c r="AH499" s="799"/>
      <c r="AI499" s="799"/>
      <c r="AJ499" s="799"/>
      <c r="AK499" s="799"/>
      <c r="AL499" s="799"/>
      <c r="AM499" s="799"/>
      <c r="AN499" s="799"/>
      <c r="AO499" s="799"/>
      <c r="AP499" s="799"/>
      <c r="AQ499" s="799"/>
      <c r="AR499" s="799"/>
      <c r="AS499" s="799"/>
      <c r="AT499" s="799"/>
      <c r="AU499" s="799"/>
      <c r="AV499" s="799"/>
      <c r="AW499" s="799"/>
      <c r="AX499" s="799"/>
      <c r="AY499" s="799"/>
      <c r="AZ499" s="799"/>
      <c r="BA499" s="799"/>
      <c r="BB499" s="799"/>
      <c r="BC499" s="799"/>
      <c r="BD499" s="799"/>
      <c r="BE499" s="799"/>
      <c r="BF499" s="799"/>
      <c r="BG499" s="799"/>
    </row>
    <row r="500">
      <c r="H500" s="799"/>
      <c r="I500" s="799"/>
      <c r="J500" s="799"/>
      <c r="K500" s="799"/>
      <c r="L500" s="799"/>
      <c r="M500" s="799"/>
      <c r="N500" s="799"/>
      <c r="O500" s="799"/>
      <c r="P500" s="799"/>
      <c r="Q500" s="799"/>
      <c r="R500" s="799"/>
      <c r="S500" s="799"/>
      <c r="T500" s="799"/>
      <c r="U500" s="799"/>
      <c r="V500" s="799"/>
      <c r="W500" s="799"/>
      <c r="X500" s="799"/>
      <c r="Y500" s="799"/>
      <c r="Z500" s="799"/>
      <c r="AA500" s="799"/>
      <c r="AB500" s="799"/>
      <c r="AC500" s="799"/>
      <c r="AD500" s="799"/>
      <c r="AE500" s="799"/>
      <c r="AF500" s="799"/>
      <c r="AG500" s="799"/>
      <c r="AH500" s="799"/>
      <c r="AI500" s="799"/>
      <c r="AJ500" s="799"/>
      <c r="AK500" s="799"/>
      <c r="AL500" s="799"/>
      <c r="AM500" s="799"/>
      <c r="AN500" s="799"/>
      <c r="AO500" s="799"/>
      <c r="AP500" s="799"/>
      <c r="AQ500" s="799"/>
      <c r="AR500" s="799"/>
      <c r="AS500" s="799"/>
      <c r="AT500" s="799"/>
      <c r="AU500" s="799"/>
      <c r="AV500" s="799"/>
      <c r="AW500" s="799"/>
      <c r="AX500" s="799"/>
      <c r="AY500" s="799"/>
      <c r="AZ500" s="799"/>
      <c r="BA500" s="799"/>
      <c r="BB500" s="799"/>
      <c r="BC500" s="799"/>
      <c r="BD500" s="799"/>
      <c r="BE500" s="799"/>
      <c r="BF500" s="799"/>
      <c r="BG500" s="799"/>
    </row>
    <row r="501">
      <c r="H501" s="799"/>
      <c r="I501" s="799"/>
      <c r="J501" s="799"/>
      <c r="K501" s="799"/>
      <c r="L501" s="799"/>
      <c r="M501" s="799"/>
      <c r="N501" s="799"/>
      <c r="O501" s="799"/>
      <c r="P501" s="799"/>
      <c r="Q501" s="799"/>
      <c r="R501" s="799"/>
      <c r="S501" s="799"/>
      <c r="T501" s="799"/>
      <c r="U501" s="799"/>
      <c r="V501" s="799"/>
      <c r="W501" s="799"/>
      <c r="X501" s="799"/>
      <c r="Y501" s="799"/>
      <c r="Z501" s="799"/>
      <c r="AA501" s="799"/>
      <c r="AB501" s="799"/>
      <c r="AC501" s="799"/>
      <c r="AD501" s="799"/>
      <c r="AE501" s="799"/>
      <c r="AF501" s="799"/>
      <c r="AG501" s="799"/>
      <c r="AH501" s="799"/>
      <c r="AI501" s="799"/>
      <c r="AJ501" s="799"/>
      <c r="AK501" s="799"/>
      <c r="AL501" s="799"/>
      <c r="AM501" s="799"/>
      <c r="AN501" s="799"/>
      <c r="AO501" s="799"/>
      <c r="AP501" s="799"/>
      <c r="AQ501" s="799"/>
      <c r="AR501" s="799"/>
      <c r="AS501" s="799"/>
      <c r="AT501" s="799"/>
      <c r="AU501" s="799"/>
      <c r="AV501" s="799"/>
      <c r="AW501" s="799"/>
      <c r="AX501" s="799"/>
      <c r="AY501" s="799"/>
      <c r="AZ501" s="799"/>
      <c r="BA501" s="799"/>
      <c r="BB501" s="799"/>
      <c r="BC501" s="799"/>
      <c r="BD501" s="799"/>
      <c r="BE501" s="799"/>
      <c r="BF501" s="799"/>
      <c r="BG501" s="799"/>
    </row>
    <row r="502">
      <c r="H502" s="799"/>
      <c r="I502" s="799"/>
      <c r="J502" s="799"/>
      <c r="K502" s="799"/>
      <c r="L502" s="799"/>
      <c r="M502" s="799"/>
      <c r="N502" s="799"/>
      <c r="O502" s="799"/>
      <c r="P502" s="799"/>
      <c r="Q502" s="799"/>
      <c r="R502" s="799"/>
      <c r="S502" s="799"/>
      <c r="T502" s="799"/>
      <c r="U502" s="799"/>
      <c r="V502" s="799"/>
      <c r="W502" s="799"/>
      <c r="X502" s="799"/>
      <c r="Y502" s="799"/>
      <c r="Z502" s="799"/>
      <c r="AA502" s="799"/>
      <c r="AB502" s="799"/>
      <c r="AC502" s="799"/>
      <c r="AD502" s="799"/>
      <c r="AE502" s="799"/>
      <c r="AF502" s="799"/>
      <c r="AG502" s="799"/>
      <c r="AH502" s="799"/>
      <c r="AI502" s="799"/>
      <c r="AJ502" s="799"/>
      <c r="AK502" s="799"/>
      <c r="AL502" s="799"/>
      <c r="AM502" s="799"/>
      <c r="AN502" s="799"/>
      <c r="AO502" s="799"/>
      <c r="AP502" s="799"/>
      <c r="AQ502" s="799"/>
      <c r="AR502" s="799"/>
      <c r="AS502" s="799"/>
      <c r="AT502" s="799"/>
      <c r="AU502" s="799"/>
      <c r="AV502" s="799"/>
      <c r="AW502" s="799"/>
      <c r="AX502" s="799"/>
      <c r="AY502" s="799"/>
      <c r="AZ502" s="799"/>
      <c r="BA502" s="799"/>
      <c r="BB502" s="799"/>
      <c r="BC502" s="799"/>
      <c r="BD502" s="799"/>
      <c r="BE502" s="799"/>
      <c r="BF502" s="799"/>
      <c r="BG502" s="799"/>
    </row>
    <row r="503">
      <c r="H503" s="799"/>
      <c r="I503" s="799"/>
      <c r="J503" s="799"/>
      <c r="K503" s="799"/>
      <c r="L503" s="799"/>
      <c r="M503" s="799"/>
      <c r="N503" s="799"/>
      <c r="O503" s="799"/>
      <c r="P503" s="799"/>
      <c r="Q503" s="799"/>
      <c r="R503" s="799"/>
      <c r="S503" s="799"/>
      <c r="T503" s="799"/>
      <c r="U503" s="799"/>
      <c r="V503" s="799"/>
      <c r="W503" s="799"/>
      <c r="X503" s="799"/>
      <c r="Y503" s="799"/>
      <c r="Z503" s="799"/>
      <c r="AA503" s="799"/>
      <c r="AB503" s="799"/>
      <c r="AC503" s="799"/>
      <c r="AD503" s="799"/>
      <c r="AE503" s="799"/>
      <c r="AF503" s="799"/>
      <c r="AG503" s="799"/>
      <c r="AH503" s="799"/>
      <c r="AI503" s="799"/>
      <c r="AJ503" s="799"/>
      <c r="AK503" s="799"/>
      <c r="AL503" s="799"/>
      <c r="AM503" s="799"/>
      <c r="AN503" s="799"/>
      <c r="AO503" s="799"/>
      <c r="AP503" s="799"/>
      <c r="AQ503" s="799"/>
      <c r="AR503" s="799"/>
      <c r="AS503" s="799"/>
      <c r="AT503" s="799"/>
      <c r="AU503" s="799"/>
      <c r="AV503" s="799"/>
      <c r="AW503" s="799"/>
      <c r="AX503" s="799"/>
      <c r="AY503" s="799"/>
      <c r="AZ503" s="799"/>
      <c r="BA503" s="799"/>
      <c r="BB503" s="799"/>
      <c r="BC503" s="799"/>
      <c r="BD503" s="799"/>
      <c r="BE503" s="799"/>
      <c r="BF503" s="799"/>
      <c r="BG503" s="799"/>
    </row>
    <row r="504">
      <c r="H504" s="799"/>
      <c r="I504" s="799"/>
      <c r="J504" s="799"/>
      <c r="K504" s="799"/>
      <c r="L504" s="799"/>
      <c r="M504" s="799"/>
      <c r="N504" s="799"/>
      <c r="O504" s="799"/>
      <c r="P504" s="799"/>
      <c r="Q504" s="799"/>
      <c r="R504" s="799"/>
      <c r="S504" s="799"/>
      <c r="T504" s="799"/>
      <c r="U504" s="799"/>
      <c r="V504" s="799"/>
      <c r="W504" s="799"/>
      <c r="X504" s="799"/>
      <c r="Y504" s="799"/>
      <c r="Z504" s="799"/>
      <c r="AA504" s="799"/>
      <c r="AB504" s="799"/>
      <c r="AC504" s="799"/>
      <c r="AD504" s="799"/>
      <c r="AE504" s="799"/>
      <c r="AF504" s="799"/>
      <c r="AG504" s="799"/>
      <c r="AH504" s="799"/>
      <c r="AI504" s="799"/>
      <c r="AJ504" s="799"/>
      <c r="AK504" s="799"/>
      <c r="AL504" s="799"/>
      <c r="AM504" s="799"/>
      <c r="AN504" s="799"/>
      <c r="AO504" s="799"/>
      <c r="AP504" s="799"/>
      <c r="AQ504" s="799"/>
      <c r="AR504" s="799"/>
      <c r="AS504" s="799"/>
      <c r="AT504" s="799"/>
      <c r="AU504" s="799"/>
      <c r="AV504" s="799"/>
      <c r="AW504" s="799"/>
      <c r="AX504" s="799"/>
      <c r="AY504" s="799"/>
      <c r="AZ504" s="799"/>
      <c r="BA504" s="799"/>
      <c r="BB504" s="799"/>
      <c r="BC504" s="799"/>
      <c r="BD504" s="799"/>
      <c r="BE504" s="799"/>
      <c r="BF504" s="799"/>
      <c r="BG504" s="799"/>
    </row>
    <row r="505">
      <c r="H505" s="799"/>
      <c r="I505" s="799"/>
      <c r="J505" s="799"/>
      <c r="K505" s="799"/>
      <c r="L505" s="799"/>
      <c r="M505" s="799"/>
      <c r="N505" s="799"/>
      <c r="O505" s="799"/>
      <c r="P505" s="799"/>
      <c r="Q505" s="799"/>
      <c r="R505" s="799"/>
      <c r="S505" s="799"/>
      <c r="T505" s="799"/>
      <c r="U505" s="799"/>
      <c r="V505" s="799"/>
      <c r="W505" s="799"/>
      <c r="X505" s="799"/>
      <c r="Y505" s="799"/>
      <c r="Z505" s="799"/>
      <c r="AA505" s="799"/>
      <c r="AB505" s="799"/>
      <c r="AC505" s="799"/>
      <c r="AD505" s="799"/>
      <c r="AE505" s="799"/>
      <c r="AF505" s="799"/>
      <c r="AG505" s="799"/>
      <c r="AH505" s="799"/>
      <c r="AI505" s="799"/>
      <c r="AJ505" s="799"/>
      <c r="AK505" s="799"/>
      <c r="AL505" s="799"/>
      <c r="AM505" s="799"/>
      <c r="AN505" s="799"/>
      <c r="AO505" s="799"/>
      <c r="AP505" s="799"/>
      <c r="AQ505" s="799"/>
      <c r="AR505" s="799"/>
      <c r="AS505" s="799"/>
      <c r="AT505" s="799"/>
      <c r="AU505" s="799"/>
      <c r="AV505" s="799"/>
      <c r="AW505" s="799"/>
      <c r="AX505" s="799"/>
      <c r="AY505" s="799"/>
      <c r="AZ505" s="799"/>
      <c r="BA505" s="799"/>
      <c r="BB505" s="799"/>
      <c r="BC505" s="799"/>
      <c r="BD505" s="799"/>
      <c r="BE505" s="799"/>
      <c r="BF505" s="799"/>
      <c r="BG505" s="799"/>
    </row>
    <row r="506">
      <c r="H506" s="799"/>
      <c r="I506" s="799"/>
      <c r="J506" s="799"/>
      <c r="K506" s="799"/>
      <c r="L506" s="799"/>
      <c r="M506" s="799"/>
      <c r="N506" s="799"/>
      <c r="O506" s="799"/>
      <c r="P506" s="799"/>
      <c r="Q506" s="799"/>
      <c r="R506" s="799"/>
      <c r="S506" s="799"/>
      <c r="T506" s="799"/>
      <c r="U506" s="799"/>
      <c r="V506" s="799"/>
      <c r="W506" s="799"/>
      <c r="X506" s="799"/>
      <c r="Y506" s="799"/>
      <c r="Z506" s="799"/>
      <c r="AA506" s="799"/>
      <c r="AB506" s="799"/>
      <c r="AC506" s="799"/>
      <c r="AD506" s="799"/>
      <c r="AE506" s="799"/>
      <c r="AF506" s="799"/>
      <c r="AG506" s="799"/>
      <c r="AH506" s="799"/>
      <c r="AI506" s="799"/>
      <c r="AJ506" s="799"/>
      <c r="AK506" s="799"/>
      <c r="AL506" s="799"/>
      <c r="AM506" s="799"/>
      <c r="AN506" s="799"/>
      <c r="AO506" s="799"/>
      <c r="AP506" s="799"/>
      <c r="AQ506" s="799"/>
      <c r="AR506" s="799"/>
      <c r="AS506" s="799"/>
      <c r="AT506" s="799"/>
      <c r="AU506" s="799"/>
      <c r="AV506" s="799"/>
      <c r="AW506" s="799"/>
      <c r="AX506" s="799"/>
      <c r="AY506" s="799"/>
      <c r="AZ506" s="799"/>
      <c r="BA506" s="799"/>
      <c r="BB506" s="799"/>
      <c r="BC506" s="799"/>
      <c r="BD506" s="799"/>
      <c r="BE506" s="799"/>
      <c r="BF506" s="799"/>
      <c r="BG506" s="799"/>
    </row>
    <row r="507">
      <c r="H507" s="799"/>
      <c r="I507" s="799"/>
      <c r="J507" s="799"/>
      <c r="K507" s="799"/>
      <c r="L507" s="799"/>
      <c r="M507" s="799"/>
      <c r="N507" s="799"/>
      <c r="O507" s="799"/>
      <c r="P507" s="799"/>
      <c r="Q507" s="799"/>
      <c r="R507" s="799"/>
      <c r="S507" s="799"/>
      <c r="T507" s="799"/>
      <c r="U507" s="799"/>
      <c r="V507" s="799"/>
      <c r="W507" s="799"/>
      <c r="X507" s="799"/>
      <c r="Y507" s="799"/>
      <c r="Z507" s="799"/>
      <c r="AA507" s="799"/>
      <c r="AB507" s="799"/>
      <c r="AC507" s="799"/>
      <c r="AD507" s="799"/>
      <c r="AE507" s="799"/>
      <c r="AF507" s="799"/>
      <c r="AG507" s="799"/>
      <c r="AH507" s="799"/>
      <c r="AI507" s="799"/>
      <c r="AJ507" s="799"/>
      <c r="AK507" s="799"/>
      <c r="AL507" s="799"/>
      <c r="AM507" s="799"/>
      <c r="AN507" s="799"/>
      <c r="AO507" s="799"/>
      <c r="AP507" s="799"/>
      <c r="AQ507" s="799"/>
      <c r="AR507" s="799"/>
      <c r="AS507" s="799"/>
      <c r="AT507" s="799"/>
      <c r="AU507" s="799"/>
      <c r="AV507" s="799"/>
      <c r="AW507" s="799"/>
      <c r="AX507" s="799"/>
      <c r="AY507" s="799"/>
      <c r="AZ507" s="799"/>
      <c r="BA507" s="799"/>
      <c r="BB507" s="799"/>
      <c r="BC507" s="799"/>
      <c r="BD507" s="799"/>
      <c r="BE507" s="799"/>
      <c r="BF507" s="799"/>
      <c r="BG507" s="799"/>
    </row>
    <row r="508">
      <c r="H508" s="799"/>
      <c r="I508" s="799"/>
      <c r="J508" s="799"/>
      <c r="K508" s="799"/>
      <c r="L508" s="799"/>
      <c r="M508" s="799"/>
      <c r="N508" s="799"/>
      <c r="O508" s="799"/>
      <c r="P508" s="799"/>
      <c r="Q508" s="799"/>
      <c r="R508" s="799"/>
      <c r="S508" s="799"/>
      <c r="T508" s="799"/>
      <c r="U508" s="799"/>
      <c r="V508" s="799"/>
      <c r="W508" s="799"/>
      <c r="X508" s="799"/>
      <c r="Y508" s="799"/>
      <c r="Z508" s="799"/>
      <c r="AA508" s="799"/>
      <c r="AB508" s="799"/>
      <c r="AC508" s="799"/>
      <c r="AD508" s="799"/>
      <c r="AE508" s="799"/>
      <c r="AF508" s="799"/>
      <c r="AG508" s="799"/>
      <c r="AH508" s="799"/>
      <c r="AI508" s="799"/>
      <c r="AJ508" s="799"/>
      <c r="AK508" s="799"/>
      <c r="AL508" s="799"/>
      <c r="AM508" s="799"/>
      <c r="AN508" s="799"/>
      <c r="AO508" s="799"/>
      <c r="AP508" s="799"/>
      <c r="AQ508" s="799"/>
      <c r="AR508" s="799"/>
      <c r="AS508" s="799"/>
      <c r="AT508" s="799"/>
      <c r="AU508" s="799"/>
      <c r="AV508" s="799"/>
      <c r="AW508" s="799"/>
      <c r="AX508" s="799"/>
      <c r="AY508" s="799"/>
      <c r="AZ508" s="799"/>
      <c r="BA508" s="799"/>
      <c r="BB508" s="799"/>
      <c r="BC508" s="799"/>
      <c r="BD508" s="799"/>
      <c r="BE508" s="799"/>
      <c r="BF508" s="799"/>
      <c r="BG508" s="799"/>
    </row>
    <row r="509">
      <c r="H509" s="799"/>
      <c r="I509" s="799"/>
      <c r="J509" s="799"/>
      <c r="K509" s="799"/>
      <c r="L509" s="799"/>
      <c r="M509" s="799"/>
      <c r="N509" s="799"/>
      <c r="O509" s="799"/>
      <c r="P509" s="799"/>
      <c r="Q509" s="799"/>
      <c r="R509" s="799"/>
      <c r="S509" s="799"/>
      <c r="T509" s="799"/>
      <c r="U509" s="799"/>
      <c r="V509" s="799"/>
      <c r="W509" s="799"/>
      <c r="X509" s="799"/>
      <c r="Y509" s="799"/>
      <c r="Z509" s="799"/>
      <c r="AA509" s="799"/>
      <c r="AB509" s="799"/>
      <c r="AC509" s="799"/>
      <c r="AD509" s="799"/>
      <c r="AE509" s="799"/>
      <c r="AF509" s="799"/>
      <c r="AG509" s="799"/>
      <c r="AH509" s="799"/>
      <c r="AI509" s="799"/>
      <c r="AJ509" s="799"/>
      <c r="AK509" s="799"/>
      <c r="AL509" s="799"/>
      <c r="AM509" s="799"/>
      <c r="AN509" s="799"/>
      <c r="AO509" s="799"/>
      <c r="AP509" s="799"/>
      <c r="AQ509" s="799"/>
      <c r="AR509" s="799"/>
      <c r="AS509" s="799"/>
      <c r="AT509" s="799"/>
      <c r="AU509" s="799"/>
      <c r="AV509" s="799"/>
      <c r="AW509" s="799"/>
      <c r="AX509" s="799"/>
      <c r="AY509" s="799"/>
      <c r="AZ509" s="799"/>
      <c r="BA509" s="799"/>
      <c r="BB509" s="799"/>
      <c r="BC509" s="799"/>
      <c r="BD509" s="799"/>
      <c r="BE509" s="799"/>
      <c r="BF509" s="799"/>
      <c r="BG509" s="799"/>
    </row>
    <row r="510">
      <c r="H510" s="799"/>
      <c r="I510" s="799"/>
      <c r="J510" s="799"/>
      <c r="K510" s="799"/>
      <c r="L510" s="799"/>
      <c r="M510" s="799"/>
      <c r="N510" s="799"/>
      <c r="O510" s="799"/>
      <c r="P510" s="799"/>
      <c r="Q510" s="799"/>
      <c r="R510" s="799"/>
      <c r="S510" s="799"/>
      <c r="T510" s="799"/>
      <c r="U510" s="799"/>
      <c r="V510" s="799"/>
      <c r="W510" s="799"/>
      <c r="X510" s="799"/>
      <c r="Y510" s="799"/>
      <c r="Z510" s="799"/>
      <c r="AA510" s="799"/>
      <c r="AB510" s="799"/>
      <c r="AC510" s="799"/>
      <c r="AD510" s="799"/>
      <c r="AE510" s="799"/>
      <c r="AF510" s="799"/>
      <c r="AG510" s="799"/>
      <c r="AH510" s="799"/>
      <c r="AI510" s="799"/>
      <c r="AJ510" s="799"/>
      <c r="AK510" s="799"/>
      <c r="AL510" s="799"/>
      <c r="AM510" s="799"/>
      <c r="AN510" s="799"/>
      <c r="AO510" s="799"/>
      <c r="AP510" s="799"/>
      <c r="AQ510" s="799"/>
      <c r="AR510" s="799"/>
      <c r="AS510" s="799"/>
      <c r="AT510" s="799"/>
      <c r="AU510" s="799"/>
      <c r="AV510" s="799"/>
      <c r="AW510" s="799"/>
      <c r="AX510" s="799"/>
      <c r="AY510" s="799"/>
      <c r="AZ510" s="799"/>
      <c r="BA510" s="799"/>
      <c r="BB510" s="799"/>
      <c r="BC510" s="799"/>
      <c r="BD510" s="799"/>
      <c r="BE510" s="799"/>
      <c r="BF510" s="799"/>
      <c r="BG510" s="799"/>
    </row>
    <row r="511">
      <c r="H511" s="799"/>
      <c r="I511" s="799"/>
      <c r="J511" s="799"/>
      <c r="K511" s="799"/>
      <c r="L511" s="799"/>
      <c r="M511" s="799"/>
      <c r="N511" s="799"/>
      <c r="O511" s="799"/>
      <c r="P511" s="799"/>
      <c r="Q511" s="799"/>
      <c r="R511" s="799"/>
      <c r="S511" s="799"/>
      <c r="T511" s="799"/>
      <c r="U511" s="799"/>
      <c r="V511" s="799"/>
      <c r="W511" s="799"/>
      <c r="X511" s="799"/>
      <c r="Y511" s="799"/>
      <c r="Z511" s="799"/>
      <c r="AA511" s="799"/>
      <c r="AB511" s="799"/>
      <c r="AC511" s="799"/>
      <c r="AD511" s="799"/>
      <c r="AE511" s="799"/>
      <c r="AF511" s="799"/>
      <c r="AG511" s="799"/>
      <c r="AH511" s="799"/>
      <c r="AI511" s="799"/>
      <c r="AJ511" s="799"/>
      <c r="AK511" s="799"/>
      <c r="AL511" s="799"/>
      <c r="AM511" s="799"/>
      <c r="AN511" s="799"/>
      <c r="AO511" s="799"/>
      <c r="AP511" s="799"/>
      <c r="AQ511" s="799"/>
      <c r="AR511" s="799"/>
      <c r="AS511" s="799"/>
      <c r="AT511" s="799"/>
      <c r="AU511" s="799"/>
      <c r="AV511" s="799"/>
      <c r="AW511" s="799"/>
      <c r="AX511" s="799"/>
      <c r="AY511" s="799"/>
      <c r="AZ511" s="799"/>
      <c r="BA511" s="799"/>
      <c r="BB511" s="799"/>
      <c r="BC511" s="799"/>
      <c r="BD511" s="799"/>
      <c r="BE511" s="799"/>
      <c r="BF511" s="799"/>
      <c r="BG511" s="799"/>
    </row>
    <row r="512">
      <c r="H512" s="799"/>
      <c r="I512" s="799"/>
      <c r="J512" s="799"/>
      <c r="K512" s="799"/>
      <c r="L512" s="799"/>
      <c r="M512" s="799"/>
      <c r="N512" s="799"/>
      <c r="O512" s="799"/>
      <c r="P512" s="799"/>
      <c r="Q512" s="799"/>
      <c r="R512" s="799"/>
      <c r="S512" s="799"/>
      <c r="T512" s="799"/>
      <c r="U512" s="799"/>
      <c r="V512" s="799"/>
      <c r="W512" s="799"/>
      <c r="X512" s="799"/>
      <c r="Y512" s="799"/>
      <c r="Z512" s="799"/>
      <c r="AA512" s="799"/>
      <c r="AB512" s="799"/>
      <c r="AC512" s="799"/>
      <c r="AD512" s="799"/>
      <c r="AE512" s="799"/>
      <c r="AF512" s="799"/>
      <c r="AG512" s="799"/>
      <c r="AH512" s="799"/>
      <c r="AI512" s="799"/>
      <c r="AJ512" s="799"/>
      <c r="AK512" s="799"/>
      <c r="AL512" s="799"/>
      <c r="AM512" s="799"/>
      <c r="AN512" s="799"/>
      <c r="AO512" s="799"/>
      <c r="AP512" s="799"/>
      <c r="AQ512" s="799"/>
      <c r="AR512" s="799"/>
      <c r="AS512" s="799"/>
      <c r="AT512" s="799"/>
      <c r="AU512" s="799"/>
      <c r="AV512" s="799"/>
      <c r="AW512" s="799"/>
      <c r="AX512" s="799"/>
      <c r="AY512" s="799"/>
      <c r="AZ512" s="799"/>
      <c r="BA512" s="799"/>
      <c r="BB512" s="799"/>
      <c r="BC512" s="799"/>
      <c r="BD512" s="799"/>
      <c r="BE512" s="799"/>
      <c r="BF512" s="799"/>
      <c r="BG512" s="799"/>
    </row>
    <row r="513">
      <c r="H513" s="799"/>
      <c r="I513" s="799"/>
      <c r="J513" s="799"/>
      <c r="K513" s="799"/>
      <c r="L513" s="799"/>
      <c r="M513" s="799"/>
      <c r="N513" s="799"/>
      <c r="O513" s="799"/>
      <c r="P513" s="799"/>
      <c r="Q513" s="799"/>
      <c r="R513" s="799"/>
      <c r="S513" s="799"/>
      <c r="T513" s="799"/>
      <c r="U513" s="799"/>
      <c r="V513" s="799"/>
      <c r="W513" s="799"/>
      <c r="X513" s="799"/>
      <c r="Y513" s="799"/>
      <c r="Z513" s="799"/>
      <c r="AA513" s="799"/>
      <c r="AB513" s="799"/>
      <c r="AC513" s="799"/>
      <c r="AD513" s="799"/>
      <c r="AE513" s="799"/>
      <c r="AF513" s="799"/>
      <c r="AG513" s="799"/>
      <c r="AH513" s="799"/>
      <c r="AI513" s="799"/>
      <c r="AJ513" s="799"/>
      <c r="AK513" s="799"/>
      <c r="AL513" s="799"/>
      <c r="AM513" s="799"/>
      <c r="AN513" s="799"/>
      <c r="AO513" s="799"/>
      <c r="AP513" s="799"/>
      <c r="AQ513" s="799"/>
      <c r="AR513" s="799"/>
      <c r="AS513" s="799"/>
      <c r="AT513" s="799"/>
      <c r="AU513" s="799"/>
      <c r="AV513" s="799"/>
      <c r="AW513" s="799"/>
      <c r="AX513" s="799"/>
      <c r="AY513" s="799"/>
      <c r="AZ513" s="799"/>
      <c r="BA513" s="799"/>
      <c r="BB513" s="799"/>
      <c r="BC513" s="799"/>
      <c r="BD513" s="799"/>
      <c r="BE513" s="799"/>
      <c r="BF513" s="799"/>
      <c r="BG513" s="799"/>
    </row>
    <row r="514">
      <c r="H514" s="799"/>
      <c r="I514" s="799"/>
      <c r="J514" s="799"/>
      <c r="K514" s="799"/>
      <c r="L514" s="799"/>
      <c r="M514" s="799"/>
      <c r="N514" s="799"/>
      <c r="O514" s="799"/>
      <c r="P514" s="799"/>
      <c r="Q514" s="799"/>
      <c r="R514" s="799"/>
      <c r="S514" s="799"/>
      <c r="T514" s="799"/>
      <c r="U514" s="799"/>
      <c r="V514" s="799"/>
      <c r="W514" s="799"/>
      <c r="X514" s="799"/>
      <c r="Y514" s="799"/>
      <c r="Z514" s="799"/>
      <c r="AA514" s="799"/>
      <c r="AB514" s="799"/>
      <c r="AC514" s="799"/>
      <c r="AD514" s="799"/>
      <c r="AE514" s="799"/>
      <c r="AF514" s="799"/>
      <c r="AG514" s="799"/>
      <c r="AH514" s="799"/>
      <c r="AI514" s="799"/>
      <c r="AJ514" s="799"/>
      <c r="AK514" s="799"/>
      <c r="AL514" s="799"/>
      <c r="AM514" s="799"/>
      <c r="AN514" s="799"/>
      <c r="AO514" s="799"/>
      <c r="AP514" s="799"/>
      <c r="AQ514" s="799"/>
      <c r="AR514" s="799"/>
      <c r="AS514" s="799"/>
      <c r="AT514" s="799"/>
      <c r="AU514" s="799"/>
      <c r="AV514" s="799"/>
      <c r="AW514" s="799"/>
      <c r="AX514" s="799"/>
      <c r="AY514" s="799"/>
      <c r="AZ514" s="799"/>
      <c r="BA514" s="799"/>
      <c r="BB514" s="799"/>
      <c r="BC514" s="799"/>
      <c r="BD514" s="799"/>
      <c r="BE514" s="799"/>
      <c r="BF514" s="799"/>
      <c r="BG514" s="799"/>
    </row>
    <row r="515">
      <c r="H515" s="799"/>
      <c r="I515" s="799"/>
      <c r="J515" s="799"/>
      <c r="K515" s="799"/>
      <c r="L515" s="799"/>
      <c r="M515" s="799"/>
      <c r="N515" s="799"/>
      <c r="O515" s="799"/>
      <c r="P515" s="799"/>
      <c r="Q515" s="799"/>
      <c r="R515" s="799"/>
      <c r="S515" s="799"/>
      <c r="T515" s="799"/>
      <c r="U515" s="799"/>
      <c r="V515" s="799"/>
      <c r="W515" s="799"/>
      <c r="X515" s="799"/>
      <c r="Y515" s="799"/>
      <c r="Z515" s="799"/>
      <c r="AA515" s="799"/>
      <c r="AB515" s="799"/>
      <c r="AC515" s="799"/>
      <c r="AD515" s="799"/>
      <c r="AE515" s="799"/>
      <c r="AF515" s="799"/>
      <c r="AG515" s="799"/>
      <c r="AH515" s="799"/>
      <c r="AI515" s="799"/>
      <c r="AJ515" s="799"/>
      <c r="AK515" s="799"/>
      <c r="AL515" s="799"/>
      <c r="AM515" s="799"/>
      <c r="AN515" s="799"/>
      <c r="AO515" s="799"/>
      <c r="AP515" s="799"/>
      <c r="AQ515" s="799"/>
      <c r="AR515" s="799"/>
      <c r="AS515" s="799"/>
      <c r="AT515" s="799"/>
      <c r="AU515" s="799"/>
      <c r="AV515" s="799"/>
      <c r="AW515" s="799"/>
      <c r="AX515" s="799"/>
      <c r="AY515" s="799"/>
      <c r="AZ515" s="799"/>
      <c r="BA515" s="799"/>
      <c r="BB515" s="799"/>
      <c r="BC515" s="799"/>
      <c r="BD515" s="799"/>
      <c r="BE515" s="799"/>
      <c r="BF515" s="799"/>
      <c r="BG515" s="799"/>
    </row>
    <row r="516">
      <c r="H516" s="799"/>
      <c r="I516" s="799"/>
      <c r="J516" s="799"/>
      <c r="K516" s="799"/>
      <c r="L516" s="799"/>
      <c r="M516" s="799"/>
      <c r="N516" s="799"/>
      <c r="O516" s="799"/>
      <c r="P516" s="799"/>
      <c r="Q516" s="799"/>
      <c r="R516" s="799"/>
      <c r="S516" s="799"/>
      <c r="T516" s="799"/>
      <c r="U516" s="799"/>
      <c r="V516" s="799"/>
      <c r="W516" s="799"/>
      <c r="X516" s="799"/>
      <c r="Y516" s="799"/>
      <c r="Z516" s="799"/>
      <c r="AA516" s="799"/>
      <c r="AB516" s="799"/>
      <c r="AC516" s="799"/>
      <c r="AD516" s="799"/>
      <c r="AE516" s="799"/>
      <c r="AF516" s="799"/>
      <c r="AG516" s="799"/>
      <c r="AH516" s="799"/>
      <c r="AI516" s="799"/>
      <c r="AJ516" s="799"/>
      <c r="AK516" s="799"/>
      <c r="AL516" s="799"/>
      <c r="AM516" s="799"/>
      <c r="AN516" s="799"/>
      <c r="AO516" s="799"/>
      <c r="AP516" s="799"/>
      <c r="AQ516" s="799"/>
      <c r="AR516" s="799"/>
      <c r="AS516" s="799"/>
      <c r="AT516" s="799"/>
      <c r="AU516" s="799"/>
      <c r="AV516" s="799"/>
      <c r="AW516" s="799"/>
      <c r="AX516" s="799"/>
      <c r="AY516" s="799"/>
      <c r="AZ516" s="799"/>
      <c r="BA516" s="799"/>
      <c r="BB516" s="799"/>
      <c r="BC516" s="799"/>
      <c r="BD516" s="799"/>
      <c r="BE516" s="799"/>
      <c r="BF516" s="799"/>
      <c r="BG516" s="799"/>
    </row>
    <row r="517">
      <c r="H517" s="799"/>
      <c r="I517" s="799"/>
      <c r="J517" s="799"/>
      <c r="K517" s="799"/>
      <c r="L517" s="799"/>
      <c r="M517" s="799"/>
      <c r="N517" s="799"/>
      <c r="O517" s="799"/>
      <c r="P517" s="799"/>
      <c r="Q517" s="799"/>
      <c r="R517" s="799"/>
      <c r="S517" s="799"/>
      <c r="T517" s="799"/>
      <c r="U517" s="799"/>
      <c r="V517" s="799"/>
      <c r="W517" s="799"/>
      <c r="X517" s="799"/>
      <c r="Y517" s="799"/>
      <c r="Z517" s="799"/>
      <c r="AA517" s="799"/>
      <c r="AB517" s="799"/>
      <c r="AC517" s="799"/>
      <c r="AD517" s="799"/>
      <c r="AE517" s="799"/>
      <c r="AF517" s="799"/>
      <c r="AG517" s="799"/>
      <c r="AH517" s="799"/>
      <c r="AI517" s="799"/>
      <c r="AJ517" s="799"/>
      <c r="AK517" s="799"/>
      <c r="AL517" s="799"/>
      <c r="AM517" s="799"/>
      <c r="AN517" s="799"/>
      <c r="AO517" s="799"/>
      <c r="AP517" s="799"/>
      <c r="AQ517" s="799"/>
      <c r="AR517" s="799"/>
      <c r="AS517" s="799"/>
      <c r="AT517" s="799"/>
      <c r="AU517" s="799"/>
      <c r="AV517" s="799"/>
      <c r="AW517" s="799"/>
      <c r="AX517" s="799"/>
      <c r="AY517" s="799"/>
      <c r="AZ517" s="799"/>
      <c r="BA517" s="799"/>
      <c r="BB517" s="799"/>
      <c r="BC517" s="799"/>
      <c r="BD517" s="799"/>
      <c r="BE517" s="799"/>
      <c r="BF517" s="799"/>
      <c r="BG517" s="799"/>
    </row>
    <row r="518">
      <c r="H518" s="799"/>
      <c r="I518" s="799"/>
      <c r="J518" s="799"/>
      <c r="K518" s="799"/>
      <c r="L518" s="799"/>
      <c r="M518" s="799"/>
      <c r="N518" s="799"/>
      <c r="O518" s="799"/>
      <c r="P518" s="799"/>
      <c r="Q518" s="799"/>
      <c r="R518" s="799"/>
      <c r="S518" s="799"/>
      <c r="T518" s="799"/>
      <c r="U518" s="799"/>
      <c r="V518" s="799"/>
      <c r="W518" s="799"/>
      <c r="X518" s="799"/>
      <c r="Y518" s="799"/>
      <c r="Z518" s="799"/>
      <c r="AA518" s="799"/>
      <c r="AB518" s="799"/>
      <c r="AC518" s="799"/>
      <c r="AD518" s="799"/>
      <c r="AE518" s="799"/>
      <c r="AF518" s="799"/>
      <c r="AG518" s="799"/>
      <c r="AH518" s="799"/>
      <c r="AI518" s="799"/>
      <c r="AJ518" s="799"/>
      <c r="AK518" s="799"/>
      <c r="AL518" s="799"/>
      <c r="AM518" s="799"/>
      <c r="AN518" s="799"/>
      <c r="AO518" s="799"/>
      <c r="AP518" s="799"/>
      <c r="AQ518" s="799"/>
      <c r="AR518" s="799"/>
      <c r="AS518" s="799"/>
      <c r="AT518" s="799"/>
      <c r="AU518" s="799"/>
      <c r="AV518" s="799"/>
      <c r="AW518" s="799"/>
      <c r="AX518" s="799"/>
      <c r="AY518" s="799"/>
      <c r="AZ518" s="799"/>
      <c r="BA518" s="799"/>
      <c r="BB518" s="799"/>
      <c r="BC518" s="799"/>
      <c r="BD518" s="799"/>
      <c r="BE518" s="799"/>
      <c r="BF518" s="799"/>
      <c r="BG518" s="799"/>
    </row>
    <row r="519">
      <c r="H519" s="799"/>
      <c r="I519" s="799"/>
      <c r="J519" s="799"/>
      <c r="K519" s="799"/>
      <c r="L519" s="799"/>
      <c r="M519" s="799"/>
      <c r="N519" s="799"/>
      <c r="O519" s="799"/>
      <c r="P519" s="799"/>
      <c r="Q519" s="799"/>
      <c r="R519" s="799"/>
      <c r="S519" s="799"/>
      <c r="T519" s="799"/>
      <c r="U519" s="799"/>
      <c r="V519" s="799"/>
      <c r="W519" s="799"/>
      <c r="X519" s="799"/>
      <c r="Y519" s="799"/>
      <c r="Z519" s="799"/>
      <c r="AA519" s="799"/>
      <c r="AB519" s="799"/>
      <c r="AC519" s="799"/>
      <c r="AD519" s="799"/>
      <c r="AE519" s="799"/>
      <c r="AF519" s="799"/>
      <c r="AG519" s="799"/>
      <c r="AH519" s="799"/>
      <c r="AI519" s="799"/>
      <c r="AJ519" s="799"/>
      <c r="AK519" s="799"/>
      <c r="AL519" s="799"/>
      <c r="AM519" s="799"/>
      <c r="AN519" s="799"/>
      <c r="AO519" s="799"/>
      <c r="AP519" s="799"/>
      <c r="AQ519" s="799"/>
      <c r="AR519" s="799"/>
      <c r="AS519" s="799"/>
      <c r="AT519" s="799"/>
      <c r="AU519" s="799"/>
      <c r="AV519" s="799"/>
      <c r="AW519" s="799"/>
      <c r="AX519" s="799"/>
      <c r="AY519" s="799"/>
      <c r="AZ519" s="799"/>
      <c r="BA519" s="799"/>
      <c r="BB519" s="799"/>
      <c r="BC519" s="799"/>
      <c r="BD519" s="799"/>
      <c r="BE519" s="799"/>
      <c r="BF519" s="799"/>
      <c r="BG519" s="799"/>
    </row>
    <row r="520">
      <c r="H520" s="799"/>
      <c r="I520" s="799"/>
      <c r="J520" s="799"/>
      <c r="K520" s="799"/>
      <c r="L520" s="799"/>
      <c r="M520" s="799"/>
      <c r="N520" s="799"/>
      <c r="O520" s="799"/>
      <c r="P520" s="799"/>
      <c r="Q520" s="799"/>
      <c r="R520" s="799"/>
      <c r="S520" s="799"/>
      <c r="T520" s="799"/>
      <c r="U520" s="799"/>
      <c r="V520" s="799"/>
      <c r="W520" s="799"/>
      <c r="X520" s="799"/>
      <c r="Y520" s="799"/>
      <c r="Z520" s="799"/>
      <c r="AA520" s="799"/>
      <c r="AB520" s="799"/>
      <c r="AC520" s="799"/>
      <c r="AD520" s="799"/>
      <c r="AE520" s="799"/>
      <c r="AF520" s="799"/>
      <c r="AG520" s="799"/>
      <c r="AH520" s="799"/>
      <c r="AI520" s="799"/>
      <c r="AJ520" s="799"/>
      <c r="AK520" s="799"/>
      <c r="AL520" s="799"/>
      <c r="AM520" s="799"/>
      <c r="AN520" s="799"/>
      <c r="AO520" s="799"/>
      <c r="AP520" s="799"/>
      <c r="AQ520" s="799"/>
      <c r="AR520" s="799"/>
      <c r="AS520" s="799"/>
      <c r="AT520" s="799"/>
      <c r="AU520" s="799"/>
      <c r="AV520" s="799"/>
      <c r="AW520" s="799"/>
      <c r="AX520" s="799"/>
      <c r="AY520" s="799"/>
      <c r="AZ520" s="799"/>
      <c r="BA520" s="799"/>
      <c r="BB520" s="799"/>
      <c r="BC520" s="799"/>
      <c r="BD520" s="799"/>
      <c r="BE520" s="799"/>
      <c r="BF520" s="799"/>
      <c r="BG520" s="799"/>
    </row>
    <row r="521">
      <c r="H521" s="799"/>
      <c r="I521" s="799"/>
      <c r="J521" s="799"/>
      <c r="K521" s="799"/>
      <c r="L521" s="799"/>
      <c r="M521" s="799"/>
      <c r="N521" s="799"/>
      <c r="O521" s="799"/>
      <c r="P521" s="799"/>
      <c r="Q521" s="799"/>
      <c r="R521" s="799"/>
      <c r="S521" s="799"/>
      <c r="T521" s="799"/>
      <c r="U521" s="799"/>
      <c r="V521" s="799"/>
      <c r="W521" s="799"/>
      <c r="X521" s="799"/>
      <c r="Y521" s="799"/>
      <c r="Z521" s="799"/>
      <c r="AA521" s="799"/>
      <c r="AB521" s="799"/>
      <c r="AC521" s="799"/>
      <c r="AD521" s="799"/>
      <c r="AE521" s="799"/>
      <c r="AF521" s="799"/>
      <c r="AG521" s="799"/>
      <c r="AH521" s="799"/>
      <c r="AI521" s="799"/>
      <c r="AJ521" s="799"/>
      <c r="AK521" s="799"/>
      <c r="AL521" s="799"/>
      <c r="AM521" s="799"/>
      <c r="AN521" s="799"/>
      <c r="AO521" s="799"/>
      <c r="AP521" s="799"/>
      <c r="AQ521" s="799"/>
      <c r="AR521" s="799"/>
      <c r="AS521" s="799"/>
      <c r="AT521" s="799"/>
      <c r="AU521" s="799"/>
      <c r="AV521" s="799"/>
      <c r="AW521" s="799"/>
      <c r="AX521" s="799"/>
      <c r="AY521" s="799"/>
      <c r="AZ521" s="799"/>
      <c r="BA521" s="799"/>
      <c r="BB521" s="799"/>
      <c r="BC521" s="799"/>
      <c r="BD521" s="799"/>
      <c r="BE521" s="799"/>
      <c r="BF521" s="799"/>
      <c r="BG521" s="799"/>
    </row>
    <row r="522">
      <c r="H522" s="799"/>
      <c r="I522" s="799"/>
      <c r="J522" s="799"/>
      <c r="K522" s="799"/>
      <c r="L522" s="799"/>
      <c r="M522" s="799"/>
      <c r="N522" s="799"/>
      <c r="O522" s="799"/>
      <c r="P522" s="799"/>
      <c r="Q522" s="799"/>
      <c r="R522" s="799"/>
      <c r="S522" s="799"/>
      <c r="T522" s="799"/>
      <c r="U522" s="799"/>
      <c r="V522" s="799"/>
      <c r="W522" s="799"/>
      <c r="X522" s="799"/>
      <c r="Y522" s="799"/>
      <c r="Z522" s="799"/>
      <c r="AA522" s="799"/>
      <c r="AB522" s="799"/>
      <c r="AC522" s="799"/>
      <c r="AD522" s="799"/>
      <c r="AE522" s="799"/>
      <c r="AF522" s="799"/>
      <c r="AG522" s="799"/>
      <c r="AH522" s="799"/>
      <c r="AI522" s="799"/>
      <c r="AJ522" s="799"/>
      <c r="AK522" s="799"/>
      <c r="AL522" s="799"/>
      <c r="AM522" s="799"/>
      <c r="AN522" s="799"/>
      <c r="AO522" s="799"/>
      <c r="AP522" s="799"/>
      <c r="AQ522" s="799"/>
      <c r="AR522" s="799"/>
      <c r="AS522" s="799"/>
      <c r="AT522" s="799"/>
      <c r="AU522" s="799"/>
      <c r="AV522" s="799"/>
      <c r="AW522" s="799"/>
      <c r="AX522" s="799"/>
      <c r="AY522" s="799"/>
      <c r="AZ522" s="799"/>
      <c r="BA522" s="799"/>
      <c r="BB522" s="799"/>
      <c r="BC522" s="799"/>
      <c r="BD522" s="799"/>
      <c r="BE522" s="799"/>
      <c r="BF522" s="799"/>
      <c r="BG522" s="799"/>
    </row>
    <row r="523">
      <c r="H523" s="799"/>
      <c r="I523" s="799"/>
      <c r="J523" s="799"/>
      <c r="K523" s="799"/>
      <c r="L523" s="799"/>
      <c r="M523" s="799"/>
      <c r="N523" s="799"/>
      <c r="O523" s="799"/>
      <c r="P523" s="799"/>
      <c r="Q523" s="799"/>
      <c r="R523" s="799"/>
      <c r="S523" s="799"/>
      <c r="T523" s="799"/>
      <c r="U523" s="799"/>
      <c r="V523" s="799"/>
      <c r="W523" s="799"/>
      <c r="X523" s="799"/>
      <c r="Y523" s="799"/>
      <c r="Z523" s="799"/>
      <c r="AA523" s="799"/>
      <c r="AB523" s="799"/>
      <c r="AC523" s="799"/>
      <c r="AD523" s="799"/>
      <c r="AE523" s="799"/>
      <c r="AF523" s="799"/>
      <c r="AG523" s="799"/>
      <c r="AH523" s="799"/>
      <c r="AI523" s="799"/>
      <c r="AJ523" s="799"/>
      <c r="AK523" s="799"/>
      <c r="AL523" s="799"/>
      <c r="AM523" s="799"/>
      <c r="AN523" s="799"/>
      <c r="AO523" s="799"/>
      <c r="AP523" s="799"/>
      <c r="AQ523" s="799"/>
      <c r="AR523" s="799"/>
      <c r="AS523" s="799"/>
      <c r="AT523" s="799"/>
      <c r="AU523" s="799"/>
      <c r="AV523" s="799"/>
      <c r="AW523" s="799"/>
      <c r="AX523" s="799"/>
      <c r="AY523" s="799"/>
      <c r="AZ523" s="799"/>
      <c r="BA523" s="799"/>
      <c r="BB523" s="799"/>
      <c r="BC523" s="799"/>
      <c r="BD523" s="799"/>
      <c r="BE523" s="799"/>
      <c r="BF523" s="799"/>
      <c r="BG523" s="799"/>
    </row>
    <row r="524">
      <c r="H524" s="799"/>
      <c r="I524" s="799"/>
      <c r="J524" s="799"/>
      <c r="K524" s="799"/>
      <c r="L524" s="799"/>
      <c r="M524" s="799"/>
      <c r="N524" s="799"/>
      <c r="O524" s="799"/>
      <c r="P524" s="799"/>
      <c r="Q524" s="799"/>
      <c r="R524" s="799"/>
      <c r="S524" s="799"/>
      <c r="T524" s="799"/>
      <c r="U524" s="799"/>
      <c r="V524" s="799"/>
      <c r="W524" s="799"/>
      <c r="X524" s="799"/>
      <c r="Y524" s="799"/>
      <c r="Z524" s="799"/>
      <c r="AA524" s="799"/>
      <c r="AB524" s="799"/>
      <c r="AC524" s="799"/>
      <c r="AD524" s="799"/>
      <c r="AE524" s="799"/>
      <c r="AF524" s="799"/>
      <c r="AG524" s="799"/>
      <c r="AH524" s="799"/>
      <c r="AI524" s="799"/>
      <c r="AJ524" s="799"/>
      <c r="AK524" s="799"/>
      <c r="AL524" s="799"/>
      <c r="AM524" s="799"/>
      <c r="AN524" s="799"/>
      <c r="AO524" s="799"/>
      <c r="AP524" s="799"/>
      <c r="AQ524" s="799"/>
      <c r="AR524" s="799"/>
      <c r="AS524" s="799"/>
      <c r="AT524" s="799"/>
      <c r="AU524" s="799"/>
      <c r="AV524" s="799"/>
      <c r="AW524" s="799"/>
      <c r="AX524" s="799"/>
      <c r="AY524" s="799"/>
      <c r="AZ524" s="799"/>
      <c r="BA524" s="799"/>
      <c r="BB524" s="799"/>
      <c r="BC524" s="799"/>
      <c r="BD524" s="799"/>
      <c r="BE524" s="799"/>
      <c r="BF524" s="799"/>
      <c r="BG524" s="799"/>
    </row>
    <row r="525">
      <c r="H525" s="799"/>
      <c r="I525" s="799"/>
      <c r="J525" s="799"/>
      <c r="K525" s="799"/>
      <c r="L525" s="799"/>
      <c r="M525" s="799"/>
      <c r="N525" s="799"/>
      <c r="O525" s="799"/>
      <c r="P525" s="799"/>
      <c r="Q525" s="799"/>
      <c r="R525" s="799"/>
      <c r="S525" s="799"/>
      <c r="T525" s="799"/>
      <c r="U525" s="799"/>
      <c r="V525" s="799"/>
      <c r="W525" s="799"/>
      <c r="X525" s="799"/>
      <c r="Y525" s="799"/>
      <c r="Z525" s="799"/>
      <c r="AA525" s="799"/>
      <c r="AB525" s="799"/>
      <c r="AC525" s="799"/>
      <c r="AD525" s="799"/>
      <c r="AE525" s="799"/>
      <c r="AF525" s="799"/>
      <c r="AG525" s="799"/>
      <c r="AH525" s="799"/>
      <c r="AI525" s="799"/>
      <c r="AJ525" s="799"/>
      <c r="AK525" s="799"/>
      <c r="AL525" s="799"/>
      <c r="AM525" s="799"/>
      <c r="AN525" s="799"/>
      <c r="AO525" s="799"/>
      <c r="AP525" s="799"/>
      <c r="AQ525" s="799"/>
      <c r="AR525" s="799"/>
      <c r="AS525" s="799"/>
      <c r="AT525" s="799"/>
      <c r="AU525" s="799"/>
      <c r="AV525" s="799"/>
      <c r="AW525" s="799"/>
      <c r="AX525" s="799"/>
      <c r="AY525" s="799"/>
      <c r="AZ525" s="799"/>
      <c r="BA525" s="799"/>
      <c r="BB525" s="799"/>
      <c r="BC525" s="799"/>
      <c r="BD525" s="799"/>
      <c r="BE525" s="799"/>
      <c r="BF525" s="799"/>
      <c r="BG525" s="799"/>
    </row>
    <row r="526">
      <c r="H526" s="799"/>
      <c r="I526" s="799"/>
      <c r="J526" s="799"/>
      <c r="K526" s="799"/>
      <c r="L526" s="799"/>
      <c r="M526" s="799"/>
      <c r="N526" s="799"/>
      <c r="O526" s="799"/>
      <c r="P526" s="799"/>
      <c r="Q526" s="799"/>
      <c r="R526" s="799"/>
      <c r="S526" s="799"/>
      <c r="T526" s="799"/>
      <c r="U526" s="799"/>
      <c r="V526" s="799"/>
      <c r="W526" s="799"/>
      <c r="X526" s="799"/>
      <c r="Y526" s="799"/>
      <c r="Z526" s="799"/>
      <c r="AA526" s="799"/>
      <c r="AB526" s="799"/>
      <c r="AC526" s="799"/>
      <c r="AD526" s="799"/>
      <c r="AE526" s="799"/>
      <c r="AF526" s="799"/>
      <c r="AG526" s="799"/>
      <c r="AH526" s="799"/>
      <c r="AI526" s="799"/>
      <c r="AJ526" s="799"/>
      <c r="AK526" s="799"/>
      <c r="AL526" s="799"/>
      <c r="AM526" s="799"/>
      <c r="AN526" s="799"/>
      <c r="AO526" s="799"/>
      <c r="AP526" s="799"/>
      <c r="AQ526" s="799"/>
      <c r="AR526" s="799"/>
      <c r="AS526" s="799"/>
      <c r="AT526" s="799"/>
      <c r="AU526" s="799"/>
      <c r="AV526" s="799"/>
      <c r="AW526" s="799"/>
      <c r="AX526" s="799"/>
      <c r="AY526" s="799"/>
      <c r="AZ526" s="799"/>
      <c r="BA526" s="799"/>
      <c r="BB526" s="799"/>
      <c r="BC526" s="799"/>
      <c r="BD526" s="799"/>
      <c r="BE526" s="799"/>
      <c r="BF526" s="799"/>
      <c r="BG526" s="799"/>
    </row>
    <row r="527">
      <c r="H527" s="799"/>
      <c r="I527" s="799"/>
      <c r="J527" s="799"/>
      <c r="K527" s="799"/>
      <c r="L527" s="799"/>
      <c r="M527" s="799"/>
      <c r="N527" s="799"/>
      <c r="O527" s="799"/>
      <c r="P527" s="799"/>
      <c r="Q527" s="799"/>
      <c r="R527" s="799"/>
      <c r="S527" s="799"/>
      <c r="T527" s="799"/>
      <c r="U527" s="799"/>
      <c r="V527" s="799"/>
      <c r="W527" s="799"/>
      <c r="X527" s="799"/>
      <c r="Y527" s="799"/>
      <c r="Z527" s="799"/>
      <c r="AA527" s="799"/>
      <c r="AB527" s="799"/>
      <c r="AC527" s="799"/>
      <c r="AD527" s="799"/>
      <c r="AE527" s="799"/>
      <c r="AF527" s="799"/>
      <c r="AG527" s="799"/>
      <c r="AH527" s="799"/>
      <c r="AI527" s="799"/>
      <c r="AJ527" s="799"/>
      <c r="AK527" s="799"/>
      <c r="AL527" s="799"/>
      <c r="AM527" s="799"/>
      <c r="AN527" s="799"/>
      <c r="AO527" s="799"/>
      <c r="AP527" s="799"/>
      <c r="AQ527" s="799"/>
      <c r="AR527" s="799"/>
      <c r="AS527" s="799"/>
      <c r="AT527" s="799"/>
      <c r="AU527" s="799"/>
      <c r="AV527" s="799"/>
      <c r="AW527" s="799"/>
      <c r="AX527" s="799"/>
      <c r="AY527" s="799"/>
      <c r="AZ527" s="799"/>
      <c r="BA527" s="799"/>
      <c r="BB527" s="799"/>
      <c r="BC527" s="799"/>
      <c r="BD527" s="799"/>
      <c r="BE527" s="799"/>
      <c r="BF527" s="799"/>
      <c r="BG527" s="799"/>
    </row>
    <row r="528">
      <c r="H528" s="799"/>
      <c r="I528" s="799"/>
      <c r="J528" s="799"/>
      <c r="K528" s="799"/>
      <c r="L528" s="799"/>
      <c r="M528" s="799"/>
      <c r="N528" s="799"/>
      <c r="O528" s="799"/>
      <c r="P528" s="799"/>
      <c r="Q528" s="799"/>
      <c r="R528" s="799"/>
      <c r="S528" s="799"/>
      <c r="T528" s="799"/>
      <c r="U528" s="799"/>
      <c r="V528" s="799"/>
      <c r="W528" s="799"/>
      <c r="X528" s="799"/>
      <c r="Y528" s="799"/>
      <c r="Z528" s="799"/>
      <c r="AA528" s="799"/>
      <c r="AB528" s="799"/>
      <c r="AC528" s="799"/>
      <c r="AD528" s="799"/>
      <c r="AE528" s="799"/>
      <c r="AF528" s="799"/>
      <c r="AG528" s="799"/>
      <c r="AH528" s="799"/>
      <c r="AI528" s="799"/>
      <c r="AJ528" s="799"/>
      <c r="AK528" s="799"/>
      <c r="AL528" s="799"/>
      <c r="AM528" s="799"/>
      <c r="AN528" s="799"/>
      <c r="AO528" s="799"/>
      <c r="AP528" s="799"/>
      <c r="AQ528" s="799"/>
      <c r="AR528" s="799"/>
      <c r="AS528" s="799"/>
      <c r="AT528" s="799"/>
      <c r="AU528" s="799"/>
      <c r="AV528" s="799"/>
      <c r="AW528" s="799"/>
      <c r="AX528" s="799"/>
      <c r="AY528" s="799"/>
      <c r="AZ528" s="799"/>
      <c r="BA528" s="799"/>
      <c r="BB528" s="799"/>
      <c r="BC528" s="799"/>
      <c r="BD528" s="799"/>
      <c r="BE528" s="799"/>
      <c r="BF528" s="799"/>
      <c r="BG528" s="799"/>
    </row>
    <row r="529">
      <c r="H529" s="799"/>
      <c r="I529" s="799"/>
      <c r="J529" s="799"/>
      <c r="K529" s="799"/>
      <c r="L529" s="799"/>
      <c r="M529" s="799"/>
      <c r="N529" s="799"/>
      <c r="O529" s="799"/>
      <c r="P529" s="799"/>
      <c r="Q529" s="799"/>
      <c r="R529" s="799"/>
      <c r="S529" s="799"/>
      <c r="T529" s="799"/>
      <c r="U529" s="799"/>
      <c r="V529" s="799"/>
      <c r="W529" s="799"/>
      <c r="X529" s="799"/>
      <c r="Y529" s="799"/>
      <c r="Z529" s="799"/>
      <c r="AA529" s="799"/>
      <c r="AB529" s="799"/>
      <c r="AC529" s="799"/>
      <c r="AD529" s="799"/>
      <c r="AE529" s="799"/>
      <c r="AF529" s="799"/>
      <c r="AG529" s="799"/>
      <c r="AH529" s="799"/>
      <c r="AI529" s="799"/>
      <c r="AJ529" s="799"/>
      <c r="AK529" s="799"/>
      <c r="AL529" s="799"/>
      <c r="AM529" s="799"/>
      <c r="AN529" s="799"/>
      <c r="AO529" s="799"/>
      <c r="AP529" s="799"/>
      <c r="AQ529" s="799"/>
      <c r="AR529" s="799"/>
      <c r="AS529" s="799"/>
      <c r="AT529" s="799"/>
      <c r="AU529" s="799"/>
      <c r="AV529" s="799"/>
      <c r="AW529" s="799"/>
      <c r="AX529" s="799"/>
      <c r="AY529" s="799"/>
      <c r="AZ529" s="799"/>
      <c r="BA529" s="799"/>
      <c r="BB529" s="799"/>
      <c r="BC529" s="799"/>
      <c r="BD529" s="799"/>
      <c r="BE529" s="799"/>
      <c r="BF529" s="799"/>
      <c r="BG529" s="799"/>
    </row>
    <row r="530">
      <c r="H530" s="799"/>
      <c r="I530" s="799"/>
      <c r="J530" s="799"/>
      <c r="K530" s="799"/>
      <c r="L530" s="799"/>
      <c r="M530" s="799"/>
      <c r="N530" s="799"/>
      <c r="O530" s="799"/>
      <c r="P530" s="799"/>
      <c r="Q530" s="799"/>
      <c r="R530" s="799"/>
      <c r="S530" s="799"/>
      <c r="T530" s="799"/>
      <c r="U530" s="799"/>
      <c r="V530" s="799"/>
      <c r="W530" s="799"/>
      <c r="X530" s="799"/>
      <c r="Y530" s="799"/>
      <c r="Z530" s="799"/>
      <c r="AA530" s="799"/>
      <c r="AB530" s="799"/>
      <c r="AC530" s="799"/>
      <c r="AD530" s="799"/>
      <c r="AE530" s="799"/>
      <c r="AF530" s="799"/>
      <c r="AG530" s="799"/>
      <c r="AH530" s="799"/>
      <c r="AI530" s="799"/>
      <c r="AJ530" s="799"/>
      <c r="AK530" s="799"/>
      <c r="AL530" s="799"/>
      <c r="AM530" s="799"/>
      <c r="AN530" s="799"/>
      <c r="AO530" s="799"/>
      <c r="AP530" s="799"/>
      <c r="AQ530" s="799"/>
      <c r="AR530" s="799"/>
      <c r="AS530" s="799"/>
      <c r="AT530" s="799"/>
      <c r="AU530" s="799"/>
      <c r="AV530" s="799"/>
      <c r="AW530" s="799"/>
      <c r="AX530" s="799"/>
      <c r="AY530" s="799"/>
      <c r="AZ530" s="799"/>
      <c r="BA530" s="799"/>
      <c r="BB530" s="799"/>
      <c r="BC530" s="799"/>
      <c r="BD530" s="799"/>
      <c r="BE530" s="799"/>
      <c r="BF530" s="799"/>
      <c r="BG530" s="799"/>
    </row>
    <row r="531">
      <c r="H531" s="799"/>
      <c r="I531" s="799"/>
      <c r="J531" s="799"/>
      <c r="K531" s="799"/>
      <c r="L531" s="799"/>
      <c r="M531" s="799"/>
      <c r="N531" s="799"/>
      <c r="O531" s="799"/>
      <c r="P531" s="799"/>
      <c r="Q531" s="799"/>
      <c r="R531" s="799"/>
      <c r="S531" s="799"/>
      <c r="T531" s="799"/>
      <c r="U531" s="799"/>
      <c r="V531" s="799"/>
      <c r="W531" s="799"/>
      <c r="X531" s="799"/>
      <c r="Y531" s="799"/>
      <c r="Z531" s="799"/>
      <c r="AA531" s="799"/>
      <c r="AB531" s="799"/>
      <c r="AC531" s="799"/>
      <c r="AD531" s="799"/>
      <c r="AE531" s="799"/>
      <c r="AF531" s="799"/>
      <c r="AG531" s="799"/>
      <c r="AH531" s="799"/>
      <c r="AI531" s="799"/>
      <c r="AJ531" s="799"/>
      <c r="AK531" s="799"/>
      <c r="AL531" s="799"/>
      <c r="AM531" s="799"/>
      <c r="AN531" s="799"/>
      <c r="AO531" s="799"/>
      <c r="AP531" s="799"/>
      <c r="AQ531" s="799"/>
      <c r="AR531" s="799"/>
      <c r="AS531" s="799"/>
      <c r="AT531" s="799"/>
      <c r="AU531" s="799"/>
      <c r="AV531" s="799"/>
      <c r="AW531" s="799"/>
      <c r="AX531" s="799"/>
      <c r="AY531" s="799"/>
      <c r="AZ531" s="799"/>
      <c r="BA531" s="799"/>
      <c r="BB531" s="799"/>
      <c r="BC531" s="799"/>
      <c r="BD531" s="799"/>
      <c r="BE531" s="799"/>
      <c r="BF531" s="799"/>
      <c r="BG531" s="799"/>
    </row>
    <row r="532">
      <c r="H532" s="799"/>
      <c r="I532" s="799"/>
      <c r="J532" s="799"/>
      <c r="K532" s="799"/>
      <c r="L532" s="799"/>
      <c r="M532" s="799"/>
      <c r="N532" s="799"/>
      <c r="O532" s="799"/>
      <c r="P532" s="799"/>
      <c r="Q532" s="799"/>
      <c r="R532" s="799"/>
      <c r="S532" s="799"/>
      <c r="T532" s="799"/>
      <c r="U532" s="799"/>
      <c r="V532" s="799"/>
      <c r="W532" s="799"/>
      <c r="X532" s="799"/>
      <c r="Y532" s="799"/>
      <c r="Z532" s="799"/>
      <c r="AA532" s="799"/>
      <c r="AB532" s="799"/>
      <c r="AC532" s="799"/>
      <c r="AD532" s="799"/>
      <c r="AE532" s="799"/>
      <c r="AF532" s="799"/>
      <c r="AG532" s="799"/>
      <c r="AH532" s="799"/>
      <c r="AI532" s="799"/>
      <c r="AJ532" s="799"/>
      <c r="AK532" s="799"/>
      <c r="AL532" s="799"/>
      <c r="AM532" s="799"/>
      <c r="AN532" s="799"/>
      <c r="AO532" s="799"/>
      <c r="AP532" s="799"/>
      <c r="AQ532" s="799"/>
      <c r="AR532" s="799"/>
      <c r="AS532" s="799"/>
      <c r="AT532" s="799"/>
      <c r="AU532" s="799"/>
      <c r="AV532" s="799"/>
      <c r="AW532" s="799"/>
      <c r="AX532" s="799"/>
      <c r="AY532" s="799"/>
      <c r="AZ532" s="799"/>
      <c r="BA532" s="799"/>
      <c r="BB532" s="799"/>
      <c r="BC532" s="799"/>
      <c r="BD532" s="799"/>
      <c r="BE532" s="799"/>
      <c r="BF532" s="799"/>
      <c r="BG532" s="799"/>
    </row>
    <row r="533">
      <c r="H533" s="799"/>
      <c r="I533" s="799"/>
      <c r="J533" s="799"/>
      <c r="K533" s="799"/>
      <c r="L533" s="799"/>
      <c r="M533" s="799"/>
      <c r="N533" s="799"/>
      <c r="O533" s="799"/>
      <c r="P533" s="799"/>
      <c r="Q533" s="799"/>
      <c r="R533" s="799"/>
      <c r="S533" s="799"/>
      <c r="T533" s="799"/>
      <c r="U533" s="799"/>
      <c r="V533" s="799"/>
      <c r="W533" s="799"/>
      <c r="X533" s="799"/>
      <c r="Y533" s="799"/>
      <c r="Z533" s="799"/>
      <c r="AA533" s="799"/>
      <c r="AB533" s="799"/>
      <c r="AC533" s="799"/>
      <c r="AD533" s="799"/>
      <c r="AE533" s="799"/>
      <c r="AF533" s="799"/>
      <c r="AG533" s="799"/>
      <c r="AH533" s="799"/>
      <c r="AI533" s="799"/>
      <c r="AJ533" s="799"/>
      <c r="AK533" s="799"/>
      <c r="AL533" s="799"/>
      <c r="AM533" s="799"/>
      <c r="AN533" s="799"/>
      <c r="AO533" s="799"/>
      <c r="AP533" s="799"/>
      <c r="AQ533" s="799"/>
      <c r="AR533" s="799"/>
      <c r="AS533" s="799"/>
      <c r="AT533" s="799"/>
      <c r="AU533" s="799"/>
      <c r="AV533" s="799"/>
      <c r="AW533" s="799"/>
      <c r="AX533" s="799"/>
      <c r="AY533" s="799"/>
      <c r="AZ533" s="799"/>
      <c r="BA533" s="799"/>
      <c r="BB533" s="799"/>
      <c r="BC533" s="799"/>
      <c r="BD533" s="799"/>
      <c r="BE533" s="799"/>
      <c r="BF533" s="799"/>
      <c r="BG533" s="799"/>
    </row>
    <row r="534">
      <c r="H534" s="799"/>
      <c r="I534" s="799"/>
      <c r="J534" s="799"/>
      <c r="K534" s="799"/>
      <c r="L534" s="799"/>
      <c r="M534" s="799"/>
      <c r="N534" s="799"/>
      <c r="O534" s="799"/>
      <c r="P534" s="799"/>
      <c r="Q534" s="799"/>
      <c r="R534" s="799"/>
      <c r="S534" s="799"/>
      <c r="T534" s="799"/>
      <c r="U534" s="799"/>
      <c r="V534" s="799"/>
      <c r="W534" s="799"/>
      <c r="X534" s="799"/>
      <c r="Y534" s="799"/>
      <c r="Z534" s="799"/>
      <c r="AA534" s="799"/>
      <c r="AB534" s="799"/>
      <c r="AC534" s="799"/>
      <c r="AD534" s="799"/>
      <c r="AE534" s="799"/>
      <c r="AF534" s="799"/>
      <c r="AG534" s="799"/>
      <c r="AH534" s="799"/>
      <c r="AI534" s="799"/>
      <c r="AJ534" s="799"/>
      <c r="AK534" s="799"/>
      <c r="AL534" s="799"/>
      <c r="AM534" s="799"/>
      <c r="AN534" s="799"/>
      <c r="AO534" s="799"/>
      <c r="AP534" s="799"/>
      <c r="AQ534" s="799"/>
      <c r="AR534" s="799"/>
      <c r="AS534" s="799"/>
      <c r="AT534" s="799"/>
      <c r="AU534" s="799"/>
      <c r="AV534" s="799"/>
      <c r="AW534" s="799"/>
      <c r="AX534" s="799"/>
      <c r="AY534" s="799"/>
      <c r="AZ534" s="799"/>
      <c r="BA534" s="799"/>
      <c r="BB534" s="799"/>
      <c r="BC534" s="799"/>
      <c r="BD534" s="799"/>
      <c r="BE534" s="799"/>
      <c r="BF534" s="799"/>
      <c r="BG534" s="799"/>
    </row>
    <row r="535">
      <c r="H535" s="799"/>
      <c r="I535" s="799"/>
      <c r="J535" s="799"/>
      <c r="K535" s="799"/>
      <c r="L535" s="799"/>
      <c r="M535" s="799"/>
      <c r="N535" s="799"/>
      <c r="O535" s="799"/>
      <c r="P535" s="799"/>
      <c r="Q535" s="799"/>
      <c r="R535" s="799"/>
      <c r="S535" s="799"/>
      <c r="T535" s="799"/>
      <c r="U535" s="799"/>
      <c r="V535" s="799"/>
      <c r="W535" s="799"/>
      <c r="X535" s="799"/>
      <c r="Y535" s="799"/>
      <c r="Z535" s="799"/>
      <c r="AA535" s="799"/>
      <c r="AB535" s="799"/>
      <c r="AC535" s="799"/>
      <c r="AD535" s="799"/>
      <c r="AE535" s="799"/>
      <c r="AF535" s="799"/>
      <c r="AG535" s="799"/>
      <c r="AH535" s="799"/>
      <c r="AI535" s="799"/>
      <c r="AJ535" s="799"/>
      <c r="AK535" s="799"/>
      <c r="AL535" s="799"/>
      <c r="AM535" s="799"/>
      <c r="AN535" s="799"/>
      <c r="AO535" s="799"/>
      <c r="AP535" s="799"/>
      <c r="AQ535" s="799"/>
      <c r="AR535" s="799"/>
      <c r="AS535" s="799"/>
      <c r="AT535" s="799"/>
      <c r="AU535" s="799"/>
      <c r="AV535" s="799"/>
      <c r="AW535" s="799"/>
      <c r="AX535" s="799"/>
      <c r="AY535" s="799"/>
      <c r="AZ535" s="799"/>
      <c r="BA535" s="799"/>
      <c r="BB535" s="799"/>
      <c r="BC535" s="799"/>
      <c r="BD535" s="799"/>
      <c r="BE535" s="799"/>
      <c r="BF535" s="799"/>
      <c r="BG535" s="799"/>
    </row>
    <row r="536">
      <c r="H536" s="799"/>
      <c r="I536" s="799"/>
      <c r="J536" s="799"/>
      <c r="K536" s="799"/>
      <c r="L536" s="799"/>
      <c r="M536" s="799"/>
      <c r="N536" s="799"/>
      <c r="O536" s="799"/>
      <c r="P536" s="799"/>
      <c r="Q536" s="799"/>
      <c r="R536" s="799"/>
      <c r="S536" s="799"/>
      <c r="T536" s="799"/>
      <c r="U536" s="799"/>
      <c r="V536" s="799"/>
      <c r="W536" s="799"/>
      <c r="X536" s="799"/>
      <c r="Y536" s="799"/>
      <c r="Z536" s="799"/>
      <c r="AA536" s="799"/>
      <c r="AB536" s="799"/>
      <c r="AC536" s="799"/>
      <c r="AD536" s="799"/>
      <c r="AE536" s="799"/>
      <c r="AF536" s="799"/>
      <c r="AG536" s="799"/>
      <c r="AH536" s="799"/>
      <c r="AI536" s="799"/>
      <c r="AJ536" s="799"/>
      <c r="AK536" s="799"/>
      <c r="AL536" s="799"/>
      <c r="AM536" s="799"/>
      <c r="AN536" s="799"/>
      <c r="AO536" s="799"/>
      <c r="AP536" s="799"/>
      <c r="AQ536" s="799"/>
      <c r="AR536" s="799"/>
      <c r="AS536" s="799"/>
      <c r="AT536" s="799"/>
      <c r="AU536" s="799"/>
      <c r="AV536" s="799"/>
      <c r="AW536" s="799"/>
      <c r="AX536" s="799"/>
      <c r="AY536" s="799"/>
      <c r="AZ536" s="799"/>
      <c r="BA536" s="799"/>
      <c r="BB536" s="799"/>
      <c r="BC536" s="799"/>
      <c r="BD536" s="799"/>
      <c r="BE536" s="799"/>
      <c r="BF536" s="799"/>
      <c r="BG536" s="799"/>
    </row>
    <row r="537">
      <c r="H537" s="799"/>
      <c r="I537" s="799"/>
      <c r="J537" s="799"/>
      <c r="K537" s="799"/>
      <c r="L537" s="799"/>
      <c r="M537" s="799"/>
      <c r="N537" s="799"/>
      <c r="O537" s="799"/>
      <c r="P537" s="799"/>
      <c r="Q537" s="799"/>
      <c r="R537" s="799"/>
      <c r="S537" s="799"/>
      <c r="T537" s="799"/>
      <c r="U537" s="799"/>
      <c r="V537" s="799"/>
      <c r="W537" s="799"/>
      <c r="X537" s="799"/>
      <c r="Y537" s="799"/>
      <c r="Z537" s="799"/>
      <c r="AA537" s="799"/>
      <c r="AB537" s="799"/>
      <c r="AC537" s="799"/>
      <c r="AD537" s="799"/>
      <c r="AE537" s="799"/>
      <c r="AF537" s="799"/>
      <c r="AG537" s="799"/>
      <c r="AH537" s="799"/>
      <c r="AI537" s="799"/>
      <c r="AJ537" s="799"/>
      <c r="AK537" s="799"/>
      <c r="AL537" s="799"/>
      <c r="AM537" s="799"/>
      <c r="AN537" s="799"/>
      <c r="AO537" s="799"/>
      <c r="AP537" s="799"/>
      <c r="AQ537" s="799"/>
      <c r="AR537" s="799"/>
      <c r="AS537" s="799"/>
      <c r="AT537" s="799"/>
      <c r="AU537" s="799"/>
      <c r="AV537" s="799"/>
      <c r="AW537" s="799"/>
      <c r="AX537" s="799"/>
      <c r="AY537" s="799"/>
      <c r="AZ537" s="799"/>
      <c r="BA537" s="799"/>
      <c r="BB537" s="799"/>
      <c r="BC537" s="799"/>
      <c r="BD537" s="799"/>
      <c r="BE537" s="799"/>
      <c r="BF537" s="799"/>
      <c r="BG537" s="799"/>
    </row>
    <row r="538">
      <c r="H538" s="799"/>
      <c r="I538" s="799"/>
      <c r="J538" s="799"/>
      <c r="K538" s="799"/>
      <c r="L538" s="799"/>
      <c r="M538" s="799"/>
      <c r="N538" s="799"/>
      <c r="O538" s="799"/>
      <c r="P538" s="799"/>
      <c r="Q538" s="799"/>
      <c r="R538" s="799"/>
      <c r="S538" s="799"/>
      <c r="T538" s="799"/>
      <c r="U538" s="799"/>
      <c r="V538" s="799"/>
      <c r="W538" s="799"/>
      <c r="X538" s="799"/>
      <c r="Y538" s="799"/>
      <c r="Z538" s="799"/>
      <c r="AA538" s="799"/>
      <c r="AB538" s="799"/>
      <c r="AC538" s="799"/>
      <c r="AD538" s="799"/>
      <c r="AE538" s="799"/>
      <c r="AF538" s="799"/>
      <c r="AG538" s="799"/>
      <c r="AH538" s="799"/>
      <c r="AI538" s="799"/>
      <c r="AJ538" s="799"/>
      <c r="AK538" s="799"/>
      <c r="AL538" s="799"/>
      <c r="AM538" s="799"/>
      <c r="AN538" s="799"/>
      <c r="AO538" s="799"/>
      <c r="AP538" s="799"/>
      <c r="AQ538" s="799"/>
      <c r="AR538" s="799"/>
      <c r="AS538" s="799"/>
      <c r="AT538" s="799"/>
      <c r="AU538" s="799"/>
      <c r="AV538" s="799"/>
      <c r="AW538" s="799"/>
      <c r="AX538" s="799"/>
      <c r="AY538" s="799"/>
      <c r="AZ538" s="799"/>
      <c r="BA538" s="799"/>
      <c r="BB538" s="799"/>
      <c r="BC538" s="799"/>
      <c r="BD538" s="799"/>
      <c r="BE538" s="799"/>
      <c r="BF538" s="799"/>
      <c r="BG538" s="799"/>
    </row>
    <row r="539">
      <c r="H539" s="799"/>
      <c r="I539" s="799"/>
      <c r="J539" s="799"/>
      <c r="K539" s="799"/>
      <c r="L539" s="799"/>
      <c r="M539" s="799"/>
      <c r="N539" s="799"/>
      <c r="O539" s="799"/>
      <c r="P539" s="799"/>
      <c r="Q539" s="799"/>
      <c r="R539" s="799"/>
      <c r="S539" s="799"/>
      <c r="T539" s="799"/>
      <c r="U539" s="799"/>
      <c r="V539" s="799"/>
      <c r="W539" s="799"/>
      <c r="X539" s="799"/>
      <c r="Y539" s="799"/>
      <c r="Z539" s="799"/>
      <c r="AA539" s="799"/>
      <c r="AB539" s="799"/>
      <c r="AC539" s="799"/>
      <c r="AD539" s="799"/>
      <c r="AE539" s="799"/>
      <c r="AF539" s="799"/>
      <c r="AG539" s="799"/>
      <c r="AH539" s="799"/>
      <c r="AI539" s="799"/>
      <c r="AJ539" s="799"/>
      <c r="AK539" s="799"/>
      <c r="AL539" s="799"/>
      <c r="AM539" s="799"/>
      <c r="AN539" s="799"/>
      <c r="AO539" s="799"/>
      <c r="AP539" s="799"/>
      <c r="AQ539" s="799"/>
      <c r="AR539" s="799"/>
      <c r="AS539" s="799"/>
      <c r="AT539" s="799"/>
      <c r="AU539" s="799"/>
      <c r="AV539" s="799"/>
      <c r="AW539" s="799"/>
      <c r="AX539" s="799"/>
      <c r="AY539" s="799"/>
      <c r="AZ539" s="799"/>
      <c r="BA539" s="799"/>
      <c r="BB539" s="799"/>
      <c r="BC539" s="799"/>
      <c r="BD539" s="799"/>
      <c r="BE539" s="799"/>
      <c r="BF539" s="799"/>
      <c r="BG539" s="799"/>
    </row>
    <row r="540">
      <c r="H540" s="799"/>
      <c r="I540" s="799"/>
      <c r="J540" s="799"/>
      <c r="K540" s="799"/>
      <c r="L540" s="799"/>
      <c r="M540" s="799"/>
      <c r="N540" s="799"/>
      <c r="O540" s="799"/>
      <c r="P540" s="799"/>
      <c r="Q540" s="799"/>
      <c r="R540" s="799"/>
      <c r="S540" s="799"/>
      <c r="T540" s="799"/>
      <c r="U540" s="799"/>
      <c r="V540" s="799"/>
      <c r="W540" s="799"/>
      <c r="X540" s="799"/>
      <c r="Y540" s="799"/>
      <c r="Z540" s="799"/>
      <c r="AA540" s="799"/>
      <c r="AB540" s="799"/>
      <c r="AC540" s="799"/>
      <c r="AD540" s="799"/>
      <c r="AE540" s="799"/>
      <c r="AF540" s="799"/>
      <c r="AG540" s="799"/>
      <c r="AH540" s="799"/>
      <c r="AI540" s="799"/>
      <c r="AJ540" s="799"/>
      <c r="AK540" s="799"/>
      <c r="AL540" s="799"/>
      <c r="AM540" s="799"/>
      <c r="AN540" s="799"/>
      <c r="AO540" s="799"/>
      <c r="AP540" s="799"/>
      <c r="AQ540" s="799"/>
      <c r="AR540" s="799"/>
      <c r="AS540" s="799"/>
      <c r="AT540" s="799"/>
      <c r="AU540" s="799"/>
      <c r="AV540" s="799"/>
      <c r="AW540" s="799"/>
      <c r="AX540" s="799"/>
      <c r="AY540" s="799"/>
      <c r="AZ540" s="799"/>
      <c r="BA540" s="799"/>
      <c r="BB540" s="799"/>
      <c r="BC540" s="799"/>
      <c r="BD540" s="799"/>
      <c r="BE540" s="799"/>
      <c r="BF540" s="799"/>
      <c r="BG540" s="799"/>
    </row>
    <row r="541">
      <c r="H541" s="799"/>
      <c r="I541" s="799"/>
      <c r="J541" s="799"/>
      <c r="K541" s="799"/>
      <c r="L541" s="799"/>
      <c r="M541" s="799"/>
      <c r="N541" s="799"/>
      <c r="O541" s="799"/>
      <c r="P541" s="799"/>
      <c r="Q541" s="799"/>
      <c r="R541" s="799"/>
      <c r="S541" s="799"/>
      <c r="T541" s="799"/>
      <c r="U541" s="799"/>
      <c r="V541" s="799"/>
      <c r="W541" s="799"/>
      <c r="X541" s="799"/>
      <c r="Y541" s="799"/>
      <c r="Z541" s="799"/>
      <c r="AA541" s="799"/>
      <c r="AB541" s="799"/>
      <c r="AC541" s="799"/>
      <c r="AD541" s="799"/>
      <c r="AE541" s="799"/>
      <c r="AF541" s="799"/>
      <c r="AG541" s="799"/>
      <c r="AH541" s="799"/>
      <c r="AI541" s="799"/>
      <c r="AJ541" s="799"/>
      <c r="AK541" s="799"/>
      <c r="AL541" s="799"/>
      <c r="AM541" s="799"/>
      <c r="AN541" s="799"/>
      <c r="AO541" s="799"/>
      <c r="AP541" s="799"/>
      <c r="AQ541" s="799"/>
      <c r="AR541" s="799"/>
      <c r="AS541" s="799"/>
      <c r="AT541" s="799"/>
      <c r="AU541" s="799"/>
      <c r="AV541" s="799"/>
      <c r="AW541" s="799"/>
      <c r="AX541" s="799"/>
      <c r="AY541" s="799"/>
      <c r="AZ541" s="799"/>
      <c r="BA541" s="799"/>
      <c r="BB541" s="799"/>
      <c r="BC541" s="799"/>
      <c r="BD541" s="799"/>
      <c r="BE541" s="799"/>
      <c r="BF541" s="799"/>
      <c r="BG541" s="799"/>
    </row>
    <row r="542">
      <c r="H542" s="799"/>
      <c r="I542" s="799"/>
      <c r="J542" s="799"/>
      <c r="K542" s="799"/>
      <c r="L542" s="799"/>
      <c r="M542" s="799"/>
      <c r="N542" s="799"/>
      <c r="O542" s="799"/>
      <c r="P542" s="799"/>
      <c r="Q542" s="799"/>
      <c r="R542" s="799"/>
      <c r="S542" s="799"/>
      <c r="T542" s="799"/>
      <c r="U542" s="799"/>
      <c r="V542" s="799"/>
      <c r="W542" s="799"/>
      <c r="X542" s="799"/>
      <c r="Y542" s="799"/>
      <c r="Z542" s="799"/>
      <c r="AA542" s="799"/>
      <c r="AB542" s="799"/>
      <c r="AC542" s="799"/>
      <c r="AD542" s="799"/>
      <c r="AE542" s="799"/>
      <c r="AF542" s="799"/>
      <c r="AG542" s="799"/>
      <c r="AH542" s="799"/>
      <c r="AI542" s="799"/>
      <c r="AJ542" s="799"/>
      <c r="AK542" s="799"/>
      <c r="AL542" s="799"/>
      <c r="AM542" s="799"/>
      <c r="AN542" s="799"/>
      <c r="AO542" s="799"/>
      <c r="AP542" s="799"/>
      <c r="AQ542" s="799"/>
      <c r="AR542" s="799"/>
      <c r="AS542" s="799"/>
      <c r="AT542" s="799"/>
      <c r="AU542" s="799"/>
      <c r="AV542" s="799"/>
      <c r="AW542" s="799"/>
      <c r="AX542" s="799"/>
      <c r="AY542" s="799"/>
      <c r="AZ542" s="799"/>
      <c r="BA542" s="799"/>
      <c r="BB542" s="799"/>
      <c r="BC542" s="799"/>
      <c r="BD542" s="799"/>
      <c r="BE542" s="799"/>
      <c r="BF542" s="799"/>
      <c r="BG542" s="799"/>
    </row>
    <row r="543">
      <c r="H543" s="799"/>
      <c r="I543" s="799"/>
      <c r="J543" s="799"/>
      <c r="K543" s="799"/>
      <c r="L543" s="799"/>
      <c r="M543" s="799"/>
      <c r="N543" s="799"/>
      <c r="O543" s="799"/>
      <c r="P543" s="799"/>
      <c r="Q543" s="799"/>
      <c r="R543" s="799"/>
      <c r="S543" s="799"/>
      <c r="T543" s="799"/>
      <c r="U543" s="799"/>
      <c r="V543" s="799"/>
      <c r="W543" s="799"/>
      <c r="X543" s="799"/>
      <c r="Y543" s="799"/>
      <c r="Z543" s="799"/>
      <c r="AA543" s="799"/>
      <c r="AB543" s="799"/>
      <c r="AC543" s="799"/>
      <c r="AD543" s="799"/>
      <c r="AE543" s="799"/>
      <c r="AF543" s="799"/>
      <c r="AG543" s="799"/>
      <c r="AH543" s="799"/>
      <c r="AI543" s="799"/>
      <c r="AJ543" s="799"/>
      <c r="AK543" s="799"/>
      <c r="AL543" s="799"/>
      <c r="AM543" s="799"/>
      <c r="AN543" s="799"/>
      <c r="AO543" s="799"/>
      <c r="AP543" s="799"/>
      <c r="AQ543" s="799"/>
      <c r="AR543" s="799"/>
      <c r="AS543" s="799"/>
      <c r="AT543" s="799"/>
      <c r="AU543" s="799"/>
      <c r="AV543" s="799"/>
      <c r="AW543" s="799"/>
      <c r="AX543" s="799"/>
      <c r="AY543" s="799"/>
      <c r="AZ543" s="799"/>
      <c r="BA543" s="799"/>
      <c r="BB543" s="799"/>
      <c r="BC543" s="799"/>
      <c r="BD543" s="799"/>
      <c r="BE543" s="799"/>
      <c r="BF543" s="799"/>
      <c r="BG543" s="799"/>
    </row>
    <row r="544">
      <c r="H544" s="799"/>
      <c r="I544" s="799"/>
      <c r="J544" s="799"/>
      <c r="K544" s="799"/>
      <c r="L544" s="799"/>
      <c r="M544" s="799"/>
      <c r="N544" s="799"/>
      <c r="O544" s="799"/>
      <c r="P544" s="799"/>
      <c r="Q544" s="799"/>
      <c r="R544" s="799"/>
      <c r="S544" s="799"/>
      <c r="T544" s="799"/>
      <c r="U544" s="799"/>
      <c r="V544" s="799"/>
      <c r="W544" s="799"/>
      <c r="X544" s="799"/>
      <c r="Y544" s="799"/>
      <c r="Z544" s="799"/>
      <c r="AA544" s="799"/>
      <c r="AB544" s="799"/>
      <c r="AC544" s="799"/>
      <c r="AD544" s="799"/>
      <c r="AE544" s="799"/>
      <c r="AF544" s="799"/>
      <c r="AG544" s="799"/>
      <c r="AH544" s="799"/>
      <c r="AI544" s="799"/>
      <c r="AJ544" s="799"/>
      <c r="AK544" s="799"/>
      <c r="AL544" s="799"/>
      <c r="AM544" s="799"/>
      <c r="AN544" s="799"/>
      <c r="AO544" s="799"/>
      <c r="AP544" s="799"/>
      <c r="AQ544" s="799"/>
      <c r="AR544" s="799"/>
      <c r="AS544" s="799"/>
      <c r="AT544" s="799"/>
      <c r="AU544" s="799"/>
      <c r="AV544" s="799"/>
      <c r="AW544" s="799"/>
      <c r="AX544" s="799"/>
      <c r="AY544" s="799"/>
      <c r="AZ544" s="799"/>
      <c r="BA544" s="799"/>
      <c r="BB544" s="799"/>
      <c r="BC544" s="799"/>
      <c r="BD544" s="799"/>
      <c r="BE544" s="799"/>
      <c r="BF544" s="799"/>
      <c r="BG544" s="799"/>
    </row>
    <row r="545">
      <c r="H545" s="799"/>
      <c r="I545" s="799"/>
      <c r="J545" s="799"/>
      <c r="K545" s="799"/>
      <c r="L545" s="799"/>
      <c r="M545" s="799"/>
      <c r="N545" s="799"/>
      <c r="O545" s="799"/>
      <c r="P545" s="799"/>
      <c r="Q545" s="799"/>
      <c r="R545" s="799"/>
      <c r="S545" s="799"/>
      <c r="T545" s="799"/>
      <c r="U545" s="799"/>
      <c r="V545" s="799"/>
      <c r="W545" s="799"/>
      <c r="X545" s="799"/>
      <c r="Y545" s="799"/>
      <c r="Z545" s="799"/>
      <c r="AA545" s="799"/>
      <c r="AB545" s="799"/>
      <c r="AC545" s="799"/>
      <c r="AD545" s="799"/>
      <c r="AE545" s="799"/>
      <c r="AF545" s="799"/>
      <c r="AG545" s="799"/>
      <c r="AH545" s="799"/>
      <c r="AI545" s="799"/>
      <c r="AJ545" s="799"/>
      <c r="AK545" s="799"/>
      <c r="AL545" s="799"/>
      <c r="AM545" s="799"/>
      <c r="AN545" s="799"/>
      <c r="AO545" s="799"/>
      <c r="AP545" s="799"/>
      <c r="AQ545" s="799"/>
      <c r="AR545" s="799"/>
      <c r="AS545" s="799"/>
      <c r="AT545" s="799"/>
      <c r="AU545" s="799"/>
      <c r="AV545" s="799"/>
      <c r="AW545" s="799"/>
      <c r="AX545" s="799"/>
      <c r="AY545" s="799"/>
      <c r="AZ545" s="799"/>
      <c r="BA545" s="799"/>
      <c r="BB545" s="799"/>
      <c r="BC545" s="799"/>
      <c r="BD545" s="799"/>
      <c r="BE545" s="799"/>
      <c r="BF545" s="799"/>
      <c r="BG545" s="799"/>
    </row>
    <row r="546">
      <c r="H546" s="799"/>
      <c r="I546" s="799"/>
      <c r="J546" s="799"/>
      <c r="K546" s="799"/>
      <c r="L546" s="799"/>
      <c r="M546" s="799"/>
      <c r="N546" s="799"/>
      <c r="O546" s="799"/>
      <c r="P546" s="799"/>
      <c r="Q546" s="799"/>
      <c r="R546" s="799"/>
      <c r="S546" s="799"/>
      <c r="T546" s="799"/>
      <c r="U546" s="799"/>
      <c r="V546" s="799"/>
      <c r="W546" s="799"/>
      <c r="X546" s="799"/>
      <c r="Y546" s="799"/>
      <c r="Z546" s="799"/>
      <c r="AA546" s="799"/>
      <c r="AB546" s="799"/>
      <c r="AC546" s="799"/>
      <c r="AD546" s="799"/>
      <c r="AE546" s="799"/>
      <c r="AF546" s="799"/>
      <c r="AG546" s="799"/>
      <c r="AH546" s="799"/>
      <c r="AI546" s="799"/>
      <c r="AJ546" s="799"/>
      <c r="AK546" s="799"/>
      <c r="AL546" s="799"/>
      <c r="AM546" s="799"/>
      <c r="AN546" s="799"/>
      <c r="AO546" s="799"/>
      <c r="AP546" s="799"/>
      <c r="AQ546" s="799"/>
      <c r="AR546" s="799"/>
      <c r="AS546" s="799"/>
      <c r="AT546" s="799"/>
      <c r="AU546" s="799"/>
      <c r="AV546" s="799"/>
      <c r="AW546" s="799"/>
      <c r="AX546" s="799"/>
      <c r="AY546" s="799"/>
      <c r="AZ546" s="799"/>
      <c r="BA546" s="799"/>
      <c r="BB546" s="799"/>
      <c r="BC546" s="799"/>
      <c r="BD546" s="799"/>
      <c r="BE546" s="799"/>
      <c r="BF546" s="799"/>
      <c r="BG546" s="799"/>
    </row>
    <row r="547">
      <c r="H547" s="799"/>
      <c r="I547" s="799"/>
      <c r="J547" s="799"/>
      <c r="K547" s="799"/>
      <c r="L547" s="799"/>
      <c r="M547" s="799"/>
      <c r="N547" s="799"/>
      <c r="O547" s="799"/>
      <c r="P547" s="799"/>
      <c r="Q547" s="799"/>
      <c r="R547" s="799"/>
      <c r="S547" s="799"/>
      <c r="T547" s="799"/>
      <c r="U547" s="799"/>
      <c r="V547" s="799"/>
      <c r="W547" s="799"/>
      <c r="X547" s="799"/>
      <c r="Y547" s="799"/>
      <c r="Z547" s="799"/>
      <c r="AA547" s="799"/>
      <c r="AB547" s="799"/>
      <c r="AC547" s="799"/>
      <c r="AD547" s="799"/>
      <c r="AE547" s="799"/>
      <c r="AF547" s="799"/>
      <c r="AG547" s="799"/>
      <c r="AH547" s="799"/>
      <c r="AI547" s="799"/>
      <c r="AJ547" s="799"/>
      <c r="AK547" s="799"/>
      <c r="AL547" s="799"/>
      <c r="AM547" s="799"/>
      <c r="AN547" s="799"/>
      <c r="AO547" s="799"/>
      <c r="AP547" s="799"/>
      <c r="AQ547" s="799"/>
      <c r="AR547" s="799"/>
      <c r="AS547" s="799"/>
      <c r="AT547" s="799"/>
      <c r="AU547" s="799"/>
      <c r="AV547" s="799"/>
      <c r="AW547" s="799"/>
      <c r="AX547" s="799"/>
      <c r="AY547" s="799"/>
      <c r="AZ547" s="799"/>
      <c r="BA547" s="799"/>
      <c r="BB547" s="799"/>
      <c r="BC547" s="799"/>
      <c r="BD547" s="799"/>
      <c r="BE547" s="799"/>
      <c r="BF547" s="799"/>
      <c r="BG547" s="799"/>
    </row>
    <row r="548">
      <c r="H548" s="799"/>
      <c r="I548" s="799"/>
      <c r="J548" s="799"/>
      <c r="K548" s="799"/>
      <c r="L548" s="799"/>
      <c r="M548" s="799"/>
      <c r="N548" s="799"/>
      <c r="O548" s="799"/>
      <c r="P548" s="799"/>
      <c r="Q548" s="799"/>
      <c r="R548" s="799"/>
      <c r="S548" s="799"/>
      <c r="T548" s="799"/>
      <c r="U548" s="799"/>
      <c r="V548" s="799"/>
      <c r="W548" s="799"/>
      <c r="X548" s="799"/>
      <c r="Y548" s="799"/>
      <c r="Z548" s="799"/>
      <c r="AA548" s="799"/>
      <c r="AB548" s="799"/>
      <c r="AC548" s="799"/>
      <c r="AD548" s="799"/>
      <c r="AE548" s="799"/>
      <c r="AF548" s="799"/>
      <c r="AG548" s="799"/>
      <c r="AH548" s="799"/>
      <c r="AI548" s="799"/>
      <c r="AJ548" s="799"/>
      <c r="AK548" s="799"/>
      <c r="AL548" s="799"/>
      <c r="AM548" s="799"/>
      <c r="AN548" s="799"/>
      <c r="AO548" s="799"/>
      <c r="AP548" s="799"/>
      <c r="AQ548" s="799"/>
      <c r="AR548" s="799"/>
      <c r="AS548" s="799"/>
      <c r="AT548" s="799"/>
      <c r="AU548" s="799"/>
      <c r="AV548" s="799"/>
      <c r="AW548" s="799"/>
      <c r="AX548" s="799"/>
      <c r="AY548" s="799"/>
      <c r="AZ548" s="799"/>
      <c r="BA548" s="799"/>
      <c r="BB548" s="799"/>
      <c r="BC548" s="799"/>
      <c r="BD548" s="799"/>
      <c r="BE548" s="799"/>
      <c r="BF548" s="799"/>
      <c r="BG548" s="799"/>
    </row>
    <row r="549">
      <c r="H549" s="799"/>
      <c r="I549" s="799"/>
      <c r="J549" s="799"/>
      <c r="K549" s="799"/>
      <c r="L549" s="799"/>
      <c r="M549" s="799"/>
      <c r="N549" s="799"/>
      <c r="O549" s="799"/>
      <c r="P549" s="799"/>
      <c r="Q549" s="799"/>
      <c r="R549" s="799"/>
      <c r="S549" s="799"/>
      <c r="T549" s="799"/>
      <c r="U549" s="799"/>
      <c r="V549" s="799"/>
      <c r="W549" s="799"/>
      <c r="X549" s="799"/>
      <c r="Y549" s="799"/>
      <c r="Z549" s="799"/>
      <c r="AA549" s="799"/>
      <c r="AB549" s="799"/>
      <c r="AC549" s="799"/>
      <c r="AD549" s="799"/>
      <c r="AE549" s="799"/>
      <c r="AF549" s="799"/>
      <c r="AG549" s="799"/>
      <c r="AH549" s="799"/>
      <c r="AI549" s="799"/>
      <c r="AJ549" s="799"/>
      <c r="AK549" s="799"/>
      <c r="AL549" s="799"/>
      <c r="AM549" s="799"/>
      <c r="AN549" s="799"/>
      <c r="AO549" s="799"/>
      <c r="AP549" s="799"/>
      <c r="AQ549" s="799"/>
      <c r="AR549" s="799"/>
      <c r="AS549" s="799"/>
      <c r="AT549" s="799"/>
      <c r="AU549" s="799"/>
      <c r="AV549" s="799"/>
      <c r="AW549" s="799"/>
      <c r="AX549" s="799"/>
      <c r="AY549" s="799"/>
      <c r="AZ549" s="799"/>
      <c r="BA549" s="799"/>
      <c r="BB549" s="799"/>
      <c r="BC549" s="799"/>
      <c r="BD549" s="799"/>
      <c r="BE549" s="799"/>
      <c r="BF549" s="799"/>
      <c r="BG549" s="799"/>
    </row>
    <row r="550">
      <c r="H550" s="799"/>
      <c r="I550" s="799"/>
      <c r="J550" s="799"/>
      <c r="K550" s="799"/>
      <c r="L550" s="799"/>
      <c r="M550" s="799"/>
      <c r="N550" s="799"/>
      <c r="O550" s="799"/>
      <c r="P550" s="799"/>
      <c r="Q550" s="799"/>
      <c r="R550" s="799"/>
      <c r="S550" s="799"/>
      <c r="T550" s="799"/>
      <c r="U550" s="799"/>
      <c r="V550" s="799"/>
      <c r="W550" s="799"/>
      <c r="X550" s="799"/>
      <c r="Y550" s="799"/>
      <c r="Z550" s="799"/>
      <c r="AA550" s="799"/>
      <c r="AB550" s="799"/>
      <c r="AC550" s="799"/>
      <c r="AD550" s="799"/>
      <c r="AE550" s="799"/>
      <c r="AF550" s="799"/>
      <c r="AG550" s="799"/>
      <c r="AH550" s="799"/>
      <c r="AI550" s="799"/>
      <c r="AJ550" s="799"/>
      <c r="AK550" s="799"/>
      <c r="AL550" s="799"/>
      <c r="AM550" s="799"/>
      <c r="AN550" s="799"/>
      <c r="AO550" s="799"/>
      <c r="AP550" s="799"/>
      <c r="AQ550" s="799"/>
      <c r="AR550" s="799"/>
      <c r="AS550" s="799"/>
      <c r="AT550" s="799"/>
      <c r="AU550" s="799"/>
      <c r="AV550" s="799"/>
      <c r="AW550" s="799"/>
      <c r="AX550" s="799"/>
      <c r="AY550" s="799"/>
      <c r="AZ550" s="799"/>
      <c r="BA550" s="799"/>
      <c r="BB550" s="799"/>
      <c r="BC550" s="799"/>
      <c r="BD550" s="799"/>
      <c r="BE550" s="799"/>
      <c r="BF550" s="799"/>
      <c r="BG550" s="799"/>
    </row>
    <row r="551">
      <c r="H551" s="799"/>
      <c r="I551" s="799"/>
      <c r="J551" s="799"/>
      <c r="K551" s="799"/>
      <c r="L551" s="799"/>
      <c r="M551" s="799"/>
      <c r="N551" s="799"/>
      <c r="O551" s="799"/>
      <c r="P551" s="799"/>
      <c r="Q551" s="799"/>
      <c r="R551" s="799"/>
      <c r="S551" s="799"/>
      <c r="T551" s="799"/>
      <c r="U551" s="799"/>
      <c r="V551" s="799"/>
      <c r="W551" s="799"/>
      <c r="X551" s="799"/>
      <c r="Y551" s="799"/>
      <c r="Z551" s="799"/>
      <c r="AA551" s="799"/>
      <c r="AB551" s="799"/>
      <c r="AC551" s="799"/>
      <c r="AD551" s="799"/>
      <c r="AE551" s="799"/>
      <c r="AF551" s="799"/>
      <c r="AG551" s="799"/>
      <c r="AH551" s="799"/>
      <c r="AI551" s="799"/>
      <c r="AJ551" s="799"/>
      <c r="AK551" s="799"/>
      <c r="AL551" s="799"/>
      <c r="AM551" s="799"/>
      <c r="AN551" s="799"/>
      <c r="AO551" s="799"/>
      <c r="AP551" s="799"/>
      <c r="AQ551" s="799"/>
      <c r="AR551" s="799"/>
      <c r="AS551" s="799"/>
      <c r="AT551" s="799"/>
      <c r="AU551" s="799"/>
      <c r="AV551" s="799"/>
      <c r="AW551" s="799"/>
      <c r="AX551" s="799"/>
      <c r="AY551" s="799"/>
      <c r="AZ551" s="799"/>
      <c r="BA551" s="799"/>
      <c r="BB551" s="799"/>
      <c r="BC551" s="799"/>
      <c r="BD551" s="799"/>
      <c r="BE551" s="799"/>
      <c r="BF551" s="799"/>
      <c r="BG551" s="799"/>
    </row>
    <row r="552">
      <c r="H552" s="799"/>
      <c r="I552" s="799"/>
      <c r="J552" s="799"/>
      <c r="K552" s="799"/>
      <c r="L552" s="799"/>
      <c r="M552" s="799"/>
      <c r="N552" s="799"/>
      <c r="O552" s="799"/>
      <c r="P552" s="799"/>
      <c r="Q552" s="799"/>
      <c r="R552" s="799"/>
      <c r="S552" s="799"/>
      <c r="T552" s="799"/>
      <c r="U552" s="799"/>
      <c r="V552" s="799"/>
      <c r="W552" s="799"/>
      <c r="X552" s="799"/>
      <c r="Y552" s="799"/>
      <c r="Z552" s="799"/>
      <c r="AA552" s="799"/>
      <c r="AB552" s="799"/>
      <c r="AC552" s="799"/>
      <c r="AD552" s="799"/>
      <c r="AE552" s="799"/>
      <c r="AF552" s="799"/>
      <c r="AG552" s="799"/>
      <c r="AH552" s="799"/>
      <c r="AI552" s="799"/>
      <c r="AJ552" s="799"/>
      <c r="AK552" s="799"/>
      <c r="AL552" s="799"/>
      <c r="AM552" s="799"/>
      <c r="AN552" s="799"/>
      <c r="AO552" s="799"/>
      <c r="AP552" s="799"/>
      <c r="AQ552" s="799"/>
      <c r="AR552" s="799"/>
      <c r="AS552" s="799"/>
      <c r="AT552" s="799"/>
      <c r="AU552" s="799"/>
      <c r="AV552" s="799"/>
      <c r="AW552" s="799"/>
      <c r="AX552" s="799"/>
      <c r="AY552" s="799"/>
      <c r="AZ552" s="799"/>
      <c r="BA552" s="799"/>
      <c r="BB552" s="799"/>
      <c r="BC552" s="799"/>
      <c r="BD552" s="799"/>
      <c r="BE552" s="799"/>
      <c r="BF552" s="799"/>
      <c r="BG552" s="799"/>
    </row>
    <row r="553">
      <c r="H553" s="799"/>
      <c r="I553" s="799"/>
      <c r="J553" s="799"/>
      <c r="K553" s="799"/>
      <c r="L553" s="799"/>
      <c r="M553" s="799"/>
      <c r="N553" s="799"/>
      <c r="O553" s="799"/>
      <c r="P553" s="799"/>
      <c r="Q553" s="799"/>
      <c r="R553" s="799"/>
      <c r="S553" s="799"/>
      <c r="T553" s="799"/>
      <c r="U553" s="799"/>
      <c r="V553" s="799"/>
      <c r="W553" s="799"/>
      <c r="X553" s="799"/>
      <c r="Y553" s="799"/>
      <c r="Z553" s="799"/>
      <c r="AA553" s="799"/>
      <c r="AB553" s="799"/>
      <c r="AC553" s="799"/>
      <c r="AD553" s="799"/>
      <c r="AE553" s="799"/>
      <c r="AF553" s="799"/>
      <c r="AG553" s="799"/>
      <c r="AH553" s="799"/>
      <c r="AI553" s="799"/>
      <c r="AJ553" s="799"/>
      <c r="AK553" s="799"/>
      <c r="AL553" s="799"/>
      <c r="AM553" s="799"/>
      <c r="AN553" s="799"/>
      <c r="AO553" s="799"/>
      <c r="AP553" s="799"/>
      <c r="AQ553" s="799"/>
      <c r="AR553" s="799"/>
      <c r="AS553" s="799"/>
      <c r="AT553" s="799"/>
      <c r="AU553" s="799"/>
      <c r="AV553" s="799"/>
      <c r="AW553" s="799"/>
      <c r="AX553" s="799"/>
      <c r="AY553" s="799"/>
      <c r="AZ553" s="799"/>
      <c r="BA553" s="799"/>
      <c r="BB553" s="799"/>
      <c r="BC553" s="799"/>
      <c r="BD553" s="799"/>
      <c r="BE553" s="799"/>
      <c r="BF553" s="799"/>
      <c r="BG553" s="799"/>
    </row>
    <row r="554">
      <c r="H554" s="799"/>
      <c r="I554" s="799"/>
      <c r="J554" s="799"/>
      <c r="K554" s="799"/>
      <c r="L554" s="799"/>
      <c r="M554" s="799"/>
      <c r="N554" s="799"/>
      <c r="O554" s="799"/>
      <c r="P554" s="799"/>
      <c r="Q554" s="799"/>
      <c r="R554" s="799"/>
      <c r="S554" s="799"/>
      <c r="T554" s="799"/>
      <c r="U554" s="799"/>
      <c r="V554" s="799"/>
      <c r="W554" s="799"/>
      <c r="X554" s="799"/>
      <c r="Y554" s="799"/>
      <c r="Z554" s="799"/>
      <c r="AA554" s="799"/>
      <c r="AB554" s="799"/>
      <c r="AC554" s="799"/>
      <c r="AD554" s="799"/>
      <c r="AE554" s="799"/>
      <c r="AF554" s="799"/>
      <c r="AG554" s="799"/>
      <c r="AH554" s="799"/>
      <c r="AI554" s="799"/>
      <c r="AJ554" s="799"/>
      <c r="AK554" s="799"/>
      <c r="AL554" s="799"/>
      <c r="AM554" s="799"/>
      <c r="AN554" s="799"/>
      <c r="AO554" s="799"/>
      <c r="AP554" s="799"/>
      <c r="AQ554" s="799"/>
      <c r="AR554" s="799"/>
      <c r="AS554" s="799"/>
      <c r="AT554" s="799"/>
      <c r="AU554" s="799"/>
      <c r="AV554" s="799"/>
      <c r="AW554" s="799"/>
      <c r="AX554" s="799"/>
      <c r="AY554" s="799"/>
      <c r="AZ554" s="799"/>
      <c r="BA554" s="799"/>
      <c r="BB554" s="799"/>
      <c r="BC554" s="799"/>
      <c r="BD554" s="799"/>
      <c r="BE554" s="799"/>
      <c r="BF554" s="799"/>
      <c r="BG554" s="799"/>
    </row>
    <row r="555">
      <c r="H555" s="799"/>
      <c r="I555" s="799"/>
      <c r="J555" s="799"/>
      <c r="K555" s="799"/>
      <c r="L555" s="799"/>
      <c r="M555" s="799"/>
      <c r="N555" s="799"/>
      <c r="O555" s="799"/>
      <c r="P555" s="799"/>
      <c r="Q555" s="799"/>
      <c r="R555" s="799"/>
      <c r="S555" s="799"/>
      <c r="T555" s="799"/>
      <c r="U555" s="799"/>
      <c r="V555" s="799"/>
      <c r="W555" s="799"/>
      <c r="X555" s="799"/>
      <c r="Y555" s="799"/>
      <c r="Z555" s="799"/>
      <c r="AA555" s="799"/>
      <c r="AB555" s="799"/>
      <c r="AC555" s="799"/>
      <c r="AD555" s="799"/>
      <c r="AE555" s="799"/>
      <c r="AF555" s="799"/>
      <c r="AG555" s="799"/>
      <c r="AH555" s="799"/>
      <c r="AI555" s="799"/>
      <c r="AJ555" s="799"/>
      <c r="AK555" s="799"/>
      <c r="AL555" s="799"/>
      <c r="AM555" s="799"/>
      <c r="AN555" s="799"/>
      <c r="AO555" s="799"/>
      <c r="AP555" s="799"/>
      <c r="AQ555" s="799"/>
      <c r="AR555" s="799"/>
      <c r="AS555" s="799"/>
      <c r="AT555" s="799"/>
      <c r="AU555" s="799"/>
      <c r="AV555" s="799"/>
      <c r="AW555" s="799"/>
      <c r="AX555" s="799"/>
      <c r="AY555" s="799"/>
      <c r="AZ555" s="799"/>
      <c r="BA555" s="799"/>
      <c r="BB555" s="799"/>
      <c r="BC555" s="799"/>
      <c r="BD555" s="799"/>
      <c r="BE555" s="799"/>
      <c r="BF555" s="799"/>
      <c r="BG555" s="799"/>
    </row>
    <row r="556">
      <c r="H556" s="799"/>
      <c r="I556" s="799"/>
      <c r="J556" s="799"/>
      <c r="K556" s="799"/>
      <c r="L556" s="799"/>
      <c r="M556" s="799"/>
      <c r="N556" s="799"/>
      <c r="O556" s="799"/>
      <c r="P556" s="799"/>
      <c r="Q556" s="799"/>
      <c r="R556" s="799"/>
      <c r="S556" s="799"/>
      <c r="T556" s="799"/>
      <c r="U556" s="799"/>
      <c r="V556" s="799"/>
      <c r="W556" s="799"/>
      <c r="X556" s="799"/>
      <c r="Y556" s="799"/>
      <c r="Z556" s="799"/>
      <c r="AA556" s="799"/>
      <c r="AB556" s="799"/>
      <c r="AC556" s="799"/>
      <c r="AD556" s="799"/>
      <c r="AE556" s="799"/>
      <c r="AF556" s="799"/>
      <c r="AG556" s="799"/>
      <c r="AH556" s="799"/>
      <c r="AI556" s="799"/>
      <c r="AJ556" s="799"/>
      <c r="AK556" s="799"/>
      <c r="AL556" s="799"/>
      <c r="AM556" s="799"/>
      <c r="AN556" s="799"/>
      <c r="AO556" s="799"/>
      <c r="AP556" s="799"/>
      <c r="AQ556" s="799"/>
      <c r="AR556" s="799"/>
      <c r="AS556" s="799"/>
      <c r="AT556" s="799"/>
      <c r="AU556" s="799"/>
      <c r="AV556" s="799"/>
      <c r="AW556" s="799"/>
      <c r="AX556" s="799"/>
      <c r="AY556" s="799"/>
      <c r="AZ556" s="799"/>
      <c r="BA556" s="799"/>
      <c r="BB556" s="799"/>
      <c r="BC556" s="799"/>
      <c r="BD556" s="799"/>
      <c r="BE556" s="799"/>
      <c r="BF556" s="799"/>
      <c r="BG556" s="799"/>
    </row>
    <row r="557">
      <c r="H557" s="799"/>
      <c r="I557" s="799"/>
      <c r="J557" s="799"/>
      <c r="K557" s="799"/>
      <c r="L557" s="799"/>
      <c r="M557" s="799"/>
      <c r="N557" s="799"/>
      <c r="O557" s="799"/>
      <c r="P557" s="799"/>
      <c r="Q557" s="799"/>
      <c r="R557" s="799"/>
      <c r="S557" s="799"/>
      <c r="T557" s="799"/>
      <c r="U557" s="799"/>
      <c r="V557" s="799"/>
      <c r="W557" s="799"/>
      <c r="X557" s="799"/>
      <c r="Y557" s="799"/>
      <c r="Z557" s="799"/>
      <c r="AA557" s="799"/>
      <c r="AB557" s="799"/>
      <c r="AC557" s="799"/>
      <c r="AD557" s="799"/>
      <c r="AE557" s="799"/>
      <c r="AF557" s="799"/>
      <c r="AG557" s="799"/>
      <c r="AH557" s="799"/>
      <c r="AI557" s="799"/>
      <c r="AJ557" s="799"/>
      <c r="AK557" s="799"/>
      <c r="AL557" s="799"/>
      <c r="AM557" s="799"/>
      <c r="AN557" s="799"/>
      <c r="AO557" s="799"/>
      <c r="AP557" s="799"/>
      <c r="AQ557" s="799"/>
      <c r="AR557" s="799"/>
      <c r="AS557" s="799"/>
      <c r="AT557" s="799"/>
      <c r="AU557" s="799"/>
      <c r="AV557" s="799"/>
      <c r="AW557" s="799"/>
      <c r="AX557" s="799"/>
      <c r="AY557" s="799"/>
      <c r="AZ557" s="799"/>
      <c r="BA557" s="799"/>
      <c r="BB557" s="799"/>
      <c r="BC557" s="799"/>
      <c r="BD557" s="799"/>
      <c r="BE557" s="799"/>
      <c r="BF557" s="799"/>
      <c r="BG557" s="799"/>
    </row>
    <row r="558">
      <c r="H558" s="799"/>
      <c r="I558" s="799"/>
      <c r="J558" s="799"/>
      <c r="K558" s="799"/>
      <c r="L558" s="799"/>
      <c r="M558" s="799"/>
      <c r="N558" s="799"/>
      <c r="O558" s="799"/>
      <c r="P558" s="799"/>
      <c r="Q558" s="799"/>
      <c r="R558" s="799"/>
      <c r="S558" s="799"/>
      <c r="T558" s="799"/>
      <c r="U558" s="799"/>
      <c r="V558" s="799"/>
      <c r="W558" s="799"/>
      <c r="X558" s="799"/>
      <c r="Y558" s="799"/>
      <c r="Z558" s="799"/>
      <c r="AA558" s="799"/>
      <c r="AB558" s="799"/>
      <c r="AC558" s="799"/>
      <c r="AD558" s="799"/>
      <c r="AE558" s="799"/>
      <c r="AF558" s="799"/>
      <c r="AG558" s="799"/>
      <c r="AH558" s="799"/>
      <c r="AI558" s="799"/>
      <c r="AJ558" s="799"/>
      <c r="AK558" s="799"/>
      <c r="AL558" s="799"/>
      <c r="AM558" s="799"/>
      <c r="AN558" s="799"/>
      <c r="AO558" s="799"/>
      <c r="AP558" s="799"/>
      <c r="AQ558" s="799"/>
      <c r="AR558" s="799"/>
      <c r="AS558" s="799"/>
      <c r="AT558" s="799"/>
      <c r="AU558" s="799"/>
      <c r="AV558" s="799"/>
      <c r="AW558" s="799"/>
      <c r="AX558" s="799"/>
      <c r="AY558" s="799"/>
      <c r="AZ558" s="799"/>
      <c r="BA558" s="799"/>
      <c r="BB558" s="799"/>
      <c r="BC558" s="799"/>
      <c r="BD558" s="799"/>
      <c r="BE558" s="799"/>
      <c r="BF558" s="799"/>
      <c r="BG558" s="799"/>
    </row>
    <row r="559">
      <c r="H559" s="799"/>
      <c r="I559" s="799"/>
      <c r="J559" s="799"/>
      <c r="K559" s="799"/>
      <c r="L559" s="799"/>
      <c r="M559" s="799"/>
      <c r="N559" s="799"/>
      <c r="O559" s="799"/>
      <c r="P559" s="799"/>
      <c r="Q559" s="799"/>
      <c r="R559" s="799"/>
      <c r="S559" s="799"/>
      <c r="T559" s="799"/>
      <c r="U559" s="799"/>
      <c r="V559" s="799"/>
      <c r="W559" s="799"/>
      <c r="X559" s="799"/>
      <c r="Y559" s="799"/>
      <c r="Z559" s="799"/>
      <c r="AA559" s="799"/>
      <c r="AB559" s="799"/>
      <c r="AC559" s="799"/>
      <c r="AD559" s="799"/>
      <c r="AE559" s="799"/>
      <c r="AF559" s="799"/>
      <c r="AG559" s="799"/>
      <c r="AH559" s="799"/>
      <c r="AI559" s="799"/>
      <c r="AJ559" s="799"/>
      <c r="AK559" s="799"/>
      <c r="AL559" s="799"/>
      <c r="AM559" s="799"/>
      <c r="AN559" s="799"/>
      <c r="AO559" s="799"/>
      <c r="AP559" s="799"/>
      <c r="AQ559" s="799"/>
      <c r="AR559" s="799"/>
      <c r="AS559" s="799"/>
      <c r="AT559" s="799"/>
      <c r="AU559" s="799"/>
      <c r="AV559" s="799"/>
      <c r="AW559" s="799"/>
      <c r="AX559" s="799"/>
      <c r="AY559" s="799"/>
      <c r="AZ559" s="799"/>
      <c r="BA559" s="799"/>
      <c r="BB559" s="799"/>
      <c r="BC559" s="799"/>
      <c r="BD559" s="799"/>
      <c r="BE559" s="799"/>
      <c r="BF559" s="799"/>
      <c r="BG559" s="799"/>
    </row>
    <row r="560">
      <c r="H560" s="799"/>
      <c r="I560" s="799"/>
      <c r="J560" s="799"/>
      <c r="K560" s="799"/>
      <c r="L560" s="799"/>
      <c r="M560" s="799"/>
      <c r="N560" s="799"/>
      <c r="O560" s="799"/>
      <c r="P560" s="799"/>
      <c r="Q560" s="799"/>
      <c r="R560" s="799"/>
      <c r="S560" s="799"/>
      <c r="T560" s="799"/>
      <c r="U560" s="799"/>
      <c r="V560" s="799"/>
      <c r="W560" s="799"/>
      <c r="X560" s="799"/>
      <c r="Y560" s="799"/>
      <c r="Z560" s="799"/>
      <c r="AA560" s="799"/>
      <c r="AB560" s="799"/>
      <c r="AC560" s="799"/>
      <c r="AD560" s="799"/>
      <c r="AE560" s="799"/>
      <c r="AF560" s="799"/>
      <c r="AG560" s="799"/>
      <c r="AH560" s="799"/>
      <c r="AI560" s="799"/>
      <c r="AJ560" s="799"/>
      <c r="AK560" s="799"/>
      <c r="AL560" s="799"/>
      <c r="AM560" s="799"/>
      <c r="AN560" s="799"/>
      <c r="AO560" s="799"/>
      <c r="AP560" s="799"/>
      <c r="AQ560" s="799"/>
      <c r="AR560" s="799"/>
      <c r="AS560" s="799"/>
      <c r="AT560" s="799"/>
      <c r="AU560" s="799"/>
      <c r="AV560" s="799"/>
      <c r="AW560" s="799"/>
      <c r="AX560" s="799"/>
      <c r="AY560" s="799"/>
      <c r="AZ560" s="799"/>
      <c r="BA560" s="799"/>
      <c r="BB560" s="799"/>
      <c r="BC560" s="799"/>
      <c r="BD560" s="799"/>
      <c r="BE560" s="799"/>
      <c r="BF560" s="799"/>
      <c r="BG560" s="799"/>
    </row>
    <row r="561">
      <c r="H561" s="799"/>
      <c r="I561" s="799"/>
      <c r="J561" s="799"/>
      <c r="K561" s="799"/>
      <c r="L561" s="799"/>
      <c r="M561" s="799"/>
      <c r="N561" s="799"/>
      <c r="O561" s="799"/>
      <c r="P561" s="799"/>
      <c r="Q561" s="799"/>
      <c r="R561" s="799"/>
      <c r="S561" s="799"/>
      <c r="T561" s="799"/>
      <c r="U561" s="799"/>
      <c r="V561" s="799"/>
      <c r="W561" s="799"/>
      <c r="X561" s="799"/>
      <c r="Y561" s="799"/>
      <c r="Z561" s="799"/>
      <c r="AA561" s="799"/>
      <c r="AB561" s="799"/>
      <c r="AC561" s="799"/>
      <c r="AD561" s="799"/>
      <c r="AE561" s="799"/>
      <c r="AF561" s="799"/>
      <c r="AG561" s="799"/>
      <c r="AH561" s="799"/>
      <c r="AI561" s="799"/>
      <c r="AJ561" s="799"/>
      <c r="AK561" s="799"/>
      <c r="AL561" s="799"/>
      <c r="AM561" s="799"/>
      <c r="AN561" s="799"/>
      <c r="AO561" s="799"/>
      <c r="AP561" s="799"/>
      <c r="AQ561" s="799"/>
      <c r="AR561" s="799"/>
      <c r="AS561" s="799"/>
      <c r="AT561" s="799"/>
      <c r="AU561" s="799"/>
      <c r="AV561" s="799"/>
      <c r="AW561" s="799"/>
      <c r="AX561" s="799"/>
      <c r="AY561" s="799"/>
      <c r="AZ561" s="799"/>
      <c r="BA561" s="799"/>
      <c r="BB561" s="799"/>
      <c r="BC561" s="799"/>
      <c r="BD561" s="799"/>
      <c r="BE561" s="799"/>
      <c r="BF561" s="799"/>
      <c r="BG561" s="799"/>
    </row>
    <row r="562">
      <c r="H562" s="799"/>
      <c r="I562" s="799"/>
      <c r="J562" s="799"/>
      <c r="K562" s="799"/>
      <c r="L562" s="799"/>
      <c r="M562" s="799"/>
      <c r="N562" s="799"/>
      <c r="O562" s="799"/>
      <c r="P562" s="799"/>
      <c r="Q562" s="799"/>
      <c r="R562" s="799"/>
      <c r="S562" s="799"/>
      <c r="T562" s="799"/>
      <c r="U562" s="799"/>
      <c r="V562" s="799"/>
      <c r="W562" s="799"/>
      <c r="X562" s="799"/>
      <c r="Y562" s="799"/>
      <c r="Z562" s="799"/>
      <c r="AA562" s="799"/>
      <c r="AB562" s="799"/>
      <c r="AC562" s="799"/>
      <c r="AD562" s="799"/>
      <c r="AE562" s="799"/>
      <c r="AF562" s="799"/>
      <c r="AG562" s="799"/>
      <c r="AH562" s="799"/>
      <c r="AI562" s="799"/>
      <c r="AJ562" s="799"/>
      <c r="AK562" s="799"/>
      <c r="AL562" s="799"/>
      <c r="AM562" s="799"/>
      <c r="AN562" s="799"/>
      <c r="AO562" s="799"/>
      <c r="AP562" s="799"/>
      <c r="AQ562" s="799"/>
      <c r="AR562" s="799"/>
      <c r="AS562" s="799"/>
      <c r="AT562" s="799"/>
      <c r="AU562" s="799"/>
      <c r="AV562" s="799"/>
      <c r="AW562" s="799"/>
      <c r="AX562" s="799"/>
      <c r="AY562" s="799"/>
      <c r="AZ562" s="799"/>
      <c r="BA562" s="799"/>
      <c r="BB562" s="799"/>
      <c r="BC562" s="799"/>
      <c r="BD562" s="799"/>
      <c r="BE562" s="799"/>
      <c r="BF562" s="799"/>
      <c r="BG562" s="799"/>
    </row>
    <row r="563">
      <c r="H563" s="799"/>
      <c r="I563" s="799"/>
      <c r="J563" s="799"/>
      <c r="K563" s="799"/>
      <c r="L563" s="799"/>
      <c r="M563" s="799"/>
      <c r="N563" s="799"/>
      <c r="O563" s="799"/>
      <c r="P563" s="799"/>
      <c r="Q563" s="799"/>
      <c r="R563" s="799"/>
      <c r="S563" s="799"/>
      <c r="T563" s="799"/>
      <c r="U563" s="799"/>
      <c r="V563" s="799"/>
      <c r="W563" s="799"/>
      <c r="X563" s="799"/>
      <c r="Y563" s="799"/>
      <c r="Z563" s="799"/>
      <c r="AA563" s="799"/>
      <c r="AB563" s="799"/>
      <c r="AC563" s="799"/>
      <c r="AD563" s="799"/>
      <c r="AE563" s="799"/>
      <c r="AF563" s="799"/>
      <c r="AG563" s="799"/>
      <c r="AH563" s="799"/>
      <c r="AI563" s="799"/>
      <c r="AJ563" s="799"/>
      <c r="AK563" s="799"/>
      <c r="AL563" s="799"/>
      <c r="AM563" s="799"/>
      <c r="AN563" s="799"/>
      <c r="AO563" s="799"/>
      <c r="AP563" s="799"/>
      <c r="AQ563" s="799"/>
      <c r="AR563" s="799"/>
      <c r="AS563" s="799"/>
      <c r="AT563" s="799"/>
      <c r="AU563" s="799"/>
      <c r="AV563" s="799"/>
      <c r="AW563" s="799"/>
      <c r="AX563" s="799"/>
      <c r="AY563" s="799"/>
      <c r="AZ563" s="799"/>
      <c r="BA563" s="799"/>
      <c r="BB563" s="799"/>
      <c r="BC563" s="799"/>
      <c r="BD563" s="799"/>
      <c r="BE563" s="799"/>
      <c r="BF563" s="799"/>
      <c r="BG563" s="799"/>
    </row>
    <row r="564">
      <c r="H564" s="799"/>
      <c r="I564" s="799"/>
      <c r="J564" s="799"/>
      <c r="K564" s="799"/>
      <c r="L564" s="799"/>
      <c r="M564" s="799"/>
      <c r="N564" s="799"/>
      <c r="O564" s="799"/>
      <c r="P564" s="799"/>
      <c r="Q564" s="799"/>
      <c r="R564" s="799"/>
      <c r="S564" s="799"/>
      <c r="T564" s="799"/>
      <c r="U564" s="799"/>
      <c r="V564" s="799"/>
      <c r="W564" s="799"/>
      <c r="X564" s="799"/>
      <c r="Y564" s="799"/>
      <c r="Z564" s="799"/>
      <c r="AA564" s="799"/>
      <c r="AB564" s="799"/>
      <c r="AC564" s="799"/>
      <c r="AD564" s="799"/>
      <c r="AE564" s="799"/>
      <c r="AF564" s="799"/>
      <c r="AG564" s="799"/>
      <c r="AH564" s="799"/>
      <c r="AI564" s="799"/>
      <c r="AJ564" s="799"/>
      <c r="AK564" s="799"/>
      <c r="AL564" s="799"/>
      <c r="AM564" s="799"/>
      <c r="AN564" s="799"/>
      <c r="AO564" s="799"/>
      <c r="AP564" s="799"/>
      <c r="AQ564" s="799"/>
      <c r="AR564" s="799"/>
      <c r="AS564" s="799"/>
      <c r="AT564" s="799"/>
      <c r="AU564" s="799"/>
      <c r="AV564" s="799"/>
      <c r="AW564" s="799"/>
      <c r="AX564" s="799"/>
      <c r="AY564" s="799"/>
      <c r="AZ564" s="799"/>
      <c r="BA564" s="799"/>
      <c r="BB564" s="799"/>
      <c r="BC564" s="799"/>
      <c r="BD564" s="799"/>
      <c r="BE564" s="799"/>
      <c r="BF564" s="799"/>
      <c r="BG564" s="799"/>
    </row>
    <row r="565">
      <c r="H565" s="799"/>
      <c r="I565" s="799"/>
      <c r="J565" s="799"/>
      <c r="K565" s="799"/>
      <c r="L565" s="799"/>
      <c r="M565" s="799"/>
      <c r="N565" s="799"/>
      <c r="O565" s="799"/>
      <c r="P565" s="799"/>
      <c r="Q565" s="799"/>
      <c r="R565" s="799"/>
      <c r="S565" s="799"/>
      <c r="T565" s="799"/>
      <c r="U565" s="799"/>
      <c r="V565" s="799"/>
      <c r="W565" s="799"/>
      <c r="X565" s="799"/>
      <c r="Y565" s="799"/>
      <c r="Z565" s="799"/>
      <c r="AA565" s="799"/>
      <c r="AB565" s="799"/>
      <c r="AC565" s="799"/>
      <c r="AD565" s="799"/>
      <c r="AE565" s="799"/>
      <c r="AF565" s="799"/>
      <c r="AG565" s="799"/>
      <c r="AH565" s="799"/>
      <c r="AI565" s="799"/>
      <c r="AJ565" s="799"/>
      <c r="AK565" s="799"/>
      <c r="AL565" s="799"/>
      <c r="AM565" s="799"/>
      <c r="AN565" s="799"/>
      <c r="AO565" s="799"/>
      <c r="AP565" s="799"/>
      <c r="AQ565" s="799"/>
      <c r="AR565" s="799"/>
      <c r="AS565" s="799"/>
      <c r="AT565" s="799"/>
      <c r="AU565" s="799"/>
      <c r="AV565" s="799"/>
      <c r="AW565" s="799"/>
      <c r="AX565" s="799"/>
      <c r="AY565" s="799"/>
      <c r="AZ565" s="799"/>
      <c r="BA565" s="799"/>
      <c r="BB565" s="799"/>
      <c r="BC565" s="799"/>
      <c r="BD565" s="799"/>
      <c r="BE565" s="799"/>
      <c r="BF565" s="799"/>
      <c r="BG565" s="799"/>
    </row>
    <row r="566">
      <c r="H566" s="799"/>
      <c r="I566" s="799"/>
      <c r="J566" s="799"/>
      <c r="K566" s="799"/>
      <c r="L566" s="799"/>
      <c r="M566" s="799"/>
      <c r="N566" s="799"/>
      <c r="O566" s="799"/>
      <c r="P566" s="799"/>
      <c r="Q566" s="799"/>
      <c r="R566" s="799"/>
      <c r="S566" s="799"/>
      <c r="T566" s="799"/>
      <c r="U566" s="799"/>
      <c r="V566" s="799"/>
      <c r="W566" s="799"/>
      <c r="X566" s="799"/>
      <c r="Y566" s="799"/>
      <c r="Z566" s="799"/>
      <c r="AA566" s="799"/>
      <c r="AB566" s="799"/>
      <c r="AC566" s="799"/>
      <c r="AD566" s="799"/>
      <c r="AE566" s="799"/>
      <c r="AF566" s="799"/>
      <c r="AG566" s="799"/>
      <c r="AH566" s="799"/>
      <c r="AI566" s="799"/>
      <c r="AJ566" s="799"/>
      <c r="AK566" s="799"/>
      <c r="AL566" s="799"/>
      <c r="AM566" s="799"/>
      <c r="AN566" s="799"/>
      <c r="AO566" s="799"/>
      <c r="AP566" s="799"/>
      <c r="AQ566" s="799"/>
      <c r="AR566" s="799"/>
      <c r="AS566" s="799"/>
      <c r="AT566" s="799"/>
      <c r="AU566" s="799"/>
      <c r="AV566" s="799"/>
      <c r="AW566" s="799"/>
      <c r="AX566" s="799"/>
      <c r="AY566" s="799"/>
      <c r="AZ566" s="799"/>
      <c r="BA566" s="799"/>
      <c r="BB566" s="799"/>
      <c r="BC566" s="799"/>
      <c r="BD566" s="799"/>
      <c r="BE566" s="799"/>
      <c r="BF566" s="799"/>
      <c r="BG566" s="799"/>
    </row>
    <row r="567">
      <c r="H567" s="799"/>
      <c r="I567" s="799"/>
      <c r="J567" s="799"/>
      <c r="K567" s="799"/>
      <c r="L567" s="799"/>
      <c r="M567" s="799"/>
      <c r="N567" s="799"/>
      <c r="O567" s="799"/>
      <c r="P567" s="799"/>
      <c r="Q567" s="799"/>
      <c r="R567" s="799"/>
      <c r="S567" s="799"/>
      <c r="T567" s="799"/>
      <c r="U567" s="799"/>
      <c r="V567" s="799"/>
      <c r="W567" s="799"/>
      <c r="X567" s="799"/>
      <c r="Y567" s="799"/>
      <c r="Z567" s="799"/>
      <c r="AA567" s="799"/>
      <c r="AB567" s="799"/>
      <c r="AC567" s="799"/>
      <c r="AD567" s="799"/>
      <c r="AE567" s="799"/>
      <c r="AF567" s="799"/>
      <c r="AG567" s="799"/>
      <c r="AH567" s="799"/>
      <c r="AI567" s="799"/>
      <c r="AJ567" s="799"/>
      <c r="AK567" s="799"/>
      <c r="AL567" s="799"/>
      <c r="AM567" s="799"/>
      <c r="AN567" s="799"/>
      <c r="AO567" s="799"/>
      <c r="AP567" s="799"/>
      <c r="AQ567" s="799"/>
      <c r="AR567" s="799"/>
      <c r="AS567" s="799"/>
      <c r="AT567" s="799"/>
      <c r="AU567" s="799"/>
      <c r="AV567" s="799"/>
      <c r="AW567" s="799"/>
      <c r="AX567" s="799"/>
      <c r="AY567" s="799"/>
      <c r="AZ567" s="799"/>
      <c r="BA567" s="799"/>
      <c r="BB567" s="799"/>
      <c r="BC567" s="799"/>
      <c r="BD567" s="799"/>
      <c r="BE567" s="799"/>
      <c r="BF567" s="799"/>
      <c r="BG567" s="799"/>
    </row>
    <row r="568">
      <c r="H568" s="799"/>
      <c r="I568" s="799"/>
      <c r="J568" s="799"/>
      <c r="K568" s="799"/>
      <c r="L568" s="799"/>
      <c r="M568" s="799"/>
      <c r="N568" s="799"/>
      <c r="O568" s="799"/>
      <c r="P568" s="799"/>
      <c r="Q568" s="799"/>
      <c r="R568" s="799"/>
      <c r="S568" s="799"/>
      <c r="T568" s="799"/>
      <c r="U568" s="799"/>
      <c r="V568" s="799"/>
      <c r="W568" s="799"/>
      <c r="X568" s="799"/>
      <c r="Y568" s="799"/>
      <c r="Z568" s="799"/>
      <c r="AA568" s="799"/>
      <c r="AB568" s="799"/>
      <c r="AC568" s="799"/>
      <c r="AD568" s="799"/>
      <c r="AE568" s="799"/>
      <c r="AF568" s="799"/>
      <c r="AG568" s="799"/>
      <c r="AH568" s="799"/>
      <c r="AI568" s="799"/>
      <c r="AJ568" s="799"/>
      <c r="AK568" s="799"/>
      <c r="AL568" s="799"/>
      <c r="AM568" s="799"/>
      <c r="AN568" s="799"/>
      <c r="AO568" s="799"/>
      <c r="AP568" s="799"/>
      <c r="AQ568" s="799"/>
      <c r="AR568" s="799"/>
      <c r="AS568" s="799"/>
      <c r="AT568" s="799"/>
      <c r="AU568" s="799"/>
      <c r="AV568" s="799"/>
      <c r="AW568" s="799"/>
      <c r="AX568" s="799"/>
      <c r="AY568" s="799"/>
      <c r="AZ568" s="799"/>
      <c r="BA568" s="799"/>
      <c r="BB568" s="799"/>
      <c r="BC568" s="799"/>
      <c r="BD568" s="799"/>
      <c r="BE568" s="799"/>
      <c r="BF568" s="799"/>
      <c r="BG568" s="799"/>
    </row>
    <row r="569">
      <c r="H569" s="799"/>
      <c r="I569" s="799"/>
      <c r="J569" s="799"/>
      <c r="K569" s="799"/>
      <c r="L569" s="799"/>
      <c r="M569" s="799"/>
      <c r="N569" s="799"/>
      <c r="O569" s="799"/>
      <c r="P569" s="799"/>
      <c r="Q569" s="799"/>
      <c r="R569" s="799"/>
      <c r="S569" s="799"/>
      <c r="T569" s="799"/>
      <c r="U569" s="799"/>
      <c r="V569" s="799"/>
      <c r="W569" s="799"/>
      <c r="X569" s="799"/>
      <c r="Y569" s="799"/>
      <c r="Z569" s="799"/>
      <c r="AA569" s="799"/>
      <c r="AB569" s="799"/>
      <c r="AC569" s="799"/>
      <c r="AD569" s="799"/>
      <c r="AE569" s="799"/>
      <c r="AF569" s="799"/>
      <c r="AG569" s="799"/>
      <c r="AH569" s="799"/>
      <c r="AI569" s="799"/>
      <c r="AJ569" s="799"/>
      <c r="AK569" s="799"/>
      <c r="AL569" s="799"/>
      <c r="AM569" s="799"/>
      <c r="AN569" s="799"/>
      <c r="AO569" s="799"/>
      <c r="AP569" s="799"/>
      <c r="AQ569" s="799"/>
      <c r="AR569" s="799"/>
      <c r="AS569" s="799"/>
      <c r="AT569" s="799"/>
      <c r="AU569" s="799"/>
      <c r="AV569" s="799"/>
      <c r="AW569" s="799"/>
      <c r="AX569" s="799"/>
      <c r="AY569" s="799"/>
      <c r="AZ569" s="799"/>
      <c r="BA569" s="799"/>
      <c r="BB569" s="799"/>
      <c r="BC569" s="799"/>
      <c r="BD569" s="799"/>
      <c r="BE569" s="799"/>
      <c r="BF569" s="799"/>
      <c r="BG569" s="799"/>
    </row>
    <row r="570">
      <c r="H570" s="799"/>
      <c r="I570" s="799"/>
      <c r="J570" s="799"/>
      <c r="K570" s="799"/>
      <c r="L570" s="799"/>
      <c r="M570" s="799"/>
      <c r="N570" s="799"/>
      <c r="O570" s="799"/>
      <c r="P570" s="799"/>
      <c r="Q570" s="799"/>
      <c r="R570" s="799"/>
      <c r="S570" s="799"/>
      <c r="T570" s="799"/>
      <c r="U570" s="799"/>
      <c r="V570" s="799"/>
      <c r="W570" s="799"/>
      <c r="X570" s="799"/>
      <c r="Y570" s="799"/>
      <c r="Z570" s="799"/>
      <c r="AA570" s="799"/>
      <c r="AB570" s="799"/>
      <c r="AC570" s="799"/>
      <c r="AD570" s="799"/>
      <c r="AE570" s="799"/>
      <c r="AF570" s="799"/>
      <c r="AG570" s="799"/>
      <c r="AH570" s="799"/>
      <c r="AI570" s="799"/>
      <c r="AJ570" s="799"/>
      <c r="AK570" s="799"/>
      <c r="AL570" s="799"/>
      <c r="AM570" s="799"/>
      <c r="AN570" s="799"/>
      <c r="AO570" s="799"/>
      <c r="AP570" s="799"/>
      <c r="AQ570" s="799"/>
      <c r="AR570" s="799"/>
      <c r="AS570" s="799"/>
      <c r="AT570" s="799"/>
      <c r="AU570" s="799"/>
      <c r="AV570" s="799"/>
      <c r="AW570" s="799"/>
      <c r="AX570" s="799"/>
      <c r="AY570" s="799"/>
      <c r="AZ570" s="799"/>
      <c r="BA570" s="799"/>
      <c r="BB570" s="799"/>
      <c r="BC570" s="799"/>
      <c r="BD570" s="799"/>
      <c r="BE570" s="799"/>
      <c r="BF570" s="799"/>
      <c r="BG570" s="799"/>
    </row>
    <row r="571">
      <c r="H571" s="799"/>
      <c r="I571" s="799"/>
      <c r="J571" s="799"/>
      <c r="K571" s="799"/>
      <c r="L571" s="799"/>
      <c r="M571" s="799"/>
      <c r="N571" s="799"/>
      <c r="O571" s="799"/>
      <c r="P571" s="799"/>
      <c r="Q571" s="799"/>
      <c r="R571" s="799"/>
      <c r="S571" s="799"/>
      <c r="T571" s="799"/>
      <c r="U571" s="799"/>
      <c r="V571" s="799"/>
      <c r="W571" s="799"/>
      <c r="X571" s="799"/>
      <c r="Y571" s="799"/>
      <c r="Z571" s="799"/>
      <c r="AA571" s="799"/>
      <c r="AB571" s="799"/>
      <c r="AC571" s="799"/>
      <c r="AD571" s="799"/>
      <c r="AE571" s="799"/>
      <c r="AF571" s="799"/>
      <c r="AG571" s="799"/>
      <c r="AH571" s="799"/>
      <c r="AI571" s="799"/>
      <c r="AJ571" s="799"/>
      <c r="AK571" s="799"/>
      <c r="AL571" s="799"/>
      <c r="AM571" s="799"/>
      <c r="AN571" s="799"/>
      <c r="AO571" s="799"/>
      <c r="AP571" s="799"/>
      <c r="AQ571" s="799"/>
      <c r="AR571" s="799"/>
      <c r="AS571" s="799"/>
      <c r="AT571" s="799"/>
      <c r="AU571" s="799"/>
      <c r="AV571" s="799"/>
      <c r="AW571" s="799"/>
      <c r="AX571" s="799"/>
      <c r="AY571" s="799"/>
      <c r="AZ571" s="799"/>
      <c r="BA571" s="799"/>
      <c r="BB571" s="799"/>
      <c r="BC571" s="799"/>
      <c r="BD571" s="799"/>
      <c r="BE571" s="799"/>
      <c r="BF571" s="799"/>
      <c r="BG571" s="799"/>
    </row>
    <row r="572">
      <c r="H572" s="799"/>
      <c r="I572" s="799"/>
      <c r="J572" s="799"/>
      <c r="K572" s="799"/>
      <c r="L572" s="799"/>
      <c r="M572" s="799"/>
      <c r="N572" s="799"/>
      <c r="O572" s="799"/>
      <c r="P572" s="799"/>
      <c r="Q572" s="799"/>
      <c r="R572" s="799"/>
      <c r="S572" s="799"/>
      <c r="T572" s="799"/>
      <c r="U572" s="799"/>
      <c r="V572" s="799"/>
      <c r="W572" s="799"/>
      <c r="X572" s="799"/>
      <c r="Y572" s="799"/>
      <c r="Z572" s="799"/>
      <c r="AA572" s="799"/>
      <c r="AB572" s="799"/>
      <c r="AC572" s="799"/>
      <c r="AD572" s="799"/>
      <c r="AE572" s="799"/>
      <c r="AF572" s="799"/>
      <c r="AG572" s="799"/>
      <c r="AH572" s="799"/>
      <c r="AI572" s="799"/>
      <c r="AJ572" s="799"/>
      <c r="AK572" s="799"/>
      <c r="AL572" s="799"/>
      <c r="AM572" s="799"/>
      <c r="AN572" s="799"/>
      <c r="AO572" s="799"/>
      <c r="AP572" s="799"/>
      <c r="AQ572" s="799"/>
      <c r="AR572" s="799"/>
      <c r="AS572" s="799"/>
      <c r="AT572" s="799"/>
      <c r="AU572" s="799"/>
      <c r="AV572" s="799"/>
      <c r="AW572" s="799"/>
      <c r="AX572" s="799"/>
      <c r="AY572" s="799"/>
      <c r="AZ572" s="799"/>
      <c r="BA572" s="799"/>
      <c r="BB572" s="799"/>
      <c r="BC572" s="799"/>
      <c r="BD572" s="799"/>
      <c r="BE572" s="799"/>
      <c r="BF572" s="799"/>
      <c r="BG572" s="799"/>
    </row>
    <row r="573">
      <c r="H573" s="799"/>
      <c r="I573" s="799"/>
      <c r="J573" s="799"/>
      <c r="K573" s="799"/>
      <c r="L573" s="799"/>
      <c r="M573" s="799"/>
      <c r="N573" s="799"/>
      <c r="O573" s="799"/>
      <c r="P573" s="799"/>
      <c r="Q573" s="799"/>
      <c r="R573" s="799"/>
      <c r="S573" s="799"/>
      <c r="T573" s="799"/>
      <c r="U573" s="799"/>
      <c r="V573" s="799"/>
      <c r="W573" s="799"/>
      <c r="X573" s="799"/>
      <c r="Y573" s="799"/>
      <c r="Z573" s="799"/>
      <c r="AA573" s="799"/>
      <c r="AB573" s="799"/>
      <c r="AC573" s="799"/>
      <c r="AD573" s="799"/>
      <c r="AE573" s="799"/>
      <c r="AF573" s="799"/>
      <c r="AG573" s="799"/>
      <c r="AH573" s="799"/>
      <c r="AI573" s="799"/>
      <c r="AJ573" s="799"/>
      <c r="AK573" s="799"/>
      <c r="AL573" s="799"/>
      <c r="AM573" s="799"/>
      <c r="AN573" s="799"/>
      <c r="AO573" s="799"/>
      <c r="AP573" s="799"/>
      <c r="AQ573" s="799"/>
      <c r="AR573" s="799"/>
      <c r="AS573" s="799"/>
      <c r="AT573" s="799"/>
      <c r="AU573" s="799"/>
      <c r="AV573" s="799"/>
      <c r="AW573" s="799"/>
      <c r="AX573" s="799"/>
      <c r="AY573" s="799"/>
      <c r="AZ573" s="799"/>
      <c r="BA573" s="799"/>
      <c r="BB573" s="799"/>
      <c r="BC573" s="799"/>
      <c r="BD573" s="799"/>
      <c r="BE573" s="799"/>
      <c r="BF573" s="799"/>
      <c r="BG573" s="799"/>
    </row>
    <row r="574">
      <c r="H574" s="799"/>
      <c r="I574" s="799"/>
      <c r="J574" s="799"/>
      <c r="K574" s="799"/>
      <c r="L574" s="799"/>
      <c r="M574" s="799"/>
      <c r="N574" s="799"/>
      <c r="O574" s="799"/>
      <c r="P574" s="799"/>
      <c r="Q574" s="799"/>
      <c r="R574" s="799"/>
      <c r="S574" s="799"/>
      <c r="T574" s="799"/>
      <c r="U574" s="799"/>
      <c r="V574" s="799"/>
      <c r="W574" s="799"/>
      <c r="X574" s="799"/>
      <c r="Y574" s="799"/>
      <c r="Z574" s="799"/>
      <c r="AA574" s="799"/>
      <c r="AB574" s="799"/>
      <c r="AC574" s="799"/>
      <c r="AD574" s="799"/>
      <c r="AE574" s="799"/>
      <c r="AF574" s="799"/>
      <c r="AG574" s="799"/>
      <c r="AH574" s="799"/>
      <c r="AI574" s="799"/>
      <c r="AJ574" s="799"/>
      <c r="AK574" s="799"/>
      <c r="AL574" s="799"/>
      <c r="AM574" s="799"/>
      <c r="AN574" s="799"/>
      <c r="AO574" s="799"/>
      <c r="AP574" s="799"/>
      <c r="AQ574" s="799"/>
      <c r="AR574" s="799"/>
      <c r="AS574" s="799"/>
      <c r="AT574" s="799"/>
      <c r="AU574" s="799"/>
      <c r="AV574" s="799"/>
      <c r="AW574" s="799"/>
      <c r="AX574" s="799"/>
      <c r="AY574" s="799"/>
      <c r="AZ574" s="799"/>
      <c r="BA574" s="799"/>
      <c r="BB574" s="799"/>
      <c r="BC574" s="799"/>
      <c r="BD574" s="799"/>
      <c r="BE574" s="799"/>
      <c r="BF574" s="799"/>
      <c r="BG574" s="799"/>
    </row>
    <row r="575">
      <c r="H575" s="799"/>
      <c r="I575" s="799"/>
      <c r="J575" s="799"/>
      <c r="K575" s="799"/>
      <c r="L575" s="799"/>
      <c r="M575" s="799"/>
      <c r="N575" s="799"/>
      <c r="O575" s="799"/>
      <c r="P575" s="799"/>
      <c r="Q575" s="799"/>
      <c r="R575" s="799"/>
      <c r="S575" s="799"/>
      <c r="T575" s="799"/>
      <c r="U575" s="799"/>
      <c r="V575" s="799"/>
      <c r="W575" s="799"/>
      <c r="X575" s="799"/>
      <c r="Y575" s="799"/>
      <c r="Z575" s="799"/>
      <c r="AA575" s="799"/>
      <c r="AB575" s="799"/>
      <c r="AC575" s="799"/>
      <c r="AD575" s="799"/>
      <c r="AE575" s="799"/>
      <c r="AF575" s="799"/>
      <c r="AG575" s="799"/>
      <c r="AH575" s="799"/>
      <c r="AI575" s="799"/>
      <c r="AJ575" s="799"/>
      <c r="AK575" s="799"/>
      <c r="AL575" s="799"/>
      <c r="AM575" s="799"/>
      <c r="AN575" s="799"/>
      <c r="AO575" s="799"/>
      <c r="AP575" s="799"/>
      <c r="AQ575" s="799"/>
      <c r="AR575" s="799"/>
      <c r="AS575" s="799"/>
      <c r="AT575" s="799"/>
      <c r="AU575" s="799"/>
      <c r="AV575" s="799"/>
      <c r="AW575" s="799"/>
      <c r="AX575" s="799"/>
      <c r="AY575" s="799"/>
      <c r="AZ575" s="799"/>
      <c r="BA575" s="799"/>
      <c r="BB575" s="799"/>
      <c r="BC575" s="799"/>
      <c r="BD575" s="799"/>
      <c r="BE575" s="799"/>
      <c r="BF575" s="799"/>
      <c r="BG575" s="799"/>
    </row>
    <row r="576">
      <c r="H576" s="799"/>
      <c r="I576" s="799"/>
      <c r="J576" s="799"/>
      <c r="K576" s="799"/>
      <c r="L576" s="799"/>
      <c r="M576" s="799"/>
      <c r="N576" s="799"/>
      <c r="O576" s="799"/>
      <c r="P576" s="799"/>
      <c r="Q576" s="799"/>
      <c r="R576" s="799"/>
      <c r="S576" s="799"/>
      <c r="T576" s="799"/>
      <c r="U576" s="799"/>
      <c r="V576" s="799"/>
      <c r="W576" s="799"/>
      <c r="X576" s="799"/>
      <c r="Y576" s="799"/>
      <c r="Z576" s="799"/>
      <c r="AA576" s="799"/>
      <c r="AB576" s="799"/>
      <c r="AC576" s="799"/>
      <c r="AD576" s="799"/>
      <c r="AE576" s="799"/>
      <c r="AF576" s="799"/>
      <c r="AG576" s="799"/>
      <c r="AH576" s="799"/>
      <c r="AI576" s="799"/>
      <c r="AJ576" s="799"/>
      <c r="AK576" s="799"/>
      <c r="AL576" s="799"/>
      <c r="AM576" s="799"/>
      <c r="AN576" s="799"/>
      <c r="AO576" s="799"/>
      <c r="AP576" s="799"/>
      <c r="AQ576" s="799"/>
      <c r="AR576" s="799"/>
      <c r="AS576" s="799"/>
      <c r="AT576" s="799"/>
      <c r="AU576" s="799"/>
      <c r="AV576" s="799"/>
      <c r="AW576" s="799"/>
      <c r="AX576" s="799"/>
      <c r="AY576" s="799"/>
      <c r="AZ576" s="799"/>
      <c r="BA576" s="799"/>
      <c r="BB576" s="799"/>
      <c r="BC576" s="799"/>
      <c r="BD576" s="799"/>
      <c r="BE576" s="799"/>
      <c r="BF576" s="799"/>
      <c r="BG576" s="799"/>
    </row>
    <row r="577">
      <c r="H577" s="799"/>
      <c r="I577" s="799"/>
      <c r="J577" s="799"/>
      <c r="K577" s="799"/>
      <c r="L577" s="799"/>
      <c r="M577" s="799"/>
      <c r="N577" s="799"/>
      <c r="O577" s="799"/>
      <c r="P577" s="799"/>
      <c r="Q577" s="799"/>
      <c r="R577" s="799"/>
      <c r="S577" s="799"/>
      <c r="T577" s="799"/>
      <c r="U577" s="799"/>
      <c r="V577" s="799"/>
      <c r="W577" s="799"/>
      <c r="X577" s="799"/>
      <c r="Y577" s="799"/>
      <c r="Z577" s="799"/>
      <c r="AA577" s="799"/>
      <c r="AB577" s="799"/>
      <c r="AC577" s="799"/>
      <c r="AD577" s="799"/>
      <c r="AE577" s="799"/>
      <c r="AF577" s="799"/>
      <c r="AG577" s="799"/>
      <c r="AH577" s="799"/>
      <c r="AI577" s="799"/>
      <c r="AJ577" s="799"/>
      <c r="AK577" s="799"/>
      <c r="AL577" s="799"/>
      <c r="AM577" s="799"/>
      <c r="AN577" s="799"/>
      <c r="AO577" s="799"/>
      <c r="AP577" s="799"/>
      <c r="AQ577" s="799"/>
      <c r="AR577" s="799"/>
      <c r="AS577" s="799"/>
      <c r="AT577" s="799"/>
      <c r="AU577" s="799"/>
      <c r="AV577" s="799"/>
      <c r="AW577" s="799"/>
      <c r="AX577" s="799"/>
      <c r="AY577" s="799"/>
      <c r="AZ577" s="799"/>
      <c r="BA577" s="799"/>
      <c r="BB577" s="799"/>
      <c r="BC577" s="799"/>
      <c r="BD577" s="799"/>
      <c r="BE577" s="799"/>
      <c r="BF577" s="799"/>
      <c r="BG577" s="799"/>
    </row>
    <row r="578">
      <c r="H578" s="799"/>
      <c r="I578" s="799"/>
      <c r="J578" s="799"/>
      <c r="K578" s="799"/>
      <c r="L578" s="799"/>
      <c r="M578" s="799"/>
      <c r="N578" s="799"/>
      <c r="O578" s="799"/>
      <c r="P578" s="799"/>
      <c r="Q578" s="799"/>
      <c r="R578" s="799"/>
      <c r="S578" s="799"/>
      <c r="T578" s="799"/>
      <c r="U578" s="799"/>
      <c r="V578" s="799"/>
      <c r="W578" s="799"/>
      <c r="X578" s="799"/>
      <c r="Y578" s="799"/>
      <c r="Z578" s="799"/>
      <c r="AA578" s="799"/>
      <c r="AB578" s="799"/>
      <c r="AC578" s="799"/>
      <c r="AD578" s="799"/>
      <c r="AE578" s="799"/>
      <c r="AF578" s="799"/>
      <c r="AG578" s="799"/>
      <c r="AH578" s="799"/>
      <c r="AI578" s="799"/>
      <c r="AJ578" s="799"/>
      <c r="AK578" s="799"/>
      <c r="AL578" s="799"/>
      <c r="AM578" s="799"/>
      <c r="AN578" s="799"/>
      <c r="AO578" s="799"/>
      <c r="AP578" s="799"/>
      <c r="AQ578" s="799"/>
      <c r="AR578" s="799"/>
      <c r="AS578" s="799"/>
      <c r="AT578" s="799"/>
      <c r="AU578" s="799"/>
      <c r="AV578" s="799"/>
      <c r="AW578" s="799"/>
      <c r="AX578" s="799"/>
      <c r="AY578" s="799"/>
      <c r="AZ578" s="799"/>
      <c r="BA578" s="799"/>
      <c r="BB578" s="799"/>
      <c r="BC578" s="799"/>
      <c r="BD578" s="799"/>
      <c r="BE578" s="799"/>
      <c r="BF578" s="799"/>
      <c r="BG578" s="799"/>
    </row>
    <row r="579">
      <c r="H579" s="799"/>
      <c r="I579" s="799"/>
      <c r="J579" s="799"/>
      <c r="K579" s="799"/>
      <c r="L579" s="799"/>
      <c r="M579" s="799"/>
      <c r="N579" s="799"/>
      <c r="O579" s="799"/>
      <c r="P579" s="799"/>
      <c r="Q579" s="799"/>
      <c r="R579" s="799"/>
      <c r="S579" s="799"/>
      <c r="T579" s="799"/>
      <c r="U579" s="799"/>
      <c r="V579" s="799"/>
      <c r="W579" s="799"/>
      <c r="X579" s="799"/>
      <c r="Y579" s="799"/>
      <c r="Z579" s="799"/>
      <c r="AA579" s="799"/>
      <c r="AB579" s="799"/>
      <c r="AC579" s="799"/>
      <c r="AD579" s="799"/>
      <c r="AE579" s="799"/>
      <c r="AF579" s="799"/>
      <c r="AG579" s="799"/>
      <c r="AH579" s="799"/>
      <c r="AI579" s="799"/>
      <c r="AJ579" s="799"/>
      <c r="AK579" s="799"/>
      <c r="AL579" s="799"/>
      <c r="AM579" s="799"/>
      <c r="AN579" s="799"/>
      <c r="AO579" s="799"/>
      <c r="AP579" s="799"/>
      <c r="AQ579" s="799"/>
      <c r="AR579" s="799"/>
      <c r="AS579" s="799"/>
      <c r="AT579" s="799"/>
      <c r="AU579" s="799"/>
      <c r="AV579" s="799"/>
      <c r="AW579" s="799"/>
      <c r="AX579" s="799"/>
      <c r="AY579" s="799"/>
      <c r="AZ579" s="799"/>
      <c r="BA579" s="799"/>
      <c r="BB579" s="799"/>
      <c r="BC579" s="799"/>
      <c r="BD579" s="799"/>
      <c r="BE579" s="799"/>
      <c r="BF579" s="799"/>
      <c r="BG579" s="799"/>
    </row>
    <row r="580">
      <c r="H580" s="799"/>
      <c r="I580" s="799"/>
      <c r="J580" s="799"/>
      <c r="K580" s="799"/>
      <c r="L580" s="799"/>
      <c r="M580" s="799"/>
      <c r="N580" s="799"/>
      <c r="O580" s="799"/>
      <c r="P580" s="799"/>
      <c r="Q580" s="799"/>
      <c r="R580" s="799"/>
      <c r="S580" s="799"/>
      <c r="T580" s="799"/>
      <c r="U580" s="799"/>
      <c r="V580" s="799"/>
      <c r="W580" s="799"/>
      <c r="X580" s="799"/>
      <c r="Y580" s="799"/>
      <c r="Z580" s="799"/>
      <c r="AA580" s="799"/>
      <c r="AB580" s="799"/>
      <c r="AC580" s="799"/>
      <c r="AD580" s="799"/>
      <c r="AE580" s="799"/>
      <c r="AF580" s="799"/>
      <c r="AG580" s="799"/>
      <c r="AH580" s="799"/>
      <c r="AI580" s="799"/>
      <c r="AJ580" s="799"/>
      <c r="AK580" s="799"/>
      <c r="AL580" s="799"/>
      <c r="AM580" s="799"/>
      <c r="AN580" s="799"/>
      <c r="AO580" s="799"/>
      <c r="AP580" s="799"/>
      <c r="AQ580" s="799"/>
      <c r="AR580" s="799"/>
      <c r="AS580" s="799"/>
      <c r="AT580" s="799"/>
      <c r="AU580" s="799"/>
      <c r="AV580" s="799"/>
      <c r="AW580" s="799"/>
      <c r="AX580" s="799"/>
      <c r="AY580" s="799"/>
      <c r="AZ580" s="799"/>
      <c r="BA580" s="799"/>
      <c r="BB580" s="799"/>
      <c r="BC580" s="799"/>
      <c r="BD580" s="799"/>
      <c r="BE580" s="799"/>
      <c r="BF580" s="799"/>
      <c r="BG580" s="799"/>
    </row>
    <row r="581">
      <c r="H581" s="799"/>
      <c r="I581" s="799"/>
      <c r="J581" s="799"/>
      <c r="K581" s="799"/>
      <c r="L581" s="799"/>
      <c r="M581" s="799"/>
      <c r="N581" s="799"/>
      <c r="O581" s="799"/>
      <c r="P581" s="799"/>
      <c r="Q581" s="799"/>
      <c r="R581" s="799"/>
      <c r="S581" s="799"/>
      <c r="T581" s="799"/>
      <c r="U581" s="799"/>
      <c r="V581" s="799"/>
      <c r="W581" s="799"/>
      <c r="X581" s="799"/>
      <c r="Y581" s="799"/>
      <c r="Z581" s="799"/>
      <c r="AA581" s="799"/>
      <c r="AB581" s="799"/>
      <c r="AC581" s="799"/>
      <c r="AD581" s="799"/>
      <c r="AE581" s="799"/>
      <c r="AF581" s="799"/>
      <c r="AG581" s="799"/>
      <c r="AH581" s="799"/>
      <c r="AI581" s="799"/>
      <c r="AJ581" s="799"/>
      <c r="AK581" s="799"/>
      <c r="AL581" s="799"/>
      <c r="AM581" s="799"/>
      <c r="AN581" s="799"/>
      <c r="AO581" s="799"/>
      <c r="AP581" s="799"/>
      <c r="AQ581" s="799"/>
      <c r="AR581" s="799"/>
      <c r="AS581" s="799"/>
      <c r="AT581" s="799"/>
      <c r="AU581" s="799"/>
      <c r="AV581" s="799"/>
      <c r="AW581" s="799"/>
      <c r="AX581" s="799"/>
      <c r="AY581" s="799"/>
      <c r="AZ581" s="799"/>
      <c r="BA581" s="799"/>
      <c r="BB581" s="799"/>
      <c r="BC581" s="799"/>
      <c r="BD581" s="799"/>
      <c r="BE581" s="799"/>
      <c r="BF581" s="799"/>
      <c r="BG581" s="799"/>
    </row>
    <row r="582">
      <c r="H582" s="799"/>
      <c r="I582" s="799"/>
      <c r="J582" s="799"/>
      <c r="K582" s="799"/>
      <c r="L582" s="799"/>
      <c r="M582" s="799"/>
      <c r="N582" s="799"/>
      <c r="O582" s="799"/>
      <c r="P582" s="799"/>
      <c r="Q582" s="799"/>
      <c r="R582" s="799"/>
      <c r="S582" s="799"/>
      <c r="T582" s="799"/>
      <c r="U582" s="799"/>
      <c r="V582" s="799"/>
      <c r="W582" s="799"/>
      <c r="X582" s="799"/>
      <c r="Y582" s="799"/>
      <c r="Z582" s="799"/>
      <c r="AA582" s="799"/>
      <c r="AB582" s="799"/>
      <c r="AC582" s="799"/>
      <c r="AD582" s="799"/>
      <c r="AE582" s="799"/>
      <c r="AF582" s="799"/>
      <c r="AG582" s="799"/>
      <c r="AH582" s="799"/>
      <c r="AI582" s="799"/>
      <c r="AJ582" s="799"/>
      <c r="AK582" s="799"/>
      <c r="AL582" s="799"/>
      <c r="AM582" s="799"/>
      <c r="AN582" s="799"/>
      <c r="AO582" s="799"/>
      <c r="AP582" s="799"/>
      <c r="AQ582" s="799"/>
      <c r="AR582" s="799"/>
      <c r="AS582" s="799"/>
      <c r="AT582" s="799"/>
      <c r="AU582" s="799"/>
      <c r="AV582" s="799"/>
      <c r="AW582" s="799"/>
      <c r="AX582" s="799"/>
      <c r="AY582" s="799"/>
      <c r="AZ582" s="799"/>
      <c r="BA582" s="799"/>
      <c r="BB582" s="799"/>
      <c r="BC582" s="799"/>
      <c r="BD582" s="799"/>
      <c r="BE582" s="799"/>
      <c r="BF582" s="799"/>
      <c r="BG582" s="799"/>
    </row>
    <row r="583">
      <c r="H583" s="799"/>
      <c r="I583" s="799"/>
      <c r="J583" s="799"/>
      <c r="K583" s="799"/>
      <c r="L583" s="799"/>
      <c r="M583" s="799"/>
      <c r="N583" s="799"/>
      <c r="O583" s="799"/>
      <c r="P583" s="799"/>
      <c r="Q583" s="799"/>
      <c r="R583" s="799"/>
      <c r="S583" s="799"/>
      <c r="T583" s="799"/>
      <c r="U583" s="799"/>
      <c r="V583" s="799"/>
      <c r="W583" s="799"/>
      <c r="X583" s="799"/>
      <c r="Y583" s="799"/>
      <c r="Z583" s="799"/>
      <c r="AA583" s="799"/>
      <c r="AB583" s="799"/>
      <c r="AC583" s="799"/>
      <c r="AD583" s="799"/>
      <c r="AE583" s="799"/>
      <c r="AF583" s="799"/>
      <c r="AG583" s="799"/>
      <c r="AH583" s="799"/>
      <c r="AI583" s="799"/>
      <c r="AJ583" s="799"/>
      <c r="AK583" s="799"/>
      <c r="AL583" s="799"/>
      <c r="AM583" s="799"/>
      <c r="AN583" s="799"/>
      <c r="AO583" s="799"/>
      <c r="AP583" s="799"/>
      <c r="AQ583" s="799"/>
      <c r="AR583" s="799"/>
      <c r="AS583" s="799"/>
      <c r="AT583" s="799"/>
      <c r="AU583" s="799"/>
      <c r="AV583" s="799"/>
      <c r="AW583" s="799"/>
      <c r="AX583" s="799"/>
      <c r="AY583" s="799"/>
      <c r="AZ583" s="799"/>
      <c r="BA583" s="799"/>
      <c r="BB583" s="799"/>
      <c r="BC583" s="799"/>
      <c r="BD583" s="799"/>
      <c r="BE583" s="799"/>
      <c r="BF583" s="799"/>
      <c r="BG583" s="799"/>
    </row>
    <row r="584">
      <c r="H584" s="799"/>
      <c r="I584" s="799"/>
      <c r="J584" s="799"/>
      <c r="K584" s="799"/>
      <c r="L584" s="799"/>
      <c r="M584" s="799"/>
      <c r="N584" s="799"/>
      <c r="O584" s="799"/>
      <c r="P584" s="799"/>
      <c r="Q584" s="799"/>
      <c r="R584" s="799"/>
      <c r="S584" s="799"/>
      <c r="T584" s="799"/>
      <c r="U584" s="799"/>
      <c r="V584" s="799"/>
      <c r="W584" s="799"/>
      <c r="X584" s="799"/>
      <c r="Y584" s="799"/>
      <c r="Z584" s="799"/>
      <c r="AA584" s="799"/>
      <c r="AB584" s="799"/>
      <c r="AC584" s="799"/>
      <c r="AD584" s="799"/>
      <c r="AE584" s="799"/>
      <c r="AF584" s="799"/>
      <c r="AG584" s="799"/>
      <c r="AH584" s="799"/>
      <c r="AI584" s="799"/>
      <c r="AJ584" s="799"/>
      <c r="AK584" s="799"/>
      <c r="AL584" s="799"/>
      <c r="AM584" s="799"/>
      <c r="AN584" s="799"/>
      <c r="AO584" s="799"/>
      <c r="AP584" s="799"/>
      <c r="AQ584" s="799"/>
      <c r="AR584" s="799"/>
      <c r="AS584" s="799"/>
      <c r="AT584" s="799"/>
      <c r="AU584" s="799"/>
      <c r="AV584" s="799"/>
      <c r="AW584" s="799"/>
      <c r="AX584" s="799"/>
      <c r="AY584" s="799"/>
      <c r="AZ584" s="799"/>
      <c r="BA584" s="799"/>
      <c r="BB584" s="799"/>
      <c r="BC584" s="799"/>
      <c r="BD584" s="799"/>
      <c r="BE584" s="799"/>
      <c r="BF584" s="799"/>
      <c r="BG584" s="799"/>
    </row>
    <row r="585">
      <c r="H585" s="799"/>
      <c r="I585" s="799"/>
      <c r="J585" s="799"/>
      <c r="K585" s="799"/>
      <c r="L585" s="799"/>
      <c r="M585" s="799"/>
      <c r="N585" s="799"/>
      <c r="O585" s="799"/>
      <c r="P585" s="799"/>
      <c r="Q585" s="799"/>
      <c r="R585" s="799"/>
      <c r="S585" s="799"/>
      <c r="T585" s="799"/>
      <c r="U585" s="799"/>
      <c r="V585" s="799"/>
      <c r="W585" s="799"/>
      <c r="X585" s="799"/>
      <c r="Y585" s="799"/>
      <c r="Z585" s="799"/>
      <c r="AA585" s="799"/>
      <c r="AB585" s="799"/>
      <c r="AC585" s="799"/>
      <c r="AD585" s="799"/>
      <c r="AE585" s="799"/>
      <c r="AF585" s="799"/>
      <c r="AG585" s="799"/>
      <c r="AH585" s="799"/>
      <c r="AI585" s="799"/>
      <c r="AJ585" s="799"/>
      <c r="AK585" s="799"/>
      <c r="AL585" s="799"/>
      <c r="AM585" s="799"/>
      <c r="AN585" s="799"/>
      <c r="AO585" s="799"/>
      <c r="AP585" s="799"/>
      <c r="AQ585" s="799"/>
      <c r="AR585" s="799"/>
      <c r="AS585" s="799"/>
      <c r="AT585" s="799"/>
      <c r="AU585" s="799"/>
      <c r="AV585" s="799"/>
      <c r="AW585" s="799"/>
      <c r="AX585" s="799"/>
      <c r="AY585" s="799"/>
      <c r="AZ585" s="799"/>
      <c r="BA585" s="799"/>
      <c r="BB585" s="799"/>
      <c r="BC585" s="799"/>
      <c r="BD585" s="799"/>
      <c r="BE585" s="799"/>
      <c r="BF585" s="799"/>
      <c r="BG585" s="799"/>
    </row>
    <row r="586">
      <c r="H586" s="799"/>
      <c r="I586" s="799"/>
      <c r="J586" s="799"/>
      <c r="K586" s="799"/>
      <c r="L586" s="799"/>
      <c r="M586" s="799"/>
      <c r="N586" s="799"/>
      <c r="O586" s="799"/>
      <c r="P586" s="799"/>
      <c r="Q586" s="799"/>
      <c r="R586" s="799"/>
      <c r="S586" s="799"/>
      <c r="T586" s="799"/>
      <c r="U586" s="799"/>
      <c r="V586" s="799"/>
      <c r="W586" s="799"/>
      <c r="X586" s="799"/>
      <c r="Y586" s="799"/>
      <c r="Z586" s="799"/>
      <c r="AA586" s="799"/>
      <c r="AB586" s="799"/>
      <c r="AC586" s="799"/>
      <c r="AD586" s="799"/>
      <c r="AE586" s="799"/>
      <c r="AF586" s="799"/>
      <c r="AG586" s="799"/>
      <c r="AH586" s="799"/>
      <c r="AI586" s="799"/>
      <c r="AJ586" s="799"/>
      <c r="AK586" s="799"/>
      <c r="AL586" s="799"/>
      <c r="AM586" s="799"/>
      <c r="AN586" s="799"/>
      <c r="AO586" s="799"/>
      <c r="AP586" s="799"/>
      <c r="AQ586" s="799"/>
      <c r="AR586" s="799"/>
      <c r="AS586" s="799"/>
      <c r="AT586" s="799"/>
      <c r="AU586" s="799"/>
      <c r="AV586" s="799"/>
      <c r="AW586" s="799"/>
      <c r="AX586" s="799"/>
      <c r="AY586" s="799"/>
      <c r="AZ586" s="799"/>
      <c r="BA586" s="799"/>
      <c r="BB586" s="799"/>
      <c r="BC586" s="799"/>
      <c r="BD586" s="799"/>
      <c r="BE586" s="799"/>
      <c r="BF586" s="799"/>
      <c r="BG586" s="799"/>
    </row>
    <row r="587">
      <c r="H587" s="799"/>
      <c r="I587" s="799"/>
      <c r="J587" s="799"/>
      <c r="K587" s="799"/>
      <c r="L587" s="799"/>
      <c r="M587" s="799"/>
      <c r="N587" s="799"/>
      <c r="O587" s="799"/>
      <c r="P587" s="799"/>
      <c r="Q587" s="799"/>
      <c r="R587" s="799"/>
      <c r="S587" s="799"/>
      <c r="T587" s="799"/>
      <c r="U587" s="799"/>
      <c r="V587" s="799"/>
      <c r="W587" s="799"/>
      <c r="X587" s="799"/>
      <c r="Y587" s="799"/>
      <c r="Z587" s="799"/>
      <c r="AA587" s="799"/>
      <c r="AB587" s="799"/>
      <c r="AC587" s="799"/>
      <c r="AD587" s="799"/>
      <c r="AE587" s="799"/>
      <c r="AF587" s="799"/>
      <c r="AG587" s="799"/>
      <c r="AH587" s="799"/>
      <c r="AI587" s="799"/>
      <c r="AJ587" s="799"/>
      <c r="AK587" s="799"/>
      <c r="AL587" s="799"/>
      <c r="AM587" s="799"/>
      <c r="AN587" s="799"/>
      <c r="AO587" s="799"/>
      <c r="AP587" s="799"/>
      <c r="AQ587" s="799"/>
      <c r="AR587" s="799"/>
      <c r="AS587" s="799"/>
      <c r="AT587" s="799"/>
      <c r="AU587" s="799"/>
      <c r="AV587" s="799"/>
      <c r="AW587" s="799"/>
      <c r="AX587" s="799"/>
      <c r="AY587" s="799"/>
      <c r="AZ587" s="799"/>
      <c r="BA587" s="799"/>
      <c r="BB587" s="799"/>
      <c r="BC587" s="799"/>
      <c r="BD587" s="799"/>
      <c r="BE587" s="799"/>
      <c r="BF587" s="799"/>
      <c r="BG587" s="799"/>
    </row>
    <row r="588">
      <c r="H588" s="799"/>
      <c r="I588" s="799"/>
      <c r="J588" s="799"/>
      <c r="K588" s="799"/>
      <c r="L588" s="799"/>
      <c r="M588" s="799"/>
      <c r="N588" s="799"/>
      <c r="O588" s="799"/>
      <c r="P588" s="799"/>
      <c r="Q588" s="799"/>
      <c r="R588" s="799"/>
      <c r="S588" s="799"/>
      <c r="T588" s="799"/>
      <c r="U588" s="799"/>
      <c r="V588" s="799"/>
      <c r="W588" s="799"/>
      <c r="X588" s="799"/>
      <c r="Y588" s="799"/>
      <c r="Z588" s="799"/>
      <c r="AA588" s="799"/>
      <c r="AB588" s="799"/>
      <c r="AC588" s="799"/>
      <c r="AD588" s="799"/>
      <c r="AE588" s="799"/>
      <c r="AF588" s="799"/>
      <c r="AG588" s="799"/>
      <c r="AH588" s="799"/>
      <c r="AI588" s="799"/>
      <c r="AJ588" s="799"/>
      <c r="AK588" s="799"/>
      <c r="AL588" s="799"/>
      <c r="AM588" s="799"/>
      <c r="AN588" s="799"/>
      <c r="AO588" s="799"/>
      <c r="AP588" s="799"/>
      <c r="AQ588" s="799"/>
      <c r="AR588" s="799"/>
      <c r="AS588" s="799"/>
      <c r="AT588" s="799"/>
      <c r="AU588" s="799"/>
      <c r="AV588" s="799"/>
      <c r="AW588" s="799"/>
      <c r="AX588" s="799"/>
      <c r="AY588" s="799"/>
      <c r="AZ588" s="799"/>
      <c r="BA588" s="799"/>
      <c r="BB588" s="799"/>
      <c r="BC588" s="799"/>
      <c r="BD588" s="799"/>
      <c r="BE588" s="799"/>
      <c r="BF588" s="799"/>
      <c r="BG588" s="799"/>
    </row>
    <row r="589">
      <c r="H589" s="799"/>
      <c r="I589" s="799"/>
      <c r="J589" s="799"/>
      <c r="K589" s="799"/>
      <c r="L589" s="799"/>
      <c r="M589" s="799"/>
      <c r="N589" s="799"/>
      <c r="O589" s="799"/>
      <c r="P589" s="799"/>
      <c r="Q589" s="799"/>
      <c r="R589" s="799"/>
      <c r="S589" s="799"/>
      <c r="T589" s="799"/>
      <c r="U589" s="799"/>
      <c r="V589" s="799"/>
      <c r="W589" s="799"/>
      <c r="X589" s="799"/>
      <c r="Y589" s="799"/>
      <c r="Z589" s="799"/>
      <c r="AA589" s="799"/>
      <c r="AB589" s="799"/>
      <c r="AC589" s="799"/>
      <c r="AD589" s="799"/>
      <c r="AE589" s="799"/>
      <c r="AF589" s="799"/>
      <c r="AG589" s="799"/>
      <c r="AH589" s="799"/>
      <c r="AI589" s="799"/>
      <c r="AJ589" s="799"/>
      <c r="AK589" s="799"/>
      <c r="AL589" s="799"/>
      <c r="AM589" s="799"/>
      <c r="AN589" s="799"/>
      <c r="AO589" s="799"/>
      <c r="AP589" s="799"/>
      <c r="AQ589" s="799"/>
      <c r="AR589" s="799"/>
      <c r="AS589" s="799"/>
      <c r="AT589" s="799"/>
      <c r="AU589" s="799"/>
      <c r="AV589" s="799"/>
      <c r="AW589" s="799"/>
      <c r="AX589" s="799"/>
      <c r="AY589" s="799"/>
      <c r="AZ589" s="799"/>
      <c r="BA589" s="799"/>
      <c r="BB589" s="799"/>
      <c r="BC589" s="799"/>
      <c r="BD589" s="799"/>
      <c r="BE589" s="799"/>
      <c r="BF589" s="799"/>
      <c r="BG589" s="799"/>
    </row>
    <row r="590">
      <c r="H590" s="799"/>
      <c r="I590" s="799"/>
      <c r="J590" s="799"/>
      <c r="K590" s="799"/>
      <c r="L590" s="799"/>
      <c r="M590" s="799"/>
      <c r="N590" s="799"/>
      <c r="O590" s="799"/>
      <c r="P590" s="799"/>
      <c r="Q590" s="799"/>
      <c r="R590" s="799"/>
      <c r="S590" s="799"/>
      <c r="T590" s="799"/>
      <c r="U590" s="799"/>
      <c r="V590" s="799"/>
      <c r="W590" s="799"/>
      <c r="X590" s="799"/>
      <c r="Y590" s="799"/>
      <c r="Z590" s="799"/>
      <c r="AA590" s="799"/>
      <c r="AB590" s="799"/>
      <c r="AC590" s="799"/>
      <c r="AD590" s="799"/>
      <c r="AE590" s="799"/>
      <c r="AF590" s="799"/>
      <c r="AG590" s="799"/>
      <c r="AH590" s="799"/>
      <c r="AI590" s="799"/>
      <c r="AJ590" s="799"/>
      <c r="AK590" s="799"/>
      <c r="AL590" s="799"/>
      <c r="AM590" s="799"/>
      <c r="AN590" s="799"/>
      <c r="AO590" s="799"/>
      <c r="AP590" s="799"/>
      <c r="AQ590" s="799"/>
      <c r="AR590" s="799"/>
      <c r="AS590" s="799"/>
      <c r="AT590" s="799"/>
      <c r="AU590" s="799"/>
      <c r="AV590" s="799"/>
      <c r="AW590" s="799"/>
      <c r="AX590" s="799"/>
      <c r="AY590" s="799"/>
      <c r="AZ590" s="799"/>
      <c r="BA590" s="799"/>
      <c r="BB590" s="799"/>
      <c r="BC590" s="799"/>
      <c r="BD590" s="799"/>
      <c r="BE590" s="799"/>
      <c r="BF590" s="799"/>
      <c r="BG590" s="799"/>
    </row>
    <row r="591">
      <c r="H591" s="799"/>
      <c r="I591" s="799"/>
      <c r="J591" s="799"/>
      <c r="K591" s="799"/>
      <c r="L591" s="799"/>
      <c r="M591" s="799"/>
      <c r="N591" s="799"/>
      <c r="O591" s="799"/>
      <c r="P591" s="799"/>
      <c r="Q591" s="799"/>
      <c r="R591" s="799"/>
      <c r="S591" s="799"/>
      <c r="T591" s="799"/>
      <c r="U591" s="799"/>
      <c r="V591" s="799"/>
      <c r="W591" s="799"/>
      <c r="X591" s="799"/>
      <c r="Y591" s="799"/>
      <c r="Z591" s="799"/>
      <c r="AA591" s="799"/>
      <c r="AB591" s="799"/>
      <c r="AC591" s="799"/>
      <c r="AD591" s="799"/>
      <c r="AE591" s="799"/>
      <c r="AF591" s="799"/>
      <c r="AG591" s="799"/>
      <c r="AH591" s="799"/>
      <c r="AI591" s="799"/>
      <c r="AJ591" s="799"/>
      <c r="AK591" s="799"/>
      <c r="AL591" s="799"/>
      <c r="AM591" s="799"/>
      <c r="AN591" s="799"/>
      <c r="AO591" s="799"/>
      <c r="AP591" s="799"/>
      <c r="AQ591" s="799"/>
      <c r="AR591" s="799"/>
      <c r="AS591" s="799"/>
      <c r="AT591" s="799"/>
      <c r="AU591" s="799"/>
      <c r="AV591" s="799"/>
      <c r="AW591" s="799"/>
      <c r="AX591" s="799"/>
      <c r="AY591" s="799"/>
      <c r="AZ591" s="799"/>
      <c r="BA591" s="799"/>
      <c r="BB591" s="799"/>
      <c r="BC591" s="799"/>
      <c r="BD591" s="799"/>
      <c r="BE591" s="799"/>
      <c r="BF591" s="799"/>
      <c r="BG591" s="799"/>
    </row>
    <row r="592">
      <c r="H592" s="799"/>
      <c r="I592" s="799"/>
      <c r="J592" s="799"/>
      <c r="K592" s="799"/>
      <c r="L592" s="799"/>
      <c r="M592" s="799"/>
      <c r="N592" s="799"/>
      <c r="O592" s="799"/>
      <c r="P592" s="799"/>
      <c r="Q592" s="799"/>
      <c r="R592" s="799"/>
      <c r="S592" s="799"/>
      <c r="T592" s="799"/>
      <c r="U592" s="799"/>
      <c r="V592" s="799"/>
      <c r="W592" s="799"/>
      <c r="X592" s="799"/>
      <c r="Y592" s="799"/>
      <c r="Z592" s="799"/>
      <c r="AA592" s="799"/>
      <c r="AB592" s="799"/>
      <c r="AC592" s="799"/>
      <c r="AD592" s="799"/>
      <c r="AE592" s="799"/>
      <c r="AF592" s="799"/>
      <c r="AG592" s="799"/>
      <c r="AH592" s="799"/>
      <c r="AI592" s="799"/>
      <c r="AJ592" s="799"/>
      <c r="AK592" s="799"/>
      <c r="AL592" s="799"/>
      <c r="AM592" s="799"/>
      <c r="AN592" s="799"/>
      <c r="AO592" s="799"/>
      <c r="AP592" s="799"/>
      <c r="AQ592" s="799"/>
      <c r="AR592" s="799"/>
      <c r="AS592" s="799"/>
      <c r="AT592" s="799"/>
      <c r="AU592" s="799"/>
      <c r="AV592" s="799"/>
      <c r="AW592" s="799"/>
      <c r="AX592" s="799"/>
      <c r="AY592" s="799"/>
      <c r="AZ592" s="799"/>
      <c r="BA592" s="799"/>
      <c r="BB592" s="799"/>
      <c r="BC592" s="799"/>
      <c r="BD592" s="799"/>
      <c r="BE592" s="799"/>
      <c r="BF592" s="799"/>
      <c r="BG592" s="799"/>
    </row>
    <row r="593">
      <c r="H593" s="799"/>
      <c r="I593" s="799"/>
      <c r="J593" s="799"/>
      <c r="K593" s="799"/>
      <c r="L593" s="799"/>
      <c r="M593" s="799"/>
      <c r="N593" s="799"/>
      <c r="O593" s="799"/>
      <c r="P593" s="799"/>
      <c r="Q593" s="799"/>
      <c r="R593" s="799"/>
      <c r="S593" s="799"/>
      <c r="T593" s="799"/>
      <c r="U593" s="799"/>
      <c r="V593" s="799"/>
      <c r="W593" s="799"/>
      <c r="X593" s="799"/>
      <c r="Y593" s="799"/>
      <c r="Z593" s="799"/>
      <c r="AA593" s="799"/>
      <c r="AB593" s="799"/>
      <c r="AC593" s="799"/>
      <c r="AD593" s="799"/>
      <c r="AE593" s="799"/>
      <c r="AF593" s="799"/>
      <c r="AG593" s="799"/>
      <c r="AH593" s="799"/>
      <c r="AI593" s="799"/>
      <c r="AJ593" s="799"/>
      <c r="AK593" s="799"/>
      <c r="AL593" s="799"/>
      <c r="AM593" s="799"/>
      <c r="AN593" s="799"/>
      <c r="AO593" s="799"/>
      <c r="AP593" s="799"/>
      <c r="AQ593" s="799"/>
      <c r="AR593" s="799"/>
      <c r="AS593" s="799"/>
      <c r="AT593" s="799"/>
      <c r="AU593" s="799"/>
      <c r="AV593" s="799"/>
      <c r="AW593" s="799"/>
      <c r="AX593" s="799"/>
      <c r="AY593" s="799"/>
      <c r="AZ593" s="799"/>
      <c r="BA593" s="799"/>
      <c r="BB593" s="799"/>
      <c r="BC593" s="799"/>
      <c r="BD593" s="799"/>
      <c r="BE593" s="799"/>
      <c r="BF593" s="799"/>
      <c r="BG593" s="799"/>
    </row>
    <row r="594">
      <c r="H594" s="799"/>
      <c r="I594" s="799"/>
      <c r="J594" s="799"/>
      <c r="K594" s="799"/>
      <c r="L594" s="799"/>
      <c r="M594" s="799"/>
      <c r="N594" s="799"/>
      <c r="O594" s="799"/>
      <c r="P594" s="799"/>
      <c r="Q594" s="799"/>
      <c r="R594" s="799"/>
      <c r="S594" s="799"/>
      <c r="T594" s="799"/>
      <c r="U594" s="799"/>
      <c r="V594" s="799"/>
      <c r="W594" s="799"/>
      <c r="X594" s="799"/>
      <c r="Y594" s="799"/>
      <c r="Z594" s="799"/>
      <c r="AA594" s="799"/>
      <c r="AB594" s="799"/>
      <c r="AC594" s="799"/>
      <c r="AD594" s="799"/>
      <c r="AE594" s="799"/>
      <c r="AF594" s="799"/>
      <c r="AG594" s="799"/>
      <c r="AH594" s="799"/>
      <c r="AI594" s="799"/>
      <c r="AJ594" s="799"/>
      <c r="AK594" s="799"/>
      <c r="AL594" s="799"/>
      <c r="AM594" s="799"/>
      <c r="AN594" s="799"/>
      <c r="AO594" s="799"/>
      <c r="AP594" s="799"/>
      <c r="AQ594" s="799"/>
      <c r="AR594" s="799"/>
      <c r="AS594" s="799"/>
      <c r="AT594" s="799"/>
      <c r="AU594" s="799"/>
      <c r="AV594" s="799"/>
      <c r="AW594" s="799"/>
      <c r="AX594" s="799"/>
      <c r="AY594" s="799"/>
      <c r="AZ594" s="799"/>
      <c r="BA594" s="799"/>
      <c r="BB594" s="799"/>
      <c r="BC594" s="799"/>
      <c r="BD594" s="799"/>
      <c r="BE594" s="799"/>
      <c r="BF594" s="799"/>
      <c r="BG594" s="799"/>
    </row>
    <row r="595">
      <c r="H595" s="799"/>
      <c r="I595" s="799"/>
      <c r="J595" s="799"/>
      <c r="K595" s="799"/>
      <c r="L595" s="799"/>
      <c r="M595" s="799"/>
      <c r="N595" s="799"/>
      <c r="O595" s="799"/>
      <c r="P595" s="799"/>
      <c r="Q595" s="799"/>
      <c r="R595" s="799"/>
      <c r="S595" s="799"/>
      <c r="T595" s="799"/>
      <c r="U595" s="799"/>
      <c r="V595" s="799"/>
      <c r="W595" s="799"/>
      <c r="X595" s="799"/>
      <c r="Y595" s="799"/>
      <c r="Z595" s="799"/>
      <c r="AA595" s="799"/>
      <c r="AB595" s="799"/>
      <c r="AC595" s="799"/>
      <c r="AD595" s="799"/>
      <c r="AE595" s="799"/>
      <c r="AF595" s="799"/>
      <c r="AG595" s="799"/>
      <c r="AH595" s="799"/>
      <c r="AI595" s="799"/>
      <c r="AJ595" s="799"/>
      <c r="AK595" s="799"/>
      <c r="AL595" s="799"/>
      <c r="AM595" s="799"/>
      <c r="AN595" s="799"/>
      <c r="AO595" s="799"/>
      <c r="AP595" s="799"/>
      <c r="AQ595" s="799"/>
      <c r="AR595" s="799"/>
      <c r="AS595" s="799"/>
      <c r="AT595" s="799"/>
      <c r="AU595" s="799"/>
      <c r="AV595" s="799"/>
      <c r="AW595" s="799"/>
      <c r="AX595" s="799"/>
      <c r="AY595" s="799"/>
      <c r="AZ595" s="799"/>
      <c r="BA595" s="799"/>
      <c r="BB595" s="799"/>
      <c r="BC595" s="799"/>
      <c r="BD595" s="799"/>
      <c r="BE595" s="799"/>
      <c r="BF595" s="799"/>
      <c r="BG595" s="799"/>
    </row>
    <row r="596">
      <c r="H596" s="799"/>
      <c r="I596" s="799"/>
      <c r="J596" s="799"/>
      <c r="K596" s="799"/>
      <c r="L596" s="799"/>
      <c r="M596" s="799"/>
      <c r="N596" s="799"/>
      <c r="O596" s="799"/>
      <c r="P596" s="799"/>
      <c r="Q596" s="799"/>
      <c r="R596" s="799"/>
      <c r="S596" s="799"/>
      <c r="T596" s="799"/>
      <c r="U596" s="799"/>
      <c r="V596" s="799"/>
      <c r="W596" s="799"/>
      <c r="X596" s="799"/>
      <c r="Y596" s="799"/>
      <c r="Z596" s="799"/>
      <c r="AA596" s="799"/>
      <c r="AB596" s="799"/>
      <c r="AC596" s="799"/>
      <c r="AD596" s="799"/>
      <c r="AE596" s="799"/>
      <c r="AF596" s="799"/>
      <c r="AG596" s="799"/>
      <c r="AH596" s="799"/>
      <c r="AI596" s="799"/>
      <c r="AJ596" s="799"/>
      <c r="AK596" s="799"/>
      <c r="AL596" s="799"/>
      <c r="AM596" s="799"/>
      <c r="AN596" s="799"/>
      <c r="AO596" s="799"/>
      <c r="AP596" s="799"/>
      <c r="AQ596" s="799"/>
      <c r="AR596" s="799"/>
      <c r="AS596" s="799"/>
      <c r="AT596" s="799"/>
      <c r="AU596" s="799"/>
      <c r="AV596" s="799"/>
      <c r="AW596" s="799"/>
      <c r="AX596" s="799"/>
      <c r="AY596" s="799"/>
      <c r="AZ596" s="799"/>
      <c r="BA596" s="799"/>
      <c r="BB596" s="799"/>
      <c r="BC596" s="799"/>
      <c r="BD596" s="799"/>
      <c r="BE596" s="799"/>
      <c r="BF596" s="799"/>
      <c r="BG596" s="799"/>
    </row>
    <row r="597">
      <c r="H597" s="799"/>
      <c r="I597" s="799"/>
      <c r="J597" s="799"/>
      <c r="K597" s="799"/>
      <c r="L597" s="799"/>
      <c r="M597" s="799"/>
      <c r="N597" s="799"/>
      <c r="O597" s="799"/>
      <c r="P597" s="799"/>
      <c r="Q597" s="799"/>
      <c r="R597" s="799"/>
      <c r="S597" s="799"/>
      <c r="T597" s="799"/>
      <c r="U597" s="799"/>
      <c r="V597" s="799"/>
      <c r="W597" s="799"/>
      <c r="X597" s="799"/>
      <c r="Y597" s="799"/>
      <c r="Z597" s="799"/>
      <c r="AA597" s="799"/>
      <c r="AB597" s="799"/>
      <c r="AC597" s="799"/>
      <c r="AD597" s="799"/>
      <c r="AE597" s="799"/>
      <c r="AF597" s="799"/>
      <c r="AG597" s="799"/>
      <c r="AH597" s="799"/>
      <c r="AI597" s="799"/>
      <c r="AJ597" s="799"/>
      <c r="AK597" s="799"/>
      <c r="AL597" s="799"/>
      <c r="AM597" s="799"/>
      <c r="AN597" s="799"/>
      <c r="AO597" s="799"/>
      <c r="AP597" s="799"/>
      <c r="AQ597" s="799"/>
      <c r="AR597" s="799"/>
      <c r="AS597" s="799"/>
      <c r="AT597" s="799"/>
      <c r="AU597" s="799"/>
      <c r="AV597" s="799"/>
      <c r="AW597" s="799"/>
      <c r="AX597" s="799"/>
      <c r="AY597" s="799"/>
      <c r="AZ597" s="799"/>
      <c r="BA597" s="799"/>
      <c r="BB597" s="799"/>
      <c r="BC597" s="799"/>
      <c r="BD597" s="799"/>
      <c r="BE597" s="799"/>
      <c r="BF597" s="799"/>
      <c r="BG597" s="799"/>
    </row>
    <row r="598">
      <c r="H598" s="799"/>
      <c r="I598" s="799"/>
      <c r="J598" s="799"/>
      <c r="K598" s="799"/>
      <c r="L598" s="799"/>
      <c r="M598" s="799"/>
      <c r="N598" s="799"/>
      <c r="O598" s="799"/>
      <c r="P598" s="799"/>
      <c r="Q598" s="799"/>
      <c r="R598" s="799"/>
      <c r="S598" s="799"/>
      <c r="T598" s="799"/>
      <c r="U598" s="799"/>
      <c r="V598" s="799"/>
      <c r="W598" s="799"/>
      <c r="X598" s="799"/>
      <c r="Y598" s="799"/>
      <c r="Z598" s="799"/>
      <c r="AA598" s="799"/>
      <c r="AB598" s="799"/>
      <c r="AC598" s="799"/>
      <c r="AD598" s="799"/>
      <c r="AE598" s="799"/>
      <c r="AF598" s="799"/>
      <c r="AG598" s="799"/>
      <c r="AH598" s="799"/>
      <c r="AI598" s="799"/>
      <c r="AJ598" s="799"/>
      <c r="AK598" s="799"/>
      <c r="AL598" s="799"/>
      <c r="AM598" s="799"/>
      <c r="AN598" s="799"/>
      <c r="AO598" s="799"/>
      <c r="AP598" s="799"/>
      <c r="AQ598" s="799"/>
      <c r="AR598" s="799"/>
      <c r="AS598" s="799"/>
      <c r="AT598" s="799"/>
      <c r="AU598" s="799"/>
      <c r="AV598" s="799"/>
      <c r="AW598" s="799"/>
      <c r="AX598" s="799"/>
      <c r="AY598" s="799"/>
      <c r="AZ598" s="799"/>
      <c r="BA598" s="799"/>
      <c r="BB598" s="799"/>
      <c r="BC598" s="799"/>
      <c r="BD598" s="799"/>
      <c r="BE598" s="799"/>
      <c r="BF598" s="799"/>
      <c r="BG598" s="799"/>
    </row>
    <row r="599">
      <c r="H599" s="799"/>
      <c r="I599" s="799"/>
      <c r="J599" s="799"/>
      <c r="K599" s="799"/>
      <c r="L599" s="799"/>
      <c r="M599" s="799"/>
      <c r="N599" s="799"/>
      <c r="O599" s="799"/>
      <c r="P599" s="799"/>
      <c r="Q599" s="799"/>
      <c r="R599" s="799"/>
      <c r="S599" s="799"/>
      <c r="T599" s="799"/>
      <c r="U599" s="799"/>
      <c r="V599" s="799"/>
      <c r="W599" s="799"/>
      <c r="X599" s="799"/>
      <c r="Y599" s="799"/>
      <c r="Z599" s="799"/>
      <c r="AA599" s="799"/>
      <c r="AB599" s="799"/>
      <c r="AC599" s="799"/>
      <c r="AD599" s="799"/>
      <c r="AE599" s="799"/>
      <c r="AF599" s="799"/>
      <c r="AG599" s="799"/>
      <c r="AH599" s="799"/>
      <c r="AI599" s="799"/>
      <c r="AJ599" s="799"/>
      <c r="AK599" s="799"/>
      <c r="AL599" s="799"/>
      <c r="AM599" s="799"/>
      <c r="AN599" s="799"/>
      <c r="AO599" s="799"/>
      <c r="AP599" s="799"/>
      <c r="AQ599" s="799"/>
      <c r="AR599" s="799"/>
      <c r="AS599" s="799"/>
      <c r="AT599" s="799"/>
      <c r="AU599" s="799"/>
      <c r="AV599" s="799"/>
      <c r="AW599" s="799"/>
      <c r="AX599" s="799"/>
      <c r="AY599" s="799"/>
      <c r="AZ599" s="799"/>
      <c r="BA599" s="799"/>
      <c r="BB599" s="799"/>
      <c r="BC599" s="799"/>
      <c r="BD599" s="799"/>
      <c r="BE599" s="799"/>
      <c r="BF599" s="799"/>
      <c r="BG599" s="799"/>
    </row>
    <row r="600">
      <c r="H600" s="799"/>
      <c r="I600" s="799"/>
      <c r="J600" s="799"/>
      <c r="K600" s="799"/>
      <c r="L600" s="799"/>
      <c r="M600" s="799"/>
      <c r="N600" s="799"/>
      <c r="O600" s="799"/>
      <c r="P600" s="799"/>
      <c r="Q600" s="799"/>
      <c r="R600" s="799"/>
      <c r="S600" s="799"/>
      <c r="T600" s="799"/>
      <c r="U600" s="799"/>
      <c r="V600" s="799"/>
      <c r="W600" s="799"/>
      <c r="X600" s="799"/>
      <c r="Y600" s="799"/>
      <c r="Z600" s="799"/>
      <c r="AA600" s="799"/>
      <c r="AB600" s="799"/>
      <c r="AC600" s="799"/>
      <c r="AD600" s="799"/>
      <c r="AE600" s="799"/>
      <c r="AF600" s="799"/>
      <c r="AG600" s="799"/>
      <c r="AH600" s="799"/>
      <c r="AI600" s="799"/>
      <c r="AJ600" s="799"/>
      <c r="AK600" s="799"/>
      <c r="AL600" s="799"/>
      <c r="AM600" s="799"/>
      <c r="AN600" s="799"/>
      <c r="AO600" s="799"/>
      <c r="AP600" s="799"/>
      <c r="AQ600" s="799"/>
      <c r="AR600" s="799"/>
      <c r="AS600" s="799"/>
      <c r="AT600" s="799"/>
      <c r="AU600" s="799"/>
      <c r="AV600" s="799"/>
      <c r="AW600" s="799"/>
      <c r="AX600" s="799"/>
      <c r="AY600" s="799"/>
      <c r="AZ600" s="799"/>
      <c r="BA600" s="799"/>
      <c r="BB600" s="799"/>
      <c r="BC600" s="799"/>
      <c r="BD600" s="799"/>
      <c r="BE600" s="799"/>
      <c r="BF600" s="799"/>
      <c r="BG600" s="799"/>
    </row>
    <row r="601">
      <c r="H601" s="799"/>
      <c r="I601" s="799"/>
      <c r="J601" s="799"/>
      <c r="K601" s="799"/>
      <c r="L601" s="799"/>
      <c r="M601" s="799"/>
      <c r="N601" s="799"/>
      <c r="O601" s="799"/>
      <c r="P601" s="799"/>
      <c r="Q601" s="799"/>
      <c r="R601" s="799"/>
      <c r="S601" s="799"/>
      <c r="T601" s="799"/>
      <c r="U601" s="799"/>
      <c r="V601" s="799"/>
      <c r="W601" s="799"/>
      <c r="X601" s="799"/>
      <c r="Y601" s="799"/>
      <c r="Z601" s="799"/>
      <c r="AA601" s="799"/>
      <c r="AB601" s="799"/>
      <c r="AC601" s="799"/>
      <c r="AD601" s="799"/>
      <c r="AE601" s="799"/>
      <c r="AF601" s="799"/>
      <c r="AG601" s="799"/>
      <c r="AH601" s="799"/>
      <c r="AI601" s="799"/>
      <c r="AJ601" s="799"/>
      <c r="AK601" s="799"/>
      <c r="AL601" s="799"/>
      <c r="AM601" s="799"/>
      <c r="AN601" s="799"/>
      <c r="AO601" s="799"/>
      <c r="AP601" s="799"/>
      <c r="AQ601" s="799"/>
      <c r="AR601" s="799"/>
      <c r="AS601" s="799"/>
      <c r="AT601" s="799"/>
      <c r="AU601" s="799"/>
      <c r="AV601" s="799"/>
      <c r="AW601" s="799"/>
      <c r="AX601" s="799"/>
      <c r="AY601" s="799"/>
      <c r="AZ601" s="799"/>
      <c r="BA601" s="799"/>
      <c r="BB601" s="799"/>
      <c r="BC601" s="799"/>
      <c r="BD601" s="799"/>
      <c r="BE601" s="799"/>
      <c r="BF601" s="799"/>
      <c r="BG601" s="799"/>
    </row>
    <row r="602">
      <c r="H602" s="799"/>
      <c r="I602" s="799"/>
      <c r="J602" s="799"/>
      <c r="K602" s="799"/>
      <c r="L602" s="799"/>
      <c r="M602" s="799"/>
      <c r="N602" s="799"/>
      <c r="O602" s="799"/>
      <c r="P602" s="799"/>
      <c r="Q602" s="799"/>
      <c r="R602" s="799"/>
      <c r="S602" s="799"/>
      <c r="T602" s="799"/>
      <c r="U602" s="799"/>
      <c r="V602" s="799"/>
      <c r="W602" s="799"/>
      <c r="X602" s="799"/>
      <c r="Y602" s="799"/>
      <c r="Z602" s="799"/>
      <c r="AA602" s="799"/>
      <c r="AB602" s="799"/>
      <c r="AC602" s="799"/>
      <c r="AD602" s="799"/>
      <c r="AE602" s="799"/>
      <c r="AF602" s="799"/>
      <c r="AG602" s="799"/>
      <c r="AH602" s="799"/>
      <c r="AI602" s="799"/>
      <c r="AJ602" s="799"/>
      <c r="AK602" s="799"/>
      <c r="AL602" s="799"/>
      <c r="AM602" s="799"/>
      <c r="AN602" s="799"/>
      <c r="AO602" s="799"/>
      <c r="AP602" s="799"/>
      <c r="AQ602" s="799"/>
      <c r="AR602" s="799"/>
      <c r="AS602" s="799"/>
      <c r="AT602" s="799"/>
      <c r="AU602" s="799"/>
      <c r="AV602" s="799"/>
      <c r="AW602" s="799"/>
      <c r="AX602" s="799"/>
      <c r="AY602" s="799"/>
      <c r="AZ602" s="799"/>
      <c r="BA602" s="799"/>
      <c r="BB602" s="799"/>
      <c r="BC602" s="799"/>
      <c r="BD602" s="799"/>
      <c r="BE602" s="799"/>
      <c r="BF602" s="799"/>
      <c r="BG602" s="799"/>
    </row>
    <row r="603">
      <c r="H603" s="799"/>
      <c r="I603" s="799"/>
      <c r="J603" s="799"/>
      <c r="K603" s="799"/>
      <c r="L603" s="799"/>
      <c r="M603" s="799"/>
      <c r="N603" s="799"/>
      <c r="O603" s="799"/>
      <c r="P603" s="799"/>
      <c r="Q603" s="799"/>
      <c r="R603" s="799"/>
      <c r="S603" s="799"/>
      <c r="T603" s="799"/>
      <c r="U603" s="799"/>
      <c r="V603" s="799"/>
      <c r="W603" s="799"/>
      <c r="X603" s="799"/>
      <c r="Y603" s="799"/>
      <c r="Z603" s="799"/>
      <c r="AA603" s="799"/>
      <c r="AB603" s="799"/>
      <c r="AC603" s="799"/>
      <c r="AD603" s="799"/>
      <c r="AE603" s="799"/>
      <c r="AF603" s="799"/>
      <c r="AG603" s="799"/>
      <c r="AH603" s="799"/>
      <c r="AI603" s="799"/>
      <c r="AJ603" s="799"/>
      <c r="AK603" s="799"/>
      <c r="AL603" s="799"/>
      <c r="AM603" s="799"/>
      <c r="AN603" s="799"/>
      <c r="AO603" s="799"/>
      <c r="AP603" s="799"/>
      <c r="AQ603" s="799"/>
      <c r="AR603" s="799"/>
      <c r="AS603" s="799"/>
      <c r="AT603" s="799"/>
      <c r="AU603" s="799"/>
      <c r="AV603" s="799"/>
      <c r="AW603" s="799"/>
      <c r="AX603" s="799"/>
      <c r="AY603" s="799"/>
      <c r="AZ603" s="799"/>
      <c r="BA603" s="799"/>
      <c r="BB603" s="799"/>
      <c r="BC603" s="799"/>
      <c r="BD603" s="799"/>
      <c r="BE603" s="799"/>
      <c r="BF603" s="799"/>
      <c r="BG603" s="799"/>
    </row>
    <row r="604">
      <c r="H604" s="799"/>
      <c r="I604" s="799"/>
      <c r="J604" s="799"/>
      <c r="K604" s="799"/>
      <c r="L604" s="799"/>
      <c r="M604" s="799"/>
      <c r="N604" s="799"/>
      <c r="O604" s="799"/>
      <c r="P604" s="799"/>
      <c r="Q604" s="799"/>
      <c r="R604" s="799"/>
      <c r="S604" s="799"/>
      <c r="T604" s="799"/>
      <c r="U604" s="799"/>
      <c r="V604" s="799"/>
      <c r="W604" s="799"/>
      <c r="X604" s="799"/>
      <c r="Y604" s="799"/>
      <c r="Z604" s="799"/>
      <c r="AA604" s="799"/>
      <c r="AB604" s="799"/>
      <c r="AC604" s="799"/>
      <c r="AD604" s="799"/>
      <c r="AE604" s="799"/>
      <c r="AF604" s="799"/>
      <c r="AG604" s="799"/>
      <c r="AH604" s="799"/>
      <c r="AI604" s="799"/>
      <c r="AJ604" s="799"/>
      <c r="AK604" s="799"/>
      <c r="AL604" s="799"/>
      <c r="AM604" s="799"/>
      <c r="AN604" s="799"/>
      <c r="AO604" s="799"/>
      <c r="AP604" s="799"/>
      <c r="AQ604" s="799"/>
      <c r="AR604" s="799"/>
      <c r="AS604" s="799"/>
      <c r="AT604" s="799"/>
      <c r="AU604" s="799"/>
      <c r="AV604" s="799"/>
      <c r="AW604" s="799"/>
      <c r="AX604" s="799"/>
      <c r="AY604" s="799"/>
      <c r="AZ604" s="799"/>
      <c r="BA604" s="799"/>
      <c r="BB604" s="799"/>
      <c r="BC604" s="799"/>
      <c r="BD604" s="799"/>
      <c r="BE604" s="799"/>
      <c r="BF604" s="799"/>
      <c r="BG604" s="799"/>
    </row>
    <row r="605">
      <c r="H605" s="799"/>
      <c r="I605" s="799"/>
      <c r="J605" s="799"/>
      <c r="K605" s="799"/>
      <c r="L605" s="799"/>
      <c r="M605" s="799"/>
      <c r="N605" s="799"/>
      <c r="O605" s="799"/>
      <c r="P605" s="799"/>
      <c r="Q605" s="799"/>
      <c r="R605" s="799"/>
      <c r="S605" s="799"/>
      <c r="T605" s="799"/>
      <c r="U605" s="799"/>
      <c r="V605" s="799"/>
      <c r="W605" s="799"/>
      <c r="X605" s="799"/>
      <c r="Y605" s="799"/>
      <c r="Z605" s="799"/>
      <c r="AA605" s="799"/>
      <c r="AB605" s="799"/>
      <c r="AC605" s="799"/>
      <c r="AD605" s="799"/>
      <c r="AE605" s="799"/>
      <c r="AF605" s="799"/>
      <c r="AG605" s="799"/>
      <c r="AH605" s="799"/>
      <c r="AI605" s="799"/>
      <c r="AJ605" s="799"/>
      <c r="AK605" s="799"/>
      <c r="AL605" s="799"/>
      <c r="AM605" s="799"/>
      <c r="AN605" s="799"/>
      <c r="AO605" s="799"/>
      <c r="AP605" s="799"/>
      <c r="AQ605" s="799"/>
      <c r="AR605" s="799"/>
      <c r="AS605" s="799"/>
      <c r="AT605" s="799"/>
      <c r="AU605" s="799"/>
      <c r="AV605" s="799"/>
      <c r="AW605" s="799"/>
      <c r="AX605" s="799"/>
      <c r="AY605" s="799"/>
      <c r="AZ605" s="799"/>
      <c r="BA605" s="799"/>
      <c r="BB605" s="799"/>
      <c r="BC605" s="799"/>
      <c r="BD605" s="799"/>
      <c r="BE605" s="799"/>
      <c r="BF605" s="799"/>
      <c r="BG605" s="799"/>
    </row>
    <row r="606">
      <c r="H606" s="799"/>
      <c r="I606" s="799"/>
      <c r="J606" s="799"/>
      <c r="K606" s="799"/>
      <c r="L606" s="799"/>
      <c r="M606" s="799"/>
      <c r="N606" s="799"/>
      <c r="O606" s="799"/>
      <c r="P606" s="799"/>
      <c r="Q606" s="799"/>
      <c r="R606" s="799"/>
      <c r="S606" s="799"/>
      <c r="T606" s="799"/>
      <c r="U606" s="799"/>
      <c r="V606" s="799"/>
      <c r="W606" s="799"/>
      <c r="X606" s="799"/>
      <c r="Y606" s="799"/>
      <c r="Z606" s="799"/>
      <c r="AA606" s="799"/>
      <c r="AB606" s="799"/>
      <c r="AC606" s="799"/>
      <c r="AD606" s="799"/>
      <c r="AE606" s="799"/>
      <c r="AF606" s="799"/>
      <c r="AG606" s="799"/>
      <c r="AH606" s="799"/>
      <c r="AI606" s="799"/>
      <c r="AJ606" s="799"/>
      <c r="AK606" s="799"/>
      <c r="AL606" s="799"/>
      <c r="AM606" s="799"/>
      <c r="AN606" s="799"/>
      <c r="AO606" s="799"/>
      <c r="AP606" s="799"/>
      <c r="AQ606" s="799"/>
      <c r="AR606" s="799"/>
      <c r="AS606" s="799"/>
      <c r="AT606" s="799"/>
      <c r="AU606" s="799"/>
      <c r="AV606" s="799"/>
      <c r="AW606" s="799"/>
      <c r="AX606" s="799"/>
      <c r="AY606" s="799"/>
      <c r="AZ606" s="799"/>
      <c r="BA606" s="799"/>
      <c r="BB606" s="799"/>
      <c r="BC606" s="799"/>
      <c r="BD606" s="799"/>
      <c r="BE606" s="799"/>
      <c r="BF606" s="799"/>
      <c r="BG606" s="799"/>
    </row>
    <row r="607">
      <c r="H607" s="799"/>
      <c r="I607" s="799"/>
      <c r="J607" s="799"/>
      <c r="K607" s="799"/>
      <c r="L607" s="799"/>
      <c r="M607" s="799"/>
      <c r="N607" s="799"/>
      <c r="O607" s="799"/>
      <c r="P607" s="799"/>
      <c r="Q607" s="799"/>
      <c r="R607" s="799"/>
      <c r="S607" s="799"/>
      <c r="T607" s="799"/>
      <c r="U607" s="799"/>
      <c r="V607" s="799"/>
      <c r="W607" s="799"/>
      <c r="X607" s="799"/>
      <c r="Y607" s="799"/>
      <c r="Z607" s="799"/>
      <c r="AA607" s="799"/>
      <c r="AB607" s="799"/>
      <c r="AC607" s="799"/>
      <c r="AD607" s="799"/>
      <c r="AE607" s="799"/>
      <c r="AF607" s="799"/>
      <c r="AG607" s="799"/>
      <c r="AH607" s="799"/>
      <c r="AI607" s="799"/>
      <c r="AJ607" s="799"/>
      <c r="AK607" s="799"/>
      <c r="AL607" s="799"/>
      <c r="AM607" s="799"/>
      <c r="AN607" s="799"/>
      <c r="AO607" s="799"/>
      <c r="AP607" s="799"/>
      <c r="AQ607" s="799"/>
      <c r="AR607" s="799"/>
      <c r="AS607" s="799"/>
      <c r="AT607" s="799"/>
      <c r="AU607" s="799"/>
      <c r="AV607" s="799"/>
      <c r="AW607" s="799"/>
      <c r="AX607" s="799"/>
      <c r="AY607" s="799"/>
      <c r="AZ607" s="799"/>
      <c r="BA607" s="799"/>
      <c r="BB607" s="799"/>
      <c r="BC607" s="799"/>
      <c r="BD607" s="799"/>
      <c r="BE607" s="799"/>
      <c r="BF607" s="799"/>
      <c r="BG607" s="799"/>
    </row>
    <row r="608">
      <c r="H608" s="799"/>
      <c r="I608" s="799"/>
      <c r="J608" s="799"/>
      <c r="K608" s="799"/>
      <c r="L608" s="799"/>
      <c r="M608" s="799"/>
      <c r="N608" s="799"/>
      <c r="O608" s="799"/>
      <c r="P608" s="799"/>
      <c r="Q608" s="799"/>
      <c r="R608" s="799"/>
      <c r="S608" s="799"/>
      <c r="T608" s="799"/>
      <c r="U608" s="799"/>
      <c r="V608" s="799"/>
      <c r="W608" s="799"/>
      <c r="X608" s="799"/>
      <c r="Y608" s="799"/>
      <c r="Z608" s="799"/>
      <c r="AA608" s="799"/>
      <c r="AB608" s="799"/>
      <c r="AC608" s="799"/>
      <c r="AD608" s="799"/>
      <c r="AE608" s="799"/>
      <c r="AF608" s="799"/>
      <c r="AG608" s="799"/>
      <c r="AH608" s="799"/>
      <c r="AI608" s="799"/>
      <c r="AJ608" s="799"/>
      <c r="AK608" s="799"/>
      <c r="AL608" s="799"/>
      <c r="AM608" s="799"/>
      <c r="AN608" s="799"/>
      <c r="AO608" s="799"/>
      <c r="AP608" s="799"/>
      <c r="AQ608" s="799"/>
      <c r="AR608" s="799"/>
      <c r="AS608" s="799"/>
      <c r="AT608" s="799"/>
      <c r="AU608" s="799"/>
      <c r="AV608" s="799"/>
      <c r="AW608" s="799"/>
      <c r="AX608" s="799"/>
      <c r="AY608" s="799"/>
      <c r="AZ608" s="799"/>
      <c r="BA608" s="799"/>
      <c r="BB608" s="799"/>
      <c r="BC608" s="799"/>
      <c r="BD608" s="799"/>
      <c r="BE608" s="799"/>
      <c r="BF608" s="799"/>
      <c r="BG608" s="799"/>
    </row>
    <row r="609">
      <c r="H609" s="799"/>
      <c r="I609" s="799"/>
      <c r="J609" s="799"/>
      <c r="K609" s="799"/>
      <c r="L609" s="799"/>
      <c r="M609" s="799"/>
      <c r="N609" s="799"/>
      <c r="O609" s="799"/>
      <c r="P609" s="799"/>
      <c r="Q609" s="799"/>
      <c r="R609" s="799"/>
      <c r="S609" s="799"/>
      <c r="T609" s="799"/>
      <c r="U609" s="799"/>
      <c r="V609" s="799"/>
      <c r="W609" s="799"/>
      <c r="X609" s="799"/>
      <c r="Y609" s="799"/>
      <c r="Z609" s="799"/>
      <c r="AA609" s="799"/>
      <c r="AB609" s="799"/>
      <c r="AC609" s="799"/>
      <c r="AD609" s="799"/>
      <c r="AE609" s="799"/>
      <c r="AF609" s="799"/>
      <c r="AG609" s="799"/>
      <c r="AH609" s="799"/>
      <c r="AI609" s="799"/>
      <c r="AJ609" s="799"/>
      <c r="AK609" s="799"/>
      <c r="AL609" s="799"/>
      <c r="AM609" s="799"/>
      <c r="AN609" s="799"/>
      <c r="AO609" s="799"/>
      <c r="AP609" s="799"/>
      <c r="AQ609" s="799"/>
      <c r="AR609" s="799"/>
      <c r="AS609" s="799"/>
      <c r="AT609" s="799"/>
      <c r="AU609" s="799"/>
      <c r="AV609" s="799"/>
      <c r="AW609" s="799"/>
      <c r="AX609" s="799"/>
      <c r="AY609" s="799"/>
      <c r="AZ609" s="799"/>
      <c r="BA609" s="799"/>
      <c r="BB609" s="799"/>
      <c r="BC609" s="799"/>
      <c r="BD609" s="799"/>
      <c r="BE609" s="799"/>
      <c r="BF609" s="799"/>
      <c r="BG609" s="799"/>
    </row>
    <row r="610">
      <c r="H610" s="799"/>
      <c r="I610" s="799"/>
      <c r="J610" s="799"/>
      <c r="K610" s="799"/>
      <c r="L610" s="799"/>
      <c r="M610" s="799"/>
      <c r="N610" s="799"/>
      <c r="O610" s="799"/>
      <c r="P610" s="799"/>
      <c r="Q610" s="799"/>
      <c r="R610" s="799"/>
      <c r="S610" s="799"/>
      <c r="T610" s="799"/>
      <c r="U610" s="799"/>
      <c r="V610" s="799"/>
      <c r="W610" s="799"/>
      <c r="X610" s="799"/>
      <c r="Y610" s="799"/>
      <c r="Z610" s="799"/>
      <c r="AA610" s="799"/>
      <c r="AB610" s="799"/>
      <c r="AC610" s="799"/>
      <c r="AD610" s="799"/>
      <c r="AE610" s="799"/>
      <c r="AF610" s="799"/>
      <c r="AG610" s="799"/>
      <c r="AH610" s="799"/>
      <c r="AI610" s="799"/>
      <c r="AJ610" s="799"/>
      <c r="AK610" s="799"/>
      <c r="AL610" s="799"/>
      <c r="AM610" s="799"/>
      <c r="AN610" s="799"/>
      <c r="AO610" s="799"/>
      <c r="AP610" s="799"/>
      <c r="AQ610" s="799"/>
      <c r="AR610" s="799"/>
      <c r="AS610" s="799"/>
      <c r="AT610" s="799"/>
      <c r="AU610" s="799"/>
      <c r="AV610" s="799"/>
      <c r="AW610" s="799"/>
      <c r="AX610" s="799"/>
      <c r="AY610" s="799"/>
      <c r="AZ610" s="799"/>
      <c r="BA610" s="799"/>
      <c r="BB610" s="799"/>
      <c r="BC610" s="799"/>
      <c r="BD610" s="799"/>
      <c r="BE610" s="799"/>
      <c r="BF610" s="799"/>
      <c r="BG610" s="799"/>
    </row>
    <row r="611">
      <c r="H611" s="799"/>
      <c r="I611" s="799"/>
      <c r="J611" s="799"/>
      <c r="K611" s="799"/>
      <c r="L611" s="799"/>
      <c r="M611" s="799"/>
      <c r="N611" s="799"/>
      <c r="O611" s="799"/>
      <c r="P611" s="799"/>
      <c r="Q611" s="799"/>
      <c r="R611" s="799"/>
      <c r="S611" s="799"/>
      <c r="T611" s="799"/>
      <c r="U611" s="799"/>
      <c r="V611" s="799"/>
      <c r="W611" s="799"/>
      <c r="X611" s="799"/>
      <c r="Y611" s="799"/>
      <c r="Z611" s="799"/>
      <c r="AA611" s="799"/>
      <c r="AB611" s="799"/>
      <c r="AC611" s="799"/>
      <c r="AD611" s="799"/>
      <c r="AE611" s="799"/>
      <c r="AF611" s="799"/>
      <c r="AG611" s="799"/>
      <c r="AH611" s="799"/>
      <c r="AI611" s="799"/>
      <c r="AJ611" s="799"/>
      <c r="AK611" s="799"/>
      <c r="AL611" s="799"/>
      <c r="AM611" s="799"/>
      <c r="AN611" s="799"/>
      <c r="AO611" s="799"/>
      <c r="AP611" s="799"/>
      <c r="AQ611" s="799"/>
      <c r="AR611" s="799"/>
      <c r="AS611" s="799"/>
      <c r="AT611" s="799"/>
      <c r="AU611" s="799"/>
      <c r="AV611" s="799"/>
      <c r="AW611" s="799"/>
      <c r="AX611" s="799"/>
      <c r="AY611" s="799"/>
      <c r="AZ611" s="799"/>
      <c r="BA611" s="799"/>
      <c r="BB611" s="799"/>
      <c r="BC611" s="799"/>
      <c r="BD611" s="799"/>
      <c r="BE611" s="799"/>
      <c r="BF611" s="799"/>
      <c r="BG611" s="799"/>
    </row>
    <row r="612">
      <c r="H612" s="799"/>
      <c r="I612" s="799"/>
      <c r="J612" s="799"/>
      <c r="K612" s="799"/>
      <c r="L612" s="799"/>
      <c r="M612" s="799"/>
      <c r="N612" s="799"/>
      <c r="O612" s="799"/>
      <c r="P612" s="799"/>
      <c r="Q612" s="799"/>
      <c r="R612" s="799"/>
      <c r="S612" s="799"/>
      <c r="T612" s="799"/>
      <c r="U612" s="799"/>
      <c r="V612" s="799"/>
      <c r="W612" s="799"/>
      <c r="X612" s="799"/>
      <c r="Y612" s="799"/>
      <c r="Z612" s="799"/>
      <c r="AA612" s="799"/>
      <c r="AB612" s="799"/>
      <c r="AC612" s="799"/>
      <c r="AD612" s="799"/>
      <c r="AE612" s="799"/>
      <c r="AF612" s="799"/>
      <c r="AG612" s="799"/>
      <c r="AH612" s="799"/>
      <c r="AI612" s="799"/>
      <c r="AJ612" s="799"/>
      <c r="AK612" s="799"/>
      <c r="AL612" s="799"/>
      <c r="AM612" s="799"/>
      <c r="AN612" s="799"/>
      <c r="AO612" s="799"/>
      <c r="AP612" s="799"/>
      <c r="AQ612" s="799"/>
      <c r="AR612" s="799"/>
      <c r="AS612" s="799"/>
      <c r="AT612" s="799"/>
      <c r="AU612" s="799"/>
      <c r="AV612" s="799"/>
      <c r="AW612" s="799"/>
      <c r="AX612" s="799"/>
      <c r="AY612" s="799"/>
      <c r="AZ612" s="799"/>
      <c r="BA612" s="799"/>
      <c r="BB612" s="799"/>
      <c r="BC612" s="799"/>
      <c r="BD612" s="799"/>
      <c r="BE612" s="799"/>
      <c r="BF612" s="799"/>
      <c r="BG612" s="799"/>
    </row>
    <row r="613">
      <c r="H613" s="799"/>
      <c r="I613" s="799"/>
      <c r="J613" s="799"/>
      <c r="K613" s="799"/>
      <c r="L613" s="799"/>
      <c r="M613" s="799"/>
      <c r="N613" s="799"/>
      <c r="O613" s="799"/>
      <c r="P613" s="799"/>
      <c r="Q613" s="799"/>
      <c r="R613" s="799"/>
      <c r="S613" s="799"/>
      <c r="T613" s="799"/>
      <c r="U613" s="799"/>
      <c r="V613" s="799"/>
      <c r="W613" s="799"/>
      <c r="X613" s="799"/>
      <c r="Y613" s="799"/>
      <c r="Z613" s="799"/>
      <c r="AA613" s="799"/>
      <c r="AB613" s="799"/>
      <c r="AC613" s="799"/>
      <c r="AD613" s="799"/>
      <c r="AE613" s="799"/>
      <c r="AF613" s="799"/>
      <c r="AG613" s="799"/>
      <c r="AH613" s="799"/>
      <c r="AI613" s="799"/>
      <c r="AJ613" s="799"/>
      <c r="AK613" s="799"/>
      <c r="AL613" s="799"/>
      <c r="AM613" s="799"/>
      <c r="AN613" s="799"/>
      <c r="AO613" s="799"/>
      <c r="AP613" s="799"/>
      <c r="AQ613" s="799"/>
      <c r="AR613" s="799"/>
      <c r="AS613" s="799"/>
      <c r="AT613" s="799"/>
      <c r="AU613" s="799"/>
      <c r="AV613" s="799"/>
      <c r="AW613" s="799"/>
      <c r="AX613" s="799"/>
      <c r="AY613" s="799"/>
      <c r="AZ613" s="799"/>
      <c r="BA613" s="799"/>
      <c r="BB613" s="799"/>
      <c r="BC613" s="799"/>
      <c r="BD613" s="799"/>
      <c r="BE613" s="799"/>
      <c r="BF613" s="799"/>
      <c r="BG613" s="799"/>
    </row>
    <row r="614">
      <c r="H614" s="799"/>
      <c r="I614" s="799"/>
      <c r="J614" s="799"/>
      <c r="K614" s="799"/>
      <c r="L614" s="799"/>
      <c r="M614" s="799"/>
      <c r="N614" s="799"/>
      <c r="O614" s="799"/>
      <c r="P614" s="799"/>
      <c r="Q614" s="799"/>
      <c r="R614" s="799"/>
      <c r="S614" s="799"/>
      <c r="T614" s="799"/>
      <c r="U614" s="799"/>
      <c r="V614" s="799"/>
      <c r="W614" s="799"/>
      <c r="X614" s="799"/>
      <c r="Y614" s="799"/>
      <c r="Z614" s="799"/>
      <c r="AA614" s="799"/>
      <c r="AB614" s="799"/>
      <c r="AC614" s="799"/>
      <c r="AD614" s="799"/>
      <c r="AE614" s="799"/>
      <c r="AF614" s="799"/>
      <c r="AG614" s="799"/>
      <c r="AH614" s="799"/>
      <c r="AI614" s="799"/>
      <c r="AJ614" s="799"/>
      <c r="AK614" s="799"/>
      <c r="AL614" s="799"/>
      <c r="AM614" s="799"/>
      <c r="AN614" s="799"/>
      <c r="AO614" s="799"/>
      <c r="AP614" s="799"/>
      <c r="AQ614" s="799"/>
      <c r="AR614" s="799"/>
      <c r="AS614" s="799"/>
      <c r="AT614" s="799"/>
      <c r="AU614" s="799"/>
      <c r="AV614" s="799"/>
      <c r="AW614" s="799"/>
      <c r="AX614" s="799"/>
      <c r="AY614" s="799"/>
      <c r="AZ614" s="799"/>
      <c r="BA614" s="799"/>
      <c r="BB614" s="799"/>
      <c r="BC614" s="799"/>
      <c r="BD614" s="799"/>
      <c r="BE614" s="799"/>
      <c r="BF614" s="799"/>
      <c r="BG614" s="799"/>
    </row>
    <row r="615">
      <c r="H615" s="799"/>
      <c r="I615" s="799"/>
      <c r="J615" s="799"/>
      <c r="K615" s="799"/>
      <c r="L615" s="799"/>
      <c r="M615" s="799"/>
      <c r="N615" s="799"/>
      <c r="O615" s="799"/>
      <c r="P615" s="799"/>
      <c r="Q615" s="799"/>
      <c r="R615" s="799"/>
      <c r="S615" s="799"/>
      <c r="T615" s="799"/>
      <c r="U615" s="799"/>
      <c r="V615" s="799"/>
      <c r="W615" s="799"/>
      <c r="X615" s="799"/>
      <c r="Y615" s="799"/>
      <c r="Z615" s="799"/>
      <c r="AA615" s="799"/>
      <c r="AB615" s="799"/>
      <c r="AC615" s="799"/>
      <c r="AD615" s="799"/>
      <c r="AE615" s="799"/>
      <c r="AF615" s="799"/>
      <c r="AG615" s="799"/>
      <c r="AH615" s="799"/>
      <c r="AI615" s="799"/>
      <c r="AJ615" s="799"/>
      <c r="AK615" s="799"/>
      <c r="AL615" s="799"/>
      <c r="AM615" s="799"/>
      <c r="AN615" s="799"/>
      <c r="AO615" s="799"/>
      <c r="AP615" s="799"/>
      <c r="AQ615" s="799"/>
      <c r="AR615" s="799"/>
      <c r="AS615" s="799"/>
      <c r="AT615" s="799"/>
      <c r="AU615" s="799"/>
      <c r="AV615" s="799"/>
      <c r="AW615" s="799"/>
      <c r="AX615" s="799"/>
      <c r="AY615" s="799"/>
      <c r="AZ615" s="799"/>
      <c r="BA615" s="799"/>
      <c r="BB615" s="799"/>
      <c r="BC615" s="799"/>
      <c r="BD615" s="799"/>
      <c r="BE615" s="799"/>
      <c r="BF615" s="799"/>
      <c r="BG615" s="799"/>
    </row>
    <row r="616">
      <c r="H616" s="799"/>
      <c r="I616" s="799"/>
      <c r="J616" s="799"/>
      <c r="K616" s="799"/>
      <c r="L616" s="799"/>
      <c r="M616" s="799"/>
      <c r="N616" s="799"/>
      <c r="O616" s="799"/>
      <c r="P616" s="799"/>
      <c r="Q616" s="799"/>
      <c r="R616" s="799"/>
      <c r="S616" s="799"/>
      <c r="T616" s="799"/>
      <c r="U616" s="799"/>
      <c r="V616" s="799"/>
      <c r="W616" s="799"/>
      <c r="X616" s="799"/>
      <c r="Y616" s="799"/>
      <c r="Z616" s="799"/>
      <c r="AA616" s="799"/>
      <c r="AB616" s="799"/>
      <c r="AC616" s="799"/>
      <c r="AD616" s="799"/>
      <c r="AE616" s="799"/>
      <c r="AF616" s="799"/>
      <c r="AG616" s="799"/>
      <c r="AH616" s="799"/>
      <c r="AI616" s="799"/>
      <c r="AJ616" s="799"/>
      <c r="AK616" s="799"/>
      <c r="AL616" s="799"/>
      <c r="AM616" s="799"/>
      <c r="AN616" s="799"/>
      <c r="AO616" s="799"/>
      <c r="AP616" s="799"/>
      <c r="AQ616" s="799"/>
      <c r="AR616" s="799"/>
      <c r="AS616" s="799"/>
      <c r="AT616" s="799"/>
      <c r="AU616" s="799"/>
      <c r="AV616" s="799"/>
      <c r="AW616" s="799"/>
      <c r="AX616" s="799"/>
      <c r="AY616" s="799"/>
      <c r="AZ616" s="799"/>
      <c r="BA616" s="799"/>
      <c r="BB616" s="799"/>
      <c r="BC616" s="799"/>
      <c r="BD616" s="799"/>
      <c r="BE616" s="799"/>
      <c r="BF616" s="799"/>
      <c r="BG616" s="799"/>
    </row>
    <row r="617">
      <c r="H617" s="799"/>
      <c r="I617" s="799"/>
      <c r="J617" s="799"/>
      <c r="K617" s="799"/>
      <c r="L617" s="799"/>
      <c r="M617" s="799"/>
      <c r="N617" s="799"/>
      <c r="O617" s="799"/>
      <c r="P617" s="799"/>
      <c r="Q617" s="799"/>
      <c r="R617" s="799"/>
      <c r="S617" s="799"/>
      <c r="T617" s="799"/>
      <c r="U617" s="799"/>
      <c r="V617" s="799"/>
      <c r="W617" s="799"/>
      <c r="X617" s="799"/>
      <c r="Y617" s="799"/>
      <c r="Z617" s="799"/>
      <c r="AA617" s="799"/>
      <c r="AB617" s="799"/>
      <c r="AC617" s="799"/>
      <c r="AD617" s="799"/>
      <c r="AE617" s="799"/>
      <c r="AF617" s="799"/>
      <c r="AG617" s="799"/>
      <c r="AH617" s="799"/>
      <c r="AI617" s="799"/>
      <c r="AJ617" s="799"/>
      <c r="AK617" s="799"/>
      <c r="AL617" s="799"/>
      <c r="AM617" s="799"/>
      <c r="AN617" s="799"/>
      <c r="AO617" s="799"/>
      <c r="AP617" s="799"/>
      <c r="AQ617" s="799"/>
      <c r="AR617" s="799"/>
      <c r="AS617" s="799"/>
      <c r="AT617" s="799"/>
      <c r="AU617" s="799"/>
      <c r="AV617" s="799"/>
      <c r="AW617" s="799"/>
      <c r="AX617" s="799"/>
      <c r="AY617" s="799"/>
      <c r="AZ617" s="799"/>
      <c r="BA617" s="799"/>
      <c r="BB617" s="799"/>
      <c r="BC617" s="799"/>
      <c r="BD617" s="799"/>
      <c r="BE617" s="799"/>
      <c r="BF617" s="799"/>
      <c r="BG617" s="799"/>
    </row>
    <row r="618">
      <c r="H618" s="799"/>
      <c r="I618" s="799"/>
      <c r="J618" s="799"/>
      <c r="K618" s="799"/>
      <c r="L618" s="799"/>
      <c r="M618" s="799"/>
      <c r="N618" s="799"/>
      <c r="O618" s="799"/>
      <c r="P618" s="799"/>
      <c r="Q618" s="799"/>
      <c r="R618" s="799"/>
      <c r="S618" s="799"/>
      <c r="T618" s="799"/>
      <c r="U618" s="799"/>
      <c r="V618" s="799"/>
      <c r="W618" s="799"/>
      <c r="X618" s="799"/>
      <c r="Y618" s="799"/>
      <c r="Z618" s="799"/>
      <c r="AA618" s="799"/>
      <c r="AB618" s="799"/>
      <c r="AC618" s="799"/>
      <c r="AD618" s="799"/>
      <c r="AE618" s="799"/>
      <c r="AF618" s="799"/>
      <c r="AG618" s="799"/>
      <c r="AH618" s="799"/>
      <c r="AI618" s="799"/>
      <c r="AJ618" s="799"/>
      <c r="AK618" s="799"/>
      <c r="AL618" s="799"/>
      <c r="AM618" s="799"/>
      <c r="AN618" s="799"/>
      <c r="AO618" s="799"/>
      <c r="AP618" s="799"/>
      <c r="AQ618" s="799"/>
      <c r="AR618" s="799"/>
      <c r="AS618" s="799"/>
      <c r="AT618" s="799"/>
      <c r="AU618" s="799"/>
      <c r="AV618" s="799"/>
      <c r="AW618" s="799"/>
      <c r="AX618" s="799"/>
      <c r="AY618" s="799"/>
      <c r="AZ618" s="799"/>
      <c r="BA618" s="799"/>
      <c r="BB618" s="799"/>
      <c r="BC618" s="799"/>
      <c r="BD618" s="799"/>
      <c r="BE618" s="799"/>
      <c r="BF618" s="799"/>
      <c r="BG618" s="799"/>
    </row>
    <row r="619">
      <c r="H619" s="799"/>
      <c r="I619" s="799"/>
      <c r="J619" s="799"/>
      <c r="K619" s="799"/>
      <c r="L619" s="799"/>
      <c r="M619" s="799"/>
      <c r="N619" s="799"/>
      <c r="O619" s="799"/>
      <c r="P619" s="799"/>
      <c r="Q619" s="799"/>
      <c r="R619" s="799"/>
      <c r="S619" s="799"/>
      <c r="T619" s="799"/>
      <c r="U619" s="799"/>
      <c r="V619" s="799"/>
      <c r="W619" s="799"/>
      <c r="X619" s="799"/>
      <c r="Y619" s="799"/>
      <c r="Z619" s="799"/>
      <c r="AA619" s="799"/>
      <c r="AB619" s="799"/>
      <c r="AC619" s="799"/>
      <c r="AD619" s="799"/>
      <c r="AE619" s="799"/>
      <c r="AF619" s="799"/>
      <c r="AG619" s="799"/>
      <c r="AH619" s="799"/>
      <c r="AI619" s="799"/>
      <c r="AJ619" s="799"/>
      <c r="AK619" s="799"/>
      <c r="AL619" s="799"/>
      <c r="AM619" s="799"/>
      <c r="AN619" s="799"/>
      <c r="AO619" s="799"/>
      <c r="AP619" s="799"/>
      <c r="AQ619" s="799"/>
      <c r="AR619" s="799"/>
      <c r="AS619" s="799"/>
      <c r="AT619" s="799"/>
      <c r="AU619" s="799"/>
      <c r="AV619" s="799"/>
      <c r="AW619" s="799"/>
      <c r="AX619" s="799"/>
      <c r="AY619" s="799"/>
      <c r="AZ619" s="799"/>
      <c r="BA619" s="799"/>
      <c r="BB619" s="799"/>
      <c r="BC619" s="799"/>
      <c r="BD619" s="799"/>
      <c r="BE619" s="799"/>
      <c r="BF619" s="799"/>
      <c r="BG619" s="799"/>
    </row>
    <row r="620">
      <c r="H620" s="799"/>
      <c r="I620" s="799"/>
      <c r="J620" s="799"/>
      <c r="K620" s="799"/>
      <c r="L620" s="799"/>
      <c r="M620" s="799"/>
      <c r="N620" s="799"/>
      <c r="O620" s="799"/>
      <c r="P620" s="799"/>
      <c r="Q620" s="799"/>
      <c r="R620" s="799"/>
      <c r="S620" s="799"/>
      <c r="T620" s="799"/>
      <c r="U620" s="799"/>
      <c r="V620" s="799"/>
      <c r="W620" s="799"/>
      <c r="X620" s="799"/>
      <c r="Y620" s="799"/>
      <c r="Z620" s="799"/>
      <c r="AA620" s="799"/>
      <c r="AB620" s="799"/>
      <c r="AC620" s="799"/>
      <c r="AD620" s="799"/>
      <c r="AE620" s="799"/>
      <c r="AF620" s="799"/>
      <c r="AG620" s="799"/>
      <c r="AH620" s="799"/>
      <c r="AI620" s="799"/>
      <c r="AJ620" s="799"/>
      <c r="AK620" s="799"/>
      <c r="AL620" s="799"/>
      <c r="AM620" s="799"/>
      <c r="AN620" s="799"/>
      <c r="AO620" s="799"/>
      <c r="AP620" s="799"/>
      <c r="AQ620" s="799"/>
      <c r="AR620" s="799"/>
      <c r="AS620" s="799"/>
      <c r="AT620" s="799"/>
      <c r="AU620" s="799"/>
      <c r="AV620" s="799"/>
      <c r="AW620" s="799"/>
      <c r="AX620" s="799"/>
      <c r="AY620" s="799"/>
      <c r="AZ620" s="799"/>
      <c r="BA620" s="799"/>
      <c r="BB620" s="799"/>
      <c r="BC620" s="799"/>
      <c r="BD620" s="799"/>
      <c r="BE620" s="799"/>
      <c r="BF620" s="799"/>
      <c r="BG620" s="799"/>
    </row>
    <row r="621">
      <c r="H621" s="799"/>
      <c r="I621" s="799"/>
      <c r="J621" s="799"/>
      <c r="K621" s="799"/>
      <c r="L621" s="799"/>
      <c r="M621" s="799"/>
      <c r="N621" s="799"/>
      <c r="O621" s="799"/>
      <c r="P621" s="799"/>
      <c r="Q621" s="799"/>
      <c r="R621" s="799"/>
      <c r="S621" s="799"/>
      <c r="T621" s="799"/>
      <c r="U621" s="799"/>
      <c r="V621" s="799"/>
      <c r="W621" s="799"/>
      <c r="X621" s="799"/>
      <c r="Y621" s="799"/>
      <c r="Z621" s="799"/>
      <c r="AA621" s="799"/>
      <c r="AB621" s="799"/>
      <c r="AC621" s="799"/>
      <c r="AD621" s="799"/>
      <c r="AE621" s="799"/>
      <c r="AF621" s="799"/>
      <c r="AG621" s="799"/>
      <c r="AH621" s="799"/>
      <c r="AI621" s="799"/>
      <c r="AJ621" s="799"/>
      <c r="AK621" s="799"/>
      <c r="AL621" s="799"/>
      <c r="AM621" s="799"/>
      <c r="AN621" s="799"/>
      <c r="AO621" s="799"/>
      <c r="AP621" s="799"/>
      <c r="AQ621" s="799"/>
      <c r="AR621" s="799"/>
      <c r="AS621" s="799"/>
      <c r="AT621" s="799"/>
      <c r="AU621" s="799"/>
      <c r="AV621" s="799"/>
      <c r="AW621" s="799"/>
      <c r="AX621" s="799"/>
      <c r="AY621" s="799"/>
      <c r="AZ621" s="799"/>
      <c r="BA621" s="799"/>
      <c r="BB621" s="799"/>
      <c r="BC621" s="799"/>
      <c r="BD621" s="799"/>
      <c r="BE621" s="799"/>
      <c r="BF621" s="799"/>
      <c r="BG621" s="799"/>
    </row>
    <row r="622">
      <c r="H622" s="799"/>
      <c r="I622" s="799"/>
      <c r="J622" s="799"/>
      <c r="K622" s="799"/>
      <c r="L622" s="799"/>
      <c r="M622" s="799"/>
      <c r="N622" s="799"/>
      <c r="O622" s="799"/>
      <c r="P622" s="799"/>
      <c r="Q622" s="799"/>
      <c r="R622" s="799"/>
      <c r="S622" s="799"/>
      <c r="T622" s="799"/>
      <c r="U622" s="799"/>
      <c r="V622" s="799"/>
      <c r="W622" s="799"/>
      <c r="X622" s="799"/>
      <c r="Y622" s="799"/>
      <c r="Z622" s="799"/>
      <c r="AA622" s="799"/>
      <c r="AB622" s="799"/>
      <c r="AC622" s="799"/>
      <c r="AD622" s="799"/>
      <c r="AE622" s="799"/>
      <c r="AF622" s="799"/>
      <c r="AG622" s="799"/>
      <c r="AH622" s="799"/>
      <c r="AI622" s="799"/>
      <c r="AJ622" s="799"/>
      <c r="AK622" s="799"/>
      <c r="AL622" s="799"/>
      <c r="AM622" s="799"/>
      <c r="AN622" s="799"/>
      <c r="AO622" s="799"/>
      <c r="AP622" s="799"/>
      <c r="AQ622" s="799"/>
      <c r="AR622" s="799"/>
      <c r="AS622" s="799"/>
      <c r="AT622" s="799"/>
      <c r="AU622" s="799"/>
      <c r="AV622" s="799"/>
      <c r="AW622" s="799"/>
      <c r="AX622" s="799"/>
      <c r="AY622" s="799"/>
      <c r="AZ622" s="799"/>
      <c r="BA622" s="799"/>
      <c r="BB622" s="799"/>
      <c r="BC622" s="799"/>
      <c r="BD622" s="799"/>
      <c r="BE622" s="799"/>
      <c r="BF622" s="799"/>
      <c r="BG622" s="799"/>
    </row>
    <row r="623">
      <c r="H623" s="799"/>
      <c r="I623" s="799"/>
      <c r="J623" s="799"/>
      <c r="K623" s="799"/>
      <c r="L623" s="799"/>
      <c r="M623" s="799"/>
      <c r="N623" s="799"/>
      <c r="O623" s="799"/>
      <c r="P623" s="799"/>
      <c r="Q623" s="799"/>
      <c r="R623" s="799"/>
      <c r="S623" s="799"/>
      <c r="T623" s="799"/>
      <c r="U623" s="799"/>
      <c r="V623" s="799"/>
      <c r="W623" s="799"/>
      <c r="X623" s="799"/>
      <c r="Y623" s="799"/>
      <c r="Z623" s="799"/>
      <c r="AA623" s="799"/>
      <c r="AB623" s="799"/>
      <c r="AC623" s="799"/>
      <c r="AD623" s="799"/>
      <c r="AE623" s="799"/>
      <c r="AF623" s="799"/>
      <c r="AG623" s="799"/>
      <c r="AH623" s="799"/>
      <c r="AI623" s="799"/>
      <c r="AJ623" s="799"/>
      <c r="AK623" s="799"/>
      <c r="AL623" s="799"/>
      <c r="AM623" s="799"/>
      <c r="AN623" s="799"/>
      <c r="AO623" s="799"/>
      <c r="AP623" s="799"/>
      <c r="AQ623" s="799"/>
      <c r="AR623" s="799"/>
      <c r="AS623" s="799"/>
      <c r="AT623" s="799"/>
      <c r="AU623" s="799"/>
      <c r="AV623" s="799"/>
      <c r="AW623" s="799"/>
      <c r="AX623" s="799"/>
      <c r="AY623" s="799"/>
      <c r="AZ623" s="799"/>
      <c r="BA623" s="799"/>
      <c r="BB623" s="799"/>
      <c r="BC623" s="799"/>
      <c r="BD623" s="799"/>
      <c r="BE623" s="799"/>
      <c r="BF623" s="799"/>
      <c r="BG623" s="799"/>
    </row>
    <row r="624">
      <c r="H624" s="799"/>
      <c r="I624" s="799"/>
      <c r="J624" s="799"/>
      <c r="K624" s="799"/>
      <c r="L624" s="799"/>
      <c r="M624" s="799"/>
      <c r="N624" s="799"/>
      <c r="O624" s="799"/>
      <c r="P624" s="799"/>
      <c r="Q624" s="799"/>
      <c r="R624" s="799"/>
      <c r="S624" s="799"/>
      <c r="T624" s="799"/>
      <c r="U624" s="799"/>
      <c r="V624" s="799"/>
      <c r="W624" s="799"/>
      <c r="X624" s="799"/>
      <c r="Y624" s="799"/>
      <c r="Z624" s="799"/>
      <c r="AA624" s="799"/>
      <c r="AB624" s="799"/>
      <c r="AC624" s="799"/>
      <c r="AD624" s="799"/>
      <c r="AE624" s="799"/>
      <c r="AF624" s="799"/>
      <c r="AG624" s="799"/>
      <c r="AH624" s="799"/>
      <c r="AI624" s="799"/>
      <c r="AJ624" s="799"/>
      <c r="AK624" s="799"/>
      <c r="AL624" s="799"/>
      <c r="AM624" s="799"/>
      <c r="AN624" s="799"/>
      <c r="AO624" s="799"/>
      <c r="AP624" s="799"/>
      <c r="AQ624" s="799"/>
      <c r="AR624" s="799"/>
      <c r="AS624" s="799"/>
      <c r="AT624" s="799"/>
      <c r="AU624" s="799"/>
      <c r="AV624" s="799"/>
      <c r="AW624" s="799"/>
      <c r="AX624" s="799"/>
      <c r="AY624" s="799"/>
      <c r="AZ624" s="799"/>
      <c r="BA624" s="799"/>
      <c r="BB624" s="799"/>
      <c r="BC624" s="799"/>
      <c r="BD624" s="799"/>
      <c r="BE624" s="799"/>
      <c r="BF624" s="799"/>
      <c r="BG624" s="799"/>
    </row>
    <row r="625">
      <c r="H625" s="799"/>
      <c r="I625" s="799"/>
      <c r="J625" s="799"/>
      <c r="K625" s="799"/>
      <c r="L625" s="799"/>
      <c r="M625" s="799"/>
      <c r="N625" s="799"/>
      <c r="O625" s="799"/>
      <c r="P625" s="799"/>
      <c r="Q625" s="799"/>
      <c r="R625" s="799"/>
      <c r="S625" s="799"/>
      <c r="T625" s="799"/>
      <c r="U625" s="799"/>
      <c r="V625" s="799"/>
      <c r="W625" s="799"/>
      <c r="X625" s="799"/>
      <c r="Y625" s="799"/>
      <c r="Z625" s="799"/>
      <c r="AA625" s="799"/>
      <c r="AB625" s="799"/>
      <c r="AC625" s="799"/>
      <c r="AD625" s="799"/>
      <c r="AE625" s="799"/>
      <c r="AF625" s="799"/>
      <c r="AG625" s="799"/>
      <c r="AH625" s="799"/>
      <c r="AI625" s="799"/>
      <c r="AJ625" s="799"/>
      <c r="AK625" s="799"/>
      <c r="AL625" s="799"/>
      <c r="AM625" s="799"/>
      <c r="AN625" s="799"/>
      <c r="AO625" s="799"/>
      <c r="AP625" s="799"/>
      <c r="AQ625" s="799"/>
      <c r="AR625" s="799"/>
      <c r="AS625" s="799"/>
      <c r="AT625" s="799"/>
      <c r="AU625" s="799"/>
      <c r="AV625" s="799"/>
      <c r="AW625" s="799"/>
      <c r="AX625" s="799"/>
      <c r="AY625" s="799"/>
      <c r="AZ625" s="799"/>
      <c r="BA625" s="799"/>
      <c r="BB625" s="799"/>
      <c r="BC625" s="799"/>
      <c r="BD625" s="799"/>
      <c r="BE625" s="799"/>
      <c r="BF625" s="799"/>
      <c r="BG625" s="799"/>
    </row>
    <row r="626">
      <c r="H626" s="799"/>
      <c r="I626" s="799"/>
      <c r="J626" s="799"/>
      <c r="K626" s="799"/>
      <c r="L626" s="799"/>
      <c r="M626" s="799"/>
      <c r="N626" s="799"/>
      <c r="O626" s="799"/>
      <c r="P626" s="799"/>
      <c r="Q626" s="799"/>
      <c r="R626" s="799"/>
      <c r="S626" s="799"/>
      <c r="T626" s="799"/>
      <c r="U626" s="799"/>
      <c r="V626" s="799"/>
      <c r="W626" s="799"/>
      <c r="X626" s="799"/>
      <c r="Y626" s="799"/>
      <c r="Z626" s="799"/>
      <c r="AA626" s="799"/>
      <c r="AB626" s="799"/>
      <c r="AC626" s="799"/>
      <c r="AD626" s="799"/>
      <c r="AE626" s="799"/>
      <c r="AF626" s="799"/>
      <c r="AG626" s="799"/>
      <c r="AH626" s="799"/>
      <c r="AI626" s="799"/>
      <c r="AJ626" s="799"/>
      <c r="AK626" s="799"/>
      <c r="AL626" s="799"/>
      <c r="AM626" s="799"/>
      <c r="AN626" s="799"/>
      <c r="AO626" s="799"/>
      <c r="AP626" s="799"/>
      <c r="AQ626" s="799"/>
      <c r="AR626" s="799"/>
      <c r="AS626" s="799"/>
      <c r="AT626" s="799"/>
      <c r="AU626" s="799"/>
      <c r="AV626" s="799"/>
      <c r="AW626" s="799"/>
      <c r="AX626" s="799"/>
      <c r="AY626" s="799"/>
      <c r="AZ626" s="799"/>
      <c r="BA626" s="799"/>
      <c r="BB626" s="799"/>
      <c r="BC626" s="799"/>
      <c r="BD626" s="799"/>
      <c r="BE626" s="799"/>
      <c r="BF626" s="799"/>
      <c r="BG626" s="799"/>
    </row>
    <row r="627">
      <c r="H627" s="799"/>
      <c r="I627" s="799"/>
      <c r="J627" s="799"/>
      <c r="K627" s="799"/>
      <c r="L627" s="799"/>
      <c r="M627" s="799"/>
      <c r="N627" s="799"/>
      <c r="O627" s="799"/>
      <c r="P627" s="799"/>
      <c r="Q627" s="799"/>
      <c r="R627" s="799"/>
      <c r="S627" s="799"/>
      <c r="T627" s="799"/>
      <c r="U627" s="799"/>
      <c r="V627" s="799"/>
      <c r="W627" s="799"/>
      <c r="X627" s="799"/>
      <c r="Y627" s="799"/>
      <c r="Z627" s="799"/>
      <c r="AA627" s="799"/>
      <c r="AB627" s="799"/>
      <c r="AC627" s="799"/>
      <c r="AD627" s="799"/>
      <c r="AE627" s="799"/>
      <c r="AF627" s="799"/>
      <c r="AG627" s="799"/>
      <c r="AH627" s="799"/>
      <c r="AI627" s="799"/>
      <c r="AJ627" s="799"/>
      <c r="AK627" s="799"/>
      <c r="AL627" s="799"/>
      <c r="AM627" s="799"/>
      <c r="AN627" s="799"/>
      <c r="AO627" s="799"/>
      <c r="AP627" s="799"/>
      <c r="AQ627" s="799"/>
      <c r="AR627" s="799"/>
      <c r="AS627" s="799"/>
      <c r="AT627" s="799"/>
      <c r="AU627" s="799"/>
      <c r="AV627" s="799"/>
      <c r="AW627" s="799"/>
      <c r="AX627" s="799"/>
      <c r="AY627" s="799"/>
      <c r="AZ627" s="799"/>
      <c r="BA627" s="799"/>
      <c r="BB627" s="799"/>
      <c r="BC627" s="799"/>
      <c r="BD627" s="799"/>
      <c r="BE627" s="799"/>
      <c r="BF627" s="799"/>
      <c r="BG627" s="799"/>
    </row>
    <row r="628">
      <c r="H628" s="799"/>
      <c r="I628" s="799"/>
      <c r="J628" s="799"/>
      <c r="K628" s="799"/>
      <c r="L628" s="799"/>
      <c r="M628" s="799"/>
      <c r="N628" s="799"/>
      <c r="O628" s="799"/>
      <c r="P628" s="799"/>
      <c r="Q628" s="799"/>
      <c r="R628" s="799"/>
      <c r="S628" s="799"/>
      <c r="T628" s="799"/>
      <c r="U628" s="799"/>
      <c r="V628" s="799"/>
      <c r="W628" s="799"/>
      <c r="X628" s="799"/>
      <c r="Y628" s="799"/>
      <c r="Z628" s="799"/>
      <c r="AA628" s="799"/>
      <c r="AB628" s="799"/>
      <c r="AC628" s="799"/>
      <c r="AD628" s="799"/>
      <c r="AE628" s="799"/>
      <c r="AF628" s="799"/>
      <c r="AG628" s="799"/>
      <c r="AH628" s="799"/>
      <c r="AI628" s="799"/>
      <c r="AJ628" s="799"/>
      <c r="AK628" s="799"/>
      <c r="AL628" s="799"/>
      <c r="AM628" s="799"/>
      <c r="AN628" s="799"/>
      <c r="AO628" s="799"/>
      <c r="AP628" s="799"/>
      <c r="AQ628" s="799"/>
      <c r="AR628" s="799"/>
      <c r="AS628" s="799"/>
      <c r="AT628" s="799"/>
      <c r="AU628" s="799"/>
      <c r="AV628" s="799"/>
      <c r="AW628" s="799"/>
      <c r="AX628" s="799"/>
      <c r="AY628" s="799"/>
      <c r="AZ628" s="799"/>
      <c r="BA628" s="799"/>
      <c r="BB628" s="799"/>
      <c r="BC628" s="799"/>
      <c r="BD628" s="799"/>
      <c r="BE628" s="799"/>
      <c r="BF628" s="799"/>
      <c r="BG628" s="799"/>
    </row>
    <row r="629">
      <c r="H629" s="799"/>
      <c r="I629" s="799"/>
      <c r="J629" s="799"/>
      <c r="K629" s="799"/>
      <c r="L629" s="799"/>
      <c r="M629" s="799"/>
      <c r="N629" s="799"/>
      <c r="O629" s="799"/>
      <c r="P629" s="799"/>
      <c r="Q629" s="799"/>
      <c r="R629" s="799"/>
      <c r="S629" s="799"/>
      <c r="T629" s="799"/>
      <c r="U629" s="799"/>
      <c r="V629" s="799"/>
      <c r="W629" s="799"/>
      <c r="X629" s="799"/>
      <c r="Y629" s="799"/>
      <c r="Z629" s="799"/>
      <c r="AA629" s="799"/>
      <c r="AB629" s="799"/>
      <c r="AC629" s="799"/>
      <c r="AD629" s="799"/>
      <c r="AE629" s="799"/>
      <c r="AF629" s="799"/>
      <c r="AG629" s="799"/>
      <c r="AH629" s="799"/>
      <c r="AI629" s="799"/>
      <c r="AJ629" s="799"/>
      <c r="AK629" s="799"/>
      <c r="AL629" s="799"/>
      <c r="AM629" s="799"/>
      <c r="AN629" s="799"/>
      <c r="AO629" s="799"/>
      <c r="AP629" s="799"/>
      <c r="AQ629" s="799"/>
      <c r="AR629" s="799"/>
      <c r="AS629" s="799"/>
      <c r="AT629" s="799"/>
      <c r="AU629" s="799"/>
      <c r="AV629" s="799"/>
      <c r="AW629" s="799"/>
      <c r="AX629" s="799"/>
      <c r="AY629" s="799"/>
      <c r="AZ629" s="799"/>
      <c r="BA629" s="799"/>
      <c r="BB629" s="799"/>
      <c r="BC629" s="799"/>
      <c r="BD629" s="799"/>
      <c r="BE629" s="799"/>
      <c r="BF629" s="799"/>
      <c r="BG629" s="799"/>
    </row>
    <row r="630">
      <c r="H630" s="799"/>
      <c r="I630" s="799"/>
      <c r="J630" s="799"/>
      <c r="K630" s="799"/>
      <c r="L630" s="799"/>
      <c r="M630" s="799"/>
      <c r="N630" s="799"/>
      <c r="O630" s="799"/>
      <c r="P630" s="799"/>
      <c r="Q630" s="799"/>
      <c r="R630" s="799"/>
      <c r="S630" s="799"/>
      <c r="T630" s="799"/>
      <c r="U630" s="799"/>
      <c r="V630" s="799"/>
      <c r="W630" s="799"/>
      <c r="X630" s="799"/>
      <c r="Y630" s="799"/>
      <c r="Z630" s="799"/>
      <c r="AA630" s="799"/>
      <c r="AB630" s="799"/>
      <c r="AC630" s="799"/>
      <c r="AD630" s="799"/>
      <c r="AE630" s="799"/>
      <c r="AF630" s="799"/>
      <c r="AG630" s="799"/>
      <c r="AH630" s="799"/>
      <c r="AI630" s="799"/>
      <c r="AJ630" s="799"/>
      <c r="AK630" s="799"/>
      <c r="AL630" s="799"/>
      <c r="AM630" s="799"/>
      <c r="AN630" s="799"/>
      <c r="AO630" s="799"/>
      <c r="AP630" s="799"/>
      <c r="AQ630" s="799"/>
      <c r="AR630" s="799"/>
      <c r="AS630" s="799"/>
      <c r="AT630" s="799"/>
      <c r="AU630" s="799"/>
      <c r="AV630" s="799"/>
      <c r="AW630" s="799"/>
      <c r="AX630" s="799"/>
      <c r="AY630" s="799"/>
      <c r="AZ630" s="799"/>
      <c r="BA630" s="799"/>
      <c r="BB630" s="799"/>
      <c r="BC630" s="799"/>
      <c r="BD630" s="799"/>
      <c r="BE630" s="799"/>
      <c r="BF630" s="799"/>
      <c r="BG630" s="799"/>
    </row>
    <row r="631">
      <c r="H631" s="799"/>
      <c r="I631" s="799"/>
      <c r="J631" s="799"/>
      <c r="K631" s="799"/>
      <c r="L631" s="799"/>
      <c r="M631" s="799"/>
      <c r="N631" s="799"/>
      <c r="O631" s="799"/>
      <c r="P631" s="799"/>
      <c r="Q631" s="799"/>
      <c r="R631" s="799"/>
      <c r="S631" s="799"/>
      <c r="T631" s="799"/>
      <c r="U631" s="799"/>
      <c r="V631" s="799"/>
      <c r="W631" s="799"/>
      <c r="X631" s="799"/>
      <c r="Y631" s="799"/>
      <c r="Z631" s="799"/>
      <c r="AA631" s="799"/>
      <c r="AB631" s="799"/>
      <c r="AC631" s="799"/>
      <c r="AD631" s="799"/>
      <c r="AE631" s="799"/>
      <c r="AF631" s="799"/>
      <c r="AG631" s="799"/>
      <c r="AH631" s="799"/>
      <c r="AI631" s="799"/>
      <c r="AJ631" s="799"/>
      <c r="AK631" s="799"/>
      <c r="AL631" s="799"/>
      <c r="AM631" s="799"/>
      <c r="AN631" s="799"/>
      <c r="AO631" s="799"/>
      <c r="AP631" s="799"/>
      <c r="AQ631" s="799"/>
      <c r="AR631" s="799"/>
      <c r="AS631" s="799"/>
      <c r="AT631" s="799"/>
      <c r="AU631" s="799"/>
      <c r="AV631" s="799"/>
      <c r="AW631" s="799"/>
      <c r="AX631" s="799"/>
      <c r="AY631" s="799"/>
      <c r="AZ631" s="799"/>
      <c r="BA631" s="799"/>
      <c r="BB631" s="799"/>
      <c r="BC631" s="799"/>
      <c r="BD631" s="799"/>
      <c r="BE631" s="799"/>
      <c r="BF631" s="799"/>
      <c r="BG631" s="799"/>
    </row>
    <row r="632">
      <c r="H632" s="799"/>
      <c r="I632" s="799"/>
      <c r="J632" s="799"/>
      <c r="K632" s="799"/>
      <c r="L632" s="799"/>
      <c r="M632" s="799"/>
      <c r="N632" s="799"/>
      <c r="O632" s="799"/>
      <c r="P632" s="799"/>
      <c r="Q632" s="799"/>
      <c r="R632" s="799"/>
      <c r="S632" s="799"/>
      <c r="T632" s="799"/>
      <c r="U632" s="799"/>
      <c r="V632" s="799"/>
      <c r="W632" s="799"/>
      <c r="X632" s="799"/>
      <c r="Y632" s="799"/>
      <c r="Z632" s="799"/>
      <c r="AA632" s="799"/>
      <c r="AB632" s="799"/>
      <c r="AC632" s="799"/>
      <c r="AD632" s="799"/>
      <c r="AE632" s="799"/>
      <c r="AF632" s="799"/>
      <c r="AG632" s="799"/>
      <c r="AH632" s="799"/>
      <c r="AI632" s="799"/>
      <c r="AJ632" s="799"/>
      <c r="AK632" s="799"/>
      <c r="AL632" s="799"/>
      <c r="AM632" s="799"/>
      <c r="AN632" s="799"/>
      <c r="AO632" s="799"/>
      <c r="AP632" s="799"/>
      <c r="AQ632" s="799"/>
      <c r="AR632" s="799"/>
      <c r="AS632" s="799"/>
      <c r="AT632" s="799"/>
      <c r="AU632" s="799"/>
      <c r="AV632" s="799"/>
      <c r="AW632" s="799"/>
      <c r="AX632" s="799"/>
      <c r="AY632" s="799"/>
      <c r="AZ632" s="799"/>
      <c r="BA632" s="799"/>
      <c r="BB632" s="799"/>
      <c r="BC632" s="799"/>
      <c r="BD632" s="799"/>
      <c r="BE632" s="799"/>
      <c r="BF632" s="799"/>
      <c r="BG632" s="799"/>
    </row>
    <row r="633">
      <c r="H633" s="799"/>
      <c r="I633" s="799"/>
      <c r="J633" s="799"/>
      <c r="K633" s="799"/>
      <c r="L633" s="799"/>
      <c r="M633" s="799"/>
      <c r="N633" s="799"/>
      <c r="O633" s="799"/>
      <c r="P633" s="799"/>
      <c r="Q633" s="799"/>
      <c r="R633" s="799"/>
      <c r="S633" s="799"/>
      <c r="T633" s="799"/>
      <c r="U633" s="799"/>
      <c r="V633" s="799"/>
      <c r="W633" s="799"/>
      <c r="X633" s="799"/>
      <c r="Y633" s="799"/>
      <c r="Z633" s="799"/>
      <c r="AA633" s="799"/>
      <c r="AB633" s="799"/>
      <c r="AC633" s="799"/>
      <c r="AD633" s="799"/>
      <c r="AE633" s="799"/>
      <c r="AF633" s="799"/>
      <c r="AG633" s="799"/>
      <c r="AH633" s="799"/>
      <c r="AI633" s="799"/>
      <c r="AJ633" s="799"/>
      <c r="AK633" s="799"/>
      <c r="AL633" s="799"/>
      <c r="AM633" s="799"/>
      <c r="AN633" s="799"/>
      <c r="AO633" s="799"/>
      <c r="AP633" s="799"/>
      <c r="AQ633" s="799"/>
      <c r="AR633" s="799"/>
      <c r="AS633" s="799"/>
      <c r="AT633" s="799"/>
      <c r="AU633" s="799"/>
      <c r="AV633" s="799"/>
      <c r="AW633" s="799"/>
      <c r="AX633" s="799"/>
      <c r="AY633" s="799"/>
      <c r="AZ633" s="799"/>
      <c r="BA633" s="799"/>
      <c r="BB633" s="799"/>
      <c r="BC633" s="799"/>
      <c r="BD633" s="799"/>
      <c r="BE633" s="799"/>
      <c r="BF633" s="799"/>
      <c r="BG633" s="799"/>
    </row>
    <row r="634">
      <c r="H634" s="799"/>
      <c r="I634" s="799"/>
      <c r="J634" s="799"/>
      <c r="K634" s="799"/>
      <c r="L634" s="799"/>
      <c r="M634" s="799"/>
      <c r="N634" s="799"/>
      <c r="O634" s="799"/>
      <c r="P634" s="799"/>
      <c r="Q634" s="799"/>
      <c r="R634" s="799"/>
      <c r="S634" s="799"/>
      <c r="T634" s="799"/>
      <c r="U634" s="799"/>
      <c r="V634" s="799"/>
      <c r="W634" s="799"/>
      <c r="X634" s="799"/>
      <c r="Y634" s="799"/>
      <c r="Z634" s="799"/>
      <c r="AA634" s="799"/>
      <c r="AB634" s="799"/>
      <c r="AC634" s="799"/>
      <c r="AD634" s="799"/>
      <c r="AE634" s="799"/>
      <c r="AF634" s="799"/>
      <c r="AG634" s="799"/>
      <c r="AH634" s="799"/>
      <c r="AI634" s="799"/>
      <c r="AJ634" s="799"/>
      <c r="AK634" s="799"/>
      <c r="AL634" s="799"/>
      <c r="AM634" s="799"/>
      <c r="AN634" s="799"/>
      <c r="AO634" s="799"/>
      <c r="AP634" s="799"/>
      <c r="AQ634" s="799"/>
      <c r="AR634" s="799"/>
      <c r="AS634" s="799"/>
      <c r="AT634" s="799"/>
      <c r="AU634" s="799"/>
      <c r="AV634" s="799"/>
      <c r="AW634" s="799"/>
      <c r="AX634" s="799"/>
      <c r="AY634" s="799"/>
      <c r="AZ634" s="799"/>
      <c r="BA634" s="799"/>
      <c r="BB634" s="799"/>
      <c r="BC634" s="799"/>
      <c r="BD634" s="799"/>
      <c r="BE634" s="799"/>
      <c r="BF634" s="799"/>
      <c r="BG634" s="799"/>
    </row>
    <row r="635">
      <c r="H635" s="799"/>
      <c r="I635" s="799"/>
      <c r="J635" s="799"/>
      <c r="K635" s="799"/>
      <c r="L635" s="799"/>
      <c r="M635" s="799"/>
      <c r="N635" s="799"/>
      <c r="O635" s="799"/>
      <c r="P635" s="799"/>
      <c r="Q635" s="799"/>
      <c r="R635" s="799"/>
      <c r="S635" s="799"/>
      <c r="T635" s="799"/>
      <c r="U635" s="799"/>
      <c r="V635" s="799"/>
      <c r="W635" s="799"/>
      <c r="X635" s="799"/>
      <c r="Y635" s="799"/>
      <c r="Z635" s="799"/>
      <c r="AA635" s="799"/>
      <c r="AB635" s="799"/>
      <c r="AC635" s="799"/>
      <c r="AD635" s="799"/>
      <c r="AE635" s="799"/>
      <c r="AF635" s="799"/>
      <c r="AG635" s="799"/>
      <c r="AH635" s="799"/>
      <c r="AI635" s="799"/>
      <c r="AJ635" s="799"/>
      <c r="AK635" s="799"/>
      <c r="AL635" s="799"/>
      <c r="AM635" s="799"/>
      <c r="AN635" s="799"/>
      <c r="AO635" s="799"/>
      <c r="AP635" s="799"/>
      <c r="AQ635" s="799"/>
      <c r="AR635" s="799"/>
      <c r="AS635" s="799"/>
      <c r="AT635" s="799"/>
      <c r="AU635" s="799"/>
      <c r="AV635" s="799"/>
      <c r="AW635" s="799"/>
      <c r="AX635" s="799"/>
      <c r="AY635" s="799"/>
      <c r="AZ635" s="799"/>
      <c r="BA635" s="799"/>
      <c r="BB635" s="799"/>
      <c r="BC635" s="799"/>
      <c r="BD635" s="799"/>
      <c r="BE635" s="799"/>
      <c r="BF635" s="799"/>
      <c r="BG635" s="799"/>
    </row>
    <row r="636">
      <c r="H636" s="799"/>
      <c r="I636" s="799"/>
      <c r="J636" s="799"/>
      <c r="K636" s="799"/>
      <c r="L636" s="799"/>
      <c r="M636" s="799"/>
      <c r="N636" s="799"/>
      <c r="O636" s="799"/>
      <c r="P636" s="799"/>
      <c r="Q636" s="799"/>
      <c r="R636" s="799"/>
      <c r="S636" s="799"/>
      <c r="T636" s="799"/>
      <c r="U636" s="799"/>
      <c r="V636" s="799"/>
      <c r="W636" s="799"/>
      <c r="X636" s="799"/>
      <c r="Y636" s="799"/>
      <c r="Z636" s="799"/>
      <c r="AA636" s="799"/>
      <c r="AB636" s="799"/>
      <c r="AC636" s="799"/>
      <c r="AD636" s="799"/>
      <c r="AE636" s="799"/>
      <c r="AF636" s="799"/>
      <c r="AG636" s="799"/>
      <c r="AH636" s="799"/>
      <c r="AI636" s="799"/>
      <c r="AJ636" s="799"/>
      <c r="AK636" s="799"/>
      <c r="AL636" s="799"/>
      <c r="AM636" s="799"/>
      <c r="AN636" s="799"/>
      <c r="AO636" s="799"/>
      <c r="AP636" s="799"/>
      <c r="AQ636" s="799"/>
      <c r="AR636" s="799"/>
      <c r="AS636" s="799"/>
      <c r="AT636" s="799"/>
      <c r="AU636" s="799"/>
      <c r="AV636" s="799"/>
      <c r="AW636" s="799"/>
      <c r="AX636" s="799"/>
      <c r="AY636" s="799"/>
      <c r="AZ636" s="799"/>
      <c r="BA636" s="799"/>
      <c r="BB636" s="799"/>
      <c r="BC636" s="799"/>
      <c r="BD636" s="799"/>
      <c r="BE636" s="799"/>
      <c r="BF636" s="799"/>
      <c r="BG636" s="799"/>
    </row>
    <row r="637">
      <c r="H637" s="799"/>
      <c r="I637" s="799"/>
      <c r="J637" s="799"/>
      <c r="K637" s="799"/>
      <c r="L637" s="799"/>
      <c r="M637" s="799"/>
      <c r="N637" s="799"/>
      <c r="O637" s="799"/>
      <c r="P637" s="799"/>
      <c r="Q637" s="799"/>
      <c r="R637" s="799"/>
      <c r="S637" s="799"/>
      <c r="T637" s="799"/>
      <c r="U637" s="799"/>
      <c r="V637" s="799"/>
      <c r="W637" s="799"/>
      <c r="X637" s="799"/>
      <c r="Y637" s="799"/>
      <c r="Z637" s="799"/>
      <c r="AA637" s="799"/>
      <c r="AB637" s="799"/>
      <c r="AC637" s="799"/>
      <c r="AD637" s="799"/>
      <c r="AE637" s="799"/>
      <c r="AF637" s="799"/>
      <c r="AG637" s="799"/>
      <c r="AH637" s="799"/>
      <c r="AI637" s="799"/>
      <c r="AJ637" s="799"/>
      <c r="AK637" s="799"/>
      <c r="AL637" s="799"/>
      <c r="AM637" s="799"/>
      <c r="AN637" s="799"/>
      <c r="AO637" s="799"/>
      <c r="AP637" s="799"/>
      <c r="AQ637" s="799"/>
      <c r="AR637" s="799"/>
      <c r="AS637" s="799"/>
      <c r="AT637" s="799"/>
      <c r="AU637" s="799"/>
      <c r="AV637" s="799"/>
      <c r="AW637" s="799"/>
      <c r="AX637" s="799"/>
      <c r="AY637" s="799"/>
      <c r="AZ637" s="799"/>
      <c r="BA637" s="799"/>
      <c r="BB637" s="799"/>
      <c r="BC637" s="799"/>
      <c r="BD637" s="799"/>
      <c r="BE637" s="799"/>
      <c r="BF637" s="799"/>
      <c r="BG637" s="799"/>
    </row>
    <row r="638">
      <c r="H638" s="799"/>
      <c r="I638" s="799"/>
      <c r="J638" s="799"/>
      <c r="K638" s="799"/>
      <c r="L638" s="799"/>
      <c r="M638" s="799"/>
      <c r="N638" s="799"/>
      <c r="O638" s="799"/>
      <c r="P638" s="799"/>
      <c r="Q638" s="799"/>
      <c r="R638" s="799"/>
      <c r="S638" s="799"/>
      <c r="T638" s="799"/>
      <c r="U638" s="799"/>
      <c r="V638" s="799"/>
      <c r="W638" s="799"/>
      <c r="X638" s="799"/>
      <c r="Y638" s="799"/>
      <c r="Z638" s="799"/>
      <c r="AA638" s="799"/>
      <c r="AB638" s="799"/>
      <c r="AC638" s="799"/>
      <c r="AD638" s="799"/>
      <c r="AE638" s="799"/>
      <c r="AF638" s="799"/>
      <c r="AG638" s="799"/>
      <c r="AH638" s="799"/>
      <c r="AI638" s="799"/>
      <c r="AJ638" s="799"/>
      <c r="AK638" s="799"/>
      <c r="AL638" s="799"/>
      <c r="AM638" s="799"/>
      <c r="AN638" s="799"/>
      <c r="AO638" s="799"/>
      <c r="AP638" s="799"/>
      <c r="AQ638" s="799"/>
      <c r="AR638" s="799"/>
      <c r="AS638" s="799"/>
      <c r="AT638" s="799"/>
      <c r="AU638" s="799"/>
      <c r="AV638" s="799"/>
      <c r="AW638" s="799"/>
      <c r="AX638" s="799"/>
      <c r="AY638" s="799"/>
      <c r="AZ638" s="799"/>
      <c r="BA638" s="799"/>
      <c r="BB638" s="799"/>
      <c r="BC638" s="799"/>
      <c r="BD638" s="799"/>
      <c r="BE638" s="799"/>
      <c r="BF638" s="799"/>
      <c r="BG638" s="799"/>
    </row>
    <row r="639">
      <c r="H639" s="799"/>
      <c r="I639" s="799"/>
      <c r="J639" s="799"/>
      <c r="K639" s="799"/>
      <c r="L639" s="799"/>
      <c r="M639" s="799"/>
      <c r="N639" s="799"/>
      <c r="O639" s="799"/>
      <c r="P639" s="799"/>
      <c r="Q639" s="799"/>
      <c r="R639" s="799"/>
      <c r="S639" s="799"/>
      <c r="T639" s="799"/>
      <c r="U639" s="799"/>
      <c r="V639" s="799"/>
      <c r="W639" s="799"/>
      <c r="X639" s="799"/>
      <c r="Y639" s="799"/>
      <c r="Z639" s="799"/>
      <c r="AA639" s="799"/>
      <c r="AB639" s="799"/>
      <c r="AC639" s="799"/>
      <c r="AD639" s="799"/>
      <c r="AE639" s="799"/>
      <c r="AF639" s="799"/>
      <c r="AG639" s="799"/>
      <c r="AH639" s="799"/>
      <c r="AI639" s="799"/>
      <c r="AJ639" s="799"/>
      <c r="AK639" s="799"/>
      <c r="AL639" s="799"/>
      <c r="AM639" s="799"/>
      <c r="AN639" s="799"/>
      <c r="AO639" s="799"/>
      <c r="AP639" s="799"/>
      <c r="AQ639" s="799"/>
      <c r="AR639" s="799"/>
      <c r="AS639" s="799"/>
      <c r="AT639" s="799"/>
      <c r="AU639" s="799"/>
      <c r="AV639" s="799"/>
      <c r="AW639" s="799"/>
      <c r="AX639" s="799"/>
      <c r="AY639" s="799"/>
      <c r="AZ639" s="799"/>
      <c r="BA639" s="799"/>
      <c r="BB639" s="799"/>
      <c r="BC639" s="799"/>
      <c r="BD639" s="799"/>
      <c r="BE639" s="799"/>
      <c r="BF639" s="799"/>
      <c r="BG639" s="799"/>
    </row>
    <row r="640">
      <c r="H640" s="799"/>
      <c r="I640" s="799"/>
      <c r="J640" s="799"/>
      <c r="K640" s="799"/>
      <c r="L640" s="799"/>
      <c r="M640" s="799"/>
      <c r="N640" s="799"/>
      <c r="O640" s="799"/>
      <c r="P640" s="799"/>
      <c r="Q640" s="799"/>
      <c r="R640" s="799"/>
      <c r="S640" s="799"/>
      <c r="T640" s="799"/>
      <c r="U640" s="799"/>
      <c r="V640" s="799"/>
      <c r="W640" s="799"/>
      <c r="X640" s="799"/>
      <c r="Y640" s="799"/>
      <c r="Z640" s="799"/>
      <c r="AA640" s="799"/>
      <c r="AB640" s="799"/>
      <c r="AC640" s="799"/>
      <c r="AD640" s="799"/>
      <c r="AE640" s="799"/>
      <c r="AF640" s="799"/>
      <c r="AG640" s="799"/>
      <c r="AH640" s="799"/>
      <c r="AI640" s="799"/>
      <c r="AJ640" s="799"/>
      <c r="AK640" s="799"/>
      <c r="AL640" s="799"/>
      <c r="AM640" s="799"/>
      <c r="AN640" s="799"/>
      <c r="AO640" s="799"/>
      <c r="AP640" s="799"/>
      <c r="AQ640" s="799"/>
      <c r="AR640" s="799"/>
      <c r="AS640" s="799"/>
      <c r="AT640" s="799"/>
      <c r="AU640" s="799"/>
      <c r="AV640" s="799"/>
      <c r="AW640" s="799"/>
      <c r="AX640" s="799"/>
      <c r="AY640" s="799"/>
      <c r="AZ640" s="799"/>
      <c r="BA640" s="799"/>
      <c r="BB640" s="799"/>
      <c r="BC640" s="799"/>
      <c r="BD640" s="799"/>
      <c r="BE640" s="799"/>
      <c r="BF640" s="799"/>
      <c r="BG640" s="799"/>
    </row>
    <row r="641">
      <c r="H641" s="799"/>
      <c r="I641" s="799"/>
      <c r="J641" s="799"/>
      <c r="K641" s="799"/>
      <c r="L641" s="799"/>
      <c r="M641" s="799"/>
      <c r="N641" s="799"/>
      <c r="O641" s="799"/>
      <c r="P641" s="799"/>
      <c r="Q641" s="799"/>
      <c r="R641" s="799"/>
      <c r="S641" s="799"/>
      <c r="T641" s="799"/>
      <c r="U641" s="799"/>
      <c r="V641" s="799"/>
      <c r="W641" s="799"/>
      <c r="X641" s="799"/>
      <c r="Y641" s="799"/>
      <c r="Z641" s="799"/>
      <c r="AA641" s="799"/>
      <c r="AB641" s="799"/>
      <c r="AC641" s="799"/>
      <c r="AD641" s="799"/>
      <c r="AE641" s="799"/>
      <c r="AF641" s="799"/>
      <c r="AG641" s="799"/>
      <c r="AH641" s="799"/>
      <c r="AI641" s="799"/>
      <c r="AJ641" s="799"/>
      <c r="AK641" s="799"/>
      <c r="AL641" s="799"/>
      <c r="AM641" s="799"/>
      <c r="AN641" s="799"/>
      <c r="AO641" s="799"/>
      <c r="AP641" s="799"/>
      <c r="AQ641" s="799"/>
      <c r="AR641" s="799"/>
      <c r="AS641" s="799"/>
      <c r="AT641" s="799"/>
      <c r="AU641" s="799"/>
      <c r="AV641" s="799"/>
      <c r="AW641" s="799"/>
      <c r="AX641" s="799"/>
      <c r="AY641" s="799"/>
      <c r="AZ641" s="799"/>
      <c r="BA641" s="799"/>
      <c r="BB641" s="799"/>
      <c r="BC641" s="799"/>
      <c r="BD641" s="799"/>
      <c r="BE641" s="799"/>
      <c r="BF641" s="799"/>
      <c r="BG641" s="799"/>
    </row>
    <row r="642">
      <c r="H642" s="799"/>
      <c r="I642" s="799"/>
      <c r="J642" s="799"/>
      <c r="K642" s="799"/>
      <c r="L642" s="799"/>
      <c r="M642" s="799"/>
      <c r="N642" s="799"/>
      <c r="O642" s="799"/>
      <c r="P642" s="799"/>
      <c r="Q642" s="799"/>
      <c r="R642" s="799"/>
      <c r="S642" s="799"/>
      <c r="T642" s="799"/>
      <c r="U642" s="799"/>
      <c r="V642" s="799"/>
      <c r="W642" s="799"/>
      <c r="X642" s="799"/>
      <c r="Y642" s="799"/>
      <c r="Z642" s="799"/>
      <c r="AA642" s="799"/>
      <c r="AB642" s="799"/>
      <c r="AC642" s="799"/>
      <c r="AD642" s="799"/>
      <c r="AE642" s="799"/>
      <c r="AF642" s="799"/>
      <c r="AG642" s="799"/>
      <c r="AH642" s="799"/>
      <c r="AI642" s="799"/>
      <c r="AJ642" s="799"/>
      <c r="AK642" s="799"/>
      <c r="AL642" s="799"/>
      <c r="AM642" s="799"/>
      <c r="AN642" s="799"/>
      <c r="AO642" s="799"/>
      <c r="AP642" s="799"/>
      <c r="AQ642" s="799"/>
      <c r="AR642" s="799"/>
      <c r="AS642" s="799"/>
      <c r="AT642" s="799"/>
      <c r="AU642" s="799"/>
      <c r="AV642" s="799"/>
      <c r="AW642" s="799"/>
      <c r="AX642" s="799"/>
      <c r="AY642" s="799"/>
      <c r="AZ642" s="799"/>
      <c r="BA642" s="799"/>
      <c r="BB642" s="799"/>
      <c r="BC642" s="799"/>
      <c r="BD642" s="799"/>
      <c r="BE642" s="799"/>
      <c r="BF642" s="799"/>
      <c r="BG642" s="799"/>
    </row>
    <row r="643">
      <c r="H643" s="799"/>
      <c r="I643" s="799"/>
      <c r="J643" s="799"/>
      <c r="K643" s="799"/>
      <c r="L643" s="799"/>
      <c r="M643" s="799"/>
      <c r="N643" s="799"/>
      <c r="O643" s="799"/>
      <c r="P643" s="799"/>
      <c r="Q643" s="799"/>
      <c r="R643" s="799"/>
      <c r="S643" s="799"/>
      <c r="T643" s="799"/>
      <c r="U643" s="799"/>
      <c r="V643" s="799"/>
      <c r="W643" s="799"/>
      <c r="X643" s="799"/>
      <c r="Y643" s="799"/>
      <c r="Z643" s="799"/>
      <c r="AA643" s="799"/>
      <c r="AB643" s="799"/>
      <c r="AC643" s="799"/>
      <c r="AD643" s="799"/>
      <c r="AE643" s="799"/>
      <c r="AF643" s="799"/>
      <c r="AG643" s="799"/>
      <c r="AH643" s="799"/>
      <c r="AI643" s="799"/>
      <c r="AJ643" s="799"/>
      <c r="AK643" s="799"/>
      <c r="AL643" s="799"/>
      <c r="AM643" s="799"/>
      <c r="AN643" s="799"/>
      <c r="AO643" s="799"/>
      <c r="AP643" s="799"/>
      <c r="AQ643" s="799"/>
      <c r="AR643" s="799"/>
      <c r="AS643" s="799"/>
      <c r="AT643" s="799"/>
      <c r="AU643" s="799"/>
      <c r="AV643" s="799"/>
      <c r="AW643" s="799"/>
      <c r="AX643" s="799"/>
      <c r="AY643" s="799"/>
      <c r="AZ643" s="799"/>
      <c r="BA643" s="799"/>
      <c r="BB643" s="799"/>
      <c r="BC643" s="799"/>
      <c r="BD643" s="799"/>
      <c r="BE643" s="799"/>
      <c r="BF643" s="799"/>
      <c r="BG643" s="799"/>
    </row>
    <row r="644">
      <c r="H644" s="799"/>
      <c r="I644" s="799"/>
      <c r="J644" s="799"/>
      <c r="K644" s="799"/>
      <c r="L644" s="799"/>
      <c r="M644" s="799"/>
      <c r="N644" s="799"/>
      <c r="O644" s="799"/>
      <c r="P644" s="799"/>
      <c r="Q644" s="799"/>
      <c r="R644" s="799"/>
      <c r="S644" s="799"/>
      <c r="T644" s="799"/>
      <c r="U644" s="799"/>
      <c r="V644" s="799"/>
      <c r="W644" s="799"/>
      <c r="X644" s="799"/>
      <c r="Y644" s="799"/>
      <c r="Z644" s="799"/>
      <c r="AA644" s="799"/>
      <c r="AB644" s="799"/>
      <c r="AC644" s="799"/>
      <c r="AD644" s="799"/>
      <c r="AE644" s="799"/>
      <c r="AF644" s="799"/>
      <c r="AG644" s="799"/>
      <c r="AH644" s="799"/>
      <c r="AI644" s="799"/>
      <c r="AJ644" s="799"/>
      <c r="AK644" s="799"/>
      <c r="AL644" s="799"/>
      <c r="AM644" s="799"/>
      <c r="AN644" s="799"/>
      <c r="AO644" s="799"/>
      <c r="AP644" s="799"/>
      <c r="AQ644" s="799"/>
      <c r="AR644" s="799"/>
      <c r="AS644" s="799"/>
      <c r="AT644" s="799"/>
      <c r="AU644" s="799"/>
      <c r="AV644" s="799"/>
      <c r="AW644" s="799"/>
      <c r="AX644" s="799"/>
      <c r="AY644" s="799"/>
      <c r="AZ644" s="799"/>
      <c r="BA644" s="799"/>
      <c r="BB644" s="799"/>
      <c r="BC644" s="799"/>
      <c r="BD644" s="799"/>
      <c r="BE644" s="799"/>
      <c r="BF644" s="799"/>
      <c r="BG644" s="799"/>
    </row>
    <row r="645">
      <c r="H645" s="799"/>
      <c r="I645" s="799"/>
      <c r="J645" s="799"/>
      <c r="K645" s="799"/>
      <c r="L645" s="799"/>
      <c r="M645" s="799"/>
      <c r="N645" s="799"/>
      <c r="O645" s="799"/>
      <c r="P645" s="799"/>
      <c r="Q645" s="799"/>
      <c r="R645" s="799"/>
      <c r="S645" s="799"/>
      <c r="T645" s="799"/>
      <c r="U645" s="799"/>
      <c r="V645" s="799"/>
      <c r="W645" s="799"/>
      <c r="X645" s="799"/>
      <c r="Y645" s="799"/>
      <c r="Z645" s="799"/>
      <c r="AA645" s="799"/>
      <c r="AB645" s="799"/>
      <c r="AC645" s="799"/>
      <c r="AD645" s="799"/>
      <c r="AE645" s="799"/>
      <c r="AF645" s="799"/>
      <c r="AG645" s="799"/>
      <c r="AH645" s="799"/>
      <c r="AI645" s="799"/>
      <c r="AJ645" s="799"/>
      <c r="AK645" s="799"/>
      <c r="AL645" s="799"/>
      <c r="AM645" s="799"/>
      <c r="AN645" s="799"/>
      <c r="AO645" s="799"/>
      <c r="AP645" s="799"/>
      <c r="AQ645" s="799"/>
      <c r="AR645" s="799"/>
      <c r="AS645" s="799"/>
      <c r="AT645" s="799"/>
      <c r="AU645" s="799"/>
      <c r="AV645" s="799"/>
      <c r="AW645" s="799"/>
      <c r="AX645" s="799"/>
      <c r="AY645" s="799"/>
      <c r="AZ645" s="799"/>
      <c r="BA645" s="799"/>
      <c r="BB645" s="799"/>
      <c r="BC645" s="799"/>
      <c r="BD645" s="799"/>
      <c r="BE645" s="799"/>
      <c r="BF645" s="799"/>
      <c r="BG645" s="799"/>
    </row>
    <row r="646">
      <c r="H646" s="799"/>
      <c r="I646" s="799"/>
      <c r="J646" s="799"/>
      <c r="K646" s="799"/>
      <c r="L646" s="799"/>
      <c r="M646" s="799"/>
      <c r="N646" s="799"/>
      <c r="O646" s="799"/>
      <c r="P646" s="799"/>
      <c r="Q646" s="799"/>
      <c r="R646" s="799"/>
      <c r="S646" s="799"/>
      <c r="T646" s="799"/>
      <c r="U646" s="799"/>
      <c r="V646" s="799"/>
      <c r="W646" s="799"/>
      <c r="X646" s="799"/>
      <c r="Y646" s="799"/>
      <c r="Z646" s="799"/>
      <c r="AA646" s="799"/>
      <c r="AB646" s="799"/>
      <c r="AC646" s="799"/>
      <c r="AD646" s="799"/>
      <c r="AE646" s="799"/>
      <c r="AF646" s="799"/>
      <c r="AG646" s="799"/>
      <c r="AH646" s="799"/>
      <c r="AI646" s="799"/>
      <c r="AJ646" s="799"/>
      <c r="AK646" s="799"/>
      <c r="AL646" s="799"/>
      <c r="AM646" s="799"/>
      <c r="AN646" s="799"/>
      <c r="AO646" s="799"/>
      <c r="AP646" s="799"/>
      <c r="AQ646" s="799"/>
      <c r="AR646" s="799"/>
      <c r="AS646" s="799"/>
      <c r="AT646" s="799"/>
      <c r="AU646" s="799"/>
      <c r="AV646" s="799"/>
      <c r="AW646" s="799"/>
      <c r="AX646" s="799"/>
      <c r="AY646" s="799"/>
      <c r="AZ646" s="799"/>
      <c r="BA646" s="799"/>
      <c r="BB646" s="799"/>
      <c r="BC646" s="799"/>
      <c r="BD646" s="799"/>
      <c r="BE646" s="799"/>
      <c r="BF646" s="799"/>
      <c r="BG646" s="799"/>
    </row>
    <row r="647">
      <c r="H647" s="799"/>
      <c r="I647" s="799"/>
      <c r="J647" s="799"/>
      <c r="K647" s="799"/>
      <c r="L647" s="799"/>
      <c r="M647" s="799"/>
      <c r="N647" s="799"/>
      <c r="O647" s="799"/>
      <c r="P647" s="799"/>
      <c r="Q647" s="799"/>
      <c r="R647" s="799"/>
      <c r="S647" s="799"/>
      <c r="T647" s="799"/>
      <c r="U647" s="799"/>
      <c r="V647" s="799"/>
      <c r="W647" s="799"/>
      <c r="X647" s="799"/>
      <c r="Y647" s="799"/>
      <c r="Z647" s="799"/>
      <c r="AA647" s="799"/>
      <c r="AB647" s="799"/>
      <c r="AC647" s="799"/>
      <c r="AD647" s="799"/>
      <c r="AE647" s="799"/>
      <c r="AF647" s="799"/>
      <c r="AG647" s="799"/>
      <c r="AH647" s="799"/>
      <c r="AI647" s="799"/>
      <c r="AJ647" s="799"/>
      <c r="AK647" s="799"/>
      <c r="AL647" s="799"/>
      <c r="AM647" s="799"/>
      <c r="AN647" s="799"/>
      <c r="AO647" s="799"/>
      <c r="AP647" s="799"/>
      <c r="AQ647" s="799"/>
      <c r="AR647" s="799"/>
      <c r="AS647" s="799"/>
      <c r="AT647" s="799"/>
      <c r="AU647" s="799"/>
      <c r="AV647" s="799"/>
      <c r="AW647" s="799"/>
      <c r="AX647" s="799"/>
      <c r="AY647" s="799"/>
      <c r="AZ647" s="799"/>
      <c r="BA647" s="799"/>
      <c r="BB647" s="799"/>
      <c r="BC647" s="799"/>
      <c r="BD647" s="799"/>
      <c r="BE647" s="799"/>
      <c r="BF647" s="799"/>
      <c r="BG647" s="799"/>
    </row>
    <row r="648">
      <c r="H648" s="799"/>
      <c r="I648" s="799"/>
      <c r="J648" s="799"/>
      <c r="K648" s="799"/>
      <c r="L648" s="799"/>
      <c r="M648" s="799"/>
      <c r="N648" s="799"/>
      <c r="O648" s="799"/>
      <c r="P648" s="799"/>
      <c r="Q648" s="799"/>
      <c r="R648" s="799"/>
      <c r="S648" s="799"/>
      <c r="T648" s="799"/>
      <c r="U648" s="799"/>
      <c r="V648" s="799"/>
      <c r="W648" s="799"/>
      <c r="X648" s="799"/>
      <c r="Y648" s="799"/>
      <c r="Z648" s="799"/>
      <c r="AA648" s="799"/>
      <c r="AB648" s="799"/>
      <c r="AC648" s="799"/>
      <c r="AD648" s="799"/>
      <c r="AE648" s="799"/>
      <c r="AF648" s="799"/>
      <c r="AG648" s="799"/>
      <c r="AH648" s="799"/>
      <c r="AI648" s="799"/>
      <c r="AJ648" s="799"/>
      <c r="AK648" s="799"/>
      <c r="AL648" s="799"/>
      <c r="AM648" s="799"/>
      <c r="AN648" s="799"/>
      <c r="AO648" s="799"/>
      <c r="AP648" s="799"/>
      <c r="AQ648" s="799"/>
      <c r="AR648" s="799"/>
      <c r="AS648" s="799"/>
      <c r="AT648" s="799"/>
      <c r="AU648" s="799"/>
      <c r="AV648" s="799"/>
      <c r="AW648" s="799"/>
      <c r="AX648" s="799"/>
      <c r="AY648" s="799"/>
      <c r="AZ648" s="799"/>
      <c r="BA648" s="799"/>
      <c r="BB648" s="799"/>
      <c r="BC648" s="799"/>
      <c r="BD648" s="799"/>
      <c r="BE648" s="799"/>
      <c r="BF648" s="799"/>
      <c r="BG648" s="799"/>
    </row>
    <row r="649">
      <c r="H649" s="799"/>
      <c r="I649" s="799"/>
      <c r="J649" s="799"/>
      <c r="K649" s="799"/>
      <c r="L649" s="799"/>
      <c r="M649" s="799"/>
      <c r="N649" s="799"/>
      <c r="O649" s="799"/>
      <c r="P649" s="799"/>
      <c r="Q649" s="799"/>
      <c r="R649" s="799"/>
      <c r="S649" s="799"/>
      <c r="T649" s="799"/>
      <c r="U649" s="799"/>
      <c r="V649" s="799"/>
      <c r="W649" s="799"/>
      <c r="X649" s="799"/>
      <c r="Y649" s="799"/>
      <c r="Z649" s="799"/>
      <c r="AA649" s="799"/>
      <c r="AB649" s="799"/>
      <c r="AC649" s="799"/>
      <c r="AD649" s="799"/>
      <c r="AE649" s="799"/>
      <c r="AF649" s="799"/>
      <c r="AG649" s="799"/>
      <c r="AH649" s="799"/>
      <c r="AI649" s="799"/>
      <c r="AJ649" s="799"/>
      <c r="AK649" s="799"/>
      <c r="AL649" s="799"/>
      <c r="AM649" s="799"/>
      <c r="AN649" s="799"/>
      <c r="AO649" s="799"/>
      <c r="AP649" s="799"/>
      <c r="AQ649" s="799"/>
      <c r="AR649" s="799"/>
      <c r="AS649" s="799"/>
      <c r="AT649" s="799"/>
      <c r="AU649" s="799"/>
      <c r="AV649" s="799"/>
      <c r="AW649" s="799"/>
      <c r="AX649" s="799"/>
      <c r="AY649" s="799"/>
      <c r="AZ649" s="799"/>
      <c r="BA649" s="799"/>
      <c r="BB649" s="799"/>
      <c r="BC649" s="799"/>
      <c r="BD649" s="799"/>
      <c r="BE649" s="799"/>
      <c r="BF649" s="799"/>
      <c r="BG649" s="799"/>
    </row>
    <row r="650">
      <c r="H650" s="799"/>
      <c r="I650" s="799"/>
      <c r="J650" s="799"/>
      <c r="K650" s="799"/>
      <c r="L650" s="799"/>
      <c r="M650" s="799"/>
      <c r="N650" s="799"/>
      <c r="O650" s="799"/>
      <c r="P650" s="799"/>
      <c r="Q650" s="799"/>
      <c r="R650" s="799"/>
      <c r="S650" s="799"/>
      <c r="T650" s="799"/>
      <c r="U650" s="799"/>
      <c r="V650" s="799"/>
      <c r="W650" s="799"/>
      <c r="X650" s="799"/>
      <c r="Y650" s="799"/>
      <c r="Z650" s="799"/>
      <c r="AA650" s="799"/>
      <c r="AB650" s="799"/>
      <c r="AC650" s="799"/>
      <c r="AD650" s="799"/>
      <c r="AE650" s="799"/>
      <c r="AF650" s="799"/>
      <c r="AG650" s="799"/>
      <c r="AH650" s="799"/>
      <c r="AI650" s="799"/>
      <c r="AJ650" s="799"/>
      <c r="AK650" s="799"/>
      <c r="AL650" s="799"/>
      <c r="AM650" s="799"/>
      <c r="AN650" s="799"/>
      <c r="AO650" s="799"/>
      <c r="AP650" s="799"/>
      <c r="AQ650" s="799"/>
      <c r="AR650" s="799"/>
      <c r="AS650" s="799"/>
      <c r="AT650" s="799"/>
      <c r="AU650" s="799"/>
      <c r="AV650" s="799"/>
      <c r="AW650" s="799"/>
      <c r="AX650" s="799"/>
      <c r="AY650" s="799"/>
      <c r="AZ650" s="799"/>
      <c r="BA650" s="799"/>
      <c r="BB650" s="799"/>
      <c r="BC650" s="799"/>
      <c r="BD650" s="799"/>
      <c r="BE650" s="799"/>
      <c r="BF650" s="799"/>
      <c r="BG650" s="799"/>
    </row>
    <row r="651">
      <c r="H651" s="799"/>
      <c r="I651" s="799"/>
      <c r="J651" s="799"/>
      <c r="K651" s="799"/>
      <c r="L651" s="799"/>
      <c r="M651" s="799"/>
      <c r="N651" s="799"/>
      <c r="O651" s="799"/>
      <c r="P651" s="799"/>
      <c r="Q651" s="799"/>
      <c r="R651" s="799"/>
      <c r="S651" s="799"/>
      <c r="T651" s="799"/>
      <c r="U651" s="799"/>
      <c r="V651" s="799"/>
      <c r="W651" s="799"/>
      <c r="X651" s="799"/>
      <c r="Y651" s="799"/>
      <c r="Z651" s="799"/>
      <c r="AA651" s="799"/>
      <c r="AB651" s="799"/>
      <c r="AC651" s="799"/>
      <c r="AD651" s="799"/>
      <c r="AE651" s="799"/>
      <c r="AF651" s="799"/>
      <c r="AG651" s="799"/>
      <c r="AH651" s="799"/>
      <c r="AI651" s="799"/>
      <c r="AJ651" s="799"/>
      <c r="AK651" s="799"/>
      <c r="AL651" s="799"/>
      <c r="AM651" s="799"/>
      <c r="AN651" s="799"/>
      <c r="AO651" s="799"/>
      <c r="AP651" s="799"/>
      <c r="AQ651" s="799"/>
      <c r="AR651" s="799"/>
      <c r="AS651" s="799"/>
      <c r="AT651" s="799"/>
      <c r="AU651" s="799"/>
      <c r="AV651" s="799"/>
      <c r="AW651" s="799"/>
      <c r="AX651" s="799"/>
      <c r="AY651" s="799"/>
      <c r="AZ651" s="799"/>
      <c r="BA651" s="799"/>
      <c r="BB651" s="799"/>
      <c r="BC651" s="799"/>
      <c r="BD651" s="799"/>
      <c r="BE651" s="799"/>
      <c r="BF651" s="799"/>
      <c r="BG651" s="799"/>
    </row>
    <row r="652">
      <c r="H652" s="799"/>
      <c r="I652" s="799"/>
      <c r="J652" s="799"/>
      <c r="K652" s="799"/>
      <c r="L652" s="799"/>
      <c r="M652" s="799"/>
      <c r="N652" s="799"/>
      <c r="O652" s="799"/>
      <c r="P652" s="799"/>
      <c r="Q652" s="799"/>
      <c r="R652" s="799"/>
      <c r="S652" s="799"/>
      <c r="T652" s="799"/>
      <c r="U652" s="799"/>
      <c r="V652" s="799"/>
      <c r="W652" s="799"/>
      <c r="X652" s="799"/>
      <c r="Y652" s="799"/>
      <c r="Z652" s="799"/>
      <c r="AA652" s="799"/>
      <c r="AB652" s="799"/>
      <c r="AC652" s="799"/>
      <c r="AD652" s="799"/>
      <c r="AE652" s="799"/>
      <c r="AF652" s="799"/>
      <c r="AG652" s="799"/>
      <c r="AH652" s="799"/>
      <c r="AI652" s="799"/>
      <c r="AJ652" s="799"/>
      <c r="AK652" s="799"/>
      <c r="AL652" s="799"/>
      <c r="AM652" s="799"/>
      <c r="AN652" s="799"/>
      <c r="AO652" s="799"/>
      <c r="AP652" s="799"/>
      <c r="AQ652" s="799"/>
      <c r="AR652" s="799"/>
      <c r="AS652" s="799"/>
      <c r="AT652" s="799"/>
      <c r="AU652" s="799"/>
      <c r="AV652" s="799"/>
      <c r="AW652" s="799"/>
      <c r="AX652" s="799"/>
      <c r="AY652" s="799"/>
      <c r="AZ652" s="799"/>
      <c r="BA652" s="799"/>
      <c r="BB652" s="799"/>
      <c r="BC652" s="799"/>
      <c r="BD652" s="799"/>
      <c r="BE652" s="799"/>
      <c r="BF652" s="799"/>
      <c r="BG652" s="799"/>
    </row>
    <row r="653">
      <c r="H653" s="799"/>
      <c r="I653" s="799"/>
      <c r="J653" s="799"/>
      <c r="K653" s="799"/>
      <c r="L653" s="799"/>
      <c r="M653" s="799"/>
      <c r="N653" s="799"/>
      <c r="O653" s="799"/>
      <c r="P653" s="799"/>
      <c r="Q653" s="799"/>
      <c r="R653" s="799"/>
      <c r="S653" s="799"/>
      <c r="T653" s="799"/>
      <c r="U653" s="799"/>
      <c r="V653" s="799"/>
      <c r="W653" s="799"/>
      <c r="X653" s="799"/>
      <c r="Y653" s="799"/>
      <c r="Z653" s="799"/>
      <c r="AA653" s="799"/>
      <c r="AB653" s="799"/>
      <c r="AC653" s="799"/>
      <c r="AD653" s="799"/>
      <c r="AE653" s="799"/>
      <c r="AF653" s="799"/>
      <c r="AG653" s="799"/>
      <c r="AH653" s="799"/>
      <c r="AI653" s="799"/>
      <c r="AJ653" s="799"/>
      <c r="AK653" s="799"/>
      <c r="AL653" s="799"/>
      <c r="AM653" s="799"/>
      <c r="AN653" s="799"/>
      <c r="AO653" s="799"/>
      <c r="AP653" s="799"/>
      <c r="AQ653" s="799"/>
      <c r="AR653" s="799"/>
      <c r="AS653" s="799"/>
      <c r="AT653" s="799"/>
      <c r="AU653" s="799"/>
      <c r="AV653" s="799"/>
      <c r="AW653" s="799"/>
      <c r="AX653" s="799"/>
      <c r="AY653" s="799"/>
      <c r="AZ653" s="799"/>
      <c r="BA653" s="799"/>
      <c r="BB653" s="799"/>
      <c r="BC653" s="799"/>
      <c r="BD653" s="799"/>
      <c r="BE653" s="799"/>
      <c r="BF653" s="799"/>
      <c r="BG653" s="799"/>
    </row>
    <row r="654">
      <c r="H654" s="799"/>
      <c r="I654" s="799"/>
      <c r="J654" s="799"/>
      <c r="K654" s="799"/>
      <c r="L654" s="799"/>
      <c r="M654" s="799"/>
      <c r="N654" s="799"/>
      <c r="O654" s="799"/>
      <c r="P654" s="799"/>
      <c r="Q654" s="799"/>
      <c r="R654" s="799"/>
      <c r="S654" s="799"/>
      <c r="T654" s="799"/>
      <c r="U654" s="799"/>
      <c r="V654" s="799"/>
      <c r="W654" s="799"/>
      <c r="X654" s="799"/>
      <c r="Y654" s="799"/>
      <c r="Z654" s="799"/>
      <c r="AA654" s="799"/>
      <c r="AB654" s="799"/>
      <c r="AC654" s="799"/>
      <c r="AD654" s="799"/>
      <c r="AE654" s="799"/>
      <c r="AF654" s="799"/>
      <c r="AG654" s="799"/>
      <c r="AH654" s="799"/>
      <c r="AI654" s="799"/>
      <c r="AJ654" s="799"/>
      <c r="AK654" s="799"/>
      <c r="AL654" s="799"/>
      <c r="AM654" s="799"/>
      <c r="AN654" s="799"/>
      <c r="AO654" s="799"/>
      <c r="AP654" s="799"/>
      <c r="AQ654" s="799"/>
      <c r="AR654" s="799"/>
      <c r="AS654" s="799"/>
      <c r="AT654" s="799"/>
      <c r="AU654" s="799"/>
      <c r="AV654" s="799"/>
      <c r="AW654" s="799"/>
      <c r="AX654" s="799"/>
      <c r="AY654" s="799"/>
      <c r="AZ654" s="799"/>
      <c r="BA654" s="799"/>
      <c r="BB654" s="799"/>
      <c r="BC654" s="799"/>
      <c r="BD654" s="799"/>
      <c r="BE654" s="799"/>
      <c r="BF654" s="799"/>
      <c r="BG654" s="799"/>
    </row>
    <row r="655">
      <c r="H655" s="799"/>
      <c r="I655" s="799"/>
      <c r="J655" s="799"/>
      <c r="K655" s="799"/>
      <c r="L655" s="799"/>
      <c r="M655" s="799"/>
      <c r="N655" s="799"/>
      <c r="O655" s="799"/>
      <c r="P655" s="799"/>
      <c r="Q655" s="799"/>
      <c r="R655" s="799"/>
      <c r="S655" s="799"/>
      <c r="T655" s="799"/>
      <c r="U655" s="799"/>
      <c r="V655" s="799"/>
      <c r="W655" s="799"/>
      <c r="X655" s="799"/>
      <c r="Y655" s="799"/>
      <c r="Z655" s="799"/>
      <c r="AA655" s="799"/>
      <c r="AB655" s="799"/>
      <c r="AC655" s="799"/>
      <c r="AD655" s="799"/>
      <c r="AE655" s="799"/>
      <c r="AF655" s="799"/>
      <c r="AG655" s="799"/>
      <c r="AH655" s="799"/>
      <c r="AI655" s="799"/>
      <c r="AJ655" s="799"/>
      <c r="AK655" s="799"/>
      <c r="AL655" s="799"/>
      <c r="AM655" s="799"/>
      <c r="AN655" s="799"/>
      <c r="AO655" s="799"/>
      <c r="AP655" s="799"/>
      <c r="AQ655" s="799"/>
      <c r="AR655" s="799"/>
      <c r="AS655" s="799"/>
      <c r="AT655" s="799"/>
      <c r="AU655" s="799"/>
      <c r="AV655" s="799"/>
      <c r="AW655" s="799"/>
      <c r="AX655" s="799"/>
      <c r="AY655" s="799"/>
      <c r="AZ655" s="799"/>
      <c r="BA655" s="799"/>
      <c r="BB655" s="799"/>
      <c r="BC655" s="799"/>
      <c r="BD655" s="799"/>
      <c r="BE655" s="799"/>
      <c r="BF655" s="799"/>
      <c r="BG655" s="799"/>
    </row>
    <row r="656">
      <c r="H656" s="799"/>
      <c r="I656" s="799"/>
      <c r="J656" s="799"/>
      <c r="K656" s="799"/>
      <c r="L656" s="799"/>
      <c r="M656" s="799"/>
      <c r="N656" s="799"/>
      <c r="O656" s="799"/>
      <c r="P656" s="799"/>
      <c r="Q656" s="799"/>
      <c r="R656" s="799"/>
      <c r="S656" s="799"/>
      <c r="T656" s="799"/>
      <c r="U656" s="799"/>
      <c r="V656" s="799"/>
      <c r="W656" s="799"/>
      <c r="X656" s="799"/>
      <c r="Y656" s="799"/>
      <c r="Z656" s="799"/>
      <c r="AA656" s="799"/>
      <c r="AB656" s="799"/>
      <c r="AC656" s="799"/>
      <c r="AD656" s="799"/>
      <c r="AE656" s="799"/>
      <c r="AF656" s="799"/>
      <c r="AG656" s="799"/>
      <c r="AH656" s="799"/>
      <c r="AI656" s="799"/>
      <c r="AJ656" s="799"/>
      <c r="AK656" s="799"/>
      <c r="AL656" s="799"/>
      <c r="AM656" s="799"/>
      <c r="AN656" s="799"/>
      <c r="AO656" s="799"/>
      <c r="AP656" s="799"/>
      <c r="AQ656" s="799"/>
      <c r="AR656" s="799"/>
      <c r="AS656" s="799"/>
      <c r="AT656" s="799"/>
      <c r="AU656" s="799"/>
      <c r="AV656" s="799"/>
      <c r="AW656" s="799"/>
      <c r="AX656" s="799"/>
      <c r="AY656" s="799"/>
      <c r="AZ656" s="799"/>
      <c r="BA656" s="799"/>
      <c r="BB656" s="799"/>
      <c r="BC656" s="799"/>
      <c r="BD656" s="799"/>
      <c r="BE656" s="799"/>
      <c r="BF656" s="799"/>
      <c r="BG656" s="799"/>
    </row>
    <row r="657">
      <c r="H657" s="799"/>
      <c r="I657" s="799"/>
      <c r="J657" s="799"/>
      <c r="K657" s="799"/>
      <c r="L657" s="799"/>
      <c r="M657" s="799"/>
      <c r="N657" s="799"/>
      <c r="O657" s="799"/>
      <c r="P657" s="799"/>
      <c r="Q657" s="799"/>
      <c r="R657" s="799"/>
      <c r="S657" s="799"/>
      <c r="T657" s="799"/>
      <c r="U657" s="799"/>
      <c r="V657" s="799"/>
      <c r="W657" s="799"/>
      <c r="X657" s="799"/>
      <c r="Y657" s="799"/>
      <c r="Z657" s="799"/>
      <c r="AA657" s="799"/>
      <c r="AB657" s="799"/>
      <c r="AC657" s="799"/>
      <c r="AD657" s="799"/>
      <c r="AE657" s="799"/>
      <c r="AF657" s="799"/>
      <c r="AG657" s="799"/>
      <c r="AH657" s="799"/>
      <c r="AI657" s="799"/>
      <c r="AJ657" s="799"/>
      <c r="AK657" s="799"/>
      <c r="AL657" s="799"/>
      <c r="AM657" s="799"/>
      <c r="AN657" s="799"/>
      <c r="AO657" s="799"/>
      <c r="AP657" s="799"/>
      <c r="AQ657" s="799"/>
      <c r="AR657" s="799"/>
      <c r="AS657" s="799"/>
      <c r="AT657" s="799"/>
      <c r="AU657" s="799"/>
      <c r="AV657" s="799"/>
      <c r="AW657" s="799"/>
      <c r="AX657" s="799"/>
      <c r="AY657" s="799"/>
      <c r="AZ657" s="799"/>
      <c r="BA657" s="799"/>
      <c r="BB657" s="799"/>
      <c r="BC657" s="799"/>
      <c r="BD657" s="799"/>
      <c r="BE657" s="799"/>
      <c r="BF657" s="799"/>
      <c r="BG657" s="799"/>
    </row>
    <row r="658">
      <c r="H658" s="799"/>
      <c r="I658" s="799"/>
      <c r="J658" s="799"/>
      <c r="K658" s="799"/>
      <c r="L658" s="799"/>
      <c r="M658" s="799"/>
      <c r="N658" s="799"/>
      <c r="O658" s="799"/>
      <c r="P658" s="799"/>
      <c r="Q658" s="799"/>
      <c r="R658" s="799"/>
      <c r="S658" s="799"/>
      <c r="T658" s="799"/>
      <c r="U658" s="799"/>
      <c r="V658" s="799"/>
      <c r="W658" s="799"/>
      <c r="X658" s="799"/>
      <c r="Y658" s="799"/>
      <c r="Z658" s="799"/>
      <c r="AA658" s="799"/>
      <c r="AB658" s="799"/>
      <c r="AC658" s="799"/>
      <c r="AD658" s="799"/>
      <c r="AE658" s="799"/>
      <c r="AF658" s="799"/>
      <c r="AG658" s="799"/>
      <c r="AH658" s="799"/>
      <c r="AI658" s="799"/>
      <c r="AJ658" s="799"/>
      <c r="AK658" s="799"/>
      <c r="AL658" s="799"/>
      <c r="AM658" s="799"/>
      <c r="AN658" s="799"/>
      <c r="AO658" s="799"/>
      <c r="AP658" s="799"/>
      <c r="AQ658" s="799"/>
      <c r="AR658" s="799"/>
      <c r="AS658" s="799"/>
      <c r="AT658" s="799"/>
      <c r="AU658" s="799"/>
      <c r="AV658" s="799"/>
      <c r="AW658" s="799"/>
      <c r="AX658" s="799"/>
      <c r="AY658" s="799"/>
      <c r="AZ658" s="799"/>
      <c r="BA658" s="799"/>
      <c r="BB658" s="799"/>
      <c r="BC658" s="799"/>
      <c r="BD658" s="799"/>
      <c r="BE658" s="799"/>
      <c r="BF658" s="799"/>
      <c r="BG658" s="799"/>
    </row>
    <row r="659">
      <c r="H659" s="799"/>
      <c r="I659" s="799"/>
      <c r="J659" s="799"/>
      <c r="K659" s="799"/>
      <c r="L659" s="799"/>
      <c r="M659" s="799"/>
      <c r="N659" s="799"/>
      <c r="O659" s="799"/>
      <c r="P659" s="799"/>
      <c r="Q659" s="799"/>
      <c r="R659" s="799"/>
      <c r="S659" s="799"/>
      <c r="T659" s="799"/>
      <c r="U659" s="799"/>
      <c r="V659" s="799"/>
      <c r="W659" s="799"/>
      <c r="X659" s="799"/>
      <c r="Y659" s="799"/>
      <c r="Z659" s="799"/>
      <c r="AA659" s="799"/>
      <c r="AB659" s="799"/>
      <c r="AC659" s="799"/>
      <c r="AD659" s="799"/>
      <c r="AE659" s="799"/>
      <c r="AF659" s="799"/>
      <c r="AG659" s="799"/>
      <c r="AH659" s="799"/>
      <c r="AI659" s="799"/>
      <c r="AJ659" s="799"/>
      <c r="AK659" s="799"/>
      <c r="AL659" s="799"/>
      <c r="AM659" s="799"/>
      <c r="AN659" s="799"/>
      <c r="AO659" s="799"/>
      <c r="AP659" s="799"/>
      <c r="AQ659" s="799"/>
      <c r="AR659" s="799"/>
      <c r="AS659" s="799"/>
      <c r="AT659" s="799"/>
      <c r="AU659" s="799"/>
      <c r="AV659" s="799"/>
      <c r="AW659" s="799"/>
      <c r="AX659" s="799"/>
      <c r="AY659" s="799"/>
      <c r="AZ659" s="799"/>
      <c r="BA659" s="799"/>
      <c r="BB659" s="799"/>
      <c r="BC659" s="799"/>
      <c r="BD659" s="799"/>
      <c r="BE659" s="799"/>
      <c r="BF659" s="799"/>
      <c r="BG659" s="799"/>
    </row>
    <row r="660">
      <c r="H660" s="799"/>
      <c r="I660" s="799"/>
      <c r="J660" s="799"/>
      <c r="K660" s="799"/>
      <c r="L660" s="799"/>
      <c r="M660" s="799"/>
      <c r="N660" s="799"/>
      <c r="O660" s="799"/>
      <c r="P660" s="799"/>
      <c r="Q660" s="799"/>
      <c r="R660" s="799"/>
      <c r="S660" s="799"/>
      <c r="T660" s="799"/>
      <c r="U660" s="799"/>
      <c r="V660" s="799"/>
      <c r="W660" s="799"/>
      <c r="X660" s="799"/>
      <c r="Y660" s="799"/>
      <c r="Z660" s="799"/>
      <c r="AA660" s="799"/>
      <c r="AB660" s="799"/>
      <c r="AC660" s="799"/>
      <c r="AD660" s="799"/>
      <c r="AE660" s="799"/>
      <c r="AF660" s="799"/>
      <c r="AG660" s="799"/>
      <c r="AH660" s="799"/>
      <c r="AI660" s="799"/>
      <c r="AJ660" s="799"/>
      <c r="AK660" s="799"/>
      <c r="AL660" s="799"/>
      <c r="AM660" s="799"/>
      <c r="AN660" s="799"/>
      <c r="AO660" s="799"/>
      <c r="AP660" s="799"/>
      <c r="AQ660" s="799"/>
      <c r="AR660" s="799"/>
      <c r="AS660" s="799"/>
      <c r="AT660" s="799"/>
      <c r="AU660" s="799"/>
      <c r="AV660" s="799"/>
      <c r="AW660" s="799"/>
      <c r="AX660" s="799"/>
      <c r="AY660" s="799"/>
      <c r="AZ660" s="799"/>
      <c r="BA660" s="799"/>
      <c r="BB660" s="799"/>
      <c r="BC660" s="799"/>
      <c r="BD660" s="799"/>
      <c r="BE660" s="799"/>
      <c r="BF660" s="799"/>
      <c r="BG660" s="799"/>
    </row>
    <row r="661">
      <c r="H661" s="799"/>
      <c r="I661" s="799"/>
      <c r="J661" s="799"/>
      <c r="K661" s="799"/>
      <c r="L661" s="799"/>
      <c r="M661" s="799"/>
      <c r="N661" s="799"/>
      <c r="O661" s="799"/>
      <c r="P661" s="799"/>
      <c r="Q661" s="799"/>
      <c r="R661" s="799"/>
      <c r="S661" s="799"/>
      <c r="T661" s="799"/>
      <c r="U661" s="799"/>
      <c r="V661" s="799"/>
      <c r="W661" s="799"/>
      <c r="X661" s="799"/>
      <c r="Y661" s="799"/>
      <c r="Z661" s="799"/>
      <c r="AA661" s="799"/>
      <c r="AB661" s="799"/>
      <c r="AC661" s="799"/>
      <c r="AD661" s="799"/>
      <c r="AE661" s="799"/>
      <c r="AF661" s="799"/>
      <c r="AG661" s="799"/>
      <c r="AH661" s="799"/>
      <c r="AI661" s="799"/>
      <c r="AJ661" s="799"/>
      <c r="AK661" s="799"/>
      <c r="AL661" s="799"/>
      <c r="AM661" s="799"/>
      <c r="AN661" s="799"/>
      <c r="AO661" s="799"/>
      <c r="AP661" s="799"/>
      <c r="AQ661" s="799"/>
      <c r="AR661" s="799"/>
      <c r="AS661" s="799"/>
      <c r="AT661" s="799"/>
      <c r="AU661" s="799"/>
      <c r="AV661" s="799"/>
      <c r="AW661" s="799"/>
      <c r="AX661" s="799"/>
      <c r="AY661" s="799"/>
      <c r="AZ661" s="799"/>
      <c r="BA661" s="799"/>
      <c r="BB661" s="799"/>
      <c r="BC661" s="799"/>
      <c r="BD661" s="799"/>
      <c r="BE661" s="799"/>
      <c r="BF661" s="799"/>
      <c r="BG661" s="799"/>
    </row>
    <row r="662">
      <c r="H662" s="799"/>
      <c r="I662" s="799"/>
      <c r="J662" s="799"/>
      <c r="K662" s="799"/>
      <c r="L662" s="799"/>
      <c r="M662" s="799"/>
      <c r="N662" s="799"/>
      <c r="O662" s="799"/>
      <c r="P662" s="799"/>
      <c r="Q662" s="799"/>
      <c r="R662" s="799"/>
      <c r="S662" s="799"/>
      <c r="T662" s="799"/>
      <c r="U662" s="799"/>
      <c r="V662" s="799"/>
      <c r="W662" s="799"/>
      <c r="X662" s="799"/>
      <c r="Y662" s="799"/>
      <c r="Z662" s="799"/>
      <c r="AA662" s="799"/>
      <c r="AB662" s="799"/>
      <c r="AC662" s="799"/>
      <c r="AD662" s="799"/>
      <c r="AE662" s="799"/>
      <c r="AF662" s="799"/>
      <c r="AG662" s="799"/>
      <c r="AH662" s="799"/>
      <c r="AI662" s="799"/>
      <c r="AJ662" s="799"/>
      <c r="AK662" s="799"/>
      <c r="AL662" s="799"/>
      <c r="AM662" s="799"/>
      <c r="AN662" s="799"/>
      <c r="AO662" s="799"/>
      <c r="AP662" s="799"/>
      <c r="AQ662" s="799"/>
      <c r="AR662" s="799"/>
      <c r="AS662" s="799"/>
      <c r="AT662" s="799"/>
      <c r="AU662" s="799"/>
      <c r="AV662" s="799"/>
      <c r="AW662" s="799"/>
      <c r="AX662" s="799"/>
      <c r="AY662" s="799"/>
      <c r="AZ662" s="799"/>
      <c r="BA662" s="799"/>
      <c r="BB662" s="799"/>
      <c r="BC662" s="799"/>
      <c r="BD662" s="799"/>
      <c r="BE662" s="799"/>
      <c r="BF662" s="799"/>
      <c r="BG662" s="799"/>
    </row>
    <row r="663">
      <c r="H663" s="799"/>
      <c r="I663" s="799"/>
      <c r="J663" s="799"/>
      <c r="K663" s="799"/>
      <c r="L663" s="799"/>
      <c r="M663" s="799"/>
      <c r="N663" s="799"/>
      <c r="O663" s="799"/>
      <c r="P663" s="799"/>
      <c r="Q663" s="799"/>
      <c r="R663" s="799"/>
      <c r="S663" s="799"/>
      <c r="T663" s="799"/>
      <c r="U663" s="799"/>
      <c r="V663" s="799"/>
      <c r="W663" s="799"/>
      <c r="X663" s="799"/>
      <c r="Y663" s="799"/>
      <c r="Z663" s="799"/>
      <c r="AA663" s="799"/>
      <c r="AB663" s="799"/>
      <c r="AC663" s="799"/>
      <c r="AD663" s="799"/>
      <c r="AE663" s="799"/>
      <c r="AF663" s="799"/>
      <c r="AG663" s="799"/>
      <c r="AH663" s="799"/>
      <c r="AI663" s="799"/>
      <c r="AJ663" s="799"/>
      <c r="AK663" s="799"/>
      <c r="AL663" s="799"/>
      <c r="AM663" s="799"/>
      <c r="AN663" s="799"/>
      <c r="AO663" s="799"/>
      <c r="AP663" s="799"/>
      <c r="AQ663" s="799"/>
      <c r="AR663" s="799"/>
      <c r="AS663" s="799"/>
      <c r="AT663" s="799"/>
      <c r="AU663" s="799"/>
      <c r="AV663" s="799"/>
      <c r="AW663" s="799"/>
      <c r="AX663" s="799"/>
      <c r="AY663" s="799"/>
      <c r="AZ663" s="799"/>
      <c r="BA663" s="799"/>
      <c r="BB663" s="799"/>
      <c r="BC663" s="799"/>
      <c r="BD663" s="799"/>
      <c r="BE663" s="799"/>
      <c r="BF663" s="799"/>
      <c r="BG663" s="799"/>
    </row>
    <row r="664">
      <c r="H664" s="799"/>
      <c r="I664" s="799"/>
      <c r="J664" s="799"/>
      <c r="K664" s="799"/>
      <c r="L664" s="799"/>
      <c r="M664" s="799"/>
      <c r="N664" s="799"/>
      <c r="O664" s="799"/>
      <c r="P664" s="799"/>
      <c r="Q664" s="799"/>
      <c r="R664" s="799"/>
      <c r="S664" s="799"/>
      <c r="T664" s="799"/>
      <c r="U664" s="799"/>
      <c r="V664" s="799"/>
      <c r="W664" s="799"/>
      <c r="X664" s="799"/>
      <c r="Y664" s="799"/>
      <c r="Z664" s="799"/>
      <c r="AA664" s="799"/>
      <c r="AB664" s="799"/>
      <c r="AC664" s="799"/>
      <c r="AD664" s="799"/>
      <c r="AE664" s="799"/>
      <c r="AF664" s="799"/>
      <c r="AG664" s="799"/>
      <c r="AH664" s="799"/>
      <c r="AI664" s="799"/>
      <c r="AJ664" s="799"/>
      <c r="AK664" s="799"/>
      <c r="AL664" s="799"/>
      <c r="AM664" s="799"/>
      <c r="AN664" s="799"/>
      <c r="AO664" s="799"/>
      <c r="AP664" s="799"/>
      <c r="AQ664" s="799"/>
      <c r="AR664" s="799"/>
      <c r="AS664" s="799"/>
      <c r="AT664" s="799"/>
      <c r="AU664" s="799"/>
      <c r="AV664" s="799"/>
      <c r="AW664" s="799"/>
      <c r="AX664" s="799"/>
      <c r="AY664" s="799"/>
      <c r="AZ664" s="799"/>
      <c r="BA664" s="799"/>
      <c r="BB664" s="799"/>
      <c r="BC664" s="799"/>
      <c r="BD664" s="799"/>
      <c r="BE664" s="799"/>
      <c r="BF664" s="799"/>
      <c r="BG664" s="799"/>
    </row>
    <row r="665">
      <c r="H665" s="799"/>
      <c r="I665" s="799"/>
      <c r="J665" s="799"/>
      <c r="K665" s="799"/>
      <c r="L665" s="799"/>
      <c r="M665" s="799"/>
      <c r="N665" s="799"/>
      <c r="O665" s="799"/>
      <c r="P665" s="799"/>
      <c r="Q665" s="799"/>
      <c r="R665" s="799"/>
      <c r="S665" s="799"/>
      <c r="T665" s="799"/>
      <c r="U665" s="799"/>
      <c r="V665" s="799"/>
      <c r="W665" s="799"/>
      <c r="X665" s="799"/>
      <c r="Y665" s="799"/>
      <c r="Z665" s="799"/>
      <c r="AA665" s="799"/>
      <c r="AB665" s="799"/>
      <c r="AC665" s="799"/>
      <c r="AD665" s="799"/>
      <c r="AE665" s="799"/>
      <c r="AF665" s="799"/>
      <c r="AG665" s="799"/>
      <c r="AH665" s="799"/>
      <c r="AI665" s="799"/>
      <c r="AJ665" s="799"/>
      <c r="AK665" s="799"/>
      <c r="AL665" s="799"/>
      <c r="AM665" s="799"/>
      <c r="AN665" s="799"/>
      <c r="AO665" s="799"/>
      <c r="AP665" s="799"/>
      <c r="AQ665" s="799"/>
      <c r="AR665" s="799"/>
      <c r="AS665" s="799"/>
      <c r="AT665" s="799"/>
      <c r="AU665" s="799"/>
      <c r="AV665" s="799"/>
      <c r="AW665" s="799"/>
      <c r="AX665" s="799"/>
      <c r="AY665" s="799"/>
      <c r="AZ665" s="799"/>
      <c r="BA665" s="799"/>
      <c r="BB665" s="799"/>
      <c r="BC665" s="799"/>
      <c r="BD665" s="799"/>
      <c r="BE665" s="799"/>
      <c r="BF665" s="799"/>
      <c r="BG665" s="799"/>
    </row>
    <row r="666">
      <c r="H666" s="799"/>
      <c r="I666" s="799"/>
      <c r="J666" s="799"/>
      <c r="K666" s="799"/>
      <c r="L666" s="799"/>
      <c r="M666" s="799"/>
      <c r="N666" s="799"/>
      <c r="O666" s="799"/>
      <c r="P666" s="799"/>
      <c r="Q666" s="799"/>
      <c r="R666" s="799"/>
      <c r="S666" s="799"/>
      <c r="T666" s="799"/>
      <c r="U666" s="799"/>
      <c r="V666" s="799"/>
      <c r="W666" s="799"/>
      <c r="X666" s="799"/>
      <c r="Y666" s="799"/>
      <c r="Z666" s="799"/>
      <c r="AA666" s="799"/>
      <c r="AB666" s="799"/>
      <c r="AC666" s="799"/>
      <c r="AD666" s="799"/>
      <c r="AE666" s="799"/>
      <c r="AF666" s="799"/>
      <c r="AG666" s="799"/>
      <c r="AH666" s="799"/>
      <c r="AI666" s="799"/>
      <c r="AJ666" s="799"/>
      <c r="AK666" s="799"/>
      <c r="AL666" s="799"/>
      <c r="AM666" s="799"/>
      <c r="AN666" s="799"/>
      <c r="AO666" s="799"/>
      <c r="AP666" s="799"/>
      <c r="AQ666" s="799"/>
      <c r="AR666" s="799"/>
      <c r="AS666" s="799"/>
      <c r="AT666" s="799"/>
      <c r="AU666" s="799"/>
      <c r="AV666" s="799"/>
      <c r="AW666" s="799"/>
      <c r="AX666" s="799"/>
      <c r="AY666" s="799"/>
      <c r="AZ666" s="799"/>
      <c r="BA666" s="799"/>
      <c r="BB666" s="799"/>
      <c r="BC666" s="799"/>
      <c r="BD666" s="799"/>
      <c r="BE666" s="799"/>
      <c r="BF666" s="799"/>
      <c r="BG666" s="799"/>
    </row>
    <row r="667">
      <c r="H667" s="799"/>
      <c r="I667" s="799"/>
      <c r="J667" s="799"/>
      <c r="K667" s="799"/>
      <c r="L667" s="799"/>
      <c r="M667" s="799"/>
      <c r="N667" s="799"/>
      <c r="O667" s="799"/>
      <c r="P667" s="799"/>
      <c r="Q667" s="799"/>
      <c r="R667" s="799"/>
      <c r="S667" s="799"/>
      <c r="T667" s="799"/>
      <c r="U667" s="799"/>
      <c r="V667" s="799"/>
      <c r="W667" s="799"/>
      <c r="X667" s="799"/>
      <c r="Y667" s="799"/>
      <c r="Z667" s="799"/>
      <c r="AA667" s="799"/>
      <c r="AB667" s="799"/>
      <c r="AC667" s="799"/>
      <c r="AD667" s="799"/>
      <c r="AE667" s="799"/>
      <c r="AF667" s="799"/>
      <c r="AG667" s="799"/>
      <c r="AH667" s="799"/>
      <c r="AI667" s="799"/>
      <c r="AJ667" s="799"/>
      <c r="AK667" s="799"/>
      <c r="AL667" s="799"/>
      <c r="AM667" s="799"/>
      <c r="AN667" s="799"/>
      <c r="AO667" s="799"/>
      <c r="AP667" s="799"/>
      <c r="AQ667" s="799"/>
      <c r="AR667" s="799"/>
      <c r="AS667" s="799"/>
      <c r="AT667" s="799"/>
      <c r="AU667" s="799"/>
      <c r="AV667" s="799"/>
      <c r="AW667" s="799"/>
      <c r="AX667" s="799"/>
      <c r="AY667" s="799"/>
      <c r="AZ667" s="799"/>
      <c r="BA667" s="799"/>
      <c r="BB667" s="799"/>
      <c r="BC667" s="799"/>
      <c r="BD667" s="799"/>
      <c r="BE667" s="799"/>
      <c r="BF667" s="799"/>
      <c r="BG667" s="799"/>
    </row>
    <row r="668">
      <c r="H668" s="799"/>
      <c r="I668" s="799"/>
      <c r="J668" s="799"/>
      <c r="K668" s="799"/>
      <c r="L668" s="799"/>
      <c r="M668" s="799"/>
      <c r="N668" s="799"/>
      <c r="O668" s="799"/>
      <c r="P668" s="799"/>
      <c r="Q668" s="799"/>
      <c r="R668" s="799"/>
      <c r="S668" s="799"/>
      <c r="T668" s="799"/>
      <c r="U668" s="799"/>
      <c r="V668" s="799"/>
      <c r="W668" s="799"/>
      <c r="X668" s="799"/>
      <c r="Y668" s="799"/>
      <c r="Z668" s="799"/>
      <c r="AA668" s="799"/>
      <c r="AB668" s="799"/>
      <c r="AC668" s="799"/>
      <c r="AD668" s="799"/>
      <c r="AE668" s="799"/>
      <c r="AF668" s="799"/>
      <c r="AG668" s="799"/>
      <c r="AH668" s="799"/>
      <c r="AI668" s="799"/>
      <c r="AJ668" s="799"/>
      <c r="AK668" s="799"/>
      <c r="AL668" s="799"/>
      <c r="AM668" s="799"/>
      <c r="AN668" s="799"/>
      <c r="AO668" s="799"/>
      <c r="AP668" s="799"/>
      <c r="AQ668" s="799"/>
      <c r="AR668" s="799"/>
      <c r="AS668" s="799"/>
      <c r="AT668" s="799"/>
      <c r="AU668" s="799"/>
      <c r="AV668" s="799"/>
      <c r="AW668" s="799"/>
      <c r="AX668" s="799"/>
      <c r="AY668" s="799"/>
      <c r="AZ668" s="799"/>
      <c r="BA668" s="799"/>
      <c r="BB668" s="799"/>
      <c r="BC668" s="799"/>
      <c r="BD668" s="799"/>
      <c r="BE668" s="799"/>
      <c r="BF668" s="799"/>
      <c r="BG668" s="799"/>
    </row>
    <row r="669">
      <c r="H669" s="799"/>
      <c r="I669" s="799"/>
      <c r="J669" s="799"/>
      <c r="K669" s="799"/>
      <c r="L669" s="799"/>
      <c r="M669" s="799"/>
      <c r="N669" s="799"/>
      <c r="O669" s="799"/>
      <c r="P669" s="799"/>
      <c r="Q669" s="799"/>
      <c r="R669" s="799"/>
      <c r="S669" s="799"/>
      <c r="T669" s="799"/>
      <c r="U669" s="799"/>
      <c r="V669" s="799"/>
      <c r="W669" s="799"/>
      <c r="X669" s="799"/>
      <c r="Y669" s="799"/>
      <c r="Z669" s="799"/>
      <c r="AA669" s="799"/>
      <c r="AB669" s="799"/>
      <c r="AC669" s="799"/>
      <c r="AD669" s="799"/>
      <c r="AE669" s="799"/>
      <c r="AF669" s="799"/>
      <c r="AG669" s="799"/>
      <c r="AH669" s="799"/>
      <c r="AI669" s="799"/>
      <c r="AJ669" s="799"/>
      <c r="AK669" s="799"/>
      <c r="AL669" s="799"/>
      <c r="AM669" s="799"/>
      <c r="AN669" s="799"/>
      <c r="AO669" s="799"/>
      <c r="AP669" s="799"/>
      <c r="AQ669" s="799"/>
      <c r="AR669" s="799"/>
      <c r="AS669" s="799"/>
      <c r="AT669" s="799"/>
      <c r="AU669" s="799"/>
      <c r="AV669" s="799"/>
      <c r="AW669" s="799"/>
      <c r="AX669" s="799"/>
      <c r="AY669" s="799"/>
      <c r="AZ669" s="799"/>
      <c r="BA669" s="799"/>
      <c r="BB669" s="799"/>
      <c r="BC669" s="799"/>
      <c r="BD669" s="799"/>
      <c r="BE669" s="799"/>
      <c r="BF669" s="799"/>
      <c r="BG669" s="799"/>
    </row>
    <row r="670">
      <c r="H670" s="799"/>
      <c r="I670" s="799"/>
      <c r="J670" s="799"/>
      <c r="K670" s="799"/>
      <c r="L670" s="799"/>
      <c r="M670" s="799"/>
      <c r="N670" s="799"/>
      <c r="O670" s="799"/>
      <c r="P670" s="799"/>
      <c r="Q670" s="799"/>
      <c r="R670" s="799"/>
      <c r="S670" s="799"/>
      <c r="T670" s="799"/>
      <c r="U670" s="799"/>
      <c r="V670" s="799"/>
      <c r="W670" s="799"/>
      <c r="X670" s="799"/>
      <c r="Y670" s="799"/>
      <c r="Z670" s="799"/>
      <c r="AA670" s="799"/>
      <c r="AB670" s="799"/>
      <c r="AC670" s="799"/>
      <c r="AD670" s="799"/>
      <c r="AE670" s="799"/>
      <c r="AF670" s="799"/>
      <c r="AG670" s="799"/>
      <c r="AH670" s="799"/>
      <c r="AI670" s="799"/>
      <c r="AJ670" s="799"/>
      <c r="AK670" s="799"/>
      <c r="AL670" s="799"/>
      <c r="AM670" s="799"/>
      <c r="AN670" s="799"/>
      <c r="AO670" s="799"/>
      <c r="AP670" s="799"/>
      <c r="AQ670" s="799"/>
      <c r="AR670" s="799"/>
      <c r="AS670" s="799"/>
      <c r="AT670" s="799"/>
      <c r="AU670" s="799"/>
      <c r="AV670" s="799"/>
      <c r="AW670" s="799"/>
      <c r="AX670" s="799"/>
      <c r="AY670" s="799"/>
      <c r="AZ670" s="799"/>
      <c r="BA670" s="799"/>
      <c r="BB670" s="799"/>
      <c r="BC670" s="799"/>
      <c r="BD670" s="799"/>
      <c r="BE670" s="799"/>
      <c r="BF670" s="799"/>
      <c r="BG670" s="799"/>
    </row>
    <row r="671">
      <c r="H671" s="799"/>
      <c r="I671" s="799"/>
      <c r="J671" s="799"/>
      <c r="K671" s="799"/>
      <c r="L671" s="799"/>
      <c r="M671" s="799"/>
      <c r="N671" s="799"/>
      <c r="O671" s="799"/>
      <c r="P671" s="799"/>
      <c r="Q671" s="799"/>
      <c r="R671" s="799"/>
      <c r="S671" s="799"/>
      <c r="T671" s="799"/>
      <c r="U671" s="799"/>
      <c r="V671" s="799"/>
      <c r="W671" s="799"/>
      <c r="X671" s="799"/>
      <c r="Y671" s="799"/>
      <c r="Z671" s="799"/>
      <c r="AA671" s="799"/>
      <c r="AB671" s="799"/>
      <c r="AC671" s="799"/>
      <c r="AD671" s="799"/>
      <c r="AE671" s="799"/>
      <c r="AF671" s="799"/>
      <c r="AG671" s="799"/>
      <c r="AH671" s="799"/>
      <c r="AI671" s="799"/>
      <c r="AJ671" s="799"/>
      <c r="AK671" s="799"/>
      <c r="AL671" s="799"/>
      <c r="AM671" s="799"/>
      <c r="AN671" s="799"/>
      <c r="AO671" s="799"/>
      <c r="AP671" s="799"/>
      <c r="AQ671" s="799"/>
      <c r="AR671" s="799"/>
      <c r="AS671" s="799"/>
      <c r="AT671" s="799"/>
      <c r="AU671" s="799"/>
      <c r="AV671" s="799"/>
      <c r="AW671" s="799"/>
      <c r="AX671" s="799"/>
      <c r="AY671" s="799"/>
      <c r="AZ671" s="799"/>
      <c r="BA671" s="799"/>
      <c r="BB671" s="799"/>
      <c r="BC671" s="799"/>
      <c r="BD671" s="799"/>
      <c r="BE671" s="799"/>
      <c r="BF671" s="799"/>
      <c r="BG671" s="799"/>
    </row>
    <row r="672">
      <c r="H672" s="799"/>
      <c r="I672" s="799"/>
      <c r="J672" s="799"/>
      <c r="K672" s="799"/>
      <c r="L672" s="799"/>
      <c r="M672" s="799"/>
      <c r="N672" s="799"/>
      <c r="O672" s="799"/>
      <c r="P672" s="799"/>
      <c r="Q672" s="799"/>
      <c r="R672" s="799"/>
      <c r="S672" s="799"/>
      <c r="T672" s="799"/>
      <c r="U672" s="799"/>
      <c r="V672" s="799"/>
      <c r="W672" s="799"/>
      <c r="X672" s="799"/>
      <c r="Y672" s="799"/>
      <c r="Z672" s="799"/>
      <c r="AA672" s="799"/>
      <c r="AB672" s="799"/>
      <c r="AC672" s="799"/>
      <c r="AD672" s="799"/>
      <c r="AE672" s="799"/>
      <c r="AF672" s="799"/>
      <c r="AG672" s="799"/>
      <c r="AH672" s="799"/>
      <c r="AI672" s="799"/>
      <c r="AJ672" s="799"/>
      <c r="AK672" s="799"/>
      <c r="AL672" s="799"/>
      <c r="AM672" s="799"/>
      <c r="AN672" s="799"/>
      <c r="AO672" s="799"/>
      <c r="AP672" s="799"/>
      <c r="AQ672" s="799"/>
      <c r="AR672" s="799"/>
      <c r="AS672" s="799"/>
      <c r="AT672" s="799"/>
      <c r="AU672" s="799"/>
      <c r="AV672" s="799"/>
      <c r="AW672" s="799"/>
      <c r="AX672" s="799"/>
      <c r="AY672" s="799"/>
      <c r="AZ672" s="799"/>
      <c r="BA672" s="799"/>
      <c r="BB672" s="799"/>
      <c r="BC672" s="799"/>
      <c r="BD672" s="799"/>
      <c r="BE672" s="799"/>
      <c r="BF672" s="799"/>
      <c r="BG672" s="799"/>
    </row>
    <row r="673">
      <c r="H673" s="799"/>
      <c r="I673" s="799"/>
      <c r="J673" s="799"/>
      <c r="K673" s="799"/>
      <c r="L673" s="799"/>
      <c r="M673" s="799"/>
      <c r="N673" s="799"/>
      <c r="O673" s="799"/>
      <c r="P673" s="799"/>
      <c r="Q673" s="799"/>
      <c r="R673" s="799"/>
      <c r="S673" s="799"/>
      <c r="T673" s="799"/>
      <c r="U673" s="799"/>
      <c r="V673" s="799"/>
      <c r="W673" s="799"/>
      <c r="X673" s="799"/>
      <c r="Y673" s="799"/>
      <c r="Z673" s="799"/>
      <c r="AA673" s="799"/>
      <c r="AB673" s="799"/>
      <c r="AC673" s="799"/>
      <c r="AD673" s="799"/>
      <c r="AE673" s="799"/>
      <c r="AF673" s="799"/>
      <c r="AG673" s="799"/>
      <c r="AH673" s="799"/>
      <c r="AI673" s="799"/>
      <c r="AJ673" s="799"/>
      <c r="AK673" s="799"/>
      <c r="AL673" s="799"/>
      <c r="AM673" s="799"/>
      <c r="AN673" s="799"/>
      <c r="AO673" s="799"/>
      <c r="AP673" s="799"/>
      <c r="AQ673" s="799"/>
      <c r="AR673" s="799"/>
      <c r="AS673" s="799"/>
      <c r="AT673" s="799"/>
      <c r="AU673" s="799"/>
      <c r="AV673" s="799"/>
      <c r="AW673" s="799"/>
      <c r="AX673" s="799"/>
      <c r="AY673" s="799"/>
      <c r="AZ673" s="799"/>
      <c r="BA673" s="799"/>
      <c r="BB673" s="799"/>
      <c r="BC673" s="799"/>
      <c r="BD673" s="799"/>
      <c r="BE673" s="799"/>
      <c r="BF673" s="799"/>
      <c r="BG673" s="799"/>
    </row>
    <row r="674">
      <c r="H674" s="799"/>
      <c r="I674" s="799"/>
      <c r="J674" s="799"/>
      <c r="K674" s="799"/>
      <c r="L674" s="799"/>
      <c r="M674" s="799"/>
      <c r="N674" s="799"/>
      <c r="O674" s="799"/>
      <c r="P674" s="799"/>
      <c r="Q674" s="799"/>
      <c r="R674" s="799"/>
      <c r="S674" s="799"/>
      <c r="T674" s="799"/>
      <c r="U674" s="799"/>
      <c r="V674" s="799"/>
      <c r="W674" s="799"/>
      <c r="X674" s="799"/>
      <c r="Y674" s="799"/>
      <c r="Z674" s="799"/>
      <c r="AA674" s="799"/>
      <c r="AB674" s="799"/>
      <c r="AC674" s="799"/>
      <c r="AD674" s="799"/>
      <c r="AE674" s="799"/>
      <c r="AF674" s="799"/>
      <c r="AG674" s="799"/>
      <c r="AH674" s="799"/>
      <c r="AI674" s="799"/>
      <c r="AJ674" s="799"/>
      <c r="AK674" s="799"/>
      <c r="AL674" s="799"/>
      <c r="AM674" s="799"/>
      <c r="AN674" s="799"/>
      <c r="AO674" s="799"/>
      <c r="AP674" s="799"/>
      <c r="AQ674" s="799"/>
      <c r="AR674" s="799"/>
      <c r="AS674" s="799"/>
      <c r="AT674" s="799"/>
      <c r="AU674" s="799"/>
      <c r="AV674" s="799"/>
      <c r="AW674" s="799"/>
      <c r="AX674" s="799"/>
      <c r="AY674" s="799"/>
      <c r="AZ674" s="799"/>
      <c r="BA674" s="799"/>
      <c r="BB674" s="799"/>
      <c r="BC674" s="799"/>
      <c r="BD674" s="799"/>
      <c r="BE674" s="799"/>
      <c r="BF674" s="799"/>
      <c r="BG674" s="799"/>
    </row>
    <row r="675">
      <c r="H675" s="799"/>
      <c r="I675" s="799"/>
      <c r="J675" s="799"/>
      <c r="K675" s="799"/>
      <c r="L675" s="799"/>
      <c r="M675" s="799"/>
      <c r="N675" s="799"/>
      <c r="O675" s="799"/>
      <c r="P675" s="799"/>
      <c r="Q675" s="799"/>
      <c r="R675" s="799"/>
      <c r="S675" s="799"/>
      <c r="T675" s="799"/>
      <c r="U675" s="799"/>
      <c r="V675" s="799"/>
      <c r="W675" s="799"/>
      <c r="X675" s="799"/>
      <c r="Y675" s="799"/>
      <c r="Z675" s="799"/>
      <c r="AA675" s="799"/>
      <c r="AB675" s="799"/>
      <c r="AC675" s="799"/>
      <c r="AD675" s="799"/>
      <c r="AE675" s="799"/>
      <c r="AF675" s="799"/>
      <c r="AG675" s="799"/>
      <c r="AH675" s="799"/>
      <c r="AI675" s="799"/>
      <c r="AJ675" s="799"/>
      <c r="AK675" s="799"/>
      <c r="AL675" s="799"/>
      <c r="AM675" s="799"/>
      <c r="AN675" s="799"/>
      <c r="AO675" s="799"/>
      <c r="AP675" s="799"/>
      <c r="AQ675" s="799"/>
      <c r="AR675" s="799"/>
      <c r="AS675" s="799"/>
      <c r="AT675" s="799"/>
      <c r="AU675" s="799"/>
      <c r="AV675" s="799"/>
      <c r="AW675" s="799"/>
      <c r="AX675" s="799"/>
      <c r="AY675" s="799"/>
      <c r="AZ675" s="799"/>
      <c r="BA675" s="799"/>
      <c r="BB675" s="799"/>
      <c r="BC675" s="799"/>
      <c r="BD675" s="799"/>
      <c r="BE675" s="799"/>
      <c r="BF675" s="799"/>
      <c r="BG675" s="799"/>
    </row>
    <row r="676">
      <c r="H676" s="799"/>
      <c r="I676" s="799"/>
      <c r="J676" s="799"/>
      <c r="K676" s="799"/>
      <c r="L676" s="799"/>
      <c r="M676" s="799"/>
      <c r="N676" s="799"/>
      <c r="O676" s="799"/>
      <c r="P676" s="799"/>
      <c r="Q676" s="799"/>
      <c r="R676" s="799"/>
      <c r="S676" s="799"/>
      <c r="T676" s="799"/>
      <c r="U676" s="799"/>
      <c r="V676" s="799"/>
      <c r="W676" s="799"/>
      <c r="X676" s="799"/>
      <c r="Y676" s="799"/>
      <c r="Z676" s="799"/>
      <c r="AA676" s="799"/>
      <c r="AB676" s="799"/>
      <c r="AC676" s="799"/>
      <c r="AD676" s="799"/>
      <c r="AE676" s="799"/>
      <c r="AF676" s="799"/>
      <c r="AG676" s="799"/>
      <c r="AH676" s="799"/>
      <c r="AI676" s="799"/>
      <c r="AJ676" s="799"/>
      <c r="AK676" s="799"/>
      <c r="AL676" s="799"/>
      <c r="AM676" s="799"/>
      <c r="AN676" s="799"/>
      <c r="AO676" s="799"/>
      <c r="AP676" s="799"/>
      <c r="AQ676" s="799"/>
      <c r="AR676" s="799"/>
      <c r="AS676" s="799"/>
      <c r="AT676" s="799"/>
      <c r="AU676" s="799"/>
      <c r="AV676" s="799"/>
      <c r="AW676" s="799"/>
      <c r="AX676" s="799"/>
      <c r="AY676" s="799"/>
      <c r="AZ676" s="799"/>
      <c r="BA676" s="799"/>
      <c r="BB676" s="799"/>
      <c r="BC676" s="799"/>
      <c r="BD676" s="799"/>
      <c r="BE676" s="799"/>
      <c r="BF676" s="799"/>
      <c r="BG676" s="799"/>
    </row>
    <row r="677">
      <c r="H677" s="799"/>
      <c r="I677" s="799"/>
      <c r="J677" s="799"/>
      <c r="K677" s="799"/>
      <c r="L677" s="799"/>
      <c r="M677" s="799"/>
      <c r="N677" s="799"/>
      <c r="O677" s="799"/>
      <c r="P677" s="799"/>
      <c r="Q677" s="799"/>
      <c r="R677" s="799"/>
      <c r="S677" s="799"/>
      <c r="T677" s="799"/>
      <c r="U677" s="799"/>
      <c r="V677" s="799"/>
      <c r="W677" s="799"/>
      <c r="X677" s="799"/>
      <c r="Y677" s="799"/>
      <c r="Z677" s="799"/>
      <c r="AA677" s="799"/>
      <c r="AB677" s="799"/>
      <c r="AC677" s="799"/>
      <c r="AD677" s="799"/>
      <c r="AE677" s="799"/>
      <c r="AF677" s="799"/>
      <c r="AG677" s="799"/>
      <c r="AH677" s="799"/>
      <c r="AI677" s="799"/>
      <c r="AJ677" s="799"/>
      <c r="AK677" s="799"/>
      <c r="AL677" s="799"/>
      <c r="AM677" s="799"/>
      <c r="AN677" s="799"/>
      <c r="AO677" s="799"/>
      <c r="AP677" s="799"/>
      <c r="AQ677" s="799"/>
      <c r="AR677" s="799"/>
      <c r="AS677" s="799"/>
      <c r="AT677" s="799"/>
      <c r="AU677" s="799"/>
      <c r="AV677" s="799"/>
      <c r="AW677" s="799"/>
      <c r="AX677" s="799"/>
      <c r="AY677" s="799"/>
      <c r="AZ677" s="799"/>
      <c r="BA677" s="799"/>
      <c r="BB677" s="799"/>
      <c r="BC677" s="799"/>
      <c r="BD677" s="799"/>
      <c r="BE677" s="799"/>
      <c r="BF677" s="799"/>
      <c r="BG677" s="799"/>
    </row>
    <row r="678">
      <c r="H678" s="799"/>
      <c r="I678" s="799"/>
      <c r="J678" s="799"/>
      <c r="K678" s="799"/>
      <c r="L678" s="799"/>
      <c r="M678" s="799"/>
      <c r="N678" s="799"/>
      <c r="O678" s="799"/>
      <c r="P678" s="799"/>
      <c r="Q678" s="799"/>
      <c r="R678" s="799"/>
      <c r="S678" s="799"/>
      <c r="T678" s="799"/>
      <c r="U678" s="799"/>
      <c r="V678" s="799"/>
      <c r="W678" s="799"/>
      <c r="X678" s="799"/>
      <c r="Y678" s="799"/>
      <c r="Z678" s="799"/>
      <c r="AA678" s="799"/>
      <c r="AB678" s="799"/>
      <c r="AC678" s="799"/>
      <c r="AD678" s="799"/>
      <c r="AE678" s="799"/>
      <c r="AF678" s="799"/>
      <c r="AG678" s="799"/>
      <c r="AH678" s="799"/>
      <c r="AI678" s="799"/>
      <c r="AJ678" s="799"/>
      <c r="AK678" s="799"/>
      <c r="AL678" s="799"/>
      <c r="AM678" s="799"/>
      <c r="AN678" s="799"/>
      <c r="AO678" s="799"/>
      <c r="AP678" s="799"/>
      <c r="AQ678" s="799"/>
      <c r="AR678" s="799"/>
      <c r="AS678" s="799"/>
      <c r="AT678" s="799"/>
      <c r="AU678" s="799"/>
      <c r="AV678" s="799"/>
      <c r="AW678" s="799"/>
      <c r="AX678" s="799"/>
      <c r="AY678" s="799"/>
      <c r="AZ678" s="799"/>
      <c r="BA678" s="799"/>
      <c r="BB678" s="799"/>
      <c r="BC678" s="799"/>
      <c r="BD678" s="799"/>
      <c r="BE678" s="799"/>
      <c r="BF678" s="799"/>
      <c r="BG678" s="799"/>
    </row>
    <row r="679">
      <c r="H679" s="799"/>
      <c r="I679" s="799"/>
      <c r="J679" s="799"/>
      <c r="K679" s="799"/>
      <c r="L679" s="799"/>
      <c r="M679" s="799"/>
      <c r="N679" s="799"/>
      <c r="O679" s="799"/>
      <c r="P679" s="799"/>
      <c r="Q679" s="799"/>
      <c r="R679" s="799"/>
      <c r="S679" s="799"/>
      <c r="T679" s="799"/>
      <c r="U679" s="799"/>
      <c r="V679" s="799"/>
      <c r="W679" s="799"/>
      <c r="X679" s="799"/>
      <c r="Y679" s="799"/>
      <c r="Z679" s="799"/>
      <c r="AA679" s="799"/>
      <c r="AB679" s="799"/>
      <c r="AC679" s="799"/>
      <c r="AD679" s="799"/>
      <c r="AE679" s="799"/>
      <c r="AF679" s="799"/>
      <c r="AG679" s="799"/>
      <c r="AH679" s="799"/>
      <c r="AI679" s="799"/>
      <c r="AJ679" s="799"/>
      <c r="AK679" s="799"/>
      <c r="AL679" s="799"/>
      <c r="AM679" s="799"/>
      <c r="AN679" s="799"/>
      <c r="AO679" s="799"/>
      <c r="AP679" s="799"/>
      <c r="AQ679" s="799"/>
      <c r="AR679" s="799"/>
      <c r="AS679" s="799"/>
      <c r="AT679" s="799"/>
      <c r="AU679" s="799"/>
      <c r="AV679" s="799"/>
      <c r="AW679" s="799"/>
      <c r="AX679" s="799"/>
      <c r="AY679" s="799"/>
      <c r="AZ679" s="799"/>
      <c r="BA679" s="799"/>
      <c r="BB679" s="799"/>
      <c r="BC679" s="799"/>
      <c r="BD679" s="799"/>
      <c r="BE679" s="799"/>
      <c r="BF679" s="799"/>
      <c r="BG679" s="799"/>
    </row>
    <row r="680">
      <c r="H680" s="799"/>
      <c r="I680" s="799"/>
      <c r="J680" s="799"/>
      <c r="K680" s="799"/>
      <c r="L680" s="799"/>
      <c r="M680" s="799"/>
      <c r="N680" s="799"/>
      <c r="O680" s="799"/>
      <c r="P680" s="799"/>
      <c r="Q680" s="799"/>
      <c r="R680" s="799"/>
      <c r="S680" s="799"/>
      <c r="T680" s="799"/>
      <c r="U680" s="799"/>
      <c r="V680" s="799"/>
      <c r="W680" s="799"/>
      <c r="X680" s="799"/>
      <c r="Y680" s="799"/>
      <c r="Z680" s="799"/>
      <c r="AA680" s="799"/>
      <c r="AB680" s="799"/>
      <c r="AC680" s="799"/>
      <c r="AD680" s="799"/>
      <c r="AE680" s="799"/>
      <c r="AF680" s="799"/>
      <c r="AG680" s="799"/>
      <c r="AH680" s="799"/>
      <c r="AI680" s="799"/>
      <c r="AJ680" s="799"/>
      <c r="AK680" s="799"/>
      <c r="AL680" s="799"/>
      <c r="AM680" s="799"/>
      <c r="AN680" s="799"/>
      <c r="AO680" s="799"/>
      <c r="AP680" s="799"/>
      <c r="AQ680" s="799"/>
      <c r="AR680" s="799"/>
      <c r="AS680" s="799"/>
      <c r="AT680" s="799"/>
      <c r="AU680" s="799"/>
      <c r="AV680" s="799"/>
      <c r="AW680" s="799"/>
      <c r="AX680" s="799"/>
      <c r="AY680" s="799"/>
      <c r="AZ680" s="799"/>
      <c r="BA680" s="799"/>
      <c r="BB680" s="799"/>
      <c r="BC680" s="799"/>
      <c r="BD680" s="799"/>
      <c r="BE680" s="799"/>
      <c r="BF680" s="799"/>
      <c r="BG680" s="799"/>
    </row>
    <row r="681">
      <c r="H681" s="799"/>
      <c r="I681" s="799"/>
      <c r="J681" s="799"/>
      <c r="K681" s="799"/>
      <c r="L681" s="799"/>
      <c r="M681" s="799"/>
      <c r="N681" s="799"/>
      <c r="O681" s="799"/>
      <c r="P681" s="799"/>
      <c r="Q681" s="799"/>
      <c r="R681" s="799"/>
      <c r="S681" s="799"/>
      <c r="T681" s="799"/>
      <c r="U681" s="799"/>
      <c r="V681" s="799"/>
      <c r="W681" s="799"/>
      <c r="X681" s="799"/>
      <c r="Y681" s="799"/>
      <c r="Z681" s="799"/>
      <c r="AA681" s="799"/>
      <c r="AB681" s="799"/>
      <c r="AC681" s="799"/>
      <c r="AD681" s="799"/>
      <c r="AE681" s="799"/>
      <c r="AF681" s="799"/>
      <c r="AG681" s="799"/>
      <c r="AH681" s="799"/>
      <c r="AI681" s="799"/>
      <c r="AJ681" s="799"/>
      <c r="AK681" s="799"/>
      <c r="AL681" s="799"/>
      <c r="AM681" s="799"/>
      <c r="AN681" s="799"/>
      <c r="AO681" s="799"/>
      <c r="AP681" s="799"/>
      <c r="AQ681" s="799"/>
      <c r="AR681" s="799"/>
      <c r="AS681" s="799"/>
      <c r="AT681" s="799"/>
      <c r="AU681" s="799"/>
      <c r="AV681" s="799"/>
      <c r="AW681" s="799"/>
      <c r="AX681" s="799"/>
      <c r="AY681" s="799"/>
      <c r="AZ681" s="799"/>
      <c r="BA681" s="799"/>
      <c r="BB681" s="799"/>
      <c r="BC681" s="799"/>
      <c r="BD681" s="799"/>
      <c r="BE681" s="799"/>
      <c r="BF681" s="799"/>
      <c r="BG681" s="799"/>
    </row>
    <row r="682">
      <c r="H682" s="799"/>
      <c r="I682" s="799"/>
      <c r="J682" s="799"/>
      <c r="K682" s="799"/>
      <c r="L682" s="799"/>
      <c r="M682" s="799"/>
      <c r="N682" s="799"/>
      <c r="O682" s="799"/>
      <c r="P682" s="799"/>
      <c r="Q682" s="799"/>
      <c r="R682" s="799"/>
      <c r="S682" s="799"/>
      <c r="T682" s="799"/>
      <c r="U682" s="799"/>
      <c r="V682" s="799"/>
      <c r="W682" s="799"/>
      <c r="X682" s="799"/>
      <c r="Y682" s="799"/>
      <c r="Z682" s="799"/>
      <c r="AA682" s="799"/>
      <c r="AB682" s="799"/>
      <c r="AC682" s="799"/>
      <c r="AD682" s="799"/>
      <c r="AE682" s="799"/>
      <c r="AF682" s="799"/>
      <c r="AG682" s="799"/>
      <c r="AH682" s="799"/>
      <c r="AI682" s="799"/>
      <c r="AJ682" s="799"/>
      <c r="AK682" s="799"/>
      <c r="AL682" s="799"/>
      <c r="AM682" s="799"/>
      <c r="AN682" s="799"/>
      <c r="AO682" s="799"/>
      <c r="AP682" s="799"/>
      <c r="AQ682" s="799"/>
      <c r="AR682" s="799"/>
      <c r="AS682" s="799"/>
      <c r="AT682" s="799"/>
      <c r="AU682" s="799"/>
      <c r="AV682" s="799"/>
      <c r="AW682" s="799"/>
      <c r="AX682" s="799"/>
      <c r="AY682" s="799"/>
      <c r="AZ682" s="799"/>
      <c r="BA682" s="799"/>
      <c r="BB682" s="799"/>
      <c r="BC682" s="799"/>
      <c r="BD682" s="799"/>
      <c r="BE682" s="799"/>
      <c r="BF682" s="799"/>
      <c r="BG682" s="799"/>
    </row>
    <row r="683">
      <c r="H683" s="799"/>
      <c r="I683" s="799"/>
      <c r="J683" s="799"/>
      <c r="K683" s="799"/>
      <c r="L683" s="799"/>
      <c r="M683" s="799"/>
      <c r="N683" s="799"/>
      <c r="O683" s="799"/>
      <c r="P683" s="799"/>
      <c r="Q683" s="799"/>
      <c r="R683" s="799"/>
      <c r="S683" s="799"/>
      <c r="T683" s="799"/>
      <c r="U683" s="799"/>
      <c r="V683" s="799"/>
      <c r="W683" s="799"/>
      <c r="X683" s="799"/>
      <c r="Y683" s="799"/>
      <c r="Z683" s="799"/>
      <c r="AA683" s="799"/>
      <c r="AB683" s="799"/>
      <c r="AC683" s="799"/>
      <c r="AD683" s="799"/>
      <c r="AE683" s="799"/>
      <c r="AF683" s="799"/>
      <c r="AG683" s="799"/>
      <c r="AH683" s="799"/>
      <c r="AI683" s="799"/>
      <c r="AJ683" s="799"/>
      <c r="AK683" s="799"/>
      <c r="AL683" s="799"/>
      <c r="AM683" s="799"/>
      <c r="AN683" s="799"/>
      <c r="AO683" s="799"/>
      <c r="AP683" s="799"/>
      <c r="AQ683" s="799"/>
      <c r="AR683" s="799"/>
      <c r="AS683" s="799"/>
      <c r="AT683" s="799"/>
      <c r="AU683" s="799"/>
      <c r="AV683" s="799"/>
      <c r="AW683" s="799"/>
      <c r="AX683" s="799"/>
      <c r="AY683" s="799"/>
      <c r="AZ683" s="799"/>
      <c r="BA683" s="799"/>
      <c r="BB683" s="799"/>
      <c r="BC683" s="799"/>
      <c r="BD683" s="799"/>
      <c r="BE683" s="799"/>
      <c r="BF683" s="799"/>
      <c r="BG683" s="799"/>
    </row>
    <row r="684">
      <c r="H684" s="799"/>
      <c r="I684" s="799"/>
      <c r="J684" s="799"/>
      <c r="K684" s="799"/>
      <c r="L684" s="799"/>
      <c r="M684" s="799"/>
      <c r="N684" s="799"/>
      <c r="O684" s="799"/>
      <c r="P684" s="799"/>
      <c r="Q684" s="799"/>
      <c r="R684" s="799"/>
      <c r="S684" s="799"/>
      <c r="T684" s="799"/>
      <c r="U684" s="799"/>
      <c r="V684" s="799"/>
      <c r="W684" s="799"/>
      <c r="X684" s="799"/>
      <c r="Y684" s="799"/>
      <c r="Z684" s="799"/>
      <c r="AA684" s="799"/>
      <c r="AB684" s="799"/>
      <c r="AC684" s="799"/>
      <c r="AD684" s="799"/>
      <c r="AE684" s="799"/>
      <c r="AF684" s="799"/>
      <c r="AG684" s="799"/>
      <c r="AH684" s="799"/>
      <c r="AI684" s="799"/>
      <c r="AJ684" s="799"/>
      <c r="AK684" s="799"/>
      <c r="AL684" s="799"/>
      <c r="AM684" s="799"/>
      <c r="AN684" s="799"/>
      <c r="AO684" s="799"/>
      <c r="AP684" s="799"/>
      <c r="AQ684" s="799"/>
      <c r="AR684" s="799"/>
      <c r="AS684" s="799"/>
      <c r="AT684" s="799"/>
      <c r="AU684" s="799"/>
      <c r="AV684" s="799"/>
      <c r="AW684" s="799"/>
      <c r="AX684" s="799"/>
      <c r="AY684" s="799"/>
      <c r="AZ684" s="799"/>
      <c r="BA684" s="799"/>
      <c r="BB684" s="799"/>
      <c r="BC684" s="799"/>
      <c r="BD684" s="799"/>
      <c r="BE684" s="799"/>
      <c r="BF684" s="799"/>
      <c r="BG684" s="799"/>
    </row>
    <row r="685">
      <c r="H685" s="799"/>
      <c r="I685" s="799"/>
      <c r="J685" s="799"/>
      <c r="K685" s="799"/>
      <c r="L685" s="799"/>
      <c r="M685" s="799"/>
      <c r="N685" s="799"/>
      <c r="O685" s="799"/>
      <c r="P685" s="799"/>
      <c r="Q685" s="799"/>
      <c r="R685" s="799"/>
      <c r="S685" s="799"/>
      <c r="T685" s="799"/>
      <c r="U685" s="799"/>
      <c r="V685" s="799"/>
      <c r="W685" s="799"/>
      <c r="X685" s="799"/>
      <c r="Y685" s="799"/>
      <c r="Z685" s="799"/>
      <c r="AA685" s="799"/>
      <c r="AB685" s="799"/>
      <c r="AC685" s="799"/>
      <c r="AD685" s="799"/>
      <c r="AE685" s="799"/>
      <c r="AF685" s="799"/>
      <c r="AG685" s="799"/>
      <c r="AH685" s="799"/>
      <c r="AI685" s="799"/>
      <c r="AJ685" s="799"/>
      <c r="AK685" s="799"/>
      <c r="AL685" s="799"/>
      <c r="AM685" s="799"/>
      <c r="AN685" s="799"/>
      <c r="AO685" s="799"/>
      <c r="AP685" s="799"/>
      <c r="AQ685" s="799"/>
      <c r="AR685" s="799"/>
      <c r="AS685" s="799"/>
      <c r="AT685" s="799"/>
      <c r="AU685" s="799"/>
      <c r="AV685" s="799"/>
      <c r="AW685" s="799"/>
      <c r="AX685" s="799"/>
      <c r="AY685" s="799"/>
      <c r="AZ685" s="799"/>
      <c r="BA685" s="799"/>
      <c r="BB685" s="799"/>
      <c r="BC685" s="799"/>
      <c r="BD685" s="799"/>
      <c r="BE685" s="799"/>
      <c r="BF685" s="799"/>
      <c r="BG685" s="799"/>
    </row>
    <row r="686">
      <c r="H686" s="799"/>
      <c r="I686" s="799"/>
      <c r="J686" s="799"/>
      <c r="K686" s="799"/>
      <c r="L686" s="799"/>
      <c r="M686" s="799"/>
      <c r="N686" s="799"/>
      <c r="O686" s="799"/>
      <c r="P686" s="799"/>
      <c r="Q686" s="799"/>
      <c r="R686" s="799"/>
      <c r="S686" s="799"/>
      <c r="T686" s="799"/>
      <c r="U686" s="799"/>
      <c r="V686" s="799"/>
      <c r="W686" s="799"/>
      <c r="X686" s="799"/>
      <c r="Y686" s="799"/>
      <c r="Z686" s="799"/>
      <c r="AA686" s="799"/>
      <c r="AB686" s="799"/>
      <c r="AC686" s="799"/>
      <c r="AD686" s="799"/>
      <c r="AE686" s="799"/>
      <c r="AF686" s="799"/>
      <c r="AG686" s="799"/>
      <c r="AH686" s="799"/>
      <c r="AI686" s="799"/>
      <c r="AJ686" s="799"/>
      <c r="AK686" s="799"/>
      <c r="AL686" s="799"/>
      <c r="AM686" s="799"/>
      <c r="AN686" s="799"/>
      <c r="AO686" s="799"/>
      <c r="AP686" s="799"/>
      <c r="AQ686" s="799"/>
      <c r="AR686" s="799"/>
      <c r="AS686" s="799"/>
      <c r="AT686" s="799"/>
      <c r="AU686" s="799"/>
      <c r="AV686" s="799"/>
      <c r="AW686" s="799"/>
      <c r="AX686" s="799"/>
      <c r="AY686" s="799"/>
      <c r="AZ686" s="799"/>
      <c r="BA686" s="799"/>
      <c r="BB686" s="799"/>
      <c r="BC686" s="799"/>
      <c r="BD686" s="799"/>
      <c r="BE686" s="799"/>
      <c r="BF686" s="799"/>
      <c r="BG686" s="799"/>
    </row>
    <row r="687">
      <c r="H687" s="799"/>
      <c r="I687" s="799"/>
      <c r="J687" s="799"/>
      <c r="K687" s="799"/>
      <c r="L687" s="799"/>
      <c r="M687" s="799"/>
      <c r="N687" s="799"/>
      <c r="O687" s="799"/>
      <c r="P687" s="799"/>
      <c r="Q687" s="799"/>
      <c r="R687" s="799"/>
      <c r="S687" s="799"/>
      <c r="T687" s="799"/>
      <c r="U687" s="799"/>
      <c r="V687" s="799"/>
      <c r="W687" s="799"/>
      <c r="X687" s="799"/>
      <c r="Y687" s="799"/>
      <c r="Z687" s="799"/>
      <c r="AA687" s="799"/>
      <c r="AB687" s="799"/>
      <c r="AC687" s="799"/>
      <c r="AD687" s="799"/>
      <c r="AE687" s="799"/>
      <c r="AF687" s="799"/>
      <c r="AG687" s="799"/>
      <c r="AH687" s="799"/>
      <c r="AI687" s="799"/>
      <c r="AJ687" s="799"/>
      <c r="AK687" s="799"/>
      <c r="AL687" s="799"/>
      <c r="AM687" s="799"/>
      <c r="AN687" s="799"/>
      <c r="AO687" s="799"/>
      <c r="AP687" s="799"/>
      <c r="AQ687" s="799"/>
      <c r="AR687" s="799"/>
      <c r="AS687" s="799"/>
      <c r="AT687" s="799"/>
      <c r="AU687" s="799"/>
      <c r="AV687" s="799"/>
      <c r="AW687" s="799"/>
      <c r="AX687" s="799"/>
      <c r="AY687" s="799"/>
      <c r="AZ687" s="799"/>
      <c r="BA687" s="799"/>
      <c r="BB687" s="799"/>
      <c r="BC687" s="799"/>
      <c r="BD687" s="799"/>
      <c r="BE687" s="799"/>
      <c r="BF687" s="799"/>
      <c r="BG687" s="799"/>
    </row>
    <row r="688">
      <c r="H688" s="799"/>
      <c r="I688" s="799"/>
      <c r="J688" s="799"/>
      <c r="K688" s="799"/>
      <c r="L688" s="799"/>
      <c r="M688" s="799"/>
      <c r="N688" s="799"/>
      <c r="O688" s="799"/>
      <c r="P688" s="799"/>
      <c r="Q688" s="799"/>
      <c r="R688" s="799"/>
      <c r="S688" s="799"/>
      <c r="T688" s="799"/>
      <c r="U688" s="799"/>
      <c r="V688" s="799"/>
      <c r="W688" s="799"/>
      <c r="X688" s="799"/>
      <c r="Y688" s="799"/>
      <c r="Z688" s="799"/>
      <c r="AA688" s="799"/>
      <c r="AB688" s="799"/>
      <c r="AC688" s="799"/>
      <c r="AD688" s="799"/>
      <c r="AE688" s="799"/>
      <c r="AF688" s="799"/>
      <c r="AG688" s="799"/>
      <c r="AH688" s="799"/>
      <c r="AI688" s="799"/>
      <c r="AJ688" s="799"/>
      <c r="AK688" s="799"/>
      <c r="AL688" s="799"/>
      <c r="AM688" s="799"/>
      <c r="AN688" s="799"/>
      <c r="AO688" s="799"/>
      <c r="AP688" s="799"/>
      <c r="AQ688" s="799"/>
      <c r="AR688" s="799"/>
      <c r="AS688" s="799"/>
      <c r="AT688" s="799"/>
      <c r="AU688" s="799"/>
      <c r="AV688" s="799"/>
      <c r="AW688" s="799"/>
      <c r="AX688" s="799"/>
      <c r="AY688" s="799"/>
      <c r="AZ688" s="799"/>
      <c r="BA688" s="799"/>
      <c r="BB688" s="799"/>
      <c r="BC688" s="799"/>
      <c r="BD688" s="799"/>
      <c r="BE688" s="799"/>
      <c r="BF688" s="799"/>
      <c r="BG688" s="799"/>
    </row>
    <row r="689">
      <c r="H689" s="799"/>
      <c r="I689" s="799"/>
      <c r="J689" s="799"/>
      <c r="K689" s="799"/>
      <c r="L689" s="799"/>
      <c r="M689" s="799"/>
      <c r="N689" s="799"/>
      <c r="O689" s="799"/>
      <c r="P689" s="799"/>
      <c r="Q689" s="799"/>
      <c r="R689" s="799"/>
      <c r="S689" s="799"/>
      <c r="T689" s="799"/>
      <c r="U689" s="799"/>
      <c r="V689" s="799"/>
      <c r="W689" s="799"/>
      <c r="X689" s="799"/>
      <c r="Y689" s="799"/>
      <c r="Z689" s="799"/>
      <c r="AA689" s="799"/>
      <c r="AB689" s="799"/>
      <c r="AC689" s="799"/>
      <c r="AD689" s="799"/>
      <c r="AE689" s="799"/>
      <c r="AF689" s="799"/>
      <c r="AG689" s="799"/>
      <c r="AH689" s="799"/>
      <c r="AI689" s="799"/>
      <c r="AJ689" s="799"/>
      <c r="AK689" s="799"/>
      <c r="AL689" s="799"/>
      <c r="AM689" s="799"/>
      <c r="AN689" s="799"/>
      <c r="AO689" s="799"/>
      <c r="AP689" s="799"/>
      <c r="AQ689" s="799"/>
      <c r="AR689" s="799"/>
      <c r="AS689" s="799"/>
      <c r="AT689" s="799"/>
      <c r="AU689" s="799"/>
      <c r="AV689" s="799"/>
      <c r="AW689" s="799"/>
      <c r="AX689" s="799"/>
      <c r="AY689" s="799"/>
      <c r="AZ689" s="799"/>
      <c r="BA689" s="799"/>
      <c r="BB689" s="799"/>
      <c r="BC689" s="799"/>
      <c r="BD689" s="799"/>
      <c r="BE689" s="799"/>
      <c r="BF689" s="799"/>
      <c r="BG689" s="799"/>
    </row>
    <row r="690">
      <c r="H690" s="799"/>
      <c r="I690" s="799"/>
      <c r="J690" s="799"/>
      <c r="K690" s="799"/>
      <c r="L690" s="799"/>
      <c r="M690" s="799"/>
      <c r="N690" s="799"/>
      <c r="O690" s="799"/>
      <c r="P690" s="799"/>
      <c r="Q690" s="799"/>
      <c r="R690" s="799"/>
      <c r="S690" s="799"/>
      <c r="T690" s="799"/>
      <c r="U690" s="799"/>
      <c r="V690" s="799"/>
      <c r="W690" s="799"/>
      <c r="X690" s="799"/>
      <c r="Y690" s="799"/>
      <c r="Z690" s="799"/>
      <c r="AA690" s="799"/>
      <c r="AB690" s="799"/>
      <c r="AC690" s="799"/>
      <c r="AD690" s="799"/>
      <c r="AE690" s="799"/>
      <c r="AF690" s="799"/>
      <c r="AG690" s="799"/>
      <c r="AH690" s="799"/>
      <c r="AI690" s="799"/>
      <c r="AJ690" s="799"/>
      <c r="AK690" s="799"/>
      <c r="AL690" s="799"/>
      <c r="AM690" s="799"/>
      <c r="AN690" s="799"/>
      <c r="AO690" s="799"/>
      <c r="AP690" s="799"/>
      <c r="AQ690" s="799"/>
      <c r="AR690" s="799"/>
      <c r="AS690" s="799"/>
      <c r="AT690" s="799"/>
      <c r="AU690" s="799"/>
      <c r="AV690" s="799"/>
      <c r="AW690" s="799"/>
      <c r="AX690" s="799"/>
      <c r="AY690" s="799"/>
      <c r="AZ690" s="799"/>
      <c r="BA690" s="799"/>
      <c r="BB690" s="799"/>
      <c r="BC690" s="799"/>
      <c r="BD690" s="799"/>
      <c r="BE690" s="799"/>
      <c r="BF690" s="799"/>
      <c r="BG690" s="799"/>
    </row>
    <row r="691">
      <c r="H691" s="799"/>
      <c r="I691" s="799"/>
      <c r="J691" s="799"/>
      <c r="K691" s="799"/>
      <c r="L691" s="799"/>
      <c r="M691" s="799"/>
      <c r="N691" s="799"/>
      <c r="O691" s="799"/>
      <c r="P691" s="799"/>
      <c r="Q691" s="799"/>
      <c r="R691" s="799"/>
      <c r="S691" s="799"/>
      <c r="T691" s="799"/>
      <c r="U691" s="799"/>
      <c r="V691" s="799"/>
      <c r="W691" s="799"/>
      <c r="X691" s="799"/>
      <c r="Y691" s="799"/>
      <c r="Z691" s="799"/>
      <c r="AA691" s="799"/>
      <c r="AB691" s="799"/>
      <c r="AC691" s="799"/>
      <c r="AD691" s="799"/>
      <c r="AE691" s="799"/>
      <c r="AF691" s="799"/>
      <c r="AG691" s="799"/>
      <c r="AH691" s="799"/>
      <c r="AI691" s="799"/>
      <c r="AJ691" s="799"/>
      <c r="AK691" s="799"/>
      <c r="AL691" s="799"/>
      <c r="AM691" s="799"/>
      <c r="AN691" s="799"/>
      <c r="AO691" s="799"/>
      <c r="AP691" s="799"/>
      <c r="AQ691" s="799"/>
      <c r="AR691" s="799"/>
      <c r="AS691" s="799"/>
      <c r="AT691" s="799"/>
      <c r="AU691" s="799"/>
      <c r="AV691" s="799"/>
      <c r="AW691" s="799"/>
      <c r="AX691" s="799"/>
      <c r="AY691" s="799"/>
      <c r="AZ691" s="799"/>
      <c r="BA691" s="799"/>
      <c r="BB691" s="799"/>
      <c r="BC691" s="799"/>
      <c r="BD691" s="799"/>
      <c r="BE691" s="799"/>
      <c r="BF691" s="799"/>
      <c r="BG691" s="799"/>
    </row>
    <row r="692">
      <c r="H692" s="799"/>
      <c r="I692" s="799"/>
      <c r="J692" s="799"/>
      <c r="K692" s="799"/>
      <c r="L692" s="799"/>
      <c r="M692" s="799"/>
      <c r="N692" s="799"/>
      <c r="O692" s="799"/>
      <c r="P692" s="799"/>
      <c r="Q692" s="799"/>
      <c r="R692" s="799"/>
      <c r="S692" s="799"/>
      <c r="T692" s="799"/>
      <c r="U692" s="799"/>
      <c r="V692" s="799"/>
      <c r="W692" s="799"/>
      <c r="X692" s="799"/>
      <c r="Y692" s="799"/>
      <c r="Z692" s="799"/>
      <c r="AA692" s="799"/>
      <c r="AB692" s="799"/>
      <c r="AC692" s="799"/>
      <c r="AD692" s="799"/>
      <c r="AE692" s="799"/>
      <c r="AF692" s="799"/>
      <c r="AG692" s="799"/>
      <c r="AH692" s="799"/>
      <c r="AI692" s="799"/>
      <c r="AJ692" s="799"/>
      <c r="AK692" s="799"/>
      <c r="AL692" s="799"/>
      <c r="AM692" s="799"/>
      <c r="AN692" s="799"/>
      <c r="AO692" s="799"/>
      <c r="AP692" s="799"/>
      <c r="AQ692" s="799"/>
      <c r="AR692" s="799"/>
      <c r="AS692" s="799"/>
      <c r="AT692" s="799"/>
      <c r="AU692" s="799"/>
      <c r="AV692" s="799"/>
      <c r="AW692" s="799"/>
      <c r="AX692" s="799"/>
      <c r="AY692" s="799"/>
      <c r="AZ692" s="799"/>
      <c r="BA692" s="799"/>
      <c r="BB692" s="799"/>
      <c r="BC692" s="799"/>
      <c r="BD692" s="799"/>
      <c r="BE692" s="799"/>
      <c r="BF692" s="799"/>
      <c r="BG692" s="799"/>
    </row>
    <row r="693">
      <c r="H693" s="799"/>
      <c r="I693" s="799"/>
      <c r="J693" s="799"/>
      <c r="K693" s="799"/>
      <c r="L693" s="799"/>
      <c r="M693" s="799"/>
      <c r="N693" s="799"/>
      <c r="O693" s="799"/>
      <c r="P693" s="799"/>
      <c r="Q693" s="799"/>
      <c r="R693" s="799"/>
      <c r="S693" s="799"/>
      <c r="T693" s="799"/>
      <c r="U693" s="799"/>
      <c r="V693" s="799"/>
      <c r="W693" s="799"/>
      <c r="X693" s="799"/>
      <c r="Y693" s="799"/>
      <c r="Z693" s="799"/>
      <c r="AA693" s="799"/>
      <c r="AB693" s="799"/>
      <c r="AC693" s="799"/>
      <c r="AD693" s="799"/>
      <c r="AE693" s="799"/>
      <c r="AF693" s="799"/>
      <c r="AG693" s="799"/>
      <c r="AH693" s="799"/>
      <c r="AI693" s="799"/>
      <c r="AJ693" s="799"/>
      <c r="AK693" s="799"/>
      <c r="AL693" s="799"/>
      <c r="AM693" s="799"/>
      <c r="AN693" s="799"/>
      <c r="AO693" s="799"/>
      <c r="AP693" s="799"/>
      <c r="AQ693" s="799"/>
      <c r="AR693" s="799"/>
      <c r="AS693" s="799"/>
      <c r="AT693" s="799"/>
      <c r="AU693" s="799"/>
      <c r="AV693" s="799"/>
      <c r="AW693" s="799"/>
      <c r="AX693" s="799"/>
      <c r="AY693" s="799"/>
      <c r="AZ693" s="799"/>
      <c r="BA693" s="799"/>
      <c r="BB693" s="799"/>
      <c r="BC693" s="799"/>
      <c r="BD693" s="799"/>
      <c r="BE693" s="799"/>
      <c r="BF693" s="799"/>
      <c r="BG693" s="799"/>
    </row>
    <row r="694">
      <c r="H694" s="799"/>
      <c r="I694" s="799"/>
      <c r="J694" s="799"/>
      <c r="K694" s="799"/>
      <c r="L694" s="799"/>
      <c r="M694" s="799"/>
      <c r="N694" s="799"/>
      <c r="O694" s="799"/>
      <c r="P694" s="799"/>
      <c r="Q694" s="799"/>
      <c r="R694" s="799"/>
      <c r="S694" s="799"/>
      <c r="T694" s="799"/>
      <c r="U694" s="799"/>
      <c r="V694" s="799"/>
      <c r="W694" s="799"/>
      <c r="X694" s="799"/>
      <c r="Y694" s="799"/>
      <c r="Z694" s="799"/>
      <c r="AA694" s="799"/>
      <c r="AB694" s="799"/>
      <c r="AC694" s="799"/>
      <c r="AD694" s="799"/>
      <c r="AE694" s="799"/>
      <c r="AF694" s="799"/>
      <c r="AG694" s="799"/>
      <c r="AH694" s="799"/>
      <c r="AI694" s="799"/>
      <c r="AJ694" s="799"/>
      <c r="AK694" s="799"/>
      <c r="AL694" s="799"/>
      <c r="AM694" s="799"/>
      <c r="AN694" s="799"/>
      <c r="AO694" s="799"/>
      <c r="AP694" s="799"/>
      <c r="AQ694" s="799"/>
      <c r="AR694" s="799"/>
      <c r="AS694" s="799"/>
      <c r="AT694" s="799"/>
      <c r="AU694" s="799"/>
      <c r="AV694" s="799"/>
      <c r="AW694" s="799"/>
      <c r="AX694" s="799"/>
      <c r="AY694" s="799"/>
      <c r="AZ694" s="799"/>
      <c r="BA694" s="799"/>
      <c r="BB694" s="799"/>
      <c r="BC694" s="799"/>
      <c r="BD694" s="799"/>
      <c r="BE694" s="799"/>
      <c r="BF694" s="799"/>
      <c r="BG694" s="799"/>
    </row>
    <row r="695">
      <c r="H695" s="799"/>
      <c r="I695" s="799"/>
      <c r="J695" s="799"/>
      <c r="K695" s="799"/>
      <c r="L695" s="799"/>
      <c r="M695" s="799"/>
      <c r="N695" s="799"/>
      <c r="O695" s="799"/>
      <c r="P695" s="799"/>
      <c r="Q695" s="799"/>
      <c r="R695" s="799"/>
      <c r="S695" s="799"/>
      <c r="T695" s="799"/>
      <c r="U695" s="799"/>
      <c r="V695" s="799"/>
      <c r="W695" s="799"/>
      <c r="X695" s="799"/>
      <c r="Y695" s="799"/>
      <c r="Z695" s="799"/>
      <c r="AA695" s="799"/>
      <c r="AB695" s="799"/>
      <c r="AC695" s="799"/>
      <c r="AD695" s="799"/>
      <c r="AE695" s="799"/>
      <c r="AF695" s="799"/>
      <c r="AG695" s="799"/>
      <c r="AH695" s="799"/>
      <c r="AI695" s="799"/>
      <c r="AJ695" s="799"/>
      <c r="AK695" s="799"/>
      <c r="AL695" s="799"/>
      <c r="AM695" s="799"/>
      <c r="AN695" s="799"/>
      <c r="AO695" s="799"/>
      <c r="AP695" s="799"/>
      <c r="AQ695" s="799"/>
      <c r="AR695" s="799"/>
      <c r="AS695" s="799"/>
      <c r="AT695" s="799"/>
      <c r="AU695" s="799"/>
      <c r="AV695" s="799"/>
      <c r="AW695" s="799"/>
      <c r="AX695" s="799"/>
      <c r="AY695" s="799"/>
      <c r="AZ695" s="799"/>
      <c r="BA695" s="799"/>
      <c r="BB695" s="799"/>
      <c r="BC695" s="799"/>
      <c r="BD695" s="799"/>
      <c r="BE695" s="799"/>
      <c r="BF695" s="799"/>
      <c r="BG695" s="799"/>
    </row>
    <row r="696">
      <c r="H696" s="799"/>
      <c r="I696" s="799"/>
      <c r="J696" s="799"/>
      <c r="K696" s="799"/>
      <c r="L696" s="799"/>
      <c r="M696" s="799"/>
      <c r="N696" s="799"/>
      <c r="O696" s="799"/>
      <c r="P696" s="799"/>
      <c r="Q696" s="799"/>
      <c r="R696" s="799"/>
      <c r="S696" s="799"/>
      <c r="T696" s="799"/>
      <c r="U696" s="799"/>
      <c r="V696" s="799"/>
      <c r="W696" s="799"/>
      <c r="X696" s="799"/>
      <c r="Y696" s="799"/>
      <c r="Z696" s="799"/>
      <c r="AA696" s="799"/>
      <c r="AB696" s="799"/>
      <c r="AC696" s="799"/>
      <c r="AD696" s="799"/>
      <c r="AE696" s="799"/>
      <c r="AF696" s="799"/>
      <c r="AG696" s="799"/>
      <c r="AH696" s="799"/>
      <c r="AI696" s="799"/>
      <c r="AJ696" s="799"/>
      <c r="AK696" s="799"/>
      <c r="AL696" s="799"/>
      <c r="AM696" s="799"/>
      <c r="AN696" s="799"/>
      <c r="AO696" s="799"/>
      <c r="AP696" s="799"/>
      <c r="AQ696" s="799"/>
      <c r="AR696" s="799"/>
      <c r="AS696" s="799"/>
      <c r="AT696" s="799"/>
      <c r="AU696" s="799"/>
      <c r="AV696" s="799"/>
      <c r="AW696" s="799"/>
      <c r="AX696" s="799"/>
      <c r="AY696" s="799"/>
      <c r="AZ696" s="799"/>
      <c r="BA696" s="799"/>
      <c r="BB696" s="799"/>
      <c r="BC696" s="799"/>
      <c r="BD696" s="799"/>
      <c r="BE696" s="799"/>
      <c r="BF696" s="799"/>
      <c r="BG696" s="799"/>
    </row>
    <row r="697">
      <c r="H697" s="799"/>
      <c r="I697" s="799"/>
      <c r="J697" s="799"/>
      <c r="K697" s="799"/>
      <c r="L697" s="799"/>
      <c r="M697" s="799"/>
      <c r="N697" s="799"/>
      <c r="O697" s="799"/>
      <c r="P697" s="799"/>
      <c r="Q697" s="799"/>
      <c r="R697" s="799"/>
      <c r="S697" s="799"/>
      <c r="T697" s="799"/>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799"/>
      <c r="AX697" s="799"/>
      <c r="AY697" s="799"/>
      <c r="AZ697" s="799"/>
      <c r="BA697" s="799"/>
      <c r="BB697" s="799"/>
      <c r="BC697" s="799"/>
      <c r="BD697" s="799"/>
      <c r="BE697" s="799"/>
      <c r="BF697" s="799"/>
      <c r="BG697" s="799"/>
    </row>
    <row r="698">
      <c r="H698" s="799"/>
      <c r="I698" s="799"/>
      <c r="J698" s="799"/>
      <c r="K698" s="799"/>
      <c r="L698" s="799"/>
      <c r="M698" s="799"/>
      <c r="N698" s="799"/>
      <c r="O698" s="799"/>
      <c r="P698" s="799"/>
      <c r="Q698" s="799"/>
      <c r="R698" s="799"/>
      <c r="S698" s="799"/>
      <c r="T698" s="799"/>
      <c r="U698" s="799"/>
      <c r="V698" s="799"/>
      <c r="W698" s="799"/>
      <c r="X698" s="799"/>
      <c r="Y698" s="799"/>
      <c r="Z698" s="799"/>
      <c r="AA698" s="799"/>
      <c r="AB698" s="799"/>
      <c r="AC698" s="799"/>
      <c r="AD698" s="799"/>
      <c r="AE698" s="799"/>
      <c r="AF698" s="799"/>
      <c r="AG698" s="799"/>
      <c r="AH698" s="799"/>
      <c r="AI698" s="799"/>
      <c r="AJ698" s="799"/>
      <c r="AK698" s="799"/>
      <c r="AL698" s="799"/>
      <c r="AM698" s="799"/>
      <c r="AN698" s="799"/>
      <c r="AO698" s="799"/>
      <c r="AP698" s="799"/>
      <c r="AQ698" s="799"/>
      <c r="AR698" s="799"/>
      <c r="AS698" s="799"/>
      <c r="AT698" s="799"/>
      <c r="AU698" s="799"/>
      <c r="AV698" s="799"/>
      <c r="AW698" s="799"/>
      <c r="AX698" s="799"/>
      <c r="AY698" s="799"/>
      <c r="AZ698" s="799"/>
      <c r="BA698" s="799"/>
      <c r="BB698" s="799"/>
      <c r="BC698" s="799"/>
      <c r="BD698" s="799"/>
      <c r="BE698" s="799"/>
      <c r="BF698" s="799"/>
      <c r="BG698" s="799"/>
    </row>
    <row r="699">
      <c r="H699" s="799"/>
      <c r="I699" s="799"/>
      <c r="J699" s="799"/>
      <c r="K699" s="799"/>
      <c r="L699" s="799"/>
      <c r="M699" s="799"/>
      <c r="N699" s="799"/>
      <c r="O699" s="799"/>
      <c r="P699" s="799"/>
      <c r="Q699" s="799"/>
      <c r="R699" s="799"/>
      <c r="S699" s="799"/>
      <c r="T699" s="799"/>
      <c r="U699" s="799"/>
      <c r="V699" s="799"/>
      <c r="W699" s="799"/>
      <c r="X699" s="799"/>
      <c r="Y699" s="799"/>
      <c r="Z699" s="799"/>
      <c r="AA699" s="799"/>
      <c r="AB699" s="799"/>
      <c r="AC699" s="799"/>
      <c r="AD699" s="799"/>
      <c r="AE699" s="799"/>
      <c r="AF699" s="799"/>
      <c r="AG699" s="799"/>
      <c r="AH699" s="799"/>
      <c r="AI699" s="799"/>
      <c r="AJ699" s="799"/>
      <c r="AK699" s="799"/>
      <c r="AL699" s="799"/>
      <c r="AM699" s="799"/>
      <c r="AN699" s="799"/>
      <c r="AO699" s="799"/>
      <c r="AP699" s="799"/>
      <c r="AQ699" s="799"/>
      <c r="AR699" s="799"/>
      <c r="AS699" s="799"/>
      <c r="AT699" s="799"/>
      <c r="AU699" s="799"/>
      <c r="AV699" s="799"/>
      <c r="AW699" s="799"/>
      <c r="AX699" s="799"/>
      <c r="AY699" s="799"/>
      <c r="AZ699" s="799"/>
      <c r="BA699" s="799"/>
      <c r="BB699" s="799"/>
      <c r="BC699" s="799"/>
      <c r="BD699" s="799"/>
      <c r="BE699" s="799"/>
      <c r="BF699" s="799"/>
      <c r="BG699" s="799"/>
    </row>
    <row r="700">
      <c r="H700" s="799"/>
      <c r="I700" s="799"/>
      <c r="J700" s="799"/>
      <c r="K700" s="799"/>
      <c r="L700" s="799"/>
      <c r="M700" s="799"/>
      <c r="N700" s="799"/>
      <c r="O700" s="799"/>
      <c r="P700" s="799"/>
      <c r="Q700" s="799"/>
      <c r="R700" s="799"/>
      <c r="S700" s="799"/>
      <c r="T700" s="799"/>
      <c r="U700" s="799"/>
      <c r="V700" s="799"/>
      <c r="W700" s="799"/>
      <c r="X700" s="799"/>
      <c r="Y700" s="799"/>
      <c r="Z700" s="799"/>
      <c r="AA700" s="799"/>
      <c r="AB700" s="799"/>
      <c r="AC700" s="799"/>
      <c r="AD700" s="799"/>
      <c r="AE700" s="799"/>
      <c r="AF700" s="799"/>
      <c r="AG700" s="799"/>
      <c r="AH700" s="799"/>
      <c r="AI700" s="799"/>
      <c r="AJ700" s="799"/>
      <c r="AK700" s="799"/>
      <c r="AL700" s="799"/>
      <c r="AM700" s="799"/>
      <c r="AN700" s="799"/>
      <c r="AO700" s="799"/>
      <c r="AP700" s="799"/>
      <c r="AQ700" s="799"/>
      <c r="AR700" s="799"/>
      <c r="AS700" s="799"/>
      <c r="AT700" s="799"/>
      <c r="AU700" s="799"/>
      <c r="AV700" s="799"/>
      <c r="AW700" s="799"/>
      <c r="AX700" s="799"/>
      <c r="AY700" s="799"/>
      <c r="AZ700" s="799"/>
      <c r="BA700" s="799"/>
      <c r="BB700" s="799"/>
      <c r="BC700" s="799"/>
      <c r="BD700" s="799"/>
      <c r="BE700" s="799"/>
      <c r="BF700" s="799"/>
      <c r="BG700" s="799"/>
    </row>
    <row r="701">
      <c r="H701" s="799"/>
      <c r="I701" s="799"/>
      <c r="J701" s="799"/>
      <c r="K701" s="799"/>
      <c r="L701" s="799"/>
      <c r="M701" s="799"/>
      <c r="N701" s="799"/>
      <c r="O701" s="799"/>
      <c r="P701" s="799"/>
      <c r="Q701" s="799"/>
      <c r="R701" s="799"/>
      <c r="S701" s="799"/>
      <c r="T701" s="799"/>
      <c r="U701" s="799"/>
      <c r="V701" s="799"/>
      <c r="W701" s="799"/>
      <c r="X701" s="799"/>
      <c r="Y701" s="799"/>
      <c r="Z701" s="799"/>
      <c r="AA701" s="799"/>
      <c r="AB701" s="799"/>
      <c r="AC701" s="799"/>
      <c r="AD701" s="799"/>
      <c r="AE701" s="799"/>
      <c r="AF701" s="799"/>
      <c r="AG701" s="799"/>
      <c r="AH701" s="799"/>
      <c r="AI701" s="799"/>
      <c r="AJ701" s="799"/>
      <c r="AK701" s="799"/>
      <c r="AL701" s="799"/>
      <c r="AM701" s="799"/>
      <c r="AN701" s="799"/>
      <c r="AO701" s="799"/>
      <c r="AP701" s="799"/>
      <c r="AQ701" s="799"/>
      <c r="AR701" s="799"/>
      <c r="AS701" s="799"/>
      <c r="AT701" s="799"/>
      <c r="AU701" s="799"/>
      <c r="AV701" s="799"/>
      <c r="AW701" s="799"/>
      <c r="AX701" s="799"/>
      <c r="AY701" s="799"/>
      <c r="AZ701" s="799"/>
      <c r="BA701" s="799"/>
      <c r="BB701" s="799"/>
      <c r="BC701" s="799"/>
      <c r="BD701" s="799"/>
      <c r="BE701" s="799"/>
      <c r="BF701" s="799"/>
      <c r="BG701" s="799"/>
    </row>
    <row r="702">
      <c r="H702" s="799"/>
      <c r="I702" s="799"/>
      <c r="J702" s="799"/>
      <c r="K702" s="799"/>
      <c r="L702" s="799"/>
      <c r="M702" s="799"/>
      <c r="N702" s="799"/>
      <c r="O702" s="799"/>
      <c r="P702" s="799"/>
      <c r="Q702" s="799"/>
      <c r="R702" s="799"/>
      <c r="S702" s="799"/>
      <c r="T702" s="799"/>
      <c r="U702" s="799"/>
      <c r="V702" s="799"/>
      <c r="W702" s="799"/>
      <c r="X702" s="799"/>
      <c r="Y702" s="799"/>
      <c r="Z702" s="799"/>
      <c r="AA702" s="799"/>
      <c r="AB702" s="799"/>
      <c r="AC702" s="799"/>
      <c r="AD702" s="799"/>
      <c r="AE702" s="799"/>
      <c r="AF702" s="799"/>
      <c r="AG702" s="799"/>
      <c r="AH702" s="799"/>
      <c r="AI702" s="799"/>
      <c r="AJ702" s="799"/>
      <c r="AK702" s="799"/>
      <c r="AL702" s="799"/>
      <c r="AM702" s="799"/>
      <c r="AN702" s="799"/>
      <c r="AO702" s="799"/>
      <c r="AP702" s="799"/>
      <c r="AQ702" s="799"/>
      <c r="AR702" s="799"/>
      <c r="AS702" s="799"/>
      <c r="AT702" s="799"/>
      <c r="AU702" s="799"/>
      <c r="AV702" s="799"/>
      <c r="AW702" s="799"/>
      <c r="AX702" s="799"/>
      <c r="AY702" s="799"/>
      <c r="AZ702" s="799"/>
      <c r="BA702" s="799"/>
      <c r="BB702" s="799"/>
      <c r="BC702" s="799"/>
      <c r="BD702" s="799"/>
      <c r="BE702" s="799"/>
      <c r="BF702" s="799"/>
      <c r="BG702" s="799"/>
    </row>
    <row r="703">
      <c r="H703" s="799"/>
      <c r="I703" s="799"/>
      <c r="J703" s="799"/>
      <c r="K703" s="799"/>
      <c r="L703" s="799"/>
      <c r="M703" s="799"/>
      <c r="N703" s="799"/>
      <c r="O703" s="799"/>
      <c r="P703" s="799"/>
      <c r="Q703" s="799"/>
      <c r="R703" s="799"/>
      <c r="S703" s="799"/>
      <c r="T703" s="799"/>
      <c r="U703" s="799"/>
      <c r="V703" s="799"/>
      <c r="W703" s="799"/>
      <c r="X703" s="799"/>
      <c r="Y703" s="799"/>
      <c r="Z703" s="799"/>
      <c r="AA703" s="799"/>
      <c r="AB703" s="799"/>
      <c r="AC703" s="799"/>
      <c r="AD703" s="799"/>
      <c r="AE703" s="799"/>
      <c r="AF703" s="799"/>
      <c r="AG703" s="799"/>
      <c r="AH703" s="799"/>
      <c r="AI703" s="799"/>
      <c r="AJ703" s="799"/>
      <c r="AK703" s="799"/>
      <c r="AL703" s="799"/>
      <c r="AM703" s="799"/>
      <c r="AN703" s="799"/>
      <c r="AO703" s="799"/>
      <c r="AP703" s="799"/>
      <c r="AQ703" s="799"/>
      <c r="AR703" s="799"/>
      <c r="AS703" s="799"/>
      <c r="AT703" s="799"/>
      <c r="AU703" s="799"/>
      <c r="AV703" s="799"/>
      <c r="AW703" s="799"/>
      <c r="AX703" s="799"/>
      <c r="AY703" s="799"/>
      <c r="AZ703" s="799"/>
      <c r="BA703" s="799"/>
      <c r="BB703" s="799"/>
      <c r="BC703" s="799"/>
      <c r="BD703" s="799"/>
      <c r="BE703" s="799"/>
      <c r="BF703" s="799"/>
      <c r="BG703" s="799"/>
    </row>
    <row r="704">
      <c r="H704" s="799"/>
      <c r="I704" s="799"/>
      <c r="J704" s="799"/>
      <c r="K704" s="799"/>
      <c r="L704" s="799"/>
      <c r="M704" s="799"/>
      <c r="N704" s="799"/>
      <c r="O704" s="799"/>
      <c r="P704" s="799"/>
      <c r="Q704" s="799"/>
      <c r="R704" s="799"/>
      <c r="S704" s="799"/>
      <c r="T704" s="799"/>
      <c r="U704" s="799"/>
      <c r="V704" s="799"/>
      <c r="W704" s="799"/>
      <c r="X704" s="799"/>
      <c r="Y704" s="799"/>
      <c r="Z704" s="799"/>
      <c r="AA704" s="799"/>
      <c r="AB704" s="799"/>
      <c r="AC704" s="799"/>
      <c r="AD704" s="799"/>
      <c r="AE704" s="799"/>
      <c r="AF704" s="799"/>
      <c r="AG704" s="799"/>
      <c r="AH704" s="799"/>
      <c r="AI704" s="799"/>
      <c r="AJ704" s="799"/>
      <c r="AK704" s="799"/>
      <c r="AL704" s="799"/>
      <c r="AM704" s="799"/>
      <c r="AN704" s="799"/>
      <c r="AO704" s="799"/>
      <c r="AP704" s="799"/>
      <c r="AQ704" s="799"/>
      <c r="AR704" s="799"/>
      <c r="AS704" s="799"/>
      <c r="AT704" s="799"/>
      <c r="AU704" s="799"/>
      <c r="AV704" s="799"/>
      <c r="AW704" s="799"/>
      <c r="AX704" s="799"/>
      <c r="AY704" s="799"/>
      <c r="AZ704" s="799"/>
      <c r="BA704" s="799"/>
      <c r="BB704" s="799"/>
      <c r="BC704" s="799"/>
      <c r="BD704" s="799"/>
      <c r="BE704" s="799"/>
      <c r="BF704" s="799"/>
      <c r="BG704" s="799"/>
    </row>
    <row r="705">
      <c r="H705" s="799"/>
      <c r="I705" s="799"/>
      <c r="J705" s="799"/>
      <c r="K705" s="799"/>
      <c r="L705" s="799"/>
      <c r="M705" s="799"/>
      <c r="N705" s="799"/>
      <c r="O705" s="799"/>
      <c r="P705" s="799"/>
      <c r="Q705" s="799"/>
      <c r="R705" s="799"/>
      <c r="S705" s="799"/>
      <c r="T705" s="799"/>
      <c r="U705" s="799"/>
      <c r="V705" s="799"/>
      <c r="W705" s="799"/>
      <c r="X705" s="799"/>
      <c r="Y705" s="799"/>
      <c r="Z705" s="799"/>
      <c r="AA705" s="799"/>
      <c r="AB705" s="799"/>
      <c r="AC705" s="799"/>
      <c r="AD705" s="799"/>
      <c r="AE705" s="799"/>
      <c r="AF705" s="799"/>
      <c r="AG705" s="799"/>
      <c r="AH705" s="799"/>
      <c r="AI705" s="799"/>
      <c r="AJ705" s="799"/>
      <c r="AK705" s="799"/>
      <c r="AL705" s="799"/>
      <c r="AM705" s="799"/>
      <c r="AN705" s="799"/>
      <c r="AO705" s="799"/>
      <c r="AP705" s="799"/>
      <c r="AQ705" s="799"/>
      <c r="AR705" s="799"/>
      <c r="AS705" s="799"/>
      <c r="AT705" s="799"/>
      <c r="AU705" s="799"/>
      <c r="AV705" s="799"/>
      <c r="AW705" s="799"/>
      <c r="AX705" s="799"/>
      <c r="AY705" s="799"/>
      <c r="AZ705" s="799"/>
      <c r="BA705" s="799"/>
      <c r="BB705" s="799"/>
      <c r="BC705" s="799"/>
      <c r="BD705" s="799"/>
      <c r="BE705" s="799"/>
      <c r="BF705" s="799"/>
      <c r="BG705" s="799"/>
    </row>
    <row r="706">
      <c r="H706" s="799"/>
      <c r="I706" s="799"/>
      <c r="J706" s="799"/>
      <c r="K706" s="799"/>
      <c r="L706" s="799"/>
      <c r="M706" s="799"/>
      <c r="N706" s="799"/>
      <c r="O706" s="799"/>
      <c r="P706" s="799"/>
      <c r="Q706" s="799"/>
      <c r="R706" s="799"/>
      <c r="S706" s="799"/>
      <c r="T706" s="799"/>
      <c r="U706" s="799"/>
      <c r="V706" s="799"/>
      <c r="W706" s="799"/>
      <c r="X706" s="799"/>
      <c r="Y706" s="799"/>
      <c r="Z706" s="799"/>
      <c r="AA706" s="799"/>
      <c r="AB706" s="799"/>
      <c r="AC706" s="799"/>
      <c r="AD706" s="799"/>
      <c r="AE706" s="799"/>
      <c r="AF706" s="799"/>
      <c r="AG706" s="799"/>
      <c r="AH706" s="799"/>
      <c r="AI706" s="799"/>
      <c r="AJ706" s="799"/>
      <c r="AK706" s="799"/>
      <c r="AL706" s="799"/>
      <c r="AM706" s="799"/>
      <c r="AN706" s="799"/>
      <c r="AO706" s="799"/>
      <c r="AP706" s="799"/>
      <c r="AQ706" s="799"/>
      <c r="AR706" s="799"/>
      <c r="AS706" s="799"/>
      <c r="AT706" s="799"/>
      <c r="AU706" s="799"/>
      <c r="AV706" s="799"/>
      <c r="AW706" s="799"/>
      <c r="AX706" s="799"/>
      <c r="AY706" s="799"/>
      <c r="AZ706" s="799"/>
      <c r="BA706" s="799"/>
      <c r="BB706" s="799"/>
      <c r="BC706" s="799"/>
      <c r="BD706" s="799"/>
      <c r="BE706" s="799"/>
      <c r="BF706" s="799"/>
      <c r="BG706" s="799"/>
    </row>
    <row r="707">
      <c r="H707" s="799"/>
      <c r="I707" s="799"/>
      <c r="J707" s="799"/>
      <c r="K707" s="799"/>
      <c r="L707" s="799"/>
      <c r="M707" s="799"/>
      <c r="N707" s="799"/>
      <c r="O707" s="799"/>
      <c r="P707" s="799"/>
      <c r="Q707" s="799"/>
      <c r="R707" s="799"/>
      <c r="S707" s="799"/>
      <c r="T707" s="799"/>
      <c r="U707" s="799"/>
      <c r="V707" s="799"/>
      <c r="W707" s="799"/>
      <c r="X707" s="799"/>
      <c r="Y707" s="799"/>
      <c r="Z707" s="799"/>
      <c r="AA707" s="799"/>
      <c r="AB707" s="799"/>
      <c r="AC707" s="799"/>
      <c r="AD707" s="799"/>
      <c r="AE707" s="799"/>
      <c r="AF707" s="799"/>
      <c r="AG707" s="799"/>
      <c r="AH707" s="799"/>
      <c r="AI707" s="799"/>
      <c r="AJ707" s="799"/>
      <c r="AK707" s="799"/>
      <c r="AL707" s="799"/>
      <c r="AM707" s="799"/>
      <c r="AN707" s="799"/>
      <c r="AO707" s="799"/>
      <c r="AP707" s="799"/>
      <c r="AQ707" s="799"/>
      <c r="AR707" s="799"/>
      <c r="AS707" s="799"/>
      <c r="AT707" s="799"/>
      <c r="AU707" s="799"/>
      <c r="AV707" s="799"/>
      <c r="AW707" s="799"/>
      <c r="AX707" s="799"/>
      <c r="AY707" s="799"/>
      <c r="AZ707" s="799"/>
      <c r="BA707" s="799"/>
      <c r="BB707" s="799"/>
      <c r="BC707" s="799"/>
      <c r="BD707" s="799"/>
      <c r="BE707" s="799"/>
      <c r="BF707" s="799"/>
      <c r="BG707" s="799"/>
    </row>
    <row r="708">
      <c r="H708" s="799"/>
      <c r="I708" s="799"/>
      <c r="J708" s="799"/>
      <c r="K708" s="799"/>
      <c r="L708" s="799"/>
      <c r="M708" s="799"/>
      <c r="N708" s="799"/>
      <c r="O708" s="799"/>
      <c r="P708" s="799"/>
      <c r="Q708" s="799"/>
      <c r="R708" s="799"/>
      <c r="S708" s="799"/>
      <c r="T708" s="799"/>
      <c r="U708" s="799"/>
      <c r="V708" s="799"/>
      <c r="W708" s="799"/>
      <c r="X708" s="799"/>
      <c r="Y708" s="799"/>
      <c r="Z708" s="799"/>
      <c r="AA708" s="799"/>
      <c r="AB708" s="799"/>
      <c r="AC708" s="799"/>
      <c r="AD708" s="799"/>
      <c r="AE708" s="799"/>
      <c r="AF708" s="799"/>
      <c r="AG708" s="799"/>
      <c r="AH708" s="799"/>
      <c r="AI708" s="799"/>
      <c r="AJ708" s="799"/>
      <c r="AK708" s="799"/>
      <c r="AL708" s="799"/>
      <c r="AM708" s="799"/>
      <c r="AN708" s="799"/>
      <c r="AO708" s="799"/>
      <c r="AP708" s="799"/>
      <c r="AQ708" s="799"/>
      <c r="AR708" s="799"/>
      <c r="AS708" s="799"/>
      <c r="AT708" s="799"/>
      <c r="AU708" s="799"/>
      <c r="AV708" s="799"/>
      <c r="AW708" s="799"/>
      <c r="AX708" s="799"/>
      <c r="AY708" s="799"/>
      <c r="AZ708" s="799"/>
      <c r="BA708" s="799"/>
      <c r="BB708" s="799"/>
      <c r="BC708" s="799"/>
      <c r="BD708" s="799"/>
      <c r="BE708" s="799"/>
      <c r="BF708" s="799"/>
      <c r="BG708" s="799"/>
    </row>
    <row r="709">
      <c r="H709" s="799"/>
      <c r="I709" s="799"/>
      <c r="J709" s="799"/>
      <c r="K709" s="799"/>
      <c r="L709" s="799"/>
      <c r="M709" s="799"/>
      <c r="N709" s="799"/>
      <c r="O709" s="799"/>
      <c r="P709" s="799"/>
      <c r="Q709" s="799"/>
      <c r="R709" s="799"/>
      <c r="S709" s="799"/>
      <c r="T709" s="799"/>
      <c r="U709" s="799"/>
      <c r="V709" s="799"/>
      <c r="W709" s="799"/>
      <c r="X709" s="799"/>
      <c r="Y709" s="799"/>
      <c r="Z709" s="799"/>
      <c r="AA709" s="799"/>
      <c r="AB709" s="799"/>
      <c r="AC709" s="799"/>
      <c r="AD709" s="799"/>
      <c r="AE709" s="799"/>
      <c r="AF709" s="799"/>
      <c r="AG709" s="799"/>
      <c r="AH709" s="799"/>
      <c r="AI709" s="799"/>
      <c r="AJ709" s="799"/>
      <c r="AK709" s="799"/>
      <c r="AL709" s="799"/>
      <c r="AM709" s="799"/>
      <c r="AN709" s="799"/>
      <c r="AO709" s="799"/>
      <c r="AP709" s="799"/>
      <c r="AQ709" s="799"/>
      <c r="AR709" s="799"/>
      <c r="AS709" s="799"/>
      <c r="AT709" s="799"/>
      <c r="AU709" s="799"/>
      <c r="AV709" s="799"/>
      <c r="AW709" s="799"/>
      <c r="AX709" s="799"/>
      <c r="AY709" s="799"/>
      <c r="AZ709" s="799"/>
      <c r="BA709" s="799"/>
      <c r="BB709" s="799"/>
      <c r="BC709" s="799"/>
      <c r="BD709" s="799"/>
      <c r="BE709" s="799"/>
      <c r="BF709" s="799"/>
      <c r="BG709" s="799"/>
    </row>
    <row r="710">
      <c r="H710" s="799"/>
      <c r="I710" s="799"/>
      <c r="J710" s="799"/>
      <c r="K710" s="799"/>
      <c r="L710" s="799"/>
      <c r="M710" s="799"/>
      <c r="N710" s="799"/>
      <c r="O710" s="799"/>
      <c r="P710" s="799"/>
      <c r="Q710" s="799"/>
      <c r="R710" s="799"/>
      <c r="S710" s="799"/>
      <c r="T710" s="799"/>
      <c r="U710" s="799"/>
      <c r="V710" s="799"/>
      <c r="W710" s="799"/>
      <c r="X710" s="799"/>
      <c r="Y710" s="799"/>
      <c r="Z710" s="799"/>
      <c r="AA710" s="799"/>
      <c r="AB710" s="799"/>
      <c r="AC710" s="799"/>
      <c r="AD710" s="799"/>
      <c r="AE710" s="799"/>
      <c r="AF710" s="799"/>
      <c r="AG710" s="799"/>
      <c r="AH710" s="799"/>
      <c r="AI710" s="799"/>
      <c r="AJ710" s="799"/>
      <c r="AK710" s="799"/>
      <c r="AL710" s="799"/>
      <c r="AM710" s="799"/>
      <c r="AN710" s="799"/>
      <c r="AO710" s="799"/>
      <c r="AP710" s="799"/>
      <c r="AQ710" s="799"/>
      <c r="AR710" s="799"/>
      <c r="AS710" s="799"/>
      <c r="AT710" s="799"/>
      <c r="AU710" s="799"/>
      <c r="AV710" s="799"/>
      <c r="AW710" s="799"/>
      <c r="AX710" s="799"/>
      <c r="AY710" s="799"/>
      <c r="AZ710" s="799"/>
      <c r="BA710" s="799"/>
      <c r="BB710" s="799"/>
      <c r="BC710" s="799"/>
      <c r="BD710" s="799"/>
      <c r="BE710" s="799"/>
      <c r="BF710" s="799"/>
      <c r="BG710" s="799"/>
    </row>
    <row r="711">
      <c r="H711" s="799"/>
      <c r="I711" s="799"/>
      <c r="J711" s="799"/>
      <c r="K711" s="799"/>
      <c r="L711" s="799"/>
      <c r="M711" s="799"/>
      <c r="N711" s="799"/>
      <c r="O711" s="799"/>
      <c r="P711" s="799"/>
      <c r="Q711" s="799"/>
      <c r="R711" s="799"/>
      <c r="S711" s="799"/>
      <c r="T711" s="799"/>
      <c r="U711" s="799"/>
      <c r="V711" s="799"/>
      <c r="W711" s="799"/>
      <c r="X711" s="799"/>
      <c r="Y711" s="799"/>
      <c r="Z711" s="799"/>
      <c r="AA711" s="799"/>
      <c r="AB711" s="799"/>
      <c r="AC711" s="799"/>
      <c r="AD711" s="799"/>
      <c r="AE711" s="799"/>
      <c r="AF711" s="799"/>
      <c r="AG711" s="799"/>
      <c r="AH711" s="799"/>
      <c r="AI711" s="799"/>
      <c r="AJ711" s="799"/>
      <c r="AK711" s="799"/>
      <c r="AL711" s="799"/>
      <c r="AM711" s="799"/>
      <c r="AN711" s="799"/>
      <c r="AO711" s="799"/>
      <c r="AP711" s="799"/>
      <c r="AQ711" s="799"/>
      <c r="AR711" s="799"/>
      <c r="AS711" s="799"/>
      <c r="AT711" s="799"/>
      <c r="AU711" s="799"/>
      <c r="AV711" s="799"/>
      <c r="AW711" s="799"/>
      <c r="AX711" s="799"/>
      <c r="AY711" s="799"/>
      <c r="AZ711" s="799"/>
      <c r="BA711" s="799"/>
      <c r="BB711" s="799"/>
      <c r="BC711" s="799"/>
      <c r="BD711" s="799"/>
      <c r="BE711" s="799"/>
      <c r="BF711" s="799"/>
      <c r="BG711" s="799"/>
    </row>
    <row r="712">
      <c r="H712" s="799"/>
      <c r="I712" s="799"/>
      <c r="J712" s="799"/>
      <c r="K712" s="799"/>
      <c r="L712" s="799"/>
      <c r="M712" s="799"/>
      <c r="N712" s="799"/>
      <c r="O712" s="799"/>
      <c r="P712" s="799"/>
      <c r="Q712" s="799"/>
      <c r="R712" s="799"/>
      <c r="S712" s="799"/>
      <c r="T712" s="799"/>
      <c r="U712" s="799"/>
      <c r="V712" s="799"/>
      <c r="W712" s="799"/>
      <c r="X712" s="799"/>
      <c r="Y712" s="799"/>
      <c r="Z712" s="799"/>
      <c r="AA712" s="799"/>
      <c r="AB712" s="799"/>
      <c r="AC712" s="799"/>
      <c r="AD712" s="799"/>
      <c r="AE712" s="799"/>
      <c r="AF712" s="799"/>
      <c r="AG712" s="799"/>
      <c r="AH712" s="799"/>
      <c r="AI712" s="799"/>
      <c r="AJ712" s="799"/>
      <c r="AK712" s="799"/>
      <c r="AL712" s="799"/>
      <c r="AM712" s="799"/>
      <c r="AN712" s="799"/>
      <c r="AO712" s="799"/>
      <c r="AP712" s="799"/>
      <c r="AQ712" s="799"/>
      <c r="AR712" s="799"/>
      <c r="AS712" s="799"/>
      <c r="AT712" s="799"/>
      <c r="AU712" s="799"/>
      <c r="AV712" s="799"/>
      <c r="AW712" s="799"/>
      <c r="AX712" s="799"/>
      <c r="AY712" s="799"/>
      <c r="AZ712" s="799"/>
      <c r="BA712" s="799"/>
      <c r="BB712" s="799"/>
      <c r="BC712" s="799"/>
      <c r="BD712" s="799"/>
      <c r="BE712" s="799"/>
      <c r="BF712" s="799"/>
      <c r="BG712" s="799"/>
    </row>
    <row r="713">
      <c r="H713" s="799"/>
      <c r="I713" s="799"/>
      <c r="J713" s="799"/>
      <c r="K713" s="799"/>
      <c r="L713" s="799"/>
      <c r="M713" s="799"/>
      <c r="N713" s="799"/>
      <c r="O713" s="799"/>
      <c r="P713" s="799"/>
      <c r="Q713" s="799"/>
      <c r="R713" s="799"/>
      <c r="S713" s="799"/>
      <c r="T713" s="799"/>
      <c r="U713" s="799"/>
      <c r="V713" s="799"/>
      <c r="W713" s="799"/>
      <c r="X713" s="799"/>
      <c r="Y713" s="799"/>
      <c r="Z713" s="799"/>
      <c r="AA713" s="799"/>
      <c r="AB713" s="799"/>
      <c r="AC713" s="799"/>
      <c r="AD713" s="799"/>
      <c r="AE713" s="799"/>
      <c r="AF713" s="799"/>
      <c r="AG713" s="799"/>
      <c r="AH713" s="799"/>
      <c r="AI713" s="799"/>
      <c r="AJ713" s="799"/>
      <c r="AK713" s="799"/>
      <c r="AL713" s="799"/>
      <c r="AM713" s="799"/>
      <c r="AN713" s="799"/>
      <c r="AO713" s="799"/>
      <c r="AP713" s="799"/>
      <c r="AQ713" s="799"/>
      <c r="AR713" s="799"/>
      <c r="AS713" s="799"/>
      <c r="AT713" s="799"/>
      <c r="AU713" s="799"/>
      <c r="AV713" s="799"/>
      <c r="AW713" s="799"/>
      <c r="AX713" s="799"/>
      <c r="AY713" s="799"/>
      <c r="AZ713" s="799"/>
      <c r="BA713" s="799"/>
      <c r="BB713" s="799"/>
      <c r="BC713" s="799"/>
      <c r="BD713" s="799"/>
      <c r="BE713" s="799"/>
      <c r="BF713" s="799"/>
      <c r="BG713" s="799"/>
    </row>
    <row r="714">
      <c r="H714" s="799"/>
      <c r="I714" s="799"/>
      <c r="J714" s="799"/>
      <c r="K714" s="799"/>
      <c r="L714" s="799"/>
      <c r="M714" s="799"/>
      <c r="N714" s="799"/>
      <c r="O714" s="799"/>
      <c r="P714" s="799"/>
      <c r="Q714" s="799"/>
      <c r="R714" s="799"/>
      <c r="S714" s="799"/>
      <c r="T714" s="799"/>
      <c r="U714" s="799"/>
      <c r="V714" s="799"/>
      <c r="W714" s="799"/>
      <c r="X714" s="799"/>
      <c r="Y714" s="799"/>
      <c r="Z714" s="799"/>
      <c r="AA714" s="799"/>
      <c r="AB714" s="799"/>
      <c r="AC714" s="799"/>
      <c r="AD714" s="799"/>
      <c r="AE714" s="799"/>
      <c r="AF714" s="799"/>
      <c r="AG714" s="799"/>
      <c r="AH714" s="799"/>
      <c r="AI714" s="799"/>
      <c r="AJ714" s="799"/>
      <c r="AK714" s="799"/>
      <c r="AL714" s="799"/>
      <c r="AM714" s="799"/>
      <c r="AN714" s="799"/>
      <c r="AO714" s="799"/>
      <c r="AP714" s="799"/>
      <c r="AQ714" s="799"/>
      <c r="AR714" s="799"/>
      <c r="AS714" s="799"/>
      <c r="AT714" s="799"/>
      <c r="AU714" s="799"/>
      <c r="AV714" s="799"/>
      <c r="AW714" s="799"/>
      <c r="AX714" s="799"/>
      <c r="AY714" s="799"/>
      <c r="AZ714" s="799"/>
      <c r="BA714" s="799"/>
      <c r="BB714" s="799"/>
      <c r="BC714" s="799"/>
      <c r="BD714" s="799"/>
      <c r="BE714" s="799"/>
      <c r="BF714" s="799"/>
      <c r="BG714" s="799"/>
    </row>
    <row r="715">
      <c r="H715" s="799"/>
      <c r="I715" s="799"/>
      <c r="J715" s="799"/>
      <c r="K715" s="799"/>
      <c r="L715" s="799"/>
      <c r="M715" s="799"/>
      <c r="N715" s="799"/>
      <c r="O715" s="799"/>
      <c r="P715" s="799"/>
      <c r="Q715" s="799"/>
      <c r="R715" s="799"/>
      <c r="S715" s="799"/>
      <c r="T715" s="799"/>
      <c r="U715" s="799"/>
      <c r="V715" s="799"/>
      <c r="W715" s="799"/>
      <c r="X715" s="799"/>
      <c r="Y715" s="799"/>
      <c r="Z715" s="799"/>
      <c r="AA715" s="799"/>
      <c r="AB715" s="799"/>
      <c r="AC715" s="799"/>
      <c r="AD715" s="799"/>
      <c r="AE715" s="799"/>
      <c r="AF715" s="799"/>
      <c r="AG715" s="799"/>
      <c r="AH715" s="799"/>
      <c r="AI715" s="799"/>
      <c r="AJ715" s="799"/>
      <c r="AK715" s="799"/>
      <c r="AL715" s="799"/>
      <c r="AM715" s="799"/>
      <c r="AN715" s="799"/>
      <c r="AO715" s="799"/>
      <c r="AP715" s="799"/>
      <c r="AQ715" s="799"/>
      <c r="AR715" s="799"/>
      <c r="AS715" s="799"/>
      <c r="AT715" s="799"/>
      <c r="AU715" s="799"/>
      <c r="AV715" s="799"/>
      <c r="AW715" s="799"/>
      <c r="AX715" s="799"/>
      <c r="AY715" s="799"/>
      <c r="AZ715" s="799"/>
      <c r="BA715" s="799"/>
      <c r="BB715" s="799"/>
      <c r="BC715" s="799"/>
      <c r="BD715" s="799"/>
      <c r="BE715" s="799"/>
      <c r="BF715" s="799"/>
      <c r="BG715" s="799"/>
    </row>
    <row r="716">
      <c r="H716" s="799"/>
      <c r="I716" s="799"/>
      <c r="J716" s="799"/>
      <c r="K716" s="799"/>
      <c r="L716" s="799"/>
      <c r="M716" s="799"/>
      <c r="N716" s="799"/>
      <c r="O716" s="799"/>
      <c r="P716" s="799"/>
      <c r="Q716" s="799"/>
      <c r="R716" s="799"/>
      <c r="S716" s="799"/>
      <c r="T716" s="799"/>
      <c r="U716" s="799"/>
      <c r="V716" s="799"/>
      <c r="W716" s="799"/>
      <c r="X716" s="799"/>
      <c r="Y716" s="799"/>
      <c r="Z716" s="799"/>
      <c r="AA716" s="799"/>
      <c r="AB716" s="799"/>
      <c r="AC716" s="799"/>
      <c r="AD716" s="799"/>
      <c r="AE716" s="799"/>
      <c r="AF716" s="799"/>
      <c r="AG716" s="799"/>
      <c r="AH716" s="799"/>
      <c r="AI716" s="799"/>
      <c r="AJ716" s="799"/>
      <c r="AK716" s="799"/>
      <c r="AL716" s="799"/>
      <c r="AM716" s="799"/>
      <c r="AN716" s="799"/>
      <c r="AO716" s="799"/>
      <c r="AP716" s="799"/>
      <c r="AQ716" s="799"/>
      <c r="AR716" s="799"/>
      <c r="AS716" s="799"/>
      <c r="AT716" s="799"/>
      <c r="AU716" s="799"/>
      <c r="AV716" s="799"/>
      <c r="AW716" s="799"/>
      <c r="AX716" s="799"/>
      <c r="AY716" s="799"/>
      <c r="AZ716" s="799"/>
      <c r="BA716" s="799"/>
      <c r="BB716" s="799"/>
      <c r="BC716" s="799"/>
      <c r="BD716" s="799"/>
      <c r="BE716" s="799"/>
      <c r="BF716" s="799"/>
      <c r="BG716" s="799"/>
    </row>
    <row r="717">
      <c r="H717" s="799"/>
      <c r="I717" s="799"/>
      <c r="J717" s="799"/>
      <c r="K717" s="799"/>
      <c r="L717" s="799"/>
      <c r="M717" s="799"/>
      <c r="N717" s="799"/>
      <c r="O717" s="799"/>
      <c r="P717" s="799"/>
      <c r="Q717" s="799"/>
      <c r="R717" s="799"/>
      <c r="S717" s="799"/>
      <c r="T717" s="799"/>
      <c r="U717" s="799"/>
      <c r="V717" s="799"/>
      <c r="W717" s="799"/>
      <c r="X717" s="799"/>
      <c r="Y717" s="799"/>
      <c r="Z717" s="799"/>
      <c r="AA717" s="799"/>
      <c r="AB717" s="799"/>
      <c r="AC717" s="799"/>
      <c r="AD717" s="799"/>
      <c r="AE717" s="799"/>
      <c r="AF717" s="799"/>
      <c r="AG717" s="799"/>
      <c r="AH717" s="799"/>
      <c r="AI717" s="799"/>
      <c r="AJ717" s="799"/>
      <c r="AK717" s="799"/>
      <c r="AL717" s="799"/>
      <c r="AM717" s="799"/>
      <c r="AN717" s="799"/>
      <c r="AO717" s="799"/>
      <c r="AP717" s="799"/>
      <c r="AQ717" s="799"/>
      <c r="AR717" s="799"/>
      <c r="AS717" s="799"/>
      <c r="AT717" s="799"/>
      <c r="AU717" s="799"/>
      <c r="AV717" s="799"/>
      <c r="AW717" s="799"/>
      <c r="AX717" s="799"/>
      <c r="AY717" s="799"/>
      <c r="AZ717" s="799"/>
      <c r="BA717" s="799"/>
      <c r="BB717" s="799"/>
      <c r="BC717" s="799"/>
      <c r="BD717" s="799"/>
      <c r="BE717" s="799"/>
      <c r="BF717" s="799"/>
      <c r="BG717" s="799"/>
    </row>
    <row r="718">
      <c r="H718" s="799"/>
      <c r="I718" s="799"/>
      <c r="J718" s="799"/>
      <c r="K718" s="799"/>
      <c r="L718" s="799"/>
      <c r="M718" s="799"/>
      <c r="N718" s="799"/>
      <c r="O718" s="799"/>
      <c r="P718" s="799"/>
      <c r="Q718" s="799"/>
      <c r="R718" s="799"/>
      <c r="S718" s="799"/>
      <c r="T718" s="799"/>
      <c r="U718" s="799"/>
      <c r="V718" s="799"/>
      <c r="W718" s="799"/>
      <c r="X718" s="799"/>
      <c r="Y718" s="799"/>
      <c r="Z718" s="799"/>
      <c r="AA718" s="799"/>
      <c r="AB718" s="799"/>
      <c r="AC718" s="799"/>
      <c r="AD718" s="799"/>
      <c r="AE718" s="799"/>
      <c r="AF718" s="799"/>
      <c r="AG718" s="799"/>
      <c r="AH718" s="799"/>
      <c r="AI718" s="799"/>
      <c r="AJ718" s="799"/>
      <c r="AK718" s="799"/>
      <c r="AL718" s="799"/>
      <c r="AM718" s="799"/>
      <c r="AN718" s="799"/>
      <c r="AO718" s="799"/>
      <c r="AP718" s="799"/>
      <c r="AQ718" s="799"/>
      <c r="AR718" s="799"/>
      <c r="AS718" s="799"/>
      <c r="AT718" s="799"/>
      <c r="AU718" s="799"/>
      <c r="AV718" s="799"/>
      <c r="AW718" s="799"/>
      <c r="AX718" s="799"/>
      <c r="AY718" s="799"/>
      <c r="AZ718" s="799"/>
      <c r="BA718" s="799"/>
      <c r="BB718" s="799"/>
      <c r="BC718" s="799"/>
      <c r="BD718" s="799"/>
      <c r="BE718" s="799"/>
      <c r="BF718" s="799"/>
      <c r="BG718" s="799"/>
    </row>
    <row r="719">
      <c r="H719" s="799"/>
      <c r="I719" s="799"/>
      <c r="J719" s="799"/>
      <c r="K719" s="799"/>
      <c r="L719" s="799"/>
      <c r="M719" s="799"/>
      <c r="N719" s="799"/>
      <c r="O719" s="799"/>
      <c r="P719" s="799"/>
      <c r="Q719" s="799"/>
      <c r="R719" s="799"/>
      <c r="S719" s="799"/>
      <c r="T719" s="799"/>
      <c r="U719" s="799"/>
      <c r="V719" s="799"/>
      <c r="W719" s="799"/>
      <c r="X719" s="799"/>
      <c r="Y719" s="799"/>
      <c r="Z719" s="799"/>
      <c r="AA719" s="799"/>
      <c r="AB719" s="799"/>
      <c r="AC719" s="799"/>
      <c r="AD719" s="799"/>
      <c r="AE719" s="799"/>
      <c r="AF719" s="799"/>
      <c r="AG719" s="799"/>
      <c r="AH719" s="799"/>
      <c r="AI719" s="799"/>
      <c r="AJ719" s="799"/>
      <c r="AK719" s="799"/>
      <c r="AL719" s="799"/>
      <c r="AM719" s="799"/>
      <c r="AN719" s="799"/>
      <c r="AO719" s="799"/>
      <c r="AP719" s="799"/>
      <c r="AQ719" s="799"/>
      <c r="AR719" s="799"/>
      <c r="AS719" s="799"/>
      <c r="AT719" s="799"/>
      <c r="AU719" s="799"/>
      <c r="AV719" s="799"/>
      <c r="AW719" s="799"/>
      <c r="AX719" s="799"/>
      <c r="AY719" s="799"/>
      <c r="AZ719" s="799"/>
      <c r="BA719" s="799"/>
      <c r="BB719" s="799"/>
      <c r="BC719" s="799"/>
      <c r="BD719" s="799"/>
      <c r="BE719" s="799"/>
      <c r="BF719" s="799"/>
      <c r="BG719" s="799"/>
    </row>
    <row r="720">
      <c r="H720" s="799"/>
      <c r="I720" s="799"/>
      <c r="J720" s="799"/>
      <c r="K720" s="799"/>
      <c r="L720" s="799"/>
      <c r="M720" s="799"/>
      <c r="N720" s="799"/>
      <c r="O720" s="799"/>
      <c r="P720" s="799"/>
      <c r="Q720" s="799"/>
      <c r="R720" s="799"/>
      <c r="S720" s="799"/>
      <c r="T720" s="799"/>
      <c r="U720" s="799"/>
      <c r="V720" s="799"/>
      <c r="W720" s="799"/>
      <c r="X720" s="799"/>
      <c r="Y720" s="799"/>
      <c r="Z720" s="799"/>
      <c r="AA720" s="799"/>
      <c r="AB720" s="799"/>
      <c r="AC720" s="799"/>
      <c r="AD720" s="799"/>
      <c r="AE720" s="799"/>
      <c r="AF720" s="799"/>
      <c r="AG720" s="799"/>
      <c r="AH720" s="799"/>
      <c r="AI720" s="799"/>
      <c r="AJ720" s="799"/>
      <c r="AK720" s="799"/>
      <c r="AL720" s="799"/>
      <c r="AM720" s="799"/>
      <c r="AN720" s="799"/>
      <c r="AO720" s="799"/>
      <c r="AP720" s="799"/>
      <c r="AQ720" s="799"/>
      <c r="AR720" s="799"/>
      <c r="AS720" s="799"/>
      <c r="AT720" s="799"/>
      <c r="AU720" s="799"/>
      <c r="AV720" s="799"/>
      <c r="AW720" s="799"/>
      <c r="AX720" s="799"/>
      <c r="AY720" s="799"/>
      <c r="AZ720" s="799"/>
      <c r="BA720" s="799"/>
      <c r="BB720" s="799"/>
      <c r="BC720" s="799"/>
      <c r="BD720" s="799"/>
      <c r="BE720" s="799"/>
      <c r="BF720" s="799"/>
      <c r="BG720" s="799"/>
    </row>
    <row r="721">
      <c r="H721" s="799"/>
      <c r="I721" s="799"/>
      <c r="J721" s="799"/>
      <c r="K721" s="799"/>
      <c r="L721" s="799"/>
      <c r="M721" s="799"/>
      <c r="N721" s="799"/>
      <c r="O721" s="799"/>
      <c r="P721" s="799"/>
      <c r="Q721" s="799"/>
      <c r="R721" s="799"/>
      <c r="S721" s="799"/>
      <c r="T721" s="799"/>
      <c r="U721" s="799"/>
      <c r="V721" s="799"/>
      <c r="W721" s="799"/>
      <c r="X721" s="799"/>
      <c r="Y721" s="799"/>
      <c r="Z721" s="799"/>
      <c r="AA721" s="799"/>
      <c r="AB721" s="799"/>
      <c r="AC721" s="799"/>
      <c r="AD721" s="799"/>
      <c r="AE721" s="799"/>
      <c r="AF721" s="799"/>
      <c r="AG721" s="799"/>
      <c r="AH721" s="799"/>
      <c r="AI721" s="799"/>
      <c r="AJ721" s="799"/>
      <c r="AK721" s="799"/>
      <c r="AL721" s="799"/>
      <c r="AM721" s="799"/>
      <c r="AN721" s="799"/>
      <c r="AO721" s="799"/>
      <c r="AP721" s="799"/>
      <c r="AQ721" s="799"/>
      <c r="AR721" s="799"/>
      <c r="AS721" s="799"/>
      <c r="AT721" s="799"/>
      <c r="AU721" s="799"/>
      <c r="AV721" s="799"/>
      <c r="AW721" s="799"/>
      <c r="AX721" s="799"/>
      <c r="AY721" s="799"/>
      <c r="AZ721" s="799"/>
      <c r="BA721" s="799"/>
      <c r="BB721" s="799"/>
      <c r="BC721" s="799"/>
      <c r="BD721" s="799"/>
      <c r="BE721" s="799"/>
      <c r="BF721" s="799"/>
      <c r="BG721" s="799"/>
    </row>
    <row r="722">
      <c r="H722" s="799"/>
      <c r="I722" s="799"/>
      <c r="J722" s="799"/>
      <c r="K722" s="799"/>
      <c r="L722" s="799"/>
      <c r="M722" s="799"/>
      <c r="N722" s="799"/>
      <c r="O722" s="799"/>
      <c r="P722" s="799"/>
      <c r="Q722" s="799"/>
      <c r="R722" s="799"/>
      <c r="S722" s="799"/>
      <c r="T722" s="799"/>
      <c r="U722" s="799"/>
      <c r="V722" s="799"/>
      <c r="W722" s="799"/>
      <c r="X722" s="799"/>
      <c r="Y722" s="799"/>
      <c r="Z722" s="799"/>
      <c r="AA722" s="799"/>
      <c r="AB722" s="799"/>
      <c r="AC722" s="799"/>
      <c r="AD722" s="799"/>
      <c r="AE722" s="799"/>
      <c r="AF722" s="799"/>
      <c r="AG722" s="799"/>
      <c r="AH722" s="799"/>
      <c r="AI722" s="799"/>
      <c r="AJ722" s="799"/>
      <c r="AK722" s="799"/>
      <c r="AL722" s="799"/>
      <c r="AM722" s="799"/>
      <c r="AN722" s="799"/>
      <c r="AO722" s="799"/>
      <c r="AP722" s="799"/>
      <c r="AQ722" s="799"/>
      <c r="AR722" s="799"/>
      <c r="AS722" s="799"/>
      <c r="AT722" s="799"/>
      <c r="AU722" s="799"/>
      <c r="AV722" s="799"/>
      <c r="AW722" s="799"/>
      <c r="AX722" s="799"/>
      <c r="AY722" s="799"/>
      <c r="AZ722" s="799"/>
      <c r="BA722" s="799"/>
      <c r="BB722" s="799"/>
      <c r="BC722" s="799"/>
      <c r="BD722" s="799"/>
      <c r="BE722" s="799"/>
      <c r="BF722" s="799"/>
      <c r="BG722" s="799"/>
    </row>
    <row r="723">
      <c r="H723" s="799"/>
      <c r="I723" s="799"/>
      <c r="J723" s="799"/>
      <c r="K723" s="799"/>
      <c r="L723" s="799"/>
      <c r="M723" s="799"/>
      <c r="N723" s="799"/>
      <c r="O723" s="799"/>
      <c r="P723" s="799"/>
      <c r="Q723" s="799"/>
      <c r="R723" s="799"/>
      <c r="S723" s="799"/>
      <c r="T723" s="799"/>
      <c r="U723" s="799"/>
      <c r="V723" s="799"/>
      <c r="W723" s="799"/>
      <c r="X723" s="799"/>
      <c r="Y723" s="799"/>
      <c r="Z723" s="799"/>
      <c r="AA723" s="799"/>
      <c r="AB723" s="799"/>
      <c r="AC723" s="799"/>
      <c r="AD723" s="799"/>
      <c r="AE723" s="799"/>
      <c r="AF723" s="799"/>
      <c r="AG723" s="799"/>
      <c r="AH723" s="799"/>
      <c r="AI723" s="799"/>
      <c r="AJ723" s="799"/>
      <c r="AK723" s="799"/>
      <c r="AL723" s="799"/>
      <c r="AM723" s="799"/>
      <c r="AN723" s="799"/>
      <c r="AO723" s="799"/>
      <c r="AP723" s="799"/>
      <c r="AQ723" s="799"/>
      <c r="AR723" s="799"/>
      <c r="AS723" s="799"/>
      <c r="AT723" s="799"/>
      <c r="AU723" s="799"/>
      <c r="AV723" s="799"/>
      <c r="AW723" s="799"/>
      <c r="AX723" s="799"/>
      <c r="AY723" s="799"/>
      <c r="AZ723" s="799"/>
      <c r="BA723" s="799"/>
      <c r="BB723" s="799"/>
      <c r="BC723" s="799"/>
      <c r="BD723" s="799"/>
      <c r="BE723" s="799"/>
      <c r="BF723" s="799"/>
      <c r="BG723" s="799"/>
    </row>
    <row r="724">
      <c r="H724" s="799"/>
      <c r="I724" s="799"/>
      <c r="J724" s="799"/>
      <c r="K724" s="799"/>
      <c r="L724" s="799"/>
      <c r="M724" s="799"/>
      <c r="N724" s="799"/>
      <c r="O724" s="799"/>
      <c r="P724" s="799"/>
      <c r="Q724" s="799"/>
      <c r="R724" s="799"/>
      <c r="S724" s="799"/>
      <c r="T724" s="799"/>
      <c r="U724" s="799"/>
      <c r="V724" s="799"/>
      <c r="W724" s="799"/>
      <c r="X724" s="799"/>
      <c r="Y724" s="799"/>
      <c r="Z724" s="799"/>
      <c r="AA724" s="799"/>
      <c r="AB724" s="799"/>
      <c r="AC724" s="799"/>
      <c r="AD724" s="799"/>
      <c r="AE724" s="799"/>
      <c r="AF724" s="799"/>
      <c r="AG724" s="799"/>
      <c r="AH724" s="799"/>
      <c r="AI724" s="799"/>
      <c r="AJ724" s="799"/>
      <c r="AK724" s="799"/>
      <c r="AL724" s="799"/>
      <c r="AM724" s="799"/>
      <c r="AN724" s="799"/>
      <c r="AO724" s="799"/>
      <c r="AP724" s="799"/>
      <c r="AQ724" s="799"/>
      <c r="AR724" s="799"/>
      <c r="AS724" s="799"/>
      <c r="AT724" s="799"/>
      <c r="AU724" s="799"/>
      <c r="AV724" s="799"/>
      <c r="AW724" s="799"/>
      <c r="AX724" s="799"/>
      <c r="AY724" s="799"/>
      <c r="AZ724" s="799"/>
      <c r="BA724" s="799"/>
      <c r="BB724" s="799"/>
      <c r="BC724" s="799"/>
      <c r="BD724" s="799"/>
      <c r="BE724" s="799"/>
      <c r="BF724" s="799"/>
      <c r="BG724" s="799"/>
    </row>
    <row r="725">
      <c r="H725" s="799"/>
      <c r="I725" s="799"/>
      <c r="J725" s="799"/>
      <c r="K725" s="799"/>
      <c r="L725" s="799"/>
      <c r="M725" s="799"/>
      <c r="N725" s="799"/>
      <c r="O725" s="799"/>
      <c r="P725" s="799"/>
      <c r="Q725" s="799"/>
      <c r="R725" s="799"/>
      <c r="S725" s="799"/>
      <c r="T725" s="799"/>
      <c r="U725" s="799"/>
      <c r="V725" s="799"/>
      <c r="W725" s="799"/>
      <c r="X725" s="799"/>
      <c r="Y725" s="799"/>
      <c r="Z725" s="799"/>
      <c r="AA725" s="799"/>
      <c r="AB725" s="799"/>
      <c r="AC725" s="799"/>
      <c r="AD725" s="799"/>
      <c r="AE725" s="799"/>
      <c r="AF725" s="799"/>
      <c r="AG725" s="799"/>
      <c r="AH725" s="799"/>
      <c r="AI725" s="799"/>
      <c r="AJ725" s="799"/>
      <c r="AK725" s="799"/>
      <c r="AL725" s="799"/>
      <c r="AM725" s="799"/>
      <c r="AN725" s="799"/>
      <c r="AO725" s="799"/>
      <c r="AP725" s="799"/>
      <c r="AQ725" s="799"/>
      <c r="AR725" s="799"/>
      <c r="AS725" s="799"/>
      <c r="AT725" s="799"/>
      <c r="AU725" s="799"/>
      <c r="AV725" s="799"/>
      <c r="AW725" s="799"/>
      <c r="AX725" s="799"/>
      <c r="AY725" s="799"/>
      <c r="AZ725" s="799"/>
      <c r="BA725" s="799"/>
      <c r="BB725" s="799"/>
      <c r="BC725" s="799"/>
      <c r="BD725" s="799"/>
      <c r="BE725" s="799"/>
      <c r="BF725" s="799"/>
      <c r="BG725" s="799"/>
    </row>
    <row r="726">
      <c r="H726" s="799"/>
      <c r="I726" s="799"/>
      <c r="J726" s="799"/>
      <c r="K726" s="799"/>
      <c r="L726" s="799"/>
      <c r="M726" s="799"/>
      <c r="N726" s="799"/>
      <c r="O726" s="799"/>
      <c r="P726" s="799"/>
      <c r="Q726" s="799"/>
      <c r="R726" s="799"/>
      <c r="S726" s="799"/>
      <c r="T726" s="799"/>
      <c r="U726" s="799"/>
      <c r="V726" s="799"/>
      <c r="W726" s="799"/>
      <c r="X726" s="799"/>
      <c r="Y726" s="799"/>
      <c r="Z726" s="799"/>
      <c r="AA726" s="799"/>
      <c r="AB726" s="799"/>
      <c r="AC726" s="799"/>
      <c r="AD726" s="799"/>
      <c r="AE726" s="799"/>
      <c r="AF726" s="799"/>
      <c r="AG726" s="799"/>
      <c r="AH726" s="799"/>
      <c r="AI726" s="799"/>
      <c r="AJ726" s="799"/>
      <c r="AK726" s="799"/>
      <c r="AL726" s="799"/>
      <c r="AM726" s="799"/>
      <c r="AN726" s="799"/>
      <c r="AO726" s="799"/>
      <c r="AP726" s="799"/>
      <c r="AQ726" s="799"/>
      <c r="AR726" s="799"/>
      <c r="AS726" s="799"/>
      <c r="AT726" s="799"/>
      <c r="AU726" s="799"/>
      <c r="AV726" s="799"/>
      <c r="AW726" s="799"/>
      <c r="AX726" s="799"/>
      <c r="AY726" s="799"/>
      <c r="AZ726" s="799"/>
      <c r="BA726" s="799"/>
      <c r="BB726" s="799"/>
      <c r="BC726" s="799"/>
      <c r="BD726" s="799"/>
      <c r="BE726" s="799"/>
      <c r="BF726" s="799"/>
      <c r="BG726" s="799"/>
    </row>
    <row r="727">
      <c r="H727" s="799"/>
      <c r="I727" s="799"/>
      <c r="J727" s="799"/>
      <c r="K727" s="799"/>
      <c r="L727" s="799"/>
      <c r="M727" s="799"/>
      <c r="N727" s="799"/>
      <c r="O727" s="799"/>
      <c r="P727" s="799"/>
      <c r="Q727" s="799"/>
      <c r="R727" s="799"/>
      <c r="S727" s="799"/>
      <c r="T727" s="799"/>
      <c r="U727" s="799"/>
      <c r="V727" s="799"/>
      <c r="W727" s="799"/>
      <c r="X727" s="799"/>
      <c r="Y727" s="799"/>
      <c r="Z727" s="799"/>
      <c r="AA727" s="799"/>
      <c r="AB727" s="799"/>
      <c r="AC727" s="799"/>
      <c r="AD727" s="799"/>
      <c r="AE727" s="799"/>
      <c r="AF727" s="799"/>
      <c r="AG727" s="799"/>
      <c r="AH727" s="799"/>
      <c r="AI727" s="799"/>
      <c r="AJ727" s="799"/>
      <c r="AK727" s="799"/>
      <c r="AL727" s="799"/>
      <c r="AM727" s="799"/>
      <c r="AN727" s="799"/>
      <c r="AO727" s="799"/>
      <c r="AP727" s="799"/>
      <c r="AQ727" s="799"/>
      <c r="AR727" s="799"/>
      <c r="AS727" s="799"/>
      <c r="AT727" s="799"/>
      <c r="AU727" s="799"/>
      <c r="AV727" s="799"/>
      <c r="AW727" s="799"/>
      <c r="AX727" s="799"/>
      <c r="AY727" s="799"/>
      <c r="AZ727" s="799"/>
      <c r="BA727" s="799"/>
      <c r="BB727" s="799"/>
      <c r="BC727" s="799"/>
      <c r="BD727" s="799"/>
      <c r="BE727" s="799"/>
      <c r="BF727" s="799"/>
      <c r="BG727" s="799"/>
    </row>
    <row r="728">
      <c r="H728" s="799"/>
      <c r="I728" s="799"/>
      <c r="J728" s="799"/>
      <c r="K728" s="799"/>
      <c r="L728" s="799"/>
      <c r="M728" s="799"/>
      <c r="N728" s="799"/>
      <c r="O728" s="799"/>
      <c r="P728" s="799"/>
      <c r="Q728" s="799"/>
      <c r="R728" s="799"/>
      <c r="S728" s="799"/>
      <c r="T728" s="799"/>
      <c r="U728" s="799"/>
      <c r="V728" s="799"/>
      <c r="W728" s="799"/>
      <c r="X728" s="799"/>
      <c r="Y728" s="799"/>
      <c r="Z728" s="799"/>
      <c r="AA728" s="799"/>
      <c r="AB728" s="799"/>
      <c r="AC728" s="799"/>
      <c r="AD728" s="799"/>
      <c r="AE728" s="799"/>
      <c r="AF728" s="799"/>
      <c r="AG728" s="799"/>
      <c r="AH728" s="799"/>
      <c r="AI728" s="799"/>
      <c r="AJ728" s="799"/>
      <c r="AK728" s="799"/>
      <c r="AL728" s="799"/>
      <c r="AM728" s="799"/>
      <c r="AN728" s="799"/>
      <c r="AO728" s="799"/>
      <c r="AP728" s="799"/>
      <c r="AQ728" s="799"/>
      <c r="AR728" s="799"/>
      <c r="AS728" s="799"/>
      <c r="AT728" s="799"/>
      <c r="AU728" s="799"/>
      <c r="AV728" s="799"/>
      <c r="AW728" s="799"/>
      <c r="AX728" s="799"/>
      <c r="AY728" s="799"/>
      <c r="AZ728" s="799"/>
      <c r="BA728" s="799"/>
      <c r="BB728" s="799"/>
      <c r="BC728" s="799"/>
      <c r="BD728" s="799"/>
      <c r="BE728" s="799"/>
      <c r="BF728" s="799"/>
      <c r="BG728" s="799"/>
    </row>
    <row r="729">
      <c r="H729" s="799"/>
      <c r="I729" s="799"/>
      <c r="J729" s="799"/>
      <c r="K729" s="799"/>
      <c r="L729" s="799"/>
      <c r="M729" s="799"/>
      <c r="N729" s="799"/>
      <c r="O729" s="799"/>
      <c r="P729" s="799"/>
      <c r="Q729" s="799"/>
      <c r="R729" s="799"/>
      <c r="S729" s="799"/>
      <c r="T729" s="799"/>
      <c r="U729" s="799"/>
      <c r="V729" s="799"/>
      <c r="W729" s="799"/>
      <c r="X729" s="799"/>
      <c r="Y729" s="799"/>
      <c r="Z729" s="799"/>
      <c r="AA729" s="799"/>
      <c r="AB729" s="799"/>
      <c r="AC729" s="799"/>
      <c r="AD729" s="799"/>
      <c r="AE729" s="799"/>
      <c r="AF729" s="799"/>
      <c r="AG729" s="799"/>
      <c r="AH729" s="799"/>
      <c r="AI729" s="799"/>
      <c r="AJ729" s="799"/>
      <c r="AK729" s="799"/>
      <c r="AL729" s="799"/>
      <c r="AM729" s="799"/>
      <c r="AN729" s="799"/>
      <c r="AO729" s="799"/>
      <c r="AP729" s="799"/>
      <c r="AQ729" s="799"/>
      <c r="AR729" s="799"/>
      <c r="AS729" s="799"/>
      <c r="AT729" s="799"/>
      <c r="AU729" s="799"/>
      <c r="AV729" s="799"/>
      <c r="AW729" s="799"/>
      <c r="AX729" s="799"/>
      <c r="AY729" s="799"/>
      <c r="AZ729" s="799"/>
      <c r="BA729" s="799"/>
      <c r="BB729" s="799"/>
      <c r="BC729" s="799"/>
      <c r="BD729" s="799"/>
      <c r="BE729" s="799"/>
      <c r="BF729" s="799"/>
      <c r="BG729" s="799"/>
    </row>
    <row r="730">
      <c r="H730" s="799"/>
      <c r="I730" s="799"/>
      <c r="J730" s="799"/>
      <c r="K730" s="799"/>
      <c r="L730" s="799"/>
      <c r="M730" s="799"/>
      <c r="N730" s="799"/>
      <c r="O730" s="799"/>
      <c r="P730" s="799"/>
      <c r="Q730" s="799"/>
      <c r="R730" s="799"/>
      <c r="S730" s="799"/>
      <c r="T730" s="799"/>
      <c r="U730" s="799"/>
      <c r="V730" s="799"/>
      <c r="W730" s="799"/>
      <c r="X730" s="799"/>
      <c r="Y730" s="799"/>
      <c r="Z730" s="799"/>
      <c r="AA730" s="799"/>
      <c r="AB730" s="799"/>
      <c r="AC730" s="799"/>
      <c r="AD730" s="799"/>
      <c r="AE730" s="799"/>
      <c r="AF730" s="799"/>
      <c r="AG730" s="799"/>
      <c r="AH730" s="799"/>
      <c r="AI730" s="799"/>
      <c r="AJ730" s="799"/>
      <c r="AK730" s="799"/>
      <c r="AL730" s="799"/>
      <c r="AM730" s="799"/>
      <c r="AN730" s="799"/>
      <c r="AO730" s="799"/>
      <c r="AP730" s="799"/>
      <c r="AQ730" s="799"/>
      <c r="AR730" s="799"/>
      <c r="AS730" s="799"/>
      <c r="AT730" s="799"/>
      <c r="AU730" s="799"/>
      <c r="AV730" s="799"/>
      <c r="AW730" s="799"/>
      <c r="AX730" s="799"/>
      <c r="AY730" s="799"/>
      <c r="AZ730" s="799"/>
      <c r="BA730" s="799"/>
      <c r="BB730" s="799"/>
      <c r="BC730" s="799"/>
      <c r="BD730" s="799"/>
      <c r="BE730" s="799"/>
      <c r="BF730" s="799"/>
      <c r="BG730" s="799"/>
    </row>
    <row r="731">
      <c r="H731" s="799"/>
      <c r="I731" s="799"/>
      <c r="J731" s="799"/>
      <c r="K731" s="799"/>
      <c r="L731" s="799"/>
      <c r="M731" s="799"/>
      <c r="N731" s="799"/>
      <c r="O731" s="799"/>
      <c r="P731" s="799"/>
      <c r="Q731" s="799"/>
      <c r="R731" s="799"/>
      <c r="S731" s="799"/>
      <c r="T731" s="799"/>
      <c r="U731" s="799"/>
      <c r="V731" s="799"/>
      <c r="W731" s="799"/>
      <c r="X731" s="799"/>
      <c r="Y731" s="799"/>
      <c r="Z731" s="799"/>
      <c r="AA731" s="799"/>
      <c r="AB731" s="799"/>
      <c r="AC731" s="799"/>
      <c r="AD731" s="799"/>
      <c r="AE731" s="799"/>
      <c r="AF731" s="799"/>
      <c r="AG731" s="799"/>
      <c r="AH731" s="799"/>
      <c r="AI731" s="799"/>
      <c r="AJ731" s="799"/>
      <c r="AK731" s="799"/>
      <c r="AL731" s="799"/>
      <c r="AM731" s="799"/>
      <c r="AN731" s="799"/>
      <c r="AO731" s="799"/>
      <c r="AP731" s="799"/>
      <c r="AQ731" s="799"/>
      <c r="AR731" s="799"/>
      <c r="AS731" s="799"/>
      <c r="AT731" s="799"/>
      <c r="AU731" s="799"/>
      <c r="AV731" s="799"/>
      <c r="AW731" s="799"/>
      <c r="AX731" s="799"/>
      <c r="AY731" s="799"/>
      <c r="AZ731" s="799"/>
      <c r="BA731" s="799"/>
      <c r="BB731" s="799"/>
      <c r="BC731" s="799"/>
      <c r="BD731" s="799"/>
      <c r="BE731" s="799"/>
      <c r="BF731" s="799"/>
      <c r="BG731" s="799"/>
    </row>
    <row r="732">
      <c r="H732" s="799"/>
      <c r="I732" s="799"/>
      <c r="J732" s="799"/>
      <c r="K732" s="799"/>
      <c r="L732" s="799"/>
      <c r="M732" s="799"/>
      <c r="N732" s="799"/>
      <c r="O732" s="799"/>
      <c r="P732" s="799"/>
      <c r="Q732" s="799"/>
      <c r="R732" s="799"/>
      <c r="S732" s="799"/>
      <c r="T732" s="799"/>
      <c r="U732" s="799"/>
      <c r="V732" s="799"/>
      <c r="W732" s="799"/>
      <c r="X732" s="799"/>
      <c r="Y732" s="799"/>
      <c r="Z732" s="799"/>
      <c r="AA732" s="799"/>
      <c r="AB732" s="799"/>
      <c r="AC732" s="799"/>
      <c r="AD732" s="799"/>
      <c r="AE732" s="799"/>
      <c r="AF732" s="799"/>
      <c r="AG732" s="799"/>
      <c r="AH732" s="799"/>
      <c r="AI732" s="799"/>
      <c r="AJ732" s="799"/>
      <c r="AK732" s="799"/>
      <c r="AL732" s="799"/>
      <c r="AM732" s="799"/>
      <c r="AN732" s="799"/>
      <c r="AO732" s="799"/>
      <c r="AP732" s="799"/>
      <c r="AQ732" s="799"/>
      <c r="AR732" s="799"/>
      <c r="AS732" s="799"/>
      <c r="AT732" s="799"/>
      <c r="AU732" s="799"/>
      <c r="AV732" s="799"/>
      <c r="AW732" s="799"/>
      <c r="AX732" s="799"/>
      <c r="AY732" s="799"/>
      <c r="AZ732" s="799"/>
      <c r="BA732" s="799"/>
      <c r="BB732" s="799"/>
      <c r="BC732" s="799"/>
      <c r="BD732" s="799"/>
      <c r="BE732" s="799"/>
      <c r="BF732" s="799"/>
      <c r="BG732" s="799"/>
    </row>
    <row r="733">
      <c r="H733" s="799"/>
      <c r="I733" s="799"/>
      <c r="J733" s="799"/>
      <c r="K733" s="799"/>
      <c r="L733" s="799"/>
      <c r="M733" s="799"/>
      <c r="N733" s="799"/>
      <c r="O733" s="799"/>
      <c r="P733" s="799"/>
      <c r="Q733" s="799"/>
      <c r="R733" s="799"/>
      <c r="S733" s="799"/>
      <c r="T733" s="799"/>
      <c r="U733" s="799"/>
      <c r="V733" s="799"/>
      <c r="W733" s="799"/>
      <c r="X733" s="799"/>
      <c r="Y733" s="799"/>
      <c r="Z733" s="799"/>
      <c r="AA733" s="799"/>
      <c r="AB733" s="799"/>
      <c r="AC733" s="799"/>
      <c r="AD733" s="799"/>
      <c r="AE733" s="799"/>
      <c r="AF733" s="799"/>
      <c r="AG733" s="799"/>
      <c r="AH733" s="799"/>
      <c r="AI733" s="799"/>
      <c r="AJ733" s="799"/>
      <c r="AK733" s="799"/>
      <c r="AL733" s="799"/>
      <c r="AM733" s="799"/>
      <c r="AN733" s="799"/>
      <c r="AO733" s="799"/>
      <c r="AP733" s="799"/>
      <c r="AQ733" s="799"/>
      <c r="AR733" s="799"/>
      <c r="AS733" s="799"/>
      <c r="AT733" s="799"/>
      <c r="AU733" s="799"/>
      <c r="AV733" s="799"/>
      <c r="AW733" s="799"/>
      <c r="AX733" s="799"/>
      <c r="AY733" s="799"/>
      <c r="AZ733" s="799"/>
      <c r="BA733" s="799"/>
      <c r="BB733" s="799"/>
      <c r="BC733" s="799"/>
      <c r="BD733" s="799"/>
      <c r="BE733" s="799"/>
      <c r="BF733" s="799"/>
      <c r="BG733" s="799"/>
    </row>
    <row r="734">
      <c r="H734" s="799"/>
      <c r="I734" s="799"/>
      <c r="J734" s="799"/>
      <c r="K734" s="799"/>
      <c r="L734" s="799"/>
      <c r="M734" s="799"/>
      <c r="N734" s="799"/>
      <c r="O734" s="799"/>
      <c r="P734" s="799"/>
      <c r="Q734" s="799"/>
      <c r="R734" s="799"/>
      <c r="S734" s="799"/>
      <c r="T734" s="799"/>
      <c r="U734" s="799"/>
      <c r="V734" s="799"/>
      <c r="W734" s="799"/>
      <c r="X734" s="799"/>
      <c r="Y734" s="799"/>
      <c r="Z734" s="799"/>
      <c r="AA734" s="799"/>
      <c r="AB734" s="799"/>
      <c r="AC734" s="799"/>
      <c r="AD734" s="799"/>
      <c r="AE734" s="799"/>
      <c r="AF734" s="799"/>
      <c r="AG734" s="799"/>
      <c r="AH734" s="799"/>
      <c r="AI734" s="799"/>
      <c r="AJ734" s="799"/>
      <c r="AK734" s="799"/>
      <c r="AL734" s="799"/>
      <c r="AM734" s="799"/>
      <c r="AN734" s="799"/>
      <c r="AO734" s="799"/>
      <c r="AP734" s="799"/>
      <c r="AQ734" s="799"/>
      <c r="AR734" s="799"/>
      <c r="AS734" s="799"/>
      <c r="AT734" s="799"/>
      <c r="AU734" s="799"/>
      <c r="AV734" s="799"/>
      <c r="AW734" s="799"/>
      <c r="AX734" s="799"/>
      <c r="AY734" s="799"/>
      <c r="AZ734" s="799"/>
      <c r="BA734" s="799"/>
      <c r="BB734" s="799"/>
      <c r="BC734" s="799"/>
      <c r="BD734" s="799"/>
      <c r="BE734" s="799"/>
      <c r="BF734" s="799"/>
      <c r="BG734" s="799"/>
    </row>
    <row r="735">
      <c r="H735" s="799"/>
      <c r="I735" s="799"/>
      <c r="J735" s="799"/>
      <c r="K735" s="799"/>
      <c r="L735" s="799"/>
      <c r="M735" s="799"/>
      <c r="N735" s="799"/>
      <c r="O735" s="799"/>
      <c r="P735" s="799"/>
      <c r="Q735" s="799"/>
      <c r="R735" s="799"/>
      <c r="S735" s="799"/>
      <c r="T735" s="799"/>
      <c r="U735" s="799"/>
      <c r="V735" s="799"/>
      <c r="W735" s="799"/>
      <c r="X735" s="799"/>
      <c r="Y735" s="799"/>
      <c r="Z735" s="799"/>
      <c r="AA735" s="799"/>
      <c r="AB735" s="799"/>
      <c r="AC735" s="799"/>
      <c r="AD735" s="799"/>
      <c r="AE735" s="799"/>
      <c r="AF735" s="799"/>
      <c r="AG735" s="799"/>
      <c r="AH735" s="799"/>
      <c r="AI735" s="799"/>
      <c r="AJ735" s="799"/>
      <c r="AK735" s="799"/>
      <c r="AL735" s="799"/>
      <c r="AM735" s="799"/>
      <c r="AN735" s="799"/>
      <c r="AO735" s="799"/>
      <c r="AP735" s="799"/>
      <c r="AQ735" s="799"/>
      <c r="AR735" s="799"/>
      <c r="AS735" s="799"/>
      <c r="AT735" s="799"/>
      <c r="AU735" s="799"/>
      <c r="AV735" s="799"/>
      <c r="AW735" s="799"/>
      <c r="AX735" s="799"/>
      <c r="AY735" s="799"/>
      <c r="AZ735" s="799"/>
      <c r="BA735" s="799"/>
      <c r="BB735" s="799"/>
      <c r="BC735" s="799"/>
      <c r="BD735" s="799"/>
      <c r="BE735" s="799"/>
      <c r="BF735" s="799"/>
      <c r="BG735" s="799"/>
    </row>
    <row r="736">
      <c r="H736" s="799"/>
      <c r="I736" s="799"/>
      <c r="J736" s="799"/>
      <c r="K736" s="799"/>
      <c r="L736" s="799"/>
      <c r="M736" s="799"/>
      <c r="N736" s="799"/>
      <c r="O736" s="799"/>
      <c r="P736" s="799"/>
      <c r="Q736" s="799"/>
      <c r="R736" s="799"/>
      <c r="S736" s="799"/>
      <c r="T736" s="799"/>
      <c r="U736" s="799"/>
      <c r="V736" s="799"/>
      <c r="W736" s="799"/>
      <c r="X736" s="799"/>
      <c r="Y736" s="799"/>
      <c r="Z736" s="799"/>
      <c r="AA736" s="799"/>
      <c r="AB736" s="799"/>
      <c r="AC736" s="799"/>
      <c r="AD736" s="799"/>
      <c r="AE736" s="799"/>
      <c r="AF736" s="799"/>
      <c r="AG736" s="799"/>
      <c r="AH736" s="799"/>
      <c r="AI736" s="799"/>
      <c r="AJ736" s="799"/>
      <c r="AK736" s="799"/>
      <c r="AL736" s="799"/>
      <c r="AM736" s="799"/>
      <c r="AN736" s="799"/>
      <c r="AO736" s="799"/>
      <c r="AP736" s="799"/>
      <c r="AQ736" s="799"/>
      <c r="AR736" s="799"/>
      <c r="AS736" s="799"/>
      <c r="AT736" s="799"/>
      <c r="AU736" s="799"/>
      <c r="AV736" s="799"/>
      <c r="AW736" s="799"/>
      <c r="AX736" s="799"/>
      <c r="AY736" s="799"/>
      <c r="AZ736" s="799"/>
      <c r="BA736" s="799"/>
      <c r="BB736" s="799"/>
      <c r="BC736" s="799"/>
      <c r="BD736" s="799"/>
      <c r="BE736" s="799"/>
      <c r="BF736" s="799"/>
      <c r="BG736" s="799"/>
    </row>
    <row r="737">
      <c r="H737" s="799"/>
      <c r="I737" s="799"/>
      <c r="J737" s="799"/>
      <c r="K737" s="799"/>
      <c r="L737" s="799"/>
      <c r="M737" s="799"/>
      <c r="N737" s="799"/>
      <c r="O737" s="799"/>
      <c r="P737" s="799"/>
      <c r="Q737" s="799"/>
      <c r="R737" s="799"/>
      <c r="S737" s="799"/>
      <c r="T737" s="799"/>
      <c r="U737" s="799"/>
      <c r="V737" s="799"/>
      <c r="W737" s="799"/>
      <c r="X737" s="799"/>
      <c r="Y737" s="799"/>
      <c r="Z737" s="799"/>
      <c r="AA737" s="799"/>
      <c r="AB737" s="799"/>
      <c r="AC737" s="799"/>
      <c r="AD737" s="799"/>
      <c r="AE737" s="799"/>
      <c r="AF737" s="799"/>
      <c r="AG737" s="799"/>
      <c r="AH737" s="799"/>
      <c r="AI737" s="799"/>
      <c r="AJ737" s="799"/>
      <c r="AK737" s="799"/>
      <c r="AL737" s="799"/>
      <c r="AM737" s="799"/>
      <c r="AN737" s="799"/>
      <c r="AO737" s="799"/>
      <c r="AP737" s="799"/>
      <c r="AQ737" s="799"/>
      <c r="AR737" s="799"/>
      <c r="AS737" s="799"/>
      <c r="AT737" s="799"/>
      <c r="AU737" s="799"/>
      <c r="AV737" s="799"/>
      <c r="AW737" s="799"/>
      <c r="AX737" s="799"/>
      <c r="AY737" s="799"/>
      <c r="AZ737" s="799"/>
      <c r="BA737" s="799"/>
      <c r="BB737" s="799"/>
      <c r="BC737" s="799"/>
      <c r="BD737" s="799"/>
      <c r="BE737" s="799"/>
      <c r="BF737" s="799"/>
      <c r="BG737" s="799"/>
    </row>
    <row r="738">
      <c r="H738" s="799"/>
      <c r="I738" s="799"/>
      <c r="J738" s="799"/>
      <c r="K738" s="799"/>
      <c r="L738" s="799"/>
      <c r="M738" s="799"/>
      <c r="N738" s="799"/>
      <c r="O738" s="799"/>
      <c r="P738" s="799"/>
      <c r="Q738" s="799"/>
      <c r="R738" s="799"/>
      <c r="S738" s="799"/>
      <c r="T738" s="799"/>
      <c r="U738" s="799"/>
      <c r="V738" s="799"/>
      <c r="W738" s="799"/>
      <c r="X738" s="799"/>
      <c r="Y738" s="799"/>
      <c r="Z738" s="799"/>
      <c r="AA738" s="799"/>
      <c r="AB738" s="799"/>
      <c r="AC738" s="799"/>
      <c r="AD738" s="799"/>
      <c r="AE738" s="799"/>
      <c r="AF738" s="799"/>
      <c r="AG738" s="799"/>
      <c r="AH738" s="799"/>
      <c r="AI738" s="799"/>
      <c r="AJ738" s="799"/>
      <c r="AK738" s="799"/>
      <c r="AL738" s="799"/>
      <c r="AM738" s="799"/>
      <c r="AN738" s="799"/>
      <c r="AO738" s="799"/>
      <c r="AP738" s="799"/>
      <c r="AQ738" s="799"/>
      <c r="AR738" s="799"/>
      <c r="AS738" s="799"/>
      <c r="AT738" s="799"/>
      <c r="AU738" s="799"/>
      <c r="AV738" s="799"/>
      <c r="AW738" s="799"/>
      <c r="AX738" s="799"/>
      <c r="AY738" s="799"/>
      <c r="AZ738" s="799"/>
      <c r="BA738" s="799"/>
      <c r="BB738" s="799"/>
      <c r="BC738" s="799"/>
      <c r="BD738" s="799"/>
      <c r="BE738" s="799"/>
      <c r="BF738" s="799"/>
      <c r="BG738" s="799"/>
    </row>
    <row r="739">
      <c r="H739" s="799"/>
      <c r="I739" s="799"/>
      <c r="J739" s="799"/>
      <c r="K739" s="799"/>
      <c r="L739" s="799"/>
      <c r="M739" s="799"/>
      <c r="N739" s="799"/>
      <c r="O739" s="799"/>
      <c r="P739" s="799"/>
      <c r="Q739" s="799"/>
      <c r="R739" s="799"/>
      <c r="S739" s="799"/>
      <c r="T739" s="799"/>
      <c r="U739" s="799"/>
      <c r="V739" s="799"/>
      <c r="W739" s="799"/>
      <c r="X739" s="799"/>
      <c r="Y739" s="799"/>
      <c r="Z739" s="799"/>
      <c r="AA739" s="799"/>
      <c r="AB739" s="799"/>
      <c r="AC739" s="799"/>
      <c r="AD739" s="799"/>
      <c r="AE739" s="799"/>
      <c r="AF739" s="799"/>
      <c r="AG739" s="799"/>
      <c r="AH739" s="799"/>
      <c r="AI739" s="799"/>
      <c r="AJ739" s="799"/>
      <c r="AK739" s="799"/>
      <c r="AL739" s="799"/>
      <c r="AM739" s="799"/>
      <c r="AN739" s="799"/>
      <c r="AO739" s="799"/>
      <c r="AP739" s="799"/>
      <c r="AQ739" s="799"/>
      <c r="AR739" s="799"/>
      <c r="AS739" s="799"/>
      <c r="AT739" s="799"/>
      <c r="AU739" s="799"/>
      <c r="AV739" s="799"/>
      <c r="AW739" s="799"/>
      <c r="AX739" s="799"/>
      <c r="AY739" s="799"/>
      <c r="AZ739" s="799"/>
      <c r="BA739" s="799"/>
      <c r="BB739" s="799"/>
      <c r="BC739" s="799"/>
      <c r="BD739" s="799"/>
      <c r="BE739" s="799"/>
      <c r="BF739" s="799"/>
      <c r="BG739" s="799"/>
    </row>
    <row r="740">
      <c r="H740" s="799"/>
      <c r="I740" s="799"/>
      <c r="J740" s="799"/>
      <c r="K740" s="799"/>
      <c r="L740" s="799"/>
      <c r="M740" s="799"/>
      <c r="N740" s="799"/>
      <c r="O740" s="799"/>
      <c r="P740" s="799"/>
      <c r="Q740" s="799"/>
      <c r="R740" s="799"/>
      <c r="S740" s="799"/>
      <c r="T740" s="799"/>
      <c r="U740" s="799"/>
      <c r="V740" s="799"/>
      <c r="W740" s="799"/>
      <c r="X740" s="799"/>
      <c r="Y740" s="799"/>
      <c r="Z740" s="799"/>
      <c r="AA740" s="799"/>
      <c r="AB740" s="799"/>
      <c r="AC740" s="799"/>
      <c r="AD740" s="799"/>
      <c r="AE740" s="799"/>
      <c r="AF740" s="799"/>
      <c r="AG740" s="799"/>
      <c r="AH740" s="799"/>
      <c r="AI740" s="799"/>
      <c r="AJ740" s="799"/>
      <c r="AK740" s="799"/>
      <c r="AL740" s="799"/>
      <c r="AM740" s="799"/>
      <c r="AN740" s="799"/>
      <c r="AO740" s="799"/>
      <c r="AP740" s="799"/>
      <c r="AQ740" s="799"/>
      <c r="AR740" s="799"/>
      <c r="AS740" s="799"/>
      <c r="AT740" s="799"/>
      <c r="AU740" s="799"/>
      <c r="AV740" s="799"/>
      <c r="AW740" s="799"/>
      <c r="AX740" s="799"/>
      <c r="AY740" s="799"/>
      <c r="AZ740" s="799"/>
      <c r="BA740" s="799"/>
      <c r="BB740" s="799"/>
      <c r="BC740" s="799"/>
      <c r="BD740" s="799"/>
      <c r="BE740" s="799"/>
      <c r="BF740" s="799"/>
      <c r="BG740" s="799"/>
    </row>
    <row r="741">
      <c r="H741" s="799"/>
      <c r="I741" s="799"/>
      <c r="J741" s="799"/>
      <c r="K741" s="799"/>
      <c r="L741" s="799"/>
      <c r="M741" s="799"/>
      <c r="N741" s="799"/>
      <c r="O741" s="799"/>
      <c r="P741" s="799"/>
      <c r="Q741" s="799"/>
      <c r="R741" s="799"/>
      <c r="S741" s="799"/>
      <c r="T741" s="799"/>
      <c r="U741" s="799"/>
      <c r="V741" s="799"/>
      <c r="W741" s="799"/>
      <c r="X741" s="799"/>
      <c r="Y741" s="799"/>
      <c r="Z741" s="799"/>
      <c r="AA741" s="799"/>
      <c r="AB741" s="799"/>
      <c r="AC741" s="799"/>
      <c r="AD741" s="799"/>
      <c r="AE741" s="799"/>
      <c r="AF741" s="799"/>
      <c r="AG741" s="799"/>
      <c r="AH741" s="799"/>
      <c r="AI741" s="799"/>
      <c r="AJ741" s="799"/>
      <c r="AK741" s="799"/>
      <c r="AL741" s="799"/>
      <c r="AM741" s="799"/>
      <c r="AN741" s="799"/>
      <c r="AO741" s="799"/>
      <c r="AP741" s="799"/>
      <c r="AQ741" s="799"/>
      <c r="AR741" s="799"/>
      <c r="AS741" s="799"/>
      <c r="AT741" s="799"/>
      <c r="AU741" s="799"/>
      <c r="AV741" s="799"/>
      <c r="AW741" s="799"/>
      <c r="AX741" s="799"/>
      <c r="AY741" s="799"/>
      <c r="AZ741" s="799"/>
      <c r="BA741" s="799"/>
      <c r="BB741" s="799"/>
      <c r="BC741" s="799"/>
      <c r="BD741" s="799"/>
      <c r="BE741" s="799"/>
      <c r="BF741" s="799"/>
      <c r="BG741" s="799"/>
    </row>
    <row r="742">
      <c r="H742" s="799"/>
      <c r="I742" s="799"/>
      <c r="J742" s="799"/>
      <c r="K742" s="799"/>
      <c r="L742" s="799"/>
      <c r="M742" s="799"/>
      <c r="N742" s="799"/>
      <c r="O742" s="799"/>
      <c r="P742" s="799"/>
      <c r="Q742" s="799"/>
      <c r="R742" s="799"/>
      <c r="S742" s="799"/>
      <c r="T742" s="799"/>
      <c r="U742" s="799"/>
      <c r="V742" s="799"/>
      <c r="W742" s="799"/>
      <c r="X742" s="799"/>
      <c r="Y742" s="799"/>
      <c r="Z742" s="799"/>
      <c r="AA742" s="799"/>
      <c r="AB742" s="799"/>
      <c r="AC742" s="799"/>
      <c r="AD742" s="799"/>
      <c r="AE742" s="799"/>
      <c r="AF742" s="799"/>
      <c r="AG742" s="799"/>
      <c r="AH742" s="799"/>
      <c r="AI742" s="799"/>
      <c r="AJ742" s="799"/>
      <c r="AK742" s="799"/>
      <c r="AL742" s="799"/>
      <c r="AM742" s="799"/>
      <c r="AN742" s="799"/>
      <c r="AO742" s="799"/>
      <c r="AP742" s="799"/>
      <c r="AQ742" s="799"/>
      <c r="AR742" s="799"/>
      <c r="AS742" s="799"/>
      <c r="AT742" s="799"/>
      <c r="AU742" s="799"/>
      <c r="AV742" s="799"/>
      <c r="AW742" s="799"/>
      <c r="AX742" s="799"/>
      <c r="AY742" s="799"/>
      <c r="AZ742" s="799"/>
      <c r="BA742" s="799"/>
      <c r="BB742" s="799"/>
      <c r="BC742" s="799"/>
      <c r="BD742" s="799"/>
      <c r="BE742" s="799"/>
      <c r="BF742" s="799"/>
      <c r="BG742" s="799"/>
    </row>
    <row r="743">
      <c r="H743" s="799"/>
      <c r="I743" s="799"/>
      <c r="J743" s="799"/>
      <c r="K743" s="799"/>
      <c r="L743" s="799"/>
      <c r="M743" s="799"/>
      <c r="N743" s="799"/>
      <c r="O743" s="799"/>
      <c r="P743" s="799"/>
      <c r="Q743" s="799"/>
      <c r="R743" s="799"/>
      <c r="S743" s="799"/>
      <c r="T743" s="799"/>
      <c r="U743" s="799"/>
      <c r="V743" s="799"/>
      <c r="W743" s="799"/>
      <c r="X743" s="799"/>
      <c r="Y743" s="799"/>
      <c r="Z743" s="799"/>
      <c r="AA743" s="799"/>
      <c r="AB743" s="799"/>
      <c r="AC743" s="799"/>
      <c r="AD743" s="799"/>
      <c r="AE743" s="799"/>
      <c r="AF743" s="799"/>
      <c r="AG743" s="799"/>
      <c r="AH743" s="799"/>
      <c r="AI743" s="799"/>
      <c r="AJ743" s="799"/>
      <c r="AK743" s="799"/>
      <c r="AL743" s="799"/>
      <c r="AM743" s="799"/>
      <c r="AN743" s="799"/>
      <c r="AO743" s="799"/>
      <c r="AP743" s="799"/>
      <c r="AQ743" s="799"/>
      <c r="AR743" s="799"/>
      <c r="AS743" s="799"/>
      <c r="AT743" s="799"/>
      <c r="AU743" s="799"/>
      <c r="AV743" s="799"/>
      <c r="AW743" s="799"/>
      <c r="AX743" s="799"/>
      <c r="AY743" s="799"/>
      <c r="AZ743" s="799"/>
      <c r="BA743" s="799"/>
      <c r="BB743" s="799"/>
      <c r="BC743" s="799"/>
      <c r="BD743" s="799"/>
      <c r="BE743" s="799"/>
      <c r="BF743" s="799"/>
      <c r="BG743" s="799"/>
    </row>
    <row r="744">
      <c r="H744" s="799"/>
      <c r="I744" s="799"/>
      <c r="J744" s="799"/>
      <c r="K744" s="799"/>
      <c r="L744" s="799"/>
      <c r="M744" s="799"/>
      <c r="N744" s="799"/>
      <c r="O744" s="799"/>
      <c r="P744" s="799"/>
      <c r="Q744" s="799"/>
      <c r="R744" s="799"/>
      <c r="S744" s="799"/>
      <c r="T744" s="799"/>
      <c r="U744" s="799"/>
      <c r="V744" s="799"/>
      <c r="W744" s="799"/>
      <c r="X744" s="799"/>
      <c r="Y744" s="799"/>
      <c r="Z744" s="799"/>
      <c r="AA744" s="799"/>
      <c r="AB744" s="799"/>
      <c r="AC744" s="799"/>
      <c r="AD744" s="799"/>
      <c r="AE744" s="799"/>
      <c r="AF744" s="799"/>
      <c r="AG744" s="799"/>
      <c r="AH744" s="799"/>
      <c r="AI744" s="799"/>
      <c r="AJ744" s="799"/>
      <c r="AK744" s="799"/>
      <c r="AL744" s="799"/>
      <c r="AM744" s="799"/>
      <c r="AN744" s="799"/>
      <c r="AO744" s="799"/>
      <c r="AP744" s="799"/>
      <c r="AQ744" s="799"/>
      <c r="AR744" s="799"/>
      <c r="AS744" s="799"/>
      <c r="AT744" s="799"/>
      <c r="AU744" s="799"/>
      <c r="AV744" s="799"/>
      <c r="AW744" s="799"/>
      <c r="AX744" s="799"/>
      <c r="AY744" s="799"/>
      <c r="AZ744" s="799"/>
      <c r="BA744" s="799"/>
      <c r="BB744" s="799"/>
      <c r="BC744" s="799"/>
      <c r="BD744" s="799"/>
      <c r="BE744" s="799"/>
      <c r="BF744" s="799"/>
      <c r="BG744" s="799"/>
    </row>
    <row r="745">
      <c r="H745" s="799"/>
      <c r="I745" s="799"/>
      <c r="J745" s="799"/>
      <c r="K745" s="799"/>
      <c r="L745" s="799"/>
      <c r="M745" s="799"/>
      <c r="N745" s="799"/>
      <c r="O745" s="799"/>
      <c r="P745" s="799"/>
      <c r="Q745" s="799"/>
      <c r="R745" s="799"/>
      <c r="S745" s="799"/>
      <c r="T745" s="799"/>
      <c r="U745" s="799"/>
      <c r="V745" s="799"/>
      <c r="W745" s="799"/>
      <c r="X745" s="799"/>
      <c r="Y745" s="799"/>
      <c r="Z745" s="799"/>
      <c r="AA745" s="799"/>
      <c r="AB745" s="799"/>
      <c r="AC745" s="799"/>
      <c r="AD745" s="799"/>
      <c r="AE745" s="799"/>
      <c r="AF745" s="799"/>
      <c r="AG745" s="799"/>
      <c r="AH745" s="799"/>
      <c r="AI745" s="799"/>
      <c r="AJ745" s="799"/>
      <c r="AK745" s="799"/>
      <c r="AL745" s="799"/>
      <c r="AM745" s="799"/>
      <c r="AN745" s="799"/>
      <c r="AO745" s="799"/>
      <c r="AP745" s="799"/>
      <c r="AQ745" s="799"/>
      <c r="AR745" s="799"/>
      <c r="AS745" s="799"/>
      <c r="AT745" s="799"/>
      <c r="AU745" s="799"/>
      <c r="AV745" s="799"/>
      <c r="AW745" s="799"/>
      <c r="AX745" s="799"/>
      <c r="AY745" s="799"/>
      <c r="AZ745" s="799"/>
      <c r="BA745" s="799"/>
      <c r="BB745" s="799"/>
      <c r="BC745" s="799"/>
      <c r="BD745" s="799"/>
      <c r="BE745" s="799"/>
      <c r="BF745" s="799"/>
      <c r="BG745" s="799"/>
    </row>
    <row r="746">
      <c r="H746" s="799"/>
      <c r="I746" s="799"/>
      <c r="J746" s="799"/>
      <c r="K746" s="799"/>
      <c r="L746" s="799"/>
      <c r="M746" s="799"/>
      <c r="N746" s="799"/>
      <c r="O746" s="799"/>
      <c r="P746" s="799"/>
      <c r="Q746" s="799"/>
      <c r="R746" s="799"/>
      <c r="S746" s="799"/>
      <c r="T746" s="799"/>
      <c r="U746" s="799"/>
      <c r="V746" s="799"/>
      <c r="W746" s="799"/>
      <c r="X746" s="799"/>
      <c r="Y746" s="799"/>
      <c r="Z746" s="799"/>
      <c r="AA746" s="799"/>
      <c r="AB746" s="799"/>
      <c r="AC746" s="799"/>
      <c r="AD746" s="799"/>
      <c r="AE746" s="799"/>
      <c r="AF746" s="799"/>
      <c r="AG746" s="799"/>
      <c r="AH746" s="799"/>
      <c r="AI746" s="799"/>
      <c r="AJ746" s="799"/>
      <c r="AK746" s="799"/>
      <c r="AL746" s="799"/>
      <c r="AM746" s="799"/>
      <c r="AN746" s="799"/>
      <c r="AO746" s="799"/>
      <c r="AP746" s="799"/>
      <c r="AQ746" s="799"/>
      <c r="AR746" s="799"/>
      <c r="AS746" s="799"/>
      <c r="AT746" s="799"/>
      <c r="AU746" s="799"/>
      <c r="AV746" s="799"/>
      <c r="AW746" s="799"/>
      <c r="AX746" s="799"/>
      <c r="AY746" s="799"/>
      <c r="AZ746" s="799"/>
      <c r="BA746" s="799"/>
      <c r="BB746" s="799"/>
      <c r="BC746" s="799"/>
      <c r="BD746" s="799"/>
      <c r="BE746" s="799"/>
      <c r="BF746" s="799"/>
      <c r="BG746" s="799"/>
    </row>
    <row r="747">
      <c r="H747" s="799"/>
      <c r="I747" s="799"/>
      <c r="J747" s="799"/>
      <c r="K747" s="799"/>
      <c r="L747" s="799"/>
      <c r="M747" s="799"/>
      <c r="N747" s="799"/>
      <c r="O747" s="799"/>
      <c r="P747" s="799"/>
      <c r="Q747" s="799"/>
      <c r="R747" s="799"/>
      <c r="S747" s="799"/>
      <c r="T747" s="799"/>
      <c r="U747" s="799"/>
      <c r="V747" s="799"/>
      <c r="W747" s="799"/>
      <c r="X747" s="799"/>
      <c r="Y747" s="799"/>
      <c r="Z747" s="799"/>
      <c r="AA747" s="799"/>
      <c r="AB747" s="799"/>
      <c r="AC747" s="799"/>
      <c r="AD747" s="799"/>
      <c r="AE747" s="799"/>
      <c r="AF747" s="799"/>
      <c r="AG747" s="799"/>
      <c r="AH747" s="799"/>
      <c r="AI747" s="799"/>
      <c r="AJ747" s="799"/>
      <c r="AK747" s="799"/>
      <c r="AL747" s="799"/>
      <c r="AM747" s="799"/>
      <c r="AN747" s="799"/>
      <c r="AO747" s="799"/>
      <c r="AP747" s="799"/>
      <c r="AQ747" s="799"/>
      <c r="AR747" s="799"/>
      <c r="AS747" s="799"/>
      <c r="AT747" s="799"/>
      <c r="AU747" s="799"/>
      <c r="AV747" s="799"/>
      <c r="AW747" s="799"/>
      <c r="AX747" s="799"/>
      <c r="AY747" s="799"/>
      <c r="AZ747" s="799"/>
      <c r="BA747" s="799"/>
      <c r="BB747" s="799"/>
      <c r="BC747" s="799"/>
      <c r="BD747" s="799"/>
      <c r="BE747" s="799"/>
      <c r="BF747" s="799"/>
      <c r="BG747" s="799"/>
    </row>
    <row r="748">
      <c r="H748" s="799"/>
      <c r="I748" s="799"/>
      <c r="J748" s="799"/>
      <c r="K748" s="799"/>
      <c r="L748" s="799"/>
      <c r="M748" s="799"/>
      <c r="N748" s="799"/>
      <c r="O748" s="799"/>
      <c r="P748" s="799"/>
      <c r="Q748" s="799"/>
      <c r="R748" s="799"/>
      <c r="S748" s="799"/>
      <c r="T748" s="799"/>
      <c r="U748" s="799"/>
      <c r="V748" s="799"/>
      <c r="W748" s="799"/>
      <c r="X748" s="799"/>
      <c r="Y748" s="799"/>
      <c r="Z748" s="799"/>
      <c r="AA748" s="799"/>
      <c r="AB748" s="799"/>
      <c r="AC748" s="799"/>
      <c r="AD748" s="799"/>
      <c r="AE748" s="799"/>
      <c r="AF748" s="799"/>
      <c r="AG748" s="799"/>
      <c r="AH748" s="799"/>
      <c r="AI748" s="799"/>
      <c r="AJ748" s="799"/>
      <c r="AK748" s="799"/>
      <c r="AL748" s="799"/>
      <c r="AM748" s="799"/>
      <c r="AN748" s="799"/>
      <c r="AO748" s="799"/>
      <c r="AP748" s="799"/>
      <c r="AQ748" s="799"/>
      <c r="AR748" s="799"/>
      <c r="AS748" s="799"/>
      <c r="AT748" s="799"/>
      <c r="AU748" s="799"/>
      <c r="AV748" s="799"/>
      <c r="AW748" s="799"/>
      <c r="AX748" s="799"/>
      <c r="AY748" s="799"/>
      <c r="AZ748" s="799"/>
      <c r="BA748" s="799"/>
      <c r="BB748" s="799"/>
      <c r="BC748" s="799"/>
      <c r="BD748" s="799"/>
      <c r="BE748" s="799"/>
      <c r="BF748" s="799"/>
      <c r="BG748" s="799"/>
    </row>
    <row r="749">
      <c r="H749" s="799"/>
      <c r="I749" s="799"/>
      <c r="J749" s="799"/>
      <c r="K749" s="799"/>
      <c r="L749" s="799"/>
      <c r="M749" s="799"/>
      <c r="N749" s="799"/>
      <c r="O749" s="799"/>
      <c r="P749" s="799"/>
      <c r="Q749" s="799"/>
      <c r="R749" s="799"/>
      <c r="S749" s="799"/>
      <c r="T749" s="799"/>
      <c r="U749" s="799"/>
      <c r="V749" s="799"/>
      <c r="W749" s="799"/>
      <c r="X749" s="799"/>
      <c r="Y749" s="799"/>
      <c r="Z749" s="799"/>
      <c r="AA749" s="799"/>
      <c r="AB749" s="799"/>
      <c r="AC749" s="799"/>
      <c r="AD749" s="799"/>
      <c r="AE749" s="799"/>
      <c r="AF749" s="799"/>
      <c r="AG749" s="799"/>
      <c r="AH749" s="799"/>
      <c r="AI749" s="799"/>
      <c r="AJ749" s="799"/>
      <c r="AK749" s="799"/>
      <c r="AL749" s="799"/>
      <c r="AM749" s="799"/>
      <c r="AN749" s="799"/>
      <c r="AO749" s="799"/>
      <c r="AP749" s="799"/>
      <c r="AQ749" s="799"/>
      <c r="AR749" s="799"/>
      <c r="AS749" s="799"/>
      <c r="AT749" s="799"/>
      <c r="AU749" s="799"/>
      <c r="AV749" s="799"/>
      <c r="AW749" s="799"/>
      <c r="AX749" s="799"/>
      <c r="AY749" s="799"/>
      <c r="AZ749" s="799"/>
      <c r="BA749" s="799"/>
      <c r="BB749" s="799"/>
      <c r="BC749" s="799"/>
      <c r="BD749" s="799"/>
      <c r="BE749" s="799"/>
      <c r="BF749" s="799"/>
      <c r="BG749" s="799"/>
    </row>
    <row r="750">
      <c r="H750" s="799"/>
      <c r="I750" s="799"/>
      <c r="J750" s="799"/>
      <c r="K750" s="799"/>
      <c r="L750" s="799"/>
      <c r="M750" s="799"/>
      <c r="N750" s="799"/>
      <c r="O750" s="799"/>
      <c r="P750" s="799"/>
      <c r="Q750" s="799"/>
      <c r="R750" s="799"/>
      <c r="S750" s="799"/>
      <c r="T750" s="799"/>
      <c r="U750" s="799"/>
      <c r="V750" s="799"/>
      <c r="W750" s="799"/>
      <c r="X750" s="799"/>
      <c r="Y750" s="799"/>
      <c r="Z750" s="799"/>
      <c r="AA750" s="799"/>
      <c r="AB750" s="799"/>
      <c r="AC750" s="799"/>
      <c r="AD750" s="799"/>
      <c r="AE750" s="799"/>
      <c r="AF750" s="799"/>
      <c r="AG750" s="799"/>
      <c r="AH750" s="799"/>
      <c r="AI750" s="799"/>
      <c r="AJ750" s="799"/>
      <c r="AK750" s="799"/>
      <c r="AL750" s="799"/>
      <c r="AM750" s="799"/>
      <c r="AN750" s="799"/>
      <c r="AO750" s="799"/>
      <c r="AP750" s="799"/>
      <c r="AQ750" s="799"/>
      <c r="AR750" s="799"/>
      <c r="AS750" s="799"/>
      <c r="AT750" s="799"/>
      <c r="AU750" s="799"/>
      <c r="AV750" s="799"/>
      <c r="AW750" s="799"/>
      <c r="AX750" s="799"/>
      <c r="AY750" s="799"/>
      <c r="AZ750" s="799"/>
      <c r="BA750" s="799"/>
      <c r="BB750" s="799"/>
      <c r="BC750" s="799"/>
      <c r="BD750" s="799"/>
      <c r="BE750" s="799"/>
      <c r="BF750" s="799"/>
      <c r="BG750" s="799"/>
    </row>
    <row r="751">
      <c r="H751" s="799"/>
      <c r="I751" s="799"/>
      <c r="J751" s="799"/>
      <c r="K751" s="799"/>
      <c r="L751" s="799"/>
      <c r="M751" s="799"/>
      <c r="N751" s="799"/>
      <c r="O751" s="799"/>
      <c r="P751" s="799"/>
      <c r="Q751" s="799"/>
      <c r="R751" s="799"/>
      <c r="S751" s="799"/>
      <c r="T751" s="799"/>
      <c r="U751" s="799"/>
      <c r="V751" s="799"/>
      <c r="W751" s="799"/>
      <c r="X751" s="799"/>
      <c r="Y751" s="799"/>
      <c r="Z751" s="799"/>
      <c r="AA751" s="799"/>
      <c r="AB751" s="799"/>
      <c r="AC751" s="799"/>
      <c r="AD751" s="799"/>
      <c r="AE751" s="799"/>
      <c r="AF751" s="799"/>
      <c r="AG751" s="799"/>
      <c r="AH751" s="799"/>
      <c r="AI751" s="799"/>
      <c r="AJ751" s="799"/>
      <c r="AK751" s="799"/>
      <c r="AL751" s="799"/>
      <c r="AM751" s="799"/>
      <c r="AN751" s="799"/>
      <c r="AO751" s="799"/>
      <c r="AP751" s="799"/>
      <c r="AQ751" s="799"/>
      <c r="AR751" s="799"/>
      <c r="AS751" s="799"/>
      <c r="AT751" s="799"/>
      <c r="AU751" s="799"/>
      <c r="AV751" s="799"/>
      <c r="AW751" s="799"/>
      <c r="AX751" s="799"/>
      <c r="AY751" s="799"/>
      <c r="AZ751" s="799"/>
      <c r="BA751" s="799"/>
      <c r="BB751" s="799"/>
      <c r="BC751" s="799"/>
      <c r="BD751" s="799"/>
      <c r="BE751" s="799"/>
      <c r="BF751" s="799"/>
      <c r="BG751" s="799"/>
    </row>
    <row r="752">
      <c r="H752" s="799"/>
      <c r="I752" s="799"/>
      <c r="J752" s="799"/>
      <c r="K752" s="799"/>
      <c r="L752" s="799"/>
      <c r="M752" s="799"/>
      <c r="N752" s="799"/>
      <c r="O752" s="799"/>
      <c r="P752" s="799"/>
      <c r="Q752" s="799"/>
      <c r="R752" s="799"/>
      <c r="S752" s="799"/>
      <c r="T752" s="799"/>
      <c r="U752" s="799"/>
      <c r="V752" s="799"/>
      <c r="W752" s="799"/>
      <c r="X752" s="799"/>
      <c r="Y752" s="799"/>
      <c r="Z752" s="799"/>
      <c r="AA752" s="799"/>
      <c r="AB752" s="799"/>
      <c r="AC752" s="799"/>
      <c r="AD752" s="799"/>
      <c r="AE752" s="799"/>
      <c r="AF752" s="799"/>
      <c r="AG752" s="799"/>
      <c r="AH752" s="799"/>
      <c r="AI752" s="799"/>
      <c r="AJ752" s="799"/>
      <c r="AK752" s="799"/>
      <c r="AL752" s="799"/>
      <c r="AM752" s="799"/>
      <c r="AN752" s="799"/>
      <c r="AO752" s="799"/>
      <c r="AP752" s="799"/>
      <c r="AQ752" s="799"/>
      <c r="AR752" s="799"/>
      <c r="AS752" s="799"/>
      <c r="AT752" s="799"/>
      <c r="AU752" s="799"/>
      <c r="AV752" s="799"/>
      <c r="AW752" s="799"/>
      <c r="AX752" s="799"/>
      <c r="AY752" s="799"/>
      <c r="AZ752" s="799"/>
      <c r="BA752" s="799"/>
      <c r="BB752" s="799"/>
      <c r="BC752" s="799"/>
      <c r="BD752" s="799"/>
      <c r="BE752" s="799"/>
      <c r="BF752" s="799"/>
      <c r="BG752" s="799"/>
    </row>
    <row r="753">
      <c r="H753" s="799"/>
      <c r="I753" s="799"/>
      <c r="J753" s="799"/>
      <c r="K753" s="799"/>
      <c r="L753" s="799"/>
      <c r="M753" s="799"/>
      <c r="N753" s="799"/>
      <c r="O753" s="799"/>
      <c r="P753" s="799"/>
      <c r="Q753" s="799"/>
      <c r="R753" s="799"/>
      <c r="S753" s="799"/>
      <c r="T753" s="799"/>
      <c r="U753" s="799"/>
      <c r="V753" s="799"/>
      <c r="W753" s="799"/>
      <c r="X753" s="799"/>
      <c r="Y753" s="799"/>
      <c r="Z753" s="799"/>
      <c r="AA753" s="799"/>
      <c r="AB753" s="799"/>
      <c r="AC753" s="799"/>
      <c r="AD753" s="799"/>
      <c r="AE753" s="799"/>
      <c r="AF753" s="799"/>
      <c r="AG753" s="799"/>
      <c r="AH753" s="799"/>
      <c r="AI753" s="799"/>
      <c r="AJ753" s="799"/>
      <c r="AK753" s="799"/>
      <c r="AL753" s="799"/>
      <c r="AM753" s="799"/>
      <c r="AN753" s="799"/>
      <c r="AO753" s="799"/>
      <c r="AP753" s="799"/>
      <c r="AQ753" s="799"/>
      <c r="AR753" s="799"/>
      <c r="AS753" s="799"/>
      <c r="AT753" s="799"/>
      <c r="AU753" s="799"/>
      <c r="AV753" s="799"/>
      <c r="AW753" s="799"/>
      <c r="AX753" s="799"/>
      <c r="AY753" s="799"/>
      <c r="AZ753" s="799"/>
      <c r="BA753" s="799"/>
      <c r="BB753" s="799"/>
      <c r="BC753" s="799"/>
      <c r="BD753" s="799"/>
      <c r="BE753" s="799"/>
      <c r="BF753" s="799"/>
      <c r="BG753" s="799"/>
    </row>
    <row r="754">
      <c r="H754" s="799"/>
      <c r="I754" s="799"/>
      <c r="J754" s="799"/>
      <c r="K754" s="799"/>
      <c r="L754" s="799"/>
      <c r="M754" s="799"/>
      <c r="N754" s="799"/>
      <c r="O754" s="799"/>
      <c r="P754" s="799"/>
      <c r="Q754" s="799"/>
      <c r="R754" s="799"/>
      <c r="S754" s="799"/>
      <c r="T754" s="799"/>
      <c r="U754" s="799"/>
      <c r="V754" s="799"/>
      <c r="W754" s="799"/>
      <c r="X754" s="799"/>
      <c r="Y754" s="799"/>
      <c r="Z754" s="799"/>
      <c r="AA754" s="799"/>
      <c r="AB754" s="799"/>
      <c r="AC754" s="799"/>
      <c r="AD754" s="799"/>
      <c r="AE754" s="799"/>
      <c r="AF754" s="799"/>
      <c r="AG754" s="799"/>
      <c r="AH754" s="799"/>
      <c r="AI754" s="799"/>
      <c r="AJ754" s="799"/>
      <c r="AK754" s="799"/>
      <c r="AL754" s="799"/>
      <c r="AM754" s="799"/>
      <c r="AN754" s="799"/>
      <c r="AO754" s="799"/>
      <c r="AP754" s="799"/>
      <c r="AQ754" s="799"/>
      <c r="AR754" s="799"/>
      <c r="AS754" s="799"/>
      <c r="AT754" s="799"/>
      <c r="AU754" s="799"/>
      <c r="AV754" s="799"/>
      <c r="AW754" s="799"/>
      <c r="AX754" s="799"/>
      <c r="AY754" s="799"/>
      <c r="AZ754" s="799"/>
      <c r="BA754" s="799"/>
      <c r="BB754" s="799"/>
      <c r="BC754" s="799"/>
      <c r="BD754" s="799"/>
      <c r="BE754" s="799"/>
      <c r="BF754" s="799"/>
      <c r="BG754" s="799"/>
    </row>
    <row r="755">
      <c r="H755" s="799"/>
      <c r="I755" s="799"/>
      <c r="J755" s="799"/>
      <c r="K755" s="799"/>
      <c r="L755" s="799"/>
      <c r="M755" s="799"/>
      <c r="N755" s="799"/>
      <c r="O755" s="799"/>
      <c r="P755" s="799"/>
      <c r="Q755" s="799"/>
      <c r="R755" s="799"/>
      <c r="S755" s="799"/>
      <c r="T755" s="799"/>
      <c r="U755" s="799"/>
      <c r="V755" s="799"/>
      <c r="W755" s="799"/>
      <c r="X755" s="799"/>
      <c r="Y755" s="799"/>
      <c r="Z755" s="799"/>
      <c r="AA755" s="799"/>
      <c r="AB755" s="799"/>
      <c r="AC755" s="799"/>
      <c r="AD755" s="799"/>
      <c r="AE755" s="799"/>
      <c r="AF755" s="799"/>
      <c r="AG755" s="799"/>
      <c r="AH755" s="799"/>
      <c r="AI755" s="799"/>
      <c r="AJ755" s="799"/>
      <c r="AK755" s="799"/>
      <c r="AL755" s="799"/>
      <c r="AM755" s="799"/>
      <c r="AN755" s="799"/>
      <c r="AO755" s="799"/>
      <c r="AP755" s="799"/>
      <c r="AQ755" s="799"/>
      <c r="AR755" s="799"/>
      <c r="AS755" s="799"/>
      <c r="AT755" s="799"/>
      <c r="AU755" s="799"/>
      <c r="AV755" s="799"/>
      <c r="AW755" s="799"/>
      <c r="AX755" s="799"/>
      <c r="AY755" s="799"/>
      <c r="AZ755" s="799"/>
      <c r="BA755" s="799"/>
      <c r="BB755" s="799"/>
      <c r="BC755" s="799"/>
      <c r="BD755" s="799"/>
      <c r="BE755" s="799"/>
      <c r="BF755" s="799"/>
      <c r="BG755" s="799"/>
    </row>
    <row r="756">
      <c r="H756" s="799"/>
      <c r="I756" s="799"/>
      <c r="J756" s="799"/>
      <c r="K756" s="799"/>
      <c r="L756" s="799"/>
      <c r="M756" s="799"/>
      <c r="N756" s="799"/>
      <c r="O756" s="799"/>
      <c r="P756" s="799"/>
      <c r="Q756" s="799"/>
      <c r="R756" s="799"/>
      <c r="S756" s="799"/>
      <c r="T756" s="799"/>
      <c r="U756" s="799"/>
      <c r="V756" s="799"/>
      <c r="W756" s="799"/>
      <c r="X756" s="799"/>
      <c r="Y756" s="799"/>
      <c r="Z756" s="799"/>
      <c r="AA756" s="799"/>
      <c r="AB756" s="799"/>
      <c r="AC756" s="799"/>
      <c r="AD756" s="799"/>
      <c r="AE756" s="799"/>
      <c r="AF756" s="799"/>
      <c r="AG756" s="799"/>
      <c r="AH756" s="799"/>
      <c r="AI756" s="799"/>
      <c r="AJ756" s="799"/>
      <c r="AK756" s="799"/>
      <c r="AL756" s="799"/>
      <c r="AM756" s="799"/>
      <c r="AN756" s="799"/>
      <c r="AO756" s="799"/>
      <c r="AP756" s="799"/>
      <c r="AQ756" s="799"/>
      <c r="AR756" s="799"/>
      <c r="AS756" s="799"/>
      <c r="AT756" s="799"/>
      <c r="AU756" s="799"/>
      <c r="AV756" s="799"/>
      <c r="AW756" s="799"/>
      <c r="AX756" s="799"/>
      <c r="AY756" s="799"/>
      <c r="AZ756" s="799"/>
      <c r="BA756" s="799"/>
      <c r="BB756" s="799"/>
      <c r="BC756" s="799"/>
      <c r="BD756" s="799"/>
      <c r="BE756" s="799"/>
      <c r="BF756" s="799"/>
      <c r="BG756" s="799"/>
    </row>
    <row r="757">
      <c r="H757" s="799"/>
      <c r="I757" s="799"/>
      <c r="J757" s="799"/>
      <c r="K757" s="799"/>
      <c r="L757" s="799"/>
      <c r="M757" s="799"/>
      <c r="N757" s="799"/>
      <c r="O757" s="799"/>
      <c r="P757" s="799"/>
      <c r="Q757" s="799"/>
      <c r="R757" s="799"/>
      <c r="S757" s="799"/>
      <c r="T757" s="799"/>
      <c r="U757" s="799"/>
      <c r="V757" s="799"/>
      <c r="W757" s="799"/>
      <c r="X757" s="799"/>
      <c r="Y757" s="799"/>
      <c r="Z757" s="799"/>
      <c r="AA757" s="799"/>
      <c r="AB757" s="799"/>
      <c r="AC757" s="799"/>
      <c r="AD757" s="799"/>
      <c r="AE757" s="799"/>
      <c r="AF757" s="799"/>
      <c r="AG757" s="799"/>
      <c r="AH757" s="799"/>
      <c r="AI757" s="799"/>
      <c r="AJ757" s="799"/>
      <c r="AK757" s="799"/>
      <c r="AL757" s="799"/>
      <c r="AM757" s="799"/>
      <c r="AN757" s="799"/>
      <c r="AO757" s="799"/>
      <c r="AP757" s="799"/>
      <c r="AQ757" s="799"/>
      <c r="AR757" s="799"/>
      <c r="AS757" s="799"/>
      <c r="AT757" s="799"/>
      <c r="AU757" s="799"/>
      <c r="AV757" s="799"/>
      <c r="AW757" s="799"/>
      <c r="AX757" s="799"/>
      <c r="AY757" s="799"/>
      <c r="AZ757" s="799"/>
      <c r="BA757" s="799"/>
      <c r="BB757" s="799"/>
      <c r="BC757" s="799"/>
      <c r="BD757" s="799"/>
      <c r="BE757" s="799"/>
      <c r="BF757" s="799"/>
      <c r="BG757" s="799"/>
    </row>
    <row r="758">
      <c r="H758" s="799"/>
      <c r="I758" s="799"/>
      <c r="J758" s="799"/>
      <c r="K758" s="799"/>
      <c r="L758" s="799"/>
      <c r="M758" s="799"/>
      <c r="N758" s="799"/>
      <c r="O758" s="799"/>
      <c r="P758" s="799"/>
      <c r="Q758" s="799"/>
      <c r="R758" s="799"/>
      <c r="S758" s="799"/>
      <c r="T758" s="799"/>
      <c r="U758" s="799"/>
      <c r="V758" s="799"/>
      <c r="W758" s="799"/>
      <c r="X758" s="799"/>
      <c r="Y758" s="799"/>
      <c r="Z758" s="799"/>
      <c r="AA758" s="799"/>
      <c r="AB758" s="799"/>
      <c r="AC758" s="799"/>
      <c r="AD758" s="799"/>
      <c r="AE758" s="799"/>
      <c r="AF758" s="799"/>
      <c r="AG758" s="799"/>
      <c r="AH758" s="799"/>
      <c r="AI758" s="799"/>
      <c r="AJ758" s="799"/>
      <c r="AK758" s="799"/>
      <c r="AL758" s="799"/>
      <c r="AM758" s="799"/>
      <c r="AN758" s="799"/>
      <c r="AO758" s="799"/>
      <c r="AP758" s="799"/>
      <c r="AQ758" s="799"/>
      <c r="AR758" s="799"/>
      <c r="AS758" s="799"/>
      <c r="AT758" s="799"/>
      <c r="AU758" s="799"/>
      <c r="AV758" s="799"/>
      <c r="AW758" s="799"/>
      <c r="AX758" s="799"/>
      <c r="AY758" s="799"/>
      <c r="AZ758" s="799"/>
      <c r="BA758" s="799"/>
      <c r="BB758" s="799"/>
      <c r="BC758" s="799"/>
      <c r="BD758" s="799"/>
      <c r="BE758" s="799"/>
      <c r="BF758" s="799"/>
      <c r="BG758" s="799"/>
    </row>
    <row r="759">
      <c r="H759" s="799"/>
      <c r="I759" s="799"/>
      <c r="J759" s="799"/>
      <c r="K759" s="799"/>
      <c r="L759" s="799"/>
      <c r="M759" s="799"/>
      <c r="N759" s="799"/>
      <c r="O759" s="799"/>
      <c r="P759" s="799"/>
      <c r="Q759" s="799"/>
      <c r="R759" s="799"/>
      <c r="S759" s="799"/>
      <c r="T759" s="799"/>
      <c r="U759" s="799"/>
      <c r="V759" s="799"/>
      <c r="W759" s="799"/>
      <c r="X759" s="799"/>
      <c r="Y759" s="799"/>
      <c r="Z759" s="799"/>
      <c r="AA759" s="799"/>
      <c r="AB759" s="799"/>
      <c r="AC759" s="799"/>
      <c r="AD759" s="799"/>
      <c r="AE759" s="799"/>
      <c r="AF759" s="799"/>
      <c r="AG759" s="799"/>
      <c r="AH759" s="799"/>
      <c r="AI759" s="799"/>
      <c r="AJ759" s="799"/>
      <c r="AK759" s="799"/>
      <c r="AL759" s="799"/>
      <c r="AM759" s="799"/>
      <c r="AN759" s="799"/>
      <c r="AO759" s="799"/>
      <c r="AP759" s="799"/>
      <c r="AQ759" s="799"/>
      <c r="AR759" s="799"/>
      <c r="AS759" s="799"/>
      <c r="AT759" s="799"/>
      <c r="AU759" s="799"/>
      <c r="AV759" s="799"/>
      <c r="AW759" s="799"/>
      <c r="AX759" s="799"/>
      <c r="AY759" s="799"/>
      <c r="AZ759" s="799"/>
      <c r="BA759" s="799"/>
      <c r="BB759" s="799"/>
      <c r="BC759" s="799"/>
      <c r="BD759" s="799"/>
      <c r="BE759" s="799"/>
      <c r="BF759" s="799"/>
      <c r="BG759" s="799"/>
    </row>
    <row r="760">
      <c r="H760" s="799"/>
      <c r="I760" s="799"/>
      <c r="J760" s="799"/>
      <c r="K760" s="799"/>
      <c r="L760" s="799"/>
      <c r="M760" s="799"/>
      <c r="N760" s="799"/>
      <c r="O760" s="799"/>
      <c r="P760" s="799"/>
      <c r="Q760" s="799"/>
      <c r="R760" s="799"/>
      <c r="S760" s="799"/>
      <c r="T760" s="799"/>
      <c r="U760" s="799"/>
      <c r="V760" s="799"/>
      <c r="W760" s="799"/>
      <c r="X760" s="799"/>
      <c r="Y760" s="799"/>
      <c r="Z760" s="799"/>
      <c r="AA760" s="799"/>
      <c r="AB760" s="799"/>
      <c r="AC760" s="799"/>
      <c r="AD760" s="799"/>
      <c r="AE760" s="799"/>
      <c r="AF760" s="799"/>
      <c r="AG760" s="799"/>
      <c r="AH760" s="799"/>
      <c r="AI760" s="799"/>
      <c r="AJ760" s="799"/>
      <c r="AK760" s="799"/>
      <c r="AL760" s="799"/>
      <c r="AM760" s="799"/>
      <c r="AN760" s="799"/>
      <c r="AO760" s="799"/>
      <c r="AP760" s="799"/>
      <c r="AQ760" s="799"/>
      <c r="AR760" s="799"/>
      <c r="AS760" s="799"/>
      <c r="AT760" s="799"/>
      <c r="AU760" s="799"/>
      <c r="AV760" s="799"/>
      <c r="AW760" s="799"/>
      <c r="AX760" s="799"/>
      <c r="AY760" s="799"/>
      <c r="AZ760" s="799"/>
      <c r="BA760" s="799"/>
      <c r="BB760" s="799"/>
      <c r="BC760" s="799"/>
      <c r="BD760" s="799"/>
      <c r="BE760" s="799"/>
      <c r="BF760" s="799"/>
      <c r="BG760" s="799"/>
    </row>
    <row r="761">
      <c r="H761" s="799"/>
      <c r="I761" s="799"/>
      <c r="J761" s="799"/>
      <c r="K761" s="799"/>
      <c r="L761" s="799"/>
      <c r="M761" s="799"/>
      <c r="N761" s="799"/>
      <c r="O761" s="799"/>
      <c r="P761" s="799"/>
      <c r="Q761" s="799"/>
      <c r="R761" s="799"/>
      <c r="S761" s="799"/>
      <c r="T761" s="799"/>
      <c r="U761" s="799"/>
      <c r="V761" s="799"/>
      <c r="W761" s="799"/>
      <c r="X761" s="799"/>
      <c r="Y761" s="799"/>
      <c r="Z761" s="799"/>
      <c r="AA761" s="799"/>
      <c r="AB761" s="799"/>
      <c r="AC761" s="799"/>
      <c r="AD761" s="799"/>
      <c r="AE761" s="799"/>
      <c r="AF761" s="799"/>
      <c r="AG761" s="799"/>
      <c r="AH761" s="799"/>
      <c r="AI761" s="799"/>
      <c r="AJ761" s="799"/>
      <c r="AK761" s="799"/>
      <c r="AL761" s="799"/>
      <c r="AM761" s="799"/>
      <c r="AN761" s="799"/>
      <c r="AO761" s="799"/>
      <c r="AP761" s="799"/>
      <c r="AQ761" s="799"/>
      <c r="AR761" s="799"/>
      <c r="AS761" s="799"/>
      <c r="AT761" s="799"/>
      <c r="AU761" s="799"/>
      <c r="AV761" s="799"/>
      <c r="AW761" s="799"/>
      <c r="AX761" s="799"/>
      <c r="AY761" s="799"/>
      <c r="AZ761" s="799"/>
      <c r="BA761" s="799"/>
      <c r="BB761" s="799"/>
      <c r="BC761" s="799"/>
      <c r="BD761" s="799"/>
      <c r="BE761" s="799"/>
      <c r="BF761" s="799"/>
      <c r="BG761" s="799"/>
    </row>
    <row r="762">
      <c r="H762" s="799"/>
      <c r="I762" s="799"/>
      <c r="J762" s="799"/>
      <c r="K762" s="799"/>
      <c r="L762" s="799"/>
      <c r="M762" s="799"/>
      <c r="N762" s="799"/>
      <c r="O762" s="799"/>
      <c r="P762" s="799"/>
      <c r="Q762" s="799"/>
      <c r="R762" s="799"/>
      <c r="S762" s="799"/>
      <c r="T762" s="799"/>
      <c r="U762" s="799"/>
      <c r="V762" s="799"/>
      <c r="W762" s="799"/>
      <c r="X762" s="799"/>
      <c r="Y762" s="799"/>
      <c r="Z762" s="799"/>
      <c r="AA762" s="799"/>
      <c r="AB762" s="799"/>
      <c r="AC762" s="799"/>
      <c r="AD762" s="799"/>
      <c r="AE762" s="799"/>
      <c r="AF762" s="799"/>
      <c r="AG762" s="799"/>
      <c r="AH762" s="799"/>
      <c r="AI762" s="799"/>
      <c r="AJ762" s="799"/>
      <c r="AK762" s="799"/>
      <c r="AL762" s="799"/>
      <c r="AM762" s="799"/>
      <c r="AN762" s="799"/>
      <c r="AO762" s="799"/>
      <c r="AP762" s="799"/>
      <c r="AQ762" s="799"/>
      <c r="AR762" s="799"/>
      <c r="AS762" s="799"/>
      <c r="AT762" s="799"/>
      <c r="AU762" s="799"/>
      <c r="AV762" s="799"/>
      <c r="AW762" s="799"/>
      <c r="AX762" s="799"/>
      <c r="AY762" s="799"/>
      <c r="AZ762" s="799"/>
      <c r="BA762" s="799"/>
      <c r="BB762" s="799"/>
      <c r="BC762" s="799"/>
      <c r="BD762" s="799"/>
      <c r="BE762" s="799"/>
      <c r="BF762" s="799"/>
      <c r="BG762" s="799"/>
    </row>
    <row r="763">
      <c r="H763" s="799"/>
      <c r="I763" s="799"/>
      <c r="J763" s="799"/>
      <c r="K763" s="799"/>
      <c r="L763" s="799"/>
      <c r="M763" s="799"/>
      <c r="N763" s="799"/>
      <c r="O763" s="799"/>
      <c r="P763" s="799"/>
      <c r="Q763" s="799"/>
      <c r="R763" s="799"/>
      <c r="S763" s="799"/>
      <c r="T763" s="799"/>
      <c r="U763" s="799"/>
      <c r="V763" s="799"/>
      <c r="W763" s="799"/>
      <c r="X763" s="799"/>
      <c r="Y763" s="799"/>
      <c r="Z763" s="799"/>
      <c r="AA763" s="799"/>
      <c r="AB763" s="799"/>
      <c r="AC763" s="799"/>
      <c r="AD763" s="799"/>
      <c r="AE763" s="799"/>
      <c r="AF763" s="799"/>
      <c r="AG763" s="799"/>
      <c r="AH763" s="799"/>
      <c r="AI763" s="799"/>
      <c r="AJ763" s="799"/>
      <c r="AK763" s="799"/>
      <c r="AL763" s="799"/>
      <c r="AM763" s="799"/>
      <c r="AN763" s="799"/>
      <c r="AO763" s="799"/>
      <c r="AP763" s="799"/>
      <c r="AQ763" s="799"/>
      <c r="AR763" s="799"/>
      <c r="AS763" s="799"/>
      <c r="AT763" s="799"/>
      <c r="AU763" s="799"/>
      <c r="AV763" s="799"/>
      <c r="AW763" s="799"/>
      <c r="AX763" s="799"/>
      <c r="AY763" s="799"/>
      <c r="AZ763" s="799"/>
      <c r="BA763" s="799"/>
      <c r="BB763" s="799"/>
      <c r="BC763" s="799"/>
      <c r="BD763" s="799"/>
      <c r="BE763" s="799"/>
      <c r="BF763" s="799"/>
      <c r="BG763" s="799"/>
    </row>
    <row r="764">
      <c r="H764" s="799"/>
      <c r="I764" s="799"/>
      <c r="J764" s="799"/>
      <c r="K764" s="799"/>
      <c r="L764" s="799"/>
      <c r="M764" s="799"/>
      <c r="N764" s="799"/>
      <c r="O764" s="799"/>
      <c r="P764" s="799"/>
      <c r="Q764" s="799"/>
      <c r="R764" s="799"/>
      <c r="S764" s="799"/>
      <c r="T764" s="799"/>
      <c r="U764" s="799"/>
      <c r="V764" s="799"/>
      <c r="W764" s="799"/>
      <c r="X764" s="799"/>
      <c r="Y764" s="799"/>
      <c r="Z764" s="799"/>
      <c r="AA764" s="799"/>
      <c r="AB764" s="799"/>
      <c r="AC764" s="799"/>
      <c r="AD764" s="799"/>
      <c r="AE764" s="799"/>
      <c r="AF764" s="799"/>
      <c r="AG764" s="799"/>
      <c r="AH764" s="799"/>
      <c r="AI764" s="799"/>
      <c r="AJ764" s="799"/>
      <c r="AK764" s="799"/>
      <c r="AL764" s="799"/>
      <c r="AM764" s="799"/>
      <c r="AN764" s="799"/>
      <c r="AO764" s="799"/>
      <c r="AP764" s="799"/>
      <c r="AQ764" s="799"/>
      <c r="AR764" s="799"/>
      <c r="AS764" s="799"/>
      <c r="AT764" s="799"/>
      <c r="AU764" s="799"/>
      <c r="AV764" s="799"/>
      <c r="AW764" s="799"/>
      <c r="AX764" s="799"/>
      <c r="AY764" s="799"/>
      <c r="AZ764" s="799"/>
      <c r="BA764" s="799"/>
      <c r="BB764" s="799"/>
      <c r="BC764" s="799"/>
      <c r="BD764" s="799"/>
      <c r="BE764" s="799"/>
      <c r="BF764" s="799"/>
      <c r="BG764" s="799"/>
    </row>
    <row r="765">
      <c r="H765" s="799"/>
      <c r="I765" s="799"/>
      <c r="J765" s="799"/>
      <c r="K765" s="799"/>
      <c r="L765" s="799"/>
      <c r="M765" s="799"/>
      <c r="N765" s="799"/>
      <c r="O765" s="799"/>
      <c r="P765" s="799"/>
      <c r="Q765" s="799"/>
      <c r="R765" s="799"/>
      <c r="S765" s="799"/>
      <c r="T765" s="799"/>
      <c r="U765" s="799"/>
      <c r="V765" s="799"/>
      <c r="W765" s="799"/>
      <c r="X765" s="799"/>
      <c r="Y765" s="799"/>
      <c r="Z765" s="799"/>
      <c r="AA765" s="799"/>
      <c r="AB765" s="799"/>
      <c r="AC765" s="799"/>
      <c r="AD765" s="799"/>
      <c r="AE765" s="799"/>
      <c r="AF765" s="799"/>
      <c r="AG765" s="799"/>
      <c r="AH765" s="799"/>
      <c r="AI765" s="799"/>
      <c r="AJ765" s="799"/>
      <c r="AK765" s="799"/>
      <c r="AL765" s="799"/>
      <c r="AM765" s="799"/>
      <c r="AN765" s="799"/>
      <c r="AO765" s="799"/>
      <c r="AP765" s="799"/>
      <c r="AQ765" s="799"/>
      <c r="AR765" s="799"/>
      <c r="AS765" s="799"/>
      <c r="AT765" s="799"/>
      <c r="AU765" s="799"/>
      <c r="AV765" s="799"/>
      <c r="AW765" s="799"/>
      <c r="AX765" s="799"/>
      <c r="AY765" s="799"/>
      <c r="AZ765" s="799"/>
      <c r="BA765" s="799"/>
      <c r="BB765" s="799"/>
      <c r="BC765" s="799"/>
      <c r="BD765" s="799"/>
      <c r="BE765" s="799"/>
      <c r="BF765" s="799"/>
      <c r="BG765" s="799"/>
    </row>
    <row r="766">
      <c r="H766" s="799"/>
      <c r="I766" s="799"/>
      <c r="J766" s="799"/>
      <c r="K766" s="799"/>
      <c r="L766" s="799"/>
      <c r="M766" s="799"/>
      <c r="N766" s="799"/>
      <c r="O766" s="799"/>
      <c r="P766" s="799"/>
      <c r="Q766" s="799"/>
      <c r="R766" s="799"/>
      <c r="S766" s="799"/>
      <c r="T766" s="799"/>
      <c r="U766" s="799"/>
      <c r="V766" s="799"/>
      <c r="W766" s="799"/>
      <c r="X766" s="799"/>
      <c r="Y766" s="799"/>
      <c r="Z766" s="799"/>
      <c r="AA766" s="799"/>
      <c r="AB766" s="799"/>
      <c r="AC766" s="799"/>
      <c r="AD766" s="799"/>
      <c r="AE766" s="799"/>
      <c r="AF766" s="799"/>
      <c r="AG766" s="799"/>
      <c r="AH766" s="799"/>
      <c r="AI766" s="799"/>
      <c r="AJ766" s="799"/>
      <c r="AK766" s="799"/>
      <c r="AL766" s="799"/>
      <c r="AM766" s="799"/>
      <c r="AN766" s="799"/>
      <c r="AO766" s="799"/>
      <c r="AP766" s="799"/>
      <c r="AQ766" s="799"/>
      <c r="AR766" s="799"/>
      <c r="AS766" s="799"/>
      <c r="AT766" s="799"/>
      <c r="AU766" s="799"/>
      <c r="AV766" s="799"/>
      <c r="AW766" s="799"/>
      <c r="AX766" s="799"/>
      <c r="AY766" s="799"/>
      <c r="AZ766" s="799"/>
      <c r="BA766" s="799"/>
      <c r="BB766" s="799"/>
      <c r="BC766" s="799"/>
      <c r="BD766" s="799"/>
      <c r="BE766" s="799"/>
      <c r="BF766" s="799"/>
      <c r="BG766" s="799"/>
    </row>
    <row r="767">
      <c r="H767" s="799"/>
      <c r="I767" s="799"/>
      <c r="J767" s="799"/>
      <c r="K767" s="799"/>
      <c r="L767" s="799"/>
      <c r="M767" s="799"/>
      <c r="N767" s="799"/>
      <c r="O767" s="799"/>
      <c r="P767" s="799"/>
      <c r="Q767" s="799"/>
      <c r="R767" s="799"/>
      <c r="S767" s="799"/>
      <c r="T767" s="799"/>
      <c r="U767" s="799"/>
      <c r="V767" s="799"/>
      <c r="W767" s="799"/>
      <c r="X767" s="799"/>
      <c r="Y767" s="799"/>
      <c r="Z767" s="799"/>
      <c r="AA767" s="799"/>
      <c r="AB767" s="799"/>
      <c r="AC767" s="799"/>
      <c r="AD767" s="799"/>
      <c r="AE767" s="799"/>
      <c r="AF767" s="799"/>
      <c r="AG767" s="799"/>
      <c r="AH767" s="799"/>
      <c r="AI767" s="799"/>
      <c r="AJ767" s="799"/>
      <c r="AK767" s="799"/>
      <c r="AL767" s="799"/>
      <c r="AM767" s="799"/>
      <c r="AN767" s="799"/>
      <c r="AO767" s="799"/>
      <c r="AP767" s="799"/>
      <c r="AQ767" s="799"/>
      <c r="AR767" s="799"/>
      <c r="AS767" s="799"/>
      <c r="AT767" s="799"/>
      <c r="AU767" s="799"/>
      <c r="AV767" s="799"/>
      <c r="AW767" s="799"/>
      <c r="AX767" s="799"/>
      <c r="AY767" s="799"/>
      <c r="AZ767" s="799"/>
      <c r="BA767" s="799"/>
      <c r="BB767" s="799"/>
      <c r="BC767" s="799"/>
      <c r="BD767" s="799"/>
      <c r="BE767" s="799"/>
      <c r="BF767" s="799"/>
      <c r="BG767" s="799"/>
    </row>
    <row r="768">
      <c r="H768" s="799"/>
      <c r="I768" s="799"/>
      <c r="J768" s="799"/>
      <c r="K768" s="799"/>
      <c r="L768" s="799"/>
      <c r="M768" s="799"/>
      <c r="N768" s="799"/>
      <c r="O768" s="799"/>
      <c r="P768" s="799"/>
      <c r="Q768" s="799"/>
      <c r="R768" s="799"/>
      <c r="S768" s="799"/>
      <c r="T768" s="799"/>
      <c r="U768" s="799"/>
      <c r="V768" s="799"/>
      <c r="W768" s="799"/>
      <c r="X768" s="799"/>
      <c r="Y768" s="799"/>
      <c r="Z768" s="799"/>
      <c r="AA768" s="799"/>
      <c r="AB768" s="799"/>
      <c r="AC768" s="799"/>
      <c r="AD768" s="799"/>
      <c r="AE768" s="799"/>
      <c r="AF768" s="799"/>
      <c r="AG768" s="799"/>
      <c r="AH768" s="799"/>
      <c r="AI768" s="799"/>
      <c r="AJ768" s="799"/>
      <c r="AK768" s="799"/>
      <c r="AL768" s="799"/>
      <c r="AM768" s="799"/>
      <c r="AN768" s="799"/>
      <c r="AO768" s="799"/>
      <c r="AP768" s="799"/>
      <c r="AQ768" s="799"/>
      <c r="AR768" s="799"/>
      <c r="AS768" s="799"/>
      <c r="AT768" s="799"/>
      <c r="AU768" s="799"/>
      <c r="AV768" s="799"/>
      <c r="AW768" s="799"/>
      <c r="AX768" s="799"/>
      <c r="AY768" s="799"/>
      <c r="AZ768" s="799"/>
      <c r="BA768" s="799"/>
      <c r="BB768" s="799"/>
      <c r="BC768" s="799"/>
      <c r="BD768" s="799"/>
      <c r="BE768" s="799"/>
      <c r="BF768" s="799"/>
      <c r="BG768" s="799"/>
    </row>
    <row r="769">
      <c r="H769" s="799"/>
      <c r="I769" s="799"/>
      <c r="J769" s="799"/>
      <c r="K769" s="799"/>
      <c r="L769" s="799"/>
      <c r="M769" s="799"/>
      <c r="N769" s="799"/>
      <c r="O769" s="799"/>
      <c r="P769" s="799"/>
      <c r="Q769" s="799"/>
      <c r="R769" s="799"/>
      <c r="S769" s="799"/>
      <c r="T769" s="799"/>
      <c r="U769" s="799"/>
      <c r="V769" s="799"/>
      <c r="W769" s="799"/>
      <c r="X769" s="799"/>
      <c r="Y769" s="799"/>
      <c r="Z769" s="799"/>
      <c r="AA769" s="799"/>
      <c r="AB769" s="799"/>
      <c r="AC769" s="799"/>
      <c r="AD769" s="799"/>
      <c r="AE769" s="799"/>
      <c r="AF769" s="799"/>
      <c r="AG769" s="799"/>
      <c r="AH769" s="799"/>
      <c r="AI769" s="799"/>
      <c r="AJ769" s="799"/>
      <c r="AK769" s="799"/>
      <c r="AL769" s="799"/>
      <c r="AM769" s="799"/>
      <c r="AN769" s="799"/>
      <c r="AO769" s="799"/>
      <c r="AP769" s="799"/>
      <c r="AQ769" s="799"/>
      <c r="AR769" s="799"/>
      <c r="AS769" s="799"/>
      <c r="AT769" s="799"/>
      <c r="AU769" s="799"/>
      <c r="AV769" s="799"/>
      <c r="AW769" s="799"/>
      <c r="AX769" s="799"/>
      <c r="AY769" s="799"/>
      <c r="AZ769" s="799"/>
      <c r="BA769" s="799"/>
      <c r="BB769" s="799"/>
      <c r="BC769" s="799"/>
      <c r="BD769" s="799"/>
      <c r="BE769" s="799"/>
      <c r="BF769" s="799"/>
      <c r="BG769" s="799"/>
    </row>
    <row r="770">
      <c r="H770" s="799"/>
      <c r="I770" s="799"/>
      <c r="J770" s="799"/>
      <c r="K770" s="799"/>
      <c r="L770" s="799"/>
      <c r="M770" s="799"/>
      <c r="N770" s="799"/>
      <c r="O770" s="799"/>
      <c r="P770" s="799"/>
      <c r="Q770" s="799"/>
      <c r="R770" s="799"/>
      <c r="S770" s="799"/>
      <c r="T770" s="799"/>
      <c r="U770" s="799"/>
      <c r="V770" s="799"/>
      <c r="W770" s="799"/>
      <c r="X770" s="799"/>
      <c r="Y770" s="799"/>
      <c r="Z770" s="799"/>
      <c r="AA770" s="799"/>
      <c r="AB770" s="799"/>
      <c r="AC770" s="799"/>
      <c r="AD770" s="799"/>
      <c r="AE770" s="799"/>
      <c r="AF770" s="799"/>
      <c r="AG770" s="799"/>
      <c r="AH770" s="799"/>
      <c r="AI770" s="799"/>
      <c r="AJ770" s="799"/>
      <c r="AK770" s="799"/>
      <c r="AL770" s="799"/>
      <c r="AM770" s="799"/>
      <c r="AN770" s="799"/>
      <c r="AO770" s="799"/>
      <c r="AP770" s="799"/>
      <c r="AQ770" s="799"/>
      <c r="AR770" s="799"/>
      <c r="AS770" s="799"/>
      <c r="AT770" s="799"/>
      <c r="AU770" s="799"/>
      <c r="AV770" s="799"/>
      <c r="AW770" s="799"/>
      <c r="AX770" s="799"/>
      <c r="AY770" s="799"/>
      <c r="AZ770" s="799"/>
      <c r="BA770" s="799"/>
      <c r="BB770" s="799"/>
      <c r="BC770" s="799"/>
      <c r="BD770" s="799"/>
      <c r="BE770" s="799"/>
      <c r="BF770" s="799"/>
      <c r="BG770" s="799"/>
    </row>
    <row r="771">
      <c r="H771" s="799"/>
      <c r="I771" s="799"/>
      <c r="J771" s="799"/>
      <c r="K771" s="799"/>
      <c r="L771" s="799"/>
      <c r="M771" s="799"/>
      <c r="N771" s="799"/>
      <c r="O771" s="799"/>
      <c r="P771" s="799"/>
      <c r="Q771" s="799"/>
      <c r="R771" s="799"/>
      <c r="S771" s="799"/>
      <c r="T771" s="799"/>
      <c r="U771" s="799"/>
      <c r="V771" s="799"/>
      <c r="W771" s="799"/>
      <c r="X771" s="799"/>
      <c r="Y771" s="799"/>
      <c r="Z771" s="799"/>
      <c r="AA771" s="799"/>
      <c r="AB771" s="799"/>
      <c r="AC771" s="799"/>
      <c r="AD771" s="799"/>
      <c r="AE771" s="799"/>
      <c r="AF771" s="799"/>
      <c r="AG771" s="799"/>
      <c r="AH771" s="799"/>
      <c r="AI771" s="799"/>
      <c r="AJ771" s="799"/>
      <c r="AK771" s="799"/>
      <c r="AL771" s="799"/>
      <c r="AM771" s="799"/>
      <c r="AN771" s="799"/>
      <c r="AO771" s="799"/>
      <c r="AP771" s="799"/>
      <c r="AQ771" s="799"/>
      <c r="AR771" s="799"/>
      <c r="AS771" s="799"/>
      <c r="AT771" s="799"/>
      <c r="AU771" s="799"/>
      <c r="AV771" s="799"/>
      <c r="AW771" s="799"/>
      <c r="AX771" s="799"/>
      <c r="AY771" s="799"/>
      <c r="AZ771" s="799"/>
      <c r="BA771" s="799"/>
      <c r="BB771" s="799"/>
      <c r="BC771" s="799"/>
      <c r="BD771" s="799"/>
      <c r="BE771" s="799"/>
      <c r="BF771" s="799"/>
      <c r="BG771" s="799"/>
    </row>
    <row r="772">
      <c r="H772" s="799"/>
      <c r="I772" s="799"/>
      <c r="J772" s="799"/>
      <c r="K772" s="799"/>
      <c r="L772" s="799"/>
      <c r="M772" s="799"/>
      <c r="N772" s="799"/>
      <c r="O772" s="799"/>
      <c r="P772" s="799"/>
      <c r="Q772" s="799"/>
      <c r="R772" s="799"/>
      <c r="S772" s="799"/>
      <c r="T772" s="799"/>
      <c r="U772" s="799"/>
      <c r="V772" s="799"/>
      <c r="W772" s="799"/>
      <c r="X772" s="799"/>
      <c r="Y772" s="799"/>
      <c r="Z772" s="799"/>
      <c r="AA772" s="799"/>
      <c r="AB772" s="799"/>
      <c r="AC772" s="799"/>
      <c r="AD772" s="799"/>
      <c r="AE772" s="799"/>
      <c r="AF772" s="799"/>
      <c r="AG772" s="799"/>
      <c r="AH772" s="799"/>
      <c r="AI772" s="799"/>
      <c r="AJ772" s="799"/>
      <c r="AK772" s="799"/>
      <c r="AL772" s="799"/>
      <c r="AM772" s="799"/>
      <c r="AN772" s="799"/>
      <c r="AO772" s="799"/>
      <c r="AP772" s="799"/>
      <c r="AQ772" s="799"/>
      <c r="AR772" s="799"/>
      <c r="AS772" s="799"/>
      <c r="AT772" s="799"/>
      <c r="AU772" s="799"/>
      <c r="AV772" s="799"/>
      <c r="AW772" s="799"/>
      <c r="AX772" s="799"/>
      <c r="AY772" s="799"/>
      <c r="AZ772" s="799"/>
      <c r="BA772" s="799"/>
      <c r="BB772" s="799"/>
      <c r="BC772" s="799"/>
      <c r="BD772" s="799"/>
      <c r="BE772" s="799"/>
      <c r="BF772" s="799"/>
      <c r="BG772" s="799"/>
    </row>
    <row r="773">
      <c r="H773" s="799"/>
      <c r="I773" s="799"/>
      <c r="J773" s="799"/>
      <c r="K773" s="799"/>
      <c r="L773" s="799"/>
      <c r="M773" s="799"/>
      <c r="N773" s="799"/>
      <c r="O773" s="799"/>
      <c r="P773" s="799"/>
      <c r="Q773" s="799"/>
      <c r="R773" s="799"/>
      <c r="S773" s="799"/>
      <c r="T773" s="799"/>
      <c r="U773" s="799"/>
      <c r="V773" s="799"/>
      <c r="W773" s="799"/>
      <c r="X773" s="799"/>
      <c r="Y773" s="799"/>
      <c r="Z773" s="799"/>
      <c r="AA773" s="799"/>
      <c r="AB773" s="799"/>
      <c r="AC773" s="799"/>
      <c r="AD773" s="799"/>
      <c r="AE773" s="799"/>
      <c r="AF773" s="799"/>
      <c r="AG773" s="799"/>
      <c r="AH773" s="799"/>
      <c r="AI773" s="799"/>
      <c r="AJ773" s="799"/>
      <c r="AK773" s="799"/>
      <c r="AL773" s="799"/>
      <c r="AM773" s="799"/>
      <c r="AN773" s="799"/>
      <c r="AO773" s="799"/>
      <c r="AP773" s="799"/>
      <c r="AQ773" s="799"/>
      <c r="AR773" s="799"/>
      <c r="AS773" s="799"/>
      <c r="AT773" s="799"/>
      <c r="AU773" s="799"/>
      <c r="AV773" s="799"/>
      <c r="AW773" s="799"/>
      <c r="AX773" s="799"/>
      <c r="AY773" s="799"/>
      <c r="AZ773" s="799"/>
      <c r="BA773" s="799"/>
      <c r="BB773" s="799"/>
      <c r="BC773" s="799"/>
      <c r="BD773" s="799"/>
      <c r="BE773" s="799"/>
      <c r="BF773" s="799"/>
      <c r="BG773" s="799"/>
    </row>
    <row r="774">
      <c r="H774" s="799"/>
      <c r="I774" s="799"/>
      <c r="J774" s="799"/>
      <c r="K774" s="799"/>
      <c r="L774" s="799"/>
      <c r="M774" s="799"/>
      <c r="N774" s="799"/>
      <c r="O774" s="799"/>
      <c r="P774" s="799"/>
      <c r="Q774" s="799"/>
      <c r="R774" s="799"/>
      <c r="S774" s="799"/>
      <c r="T774" s="799"/>
      <c r="U774" s="799"/>
      <c r="V774" s="799"/>
      <c r="W774" s="799"/>
      <c r="X774" s="799"/>
      <c r="Y774" s="799"/>
      <c r="Z774" s="799"/>
      <c r="AA774" s="799"/>
      <c r="AB774" s="799"/>
      <c r="AC774" s="799"/>
      <c r="AD774" s="799"/>
      <c r="AE774" s="799"/>
      <c r="AF774" s="799"/>
      <c r="AG774" s="799"/>
      <c r="AH774" s="799"/>
      <c r="AI774" s="799"/>
      <c r="AJ774" s="799"/>
      <c r="AK774" s="799"/>
      <c r="AL774" s="799"/>
      <c r="AM774" s="799"/>
      <c r="AN774" s="799"/>
      <c r="AO774" s="799"/>
      <c r="AP774" s="799"/>
      <c r="AQ774" s="799"/>
      <c r="AR774" s="799"/>
      <c r="AS774" s="799"/>
      <c r="AT774" s="799"/>
      <c r="AU774" s="799"/>
      <c r="AV774" s="799"/>
      <c r="AW774" s="799"/>
      <c r="AX774" s="799"/>
      <c r="AY774" s="799"/>
      <c r="AZ774" s="799"/>
      <c r="BA774" s="799"/>
      <c r="BB774" s="799"/>
      <c r="BC774" s="799"/>
      <c r="BD774" s="799"/>
      <c r="BE774" s="799"/>
      <c r="BF774" s="799"/>
      <c r="BG774" s="799"/>
    </row>
    <row r="775">
      <c r="H775" s="799"/>
      <c r="I775" s="799"/>
      <c r="J775" s="799"/>
      <c r="K775" s="799"/>
      <c r="L775" s="799"/>
      <c r="M775" s="799"/>
      <c r="N775" s="799"/>
      <c r="O775" s="799"/>
      <c r="P775" s="799"/>
      <c r="Q775" s="799"/>
      <c r="R775" s="799"/>
      <c r="S775" s="799"/>
      <c r="T775" s="799"/>
      <c r="U775" s="799"/>
      <c r="V775" s="799"/>
      <c r="W775" s="799"/>
      <c r="X775" s="799"/>
      <c r="Y775" s="799"/>
      <c r="Z775" s="799"/>
      <c r="AA775" s="799"/>
      <c r="AB775" s="799"/>
      <c r="AC775" s="799"/>
      <c r="AD775" s="799"/>
      <c r="AE775" s="799"/>
      <c r="AF775" s="799"/>
      <c r="AG775" s="799"/>
      <c r="AH775" s="799"/>
      <c r="AI775" s="799"/>
      <c r="AJ775" s="799"/>
      <c r="AK775" s="799"/>
      <c r="AL775" s="799"/>
      <c r="AM775" s="799"/>
      <c r="AN775" s="799"/>
      <c r="AO775" s="799"/>
      <c r="AP775" s="799"/>
      <c r="AQ775" s="799"/>
      <c r="AR775" s="799"/>
      <c r="AS775" s="799"/>
      <c r="AT775" s="799"/>
      <c r="AU775" s="799"/>
      <c r="AV775" s="799"/>
      <c r="AW775" s="799"/>
      <c r="AX775" s="799"/>
      <c r="AY775" s="799"/>
      <c r="AZ775" s="799"/>
      <c r="BA775" s="799"/>
      <c r="BB775" s="799"/>
      <c r="BC775" s="799"/>
      <c r="BD775" s="799"/>
      <c r="BE775" s="799"/>
      <c r="BF775" s="799"/>
      <c r="BG775" s="799"/>
    </row>
    <row r="776">
      <c r="H776" s="799"/>
      <c r="I776" s="799"/>
      <c r="J776" s="799"/>
      <c r="K776" s="799"/>
      <c r="L776" s="799"/>
      <c r="M776" s="799"/>
      <c r="N776" s="799"/>
      <c r="O776" s="799"/>
      <c r="P776" s="799"/>
      <c r="Q776" s="799"/>
      <c r="R776" s="799"/>
      <c r="S776" s="799"/>
      <c r="T776" s="799"/>
      <c r="U776" s="799"/>
      <c r="V776" s="799"/>
      <c r="W776" s="799"/>
      <c r="X776" s="799"/>
      <c r="Y776" s="799"/>
      <c r="Z776" s="799"/>
      <c r="AA776" s="799"/>
      <c r="AB776" s="799"/>
      <c r="AC776" s="799"/>
      <c r="AD776" s="799"/>
      <c r="AE776" s="799"/>
      <c r="AF776" s="799"/>
      <c r="AG776" s="799"/>
      <c r="AH776" s="799"/>
      <c r="AI776" s="799"/>
      <c r="AJ776" s="799"/>
      <c r="AK776" s="799"/>
      <c r="AL776" s="799"/>
      <c r="AM776" s="799"/>
      <c r="AN776" s="799"/>
      <c r="AO776" s="799"/>
      <c r="AP776" s="799"/>
      <c r="AQ776" s="799"/>
      <c r="AR776" s="799"/>
      <c r="AS776" s="799"/>
      <c r="AT776" s="799"/>
      <c r="AU776" s="799"/>
      <c r="AV776" s="799"/>
      <c r="AW776" s="799"/>
      <c r="AX776" s="799"/>
      <c r="AY776" s="799"/>
      <c r="AZ776" s="799"/>
      <c r="BA776" s="799"/>
      <c r="BB776" s="799"/>
      <c r="BC776" s="799"/>
      <c r="BD776" s="799"/>
      <c r="BE776" s="799"/>
      <c r="BF776" s="799"/>
      <c r="BG776" s="799"/>
    </row>
    <row r="777">
      <c r="H777" s="799"/>
      <c r="I777" s="799"/>
      <c r="J777" s="799"/>
      <c r="K777" s="799"/>
      <c r="L777" s="799"/>
      <c r="M777" s="799"/>
      <c r="N777" s="799"/>
      <c r="O777" s="799"/>
      <c r="P777" s="799"/>
      <c r="Q777" s="799"/>
      <c r="R777" s="799"/>
      <c r="S777" s="799"/>
      <c r="T777" s="799"/>
      <c r="U777" s="799"/>
      <c r="V777" s="799"/>
      <c r="W777" s="799"/>
      <c r="X777" s="799"/>
      <c r="Y777" s="799"/>
      <c r="Z777" s="799"/>
      <c r="AA777" s="799"/>
      <c r="AB777" s="799"/>
      <c r="AC777" s="799"/>
      <c r="AD777" s="799"/>
      <c r="AE777" s="799"/>
      <c r="AF777" s="799"/>
      <c r="AG777" s="799"/>
      <c r="AH777" s="799"/>
      <c r="AI777" s="799"/>
      <c r="AJ777" s="799"/>
      <c r="AK777" s="799"/>
      <c r="AL777" s="799"/>
      <c r="AM777" s="799"/>
      <c r="AN777" s="799"/>
      <c r="AO777" s="799"/>
      <c r="AP777" s="799"/>
      <c r="AQ777" s="799"/>
      <c r="AR777" s="799"/>
      <c r="AS777" s="799"/>
      <c r="AT777" s="799"/>
      <c r="AU777" s="799"/>
      <c r="AV777" s="799"/>
      <c r="AW777" s="799"/>
      <c r="AX777" s="799"/>
      <c r="AY777" s="799"/>
      <c r="AZ777" s="799"/>
      <c r="BA777" s="799"/>
      <c r="BB777" s="799"/>
      <c r="BC777" s="799"/>
      <c r="BD777" s="799"/>
      <c r="BE777" s="799"/>
      <c r="BF777" s="799"/>
      <c r="BG777" s="799"/>
    </row>
    <row r="778">
      <c r="H778" s="799"/>
      <c r="I778" s="799"/>
      <c r="J778" s="799"/>
      <c r="K778" s="799"/>
      <c r="L778" s="799"/>
      <c r="M778" s="799"/>
      <c r="N778" s="799"/>
      <c r="O778" s="799"/>
      <c r="P778" s="799"/>
      <c r="Q778" s="799"/>
      <c r="R778" s="799"/>
      <c r="S778" s="799"/>
      <c r="T778" s="799"/>
      <c r="U778" s="799"/>
      <c r="V778" s="799"/>
      <c r="W778" s="799"/>
      <c r="X778" s="799"/>
      <c r="Y778" s="799"/>
      <c r="Z778" s="799"/>
      <c r="AA778" s="799"/>
      <c r="AB778" s="799"/>
      <c r="AC778" s="799"/>
      <c r="AD778" s="799"/>
      <c r="AE778" s="799"/>
      <c r="AF778" s="799"/>
      <c r="AG778" s="799"/>
      <c r="AH778" s="799"/>
      <c r="AI778" s="799"/>
      <c r="AJ778" s="799"/>
      <c r="AK778" s="799"/>
      <c r="AL778" s="799"/>
      <c r="AM778" s="799"/>
      <c r="AN778" s="799"/>
      <c r="AO778" s="799"/>
      <c r="AP778" s="799"/>
      <c r="AQ778" s="799"/>
      <c r="AR778" s="799"/>
      <c r="AS778" s="799"/>
      <c r="AT778" s="799"/>
      <c r="AU778" s="799"/>
      <c r="AV778" s="799"/>
      <c r="AW778" s="799"/>
      <c r="AX778" s="799"/>
      <c r="AY778" s="799"/>
      <c r="AZ778" s="799"/>
      <c r="BA778" s="799"/>
      <c r="BB778" s="799"/>
      <c r="BC778" s="799"/>
      <c r="BD778" s="799"/>
      <c r="BE778" s="799"/>
      <c r="BF778" s="799"/>
      <c r="BG778" s="799"/>
    </row>
    <row r="779">
      <c r="H779" s="799"/>
      <c r="I779" s="799"/>
      <c r="J779" s="799"/>
      <c r="K779" s="799"/>
      <c r="L779" s="799"/>
      <c r="M779" s="799"/>
      <c r="N779" s="799"/>
      <c r="O779" s="799"/>
      <c r="P779" s="799"/>
      <c r="Q779" s="799"/>
      <c r="R779" s="799"/>
      <c r="S779" s="799"/>
      <c r="T779" s="799"/>
      <c r="U779" s="799"/>
      <c r="V779" s="799"/>
      <c r="W779" s="799"/>
      <c r="X779" s="799"/>
      <c r="Y779" s="799"/>
      <c r="Z779" s="799"/>
      <c r="AA779" s="799"/>
      <c r="AB779" s="799"/>
      <c r="AC779" s="799"/>
      <c r="AD779" s="799"/>
      <c r="AE779" s="799"/>
      <c r="AF779" s="799"/>
      <c r="AG779" s="799"/>
      <c r="AH779" s="799"/>
      <c r="AI779" s="799"/>
      <c r="AJ779" s="799"/>
      <c r="AK779" s="799"/>
      <c r="AL779" s="799"/>
      <c r="AM779" s="799"/>
      <c r="AN779" s="799"/>
      <c r="AO779" s="799"/>
      <c r="AP779" s="799"/>
      <c r="AQ779" s="799"/>
      <c r="AR779" s="799"/>
      <c r="AS779" s="799"/>
      <c r="AT779" s="799"/>
      <c r="AU779" s="799"/>
      <c r="AV779" s="799"/>
      <c r="AW779" s="799"/>
      <c r="AX779" s="799"/>
      <c r="AY779" s="799"/>
      <c r="AZ779" s="799"/>
      <c r="BA779" s="799"/>
      <c r="BB779" s="799"/>
      <c r="BC779" s="799"/>
      <c r="BD779" s="799"/>
      <c r="BE779" s="799"/>
      <c r="BF779" s="799"/>
      <c r="BG779" s="799"/>
    </row>
    <row r="780">
      <c r="H780" s="799"/>
      <c r="I780" s="799"/>
      <c r="J780" s="799"/>
      <c r="K780" s="799"/>
      <c r="L780" s="799"/>
      <c r="M780" s="799"/>
      <c r="N780" s="799"/>
      <c r="O780" s="799"/>
      <c r="P780" s="799"/>
      <c r="Q780" s="799"/>
      <c r="R780" s="799"/>
      <c r="S780" s="799"/>
      <c r="T780" s="799"/>
      <c r="U780" s="799"/>
      <c r="V780" s="799"/>
      <c r="W780" s="799"/>
      <c r="X780" s="799"/>
      <c r="Y780" s="799"/>
      <c r="Z780" s="799"/>
      <c r="AA780" s="799"/>
      <c r="AB780" s="799"/>
      <c r="AC780" s="799"/>
      <c r="AD780" s="799"/>
      <c r="AE780" s="799"/>
      <c r="AF780" s="799"/>
      <c r="AG780" s="799"/>
      <c r="AH780" s="799"/>
      <c r="AI780" s="799"/>
      <c r="AJ780" s="799"/>
      <c r="AK780" s="799"/>
      <c r="AL780" s="799"/>
      <c r="AM780" s="799"/>
      <c r="AN780" s="799"/>
      <c r="AO780" s="799"/>
      <c r="AP780" s="799"/>
      <c r="AQ780" s="799"/>
      <c r="AR780" s="799"/>
      <c r="AS780" s="799"/>
      <c r="AT780" s="799"/>
      <c r="AU780" s="799"/>
      <c r="AV780" s="799"/>
      <c r="AW780" s="799"/>
      <c r="AX780" s="799"/>
      <c r="AY780" s="799"/>
      <c r="AZ780" s="799"/>
      <c r="BA780" s="799"/>
      <c r="BB780" s="799"/>
      <c r="BC780" s="799"/>
      <c r="BD780" s="799"/>
      <c r="BE780" s="799"/>
      <c r="BF780" s="799"/>
      <c r="BG780" s="799"/>
    </row>
    <row r="781">
      <c r="H781" s="799"/>
      <c r="I781" s="799"/>
      <c r="J781" s="799"/>
      <c r="K781" s="799"/>
      <c r="L781" s="799"/>
      <c r="M781" s="799"/>
      <c r="N781" s="799"/>
      <c r="O781" s="799"/>
      <c r="P781" s="799"/>
      <c r="Q781" s="799"/>
      <c r="R781" s="799"/>
      <c r="S781" s="799"/>
      <c r="T781" s="799"/>
      <c r="U781" s="799"/>
      <c r="V781" s="799"/>
      <c r="W781" s="799"/>
      <c r="X781" s="799"/>
      <c r="Y781" s="799"/>
      <c r="Z781" s="799"/>
      <c r="AA781" s="799"/>
      <c r="AB781" s="799"/>
      <c r="AC781" s="799"/>
      <c r="AD781" s="799"/>
      <c r="AE781" s="799"/>
      <c r="AF781" s="799"/>
      <c r="AG781" s="799"/>
      <c r="AH781" s="799"/>
      <c r="AI781" s="799"/>
      <c r="AJ781" s="799"/>
      <c r="AK781" s="799"/>
      <c r="AL781" s="799"/>
      <c r="AM781" s="799"/>
      <c r="AN781" s="799"/>
      <c r="AO781" s="799"/>
      <c r="AP781" s="799"/>
      <c r="AQ781" s="799"/>
      <c r="AR781" s="799"/>
      <c r="AS781" s="799"/>
      <c r="AT781" s="799"/>
      <c r="AU781" s="799"/>
      <c r="AV781" s="799"/>
      <c r="AW781" s="799"/>
      <c r="AX781" s="799"/>
      <c r="AY781" s="799"/>
      <c r="AZ781" s="799"/>
      <c r="BA781" s="799"/>
      <c r="BB781" s="799"/>
      <c r="BC781" s="799"/>
      <c r="BD781" s="799"/>
      <c r="BE781" s="799"/>
      <c r="BF781" s="799"/>
      <c r="BG781" s="799"/>
    </row>
    <row r="782">
      <c r="H782" s="799"/>
      <c r="I782" s="799"/>
      <c r="J782" s="799"/>
      <c r="K782" s="799"/>
      <c r="L782" s="799"/>
      <c r="M782" s="799"/>
      <c r="N782" s="799"/>
      <c r="O782" s="799"/>
      <c r="P782" s="799"/>
      <c r="Q782" s="799"/>
      <c r="R782" s="799"/>
      <c r="S782" s="799"/>
      <c r="T782" s="799"/>
      <c r="U782" s="799"/>
      <c r="V782" s="799"/>
      <c r="W782" s="799"/>
      <c r="X782" s="799"/>
      <c r="Y782" s="799"/>
      <c r="Z782" s="799"/>
      <c r="AA782" s="799"/>
      <c r="AB782" s="799"/>
      <c r="AC782" s="799"/>
      <c r="AD782" s="799"/>
      <c r="AE782" s="799"/>
      <c r="AF782" s="799"/>
      <c r="AG782" s="799"/>
      <c r="AH782" s="799"/>
      <c r="AI782" s="799"/>
      <c r="AJ782" s="799"/>
      <c r="AK782" s="799"/>
      <c r="AL782" s="799"/>
      <c r="AM782" s="799"/>
      <c r="AN782" s="799"/>
      <c r="AO782" s="799"/>
      <c r="AP782" s="799"/>
      <c r="AQ782" s="799"/>
      <c r="AR782" s="799"/>
      <c r="AS782" s="799"/>
      <c r="AT782" s="799"/>
      <c r="AU782" s="799"/>
      <c r="AV782" s="799"/>
      <c r="AW782" s="799"/>
      <c r="AX782" s="799"/>
      <c r="AY782" s="799"/>
      <c r="AZ782" s="799"/>
      <c r="BA782" s="799"/>
      <c r="BB782" s="799"/>
      <c r="BC782" s="799"/>
      <c r="BD782" s="799"/>
      <c r="BE782" s="799"/>
      <c r="BF782" s="799"/>
      <c r="BG782" s="799"/>
    </row>
    <row r="783">
      <c r="H783" s="799"/>
      <c r="I783" s="799"/>
      <c r="J783" s="799"/>
      <c r="K783" s="799"/>
      <c r="L783" s="799"/>
      <c r="M783" s="799"/>
      <c r="N783" s="799"/>
      <c r="O783" s="799"/>
      <c r="P783" s="799"/>
      <c r="Q783" s="799"/>
      <c r="R783" s="799"/>
      <c r="S783" s="799"/>
      <c r="T783" s="799"/>
      <c r="U783" s="799"/>
      <c r="V783" s="799"/>
      <c r="W783" s="799"/>
      <c r="X783" s="799"/>
      <c r="Y783" s="799"/>
      <c r="Z783" s="799"/>
      <c r="AA783" s="799"/>
      <c r="AB783" s="799"/>
      <c r="AC783" s="799"/>
      <c r="AD783" s="799"/>
      <c r="AE783" s="799"/>
      <c r="AF783" s="799"/>
      <c r="AG783" s="799"/>
      <c r="AH783" s="799"/>
      <c r="AI783" s="799"/>
      <c r="AJ783" s="799"/>
      <c r="AK783" s="799"/>
      <c r="AL783" s="799"/>
      <c r="AM783" s="799"/>
      <c r="AN783" s="799"/>
      <c r="AO783" s="799"/>
      <c r="AP783" s="799"/>
      <c r="AQ783" s="799"/>
      <c r="AR783" s="799"/>
      <c r="AS783" s="799"/>
      <c r="AT783" s="799"/>
      <c r="AU783" s="799"/>
      <c r="AV783" s="799"/>
      <c r="AW783" s="799"/>
      <c r="AX783" s="799"/>
      <c r="AY783" s="799"/>
      <c r="AZ783" s="799"/>
      <c r="BA783" s="799"/>
      <c r="BB783" s="799"/>
      <c r="BC783" s="799"/>
      <c r="BD783" s="799"/>
      <c r="BE783" s="799"/>
      <c r="BF783" s="799"/>
      <c r="BG783" s="799"/>
    </row>
    <row r="784">
      <c r="H784" s="799"/>
      <c r="I784" s="799"/>
      <c r="J784" s="799"/>
      <c r="K784" s="799"/>
      <c r="L784" s="799"/>
      <c r="M784" s="799"/>
      <c r="N784" s="799"/>
      <c r="O784" s="799"/>
      <c r="P784" s="799"/>
      <c r="Q784" s="799"/>
      <c r="R784" s="799"/>
      <c r="S784" s="799"/>
      <c r="T784" s="799"/>
      <c r="U784" s="799"/>
      <c r="V784" s="799"/>
      <c r="W784" s="799"/>
      <c r="X784" s="799"/>
      <c r="Y784" s="799"/>
      <c r="Z784" s="799"/>
      <c r="AA784" s="799"/>
      <c r="AB784" s="799"/>
      <c r="AC784" s="799"/>
      <c r="AD784" s="799"/>
      <c r="AE784" s="799"/>
      <c r="AF784" s="799"/>
      <c r="AG784" s="799"/>
      <c r="AH784" s="799"/>
      <c r="AI784" s="799"/>
      <c r="AJ784" s="799"/>
      <c r="AK784" s="799"/>
      <c r="AL784" s="799"/>
      <c r="AM784" s="799"/>
      <c r="AN784" s="799"/>
      <c r="AO784" s="799"/>
      <c r="AP784" s="799"/>
      <c r="AQ784" s="799"/>
      <c r="AR784" s="799"/>
      <c r="AS784" s="799"/>
      <c r="AT784" s="799"/>
      <c r="AU784" s="799"/>
      <c r="AV784" s="799"/>
      <c r="AW784" s="799"/>
      <c r="AX784" s="799"/>
      <c r="AY784" s="799"/>
      <c r="AZ784" s="799"/>
      <c r="BA784" s="799"/>
      <c r="BB784" s="799"/>
      <c r="BC784" s="799"/>
      <c r="BD784" s="799"/>
      <c r="BE784" s="799"/>
      <c r="BF784" s="799"/>
      <c r="BG784" s="799"/>
    </row>
    <row r="785">
      <c r="H785" s="799"/>
      <c r="I785" s="799"/>
      <c r="J785" s="799"/>
      <c r="K785" s="799"/>
      <c r="L785" s="799"/>
      <c r="M785" s="799"/>
      <c r="N785" s="799"/>
      <c r="O785" s="799"/>
      <c r="P785" s="799"/>
      <c r="Q785" s="799"/>
      <c r="R785" s="799"/>
      <c r="S785" s="799"/>
      <c r="T785" s="799"/>
      <c r="U785" s="799"/>
      <c r="V785" s="799"/>
      <c r="W785" s="799"/>
      <c r="X785" s="799"/>
      <c r="Y785" s="799"/>
      <c r="Z785" s="799"/>
      <c r="AA785" s="799"/>
      <c r="AB785" s="799"/>
      <c r="AC785" s="799"/>
      <c r="AD785" s="799"/>
      <c r="AE785" s="799"/>
      <c r="AF785" s="799"/>
      <c r="AG785" s="799"/>
      <c r="AH785" s="799"/>
      <c r="AI785" s="799"/>
      <c r="AJ785" s="799"/>
      <c r="AK785" s="799"/>
      <c r="AL785" s="799"/>
      <c r="AM785" s="799"/>
      <c r="AN785" s="799"/>
      <c r="AO785" s="799"/>
      <c r="AP785" s="799"/>
      <c r="AQ785" s="799"/>
      <c r="AR785" s="799"/>
      <c r="AS785" s="799"/>
      <c r="AT785" s="799"/>
      <c r="AU785" s="799"/>
      <c r="AV785" s="799"/>
      <c r="AW785" s="799"/>
      <c r="AX785" s="799"/>
      <c r="AY785" s="799"/>
      <c r="AZ785" s="799"/>
      <c r="BA785" s="799"/>
      <c r="BB785" s="799"/>
      <c r="BC785" s="799"/>
      <c r="BD785" s="799"/>
      <c r="BE785" s="799"/>
      <c r="BF785" s="799"/>
      <c r="BG785" s="799"/>
    </row>
    <row r="786">
      <c r="H786" s="799"/>
      <c r="I786" s="799"/>
      <c r="J786" s="799"/>
      <c r="K786" s="799"/>
      <c r="L786" s="799"/>
      <c r="M786" s="799"/>
      <c r="N786" s="799"/>
      <c r="O786" s="799"/>
      <c r="P786" s="799"/>
      <c r="Q786" s="799"/>
      <c r="R786" s="799"/>
      <c r="S786" s="799"/>
      <c r="T786" s="799"/>
      <c r="U786" s="799"/>
      <c r="V786" s="799"/>
      <c r="W786" s="799"/>
      <c r="X786" s="799"/>
      <c r="Y786" s="799"/>
      <c r="Z786" s="799"/>
      <c r="AA786" s="799"/>
      <c r="AB786" s="799"/>
      <c r="AC786" s="799"/>
      <c r="AD786" s="799"/>
      <c r="AE786" s="799"/>
      <c r="AF786" s="799"/>
      <c r="AG786" s="799"/>
      <c r="AH786" s="799"/>
      <c r="AI786" s="799"/>
      <c r="AJ786" s="799"/>
      <c r="AK786" s="799"/>
      <c r="AL786" s="799"/>
      <c r="AM786" s="799"/>
      <c r="AN786" s="799"/>
      <c r="AO786" s="799"/>
      <c r="AP786" s="799"/>
      <c r="AQ786" s="799"/>
      <c r="AR786" s="799"/>
      <c r="AS786" s="799"/>
      <c r="AT786" s="799"/>
      <c r="AU786" s="799"/>
      <c r="AV786" s="799"/>
      <c r="AW786" s="799"/>
      <c r="AX786" s="799"/>
      <c r="AY786" s="799"/>
      <c r="AZ786" s="799"/>
      <c r="BA786" s="799"/>
      <c r="BB786" s="799"/>
      <c r="BC786" s="799"/>
      <c r="BD786" s="799"/>
      <c r="BE786" s="799"/>
      <c r="BF786" s="799"/>
      <c r="BG786" s="799"/>
    </row>
    <row r="787">
      <c r="H787" s="799"/>
      <c r="I787" s="799"/>
      <c r="J787" s="799"/>
      <c r="K787" s="799"/>
      <c r="L787" s="799"/>
      <c r="M787" s="799"/>
      <c r="N787" s="799"/>
      <c r="O787" s="799"/>
      <c r="P787" s="799"/>
      <c r="Q787" s="799"/>
      <c r="R787" s="799"/>
      <c r="S787" s="799"/>
      <c r="T787" s="799"/>
      <c r="U787" s="799"/>
      <c r="V787" s="799"/>
      <c r="W787" s="799"/>
      <c r="X787" s="799"/>
      <c r="Y787" s="799"/>
      <c r="Z787" s="799"/>
      <c r="AA787" s="799"/>
      <c r="AB787" s="799"/>
      <c r="AC787" s="799"/>
      <c r="AD787" s="799"/>
      <c r="AE787" s="799"/>
      <c r="AF787" s="799"/>
      <c r="AG787" s="799"/>
      <c r="AH787" s="799"/>
      <c r="AI787" s="799"/>
      <c r="AJ787" s="799"/>
      <c r="AK787" s="799"/>
      <c r="AL787" s="799"/>
      <c r="AM787" s="799"/>
      <c r="AN787" s="799"/>
      <c r="AO787" s="799"/>
      <c r="AP787" s="799"/>
      <c r="AQ787" s="799"/>
      <c r="AR787" s="799"/>
      <c r="AS787" s="799"/>
      <c r="AT787" s="799"/>
      <c r="AU787" s="799"/>
      <c r="AV787" s="799"/>
      <c r="AW787" s="799"/>
      <c r="AX787" s="799"/>
      <c r="AY787" s="799"/>
      <c r="AZ787" s="799"/>
      <c r="BA787" s="799"/>
      <c r="BB787" s="799"/>
      <c r="BC787" s="799"/>
      <c r="BD787" s="799"/>
      <c r="BE787" s="799"/>
      <c r="BF787" s="799"/>
      <c r="BG787" s="799"/>
    </row>
    <row r="788">
      <c r="H788" s="799"/>
      <c r="I788" s="799"/>
      <c r="J788" s="799"/>
      <c r="K788" s="799"/>
      <c r="L788" s="799"/>
      <c r="M788" s="799"/>
      <c r="N788" s="799"/>
      <c r="O788" s="799"/>
      <c r="P788" s="799"/>
      <c r="Q788" s="799"/>
      <c r="R788" s="799"/>
      <c r="S788" s="799"/>
      <c r="T788" s="799"/>
      <c r="U788" s="799"/>
      <c r="V788" s="799"/>
      <c r="W788" s="799"/>
      <c r="X788" s="799"/>
      <c r="Y788" s="799"/>
      <c r="Z788" s="799"/>
      <c r="AA788" s="799"/>
      <c r="AB788" s="799"/>
      <c r="AC788" s="799"/>
      <c r="AD788" s="799"/>
      <c r="AE788" s="799"/>
      <c r="AF788" s="799"/>
      <c r="AG788" s="799"/>
      <c r="AH788" s="799"/>
      <c r="AI788" s="799"/>
      <c r="AJ788" s="799"/>
      <c r="AK788" s="799"/>
      <c r="AL788" s="799"/>
      <c r="AM788" s="799"/>
      <c r="AN788" s="799"/>
      <c r="AO788" s="799"/>
      <c r="AP788" s="799"/>
      <c r="AQ788" s="799"/>
      <c r="AR788" s="799"/>
      <c r="AS788" s="799"/>
      <c r="AT788" s="799"/>
      <c r="AU788" s="799"/>
      <c r="AV788" s="799"/>
      <c r="AW788" s="799"/>
      <c r="AX788" s="799"/>
      <c r="AY788" s="799"/>
      <c r="AZ788" s="799"/>
      <c r="BA788" s="799"/>
      <c r="BB788" s="799"/>
      <c r="BC788" s="799"/>
      <c r="BD788" s="799"/>
      <c r="BE788" s="799"/>
      <c r="BF788" s="799"/>
      <c r="BG788" s="799"/>
    </row>
    <row r="789">
      <c r="H789" s="799"/>
      <c r="I789" s="799"/>
      <c r="J789" s="799"/>
      <c r="K789" s="799"/>
      <c r="L789" s="799"/>
      <c r="M789" s="799"/>
      <c r="N789" s="799"/>
      <c r="O789" s="799"/>
      <c r="P789" s="799"/>
      <c r="Q789" s="799"/>
      <c r="R789" s="799"/>
      <c r="S789" s="799"/>
      <c r="T789" s="799"/>
      <c r="U789" s="799"/>
      <c r="V789" s="799"/>
      <c r="W789" s="799"/>
      <c r="X789" s="799"/>
      <c r="Y789" s="799"/>
      <c r="Z789" s="799"/>
      <c r="AA789" s="799"/>
      <c r="AB789" s="799"/>
      <c r="AC789" s="799"/>
      <c r="AD789" s="799"/>
      <c r="AE789" s="799"/>
      <c r="AF789" s="799"/>
      <c r="AG789" s="799"/>
      <c r="AH789" s="799"/>
      <c r="AI789" s="799"/>
      <c r="AJ789" s="799"/>
      <c r="AK789" s="799"/>
      <c r="AL789" s="799"/>
      <c r="AM789" s="799"/>
      <c r="AN789" s="799"/>
      <c r="AO789" s="799"/>
      <c r="AP789" s="799"/>
      <c r="AQ789" s="799"/>
      <c r="AR789" s="799"/>
      <c r="AS789" s="799"/>
      <c r="AT789" s="799"/>
      <c r="AU789" s="799"/>
      <c r="AV789" s="799"/>
      <c r="AW789" s="799"/>
      <c r="AX789" s="799"/>
      <c r="AY789" s="799"/>
      <c r="AZ789" s="799"/>
      <c r="BA789" s="799"/>
      <c r="BB789" s="799"/>
      <c r="BC789" s="799"/>
      <c r="BD789" s="799"/>
      <c r="BE789" s="799"/>
      <c r="BF789" s="799"/>
      <c r="BG789" s="799"/>
    </row>
    <row r="790">
      <c r="H790" s="799"/>
      <c r="I790" s="799"/>
      <c r="J790" s="799"/>
      <c r="K790" s="799"/>
      <c r="L790" s="799"/>
      <c r="M790" s="799"/>
      <c r="N790" s="799"/>
      <c r="O790" s="799"/>
      <c r="P790" s="799"/>
      <c r="Q790" s="799"/>
      <c r="R790" s="799"/>
      <c r="S790" s="799"/>
      <c r="T790" s="799"/>
      <c r="U790" s="799"/>
      <c r="V790" s="799"/>
      <c r="W790" s="799"/>
      <c r="X790" s="799"/>
      <c r="Y790" s="799"/>
      <c r="Z790" s="799"/>
      <c r="AA790" s="799"/>
      <c r="AB790" s="799"/>
      <c r="AC790" s="799"/>
      <c r="AD790" s="799"/>
      <c r="AE790" s="799"/>
      <c r="AF790" s="799"/>
      <c r="AG790" s="799"/>
      <c r="AH790" s="799"/>
      <c r="AI790" s="799"/>
      <c r="AJ790" s="799"/>
      <c r="AK790" s="799"/>
      <c r="AL790" s="799"/>
      <c r="AM790" s="799"/>
      <c r="AN790" s="799"/>
      <c r="AO790" s="799"/>
      <c r="AP790" s="799"/>
      <c r="AQ790" s="799"/>
      <c r="AR790" s="799"/>
      <c r="AS790" s="799"/>
      <c r="AT790" s="799"/>
      <c r="AU790" s="799"/>
      <c r="AV790" s="799"/>
      <c r="AW790" s="799"/>
      <c r="AX790" s="799"/>
      <c r="AY790" s="799"/>
      <c r="AZ790" s="799"/>
      <c r="BA790" s="799"/>
      <c r="BB790" s="799"/>
      <c r="BC790" s="799"/>
      <c r="BD790" s="799"/>
      <c r="BE790" s="799"/>
      <c r="BF790" s="799"/>
      <c r="BG790" s="799"/>
    </row>
    <row r="791">
      <c r="H791" s="799"/>
      <c r="I791" s="799"/>
      <c r="J791" s="799"/>
      <c r="K791" s="799"/>
      <c r="L791" s="799"/>
      <c r="M791" s="799"/>
      <c r="N791" s="799"/>
      <c r="O791" s="799"/>
      <c r="P791" s="799"/>
      <c r="Q791" s="799"/>
      <c r="R791" s="799"/>
      <c r="S791" s="799"/>
      <c r="T791" s="799"/>
      <c r="U791" s="799"/>
      <c r="V791" s="799"/>
      <c r="W791" s="799"/>
      <c r="X791" s="799"/>
      <c r="Y791" s="799"/>
      <c r="Z791" s="799"/>
      <c r="AA791" s="799"/>
      <c r="AB791" s="799"/>
      <c r="AC791" s="799"/>
      <c r="AD791" s="799"/>
      <c r="AE791" s="799"/>
      <c r="AF791" s="799"/>
      <c r="AG791" s="799"/>
      <c r="AH791" s="799"/>
      <c r="AI791" s="799"/>
      <c r="AJ791" s="799"/>
      <c r="AK791" s="799"/>
      <c r="AL791" s="799"/>
      <c r="AM791" s="799"/>
      <c r="AN791" s="799"/>
      <c r="AO791" s="799"/>
      <c r="AP791" s="799"/>
      <c r="AQ791" s="799"/>
      <c r="AR791" s="799"/>
      <c r="AS791" s="799"/>
      <c r="AT791" s="799"/>
      <c r="AU791" s="799"/>
      <c r="AV791" s="799"/>
      <c r="AW791" s="799"/>
      <c r="AX791" s="799"/>
      <c r="AY791" s="799"/>
      <c r="AZ791" s="799"/>
      <c r="BA791" s="799"/>
      <c r="BB791" s="799"/>
      <c r="BC791" s="799"/>
      <c r="BD791" s="799"/>
      <c r="BE791" s="799"/>
      <c r="BF791" s="799"/>
      <c r="BG791" s="799"/>
    </row>
    <row r="792">
      <c r="H792" s="799"/>
      <c r="I792" s="799"/>
      <c r="J792" s="799"/>
      <c r="K792" s="799"/>
      <c r="L792" s="799"/>
      <c r="M792" s="799"/>
      <c r="N792" s="799"/>
      <c r="O792" s="799"/>
      <c r="P792" s="799"/>
      <c r="Q792" s="799"/>
      <c r="R792" s="799"/>
      <c r="S792" s="799"/>
      <c r="T792" s="799"/>
      <c r="U792" s="799"/>
      <c r="V792" s="799"/>
      <c r="W792" s="799"/>
      <c r="X792" s="799"/>
      <c r="Y792" s="799"/>
      <c r="Z792" s="799"/>
      <c r="AA792" s="799"/>
      <c r="AB792" s="799"/>
      <c r="AC792" s="799"/>
      <c r="AD792" s="799"/>
      <c r="AE792" s="799"/>
      <c r="AF792" s="799"/>
      <c r="AG792" s="799"/>
      <c r="AH792" s="799"/>
      <c r="AI792" s="799"/>
      <c r="AJ792" s="799"/>
      <c r="AK792" s="799"/>
      <c r="AL792" s="799"/>
      <c r="AM792" s="799"/>
      <c r="AN792" s="799"/>
      <c r="AO792" s="799"/>
      <c r="AP792" s="799"/>
      <c r="AQ792" s="799"/>
      <c r="AR792" s="799"/>
      <c r="AS792" s="799"/>
      <c r="AT792" s="799"/>
      <c r="AU792" s="799"/>
      <c r="AV792" s="799"/>
      <c r="AW792" s="799"/>
      <c r="AX792" s="799"/>
      <c r="AY792" s="799"/>
      <c r="AZ792" s="799"/>
      <c r="BA792" s="799"/>
      <c r="BB792" s="799"/>
      <c r="BC792" s="799"/>
      <c r="BD792" s="799"/>
      <c r="BE792" s="799"/>
      <c r="BF792" s="799"/>
      <c r="BG792" s="799"/>
    </row>
    <row r="793">
      <c r="H793" s="799"/>
      <c r="I793" s="799"/>
      <c r="J793" s="799"/>
      <c r="K793" s="799"/>
      <c r="L793" s="799"/>
      <c r="M793" s="799"/>
      <c r="N793" s="799"/>
      <c r="O793" s="799"/>
      <c r="P793" s="799"/>
      <c r="Q793" s="799"/>
      <c r="R793" s="799"/>
      <c r="S793" s="799"/>
      <c r="T793" s="799"/>
      <c r="U793" s="799"/>
      <c r="V793" s="799"/>
      <c r="W793" s="799"/>
      <c r="X793" s="799"/>
      <c r="Y793" s="799"/>
      <c r="Z793" s="799"/>
      <c r="AA793" s="799"/>
      <c r="AB793" s="799"/>
      <c r="AC793" s="799"/>
      <c r="AD793" s="799"/>
      <c r="AE793" s="799"/>
      <c r="AF793" s="799"/>
      <c r="AG793" s="799"/>
      <c r="AH793" s="799"/>
      <c r="AI793" s="799"/>
      <c r="AJ793" s="799"/>
      <c r="AK793" s="799"/>
      <c r="AL793" s="799"/>
      <c r="AM793" s="799"/>
      <c r="AN793" s="799"/>
      <c r="AO793" s="799"/>
      <c r="AP793" s="799"/>
      <c r="AQ793" s="799"/>
      <c r="AR793" s="799"/>
      <c r="AS793" s="799"/>
      <c r="AT793" s="799"/>
      <c r="AU793" s="799"/>
      <c r="AV793" s="799"/>
      <c r="AW793" s="799"/>
      <c r="AX793" s="799"/>
      <c r="AY793" s="799"/>
      <c r="AZ793" s="799"/>
      <c r="BA793" s="799"/>
      <c r="BB793" s="799"/>
      <c r="BC793" s="799"/>
      <c r="BD793" s="799"/>
      <c r="BE793" s="799"/>
      <c r="BF793" s="799"/>
      <c r="BG793" s="799"/>
    </row>
    <row r="794">
      <c r="H794" s="799"/>
      <c r="I794" s="799"/>
      <c r="J794" s="799"/>
      <c r="K794" s="799"/>
      <c r="L794" s="799"/>
      <c r="M794" s="799"/>
      <c r="N794" s="799"/>
      <c r="O794" s="799"/>
      <c r="P794" s="799"/>
      <c r="Q794" s="799"/>
      <c r="R794" s="799"/>
      <c r="S794" s="799"/>
      <c r="T794" s="799"/>
      <c r="U794" s="799"/>
      <c r="V794" s="799"/>
      <c r="W794" s="799"/>
      <c r="X794" s="799"/>
      <c r="Y794" s="799"/>
      <c r="Z794" s="799"/>
      <c r="AA794" s="799"/>
      <c r="AB794" s="799"/>
      <c r="AC794" s="799"/>
      <c r="AD794" s="799"/>
      <c r="AE794" s="799"/>
      <c r="AF794" s="799"/>
      <c r="AG794" s="799"/>
      <c r="AH794" s="799"/>
      <c r="AI794" s="799"/>
      <c r="AJ794" s="799"/>
      <c r="AK794" s="799"/>
      <c r="AL794" s="799"/>
      <c r="AM794" s="799"/>
      <c r="AN794" s="799"/>
      <c r="AO794" s="799"/>
      <c r="AP794" s="799"/>
      <c r="AQ794" s="799"/>
      <c r="AR794" s="799"/>
      <c r="AS794" s="799"/>
      <c r="AT794" s="799"/>
      <c r="AU794" s="799"/>
      <c r="AV794" s="799"/>
      <c r="AW794" s="799"/>
      <c r="AX794" s="799"/>
      <c r="AY794" s="799"/>
      <c r="AZ794" s="799"/>
      <c r="BA794" s="799"/>
      <c r="BB794" s="799"/>
      <c r="BC794" s="799"/>
      <c r="BD794" s="799"/>
      <c r="BE794" s="799"/>
      <c r="BF794" s="799"/>
      <c r="BG794" s="799"/>
    </row>
    <row r="795">
      <c r="H795" s="799"/>
      <c r="I795" s="799"/>
      <c r="J795" s="799"/>
      <c r="K795" s="799"/>
      <c r="L795" s="799"/>
      <c r="M795" s="799"/>
      <c r="N795" s="799"/>
      <c r="O795" s="799"/>
      <c r="P795" s="799"/>
      <c r="Q795" s="799"/>
      <c r="R795" s="799"/>
      <c r="S795" s="799"/>
      <c r="T795" s="799"/>
      <c r="U795" s="799"/>
      <c r="V795" s="799"/>
      <c r="W795" s="799"/>
      <c r="X795" s="799"/>
      <c r="Y795" s="799"/>
      <c r="Z795" s="799"/>
      <c r="AA795" s="799"/>
      <c r="AB795" s="799"/>
      <c r="AC795" s="799"/>
      <c r="AD795" s="799"/>
      <c r="AE795" s="799"/>
      <c r="AF795" s="799"/>
      <c r="AG795" s="799"/>
      <c r="AH795" s="799"/>
      <c r="AI795" s="799"/>
      <c r="AJ795" s="799"/>
      <c r="AK795" s="799"/>
      <c r="AL795" s="799"/>
      <c r="AM795" s="799"/>
      <c r="AN795" s="799"/>
      <c r="AO795" s="799"/>
      <c r="AP795" s="799"/>
      <c r="AQ795" s="799"/>
      <c r="AR795" s="799"/>
      <c r="AS795" s="799"/>
      <c r="AT795" s="799"/>
      <c r="AU795" s="799"/>
      <c r="AV795" s="799"/>
      <c r="AW795" s="799"/>
      <c r="AX795" s="799"/>
      <c r="AY795" s="799"/>
      <c r="AZ795" s="799"/>
      <c r="BA795" s="799"/>
      <c r="BB795" s="799"/>
      <c r="BC795" s="799"/>
      <c r="BD795" s="799"/>
      <c r="BE795" s="799"/>
      <c r="BF795" s="799"/>
      <c r="BG795" s="799"/>
    </row>
    <row r="796">
      <c r="H796" s="799"/>
      <c r="I796" s="799"/>
      <c r="J796" s="799"/>
      <c r="K796" s="799"/>
      <c r="L796" s="799"/>
      <c r="M796" s="799"/>
      <c r="N796" s="799"/>
      <c r="O796" s="799"/>
      <c r="P796" s="799"/>
      <c r="Q796" s="799"/>
      <c r="R796" s="799"/>
      <c r="S796" s="799"/>
      <c r="T796" s="799"/>
      <c r="U796" s="799"/>
      <c r="V796" s="799"/>
      <c r="W796" s="799"/>
      <c r="X796" s="799"/>
      <c r="Y796" s="799"/>
      <c r="Z796" s="799"/>
      <c r="AA796" s="799"/>
      <c r="AB796" s="799"/>
      <c r="AC796" s="799"/>
      <c r="AD796" s="799"/>
      <c r="AE796" s="799"/>
      <c r="AF796" s="799"/>
      <c r="AG796" s="799"/>
      <c r="AH796" s="799"/>
      <c r="AI796" s="799"/>
      <c r="AJ796" s="799"/>
      <c r="AK796" s="799"/>
      <c r="AL796" s="799"/>
      <c r="AM796" s="799"/>
      <c r="AN796" s="799"/>
      <c r="AO796" s="799"/>
      <c r="AP796" s="799"/>
      <c r="AQ796" s="799"/>
      <c r="AR796" s="799"/>
      <c r="AS796" s="799"/>
      <c r="AT796" s="799"/>
      <c r="AU796" s="799"/>
      <c r="AV796" s="799"/>
      <c r="AW796" s="799"/>
      <c r="AX796" s="799"/>
      <c r="AY796" s="799"/>
      <c r="AZ796" s="799"/>
      <c r="BA796" s="799"/>
      <c r="BB796" s="799"/>
      <c r="BC796" s="799"/>
      <c r="BD796" s="799"/>
      <c r="BE796" s="799"/>
      <c r="BF796" s="799"/>
      <c r="BG796" s="799"/>
    </row>
    <row r="797">
      <c r="H797" s="799"/>
      <c r="I797" s="799"/>
      <c r="J797" s="799"/>
      <c r="K797" s="799"/>
      <c r="L797" s="799"/>
      <c r="M797" s="799"/>
      <c r="N797" s="799"/>
      <c r="O797" s="799"/>
      <c r="P797" s="799"/>
      <c r="Q797" s="799"/>
      <c r="R797" s="799"/>
      <c r="S797" s="799"/>
      <c r="T797" s="799"/>
      <c r="U797" s="799"/>
      <c r="V797" s="799"/>
      <c r="W797" s="799"/>
      <c r="X797" s="799"/>
      <c r="Y797" s="799"/>
      <c r="Z797" s="799"/>
      <c r="AA797" s="799"/>
      <c r="AB797" s="799"/>
      <c r="AC797" s="799"/>
      <c r="AD797" s="799"/>
      <c r="AE797" s="799"/>
      <c r="AF797" s="799"/>
      <c r="AG797" s="799"/>
      <c r="AH797" s="799"/>
      <c r="AI797" s="799"/>
      <c r="AJ797" s="799"/>
      <c r="AK797" s="799"/>
      <c r="AL797" s="799"/>
      <c r="AM797" s="799"/>
      <c r="AN797" s="799"/>
      <c r="AO797" s="799"/>
      <c r="AP797" s="799"/>
      <c r="AQ797" s="799"/>
      <c r="AR797" s="799"/>
      <c r="AS797" s="799"/>
      <c r="AT797" s="799"/>
      <c r="AU797" s="799"/>
      <c r="AV797" s="799"/>
      <c r="AW797" s="799"/>
      <c r="AX797" s="799"/>
      <c r="AY797" s="799"/>
      <c r="AZ797" s="799"/>
      <c r="BA797" s="799"/>
      <c r="BB797" s="799"/>
      <c r="BC797" s="799"/>
      <c r="BD797" s="799"/>
      <c r="BE797" s="799"/>
      <c r="BF797" s="799"/>
      <c r="BG797" s="799"/>
    </row>
    <row r="798">
      <c r="H798" s="799"/>
      <c r="I798" s="799"/>
      <c r="J798" s="799"/>
      <c r="K798" s="799"/>
      <c r="L798" s="799"/>
      <c r="M798" s="799"/>
      <c r="N798" s="799"/>
      <c r="O798" s="799"/>
      <c r="P798" s="799"/>
      <c r="Q798" s="799"/>
      <c r="R798" s="799"/>
      <c r="S798" s="799"/>
      <c r="T798" s="799"/>
      <c r="U798" s="799"/>
      <c r="V798" s="799"/>
      <c r="W798" s="799"/>
      <c r="X798" s="799"/>
      <c r="Y798" s="799"/>
      <c r="Z798" s="799"/>
      <c r="AA798" s="799"/>
      <c r="AB798" s="799"/>
      <c r="AC798" s="799"/>
      <c r="AD798" s="799"/>
      <c r="AE798" s="799"/>
      <c r="AF798" s="799"/>
      <c r="AG798" s="799"/>
      <c r="AH798" s="799"/>
      <c r="AI798" s="799"/>
      <c r="AJ798" s="799"/>
      <c r="AK798" s="799"/>
      <c r="AL798" s="799"/>
      <c r="AM798" s="799"/>
      <c r="AN798" s="799"/>
      <c r="AO798" s="799"/>
      <c r="AP798" s="799"/>
      <c r="AQ798" s="799"/>
      <c r="AR798" s="799"/>
      <c r="AS798" s="799"/>
      <c r="AT798" s="799"/>
      <c r="AU798" s="799"/>
      <c r="AV798" s="799"/>
      <c r="AW798" s="799"/>
      <c r="AX798" s="799"/>
      <c r="AY798" s="799"/>
      <c r="AZ798" s="799"/>
      <c r="BA798" s="799"/>
      <c r="BB798" s="799"/>
      <c r="BC798" s="799"/>
      <c r="BD798" s="799"/>
      <c r="BE798" s="799"/>
      <c r="BF798" s="799"/>
      <c r="BG798" s="799"/>
    </row>
    <row r="799">
      <c r="H799" s="799"/>
      <c r="I799" s="799"/>
      <c r="J799" s="799"/>
      <c r="K799" s="799"/>
      <c r="L799" s="799"/>
      <c r="M799" s="799"/>
      <c r="N799" s="799"/>
      <c r="O799" s="799"/>
      <c r="P799" s="799"/>
      <c r="Q799" s="799"/>
      <c r="R799" s="799"/>
      <c r="S799" s="799"/>
      <c r="T799" s="799"/>
      <c r="U799" s="799"/>
      <c r="V799" s="799"/>
      <c r="W799" s="799"/>
      <c r="X799" s="799"/>
      <c r="Y799" s="799"/>
      <c r="Z799" s="799"/>
      <c r="AA799" s="799"/>
      <c r="AB799" s="799"/>
      <c r="AC799" s="799"/>
      <c r="AD799" s="799"/>
      <c r="AE799" s="799"/>
      <c r="AF799" s="799"/>
      <c r="AG799" s="799"/>
      <c r="AH799" s="799"/>
      <c r="AI799" s="799"/>
      <c r="AJ799" s="799"/>
      <c r="AK799" s="799"/>
      <c r="AL799" s="799"/>
      <c r="AM799" s="799"/>
      <c r="AN799" s="799"/>
      <c r="AO799" s="799"/>
      <c r="AP799" s="799"/>
      <c r="AQ799" s="799"/>
      <c r="AR799" s="799"/>
      <c r="AS799" s="799"/>
      <c r="AT799" s="799"/>
      <c r="AU799" s="799"/>
      <c r="AV799" s="799"/>
      <c r="AW799" s="799"/>
      <c r="AX799" s="799"/>
      <c r="AY799" s="799"/>
      <c r="AZ799" s="799"/>
      <c r="BA799" s="799"/>
      <c r="BB799" s="799"/>
      <c r="BC799" s="799"/>
      <c r="BD799" s="799"/>
      <c r="BE799" s="799"/>
      <c r="BF799" s="799"/>
      <c r="BG799" s="799"/>
    </row>
    <row r="800">
      <c r="H800" s="799"/>
      <c r="I800" s="799"/>
      <c r="J800" s="799"/>
      <c r="K800" s="799"/>
      <c r="L800" s="799"/>
      <c r="M800" s="799"/>
      <c r="N800" s="799"/>
      <c r="O800" s="799"/>
      <c r="P800" s="799"/>
      <c r="Q800" s="799"/>
      <c r="R800" s="799"/>
      <c r="S800" s="799"/>
      <c r="T800" s="799"/>
      <c r="U800" s="799"/>
      <c r="V800" s="799"/>
      <c r="W800" s="799"/>
      <c r="X800" s="799"/>
      <c r="Y800" s="799"/>
      <c r="Z800" s="799"/>
      <c r="AA800" s="799"/>
      <c r="AB800" s="799"/>
      <c r="AC800" s="799"/>
      <c r="AD800" s="799"/>
      <c r="AE800" s="799"/>
      <c r="AF800" s="799"/>
      <c r="AG800" s="799"/>
      <c r="AH800" s="799"/>
      <c r="AI800" s="799"/>
      <c r="AJ800" s="799"/>
      <c r="AK800" s="799"/>
      <c r="AL800" s="799"/>
      <c r="AM800" s="799"/>
      <c r="AN800" s="799"/>
      <c r="AO800" s="799"/>
      <c r="AP800" s="799"/>
      <c r="AQ800" s="799"/>
      <c r="AR800" s="799"/>
      <c r="AS800" s="799"/>
      <c r="AT800" s="799"/>
      <c r="AU800" s="799"/>
      <c r="AV800" s="799"/>
      <c r="AW800" s="799"/>
      <c r="AX800" s="799"/>
      <c r="AY800" s="799"/>
      <c r="AZ800" s="799"/>
      <c r="BA800" s="799"/>
      <c r="BB800" s="799"/>
      <c r="BC800" s="799"/>
      <c r="BD800" s="799"/>
      <c r="BE800" s="799"/>
      <c r="BF800" s="799"/>
      <c r="BG800" s="799"/>
    </row>
    <row r="801">
      <c r="H801" s="799"/>
      <c r="I801" s="799"/>
      <c r="J801" s="799"/>
      <c r="K801" s="799"/>
      <c r="L801" s="799"/>
      <c r="M801" s="799"/>
      <c r="N801" s="799"/>
      <c r="O801" s="799"/>
      <c r="P801" s="799"/>
      <c r="Q801" s="799"/>
      <c r="R801" s="799"/>
      <c r="S801" s="799"/>
      <c r="T801" s="799"/>
      <c r="U801" s="799"/>
      <c r="V801" s="799"/>
      <c r="W801" s="799"/>
      <c r="X801" s="799"/>
      <c r="Y801" s="799"/>
      <c r="Z801" s="799"/>
      <c r="AA801" s="799"/>
      <c r="AB801" s="799"/>
      <c r="AC801" s="799"/>
      <c r="AD801" s="799"/>
      <c r="AE801" s="799"/>
      <c r="AF801" s="799"/>
      <c r="AG801" s="799"/>
      <c r="AH801" s="799"/>
      <c r="AI801" s="799"/>
      <c r="AJ801" s="799"/>
      <c r="AK801" s="799"/>
      <c r="AL801" s="799"/>
      <c r="AM801" s="799"/>
      <c r="AN801" s="799"/>
      <c r="AO801" s="799"/>
      <c r="AP801" s="799"/>
      <c r="AQ801" s="799"/>
      <c r="AR801" s="799"/>
      <c r="AS801" s="799"/>
      <c r="AT801" s="799"/>
      <c r="AU801" s="799"/>
      <c r="AV801" s="799"/>
      <c r="AW801" s="799"/>
      <c r="AX801" s="799"/>
      <c r="AY801" s="799"/>
      <c r="AZ801" s="799"/>
      <c r="BA801" s="799"/>
      <c r="BB801" s="799"/>
      <c r="BC801" s="799"/>
      <c r="BD801" s="799"/>
      <c r="BE801" s="799"/>
      <c r="BF801" s="799"/>
      <c r="BG801" s="799"/>
    </row>
    <row r="802">
      <c r="H802" s="799"/>
      <c r="I802" s="799"/>
      <c r="J802" s="799"/>
      <c r="K802" s="799"/>
      <c r="L802" s="799"/>
      <c r="M802" s="799"/>
      <c r="N802" s="799"/>
      <c r="O802" s="799"/>
      <c r="P802" s="799"/>
      <c r="Q802" s="799"/>
      <c r="R802" s="799"/>
      <c r="S802" s="799"/>
      <c r="T802" s="799"/>
      <c r="U802" s="799"/>
      <c r="V802" s="799"/>
      <c r="W802" s="799"/>
      <c r="X802" s="799"/>
      <c r="Y802" s="799"/>
      <c r="Z802" s="799"/>
      <c r="AA802" s="799"/>
      <c r="AB802" s="799"/>
      <c r="AC802" s="799"/>
      <c r="AD802" s="799"/>
      <c r="AE802" s="799"/>
      <c r="AF802" s="799"/>
      <c r="AG802" s="799"/>
      <c r="AH802" s="799"/>
      <c r="AI802" s="799"/>
      <c r="AJ802" s="799"/>
      <c r="AK802" s="799"/>
      <c r="AL802" s="799"/>
      <c r="AM802" s="799"/>
      <c r="AN802" s="799"/>
      <c r="AO802" s="799"/>
      <c r="AP802" s="799"/>
      <c r="AQ802" s="799"/>
      <c r="AR802" s="799"/>
      <c r="AS802" s="799"/>
      <c r="AT802" s="799"/>
      <c r="AU802" s="799"/>
      <c r="AV802" s="799"/>
      <c r="AW802" s="799"/>
      <c r="AX802" s="799"/>
      <c r="AY802" s="799"/>
      <c r="AZ802" s="799"/>
      <c r="BA802" s="799"/>
      <c r="BB802" s="799"/>
      <c r="BC802" s="799"/>
      <c r="BD802" s="799"/>
      <c r="BE802" s="799"/>
      <c r="BF802" s="799"/>
      <c r="BG802" s="799"/>
    </row>
    <row r="803">
      <c r="H803" s="799"/>
      <c r="I803" s="799"/>
      <c r="J803" s="799"/>
      <c r="K803" s="799"/>
      <c r="L803" s="799"/>
      <c r="M803" s="799"/>
      <c r="N803" s="799"/>
      <c r="O803" s="799"/>
      <c r="P803" s="799"/>
      <c r="Q803" s="799"/>
      <c r="R803" s="799"/>
      <c r="S803" s="799"/>
      <c r="T803" s="799"/>
      <c r="U803" s="799"/>
      <c r="V803" s="799"/>
      <c r="W803" s="799"/>
      <c r="X803" s="799"/>
      <c r="Y803" s="799"/>
      <c r="Z803" s="799"/>
      <c r="AA803" s="799"/>
      <c r="AB803" s="799"/>
      <c r="AC803" s="799"/>
      <c r="AD803" s="799"/>
      <c r="AE803" s="799"/>
      <c r="AF803" s="799"/>
      <c r="AG803" s="799"/>
      <c r="AH803" s="799"/>
      <c r="AI803" s="799"/>
      <c r="AJ803" s="799"/>
      <c r="AK803" s="799"/>
      <c r="AL803" s="799"/>
      <c r="AM803" s="799"/>
      <c r="AN803" s="799"/>
      <c r="AO803" s="799"/>
      <c r="AP803" s="799"/>
      <c r="AQ803" s="799"/>
      <c r="AR803" s="799"/>
      <c r="AS803" s="799"/>
      <c r="AT803" s="799"/>
      <c r="AU803" s="799"/>
      <c r="AV803" s="799"/>
      <c r="AW803" s="799"/>
      <c r="AX803" s="799"/>
      <c r="AY803" s="799"/>
      <c r="AZ803" s="799"/>
      <c r="BA803" s="799"/>
      <c r="BB803" s="799"/>
      <c r="BC803" s="799"/>
      <c r="BD803" s="799"/>
      <c r="BE803" s="799"/>
      <c r="BF803" s="799"/>
      <c r="BG803" s="799"/>
    </row>
    <row r="804">
      <c r="H804" s="799"/>
      <c r="I804" s="799"/>
      <c r="J804" s="799"/>
      <c r="K804" s="799"/>
      <c r="L804" s="799"/>
      <c r="M804" s="799"/>
      <c r="N804" s="799"/>
      <c r="O804" s="799"/>
      <c r="P804" s="799"/>
      <c r="Q804" s="799"/>
      <c r="R804" s="799"/>
      <c r="S804" s="799"/>
      <c r="T804" s="799"/>
      <c r="U804" s="799"/>
      <c r="V804" s="799"/>
      <c r="W804" s="799"/>
      <c r="X804" s="799"/>
      <c r="Y804" s="799"/>
      <c r="Z804" s="799"/>
      <c r="AA804" s="799"/>
      <c r="AB804" s="799"/>
      <c r="AC804" s="799"/>
      <c r="AD804" s="799"/>
      <c r="AE804" s="799"/>
      <c r="AF804" s="799"/>
      <c r="AG804" s="799"/>
      <c r="AH804" s="799"/>
      <c r="AI804" s="799"/>
      <c r="AJ804" s="799"/>
      <c r="AK804" s="799"/>
      <c r="AL804" s="799"/>
      <c r="AM804" s="799"/>
      <c r="AN804" s="799"/>
      <c r="AO804" s="799"/>
      <c r="AP804" s="799"/>
      <c r="AQ804" s="799"/>
      <c r="AR804" s="799"/>
      <c r="AS804" s="799"/>
      <c r="AT804" s="799"/>
      <c r="AU804" s="799"/>
      <c r="AV804" s="799"/>
      <c r="AW804" s="799"/>
      <c r="AX804" s="799"/>
      <c r="AY804" s="799"/>
      <c r="AZ804" s="799"/>
      <c r="BA804" s="799"/>
      <c r="BB804" s="799"/>
      <c r="BC804" s="799"/>
      <c r="BD804" s="799"/>
      <c r="BE804" s="799"/>
      <c r="BF804" s="799"/>
      <c r="BG804" s="799"/>
    </row>
    <row r="805">
      <c r="H805" s="799"/>
      <c r="I805" s="799"/>
      <c r="J805" s="799"/>
      <c r="K805" s="799"/>
      <c r="L805" s="799"/>
      <c r="M805" s="799"/>
      <c r="N805" s="799"/>
      <c r="O805" s="799"/>
      <c r="P805" s="799"/>
      <c r="Q805" s="799"/>
      <c r="R805" s="799"/>
      <c r="S805" s="799"/>
      <c r="T805" s="799"/>
      <c r="U805" s="799"/>
      <c r="V805" s="799"/>
      <c r="W805" s="799"/>
      <c r="X805" s="799"/>
      <c r="Y805" s="799"/>
      <c r="Z805" s="799"/>
      <c r="AA805" s="799"/>
      <c r="AB805" s="799"/>
      <c r="AC805" s="799"/>
      <c r="AD805" s="799"/>
      <c r="AE805" s="799"/>
      <c r="AF805" s="799"/>
      <c r="AG805" s="799"/>
      <c r="AH805" s="799"/>
      <c r="AI805" s="799"/>
      <c r="AJ805" s="799"/>
      <c r="AK805" s="799"/>
      <c r="AL805" s="799"/>
      <c r="AM805" s="799"/>
      <c r="AN805" s="799"/>
      <c r="AO805" s="799"/>
      <c r="AP805" s="799"/>
      <c r="AQ805" s="799"/>
      <c r="AR805" s="799"/>
      <c r="AS805" s="799"/>
      <c r="AT805" s="799"/>
      <c r="AU805" s="799"/>
      <c r="AV805" s="799"/>
      <c r="AW805" s="799"/>
      <c r="AX805" s="799"/>
      <c r="AY805" s="799"/>
      <c r="AZ805" s="799"/>
      <c r="BA805" s="799"/>
      <c r="BB805" s="799"/>
      <c r="BC805" s="799"/>
      <c r="BD805" s="799"/>
      <c r="BE805" s="799"/>
      <c r="BF805" s="799"/>
      <c r="BG805" s="799"/>
    </row>
    <row r="806">
      <c r="H806" s="799"/>
      <c r="I806" s="799"/>
      <c r="J806" s="799"/>
      <c r="K806" s="799"/>
      <c r="L806" s="799"/>
      <c r="M806" s="799"/>
      <c r="N806" s="799"/>
      <c r="O806" s="799"/>
      <c r="P806" s="799"/>
      <c r="Q806" s="799"/>
      <c r="R806" s="799"/>
      <c r="S806" s="799"/>
      <c r="T806" s="799"/>
      <c r="U806" s="799"/>
      <c r="V806" s="799"/>
      <c r="W806" s="799"/>
      <c r="X806" s="799"/>
      <c r="Y806" s="799"/>
      <c r="Z806" s="799"/>
      <c r="AA806" s="799"/>
      <c r="AB806" s="799"/>
      <c r="AC806" s="799"/>
      <c r="AD806" s="799"/>
      <c r="AE806" s="799"/>
      <c r="AF806" s="799"/>
      <c r="AG806" s="799"/>
      <c r="AH806" s="799"/>
      <c r="AI806" s="799"/>
      <c r="AJ806" s="799"/>
      <c r="AK806" s="799"/>
      <c r="AL806" s="799"/>
      <c r="AM806" s="799"/>
      <c r="AN806" s="799"/>
      <c r="AO806" s="799"/>
      <c r="AP806" s="799"/>
      <c r="AQ806" s="799"/>
      <c r="AR806" s="799"/>
      <c r="AS806" s="799"/>
      <c r="AT806" s="799"/>
      <c r="AU806" s="799"/>
      <c r="AV806" s="799"/>
      <c r="AW806" s="799"/>
      <c r="AX806" s="799"/>
      <c r="AY806" s="799"/>
      <c r="AZ806" s="799"/>
      <c r="BA806" s="799"/>
      <c r="BB806" s="799"/>
      <c r="BC806" s="799"/>
      <c r="BD806" s="799"/>
      <c r="BE806" s="799"/>
      <c r="BF806" s="799"/>
      <c r="BG806" s="799"/>
    </row>
    <row r="807">
      <c r="H807" s="799"/>
      <c r="I807" s="799"/>
      <c r="J807" s="799"/>
      <c r="K807" s="799"/>
      <c r="L807" s="799"/>
      <c r="M807" s="799"/>
      <c r="N807" s="799"/>
      <c r="O807" s="799"/>
      <c r="P807" s="799"/>
      <c r="Q807" s="799"/>
      <c r="R807" s="799"/>
      <c r="S807" s="799"/>
      <c r="T807" s="799"/>
      <c r="U807" s="799"/>
      <c r="V807" s="799"/>
      <c r="W807" s="799"/>
      <c r="X807" s="799"/>
      <c r="Y807" s="799"/>
      <c r="Z807" s="799"/>
      <c r="AA807" s="799"/>
      <c r="AB807" s="799"/>
      <c r="AC807" s="799"/>
      <c r="AD807" s="799"/>
      <c r="AE807" s="799"/>
      <c r="AF807" s="799"/>
      <c r="AG807" s="799"/>
      <c r="AH807" s="799"/>
      <c r="AI807" s="799"/>
      <c r="AJ807" s="799"/>
      <c r="AK807" s="799"/>
      <c r="AL807" s="799"/>
      <c r="AM807" s="799"/>
      <c r="AN807" s="799"/>
      <c r="AO807" s="799"/>
      <c r="AP807" s="799"/>
      <c r="AQ807" s="799"/>
      <c r="AR807" s="799"/>
      <c r="AS807" s="799"/>
      <c r="AT807" s="799"/>
      <c r="AU807" s="799"/>
      <c r="AV807" s="799"/>
      <c r="AW807" s="799"/>
      <c r="AX807" s="799"/>
      <c r="AY807" s="799"/>
      <c r="AZ807" s="799"/>
      <c r="BA807" s="799"/>
      <c r="BB807" s="799"/>
      <c r="BC807" s="799"/>
      <c r="BD807" s="799"/>
      <c r="BE807" s="799"/>
      <c r="BF807" s="799"/>
      <c r="BG807" s="799"/>
    </row>
    <row r="808">
      <c r="H808" s="799"/>
      <c r="I808" s="799"/>
      <c r="J808" s="799"/>
      <c r="K808" s="799"/>
      <c r="L808" s="799"/>
      <c r="M808" s="799"/>
      <c r="N808" s="799"/>
      <c r="O808" s="799"/>
      <c r="P808" s="799"/>
      <c r="Q808" s="799"/>
      <c r="R808" s="799"/>
      <c r="S808" s="799"/>
      <c r="T808" s="799"/>
      <c r="U808" s="799"/>
      <c r="V808" s="799"/>
      <c r="W808" s="799"/>
      <c r="X808" s="799"/>
      <c r="Y808" s="799"/>
      <c r="Z808" s="799"/>
      <c r="AA808" s="799"/>
      <c r="AB808" s="799"/>
      <c r="AC808" s="799"/>
      <c r="AD808" s="799"/>
      <c r="AE808" s="799"/>
      <c r="AF808" s="799"/>
      <c r="AG808" s="799"/>
      <c r="AH808" s="799"/>
      <c r="AI808" s="799"/>
      <c r="AJ808" s="799"/>
      <c r="AK808" s="799"/>
      <c r="AL808" s="799"/>
      <c r="AM808" s="799"/>
      <c r="AN808" s="799"/>
      <c r="AO808" s="799"/>
      <c r="AP808" s="799"/>
      <c r="AQ808" s="799"/>
      <c r="AR808" s="799"/>
      <c r="AS808" s="799"/>
      <c r="AT808" s="799"/>
      <c r="AU808" s="799"/>
      <c r="AV808" s="799"/>
      <c r="AW808" s="799"/>
      <c r="AX808" s="799"/>
      <c r="AY808" s="799"/>
      <c r="AZ808" s="799"/>
      <c r="BA808" s="799"/>
      <c r="BB808" s="799"/>
      <c r="BC808" s="799"/>
      <c r="BD808" s="799"/>
      <c r="BE808" s="799"/>
      <c r="BF808" s="799"/>
      <c r="BG808" s="799"/>
    </row>
    <row r="809">
      <c r="H809" s="799"/>
      <c r="I809" s="799"/>
      <c r="J809" s="799"/>
      <c r="K809" s="799"/>
      <c r="L809" s="799"/>
      <c r="M809" s="799"/>
      <c r="N809" s="799"/>
      <c r="O809" s="799"/>
      <c r="P809" s="799"/>
      <c r="Q809" s="799"/>
      <c r="R809" s="799"/>
      <c r="S809" s="799"/>
      <c r="T809" s="799"/>
      <c r="U809" s="799"/>
      <c r="V809" s="799"/>
      <c r="W809" s="799"/>
      <c r="X809" s="799"/>
      <c r="Y809" s="799"/>
      <c r="Z809" s="799"/>
      <c r="AA809" s="799"/>
      <c r="AB809" s="799"/>
      <c r="AC809" s="799"/>
      <c r="AD809" s="799"/>
      <c r="AE809" s="799"/>
      <c r="AF809" s="799"/>
      <c r="AG809" s="799"/>
      <c r="AH809" s="799"/>
      <c r="AI809" s="799"/>
      <c r="AJ809" s="799"/>
      <c r="AK809" s="799"/>
      <c r="AL809" s="799"/>
      <c r="AM809" s="799"/>
      <c r="AN809" s="799"/>
      <c r="AO809" s="799"/>
      <c r="AP809" s="799"/>
      <c r="AQ809" s="799"/>
      <c r="AR809" s="799"/>
      <c r="AS809" s="799"/>
      <c r="AT809" s="799"/>
      <c r="AU809" s="799"/>
      <c r="AV809" s="799"/>
      <c r="AW809" s="799"/>
      <c r="AX809" s="799"/>
      <c r="AY809" s="799"/>
      <c r="AZ809" s="799"/>
      <c r="BA809" s="799"/>
      <c r="BB809" s="799"/>
      <c r="BC809" s="799"/>
      <c r="BD809" s="799"/>
      <c r="BE809" s="799"/>
      <c r="BF809" s="799"/>
      <c r="BG809" s="799"/>
    </row>
    <row r="810">
      <c r="H810" s="799"/>
      <c r="I810" s="799"/>
      <c r="J810" s="799"/>
      <c r="K810" s="799"/>
      <c r="L810" s="799"/>
      <c r="M810" s="799"/>
      <c r="N810" s="799"/>
      <c r="O810" s="799"/>
      <c r="P810" s="799"/>
      <c r="Q810" s="799"/>
      <c r="R810" s="799"/>
      <c r="S810" s="799"/>
      <c r="T810" s="799"/>
      <c r="U810" s="799"/>
      <c r="V810" s="799"/>
      <c r="W810" s="799"/>
      <c r="X810" s="799"/>
      <c r="Y810" s="799"/>
      <c r="Z810" s="799"/>
      <c r="AA810" s="799"/>
      <c r="AB810" s="799"/>
      <c r="AC810" s="799"/>
      <c r="AD810" s="799"/>
      <c r="AE810" s="799"/>
      <c r="AF810" s="799"/>
      <c r="AG810" s="799"/>
      <c r="AH810" s="799"/>
      <c r="AI810" s="799"/>
      <c r="AJ810" s="799"/>
      <c r="AK810" s="799"/>
      <c r="AL810" s="799"/>
      <c r="AM810" s="799"/>
      <c r="AN810" s="799"/>
      <c r="AO810" s="799"/>
      <c r="AP810" s="799"/>
      <c r="AQ810" s="799"/>
      <c r="AR810" s="799"/>
      <c r="AS810" s="799"/>
      <c r="AT810" s="799"/>
      <c r="AU810" s="799"/>
      <c r="AV810" s="799"/>
      <c r="AW810" s="799"/>
      <c r="AX810" s="799"/>
      <c r="AY810" s="799"/>
      <c r="AZ810" s="799"/>
      <c r="BA810" s="799"/>
      <c r="BB810" s="799"/>
      <c r="BC810" s="799"/>
      <c r="BD810" s="799"/>
      <c r="BE810" s="799"/>
      <c r="BF810" s="799"/>
      <c r="BG810" s="799"/>
    </row>
    <row r="811">
      <c r="H811" s="799"/>
      <c r="I811" s="799"/>
      <c r="J811" s="799"/>
      <c r="K811" s="799"/>
      <c r="L811" s="799"/>
      <c r="M811" s="799"/>
      <c r="N811" s="799"/>
      <c r="O811" s="799"/>
      <c r="P811" s="799"/>
      <c r="Q811" s="799"/>
      <c r="R811" s="799"/>
      <c r="S811" s="799"/>
      <c r="T811" s="799"/>
      <c r="U811" s="799"/>
      <c r="V811" s="799"/>
      <c r="W811" s="799"/>
      <c r="X811" s="799"/>
      <c r="Y811" s="799"/>
      <c r="Z811" s="799"/>
      <c r="AA811" s="799"/>
      <c r="AB811" s="799"/>
      <c r="AC811" s="799"/>
      <c r="AD811" s="799"/>
      <c r="AE811" s="799"/>
      <c r="AF811" s="799"/>
      <c r="AG811" s="799"/>
      <c r="AH811" s="799"/>
      <c r="AI811" s="799"/>
      <c r="AJ811" s="799"/>
      <c r="AK811" s="799"/>
      <c r="AL811" s="799"/>
      <c r="AM811" s="799"/>
      <c r="AN811" s="799"/>
      <c r="AO811" s="799"/>
      <c r="AP811" s="799"/>
      <c r="AQ811" s="799"/>
      <c r="AR811" s="799"/>
      <c r="AS811" s="799"/>
      <c r="AT811" s="799"/>
      <c r="AU811" s="799"/>
      <c r="AV811" s="799"/>
      <c r="AW811" s="799"/>
      <c r="AX811" s="799"/>
      <c r="AY811" s="799"/>
      <c r="AZ811" s="799"/>
      <c r="BA811" s="799"/>
      <c r="BB811" s="799"/>
      <c r="BC811" s="799"/>
      <c r="BD811" s="799"/>
      <c r="BE811" s="799"/>
      <c r="BF811" s="799"/>
      <c r="BG811" s="799"/>
    </row>
    <row r="812">
      <c r="H812" s="799"/>
      <c r="I812" s="799"/>
      <c r="J812" s="799"/>
      <c r="K812" s="799"/>
      <c r="L812" s="799"/>
      <c r="M812" s="799"/>
      <c r="N812" s="799"/>
      <c r="O812" s="799"/>
      <c r="P812" s="799"/>
      <c r="Q812" s="799"/>
      <c r="R812" s="799"/>
      <c r="S812" s="799"/>
      <c r="T812" s="799"/>
      <c r="U812" s="799"/>
      <c r="V812" s="799"/>
      <c r="W812" s="799"/>
      <c r="X812" s="799"/>
      <c r="Y812" s="799"/>
      <c r="Z812" s="799"/>
      <c r="AA812" s="799"/>
      <c r="AB812" s="799"/>
      <c r="AC812" s="799"/>
      <c r="AD812" s="799"/>
      <c r="AE812" s="799"/>
      <c r="AF812" s="799"/>
      <c r="AG812" s="799"/>
      <c r="AH812" s="799"/>
      <c r="AI812" s="799"/>
      <c r="AJ812" s="799"/>
      <c r="AK812" s="799"/>
      <c r="AL812" s="799"/>
      <c r="AM812" s="799"/>
      <c r="AN812" s="799"/>
      <c r="AO812" s="799"/>
      <c r="AP812" s="799"/>
      <c r="AQ812" s="799"/>
      <c r="AR812" s="799"/>
      <c r="AS812" s="799"/>
      <c r="AT812" s="799"/>
      <c r="AU812" s="799"/>
      <c r="AV812" s="799"/>
      <c r="AW812" s="799"/>
      <c r="AX812" s="799"/>
      <c r="AY812" s="799"/>
      <c r="AZ812" s="799"/>
      <c r="BA812" s="799"/>
      <c r="BB812" s="799"/>
      <c r="BC812" s="799"/>
      <c r="BD812" s="799"/>
      <c r="BE812" s="799"/>
      <c r="BF812" s="799"/>
      <c r="BG812" s="799"/>
    </row>
    <row r="813">
      <c r="H813" s="799"/>
      <c r="I813" s="799"/>
      <c r="J813" s="799"/>
      <c r="K813" s="799"/>
      <c r="L813" s="799"/>
      <c r="M813" s="799"/>
      <c r="N813" s="799"/>
      <c r="O813" s="799"/>
      <c r="P813" s="799"/>
      <c r="Q813" s="799"/>
      <c r="R813" s="799"/>
      <c r="S813" s="799"/>
      <c r="T813" s="799"/>
      <c r="U813" s="799"/>
      <c r="V813" s="799"/>
      <c r="W813" s="799"/>
      <c r="X813" s="799"/>
      <c r="Y813" s="799"/>
      <c r="Z813" s="799"/>
      <c r="AA813" s="799"/>
      <c r="AB813" s="799"/>
      <c r="AC813" s="799"/>
      <c r="AD813" s="799"/>
      <c r="AE813" s="799"/>
      <c r="AF813" s="799"/>
      <c r="AG813" s="799"/>
      <c r="AH813" s="799"/>
      <c r="AI813" s="799"/>
      <c r="AJ813" s="799"/>
      <c r="AK813" s="799"/>
      <c r="AL813" s="799"/>
      <c r="AM813" s="799"/>
      <c r="AN813" s="799"/>
      <c r="AO813" s="799"/>
      <c r="AP813" s="799"/>
      <c r="AQ813" s="799"/>
      <c r="AR813" s="799"/>
      <c r="AS813" s="799"/>
      <c r="AT813" s="799"/>
      <c r="AU813" s="799"/>
      <c r="AV813" s="799"/>
      <c r="AW813" s="799"/>
      <c r="AX813" s="799"/>
      <c r="AY813" s="799"/>
      <c r="AZ813" s="799"/>
      <c r="BA813" s="799"/>
      <c r="BB813" s="799"/>
      <c r="BC813" s="799"/>
      <c r="BD813" s="799"/>
      <c r="BE813" s="799"/>
      <c r="BF813" s="799"/>
      <c r="BG813" s="799"/>
    </row>
    <row r="814">
      <c r="H814" s="799"/>
      <c r="I814" s="799"/>
      <c r="J814" s="799"/>
      <c r="K814" s="799"/>
      <c r="L814" s="799"/>
      <c r="M814" s="799"/>
      <c r="N814" s="799"/>
      <c r="O814" s="799"/>
      <c r="P814" s="799"/>
      <c r="Q814" s="799"/>
      <c r="R814" s="799"/>
      <c r="S814" s="799"/>
      <c r="T814" s="799"/>
      <c r="U814" s="799"/>
      <c r="V814" s="799"/>
      <c r="W814" s="799"/>
      <c r="X814" s="799"/>
      <c r="Y814" s="799"/>
      <c r="Z814" s="799"/>
      <c r="AA814" s="799"/>
      <c r="AB814" s="799"/>
      <c r="AC814" s="799"/>
      <c r="AD814" s="799"/>
      <c r="AE814" s="799"/>
      <c r="AF814" s="799"/>
      <c r="AG814" s="799"/>
      <c r="AH814" s="799"/>
      <c r="AI814" s="799"/>
      <c r="AJ814" s="799"/>
      <c r="AK814" s="799"/>
      <c r="AL814" s="799"/>
      <c r="AM814" s="799"/>
      <c r="AN814" s="799"/>
      <c r="AO814" s="799"/>
      <c r="AP814" s="799"/>
      <c r="AQ814" s="799"/>
      <c r="AR814" s="799"/>
      <c r="AS814" s="799"/>
      <c r="AT814" s="799"/>
      <c r="AU814" s="799"/>
      <c r="AV814" s="799"/>
      <c r="AW814" s="799"/>
      <c r="AX814" s="799"/>
      <c r="AY814" s="799"/>
      <c r="AZ814" s="799"/>
      <c r="BA814" s="799"/>
      <c r="BB814" s="799"/>
      <c r="BC814" s="799"/>
      <c r="BD814" s="799"/>
      <c r="BE814" s="799"/>
      <c r="BF814" s="799"/>
      <c r="BG814" s="799"/>
    </row>
    <row r="815">
      <c r="H815" s="799"/>
      <c r="I815" s="799"/>
      <c r="J815" s="799"/>
      <c r="K815" s="799"/>
      <c r="L815" s="799"/>
      <c r="M815" s="799"/>
      <c r="N815" s="799"/>
      <c r="O815" s="799"/>
      <c r="P815" s="799"/>
      <c r="Q815" s="799"/>
      <c r="R815" s="799"/>
      <c r="S815" s="799"/>
      <c r="T815" s="799"/>
      <c r="U815" s="799"/>
      <c r="V815" s="799"/>
      <c r="W815" s="799"/>
      <c r="X815" s="799"/>
      <c r="Y815" s="799"/>
      <c r="Z815" s="799"/>
      <c r="AA815" s="799"/>
      <c r="AB815" s="799"/>
      <c r="AC815" s="799"/>
      <c r="AD815" s="799"/>
      <c r="AE815" s="799"/>
      <c r="AF815" s="799"/>
      <c r="AG815" s="799"/>
      <c r="AH815" s="799"/>
      <c r="AI815" s="799"/>
      <c r="AJ815" s="799"/>
      <c r="AK815" s="799"/>
      <c r="AL815" s="799"/>
      <c r="AM815" s="799"/>
      <c r="AN815" s="799"/>
      <c r="AO815" s="799"/>
      <c r="AP815" s="799"/>
      <c r="AQ815" s="799"/>
      <c r="AR815" s="799"/>
      <c r="AS815" s="799"/>
      <c r="AT815" s="799"/>
      <c r="AU815" s="799"/>
      <c r="AV815" s="799"/>
      <c r="AW815" s="799"/>
      <c r="AX815" s="799"/>
      <c r="AY815" s="799"/>
      <c r="AZ815" s="799"/>
      <c r="BA815" s="799"/>
      <c r="BB815" s="799"/>
      <c r="BC815" s="799"/>
      <c r="BD815" s="799"/>
      <c r="BE815" s="799"/>
      <c r="BF815" s="799"/>
      <c r="BG815" s="799"/>
    </row>
    <row r="816">
      <c r="H816" s="799"/>
      <c r="I816" s="799"/>
      <c r="J816" s="799"/>
      <c r="K816" s="799"/>
      <c r="L816" s="799"/>
      <c r="M816" s="799"/>
      <c r="N816" s="799"/>
      <c r="O816" s="799"/>
      <c r="P816" s="799"/>
      <c r="Q816" s="799"/>
      <c r="R816" s="799"/>
      <c r="S816" s="799"/>
      <c r="T816" s="799"/>
      <c r="U816" s="799"/>
      <c r="V816" s="799"/>
      <c r="W816" s="799"/>
      <c r="X816" s="799"/>
      <c r="Y816" s="799"/>
      <c r="Z816" s="799"/>
      <c r="AA816" s="799"/>
      <c r="AB816" s="799"/>
      <c r="AC816" s="799"/>
      <c r="AD816" s="799"/>
      <c r="AE816" s="799"/>
      <c r="AF816" s="799"/>
      <c r="AG816" s="799"/>
      <c r="AH816" s="799"/>
      <c r="AI816" s="799"/>
      <c r="AJ816" s="799"/>
      <c r="AK816" s="799"/>
      <c r="AL816" s="799"/>
      <c r="AM816" s="799"/>
      <c r="AN816" s="799"/>
      <c r="AO816" s="799"/>
      <c r="AP816" s="799"/>
      <c r="AQ816" s="799"/>
      <c r="AR816" s="799"/>
      <c r="AS816" s="799"/>
      <c r="AT816" s="799"/>
      <c r="AU816" s="799"/>
      <c r="AV816" s="799"/>
      <c r="AW816" s="799"/>
      <c r="AX816" s="799"/>
      <c r="AY816" s="799"/>
      <c r="AZ816" s="799"/>
      <c r="BA816" s="799"/>
      <c r="BB816" s="799"/>
      <c r="BC816" s="799"/>
      <c r="BD816" s="799"/>
      <c r="BE816" s="799"/>
      <c r="BF816" s="799"/>
      <c r="BG816" s="799"/>
    </row>
    <row r="817">
      <c r="H817" s="799"/>
      <c r="I817" s="799"/>
      <c r="J817" s="799"/>
      <c r="K817" s="799"/>
      <c r="L817" s="799"/>
      <c r="M817" s="799"/>
      <c r="N817" s="799"/>
      <c r="O817" s="799"/>
      <c r="P817" s="799"/>
      <c r="Q817" s="799"/>
      <c r="R817" s="799"/>
      <c r="S817" s="799"/>
      <c r="T817" s="799"/>
      <c r="U817" s="799"/>
      <c r="V817" s="799"/>
      <c r="W817" s="799"/>
      <c r="X817" s="799"/>
      <c r="Y817" s="799"/>
      <c r="Z817" s="799"/>
      <c r="AA817" s="799"/>
      <c r="AB817" s="799"/>
      <c r="AC817" s="799"/>
      <c r="AD817" s="799"/>
      <c r="AE817" s="799"/>
      <c r="AF817" s="799"/>
      <c r="AG817" s="799"/>
      <c r="AH817" s="799"/>
      <c r="AI817" s="799"/>
      <c r="AJ817" s="799"/>
      <c r="AK817" s="799"/>
      <c r="AL817" s="799"/>
      <c r="AM817" s="799"/>
      <c r="AN817" s="799"/>
      <c r="AO817" s="799"/>
      <c r="AP817" s="799"/>
      <c r="AQ817" s="799"/>
      <c r="AR817" s="799"/>
      <c r="AS817" s="799"/>
      <c r="AT817" s="799"/>
      <c r="AU817" s="799"/>
      <c r="AV817" s="799"/>
      <c r="AW817" s="799"/>
      <c r="AX817" s="799"/>
      <c r="AY817" s="799"/>
      <c r="AZ817" s="799"/>
      <c r="BA817" s="799"/>
      <c r="BB817" s="799"/>
      <c r="BC817" s="799"/>
      <c r="BD817" s="799"/>
      <c r="BE817" s="799"/>
      <c r="BF817" s="799"/>
      <c r="BG817" s="799"/>
    </row>
    <row r="818">
      <c r="H818" s="799"/>
      <c r="I818" s="799"/>
      <c r="J818" s="799"/>
      <c r="K818" s="799"/>
      <c r="L818" s="799"/>
      <c r="M818" s="799"/>
      <c r="N818" s="799"/>
      <c r="O818" s="799"/>
      <c r="P818" s="799"/>
      <c r="Q818" s="799"/>
      <c r="R818" s="799"/>
      <c r="S818" s="799"/>
      <c r="T818" s="799"/>
      <c r="U818" s="799"/>
      <c r="V818" s="799"/>
      <c r="W818" s="799"/>
      <c r="X818" s="799"/>
      <c r="Y818" s="799"/>
      <c r="Z818" s="799"/>
      <c r="AA818" s="799"/>
      <c r="AB818" s="799"/>
      <c r="AC818" s="799"/>
      <c r="AD818" s="799"/>
      <c r="AE818" s="799"/>
      <c r="AF818" s="799"/>
      <c r="AG818" s="799"/>
      <c r="AH818" s="799"/>
      <c r="AI818" s="799"/>
      <c r="AJ818" s="799"/>
      <c r="AK818" s="799"/>
      <c r="AL818" s="799"/>
      <c r="AM818" s="799"/>
      <c r="AN818" s="799"/>
      <c r="AO818" s="799"/>
      <c r="AP818" s="799"/>
      <c r="AQ818" s="799"/>
      <c r="AR818" s="799"/>
      <c r="AS818" s="799"/>
      <c r="AT818" s="799"/>
      <c r="AU818" s="799"/>
      <c r="AV818" s="799"/>
      <c r="AW818" s="799"/>
      <c r="AX818" s="799"/>
      <c r="AY818" s="799"/>
      <c r="AZ818" s="799"/>
      <c r="BA818" s="799"/>
      <c r="BB818" s="799"/>
      <c r="BC818" s="799"/>
      <c r="BD818" s="799"/>
      <c r="BE818" s="799"/>
      <c r="BF818" s="799"/>
      <c r="BG818" s="799"/>
    </row>
    <row r="819">
      <c r="H819" s="799"/>
      <c r="I819" s="799"/>
      <c r="J819" s="799"/>
      <c r="K819" s="799"/>
      <c r="L819" s="799"/>
      <c r="M819" s="799"/>
      <c r="N819" s="799"/>
      <c r="O819" s="799"/>
      <c r="P819" s="799"/>
      <c r="Q819" s="799"/>
      <c r="R819" s="799"/>
      <c r="S819" s="799"/>
      <c r="T819" s="799"/>
      <c r="U819" s="799"/>
      <c r="V819" s="799"/>
      <c r="W819" s="799"/>
      <c r="X819" s="799"/>
      <c r="Y819" s="799"/>
      <c r="Z819" s="799"/>
      <c r="AA819" s="799"/>
      <c r="AB819" s="799"/>
      <c r="AC819" s="799"/>
      <c r="AD819" s="799"/>
      <c r="AE819" s="799"/>
      <c r="AF819" s="799"/>
      <c r="AG819" s="799"/>
      <c r="AH819" s="799"/>
      <c r="AI819" s="799"/>
      <c r="AJ819" s="799"/>
      <c r="AK819" s="799"/>
      <c r="AL819" s="799"/>
      <c r="AM819" s="799"/>
      <c r="AN819" s="799"/>
      <c r="AO819" s="799"/>
      <c r="AP819" s="799"/>
      <c r="AQ819" s="799"/>
      <c r="AR819" s="799"/>
      <c r="AS819" s="799"/>
      <c r="AT819" s="799"/>
      <c r="AU819" s="799"/>
      <c r="AV819" s="799"/>
      <c r="AW819" s="799"/>
      <c r="AX819" s="799"/>
      <c r="AY819" s="799"/>
      <c r="AZ819" s="799"/>
      <c r="BA819" s="799"/>
      <c r="BB819" s="799"/>
      <c r="BC819" s="799"/>
      <c r="BD819" s="799"/>
      <c r="BE819" s="799"/>
      <c r="BF819" s="799"/>
      <c r="BG819" s="799"/>
    </row>
    <row r="820">
      <c r="H820" s="799"/>
      <c r="I820" s="799"/>
      <c r="J820" s="799"/>
      <c r="K820" s="799"/>
      <c r="L820" s="799"/>
      <c r="M820" s="799"/>
      <c r="N820" s="799"/>
      <c r="O820" s="799"/>
      <c r="P820" s="799"/>
      <c r="Q820" s="799"/>
      <c r="R820" s="799"/>
      <c r="S820" s="799"/>
      <c r="T820" s="799"/>
      <c r="U820" s="799"/>
      <c r="V820" s="799"/>
      <c r="W820" s="799"/>
      <c r="X820" s="799"/>
      <c r="Y820" s="799"/>
      <c r="Z820" s="799"/>
      <c r="AA820" s="799"/>
      <c r="AB820" s="799"/>
      <c r="AC820" s="799"/>
      <c r="AD820" s="799"/>
      <c r="AE820" s="799"/>
      <c r="AF820" s="799"/>
      <c r="AG820" s="799"/>
      <c r="AH820" s="799"/>
      <c r="AI820" s="799"/>
      <c r="AJ820" s="799"/>
      <c r="AK820" s="799"/>
      <c r="AL820" s="799"/>
      <c r="AM820" s="799"/>
      <c r="AN820" s="799"/>
      <c r="AO820" s="799"/>
      <c r="AP820" s="799"/>
      <c r="AQ820" s="799"/>
      <c r="AR820" s="799"/>
      <c r="AS820" s="799"/>
      <c r="AT820" s="799"/>
      <c r="AU820" s="799"/>
      <c r="AV820" s="799"/>
      <c r="AW820" s="799"/>
      <c r="AX820" s="799"/>
      <c r="AY820" s="799"/>
      <c r="AZ820" s="799"/>
      <c r="BA820" s="799"/>
      <c r="BB820" s="799"/>
      <c r="BC820" s="799"/>
      <c r="BD820" s="799"/>
      <c r="BE820" s="799"/>
      <c r="BF820" s="799"/>
      <c r="BG820" s="799"/>
    </row>
    <row r="821">
      <c r="H821" s="799"/>
      <c r="I821" s="799"/>
      <c r="J821" s="799"/>
      <c r="K821" s="799"/>
      <c r="L821" s="799"/>
      <c r="M821" s="799"/>
      <c r="N821" s="799"/>
      <c r="O821" s="799"/>
      <c r="P821" s="799"/>
      <c r="Q821" s="799"/>
      <c r="R821" s="799"/>
      <c r="S821" s="799"/>
      <c r="T821" s="799"/>
      <c r="U821" s="799"/>
      <c r="V821" s="799"/>
      <c r="W821" s="799"/>
      <c r="X821" s="799"/>
      <c r="Y821" s="799"/>
      <c r="Z821" s="799"/>
      <c r="AA821" s="799"/>
      <c r="AB821" s="799"/>
      <c r="AC821" s="799"/>
      <c r="AD821" s="799"/>
      <c r="AE821" s="799"/>
      <c r="AF821" s="799"/>
      <c r="AG821" s="799"/>
      <c r="AH821" s="799"/>
      <c r="AI821" s="799"/>
      <c r="AJ821" s="799"/>
      <c r="AK821" s="799"/>
      <c r="AL821" s="799"/>
      <c r="AM821" s="799"/>
      <c r="AN821" s="799"/>
      <c r="AO821" s="799"/>
      <c r="AP821" s="799"/>
      <c r="AQ821" s="799"/>
      <c r="AR821" s="799"/>
      <c r="AS821" s="799"/>
      <c r="AT821" s="799"/>
      <c r="AU821" s="799"/>
      <c r="AV821" s="799"/>
      <c r="AW821" s="799"/>
      <c r="AX821" s="799"/>
      <c r="AY821" s="799"/>
      <c r="AZ821" s="799"/>
      <c r="BA821" s="799"/>
      <c r="BB821" s="799"/>
      <c r="BC821" s="799"/>
      <c r="BD821" s="799"/>
      <c r="BE821" s="799"/>
      <c r="BF821" s="799"/>
      <c r="BG821" s="799"/>
    </row>
    <row r="822">
      <c r="H822" s="799"/>
      <c r="I822" s="799"/>
      <c r="J822" s="799"/>
      <c r="K822" s="799"/>
      <c r="L822" s="799"/>
      <c r="M822" s="799"/>
      <c r="N822" s="799"/>
      <c r="O822" s="799"/>
      <c r="P822" s="799"/>
      <c r="Q822" s="799"/>
      <c r="R822" s="799"/>
      <c r="S822" s="799"/>
      <c r="T822" s="799"/>
      <c r="U822" s="799"/>
      <c r="V822" s="799"/>
      <c r="W822" s="799"/>
      <c r="X822" s="799"/>
      <c r="Y822" s="799"/>
      <c r="Z822" s="799"/>
      <c r="AA822" s="799"/>
      <c r="AB822" s="799"/>
      <c r="AC822" s="799"/>
      <c r="AD822" s="799"/>
      <c r="AE822" s="799"/>
      <c r="AF822" s="799"/>
      <c r="AG822" s="799"/>
      <c r="AH822" s="799"/>
      <c r="AI822" s="799"/>
      <c r="AJ822" s="799"/>
      <c r="AK822" s="799"/>
      <c r="AL822" s="799"/>
      <c r="AM822" s="799"/>
      <c r="AN822" s="799"/>
      <c r="AO822" s="799"/>
      <c r="AP822" s="799"/>
      <c r="AQ822" s="799"/>
      <c r="AR822" s="799"/>
      <c r="AS822" s="799"/>
      <c r="AT822" s="799"/>
      <c r="AU822" s="799"/>
      <c r="AV822" s="799"/>
      <c r="AW822" s="799"/>
      <c r="AX822" s="799"/>
      <c r="AY822" s="799"/>
      <c r="AZ822" s="799"/>
      <c r="BA822" s="799"/>
      <c r="BB822" s="799"/>
      <c r="BC822" s="799"/>
      <c r="BD822" s="799"/>
      <c r="BE822" s="799"/>
      <c r="BF822" s="799"/>
      <c r="BG822" s="799"/>
    </row>
    <row r="823">
      <c r="H823" s="799"/>
      <c r="I823" s="799"/>
      <c r="J823" s="799"/>
      <c r="K823" s="799"/>
      <c r="L823" s="799"/>
      <c r="M823" s="799"/>
      <c r="N823" s="799"/>
      <c r="O823" s="799"/>
      <c r="P823" s="799"/>
      <c r="Q823" s="799"/>
      <c r="R823" s="799"/>
      <c r="S823" s="799"/>
      <c r="T823" s="799"/>
      <c r="U823" s="799"/>
      <c r="V823" s="799"/>
      <c r="W823" s="799"/>
      <c r="X823" s="799"/>
      <c r="Y823" s="799"/>
      <c r="Z823" s="799"/>
      <c r="AA823" s="799"/>
      <c r="AB823" s="799"/>
      <c r="AC823" s="799"/>
      <c r="AD823" s="799"/>
      <c r="AE823" s="799"/>
      <c r="AF823" s="799"/>
      <c r="AG823" s="799"/>
      <c r="AH823" s="799"/>
      <c r="AI823" s="799"/>
      <c r="AJ823" s="799"/>
      <c r="AK823" s="799"/>
      <c r="AL823" s="799"/>
      <c r="AM823" s="799"/>
      <c r="AN823" s="799"/>
      <c r="AO823" s="799"/>
      <c r="AP823" s="799"/>
      <c r="AQ823" s="799"/>
      <c r="AR823" s="799"/>
      <c r="AS823" s="799"/>
      <c r="AT823" s="799"/>
      <c r="AU823" s="799"/>
      <c r="AV823" s="799"/>
      <c r="AW823" s="799"/>
      <c r="AX823" s="799"/>
      <c r="AY823" s="799"/>
      <c r="AZ823" s="799"/>
      <c r="BA823" s="799"/>
      <c r="BB823" s="799"/>
      <c r="BC823" s="799"/>
      <c r="BD823" s="799"/>
      <c r="BE823" s="799"/>
      <c r="BF823" s="799"/>
      <c r="BG823" s="799"/>
    </row>
    <row r="824">
      <c r="H824" s="799"/>
      <c r="I824" s="799"/>
      <c r="J824" s="799"/>
      <c r="K824" s="799"/>
      <c r="L824" s="799"/>
      <c r="M824" s="799"/>
      <c r="N824" s="799"/>
      <c r="O824" s="799"/>
      <c r="P824" s="799"/>
      <c r="Q824" s="799"/>
      <c r="R824" s="799"/>
      <c r="S824" s="799"/>
      <c r="T824" s="799"/>
      <c r="U824" s="799"/>
      <c r="V824" s="799"/>
      <c r="W824" s="799"/>
      <c r="X824" s="799"/>
      <c r="Y824" s="799"/>
      <c r="Z824" s="799"/>
      <c r="AA824" s="799"/>
      <c r="AB824" s="799"/>
      <c r="AC824" s="799"/>
      <c r="AD824" s="799"/>
      <c r="AE824" s="799"/>
      <c r="AF824" s="799"/>
      <c r="AG824" s="799"/>
      <c r="AH824" s="799"/>
      <c r="AI824" s="799"/>
      <c r="AJ824" s="799"/>
      <c r="AK824" s="799"/>
      <c r="AL824" s="799"/>
      <c r="AM824" s="799"/>
      <c r="AN824" s="799"/>
      <c r="AO824" s="799"/>
      <c r="AP824" s="799"/>
      <c r="AQ824" s="799"/>
      <c r="AR824" s="799"/>
      <c r="AS824" s="799"/>
      <c r="AT824" s="799"/>
      <c r="AU824" s="799"/>
      <c r="AV824" s="799"/>
      <c r="AW824" s="799"/>
      <c r="AX824" s="799"/>
      <c r="AY824" s="799"/>
      <c r="AZ824" s="799"/>
      <c r="BA824" s="799"/>
      <c r="BB824" s="799"/>
      <c r="BC824" s="799"/>
      <c r="BD824" s="799"/>
      <c r="BE824" s="799"/>
      <c r="BF824" s="799"/>
      <c r="BG824" s="799"/>
    </row>
    <row r="825">
      <c r="H825" s="799"/>
      <c r="I825" s="799"/>
      <c r="J825" s="799"/>
      <c r="K825" s="799"/>
      <c r="L825" s="799"/>
      <c r="M825" s="799"/>
      <c r="N825" s="799"/>
      <c r="O825" s="799"/>
      <c r="P825" s="799"/>
      <c r="Q825" s="799"/>
      <c r="R825" s="799"/>
      <c r="S825" s="799"/>
      <c r="T825" s="799"/>
      <c r="U825" s="799"/>
      <c r="V825" s="799"/>
      <c r="W825" s="799"/>
      <c r="X825" s="799"/>
      <c r="Y825" s="799"/>
      <c r="Z825" s="799"/>
      <c r="AA825" s="799"/>
      <c r="AB825" s="799"/>
      <c r="AC825" s="799"/>
      <c r="AD825" s="799"/>
      <c r="AE825" s="799"/>
      <c r="AF825" s="799"/>
      <c r="AG825" s="799"/>
      <c r="AH825" s="799"/>
      <c r="AI825" s="799"/>
      <c r="AJ825" s="799"/>
      <c r="AK825" s="799"/>
      <c r="AL825" s="799"/>
      <c r="AM825" s="799"/>
      <c r="AN825" s="799"/>
      <c r="AO825" s="799"/>
      <c r="AP825" s="799"/>
      <c r="AQ825" s="799"/>
      <c r="AR825" s="799"/>
      <c r="AS825" s="799"/>
      <c r="AT825" s="799"/>
      <c r="AU825" s="799"/>
      <c r="AV825" s="799"/>
      <c r="AW825" s="799"/>
      <c r="AX825" s="799"/>
      <c r="AY825" s="799"/>
      <c r="AZ825" s="799"/>
      <c r="BA825" s="799"/>
      <c r="BB825" s="799"/>
      <c r="BC825" s="799"/>
      <c r="BD825" s="799"/>
      <c r="BE825" s="799"/>
      <c r="BF825" s="799"/>
      <c r="BG825" s="799"/>
    </row>
    <row r="826">
      <c r="H826" s="799"/>
      <c r="I826" s="799"/>
      <c r="J826" s="799"/>
      <c r="K826" s="799"/>
      <c r="L826" s="799"/>
      <c r="M826" s="799"/>
      <c r="N826" s="799"/>
      <c r="O826" s="799"/>
      <c r="P826" s="799"/>
      <c r="Q826" s="799"/>
      <c r="R826" s="799"/>
      <c r="S826" s="799"/>
      <c r="T826" s="799"/>
      <c r="U826" s="799"/>
      <c r="V826" s="799"/>
      <c r="W826" s="799"/>
      <c r="X826" s="799"/>
      <c r="Y826" s="799"/>
      <c r="Z826" s="799"/>
      <c r="AA826" s="799"/>
      <c r="AB826" s="799"/>
      <c r="AC826" s="799"/>
      <c r="AD826" s="799"/>
      <c r="AE826" s="799"/>
      <c r="AF826" s="799"/>
      <c r="AG826" s="799"/>
      <c r="AH826" s="799"/>
      <c r="AI826" s="799"/>
      <c r="AJ826" s="799"/>
      <c r="AK826" s="799"/>
      <c r="AL826" s="799"/>
      <c r="AM826" s="799"/>
      <c r="AN826" s="799"/>
      <c r="AO826" s="799"/>
      <c r="AP826" s="799"/>
      <c r="AQ826" s="799"/>
      <c r="AR826" s="799"/>
      <c r="AS826" s="799"/>
      <c r="AT826" s="799"/>
      <c r="AU826" s="799"/>
      <c r="AV826" s="799"/>
      <c r="AW826" s="799"/>
      <c r="AX826" s="799"/>
      <c r="AY826" s="799"/>
      <c r="AZ826" s="799"/>
      <c r="BA826" s="799"/>
      <c r="BB826" s="799"/>
      <c r="BC826" s="799"/>
      <c r="BD826" s="799"/>
      <c r="BE826" s="799"/>
      <c r="BF826" s="799"/>
      <c r="BG826" s="799"/>
    </row>
    <row r="827">
      <c r="H827" s="799"/>
      <c r="I827" s="799"/>
      <c r="J827" s="799"/>
      <c r="K827" s="799"/>
      <c r="L827" s="799"/>
      <c r="M827" s="799"/>
      <c r="N827" s="799"/>
      <c r="O827" s="799"/>
      <c r="P827" s="799"/>
      <c r="Q827" s="799"/>
      <c r="R827" s="799"/>
      <c r="S827" s="799"/>
      <c r="T827" s="799"/>
      <c r="U827" s="799"/>
      <c r="V827" s="799"/>
      <c r="W827" s="799"/>
      <c r="X827" s="799"/>
      <c r="Y827" s="799"/>
      <c r="Z827" s="799"/>
      <c r="AA827" s="799"/>
      <c r="AB827" s="799"/>
      <c r="AC827" s="799"/>
      <c r="AD827" s="799"/>
      <c r="AE827" s="799"/>
      <c r="AF827" s="799"/>
      <c r="AG827" s="799"/>
      <c r="AH827" s="799"/>
      <c r="AI827" s="799"/>
      <c r="AJ827" s="799"/>
      <c r="AK827" s="799"/>
      <c r="AL827" s="799"/>
      <c r="AM827" s="799"/>
      <c r="AN827" s="799"/>
      <c r="AO827" s="799"/>
      <c r="AP827" s="799"/>
      <c r="AQ827" s="799"/>
      <c r="AR827" s="799"/>
      <c r="AS827" s="799"/>
      <c r="AT827" s="799"/>
      <c r="AU827" s="799"/>
      <c r="AV827" s="799"/>
      <c r="AW827" s="799"/>
      <c r="AX827" s="799"/>
      <c r="AY827" s="799"/>
      <c r="AZ827" s="799"/>
      <c r="BA827" s="799"/>
      <c r="BB827" s="799"/>
      <c r="BC827" s="799"/>
      <c r="BD827" s="799"/>
      <c r="BE827" s="799"/>
      <c r="BF827" s="799"/>
      <c r="BG827" s="799"/>
    </row>
    <row r="828">
      <c r="H828" s="799"/>
      <c r="I828" s="799"/>
      <c r="J828" s="799"/>
      <c r="K828" s="799"/>
      <c r="L828" s="799"/>
      <c r="M828" s="799"/>
      <c r="N828" s="799"/>
      <c r="O828" s="799"/>
      <c r="P828" s="799"/>
      <c r="Q828" s="799"/>
      <c r="R828" s="799"/>
      <c r="S828" s="799"/>
      <c r="T828" s="799"/>
      <c r="U828" s="799"/>
      <c r="V828" s="799"/>
      <c r="W828" s="799"/>
      <c r="X828" s="799"/>
      <c r="Y828" s="799"/>
      <c r="Z828" s="799"/>
      <c r="AA828" s="799"/>
      <c r="AB828" s="799"/>
      <c r="AC828" s="799"/>
      <c r="AD828" s="799"/>
      <c r="AE828" s="799"/>
      <c r="AF828" s="799"/>
      <c r="AG828" s="799"/>
      <c r="AH828" s="799"/>
      <c r="AI828" s="799"/>
      <c r="AJ828" s="799"/>
      <c r="AK828" s="799"/>
      <c r="AL828" s="799"/>
      <c r="AM828" s="799"/>
      <c r="AN828" s="799"/>
      <c r="AO828" s="799"/>
      <c r="AP828" s="799"/>
      <c r="AQ828" s="799"/>
      <c r="AR828" s="799"/>
      <c r="AS828" s="799"/>
      <c r="AT828" s="799"/>
      <c r="AU828" s="799"/>
      <c r="AV828" s="799"/>
      <c r="AW828" s="799"/>
      <c r="AX828" s="799"/>
      <c r="AY828" s="799"/>
      <c r="AZ828" s="799"/>
      <c r="BA828" s="799"/>
      <c r="BB828" s="799"/>
      <c r="BC828" s="799"/>
      <c r="BD828" s="799"/>
      <c r="BE828" s="799"/>
      <c r="BF828" s="799"/>
      <c r="BG828" s="799"/>
    </row>
    <row r="829">
      <c r="H829" s="799"/>
      <c r="I829" s="799"/>
      <c r="J829" s="799"/>
      <c r="K829" s="799"/>
      <c r="L829" s="799"/>
      <c r="M829" s="799"/>
      <c r="N829" s="799"/>
      <c r="O829" s="799"/>
      <c r="P829" s="799"/>
      <c r="Q829" s="799"/>
      <c r="R829" s="799"/>
      <c r="S829" s="799"/>
      <c r="T829" s="799"/>
      <c r="U829" s="799"/>
      <c r="V829" s="799"/>
      <c r="W829" s="799"/>
      <c r="X829" s="799"/>
      <c r="Y829" s="799"/>
      <c r="Z829" s="799"/>
      <c r="AA829" s="799"/>
      <c r="AB829" s="799"/>
      <c r="AC829" s="799"/>
      <c r="AD829" s="799"/>
      <c r="AE829" s="799"/>
      <c r="AF829" s="799"/>
      <c r="AG829" s="799"/>
      <c r="AH829" s="799"/>
      <c r="AI829" s="799"/>
      <c r="AJ829" s="799"/>
      <c r="AK829" s="799"/>
      <c r="AL829" s="799"/>
      <c r="AM829" s="799"/>
      <c r="AN829" s="799"/>
      <c r="AO829" s="799"/>
      <c r="AP829" s="799"/>
      <c r="AQ829" s="799"/>
      <c r="AR829" s="799"/>
      <c r="AS829" s="799"/>
      <c r="AT829" s="799"/>
      <c r="AU829" s="799"/>
      <c r="AV829" s="799"/>
      <c r="AW829" s="799"/>
      <c r="AX829" s="799"/>
      <c r="AY829" s="799"/>
      <c r="AZ829" s="799"/>
      <c r="BA829" s="799"/>
      <c r="BB829" s="799"/>
      <c r="BC829" s="799"/>
      <c r="BD829" s="799"/>
      <c r="BE829" s="799"/>
      <c r="BF829" s="799"/>
      <c r="BG829" s="799"/>
    </row>
    <row r="830">
      <c r="H830" s="799"/>
      <c r="I830" s="799"/>
      <c r="J830" s="799"/>
      <c r="K830" s="799"/>
      <c r="L830" s="799"/>
      <c r="M830" s="799"/>
      <c r="N830" s="799"/>
      <c r="O830" s="799"/>
      <c r="P830" s="799"/>
      <c r="Q830" s="799"/>
      <c r="R830" s="799"/>
      <c r="S830" s="799"/>
      <c r="T830" s="799"/>
      <c r="U830" s="799"/>
      <c r="V830" s="799"/>
      <c r="W830" s="799"/>
      <c r="X830" s="799"/>
      <c r="Y830" s="799"/>
      <c r="Z830" s="799"/>
      <c r="AA830" s="799"/>
      <c r="AB830" s="799"/>
      <c r="AC830" s="799"/>
      <c r="AD830" s="799"/>
      <c r="AE830" s="799"/>
      <c r="AF830" s="799"/>
      <c r="AG830" s="799"/>
      <c r="AH830" s="799"/>
      <c r="AI830" s="799"/>
      <c r="AJ830" s="799"/>
      <c r="AK830" s="799"/>
      <c r="AL830" s="799"/>
      <c r="AM830" s="799"/>
      <c r="AN830" s="799"/>
      <c r="AO830" s="799"/>
      <c r="AP830" s="799"/>
      <c r="AQ830" s="799"/>
      <c r="AR830" s="799"/>
      <c r="AS830" s="799"/>
      <c r="AT830" s="799"/>
      <c r="AU830" s="799"/>
      <c r="AV830" s="799"/>
      <c r="AW830" s="799"/>
      <c r="AX830" s="799"/>
      <c r="AY830" s="799"/>
      <c r="AZ830" s="799"/>
      <c r="BA830" s="799"/>
      <c r="BB830" s="799"/>
      <c r="BC830" s="799"/>
      <c r="BD830" s="799"/>
      <c r="BE830" s="799"/>
      <c r="BF830" s="799"/>
      <c r="BG830" s="799"/>
    </row>
    <row r="831">
      <c r="H831" s="799"/>
      <c r="I831" s="799"/>
      <c r="J831" s="799"/>
      <c r="K831" s="799"/>
      <c r="L831" s="799"/>
      <c r="M831" s="799"/>
      <c r="N831" s="799"/>
      <c r="O831" s="799"/>
      <c r="P831" s="799"/>
      <c r="Q831" s="799"/>
      <c r="R831" s="799"/>
      <c r="S831" s="799"/>
      <c r="T831" s="799"/>
      <c r="U831" s="799"/>
      <c r="V831" s="799"/>
      <c r="W831" s="799"/>
      <c r="X831" s="799"/>
      <c r="Y831" s="799"/>
      <c r="Z831" s="799"/>
      <c r="AA831" s="799"/>
      <c r="AB831" s="799"/>
      <c r="AC831" s="799"/>
      <c r="AD831" s="799"/>
      <c r="AE831" s="799"/>
      <c r="AF831" s="799"/>
      <c r="AG831" s="799"/>
      <c r="AH831" s="799"/>
      <c r="AI831" s="799"/>
      <c r="AJ831" s="799"/>
      <c r="AK831" s="799"/>
      <c r="AL831" s="799"/>
      <c r="AM831" s="799"/>
      <c r="AN831" s="799"/>
      <c r="AO831" s="799"/>
      <c r="AP831" s="799"/>
      <c r="AQ831" s="799"/>
      <c r="AR831" s="799"/>
      <c r="AS831" s="799"/>
      <c r="AT831" s="799"/>
      <c r="AU831" s="799"/>
      <c r="AV831" s="799"/>
      <c r="AW831" s="799"/>
      <c r="AX831" s="799"/>
      <c r="AY831" s="799"/>
      <c r="AZ831" s="799"/>
      <c r="BA831" s="799"/>
      <c r="BB831" s="799"/>
      <c r="BC831" s="799"/>
      <c r="BD831" s="799"/>
      <c r="BE831" s="799"/>
      <c r="BF831" s="799"/>
      <c r="BG831" s="799"/>
    </row>
    <row r="832">
      <c r="H832" s="799"/>
      <c r="I832" s="799"/>
      <c r="J832" s="799"/>
      <c r="K832" s="799"/>
      <c r="L832" s="799"/>
      <c r="M832" s="799"/>
      <c r="N832" s="799"/>
      <c r="O832" s="799"/>
      <c r="P832" s="799"/>
      <c r="Q832" s="799"/>
      <c r="R832" s="799"/>
      <c r="S832" s="799"/>
      <c r="T832" s="799"/>
      <c r="U832" s="799"/>
      <c r="V832" s="799"/>
      <c r="W832" s="799"/>
      <c r="X832" s="799"/>
      <c r="Y832" s="799"/>
      <c r="Z832" s="799"/>
      <c r="AA832" s="799"/>
      <c r="AB832" s="799"/>
      <c r="AC832" s="799"/>
      <c r="AD832" s="799"/>
      <c r="AE832" s="799"/>
      <c r="AF832" s="799"/>
      <c r="AG832" s="799"/>
      <c r="AH832" s="799"/>
      <c r="AI832" s="799"/>
      <c r="AJ832" s="799"/>
      <c r="AK832" s="799"/>
      <c r="AL832" s="799"/>
      <c r="AM832" s="799"/>
      <c r="AN832" s="799"/>
      <c r="AO832" s="799"/>
      <c r="AP832" s="799"/>
      <c r="AQ832" s="799"/>
      <c r="AR832" s="799"/>
      <c r="AS832" s="799"/>
      <c r="AT832" s="799"/>
      <c r="AU832" s="799"/>
      <c r="AV832" s="799"/>
      <c r="AW832" s="799"/>
      <c r="AX832" s="799"/>
      <c r="AY832" s="799"/>
      <c r="AZ832" s="799"/>
      <c r="BA832" s="799"/>
      <c r="BB832" s="799"/>
      <c r="BC832" s="799"/>
      <c r="BD832" s="799"/>
      <c r="BE832" s="799"/>
      <c r="BF832" s="799"/>
      <c r="BG832" s="799"/>
    </row>
    <row r="833">
      <c r="H833" s="799"/>
      <c r="I833" s="799"/>
      <c r="J833" s="799"/>
      <c r="K833" s="799"/>
      <c r="L833" s="799"/>
      <c r="M833" s="799"/>
      <c r="N833" s="799"/>
      <c r="O833" s="799"/>
      <c r="P833" s="799"/>
      <c r="Q833" s="799"/>
      <c r="R833" s="799"/>
      <c r="S833" s="799"/>
      <c r="T833" s="799"/>
      <c r="U833" s="799"/>
      <c r="V833" s="799"/>
      <c r="W833" s="799"/>
      <c r="X833" s="799"/>
      <c r="Y833" s="799"/>
      <c r="Z833" s="799"/>
      <c r="AA833" s="799"/>
      <c r="AB833" s="799"/>
      <c r="AC833" s="799"/>
      <c r="AD833" s="799"/>
      <c r="AE833" s="799"/>
      <c r="AF833" s="799"/>
      <c r="AG833" s="799"/>
      <c r="AH833" s="799"/>
      <c r="AI833" s="799"/>
      <c r="AJ833" s="799"/>
      <c r="AK833" s="799"/>
      <c r="AL833" s="799"/>
      <c r="AM833" s="799"/>
      <c r="AN833" s="799"/>
      <c r="AO833" s="799"/>
      <c r="AP833" s="799"/>
      <c r="AQ833" s="799"/>
      <c r="AR833" s="799"/>
      <c r="AS833" s="799"/>
      <c r="AT833" s="799"/>
      <c r="AU833" s="799"/>
      <c r="AV833" s="799"/>
      <c r="AW833" s="799"/>
      <c r="AX833" s="799"/>
      <c r="AY833" s="799"/>
      <c r="AZ833" s="799"/>
      <c r="BA833" s="799"/>
      <c r="BB833" s="799"/>
      <c r="BC833" s="799"/>
      <c r="BD833" s="799"/>
      <c r="BE833" s="799"/>
      <c r="BF833" s="799"/>
      <c r="BG833" s="799"/>
    </row>
    <row r="834">
      <c r="H834" s="799"/>
      <c r="I834" s="799"/>
      <c r="J834" s="799"/>
      <c r="K834" s="799"/>
      <c r="L834" s="799"/>
      <c r="M834" s="799"/>
      <c r="N834" s="799"/>
      <c r="O834" s="799"/>
      <c r="P834" s="799"/>
      <c r="Q834" s="799"/>
      <c r="R834" s="799"/>
      <c r="S834" s="799"/>
      <c r="T834" s="799"/>
      <c r="U834" s="799"/>
      <c r="V834" s="799"/>
      <c r="W834" s="799"/>
      <c r="X834" s="799"/>
      <c r="Y834" s="799"/>
      <c r="Z834" s="799"/>
      <c r="AA834" s="799"/>
      <c r="AB834" s="799"/>
      <c r="AC834" s="799"/>
      <c r="AD834" s="799"/>
      <c r="AE834" s="799"/>
      <c r="AF834" s="799"/>
      <c r="AG834" s="799"/>
      <c r="AH834" s="799"/>
      <c r="AI834" s="799"/>
      <c r="AJ834" s="799"/>
      <c r="AK834" s="799"/>
      <c r="AL834" s="799"/>
      <c r="AM834" s="799"/>
      <c r="AN834" s="799"/>
      <c r="AO834" s="799"/>
      <c r="AP834" s="799"/>
      <c r="AQ834" s="799"/>
      <c r="AR834" s="799"/>
      <c r="AS834" s="799"/>
      <c r="AT834" s="799"/>
      <c r="AU834" s="799"/>
      <c r="AV834" s="799"/>
      <c r="AW834" s="799"/>
      <c r="AX834" s="799"/>
      <c r="AY834" s="799"/>
      <c r="AZ834" s="799"/>
      <c r="BA834" s="799"/>
      <c r="BB834" s="799"/>
      <c r="BC834" s="799"/>
      <c r="BD834" s="799"/>
      <c r="BE834" s="799"/>
      <c r="BF834" s="799"/>
      <c r="BG834" s="799"/>
    </row>
    <row r="835">
      <c r="H835" s="799"/>
      <c r="I835" s="799"/>
      <c r="J835" s="799"/>
      <c r="K835" s="799"/>
      <c r="L835" s="799"/>
      <c r="M835" s="799"/>
      <c r="N835" s="799"/>
      <c r="O835" s="799"/>
      <c r="P835" s="799"/>
      <c r="Q835" s="799"/>
      <c r="R835" s="799"/>
      <c r="S835" s="799"/>
      <c r="T835" s="799"/>
      <c r="U835" s="799"/>
      <c r="V835" s="799"/>
      <c r="W835" s="799"/>
      <c r="X835" s="799"/>
      <c r="Y835" s="799"/>
      <c r="Z835" s="799"/>
      <c r="AA835" s="799"/>
      <c r="AB835" s="799"/>
      <c r="AC835" s="799"/>
      <c r="AD835" s="799"/>
      <c r="AE835" s="799"/>
      <c r="AF835" s="799"/>
      <c r="AG835" s="799"/>
      <c r="AH835" s="799"/>
      <c r="AI835" s="799"/>
      <c r="AJ835" s="799"/>
      <c r="AK835" s="799"/>
      <c r="AL835" s="799"/>
      <c r="AM835" s="799"/>
      <c r="AN835" s="799"/>
      <c r="AO835" s="799"/>
      <c r="AP835" s="799"/>
      <c r="AQ835" s="799"/>
      <c r="AR835" s="799"/>
      <c r="AS835" s="799"/>
      <c r="AT835" s="799"/>
      <c r="AU835" s="799"/>
      <c r="AV835" s="799"/>
      <c r="AW835" s="799"/>
      <c r="AX835" s="799"/>
      <c r="AY835" s="799"/>
      <c r="AZ835" s="799"/>
      <c r="BA835" s="799"/>
      <c r="BB835" s="799"/>
      <c r="BC835" s="799"/>
      <c r="BD835" s="799"/>
      <c r="BE835" s="799"/>
      <c r="BF835" s="799"/>
      <c r="BG835" s="799"/>
    </row>
    <row r="836">
      <c r="H836" s="799"/>
      <c r="I836" s="799"/>
      <c r="J836" s="799"/>
      <c r="K836" s="799"/>
      <c r="L836" s="799"/>
      <c r="M836" s="799"/>
      <c r="N836" s="799"/>
      <c r="O836" s="799"/>
      <c r="P836" s="799"/>
      <c r="Q836" s="799"/>
      <c r="R836" s="799"/>
      <c r="S836" s="799"/>
      <c r="T836" s="799"/>
      <c r="U836" s="799"/>
      <c r="V836" s="799"/>
      <c r="W836" s="799"/>
      <c r="X836" s="799"/>
      <c r="Y836" s="799"/>
      <c r="Z836" s="799"/>
      <c r="AA836" s="799"/>
      <c r="AB836" s="799"/>
      <c r="AC836" s="799"/>
      <c r="AD836" s="799"/>
      <c r="AE836" s="799"/>
      <c r="AF836" s="799"/>
      <c r="AG836" s="799"/>
      <c r="AH836" s="799"/>
      <c r="AI836" s="799"/>
      <c r="AJ836" s="799"/>
      <c r="AK836" s="799"/>
      <c r="AL836" s="799"/>
      <c r="AM836" s="799"/>
      <c r="AN836" s="799"/>
      <c r="AO836" s="799"/>
      <c r="AP836" s="799"/>
      <c r="AQ836" s="799"/>
      <c r="AR836" s="799"/>
      <c r="AS836" s="799"/>
      <c r="AT836" s="799"/>
      <c r="AU836" s="799"/>
      <c r="AV836" s="799"/>
      <c r="AW836" s="799"/>
      <c r="AX836" s="799"/>
      <c r="AY836" s="799"/>
      <c r="AZ836" s="799"/>
      <c r="BA836" s="799"/>
      <c r="BB836" s="799"/>
      <c r="BC836" s="799"/>
      <c r="BD836" s="799"/>
      <c r="BE836" s="799"/>
      <c r="BF836" s="799"/>
      <c r="BG836" s="799"/>
    </row>
    <row r="837">
      <c r="H837" s="799"/>
      <c r="I837" s="799"/>
      <c r="J837" s="799"/>
      <c r="K837" s="799"/>
      <c r="L837" s="799"/>
      <c r="M837" s="799"/>
      <c r="N837" s="799"/>
      <c r="O837" s="799"/>
      <c r="P837" s="799"/>
      <c r="Q837" s="799"/>
      <c r="R837" s="799"/>
      <c r="S837" s="799"/>
      <c r="T837" s="799"/>
      <c r="U837" s="799"/>
      <c r="V837" s="799"/>
      <c r="W837" s="799"/>
      <c r="X837" s="799"/>
      <c r="Y837" s="799"/>
      <c r="Z837" s="799"/>
      <c r="AA837" s="799"/>
      <c r="AB837" s="799"/>
      <c r="AC837" s="799"/>
      <c r="AD837" s="799"/>
      <c r="AE837" s="799"/>
      <c r="AF837" s="799"/>
      <c r="AG837" s="799"/>
      <c r="AH837" s="799"/>
      <c r="AI837" s="799"/>
      <c r="AJ837" s="799"/>
      <c r="AK837" s="799"/>
      <c r="AL837" s="799"/>
      <c r="AM837" s="799"/>
      <c r="AN837" s="799"/>
      <c r="AO837" s="799"/>
      <c r="AP837" s="799"/>
      <c r="AQ837" s="799"/>
      <c r="AR837" s="799"/>
      <c r="AS837" s="799"/>
      <c r="AT837" s="799"/>
      <c r="AU837" s="799"/>
      <c r="AV837" s="799"/>
      <c r="AW837" s="799"/>
      <c r="AX837" s="799"/>
      <c r="AY837" s="799"/>
      <c r="AZ837" s="799"/>
      <c r="BA837" s="799"/>
      <c r="BB837" s="799"/>
      <c r="BC837" s="799"/>
      <c r="BD837" s="799"/>
      <c r="BE837" s="799"/>
      <c r="BF837" s="799"/>
      <c r="BG837" s="799"/>
    </row>
    <row r="838">
      <c r="H838" s="799"/>
      <c r="I838" s="799"/>
      <c r="J838" s="799"/>
      <c r="K838" s="799"/>
      <c r="L838" s="799"/>
      <c r="M838" s="799"/>
      <c r="N838" s="799"/>
      <c r="O838" s="799"/>
      <c r="P838" s="799"/>
      <c r="Q838" s="799"/>
      <c r="R838" s="799"/>
      <c r="S838" s="799"/>
      <c r="T838" s="799"/>
      <c r="U838" s="799"/>
      <c r="V838" s="799"/>
      <c r="W838" s="799"/>
      <c r="X838" s="799"/>
      <c r="Y838" s="799"/>
      <c r="Z838" s="799"/>
      <c r="AA838" s="799"/>
      <c r="AB838" s="799"/>
      <c r="AC838" s="799"/>
      <c r="AD838" s="799"/>
      <c r="AE838" s="799"/>
      <c r="AF838" s="799"/>
      <c r="AG838" s="799"/>
      <c r="AH838" s="799"/>
      <c r="AI838" s="799"/>
      <c r="AJ838" s="799"/>
      <c r="AK838" s="799"/>
      <c r="AL838" s="799"/>
      <c r="AM838" s="799"/>
      <c r="AN838" s="799"/>
      <c r="AO838" s="799"/>
      <c r="AP838" s="799"/>
      <c r="AQ838" s="799"/>
      <c r="AR838" s="799"/>
      <c r="AS838" s="799"/>
      <c r="AT838" s="799"/>
      <c r="AU838" s="799"/>
      <c r="AV838" s="799"/>
      <c r="AW838" s="799"/>
      <c r="AX838" s="799"/>
      <c r="AY838" s="799"/>
      <c r="AZ838" s="799"/>
      <c r="BA838" s="799"/>
      <c r="BB838" s="799"/>
      <c r="BC838" s="799"/>
      <c r="BD838" s="799"/>
      <c r="BE838" s="799"/>
      <c r="BF838" s="799"/>
      <c r="BG838" s="799"/>
    </row>
    <row r="839">
      <c r="H839" s="799"/>
      <c r="I839" s="799"/>
      <c r="J839" s="799"/>
      <c r="K839" s="799"/>
      <c r="L839" s="799"/>
      <c r="M839" s="799"/>
      <c r="N839" s="799"/>
      <c r="O839" s="799"/>
      <c r="P839" s="799"/>
      <c r="Q839" s="799"/>
      <c r="R839" s="799"/>
      <c r="S839" s="799"/>
      <c r="T839" s="799"/>
      <c r="U839" s="799"/>
      <c r="V839" s="799"/>
      <c r="W839" s="799"/>
      <c r="X839" s="799"/>
      <c r="Y839" s="799"/>
      <c r="Z839" s="799"/>
      <c r="AA839" s="799"/>
      <c r="AB839" s="799"/>
      <c r="AC839" s="799"/>
      <c r="AD839" s="799"/>
      <c r="AE839" s="799"/>
      <c r="AF839" s="799"/>
      <c r="AG839" s="799"/>
      <c r="AH839" s="799"/>
      <c r="AI839" s="799"/>
      <c r="AJ839" s="799"/>
      <c r="AK839" s="799"/>
      <c r="AL839" s="799"/>
      <c r="AM839" s="799"/>
      <c r="AN839" s="799"/>
      <c r="AO839" s="799"/>
      <c r="AP839" s="799"/>
      <c r="AQ839" s="799"/>
      <c r="AR839" s="799"/>
      <c r="AS839" s="799"/>
      <c r="AT839" s="799"/>
      <c r="AU839" s="799"/>
      <c r="AV839" s="799"/>
      <c r="AW839" s="799"/>
      <c r="AX839" s="799"/>
      <c r="AY839" s="799"/>
      <c r="AZ839" s="799"/>
      <c r="BA839" s="799"/>
      <c r="BB839" s="799"/>
      <c r="BC839" s="799"/>
      <c r="BD839" s="799"/>
      <c r="BE839" s="799"/>
      <c r="BF839" s="799"/>
      <c r="BG839" s="799"/>
    </row>
    <row r="840">
      <c r="H840" s="799"/>
      <c r="I840" s="799"/>
      <c r="J840" s="799"/>
      <c r="K840" s="799"/>
      <c r="L840" s="799"/>
      <c r="M840" s="799"/>
      <c r="N840" s="799"/>
      <c r="O840" s="799"/>
      <c r="P840" s="799"/>
      <c r="Q840" s="799"/>
      <c r="R840" s="799"/>
      <c r="S840" s="799"/>
      <c r="T840" s="799"/>
      <c r="U840" s="799"/>
      <c r="V840" s="799"/>
      <c r="W840" s="799"/>
      <c r="X840" s="799"/>
      <c r="Y840" s="799"/>
      <c r="Z840" s="799"/>
      <c r="AA840" s="799"/>
      <c r="AB840" s="799"/>
      <c r="AC840" s="799"/>
      <c r="AD840" s="799"/>
      <c r="AE840" s="799"/>
      <c r="AF840" s="799"/>
      <c r="AG840" s="799"/>
      <c r="AH840" s="799"/>
      <c r="AI840" s="799"/>
      <c r="AJ840" s="799"/>
      <c r="AK840" s="799"/>
      <c r="AL840" s="799"/>
      <c r="AM840" s="799"/>
      <c r="AN840" s="799"/>
      <c r="AO840" s="799"/>
      <c r="AP840" s="799"/>
      <c r="AQ840" s="799"/>
      <c r="AR840" s="799"/>
      <c r="AS840" s="799"/>
      <c r="AT840" s="799"/>
      <c r="AU840" s="799"/>
      <c r="AV840" s="799"/>
      <c r="AW840" s="799"/>
      <c r="AX840" s="799"/>
      <c r="AY840" s="799"/>
      <c r="AZ840" s="799"/>
      <c r="BA840" s="799"/>
      <c r="BB840" s="799"/>
      <c r="BC840" s="799"/>
      <c r="BD840" s="799"/>
      <c r="BE840" s="799"/>
      <c r="BF840" s="799"/>
      <c r="BG840" s="799"/>
    </row>
    <row r="841">
      <c r="H841" s="799"/>
      <c r="I841" s="799"/>
      <c r="J841" s="799"/>
      <c r="K841" s="799"/>
      <c r="L841" s="799"/>
      <c r="M841" s="799"/>
      <c r="N841" s="799"/>
      <c r="O841" s="799"/>
      <c r="P841" s="799"/>
      <c r="Q841" s="799"/>
      <c r="R841" s="799"/>
      <c r="S841" s="799"/>
      <c r="T841" s="799"/>
      <c r="U841" s="799"/>
      <c r="V841" s="799"/>
      <c r="W841" s="799"/>
      <c r="X841" s="799"/>
      <c r="Y841" s="799"/>
      <c r="Z841" s="799"/>
      <c r="AA841" s="799"/>
      <c r="AB841" s="799"/>
      <c r="AC841" s="799"/>
      <c r="AD841" s="799"/>
      <c r="AE841" s="799"/>
      <c r="AF841" s="799"/>
      <c r="AG841" s="799"/>
      <c r="AH841" s="799"/>
      <c r="AI841" s="799"/>
      <c r="AJ841" s="799"/>
      <c r="AK841" s="799"/>
      <c r="AL841" s="799"/>
      <c r="AM841" s="799"/>
      <c r="AN841" s="799"/>
      <c r="AO841" s="799"/>
      <c r="AP841" s="799"/>
      <c r="AQ841" s="799"/>
      <c r="AR841" s="799"/>
      <c r="AS841" s="799"/>
      <c r="AT841" s="799"/>
      <c r="AU841" s="799"/>
      <c r="AV841" s="799"/>
      <c r="AW841" s="799"/>
      <c r="AX841" s="799"/>
      <c r="AY841" s="799"/>
      <c r="AZ841" s="799"/>
      <c r="BA841" s="799"/>
      <c r="BB841" s="799"/>
      <c r="BC841" s="799"/>
      <c r="BD841" s="799"/>
      <c r="BE841" s="799"/>
      <c r="BF841" s="799"/>
      <c r="BG841" s="799"/>
    </row>
    <row r="842">
      <c r="H842" s="799"/>
      <c r="I842" s="799"/>
      <c r="J842" s="799"/>
      <c r="K842" s="799"/>
      <c r="L842" s="799"/>
      <c r="M842" s="799"/>
      <c r="N842" s="799"/>
      <c r="O842" s="799"/>
      <c r="P842" s="799"/>
      <c r="Q842" s="799"/>
      <c r="R842" s="799"/>
      <c r="S842" s="799"/>
      <c r="T842" s="799"/>
      <c r="U842" s="799"/>
      <c r="V842" s="799"/>
      <c r="W842" s="799"/>
      <c r="X842" s="799"/>
      <c r="Y842" s="799"/>
      <c r="Z842" s="799"/>
      <c r="AA842" s="799"/>
      <c r="AB842" s="799"/>
      <c r="AC842" s="799"/>
      <c r="AD842" s="799"/>
      <c r="AE842" s="799"/>
      <c r="AF842" s="799"/>
      <c r="AG842" s="799"/>
      <c r="AH842" s="799"/>
      <c r="AI842" s="799"/>
      <c r="AJ842" s="799"/>
      <c r="AK842" s="799"/>
      <c r="AL842" s="799"/>
      <c r="AM842" s="799"/>
      <c r="AN842" s="799"/>
      <c r="AO842" s="799"/>
      <c r="AP842" s="799"/>
      <c r="AQ842" s="799"/>
      <c r="AR842" s="799"/>
      <c r="AS842" s="799"/>
      <c r="AT842" s="799"/>
      <c r="AU842" s="799"/>
      <c r="AV842" s="799"/>
      <c r="AW842" s="799"/>
      <c r="AX842" s="799"/>
      <c r="AY842" s="799"/>
      <c r="AZ842" s="799"/>
      <c r="BA842" s="799"/>
      <c r="BB842" s="799"/>
      <c r="BC842" s="799"/>
      <c r="BD842" s="799"/>
      <c r="BE842" s="799"/>
      <c r="BF842" s="799"/>
      <c r="BG842" s="799"/>
    </row>
    <row r="843">
      <c r="H843" s="799"/>
      <c r="I843" s="799"/>
      <c r="J843" s="799"/>
      <c r="K843" s="799"/>
      <c r="L843" s="799"/>
      <c r="M843" s="799"/>
      <c r="N843" s="799"/>
      <c r="O843" s="799"/>
      <c r="P843" s="799"/>
      <c r="Q843" s="799"/>
      <c r="R843" s="799"/>
      <c r="S843" s="799"/>
      <c r="T843" s="799"/>
      <c r="U843" s="799"/>
      <c r="V843" s="799"/>
      <c r="W843" s="799"/>
      <c r="X843" s="799"/>
      <c r="Y843" s="799"/>
      <c r="Z843" s="799"/>
      <c r="AA843" s="799"/>
      <c r="AB843" s="799"/>
      <c r="AC843" s="799"/>
      <c r="AD843" s="799"/>
      <c r="AE843" s="799"/>
      <c r="AF843" s="799"/>
      <c r="AG843" s="799"/>
      <c r="AH843" s="799"/>
      <c r="AI843" s="799"/>
      <c r="AJ843" s="799"/>
      <c r="AK843" s="799"/>
      <c r="AL843" s="799"/>
      <c r="AM843" s="799"/>
      <c r="AN843" s="799"/>
      <c r="AO843" s="799"/>
      <c r="AP843" s="799"/>
      <c r="AQ843" s="799"/>
      <c r="AR843" s="799"/>
      <c r="AS843" s="799"/>
      <c r="AT843" s="799"/>
      <c r="AU843" s="799"/>
      <c r="AV843" s="799"/>
      <c r="AW843" s="799"/>
      <c r="AX843" s="799"/>
      <c r="AY843" s="799"/>
      <c r="AZ843" s="799"/>
      <c r="BA843" s="799"/>
      <c r="BB843" s="799"/>
      <c r="BC843" s="799"/>
      <c r="BD843" s="799"/>
      <c r="BE843" s="799"/>
      <c r="BF843" s="799"/>
      <c r="BG843" s="799"/>
    </row>
    <row r="844">
      <c r="H844" s="799"/>
      <c r="I844" s="799"/>
      <c r="J844" s="799"/>
      <c r="K844" s="799"/>
      <c r="L844" s="799"/>
      <c r="M844" s="799"/>
      <c r="N844" s="799"/>
      <c r="O844" s="799"/>
      <c r="P844" s="799"/>
      <c r="Q844" s="799"/>
      <c r="R844" s="799"/>
      <c r="S844" s="799"/>
      <c r="T844" s="799"/>
      <c r="U844" s="799"/>
      <c r="V844" s="799"/>
      <c r="W844" s="799"/>
      <c r="X844" s="799"/>
      <c r="Y844" s="799"/>
      <c r="Z844" s="799"/>
      <c r="AA844" s="799"/>
      <c r="AB844" s="799"/>
      <c r="AC844" s="799"/>
      <c r="AD844" s="799"/>
      <c r="AE844" s="799"/>
      <c r="AF844" s="799"/>
      <c r="AG844" s="799"/>
      <c r="AH844" s="799"/>
      <c r="AI844" s="799"/>
      <c r="AJ844" s="799"/>
      <c r="AK844" s="799"/>
      <c r="AL844" s="799"/>
      <c r="AM844" s="799"/>
      <c r="AN844" s="799"/>
      <c r="AO844" s="799"/>
      <c r="AP844" s="799"/>
      <c r="AQ844" s="799"/>
      <c r="AR844" s="799"/>
      <c r="AS844" s="799"/>
      <c r="AT844" s="799"/>
      <c r="AU844" s="799"/>
      <c r="AV844" s="799"/>
      <c r="AW844" s="799"/>
      <c r="AX844" s="799"/>
      <c r="AY844" s="799"/>
      <c r="AZ844" s="799"/>
      <c r="BA844" s="799"/>
      <c r="BB844" s="799"/>
      <c r="BC844" s="799"/>
      <c r="BD844" s="799"/>
      <c r="BE844" s="799"/>
      <c r="BF844" s="799"/>
      <c r="BG844" s="799"/>
    </row>
    <row r="845">
      <c r="H845" s="799"/>
      <c r="I845" s="799"/>
      <c r="J845" s="799"/>
      <c r="K845" s="799"/>
      <c r="L845" s="799"/>
      <c r="M845" s="799"/>
      <c r="N845" s="799"/>
      <c r="O845" s="799"/>
      <c r="P845" s="799"/>
      <c r="Q845" s="799"/>
      <c r="R845" s="799"/>
      <c r="S845" s="799"/>
      <c r="T845" s="799"/>
      <c r="U845" s="799"/>
      <c r="V845" s="799"/>
      <c r="W845" s="799"/>
      <c r="X845" s="799"/>
      <c r="Y845" s="799"/>
      <c r="Z845" s="799"/>
      <c r="AA845" s="799"/>
      <c r="AB845" s="799"/>
      <c r="AC845" s="799"/>
      <c r="AD845" s="799"/>
      <c r="AE845" s="799"/>
      <c r="AF845" s="799"/>
      <c r="AG845" s="799"/>
      <c r="AH845" s="799"/>
      <c r="AI845" s="799"/>
      <c r="AJ845" s="799"/>
      <c r="AK845" s="799"/>
      <c r="AL845" s="799"/>
      <c r="AM845" s="799"/>
      <c r="AN845" s="799"/>
      <c r="AO845" s="799"/>
      <c r="AP845" s="799"/>
      <c r="AQ845" s="799"/>
      <c r="AR845" s="799"/>
      <c r="AS845" s="799"/>
      <c r="AT845" s="799"/>
      <c r="AU845" s="799"/>
      <c r="AV845" s="799"/>
      <c r="AW845" s="799"/>
      <c r="AX845" s="799"/>
      <c r="AY845" s="799"/>
      <c r="AZ845" s="799"/>
      <c r="BA845" s="799"/>
      <c r="BB845" s="799"/>
      <c r="BC845" s="799"/>
      <c r="BD845" s="799"/>
      <c r="BE845" s="799"/>
      <c r="BF845" s="799"/>
      <c r="BG845" s="799"/>
    </row>
    <row r="846">
      <c r="H846" s="799"/>
      <c r="I846" s="799"/>
      <c r="J846" s="799"/>
      <c r="K846" s="799"/>
      <c r="L846" s="799"/>
      <c r="M846" s="799"/>
      <c r="N846" s="799"/>
      <c r="O846" s="799"/>
      <c r="P846" s="799"/>
      <c r="Q846" s="799"/>
      <c r="R846" s="799"/>
      <c r="S846" s="799"/>
      <c r="T846" s="799"/>
      <c r="U846" s="799"/>
      <c r="V846" s="799"/>
      <c r="W846" s="799"/>
      <c r="X846" s="799"/>
      <c r="Y846" s="799"/>
      <c r="Z846" s="799"/>
      <c r="AA846" s="799"/>
      <c r="AB846" s="799"/>
      <c r="AC846" s="799"/>
      <c r="AD846" s="799"/>
      <c r="AE846" s="799"/>
      <c r="AF846" s="799"/>
      <c r="AG846" s="799"/>
      <c r="AH846" s="799"/>
      <c r="AI846" s="799"/>
      <c r="AJ846" s="799"/>
      <c r="AK846" s="799"/>
      <c r="AL846" s="799"/>
      <c r="AM846" s="799"/>
      <c r="AN846" s="799"/>
      <c r="AO846" s="799"/>
      <c r="AP846" s="799"/>
      <c r="AQ846" s="799"/>
      <c r="AR846" s="799"/>
      <c r="AS846" s="799"/>
      <c r="AT846" s="799"/>
      <c r="AU846" s="799"/>
      <c r="AV846" s="799"/>
      <c r="AW846" s="799"/>
      <c r="AX846" s="799"/>
      <c r="AY846" s="799"/>
      <c r="AZ846" s="799"/>
      <c r="BA846" s="799"/>
      <c r="BB846" s="799"/>
      <c r="BC846" s="799"/>
      <c r="BD846" s="799"/>
      <c r="BE846" s="799"/>
      <c r="BF846" s="799"/>
      <c r="BG846" s="799"/>
    </row>
    <row r="847">
      <c r="H847" s="799"/>
      <c r="I847" s="799"/>
      <c r="J847" s="799"/>
      <c r="K847" s="799"/>
      <c r="L847" s="799"/>
      <c r="M847" s="799"/>
      <c r="N847" s="799"/>
      <c r="O847" s="799"/>
      <c r="P847" s="799"/>
      <c r="Q847" s="799"/>
      <c r="R847" s="799"/>
      <c r="S847" s="799"/>
      <c r="T847" s="799"/>
      <c r="U847" s="799"/>
      <c r="V847" s="799"/>
      <c r="W847" s="799"/>
      <c r="X847" s="799"/>
      <c r="Y847" s="799"/>
      <c r="Z847" s="799"/>
      <c r="AA847" s="799"/>
      <c r="AB847" s="799"/>
      <c r="AC847" s="799"/>
      <c r="AD847" s="799"/>
      <c r="AE847" s="799"/>
      <c r="AF847" s="799"/>
      <c r="AG847" s="799"/>
      <c r="AH847" s="799"/>
      <c r="AI847" s="799"/>
      <c r="AJ847" s="799"/>
      <c r="AK847" s="799"/>
      <c r="AL847" s="799"/>
      <c r="AM847" s="799"/>
      <c r="AN847" s="799"/>
      <c r="AO847" s="799"/>
      <c r="AP847" s="799"/>
      <c r="AQ847" s="799"/>
      <c r="AR847" s="799"/>
      <c r="AS847" s="799"/>
      <c r="AT847" s="799"/>
      <c r="AU847" s="799"/>
      <c r="AV847" s="799"/>
      <c r="AW847" s="799"/>
      <c r="AX847" s="799"/>
      <c r="AY847" s="799"/>
      <c r="AZ847" s="799"/>
      <c r="BA847" s="799"/>
      <c r="BB847" s="799"/>
      <c r="BC847" s="799"/>
      <c r="BD847" s="799"/>
      <c r="BE847" s="799"/>
      <c r="BF847" s="799"/>
      <c r="BG847" s="799"/>
    </row>
    <row r="848">
      <c r="H848" s="799"/>
      <c r="I848" s="799"/>
      <c r="J848" s="799"/>
      <c r="K848" s="799"/>
      <c r="L848" s="799"/>
      <c r="M848" s="799"/>
      <c r="N848" s="799"/>
      <c r="O848" s="799"/>
      <c r="P848" s="799"/>
      <c r="Q848" s="799"/>
      <c r="R848" s="799"/>
      <c r="S848" s="799"/>
      <c r="T848" s="799"/>
      <c r="U848" s="799"/>
      <c r="V848" s="799"/>
      <c r="W848" s="799"/>
      <c r="X848" s="799"/>
      <c r="Y848" s="799"/>
      <c r="Z848" s="799"/>
      <c r="AA848" s="799"/>
      <c r="AB848" s="799"/>
      <c r="AC848" s="799"/>
      <c r="AD848" s="799"/>
      <c r="AE848" s="799"/>
      <c r="AF848" s="799"/>
      <c r="AG848" s="799"/>
      <c r="AH848" s="799"/>
      <c r="AI848" s="799"/>
      <c r="AJ848" s="799"/>
      <c r="AK848" s="799"/>
      <c r="AL848" s="799"/>
      <c r="AM848" s="799"/>
      <c r="AN848" s="799"/>
      <c r="AO848" s="799"/>
      <c r="AP848" s="799"/>
      <c r="AQ848" s="799"/>
      <c r="AR848" s="799"/>
      <c r="AS848" s="799"/>
      <c r="AT848" s="799"/>
      <c r="AU848" s="799"/>
      <c r="AV848" s="799"/>
      <c r="AW848" s="799"/>
      <c r="AX848" s="799"/>
      <c r="AY848" s="799"/>
      <c r="AZ848" s="799"/>
      <c r="BA848" s="799"/>
      <c r="BB848" s="799"/>
      <c r="BC848" s="799"/>
      <c r="BD848" s="799"/>
      <c r="BE848" s="799"/>
      <c r="BF848" s="799"/>
      <c r="BG848" s="799"/>
    </row>
    <row r="849">
      <c r="H849" s="799"/>
      <c r="I849" s="799"/>
      <c r="J849" s="799"/>
      <c r="K849" s="799"/>
      <c r="L849" s="799"/>
      <c r="M849" s="799"/>
      <c r="N849" s="799"/>
      <c r="O849" s="799"/>
      <c r="P849" s="799"/>
      <c r="Q849" s="799"/>
      <c r="R849" s="799"/>
      <c r="S849" s="799"/>
      <c r="T849" s="799"/>
      <c r="U849" s="799"/>
      <c r="V849" s="799"/>
      <c r="W849" s="799"/>
      <c r="X849" s="799"/>
      <c r="Y849" s="799"/>
      <c r="Z849" s="799"/>
      <c r="AA849" s="799"/>
      <c r="AB849" s="799"/>
      <c r="AC849" s="799"/>
      <c r="AD849" s="799"/>
      <c r="AE849" s="799"/>
      <c r="AF849" s="799"/>
      <c r="AG849" s="799"/>
      <c r="AH849" s="799"/>
      <c r="AI849" s="799"/>
      <c r="AJ849" s="799"/>
      <c r="AK849" s="799"/>
      <c r="AL849" s="799"/>
      <c r="AM849" s="799"/>
      <c r="AN849" s="799"/>
      <c r="AO849" s="799"/>
      <c r="AP849" s="799"/>
      <c r="AQ849" s="799"/>
      <c r="AR849" s="799"/>
      <c r="AS849" s="799"/>
      <c r="AT849" s="799"/>
      <c r="AU849" s="799"/>
      <c r="AV849" s="799"/>
      <c r="AW849" s="799"/>
      <c r="AX849" s="799"/>
      <c r="AY849" s="799"/>
      <c r="AZ849" s="799"/>
      <c r="BA849" s="799"/>
      <c r="BB849" s="799"/>
      <c r="BC849" s="799"/>
      <c r="BD849" s="799"/>
      <c r="BE849" s="799"/>
      <c r="BF849" s="799"/>
      <c r="BG849" s="799"/>
    </row>
    <row r="850">
      <c r="H850" s="799"/>
      <c r="I850" s="799"/>
      <c r="J850" s="799"/>
      <c r="K850" s="799"/>
      <c r="L850" s="799"/>
      <c r="M850" s="799"/>
      <c r="N850" s="799"/>
      <c r="O850" s="799"/>
      <c r="P850" s="799"/>
      <c r="Q850" s="799"/>
      <c r="R850" s="799"/>
      <c r="S850" s="799"/>
      <c r="T850" s="799"/>
      <c r="U850" s="799"/>
      <c r="V850" s="799"/>
      <c r="W850" s="799"/>
      <c r="X850" s="799"/>
      <c r="Y850" s="799"/>
      <c r="Z850" s="799"/>
      <c r="AA850" s="799"/>
      <c r="AB850" s="799"/>
      <c r="AC850" s="799"/>
      <c r="AD850" s="799"/>
      <c r="AE850" s="799"/>
      <c r="AF850" s="799"/>
      <c r="AG850" s="799"/>
      <c r="AH850" s="799"/>
      <c r="AI850" s="799"/>
      <c r="AJ850" s="799"/>
      <c r="AK850" s="799"/>
      <c r="AL850" s="799"/>
      <c r="AM850" s="799"/>
      <c r="AN850" s="799"/>
      <c r="AO850" s="799"/>
      <c r="AP850" s="799"/>
      <c r="AQ850" s="799"/>
      <c r="AR850" s="799"/>
      <c r="AS850" s="799"/>
      <c r="AT850" s="799"/>
      <c r="AU850" s="799"/>
      <c r="AV850" s="799"/>
      <c r="AW850" s="799"/>
      <c r="AX850" s="799"/>
      <c r="AY850" s="799"/>
      <c r="AZ850" s="799"/>
      <c r="BA850" s="799"/>
      <c r="BB850" s="799"/>
      <c r="BC850" s="799"/>
      <c r="BD850" s="799"/>
      <c r="BE850" s="799"/>
      <c r="BF850" s="799"/>
      <c r="BG850" s="799"/>
    </row>
    <row r="851">
      <c r="H851" s="799"/>
      <c r="I851" s="799"/>
      <c r="J851" s="799"/>
      <c r="K851" s="799"/>
      <c r="L851" s="799"/>
      <c r="M851" s="799"/>
      <c r="N851" s="799"/>
      <c r="O851" s="799"/>
      <c r="P851" s="799"/>
      <c r="Q851" s="799"/>
      <c r="R851" s="799"/>
      <c r="S851" s="799"/>
      <c r="T851" s="799"/>
      <c r="U851" s="799"/>
      <c r="V851" s="799"/>
      <c r="W851" s="799"/>
      <c r="X851" s="799"/>
      <c r="Y851" s="799"/>
      <c r="Z851" s="799"/>
      <c r="AA851" s="799"/>
      <c r="AB851" s="799"/>
      <c r="AC851" s="799"/>
      <c r="AD851" s="799"/>
      <c r="AE851" s="799"/>
      <c r="AF851" s="799"/>
      <c r="AG851" s="799"/>
      <c r="AH851" s="799"/>
      <c r="AI851" s="799"/>
      <c r="AJ851" s="799"/>
      <c r="AK851" s="799"/>
      <c r="AL851" s="799"/>
      <c r="AM851" s="799"/>
      <c r="AN851" s="799"/>
      <c r="AO851" s="799"/>
      <c r="AP851" s="799"/>
      <c r="AQ851" s="799"/>
      <c r="AR851" s="799"/>
      <c r="AS851" s="799"/>
      <c r="AT851" s="799"/>
      <c r="AU851" s="799"/>
      <c r="AV851" s="799"/>
      <c r="AW851" s="799"/>
      <c r="AX851" s="799"/>
      <c r="AY851" s="799"/>
      <c r="AZ851" s="799"/>
      <c r="BA851" s="799"/>
      <c r="BB851" s="799"/>
      <c r="BC851" s="799"/>
      <c r="BD851" s="799"/>
      <c r="BE851" s="799"/>
      <c r="BF851" s="799"/>
      <c r="BG851" s="799"/>
    </row>
    <row r="852">
      <c r="H852" s="799"/>
      <c r="I852" s="799"/>
      <c r="J852" s="799"/>
      <c r="K852" s="799"/>
      <c r="L852" s="799"/>
      <c r="M852" s="799"/>
      <c r="N852" s="799"/>
      <c r="O852" s="799"/>
      <c r="P852" s="799"/>
      <c r="Q852" s="799"/>
      <c r="R852" s="799"/>
      <c r="S852" s="799"/>
      <c r="T852" s="799"/>
      <c r="U852" s="799"/>
      <c r="V852" s="799"/>
      <c r="W852" s="799"/>
      <c r="X852" s="799"/>
      <c r="Y852" s="799"/>
      <c r="Z852" s="799"/>
      <c r="AA852" s="799"/>
      <c r="AB852" s="799"/>
      <c r="AC852" s="799"/>
      <c r="AD852" s="799"/>
      <c r="AE852" s="799"/>
      <c r="AF852" s="799"/>
      <c r="AG852" s="799"/>
      <c r="AH852" s="799"/>
      <c r="AI852" s="799"/>
      <c r="AJ852" s="799"/>
      <c r="AK852" s="799"/>
      <c r="AL852" s="799"/>
      <c r="AM852" s="799"/>
      <c r="AN852" s="799"/>
      <c r="AO852" s="799"/>
      <c r="AP852" s="799"/>
      <c r="AQ852" s="799"/>
      <c r="AR852" s="799"/>
      <c r="AS852" s="799"/>
      <c r="AT852" s="799"/>
      <c r="AU852" s="799"/>
      <c r="AV852" s="799"/>
      <c r="AW852" s="799"/>
      <c r="AX852" s="799"/>
      <c r="AY852" s="799"/>
      <c r="AZ852" s="799"/>
      <c r="BA852" s="799"/>
      <c r="BB852" s="799"/>
      <c r="BC852" s="799"/>
      <c r="BD852" s="799"/>
      <c r="BE852" s="799"/>
      <c r="BF852" s="799"/>
      <c r="BG852" s="799"/>
    </row>
    <row r="853">
      <c r="H853" s="799"/>
      <c r="I853" s="799"/>
      <c r="J853" s="799"/>
      <c r="K853" s="799"/>
      <c r="L853" s="799"/>
      <c r="M853" s="799"/>
      <c r="N853" s="799"/>
      <c r="O853" s="799"/>
      <c r="P853" s="799"/>
      <c r="Q853" s="799"/>
      <c r="R853" s="799"/>
      <c r="S853" s="799"/>
      <c r="T853" s="799"/>
      <c r="U853" s="799"/>
      <c r="V853" s="799"/>
      <c r="W853" s="799"/>
      <c r="X853" s="799"/>
      <c r="Y853" s="799"/>
      <c r="Z853" s="799"/>
      <c r="AA853" s="799"/>
      <c r="AB853" s="799"/>
      <c r="AC853" s="799"/>
      <c r="AD853" s="799"/>
      <c r="AE853" s="799"/>
      <c r="AF853" s="799"/>
      <c r="AG853" s="799"/>
      <c r="AH853" s="799"/>
      <c r="AI853" s="799"/>
      <c r="AJ853" s="799"/>
      <c r="AK853" s="799"/>
      <c r="AL853" s="799"/>
      <c r="AM853" s="799"/>
      <c r="AN853" s="799"/>
      <c r="AO853" s="799"/>
      <c r="AP853" s="799"/>
      <c r="AQ853" s="799"/>
      <c r="AR853" s="799"/>
      <c r="AS853" s="799"/>
      <c r="AT853" s="799"/>
      <c r="AU853" s="799"/>
      <c r="AV853" s="799"/>
      <c r="AW853" s="799"/>
      <c r="AX853" s="799"/>
      <c r="AY853" s="799"/>
      <c r="AZ853" s="799"/>
      <c r="BA853" s="799"/>
      <c r="BB853" s="799"/>
      <c r="BC853" s="799"/>
      <c r="BD853" s="799"/>
      <c r="BE853" s="799"/>
      <c r="BF853" s="799"/>
      <c r="BG853" s="799"/>
    </row>
    <row r="854">
      <c r="H854" s="799"/>
      <c r="I854" s="799"/>
      <c r="J854" s="799"/>
      <c r="K854" s="799"/>
      <c r="L854" s="799"/>
      <c r="M854" s="799"/>
      <c r="N854" s="799"/>
      <c r="O854" s="799"/>
      <c r="P854" s="799"/>
      <c r="Q854" s="799"/>
      <c r="R854" s="799"/>
      <c r="S854" s="799"/>
      <c r="T854" s="799"/>
      <c r="U854" s="799"/>
      <c r="V854" s="799"/>
      <c r="W854" s="799"/>
      <c r="X854" s="799"/>
      <c r="Y854" s="799"/>
      <c r="Z854" s="799"/>
      <c r="AA854" s="799"/>
      <c r="AB854" s="799"/>
      <c r="AC854" s="799"/>
      <c r="AD854" s="799"/>
      <c r="AE854" s="799"/>
      <c r="AF854" s="799"/>
      <c r="AG854" s="799"/>
      <c r="AH854" s="799"/>
      <c r="AI854" s="799"/>
      <c r="AJ854" s="799"/>
      <c r="AK854" s="799"/>
      <c r="AL854" s="799"/>
      <c r="AM854" s="799"/>
      <c r="AN854" s="799"/>
      <c r="AO854" s="799"/>
      <c r="AP854" s="799"/>
      <c r="AQ854" s="799"/>
      <c r="AR854" s="799"/>
      <c r="AS854" s="799"/>
      <c r="AT854" s="799"/>
      <c r="AU854" s="799"/>
      <c r="AV854" s="799"/>
      <c r="AW854" s="799"/>
      <c r="AX854" s="799"/>
      <c r="AY854" s="799"/>
      <c r="AZ854" s="799"/>
      <c r="BA854" s="799"/>
      <c r="BB854" s="799"/>
      <c r="BC854" s="799"/>
      <c r="BD854" s="799"/>
      <c r="BE854" s="799"/>
      <c r="BF854" s="799"/>
      <c r="BG854" s="799"/>
    </row>
    <row r="855">
      <c r="H855" s="799"/>
      <c r="I855" s="799"/>
      <c r="J855" s="799"/>
      <c r="K855" s="799"/>
      <c r="L855" s="799"/>
      <c r="M855" s="799"/>
      <c r="N855" s="799"/>
      <c r="O855" s="799"/>
      <c r="P855" s="799"/>
      <c r="Q855" s="799"/>
      <c r="R855" s="799"/>
      <c r="S855" s="799"/>
      <c r="T855" s="799"/>
      <c r="U855" s="799"/>
      <c r="V855" s="799"/>
      <c r="W855" s="799"/>
      <c r="X855" s="799"/>
      <c r="Y855" s="799"/>
      <c r="Z855" s="799"/>
      <c r="AA855" s="799"/>
      <c r="AB855" s="799"/>
      <c r="AC855" s="799"/>
      <c r="AD855" s="799"/>
      <c r="AE855" s="799"/>
      <c r="AF855" s="799"/>
      <c r="AG855" s="799"/>
      <c r="AH855" s="799"/>
      <c r="AI855" s="799"/>
      <c r="AJ855" s="799"/>
      <c r="AK855" s="799"/>
      <c r="AL855" s="799"/>
      <c r="AM855" s="799"/>
      <c r="AN855" s="799"/>
      <c r="AO855" s="799"/>
      <c r="AP855" s="799"/>
      <c r="AQ855" s="799"/>
      <c r="AR855" s="799"/>
      <c r="AS855" s="799"/>
      <c r="AT855" s="799"/>
      <c r="AU855" s="799"/>
      <c r="AV855" s="799"/>
      <c r="AW855" s="799"/>
      <c r="AX855" s="799"/>
      <c r="AY855" s="799"/>
      <c r="AZ855" s="799"/>
      <c r="BA855" s="799"/>
      <c r="BB855" s="799"/>
      <c r="BC855" s="799"/>
      <c r="BD855" s="799"/>
      <c r="BE855" s="799"/>
      <c r="BF855" s="799"/>
      <c r="BG855" s="799"/>
    </row>
    <row r="856">
      <c r="H856" s="799"/>
      <c r="I856" s="799"/>
      <c r="J856" s="799"/>
      <c r="K856" s="799"/>
      <c r="L856" s="799"/>
      <c r="M856" s="799"/>
      <c r="N856" s="799"/>
      <c r="O856" s="799"/>
      <c r="P856" s="799"/>
      <c r="Q856" s="799"/>
      <c r="R856" s="799"/>
      <c r="S856" s="799"/>
      <c r="T856" s="799"/>
      <c r="U856" s="799"/>
      <c r="V856" s="799"/>
      <c r="W856" s="799"/>
      <c r="X856" s="799"/>
      <c r="Y856" s="799"/>
      <c r="Z856" s="799"/>
      <c r="AA856" s="799"/>
      <c r="AB856" s="799"/>
      <c r="AC856" s="799"/>
      <c r="AD856" s="799"/>
      <c r="AE856" s="799"/>
      <c r="AF856" s="799"/>
      <c r="AG856" s="799"/>
      <c r="AH856" s="799"/>
      <c r="AI856" s="799"/>
      <c r="AJ856" s="799"/>
      <c r="AK856" s="799"/>
      <c r="AL856" s="799"/>
      <c r="AM856" s="799"/>
      <c r="AN856" s="799"/>
      <c r="AO856" s="799"/>
      <c r="AP856" s="799"/>
      <c r="AQ856" s="799"/>
      <c r="AR856" s="799"/>
      <c r="AS856" s="799"/>
      <c r="AT856" s="799"/>
      <c r="AU856" s="799"/>
      <c r="AV856" s="799"/>
      <c r="AW856" s="799"/>
      <c r="AX856" s="799"/>
      <c r="AY856" s="799"/>
      <c r="AZ856" s="799"/>
      <c r="BA856" s="799"/>
      <c r="BB856" s="799"/>
      <c r="BC856" s="799"/>
      <c r="BD856" s="799"/>
      <c r="BE856" s="799"/>
      <c r="BF856" s="799"/>
      <c r="BG856" s="799"/>
    </row>
    <row r="857">
      <c r="H857" s="799"/>
      <c r="I857" s="799"/>
      <c r="J857" s="799"/>
      <c r="K857" s="799"/>
      <c r="L857" s="799"/>
      <c r="M857" s="799"/>
      <c r="N857" s="799"/>
      <c r="O857" s="799"/>
      <c r="P857" s="799"/>
      <c r="Q857" s="799"/>
      <c r="R857" s="799"/>
      <c r="S857" s="799"/>
      <c r="T857" s="799"/>
      <c r="U857" s="799"/>
      <c r="V857" s="799"/>
      <c r="W857" s="799"/>
      <c r="X857" s="799"/>
      <c r="Y857" s="799"/>
      <c r="Z857" s="799"/>
      <c r="AA857" s="799"/>
      <c r="AB857" s="799"/>
      <c r="AC857" s="799"/>
      <c r="AD857" s="799"/>
      <c r="AE857" s="799"/>
      <c r="AF857" s="799"/>
      <c r="AG857" s="799"/>
      <c r="AH857" s="799"/>
      <c r="AI857" s="799"/>
      <c r="AJ857" s="799"/>
      <c r="AK857" s="799"/>
      <c r="AL857" s="799"/>
      <c r="AM857" s="799"/>
      <c r="AN857" s="799"/>
      <c r="AO857" s="799"/>
      <c r="AP857" s="799"/>
      <c r="AQ857" s="799"/>
      <c r="AR857" s="799"/>
      <c r="AS857" s="799"/>
      <c r="AT857" s="799"/>
      <c r="AU857" s="799"/>
      <c r="AV857" s="799"/>
      <c r="AW857" s="799"/>
      <c r="AX857" s="799"/>
      <c r="AY857" s="799"/>
      <c r="AZ857" s="799"/>
      <c r="BA857" s="799"/>
      <c r="BB857" s="799"/>
      <c r="BC857" s="799"/>
      <c r="BD857" s="799"/>
      <c r="BE857" s="799"/>
      <c r="BF857" s="799"/>
      <c r="BG857" s="799"/>
    </row>
    <row r="858">
      <c r="H858" s="799"/>
      <c r="I858" s="799"/>
      <c r="J858" s="799"/>
      <c r="K858" s="799"/>
      <c r="L858" s="799"/>
      <c r="M858" s="799"/>
      <c r="N858" s="799"/>
      <c r="O858" s="799"/>
      <c r="P858" s="799"/>
      <c r="Q858" s="799"/>
      <c r="R858" s="799"/>
      <c r="S858" s="799"/>
      <c r="T858" s="799"/>
      <c r="U858" s="799"/>
      <c r="V858" s="799"/>
      <c r="W858" s="799"/>
      <c r="X858" s="799"/>
      <c r="Y858" s="799"/>
      <c r="Z858" s="799"/>
      <c r="AA858" s="799"/>
      <c r="AB858" s="799"/>
      <c r="AC858" s="799"/>
      <c r="AD858" s="799"/>
      <c r="AE858" s="799"/>
      <c r="AF858" s="799"/>
      <c r="AG858" s="799"/>
      <c r="AH858" s="799"/>
      <c r="AI858" s="799"/>
      <c r="AJ858" s="799"/>
      <c r="AK858" s="799"/>
      <c r="AL858" s="799"/>
      <c r="AM858" s="799"/>
      <c r="AN858" s="799"/>
      <c r="AO858" s="799"/>
      <c r="AP858" s="799"/>
      <c r="AQ858" s="799"/>
      <c r="AR858" s="799"/>
      <c r="AS858" s="799"/>
      <c r="AT858" s="799"/>
      <c r="AU858" s="799"/>
      <c r="AV858" s="799"/>
      <c r="AW858" s="799"/>
      <c r="AX858" s="799"/>
      <c r="AY858" s="799"/>
      <c r="AZ858" s="799"/>
      <c r="BA858" s="799"/>
      <c r="BB858" s="799"/>
      <c r="BC858" s="799"/>
      <c r="BD858" s="799"/>
      <c r="BE858" s="799"/>
      <c r="BF858" s="799"/>
      <c r="BG858" s="799"/>
    </row>
    <row r="859">
      <c r="H859" s="799"/>
      <c r="I859" s="799"/>
      <c r="J859" s="799"/>
      <c r="K859" s="799"/>
      <c r="L859" s="799"/>
      <c r="M859" s="799"/>
      <c r="N859" s="799"/>
      <c r="O859" s="799"/>
      <c r="P859" s="799"/>
      <c r="Q859" s="799"/>
      <c r="R859" s="799"/>
      <c r="S859" s="799"/>
      <c r="T859" s="799"/>
      <c r="U859" s="799"/>
      <c r="V859" s="799"/>
      <c r="W859" s="799"/>
      <c r="X859" s="799"/>
      <c r="Y859" s="799"/>
      <c r="Z859" s="799"/>
      <c r="AA859" s="799"/>
      <c r="AB859" s="799"/>
      <c r="AC859" s="799"/>
      <c r="AD859" s="799"/>
      <c r="AE859" s="799"/>
      <c r="AF859" s="799"/>
      <c r="AG859" s="799"/>
      <c r="AH859" s="799"/>
      <c r="AI859" s="799"/>
      <c r="AJ859" s="799"/>
      <c r="AK859" s="799"/>
      <c r="AL859" s="799"/>
      <c r="AM859" s="799"/>
      <c r="AN859" s="799"/>
      <c r="AO859" s="799"/>
      <c r="AP859" s="799"/>
      <c r="AQ859" s="799"/>
      <c r="AR859" s="799"/>
      <c r="AS859" s="799"/>
      <c r="AT859" s="799"/>
      <c r="AU859" s="799"/>
      <c r="AV859" s="799"/>
      <c r="AW859" s="799"/>
      <c r="AX859" s="799"/>
      <c r="AY859" s="799"/>
      <c r="AZ859" s="799"/>
      <c r="BA859" s="799"/>
      <c r="BB859" s="799"/>
      <c r="BC859" s="799"/>
      <c r="BD859" s="799"/>
      <c r="BE859" s="799"/>
      <c r="BF859" s="799"/>
      <c r="BG859" s="799"/>
    </row>
    <row r="860">
      <c r="H860" s="799"/>
      <c r="I860" s="799"/>
      <c r="J860" s="799"/>
      <c r="K860" s="799"/>
      <c r="L860" s="799"/>
      <c r="M860" s="799"/>
      <c r="N860" s="799"/>
      <c r="O860" s="799"/>
      <c r="P860" s="799"/>
      <c r="Q860" s="799"/>
      <c r="R860" s="799"/>
      <c r="S860" s="799"/>
      <c r="T860" s="799"/>
      <c r="U860" s="799"/>
      <c r="V860" s="799"/>
      <c r="W860" s="799"/>
      <c r="X860" s="799"/>
      <c r="Y860" s="799"/>
      <c r="Z860" s="799"/>
      <c r="AA860" s="799"/>
      <c r="AB860" s="799"/>
      <c r="AC860" s="799"/>
      <c r="AD860" s="799"/>
      <c r="AE860" s="799"/>
      <c r="AF860" s="799"/>
      <c r="AG860" s="799"/>
      <c r="AH860" s="799"/>
      <c r="AI860" s="799"/>
      <c r="AJ860" s="799"/>
      <c r="AK860" s="799"/>
      <c r="AL860" s="799"/>
      <c r="AM860" s="799"/>
      <c r="AN860" s="799"/>
      <c r="AO860" s="799"/>
      <c r="AP860" s="799"/>
      <c r="AQ860" s="799"/>
      <c r="AR860" s="799"/>
      <c r="AS860" s="799"/>
      <c r="AT860" s="799"/>
      <c r="AU860" s="799"/>
      <c r="AV860" s="799"/>
      <c r="AW860" s="799"/>
      <c r="AX860" s="799"/>
      <c r="AY860" s="799"/>
      <c r="AZ860" s="799"/>
      <c r="BA860" s="799"/>
      <c r="BB860" s="799"/>
      <c r="BC860" s="799"/>
      <c r="BD860" s="799"/>
      <c r="BE860" s="799"/>
      <c r="BF860" s="799"/>
      <c r="BG860" s="799"/>
    </row>
    <row r="861">
      <c r="H861" s="799"/>
      <c r="I861" s="799"/>
      <c r="J861" s="799"/>
      <c r="K861" s="799"/>
      <c r="L861" s="799"/>
      <c r="M861" s="799"/>
      <c r="N861" s="799"/>
      <c r="O861" s="799"/>
      <c r="P861" s="799"/>
      <c r="Q861" s="799"/>
      <c r="R861" s="799"/>
      <c r="S861" s="799"/>
      <c r="T861" s="799"/>
      <c r="U861" s="799"/>
      <c r="V861" s="799"/>
      <c r="W861" s="799"/>
      <c r="X861" s="799"/>
      <c r="Y861" s="799"/>
      <c r="Z861" s="799"/>
      <c r="AA861" s="799"/>
      <c r="AB861" s="799"/>
      <c r="AC861" s="799"/>
      <c r="AD861" s="799"/>
      <c r="AE861" s="799"/>
      <c r="AF861" s="799"/>
      <c r="AG861" s="799"/>
      <c r="AH861" s="799"/>
      <c r="AI861" s="799"/>
      <c r="AJ861" s="799"/>
      <c r="AK861" s="799"/>
      <c r="AL861" s="799"/>
      <c r="AM861" s="799"/>
      <c r="AN861" s="799"/>
      <c r="AO861" s="799"/>
      <c r="AP861" s="799"/>
      <c r="AQ861" s="799"/>
      <c r="AR861" s="799"/>
      <c r="AS861" s="799"/>
      <c r="AT861" s="799"/>
      <c r="AU861" s="799"/>
      <c r="AV861" s="799"/>
      <c r="AW861" s="799"/>
      <c r="AX861" s="799"/>
      <c r="AY861" s="799"/>
      <c r="AZ861" s="799"/>
      <c r="BA861" s="799"/>
      <c r="BB861" s="799"/>
      <c r="BC861" s="799"/>
      <c r="BD861" s="799"/>
      <c r="BE861" s="799"/>
      <c r="BF861" s="799"/>
      <c r="BG861" s="799"/>
    </row>
    <row r="862">
      <c r="H862" s="799"/>
      <c r="I862" s="799"/>
      <c r="J862" s="799"/>
      <c r="K862" s="799"/>
      <c r="L862" s="799"/>
      <c r="M862" s="799"/>
      <c r="N862" s="799"/>
      <c r="O862" s="799"/>
      <c r="P862" s="799"/>
      <c r="Q862" s="799"/>
      <c r="R862" s="799"/>
      <c r="S862" s="799"/>
      <c r="T862" s="799"/>
      <c r="U862" s="799"/>
      <c r="V862" s="799"/>
      <c r="W862" s="799"/>
      <c r="X862" s="799"/>
      <c r="Y862" s="799"/>
      <c r="Z862" s="799"/>
      <c r="AA862" s="799"/>
      <c r="AB862" s="799"/>
      <c r="AC862" s="799"/>
      <c r="AD862" s="799"/>
      <c r="AE862" s="799"/>
      <c r="AF862" s="799"/>
      <c r="AG862" s="799"/>
      <c r="AH862" s="799"/>
      <c r="AI862" s="799"/>
      <c r="AJ862" s="799"/>
      <c r="AK862" s="799"/>
      <c r="AL862" s="799"/>
      <c r="AM862" s="799"/>
      <c r="AN862" s="799"/>
      <c r="AO862" s="799"/>
      <c r="AP862" s="799"/>
      <c r="AQ862" s="799"/>
      <c r="AR862" s="799"/>
      <c r="AS862" s="799"/>
      <c r="AT862" s="799"/>
      <c r="AU862" s="799"/>
      <c r="AV862" s="799"/>
      <c r="AW862" s="799"/>
      <c r="AX862" s="799"/>
      <c r="AY862" s="799"/>
      <c r="AZ862" s="799"/>
      <c r="BA862" s="799"/>
      <c r="BB862" s="799"/>
      <c r="BC862" s="799"/>
      <c r="BD862" s="799"/>
      <c r="BE862" s="799"/>
      <c r="BF862" s="799"/>
      <c r="BG862" s="799"/>
    </row>
    <row r="863">
      <c r="H863" s="799"/>
      <c r="I863" s="799"/>
      <c r="J863" s="799"/>
      <c r="K863" s="799"/>
      <c r="L863" s="799"/>
      <c r="M863" s="799"/>
      <c r="N863" s="799"/>
      <c r="O863" s="799"/>
      <c r="P863" s="799"/>
      <c r="Q863" s="799"/>
      <c r="R863" s="799"/>
      <c r="S863" s="799"/>
      <c r="T863" s="799"/>
      <c r="U863" s="799"/>
      <c r="V863" s="799"/>
      <c r="W863" s="799"/>
      <c r="X863" s="799"/>
      <c r="Y863" s="799"/>
      <c r="Z863" s="799"/>
      <c r="AA863" s="799"/>
      <c r="AB863" s="799"/>
      <c r="AC863" s="799"/>
      <c r="AD863" s="799"/>
      <c r="AE863" s="799"/>
      <c r="AF863" s="799"/>
      <c r="AG863" s="799"/>
      <c r="AH863" s="799"/>
      <c r="AI863" s="799"/>
      <c r="AJ863" s="799"/>
      <c r="AK863" s="799"/>
      <c r="AL863" s="799"/>
      <c r="AM863" s="799"/>
      <c r="AN863" s="799"/>
      <c r="AO863" s="799"/>
      <c r="AP863" s="799"/>
      <c r="AQ863" s="799"/>
      <c r="AR863" s="799"/>
      <c r="AS863" s="799"/>
      <c r="AT863" s="799"/>
      <c r="AU863" s="799"/>
      <c r="AV863" s="799"/>
      <c r="AW863" s="799"/>
      <c r="AX863" s="799"/>
      <c r="AY863" s="799"/>
      <c r="AZ863" s="799"/>
      <c r="BA863" s="799"/>
      <c r="BB863" s="799"/>
      <c r="BC863" s="799"/>
      <c r="BD863" s="799"/>
      <c r="BE863" s="799"/>
      <c r="BF863" s="799"/>
      <c r="BG863" s="799"/>
    </row>
    <row r="864">
      <c r="H864" s="799"/>
      <c r="I864" s="799"/>
      <c r="J864" s="799"/>
      <c r="K864" s="799"/>
      <c r="L864" s="799"/>
      <c r="M864" s="799"/>
      <c r="N864" s="799"/>
      <c r="O864" s="799"/>
      <c r="P864" s="799"/>
      <c r="Q864" s="799"/>
      <c r="R864" s="799"/>
      <c r="S864" s="799"/>
      <c r="T864" s="799"/>
      <c r="U864" s="799"/>
      <c r="V864" s="799"/>
      <c r="W864" s="799"/>
      <c r="X864" s="799"/>
      <c r="Y864" s="799"/>
      <c r="Z864" s="799"/>
      <c r="AA864" s="799"/>
      <c r="AB864" s="799"/>
      <c r="AC864" s="799"/>
      <c r="AD864" s="799"/>
      <c r="AE864" s="799"/>
      <c r="AF864" s="799"/>
      <c r="AG864" s="799"/>
      <c r="AH864" s="799"/>
      <c r="AI864" s="799"/>
      <c r="AJ864" s="799"/>
      <c r="AK864" s="799"/>
      <c r="AL864" s="799"/>
      <c r="AM864" s="799"/>
      <c r="AN864" s="799"/>
      <c r="AO864" s="799"/>
      <c r="AP864" s="799"/>
      <c r="AQ864" s="799"/>
      <c r="AR864" s="799"/>
      <c r="AS864" s="799"/>
      <c r="AT864" s="799"/>
      <c r="AU864" s="799"/>
      <c r="AV864" s="799"/>
      <c r="AW864" s="799"/>
      <c r="AX864" s="799"/>
      <c r="AY864" s="799"/>
      <c r="AZ864" s="799"/>
      <c r="BA864" s="799"/>
      <c r="BB864" s="799"/>
      <c r="BC864" s="799"/>
      <c r="BD864" s="799"/>
      <c r="BE864" s="799"/>
      <c r="BF864" s="799"/>
      <c r="BG864" s="799"/>
    </row>
    <row r="865">
      <c r="H865" s="799"/>
      <c r="I865" s="799"/>
      <c r="J865" s="799"/>
      <c r="K865" s="799"/>
      <c r="L865" s="799"/>
      <c r="M865" s="799"/>
      <c r="N865" s="799"/>
      <c r="O865" s="799"/>
      <c r="P865" s="799"/>
      <c r="Q865" s="799"/>
      <c r="R865" s="799"/>
      <c r="S865" s="799"/>
      <c r="T865" s="799"/>
      <c r="U865" s="799"/>
      <c r="V865" s="799"/>
      <c r="W865" s="799"/>
      <c r="X865" s="799"/>
      <c r="Y865" s="799"/>
      <c r="Z865" s="799"/>
      <c r="AA865" s="799"/>
      <c r="AB865" s="799"/>
      <c r="AC865" s="799"/>
      <c r="AD865" s="799"/>
      <c r="AE865" s="799"/>
      <c r="AF865" s="799"/>
      <c r="AG865" s="799"/>
      <c r="AH865" s="799"/>
      <c r="AI865" s="799"/>
      <c r="AJ865" s="799"/>
      <c r="AK865" s="799"/>
      <c r="AL865" s="799"/>
      <c r="AM865" s="799"/>
      <c r="AN865" s="799"/>
      <c r="AO865" s="799"/>
      <c r="AP865" s="799"/>
      <c r="AQ865" s="799"/>
      <c r="AR865" s="799"/>
      <c r="AS865" s="799"/>
      <c r="AT865" s="799"/>
      <c r="AU865" s="799"/>
      <c r="AV865" s="799"/>
      <c r="AW865" s="799"/>
      <c r="AX865" s="799"/>
      <c r="AY865" s="799"/>
      <c r="AZ865" s="799"/>
      <c r="BA865" s="799"/>
      <c r="BB865" s="799"/>
      <c r="BC865" s="799"/>
      <c r="BD865" s="799"/>
      <c r="BE865" s="799"/>
      <c r="BF865" s="799"/>
      <c r="BG865" s="799"/>
    </row>
    <row r="866">
      <c r="H866" s="799"/>
      <c r="I866" s="799"/>
      <c r="J866" s="799"/>
      <c r="K866" s="799"/>
      <c r="L866" s="799"/>
      <c r="M866" s="799"/>
      <c r="N866" s="799"/>
      <c r="O866" s="799"/>
      <c r="P866" s="799"/>
      <c r="Q866" s="799"/>
      <c r="R866" s="799"/>
      <c r="S866" s="799"/>
      <c r="T866" s="799"/>
      <c r="U866" s="799"/>
      <c r="V866" s="799"/>
      <c r="W866" s="799"/>
      <c r="X866" s="799"/>
      <c r="Y866" s="799"/>
      <c r="Z866" s="799"/>
      <c r="AA866" s="799"/>
      <c r="AB866" s="799"/>
      <c r="AC866" s="799"/>
      <c r="AD866" s="799"/>
      <c r="AE866" s="799"/>
      <c r="AF866" s="799"/>
      <c r="AG866" s="799"/>
      <c r="AH866" s="799"/>
      <c r="AI866" s="799"/>
      <c r="AJ866" s="799"/>
      <c r="AK866" s="799"/>
      <c r="AL866" s="799"/>
      <c r="AM866" s="799"/>
      <c r="AN866" s="799"/>
      <c r="AO866" s="799"/>
      <c r="AP866" s="799"/>
      <c r="AQ866" s="799"/>
      <c r="AR866" s="799"/>
      <c r="AS866" s="799"/>
      <c r="AT866" s="799"/>
      <c r="AU866" s="799"/>
      <c r="AV866" s="799"/>
      <c r="AW866" s="799"/>
      <c r="AX866" s="799"/>
      <c r="AY866" s="799"/>
      <c r="AZ866" s="799"/>
      <c r="BA866" s="799"/>
      <c r="BB866" s="799"/>
      <c r="BC866" s="799"/>
      <c r="BD866" s="799"/>
      <c r="BE866" s="799"/>
      <c r="BF866" s="799"/>
      <c r="BG866" s="799"/>
    </row>
    <row r="867">
      <c r="H867" s="799"/>
      <c r="I867" s="799"/>
      <c r="J867" s="799"/>
      <c r="K867" s="799"/>
      <c r="L867" s="799"/>
      <c r="M867" s="799"/>
      <c r="N867" s="799"/>
      <c r="O867" s="799"/>
      <c r="P867" s="799"/>
      <c r="Q867" s="799"/>
      <c r="R867" s="799"/>
      <c r="S867" s="799"/>
      <c r="T867" s="799"/>
      <c r="U867" s="799"/>
      <c r="V867" s="799"/>
      <c r="W867" s="799"/>
      <c r="X867" s="799"/>
      <c r="Y867" s="799"/>
      <c r="Z867" s="799"/>
      <c r="AA867" s="799"/>
      <c r="AB867" s="799"/>
      <c r="AC867" s="799"/>
      <c r="AD867" s="799"/>
      <c r="AE867" s="799"/>
      <c r="AF867" s="799"/>
      <c r="AG867" s="799"/>
      <c r="AH867" s="799"/>
      <c r="AI867" s="799"/>
      <c r="AJ867" s="799"/>
      <c r="AK867" s="799"/>
      <c r="AL867" s="799"/>
      <c r="AM867" s="799"/>
      <c r="AN867" s="799"/>
      <c r="AO867" s="799"/>
      <c r="AP867" s="799"/>
      <c r="AQ867" s="799"/>
      <c r="AR867" s="799"/>
      <c r="AS867" s="799"/>
      <c r="AT867" s="799"/>
      <c r="AU867" s="799"/>
      <c r="AV867" s="799"/>
      <c r="AW867" s="799"/>
      <c r="AX867" s="799"/>
      <c r="AY867" s="799"/>
      <c r="AZ867" s="799"/>
      <c r="BA867" s="799"/>
      <c r="BB867" s="799"/>
      <c r="BC867" s="799"/>
      <c r="BD867" s="799"/>
      <c r="BE867" s="799"/>
      <c r="BF867" s="799"/>
      <c r="BG867" s="799"/>
    </row>
    <row r="868">
      <c r="H868" s="799"/>
      <c r="I868" s="799"/>
      <c r="J868" s="799"/>
      <c r="K868" s="799"/>
      <c r="L868" s="799"/>
      <c r="M868" s="799"/>
      <c r="N868" s="799"/>
      <c r="O868" s="799"/>
      <c r="P868" s="799"/>
      <c r="Q868" s="799"/>
      <c r="R868" s="799"/>
      <c r="S868" s="799"/>
      <c r="T868" s="799"/>
      <c r="U868" s="799"/>
      <c r="V868" s="799"/>
      <c r="W868" s="799"/>
      <c r="X868" s="799"/>
      <c r="Y868" s="799"/>
      <c r="Z868" s="799"/>
      <c r="AA868" s="799"/>
      <c r="AB868" s="799"/>
      <c r="AC868" s="799"/>
      <c r="AD868" s="799"/>
      <c r="AE868" s="799"/>
      <c r="AF868" s="799"/>
      <c r="AG868" s="799"/>
      <c r="AH868" s="799"/>
      <c r="AI868" s="799"/>
      <c r="AJ868" s="799"/>
      <c r="AK868" s="799"/>
      <c r="AL868" s="799"/>
      <c r="AM868" s="799"/>
      <c r="AN868" s="799"/>
      <c r="AO868" s="799"/>
      <c r="AP868" s="799"/>
      <c r="AQ868" s="799"/>
      <c r="AR868" s="799"/>
      <c r="AS868" s="799"/>
      <c r="AT868" s="799"/>
      <c r="AU868" s="799"/>
      <c r="AV868" s="799"/>
      <c r="AW868" s="799"/>
      <c r="AX868" s="799"/>
      <c r="AY868" s="799"/>
      <c r="AZ868" s="799"/>
      <c r="BA868" s="799"/>
      <c r="BB868" s="799"/>
      <c r="BC868" s="799"/>
      <c r="BD868" s="799"/>
      <c r="BE868" s="799"/>
      <c r="BF868" s="799"/>
      <c r="BG868" s="799"/>
    </row>
    <row r="869">
      <c r="H869" s="799"/>
      <c r="I869" s="799"/>
      <c r="J869" s="799"/>
      <c r="K869" s="799"/>
      <c r="L869" s="799"/>
      <c r="M869" s="799"/>
      <c r="N869" s="799"/>
      <c r="O869" s="799"/>
      <c r="P869" s="799"/>
      <c r="Q869" s="799"/>
      <c r="R869" s="799"/>
      <c r="S869" s="799"/>
      <c r="T869" s="799"/>
      <c r="U869" s="799"/>
      <c r="V869" s="799"/>
      <c r="W869" s="799"/>
      <c r="X869" s="799"/>
      <c r="Y869" s="799"/>
      <c r="Z869" s="799"/>
      <c r="AA869" s="799"/>
      <c r="AB869" s="799"/>
      <c r="AC869" s="799"/>
      <c r="AD869" s="799"/>
      <c r="AE869" s="799"/>
      <c r="AF869" s="799"/>
      <c r="AG869" s="799"/>
      <c r="AH869" s="799"/>
      <c r="AI869" s="799"/>
      <c r="AJ869" s="799"/>
      <c r="AK869" s="799"/>
      <c r="AL869" s="799"/>
      <c r="AM869" s="799"/>
      <c r="AN869" s="799"/>
      <c r="AO869" s="799"/>
      <c r="AP869" s="799"/>
      <c r="AQ869" s="799"/>
      <c r="AR869" s="799"/>
      <c r="AS869" s="799"/>
      <c r="AT869" s="799"/>
      <c r="AU869" s="799"/>
      <c r="AV869" s="799"/>
      <c r="AW869" s="799"/>
      <c r="AX869" s="799"/>
      <c r="AY869" s="799"/>
      <c r="AZ869" s="799"/>
      <c r="BA869" s="799"/>
      <c r="BB869" s="799"/>
      <c r="BC869" s="799"/>
      <c r="BD869" s="799"/>
      <c r="BE869" s="799"/>
      <c r="BF869" s="799"/>
      <c r="BG869" s="799"/>
    </row>
    <row r="870">
      <c r="H870" s="799"/>
      <c r="I870" s="799"/>
      <c r="J870" s="799"/>
      <c r="K870" s="799"/>
      <c r="L870" s="799"/>
      <c r="M870" s="799"/>
      <c r="N870" s="799"/>
      <c r="O870" s="799"/>
      <c r="P870" s="799"/>
      <c r="Q870" s="799"/>
      <c r="R870" s="799"/>
      <c r="S870" s="799"/>
      <c r="T870" s="799"/>
      <c r="U870" s="799"/>
      <c r="V870" s="799"/>
      <c r="W870" s="799"/>
      <c r="X870" s="799"/>
      <c r="Y870" s="799"/>
      <c r="Z870" s="799"/>
      <c r="AA870" s="799"/>
      <c r="AB870" s="799"/>
      <c r="AC870" s="799"/>
      <c r="AD870" s="799"/>
      <c r="AE870" s="799"/>
      <c r="AF870" s="799"/>
      <c r="AG870" s="799"/>
      <c r="AH870" s="799"/>
      <c r="AI870" s="799"/>
      <c r="AJ870" s="799"/>
      <c r="AK870" s="799"/>
      <c r="AL870" s="799"/>
      <c r="AM870" s="799"/>
      <c r="AN870" s="799"/>
      <c r="AO870" s="799"/>
      <c r="AP870" s="799"/>
      <c r="AQ870" s="799"/>
      <c r="AR870" s="799"/>
      <c r="AS870" s="799"/>
      <c r="AT870" s="799"/>
      <c r="AU870" s="799"/>
      <c r="AV870" s="799"/>
      <c r="AW870" s="799"/>
      <c r="AX870" s="799"/>
      <c r="AY870" s="799"/>
      <c r="AZ870" s="799"/>
      <c r="BA870" s="799"/>
      <c r="BB870" s="799"/>
      <c r="BC870" s="799"/>
      <c r="BD870" s="799"/>
      <c r="BE870" s="799"/>
      <c r="BF870" s="799"/>
      <c r="BG870" s="799"/>
    </row>
    <row r="871">
      <c r="H871" s="799"/>
      <c r="I871" s="799"/>
      <c r="J871" s="799"/>
      <c r="K871" s="799"/>
      <c r="L871" s="799"/>
      <c r="M871" s="799"/>
      <c r="N871" s="799"/>
      <c r="O871" s="799"/>
      <c r="P871" s="799"/>
      <c r="Q871" s="799"/>
      <c r="R871" s="799"/>
      <c r="S871" s="799"/>
      <c r="T871" s="799"/>
      <c r="U871" s="799"/>
      <c r="V871" s="799"/>
      <c r="W871" s="799"/>
      <c r="X871" s="799"/>
      <c r="Y871" s="799"/>
      <c r="Z871" s="799"/>
      <c r="AA871" s="799"/>
      <c r="AB871" s="799"/>
      <c r="AC871" s="799"/>
      <c r="AD871" s="799"/>
      <c r="AE871" s="799"/>
      <c r="AF871" s="799"/>
      <c r="AG871" s="799"/>
      <c r="AH871" s="799"/>
      <c r="AI871" s="799"/>
      <c r="AJ871" s="799"/>
      <c r="AK871" s="799"/>
      <c r="AL871" s="799"/>
      <c r="AM871" s="799"/>
      <c r="AN871" s="799"/>
      <c r="AO871" s="799"/>
      <c r="AP871" s="799"/>
      <c r="AQ871" s="799"/>
      <c r="AR871" s="799"/>
      <c r="AS871" s="799"/>
      <c r="AT871" s="799"/>
      <c r="AU871" s="799"/>
      <c r="AV871" s="799"/>
      <c r="AW871" s="799"/>
      <c r="AX871" s="799"/>
      <c r="AY871" s="799"/>
      <c r="AZ871" s="799"/>
      <c r="BA871" s="799"/>
      <c r="BB871" s="799"/>
      <c r="BC871" s="799"/>
      <c r="BD871" s="799"/>
      <c r="BE871" s="799"/>
      <c r="BF871" s="799"/>
      <c r="BG871" s="799"/>
    </row>
    <row r="872">
      <c r="H872" s="799"/>
      <c r="I872" s="799"/>
      <c r="J872" s="799"/>
      <c r="K872" s="799"/>
      <c r="L872" s="799"/>
      <c r="M872" s="799"/>
      <c r="N872" s="799"/>
      <c r="O872" s="799"/>
      <c r="P872" s="799"/>
      <c r="Q872" s="799"/>
      <c r="R872" s="799"/>
      <c r="S872" s="799"/>
      <c r="T872" s="799"/>
      <c r="U872" s="799"/>
      <c r="V872" s="799"/>
      <c r="W872" s="799"/>
      <c r="X872" s="799"/>
      <c r="Y872" s="799"/>
      <c r="Z872" s="799"/>
      <c r="AA872" s="799"/>
      <c r="AB872" s="799"/>
      <c r="AC872" s="799"/>
      <c r="AD872" s="799"/>
      <c r="AE872" s="799"/>
      <c r="AF872" s="799"/>
      <c r="AG872" s="799"/>
      <c r="AH872" s="799"/>
      <c r="AI872" s="799"/>
      <c r="AJ872" s="799"/>
      <c r="AK872" s="799"/>
      <c r="AL872" s="799"/>
      <c r="AM872" s="799"/>
      <c r="AN872" s="799"/>
      <c r="AO872" s="799"/>
      <c r="AP872" s="799"/>
      <c r="AQ872" s="799"/>
      <c r="AR872" s="799"/>
      <c r="AS872" s="799"/>
      <c r="AT872" s="799"/>
      <c r="AU872" s="799"/>
      <c r="AV872" s="799"/>
      <c r="AW872" s="799"/>
      <c r="AX872" s="799"/>
      <c r="AY872" s="799"/>
      <c r="AZ872" s="799"/>
      <c r="BA872" s="799"/>
      <c r="BB872" s="799"/>
      <c r="BC872" s="799"/>
      <c r="BD872" s="799"/>
      <c r="BE872" s="799"/>
      <c r="BF872" s="799"/>
      <c r="BG872" s="799"/>
    </row>
    <row r="873">
      <c r="H873" s="799"/>
      <c r="I873" s="799"/>
      <c r="J873" s="799"/>
      <c r="K873" s="799"/>
      <c r="L873" s="799"/>
      <c r="M873" s="799"/>
      <c r="N873" s="799"/>
      <c r="O873" s="799"/>
      <c r="P873" s="799"/>
      <c r="Q873" s="799"/>
      <c r="R873" s="799"/>
      <c r="S873" s="799"/>
      <c r="T873" s="799"/>
      <c r="U873" s="799"/>
      <c r="V873" s="799"/>
      <c r="W873" s="799"/>
      <c r="X873" s="799"/>
      <c r="Y873" s="799"/>
      <c r="Z873" s="799"/>
      <c r="AA873" s="799"/>
      <c r="AB873" s="799"/>
      <c r="AC873" s="799"/>
      <c r="AD873" s="799"/>
      <c r="AE873" s="799"/>
      <c r="AF873" s="799"/>
      <c r="AG873" s="799"/>
      <c r="AH873" s="799"/>
      <c r="AI873" s="799"/>
      <c r="AJ873" s="799"/>
      <c r="AK873" s="799"/>
      <c r="AL873" s="799"/>
      <c r="AM873" s="799"/>
      <c r="AN873" s="799"/>
      <c r="AO873" s="799"/>
      <c r="AP873" s="799"/>
      <c r="AQ873" s="799"/>
      <c r="AR873" s="799"/>
      <c r="AS873" s="799"/>
      <c r="AT873" s="799"/>
      <c r="AU873" s="799"/>
      <c r="AV873" s="799"/>
      <c r="AW873" s="799"/>
      <c r="AX873" s="799"/>
      <c r="AY873" s="799"/>
      <c r="AZ873" s="799"/>
      <c r="BA873" s="799"/>
      <c r="BB873" s="799"/>
      <c r="BC873" s="799"/>
      <c r="BD873" s="799"/>
      <c r="BE873" s="799"/>
      <c r="BF873" s="799"/>
      <c r="BG873" s="799"/>
    </row>
    <row r="874">
      <c r="H874" s="799"/>
      <c r="I874" s="799"/>
      <c r="J874" s="799"/>
      <c r="K874" s="799"/>
      <c r="L874" s="799"/>
      <c r="M874" s="799"/>
      <c r="N874" s="799"/>
      <c r="O874" s="799"/>
      <c r="P874" s="799"/>
      <c r="Q874" s="799"/>
      <c r="R874" s="799"/>
      <c r="S874" s="799"/>
      <c r="T874" s="799"/>
      <c r="U874" s="799"/>
      <c r="V874" s="799"/>
      <c r="W874" s="799"/>
      <c r="X874" s="799"/>
      <c r="Y874" s="799"/>
      <c r="Z874" s="799"/>
      <c r="AA874" s="799"/>
      <c r="AB874" s="799"/>
      <c r="AC874" s="799"/>
      <c r="AD874" s="799"/>
      <c r="AE874" s="799"/>
      <c r="AF874" s="799"/>
      <c r="AG874" s="799"/>
      <c r="AH874" s="799"/>
      <c r="AI874" s="799"/>
      <c r="AJ874" s="799"/>
      <c r="AK874" s="799"/>
      <c r="AL874" s="799"/>
      <c r="AM874" s="799"/>
      <c r="AN874" s="799"/>
      <c r="AO874" s="799"/>
      <c r="AP874" s="799"/>
      <c r="AQ874" s="799"/>
      <c r="AR874" s="799"/>
      <c r="AS874" s="799"/>
      <c r="AT874" s="799"/>
      <c r="AU874" s="799"/>
      <c r="AV874" s="799"/>
      <c r="AW874" s="799"/>
      <c r="AX874" s="799"/>
      <c r="AY874" s="799"/>
      <c r="AZ874" s="799"/>
      <c r="BA874" s="799"/>
      <c r="BB874" s="799"/>
      <c r="BC874" s="799"/>
      <c r="BD874" s="799"/>
      <c r="BE874" s="799"/>
      <c r="BF874" s="799"/>
      <c r="BG874" s="799"/>
    </row>
    <row r="875">
      <c r="H875" s="799"/>
      <c r="I875" s="799"/>
      <c r="J875" s="799"/>
      <c r="K875" s="799"/>
      <c r="L875" s="799"/>
      <c r="M875" s="799"/>
      <c r="N875" s="799"/>
      <c r="O875" s="799"/>
      <c r="P875" s="799"/>
      <c r="Q875" s="799"/>
      <c r="R875" s="799"/>
      <c r="S875" s="799"/>
      <c r="T875" s="799"/>
      <c r="U875" s="799"/>
      <c r="V875" s="799"/>
      <c r="W875" s="799"/>
      <c r="X875" s="799"/>
      <c r="Y875" s="799"/>
      <c r="Z875" s="799"/>
      <c r="AA875" s="799"/>
      <c r="AB875" s="799"/>
      <c r="AC875" s="799"/>
      <c r="AD875" s="799"/>
      <c r="AE875" s="799"/>
      <c r="AF875" s="799"/>
      <c r="AG875" s="799"/>
      <c r="AH875" s="799"/>
      <c r="AI875" s="799"/>
      <c r="AJ875" s="799"/>
      <c r="AK875" s="799"/>
      <c r="AL875" s="799"/>
      <c r="AM875" s="799"/>
      <c r="AN875" s="799"/>
      <c r="AO875" s="799"/>
      <c r="AP875" s="799"/>
      <c r="AQ875" s="799"/>
      <c r="AR875" s="799"/>
      <c r="AS875" s="799"/>
      <c r="AT875" s="799"/>
      <c r="AU875" s="799"/>
      <c r="AV875" s="799"/>
      <c r="AW875" s="799"/>
      <c r="AX875" s="799"/>
      <c r="AY875" s="799"/>
      <c r="AZ875" s="799"/>
      <c r="BA875" s="799"/>
      <c r="BB875" s="799"/>
      <c r="BC875" s="799"/>
      <c r="BD875" s="799"/>
      <c r="BE875" s="799"/>
      <c r="BF875" s="799"/>
      <c r="BG875" s="799"/>
    </row>
    <row r="876">
      <c r="H876" s="799"/>
      <c r="I876" s="799"/>
      <c r="J876" s="799"/>
      <c r="K876" s="799"/>
      <c r="L876" s="799"/>
      <c r="M876" s="799"/>
      <c r="N876" s="799"/>
      <c r="O876" s="799"/>
      <c r="P876" s="799"/>
      <c r="Q876" s="799"/>
      <c r="R876" s="799"/>
      <c r="S876" s="799"/>
      <c r="T876" s="799"/>
      <c r="U876" s="799"/>
      <c r="V876" s="799"/>
      <c r="W876" s="799"/>
      <c r="X876" s="799"/>
      <c r="Y876" s="799"/>
      <c r="Z876" s="799"/>
      <c r="AA876" s="799"/>
      <c r="AB876" s="799"/>
      <c r="AC876" s="799"/>
      <c r="AD876" s="799"/>
      <c r="AE876" s="799"/>
      <c r="AF876" s="799"/>
      <c r="AG876" s="799"/>
      <c r="AH876" s="799"/>
      <c r="AI876" s="799"/>
      <c r="AJ876" s="799"/>
      <c r="AK876" s="799"/>
      <c r="AL876" s="799"/>
      <c r="AM876" s="799"/>
      <c r="AN876" s="799"/>
      <c r="AO876" s="799"/>
      <c r="AP876" s="799"/>
      <c r="AQ876" s="799"/>
      <c r="AR876" s="799"/>
      <c r="AS876" s="799"/>
      <c r="AT876" s="799"/>
      <c r="AU876" s="799"/>
      <c r="AV876" s="799"/>
      <c r="AW876" s="799"/>
      <c r="AX876" s="799"/>
      <c r="AY876" s="799"/>
      <c r="AZ876" s="799"/>
      <c r="BA876" s="799"/>
      <c r="BB876" s="799"/>
      <c r="BC876" s="799"/>
      <c r="BD876" s="799"/>
      <c r="BE876" s="799"/>
      <c r="BF876" s="799"/>
      <c r="BG876" s="799"/>
    </row>
    <row r="877">
      <c r="H877" s="799"/>
      <c r="I877" s="799"/>
      <c r="J877" s="799"/>
      <c r="K877" s="799"/>
      <c r="L877" s="799"/>
      <c r="M877" s="799"/>
      <c r="N877" s="799"/>
      <c r="O877" s="799"/>
      <c r="P877" s="799"/>
      <c r="Q877" s="799"/>
      <c r="R877" s="799"/>
      <c r="S877" s="799"/>
      <c r="T877" s="799"/>
      <c r="U877" s="799"/>
      <c r="V877" s="799"/>
      <c r="W877" s="799"/>
      <c r="X877" s="799"/>
      <c r="Y877" s="799"/>
      <c r="Z877" s="799"/>
      <c r="AA877" s="799"/>
      <c r="AB877" s="799"/>
      <c r="AC877" s="799"/>
      <c r="AD877" s="799"/>
      <c r="AE877" s="799"/>
      <c r="AF877" s="799"/>
      <c r="AG877" s="799"/>
      <c r="AH877" s="799"/>
      <c r="AI877" s="799"/>
      <c r="AJ877" s="799"/>
      <c r="AK877" s="799"/>
      <c r="AL877" s="799"/>
      <c r="AM877" s="799"/>
      <c r="AN877" s="799"/>
      <c r="AO877" s="799"/>
      <c r="AP877" s="799"/>
      <c r="AQ877" s="799"/>
      <c r="AR877" s="799"/>
      <c r="AS877" s="799"/>
      <c r="AT877" s="799"/>
      <c r="AU877" s="799"/>
      <c r="AV877" s="799"/>
      <c r="AW877" s="799"/>
      <c r="AX877" s="799"/>
      <c r="AY877" s="799"/>
      <c r="AZ877" s="799"/>
      <c r="BA877" s="799"/>
      <c r="BB877" s="799"/>
      <c r="BC877" s="799"/>
      <c r="BD877" s="799"/>
      <c r="BE877" s="799"/>
      <c r="BF877" s="799"/>
      <c r="BG877" s="799"/>
    </row>
    <row r="878">
      <c r="H878" s="799"/>
      <c r="I878" s="799"/>
      <c r="J878" s="799"/>
      <c r="K878" s="799"/>
      <c r="L878" s="799"/>
      <c r="M878" s="799"/>
      <c r="N878" s="799"/>
      <c r="O878" s="799"/>
      <c r="P878" s="799"/>
      <c r="Q878" s="799"/>
      <c r="R878" s="799"/>
      <c r="S878" s="799"/>
      <c r="T878" s="799"/>
      <c r="U878" s="799"/>
      <c r="V878" s="799"/>
      <c r="W878" s="799"/>
      <c r="X878" s="799"/>
      <c r="Y878" s="799"/>
      <c r="Z878" s="799"/>
      <c r="AA878" s="799"/>
      <c r="AB878" s="799"/>
      <c r="AC878" s="799"/>
      <c r="AD878" s="799"/>
      <c r="AE878" s="799"/>
      <c r="AF878" s="799"/>
      <c r="AG878" s="799"/>
      <c r="AH878" s="799"/>
      <c r="AI878" s="799"/>
      <c r="AJ878" s="799"/>
      <c r="AK878" s="799"/>
      <c r="AL878" s="799"/>
      <c r="AM878" s="799"/>
      <c r="AN878" s="799"/>
      <c r="AO878" s="799"/>
      <c r="AP878" s="799"/>
      <c r="AQ878" s="799"/>
      <c r="AR878" s="799"/>
      <c r="AS878" s="799"/>
      <c r="AT878" s="799"/>
      <c r="AU878" s="799"/>
      <c r="AV878" s="799"/>
      <c r="AW878" s="799"/>
      <c r="AX878" s="799"/>
      <c r="AY878" s="799"/>
      <c r="AZ878" s="799"/>
      <c r="BA878" s="799"/>
      <c r="BB878" s="799"/>
      <c r="BC878" s="799"/>
      <c r="BD878" s="799"/>
      <c r="BE878" s="799"/>
      <c r="BF878" s="799"/>
      <c r="BG878" s="799"/>
    </row>
    <row r="879">
      <c r="H879" s="799"/>
      <c r="I879" s="799"/>
      <c r="J879" s="799"/>
      <c r="K879" s="799"/>
      <c r="L879" s="799"/>
      <c r="M879" s="799"/>
      <c r="N879" s="799"/>
      <c r="O879" s="799"/>
      <c r="P879" s="799"/>
      <c r="Q879" s="799"/>
      <c r="R879" s="799"/>
      <c r="S879" s="799"/>
      <c r="T879" s="799"/>
      <c r="U879" s="799"/>
      <c r="V879" s="799"/>
      <c r="W879" s="799"/>
      <c r="X879" s="799"/>
      <c r="Y879" s="799"/>
      <c r="Z879" s="799"/>
      <c r="AA879" s="799"/>
      <c r="AB879" s="799"/>
      <c r="AC879" s="799"/>
      <c r="AD879" s="799"/>
      <c r="AE879" s="799"/>
      <c r="AF879" s="799"/>
      <c r="AG879" s="799"/>
      <c r="AH879" s="799"/>
      <c r="AI879" s="799"/>
      <c r="AJ879" s="799"/>
      <c r="AK879" s="799"/>
      <c r="AL879" s="799"/>
      <c r="AM879" s="799"/>
      <c r="AN879" s="799"/>
      <c r="AO879" s="799"/>
      <c r="AP879" s="799"/>
      <c r="AQ879" s="799"/>
      <c r="AR879" s="799"/>
      <c r="AS879" s="799"/>
      <c r="AT879" s="799"/>
      <c r="AU879" s="799"/>
      <c r="AV879" s="799"/>
      <c r="AW879" s="799"/>
      <c r="AX879" s="799"/>
      <c r="AY879" s="799"/>
      <c r="AZ879" s="799"/>
      <c r="BA879" s="799"/>
      <c r="BB879" s="799"/>
      <c r="BC879" s="799"/>
      <c r="BD879" s="799"/>
      <c r="BE879" s="799"/>
      <c r="BF879" s="799"/>
      <c r="BG879" s="799"/>
    </row>
    <row r="880">
      <c r="H880" s="799"/>
      <c r="I880" s="799"/>
      <c r="J880" s="799"/>
      <c r="K880" s="799"/>
      <c r="L880" s="799"/>
      <c r="M880" s="799"/>
      <c r="N880" s="799"/>
      <c r="O880" s="799"/>
      <c r="P880" s="799"/>
      <c r="Q880" s="799"/>
      <c r="R880" s="799"/>
      <c r="S880" s="799"/>
      <c r="T880" s="799"/>
      <c r="U880" s="799"/>
      <c r="V880" s="799"/>
      <c r="W880" s="799"/>
      <c r="X880" s="799"/>
      <c r="Y880" s="799"/>
      <c r="Z880" s="799"/>
      <c r="AA880" s="799"/>
      <c r="AB880" s="799"/>
      <c r="AC880" s="799"/>
      <c r="AD880" s="799"/>
      <c r="AE880" s="799"/>
      <c r="AF880" s="799"/>
      <c r="AG880" s="799"/>
      <c r="AH880" s="799"/>
      <c r="AI880" s="799"/>
      <c r="AJ880" s="799"/>
      <c r="AK880" s="799"/>
      <c r="AL880" s="799"/>
      <c r="AM880" s="799"/>
      <c r="AN880" s="799"/>
      <c r="AO880" s="799"/>
      <c r="AP880" s="799"/>
      <c r="AQ880" s="799"/>
      <c r="AR880" s="799"/>
      <c r="AS880" s="799"/>
      <c r="AT880" s="799"/>
      <c r="AU880" s="799"/>
      <c r="AV880" s="799"/>
      <c r="AW880" s="799"/>
      <c r="AX880" s="799"/>
      <c r="AY880" s="799"/>
      <c r="AZ880" s="799"/>
      <c r="BA880" s="799"/>
      <c r="BB880" s="799"/>
      <c r="BC880" s="799"/>
      <c r="BD880" s="799"/>
      <c r="BE880" s="799"/>
      <c r="BF880" s="799"/>
      <c r="BG880" s="799"/>
    </row>
    <row r="881">
      <c r="H881" s="799"/>
      <c r="I881" s="799"/>
      <c r="J881" s="799"/>
      <c r="K881" s="799"/>
      <c r="L881" s="799"/>
      <c r="M881" s="799"/>
      <c r="N881" s="799"/>
      <c r="O881" s="799"/>
      <c r="P881" s="799"/>
      <c r="Q881" s="799"/>
      <c r="R881" s="799"/>
      <c r="S881" s="799"/>
      <c r="T881" s="799"/>
      <c r="U881" s="799"/>
      <c r="V881" s="799"/>
      <c r="W881" s="799"/>
      <c r="X881" s="799"/>
      <c r="Y881" s="799"/>
      <c r="Z881" s="799"/>
      <c r="AA881" s="799"/>
      <c r="AB881" s="799"/>
      <c r="AC881" s="799"/>
      <c r="AD881" s="799"/>
      <c r="AE881" s="799"/>
      <c r="AF881" s="799"/>
      <c r="AG881" s="799"/>
      <c r="AH881" s="799"/>
      <c r="AI881" s="799"/>
      <c r="AJ881" s="799"/>
      <c r="AK881" s="799"/>
      <c r="AL881" s="799"/>
      <c r="AM881" s="799"/>
      <c r="AN881" s="799"/>
      <c r="AO881" s="799"/>
      <c r="AP881" s="799"/>
      <c r="AQ881" s="799"/>
      <c r="AR881" s="799"/>
      <c r="AS881" s="799"/>
      <c r="AT881" s="799"/>
      <c r="AU881" s="799"/>
      <c r="AV881" s="799"/>
      <c r="AW881" s="799"/>
      <c r="AX881" s="799"/>
      <c r="AY881" s="799"/>
      <c r="AZ881" s="799"/>
      <c r="BA881" s="799"/>
      <c r="BB881" s="799"/>
      <c r="BC881" s="799"/>
      <c r="BD881" s="799"/>
      <c r="BE881" s="799"/>
      <c r="BF881" s="799"/>
      <c r="BG881" s="799"/>
    </row>
    <row r="882">
      <c r="H882" s="799"/>
      <c r="I882" s="799"/>
      <c r="J882" s="799"/>
      <c r="K882" s="799"/>
      <c r="L882" s="799"/>
      <c r="M882" s="799"/>
      <c r="N882" s="799"/>
      <c r="O882" s="799"/>
      <c r="P882" s="799"/>
      <c r="Q882" s="799"/>
      <c r="R882" s="799"/>
      <c r="S882" s="799"/>
      <c r="T882" s="799"/>
      <c r="U882" s="799"/>
      <c r="V882" s="799"/>
      <c r="W882" s="799"/>
      <c r="X882" s="799"/>
      <c r="Y882" s="799"/>
      <c r="Z882" s="799"/>
      <c r="AA882" s="799"/>
      <c r="AB882" s="799"/>
      <c r="AC882" s="799"/>
      <c r="AD882" s="799"/>
      <c r="AE882" s="799"/>
      <c r="AF882" s="799"/>
      <c r="AG882" s="799"/>
      <c r="AH882" s="799"/>
      <c r="AI882" s="799"/>
      <c r="AJ882" s="799"/>
      <c r="AK882" s="799"/>
      <c r="AL882" s="799"/>
      <c r="AM882" s="799"/>
      <c r="AN882" s="799"/>
      <c r="AO882" s="799"/>
      <c r="AP882" s="799"/>
      <c r="AQ882" s="799"/>
      <c r="AR882" s="799"/>
      <c r="AS882" s="799"/>
      <c r="AT882" s="799"/>
      <c r="AU882" s="799"/>
      <c r="AV882" s="799"/>
      <c r="AW882" s="799"/>
      <c r="AX882" s="799"/>
      <c r="AY882" s="799"/>
      <c r="AZ882" s="799"/>
      <c r="BA882" s="799"/>
      <c r="BB882" s="799"/>
      <c r="BC882" s="799"/>
      <c r="BD882" s="799"/>
      <c r="BE882" s="799"/>
      <c r="BF882" s="799"/>
      <c r="BG882" s="799"/>
    </row>
    <row r="883">
      <c r="H883" s="799"/>
      <c r="I883" s="799"/>
      <c r="J883" s="799"/>
      <c r="K883" s="799"/>
      <c r="L883" s="799"/>
      <c r="M883" s="799"/>
      <c r="N883" s="799"/>
      <c r="O883" s="799"/>
      <c r="P883" s="799"/>
      <c r="Q883" s="799"/>
      <c r="R883" s="799"/>
      <c r="S883" s="799"/>
      <c r="T883" s="799"/>
      <c r="U883" s="799"/>
      <c r="V883" s="799"/>
      <c r="W883" s="799"/>
      <c r="X883" s="799"/>
      <c r="Y883" s="799"/>
      <c r="Z883" s="799"/>
      <c r="AA883" s="799"/>
      <c r="AB883" s="799"/>
      <c r="AC883" s="799"/>
      <c r="AD883" s="799"/>
      <c r="AE883" s="799"/>
      <c r="AF883" s="799"/>
      <c r="AG883" s="799"/>
      <c r="AH883" s="799"/>
      <c r="AI883" s="799"/>
      <c r="AJ883" s="799"/>
      <c r="AK883" s="799"/>
      <c r="AL883" s="799"/>
      <c r="AM883" s="799"/>
      <c r="AN883" s="799"/>
      <c r="AO883" s="799"/>
      <c r="AP883" s="799"/>
      <c r="AQ883" s="799"/>
      <c r="AR883" s="799"/>
      <c r="AS883" s="799"/>
      <c r="AT883" s="799"/>
      <c r="AU883" s="799"/>
      <c r="AV883" s="799"/>
      <c r="AW883" s="799"/>
      <c r="AX883" s="799"/>
      <c r="AY883" s="799"/>
      <c r="AZ883" s="799"/>
      <c r="BA883" s="799"/>
      <c r="BB883" s="799"/>
      <c r="BC883" s="799"/>
      <c r="BD883" s="799"/>
      <c r="BE883" s="799"/>
      <c r="BF883" s="799"/>
      <c r="BG883" s="799"/>
    </row>
    <row r="884">
      <c r="H884" s="799"/>
      <c r="I884" s="799"/>
      <c r="J884" s="799"/>
      <c r="K884" s="799"/>
      <c r="L884" s="799"/>
      <c r="M884" s="799"/>
      <c r="N884" s="799"/>
      <c r="O884" s="799"/>
      <c r="P884" s="799"/>
      <c r="Q884" s="799"/>
      <c r="R884" s="799"/>
      <c r="S884" s="799"/>
      <c r="T884" s="799"/>
      <c r="U884" s="799"/>
      <c r="V884" s="799"/>
      <c r="W884" s="799"/>
      <c r="X884" s="799"/>
      <c r="Y884" s="799"/>
      <c r="Z884" s="799"/>
      <c r="AA884" s="799"/>
      <c r="AB884" s="799"/>
      <c r="AC884" s="799"/>
      <c r="AD884" s="799"/>
      <c r="AE884" s="799"/>
      <c r="AF884" s="799"/>
      <c r="AG884" s="799"/>
      <c r="AH884" s="799"/>
      <c r="AI884" s="799"/>
      <c r="AJ884" s="799"/>
      <c r="AK884" s="799"/>
      <c r="AL884" s="799"/>
      <c r="AM884" s="799"/>
      <c r="AN884" s="799"/>
      <c r="AO884" s="799"/>
      <c r="AP884" s="799"/>
      <c r="AQ884" s="799"/>
      <c r="AR884" s="799"/>
      <c r="AS884" s="799"/>
      <c r="AT884" s="799"/>
      <c r="AU884" s="799"/>
      <c r="AV884" s="799"/>
      <c r="AW884" s="799"/>
      <c r="AX884" s="799"/>
      <c r="AY884" s="799"/>
      <c r="AZ884" s="799"/>
      <c r="BA884" s="799"/>
      <c r="BB884" s="799"/>
      <c r="BC884" s="799"/>
      <c r="BD884" s="799"/>
      <c r="BE884" s="799"/>
      <c r="BF884" s="799"/>
      <c r="BG884" s="799"/>
    </row>
    <row r="885">
      <c r="H885" s="799"/>
      <c r="I885" s="799"/>
      <c r="J885" s="799"/>
      <c r="K885" s="799"/>
      <c r="L885" s="799"/>
      <c r="M885" s="799"/>
      <c r="N885" s="799"/>
      <c r="O885" s="799"/>
      <c r="P885" s="799"/>
      <c r="Q885" s="799"/>
      <c r="R885" s="799"/>
      <c r="S885" s="799"/>
      <c r="T885" s="799"/>
      <c r="U885" s="799"/>
      <c r="V885" s="799"/>
      <c r="W885" s="799"/>
      <c r="X885" s="799"/>
      <c r="Y885" s="799"/>
      <c r="Z885" s="799"/>
      <c r="AA885" s="799"/>
      <c r="AB885" s="799"/>
      <c r="AC885" s="799"/>
      <c r="AD885" s="799"/>
      <c r="AE885" s="799"/>
      <c r="AF885" s="799"/>
      <c r="AG885" s="799"/>
      <c r="AH885" s="799"/>
      <c r="AI885" s="799"/>
      <c r="AJ885" s="799"/>
      <c r="AK885" s="799"/>
      <c r="AL885" s="799"/>
      <c r="AM885" s="799"/>
      <c r="AN885" s="799"/>
      <c r="AO885" s="799"/>
      <c r="AP885" s="799"/>
      <c r="AQ885" s="799"/>
      <c r="AR885" s="799"/>
      <c r="AS885" s="799"/>
      <c r="AT885" s="799"/>
      <c r="AU885" s="799"/>
      <c r="AV885" s="799"/>
      <c r="AW885" s="799"/>
      <c r="AX885" s="799"/>
      <c r="AY885" s="799"/>
      <c r="AZ885" s="799"/>
      <c r="BA885" s="799"/>
      <c r="BB885" s="799"/>
      <c r="BC885" s="799"/>
      <c r="BD885" s="799"/>
      <c r="BE885" s="799"/>
      <c r="BF885" s="799"/>
      <c r="BG885" s="799"/>
    </row>
    <row r="886">
      <c r="H886" s="799"/>
      <c r="I886" s="799"/>
      <c r="J886" s="799"/>
      <c r="K886" s="799"/>
      <c r="L886" s="799"/>
      <c r="M886" s="799"/>
      <c r="N886" s="799"/>
      <c r="O886" s="799"/>
      <c r="P886" s="799"/>
      <c r="Q886" s="799"/>
      <c r="R886" s="799"/>
      <c r="S886" s="799"/>
      <c r="T886" s="799"/>
      <c r="U886" s="799"/>
      <c r="V886" s="799"/>
      <c r="W886" s="799"/>
      <c r="X886" s="799"/>
      <c r="Y886" s="799"/>
      <c r="Z886" s="799"/>
      <c r="AA886" s="799"/>
      <c r="AB886" s="799"/>
      <c r="AC886" s="799"/>
      <c r="AD886" s="799"/>
      <c r="AE886" s="799"/>
      <c r="AF886" s="799"/>
      <c r="AG886" s="799"/>
      <c r="AH886" s="799"/>
      <c r="AI886" s="799"/>
      <c r="AJ886" s="799"/>
      <c r="AK886" s="799"/>
      <c r="AL886" s="799"/>
      <c r="AM886" s="799"/>
      <c r="AN886" s="799"/>
      <c r="AO886" s="799"/>
      <c r="AP886" s="799"/>
      <c r="AQ886" s="799"/>
      <c r="AR886" s="799"/>
      <c r="AS886" s="799"/>
      <c r="AT886" s="799"/>
      <c r="AU886" s="799"/>
      <c r="AV886" s="799"/>
      <c r="AW886" s="799"/>
      <c r="AX886" s="799"/>
      <c r="AY886" s="799"/>
      <c r="AZ886" s="799"/>
      <c r="BA886" s="799"/>
      <c r="BB886" s="799"/>
      <c r="BC886" s="799"/>
      <c r="BD886" s="799"/>
      <c r="BE886" s="799"/>
      <c r="BF886" s="799"/>
      <c r="BG886" s="799"/>
    </row>
    <row r="887">
      <c r="H887" s="799"/>
      <c r="I887" s="799"/>
      <c r="J887" s="799"/>
      <c r="K887" s="799"/>
      <c r="L887" s="799"/>
      <c r="M887" s="799"/>
      <c r="N887" s="799"/>
      <c r="O887" s="799"/>
      <c r="P887" s="799"/>
      <c r="Q887" s="799"/>
      <c r="R887" s="799"/>
      <c r="S887" s="799"/>
      <c r="T887" s="799"/>
      <c r="U887" s="799"/>
      <c r="V887" s="799"/>
      <c r="W887" s="799"/>
      <c r="X887" s="799"/>
      <c r="Y887" s="799"/>
      <c r="Z887" s="799"/>
      <c r="AA887" s="799"/>
      <c r="AB887" s="799"/>
      <c r="AC887" s="799"/>
      <c r="AD887" s="799"/>
      <c r="AE887" s="799"/>
      <c r="AF887" s="799"/>
      <c r="AG887" s="799"/>
      <c r="AH887" s="799"/>
      <c r="AI887" s="799"/>
      <c r="AJ887" s="799"/>
      <c r="AK887" s="799"/>
      <c r="AL887" s="799"/>
      <c r="AM887" s="799"/>
      <c r="AN887" s="799"/>
      <c r="AO887" s="799"/>
      <c r="AP887" s="799"/>
      <c r="AQ887" s="799"/>
      <c r="AR887" s="799"/>
      <c r="AS887" s="799"/>
      <c r="AT887" s="799"/>
      <c r="AU887" s="799"/>
      <c r="AV887" s="799"/>
      <c r="AW887" s="799"/>
      <c r="AX887" s="799"/>
      <c r="AY887" s="799"/>
      <c r="AZ887" s="799"/>
      <c r="BA887" s="799"/>
      <c r="BB887" s="799"/>
      <c r="BC887" s="799"/>
      <c r="BD887" s="799"/>
      <c r="BE887" s="799"/>
      <c r="BF887" s="799"/>
      <c r="BG887" s="799"/>
    </row>
    <row r="888">
      <c r="H888" s="799"/>
      <c r="I888" s="799"/>
      <c r="J888" s="799"/>
      <c r="K888" s="799"/>
      <c r="L888" s="799"/>
      <c r="M888" s="799"/>
      <c r="N888" s="799"/>
      <c r="O888" s="799"/>
      <c r="P888" s="799"/>
      <c r="Q888" s="799"/>
      <c r="R888" s="799"/>
      <c r="S888" s="799"/>
      <c r="T888" s="799"/>
      <c r="U888" s="799"/>
      <c r="V888" s="799"/>
      <c r="W888" s="799"/>
      <c r="X888" s="799"/>
      <c r="Y888" s="799"/>
      <c r="Z888" s="799"/>
      <c r="AA888" s="799"/>
      <c r="AB888" s="799"/>
      <c r="AC888" s="799"/>
      <c r="AD888" s="799"/>
      <c r="AE888" s="799"/>
      <c r="AF888" s="799"/>
      <c r="AG888" s="799"/>
      <c r="AH888" s="799"/>
      <c r="AI888" s="799"/>
      <c r="AJ888" s="799"/>
      <c r="AK888" s="799"/>
      <c r="AL888" s="799"/>
      <c r="AM888" s="799"/>
      <c r="AN888" s="799"/>
      <c r="AO888" s="799"/>
      <c r="AP888" s="799"/>
      <c r="AQ888" s="799"/>
      <c r="AR888" s="799"/>
      <c r="AS888" s="799"/>
      <c r="AT888" s="799"/>
      <c r="AU888" s="799"/>
      <c r="AV888" s="799"/>
      <c r="AW888" s="799"/>
      <c r="AX888" s="799"/>
      <c r="AY888" s="799"/>
      <c r="AZ888" s="799"/>
      <c r="BA888" s="799"/>
      <c r="BB888" s="799"/>
      <c r="BC888" s="799"/>
      <c r="BD888" s="799"/>
      <c r="BE888" s="799"/>
      <c r="BF888" s="799"/>
      <c r="BG888" s="799"/>
    </row>
    <row r="889">
      <c r="H889" s="799"/>
      <c r="I889" s="799"/>
      <c r="J889" s="799"/>
      <c r="K889" s="799"/>
      <c r="L889" s="799"/>
      <c r="M889" s="799"/>
      <c r="N889" s="799"/>
      <c r="O889" s="799"/>
      <c r="P889" s="799"/>
      <c r="Q889" s="799"/>
      <c r="R889" s="799"/>
      <c r="S889" s="799"/>
      <c r="T889" s="799"/>
      <c r="U889" s="799"/>
      <c r="V889" s="799"/>
      <c r="W889" s="799"/>
      <c r="X889" s="799"/>
      <c r="Y889" s="799"/>
      <c r="Z889" s="799"/>
      <c r="AA889" s="799"/>
      <c r="AB889" s="799"/>
      <c r="AC889" s="799"/>
      <c r="AD889" s="799"/>
      <c r="AE889" s="799"/>
      <c r="AF889" s="799"/>
      <c r="AG889" s="799"/>
      <c r="AH889" s="799"/>
      <c r="AI889" s="799"/>
      <c r="AJ889" s="799"/>
      <c r="AK889" s="799"/>
      <c r="AL889" s="799"/>
      <c r="AM889" s="799"/>
      <c r="AN889" s="799"/>
      <c r="AO889" s="799"/>
      <c r="AP889" s="799"/>
      <c r="AQ889" s="799"/>
      <c r="AR889" s="799"/>
      <c r="AS889" s="799"/>
      <c r="AT889" s="799"/>
      <c r="AU889" s="799"/>
      <c r="AV889" s="799"/>
      <c r="AW889" s="799"/>
      <c r="AX889" s="799"/>
      <c r="AY889" s="799"/>
      <c r="AZ889" s="799"/>
      <c r="BA889" s="799"/>
      <c r="BB889" s="799"/>
      <c r="BC889" s="799"/>
      <c r="BD889" s="799"/>
      <c r="BE889" s="799"/>
      <c r="BF889" s="799"/>
      <c r="BG889" s="799"/>
    </row>
    <row r="890">
      <c r="H890" s="799"/>
      <c r="I890" s="799"/>
      <c r="J890" s="799"/>
      <c r="K890" s="799"/>
      <c r="L890" s="799"/>
      <c r="M890" s="799"/>
      <c r="N890" s="799"/>
      <c r="O890" s="799"/>
      <c r="P890" s="799"/>
      <c r="Q890" s="799"/>
      <c r="R890" s="799"/>
      <c r="S890" s="799"/>
      <c r="T890" s="799"/>
      <c r="U890" s="799"/>
      <c r="V890" s="799"/>
      <c r="W890" s="799"/>
      <c r="X890" s="799"/>
      <c r="Y890" s="799"/>
      <c r="Z890" s="799"/>
      <c r="AA890" s="799"/>
      <c r="AB890" s="799"/>
      <c r="AC890" s="799"/>
      <c r="AD890" s="799"/>
      <c r="AE890" s="799"/>
      <c r="AF890" s="799"/>
      <c r="AG890" s="799"/>
      <c r="AH890" s="799"/>
      <c r="AI890" s="799"/>
      <c r="AJ890" s="799"/>
      <c r="AK890" s="799"/>
      <c r="AL890" s="799"/>
      <c r="AM890" s="799"/>
      <c r="AN890" s="799"/>
      <c r="AO890" s="799"/>
      <c r="AP890" s="799"/>
      <c r="AQ890" s="799"/>
      <c r="AR890" s="799"/>
      <c r="AS890" s="799"/>
      <c r="AT890" s="799"/>
      <c r="AU890" s="799"/>
      <c r="AV890" s="799"/>
      <c r="AW890" s="799"/>
      <c r="AX890" s="799"/>
      <c r="AY890" s="799"/>
      <c r="AZ890" s="799"/>
      <c r="BA890" s="799"/>
      <c r="BB890" s="799"/>
      <c r="BC890" s="799"/>
      <c r="BD890" s="799"/>
      <c r="BE890" s="799"/>
      <c r="BF890" s="799"/>
      <c r="BG890" s="799"/>
    </row>
    <row r="891">
      <c r="H891" s="799"/>
      <c r="I891" s="799"/>
      <c r="J891" s="799"/>
      <c r="K891" s="799"/>
      <c r="L891" s="799"/>
      <c r="M891" s="799"/>
      <c r="N891" s="799"/>
      <c r="O891" s="799"/>
      <c r="P891" s="799"/>
      <c r="Q891" s="799"/>
      <c r="R891" s="799"/>
      <c r="S891" s="799"/>
      <c r="T891" s="799"/>
      <c r="U891" s="799"/>
      <c r="V891" s="799"/>
      <c r="W891" s="799"/>
      <c r="X891" s="799"/>
      <c r="Y891" s="799"/>
      <c r="Z891" s="799"/>
      <c r="AA891" s="799"/>
      <c r="AB891" s="799"/>
      <c r="AC891" s="799"/>
      <c r="AD891" s="799"/>
      <c r="AE891" s="799"/>
      <c r="AF891" s="799"/>
      <c r="AG891" s="799"/>
      <c r="AH891" s="799"/>
      <c r="AI891" s="799"/>
      <c r="AJ891" s="799"/>
      <c r="AK891" s="799"/>
      <c r="AL891" s="799"/>
      <c r="AM891" s="799"/>
      <c r="AN891" s="799"/>
      <c r="AO891" s="799"/>
      <c r="AP891" s="799"/>
      <c r="AQ891" s="799"/>
      <c r="AR891" s="799"/>
      <c r="AS891" s="799"/>
      <c r="AT891" s="799"/>
      <c r="AU891" s="799"/>
      <c r="AV891" s="799"/>
      <c r="AW891" s="799"/>
      <c r="AX891" s="799"/>
      <c r="AY891" s="799"/>
      <c r="AZ891" s="799"/>
      <c r="BA891" s="799"/>
      <c r="BB891" s="799"/>
      <c r="BC891" s="799"/>
      <c r="BD891" s="799"/>
      <c r="BE891" s="799"/>
      <c r="BF891" s="799"/>
      <c r="BG891" s="799"/>
    </row>
    <row r="892">
      <c r="H892" s="799"/>
      <c r="I892" s="799"/>
      <c r="J892" s="799"/>
      <c r="K892" s="799"/>
      <c r="L892" s="799"/>
      <c r="M892" s="799"/>
      <c r="N892" s="799"/>
      <c r="O892" s="799"/>
      <c r="P892" s="799"/>
      <c r="Q892" s="799"/>
      <c r="R892" s="799"/>
      <c r="S892" s="799"/>
      <c r="T892" s="799"/>
      <c r="U892" s="799"/>
      <c r="V892" s="799"/>
      <c r="W892" s="799"/>
      <c r="X892" s="799"/>
      <c r="Y892" s="799"/>
      <c r="Z892" s="799"/>
      <c r="AA892" s="799"/>
      <c r="AB892" s="799"/>
      <c r="AC892" s="799"/>
      <c r="AD892" s="799"/>
      <c r="AE892" s="799"/>
      <c r="AF892" s="799"/>
      <c r="AG892" s="799"/>
      <c r="AH892" s="799"/>
      <c r="AI892" s="799"/>
      <c r="AJ892" s="799"/>
      <c r="AK892" s="799"/>
      <c r="AL892" s="799"/>
      <c r="AM892" s="799"/>
      <c r="AN892" s="799"/>
      <c r="AO892" s="799"/>
      <c r="AP892" s="799"/>
      <c r="AQ892" s="799"/>
      <c r="AR892" s="799"/>
      <c r="AS892" s="799"/>
      <c r="AT892" s="799"/>
      <c r="AU892" s="799"/>
      <c r="AV892" s="799"/>
      <c r="AW892" s="799"/>
      <c r="AX892" s="799"/>
      <c r="AY892" s="799"/>
      <c r="AZ892" s="799"/>
      <c r="BA892" s="799"/>
      <c r="BB892" s="799"/>
      <c r="BC892" s="799"/>
      <c r="BD892" s="799"/>
      <c r="BE892" s="799"/>
      <c r="BF892" s="799"/>
      <c r="BG892" s="799"/>
    </row>
    <row r="893">
      <c r="H893" s="799"/>
      <c r="I893" s="799"/>
      <c r="J893" s="799"/>
      <c r="K893" s="799"/>
      <c r="L893" s="799"/>
      <c r="M893" s="799"/>
      <c r="N893" s="799"/>
      <c r="O893" s="799"/>
      <c r="P893" s="799"/>
      <c r="Q893" s="799"/>
      <c r="R893" s="799"/>
      <c r="S893" s="799"/>
      <c r="T893" s="799"/>
      <c r="U893" s="799"/>
      <c r="V893" s="799"/>
      <c r="W893" s="799"/>
      <c r="X893" s="799"/>
      <c r="Y893" s="799"/>
      <c r="Z893" s="799"/>
      <c r="AA893" s="799"/>
      <c r="AB893" s="799"/>
      <c r="AC893" s="799"/>
      <c r="AD893" s="799"/>
      <c r="AE893" s="799"/>
      <c r="AF893" s="799"/>
      <c r="AG893" s="799"/>
      <c r="AH893" s="799"/>
      <c r="AI893" s="799"/>
      <c r="AJ893" s="799"/>
      <c r="AK893" s="799"/>
      <c r="AL893" s="799"/>
      <c r="AM893" s="799"/>
      <c r="AN893" s="799"/>
      <c r="AO893" s="799"/>
      <c r="AP893" s="799"/>
      <c r="AQ893" s="799"/>
      <c r="AR893" s="799"/>
      <c r="AS893" s="799"/>
      <c r="AT893" s="799"/>
      <c r="AU893" s="799"/>
      <c r="AV893" s="799"/>
      <c r="AW893" s="799"/>
      <c r="AX893" s="799"/>
      <c r="AY893" s="799"/>
      <c r="AZ893" s="799"/>
      <c r="BA893" s="799"/>
      <c r="BB893" s="799"/>
      <c r="BC893" s="799"/>
      <c r="BD893" s="799"/>
      <c r="BE893" s="799"/>
      <c r="BF893" s="799"/>
      <c r="BG893" s="799"/>
    </row>
    <row r="894">
      <c r="H894" s="799"/>
      <c r="I894" s="799"/>
      <c r="J894" s="799"/>
      <c r="K894" s="799"/>
      <c r="L894" s="799"/>
      <c r="M894" s="799"/>
      <c r="N894" s="799"/>
      <c r="O894" s="799"/>
      <c r="P894" s="799"/>
      <c r="Q894" s="799"/>
      <c r="R894" s="799"/>
      <c r="S894" s="799"/>
      <c r="T894" s="799"/>
      <c r="U894" s="799"/>
      <c r="V894" s="799"/>
      <c r="W894" s="799"/>
      <c r="X894" s="799"/>
      <c r="Y894" s="799"/>
      <c r="Z894" s="799"/>
      <c r="AA894" s="799"/>
      <c r="AB894" s="799"/>
      <c r="AC894" s="799"/>
      <c r="AD894" s="799"/>
      <c r="AE894" s="799"/>
      <c r="AF894" s="799"/>
      <c r="AG894" s="799"/>
      <c r="AH894" s="799"/>
      <c r="AI894" s="799"/>
      <c r="AJ894" s="799"/>
      <c r="AK894" s="799"/>
      <c r="AL894" s="799"/>
      <c r="AM894" s="799"/>
      <c r="AN894" s="799"/>
      <c r="AO894" s="799"/>
      <c r="AP894" s="799"/>
      <c r="AQ894" s="799"/>
      <c r="AR894" s="799"/>
      <c r="AS894" s="799"/>
      <c r="AT894" s="799"/>
      <c r="AU894" s="799"/>
      <c r="AV894" s="799"/>
      <c r="AW894" s="799"/>
      <c r="AX894" s="799"/>
      <c r="AY894" s="799"/>
      <c r="AZ894" s="799"/>
      <c r="BA894" s="799"/>
      <c r="BB894" s="799"/>
      <c r="BC894" s="799"/>
      <c r="BD894" s="799"/>
      <c r="BE894" s="799"/>
      <c r="BF894" s="799"/>
      <c r="BG894" s="799"/>
    </row>
    <row r="895">
      <c r="H895" s="799"/>
      <c r="I895" s="799"/>
      <c r="J895" s="799"/>
      <c r="K895" s="799"/>
      <c r="L895" s="799"/>
      <c r="M895" s="799"/>
      <c r="N895" s="799"/>
      <c r="O895" s="799"/>
      <c r="P895" s="799"/>
      <c r="Q895" s="799"/>
      <c r="R895" s="799"/>
      <c r="S895" s="799"/>
      <c r="T895" s="799"/>
      <c r="U895" s="799"/>
      <c r="V895" s="799"/>
      <c r="W895" s="799"/>
      <c r="X895" s="799"/>
      <c r="Y895" s="799"/>
      <c r="Z895" s="799"/>
      <c r="AA895" s="799"/>
      <c r="AB895" s="799"/>
      <c r="AC895" s="799"/>
      <c r="AD895" s="799"/>
      <c r="AE895" s="799"/>
      <c r="AF895" s="799"/>
      <c r="AG895" s="799"/>
      <c r="AH895" s="799"/>
      <c r="AI895" s="799"/>
      <c r="AJ895" s="799"/>
      <c r="AK895" s="799"/>
      <c r="AL895" s="799"/>
      <c r="AM895" s="799"/>
      <c r="AN895" s="799"/>
      <c r="AO895" s="799"/>
      <c r="AP895" s="799"/>
      <c r="AQ895" s="799"/>
      <c r="AR895" s="799"/>
      <c r="AS895" s="799"/>
      <c r="AT895" s="799"/>
      <c r="AU895" s="799"/>
      <c r="AV895" s="799"/>
      <c r="AW895" s="799"/>
      <c r="AX895" s="799"/>
      <c r="AY895" s="799"/>
      <c r="AZ895" s="799"/>
      <c r="BA895" s="799"/>
      <c r="BB895" s="799"/>
      <c r="BC895" s="799"/>
      <c r="BD895" s="799"/>
      <c r="BE895" s="799"/>
      <c r="BF895" s="799"/>
      <c r="BG895" s="799"/>
    </row>
    <row r="896">
      <c r="H896" s="799"/>
      <c r="I896" s="799"/>
      <c r="J896" s="799"/>
      <c r="K896" s="799"/>
      <c r="L896" s="799"/>
      <c r="M896" s="799"/>
      <c r="N896" s="799"/>
      <c r="O896" s="799"/>
      <c r="P896" s="799"/>
      <c r="Q896" s="799"/>
      <c r="R896" s="799"/>
      <c r="S896" s="799"/>
      <c r="T896" s="799"/>
      <c r="U896" s="799"/>
      <c r="V896" s="799"/>
      <c r="W896" s="799"/>
      <c r="X896" s="799"/>
      <c r="Y896" s="799"/>
      <c r="Z896" s="799"/>
      <c r="AA896" s="799"/>
      <c r="AB896" s="799"/>
      <c r="AC896" s="799"/>
      <c r="AD896" s="799"/>
      <c r="AE896" s="799"/>
      <c r="AF896" s="799"/>
      <c r="AG896" s="799"/>
      <c r="AH896" s="799"/>
      <c r="AI896" s="799"/>
      <c r="AJ896" s="799"/>
      <c r="AK896" s="799"/>
      <c r="AL896" s="799"/>
      <c r="AM896" s="799"/>
      <c r="AN896" s="799"/>
      <c r="AO896" s="799"/>
      <c r="AP896" s="799"/>
      <c r="AQ896" s="799"/>
      <c r="AR896" s="799"/>
      <c r="AS896" s="799"/>
      <c r="AT896" s="799"/>
      <c r="AU896" s="799"/>
      <c r="AV896" s="799"/>
      <c r="AW896" s="799"/>
      <c r="AX896" s="799"/>
      <c r="AY896" s="799"/>
      <c r="AZ896" s="799"/>
      <c r="BA896" s="799"/>
      <c r="BB896" s="799"/>
      <c r="BC896" s="799"/>
      <c r="BD896" s="799"/>
      <c r="BE896" s="799"/>
      <c r="BF896" s="799"/>
      <c r="BG896" s="799"/>
    </row>
    <row r="897">
      <c r="H897" s="799"/>
      <c r="I897" s="799"/>
      <c r="J897" s="799"/>
      <c r="K897" s="799"/>
      <c r="L897" s="799"/>
      <c r="M897" s="799"/>
      <c r="N897" s="799"/>
      <c r="O897" s="799"/>
      <c r="P897" s="799"/>
      <c r="Q897" s="799"/>
      <c r="R897" s="799"/>
      <c r="S897" s="799"/>
      <c r="T897" s="799"/>
      <c r="U897" s="799"/>
      <c r="V897" s="799"/>
      <c r="W897" s="799"/>
      <c r="X897" s="799"/>
      <c r="Y897" s="799"/>
      <c r="Z897" s="799"/>
      <c r="AA897" s="799"/>
      <c r="AB897" s="799"/>
      <c r="AC897" s="799"/>
      <c r="AD897" s="799"/>
      <c r="AE897" s="799"/>
      <c r="AF897" s="799"/>
      <c r="AG897" s="799"/>
      <c r="AH897" s="799"/>
      <c r="AI897" s="799"/>
      <c r="AJ897" s="799"/>
      <c r="AK897" s="799"/>
      <c r="AL897" s="799"/>
      <c r="AM897" s="799"/>
      <c r="AN897" s="799"/>
      <c r="AO897" s="799"/>
      <c r="AP897" s="799"/>
      <c r="AQ897" s="799"/>
      <c r="AR897" s="799"/>
      <c r="AS897" s="799"/>
      <c r="AT897" s="799"/>
      <c r="AU897" s="799"/>
      <c r="AV897" s="799"/>
      <c r="AW897" s="799"/>
      <c r="AX897" s="799"/>
      <c r="AY897" s="799"/>
      <c r="AZ897" s="799"/>
      <c r="BA897" s="799"/>
      <c r="BB897" s="799"/>
      <c r="BC897" s="799"/>
      <c r="BD897" s="799"/>
      <c r="BE897" s="799"/>
      <c r="BF897" s="799"/>
      <c r="BG897" s="799"/>
    </row>
    <row r="898">
      <c r="H898" s="799"/>
      <c r="I898" s="799"/>
      <c r="J898" s="799"/>
      <c r="K898" s="799"/>
      <c r="L898" s="799"/>
      <c r="M898" s="799"/>
      <c r="N898" s="799"/>
      <c r="O898" s="799"/>
      <c r="P898" s="799"/>
      <c r="Q898" s="799"/>
      <c r="R898" s="799"/>
      <c r="S898" s="799"/>
      <c r="T898" s="799"/>
      <c r="U898" s="799"/>
      <c r="V898" s="799"/>
      <c r="W898" s="799"/>
      <c r="X898" s="799"/>
      <c r="Y898" s="799"/>
      <c r="Z898" s="799"/>
      <c r="AA898" s="799"/>
      <c r="AB898" s="799"/>
      <c r="AC898" s="799"/>
      <c r="AD898" s="799"/>
      <c r="AE898" s="799"/>
      <c r="AF898" s="799"/>
      <c r="AG898" s="799"/>
      <c r="AH898" s="799"/>
      <c r="AI898" s="799"/>
      <c r="AJ898" s="799"/>
      <c r="AK898" s="799"/>
      <c r="AL898" s="799"/>
      <c r="AM898" s="799"/>
      <c r="AN898" s="799"/>
      <c r="AO898" s="799"/>
      <c r="AP898" s="799"/>
      <c r="AQ898" s="799"/>
      <c r="AR898" s="799"/>
      <c r="AS898" s="799"/>
      <c r="AT898" s="799"/>
      <c r="AU898" s="799"/>
      <c r="AV898" s="799"/>
      <c r="AW898" s="799"/>
      <c r="AX898" s="799"/>
      <c r="AY898" s="799"/>
      <c r="AZ898" s="799"/>
      <c r="BA898" s="799"/>
      <c r="BB898" s="799"/>
      <c r="BC898" s="799"/>
      <c r="BD898" s="799"/>
      <c r="BE898" s="799"/>
      <c r="BF898" s="799"/>
      <c r="BG898" s="799"/>
    </row>
    <row r="899">
      <c r="H899" s="799"/>
      <c r="I899" s="799"/>
      <c r="J899" s="799"/>
      <c r="K899" s="799"/>
      <c r="L899" s="799"/>
      <c r="M899" s="799"/>
      <c r="N899" s="799"/>
      <c r="O899" s="799"/>
      <c r="P899" s="799"/>
      <c r="Q899" s="799"/>
      <c r="R899" s="799"/>
      <c r="S899" s="799"/>
      <c r="T899" s="799"/>
      <c r="U899" s="799"/>
      <c r="V899" s="799"/>
      <c r="W899" s="799"/>
      <c r="X899" s="799"/>
      <c r="Y899" s="799"/>
      <c r="Z899" s="799"/>
      <c r="AA899" s="799"/>
      <c r="AB899" s="799"/>
      <c r="AC899" s="799"/>
      <c r="AD899" s="799"/>
      <c r="AE899" s="799"/>
      <c r="AF899" s="799"/>
      <c r="AG899" s="799"/>
      <c r="AH899" s="799"/>
      <c r="AI899" s="799"/>
      <c r="AJ899" s="799"/>
      <c r="AK899" s="799"/>
      <c r="AL899" s="799"/>
      <c r="AM899" s="799"/>
      <c r="AN899" s="799"/>
      <c r="AO899" s="799"/>
      <c r="AP899" s="799"/>
      <c r="AQ899" s="799"/>
      <c r="AR899" s="799"/>
      <c r="AS899" s="799"/>
      <c r="AT899" s="799"/>
      <c r="AU899" s="799"/>
      <c r="AV899" s="799"/>
      <c r="AW899" s="799"/>
      <c r="AX899" s="799"/>
      <c r="AY899" s="799"/>
      <c r="AZ899" s="799"/>
      <c r="BA899" s="799"/>
      <c r="BB899" s="799"/>
      <c r="BC899" s="799"/>
      <c r="BD899" s="799"/>
      <c r="BE899" s="799"/>
      <c r="BF899" s="799"/>
      <c r="BG899" s="799"/>
    </row>
    <row r="900">
      <c r="H900" s="799"/>
      <c r="I900" s="799"/>
      <c r="J900" s="799"/>
      <c r="K900" s="799"/>
      <c r="L900" s="799"/>
      <c r="M900" s="799"/>
      <c r="N900" s="799"/>
      <c r="O900" s="799"/>
      <c r="P900" s="799"/>
      <c r="Q900" s="799"/>
      <c r="R900" s="799"/>
      <c r="S900" s="799"/>
      <c r="T900" s="799"/>
      <c r="U900" s="799"/>
      <c r="V900" s="799"/>
      <c r="W900" s="799"/>
      <c r="X900" s="799"/>
      <c r="Y900" s="799"/>
      <c r="Z900" s="799"/>
      <c r="AA900" s="799"/>
      <c r="AB900" s="799"/>
      <c r="AC900" s="799"/>
      <c r="AD900" s="799"/>
      <c r="AE900" s="799"/>
      <c r="AF900" s="799"/>
      <c r="AG900" s="799"/>
      <c r="AH900" s="799"/>
      <c r="AI900" s="799"/>
      <c r="AJ900" s="799"/>
      <c r="AK900" s="799"/>
      <c r="AL900" s="799"/>
      <c r="AM900" s="799"/>
      <c r="AN900" s="799"/>
      <c r="AO900" s="799"/>
      <c r="AP900" s="799"/>
      <c r="AQ900" s="799"/>
      <c r="AR900" s="799"/>
      <c r="AS900" s="799"/>
      <c r="AT900" s="799"/>
      <c r="AU900" s="799"/>
      <c r="AV900" s="799"/>
      <c r="AW900" s="799"/>
      <c r="AX900" s="799"/>
      <c r="AY900" s="799"/>
      <c r="AZ900" s="799"/>
      <c r="BA900" s="799"/>
      <c r="BB900" s="799"/>
      <c r="BC900" s="799"/>
      <c r="BD900" s="799"/>
      <c r="BE900" s="799"/>
      <c r="BF900" s="799"/>
      <c r="BG900" s="799"/>
    </row>
    <row r="901">
      <c r="H901" s="799"/>
      <c r="I901" s="799"/>
      <c r="J901" s="799"/>
      <c r="K901" s="799"/>
      <c r="L901" s="799"/>
      <c r="M901" s="799"/>
      <c r="N901" s="799"/>
      <c r="O901" s="799"/>
      <c r="P901" s="799"/>
      <c r="Q901" s="799"/>
      <c r="R901" s="799"/>
      <c r="S901" s="799"/>
      <c r="T901" s="799"/>
      <c r="U901" s="799"/>
      <c r="V901" s="799"/>
      <c r="W901" s="799"/>
      <c r="X901" s="799"/>
      <c r="Y901" s="799"/>
      <c r="Z901" s="799"/>
      <c r="AA901" s="799"/>
      <c r="AB901" s="799"/>
      <c r="AC901" s="799"/>
      <c r="AD901" s="799"/>
      <c r="AE901" s="799"/>
      <c r="AF901" s="799"/>
      <c r="AG901" s="799"/>
      <c r="AH901" s="799"/>
      <c r="AI901" s="799"/>
      <c r="AJ901" s="799"/>
      <c r="AK901" s="799"/>
      <c r="AL901" s="799"/>
      <c r="AM901" s="799"/>
      <c r="AN901" s="799"/>
      <c r="AO901" s="799"/>
      <c r="AP901" s="799"/>
      <c r="AQ901" s="799"/>
      <c r="AR901" s="799"/>
      <c r="AS901" s="799"/>
      <c r="AT901" s="799"/>
      <c r="AU901" s="799"/>
      <c r="AV901" s="799"/>
      <c r="AW901" s="799"/>
      <c r="AX901" s="799"/>
      <c r="AY901" s="799"/>
      <c r="AZ901" s="799"/>
      <c r="BA901" s="799"/>
      <c r="BB901" s="799"/>
      <c r="BC901" s="799"/>
      <c r="BD901" s="799"/>
      <c r="BE901" s="799"/>
      <c r="BF901" s="799"/>
      <c r="BG901" s="799"/>
    </row>
    <row r="902">
      <c r="H902" s="799"/>
      <c r="I902" s="799"/>
      <c r="J902" s="799"/>
      <c r="K902" s="799"/>
      <c r="L902" s="799"/>
      <c r="M902" s="799"/>
      <c r="N902" s="799"/>
      <c r="O902" s="799"/>
      <c r="P902" s="799"/>
      <c r="Q902" s="799"/>
      <c r="R902" s="799"/>
      <c r="S902" s="799"/>
      <c r="T902" s="799"/>
      <c r="U902" s="799"/>
      <c r="V902" s="799"/>
      <c r="W902" s="799"/>
      <c r="X902" s="799"/>
      <c r="Y902" s="799"/>
      <c r="Z902" s="799"/>
      <c r="AA902" s="799"/>
      <c r="AB902" s="799"/>
      <c r="AC902" s="799"/>
      <c r="AD902" s="799"/>
      <c r="AE902" s="799"/>
      <c r="AF902" s="799"/>
      <c r="AG902" s="799"/>
      <c r="AH902" s="799"/>
      <c r="AI902" s="799"/>
      <c r="AJ902" s="799"/>
      <c r="AK902" s="799"/>
      <c r="AL902" s="799"/>
      <c r="AM902" s="799"/>
      <c r="AN902" s="799"/>
      <c r="AO902" s="799"/>
      <c r="AP902" s="799"/>
      <c r="AQ902" s="799"/>
      <c r="AR902" s="799"/>
      <c r="AS902" s="799"/>
      <c r="AT902" s="799"/>
      <c r="AU902" s="799"/>
      <c r="AV902" s="799"/>
      <c r="AW902" s="799"/>
      <c r="AX902" s="799"/>
      <c r="AY902" s="799"/>
      <c r="AZ902" s="799"/>
      <c r="BA902" s="799"/>
      <c r="BB902" s="799"/>
      <c r="BC902" s="799"/>
      <c r="BD902" s="799"/>
      <c r="BE902" s="799"/>
      <c r="BF902" s="799"/>
      <c r="BG902" s="799"/>
    </row>
    <row r="903">
      <c r="H903" s="799"/>
      <c r="I903" s="799"/>
      <c r="J903" s="799"/>
      <c r="K903" s="799"/>
      <c r="L903" s="799"/>
      <c r="M903" s="799"/>
      <c r="N903" s="799"/>
      <c r="O903" s="799"/>
      <c r="P903" s="799"/>
      <c r="Q903" s="799"/>
      <c r="R903" s="799"/>
      <c r="S903" s="799"/>
      <c r="T903" s="799"/>
      <c r="U903" s="799"/>
      <c r="V903" s="799"/>
      <c r="W903" s="799"/>
      <c r="X903" s="799"/>
      <c r="Y903" s="799"/>
      <c r="Z903" s="799"/>
      <c r="AA903" s="799"/>
      <c r="AB903" s="799"/>
      <c r="AC903" s="799"/>
      <c r="AD903" s="799"/>
      <c r="AE903" s="799"/>
      <c r="AF903" s="799"/>
      <c r="AG903" s="799"/>
      <c r="AH903" s="799"/>
      <c r="AI903" s="799"/>
      <c r="AJ903" s="799"/>
      <c r="AK903" s="799"/>
      <c r="AL903" s="799"/>
      <c r="AM903" s="799"/>
      <c r="AN903" s="799"/>
      <c r="AO903" s="799"/>
      <c r="AP903" s="799"/>
      <c r="AQ903" s="799"/>
      <c r="AR903" s="799"/>
      <c r="AS903" s="799"/>
      <c r="AT903" s="799"/>
      <c r="AU903" s="799"/>
      <c r="AV903" s="799"/>
      <c r="AW903" s="799"/>
      <c r="AX903" s="799"/>
      <c r="AY903" s="799"/>
      <c r="AZ903" s="799"/>
      <c r="BA903" s="799"/>
      <c r="BB903" s="799"/>
      <c r="BC903" s="799"/>
      <c r="BD903" s="799"/>
      <c r="BE903" s="799"/>
      <c r="BF903" s="799"/>
      <c r="BG903" s="799"/>
    </row>
    <row r="904">
      <c r="H904" s="799"/>
      <c r="I904" s="799"/>
      <c r="J904" s="799"/>
      <c r="K904" s="799"/>
      <c r="L904" s="799"/>
      <c r="M904" s="799"/>
      <c r="N904" s="799"/>
      <c r="O904" s="799"/>
      <c r="P904" s="799"/>
      <c r="Q904" s="799"/>
      <c r="R904" s="799"/>
      <c r="S904" s="799"/>
      <c r="T904" s="799"/>
      <c r="U904" s="799"/>
      <c r="V904" s="799"/>
      <c r="W904" s="799"/>
      <c r="X904" s="799"/>
      <c r="Y904" s="799"/>
      <c r="Z904" s="799"/>
      <c r="AA904" s="799"/>
      <c r="AB904" s="799"/>
      <c r="AC904" s="799"/>
      <c r="AD904" s="799"/>
      <c r="AE904" s="799"/>
      <c r="AF904" s="799"/>
      <c r="AG904" s="799"/>
      <c r="AH904" s="799"/>
      <c r="AI904" s="799"/>
      <c r="AJ904" s="799"/>
      <c r="AK904" s="799"/>
      <c r="AL904" s="799"/>
      <c r="AM904" s="799"/>
      <c r="AN904" s="799"/>
      <c r="AO904" s="799"/>
      <c r="AP904" s="799"/>
      <c r="AQ904" s="799"/>
      <c r="AR904" s="799"/>
      <c r="AS904" s="799"/>
      <c r="AT904" s="799"/>
      <c r="AU904" s="799"/>
      <c r="AV904" s="799"/>
      <c r="AW904" s="799"/>
      <c r="AX904" s="799"/>
      <c r="AY904" s="799"/>
      <c r="AZ904" s="799"/>
      <c r="BA904" s="799"/>
      <c r="BB904" s="799"/>
      <c r="BC904" s="799"/>
      <c r="BD904" s="799"/>
      <c r="BE904" s="799"/>
      <c r="BF904" s="799"/>
      <c r="BG904" s="799"/>
    </row>
    <row r="905">
      <c r="H905" s="799"/>
      <c r="I905" s="799"/>
      <c r="J905" s="799"/>
      <c r="K905" s="799"/>
      <c r="L905" s="799"/>
      <c r="M905" s="799"/>
      <c r="N905" s="799"/>
      <c r="O905" s="799"/>
      <c r="P905" s="799"/>
      <c r="Q905" s="799"/>
      <c r="R905" s="799"/>
      <c r="S905" s="799"/>
      <c r="T905" s="799"/>
      <c r="U905" s="799"/>
      <c r="V905" s="799"/>
      <c r="W905" s="799"/>
      <c r="X905" s="799"/>
      <c r="Y905" s="799"/>
      <c r="Z905" s="799"/>
      <c r="AA905" s="799"/>
      <c r="AB905" s="799"/>
      <c r="AC905" s="799"/>
      <c r="AD905" s="799"/>
      <c r="AE905" s="799"/>
      <c r="AF905" s="799"/>
      <c r="AG905" s="799"/>
      <c r="AH905" s="799"/>
      <c r="AI905" s="799"/>
      <c r="AJ905" s="799"/>
      <c r="AK905" s="799"/>
      <c r="AL905" s="799"/>
      <c r="AM905" s="799"/>
      <c r="AN905" s="799"/>
      <c r="AO905" s="799"/>
      <c r="AP905" s="799"/>
      <c r="AQ905" s="799"/>
      <c r="AR905" s="799"/>
      <c r="AS905" s="799"/>
      <c r="AT905" s="799"/>
      <c r="AU905" s="799"/>
      <c r="AV905" s="799"/>
      <c r="AW905" s="799"/>
      <c r="AX905" s="799"/>
      <c r="AY905" s="799"/>
      <c r="AZ905" s="799"/>
      <c r="BA905" s="799"/>
      <c r="BB905" s="799"/>
      <c r="BC905" s="799"/>
      <c r="BD905" s="799"/>
      <c r="BE905" s="799"/>
      <c r="BF905" s="799"/>
      <c r="BG905" s="799"/>
    </row>
    <row r="906">
      <c r="H906" s="799"/>
      <c r="I906" s="799"/>
      <c r="J906" s="799"/>
      <c r="K906" s="799"/>
      <c r="L906" s="799"/>
      <c r="M906" s="799"/>
      <c r="N906" s="799"/>
      <c r="O906" s="799"/>
      <c r="P906" s="799"/>
      <c r="Q906" s="799"/>
      <c r="R906" s="799"/>
      <c r="S906" s="799"/>
      <c r="T906" s="799"/>
      <c r="U906" s="799"/>
      <c r="V906" s="799"/>
      <c r="W906" s="799"/>
      <c r="X906" s="799"/>
      <c r="Y906" s="799"/>
      <c r="Z906" s="799"/>
      <c r="AA906" s="799"/>
      <c r="AB906" s="799"/>
      <c r="AC906" s="799"/>
      <c r="AD906" s="799"/>
      <c r="AE906" s="799"/>
      <c r="AF906" s="799"/>
      <c r="AG906" s="799"/>
      <c r="AH906" s="799"/>
      <c r="AI906" s="799"/>
      <c r="AJ906" s="799"/>
      <c r="AK906" s="799"/>
      <c r="AL906" s="799"/>
      <c r="AM906" s="799"/>
      <c r="AN906" s="799"/>
      <c r="AO906" s="799"/>
      <c r="AP906" s="799"/>
      <c r="AQ906" s="799"/>
      <c r="AR906" s="799"/>
      <c r="AS906" s="799"/>
      <c r="AT906" s="799"/>
      <c r="AU906" s="799"/>
      <c r="AV906" s="799"/>
      <c r="AW906" s="799"/>
      <c r="AX906" s="799"/>
      <c r="AY906" s="799"/>
      <c r="AZ906" s="799"/>
      <c r="BA906" s="799"/>
      <c r="BB906" s="799"/>
      <c r="BC906" s="799"/>
      <c r="BD906" s="799"/>
      <c r="BE906" s="799"/>
      <c r="BF906" s="799"/>
      <c r="BG906" s="799"/>
    </row>
    <row r="907">
      <c r="H907" s="799"/>
      <c r="I907" s="799"/>
      <c r="J907" s="799"/>
      <c r="K907" s="799"/>
      <c r="L907" s="799"/>
      <c r="M907" s="799"/>
      <c r="N907" s="799"/>
      <c r="O907" s="799"/>
      <c r="P907" s="799"/>
      <c r="Q907" s="799"/>
      <c r="R907" s="799"/>
      <c r="S907" s="799"/>
      <c r="T907" s="799"/>
      <c r="U907" s="799"/>
      <c r="V907" s="799"/>
      <c r="W907" s="799"/>
      <c r="X907" s="799"/>
      <c r="Y907" s="799"/>
      <c r="Z907" s="799"/>
      <c r="AA907" s="799"/>
      <c r="AB907" s="799"/>
      <c r="AC907" s="799"/>
      <c r="AD907" s="799"/>
      <c r="AE907" s="799"/>
      <c r="AF907" s="799"/>
      <c r="AG907" s="799"/>
      <c r="AH907" s="799"/>
      <c r="AI907" s="799"/>
      <c r="AJ907" s="799"/>
      <c r="AK907" s="799"/>
      <c r="AL907" s="799"/>
      <c r="AM907" s="799"/>
      <c r="AN907" s="799"/>
      <c r="AO907" s="799"/>
      <c r="AP907" s="799"/>
      <c r="AQ907" s="799"/>
      <c r="AR907" s="799"/>
      <c r="AS907" s="799"/>
      <c r="AT907" s="799"/>
      <c r="AU907" s="799"/>
      <c r="AV907" s="799"/>
      <c r="AW907" s="799"/>
      <c r="AX907" s="799"/>
      <c r="AY907" s="799"/>
      <c r="AZ907" s="799"/>
      <c r="BA907" s="799"/>
      <c r="BB907" s="799"/>
      <c r="BC907" s="799"/>
      <c r="BD907" s="799"/>
      <c r="BE907" s="799"/>
      <c r="BF907" s="799"/>
      <c r="BG907" s="799"/>
    </row>
    <row r="908">
      <c r="H908" s="799"/>
      <c r="I908" s="799"/>
      <c r="J908" s="799"/>
      <c r="K908" s="799"/>
      <c r="L908" s="799"/>
      <c r="M908" s="799"/>
      <c r="N908" s="799"/>
      <c r="O908" s="799"/>
      <c r="P908" s="799"/>
      <c r="Q908" s="799"/>
      <c r="R908" s="799"/>
      <c r="S908" s="799"/>
      <c r="T908" s="799"/>
      <c r="U908" s="799"/>
      <c r="V908" s="799"/>
      <c r="W908" s="799"/>
      <c r="X908" s="799"/>
      <c r="Y908" s="799"/>
      <c r="Z908" s="799"/>
      <c r="AA908" s="799"/>
      <c r="AB908" s="799"/>
      <c r="AC908" s="799"/>
      <c r="AD908" s="799"/>
      <c r="AE908" s="799"/>
      <c r="AF908" s="799"/>
      <c r="AG908" s="799"/>
      <c r="AH908" s="799"/>
      <c r="AI908" s="799"/>
      <c r="AJ908" s="799"/>
      <c r="AK908" s="799"/>
      <c r="AL908" s="799"/>
      <c r="AM908" s="799"/>
      <c r="AN908" s="799"/>
      <c r="AO908" s="799"/>
      <c r="AP908" s="799"/>
      <c r="AQ908" s="799"/>
      <c r="AR908" s="799"/>
      <c r="AS908" s="799"/>
      <c r="AT908" s="799"/>
      <c r="AU908" s="799"/>
      <c r="AV908" s="799"/>
      <c r="AW908" s="799"/>
      <c r="AX908" s="799"/>
      <c r="AY908" s="799"/>
      <c r="AZ908" s="799"/>
      <c r="BA908" s="799"/>
      <c r="BB908" s="799"/>
      <c r="BC908" s="799"/>
      <c r="BD908" s="799"/>
      <c r="BE908" s="799"/>
      <c r="BF908" s="799"/>
      <c r="BG908" s="799"/>
    </row>
    <row r="909">
      <c r="H909" s="799"/>
      <c r="I909" s="799"/>
      <c r="J909" s="799"/>
      <c r="K909" s="799"/>
      <c r="L909" s="799"/>
      <c r="M909" s="799"/>
      <c r="N909" s="799"/>
      <c r="O909" s="799"/>
      <c r="P909" s="799"/>
      <c r="Q909" s="799"/>
      <c r="R909" s="799"/>
      <c r="S909" s="799"/>
      <c r="T909" s="799"/>
      <c r="U909" s="799"/>
      <c r="V909" s="799"/>
      <c r="W909" s="799"/>
      <c r="X909" s="799"/>
      <c r="Y909" s="799"/>
      <c r="Z909" s="799"/>
      <c r="AA909" s="799"/>
      <c r="AB909" s="799"/>
      <c r="AC909" s="799"/>
      <c r="AD909" s="799"/>
      <c r="AE909" s="799"/>
      <c r="AF909" s="799"/>
      <c r="AG909" s="799"/>
      <c r="AH909" s="799"/>
      <c r="AI909" s="799"/>
      <c r="AJ909" s="799"/>
      <c r="AK909" s="799"/>
      <c r="AL909" s="799"/>
      <c r="AM909" s="799"/>
      <c r="AN909" s="799"/>
      <c r="AO909" s="799"/>
      <c r="AP909" s="799"/>
      <c r="AQ909" s="799"/>
      <c r="AR909" s="799"/>
      <c r="AS909" s="799"/>
      <c r="AT909" s="799"/>
      <c r="AU909" s="799"/>
      <c r="AV909" s="799"/>
      <c r="AW909" s="799"/>
      <c r="AX909" s="799"/>
      <c r="AY909" s="799"/>
      <c r="AZ909" s="799"/>
      <c r="BA909" s="799"/>
      <c r="BB909" s="799"/>
      <c r="BC909" s="799"/>
      <c r="BD909" s="799"/>
      <c r="BE909" s="799"/>
      <c r="BF909" s="799"/>
      <c r="BG909" s="799"/>
    </row>
    <row r="910">
      <c r="H910" s="799"/>
      <c r="I910" s="799"/>
      <c r="J910" s="799"/>
      <c r="K910" s="799"/>
      <c r="L910" s="799"/>
      <c r="M910" s="799"/>
      <c r="N910" s="799"/>
      <c r="O910" s="799"/>
      <c r="P910" s="799"/>
      <c r="Q910" s="799"/>
      <c r="R910" s="799"/>
      <c r="S910" s="799"/>
      <c r="T910" s="799"/>
      <c r="U910" s="799"/>
      <c r="V910" s="799"/>
      <c r="W910" s="799"/>
      <c r="X910" s="799"/>
      <c r="Y910" s="799"/>
      <c r="Z910" s="799"/>
      <c r="AA910" s="799"/>
      <c r="AB910" s="799"/>
      <c r="AC910" s="799"/>
      <c r="AD910" s="799"/>
      <c r="AE910" s="799"/>
      <c r="AF910" s="799"/>
      <c r="AG910" s="799"/>
      <c r="AH910" s="799"/>
      <c r="AI910" s="799"/>
      <c r="AJ910" s="799"/>
      <c r="AK910" s="799"/>
      <c r="AL910" s="799"/>
      <c r="AM910" s="799"/>
      <c r="AN910" s="799"/>
      <c r="AO910" s="799"/>
      <c r="AP910" s="799"/>
      <c r="AQ910" s="799"/>
      <c r="AR910" s="799"/>
      <c r="AS910" s="799"/>
      <c r="AT910" s="799"/>
      <c r="AU910" s="799"/>
      <c r="AV910" s="799"/>
      <c r="AW910" s="799"/>
      <c r="AX910" s="799"/>
      <c r="AY910" s="799"/>
      <c r="AZ910" s="799"/>
      <c r="BA910" s="799"/>
      <c r="BB910" s="799"/>
      <c r="BC910" s="799"/>
      <c r="BD910" s="799"/>
      <c r="BE910" s="799"/>
      <c r="BF910" s="799"/>
      <c r="BG910" s="799"/>
    </row>
    <row r="911">
      <c r="H911" s="799"/>
      <c r="I911" s="799"/>
      <c r="J911" s="799"/>
      <c r="K911" s="799"/>
      <c r="L911" s="799"/>
      <c r="M911" s="799"/>
      <c r="N911" s="799"/>
      <c r="O911" s="799"/>
      <c r="P911" s="799"/>
      <c r="Q911" s="799"/>
      <c r="R911" s="799"/>
      <c r="S911" s="799"/>
      <c r="T911" s="799"/>
      <c r="U911" s="799"/>
      <c r="V911" s="799"/>
      <c r="W911" s="799"/>
      <c r="X911" s="799"/>
      <c r="Y911" s="799"/>
      <c r="Z911" s="799"/>
      <c r="AA911" s="799"/>
      <c r="AB911" s="799"/>
      <c r="AC911" s="799"/>
      <c r="AD911" s="799"/>
      <c r="AE911" s="799"/>
      <c r="AF911" s="799"/>
      <c r="AG911" s="799"/>
      <c r="AH911" s="799"/>
      <c r="AI911" s="799"/>
      <c r="AJ911" s="799"/>
      <c r="AK911" s="799"/>
      <c r="AL911" s="799"/>
      <c r="AM911" s="799"/>
      <c r="AN911" s="799"/>
      <c r="AO911" s="799"/>
      <c r="AP911" s="799"/>
      <c r="AQ911" s="799"/>
      <c r="AR911" s="799"/>
      <c r="AS911" s="799"/>
      <c r="AT911" s="799"/>
      <c r="AU911" s="799"/>
      <c r="AV911" s="799"/>
      <c r="AW911" s="799"/>
      <c r="AX911" s="799"/>
      <c r="AY911" s="799"/>
      <c r="AZ911" s="799"/>
      <c r="BA911" s="799"/>
      <c r="BB911" s="799"/>
      <c r="BC911" s="799"/>
      <c r="BD911" s="799"/>
      <c r="BE911" s="799"/>
      <c r="BF911" s="799"/>
      <c r="BG911" s="799"/>
    </row>
    <row r="912">
      <c r="H912" s="799"/>
      <c r="I912" s="799"/>
      <c r="J912" s="799"/>
      <c r="K912" s="799"/>
      <c r="L912" s="799"/>
      <c r="M912" s="799"/>
      <c r="N912" s="799"/>
      <c r="O912" s="799"/>
      <c r="P912" s="799"/>
      <c r="Q912" s="799"/>
      <c r="R912" s="799"/>
      <c r="S912" s="799"/>
      <c r="T912" s="799"/>
      <c r="U912" s="799"/>
      <c r="V912" s="799"/>
      <c r="W912" s="799"/>
      <c r="X912" s="799"/>
      <c r="Y912" s="799"/>
      <c r="Z912" s="799"/>
      <c r="AA912" s="799"/>
      <c r="AB912" s="799"/>
      <c r="AC912" s="799"/>
      <c r="AD912" s="799"/>
      <c r="AE912" s="799"/>
      <c r="AF912" s="799"/>
      <c r="AG912" s="799"/>
      <c r="AH912" s="799"/>
      <c r="AI912" s="799"/>
      <c r="AJ912" s="799"/>
      <c r="AK912" s="799"/>
      <c r="AL912" s="799"/>
      <c r="AM912" s="799"/>
      <c r="AN912" s="799"/>
      <c r="AO912" s="799"/>
      <c r="AP912" s="799"/>
      <c r="AQ912" s="799"/>
      <c r="AR912" s="799"/>
      <c r="AS912" s="799"/>
      <c r="AT912" s="799"/>
      <c r="AU912" s="799"/>
      <c r="AV912" s="799"/>
      <c r="AW912" s="799"/>
      <c r="AX912" s="799"/>
      <c r="AY912" s="799"/>
      <c r="AZ912" s="799"/>
      <c r="BA912" s="799"/>
      <c r="BB912" s="799"/>
      <c r="BC912" s="799"/>
      <c r="BD912" s="799"/>
      <c r="BE912" s="799"/>
      <c r="BF912" s="799"/>
      <c r="BG912" s="799"/>
    </row>
    <row r="913">
      <c r="H913" s="799"/>
      <c r="I913" s="799"/>
      <c r="J913" s="799"/>
      <c r="K913" s="799"/>
      <c r="L913" s="799"/>
      <c r="M913" s="799"/>
      <c r="N913" s="799"/>
      <c r="O913" s="799"/>
      <c r="P913" s="799"/>
      <c r="Q913" s="799"/>
      <c r="R913" s="799"/>
      <c r="S913" s="799"/>
      <c r="T913" s="799"/>
      <c r="U913" s="799"/>
      <c r="V913" s="799"/>
      <c r="W913" s="799"/>
      <c r="X913" s="799"/>
      <c r="Y913" s="799"/>
      <c r="Z913" s="799"/>
      <c r="AA913" s="799"/>
      <c r="AB913" s="799"/>
      <c r="AC913" s="799"/>
      <c r="AD913" s="799"/>
      <c r="AE913" s="799"/>
      <c r="AF913" s="799"/>
      <c r="AG913" s="799"/>
      <c r="AH913" s="799"/>
      <c r="AI913" s="799"/>
      <c r="AJ913" s="799"/>
      <c r="AK913" s="799"/>
      <c r="AL913" s="799"/>
      <c r="AM913" s="799"/>
      <c r="AN913" s="799"/>
      <c r="AO913" s="799"/>
      <c r="AP913" s="799"/>
      <c r="AQ913" s="799"/>
      <c r="AR913" s="799"/>
      <c r="AS913" s="799"/>
      <c r="AT913" s="799"/>
      <c r="AU913" s="799"/>
      <c r="AV913" s="799"/>
      <c r="AW913" s="799"/>
      <c r="AX913" s="799"/>
      <c r="AY913" s="799"/>
      <c r="AZ913" s="799"/>
      <c r="BA913" s="799"/>
      <c r="BB913" s="799"/>
      <c r="BC913" s="799"/>
      <c r="BD913" s="799"/>
      <c r="BE913" s="799"/>
      <c r="BF913" s="799"/>
      <c r="BG913" s="799"/>
    </row>
    <row r="914">
      <c r="H914" s="799"/>
      <c r="I914" s="799"/>
      <c r="J914" s="799"/>
      <c r="K914" s="799"/>
      <c r="L914" s="799"/>
      <c r="M914" s="799"/>
      <c r="N914" s="799"/>
      <c r="O914" s="799"/>
      <c r="P914" s="799"/>
      <c r="Q914" s="799"/>
      <c r="R914" s="799"/>
      <c r="S914" s="799"/>
      <c r="T914" s="799"/>
      <c r="U914" s="799"/>
      <c r="V914" s="799"/>
      <c r="W914" s="799"/>
      <c r="X914" s="799"/>
      <c r="Y914" s="799"/>
      <c r="Z914" s="799"/>
      <c r="AA914" s="799"/>
      <c r="AB914" s="799"/>
      <c r="AC914" s="799"/>
      <c r="AD914" s="799"/>
      <c r="AE914" s="799"/>
      <c r="AF914" s="799"/>
      <c r="AG914" s="799"/>
      <c r="AH914" s="799"/>
      <c r="AI914" s="799"/>
      <c r="AJ914" s="799"/>
      <c r="AK914" s="799"/>
      <c r="AL914" s="799"/>
      <c r="AM914" s="799"/>
      <c r="AN914" s="799"/>
      <c r="AO914" s="799"/>
      <c r="AP914" s="799"/>
      <c r="AQ914" s="799"/>
      <c r="AR914" s="799"/>
      <c r="AS914" s="799"/>
      <c r="AT914" s="799"/>
      <c r="AU914" s="799"/>
      <c r="AV914" s="799"/>
      <c r="AW914" s="799"/>
      <c r="AX914" s="799"/>
      <c r="AY914" s="799"/>
      <c r="AZ914" s="799"/>
      <c r="BA914" s="799"/>
      <c r="BB914" s="799"/>
      <c r="BC914" s="799"/>
      <c r="BD914" s="799"/>
      <c r="BE914" s="799"/>
      <c r="BF914" s="799"/>
      <c r="BG914" s="799"/>
    </row>
    <row r="915">
      <c r="H915" s="799"/>
      <c r="I915" s="799"/>
      <c r="J915" s="799"/>
      <c r="K915" s="799"/>
      <c r="L915" s="799"/>
      <c r="M915" s="799"/>
      <c r="N915" s="799"/>
      <c r="O915" s="799"/>
      <c r="P915" s="799"/>
      <c r="Q915" s="799"/>
      <c r="R915" s="799"/>
      <c r="S915" s="799"/>
      <c r="T915" s="799"/>
      <c r="U915" s="799"/>
      <c r="V915" s="799"/>
      <c r="W915" s="799"/>
      <c r="X915" s="799"/>
      <c r="Y915" s="799"/>
      <c r="Z915" s="799"/>
      <c r="AA915" s="799"/>
      <c r="AB915" s="799"/>
      <c r="AC915" s="799"/>
      <c r="AD915" s="799"/>
      <c r="AE915" s="799"/>
      <c r="AF915" s="799"/>
      <c r="AG915" s="799"/>
      <c r="AH915" s="799"/>
      <c r="AI915" s="799"/>
      <c r="AJ915" s="799"/>
      <c r="AK915" s="799"/>
      <c r="AL915" s="799"/>
      <c r="AM915" s="799"/>
      <c r="AN915" s="799"/>
      <c r="AO915" s="799"/>
      <c r="AP915" s="799"/>
      <c r="AQ915" s="799"/>
      <c r="AR915" s="799"/>
      <c r="AS915" s="799"/>
      <c r="AT915" s="799"/>
      <c r="AU915" s="799"/>
      <c r="AV915" s="799"/>
      <c r="AW915" s="799"/>
      <c r="AX915" s="799"/>
      <c r="AY915" s="799"/>
      <c r="AZ915" s="799"/>
      <c r="BA915" s="799"/>
      <c r="BB915" s="799"/>
      <c r="BC915" s="799"/>
      <c r="BD915" s="799"/>
      <c r="BE915" s="799"/>
      <c r="BF915" s="799"/>
      <c r="BG915" s="799"/>
    </row>
    <row r="916">
      <c r="H916" s="799"/>
      <c r="I916" s="799"/>
      <c r="J916" s="799"/>
      <c r="K916" s="799"/>
      <c r="L916" s="799"/>
      <c r="M916" s="799"/>
      <c r="N916" s="799"/>
      <c r="O916" s="799"/>
      <c r="P916" s="799"/>
      <c r="Q916" s="799"/>
      <c r="R916" s="799"/>
      <c r="S916" s="799"/>
      <c r="T916" s="799"/>
      <c r="U916" s="799"/>
      <c r="V916" s="799"/>
      <c r="W916" s="799"/>
      <c r="X916" s="799"/>
      <c r="Y916" s="799"/>
      <c r="Z916" s="799"/>
      <c r="AA916" s="799"/>
      <c r="AB916" s="799"/>
      <c r="AC916" s="799"/>
      <c r="AD916" s="799"/>
      <c r="AE916" s="799"/>
      <c r="AF916" s="799"/>
      <c r="AG916" s="799"/>
      <c r="AH916" s="799"/>
      <c r="AI916" s="799"/>
      <c r="AJ916" s="799"/>
      <c r="AK916" s="799"/>
      <c r="AL916" s="799"/>
      <c r="AM916" s="799"/>
      <c r="AN916" s="799"/>
      <c r="AO916" s="799"/>
      <c r="AP916" s="799"/>
      <c r="AQ916" s="799"/>
      <c r="AR916" s="799"/>
      <c r="AS916" s="799"/>
      <c r="AT916" s="799"/>
      <c r="AU916" s="799"/>
      <c r="AV916" s="799"/>
      <c r="AW916" s="799"/>
      <c r="AX916" s="799"/>
      <c r="AY916" s="799"/>
      <c r="AZ916" s="799"/>
      <c r="BA916" s="799"/>
      <c r="BB916" s="799"/>
      <c r="BC916" s="799"/>
      <c r="BD916" s="799"/>
      <c r="BE916" s="799"/>
      <c r="BF916" s="799"/>
      <c r="BG916" s="799"/>
    </row>
    <row r="917">
      <c r="H917" s="799"/>
      <c r="I917" s="799"/>
      <c r="J917" s="799"/>
      <c r="K917" s="799"/>
      <c r="L917" s="799"/>
      <c r="M917" s="799"/>
      <c r="N917" s="799"/>
      <c r="O917" s="799"/>
      <c r="P917" s="799"/>
      <c r="Q917" s="799"/>
      <c r="R917" s="799"/>
      <c r="S917" s="799"/>
      <c r="T917" s="799"/>
      <c r="U917" s="799"/>
      <c r="V917" s="799"/>
      <c r="W917" s="799"/>
      <c r="X917" s="799"/>
      <c r="Y917" s="799"/>
      <c r="Z917" s="799"/>
      <c r="AA917" s="799"/>
      <c r="AB917" s="799"/>
      <c r="AC917" s="799"/>
      <c r="AD917" s="799"/>
      <c r="AE917" s="799"/>
      <c r="AF917" s="799"/>
      <c r="AG917" s="799"/>
      <c r="AH917" s="799"/>
      <c r="AI917" s="799"/>
      <c r="AJ917" s="799"/>
      <c r="AK917" s="799"/>
      <c r="AL917" s="799"/>
      <c r="AM917" s="799"/>
      <c r="AN917" s="799"/>
      <c r="AO917" s="799"/>
      <c r="AP917" s="799"/>
      <c r="AQ917" s="799"/>
      <c r="AR917" s="799"/>
      <c r="AS917" s="799"/>
      <c r="AT917" s="799"/>
      <c r="AU917" s="799"/>
      <c r="AV917" s="799"/>
      <c r="AW917" s="799"/>
      <c r="AX917" s="799"/>
      <c r="AY917" s="799"/>
      <c r="AZ917" s="799"/>
      <c r="BA917" s="799"/>
      <c r="BB917" s="799"/>
      <c r="BC917" s="799"/>
      <c r="BD917" s="799"/>
      <c r="BE917" s="799"/>
      <c r="BF917" s="799"/>
      <c r="BG917" s="799"/>
    </row>
    <row r="918">
      <c r="H918" s="799"/>
      <c r="I918" s="799"/>
      <c r="J918" s="799"/>
      <c r="K918" s="799"/>
      <c r="L918" s="799"/>
      <c r="M918" s="799"/>
      <c r="N918" s="799"/>
      <c r="O918" s="799"/>
      <c r="P918" s="799"/>
      <c r="Q918" s="799"/>
      <c r="R918" s="799"/>
      <c r="S918" s="799"/>
      <c r="T918" s="799"/>
      <c r="U918" s="799"/>
      <c r="V918" s="799"/>
      <c r="W918" s="799"/>
      <c r="X918" s="799"/>
      <c r="Y918" s="799"/>
      <c r="Z918" s="799"/>
      <c r="AA918" s="799"/>
      <c r="AB918" s="799"/>
      <c r="AC918" s="799"/>
      <c r="AD918" s="799"/>
      <c r="AE918" s="799"/>
      <c r="AF918" s="799"/>
      <c r="AG918" s="799"/>
      <c r="AH918" s="799"/>
      <c r="AI918" s="799"/>
      <c r="AJ918" s="799"/>
      <c r="AK918" s="799"/>
      <c r="AL918" s="799"/>
      <c r="AM918" s="799"/>
      <c r="AN918" s="799"/>
      <c r="AO918" s="799"/>
      <c r="AP918" s="799"/>
      <c r="AQ918" s="799"/>
      <c r="AR918" s="799"/>
      <c r="AS918" s="799"/>
      <c r="AT918" s="799"/>
      <c r="AU918" s="799"/>
      <c r="AV918" s="799"/>
      <c r="AW918" s="799"/>
      <c r="AX918" s="799"/>
      <c r="AY918" s="799"/>
      <c r="AZ918" s="799"/>
      <c r="BA918" s="799"/>
      <c r="BB918" s="799"/>
      <c r="BC918" s="799"/>
      <c r="BD918" s="799"/>
      <c r="BE918" s="799"/>
      <c r="BF918" s="799"/>
      <c r="BG918" s="799"/>
    </row>
    <row r="919">
      <c r="H919" s="799"/>
      <c r="I919" s="799"/>
      <c r="J919" s="799"/>
      <c r="K919" s="799"/>
      <c r="L919" s="799"/>
      <c r="M919" s="799"/>
      <c r="N919" s="799"/>
      <c r="O919" s="799"/>
      <c r="P919" s="799"/>
      <c r="Q919" s="799"/>
      <c r="R919" s="799"/>
      <c r="S919" s="799"/>
      <c r="T919" s="799"/>
      <c r="U919" s="799"/>
      <c r="V919" s="799"/>
      <c r="W919" s="799"/>
      <c r="X919" s="799"/>
      <c r="Y919" s="799"/>
      <c r="Z919" s="799"/>
      <c r="AA919" s="799"/>
      <c r="AB919" s="799"/>
      <c r="AC919" s="799"/>
      <c r="AD919" s="799"/>
      <c r="AE919" s="799"/>
      <c r="AF919" s="799"/>
      <c r="AG919" s="799"/>
      <c r="AH919" s="799"/>
      <c r="AI919" s="799"/>
      <c r="AJ919" s="799"/>
      <c r="AK919" s="799"/>
      <c r="AL919" s="799"/>
      <c r="AM919" s="799"/>
      <c r="AN919" s="799"/>
      <c r="AO919" s="799"/>
      <c r="AP919" s="799"/>
      <c r="AQ919" s="799"/>
      <c r="AR919" s="799"/>
      <c r="AS919" s="799"/>
      <c r="AT919" s="799"/>
      <c r="AU919" s="799"/>
      <c r="AV919" s="799"/>
      <c r="AW919" s="799"/>
      <c r="AX919" s="799"/>
      <c r="AY919" s="799"/>
      <c r="AZ919" s="799"/>
      <c r="BA919" s="799"/>
      <c r="BB919" s="799"/>
      <c r="BC919" s="799"/>
      <c r="BD919" s="799"/>
      <c r="BE919" s="799"/>
      <c r="BF919" s="799"/>
      <c r="BG919" s="799"/>
    </row>
    <row r="920">
      <c r="H920" s="799"/>
      <c r="I920" s="799"/>
      <c r="J920" s="799"/>
      <c r="K920" s="799"/>
      <c r="L920" s="799"/>
      <c r="M920" s="799"/>
      <c r="N920" s="799"/>
      <c r="O920" s="799"/>
      <c r="P920" s="799"/>
      <c r="Q920" s="799"/>
      <c r="R920" s="799"/>
      <c r="S920" s="799"/>
      <c r="T920" s="799"/>
      <c r="U920" s="799"/>
      <c r="V920" s="799"/>
      <c r="W920" s="799"/>
      <c r="X920" s="799"/>
      <c r="Y920" s="799"/>
      <c r="Z920" s="799"/>
      <c r="AA920" s="799"/>
      <c r="AB920" s="799"/>
      <c r="AC920" s="799"/>
      <c r="AD920" s="799"/>
      <c r="AE920" s="799"/>
      <c r="AF920" s="799"/>
      <c r="AG920" s="799"/>
      <c r="AH920" s="799"/>
      <c r="AI920" s="799"/>
      <c r="AJ920" s="799"/>
      <c r="AK920" s="799"/>
      <c r="AL920" s="799"/>
      <c r="AM920" s="799"/>
      <c r="AN920" s="799"/>
      <c r="AO920" s="799"/>
      <c r="AP920" s="799"/>
      <c r="AQ920" s="799"/>
      <c r="AR920" s="799"/>
      <c r="AS920" s="799"/>
      <c r="AT920" s="799"/>
      <c r="AU920" s="799"/>
      <c r="AV920" s="799"/>
      <c r="AW920" s="799"/>
      <c r="AX920" s="799"/>
      <c r="AY920" s="799"/>
      <c r="AZ920" s="799"/>
      <c r="BA920" s="799"/>
      <c r="BB920" s="799"/>
      <c r="BC920" s="799"/>
      <c r="BD920" s="799"/>
      <c r="BE920" s="799"/>
      <c r="BF920" s="799"/>
      <c r="BG920" s="799"/>
    </row>
    <row r="921">
      <c r="H921" s="799"/>
      <c r="I921" s="799"/>
      <c r="J921" s="799"/>
      <c r="K921" s="799"/>
      <c r="L921" s="799"/>
      <c r="M921" s="799"/>
      <c r="N921" s="799"/>
      <c r="O921" s="799"/>
      <c r="P921" s="799"/>
      <c r="Q921" s="799"/>
      <c r="R921" s="799"/>
      <c r="S921" s="799"/>
      <c r="T921" s="799"/>
      <c r="U921" s="799"/>
      <c r="V921" s="799"/>
      <c r="W921" s="799"/>
      <c r="X921" s="799"/>
      <c r="Y921" s="799"/>
      <c r="Z921" s="799"/>
      <c r="AA921" s="799"/>
      <c r="AB921" s="799"/>
      <c r="AC921" s="799"/>
      <c r="AD921" s="799"/>
      <c r="AE921" s="799"/>
      <c r="AF921" s="799"/>
      <c r="AG921" s="799"/>
      <c r="AH921" s="799"/>
      <c r="AI921" s="799"/>
      <c r="AJ921" s="799"/>
      <c r="AK921" s="799"/>
      <c r="AL921" s="799"/>
      <c r="AM921" s="799"/>
      <c r="AN921" s="799"/>
      <c r="AO921" s="799"/>
      <c r="AP921" s="799"/>
      <c r="AQ921" s="799"/>
      <c r="AR921" s="799"/>
      <c r="AS921" s="799"/>
      <c r="AT921" s="799"/>
      <c r="AU921" s="799"/>
      <c r="AV921" s="799"/>
      <c r="AW921" s="799"/>
      <c r="AX921" s="799"/>
      <c r="AY921" s="799"/>
      <c r="AZ921" s="799"/>
      <c r="BA921" s="799"/>
      <c r="BB921" s="799"/>
      <c r="BC921" s="799"/>
      <c r="BD921" s="799"/>
      <c r="BE921" s="799"/>
      <c r="BF921" s="799"/>
      <c r="BG921" s="799"/>
    </row>
    <row r="922">
      <c r="H922" s="799"/>
      <c r="I922" s="799"/>
      <c r="J922" s="799"/>
      <c r="K922" s="799"/>
      <c r="L922" s="799"/>
      <c r="M922" s="799"/>
      <c r="N922" s="799"/>
      <c r="O922" s="799"/>
      <c r="P922" s="799"/>
      <c r="Q922" s="799"/>
      <c r="R922" s="799"/>
      <c r="S922" s="799"/>
      <c r="T922" s="799"/>
      <c r="U922" s="799"/>
      <c r="V922" s="799"/>
      <c r="W922" s="799"/>
      <c r="X922" s="799"/>
      <c r="Y922" s="799"/>
      <c r="Z922" s="799"/>
      <c r="AA922" s="799"/>
      <c r="AB922" s="799"/>
      <c r="AC922" s="799"/>
      <c r="AD922" s="799"/>
      <c r="AE922" s="799"/>
      <c r="AF922" s="799"/>
      <c r="AG922" s="799"/>
      <c r="AH922" s="799"/>
      <c r="AI922" s="799"/>
      <c r="AJ922" s="799"/>
      <c r="AK922" s="799"/>
      <c r="AL922" s="799"/>
      <c r="AM922" s="799"/>
      <c r="AN922" s="799"/>
      <c r="AO922" s="799"/>
      <c r="AP922" s="799"/>
      <c r="AQ922" s="799"/>
      <c r="AR922" s="799"/>
      <c r="AS922" s="799"/>
      <c r="AT922" s="799"/>
      <c r="AU922" s="799"/>
      <c r="AV922" s="799"/>
      <c r="AW922" s="799"/>
      <c r="AX922" s="799"/>
      <c r="AY922" s="799"/>
      <c r="AZ922" s="799"/>
      <c r="BA922" s="799"/>
      <c r="BB922" s="799"/>
      <c r="BC922" s="799"/>
      <c r="BD922" s="799"/>
      <c r="BE922" s="799"/>
      <c r="BF922" s="799"/>
      <c r="BG922" s="799"/>
    </row>
    <row r="923">
      <c r="H923" s="799"/>
      <c r="I923" s="799"/>
      <c r="J923" s="799"/>
      <c r="K923" s="799"/>
      <c r="L923" s="799"/>
      <c r="M923" s="799"/>
      <c r="N923" s="799"/>
      <c r="O923" s="799"/>
      <c r="P923" s="799"/>
      <c r="Q923" s="799"/>
      <c r="R923" s="799"/>
      <c r="S923" s="799"/>
      <c r="T923" s="799"/>
      <c r="U923" s="799"/>
      <c r="V923" s="799"/>
      <c r="W923" s="799"/>
      <c r="X923" s="799"/>
      <c r="Y923" s="799"/>
      <c r="Z923" s="799"/>
      <c r="AA923" s="799"/>
      <c r="AB923" s="799"/>
      <c r="AC923" s="799"/>
      <c r="AD923" s="799"/>
      <c r="AE923" s="799"/>
      <c r="AF923" s="799"/>
      <c r="AG923" s="799"/>
      <c r="AH923" s="799"/>
      <c r="AI923" s="799"/>
      <c r="AJ923" s="799"/>
      <c r="AK923" s="799"/>
      <c r="AL923" s="799"/>
      <c r="AM923" s="799"/>
      <c r="AN923" s="799"/>
      <c r="AO923" s="799"/>
      <c r="AP923" s="799"/>
      <c r="AQ923" s="799"/>
      <c r="AR923" s="799"/>
      <c r="AS923" s="799"/>
      <c r="AT923" s="799"/>
      <c r="AU923" s="799"/>
      <c r="AV923" s="799"/>
      <c r="AW923" s="799"/>
      <c r="AX923" s="799"/>
      <c r="AY923" s="799"/>
      <c r="AZ923" s="799"/>
      <c r="BA923" s="799"/>
      <c r="BB923" s="799"/>
      <c r="BC923" s="799"/>
      <c r="BD923" s="799"/>
      <c r="BE923" s="799"/>
      <c r="BF923" s="799"/>
      <c r="BG923" s="799"/>
    </row>
    <row r="924">
      <c r="H924" s="799"/>
      <c r="I924" s="799"/>
      <c r="J924" s="799"/>
      <c r="K924" s="799"/>
      <c r="L924" s="799"/>
      <c r="M924" s="799"/>
      <c r="N924" s="799"/>
      <c r="O924" s="799"/>
      <c r="P924" s="799"/>
      <c r="Q924" s="799"/>
      <c r="R924" s="799"/>
      <c r="S924" s="799"/>
      <c r="T924" s="799"/>
      <c r="U924" s="799"/>
      <c r="V924" s="799"/>
      <c r="W924" s="799"/>
      <c r="X924" s="799"/>
      <c r="Y924" s="799"/>
      <c r="Z924" s="799"/>
      <c r="AA924" s="799"/>
      <c r="AB924" s="799"/>
      <c r="AC924" s="799"/>
      <c r="AD924" s="799"/>
      <c r="AE924" s="799"/>
      <c r="AF924" s="799"/>
      <c r="AG924" s="799"/>
      <c r="AH924" s="799"/>
      <c r="AI924" s="799"/>
      <c r="AJ924" s="799"/>
      <c r="AK924" s="799"/>
      <c r="AL924" s="799"/>
      <c r="AM924" s="799"/>
      <c r="AN924" s="799"/>
      <c r="AO924" s="799"/>
      <c r="AP924" s="799"/>
      <c r="AQ924" s="799"/>
      <c r="AR924" s="799"/>
      <c r="AS924" s="799"/>
      <c r="AT924" s="799"/>
      <c r="AU924" s="799"/>
      <c r="AV924" s="799"/>
      <c r="AW924" s="799"/>
      <c r="AX924" s="799"/>
      <c r="AY924" s="799"/>
      <c r="AZ924" s="799"/>
      <c r="BA924" s="799"/>
      <c r="BB924" s="799"/>
      <c r="BC924" s="799"/>
      <c r="BD924" s="799"/>
      <c r="BE924" s="799"/>
      <c r="BF924" s="799"/>
      <c r="BG924" s="799"/>
    </row>
    <row r="925">
      <c r="H925" s="799"/>
      <c r="I925" s="799"/>
      <c r="J925" s="799"/>
      <c r="K925" s="799"/>
      <c r="L925" s="799"/>
      <c r="M925" s="799"/>
      <c r="N925" s="799"/>
      <c r="O925" s="799"/>
      <c r="P925" s="799"/>
      <c r="Q925" s="799"/>
      <c r="R925" s="799"/>
      <c r="S925" s="799"/>
      <c r="T925" s="799"/>
      <c r="U925" s="799"/>
      <c r="V925" s="799"/>
      <c r="W925" s="799"/>
      <c r="X925" s="799"/>
      <c r="Y925" s="799"/>
      <c r="Z925" s="799"/>
      <c r="AA925" s="799"/>
      <c r="AB925" s="799"/>
      <c r="AC925" s="799"/>
      <c r="AD925" s="799"/>
      <c r="AE925" s="799"/>
      <c r="AF925" s="799"/>
      <c r="AG925" s="799"/>
      <c r="AH925" s="799"/>
      <c r="AI925" s="799"/>
      <c r="AJ925" s="799"/>
      <c r="AK925" s="799"/>
      <c r="AL925" s="799"/>
      <c r="AM925" s="799"/>
      <c r="AN925" s="799"/>
      <c r="AO925" s="799"/>
      <c r="AP925" s="799"/>
      <c r="AQ925" s="799"/>
      <c r="AR925" s="799"/>
      <c r="AS925" s="799"/>
      <c r="AT925" s="799"/>
      <c r="AU925" s="799"/>
      <c r="AV925" s="799"/>
      <c r="AW925" s="799"/>
      <c r="AX925" s="799"/>
      <c r="AY925" s="799"/>
      <c r="AZ925" s="799"/>
      <c r="BA925" s="799"/>
      <c r="BB925" s="799"/>
      <c r="BC925" s="799"/>
      <c r="BD925" s="799"/>
      <c r="BE925" s="799"/>
      <c r="BF925" s="799"/>
      <c r="BG925" s="799"/>
    </row>
    <row r="926">
      <c r="H926" s="799"/>
      <c r="I926" s="799"/>
      <c r="J926" s="799"/>
      <c r="K926" s="799"/>
      <c r="L926" s="799"/>
      <c r="M926" s="799"/>
      <c r="N926" s="799"/>
      <c r="O926" s="799"/>
      <c r="P926" s="799"/>
      <c r="Q926" s="799"/>
      <c r="R926" s="799"/>
      <c r="S926" s="799"/>
      <c r="T926" s="799"/>
      <c r="U926" s="799"/>
      <c r="V926" s="799"/>
      <c r="W926" s="799"/>
      <c r="X926" s="799"/>
      <c r="Y926" s="799"/>
      <c r="Z926" s="799"/>
      <c r="AA926" s="799"/>
      <c r="AB926" s="799"/>
      <c r="AC926" s="799"/>
      <c r="AD926" s="799"/>
      <c r="AE926" s="799"/>
      <c r="AF926" s="799"/>
      <c r="AG926" s="799"/>
      <c r="AH926" s="799"/>
      <c r="AI926" s="799"/>
      <c r="AJ926" s="799"/>
      <c r="AK926" s="799"/>
      <c r="AL926" s="799"/>
      <c r="AM926" s="799"/>
      <c r="AN926" s="799"/>
      <c r="AO926" s="799"/>
      <c r="AP926" s="799"/>
      <c r="AQ926" s="799"/>
      <c r="AR926" s="799"/>
      <c r="AS926" s="799"/>
      <c r="AT926" s="799"/>
      <c r="AU926" s="799"/>
      <c r="AV926" s="799"/>
      <c r="AW926" s="799"/>
      <c r="AX926" s="799"/>
      <c r="AY926" s="799"/>
      <c r="AZ926" s="799"/>
      <c r="BA926" s="799"/>
      <c r="BB926" s="799"/>
      <c r="BC926" s="799"/>
      <c r="BD926" s="799"/>
      <c r="BE926" s="799"/>
      <c r="BF926" s="799"/>
      <c r="BG926" s="799"/>
    </row>
    <row r="927">
      <c r="H927" s="799"/>
      <c r="I927" s="799"/>
      <c r="J927" s="799"/>
      <c r="K927" s="799"/>
      <c r="L927" s="799"/>
      <c r="M927" s="799"/>
      <c r="N927" s="799"/>
      <c r="O927" s="799"/>
      <c r="P927" s="799"/>
      <c r="Q927" s="799"/>
      <c r="R927" s="799"/>
      <c r="S927" s="799"/>
      <c r="T927" s="799"/>
      <c r="U927" s="799"/>
      <c r="V927" s="799"/>
      <c r="W927" s="799"/>
      <c r="X927" s="799"/>
      <c r="Y927" s="799"/>
      <c r="Z927" s="799"/>
      <c r="AA927" s="799"/>
      <c r="AB927" s="799"/>
      <c r="AC927" s="799"/>
      <c r="AD927" s="799"/>
      <c r="AE927" s="799"/>
      <c r="AF927" s="799"/>
      <c r="AG927" s="799"/>
      <c r="AH927" s="799"/>
      <c r="AI927" s="799"/>
      <c r="AJ927" s="799"/>
      <c r="AK927" s="799"/>
      <c r="AL927" s="799"/>
      <c r="AM927" s="799"/>
      <c r="AN927" s="799"/>
      <c r="AO927" s="799"/>
      <c r="AP927" s="799"/>
      <c r="AQ927" s="799"/>
      <c r="AR927" s="799"/>
      <c r="AS927" s="799"/>
      <c r="AT927" s="799"/>
      <c r="AU927" s="799"/>
      <c r="AV927" s="799"/>
      <c r="AW927" s="799"/>
      <c r="AX927" s="799"/>
      <c r="AY927" s="799"/>
      <c r="AZ927" s="799"/>
      <c r="BA927" s="799"/>
      <c r="BB927" s="799"/>
      <c r="BC927" s="799"/>
      <c r="BD927" s="799"/>
      <c r="BE927" s="799"/>
      <c r="BF927" s="799"/>
      <c r="BG927" s="799"/>
    </row>
    <row r="928">
      <c r="H928" s="799"/>
      <c r="I928" s="799"/>
      <c r="J928" s="799"/>
      <c r="K928" s="799"/>
      <c r="L928" s="799"/>
      <c r="M928" s="799"/>
      <c r="N928" s="799"/>
      <c r="O928" s="799"/>
      <c r="P928" s="799"/>
      <c r="Q928" s="799"/>
      <c r="R928" s="799"/>
      <c r="S928" s="799"/>
      <c r="T928" s="799"/>
      <c r="U928" s="799"/>
      <c r="V928" s="799"/>
      <c r="W928" s="799"/>
      <c r="X928" s="799"/>
      <c r="Y928" s="799"/>
      <c r="Z928" s="799"/>
      <c r="AA928" s="799"/>
      <c r="AB928" s="799"/>
      <c r="AC928" s="799"/>
      <c r="AD928" s="799"/>
      <c r="AE928" s="799"/>
      <c r="AF928" s="799"/>
      <c r="AG928" s="799"/>
      <c r="AH928" s="799"/>
      <c r="AI928" s="799"/>
      <c r="AJ928" s="799"/>
      <c r="AK928" s="799"/>
      <c r="AL928" s="799"/>
      <c r="AM928" s="799"/>
      <c r="AN928" s="799"/>
      <c r="AO928" s="799"/>
      <c r="AP928" s="799"/>
      <c r="AQ928" s="799"/>
      <c r="AR928" s="799"/>
      <c r="AS928" s="799"/>
      <c r="AT928" s="799"/>
      <c r="AU928" s="799"/>
      <c r="AV928" s="799"/>
      <c r="AW928" s="799"/>
      <c r="AX928" s="799"/>
      <c r="AY928" s="799"/>
      <c r="AZ928" s="799"/>
      <c r="BA928" s="799"/>
      <c r="BB928" s="799"/>
      <c r="BC928" s="799"/>
      <c r="BD928" s="799"/>
      <c r="BE928" s="799"/>
      <c r="BF928" s="799"/>
      <c r="BG928" s="799"/>
    </row>
    <row r="929">
      <c r="H929" s="799"/>
      <c r="I929" s="799"/>
      <c r="J929" s="799"/>
      <c r="K929" s="799"/>
      <c r="L929" s="799"/>
      <c r="M929" s="799"/>
      <c r="N929" s="799"/>
      <c r="O929" s="799"/>
      <c r="P929" s="799"/>
      <c r="Q929" s="799"/>
      <c r="R929" s="799"/>
      <c r="S929" s="799"/>
      <c r="T929" s="799"/>
      <c r="U929" s="799"/>
      <c r="V929" s="799"/>
      <c r="W929" s="799"/>
      <c r="X929" s="799"/>
      <c r="Y929" s="799"/>
      <c r="Z929" s="799"/>
      <c r="AA929" s="799"/>
      <c r="AB929" s="799"/>
      <c r="AC929" s="799"/>
      <c r="AD929" s="799"/>
      <c r="AE929" s="799"/>
      <c r="AF929" s="799"/>
      <c r="AG929" s="799"/>
      <c r="AH929" s="799"/>
      <c r="AI929" s="799"/>
      <c r="AJ929" s="799"/>
      <c r="AK929" s="799"/>
      <c r="AL929" s="799"/>
      <c r="AM929" s="799"/>
      <c r="AN929" s="799"/>
      <c r="AO929" s="799"/>
      <c r="AP929" s="799"/>
      <c r="AQ929" s="799"/>
      <c r="AR929" s="799"/>
      <c r="AS929" s="799"/>
      <c r="AT929" s="799"/>
      <c r="AU929" s="799"/>
      <c r="AV929" s="799"/>
      <c r="AW929" s="799"/>
      <c r="AX929" s="799"/>
      <c r="AY929" s="799"/>
      <c r="AZ929" s="799"/>
      <c r="BA929" s="799"/>
      <c r="BB929" s="799"/>
      <c r="BC929" s="799"/>
      <c r="BD929" s="799"/>
      <c r="BE929" s="799"/>
      <c r="BF929" s="799"/>
      <c r="BG929" s="799"/>
    </row>
    <row r="930">
      <c r="H930" s="799"/>
      <c r="I930" s="799"/>
      <c r="J930" s="799"/>
      <c r="K930" s="799"/>
      <c r="L930" s="799"/>
      <c r="M930" s="799"/>
      <c r="N930" s="799"/>
      <c r="O930" s="799"/>
      <c r="P930" s="799"/>
      <c r="Q930" s="799"/>
      <c r="R930" s="799"/>
      <c r="S930" s="799"/>
      <c r="T930" s="799"/>
      <c r="U930" s="799"/>
      <c r="V930" s="799"/>
      <c r="W930" s="799"/>
      <c r="X930" s="799"/>
      <c r="Y930" s="799"/>
      <c r="Z930" s="799"/>
      <c r="AA930" s="799"/>
      <c r="AB930" s="799"/>
      <c r="AC930" s="799"/>
      <c r="AD930" s="799"/>
      <c r="AE930" s="799"/>
      <c r="AF930" s="799"/>
      <c r="AG930" s="799"/>
      <c r="AH930" s="799"/>
      <c r="AI930" s="799"/>
      <c r="AJ930" s="799"/>
      <c r="AK930" s="799"/>
      <c r="AL930" s="799"/>
      <c r="AM930" s="799"/>
      <c r="AN930" s="799"/>
      <c r="AO930" s="799"/>
      <c r="AP930" s="799"/>
      <c r="AQ930" s="799"/>
      <c r="AR930" s="799"/>
      <c r="AS930" s="799"/>
      <c r="AT930" s="799"/>
      <c r="AU930" s="799"/>
      <c r="AV930" s="799"/>
      <c r="AW930" s="799"/>
      <c r="AX930" s="799"/>
      <c r="AY930" s="799"/>
      <c r="AZ930" s="799"/>
      <c r="BA930" s="799"/>
      <c r="BB930" s="799"/>
      <c r="BC930" s="799"/>
      <c r="BD930" s="799"/>
      <c r="BE930" s="799"/>
      <c r="BF930" s="799"/>
      <c r="BG930" s="799"/>
    </row>
    <row r="931">
      <c r="H931" s="799"/>
      <c r="I931" s="799"/>
      <c r="J931" s="799"/>
      <c r="K931" s="799"/>
      <c r="L931" s="799"/>
      <c r="M931" s="799"/>
      <c r="N931" s="799"/>
      <c r="O931" s="799"/>
      <c r="P931" s="799"/>
      <c r="Q931" s="799"/>
      <c r="R931" s="799"/>
      <c r="S931" s="799"/>
      <c r="T931" s="799"/>
      <c r="U931" s="799"/>
      <c r="V931" s="799"/>
      <c r="W931" s="799"/>
      <c r="X931" s="799"/>
      <c r="Y931" s="799"/>
      <c r="Z931" s="799"/>
      <c r="AA931" s="799"/>
      <c r="AB931" s="799"/>
      <c r="AC931" s="799"/>
      <c r="AD931" s="799"/>
      <c r="AE931" s="799"/>
      <c r="AF931" s="799"/>
      <c r="AG931" s="799"/>
      <c r="AH931" s="799"/>
      <c r="AI931" s="799"/>
      <c r="AJ931" s="799"/>
      <c r="AK931" s="799"/>
      <c r="AL931" s="799"/>
      <c r="AM931" s="799"/>
      <c r="AN931" s="799"/>
      <c r="AO931" s="799"/>
      <c r="AP931" s="799"/>
      <c r="AQ931" s="799"/>
      <c r="AR931" s="799"/>
      <c r="AS931" s="799"/>
      <c r="AT931" s="799"/>
      <c r="AU931" s="799"/>
      <c r="AV931" s="799"/>
      <c r="AW931" s="799"/>
      <c r="AX931" s="799"/>
      <c r="AY931" s="799"/>
      <c r="AZ931" s="799"/>
      <c r="BA931" s="799"/>
      <c r="BB931" s="799"/>
      <c r="BC931" s="799"/>
      <c r="BD931" s="799"/>
      <c r="BE931" s="799"/>
      <c r="BF931" s="799"/>
      <c r="BG931" s="799"/>
    </row>
    <row r="932">
      <c r="H932" s="799"/>
      <c r="I932" s="799"/>
      <c r="J932" s="799"/>
      <c r="K932" s="799"/>
      <c r="L932" s="799"/>
      <c r="M932" s="799"/>
      <c r="N932" s="799"/>
      <c r="O932" s="799"/>
      <c r="P932" s="799"/>
      <c r="Q932" s="799"/>
      <c r="R932" s="799"/>
      <c r="S932" s="799"/>
      <c r="T932" s="799"/>
      <c r="U932" s="799"/>
      <c r="V932" s="799"/>
      <c r="W932" s="799"/>
      <c r="X932" s="799"/>
      <c r="Y932" s="799"/>
      <c r="Z932" s="799"/>
      <c r="AA932" s="799"/>
      <c r="AB932" s="799"/>
      <c r="AC932" s="799"/>
      <c r="AD932" s="799"/>
      <c r="AE932" s="799"/>
      <c r="AF932" s="799"/>
      <c r="AG932" s="799"/>
      <c r="AH932" s="799"/>
      <c r="AI932" s="799"/>
      <c r="AJ932" s="799"/>
      <c r="AK932" s="799"/>
      <c r="AL932" s="799"/>
      <c r="AM932" s="799"/>
      <c r="AN932" s="799"/>
      <c r="AO932" s="799"/>
      <c r="AP932" s="799"/>
      <c r="AQ932" s="799"/>
      <c r="AR932" s="799"/>
      <c r="AS932" s="799"/>
      <c r="AT932" s="799"/>
      <c r="AU932" s="799"/>
      <c r="AV932" s="799"/>
      <c r="AW932" s="799"/>
      <c r="AX932" s="799"/>
      <c r="AY932" s="799"/>
      <c r="AZ932" s="799"/>
      <c r="BA932" s="799"/>
      <c r="BB932" s="799"/>
      <c r="BC932" s="799"/>
      <c r="BD932" s="799"/>
      <c r="BE932" s="799"/>
      <c r="BF932" s="799"/>
      <c r="BG932" s="799"/>
    </row>
    <row r="933">
      <c r="H933" s="799"/>
      <c r="I933" s="799"/>
      <c r="J933" s="799"/>
      <c r="K933" s="799"/>
      <c r="L933" s="799"/>
      <c r="M933" s="799"/>
      <c r="N933" s="799"/>
      <c r="O933" s="799"/>
      <c r="P933" s="799"/>
      <c r="Q933" s="799"/>
      <c r="R933" s="799"/>
      <c r="S933" s="799"/>
      <c r="T933" s="799"/>
      <c r="U933" s="799"/>
      <c r="V933" s="799"/>
      <c r="W933" s="799"/>
      <c r="X933" s="799"/>
      <c r="Y933" s="799"/>
      <c r="Z933" s="799"/>
      <c r="AA933" s="799"/>
      <c r="AB933" s="799"/>
      <c r="AC933" s="799"/>
      <c r="AD933" s="799"/>
      <c r="AE933" s="799"/>
      <c r="AF933" s="799"/>
      <c r="AG933" s="799"/>
      <c r="AH933" s="799"/>
      <c r="AI933" s="799"/>
      <c r="AJ933" s="799"/>
      <c r="AK933" s="799"/>
      <c r="AL933" s="799"/>
      <c r="AM933" s="799"/>
      <c r="AN933" s="799"/>
      <c r="AO933" s="799"/>
      <c r="AP933" s="799"/>
      <c r="AQ933" s="799"/>
      <c r="AR933" s="799"/>
      <c r="AS933" s="799"/>
      <c r="AT933" s="799"/>
      <c r="AU933" s="799"/>
      <c r="AV933" s="799"/>
      <c r="AW933" s="799"/>
      <c r="AX933" s="799"/>
      <c r="AY933" s="799"/>
      <c r="AZ933" s="799"/>
      <c r="BA933" s="799"/>
      <c r="BB933" s="799"/>
      <c r="BC933" s="799"/>
      <c r="BD933" s="799"/>
      <c r="BE933" s="799"/>
      <c r="BF933" s="799"/>
      <c r="BG933" s="799"/>
    </row>
    <row r="934">
      <c r="H934" s="799"/>
      <c r="I934" s="799"/>
      <c r="J934" s="799"/>
      <c r="K934" s="799"/>
      <c r="L934" s="799"/>
      <c r="M934" s="799"/>
      <c r="N934" s="799"/>
      <c r="O934" s="799"/>
      <c r="P934" s="799"/>
      <c r="Q934" s="799"/>
      <c r="R934" s="799"/>
      <c r="S934" s="799"/>
      <c r="T934" s="799"/>
      <c r="U934" s="799"/>
      <c r="V934" s="799"/>
      <c r="W934" s="799"/>
      <c r="X934" s="799"/>
      <c r="Y934" s="799"/>
      <c r="Z934" s="799"/>
      <c r="AA934" s="799"/>
      <c r="AB934" s="799"/>
      <c r="AC934" s="799"/>
      <c r="AD934" s="799"/>
      <c r="AE934" s="799"/>
      <c r="AF934" s="799"/>
      <c r="AG934" s="799"/>
      <c r="AH934" s="799"/>
      <c r="AI934" s="799"/>
      <c r="AJ934" s="799"/>
      <c r="AK934" s="799"/>
      <c r="AL934" s="799"/>
      <c r="AM934" s="799"/>
      <c r="AN934" s="799"/>
      <c r="AO934" s="799"/>
      <c r="AP934" s="799"/>
      <c r="AQ934" s="799"/>
      <c r="AR934" s="799"/>
      <c r="AS934" s="799"/>
      <c r="AT934" s="799"/>
      <c r="AU934" s="799"/>
      <c r="AV934" s="799"/>
      <c r="AW934" s="799"/>
      <c r="AX934" s="799"/>
      <c r="AY934" s="799"/>
      <c r="AZ934" s="799"/>
      <c r="BA934" s="799"/>
      <c r="BB934" s="799"/>
      <c r="BC934" s="799"/>
      <c r="BD934" s="799"/>
      <c r="BE934" s="799"/>
      <c r="BF934" s="799"/>
      <c r="BG934" s="799"/>
    </row>
    <row r="935">
      <c r="H935" s="799"/>
      <c r="I935" s="799"/>
      <c r="J935" s="799"/>
      <c r="K935" s="799"/>
      <c r="L935" s="799"/>
      <c r="M935" s="799"/>
      <c r="N935" s="799"/>
      <c r="O935" s="799"/>
      <c r="P935" s="799"/>
      <c r="Q935" s="799"/>
      <c r="R935" s="799"/>
      <c r="S935" s="799"/>
      <c r="T935" s="799"/>
      <c r="U935" s="799"/>
      <c r="V935" s="799"/>
      <c r="W935" s="799"/>
      <c r="X935" s="799"/>
      <c r="Y935" s="799"/>
      <c r="Z935" s="799"/>
      <c r="AA935" s="799"/>
      <c r="AB935" s="799"/>
      <c r="AC935" s="799"/>
      <c r="AD935" s="799"/>
      <c r="AE935" s="799"/>
      <c r="AF935" s="799"/>
      <c r="AG935" s="799"/>
      <c r="AH935" s="799"/>
      <c r="AI935" s="799"/>
      <c r="AJ935" s="799"/>
      <c r="AK935" s="799"/>
      <c r="AL935" s="799"/>
      <c r="AM935" s="799"/>
      <c r="AN935" s="799"/>
      <c r="AO935" s="799"/>
      <c r="AP935" s="799"/>
      <c r="AQ935" s="799"/>
      <c r="AR935" s="799"/>
      <c r="AS935" s="799"/>
      <c r="AT935" s="799"/>
      <c r="AU935" s="799"/>
      <c r="AV935" s="799"/>
      <c r="AW935" s="799"/>
      <c r="AX935" s="799"/>
      <c r="AY935" s="799"/>
      <c r="AZ935" s="799"/>
      <c r="BA935" s="799"/>
      <c r="BB935" s="799"/>
      <c r="BC935" s="799"/>
      <c r="BD935" s="799"/>
      <c r="BE935" s="799"/>
      <c r="BF935" s="799"/>
      <c r="BG935" s="799"/>
    </row>
    <row r="936">
      <c r="H936" s="799"/>
      <c r="I936" s="799"/>
      <c r="J936" s="799"/>
      <c r="K936" s="799"/>
      <c r="L936" s="799"/>
      <c r="M936" s="799"/>
      <c r="N936" s="799"/>
      <c r="O936" s="799"/>
      <c r="P936" s="799"/>
      <c r="Q936" s="799"/>
      <c r="R936" s="799"/>
      <c r="S936" s="799"/>
      <c r="T936" s="799"/>
      <c r="U936" s="799"/>
      <c r="V936" s="799"/>
      <c r="W936" s="799"/>
      <c r="X936" s="799"/>
      <c r="Y936" s="799"/>
      <c r="Z936" s="799"/>
      <c r="AA936" s="799"/>
      <c r="AB936" s="799"/>
      <c r="AC936" s="799"/>
      <c r="AD936" s="799"/>
      <c r="AE936" s="799"/>
      <c r="AF936" s="799"/>
      <c r="AG936" s="799"/>
      <c r="AH936" s="799"/>
      <c r="AI936" s="799"/>
      <c r="AJ936" s="799"/>
      <c r="AK936" s="799"/>
      <c r="AL936" s="799"/>
      <c r="AM936" s="799"/>
      <c r="AN936" s="799"/>
      <c r="AO936" s="799"/>
      <c r="AP936" s="799"/>
      <c r="AQ936" s="799"/>
      <c r="AR936" s="799"/>
      <c r="AS936" s="799"/>
      <c r="AT936" s="799"/>
      <c r="AU936" s="799"/>
      <c r="AV936" s="799"/>
      <c r="AW936" s="799"/>
      <c r="AX936" s="799"/>
      <c r="AY936" s="799"/>
      <c r="AZ936" s="799"/>
      <c r="BA936" s="799"/>
      <c r="BB936" s="799"/>
      <c r="BC936" s="799"/>
      <c r="BD936" s="799"/>
      <c r="BE936" s="799"/>
      <c r="BF936" s="799"/>
      <c r="BG936" s="799"/>
    </row>
    <row r="937">
      <c r="H937" s="799"/>
      <c r="I937" s="799"/>
      <c r="J937" s="799"/>
      <c r="K937" s="799"/>
      <c r="L937" s="799"/>
      <c r="M937" s="799"/>
      <c r="N937" s="799"/>
      <c r="O937" s="799"/>
      <c r="P937" s="799"/>
      <c r="Q937" s="799"/>
      <c r="R937" s="799"/>
      <c r="S937" s="799"/>
      <c r="T937" s="799"/>
      <c r="U937" s="799"/>
      <c r="V937" s="799"/>
      <c r="W937" s="799"/>
      <c r="X937" s="799"/>
      <c r="Y937" s="799"/>
      <c r="Z937" s="799"/>
      <c r="AA937" s="799"/>
      <c r="AB937" s="799"/>
      <c r="AC937" s="799"/>
      <c r="AD937" s="799"/>
      <c r="AE937" s="799"/>
      <c r="AF937" s="799"/>
      <c r="AG937" s="799"/>
      <c r="AH937" s="799"/>
      <c r="AI937" s="799"/>
      <c r="AJ937" s="799"/>
      <c r="AK937" s="799"/>
      <c r="AL937" s="799"/>
      <c r="AM937" s="799"/>
      <c r="AN937" s="799"/>
      <c r="AO937" s="799"/>
      <c r="AP937" s="799"/>
      <c r="AQ937" s="799"/>
      <c r="AR937" s="799"/>
      <c r="AS937" s="799"/>
      <c r="AT937" s="799"/>
      <c r="AU937" s="799"/>
      <c r="AV937" s="799"/>
      <c r="AW937" s="799"/>
      <c r="AX937" s="799"/>
      <c r="AY937" s="799"/>
      <c r="AZ937" s="799"/>
      <c r="BA937" s="799"/>
      <c r="BB937" s="799"/>
      <c r="BC937" s="799"/>
      <c r="BD937" s="799"/>
      <c r="BE937" s="799"/>
      <c r="BF937" s="799"/>
      <c r="BG937" s="799"/>
    </row>
    <row r="938">
      <c r="H938" s="799"/>
      <c r="I938" s="799"/>
      <c r="J938" s="799"/>
      <c r="K938" s="799"/>
      <c r="L938" s="799"/>
      <c r="M938" s="799"/>
      <c r="N938" s="799"/>
      <c r="O938" s="799"/>
      <c r="P938" s="799"/>
      <c r="Q938" s="799"/>
      <c r="R938" s="799"/>
      <c r="S938" s="799"/>
      <c r="T938" s="799"/>
      <c r="U938" s="799"/>
      <c r="V938" s="799"/>
      <c r="W938" s="799"/>
      <c r="X938" s="799"/>
      <c r="Y938" s="799"/>
      <c r="Z938" s="799"/>
      <c r="AA938" s="799"/>
      <c r="AB938" s="799"/>
      <c r="AC938" s="799"/>
      <c r="AD938" s="799"/>
      <c r="AE938" s="799"/>
      <c r="AF938" s="799"/>
      <c r="AG938" s="799"/>
      <c r="AH938" s="799"/>
      <c r="AI938" s="799"/>
      <c r="AJ938" s="799"/>
      <c r="AK938" s="799"/>
      <c r="AL938" s="799"/>
      <c r="AM938" s="799"/>
      <c r="AN938" s="799"/>
      <c r="AO938" s="799"/>
      <c r="AP938" s="799"/>
      <c r="AQ938" s="799"/>
      <c r="AR938" s="799"/>
      <c r="AS938" s="799"/>
      <c r="AT938" s="799"/>
      <c r="AU938" s="799"/>
      <c r="AV938" s="799"/>
      <c r="AW938" s="799"/>
      <c r="AX938" s="799"/>
      <c r="AY938" s="799"/>
      <c r="AZ938" s="799"/>
      <c r="BA938" s="799"/>
      <c r="BB938" s="799"/>
      <c r="BC938" s="799"/>
      <c r="BD938" s="799"/>
      <c r="BE938" s="799"/>
      <c r="BF938" s="799"/>
      <c r="BG938" s="799"/>
    </row>
    <row r="939">
      <c r="H939" s="799"/>
      <c r="I939" s="799"/>
      <c r="J939" s="799"/>
      <c r="K939" s="799"/>
      <c r="L939" s="799"/>
      <c r="M939" s="799"/>
      <c r="N939" s="799"/>
      <c r="O939" s="799"/>
      <c r="P939" s="799"/>
      <c r="Q939" s="799"/>
      <c r="R939" s="799"/>
      <c r="S939" s="799"/>
      <c r="T939" s="799"/>
      <c r="U939" s="799"/>
      <c r="V939" s="799"/>
      <c r="W939" s="799"/>
      <c r="X939" s="799"/>
      <c r="Y939" s="799"/>
      <c r="Z939" s="799"/>
      <c r="AA939" s="799"/>
      <c r="AB939" s="799"/>
      <c r="AC939" s="799"/>
      <c r="AD939" s="799"/>
      <c r="AE939" s="799"/>
      <c r="AF939" s="799"/>
      <c r="AG939" s="799"/>
      <c r="AH939" s="799"/>
      <c r="AI939" s="799"/>
      <c r="AJ939" s="799"/>
      <c r="AK939" s="799"/>
      <c r="AL939" s="799"/>
      <c r="AM939" s="799"/>
      <c r="AN939" s="799"/>
      <c r="AO939" s="799"/>
      <c r="AP939" s="799"/>
      <c r="AQ939" s="799"/>
      <c r="AR939" s="799"/>
      <c r="AS939" s="799"/>
      <c r="AT939" s="799"/>
      <c r="AU939" s="799"/>
      <c r="AV939" s="799"/>
      <c r="AW939" s="799"/>
      <c r="AX939" s="799"/>
      <c r="AY939" s="799"/>
      <c r="AZ939" s="799"/>
      <c r="BA939" s="799"/>
      <c r="BB939" s="799"/>
      <c r="BC939" s="799"/>
      <c r="BD939" s="799"/>
      <c r="BE939" s="799"/>
      <c r="BF939" s="799"/>
      <c r="BG939" s="799"/>
    </row>
    <row r="940">
      <c r="H940" s="799"/>
      <c r="I940" s="799"/>
      <c r="J940" s="799"/>
      <c r="K940" s="799"/>
      <c r="L940" s="799"/>
      <c r="M940" s="799"/>
      <c r="N940" s="799"/>
      <c r="O940" s="799"/>
      <c r="P940" s="799"/>
      <c r="Q940" s="799"/>
      <c r="R940" s="799"/>
      <c r="S940" s="799"/>
      <c r="T940" s="799"/>
      <c r="U940" s="799"/>
      <c r="V940" s="799"/>
      <c r="W940" s="799"/>
      <c r="X940" s="799"/>
      <c r="Y940" s="799"/>
      <c r="Z940" s="799"/>
      <c r="AA940" s="799"/>
      <c r="AB940" s="799"/>
      <c r="AC940" s="799"/>
      <c r="AD940" s="799"/>
      <c r="AE940" s="799"/>
      <c r="AF940" s="799"/>
      <c r="AG940" s="799"/>
      <c r="AH940" s="799"/>
      <c r="AI940" s="799"/>
      <c r="AJ940" s="799"/>
      <c r="AK940" s="799"/>
      <c r="AL940" s="799"/>
      <c r="AM940" s="799"/>
      <c r="AN940" s="799"/>
      <c r="AO940" s="799"/>
      <c r="AP940" s="799"/>
      <c r="AQ940" s="799"/>
      <c r="AR940" s="799"/>
      <c r="AS940" s="799"/>
      <c r="AT940" s="799"/>
      <c r="AU940" s="799"/>
      <c r="AV940" s="799"/>
      <c r="AW940" s="799"/>
      <c r="AX940" s="799"/>
      <c r="AY940" s="799"/>
      <c r="AZ940" s="799"/>
      <c r="BA940" s="799"/>
      <c r="BB940" s="799"/>
      <c r="BC940" s="799"/>
      <c r="BD940" s="799"/>
      <c r="BE940" s="799"/>
      <c r="BF940" s="799"/>
      <c r="BG940" s="799"/>
    </row>
    <row r="941">
      <c r="H941" s="799"/>
      <c r="I941" s="799"/>
      <c r="J941" s="799"/>
      <c r="K941" s="799"/>
      <c r="L941" s="799"/>
      <c r="M941" s="799"/>
      <c r="N941" s="799"/>
      <c r="O941" s="799"/>
      <c r="P941" s="799"/>
      <c r="Q941" s="799"/>
      <c r="R941" s="799"/>
      <c r="S941" s="799"/>
      <c r="T941" s="799"/>
      <c r="U941" s="799"/>
      <c r="V941" s="799"/>
      <c r="W941" s="799"/>
      <c r="X941" s="799"/>
      <c r="Y941" s="799"/>
      <c r="Z941" s="799"/>
      <c r="AA941" s="799"/>
      <c r="AB941" s="799"/>
      <c r="AC941" s="799"/>
      <c r="AD941" s="799"/>
      <c r="AE941" s="799"/>
      <c r="AF941" s="799"/>
      <c r="AG941" s="799"/>
      <c r="AH941" s="799"/>
      <c r="AI941" s="799"/>
      <c r="AJ941" s="799"/>
      <c r="AK941" s="799"/>
      <c r="AL941" s="799"/>
      <c r="AM941" s="799"/>
      <c r="AN941" s="799"/>
      <c r="AO941" s="799"/>
      <c r="AP941" s="799"/>
      <c r="AQ941" s="799"/>
      <c r="AR941" s="799"/>
      <c r="AS941" s="799"/>
      <c r="AT941" s="799"/>
      <c r="AU941" s="799"/>
      <c r="AV941" s="799"/>
      <c r="AW941" s="799"/>
      <c r="AX941" s="799"/>
      <c r="AY941" s="799"/>
      <c r="AZ941" s="799"/>
      <c r="BA941" s="799"/>
      <c r="BB941" s="799"/>
      <c r="BC941" s="799"/>
      <c r="BD941" s="799"/>
      <c r="BE941" s="799"/>
      <c r="BF941" s="799"/>
      <c r="BG941" s="799"/>
    </row>
    <row r="942">
      <c r="H942" s="799"/>
      <c r="I942" s="799"/>
      <c r="J942" s="799"/>
      <c r="K942" s="799"/>
      <c r="L942" s="799"/>
      <c r="M942" s="799"/>
      <c r="N942" s="799"/>
      <c r="O942" s="799"/>
      <c r="P942" s="799"/>
      <c r="Q942" s="799"/>
      <c r="R942" s="799"/>
      <c r="S942" s="799"/>
      <c r="T942" s="799"/>
      <c r="U942" s="799"/>
      <c r="V942" s="799"/>
      <c r="W942" s="799"/>
      <c r="X942" s="799"/>
      <c r="Y942" s="799"/>
      <c r="Z942" s="799"/>
      <c r="AA942" s="799"/>
      <c r="AB942" s="799"/>
      <c r="AC942" s="799"/>
      <c r="AD942" s="799"/>
      <c r="AE942" s="799"/>
      <c r="AF942" s="799"/>
      <c r="AG942" s="799"/>
      <c r="AH942" s="799"/>
      <c r="AI942" s="799"/>
      <c r="AJ942" s="799"/>
      <c r="AK942" s="799"/>
      <c r="AL942" s="799"/>
      <c r="AM942" s="799"/>
      <c r="AN942" s="799"/>
      <c r="AO942" s="799"/>
      <c r="AP942" s="799"/>
      <c r="AQ942" s="799"/>
      <c r="AR942" s="799"/>
      <c r="AS942" s="799"/>
      <c r="AT942" s="799"/>
      <c r="AU942" s="799"/>
      <c r="AV942" s="799"/>
      <c r="AW942" s="799"/>
      <c r="AX942" s="799"/>
      <c r="AY942" s="799"/>
      <c r="AZ942" s="799"/>
      <c r="BA942" s="799"/>
      <c r="BB942" s="799"/>
      <c r="BC942" s="799"/>
      <c r="BD942" s="799"/>
      <c r="BE942" s="799"/>
      <c r="BF942" s="799"/>
      <c r="BG942" s="799"/>
    </row>
    <row r="943">
      <c r="H943" s="799"/>
      <c r="I943" s="799"/>
      <c r="J943" s="799"/>
      <c r="K943" s="799"/>
      <c r="L943" s="799"/>
      <c r="M943" s="799"/>
      <c r="N943" s="799"/>
      <c r="O943" s="799"/>
      <c r="P943" s="799"/>
      <c r="Q943" s="799"/>
      <c r="R943" s="799"/>
      <c r="S943" s="799"/>
      <c r="T943" s="799"/>
      <c r="U943" s="799"/>
      <c r="V943" s="799"/>
      <c r="W943" s="799"/>
      <c r="X943" s="799"/>
      <c r="Y943" s="799"/>
      <c r="Z943" s="799"/>
      <c r="AA943" s="799"/>
      <c r="AB943" s="799"/>
      <c r="AC943" s="799"/>
      <c r="AD943" s="799"/>
      <c r="AE943" s="799"/>
      <c r="AF943" s="799"/>
      <c r="AG943" s="799"/>
      <c r="AH943" s="799"/>
      <c r="AI943" s="799"/>
      <c r="AJ943" s="799"/>
      <c r="AK943" s="799"/>
      <c r="AL943" s="799"/>
      <c r="AM943" s="799"/>
      <c r="AN943" s="799"/>
      <c r="AO943" s="799"/>
      <c r="AP943" s="799"/>
      <c r="AQ943" s="799"/>
      <c r="AR943" s="799"/>
      <c r="AS943" s="799"/>
      <c r="AT943" s="799"/>
      <c r="AU943" s="799"/>
      <c r="AV943" s="799"/>
      <c r="AW943" s="799"/>
      <c r="AX943" s="799"/>
      <c r="AY943" s="799"/>
      <c r="AZ943" s="799"/>
      <c r="BA943" s="799"/>
      <c r="BB943" s="799"/>
      <c r="BC943" s="799"/>
      <c r="BD943" s="799"/>
      <c r="BE943" s="799"/>
      <c r="BF943" s="799"/>
      <c r="BG943" s="799"/>
    </row>
    <row r="944">
      <c r="H944" s="799"/>
      <c r="I944" s="799"/>
      <c r="J944" s="799"/>
      <c r="K944" s="799"/>
      <c r="L944" s="799"/>
      <c r="M944" s="799"/>
      <c r="N944" s="799"/>
      <c r="O944" s="799"/>
      <c r="P944" s="799"/>
      <c r="Q944" s="799"/>
      <c r="R944" s="799"/>
      <c r="S944" s="799"/>
      <c r="T944" s="799"/>
      <c r="U944" s="799"/>
      <c r="V944" s="799"/>
      <c r="W944" s="799"/>
      <c r="X944" s="799"/>
      <c r="Y944" s="799"/>
      <c r="Z944" s="799"/>
      <c r="AA944" s="799"/>
      <c r="AB944" s="799"/>
      <c r="AC944" s="799"/>
      <c r="AD944" s="799"/>
      <c r="AE944" s="799"/>
      <c r="AF944" s="799"/>
      <c r="AG944" s="799"/>
      <c r="AH944" s="799"/>
      <c r="AI944" s="799"/>
      <c r="AJ944" s="799"/>
      <c r="AK944" s="799"/>
      <c r="AL944" s="799"/>
      <c r="AM944" s="799"/>
      <c r="AN944" s="799"/>
      <c r="AO944" s="799"/>
      <c r="AP944" s="799"/>
      <c r="AQ944" s="799"/>
      <c r="AR944" s="799"/>
      <c r="AS944" s="799"/>
      <c r="AT944" s="799"/>
      <c r="AU944" s="799"/>
      <c r="AV944" s="799"/>
      <c r="AW944" s="799"/>
      <c r="AX944" s="799"/>
      <c r="AY944" s="799"/>
      <c r="AZ944" s="799"/>
      <c r="BA944" s="799"/>
      <c r="BB944" s="799"/>
      <c r="BC944" s="799"/>
      <c r="BD944" s="799"/>
      <c r="BE944" s="799"/>
      <c r="BF944" s="799"/>
      <c r="BG944" s="799"/>
    </row>
    <row r="945">
      <c r="H945" s="799"/>
      <c r="I945" s="799"/>
      <c r="J945" s="799"/>
      <c r="K945" s="799"/>
      <c r="L945" s="799"/>
      <c r="M945" s="799"/>
      <c r="N945" s="799"/>
      <c r="O945" s="799"/>
      <c r="P945" s="799"/>
      <c r="Q945" s="799"/>
      <c r="R945" s="799"/>
      <c r="S945" s="799"/>
      <c r="T945" s="799"/>
      <c r="U945" s="799"/>
      <c r="V945" s="799"/>
      <c r="W945" s="799"/>
      <c r="X945" s="799"/>
      <c r="Y945" s="799"/>
      <c r="Z945" s="799"/>
      <c r="AA945" s="799"/>
      <c r="AB945" s="799"/>
      <c r="AC945" s="799"/>
      <c r="AD945" s="799"/>
      <c r="AE945" s="799"/>
      <c r="AF945" s="799"/>
      <c r="AG945" s="799"/>
      <c r="AH945" s="799"/>
      <c r="AI945" s="799"/>
      <c r="AJ945" s="799"/>
      <c r="AK945" s="799"/>
      <c r="AL945" s="799"/>
      <c r="AM945" s="799"/>
      <c r="AN945" s="799"/>
      <c r="AO945" s="799"/>
      <c r="AP945" s="799"/>
      <c r="AQ945" s="799"/>
      <c r="AR945" s="799"/>
      <c r="AS945" s="799"/>
      <c r="AT945" s="799"/>
      <c r="AU945" s="799"/>
      <c r="AV945" s="799"/>
      <c r="AW945" s="799"/>
      <c r="AX945" s="799"/>
      <c r="AY945" s="799"/>
      <c r="AZ945" s="799"/>
      <c r="BA945" s="799"/>
      <c r="BB945" s="799"/>
      <c r="BC945" s="799"/>
      <c r="BD945" s="799"/>
      <c r="BE945" s="799"/>
      <c r="BF945" s="799"/>
      <c r="BG945" s="799"/>
    </row>
    <row r="946">
      <c r="H946" s="799"/>
      <c r="I946" s="799"/>
      <c r="J946" s="799"/>
      <c r="K946" s="799"/>
      <c r="L946" s="799"/>
      <c r="M946" s="799"/>
      <c r="N946" s="799"/>
      <c r="O946" s="799"/>
      <c r="P946" s="799"/>
      <c r="Q946" s="799"/>
      <c r="R946" s="799"/>
      <c r="S946" s="799"/>
      <c r="T946" s="799"/>
      <c r="U946" s="799"/>
      <c r="V946" s="799"/>
      <c r="W946" s="799"/>
      <c r="X946" s="799"/>
      <c r="Y946" s="799"/>
      <c r="Z946" s="799"/>
      <c r="AA946" s="799"/>
      <c r="AB946" s="799"/>
      <c r="AC946" s="799"/>
      <c r="AD946" s="799"/>
      <c r="AE946" s="799"/>
      <c r="AF946" s="799"/>
      <c r="AG946" s="799"/>
      <c r="AH946" s="799"/>
      <c r="AI946" s="799"/>
      <c r="AJ946" s="799"/>
      <c r="AK946" s="799"/>
      <c r="AL946" s="799"/>
      <c r="AM946" s="799"/>
      <c r="AN946" s="799"/>
      <c r="AO946" s="799"/>
      <c r="AP946" s="799"/>
      <c r="AQ946" s="799"/>
      <c r="AR946" s="799"/>
      <c r="AS946" s="799"/>
      <c r="AT946" s="799"/>
      <c r="AU946" s="799"/>
      <c r="AV946" s="799"/>
      <c r="AW946" s="799"/>
      <c r="AX946" s="799"/>
      <c r="AY946" s="799"/>
      <c r="AZ946" s="799"/>
      <c r="BA946" s="799"/>
      <c r="BB946" s="799"/>
      <c r="BC946" s="799"/>
      <c r="BD946" s="799"/>
      <c r="BE946" s="799"/>
      <c r="BF946" s="799"/>
      <c r="BG946" s="799"/>
    </row>
    <row r="947">
      <c r="H947" s="799"/>
      <c r="I947" s="799"/>
      <c r="J947" s="799"/>
      <c r="K947" s="799"/>
      <c r="L947" s="799"/>
      <c r="M947" s="799"/>
      <c r="N947" s="799"/>
      <c r="O947" s="799"/>
      <c r="P947" s="799"/>
      <c r="Q947" s="799"/>
      <c r="R947" s="799"/>
      <c r="S947" s="799"/>
      <c r="T947" s="799"/>
      <c r="U947" s="799"/>
      <c r="V947" s="799"/>
      <c r="W947" s="799"/>
      <c r="X947" s="799"/>
      <c r="Y947" s="799"/>
      <c r="Z947" s="799"/>
      <c r="AA947" s="799"/>
      <c r="AB947" s="799"/>
      <c r="AC947" s="799"/>
      <c r="AD947" s="799"/>
      <c r="AE947" s="799"/>
      <c r="AF947" s="799"/>
      <c r="AG947" s="799"/>
      <c r="AH947" s="799"/>
      <c r="AI947" s="799"/>
      <c r="AJ947" s="799"/>
      <c r="AK947" s="799"/>
      <c r="AL947" s="799"/>
      <c r="AM947" s="799"/>
      <c r="AN947" s="799"/>
      <c r="AO947" s="799"/>
      <c r="AP947" s="799"/>
      <c r="AQ947" s="799"/>
      <c r="AR947" s="799"/>
      <c r="AS947" s="799"/>
      <c r="AT947" s="799"/>
      <c r="AU947" s="799"/>
      <c r="AV947" s="799"/>
      <c r="AW947" s="799"/>
      <c r="AX947" s="799"/>
      <c r="AY947" s="799"/>
      <c r="AZ947" s="799"/>
      <c r="BA947" s="799"/>
      <c r="BB947" s="799"/>
      <c r="BC947" s="799"/>
      <c r="BD947" s="799"/>
      <c r="BE947" s="799"/>
      <c r="BF947" s="799"/>
      <c r="BG947" s="799"/>
    </row>
    <row r="948">
      <c r="H948" s="799"/>
      <c r="I948" s="799"/>
      <c r="J948" s="799"/>
      <c r="K948" s="799"/>
      <c r="L948" s="799"/>
      <c r="M948" s="799"/>
      <c r="N948" s="799"/>
      <c r="O948" s="799"/>
      <c r="P948" s="799"/>
      <c r="Q948" s="799"/>
      <c r="R948" s="799"/>
      <c r="S948" s="799"/>
      <c r="T948" s="799"/>
      <c r="U948" s="799"/>
      <c r="V948" s="799"/>
      <c r="W948" s="799"/>
      <c r="X948" s="799"/>
      <c r="Y948" s="799"/>
      <c r="Z948" s="799"/>
      <c r="AA948" s="799"/>
      <c r="AB948" s="799"/>
      <c r="AC948" s="799"/>
      <c r="AD948" s="799"/>
      <c r="AE948" s="799"/>
      <c r="AF948" s="799"/>
      <c r="AG948" s="799"/>
      <c r="AH948" s="799"/>
      <c r="AI948" s="799"/>
      <c r="AJ948" s="799"/>
      <c r="AK948" s="799"/>
      <c r="AL948" s="799"/>
      <c r="AM948" s="799"/>
      <c r="AN948" s="799"/>
      <c r="AO948" s="799"/>
      <c r="AP948" s="799"/>
      <c r="AQ948" s="799"/>
      <c r="AR948" s="799"/>
      <c r="AS948" s="799"/>
      <c r="AT948" s="799"/>
      <c r="AU948" s="799"/>
      <c r="AV948" s="799"/>
      <c r="AW948" s="799"/>
      <c r="AX948" s="799"/>
      <c r="AY948" s="799"/>
      <c r="AZ948" s="799"/>
      <c r="BA948" s="799"/>
      <c r="BB948" s="799"/>
      <c r="BC948" s="799"/>
      <c r="BD948" s="799"/>
      <c r="BE948" s="799"/>
      <c r="BF948" s="799"/>
      <c r="BG948" s="799"/>
    </row>
    <row r="949">
      <c r="H949" s="799"/>
      <c r="I949" s="799"/>
      <c r="J949" s="799"/>
      <c r="K949" s="799"/>
      <c r="L949" s="799"/>
      <c r="M949" s="799"/>
      <c r="N949" s="799"/>
      <c r="O949" s="799"/>
      <c r="P949" s="799"/>
      <c r="Q949" s="799"/>
      <c r="R949" s="799"/>
      <c r="S949" s="799"/>
      <c r="T949" s="799"/>
      <c r="U949" s="799"/>
      <c r="V949" s="799"/>
      <c r="W949" s="799"/>
      <c r="X949" s="799"/>
      <c r="Y949" s="799"/>
      <c r="Z949" s="799"/>
      <c r="AA949" s="799"/>
      <c r="AB949" s="799"/>
      <c r="AC949" s="799"/>
      <c r="AD949" s="799"/>
      <c r="AE949" s="799"/>
      <c r="AF949" s="799"/>
      <c r="AG949" s="799"/>
      <c r="AH949" s="799"/>
      <c r="AI949" s="799"/>
      <c r="AJ949" s="799"/>
      <c r="AK949" s="799"/>
      <c r="AL949" s="799"/>
      <c r="AM949" s="799"/>
      <c r="AN949" s="799"/>
      <c r="AO949" s="799"/>
      <c r="AP949" s="799"/>
      <c r="AQ949" s="799"/>
      <c r="AR949" s="799"/>
      <c r="AS949" s="799"/>
      <c r="AT949" s="799"/>
      <c r="AU949" s="799"/>
      <c r="AV949" s="799"/>
      <c r="AW949" s="799"/>
      <c r="AX949" s="799"/>
      <c r="AY949" s="799"/>
      <c r="AZ949" s="799"/>
      <c r="BA949" s="799"/>
      <c r="BB949" s="799"/>
      <c r="BC949" s="799"/>
      <c r="BD949" s="799"/>
      <c r="BE949" s="799"/>
      <c r="BF949" s="799"/>
      <c r="BG949" s="799"/>
    </row>
    <row r="950">
      <c r="H950" s="799"/>
      <c r="I950" s="799"/>
      <c r="J950" s="799"/>
      <c r="K950" s="799"/>
      <c r="L950" s="799"/>
      <c r="M950" s="799"/>
      <c r="N950" s="799"/>
      <c r="O950" s="799"/>
      <c r="P950" s="799"/>
      <c r="Q950" s="799"/>
      <c r="R950" s="799"/>
      <c r="S950" s="799"/>
      <c r="T950" s="799"/>
      <c r="U950" s="799"/>
      <c r="V950" s="799"/>
      <c r="W950" s="799"/>
      <c r="X950" s="799"/>
      <c r="Y950" s="799"/>
      <c r="Z950" s="799"/>
      <c r="AA950" s="799"/>
      <c r="AB950" s="799"/>
      <c r="AC950" s="799"/>
      <c r="AD950" s="799"/>
      <c r="AE950" s="799"/>
      <c r="AF950" s="799"/>
      <c r="AG950" s="799"/>
      <c r="AH950" s="799"/>
      <c r="AI950" s="799"/>
      <c r="AJ950" s="799"/>
      <c r="AK950" s="799"/>
      <c r="AL950" s="799"/>
      <c r="AM950" s="799"/>
      <c r="AN950" s="799"/>
      <c r="AO950" s="799"/>
      <c r="AP950" s="799"/>
      <c r="AQ950" s="799"/>
      <c r="AR950" s="799"/>
      <c r="AS950" s="799"/>
      <c r="AT950" s="799"/>
      <c r="AU950" s="799"/>
      <c r="AV950" s="799"/>
      <c r="AW950" s="799"/>
      <c r="AX950" s="799"/>
      <c r="AY950" s="799"/>
      <c r="AZ950" s="799"/>
      <c r="BA950" s="799"/>
      <c r="BB950" s="799"/>
      <c r="BC950" s="799"/>
      <c r="BD950" s="799"/>
      <c r="BE950" s="799"/>
      <c r="BF950" s="799"/>
      <c r="BG950" s="799"/>
    </row>
    <row r="951">
      <c r="H951" s="799"/>
      <c r="I951" s="799"/>
      <c r="J951" s="799"/>
      <c r="K951" s="799"/>
      <c r="L951" s="799"/>
      <c r="M951" s="799"/>
      <c r="N951" s="799"/>
      <c r="O951" s="799"/>
      <c r="P951" s="799"/>
      <c r="Q951" s="799"/>
      <c r="R951" s="799"/>
      <c r="S951" s="799"/>
      <c r="T951" s="799"/>
      <c r="U951" s="799"/>
      <c r="V951" s="799"/>
      <c r="W951" s="799"/>
      <c r="X951" s="799"/>
      <c r="Y951" s="799"/>
      <c r="Z951" s="799"/>
      <c r="AA951" s="799"/>
      <c r="AB951" s="799"/>
      <c r="AC951" s="799"/>
      <c r="AD951" s="799"/>
      <c r="AE951" s="799"/>
      <c r="AF951" s="799"/>
      <c r="AG951" s="799"/>
      <c r="AH951" s="799"/>
      <c r="AI951" s="799"/>
      <c r="AJ951" s="799"/>
      <c r="AK951" s="799"/>
      <c r="AL951" s="799"/>
      <c r="AM951" s="799"/>
      <c r="AN951" s="799"/>
      <c r="AO951" s="799"/>
      <c r="AP951" s="799"/>
      <c r="AQ951" s="799"/>
      <c r="AR951" s="799"/>
      <c r="AS951" s="799"/>
      <c r="AT951" s="799"/>
      <c r="AU951" s="799"/>
      <c r="AV951" s="799"/>
      <c r="AW951" s="799"/>
      <c r="AX951" s="799"/>
      <c r="AY951" s="799"/>
      <c r="AZ951" s="799"/>
      <c r="BA951" s="799"/>
      <c r="BB951" s="799"/>
      <c r="BC951" s="799"/>
      <c r="BD951" s="799"/>
      <c r="BE951" s="799"/>
      <c r="BF951" s="799"/>
      <c r="BG951" s="799"/>
    </row>
    <row r="952">
      <c r="H952" s="799"/>
      <c r="I952" s="799"/>
      <c r="J952" s="799"/>
      <c r="K952" s="799"/>
      <c r="L952" s="799"/>
      <c r="M952" s="799"/>
      <c r="N952" s="799"/>
      <c r="O952" s="799"/>
      <c r="P952" s="799"/>
      <c r="Q952" s="799"/>
      <c r="R952" s="799"/>
      <c r="S952" s="799"/>
      <c r="T952" s="799"/>
      <c r="U952" s="799"/>
      <c r="V952" s="799"/>
      <c r="W952" s="799"/>
      <c r="X952" s="799"/>
      <c r="Y952" s="799"/>
      <c r="Z952" s="799"/>
      <c r="AA952" s="799"/>
      <c r="AB952" s="799"/>
      <c r="AC952" s="799"/>
      <c r="AD952" s="799"/>
      <c r="AE952" s="799"/>
      <c r="AF952" s="799"/>
      <c r="AG952" s="799"/>
      <c r="AH952" s="799"/>
      <c r="AI952" s="799"/>
      <c r="AJ952" s="799"/>
      <c r="AK952" s="799"/>
      <c r="AL952" s="799"/>
      <c r="AM952" s="799"/>
      <c r="AN952" s="799"/>
      <c r="AO952" s="799"/>
      <c r="AP952" s="799"/>
      <c r="AQ952" s="799"/>
      <c r="AR952" s="799"/>
      <c r="AS952" s="799"/>
      <c r="AT952" s="799"/>
      <c r="AU952" s="799"/>
      <c r="AV952" s="799"/>
      <c r="AW952" s="799"/>
      <c r="AX952" s="799"/>
      <c r="AY952" s="799"/>
      <c r="AZ952" s="799"/>
      <c r="BA952" s="799"/>
      <c r="BB952" s="799"/>
      <c r="BC952" s="799"/>
      <c r="BD952" s="799"/>
      <c r="BE952" s="799"/>
      <c r="BF952" s="799"/>
      <c r="BG952" s="799"/>
    </row>
    <row r="953">
      <c r="H953" s="799"/>
      <c r="I953" s="799"/>
      <c r="J953" s="799"/>
      <c r="K953" s="799"/>
      <c r="L953" s="799"/>
      <c r="M953" s="799"/>
      <c r="N953" s="799"/>
      <c r="O953" s="799"/>
      <c r="P953" s="799"/>
      <c r="Q953" s="799"/>
      <c r="R953" s="799"/>
      <c r="S953" s="799"/>
      <c r="T953" s="799"/>
      <c r="U953" s="799"/>
      <c r="V953" s="799"/>
      <c r="W953" s="799"/>
      <c r="X953" s="799"/>
      <c r="Y953" s="799"/>
      <c r="Z953" s="799"/>
      <c r="AA953" s="799"/>
      <c r="AB953" s="799"/>
      <c r="AC953" s="799"/>
      <c r="AD953" s="799"/>
      <c r="AE953" s="799"/>
      <c r="AF953" s="799"/>
      <c r="AG953" s="799"/>
      <c r="AH953" s="799"/>
      <c r="AI953" s="799"/>
      <c r="AJ953" s="799"/>
      <c r="AK953" s="799"/>
      <c r="AL953" s="799"/>
      <c r="AM953" s="799"/>
      <c r="AN953" s="799"/>
      <c r="AO953" s="799"/>
      <c r="AP953" s="799"/>
      <c r="AQ953" s="799"/>
      <c r="AR953" s="799"/>
      <c r="AS953" s="799"/>
      <c r="AT953" s="799"/>
      <c r="AU953" s="799"/>
      <c r="AV953" s="799"/>
      <c r="AW953" s="799"/>
      <c r="AX953" s="799"/>
      <c r="AY953" s="799"/>
      <c r="AZ953" s="799"/>
      <c r="BA953" s="799"/>
      <c r="BB953" s="799"/>
      <c r="BC953" s="799"/>
      <c r="BD953" s="799"/>
      <c r="BE953" s="799"/>
      <c r="BF953" s="799"/>
      <c r="BG953" s="799"/>
    </row>
    <row r="954">
      <c r="H954" s="799"/>
      <c r="I954" s="799"/>
      <c r="J954" s="799"/>
      <c r="K954" s="799"/>
      <c r="L954" s="799"/>
      <c r="M954" s="799"/>
      <c r="N954" s="799"/>
      <c r="O954" s="799"/>
      <c r="P954" s="799"/>
      <c r="Q954" s="799"/>
      <c r="R954" s="799"/>
      <c r="S954" s="799"/>
      <c r="T954" s="799"/>
      <c r="U954" s="799"/>
      <c r="V954" s="799"/>
      <c r="W954" s="799"/>
      <c r="X954" s="799"/>
      <c r="Y954" s="799"/>
      <c r="Z954" s="799"/>
      <c r="AA954" s="799"/>
      <c r="AB954" s="799"/>
      <c r="AC954" s="799"/>
      <c r="AD954" s="799"/>
      <c r="AE954" s="799"/>
      <c r="AF954" s="799"/>
      <c r="AG954" s="799"/>
      <c r="AH954" s="799"/>
      <c r="AI954" s="799"/>
      <c r="AJ954" s="799"/>
      <c r="AK954" s="799"/>
      <c r="AL954" s="799"/>
      <c r="AM954" s="799"/>
      <c r="AN954" s="799"/>
      <c r="AO954" s="799"/>
      <c r="AP954" s="799"/>
      <c r="AQ954" s="799"/>
      <c r="AR954" s="799"/>
      <c r="AS954" s="799"/>
      <c r="AT954" s="799"/>
      <c r="AU954" s="799"/>
      <c r="AV954" s="799"/>
      <c r="AW954" s="799"/>
      <c r="AX954" s="799"/>
      <c r="AY954" s="799"/>
      <c r="AZ954" s="799"/>
      <c r="BA954" s="799"/>
      <c r="BB954" s="799"/>
      <c r="BC954" s="799"/>
      <c r="BD954" s="799"/>
      <c r="BE954" s="799"/>
      <c r="BF954" s="799"/>
      <c r="BG954" s="799"/>
    </row>
    <row r="955">
      <c r="H955" s="799"/>
      <c r="I955" s="799"/>
      <c r="J955" s="799"/>
      <c r="K955" s="799"/>
      <c r="L955" s="799"/>
      <c r="M955" s="799"/>
      <c r="N955" s="799"/>
      <c r="O955" s="799"/>
      <c r="P955" s="799"/>
      <c r="Q955" s="799"/>
      <c r="R955" s="799"/>
      <c r="S955" s="799"/>
      <c r="T955" s="799"/>
      <c r="U955" s="799"/>
      <c r="V955" s="799"/>
      <c r="W955" s="799"/>
      <c r="X955" s="799"/>
      <c r="Y955" s="799"/>
      <c r="Z955" s="799"/>
      <c r="AA955" s="799"/>
      <c r="AB955" s="799"/>
      <c r="AC955" s="799"/>
      <c r="AD955" s="799"/>
      <c r="AE955" s="799"/>
      <c r="AF955" s="799"/>
      <c r="AG955" s="799"/>
      <c r="AH955" s="799"/>
      <c r="AI955" s="799"/>
      <c r="AJ955" s="799"/>
      <c r="AK955" s="799"/>
      <c r="AL955" s="799"/>
      <c r="AM955" s="799"/>
      <c r="AN955" s="799"/>
      <c r="AO955" s="799"/>
      <c r="AP955" s="799"/>
      <c r="AQ955" s="799"/>
      <c r="AR955" s="799"/>
      <c r="AS955" s="799"/>
      <c r="AT955" s="799"/>
      <c r="AU955" s="799"/>
      <c r="AV955" s="799"/>
      <c r="AW955" s="799"/>
      <c r="AX955" s="799"/>
      <c r="AY955" s="799"/>
      <c r="AZ955" s="799"/>
      <c r="BA955" s="799"/>
      <c r="BB955" s="799"/>
      <c r="BC955" s="799"/>
      <c r="BD955" s="799"/>
      <c r="BE955" s="799"/>
      <c r="BF955" s="799"/>
      <c r="BG955" s="799"/>
    </row>
    <row r="956">
      <c r="H956" s="799"/>
      <c r="I956" s="799"/>
      <c r="J956" s="799"/>
      <c r="K956" s="799"/>
      <c r="L956" s="799"/>
      <c r="M956" s="799"/>
      <c r="N956" s="799"/>
      <c r="O956" s="799"/>
      <c r="P956" s="799"/>
      <c r="Q956" s="799"/>
      <c r="R956" s="799"/>
      <c r="S956" s="799"/>
      <c r="T956" s="799"/>
      <c r="U956" s="799"/>
      <c r="V956" s="799"/>
      <c r="W956" s="799"/>
      <c r="X956" s="799"/>
      <c r="Y956" s="799"/>
      <c r="Z956" s="799"/>
      <c r="AA956" s="799"/>
      <c r="AB956" s="799"/>
      <c r="AC956" s="799"/>
      <c r="AD956" s="799"/>
      <c r="AE956" s="799"/>
      <c r="AF956" s="799"/>
      <c r="AG956" s="799"/>
      <c r="AH956" s="799"/>
      <c r="AI956" s="799"/>
      <c r="AJ956" s="799"/>
      <c r="AK956" s="799"/>
      <c r="AL956" s="799"/>
      <c r="AM956" s="799"/>
      <c r="AN956" s="799"/>
      <c r="AO956" s="799"/>
      <c r="AP956" s="799"/>
      <c r="AQ956" s="799"/>
      <c r="AR956" s="799"/>
      <c r="AS956" s="799"/>
      <c r="AT956" s="799"/>
      <c r="AU956" s="799"/>
      <c r="AV956" s="799"/>
      <c r="AW956" s="799"/>
      <c r="AX956" s="799"/>
      <c r="AY956" s="799"/>
      <c r="AZ956" s="799"/>
      <c r="BA956" s="799"/>
      <c r="BB956" s="799"/>
      <c r="BC956" s="799"/>
      <c r="BD956" s="799"/>
      <c r="BE956" s="799"/>
      <c r="BF956" s="799"/>
      <c r="BG956" s="799"/>
    </row>
    <row r="957">
      <c r="H957" s="799"/>
      <c r="I957" s="799"/>
      <c r="J957" s="799"/>
      <c r="K957" s="799"/>
      <c r="L957" s="799"/>
      <c r="M957" s="799"/>
      <c r="N957" s="799"/>
      <c r="O957" s="799"/>
      <c r="P957" s="799"/>
      <c r="Q957" s="799"/>
      <c r="R957" s="799"/>
      <c r="S957" s="799"/>
      <c r="T957" s="799"/>
      <c r="U957" s="799"/>
      <c r="V957" s="799"/>
      <c r="W957" s="799"/>
      <c r="X957" s="799"/>
      <c r="Y957" s="799"/>
      <c r="Z957" s="799"/>
      <c r="AA957" s="799"/>
      <c r="AB957" s="799"/>
      <c r="AC957" s="799"/>
      <c r="AD957" s="799"/>
      <c r="AE957" s="799"/>
      <c r="AF957" s="799"/>
      <c r="AG957" s="799"/>
      <c r="AH957" s="799"/>
      <c r="AI957" s="799"/>
      <c r="AJ957" s="799"/>
      <c r="AK957" s="799"/>
      <c r="AL957" s="799"/>
      <c r="AM957" s="799"/>
      <c r="AN957" s="799"/>
      <c r="AO957" s="799"/>
      <c r="AP957" s="799"/>
      <c r="AQ957" s="799"/>
      <c r="AR957" s="799"/>
      <c r="AS957" s="799"/>
      <c r="AT957" s="799"/>
      <c r="AU957" s="799"/>
      <c r="AV957" s="799"/>
      <c r="AW957" s="799"/>
      <c r="AX957" s="799"/>
      <c r="AY957" s="799"/>
      <c r="AZ957" s="799"/>
      <c r="BA957" s="799"/>
      <c r="BB957" s="799"/>
      <c r="BC957" s="799"/>
      <c r="BD957" s="799"/>
      <c r="BE957" s="799"/>
      <c r="BF957" s="799"/>
      <c r="BG957" s="799"/>
    </row>
    <row r="958">
      <c r="H958" s="799"/>
      <c r="I958" s="799"/>
      <c r="J958" s="799"/>
      <c r="K958" s="799"/>
      <c r="L958" s="799"/>
      <c r="M958" s="799"/>
      <c r="N958" s="799"/>
      <c r="O958" s="799"/>
      <c r="P958" s="799"/>
      <c r="Q958" s="799"/>
      <c r="R958" s="799"/>
      <c r="S958" s="799"/>
      <c r="T958" s="799"/>
      <c r="U958" s="799"/>
      <c r="V958" s="799"/>
      <c r="W958" s="799"/>
      <c r="X958" s="799"/>
      <c r="Y958" s="799"/>
      <c r="Z958" s="799"/>
      <c r="AA958" s="799"/>
      <c r="AB958" s="799"/>
      <c r="AC958" s="799"/>
      <c r="AD958" s="799"/>
      <c r="AE958" s="799"/>
      <c r="AF958" s="799"/>
      <c r="AG958" s="799"/>
      <c r="AH958" s="799"/>
      <c r="AI958" s="799"/>
      <c r="AJ958" s="799"/>
      <c r="AK958" s="799"/>
      <c r="AL958" s="799"/>
      <c r="AM958" s="799"/>
      <c r="AN958" s="799"/>
      <c r="AO958" s="799"/>
      <c r="AP958" s="799"/>
      <c r="AQ958" s="799"/>
      <c r="AR958" s="799"/>
      <c r="AS958" s="799"/>
      <c r="AT958" s="799"/>
      <c r="AU958" s="799"/>
      <c r="AV958" s="799"/>
      <c r="AW958" s="799"/>
      <c r="AX958" s="799"/>
      <c r="AY958" s="799"/>
      <c r="AZ958" s="799"/>
      <c r="BA958" s="799"/>
      <c r="BB958" s="799"/>
      <c r="BC958" s="799"/>
      <c r="BD958" s="799"/>
      <c r="BE958" s="799"/>
      <c r="BF958" s="799"/>
      <c r="BG958" s="799"/>
    </row>
    <row r="959">
      <c r="H959" s="799"/>
      <c r="I959" s="799"/>
      <c r="J959" s="799"/>
      <c r="K959" s="799"/>
      <c r="L959" s="799"/>
      <c r="M959" s="799"/>
      <c r="N959" s="799"/>
      <c r="O959" s="799"/>
      <c r="P959" s="799"/>
      <c r="Q959" s="799"/>
      <c r="R959" s="799"/>
      <c r="S959" s="799"/>
      <c r="T959" s="799"/>
      <c r="U959" s="799"/>
      <c r="V959" s="799"/>
      <c r="W959" s="799"/>
      <c r="X959" s="799"/>
      <c r="Y959" s="799"/>
      <c r="Z959" s="799"/>
      <c r="AA959" s="799"/>
      <c r="AB959" s="799"/>
      <c r="AC959" s="799"/>
      <c r="AD959" s="799"/>
      <c r="AE959" s="799"/>
      <c r="AF959" s="799"/>
      <c r="AG959" s="799"/>
      <c r="AH959" s="799"/>
      <c r="AI959" s="799"/>
      <c r="AJ959" s="799"/>
      <c r="AK959" s="799"/>
      <c r="AL959" s="799"/>
      <c r="AM959" s="799"/>
      <c r="AN959" s="799"/>
      <c r="AO959" s="799"/>
      <c r="AP959" s="799"/>
      <c r="AQ959" s="799"/>
      <c r="AR959" s="799"/>
      <c r="AS959" s="799"/>
      <c r="AT959" s="799"/>
      <c r="AU959" s="799"/>
      <c r="AV959" s="799"/>
      <c r="AW959" s="799"/>
      <c r="AX959" s="799"/>
      <c r="AY959" s="799"/>
      <c r="AZ959" s="799"/>
      <c r="BA959" s="799"/>
      <c r="BB959" s="799"/>
      <c r="BC959" s="799"/>
      <c r="BD959" s="799"/>
      <c r="BE959" s="799"/>
      <c r="BF959" s="799"/>
      <c r="BG959" s="799"/>
    </row>
    <row r="960">
      <c r="H960" s="799"/>
      <c r="I960" s="799"/>
      <c r="J960" s="799"/>
      <c r="K960" s="799"/>
      <c r="L960" s="799"/>
      <c r="M960" s="799"/>
      <c r="N960" s="799"/>
      <c r="O960" s="799"/>
      <c r="P960" s="799"/>
      <c r="Q960" s="799"/>
      <c r="R960" s="799"/>
      <c r="S960" s="799"/>
      <c r="T960" s="799"/>
      <c r="U960" s="799"/>
      <c r="V960" s="799"/>
      <c r="W960" s="799"/>
      <c r="X960" s="799"/>
      <c r="Y960" s="799"/>
      <c r="Z960" s="799"/>
      <c r="AA960" s="799"/>
      <c r="AB960" s="799"/>
      <c r="AC960" s="799"/>
      <c r="AD960" s="799"/>
      <c r="AE960" s="799"/>
      <c r="AF960" s="799"/>
      <c r="AG960" s="799"/>
      <c r="AH960" s="799"/>
      <c r="AI960" s="799"/>
      <c r="AJ960" s="799"/>
      <c r="AK960" s="799"/>
      <c r="AL960" s="799"/>
      <c r="AM960" s="799"/>
      <c r="AN960" s="799"/>
      <c r="AO960" s="799"/>
      <c r="AP960" s="799"/>
      <c r="AQ960" s="799"/>
      <c r="AR960" s="799"/>
      <c r="AS960" s="799"/>
      <c r="AT960" s="799"/>
      <c r="AU960" s="799"/>
      <c r="AV960" s="799"/>
      <c r="AW960" s="799"/>
      <c r="AX960" s="799"/>
      <c r="AY960" s="799"/>
      <c r="AZ960" s="799"/>
      <c r="BA960" s="799"/>
      <c r="BB960" s="799"/>
      <c r="BC960" s="799"/>
      <c r="BD960" s="799"/>
      <c r="BE960" s="799"/>
      <c r="BF960" s="799"/>
      <c r="BG960" s="799"/>
    </row>
    <row r="961">
      <c r="H961" s="799"/>
      <c r="I961" s="799"/>
      <c r="J961" s="799"/>
      <c r="K961" s="799"/>
      <c r="L961" s="799"/>
      <c r="M961" s="799"/>
      <c r="N961" s="799"/>
      <c r="O961" s="799"/>
      <c r="P961" s="799"/>
      <c r="Q961" s="799"/>
      <c r="R961" s="799"/>
      <c r="S961" s="799"/>
      <c r="T961" s="799"/>
      <c r="U961" s="799"/>
      <c r="V961" s="799"/>
      <c r="W961" s="799"/>
      <c r="X961" s="799"/>
      <c r="Y961" s="799"/>
      <c r="Z961" s="799"/>
      <c r="AA961" s="799"/>
      <c r="AB961" s="799"/>
      <c r="AC961" s="799"/>
      <c r="AD961" s="799"/>
      <c r="AE961" s="799"/>
      <c r="AF961" s="799"/>
      <c r="AG961" s="799"/>
      <c r="AH961" s="799"/>
      <c r="AI961" s="799"/>
      <c r="AJ961" s="799"/>
      <c r="AK961" s="799"/>
      <c r="AL961" s="799"/>
      <c r="AM961" s="799"/>
      <c r="AN961" s="799"/>
      <c r="AO961" s="799"/>
      <c r="AP961" s="799"/>
      <c r="AQ961" s="799"/>
      <c r="AR961" s="799"/>
      <c r="AS961" s="799"/>
      <c r="AT961" s="799"/>
      <c r="AU961" s="799"/>
      <c r="AV961" s="799"/>
      <c r="AW961" s="799"/>
      <c r="AX961" s="799"/>
      <c r="AY961" s="799"/>
      <c r="AZ961" s="799"/>
      <c r="BA961" s="799"/>
      <c r="BB961" s="799"/>
      <c r="BC961" s="799"/>
      <c r="BD961" s="799"/>
      <c r="BE961" s="799"/>
      <c r="BF961" s="799"/>
      <c r="BG961" s="799"/>
    </row>
    <row r="962">
      <c r="H962" s="799"/>
      <c r="I962" s="799"/>
      <c r="J962" s="799"/>
      <c r="K962" s="799"/>
      <c r="L962" s="799"/>
      <c r="M962" s="799"/>
      <c r="N962" s="799"/>
      <c r="O962" s="799"/>
      <c r="P962" s="799"/>
      <c r="Q962" s="799"/>
      <c r="R962" s="799"/>
      <c r="S962" s="799"/>
      <c r="T962" s="799"/>
      <c r="U962" s="799"/>
      <c r="V962" s="799"/>
      <c r="W962" s="799"/>
      <c r="X962" s="799"/>
      <c r="Y962" s="799"/>
      <c r="Z962" s="799"/>
      <c r="AA962" s="799"/>
      <c r="AB962" s="799"/>
      <c r="AC962" s="799"/>
      <c r="AD962" s="799"/>
      <c r="AE962" s="799"/>
      <c r="AF962" s="799"/>
      <c r="AG962" s="799"/>
      <c r="AH962" s="799"/>
      <c r="AI962" s="799"/>
      <c r="AJ962" s="799"/>
      <c r="AK962" s="799"/>
      <c r="AL962" s="799"/>
      <c r="AM962" s="799"/>
      <c r="AN962" s="799"/>
      <c r="AO962" s="799"/>
      <c r="AP962" s="799"/>
      <c r="AQ962" s="799"/>
      <c r="AR962" s="799"/>
      <c r="AS962" s="799"/>
      <c r="AT962" s="799"/>
      <c r="AU962" s="799"/>
      <c r="AV962" s="799"/>
      <c r="AW962" s="799"/>
      <c r="AX962" s="799"/>
      <c r="AY962" s="799"/>
      <c r="AZ962" s="799"/>
      <c r="BA962" s="799"/>
      <c r="BB962" s="799"/>
      <c r="BC962" s="799"/>
      <c r="BD962" s="799"/>
      <c r="BE962" s="799"/>
      <c r="BF962" s="799"/>
      <c r="BG962" s="799"/>
    </row>
    <row r="963">
      <c r="H963" s="799"/>
      <c r="I963" s="799"/>
      <c r="J963" s="799"/>
      <c r="K963" s="799"/>
      <c r="L963" s="799"/>
      <c r="M963" s="799"/>
      <c r="N963" s="799"/>
      <c r="O963" s="799"/>
      <c r="P963" s="799"/>
      <c r="Q963" s="799"/>
      <c r="R963" s="799"/>
      <c r="S963" s="799"/>
      <c r="T963" s="799"/>
      <c r="U963" s="799"/>
      <c r="V963" s="799"/>
      <c r="W963" s="799"/>
      <c r="X963" s="799"/>
      <c r="Y963" s="799"/>
      <c r="Z963" s="799"/>
      <c r="AA963" s="799"/>
      <c r="AB963" s="799"/>
      <c r="AC963" s="799"/>
      <c r="AD963" s="799"/>
      <c r="AE963" s="799"/>
      <c r="AF963" s="799"/>
      <c r="AG963" s="799"/>
      <c r="AH963" s="799"/>
      <c r="AI963" s="799"/>
      <c r="AJ963" s="799"/>
      <c r="AK963" s="799"/>
      <c r="AL963" s="799"/>
      <c r="AM963" s="799"/>
      <c r="AN963" s="799"/>
      <c r="AO963" s="799"/>
      <c r="AP963" s="799"/>
      <c r="AQ963" s="799"/>
      <c r="AR963" s="799"/>
      <c r="AS963" s="799"/>
      <c r="AT963" s="799"/>
      <c r="AU963" s="799"/>
      <c r="AV963" s="799"/>
      <c r="AW963" s="799"/>
      <c r="AX963" s="799"/>
      <c r="AY963" s="799"/>
      <c r="AZ963" s="799"/>
      <c r="BA963" s="799"/>
      <c r="BB963" s="799"/>
      <c r="BC963" s="799"/>
      <c r="BD963" s="799"/>
      <c r="BE963" s="799"/>
      <c r="BF963" s="799"/>
      <c r="BG963" s="799"/>
    </row>
    <row r="964">
      <c r="H964" s="799"/>
      <c r="I964" s="799"/>
      <c r="J964" s="799"/>
      <c r="K964" s="799"/>
      <c r="L964" s="799"/>
      <c r="M964" s="799"/>
      <c r="N964" s="799"/>
      <c r="O964" s="799"/>
      <c r="P964" s="799"/>
      <c r="Q964" s="799"/>
      <c r="R964" s="799"/>
      <c r="S964" s="799"/>
      <c r="T964" s="799"/>
      <c r="U964" s="799"/>
      <c r="V964" s="799"/>
      <c r="W964" s="799"/>
      <c r="X964" s="799"/>
      <c r="Y964" s="799"/>
      <c r="Z964" s="799"/>
      <c r="AA964" s="799"/>
      <c r="AB964" s="799"/>
      <c r="AC964" s="799"/>
      <c r="AD964" s="799"/>
      <c r="AE964" s="799"/>
      <c r="AF964" s="799"/>
      <c r="AG964" s="799"/>
      <c r="AH964" s="799"/>
      <c r="AI964" s="799"/>
      <c r="AJ964" s="799"/>
      <c r="AK964" s="799"/>
      <c r="AL964" s="799"/>
      <c r="AM964" s="799"/>
      <c r="AN964" s="799"/>
      <c r="AO964" s="799"/>
      <c r="AP964" s="799"/>
      <c r="AQ964" s="799"/>
      <c r="AR964" s="799"/>
      <c r="AS964" s="799"/>
      <c r="AT964" s="799"/>
      <c r="AU964" s="799"/>
      <c r="AV964" s="799"/>
      <c r="AW964" s="799"/>
      <c r="AX964" s="799"/>
      <c r="AY964" s="799"/>
      <c r="AZ964" s="799"/>
      <c r="BA964" s="799"/>
      <c r="BB964" s="799"/>
      <c r="BC964" s="799"/>
      <c r="BD964" s="799"/>
      <c r="BE964" s="799"/>
      <c r="BF964" s="799"/>
      <c r="BG964" s="799"/>
    </row>
    <row r="965">
      <c r="H965" s="799"/>
      <c r="I965" s="799"/>
      <c r="J965" s="799"/>
      <c r="K965" s="799"/>
      <c r="L965" s="799"/>
      <c r="M965" s="799"/>
      <c r="N965" s="799"/>
      <c r="O965" s="799"/>
      <c r="P965" s="799"/>
      <c r="Q965" s="799"/>
      <c r="R965" s="799"/>
      <c r="S965" s="799"/>
      <c r="T965" s="799"/>
      <c r="U965" s="799"/>
      <c r="V965" s="799"/>
      <c r="W965" s="799"/>
      <c r="X965" s="799"/>
      <c r="Y965" s="799"/>
      <c r="Z965" s="799"/>
      <c r="AA965" s="799"/>
      <c r="AB965" s="799"/>
      <c r="AC965" s="799"/>
      <c r="AD965" s="799"/>
      <c r="AE965" s="799"/>
      <c r="AF965" s="799"/>
      <c r="AG965" s="799"/>
      <c r="AH965" s="799"/>
      <c r="AI965" s="799"/>
      <c r="AJ965" s="799"/>
      <c r="AK965" s="799"/>
      <c r="AL965" s="799"/>
      <c r="AM965" s="799"/>
      <c r="AN965" s="799"/>
      <c r="AO965" s="799"/>
      <c r="AP965" s="799"/>
      <c r="AQ965" s="799"/>
      <c r="AR965" s="799"/>
      <c r="AS965" s="799"/>
      <c r="AT965" s="799"/>
      <c r="AU965" s="799"/>
      <c r="AV965" s="799"/>
      <c r="AW965" s="799"/>
      <c r="AX965" s="799"/>
      <c r="AY965" s="799"/>
      <c r="AZ965" s="799"/>
      <c r="BA965" s="799"/>
      <c r="BB965" s="799"/>
      <c r="BC965" s="799"/>
      <c r="BD965" s="799"/>
      <c r="BE965" s="799"/>
      <c r="BF965" s="799"/>
      <c r="BG965" s="799"/>
    </row>
    <row r="966">
      <c r="H966" s="799"/>
      <c r="I966" s="799"/>
      <c r="J966" s="799"/>
      <c r="K966" s="799"/>
      <c r="L966" s="799"/>
      <c r="M966" s="799"/>
      <c r="N966" s="799"/>
      <c r="O966" s="799"/>
      <c r="P966" s="799"/>
      <c r="Q966" s="799"/>
      <c r="R966" s="799"/>
      <c r="S966" s="799"/>
      <c r="T966" s="799"/>
      <c r="U966" s="799"/>
      <c r="V966" s="799"/>
      <c r="W966" s="799"/>
      <c r="X966" s="799"/>
      <c r="Y966" s="799"/>
      <c r="Z966" s="799"/>
      <c r="AA966" s="799"/>
      <c r="AB966" s="799"/>
      <c r="AC966" s="799"/>
      <c r="AD966" s="799"/>
      <c r="AE966" s="799"/>
      <c r="AF966" s="799"/>
      <c r="AG966" s="799"/>
      <c r="AH966" s="799"/>
      <c r="AI966" s="799"/>
      <c r="AJ966" s="799"/>
      <c r="AK966" s="799"/>
      <c r="AL966" s="799"/>
      <c r="AM966" s="799"/>
      <c r="AN966" s="799"/>
      <c r="AO966" s="799"/>
      <c r="AP966" s="799"/>
      <c r="AQ966" s="799"/>
      <c r="AR966" s="799"/>
      <c r="AS966" s="799"/>
      <c r="AT966" s="799"/>
      <c r="AU966" s="799"/>
      <c r="AV966" s="799"/>
      <c r="AW966" s="799"/>
      <c r="AX966" s="799"/>
      <c r="AY966" s="799"/>
      <c r="AZ966" s="799"/>
      <c r="BA966" s="799"/>
      <c r="BB966" s="799"/>
      <c r="BC966" s="799"/>
      <c r="BD966" s="799"/>
      <c r="BE966" s="799"/>
      <c r="BF966" s="799"/>
      <c r="BG966" s="799"/>
    </row>
    <row r="967">
      <c r="H967" s="799"/>
      <c r="I967" s="799"/>
      <c r="J967" s="799"/>
      <c r="K967" s="799"/>
      <c r="L967" s="799"/>
      <c r="M967" s="799"/>
      <c r="N967" s="799"/>
      <c r="O967" s="799"/>
      <c r="P967" s="799"/>
      <c r="Q967" s="799"/>
      <c r="R967" s="799"/>
      <c r="S967" s="799"/>
      <c r="T967" s="799"/>
      <c r="U967" s="799"/>
      <c r="V967" s="799"/>
      <c r="W967" s="799"/>
      <c r="X967" s="799"/>
      <c r="Y967" s="799"/>
      <c r="Z967" s="799"/>
      <c r="AA967" s="799"/>
      <c r="AB967" s="799"/>
      <c r="AC967" s="799"/>
      <c r="AD967" s="799"/>
      <c r="AE967" s="799"/>
      <c r="AF967" s="799"/>
      <c r="AG967" s="799"/>
      <c r="AH967" s="799"/>
      <c r="AI967" s="799"/>
      <c r="AJ967" s="799"/>
      <c r="AK967" s="799"/>
      <c r="AL967" s="799"/>
      <c r="AM967" s="799"/>
      <c r="AN967" s="799"/>
      <c r="AO967" s="799"/>
      <c r="AP967" s="799"/>
      <c r="AQ967" s="799"/>
      <c r="AR967" s="799"/>
      <c r="AS967" s="799"/>
      <c r="AT967" s="799"/>
      <c r="AU967" s="799"/>
      <c r="AV967" s="799"/>
      <c r="AW967" s="799"/>
      <c r="AX967" s="799"/>
      <c r="AY967" s="799"/>
      <c r="AZ967" s="799"/>
      <c r="BA967" s="799"/>
      <c r="BB967" s="799"/>
      <c r="BC967" s="799"/>
      <c r="BD967" s="799"/>
      <c r="BE967" s="799"/>
      <c r="BF967" s="799"/>
      <c r="BG967" s="799"/>
    </row>
    <row r="968">
      <c r="H968" s="799"/>
      <c r="I968" s="799"/>
      <c r="J968" s="799"/>
      <c r="K968" s="799"/>
      <c r="L968" s="799"/>
      <c r="M968" s="799"/>
      <c r="N968" s="799"/>
      <c r="O968" s="799"/>
      <c r="P968" s="799"/>
      <c r="Q968" s="799"/>
      <c r="R968" s="799"/>
      <c r="S968" s="799"/>
      <c r="T968" s="799"/>
      <c r="U968" s="799"/>
      <c r="V968" s="799"/>
      <c r="W968" s="799"/>
      <c r="X968" s="799"/>
      <c r="Y968" s="799"/>
      <c r="Z968" s="799"/>
      <c r="AA968" s="799"/>
      <c r="AB968" s="799"/>
      <c r="AC968" s="799"/>
      <c r="AD968" s="799"/>
      <c r="AE968" s="799"/>
      <c r="AF968" s="799"/>
      <c r="AG968" s="799"/>
      <c r="AH968" s="799"/>
      <c r="AI968" s="799"/>
      <c r="AJ968" s="799"/>
      <c r="AK968" s="799"/>
      <c r="AL968" s="799"/>
      <c r="AM968" s="799"/>
      <c r="AN968" s="799"/>
      <c r="AO968" s="799"/>
      <c r="AP968" s="799"/>
      <c r="AQ968" s="799"/>
      <c r="AR968" s="799"/>
      <c r="AS968" s="799"/>
      <c r="AT968" s="799"/>
      <c r="AU968" s="799"/>
      <c r="AV968" s="799"/>
      <c r="AW968" s="799"/>
      <c r="AX968" s="799"/>
      <c r="AY968" s="799"/>
      <c r="AZ968" s="799"/>
      <c r="BA968" s="799"/>
      <c r="BB968" s="799"/>
      <c r="BC968" s="799"/>
      <c r="BD968" s="799"/>
      <c r="BE968" s="799"/>
      <c r="BF968" s="799"/>
      <c r="BG968" s="799"/>
    </row>
    <row r="969">
      <c r="H969" s="799"/>
      <c r="I969" s="799"/>
      <c r="J969" s="799"/>
      <c r="K969" s="799"/>
      <c r="L969" s="799"/>
      <c r="M969" s="799"/>
      <c r="N969" s="799"/>
      <c r="O969" s="799"/>
      <c r="P969" s="799"/>
      <c r="Q969" s="799"/>
      <c r="R969" s="799"/>
      <c r="S969" s="799"/>
      <c r="T969" s="799"/>
      <c r="U969" s="799"/>
      <c r="V969" s="799"/>
      <c r="W969" s="799"/>
      <c r="X969" s="799"/>
      <c r="Y969" s="799"/>
      <c r="Z969" s="799"/>
      <c r="AA969" s="799"/>
      <c r="AB969" s="799"/>
      <c r="AC969" s="799"/>
      <c r="AD969" s="799"/>
      <c r="AE969" s="799"/>
      <c r="AF969" s="799"/>
      <c r="AG969" s="799"/>
      <c r="AH969" s="799"/>
      <c r="AI969" s="799"/>
      <c r="AJ969" s="799"/>
      <c r="AK969" s="799"/>
      <c r="AL969" s="799"/>
      <c r="AM969" s="799"/>
      <c r="AN969" s="799"/>
      <c r="AO969" s="799"/>
      <c r="AP969" s="799"/>
      <c r="AQ969" s="799"/>
      <c r="AR969" s="799"/>
      <c r="AS969" s="799"/>
      <c r="AT969" s="799"/>
      <c r="AU969" s="799"/>
      <c r="AV969" s="799"/>
      <c r="AW969" s="799"/>
      <c r="AX969" s="799"/>
      <c r="AY969" s="799"/>
      <c r="AZ969" s="799"/>
      <c r="BA969" s="799"/>
      <c r="BB969" s="799"/>
      <c r="BC969" s="799"/>
      <c r="BD969" s="799"/>
      <c r="BE969" s="799"/>
      <c r="BF969" s="799"/>
      <c r="BG969" s="799"/>
    </row>
    <row r="970">
      <c r="H970" s="799"/>
      <c r="I970" s="799"/>
      <c r="J970" s="799"/>
      <c r="K970" s="799"/>
      <c r="L970" s="799"/>
      <c r="M970" s="799"/>
      <c r="N970" s="799"/>
      <c r="O970" s="799"/>
      <c r="P970" s="799"/>
      <c r="Q970" s="799"/>
      <c r="R970" s="799"/>
      <c r="S970" s="799"/>
      <c r="T970" s="799"/>
      <c r="U970" s="799"/>
      <c r="V970" s="799"/>
      <c r="W970" s="799"/>
      <c r="X970" s="799"/>
      <c r="Y970" s="799"/>
      <c r="Z970" s="799"/>
      <c r="AA970" s="799"/>
      <c r="AB970" s="799"/>
      <c r="AC970" s="799"/>
      <c r="AD970" s="799"/>
      <c r="AE970" s="799"/>
      <c r="AF970" s="799"/>
      <c r="AG970" s="799"/>
      <c r="AH970" s="799"/>
      <c r="AI970" s="799"/>
      <c r="AJ970" s="799"/>
      <c r="AK970" s="799"/>
      <c r="AL970" s="799"/>
      <c r="AM970" s="799"/>
      <c r="AN970" s="799"/>
      <c r="AO970" s="799"/>
      <c r="AP970" s="799"/>
      <c r="AQ970" s="799"/>
      <c r="AR970" s="799"/>
      <c r="AS970" s="799"/>
      <c r="AT970" s="799"/>
      <c r="AU970" s="799"/>
      <c r="AV970" s="799"/>
      <c r="AW970" s="799"/>
      <c r="AX970" s="799"/>
      <c r="AY970" s="799"/>
      <c r="AZ970" s="799"/>
      <c r="BA970" s="799"/>
      <c r="BB970" s="799"/>
      <c r="BC970" s="799"/>
      <c r="BD970" s="799"/>
      <c r="BE970" s="799"/>
      <c r="BF970" s="799"/>
      <c r="BG970" s="799"/>
    </row>
    <row r="971">
      <c r="H971" s="799"/>
      <c r="I971" s="799"/>
      <c r="J971" s="799"/>
      <c r="K971" s="799"/>
      <c r="L971" s="799"/>
      <c r="M971" s="799"/>
      <c r="N971" s="799"/>
      <c r="O971" s="799"/>
      <c r="P971" s="799"/>
      <c r="Q971" s="799"/>
      <c r="R971" s="799"/>
      <c r="S971" s="799"/>
      <c r="T971" s="799"/>
      <c r="U971" s="799"/>
      <c r="V971" s="799"/>
      <c r="W971" s="799"/>
      <c r="X971" s="799"/>
      <c r="Y971" s="799"/>
      <c r="Z971" s="799"/>
      <c r="AA971" s="799"/>
      <c r="AB971" s="799"/>
      <c r="AC971" s="799"/>
      <c r="AD971" s="799"/>
      <c r="AE971" s="799"/>
      <c r="AF971" s="799"/>
      <c r="AG971" s="799"/>
      <c r="AH971" s="799"/>
      <c r="AI971" s="799"/>
      <c r="AJ971" s="799"/>
      <c r="AK971" s="799"/>
      <c r="AL971" s="799"/>
      <c r="AM971" s="799"/>
      <c r="AN971" s="799"/>
      <c r="AO971" s="799"/>
      <c r="AP971" s="799"/>
      <c r="AQ971" s="799"/>
      <c r="AR971" s="799"/>
      <c r="AS971" s="799"/>
      <c r="AT971" s="799"/>
      <c r="AU971" s="799"/>
      <c r="AV971" s="799"/>
      <c r="AW971" s="799"/>
      <c r="AX971" s="799"/>
      <c r="AY971" s="799"/>
      <c r="AZ971" s="799"/>
      <c r="BA971" s="799"/>
      <c r="BB971" s="799"/>
      <c r="BC971" s="799"/>
      <c r="BD971" s="799"/>
      <c r="BE971" s="799"/>
      <c r="BF971" s="799"/>
      <c r="BG971" s="799"/>
    </row>
    <row r="972">
      <c r="H972" s="799"/>
      <c r="I972" s="799"/>
      <c r="J972" s="799"/>
      <c r="K972" s="799"/>
      <c r="L972" s="799"/>
      <c r="M972" s="799"/>
      <c r="N972" s="799"/>
      <c r="O972" s="799"/>
      <c r="P972" s="799"/>
      <c r="Q972" s="799"/>
      <c r="R972" s="799"/>
      <c r="S972" s="799"/>
      <c r="T972" s="799"/>
      <c r="U972" s="799"/>
      <c r="V972" s="799"/>
      <c r="W972" s="799"/>
      <c r="X972" s="799"/>
      <c r="Y972" s="799"/>
      <c r="Z972" s="799"/>
      <c r="AA972" s="799"/>
      <c r="AB972" s="799"/>
      <c r="AC972" s="799"/>
      <c r="AD972" s="799"/>
      <c r="AE972" s="799"/>
      <c r="AF972" s="799"/>
      <c r="AG972" s="799"/>
      <c r="AH972" s="799"/>
      <c r="AI972" s="799"/>
      <c r="AJ972" s="799"/>
      <c r="AK972" s="799"/>
      <c r="AL972" s="799"/>
      <c r="AM972" s="799"/>
      <c r="AN972" s="799"/>
      <c r="AO972" s="799"/>
      <c r="AP972" s="799"/>
      <c r="AQ972" s="799"/>
      <c r="AR972" s="799"/>
      <c r="AS972" s="799"/>
      <c r="AT972" s="799"/>
      <c r="AU972" s="799"/>
      <c r="AV972" s="799"/>
      <c r="AW972" s="799"/>
      <c r="AX972" s="799"/>
      <c r="AY972" s="799"/>
      <c r="AZ972" s="799"/>
      <c r="BA972" s="799"/>
      <c r="BB972" s="799"/>
      <c r="BC972" s="799"/>
      <c r="BD972" s="799"/>
      <c r="BE972" s="799"/>
      <c r="BF972" s="799"/>
      <c r="BG972" s="799"/>
    </row>
    <row r="973">
      <c r="H973" s="799"/>
      <c r="I973" s="799"/>
      <c r="J973" s="799"/>
      <c r="K973" s="799"/>
      <c r="L973" s="799"/>
      <c r="M973" s="799"/>
      <c r="N973" s="799"/>
      <c r="O973" s="799"/>
      <c r="P973" s="799"/>
      <c r="Q973" s="799"/>
      <c r="R973" s="799"/>
      <c r="S973" s="799"/>
      <c r="T973" s="799"/>
      <c r="U973" s="799"/>
      <c r="V973" s="799"/>
      <c r="W973" s="799"/>
      <c r="X973" s="799"/>
      <c r="Y973" s="799"/>
      <c r="Z973" s="799"/>
      <c r="AA973" s="799"/>
      <c r="AB973" s="799"/>
      <c r="AC973" s="799"/>
      <c r="AD973" s="799"/>
      <c r="AE973" s="799"/>
      <c r="AF973" s="799"/>
      <c r="AG973" s="799"/>
      <c r="AH973" s="799"/>
      <c r="AI973" s="799"/>
      <c r="AJ973" s="799"/>
      <c r="AK973" s="799"/>
      <c r="AL973" s="799"/>
      <c r="AM973" s="799"/>
      <c r="AN973" s="799"/>
      <c r="AO973" s="799"/>
      <c r="AP973" s="799"/>
      <c r="AQ973" s="799"/>
      <c r="AR973" s="799"/>
      <c r="AS973" s="799"/>
      <c r="AT973" s="799"/>
      <c r="AU973" s="799"/>
      <c r="AV973" s="799"/>
      <c r="AW973" s="799"/>
      <c r="AX973" s="799"/>
      <c r="AY973" s="799"/>
      <c r="AZ973" s="799"/>
      <c r="BA973" s="799"/>
      <c r="BB973" s="799"/>
      <c r="BC973" s="799"/>
      <c r="BD973" s="799"/>
      <c r="BE973" s="799"/>
      <c r="BF973" s="799"/>
      <c r="BG973" s="799"/>
    </row>
    <row r="974">
      <c r="H974" s="799"/>
      <c r="I974" s="799"/>
      <c r="J974" s="799"/>
      <c r="K974" s="799"/>
      <c r="L974" s="799"/>
      <c r="M974" s="799"/>
      <c r="N974" s="799"/>
      <c r="O974" s="799"/>
      <c r="P974" s="799"/>
      <c r="Q974" s="799"/>
      <c r="R974" s="799"/>
      <c r="S974" s="799"/>
      <c r="T974" s="799"/>
      <c r="U974" s="799"/>
      <c r="V974" s="799"/>
      <c r="W974" s="799"/>
      <c r="X974" s="799"/>
      <c r="Y974" s="799"/>
      <c r="Z974" s="799"/>
      <c r="AA974" s="799"/>
      <c r="AB974" s="799"/>
      <c r="AC974" s="799"/>
      <c r="AD974" s="799"/>
      <c r="AE974" s="799"/>
      <c r="AF974" s="799"/>
      <c r="AG974" s="799"/>
      <c r="AH974" s="799"/>
      <c r="AI974" s="799"/>
      <c r="AJ974" s="799"/>
      <c r="AK974" s="799"/>
      <c r="AL974" s="799"/>
      <c r="AM974" s="799"/>
      <c r="AN974" s="799"/>
      <c r="AO974" s="799"/>
      <c r="AP974" s="799"/>
      <c r="AQ974" s="799"/>
      <c r="AR974" s="799"/>
      <c r="AS974" s="799"/>
      <c r="AT974" s="799"/>
      <c r="AU974" s="799"/>
      <c r="AV974" s="799"/>
      <c r="AW974" s="799"/>
      <c r="AX974" s="799"/>
      <c r="AY974" s="799"/>
      <c r="AZ974" s="799"/>
      <c r="BA974" s="799"/>
      <c r="BB974" s="799"/>
      <c r="BC974" s="799"/>
      <c r="BD974" s="799"/>
      <c r="BE974" s="799"/>
      <c r="BF974" s="799"/>
      <c r="BG974" s="799"/>
    </row>
    <row r="975">
      <c r="H975" s="799"/>
      <c r="I975" s="799"/>
      <c r="J975" s="799"/>
      <c r="K975" s="799"/>
      <c r="L975" s="799"/>
      <c r="M975" s="799"/>
      <c r="N975" s="799"/>
      <c r="O975" s="799"/>
      <c r="P975" s="799"/>
      <c r="Q975" s="799"/>
      <c r="R975" s="799"/>
      <c r="S975" s="799"/>
      <c r="T975" s="799"/>
      <c r="U975" s="799"/>
      <c r="V975" s="799"/>
      <c r="W975" s="799"/>
      <c r="X975" s="799"/>
      <c r="Y975" s="799"/>
      <c r="Z975" s="799"/>
      <c r="AA975" s="799"/>
      <c r="AB975" s="799"/>
      <c r="AC975" s="799"/>
      <c r="AD975" s="799"/>
      <c r="AE975" s="799"/>
      <c r="AF975" s="799"/>
      <c r="AG975" s="799"/>
      <c r="AH975" s="799"/>
      <c r="AI975" s="799"/>
      <c r="AJ975" s="799"/>
      <c r="AK975" s="799"/>
      <c r="AL975" s="799"/>
      <c r="AM975" s="799"/>
      <c r="AN975" s="799"/>
      <c r="AO975" s="799"/>
      <c r="AP975" s="799"/>
      <c r="AQ975" s="799"/>
      <c r="AR975" s="799"/>
      <c r="AS975" s="799"/>
      <c r="AT975" s="799"/>
      <c r="AU975" s="799"/>
      <c r="AV975" s="799"/>
      <c r="AW975" s="799"/>
      <c r="AX975" s="799"/>
      <c r="AY975" s="799"/>
      <c r="AZ975" s="799"/>
      <c r="BA975" s="799"/>
      <c r="BB975" s="799"/>
      <c r="BC975" s="799"/>
      <c r="BD975" s="799"/>
      <c r="BE975" s="799"/>
      <c r="BF975" s="799"/>
      <c r="BG975" s="799"/>
    </row>
    <row r="976">
      <c r="H976" s="799"/>
      <c r="I976" s="799"/>
      <c r="J976" s="799"/>
      <c r="K976" s="799"/>
      <c r="L976" s="799"/>
      <c r="M976" s="799"/>
      <c r="N976" s="799"/>
      <c r="O976" s="799"/>
      <c r="P976" s="799"/>
      <c r="Q976" s="799"/>
      <c r="R976" s="799"/>
      <c r="S976" s="799"/>
      <c r="T976" s="799"/>
      <c r="U976" s="799"/>
      <c r="V976" s="799"/>
      <c r="W976" s="799"/>
      <c r="X976" s="799"/>
      <c r="Y976" s="799"/>
      <c r="Z976" s="799"/>
      <c r="AA976" s="799"/>
      <c r="AB976" s="799"/>
      <c r="AC976" s="799"/>
      <c r="AD976" s="799"/>
      <c r="AE976" s="799"/>
      <c r="AF976" s="799"/>
      <c r="AG976" s="799"/>
      <c r="AH976" s="799"/>
      <c r="AI976" s="799"/>
      <c r="AJ976" s="799"/>
      <c r="AK976" s="799"/>
      <c r="AL976" s="799"/>
      <c r="AM976" s="799"/>
      <c r="AN976" s="799"/>
      <c r="AO976" s="799"/>
      <c r="AP976" s="799"/>
      <c r="AQ976" s="799"/>
      <c r="AR976" s="799"/>
      <c r="AS976" s="799"/>
      <c r="AT976" s="799"/>
      <c r="AU976" s="799"/>
      <c r="AV976" s="799"/>
      <c r="AW976" s="799"/>
      <c r="AX976" s="799"/>
      <c r="AY976" s="799"/>
      <c r="AZ976" s="799"/>
      <c r="BA976" s="799"/>
      <c r="BB976" s="799"/>
      <c r="BC976" s="799"/>
      <c r="BD976" s="799"/>
      <c r="BE976" s="799"/>
      <c r="BF976" s="799"/>
      <c r="BG976" s="799"/>
    </row>
    <row r="977">
      <c r="H977" s="799"/>
      <c r="I977" s="799"/>
      <c r="J977" s="799"/>
      <c r="K977" s="799"/>
      <c r="L977" s="799"/>
      <c r="M977" s="799"/>
      <c r="N977" s="799"/>
      <c r="O977" s="799"/>
      <c r="P977" s="799"/>
      <c r="Q977" s="799"/>
      <c r="R977" s="799"/>
      <c r="S977" s="799"/>
      <c r="T977" s="799"/>
      <c r="U977" s="799"/>
      <c r="V977" s="799"/>
      <c r="W977" s="799"/>
      <c r="X977" s="799"/>
      <c r="Y977" s="799"/>
      <c r="Z977" s="799"/>
      <c r="AA977" s="799"/>
      <c r="AB977" s="799"/>
      <c r="AC977" s="799"/>
      <c r="AD977" s="799"/>
      <c r="AE977" s="799"/>
      <c r="AF977" s="799"/>
      <c r="AG977" s="799"/>
      <c r="AH977" s="799"/>
      <c r="AI977" s="799"/>
      <c r="AJ977" s="799"/>
      <c r="AK977" s="799"/>
      <c r="AL977" s="799"/>
      <c r="AM977" s="799"/>
      <c r="AN977" s="799"/>
      <c r="AO977" s="799"/>
      <c r="AP977" s="799"/>
      <c r="AQ977" s="799"/>
      <c r="AR977" s="799"/>
      <c r="AS977" s="799"/>
      <c r="AT977" s="799"/>
      <c r="AU977" s="799"/>
      <c r="AV977" s="799"/>
      <c r="AW977" s="799"/>
      <c r="AX977" s="799"/>
      <c r="AY977" s="799"/>
      <c r="AZ977" s="799"/>
      <c r="BA977" s="799"/>
      <c r="BB977" s="799"/>
      <c r="BC977" s="799"/>
      <c r="BD977" s="799"/>
      <c r="BE977" s="799"/>
      <c r="BF977" s="799"/>
      <c r="BG977" s="799"/>
    </row>
    <row r="978">
      <c r="H978" s="799"/>
      <c r="I978" s="799"/>
      <c r="J978" s="799"/>
      <c r="K978" s="799"/>
      <c r="L978" s="799"/>
      <c r="M978" s="799"/>
      <c r="N978" s="799"/>
      <c r="O978" s="799"/>
      <c r="P978" s="799"/>
      <c r="Q978" s="799"/>
      <c r="R978" s="799"/>
      <c r="S978" s="799"/>
      <c r="T978" s="799"/>
      <c r="U978" s="799"/>
      <c r="V978" s="799"/>
      <c r="W978" s="799"/>
      <c r="X978" s="799"/>
      <c r="Y978" s="799"/>
      <c r="Z978" s="799"/>
      <c r="AA978" s="799"/>
      <c r="AB978" s="799"/>
      <c r="AC978" s="799"/>
      <c r="AD978" s="799"/>
      <c r="AE978" s="799"/>
      <c r="AF978" s="799"/>
      <c r="AG978" s="799"/>
      <c r="AH978" s="799"/>
      <c r="AI978" s="799"/>
      <c r="AJ978" s="799"/>
      <c r="AK978" s="799"/>
      <c r="AL978" s="799"/>
      <c r="AM978" s="799"/>
      <c r="AN978" s="799"/>
      <c r="AO978" s="799"/>
      <c r="AP978" s="799"/>
      <c r="AQ978" s="799"/>
      <c r="AR978" s="799"/>
      <c r="AS978" s="799"/>
      <c r="AT978" s="799"/>
      <c r="AU978" s="799"/>
      <c r="AV978" s="799"/>
      <c r="AW978" s="799"/>
      <c r="AX978" s="799"/>
      <c r="AY978" s="799"/>
      <c r="AZ978" s="799"/>
      <c r="BA978" s="799"/>
      <c r="BB978" s="799"/>
      <c r="BC978" s="799"/>
      <c r="BD978" s="799"/>
      <c r="BE978" s="799"/>
      <c r="BF978" s="799"/>
      <c r="BG978" s="799"/>
    </row>
    <row r="979">
      <c r="H979" s="799"/>
      <c r="I979" s="799"/>
      <c r="J979" s="799"/>
      <c r="K979" s="799"/>
      <c r="L979" s="799"/>
      <c r="M979" s="799"/>
      <c r="N979" s="799"/>
      <c r="O979" s="799"/>
      <c r="P979" s="799"/>
      <c r="Q979" s="799"/>
      <c r="R979" s="799"/>
      <c r="S979" s="799"/>
      <c r="T979" s="799"/>
      <c r="U979" s="799"/>
      <c r="V979" s="799"/>
      <c r="W979" s="799"/>
      <c r="X979" s="799"/>
      <c r="Y979" s="799"/>
      <c r="Z979" s="799"/>
      <c r="AA979" s="799"/>
      <c r="AB979" s="799"/>
      <c r="AC979" s="799"/>
      <c r="AD979" s="799"/>
      <c r="AE979" s="799"/>
      <c r="AF979" s="799"/>
      <c r="AG979" s="799"/>
      <c r="AH979" s="799"/>
      <c r="AI979" s="799"/>
      <c r="AJ979" s="799"/>
      <c r="AK979" s="799"/>
      <c r="AL979" s="799"/>
      <c r="AM979" s="799"/>
      <c r="AN979" s="799"/>
      <c r="AO979" s="799"/>
      <c r="AP979" s="799"/>
      <c r="AQ979" s="799"/>
      <c r="AR979" s="799"/>
      <c r="AS979" s="799"/>
      <c r="AT979" s="799"/>
      <c r="AU979" s="799"/>
      <c r="AV979" s="799"/>
      <c r="AW979" s="799"/>
      <c r="AX979" s="799"/>
      <c r="AY979" s="799"/>
      <c r="AZ979" s="799"/>
      <c r="BA979" s="799"/>
      <c r="BB979" s="799"/>
      <c r="BC979" s="799"/>
      <c r="BD979" s="799"/>
      <c r="BE979" s="799"/>
      <c r="BF979" s="799"/>
      <c r="BG979" s="799"/>
    </row>
    <row r="980">
      <c r="H980" s="799"/>
      <c r="I980" s="799"/>
      <c r="J980" s="799"/>
      <c r="K980" s="799"/>
      <c r="L980" s="799"/>
      <c r="M980" s="799"/>
      <c r="N980" s="799"/>
      <c r="O980" s="799"/>
      <c r="P980" s="799"/>
      <c r="Q980" s="799"/>
      <c r="R980" s="799"/>
      <c r="S980" s="799"/>
      <c r="T980" s="799"/>
      <c r="U980" s="799"/>
      <c r="V980" s="799"/>
      <c r="W980" s="799"/>
      <c r="X980" s="799"/>
      <c r="Y980" s="799"/>
      <c r="Z980" s="799"/>
      <c r="AA980" s="799"/>
      <c r="AB980" s="799"/>
      <c r="AC980" s="799"/>
      <c r="AD980" s="799"/>
      <c r="AE980" s="799"/>
      <c r="AF980" s="799"/>
      <c r="AG980" s="799"/>
      <c r="AH980" s="799"/>
      <c r="AI980" s="799"/>
      <c r="AJ980" s="799"/>
      <c r="AK980" s="799"/>
      <c r="AL980" s="799"/>
      <c r="AM980" s="799"/>
      <c r="AN980" s="799"/>
      <c r="AO980" s="799"/>
      <c r="AP980" s="799"/>
      <c r="AQ980" s="799"/>
      <c r="AR980" s="799"/>
      <c r="AS980" s="799"/>
      <c r="AT980" s="799"/>
      <c r="AU980" s="799"/>
      <c r="AV980" s="799"/>
      <c r="AW980" s="799"/>
      <c r="AX980" s="799"/>
      <c r="AY980" s="799"/>
      <c r="AZ980" s="799"/>
      <c r="BA980" s="799"/>
      <c r="BB980" s="799"/>
      <c r="BC980" s="799"/>
      <c r="BD980" s="799"/>
      <c r="BE980" s="799"/>
      <c r="BF980" s="799"/>
      <c r="BG980" s="799"/>
    </row>
    <row r="981">
      <c r="H981" s="799"/>
      <c r="I981" s="799"/>
      <c r="J981" s="799"/>
      <c r="K981" s="799"/>
      <c r="L981" s="799"/>
      <c r="M981" s="799"/>
      <c r="N981" s="799"/>
      <c r="O981" s="799"/>
      <c r="P981" s="799"/>
      <c r="Q981" s="799"/>
      <c r="R981" s="799"/>
      <c r="S981" s="799"/>
      <c r="T981" s="799"/>
      <c r="U981" s="799"/>
      <c r="V981" s="799"/>
      <c r="W981" s="799"/>
      <c r="X981" s="799"/>
      <c r="Y981" s="799"/>
      <c r="Z981" s="799"/>
      <c r="AA981" s="799"/>
      <c r="AB981" s="799"/>
      <c r="AC981" s="799"/>
      <c r="AD981" s="799"/>
      <c r="AE981" s="799"/>
      <c r="AF981" s="799"/>
      <c r="AG981" s="799"/>
      <c r="AH981" s="799"/>
      <c r="AI981" s="799"/>
      <c r="AJ981" s="799"/>
      <c r="AK981" s="799"/>
      <c r="AL981" s="799"/>
      <c r="AM981" s="799"/>
      <c r="AN981" s="799"/>
      <c r="AO981" s="799"/>
      <c r="AP981" s="799"/>
      <c r="AQ981" s="799"/>
      <c r="AR981" s="799"/>
      <c r="AS981" s="799"/>
      <c r="AT981" s="799"/>
      <c r="AU981" s="799"/>
      <c r="AV981" s="799"/>
      <c r="AW981" s="799"/>
      <c r="AX981" s="799"/>
      <c r="AY981" s="799"/>
      <c r="AZ981" s="799"/>
      <c r="BA981" s="799"/>
      <c r="BB981" s="799"/>
      <c r="BC981" s="799"/>
      <c r="BD981" s="799"/>
      <c r="BE981" s="799"/>
      <c r="BF981" s="799"/>
      <c r="BG981" s="799"/>
    </row>
    <row r="982">
      <c r="H982" s="799"/>
      <c r="I982" s="799"/>
      <c r="J982" s="799"/>
      <c r="K982" s="799"/>
      <c r="L982" s="799"/>
      <c r="M982" s="799"/>
      <c r="N982" s="799"/>
      <c r="O982" s="799"/>
      <c r="P982" s="799"/>
      <c r="Q982" s="799"/>
      <c r="R982" s="799"/>
      <c r="S982" s="799"/>
      <c r="T982" s="799"/>
      <c r="U982" s="799"/>
      <c r="V982" s="799"/>
      <c r="W982" s="799"/>
      <c r="X982" s="799"/>
      <c r="Y982" s="799"/>
      <c r="Z982" s="799"/>
      <c r="AA982" s="799"/>
      <c r="AB982" s="799"/>
      <c r="AC982" s="799"/>
      <c r="AD982" s="799"/>
      <c r="AE982" s="799"/>
      <c r="AF982" s="799"/>
      <c r="AG982" s="799"/>
      <c r="AH982" s="799"/>
      <c r="AI982" s="799"/>
      <c r="AJ982" s="799"/>
      <c r="AK982" s="799"/>
      <c r="AL982" s="799"/>
      <c r="AM982" s="799"/>
      <c r="AN982" s="799"/>
      <c r="AO982" s="799"/>
      <c r="AP982" s="799"/>
      <c r="AQ982" s="799"/>
      <c r="AR982" s="799"/>
      <c r="AS982" s="799"/>
      <c r="AT982" s="799"/>
      <c r="AU982" s="799"/>
      <c r="AV982" s="799"/>
      <c r="AW982" s="799"/>
      <c r="AX982" s="799"/>
      <c r="AY982" s="799"/>
      <c r="AZ982" s="799"/>
      <c r="BA982" s="799"/>
      <c r="BB982" s="799"/>
      <c r="BC982" s="799"/>
      <c r="BD982" s="799"/>
      <c r="BE982" s="799"/>
      <c r="BF982" s="799"/>
      <c r="BG982" s="799"/>
    </row>
    <row r="983">
      <c r="H983" s="799"/>
      <c r="I983" s="799"/>
      <c r="J983" s="799"/>
      <c r="K983" s="799"/>
      <c r="L983" s="799"/>
      <c r="M983" s="799"/>
      <c r="N983" s="799"/>
      <c r="O983" s="799"/>
      <c r="P983" s="799"/>
      <c r="Q983" s="799"/>
      <c r="R983" s="799"/>
      <c r="S983" s="799"/>
      <c r="T983" s="799"/>
      <c r="U983" s="799"/>
      <c r="V983" s="799"/>
      <c r="W983" s="799"/>
      <c r="X983" s="799"/>
      <c r="Y983" s="799"/>
      <c r="Z983" s="799"/>
      <c r="AA983" s="799"/>
      <c r="AB983" s="799"/>
      <c r="AC983" s="799"/>
      <c r="AD983" s="799"/>
      <c r="AE983" s="799"/>
      <c r="AF983" s="799"/>
      <c r="AG983" s="799"/>
      <c r="AH983" s="799"/>
      <c r="AI983" s="799"/>
      <c r="AJ983" s="799"/>
      <c r="AK983" s="799"/>
      <c r="AL983" s="799"/>
      <c r="AM983" s="799"/>
      <c r="AN983" s="799"/>
      <c r="AO983" s="799"/>
      <c r="AP983" s="799"/>
      <c r="AQ983" s="799"/>
      <c r="AR983" s="799"/>
      <c r="AS983" s="799"/>
      <c r="AT983" s="799"/>
      <c r="AU983" s="799"/>
      <c r="AV983" s="799"/>
      <c r="AW983" s="799"/>
      <c r="AX983" s="799"/>
      <c r="AY983" s="799"/>
      <c r="AZ983" s="799"/>
      <c r="BA983" s="799"/>
      <c r="BB983" s="799"/>
      <c r="BC983" s="799"/>
      <c r="BD983" s="799"/>
      <c r="BE983" s="799"/>
      <c r="BF983" s="799"/>
      <c r="BG983" s="799"/>
    </row>
    <row r="984">
      <c r="H984" s="799"/>
      <c r="I984" s="799"/>
      <c r="J984" s="799"/>
      <c r="K984" s="799"/>
      <c r="L984" s="799"/>
      <c r="M984" s="799"/>
      <c r="N984" s="799"/>
      <c r="O984" s="799"/>
      <c r="P984" s="799"/>
      <c r="Q984" s="799"/>
      <c r="R984" s="799"/>
      <c r="S984" s="799"/>
      <c r="T984" s="799"/>
      <c r="U984" s="799"/>
      <c r="V984" s="799"/>
      <c r="W984" s="799"/>
      <c r="X984" s="799"/>
      <c r="Y984" s="799"/>
      <c r="Z984" s="799"/>
      <c r="AA984" s="799"/>
      <c r="AB984" s="799"/>
      <c r="AC984" s="799"/>
      <c r="AD984" s="799"/>
      <c r="AE984" s="799"/>
      <c r="AF984" s="799"/>
      <c r="AG984" s="799"/>
      <c r="AH984" s="799"/>
      <c r="AI984" s="799"/>
      <c r="AJ984" s="799"/>
      <c r="AK984" s="799"/>
      <c r="AL984" s="799"/>
      <c r="AM984" s="799"/>
      <c r="AN984" s="799"/>
      <c r="AO984" s="799"/>
      <c r="AP984" s="799"/>
      <c r="AQ984" s="799"/>
      <c r="AR984" s="799"/>
      <c r="AS984" s="799"/>
      <c r="AT984" s="799"/>
      <c r="AU984" s="799"/>
      <c r="AV984" s="799"/>
      <c r="AW984" s="799"/>
      <c r="AX984" s="799"/>
      <c r="AY984" s="799"/>
      <c r="AZ984" s="799"/>
      <c r="BA984" s="799"/>
      <c r="BB984" s="799"/>
      <c r="BC984" s="799"/>
      <c r="BD984" s="799"/>
      <c r="BE984" s="799"/>
      <c r="BF984" s="799"/>
      <c r="BG984" s="799"/>
    </row>
    <row r="985">
      <c r="H985" s="799"/>
      <c r="I985" s="799"/>
      <c r="J985" s="799"/>
      <c r="K985" s="799"/>
      <c r="L985" s="799"/>
      <c r="M985" s="799"/>
      <c r="N985" s="799"/>
      <c r="O985" s="799"/>
      <c r="P985" s="799"/>
      <c r="Q985" s="799"/>
      <c r="R985" s="799"/>
      <c r="S985" s="799"/>
      <c r="T985" s="799"/>
      <c r="U985" s="799"/>
      <c r="V985" s="799"/>
      <c r="W985" s="799"/>
      <c r="X985" s="799"/>
      <c r="Y985" s="799"/>
      <c r="Z985" s="799"/>
      <c r="AA985" s="799"/>
      <c r="AB985" s="799"/>
      <c r="AC985" s="799"/>
      <c r="AD985" s="799"/>
      <c r="AE985" s="799"/>
      <c r="AF985" s="799"/>
      <c r="AG985" s="799"/>
      <c r="AH985" s="799"/>
      <c r="AI985" s="799"/>
      <c r="AJ985" s="799"/>
      <c r="AK985" s="799"/>
      <c r="AL985" s="799"/>
      <c r="AM985" s="799"/>
      <c r="AN985" s="799"/>
      <c r="AO985" s="799"/>
      <c r="AP985" s="799"/>
      <c r="AQ985" s="799"/>
      <c r="AR985" s="799"/>
      <c r="AS985" s="799"/>
      <c r="AT985" s="799"/>
      <c r="AU985" s="799"/>
      <c r="AV985" s="799"/>
      <c r="AW985" s="799"/>
      <c r="AX985" s="799"/>
      <c r="AY985" s="799"/>
      <c r="AZ985" s="799"/>
      <c r="BA985" s="799"/>
      <c r="BB985" s="799"/>
      <c r="BC985" s="799"/>
      <c r="BD985" s="799"/>
      <c r="BE985" s="799"/>
      <c r="BF985" s="799"/>
      <c r="BG985" s="799"/>
    </row>
    <row r="986">
      <c r="H986" s="799"/>
      <c r="I986" s="799"/>
      <c r="J986" s="799"/>
      <c r="K986" s="799"/>
      <c r="L986" s="799"/>
      <c r="M986" s="799"/>
      <c r="N986" s="799"/>
      <c r="O986" s="799"/>
      <c r="P986" s="799"/>
      <c r="Q986" s="799"/>
      <c r="R986" s="799"/>
      <c r="S986" s="799"/>
      <c r="T986" s="799"/>
      <c r="U986" s="799"/>
      <c r="V986" s="799"/>
      <c r="W986" s="799"/>
      <c r="X986" s="799"/>
      <c r="Y986" s="799"/>
      <c r="Z986" s="799"/>
      <c r="AA986" s="799"/>
      <c r="AB986" s="799"/>
      <c r="AC986" s="799"/>
      <c r="AD986" s="799"/>
      <c r="AE986" s="799"/>
      <c r="AF986" s="799"/>
      <c r="AG986" s="799"/>
      <c r="AH986" s="799"/>
      <c r="AI986" s="799"/>
      <c r="AJ986" s="799"/>
      <c r="AK986" s="799"/>
      <c r="AL986" s="799"/>
      <c r="AM986" s="799"/>
      <c r="AN986" s="799"/>
      <c r="AO986" s="799"/>
      <c r="AP986" s="799"/>
      <c r="AQ986" s="799"/>
      <c r="AR986" s="799"/>
      <c r="AS986" s="799"/>
      <c r="AT986" s="799"/>
      <c r="AU986" s="799"/>
      <c r="AV986" s="799"/>
      <c r="AW986" s="799"/>
      <c r="AX986" s="799"/>
      <c r="AY986" s="799"/>
      <c r="AZ986" s="799"/>
      <c r="BA986" s="799"/>
      <c r="BB986" s="799"/>
      <c r="BC986" s="799"/>
      <c r="BD986" s="799"/>
      <c r="BE986" s="799"/>
      <c r="BF986" s="799"/>
      <c r="BG986" s="799"/>
    </row>
    <row r="987">
      <c r="H987" s="799"/>
      <c r="I987" s="799"/>
      <c r="J987" s="799"/>
      <c r="K987" s="799"/>
      <c r="L987" s="799"/>
      <c r="M987" s="799"/>
      <c r="N987" s="799"/>
      <c r="O987" s="799"/>
      <c r="P987" s="799"/>
      <c r="Q987" s="799"/>
      <c r="R987" s="799"/>
      <c r="S987" s="799"/>
      <c r="T987" s="799"/>
      <c r="U987" s="799"/>
      <c r="V987" s="799"/>
      <c r="W987" s="799"/>
      <c r="X987" s="799"/>
      <c r="Y987" s="799"/>
      <c r="Z987" s="799"/>
      <c r="AA987" s="799"/>
      <c r="AB987" s="799"/>
      <c r="AC987" s="799"/>
      <c r="AD987" s="799"/>
      <c r="AE987" s="799"/>
      <c r="AF987" s="799"/>
      <c r="AG987" s="799"/>
      <c r="AH987" s="799"/>
      <c r="AI987" s="799"/>
      <c r="AJ987" s="799"/>
      <c r="AK987" s="799"/>
      <c r="AL987" s="799"/>
      <c r="AM987" s="799"/>
      <c r="AN987" s="799"/>
      <c r="AO987" s="799"/>
      <c r="AP987" s="799"/>
      <c r="AQ987" s="799"/>
      <c r="AR987" s="799"/>
      <c r="AS987" s="799"/>
      <c r="AT987" s="799"/>
      <c r="AU987" s="799"/>
      <c r="AV987" s="799"/>
      <c r="AW987" s="799"/>
      <c r="AX987" s="799"/>
      <c r="AY987" s="799"/>
      <c r="AZ987" s="799"/>
      <c r="BA987" s="799"/>
      <c r="BB987" s="799"/>
      <c r="BC987" s="799"/>
      <c r="BD987" s="799"/>
      <c r="BE987" s="799"/>
      <c r="BF987" s="799"/>
      <c r="BG987" s="799"/>
    </row>
    <row r="988">
      <c r="H988" s="799"/>
      <c r="I988" s="799"/>
      <c r="J988" s="799"/>
      <c r="K988" s="799"/>
      <c r="L988" s="799"/>
      <c r="M988" s="799"/>
      <c r="N988" s="799"/>
      <c r="O988" s="799"/>
      <c r="P988" s="799"/>
      <c r="Q988" s="799"/>
      <c r="R988" s="799"/>
      <c r="S988" s="799"/>
      <c r="T988" s="799"/>
      <c r="U988" s="799"/>
      <c r="V988" s="799"/>
      <c r="W988" s="799"/>
      <c r="X988" s="799"/>
      <c r="Y988" s="799"/>
      <c r="Z988" s="799"/>
      <c r="AA988" s="799"/>
      <c r="AB988" s="799"/>
      <c r="AC988" s="799"/>
      <c r="AD988" s="799"/>
      <c r="AE988" s="799"/>
      <c r="AF988" s="799"/>
      <c r="AG988" s="799"/>
      <c r="AH988" s="799"/>
      <c r="AI988" s="799"/>
      <c r="AJ988" s="799"/>
      <c r="AK988" s="799"/>
      <c r="AL988" s="799"/>
      <c r="AM988" s="799"/>
      <c r="AN988" s="799"/>
      <c r="AO988" s="799"/>
      <c r="AP988" s="799"/>
      <c r="AQ988" s="799"/>
      <c r="AR988" s="799"/>
      <c r="AS988" s="799"/>
      <c r="AT988" s="799"/>
      <c r="AU988" s="799"/>
      <c r="AV988" s="799"/>
      <c r="AW988" s="799"/>
      <c r="AX988" s="799"/>
      <c r="AY988" s="799"/>
      <c r="AZ988" s="799"/>
      <c r="BA988" s="799"/>
      <c r="BB988" s="799"/>
      <c r="BC988" s="799"/>
      <c r="BD988" s="799"/>
      <c r="BE988" s="799"/>
      <c r="BF988" s="799"/>
      <c r="BG988" s="799"/>
    </row>
    <row r="989">
      <c r="H989" s="799"/>
      <c r="I989" s="799"/>
      <c r="J989" s="799"/>
      <c r="K989" s="799"/>
      <c r="L989" s="799"/>
      <c r="M989" s="799"/>
      <c r="N989" s="799"/>
      <c r="O989" s="799"/>
      <c r="P989" s="799"/>
      <c r="Q989" s="799"/>
      <c r="R989" s="799"/>
      <c r="S989" s="799"/>
      <c r="T989" s="799"/>
      <c r="U989" s="799"/>
      <c r="V989" s="799"/>
      <c r="W989" s="799"/>
      <c r="X989" s="799"/>
      <c r="Y989" s="799"/>
      <c r="Z989" s="799"/>
      <c r="AA989" s="799"/>
      <c r="AB989" s="799"/>
      <c r="AC989" s="799"/>
      <c r="AD989" s="799"/>
      <c r="AE989" s="799"/>
      <c r="AF989" s="799"/>
      <c r="AG989" s="799"/>
      <c r="AH989" s="799"/>
      <c r="AI989" s="799"/>
      <c r="AJ989" s="799"/>
      <c r="AK989" s="799"/>
      <c r="AL989" s="799"/>
      <c r="AM989" s="799"/>
      <c r="AN989" s="799"/>
      <c r="AO989" s="799"/>
      <c r="AP989" s="799"/>
      <c r="AQ989" s="799"/>
      <c r="AR989" s="799"/>
      <c r="AS989" s="799"/>
      <c r="AT989" s="799"/>
      <c r="AU989" s="799"/>
      <c r="AV989" s="799"/>
      <c r="AW989" s="799"/>
      <c r="AX989" s="799"/>
      <c r="AY989" s="799"/>
      <c r="AZ989" s="799"/>
      <c r="BA989" s="799"/>
      <c r="BB989" s="799"/>
      <c r="BC989" s="799"/>
      <c r="BD989" s="799"/>
      <c r="BE989" s="799"/>
      <c r="BF989" s="799"/>
      <c r="BG989" s="799"/>
    </row>
    <row r="990">
      <c r="H990" s="799"/>
      <c r="I990" s="799"/>
      <c r="J990" s="799"/>
      <c r="K990" s="799"/>
      <c r="L990" s="799"/>
      <c r="M990" s="799"/>
      <c r="N990" s="799"/>
      <c r="O990" s="799"/>
      <c r="P990" s="799"/>
      <c r="Q990" s="799"/>
      <c r="R990" s="799"/>
      <c r="S990" s="799"/>
      <c r="T990" s="799"/>
      <c r="U990" s="799"/>
      <c r="V990" s="799"/>
      <c r="W990" s="799"/>
      <c r="X990" s="799"/>
      <c r="Y990" s="799"/>
      <c r="Z990" s="799"/>
      <c r="AA990" s="799"/>
      <c r="AB990" s="799"/>
      <c r="AC990" s="799"/>
      <c r="AD990" s="799"/>
      <c r="AE990" s="799"/>
      <c r="AF990" s="799"/>
      <c r="AG990" s="799"/>
      <c r="AH990" s="799"/>
      <c r="AI990" s="799"/>
      <c r="AJ990" s="799"/>
      <c r="AK990" s="799"/>
      <c r="AL990" s="799"/>
      <c r="AM990" s="799"/>
      <c r="AN990" s="799"/>
      <c r="AO990" s="799"/>
      <c r="AP990" s="799"/>
      <c r="AQ990" s="799"/>
      <c r="AR990" s="799"/>
      <c r="AS990" s="799"/>
      <c r="AT990" s="799"/>
      <c r="AU990" s="799"/>
      <c r="AV990" s="799"/>
      <c r="AW990" s="799"/>
      <c r="AX990" s="799"/>
      <c r="AY990" s="799"/>
      <c r="AZ990" s="799"/>
      <c r="BA990" s="799"/>
      <c r="BB990" s="799"/>
      <c r="BC990" s="799"/>
      <c r="BD990" s="799"/>
      <c r="BE990" s="799"/>
      <c r="BF990" s="799"/>
      <c r="BG990" s="799"/>
    </row>
    <row r="991">
      <c r="H991" s="799"/>
      <c r="I991" s="799"/>
      <c r="J991" s="799"/>
      <c r="K991" s="799"/>
      <c r="L991" s="799"/>
      <c r="M991" s="799"/>
      <c r="N991" s="799"/>
      <c r="O991" s="799"/>
      <c r="P991" s="799"/>
      <c r="Q991" s="799"/>
      <c r="R991" s="799"/>
      <c r="S991" s="799"/>
      <c r="T991" s="799"/>
      <c r="U991" s="799"/>
      <c r="V991" s="799"/>
      <c r="W991" s="799"/>
      <c r="X991" s="799"/>
      <c r="Y991" s="799"/>
      <c r="Z991" s="799"/>
      <c r="AA991" s="799"/>
      <c r="AB991" s="799"/>
      <c r="AC991" s="799"/>
      <c r="AD991" s="799"/>
      <c r="AE991" s="799"/>
      <c r="AF991" s="799"/>
      <c r="AG991" s="799"/>
      <c r="AH991" s="799"/>
      <c r="AI991" s="799"/>
      <c r="AJ991" s="799"/>
      <c r="AK991" s="799"/>
      <c r="AL991" s="799"/>
      <c r="AM991" s="799"/>
      <c r="AN991" s="799"/>
      <c r="AO991" s="799"/>
      <c r="AP991" s="799"/>
      <c r="AQ991" s="799"/>
      <c r="AR991" s="799"/>
      <c r="AS991" s="799"/>
      <c r="AT991" s="799"/>
      <c r="AU991" s="799"/>
      <c r="AV991" s="799"/>
      <c r="AW991" s="799"/>
      <c r="AX991" s="799"/>
      <c r="AY991" s="799"/>
      <c r="AZ991" s="799"/>
      <c r="BA991" s="799"/>
      <c r="BB991" s="799"/>
      <c r="BC991" s="799"/>
      <c r="BD991" s="799"/>
      <c r="BE991" s="799"/>
      <c r="BF991" s="799"/>
      <c r="BG991" s="799"/>
    </row>
    <row r="992">
      <c r="H992" s="799"/>
      <c r="I992" s="799"/>
      <c r="J992" s="799"/>
      <c r="K992" s="799"/>
      <c r="L992" s="799"/>
      <c r="M992" s="799"/>
      <c r="N992" s="799"/>
      <c r="O992" s="799"/>
      <c r="P992" s="799"/>
      <c r="Q992" s="799"/>
      <c r="R992" s="799"/>
      <c r="S992" s="799"/>
      <c r="T992" s="799"/>
      <c r="U992" s="799"/>
      <c r="V992" s="799"/>
      <c r="W992" s="799"/>
      <c r="X992" s="799"/>
      <c r="Y992" s="799"/>
      <c r="Z992" s="799"/>
      <c r="AA992" s="799"/>
      <c r="AB992" s="799"/>
      <c r="AC992" s="799"/>
      <c r="AD992" s="799"/>
      <c r="AE992" s="799"/>
      <c r="AF992" s="799"/>
      <c r="AG992" s="799"/>
      <c r="AH992" s="799"/>
      <c r="AI992" s="799"/>
      <c r="AJ992" s="799"/>
      <c r="AK992" s="799"/>
      <c r="AL992" s="799"/>
      <c r="AM992" s="799"/>
      <c r="AN992" s="799"/>
      <c r="AO992" s="799"/>
      <c r="AP992" s="799"/>
      <c r="AQ992" s="799"/>
      <c r="AR992" s="799"/>
      <c r="AS992" s="799"/>
      <c r="AT992" s="799"/>
      <c r="AU992" s="799"/>
      <c r="AV992" s="799"/>
      <c r="AW992" s="799"/>
      <c r="AX992" s="799"/>
      <c r="AY992" s="799"/>
      <c r="AZ992" s="799"/>
      <c r="BA992" s="799"/>
      <c r="BB992" s="799"/>
      <c r="BC992" s="799"/>
      <c r="BD992" s="799"/>
      <c r="BE992" s="799"/>
      <c r="BF992" s="799"/>
      <c r="BG992" s="799"/>
    </row>
    <row r="993">
      <c r="H993" s="799"/>
      <c r="I993" s="799"/>
      <c r="J993" s="799"/>
      <c r="K993" s="799"/>
      <c r="L993" s="799"/>
    </row>
    <row r="994">
      <c r="H994" s="799"/>
      <c r="I994" s="799"/>
      <c r="J994" s="799"/>
      <c r="K994" s="799"/>
      <c r="L994" s="799"/>
    </row>
    <row r="995">
      <c r="H995" s="799"/>
      <c r="I995" s="799"/>
      <c r="J995" s="799"/>
      <c r="K995" s="799"/>
      <c r="L995" s="799"/>
    </row>
    <row r="996">
      <c r="H996" s="799"/>
      <c r="I996" s="799"/>
      <c r="J996" s="799"/>
      <c r="K996" s="799"/>
      <c r="L996" s="799"/>
    </row>
    <row r="997">
      <c r="H997" s="799"/>
      <c r="I997" s="799"/>
      <c r="J997" s="799"/>
      <c r="K997" s="799"/>
      <c r="L997" s="799"/>
    </row>
    <row r="998">
      <c r="H998" s="799"/>
      <c r="I998" s="799"/>
      <c r="J998" s="799"/>
      <c r="K998" s="799"/>
      <c r="L998" s="799"/>
    </row>
    <row r="999">
      <c r="H999" s="799"/>
      <c r="I999" s="799"/>
      <c r="J999" s="799"/>
      <c r="K999" s="799"/>
      <c r="L999" s="799"/>
    </row>
    <row r="1000">
      <c r="H1000" s="799"/>
      <c r="I1000" s="799"/>
      <c r="J1000" s="799"/>
      <c r="K1000" s="799"/>
      <c r="L1000" s="799"/>
    </row>
  </sheetData>
  <mergeCells count="124">
    <mergeCell ref="Z11:Z12"/>
    <mergeCell ref="Z13:Z14"/>
    <mergeCell ref="Z8:Z9"/>
    <mergeCell ref="Z16:Z17"/>
    <mergeCell ref="Z1:Z2"/>
    <mergeCell ref="AB1:AC1"/>
    <mergeCell ref="Z3:Z4"/>
    <mergeCell ref="V6:V9"/>
    <mergeCell ref="Z6:Z7"/>
    <mergeCell ref="V11:V14"/>
    <mergeCell ref="V16:V19"/>
    <mergeCell ref="Z18:Z19"/>
    <mergeCell ref="K12:K13"/>
    <mergeCell ref="K14:K17"/>
    <mergeCell ref="L14:L17"/>
    <mergeCell ref="H10:H11"/>
    <mergeCell ref="I10:I11"/>
    <mergeCell ref="K10:K11"/>
    <mergeCell ref="L10:L11"/>
    <mergeCell ref="L12:L13"/>
    <mergeCell ref="H13:H14"/>
    <mergeCell ref="I13:I14"/>
    <mergeCell ref="C17:D18"/>
    <mergeCell ref="E17:F18"/>
    <mergeCell ref="A13:B15"/>
    <mergeCell ref="C13:D15"/>
    <mergeCell ref="E13:F15"/>
    <mergeCell ref="A16:B16"/>
    <mergeCell ref="C16:D16"/>
    <mergeCell ref="E16:F16"/>
    <mergeCell ref="A17:B18"/>
    <mergeCell ref="C25:D26"/>
    <mergeCell ref="E25:F26"/>
    <mergeCell ref="A21:B21"/>
    <mergeCell ref="C21:D21"/>
    <mergeCell ref="E21:F21"/>
    <mergeCell ref="A22:B23"/>
    <mergeCell ref="C22:D23"/>
    <mergeCell ref="E22:F23"/>
    <mergeCell ref="A25:B26"/>
    <mergeCell ref="A39:D39"/>
    <mergeCell ref="A40:D40"/>
    <mergeCell ref="E40:F40"/>
    <mergeCell ref="A41:D41"/>
    <mergeCell ref="E41:F41"/>
    <mergeCell ref="A42:D42"/>
    <mergeCell ref="E42:F42"/>
    <mergeCell ref="A46:G46"/>
    <mergeCell ref="A27:F34"/>
    <mergeCell ref="A35:F36"/>
    <mergeCell ref="A37:D37"/>
    <mergeCell ref="E37:F37"/>
    <mergeCell ref="A38:D38"/>
    <mergeCell ref="E38:F38"/>
    <mergeCell ref="E39:F39"/>
    <mergeCell ref="H23:M24"/>
    <mergeCell ref="A24:B24"/>
    <mergeCell ref="C24:D24"/>
    <mergeCell ref="E24:F24"/>
    <mergeCell ref="A19:F20"/>
    <mergeCell ref="H19:H20"/>
    <mergeCell ref="I19:I20"/>
    <mergeCell ref="P21:T21"/>
    <mergeCell ref="P22:S22"/>
    <mergeCell ref="P23:S23"/>
    <mergeCell ref="P24:S24"/>
    <mergeCell ref="N23:N25"/>
    <mergeCell ref="J25:K25"/>
    <mergeCell ref="P25:S25"/>
    <mergeCell ref="J26:K26"/>
    <mergeCell ref="N26:N27"/>
    <mergeCell ref="P26:S26"/>
    <mergeCell ref="P27:S27"/>
    <mergeCell ref="P30:R31"/>
    <mergeCell ref="S30:T31"/>
    <mergeCell ref="H33:I33"/>
    <mergeCell ref="H34:I34"/>
    <mergeCell ref="H35:I35"/>
    <mergeCell ref="J27:K27"/>
    <mergeCell ref="J28:K28"/>
    <mergeCell ref="N28:N29"/>
    <mergeCell ref="J29:K29"/>
    <mergeCell ref="L30:L31"/>
    <mergeCell ref="M30:M31"/>
    <mergeCell ref="N30:N31"/>
    <mergeCell ref="A1:B1"/>
    <mergeCell ref="C1:D1"/>
    <mergeCell ref="E1:F1"/>
    <mergeCell ref="N1:P1"/>
    <mergeCell ref="R1:T1"/>
    <mergeCell ref="V1:V4"/>
    <mergeCell ref="E2:F3"/>
    <mergeCell ref="A4:F4"/>
    <mergeCell ref="H7:H8"/>
    <mergeCell ref="I7:I8"/>
    <mergeCell ref="K7:K8"/>
    <mergeCell ref="L7:L8"/>
    <mergeCell ref="H1:L1"/>
    <mergeCell ref="H2:I2"/>
    <mergeCell ref="K2:L2"/>
    <mergeCell ref="H4:H5"/>
    <mergeCell ref="I4:I5"/>
    <mergeCell ref="K4:K5"/>
    <mergeCell ref="L4:L5"/>
    <mergeCell ref="A2:B3"/>
    <mergeCell ref="C2:D3"/>
    <mergeCell ref="A5:B6"/>
    <mergeCell ref="C5:D6"/>
    <mergeCell ref="E5:F6"/>
    <mergeCell ref="C7:D7"/>
    <mergeCell ref="E7:F7"/>
    <mergeCell ref="A7:B7"/>
    <mergeCell ref="A8:B9"/>
    <mergeCell ref="C8:D9"/>
    <mergeCell ref="E8:F9"/>
    <mergeCell ref="A10:B12"/>
    <mergeCell ref="C10:D12"/>
    <mergeCell ref="E10:F12"/>
    <mergeCell ref="H16:H17"/>
    <mergeCell ref="I16:I17"/>
    <mergeCell ref="N16:N17"/>
    <mergeCell ref="P28:S28"/>
    <mergeCell ref="P29:R29"/>
    <mergeCell ref="S29:T29"/>
  </mergeCells>
  <conditionalFormatting sqref="X19">
    <cfRule type="expression" dxfId="26" priority="1">
      <formula>X20&lt;&gt;1</formula>
    </cfRule>
  </conditionalFormatting>
  <conditionalFormatting sqref="X9">
    <cfRule type="expression" dxfId="26" priority="2">
      <formula>X20&lt;&gt;1</formula>
    </cfRule>
  </conditionalFormatting>
  <conditionalFormatting sqref="X14">
    <cfRule type="expression" dxfId="26" priority="3">
      <formula>X20&lt;&gt;1</formula>
    </cfRule>
  </conditionalFormatting>
  <conditionalFormatting sqref="Z3 Z8 Z13 Z18">
    <cfRule type="cellIs" dxfId="27" priority="4" operator="greaterThan">
      <formula>0</formula>
    </cfRule>
  </conditionalFormatting>
  <conditionalFormatting sqref="Z3 Z8 Z13 Z18">
    <cfRule type="cellIs" dxfId="28" priority="5" operator="lessThan">
      <formula>0</formula>
    </cfRule>
  </conditionalFormatting>
  <conditionalFormatting sqref="E13 L14 N30 S30">
    <cfRule type="cellIs" dxfId="12" priority="6" operator="lessThan">
      <formula>0</formula>
    </cfRule>
  </conditionalFormatting>
  <conditionalFormatting sqref="E13 L14 N30 S30">
    <cfRule type="cellIs" dxfId="21" priority="7" operator="greaterThan">
      <formula>0</formula>
    </cfRule>
  </conditionalFormatting>
  <conditionalFormatting sqref="E13 L14 N30 S30">
    <cfRule type="cellIs" dxfId="29" priority="8" operator="lessThan">
      <formula>0</formula>
    </cfRule>
  </conditionalFormatting>
  <conditionalFormatting sqref="E13 L14 N30 S30">
    <cfRule type="cellIs" dxfId="30" priority="9" operator="greaterThan">
      <formula>0</formula>
    </cfRule>
  </conditionalFormatting>
  <conditionalFormatting sqref="A22 C22:D23 E22 A25 E25">
    <cfRule type="cellIs" dxfId="30" priority="10" operator="lessThan">
      <formula>0</formula>
    </cfRule>
  </conditionalFormatting>
  <dataValidations>
    <dataValidation type="list" allowBlank="1" sqref="A17">
      <formula1>"Simple Avg.,Value Stocks,Growth"</formula1>
    </dataValidation>
  </dataValidations>
  <hyperlinks>
    <hyperlink r:id="rId1" ref="V25"/>
    <hyperlink r:id="rId2" ref="V28"/>
    <hyperlink r:id="rId3" ref="H34"/>
    <hyperlink r:id="rId4" ref="H35"/>
    <hyperlink r:id="rId5" ref="I46"/>
    <hyperlink r:id="rId6" ref="Q49"/>
    <hyperlink r:id="rId7" ref="AD49"/>
    <hyperlink r:id="rId8" ref="AK53"/>
    <hyperlink r:id="rId9" ref="AL53"/>
    <hyperlink r:id="rId10" ref="AK54"/>
    <hyperlink r:id="rId11" ref="AL54"/>
    <hyperlink r:id="rId12" ref="AK55"/>
    <hyperlink r:id="rId13" ref="AL55"/>
    <hyperlink r:id="rId14" ref="AK56"/>
    <hyperlink r:id="rId15" ref="AL56"/>
    <hyperlink r:id="rId16" ref="AK57"/>
    <hyperlink r:id="rId17" ref="AL57"/>
    <hyperlink r:id="rId18" ref="BA61"/>
    <hyperlink r:id="rId19" ref="BB61"/>
    <hyperlink r:id="rId20" ref="BA62"/>
    <hyperlink r:id="rId21" ref="BB62"/>
    <hyperlink r:id="rId22" ref="BA63"/>
    <hyperlink r:id="rId23" ref="BB63"/>
    <hyperlink r:id="rId24" ref="BA64"/>
    <hyperlink r:id="rId25" ref="BB64"/>
    <hyperlink r:id="rId26" ref="BA65"/>
    <hyperlink r:id="rId27" ref="BB65"/>
    <hyperlink r:id="rId28" ref="AM69"/>
    <hyperlink r:id="rId29" ref="AN69"/>
    <hyperlink r:id="rId30" ref="AM70"/>
    <hyperlink r:id="rId31" ref="AN70"/>
    <hyperlink r:id="rId32" ref="AM71"/>
    <hyperlink r:id="rId33" ref="AN71"/>
    <hyperlink r:id="rId34" ref="AM72"/>
    <hyperlink r:id="rId35" ref="AN72"/>
    <hyperlink r:id="rId36" ref="AM73"/>
    <hyperlink r:id="rId37" ref="AN73"/>
  </hyperlinks>
  <drawing r:id="rId38"/>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BC9D"/>
    <outlinePr summaryBelow="0" summaryRight="0"/>
  </sheetPr>
  <sheetViews>
    <sheetView workbookViewId="0"/>
  </sheetViews>
  <sheetFormatPr customHeight="1" defaultColWidth="12.63" defaultRowHeight="15.75"/>
  <cols>
    <col customWidth="1" min="4" max="4" width="14.13"/>
    <col customWidth="1" min="6" max="6" width="11.63"/>
    <col customWidth="1" min="7" max="7" width="6.13"/>
    <col customWidth="1" min="8" max="8" width="32.38"/>
    <col customWidth="1" min="9" max="9" width="29.13"/>
    <col customWidth="1" min="10" max="10" width="5.13"/>
    <col customWidth="1" min="11" max="11" width="26.25"/>
    <col customWidth="1" min="12" max="12" width="21.75"/>
    <col customWidth="1" min="13" max="13" width="13.38"/>
    <col customWidth="1" min="14" max="14" width="23.25"/>
    <col customWidth="1" min="15" max="15" width="17.13"/>
    <col customWidth="1" min="16" max="16" width="13.13"/>
    <col customWidth="1" min="17" max="17" width="10.0"/>
    <col customWidth="1" min="19" max="19" width="18.88"/>
    <col customWidth="1" min="20" max="20" width="32.25"/>
    <col customWidth="1" min="21" max="22" width="14.0"/>
    <col customWidth="1" min="23" max="23" width="22.88"/>
    <col customWidth="1" min="24" max="24" width="12.0"/>
    <col customWidth="1" min="25" max="25" width="6.38"/>
    <col customWidth="1" min="26" max="26" width="14.0"/>
    <col customWidth="1" min="27" max="27" width="7.88"/>
    <col customWidth="1" min="28" max="28" width="14.0"/>
    <col customWidth="1" min="29" max="29" width="12.38"/>
    <col customWidth="1" min="30" max="59" width="14.0"/>
  </cols>
  <sheetData>
    <row r="1">
      <c r="A1" s="553" t="s">
        <v>71</v>
      </c>
      <c r="B1" s="13"/>
      <c r="C1" s="554" t="s">
        <v>72</v>
      </c>
      <c r="D1" s="13"/>
      <c r="E1" s="554" t="s">
        <v>86</v>
      </c>
      <c r="F1" s="14"/>
      <c r="H1" s="555" t="s">
        <v>652</v>
      </c>
      <c r="I1" s="5"/>
      <c r="J1" s="5"/>
      <c r="K1" s="5"/>
      <c r="L1" s="6"/>
      <c r="N1" s="556" t="s">
        <v>653</v>
      </c>
      <c r="Q1" s="557"/>
      <c r="R1" s="558" t="s">
        <v>654</v>
      </c>
      <c r="V1" s="559" t="s">
        <v>77</v>
      </c>
      <c r="W1" s="1149" t="s">
        <v>71</v>
      </c>
      <c r="X1" s="1150" t="s">
        <v>105</v>
      </c>
      <c r="Y1" s="562"/>
      <c r="Z1" s="1151">
        <v>171.79608220492483</v>
      </c>
      <c r="AA1" s="564"/>
      <c r="AB1" s="556" t="s">
        <v>655</v>
      </c>
      <c r="AD1" s="565"/>
      <c r="AE1" s="565"/>
      <c r="AF1" s="565"/>
      <c r="AG1" s="565"/>
      <c r="AH1" s="565"/>
      <c r="AI1" s="565"/>
      <c r="AJ1" s="565"/>
      <c r="AK1" s="565"/>
      <c r="AL1" s="565"/>
      <c r="AM1" s="565"/>
      <c r="AP1" s="566"/>
      <c r="AQ1" s="566"/>
      <c r="AR1" s="566"/>
      <c r="AS1" s="566"/>
      <c r="AT1" s="566"/>
      <c r="AU1" s="566"/>
      <c r="AV1" s="566"/>
      <c r="AW1" s="566"/>
      <c r="AX1" s="566"/>
      <c r="AY1" s="566"/>
      <c r="AZ1" s="566"/>
      <c r="BA1" s="566"/>
      <c r="BB1" s="566"/>
      <c r="BC1" s="566"/>
      <c r="BD1" s="566"/>
      <c r="BE1" s="566"/>
      <c r="BF1" s="566"/>
      <c r="BG1" s="566"/>
    </row>
    <row r="2">
      <c r="A2" s="567" t="s">
        <v>105</v>
      </c>
      <c r="C2" s="568" t="s">
        <v>1212</v>
      </c>
      <c r="E2" s="568" t="s">
        <v>106</v>
      </c>
      <c r="F2" s="17"/>
      <c r="H2" s="1152" t="s">
        <v>656</v>
      </c>
      <c r="I2" s="14"/>
      <c r="J2" s="570"/>
      <c r="K2" s="1153" t="s">
        <v>77</v>
      </c>
      <c r="L2" s="6"/>
      <c r="N2" s="572" t="s">
        <v>625</v>
      </c>
      <c r="O2" s="572" t="s">
        <v>657</v>
      </c>
      <c r="P2" s="573" t="s">
        <v>658</v>
      </c>
      <c r="Q2" s="557"/>
      <c r="R2" s="572" t="s">
        <v>625</v>
      </c>
      <c r="S2" s="572" t="s">
        <v>659</v>
      </c>
      <c r="T2" s="574" t="s">
        <v>660</v>
      </c>
      <c r="V2" s="34"/>
      <c r="W2" s="575" t="s">
        <v>661</v>
      </c>
      <c r="X2" s="1154">
        <v>115.65</v>
      </c>
      <c r="Y2" s="577"/>
      <c r="Z2" s="17"/>
      <c r="AA2" s="564"/>
      <c r="AB2" s="565"/>
      <c r="AC2" s="565"/>
      <c r="AD2" s="565"/>
      <c r="AE2" s="565"/>
      <c r="AF2" s="565"/>
      <c r="AG2" s="565"/>
      <c r="AH2" s="565"/>
      <c r="AI2" s="565"/>
      <c r="AJ2" s="565"/>
      <c r="AK2" s="565"/>
      <c r="AL2" s="565"/>
      <c r="AM2" s="565"/>
      <c r="AP2" s="574"/>
      <c r="AQ2" s="574"/>
      <c r="AR2" s="574"/>
      <c r="AS2" s="574"/>
      <c r="AT2" s="574"/>
      <c r="AU2" s="574"/>
      <c r="AV2" s="574"/>
      <c r="AW2" s="574"/>
      <c r="AX2" s="574"/>
      <c r="AY2" s="574"/>
      <c r="AZ2" s="574"/>
      <c r="BA2" s="574"/>
      <c r="BB2" s="574"/>
      <c r="BC2" s="574"/>
      <c r="BD2" s="574"/>
      <c r="BE2" s="574"/>
      <c r="BF2" s="574"/>
      <c r="BG2" s="574"/>
    </row>
    <row r="3" ht="20.25" customHeight="1">
      <c r="A3" s="29"/>
      <c r="B3" s="30"/>
      <c r="C3" s="30"/>
      <c r="D3" s="30"/>
      <c r="E3" s="30"/>
      <c r="F3" s="31"/>
      <c r="H3" s="1155" t="s">
        <v>629</v>
      </c>
      <c r="I3" s="1156" t="s">
        <v>662</v>
      </c>
      <c r="J3" s="570"/>
      <c r="K3" s="1157" t="s">
        <v>663</v>
      </c>
      <c r="L3" s="712" t="s">
        <v>664</v>
      </c>
      <c r="N3" s="572">
        <v>2024.0</v>
      </c>
      <c r="O3" s="582">
        <v>8.559E9</v>
      </c>
      <c r="P3" s="1158">
        <v>0.747804778435777</v>
      </c>
      <c r="Q3" s="570"/>
      <c r="R3" s="584">
        <v>1.0</v>
      </c>
      <c r="S3" s="1159">
        <v>9.711700924779799E9</v>
      </c>
      <c r="T3" s="1159">
        <v>9.028445764315523E9</v>
      </c>
      <c r="V3" s="34"/>
      <c r="W3" s="586" t="s">
        <v>665</v>
      </c>
      <c r="X3" s="1160">
        <v>4.032648536289624</v>
      </c>
      <c r="Y3" s="588"/>
      <c r="Z3" s="1161">
        <v>0.4854827687412436</v>
      </c>
      <c r="AA3" s="590"/>
      <c r="AB3" s="590"/>
      <c r="AC3" s="590"/>
      <c r="AD3" s="590"/>
      <c r="AE3" s="590"/>
      <c r="AF3" s="590"/>
      <c r="AG3" s="590"/>
      <c r="AH3" s="590"/>
      <c r="AI3" s="590"/>
      <c r="AJ3" s="590"/>
      <c r="AK3" s="590"/>
      <c r="AL3" s="590"/>
      <c r="AM3" s="590"/>
      <c r="AP3" s="585"/>
      <c r="AQ3" s="585"/>
      <c r="AR3" s="585"/>
      <c r="AS3" s="585"/>
      <c r="AT3" s="585"/>
      <c r="AU3" s="585"/>
      <c r="AV3" s="585"/>
      <c r="AW3" s="585"/>
      <c r="AX3" s="585"/>
      <c r="AY3" s="585"/>
      <c r="AZ3" s="585"/>
      <c r="BA3" s="585"/>
      <c r="BB3" s="585"/>
      <c r="BC3" s="585"/>
      <c r="BD3" s="585"/>
      <c r="BE3" s="585"/>
      <c r="BF3" s="585"/>
      <c r="BG3" s="585"/>
    </row>
    <row r="4">
      <c r="A4" s="591" t="s">
        <v>77</v>
      </c>
      <c r="B4" s="30"/>
      <c r="C4" s="30"/>
      <c r="D4" s="30"/>
      <c r="E4" s="30"/>
      <c r="F4" s="31"/>
      <c r="H4" s="592">
        <v>1.4</v>
      </c>
      <c r="I4" s="593">
        <v>1.1583E10</v>
      </c>
      <c r="J4" s="570"/>
      <c r="K4" s="594">
        <v>6.002E9</v>
      </c>
      <c r="L4" s="593">
        <v>4.5815E10</v>
      </c>
      <c r="N4" s="572">
        <v>2023.0</v>
      </c>
      <c r="O4" s="582">
        <v>4.897E9</v>
      </c>
      <c r="P4" s="1158">
        <v>3.5895032802249296</v>
      </c>
      <c r="Q4" s="570"/>
      <c r="R4" s="584">
        <v>2.0</v>
      </c>
      <c r="S4" s="1159">
        <v>1.101964421689085E10</v>
      </c>
      <c r="T4" s="1159">
        <v>9.523639784926617E9</v>
      </c>
      <c r="V4" s="29"/>
      <c r="W4" s="595" t="s">
        <v>666</v>
      </c>
      <c r="X4" s="596">
        <v>0.10811149849525083</v>
      </c>
      <c r="Y4" s="597"/>
      <c r="Z4" s="31"/>
      <c r="AA4" s="590"/>
      <c r="AB4" s="590"/>
      <c r="AC4" s="590"/>
      <c r="AD4" s="590"/>
      <c r="AE4" s="590"/>
      <c r="AF4" s="590"/>
      <c r="AG4" s="590"/>
      <c r="AH4" s="590"/>
      <c r="AI4" s="590"/>
      <c r="AJ4" s="590"/>
      <c r="AK4" s="590"/>
      <c r="AL4" s="590"/>
      <c r="AM4" s="590"/>
      <c r="AP4" s="585"/>
      <c r="AQ4" s="585"/>
      <c r="AR4" s="585"/>
      <c r="AS4" s="585"/>
      <c r="AT4" s="585"/>
      <c r="AU4" s="585"/>
      <c r="AV4" s="585"/>
      <c r="AW4" s="585"/>
      <c r="AX4" s="585"/>
      <c r="AY4" s="585"/>
      <c r="AZ4" s="585"/>
      <c r="BA4" s="585"/>
      <c r="BB4" s="585"/>
      <c r="BC4" s="585"/>
      <c r="BD4" s="585"/>
      <c r="BE4" s="585"/>
      <c r="BF4" s="585"/>
      <c r="BG4" s="585"/>
    </row>
    <row r="5">
      <c r="A5" s="598" t="s">
        <v>667</v>
      </c>
      <c r="B5" s="13"/>
      <c r="C5" s="599" t="s">
        <v>668</v>
      </c>
      <c r="D5" s="13"/>
      <c r="E5" s="599" t="s">
        <v>669</v>
      </c>
      <c r="F5" s="14"/>
      <c r="H5" s="34"/>
      <c r="I5" s="17"/>
      <c r="J5" s="570"/>
      <c r="K5" s="29"/>
      <c r="L5" s="31"/>
      <c r="N5" s="572">
        <v>2022.0</v>
      </c>
      <c r="O5" s="582">
        <v>1.067E9</v>
      </c>
      <c r="P5" s="1158">
        <v>-0.4635495223730518</v>
      </c>
      <c r="Q5" s="570"/>
      <c r="R5" s="584">
        <v>3.0</v>
      </c>
      <c r="S5" s="1159">
        <v>1.2503737461376705E10</v>
      </c>
      <c r="T5" s="1159">
        <v>1.0045994307405947E10</v>
      </c>
      <c r="V5" s="600"/>
      <c r="W5" s="600"/>
      <c r="X5" s="601"/>
      <c r="Y5" s="590"/>
      <c r="Z5" s="1162">
        <v>82.89414895122661</v>
      </c>
      <c r="AA5" s="590"/>
      <c r="AB5" s="590"/>
      <c r="AC5" s="590"/>
      <c r="AD5" s="590"/>
      <c r="AE5" s="590"/>
      <c r="AF5" s="590"/>
      <c r="AG5" s="590"/>
      <c r="AH5" s="590"/>
      <c r="AI5" s="590"/>
      <c r="AJ5" s="590"/>
      <c r="AK5" s="590"/>
      <c r="AL5" s="590"/>
      <c r="AM5" s="1163" t="s">
        <v>670</v>
      </c>
      <c r="AP5" s="585"/>
      <c r="AQ5" s="585"/>
      <c r="AR5" s="585"/>
      <c r="AS5" s="585"/>
      <c r="AT5" s="585"/>
      <c r="AU5" s="585"/>
      <c r="AV5" s="585"/>
      <c r="AW5" s="585"/>
      <c r="AX5" s="585"/>
      <c r="AY5" s="585"/>
      <c r="AZ5" s="585"/>
      <c r="BA5" s="585"/>
      <c r="BB5" s="585"/>
      <c r="BC5" s="585"/>
      <c r="BD5" s="585"/>
      <c r="BE5" s="585"/>
      <c r="BF5" s="585"/>
      <c r="BG5" s="585"/>
    </row>
    <row r="6">
      <c r="A6" s="34"/>
      <c r="F6" s="17"/>
      <c r="H6" s="1157" t="s">
        <v>671</v>
      </c>
      <c r="I6" s="712" t="s">
        <v>672</v>
      </c>
      <c r="J6" s="570"/>
      <c r="K6" s="1157" t="s">
        <v>673</v>
      </c>
      <c r="L6" s="712" t="s">
        <v>674</v>
      </c>
      <c r="N6" s="572">
        <v>2021.0</v>
      </c>
      <c r="O6" s="582">
        <v>1.989E9</v>
      </c>
      <c r="P6" s="1158">
        <v>-0.4468854282536151</v>
      </c>
      <c r="Q6" s="570"/>
      <c r="R6" s="584">
        <v>4.0</v>
      </c>
      <c r="S6" s="1159">
        <v>1.4187704015288696E10</v>
      </c>
      <c r="T6" s="1159">
        <v>1.0596999036457188E10</v>
      </c>
      <c r="V6" s="604" t="s">
        <v>675</v>
      </c>
      <c r="W6" s="605" t="s">
        <v>676</v>
      </c>
      <c r="X6" s="606">
        <v>0.13467705628926255</v>
      </c>
      <c r="Y6" s="607"/>
      <c r="Z6" s="1164">
        <v>165.78829790245322</v>
      </c>
      <c r="AA6" s="607"/>
      <c r="AB6" s="605" t="s">
        <v>625</v>
      </c>
      <c r="AC6" s="1165">
        <v>1.0</v>
      </c>
      <c r="AD6" s="1165">
        <v>2.0</v>
      </c>
      <c r="AE6" s="1165">
        <v>3.0</v>
      </c>
      <c r="AF6" s="1165">
        <v>4.0</v>
      </c>
      <c r="AG6" s="1165">
        <v>5.0</v>
      </c>
      <c r="AH6" s="1165">
        <v>6.0</v>
      </c>
      <c r="AI6" s="1165">
        <v>7.0</v>
      </c>
      <c r="AJ6" s="1165">
        <v>8.0</v>
      </c>
      <c r="AK6" s="1165">
        <v>9.0</v>
      </c>
      <c r="AL6" s="1165">
        <v>10.0</v>
      </c>
      <c r="AM6" s="1166">
        <v>10.0</v>
      </c>
      <c r="AP6" s="585"/>
      <c r="AQ6" s="585"/>
      <c r="AR6" s="585"/>
      <c r="AS6" s="585"/>
      <c r="AT6" s="585"/>
      <c r="AU6" s="585"/>
      <c r="AV6" s="585"/>
      <c r="AW6" s="585"/>
      <c r="AX6" s="585"/>
      <c r="AY6" s="585"/>
      <c r="AZ6" s="585"/>
      <c r="BA6" s="585"/>
      <c r="BB6" s="585"/>
      <c r="BC6" s="585"/>
      <c r="BD6" s="585"/>
      <c r="BE6" s="585"/>
      <c r="BF6" s="585"/>
      <c r="BG6" s="585"/>
    </row>
    <row r="7">
      <c r="A7" s="611" t="s">
        <v>677</v>
      </c>
      <c r="B7" s="30"/>
      <c r="C7" s="611" t="s">
        <v>678</v>
      </c>
      <c r="D7" s="30"/>
      <c r="E7" s="611" t="s">
        <v>679</v>
      </c>
      <c r="F7" s="31"/>
      <c r="H7" s="612">
        <v>8.004837595024188</v>
      </c>
      <c r="I7" s="1167">
        <v>0.03158354250791225</v>
      </c>
      <c r="J7" s="570"/>
      <c r="K7" s="614">
        <v>2.1224264705882351E9</v>
      </c>
      <c r="L7" s="1168">
        <v>1.9109223090012146E11</v>
      </c>
      <c r="N7" s="572">
        <v>2020.0</v>
      </c>
      <c r="O7" s="582">
        <v>3.596E9</v>
      </c>
      <c r="P7" s="1158">
        <v>1.0786127167630057</v>
      </c>
      <c r="Q7" s="570"/>
      <c r="R7" s="584">
        <v>5.0</v>
      </c>
      <c r="S7" s="1159">
        <v>1.6098462227571129E10</v>
      </c>
      <c r="T7" s="1159">
        <v>1.1178225384409111E10</v>
      </c>
      <c r="V7" s="616"/>
      <c r="W7" s="617" t="s">
        <v>680</v>
      </c>
      <c r="X7" s="618">
        <v>0.09427393940248378</v>
      </c>
      <c r="Y7" s="619"/>
      <c r="AA7" s="619"/>
      <c r="AB7" s="620"/>
      <c r="AC7" s="620"/>
      <c r="AD7" s="620"/>
      <c r="AE7" s="620"/>
      <c r="AF7" s="620"/>
      <c r="AG7" s="620"/>
      <c r="AH7" s="620"/>
      <c r="AI7" s="620"/>
      <c r="AJ7" s="620"/>
      <c r="AK7" s="620"/>
      <c r="AL7" s="620"/>
      <c r="AM7" s="621"/>
      <c r="AP7" s="585"/>
      <c r="AQ7" s="585"/>
      <c r="AR7" s="585"/>
      <c r="AS7" s="585"/>
      <c r="AT7" s="585"/>
      <c r="AU7" s="585"/>
      <c r="AV7" s="585"/>
      <c r="AW7" s="585"/>
      <c r="AX7" s="585"/>
      <c r="AY7" s="585"/>
      <c r="AZ7" s="585"/>
      <c r="BA7" s="585"/>
      <c r="BB7" s="585"/>
      <c r="BC7" s="585"/>
      <c r="BD7" s="585"/>
      <c r="BE7" s="585"/>
      <c r="BF7" s="585"/>
      <c r="BG7" s="585"/>
    </row>
    <row r="8">
      <c r="A8" s="622">
        <v>90.03479439603852</v>
      </c>
      <c r="C8" s="623">
        <v>101.9456</v>
      </c>
      <c r="E8" s="623">
        <v>45.45422222222223</v>
      </c>
      <c r="F8" s="17"/>
      <c r="H8" s="34"/>
      <c r="I8" s="17"/>
      <c r="J8" s="570"/>
      <c r="K8" s="29"/>
      <c r="L8" s="31"/>
      <c r="N8" s="572">
        <v>2019.0</v>
      </c>
      <c r="O8" s="624">
        <v>1.73E9</v>
      </c>
      <c r="P8" s="1158">
        <v>-0.8240081383519837</v>
      </c>
      <c r="Q8" s="1169">
        <v>1730.0</v>
      </c>
      <c r="R8" s="584">
        <v>6.0</v>
      </c>
      <c r="S8" s="1159">
        <v>1.826655573116429E10</v>
      </c>
      <c r="T8" s="1159">
        <v>1.1791330952731941E10</v>
      </c>
      <c r="V8" s="616"/>
      <c r="W8" s="617" t="s">
        <v>681</v>
      </c>
      <c r="X8" s="1170">
        <v>28.67842286756974</v>
      </c>
      <c r="Y8" s="619"/>
      <c r="Z8" s="1171">
        <v>0.4335347851487524</v>
      </c>
      <c r="AA8" s="619"/>
      <c r="AB8" s="617" t="s">
        <v>665</v>
      </c>
      <c r="AC8" s="1172">
        <v>4.5757537702063145</v>
      </c>
      <c r="AD8" s="1172">
        <v>5.192002818282195</v>
      </c>
      <c r="AE8" s="1172">
        <v>5.891246474093996</v>
      </c>
      <c r="AF8" s="1172">
        <v>6.684662207099472</v>
      </c>
      <c r="AG8" s="1172">
        <v>7.584932835439713</v>
      </c>
      <c r="AH8" s="1172">
        <v>8.299994333939868</v>
      </c>
      <c r="AI8" s="1172">
        <v>9.082467496818674</v>
      </c>
      <c r="AJ8" s="1172">
        <v>9.938707487238787</v>
      </c>
      <c r="AK8" s="1172">
        <v>10.875668594629749</v>
      </c>
      <c r="AL8" s="1172">
        <v>11.900960716681372</v>
      </c>
      <c r="AM8" s="1173">
        <v>341.3007839633242</v>
      </c>
      <c r="AP8" s="585"/>
      <c r="AQ8" s="585"/>
      <c r="AR8" s="585"/>
      <c r="AS8" s="585"/>
      <c r="AT8" s="585"/>
      <c r="AU8" s="585"/>
      <c r="AV8" s="585"/>
      <c r="AW8" s="585"/>
      <c r="AX8" s="585"/>
      <c r="AY8" s="585"/>
      <c r="AZ8" s="585"/>
      <c r="BA8" s="585"/>
      <c r="BB8" s="585"/>
      <c r="BC8" s="585"/>
      <c r="BD8" s="585"/>
      <c r="BE8" s="585"/>
      <c r="BF8" s="585"/>
      <c r="BG8" s="585"/>
    </row>
    <row r="9">
      <c r="F9" s="17"/>
      <c r="H9" s="1157" t="s">
        <v>682</v>
      </c>
      <c r="I9" s="712" t="s">
        <v>683</v>
      </c>
      <c r="J9" s="570"/>
      <c r="K9" s="631" t="s">
        <v>684</v>
      </c>
      <c r="L9" s="632" t="s">
        <v>685</v>
      </c>
      <c r="N9" s="572">
        <v>2018.0</v>
      </c>
      <c r="O9" s="624">
        <v>9.83E9</v>
      </c>
      <c r="P9" s="1158">
        <v>0.12729357798165136</v>
      </c>
      <c r="Q9" s="1169">
        <v>9830.0</v>
      </c>
      <c r="R9" s="584">
        <v>7.0</v>
      </c>
      <c r="S9" s="1159">
        <v>2.0726641685581257E10</v>
      </c>
      <c r="T9" s="1159">
        <v>1.2438064259356844E10</v>
      </c>
      <c r="V9" s="633"/>
      <c r="W9" s="634" t="s">
        <v>686</v>
      </c>
      <c r="X9" s="635">
        <v>0.5</v>
      </c>
      <c r="Y9" s="636"/>
      <c r="Z9" s="30"/>
      <c r="AA9" s="636"/>
      <c r="AB9" s="634" t="s">
        <v>687</v>
      </c>
      <c r="AC9" s="1174">
        <v>4.1293261340757805</v>
      </c>
      <c r="AD9" s="1174">
        <v>4.2283214537832965</v>
      </c>
      <c r="AE9" s="1174">
        <v>4.32969005983483</v>
      </c>
      <c r="AF9" s="1174">
        <v>4.433488848739097</v>
      </c>
      <c r="AG9" s="1174">
        <v>4.539776081025938</v>
      </c>
      <c r="AH9" s="1174">
        <v>4.483085558570002</v>
      </c>
      <c r="AI9" s="1174">
        <v>4.427102959870427</v>
      </c>
      <c r="AJ9" s="1174">
        <v>4.3718194447186045</v>
      </c>
      <c r="AK9" s="1174">
        <v>4.317226283298161</v>
      </c>
      <c r="AL9" s="1174">
        <v>4.263314854806436</v>
      </c>
      <c r="AM9" s="1175">
        <v>122.26514622373064</v>
      </c>
      <c r="AP9" s="585"/>
      <c r="AQ9" s="585"/>
      <c r="AR9" s="585"/>
      <c r="AS9" s="585"/>
      <c r="AT9" s="585"/>
      <c r="AU9" s="585"/>
      <c r="AV9" s="585"/>
      <c r="AW9" s="585"/>
      <c r="AX9" s="585"/>
      <c r="AY9" s="585"/>
      <c r="AZ9" s="585"/>
      <c r="BA9" s="585"/>
      <c r="BB9" s="585"/>
      <c r="BC9" s="585"/>
      <c r="BD9" s="585"/>
      <c r="BE9" s="585"/>
      <c r="BF9" s="585"/>
      <c r="BG9" s="585"/>
    </row>
    <row r="10">
      <c r="A10" s="598" t="s">
        <v>688</v>
      </c>
      <c r="B10" s="13"/>
      <c r="C10" s="640" t="s">
        <v>77</v>
      </c>
      <c r="D10" s="13"/>
      <c r="E10" s="641" t="s">
        <v>689</v>
      </c>
      <c r="F10" s="14"/>
      <c r="H10" s="1176">
        <v>0.12160000000000001</v>
      </c>
      <c r="I10" s="1177">
        <v>0.02495099858125068</v>
      </c>
      <c r="J10" s="570"/>
      <c r="K10" s="644">
        <v>0.1923957946989465</v>
      </c>
      <c r="L10" s="1178">
        <v>0.13467705628926255</v>
      </c>
      <c r="N10" s="572">
        <v>2017.0</v>
      </c>
      <c r="O10" s="624">
        <v>8.72E9</v>
      </c>
      <c r="P10" s="1158">
        <v>0.03317535545023697</v>
      </c>
      <c r="Q10" s="1169">
        <v>8720.0</v>
      </c>
      <c r="R10" s="584">
        <v>8.0</v>
      </c>
      <c r="S10" s="1159">
        <v>2.351804477455766E10</v>
      </c>
      <c r="T10" s="1159">
        <v>1.3120269725280357E10</v>
      </c>
      <c r="V10" s="646"/>
      <c r="W10" s="647"/>
      <c r="X10" s="648"/>
      <c r="Y10" s="648"/>
      <c r="Z10" s="1162">
        <v>61.86320408206733</v>
      </c>
      <c r="AA10" s="648"/>
      <c r="AB10" s="647"/>
      <c r="AC10" s="647"/>
      <c r="AD10" s="647"/>
      <c r="AE10" s="647"/>
      <c r="AF10" s="647"/>
      <c r="AG10" s="647"/>
      <c r="AH10" s="647"/>
      <c r="AI10" s="647"/>
      <c r="AJ10" s="647"/>
      <c r="AK10" s="647"/>
      <c r="AL10" s="647"/>
      <c r="AM10" s="649"/>
      <c r="AP10" s="585"/>
      <c r="AQ10" s="585"/>
      <c r="AR10" s="585"/>
      <c r="AS10" s="585"/>
      <c r="AT10" s="585"/>
      <c r="AU10" s="585"/>
      <c r="AV10" s="585"/>
      <c r="AW10" s="585"/>
      <c r="AX10" s="585"/>
      <c r="AY10" s="585"/>
      <c r="AZ10" s="585"/>
      <c r="BA10" s="585"/>
      <c r="BB10" s="585"/>
      <c r="BC10" s="585"/>
      <c r="BD10" s="585"/>
      <c r="BE10" s="585"/>
      <c r="BF10" s="585"/>
      <c r="BG10" s="585"/>
    </row>
    <row r="11">
      <c r="A11" s="34"/>
      <c r="F11" s="17"/>
      <c r="H11" s="29"/>
      <c r="I11" s="31"/>
      <c r="J11" s="570"/>
      <c r="K11" s="34"/>
      <c r="L11" s="17"/>
      <c r="N11" s="572">
        <v>2016.0</v>
      </c>
      <c r="O11" s="624">
        <v>8.44E9</v>
      </c>
      <c r="P11" s="1158">
        <v>0.27031908488862133</v>
      </c>
      <c r="Q11" s="1169">
        <v>8440.0</v>
      </c>
      <c r="R11" s="584">
        <v>9.0</v>
      </c>
      <c r="S11" s="1159">
        <v>2.6685385814474155E10</v>
      </c>
      <c r="T11" s="1159">
        <v>1.3839892934675152E10</v>
      </c>
      <c r="V11" s="650" t="s">
        <v>690</v>
      </c>
      <c r="W11" s="651" t="s">
        <v>676</v>
      </c>
      <c r="X11" s="652">
        <v>0.16834632036157818</v>
      </c>
      <c r="Y11" s="653"/>
      <c r="Z11" s="1179">
        <v>247.4528163282693</v>
      </c>
      <c r="AA11" s="653"/>
      <c r="AB11" s="655"/>
      <c r="AC11" s="655"/>
      <c r="AD11" s="655"/>
      <c r="AE11" s="655"/>
      <c r="AF11" s="655"/>
      <c r="AG11" s="655"/>
      <c r="AH11" s="655"/>
      <c r="AI11" s="655"/>
      <c r="AJ11" s="655"/>
      <c r="AK11" s="655"/>
      <c r="AL11" s="655"/>
      <c r="AM11" s="656"/>
      <c r="AP11" s="585"/>
      <c r="AQ11" s="585"/>
      <c r="AR11" s="585"/>
      <c r="AS11" s="585"/>
      <c r="AT11" s="585"/>
      <c r="AU11" s="585"/>
      <c r="AV11" s="585"/>
      <c r="AW11" s="585"/>
      <c r="AX11" s="585"/>
      <c r="AY11" s="585"/>
      <c r="AZ11" s="585"/>
      <c r="BA11" s="585"/>
      <c r="BB11" s="585"/>
      <c r="BC11" s="585"/>
      <c r="BD11" s="585"/>
      <c r="BE11" s="585"/>
      <c r="BF11" s="585"/>
      <c r="BG11" s="585"/>
    </row>
    <row r="12">
      <c r="A12" s="29"/>
      <c r="B12" s="30"/>
      <c r="C12" s="30"/>
      <c r="D12" s="30"/>
      <c r="E12" s="30"/>
      <c r="F12" s="31"/>
      <c r="H12" s="1157" t="s">
        <v>691</v>
      </c>
      <c r="I12" s="712" t="s">
        <v>692</v>
      </c>
      <c r="J12" s="570"/>
      <c r="K12" s="657" t="s">
        <v>77</v>
      </c>
      <c r="L12" s="658" t="s">
        <v>689</v>
      </c>
      <c r="N12" s="572">
        <v>2015.0</v>
      </c>
      <c r="O12" s="624">
        <v>6.644E9</v>
      </c>
      <c r="P12" s="583"/>
      <c r="Q12" s="1169">
        <v>6644.0</v>
      </c>
      <c r="R12" s="584" t="s">
        <v>693</v>
      </c>
      <c r="S12" s="1159">
        <v>2.4939145328350534E11</v>
      </c>
      <c r="T12" s="1159">
        <v>1.2934236875056279E11</v>
      </c>
      <c r="V12" s="659"/>
      <c r="W12" s="660" t="s">
        <v>680</v>
      </c>
      <c r="X12" s="661">
        <v>0.11784242425310472</v>
      </c>
      <c r="Y12" s="662"/>
      <c r="AA12" s="662"/>
      <c r="AB12" s="663"/>
      <c r="AC12" s="663"/>
      <c r="AD12" s="663"/>
      <c r="AE12" s="663"/>
      <c r="AF12" s="663"/>
      <c r="AG12" s="663"/>
      <c r="AH12" s="663"/>
      <c r="AI12" s="663"/>
      <c r="AJ12" s="663"/>
      <c r="AK12" s="663"/>
      <c r="AL12" s="663"/>
      <c r="AM12" s="664"/>
      <c r="AP12" s="585"/>
      <c r="AQ12" s="585"/>
      <c r="AR12" s="585"/>
      <c r="AS12" s="585"/>
      <c r="AT12" s="585"/>
      <c r="AU12" s="585"/>
      <c r="AV12" s="585"/>
      <c r="AW12" s="585"/>
      <c r="AX12" s="585"/>
      <c r="AY12" s="585"/>
      <c r="AZ12" s="585"/>
      <c r="BA12" s="585"/>
      <c r="BB12" s="585"/>
      <c r="BC12" s="585"/>
      <c r="BD12" s="585"/>
      <c r="BE12" s="585"/>
      <c r="BF12" s="585"/>
      <c r="BG12" s="585"/>
    </row>
    <row r="13">
      <c r="A13" s="665">
        <v>0.7</v>
      </c>
      <c r="B13" s="13"/>
      <c r="C13" s="1180">
        <v>89.14997885984533</v>
      </c>
      <c r="D13" s="13"/>
      <c r="E13" s="1181">
        <v>0.2972521303882298</v>
      </c>
      <c r="F13" s="14"/>
      <c r="H13" s="1182">
        <v>2.4545862132352942E11</v>
      </c>
      <c r="I13" s="1168">
        <v>3.9813E10</v>
      </c>
      <c r="K13" s="34"/>
      <c r="L13" s="17"/>
      <c r="N13" s="572"/>
      <c r="O13" s="669"/>
      <c r="P13" s="570"/>
      <c r="Q13" s="583"/>
      <c r="R13" s="670" t="s">
        <v>0</v>
      </c>
      <c r="S13" s="670"/>
      <c r="T13" s="786">
        <v>2.3090523090012146E11</v>
      </c>
      <c r="V13" s="659"/>
      <c r="W13" s="660" t="s">
        <v>681</v>
      </c>
      <c r="X13" s="672">
        <v>35.84802858446218</v>
      </c>
      <c r="Y13" s="662"/>
      <c r="Z13" s="1183">
        <v>1.13966983422628</v>
      </c>
      <c r="AA13" s="662"/>
      <c r="AB13" s="660" t="s">
        <v>665</v>
      </c>
      <c r="AC13" s="1184">
        <v>4.711530078685487</v>
      </c>
      <c r="AD13" s="1184">
        <v>5.504698830705086</v>
      </c>
      <c r="AE13" s="1184">
        <v>6.43139462355297</v>
      </c>
      <c r="AF13" s="1184">
        <v>7.514096243221351</v>
      </c>
      <c r="AG13" s="1184">
        <v>8.779066696610425</v>
      </c>
      <c r="AH13" s="1184">
        <v>9.813613198818693</v>
      </c>
      <c r="AI13" s="1184">
        <v>10.970073168849753</v>
      </c>
      <c r="AJ13" s="1184">
        <v>12.262813185300946</v>
      </c>
      <c r="AK13" s="1184">
        <v>13.707892819219746</v>
      </c>
      <c r="AL13" s="1184">
        <v>15.323264140438326</v>
      </c>
      <c r="AM13" s="1185">
        <v>549.3088109136974</v>
      </c>
      <c r="AP13" s="677"/>
      <c r="AQ13" s="677"/>
      <c r="AR13" s="677"/>
      <c r="AS13" s="677"/>
      <c r="AT13" s="677"/>
      <c r="AU13" s="677"/>
      <c r="AV13" s="677"/>
      <c r="AW13" s="677"/>
      <c r="AX13" s="677"/>
      <c r="AY13" s="677"/>
      <c r="AZ13" s="677"/>
      <c r="BA13" s="677"/>
      <c r="BB13" s="677"/>
      <c r="BC13" s="677"/>
      <c r="BD13" s="677"/>
      <c r="BE13" s="677"/>
      <c r="BF13" s="677"/>
      <c r="BG13" s="677"/>
    </row>
    <row r="14" ht="19.5" customHeight="1">
      <c r="A14" s="34"/>
      <c r="F14" s="17"/>
      <c r="H14" s="34"/>
      <c r="I14" s="17"/>
      <c r="K14" s="678">
        <v>90.03479439603852</v>
      </c>
      <c r="L14" s="1186">
        <v>0.22148902381289653</v>
      </c>
      <c r="V14" s="680"/>
      <c r="W14" s="681" t="s">
        <v>686</v>
      </c>
      <c r="X14" s="682">
        <v>0.25</v>
      </c>
      <c r="Y14" s="683"/>
      <c r="Z14" s="684"/>
      <c r="AA14" s="683"/>
      <c r="AB14" s="1187" t="s">
        <v>687</v>
      </c>
      <c r="AC14" s="1188">
        <v>4.25185559854172</v>
      </c>
      <c r="AD14" s="1188">
        <v>4.482978337478451</v>
      </c>
      <c r="AE14" s="1188">
        <v>4.726664466496429</v>
      </c>
      <c r="AF14" s="1188">
        <v>4.983596907453797</v>
      </c>
      <c r="AG14" s="1188">
        <v>5.254495704534861</v>
      </c>
      <c r="AH14" s="1188">
        <v>5.300638270210991</v>
      </c>
      <c r="AI14" s="1188">
        <v>5.347186038686187</v>
      </c>
      <c r="AJ14" s="1188">
        <v>5.394142568265156</v>
      </c>
      <c r="AK14" s="1188">
        <v>5.441511448499993</v>
      </c>
      <c r="AL14" s="1188">
        <v>5.4892963004645905</v>
      </c>
      <c r="AM14" s="1189">
        <v>196.7804506876371</v>
      </c>
    </row>
    <row r="15" ht="18.0" customHeight="1">
      <c r="A15" s="29"/>
      <c r="B15" s="30"/>
      <c r="C15" s="30"/>
      <c r="D15" s="30"/>
      <c r="E15" s="30"/>
      <c r="F15" s="31"/>
      <c r="H15" s="1157" t="s">
        <v>694</v>
      </c>
      <c r="I15" s="712" t="s">
        <v>695</v>
      </c>
      <c r="J15" s="570"/>
      <c r="K15" s="34"/>
      <c r="L15" s="17"/>
      <c r="N15" s="631" t="s">
        <v>684</v>
      </c>
      <c r="V15" s="688"/>
      <c r="W15" s="689"/>
      <c r="X15" s="690"/>
      <c r="Y15" s="690"/>
      <c r="Z15" s="1162">
        <v>27.038729171630873</v>
      </c>
      <c r="AA15" s="690"/>
      <c r="AB15" s="689"/>
      <c r="AC15" s="689"/>
      <c r="AD15" s="689"/>
      <c r="AE15" s="689"/>
      <c r="AF15" s="689"/>
      <c r="AG15" s="689"/>
      <c r="AH15" s="689"/>
      <c r="AI15" s="689"/>
      <c r="AJ15" s="689"/>
      <c r="AK15" s="689"/>
      <c r="AL15" s="689"/>
      <c r="AM15" s="691"/>
    </row>
    <row r="16">
      <c r="A16" s="692" t="s">
        <v>87</v>
      </c>
      <c r="B16" s="13"/>
      <c r="C16" s="693" t="s">
        <v>696</v>
      </c>
      <c r="D16" s="13"/>
      <c r="E16" s="693" t="s">
        <v>697</v>
      </c>
      <c r="F16" s="14"/>
      <c r="H16" s="1176">
        <v>0.860438273476745</v>
      </c>
      <c r="I16" s="1177">
        <v>0.1395617265232551</v>
      </c>
      <c r="J16" s="570"/>
      <c r="K16" s="34"/>
      <c r="L16" s="17"/>
      <c r="N16" s="644">
        <v>0.456918411640619</v>
      </c>
      <c r="V16" s="695" t="s">
        <v>699</v>
      </c>
      <c r="W16" s="696" t="s">
        <v>676</v>
      </c>
      <c r="X16" s="697">
        <v>0.10100779221694692</v>
      </c>
      <c r="Y16" s="698"/>
      <c r="Z16" s="1190">
        <v>108.15491668652349</v>
      </c>
      <c r="AA16" s="698"/>
      <c r="AB16" s="700"/>
      <c r="AC16" s="700"/>
      <c r="AD16" s="700"/>
      <c r="AE16" s="700"/>
      <c r="AF16" s="700"/>
      <c r="AG16" s="700"/>
      <c r="AH16" s="700"/>
      <c r="AI16" s="700"/>
      <c r="AJ16" s="700"/>
      <c r="AK16" s="700"/>
      <c r="AL16" s="700"/>
      <c r="AM16" s="701"/>
      <c r="AP16" s="702"/>
      <c r="AQ16" s="702"/>
      <c r="AR16" s="702"/>
      <c r="AS16" s="702"/>
      <c r="AT16" s="702"/>
      <c r="AU16" s="702"/>
      <c r="AV16" s="702"/>
      <c r="AW16" s="702"/>
      <c r="AX16" s="702"/>
      <c r="AY16" s="702"/>
      <c r="AZ16" s="702"/>
      <c r="BA16" s="702"/>
      <c r="BB16" s="702"/>
      <c r="BC16" s="702"/>
      <c r="BD16" s="702"/>
      <c r="BE16" s="702"/>
      <c r="BF16" s="702"/>
      <c r="BG16" s="702"/>
    </row>
    <row r="17">
      <c r="A17" s="1247" t="s">
        <v>103</v>
      </c>
      <c r="C17" s="622">
        <v>89.14997885984533</v>
      </c>
      <c r="E17" s="622">
        <v>71.31774999031882</v>
      </c>
      <c r="H17" s="29"/>
      <c r="I17" s="31"/>
      <c r="J17" s="570"/>
      <c r="K17" s="29"/>
      <c r="L17" s="31"/>
      <c r="N17" s="34"/>
      <c r="V17" s="659"/>
      <c r="W17" s="706" t="s">
        <v>680</v>
      </c>
      <c r="X17" s="707">
        <v>0.07070545455186283</v>
      </c>
      <c r="Y17" s="708"/>
      <c r="AA17" s="708"/>
      <c r="AB17" s="709"/>
      <c r="AC17" s="709"/>
      <c r="AD17" s="709"/>
      <c r="AE17" s="709"/>
      <c r="AF17" s="709"/>
      <c r="AG17" s="709"/>
      <c r="AH17" s="709"/>
      <c r="AI17" s="709"/>
      <c r="AJ17" s="709"/>
      <c r="AK17" s="709"/>
      <c r="AL17" s="709"/>
      <c r="AM17" s="710"/>
      <c r="AP17" s="711"/>
      <c r="AQ17" s="711"/>
      <c r="AR17" s="711"/>
      <c r="AS17" s="711"/>
      <c r="AT17" s="711"/>
      <c r="AU17" s="711"/>
      <c r="AV17" s="711"/>
      <c r="AW17" s="711"/>
      <c r="AX17" s="711"/>
      <c r="AY17" s="711"/>
      <c r="AZ17" s="711"/>
      <c r="BA17" s="711"/>
      <c r="BB17" s="711"/>
      <c r="BC17" s="711"/>
      <c r="BD17" s="711"/>
      <c r="BE17" s="711"/>
      <c r="BF17" s="711"/>
      <c r="BG17" s="711"/>
    </row>
    <row r="18" ht="21.75" customHeight="1">
      <c r="H18" s="1157" t="s">
        <v>656</v>
      </c>
      <c r="I18" s="712" t="s">
        <v>701</v>
      </c>
      <c r="J18" s="570"/>
      <c r="K18" s="1191">
        <v>28.421652609416334</v>
      </c>
      <c r="L18" s="714" t="s">
        <v>702</v>
      </c>
      <c r="V18" s="659"/>
      <c r="W18" s="706" t="s">
        <v>681</v>
      </c>
      <c r="X18" s="717">
        <v>21.508817150677306</v>
      </c>
      <c r="Y18" s="718"/>
      <c r="Z18" s="1192">
        <v>-0.06480832955881118</v>
      </c>
      <c r="AA18" s="718"/>
      <c r="AB18" s="1193" t="s">
        <v>665</v>
      </c>
      <c r="AC18" s="1194">
        <v>4.439977461727142</v>
      </c>
      <c r="AD18" s="1194">
        <v>4.888449782629205</v>
      </c>
      <c r="AE18" s="1194">
        <v>5.382221302535995</v>
      </c>
      <c r="AF18" s="1194">
        <v>5.925867593528176</v>
      </c>
      <c r="AG18" s="1194">
        <v>6.52442639612041</v>
      </c>
      <c r="AH18" s="1194">
        <v>6.985738930148276</v>
      </c>
      <c r="AI18" s="1194">
        <v>7.479668776585054</v>
      </c>
      <c r="AJ18" s="1194">
        <v>8.008522157330876</v>
      </c>
      <c r="AK18" s="1194">
        <v>8.574768356753621</v>
      </c>
      <c r="AL18" s="1194">
        <v>9.181051251094816</v>
      </c>
      <c r="AM18" s="1195">
        <v>197.4735526107955</v>
      </c>
      <c r="AP18" s="723"/>
      <c r="AQ18" s="723"/>
      <c r="AR18" s="723"/>
      <c r="AS18" s="723"/>
      <c r="AT18" s="723"/>
      <c r="AU18" s="723"/>
      <c r="AV18" s="723"/>
      <c r="AW18" s="723"/>
      <c r="AX18" s="723"/>
      <c r="AY18" s="723"/>
      <c r="AZ18" s="723"/>
      <c r="BA18" s="723"/>
      <c r="BB18" s="723"/>
      <c r="BC18" s="723"/>
      <c r="BD18" s="723"/>
      <c r="BE18" s="723"/>
      <c r="BF18" s="723"/>
      <c r="BG18" s="723"/>
    </row>
    <row r="19">
      <c r="A19" s="724" t="s">
        <v>703</v>
      </c>
      <c r="H19" s="1176">
        <v>0.10811149849525083</v>
      </c>
      <c r="I19" s="725">
        <v>0.07567804894667557</v>
      </c>
      <c r="J19" s="570"/>
      <c r="V19" s="680"/>
      <c r="W19" s="727" t="s">
        <v>686</v>
      </c>
      <c r="X19" s="728">
        <v>0.25</v>
      </c>
      <c r="Y19" s="729"/>
      <c r="Z19" s="684"/>
      <c r="AA19" s="729"/>
      <c r="AB19" s="1196" t="s">
        <v>687</v>
      </c>
      <c r="AC19" s="1197">
        <v>4.006796669609841</v>
      </c>
      <c r="AD19" s="1197">
        <v>3.9811105299962315</v>
      </c>
      <c r="AE19" s="1197">
        <v>3.9555890550318806</v>
      </c>
      <c r="AF19" s="1197">
        <v>3.9302311891106467</v>
      </c>
      <c r="AG19" s="1197">
        <v>3.9050358833935017</v>
      </c>
      <c r="AH19" s="1197">
        <v>3.7732152642111534</v>
      </c>
      <c r="AI19" s="1197">
        <v>3.6458444570562714</v>
      </c>
      <c r="AJ19" s="1197">
        <v>3.5227732515353507</v>
      </c>
      <c r="AK19" s="1197">
        <v>3.4038565078426237</v>
      </c>
      <c r="AL19" s="1197">
        <v>3.288953985594413</v>
      </c>
      <c r="AM19" s="1198">
        <v>70.74150989314158</v>
      </c>
      <c r="AP19" s="733"/>
      <c r="AQ19" s="733"/>
      <c r="AR19" s="733"/>
      <c r="AS19" s="733"/>
      <c r="AT19" s="733"/>
      <c r="AU19" s="733"/>
      <c r="AV19" s="733"/>
      <c r="AW19" s="733"/>
      <c r="AX19" s="733"/>
      <c r="AY19" s="733"/>
      <c r="AZ19" s="733"/>
      <c r="BA19" s="733"/>
      <c r="BB19" s="733"/>
      <c r="BC19" s="733"/>
      <c r="BD19" s="733"/>
      <c r="BE19" s="733"/>
      <c r="BF19" s="733"/>
      <c r="BG19" s="733"/>
    </row>
    <row r="20">
      <c r="A20" s="34"/>
      <c r="H20" s="29"/>
      <c r="I20" s="31"/>
      <c r="J20" s="570"/>
      <c r="K20" s="1199" t="s">
        <v>705</v>
      </c>
      <c r="L20" s="1200" t="s">
        <v>706</v>
      </c>
      <c r="V20" s="739"/>
      <c r="W20" s="739"/>
      <c r="X20" s="1201">
        <v>1.0</v>
      </c>
      <c r="Y20" s="739"/>
      <c r="Z20" s="739"/>
      <c r="AA20" s="739"/>
      <c r="AB20" s="739"/>
      <c r="AC20" s="739"/>
      <c r="AD20" s="739"/>
      <c r="AE20" s="739"/>
      <c r="AF20" s="739"/>
      <c r="AG20" s="739"/>
      <c r="AH20" s="739"/>
      <c r="AI20" s="739"/>
      <c r="AJ20" s="739"/>
      <c r="AK20" s="739"/>
      <c r="AL20" s="739"/>
      <c r="AM20" s="739"/>
      <c r="AP20" s="733"/>
      <c r="AQ20" s="733"/>
      <c r="AR20" s="733"/>
      <c r="AS20" s="733"/>
      <c r="AT20" s="733"/>
      <c r="AU20" s="733"/>
      <c r="AV20" s="733"/>
      <c r="AW20" s="733"/>
      <c r="AX20" s="733"/>
      <c r="AY20" s="733"/>
      <c r="AZ20" s="733"/>
      <c r="BA20" s="733"/>
      <c r="BB20" s="733"/>
      <c r="BC20" s="733"/>
      <c r="BD20" s="733"/>
      <c r="BE20" s="733"/>
      <c r="BF20" s="733"/>
      <c r="BG20" s="733"/>
    </row>
    <row r="21" ht="24.0" customHeight="1">
      <c r="A21" s="740" t="s">
        <v>76</v>
      </c>
      <c r="B21" s="13"/>
      <c r="C21" s="741" t="s">
        <v>708</v>
      </c>
      <c r="D21" s="13"/>
      <c r="E21" s="741" t="s">
        <v>709</v>
      </c>
      <c r="F21" s="14"/>
      <c r="H21" s="742"/>
      <c r="I21" s="570"/>
      <c r="J21" s="570"/>
      <c r="P21" s="694" t="s">
        <v>698</v>
      </c>
      <c r="U21" s="702"/>
      <c r="V21" s="702"/>
      <c r="W21" s="702"/>
      <c r="X21" s="733"/>
      <c r="Y21" s="733"/>
      <c r="Z21" s="733"/>
      <c r="AA21" s="733"/>
      <c r="AB21" s="733"/>
      <c r="AC21" s="733"/>
      <c r="AD21" s="733"/>
      <c r="AE21" s="733"/>
      <c r="AF21" s="733"/>
      <c r="AG21" s="733"/>
      <c r="AH21" s="733"/>
      <c r="AI21" s="733"/>
      <c r="AJ21" s="733"/>
      <c r="AK21" s="733"/>
      <c r="AL21" s="733"/>
      <c r="AM21" s="733"/>
      <c r="AN21" s="733"/>
      <c r="AO21" s="733"/>
      <c r="AP21" s="733"/>
      <c r="AQ21" s="733"/>
      <c r="AR21" s="733"/>
      <c r="AS21" s="733"/>
      <c r="AT21" s="733"/>
      <c r="AU21" s="733"/>
      <c r="AV21" s="733"/>
      <c r="AW21" s="733"/>
      <c r="AX21" s="733"/>
      <c r="AY21" s="733"/>
      <c r="AZ21" s="733"/>
      <c r="BA21" s="733"/>
      <c r="BB21" s="733"/>
      <c r="BC21" s="733"/>
      <c r="BD21" s="733"/>
      <c r="BE21" s="733"/>
      <c r="BF21" s="733"/>
      <c r="BG21" s="733"/>
    </row>
    <row r="22">
      <c r="A22" s="1202">
        <v>115.65</v>
      </c>
      <c r="C22" s="1203">
        <v>0.93</v>
      </c>
      <c r="E22" s="1203">
        <v>42.59</v>
      </c>
      <c r="F22" s="17"/>
      <c r="H22" s="570"/>
      <c r="I22" s="570"/>
      <c r="J22" s="570"/>
      <c r="P22" s="704" t="s">
        <v>700</v>
      </c>
      <c r="Q22" s="13"/>
      <c r="R22" s="13"/>
      <c r="S22" s="13"/>
      <c r="T22" s="1204" t="s">
        <v>105</v>
      </c>
      <c r="U22" s="711"/>
      <c r="V22" s="711"/>
      <c r="W22" s="711"/>
      <c r="X22" s="733"/>
      <c r="Y22" s="733"/>
      <c r="Z22" s="733"/>
      <c r="AA22" s="733"/>
      <c r="AB22" s="733"/>
      <c r="AC22" s="733"/>
      <c r="AD22" s="733"/>
      <c r="AE22" s="733"/>
      <c r="AF22" s="733"/>
      <c r="AG22" s="733"/>
      <c r="AH22" s="733"/>
      <c r="AI22" s="733"/>
      <c r="AJ22" s="733"/>
      <c r="AK22" s="733"/>
      <c r="AL22" s="733"/>
      <c r="AM22" s="733"/>
      <c r="AN22" s="733"/>
      <c r="AO22" s="733"/>
      <c r="AP22" s="733"/>
      <c r="AQ22" s="733"/>
      <c r="AR22" s="733"/>
      <c r="AS22" s="733"/>
      <c r="AT22" s="733"/>
      <c r="AU22" s="733"/>
      <c r="AV22" s="733"/>
      <c r="AW22" s="733"/>
      <c r="AX22" s="733"/>
      <c r="AY22" s="733"/>
      <c r="AZ22" s="733"/>
      <c r="BA22" s="733"/>
      <c r="BB22" s="733"/>
      <c r="BC22" s="733"/>
      <c r="BD22" s="733"/>
      <c r="BE22" s="733"/>
      <c r="BF22" s="733"/>
      <c r="BG22" s="733"/>
    </row>
    <row r="23">
      <c r="A23" s="34"/>
      <c r="F23" s="17"/>
      <c r="H23" s="239" t="s">
        <v>718</v>
      </c>
      <c r="I23" s="13"/>
      <c r="J23" s="13"/>
      <c r="K23" s="13"/>
      <c r="L23" s="13"/>
      <c r="M23" s="14"/>
      <c r="N23" s="756" t="s">
        <v>77</v>
      </c>
      <c r="P23" s="715" t="s">
        <v>301</v>
      </c>
      <c r="T23" s="726">
        <v>2.72</v>
      </c>
      <c r="U23" s="723"/>
      <c r="V23" s="723"/>
      <c r="W23" s="723"/>
      <c r="X23" s="733"/>
      <c r="Y23" s="733"/>
      <c r="Z23" s="733"/>
      <c r="AA23" s="733"/>
      <c r="AB23" s="733"/>
      <c r="AC23" s="733"/>
      <c r="AD23" s="733"/>
      <c r="AE23" s="733"/>
      <c r="AF23" s="733"/>
      <c r="AG23" s="733"/>
      <c r="AH23" s="733"/>
      <c r="AI23" s="733"/>
      <c r="AJ23" s="733"/>
      <c r="AK23" s="733"/>
      <c r="AL23" s="733"/>
      <c r="AM23" s="733"/>
      <c r="AN23" s="733"/>
      <c r="AO23" s="733"/>
      <c r="AP23" s="733"/>
      <c r="AQ23" s="733"/>
      <c r="AR23" s="733"/>
      <c r="AS23" s="733"/>
      <c r="AT23" s="733"/>
      <c r="AU23" s="733"/>
      <c r="AV23" s="733"/>
      <c r="AW23" s="733"/>
      <c r="AX23" s="733"/>
      <c r="AY23" s="733"/>
      <c r="AZ23" s="733"/>
      <c r="BA23" s="733"/>
      <c r="BB23" s="733"/>
      <c r="BC23" s="733"/>
      <c r="BD23" s="733"/>
      <c r="BE23" s="733"/>
      <c r="BF23" s="733"/>
      <c r="BG23" s="733"/>
    </row>
    <row r="24">
      <c r="A24" s="768" t="s">
        <v>724</v>
      </c>
      <c r="C24" s="255" t="s">
        <v>83</v>
      </c>
      <c r="E24" s="255" t="s">
        <v>725</v>
      </c>
      <c r="F24" s="17"/>
      <c r="H24" s="29"/>
      <c r="I24" s="30"/>
      <c r="J24" s="30"/>
      <c r="K24" s="30"/>
      <c r="L24" s="30"/>
      <c r="M24" s="31"/>
      <c r="N24" s="769"/>
      <c r="P24" s="715" t="s">
        <v>971</v>
      </c>
      <c r="T24" s="726">
        <v>7.0</v>
      </c>
      <c r="U24" s="733"/>
      <c r="V24" s="733"/>
      <c r="W24" s="733"/>
      <c r="X24" s="779"/>
      <c r="Y24" s="779"/>
      <c r="Z24" s="779"/>
      <c r="AA24" s="779"/>
      <c r="AB24" s="779"/>
      <c r="AC24" s="779"/>
      <c r="AD24" s="779"/>
      <c r="AE24" s="779"/>
      <c r="AF24" s="779"/>
      <c r="AG24" s="779"/>
      <c r="AH24" s="779"/>
      <c r="AI24" s="779"/>
      <c r="AJ24" s="779"/>
      <c r="AK24" s="779"/>
      <c r="AL24" s="779"/>
      <c r="AM24" s="779"/>
      <c r="AN24" s="779"/>
      <c r="AO24" s="779"/>
      <c r="AP24" s="779"/>
      <c r="AQ24" s="779"/>
      <c r="AR24" s="779"/>
      <c r="AS24" s="779"/>
      <c r="AT24" s="779"/>
      <c r="AU24" s="779"/>
      <c r="AV24" s="779"/>
      <c r="AW24" s="779"/>
      <c r="AX24" s="779"/>
      <c r="AY24" s="779"/>
      <c r="AZ24" s="779"/>
      <c r="BA24" s="779"/>
      <c r="BB24" s="779"/>
      <c r="BC24" s="779"/>
      <c r="BD24" s="779"/>
      <c r="BE24" s="779"/>
      <c r="BF24" s="779"/>
      <c r="BG24" s="779"/>
    </row>
    <row r="25">
      <c r="A25" s="1202">
        <v>83.91</v>
      </c>
      <c r="C25" s="780"/>
      <c r="E25" s="1205">
        <v>123.74</v>
      </c>
      <c r="F25" s="17"/>
      <c r="H25" s="782" t="s">
        <v>71</v>
      </c>
      <c r="I25" s="783" t="s">
        <v>730</v>
      </c>
      <c r="J25" s="783" t="s">
        <v>76</v>
      </c>
      <c r="L25" s="783" t="s">
        <v>301</v>
      </c>
      <c r="M25" s="783" t="s">
        <v>300</v>
      </c>
      <c r="N25" s="87"/>
      <c r="P25" s="715" t="s">
        <v>707</v>
      </c>
      <c r="T25" s="736">
        <v>11.8</v>
      </c>
      <c r="U25" s="733"/>
      <c r="V25" s="1206" t="s">
        <v>972</v>
      </c>
      <c r="W25" s="733"/>
      <c r="X25" s="767"/>
      <c r="Y25" s="767"/>
      <c r="Z25" s="767"/>
      <c r="AA25" s="767"/>
      <c r="AB25" s="767"/>
      <c r="AC25" s="767"/>
      <c r="AD25" s="767"/>
      <c r="AE25" s="767"/>
      <c r="AF25" s="767"/>
      <c r="AG25" s="767"/>
      <c r="AH25" s="767"/>
      <c r="AI25" s="767"/>
      <c r="AJ25" s="767"/>
      <c r="AK25" s="767"/>
      <c r="AL25" s="767"/>
      <c r="AM25" s="767"/>
      <c r="AN25" s="767"/>
      <c r="AO25" s="767"/>
      <c r="AP25" s="767"/>
      <c r="AQ25" s="767"/>
      <c r="AR25" s="767"/>
      <c r="AS25" s="767"/>
      <c r="AT25" s="767"/>
      <c r="AU25" s="767"/>
      <c r="AV25" s="767"/>
      <c r="AW25" s="767"/>
      <c r="AX25" s="767"/>
      <c r="AY25" s="767"/>
      <c r="AZ25" s="767"/>
      <c r="BA25" s="767"/>
      <c r="BB25" s="767"/>
      <c r="BC25" s="767"/>
      <c r="BD25" s="767"/>
      <c r="BE25" s="767"/>
      <c r="BF25" s="767"/>
      <c r="BG25" s="767"/>
    </row>
    <row r="26">
      <c r="A26" s="29"/>
      <c r="B26" s="30"/>
      <c r="C26" s="30"/>
      <c r="D26" s="30"/>
      <c r="E26" s="30"/>
      <c r="F26" s="31"/>
      <c r="H26" s="794" t="s">
        <v>599</v>
      </c>
      <c r="I26" s="1207" t="s">
        <v>1213</v>
      </c>
      <c r="J26" s="1208">
        <v>10.88</v>
      </c>
      <c r="L26" s="1208">
        <v>-8.22</v>
      </c>
      <c r="M26" s="797"/>
      <c r="N26" s="798">
        <v>101.9456</v>
      </c>
      <c r="P26" s="715" t="s">
        <v>710</v>
      </c>
      <c r="T26" s="726">
        <v>1.0</v>
      </c>
      <c r="U26" s="733"/>
      <c r="V26" s="733" t="s">
        <v>974</v>
      </c>
      <c r="W26" s="733"/>
      <c r="X26" s="767"/>
      <c r="Y26" s="767"/>
      <c r="Z26" s="767"/>
      <c r="AA26" s="767"/>
      <c r="AB26" s="767"/>
      <c r="AC26" s="767"/>
      <c r="AD26" s="767"/>
      <c r="AE26" s="767"/>
      <c r="AF26" s="767"/>
      <c r="AG26" s="767"/>
      <c r="AH26" s="767"/>
      <c r="AI26" s="767"/>
      <c r="AJ26" s="767"/>
      <c r="AK26" s="767"/>
      <c r="AL26" s="767"/>
      <c r="AM26" s="767"/>
      <c r="AN26" s="767"/>
      <c r="AO26" s="767"/>
      <c r="AP26" s="767"/>
      <c r="AQ26" s="767"/>
      <c r="AR26" s="767"/>
      <c r="AS26" s="767"/>
      <c r="AT26" s="767"/>
      <c r="AU26" s="767"/>
      <c r="AV26" s="767"/>
      <c r="AW26" s="767"/>
      <c r="AX26" s="767"/>
      <c r="AY26" s="767"/>
      <c r="AZ26" s="767"/>
      <c r="BA26" s="767"/>
      <c r="BB26" s="767"/>
      <c r="BC26" s="767"/>
      <c r="BD26" s="767"/>
      <c r="BE26" s="767"/>
      <c r="BF26" s="767"/>
      <c r="BG26" s="767"/>
    </row>
    <row r="27">
      <c r="A27" s="804"/>
      <c r="F27" s="17"/>
      <c r="H27" s="794" t="s">
        <v>1214</v>
      </c>
      <c r="I27" s="1207" t="s">
        <v>1215</v>
      </c>
      <c r="J27" s="1208">
        <v>29.49</v>
      </c>
      <c r="L27" s="1208">
        <v>0.62</v>
      </c>
      <c r="M27" s="1209">
        <v>47.57</v>
      </c>
      <c r="N27" s="769"/>
      <c r="P27" s="747" t="s">
        <v>711</v>
      </c>
      <c r="T27" s="726">
        <v>4.4</v>
      </c>
      <c r="U27" s="799"/>
      <c r="V27" s="733"/>
      <c r="W27" s="733"/>
    </row>
    <row r="28">
      <c r="A28" s="34"/>
      <c r="F28" s="17"/>
      <c r="H28" s="794" t="s">
        <v>1216</v>
      </c>
      <c r="I28" s="1207" t="s">
        <v>1217</v>
      </c>
      <c r="J28" s="1208">
        <v>31.53</v>
      </c>
      <c r="L28" s="1208">
        <v>2.24</v>
      </c>
      <c r="M28" s="1209">
        <v>14.07</v>
      </c>
      <c r="N28" s="756" t="s">
        <v>689</v>
      </c>
      <c r="P28" s="747" t="s">
        <v>719</v>
      </c>
      <c r="T28" s="757">
        <v>4.95</v>
      </c>
      <c r="U28" s="733"/>
      <c r="V28" s="1206" t="s">
        <v>977</v>
      </c>
      <c r="W28" s="733"/>
    </row>
    <row r="29">
      <c r="A29" s="34"/>
      <c r="F29" s="17"/>
      <c r="H29" s="811" t="s">
        <v>1218</v>
      </c>
      <c r="I29" s="1207" t="s">
        <v>1219</v>
      </c>
      <c r="J29" s="1208">
        <v>897.79</v>
      </c>
      <c r="L29" s="1208">
        <v>17.67</v>
      </c>
      <c r="M29" s="1209">
        <v>50.8</v>
      </c>
      <c r="N29" s="87"/>
      <c r="P29" s="770" t="s">
        <v>77</v>
      </c>
      <c r="Q29" s="13"/>
      <c r="R29" s="14"/>
      <c r="S29" s="771" t="s">
        <v>689</v>
      </c>
      <c r="T29" s="14"/>
      <c r="U29" s="779"/>
      <c r="V29" s="779"/>
      <c r="W29" s="779"/>
    </row>
    <row r="30">
      <c r="A30" s="34"/>
      <c r="F30" s="17"/>
      <c r="H30" s="817" t="s">
        <v>749</v>
      </c>
      <c r="I30" s="1210">
        <v>37.48</v>
      </c>
      <c r="J30" s="819" t="s">
        <v>750</v>
      </c>
      <c r="K30" s="1210">
        <v>101.9456</v>
      </c>
      <c r="L30" s="817" t="s">
        <v>751</v>
      </c>
      <c r="M30" s="1211">
        <v>2.72</v>
      </c>
      <c r="N30" s="1186">
        <v>0.1184989191526157</v>
      </c>
      <c r="P30" s="1212">
        <v>45.45422222222223</v>
      </c>
      <c r="R30" s="17"/>
      <c r="S30" s="1181">
        <v>0.6069673824278233</v>
      </c>
      <c r="T30" s="14"/>
      <c r="U30" s="767"/>
      <c r="V30" s="767"/>
      <c r="W30" s="767"/>
    </row>
    <row r="31">
      <c r="A31" s="34"/>
      <c r="F31" s="17"/>
      <c r="H31" s="825" t="s">
        <v>754</v>
      </c>
      <c r="I31" s="826">
        <v>47.57</v>
      </c>
      <c r="J31" s="827" t="s">
        <v>755</v>
      </c>
      <c r="K31" s="1213">
        <v>129.3904</v>
      </c>
      <c r="L31" s="29"/>
      <c r="M31" s="87"/>
      <c r="N31" s="31"/>
      <c r="P31" s="29"/>
      <c r="Q31" s="30"/>
      <c r="R31" s="31"/>
      <c r="S31" s="30"/>
      <c r="T31" s="31"/>
      <c r="U31" s="767"/>
      <c r="V31" s="767"/>
      <c r="W31" s="767"/>
    </row>
    <row r="32">
      <c r="A32" s="34"/>
      <c r="F32" s="17"/>
      <c r="N32" s="799"/>
    </row>
    <row r="33">
      <c r="A33" s="34"/>
      <c r="F33" s="17"/>
      <c r="H33" s="1214" t="s">
        <v>980</v>
      </c>
      <c r="J33" s="799"/>
      <c r="M33" s="743"/>
      <c r="N33" s="799"/>
      <c r="O33" s="799"/>
    </row>
    <row r="34">
      <c r="A34" s="29"/>
      <c r="B34" s="30"/>
      <c r="C34" s="30"/>
      <c r="D34" s="30"/>
      <c r="E34" s="30"/>
      <c r="F34" s="31"/>
      <c r="H34" s="1215" t="s">
        <v>981</v>
      </c>
      <c r="J34" s="799"/>
      <c r="K34" s="111"/>
      <c r="N34" s="799"/>
      <c r="O34" s="799"/>
      <c r="P34" s="1216" t="s">
        <v>740</v>
      </c>
      <c r="Q34" s="806"/>
      <c r="R34" s="806"/>
      <c r="S34" s="807"/>
      <c r="T34" s="808"/>
    </row>
    <row r="35">
      <c r="A35" s="239" t="s">
        <v>771</v>
      </c>
      <c r="B35" s="13"/>
      <c r="C35" s="13"/>
      <c r="D35" s="13"/>
      <c r="E35" s="13"/>
      <c r="F35" s="14"/>
      <c r="H35" s="1215" t="s">
        <v>982</v>
      </c>
      <c r="J35" s="799"/>
      <c r="N35" s="799"/>
      <c r="O35" s="799"/>
      <c r="P35" s="1217" t="s">
        <v>744</v>
      </c>
      <c r="Q35" s="269"/>
      <c r="R35" s="269"/>
      <c r="S35" s="813"/>
      <c r="T35" s="814"/>
    </row>
    <row r="36">
      <c r="A36" s="34"/>
      <c r="F36" s="17"/>
      <c r="H36" s="799"/>
      <c r="I36" s="799"/>
      <c r="J36" s="799"/>
      <c r="K36" s="488"/>
      <c r="L36" s="488"/>
      <c r="M36" s="488"/>
      <c r="O36" s="799"/>
      <c r="P36" s="1217" t="s">
        <v>752</v>
      </c>
      <c r="Q36" s="269"/>
      <c r="R36" s="269"/>
      <c r="S36" s="813"/>
      <c r="T36" s="814"/>
    </row>
    <row r="37">
      <c r="A37" s="768" t="s">
        <v>780</v>
      </c>
      <c r="E37" s="255" t="s">
        <v>661</v>
      </c>
      <c r="H37" s="799"/>
      <c r="I37" s="799"/>
      <c r="J37" s="799"/>
      <c r="M37" s="743"/>
      <c r="N37" s="799"/>
      <c r="O37" s="799"/>
      <c r="P37" s="1217" t="s">
        <v>756</v>
      </c>
      <c r="Q37" s="269"/>
      <c r="R37" s="269"/>
      <c r="S37" s="813"/>
      <c r="T37" s="814"/>
    </row>
    <row r="38">
      <c r="A38" s="859" t="s">
        <v>785</v>
      </c>
      <c r="E38" s="860"/>
      <c r="I38" s="799"/>
      <c r="J38" s="799"/>
      <c r="M38" s="743"/>
      <c r="N38" s="799"/>
      <c r="O38" s="799"/>
      <c r="P38" s="1218" t="s">
        <v>760</v>
      </c>
      <c r="Q38" s="269"/>
      <c r="R38" s="269"/>
      <c r="S38" s="813"/>
      <c r="T38" s="814"/>
    </row>
    <row r="39">
      <c r="A39" s="859" t="s">
        <v>792</v>
      </c>
      <c r="E39" s="864"/>
      <c r="H39" s="799"/>
      <c r="I39" s="799"/>
      <c r="J39" s="799"/>
      <c r="K39" s="744"/>
      <c r="L39" s="799"/>
      <c r="M39" s="799"/>
      <c r="N39" s="799"/>
      <c r="O39" s="799"/>
      <c r="P39" s="1218" t="s">
        <v>764</v>
      </c>
      <c r="Q39" s="269"/>
      <c r="R39" s="269"/>
      <c r="S39" s="813"/>
      <c r="T39" s="814"/>
    </row>
    <row r="40">
      <c r="A40" s="870" t="s">
        <v>798</v>
      </c>
      <c r="E40" s="864"/>
      <c r="H40" s="799"/>
      <c r="I40" s="799"/>
      <c r="J40" s="799"/>
      <c r="K40" s="799"/>
      <c r="L40" s="799"/>
      <c r="M40" s="799"/>
      <c r="N40" s="799"/>
      <c r="O40" s="799"/>
      <c r="P40" s="1219" t="s">
        <v>768</v>
      </c>
      <c r="Q40" s="269"/>
      <c r="R40" s="269"/>
      <c r="S40" s="813"/>
      <c r="T40" s="814"/>
    </row>
    <row r="41">
      <c r="A41" s="870"/>
      <c r="E41" s="864"/>
      <c r="H41" s="799"/>
      <c r="I41" s="799"/>
      <c r="J41" s="799"/>
      <c r="L41" s="799"/>
      <c r="M41" s="799"/>
      <c r="N41" s="799"/>
      <c r="O41" s="799"/>
      <c r="P41" s="1218" t="s">
        <v>772</v>
      </c>
      <c r="Q41" s="269"/>
      <c r="R41" s="269"/>
      <c r="S41" s="813"/>
      <c r="T41" s="814"/>
    </row>
    <row r="42">
      <c r="A42" s="255" t="s">
        <v>803</v>
      </c>
      <c r="E42" s="786" t="e">
        <v>#DIV/0!</v>
      </c>
      <c r="H42" s="799"/>
      <c r="I42" s="799"/>
      <c r="J42" s="799"/>
      <c r="K42" s="799"/>
      <c r="L42" s="799"/>
      <c r="M42" s="799"/>
      <c r="N42" s="799"/>
      <c r="O42" s="799"/>
      <c r="P42" s="1218" t="s">
        <v>776</v>
      </c>
      <c r="Q42" s="269"/>
      <c r="R42" s="269"/>
      <c r="S42" s="269"/>
      <c r="T42" s="814"/>
    </row>
    <row r="43">
      <c r="H43" s="799"/>
      <c r="I43" s="799"/>
      <c r="J43" s="799"/>
      <c r="K43" s="799"/>
      <c r="L43" s="799"/>
      <c r="M43" s="799"/>
      <c r="N43" s="799"/>
      <c r="O43" s="799"/>
      <c r="P43" s="1218" t="s">
        <v>781</v>
      </c>
      <c r="Q43" s="269"/>
      <c r="R43" s="269"/>
      <c r="S43" s="269"/>
      <c r="T43" s="814"/>
    </row>
    <row r="44">
      <c r="H44" s="799"/>
      <c r="I44" s="799"/>
      <c r="J44" s="799"/>
      <c r="K44" s="799"/>
      <c r="L44" s="799"/>
      <c r="M44" s="799"/>
      <c r="N44" s="799"/>
      <c r="O44" s="799"/>
      <c r="P44" s="861" t="s">
        <v>787</v>
      </c>
      <c r="Q44" s="862"/>
      <c r="R44" s="862"/>
      <c r="S44" s="862"/>
      <c r="T44" s="863"/>
    </row>
    <row r="45" ht="17.25" customHeight="1">
      <c r="H45" s="799"/>
      <c r="I45" s="799"/>
      <c r="J45" s="799"/>
      <c r="K45" s="799"/>
      <c r="L45" s="799"/>
      <c r="M45" s="799"/>
      <c r="N45" s="799"/>
      <c r="O45" s="799"/>
    </row>
    <row r="46">
      <c r="A46" s="910" t="s">
        <v>826</v>
      </c>
      <c r="H46" s="911" t="s">
        <v>827</v>
      </c>
      <c r="I46" s="912" t="s">
        <v>828</v>
      </c>
      <c r="J46" s="913"/>
      <c r="K46" s="913"/>
      <c r="L46" s="799"/>
      <c r="M46" s="799"/>
      <c r="N46" s="799"/>
      <c r="O46" s="799"/>
    </row>
    <row r="47">
      <c r="A47" s="1220" t="s">
        <v>983</v>
      </c>
      <c r="B47" s="1221"/>
      <c r="C47" s="1221"/>
      <c r="D47" s="1221"/>
      <c r="E47" s="1221"/>
      <c r="F47" s="1221"/>
      <c r="G47" s="1221"/>
      <c r="H47" s="1222"/>
      <c r="I47" s="1223"/>
      <c r="J47" s="913"/>
      <c r="K47" s="913"/>
      <c r="L47" s="913"/>
      <c r="M47" s="913"/>
      <c r="N47" s="913"/>
      <c r="O47" s="913"/>
      <c r="P47" s="480"/>
      <c r="Q47" s="480"/>
      <c r="R47" s="480"/>
      <c r="S47" s="480"/>
      <c r="T47" s="480"/>
      <c r="U47" s="480"/>
      <c r="V47" s="480"/>
      <c r="W47" s="480"/>
      <c r="X47" s="480"/>
      <c r="Y47" s="480"/>
      <c r="Z47" s="480"/>
      <c r="AA47" s="480"/>
      <c r="AB47" s="480"/>
      <c r="AC47" s="480"/>
      <c r="AD47" s="480"/>
      <c r="AE47" s="480"/>
      <c r="AF47" s="480"/>
      <c r="AG47" s="480"/>
      <c r="AH47" s="480"/>
      <c r="AI47" s="480"/>
      <c r="AJ47" s="480"/>
      <c r="AK47" s="480"/>
      <c r="AL47" s="480"/>
      <c r="AM47" s="480"/>
      <c r="AN47" s="480"/>
      <c r="AO47" s="480"/>
      <c r="AP47" s="480"/>
      <c r="AQ47" s="480"/>
      <c r="AR47" s="480"/>
      <c r="AS47" s="480"/>
      <c r="AT47" s="480"/>
      <c r="AU47" s="480"/>
      <c r="AV47" s="480"/>
      <c r="AW47" s="480"/>
      <c r="AX47" s="480"/>
      <c r="AY47" s="480"/>
      <c r="AZ47" s="480"/>
      <c r="BA47" s="480"/>
      <c r="BB47" s="480"/>
      <c r="BC47" s="480"/>
      <c r="BD47" s="480"/>
      <c r="BE47" s="480"/>
      <c r="BF47" s="480"/>
      <c r="BG47" s="480"/>
    </row>
    <row r="48">
      <c r="A48" s="1224" t="s">
        <v>984</v>
      </c>
      <c r="B48" s="1224" t="s">
        <v>985</v>
      </c>
      <c r="C48" s="1225" t="s">
        <v>986</v>
      </c>
      <c r="D48" s="1224" t="s">
        <v>987</v>
      </c>
      <c r="E48" s="1224" t="s">
        <v>988</v>
      </c>
      <c r="F48" s="1224" t="s">
        <v>989</v>
      </c>
      <c r="G48" s="1224" t="s">
        <v>990</v>
      </c>
      <c r="H48" s="1226" t="s">
        <v>991</v>
      </c>
      <c r="I48" s="1227" t="s">
        <v>992</v>
      </c>
      <c r="J48" s="1226" t="s">
        <v>993</v>
      </c>
      <c r="K48" s="1226" t="s">
        <v>994</v>
      </c>
      <c r="L48" s="1226" t="s">
        <v>995</v>
      </c>
      <c r="M48" s="1226" t="s">
        <v>996</v>
      </c>
      <c r="N48" s="1226" t="s">
        <v>997</v>
      </c>
      <c r="O48" s="1226" t="s">
        <v>998</v>
      </c>
      <c r="P48" s="1228" t="s">
        <v>999</v>
      </c>
      <c r="Q48" s="1228" t="s">
        <v>1000</v>
      </c>
      <c r="R48" s="1228" t="s">
        <v>1001</v>
      </c>
      <c r="S48" s="1228" t="s">
        <v>1002</v>
      </c>
      <c r="T48" s="1229" t="s">
        <v>1003</v>
      </c>
      <c r="U48" s="1228" t="s">
        <v>1004</v>
      </c>
      <c r="V48" s="1228" t="s">
        <v>1005</v>
      </c>
      <c r="W48" s="1228" t="s">
        <v>1006</v>
      </c>
      <c r="X48" s="1228" t="s">
        <v>1007</v>
      </c>
      <c r="Y48" s="1228" t="s">
        <v>1008</v>
      </c>
      <c r="Z48" s="1228" t="s">
        <v>1009</v>
      </c>
      <c r="AA48" s="1228" t="s">
        <v>1010</v>
      </c>
      <c r="AB48" s="1228" t="s">
        <v>1011</v>
      </c>
      <c r="AC48" s="1229" t="s">
        <v>1012</v>
      </c>
      <c r="AD48" s="1228" t="s">
        <v>1013</v>
      </c>
      <c r="AE48" s="1228" t="s">
        <v>1014</v>
      </c>
      <c r="AF48" s="1228" t="s">
        <v>1015</v>
      </c>
      <c r="AG48" s="1228" t="s">
        <v>1016</v>
      </c>
      <c r="AH48" s="1228" t="s">
        <v>1017</v>
      </c>
      <c r="AI48" s="1228" t="s">
        <v>1018</v>
      </c>
      <c r="AJ48" s="1228" t="s">
        <v>1019</v>
      </c>
      <c r="AK48" s="1230"/>
      <c r="AL48" s="1230"/>
      <c r="AM48" s="1230"/>
      <c r="AN48" s="1230"/>
      <c r="AO48" s="1230"/>
      <c r="AP48" s="1230"/>
      <c r="AQ48" s="1230"/>
      <c r="AR48" s="1230"/>
      <c r="AS48" s="1230"/>
      <c r="AT48" s="1230"/>
      <c r="AU48" s="1230"/>
      <c r="AV48" s="1230"/>
      <c r="AW48" s="1230"/>
      <c r="AX48" s="1230"/>
      <c r="AY48" s="1230"/>
      <c r="AZ48" s="1230"/>
      <c r="BA48" s="1230"/>
      <c r="BB48" s="1230"/>
      <c r="BC48" s="1230"/>
      <c r="BD48" s="1230"/>
      <c r="BE48" s="1230"/>
      <c r="BF48" s="1230"/>
      <c r="BG48" s="1230"/>
    </row>
    <row r="49">
      <c r="A49" s="1224" t="s">
        <v>105</v>
      </c>
      <c r="B49" s="1224">
        <v>115.65</v>
      </c>
      <c r="C49" s="1225">
        <v>1.398</v>
      </c>
      <c r="D49" s="1224">
        <v>9571714.0</v>
      </c>
      <c r="E49" s="1224">
        <v>2.09435211E11</v>
      </c>
      <c r="F49" s="1224">
        <v>0.75</v>
      </c>
      <c r="G49" s="1224" t="s">
        <v>1220</v>
      </c>
      <c r="H49" s="1226">
        <v>0.93</v>
      </c>
      <c r="I49" s="1227" t="s">
        <v>1212</v>
      </c>
      <c r="J49" s="1226" t="s">
        <v>1021</v>
      </c>
      <c r="K49" s="1226">
        <v>1744489.0</v>
      </c>
      <c r="L49" s="1226" t="s">
        <v>1221</v>
      </c>
      <c r="M49" s="1226">
        <v>2.54687106E8</v>
      </c>
      <c r="N49" s="1226" t="s">
        <v>1222</v>
      </c>
      <c r="O49" s="1226" t="s">
        <v>1223</v>
      </c>
      <c r="P49" s="1228" t="s">
        <v>1224</v>
      </c>
      <c r="Q49" s="1231" t="s">
        <v>1225</v>
      </c>
      <c r="R49" s="1228" t="s">
        <v>1226</v>
      </c>
      <c r="S49" s="1228" t="s">
        <v>1227</v>
      </c>
      <c r="T49" s="1229" t="s">
        <v>106</v>
      </c>
      <c r="U49" s="1228" t="s">
        <v>1029</v>
      </c>
      <c r="V49" s="1228">
        <v>173250.0</v>
      </c>
      <c r="W49" s="1228" t="s">
        <v>1228</v>
      </c>
      <c r="X49" s="1228" t="s">
        <v>1229</v>
      </c>
      <c r="Y49" s="1228" t="s">
        <v>1230</v>
      </c>
      <c r="Z49" s="1228" t="s">
        <v>1231</v>
      </c>
      <c r="AA49" s="1228">
        <v>91521.0</v>
      </c>
      <c r="AB49" s="1232">
        <v>87.22835</v>
      </c>
      <c r="AC49" s="1233">
        <v>28.421652609416334</v>
      </c>
      <c r="AD49" s="1231" t="s">
        <v>1232</v>
      </c>
      <c r="AE49" s="1234">
        <v>21136.0</v>
      </c>
      <c r="AF49" s="1228" t="b">
        <v>0</v>
      </c>
      <c r="AG49" s="1228" t="b">
        <v>0</v>
      </c>
      <c r="AH49" s="1228" t="b">
        <v>1</v>
      </c>
      <c r="AI49" s="1228" t="b">
        <v>0</v>
      </c>
      <c r="AJ49" s="1228" t="b">
        <v>0</v>
      </c>
      <c r="AK49" s="1230"/>
      <c r="AL49" s="1230"/>
      <c r="AM49" s="1230"/>
      <c r="AN49" s="1230"/>
      <c r="AO49" s="1230"/>
      <c r="AP49" s="1230"/>
      <c r="AQ49" s="1230"/>
      <c r="AR49" s="1230"/>
      <c r="AS49" s="1230"/>
      <c r="AT49" s="1230"/>
      <c r="AU49" s="1230"/>
      <c r="AV49" s="1230"/>
      <c r="AW49" s="1230"/>
      <c r="AX49" s="1230"/>
      <c r="AY49" s="1230"/>
      <c r="AZ49" s="1230"/>
      <c r="BA49" s="1230"/>
      <c r="BB49" s="1230"/>
      <c r="BC49" s="1230"/>
      <c r="BD49" s="1230"/>
      <c r="BE49" s="1230"/>
      <c r="BF49" s="1230"/>
      <c r="BG49" s="1230"/>
    </row>
    <row r="50">
      <c r="A50" s="1221"/>
      <c r="B50" s="1221"/>
      <c r="C50" s="1221"/>
      <c r="D50" s="1221"/>
      <c r="E50" s="1221"/>
      <c r="F50" s="1221"/>
      <c r="G50" s="1221"/>
      <c r="H50" s="1222"/>
      <c r="I50" s="1223"/>
      <c r="J50" s="913"/>
      <c r="K50" s="913"/>
      <c r="L50" s="913"/>
      <c r="M50" s="913"/>
      <c r="N50" s="913"/>
      <c r="O50" s="913"/>
      <c r="P50" s="480"/>
      <c r="Q50" s="480"/>
      <c r="R50" s="480"/>
      <c r="S50" s="480"/>
      <c r="T50" s="480"/>
      <c r="U50" s="480"/>
      <c r="V50" s="480"/>
      <c r="W50" s="480"/>
      <c r="X50" s="480"/>
      <c r="Y50" s="480"/>
      <c r="Z50" s="480"/>
      <c r="AA50" s="480"/>
      <c r="AB50" s="480"/>
      <c r="AC50" s="480"/>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c r="BE50" s="480"/>
      <c r="BF50" s="480"/>
      <c r="BG50" s="480"/>
    </row>
    <row r="51">
      <c r="A51" s="1220" t="s">
        <v>1036</v>
      </c>
      <c r="B51" s="480"/>
      <c r="C51" s="480"/>
      <c r="D51" s="480"/>
      <c r="E51" s="480"/>
      <c r="F51" s="480"/>
      <c r="G51" s="480"/>
      <c r="H51" s="913"/>
      <c r="I51" s="913"/>
      <c r="J51" s="913"/>
      <c r="K51" s="913"/>
      <c r="L51" s="913"/>
      <c r="M51" s="913"/>
      <c r="N51" s="913"/>
      <c r="O51" s="913"/>
      <c r="P51" s="913"/>
      <c r="Q51" s="913"/>
      <c r="R51" s="913"/>
      <c r="S51" s="913"/>
      <c r="T51" s="913"/>
      <c r="U51" s="913"/>
      <c r="V51" s="913"/>
      <c r="W51" s="913"/>
      <c r="X51" s="913"/>
      <c r="Y51" s="913"/>
      <c r="Z51" s="913"/>
      <c r="AA51" s="913"/>
      <c r="AB51" s="913"/>
      <c r="AC51" s="913"/>
      <c r="AD51" s="913"/>
      <c r="AE51" s="913"/>
      <c r="AF51" s="913"/>
      <c r="AG51" s="913"/>
      <c r="AH51" s="913"/>
      <c r="AI51" s="913"/>
      <c r="AJ51" s="913"/>
      <c r="AK51" s="913"/>
      <c r="AL51" s="913"/>
      <c r="AM51" s="913"/>
      <c r="AN51" s="913"/>
      <c r="AO51" s="913"/>
      <c r="AP51" s="913"/>
      <c r="AQ51" s="913"/>
      <c r="AR51" s="913"/>
      <c r="AS51" s="913"/>
      <c r="AT51" s="913"/>
      <c r="AU51" s="913"/>
      <c r="AV51" s="913"/>
      <c r="AW51" s="913"/>
      <c r="AX51" s="913"/>
      <c r="AY51" s="913"/>
      <c r="AZ51" s="913"/>
      <c r="BA51" s="913"/>
      <c r="BB51" s="913"/>
      <c r="BC51" s="913"/>
      <c r="BD51" s="913"/>
      <c r="BE51" s="913"/>
      <c r="BF51" s="913"/>
      <c r="BG51" s="913"/>
    </row>
    <row r="52">
      <c r="A52" s="1235" t="s">
        <v>1037</v>
      </c>
      <c r="B52" s="1220" t="s">
        <v>984</v>
      </c>
      <c r="C52" s="1220" t="s">
        <v>1038</v>
      </c>
      <c r="D52" s="1220" t="s">
        <v>994</v>
      </c>
      <c r="E52" s="1220" t="s">
        <v>1039</v>
      </c>
      <c r="F52" s="1220" t="s">
        <v>1040</v>
      </c>
      <c r="G52" s="1220" t="s">
        <v>1041</v>
      </c>
      <c r="H52" s="1236" t="s">
        <v>1042</v>
      </c>
      <c r="I52" s="1236" t="s">
        <v>1043</v>
      </c>
      <c r="J52" s="1236" t="s">
        <v>1044</v>
      </c>
      <c r="K52" s="1236" t="s">
        <v>1045</v>
      </c>
      <c r="L52" s="1236" t="s">
        <v>1046</v>
      </c>
      <c r="M52" s="1236" t="s">
        <v>1047</v>
      </c>
      <c r="N52" s="1236" t="s">
        <v>1048</v>
      </c>
      <c r="O52" s="1236" t="s">
        <v>1049</v>
      </c>
      <c r="P52" s="1236" t="s">
        <v>1050</v>
      </c>
      <c r="Q52" s="1236" t="s">
        <v>1051</v>
      </c>
      <c r="R52" s="1236" t="s">
        <v>1052</v>
      </c>
      <c r="S52" s="1236" t="s">
        <v>1053</v>
      </c>
      <c r="T52" s="1236" t="s">
        <v>1054</v>
      </c>
      <c r="U52" s="1236" t="s">
        <v>1055</v>
      </c>
      <c r="V52" s="1236" t="s">
        <v>1056</v>
      </c>
      <c r="W52" s="1236" t="s">
        <v>1057</v>
      </c>
      <c r="X52" s="1236" t="s">
        <v>1058</v>
      </c>
      <c r="Y52" s="1237" t="s">
        <v>1059</v>
      </c>
      <c r="Z52" s="1236" t="s">
        <v>1060</v>
      </c>
      <c r="AA52" s="1236" t="s">
        <v>1061</v>
      </c>
      <c r="AB52" s="1236" t="s">
        <v>1062</v>
      </c>
      <c r="AC52" s="1236" t="s">
        <v>1063</v>
      </c>
      <c r="AD52" s="1236" t="s">
        <v>1064</v>
      </c>
      <c r="AE52" s="1236" t="s">
        <v>1065</v>
      </c>
      <c r="AF52" s="1236" t="s">
        <v>1066</v>
      </c>
      <c r="AG52" s="1236" t="s">
        <v>1067</v>
      </c>
      <c r="AH52" s="1237" t="s">
        <v>1068</v>
      </c>
      <c r="AI52" s="1236" t="s">
        <v>1069</v>
      </c>
      <c r="AJ52" s="1236" t="s">
        <v>1070</v>
      </c>
      <c r="AK52" s="1236" t="s">
        <v>1071</v>
      </c>
      <c r="AL52" s="1236" t="s">
        <v>1072</v>
      </c>
      <c r="AM52" s="913"/>
      <c r="AN52" s="913"/>
      <c r="AO52" s="913"/>
      <c r="AP52" s="913"/>
      <c r="AQ52" s="913"/>
      <c r="AR52" s="913"/>
      <c r="AS52" s="913"/>
      <c r="AT52" s="913"/>
      <c r="AU52" s="913"/>
      <c r="AV52" s="913"/>
      <c r="AW52" s="913"/>
      <c r="AX52" s="913"/>
      <c r="AY52" s="913"/>
      <c r="AZ52" s="913"/>
      <c r="BA52" s="913"/>
      <c r="BB52" s="913"/>
      <c r="BC52" s="913"/>
      <c r="BD52" s="913"/>
      <c r="BE52" s="913"/>
      <c r="BF52" s="913"/>
      <c r="BG52" s="913"/>
    </row>
    <row r="53">
      <c r="A53" s="1238">
        <v>45563.0</v>
      </c>
      <c r="B53" s="1220" t="s">
        <v>105</v>
      </c>
      <c r="C53" s="1220" t="s">
        <v>1021</v>
      </c>
      <c r="D53" s="1220">
        <v>1744489.0</v>
      </c>
      <c r="E53" s="1238">
        <v>45610.0</v>
      </c>
      <c r="F53" s="1239">
        <v>45610.282476851855</v>
      </c>
      <c r="G53" s="1220">
        <v>2024.0</v>
      </c>
      <c r="H53" s="1236" t="s">
        <v>1073</v>
      </c>
      <c r="I53" s="1240">
        <v>9.1361E10</v>
      </c>
      <c r="J53" s="1240">
        <v>5.8698E10</v>
      </c>
      <c r="K53" s="1240">
        <v>3.2663E10</v>
      </c>
      <c r="L53" s="1240">
        <v>0.357515789</v>
      </c>
      <c r="M53" s="1240">
        <v>0.0</v>
      </c>
      <c r="N53" s="1240">
        <v>0.0</v>
      </c>
      <c r="O53" s="1240">
        <v>0.0</v>
      </c>
      <c r="P53" s="1240">
        <v>1.5759E10</v>
      </c>
      <c r="Q53" s="1240">
        <v>1.6904E10</v>
      </c>
      <c r="R53" s="1240">
        <v>1.5759E10</v>
      </c>
      <c r="S53" s="1240">
        <v>7.9312E10</v>
      </c>
      <c r="T53" s="1240">
        <v>4.06E8</v>
      </c>
      <c r="U53" s="1240">
        <v>1.447E9</v>
      </c>
      <c r="V53" s="1240">
        <v>4.99E9</v>
      </c>
      <c r="W53" s="1240">
        <v>1.4006E10</v>
      </c>
      <c r="X53" s="1240">
        <v>0.1533039262</v>
      </c>
      <c r="Y53" s="1241">
        <v>1.1583E10</v>
      </c>
      <c r="Z53" s="1240">
        <v>0.1267827629</v>
      </c>
      <c r="AA53" s="1240">
        <v>-4.014E9</v>
      </c>
      <c r="AB53" s="1240">
        <v>7.569E9</v>
      </c>
      <c r="AC53" s="1240">
        <v>0.0828471667</v>
      </c>
      <c r="AD53" s="1240">
        <v>2.597E9</v>
      </c>
      <c r="AE53" s="1240">
        <v>4.972E9</v>
      </c>
      <c r="AF53" s="1240">
        <v>0.0544214709</v>
      </c>
      <c r="AG53" s="1240">
        <v>2.72</v>
      </c>
      <c r="AH53" s="1241">
        <v>2.72</v>
      </c>
      <c r="AI53" s="1240">
        <v>1.825E9</v>
      </c>
      <c r="AJ53" s="1240">
        <v>1.831E9</v>
      </c>
      <c r="AK53" s="1242" t="s">
        <v>1233</v>
      </c>
      <c r="AL53" s="1242" t="s">
        <v>1234</v>
      </c>
      <c r="AM53" s="913"/>
      <c r="AN53" s="913"/>
      <c r="AO53" s="913"/>
      <c r="AP53" s="913"/>
      <c r="AQ53" s="913"/>
      <c r="AR53" s="913"/>
      <c r="AS53" s="913"/>
      <c r="AT53" s="913"/>
      <c r="AU53" s="913"/>
      <c r="AV53" s="913"/>
      <c r="AW53" s="913"/>
      <c r="AX53" s="913"/>
      <c r="AY53" s="913"/>
      <c r="AZ53" s="913"/>
      <c r="BA53" s="913"/>
      <c r="BB53" s="913"/>
      <c r="BC53" s="913"/>
      <c r="BD53" s="913"/>
      <c r="BE53" s="913"/>
      <c r="BF53" s="913"/>
      <c r="BG53" s="913"/>
    </row>
    <row r="54">
      <c r="A54" s="1238">
        <v>45199.0</v>
      </c>
      <c r="B54" s="1220" t="s">
        <v>105</v>
      </c>
      <c r="C54" s="1220" t="s">
        <v>1021</v>
      </c>
      <c r="D54" s="1220">
        <v>1744489.0</v>
      </c>
      <c r="E54" s="1238">
        <v>45315.0</v>
      </c>
      <c r="F54" s="1239">
        <v>45315.70868055556</v>
      </c>
      <c r="G54" s="1220">
        <v>2023.0</v>
      </c>
      <c r="H54" s="1236" t="s">
        <v>1073</v>
      </c>
      <c r="I54" s="1240">
        <v>8.8898E10</v>
      </c>
      <c r="J54" s="1240">
        <v>5.9201E10</v>
      </c>
      <c r="K54" s="1240">
        <v>2.9697E10</v>
      </c>
      <c r="L54" s="1240">
        <v>0.3340570092</v>
      </c>
      <c r="M54" s="1240">
        <v>0.0</v>
      </c>
      <c r="N54" s="1240">
        <v>0.0</v>
      </c>
      <c r="O54" s="1240">
        <v>0.0</v>
      </c>
      <c r="P54" s="1240">
        <v>1.5336E10</v>
      </c>
      <c r="Q54" s="1240">
        <v>0.0</v>
      </c>
      <c r="R54" s="1240">
        <v>2.3384E10</v>
      </c>
      <c r="S54" s="1240">
        <v>7.971E10</v>
      </c>
      <c r="T54" s="1240">
        <v>4.24E8</v>
      </c>
      <c r="U54" s="1240">
        <v>1.973E9</v>
      </c>
      <c r="V54" s="1240">
        <v>5.369E9</v>
      </c>
      <c r="W54" s="1240">
        <v>1.1596E10</v>
      </c>
      <c r="X54" s="1240">
        <v>0.1304416297</v>
      </c>
      <c r="Y54" s="1240">
        <v>8.992E9</v>
      </c>
      <c r="Z54" s="1240">
        <v>0.1011496322</v>
      </c>
      <c r="AA54" s="1240">
        <v>-4.223E9</v>
      </c>
      <c r="AB54" s="1240">
        <v>4.769E9</v>
      </c>
      <c r="AC54" s="1240">
        <v>0.0536457513</v>
      </c>
      <c r="AD54" s="1240">
        <v>1.379E9</v>
      </c>
      <c r="AE54" s="1240">
        <v>2.354E9</v>
      </c>
      <c r="AF54" s="1240">
        <v>0.0264797858</v>
      </c>
      <c r="AG54" s="1240">
        <v>1.29</v>
      </c>
      <c r="AH54" s="1240">
        <v>1.29</v>
      </c>
      <c r="AI54" s="1240">
        <v>1.828E9</v>
      </c>
      <c r="AJ54" s="1240">
        <v>1.83E9</v>
      </c>
      <c r="AK54" s="1242" t="s">
        <v>1235</v>
      </c>
      <c r="AL54" s="1242" t="s">
        <v>1236</v>
      </c>
      <c r="AM54" s="913"/>
      <c r="AN54" s="913"/>
      <c r="AO54" s="913"/>
      <c r="AP54" s="913"/>
      <c r="AQ54" s="913"/>
      <c r="AR54" s="913"/>
      <c r="AS54" s="913"/>
      <c r="AT54" s="913"/>
      <c r="AU54" s="913"/>
      <c r="AV54" s="913"/>
      <c r="AW54" s="913"/>
      <c r="AX54" s="913"/>
      <c r="AY54" s="913"/>
      <c r="AZ54" s="913"/>
      <c r="BA54" s="913"/>
      <c r="BB54" s="913"/>
      <c r="BC54" s="913"/>
      <c r="BD54" s="913"/>
      <c r="BE54" s="913"/>
      <c r="BF54" s="913"/>
      <c r="BG54" s="913"/>
    </row>
    <row r="55">
      <c r="A55" s="1238">
        <v>44835.0</v>
      </c>
      <c r="B55" s="1220" t="s">
        <v>105</v>
      </c>
      <c r="C55" s="1220" t="s">
        <v>1021</v>
      </c>
      <c r="D55" s="1220">
        <v>1744489.0</v>
      </c>
      <c r="E55" s="1238">
        <v>44950.0</v>
      </c>
      <c r="F55" s="1239">
        <v>44950.67760416667</v>
      </c>
      <c r="G55" s="1220">
        <v>2022.0</v>
      </c>
      <c r="H55" s="1236" t="s">
        <v>1073</v>
      </c>
      <c r="I55" s="1240">
        <v>8.2722E10</v>
      </c>
      <c r="J55" s="1240">
        <v>5.4401E10</v>
      </c>
      <c r="K55" s="1240">
        <v>2.8321E10</v>
      </c>
      <c r="L55" s="1240">
        <v>0.3423635792</v>
      </c>
      <c r="M55" s="1240">
        <v>0.0</v>
      </c>
      <c r="N55" s="1240">
        <v>0.0</v>
      </c>
      <c r="O55" s="1240">
        <v>0.0</v>
      </c>
      <c r="P55" s="1240">
        <v>1.6326E10</v>
      </c>
      <c r="Q55" s="1240">
        <v>0.0</v>
      </c>
      <c r="R55" s="1240">
        <v>2.1577E10</v>
      </c>
      <c r="S55" s="1240">
        <v>7.5978E10</v>
      </c>
      <c r="T55" s="1240">
        <v>1.52E8</v>
      </c>
      <c r="U55" s="1240">
        <v>1.397E9</v>
      </c>
      <c r="V55" s="1240">
        <v>5.163E9</v>
      </c>
      <c r="W55" s="1240">
        <v>1.1997E10</v>
      </c>
      <c r="X55" s="1240">
        <v>0.1450037475</v>
      </c>
      <c r="Y55" s="1240">
        <v>6.832E9</v>
      </c>
      <c r="Z55" s="1240">
        <v>0.0825898794</v>
      </c>
      <c r="AA55" s="1240">
        <v>-1.547E9</v>
      </c>
      <c r="AB55" s="1240">
        <v>5.285E9</v>
      </c>
      <c r="AC55" s="1240">
        <v>0.0638886874</v>
      </c>
      <c r="AD55" s="1240">
        <v>1.732E9</v>
      </c>
      <c r="AE55" s="1240">
        <v>3.193E9</v>
      </c>
      <c r="AF55" s="1240">
        <v>0.0385991635</v>
      </c>
      <c r="AG55" s="1240">
        <v>1.75</v>
      </c>
      <c r="AH55" s="1240">
        <v>1.75</v>
      </c>
      <c r="AI55" s="1240">
        <v>1.822E9</v>
      </c>
      <c r="AJ55" s="1240">
        <v>1.827E9</v>
      </c>
      <c r="AK55" s="1242" t="s">
        <v>1237</v>
      </c>
      <c r="AL55" s="1242" t="s">
        <v>1238</v>
      </c>
      <c r="AM55" s="913"/>
      <c r="AN55" s="913"/>
      <c r="AO55" s="913"/>
      <c r="AP55" s="913"/>
      <c r="AQ55" s="913"/>
      <c r="AR55" s="913"/>
      <c r="AS55" s="913"/>
      <c r="AT55" s="913"/>
      <c r="AU55" s="913"/>
      <c r="AV55" s="913"/>
      <c r="AW55" s="913"/>
      <c r="AX55" s="913"/>
      <c r="AY55" s="913"/>
      <c r="AZ55" s="913"/>
      <c r="BA55" s="913"/>
      <c r="BB55" s="913"/>
      <c r="BC55" s="913"/>
      <c r="BD55" s="913"/>
      <c r="BE55" s="913"/>
      <c r="BF55" s="913"/>
      <c r="BG55" s="913"/>
    </row>
    <row r="56">
      <c r="A56" s="1238">
        <v>44471.0</v>
      </c>
      <c r="B56" s="1220" t="s">
        <v>105</v>
      </c>
      <c r="C56" s="1220" t="s">
        <v>1021</v>
      </c>
      <c r="D56" s="1220">
        <v>1744489.0</v>
      </c>
      <c r="E56" s="1238">
        <v>44524.0</v>
      </c>
      <c r="F56" s="1239">
        <v>44524.690567129626</v>
      </c>
      <c r="G56" s="1220">
        <v>2021.0</v>
      </c>
      <c r="H56" s="1236" t="s">
        <v>1073</v>
      </c>
      <c r="I56" s="1240">
        <v>6.7418E10</v>
      </c>
      <c r="J56" s="1240">
        <v>4.5131E10</v>
      </c>
      <c r="K56" s="1240">
        <v>2.2287E10</v>
      </c>
      <c r="L56" s="1240">
        <v>0.3305793705</v>
      </c>
      <c r="M56" s="1240">
        <v>0.0</v>
      </c>
      <c r="N56" s="1240">
        <v>0.0</v>
      </c>
      <c r="O56" s="1240">
        <v>0.0</v>
      </c>
      <c r="P56" s="1240">
        <v>1.3684E10</v>
      </c>
      <c r="Q56" s="1240">
        <v>0.0</v>
      </c>
      <c r="R56" s="1240">
        <v>1.8487E10</v>
      </c>
      <c r="S56" s="1240">
        <v>6.3618E10</v>
      </c>
      <c r="T56" s="1240">
        <v>1.4E8</v>
      </c>
      <c r="U56" s="1240">
        <v>1.406E9</v>
      </c>
      <c r="V56" s="1240">
        <v>5.111E9</v>
      </c>
      <c r="W56" s="1240">
        <v>9.218E9</v>
      </c>
      <c r="X56" s="1240">
        <v>0.1276068706</v>
      </c>
      <c r="Y56" s="1240">
        <v>3.492E9</v>
      </c>
      <c r="Z56" s="1240">
        <v>0.0517962562</v>
      </c>
      <c r="AA56" s="1240">
        <v>-1.098E9</v>
      </c>
      <c r="AB56" s="1240">
        <v>2.561E9</v>
      </c>
      <c r="AC56" s="1240">
        <v>0.0379868878</v>
      </c>
      <c r="AD56" s="1240">
        <v>2.5E7</v>
      </c>
      <c r="AE56" s="1240">
        <v>2.024E9</v>
      </c>
      <c r="AF56" s="1240">
        <v>0.0300216559</v>
      </c>
      <c r="AG56" s="1240">
        <v>1.11</v>
      </c>
      <c r="AH56" s="1240">
        <v>1.11</v>
      </c>
      <c r="AI56" s="1240">
        <v>1.816E9</v>
      </c>
      <c r="AJ56" s="1240">
        <v>1.828E9</v>
      </c>
      <c r="AK56" s="1242" t="s">
        <v>1239</v>
      </c>
      <c r="AL56" s="1242" t="s">
        <v>1240</v>
      </c>
      <c r="AM56" s="913"/>
      <c r="AN56" s="913"/>
      <c r="AO56" s="913"/>
      <c r="AP56" s="913"/>
      <c r="AQ56" s="913"/>
      <c r="AR56" s="913"/>
      <c r="AS56" s="913"/>
      <c r="AT56" s="913"/>
      <c r="AU56" s="913"/>
      <c r="AV56" s="913"/>
      <c r="AW56" s="913"/>
      <c r="AX56" s="913"/>
      <c r="AY56" s="913"/>
      <c r="AZ56" s="913"/>
      <c r="BA56" s="913"/>
      <c r="BB56" s="913"/>
      <c r="BC56" s="913"/>
      <c r="BD56" s="913"/>
      <c r="BE56" s="913"/>
      <c r="BF56" s="913"/>
      <c r="BG56" s="913"/>
    </row>
    <row r="57">
      <c r="A57" s="1238">
        <v>44107.0</v>
      </c>
      <c r="B57" s="1220" t="s">
        <v>105</v>
      </c>
      <c r="C57" s="1220" t="s">
        <v>1021</v>
      </c>
      <c r="D57" s="1220">
        <v>1744489.0</v>
      </c>
      <c r="E57" s="1238">
        <v>44160.0</v>
      </c>
      <c r="F57" s="1239">
        <v>44160.70825231481</v>
      </c>
      <c r="G57" s="1220">
        <v>2020.0</v>
      </c>
      <c r="H57" s="1236" t="s">
        <v>1073</v>
      </c>
      <c r="I57" s="1240">
        <v>6.5388E10</v>
      </c>
      <c r="J57" s="1240">
        <v>4.388E10</v>
      </c>
      <c r="K57" s="1240">
        <v>2.1508E10</v>
      </c>
      <c r="L57" s="1240">
        <v>0.3289288554</v>
      </c>
      <c r="M57" s="1240">
        <v>0.0</v>
      </c>
      <c r="N57" s="1240">
        <v>0.0</v>
      </c>
      <c r="O57" s="1240">
        <v>0.0</v>
      </c>
      <c r="P57" s="1240">
        <v>1.2382E10</v>
      </c>
      <c r="Q57" s="1240">
        <v>0.0</v>
      </c>
      <c r="R57" s="1240">
        <v>2.1773E10</v>
      </c>
      <c r="S57" s="1240">
        <v>6.5653E10</v>
      </c>
      <c r="T57" s="1240">
        <v>1.56E8</v>
      </c>
      <c r="U57" s="1240">
        <v>1.491E9</v>
      </c>
      <c r="V57" s="1240">
        <v>5.345E9</v>
      </c>
      <c r="W57" s="1240">
        <v>5.249E9</v>
      </c>
      <c r="X57" s="1240">
        <v>0.139566893</v>
      </c>
      <c r="Y57" s="1240">
        <v>3.781E9</v>
      </c>
      <c r="Z57" s="1240">
        <v>0.0578240656</v>
      </c>
      <c r="AA57" s="1240">
        <v>-5.537E9</v>
      </c>
      <c r="AB57" s="1240">
        <v>-1.743E9</v>
      </c>
      <c r="AC57" s="1240">
        <v>-0.0266562672</v>
      </c>
      <c r="AD57" s="1240">
        <v>6.99E8</v>
      </c>
      <c r="AE57" s="1240">
        <v>-2.832E9</v>
      </c>
      <c r="AF57" s="1240">
        <v>-0.0433106992</v>
      </c>
      <c r="AG57" s="1240">
        <v>-1.57</v>
      </c>
      <c r="AH57" s="1240">
        <v>-1.57</v>
      </c>
      <c r="AI57" s="1240">
        <v>1.808E9</v>
      </c>
      <c r="AJ57" s="1240">
        <v>1.808E9</v>
      </c>
      <c r="AK57" s="1242" t="s">
        <v>1241</v>
      </c>
      <c r="AL57" s="1242" t="s">
        <v>1242</v>
      </c>
      <c r="AM57" s="913"/>
      <c r="AN57" s="913"/>
      <c r="AO57" s="913"/>
      <c r="AP57" s="913"/>
      <c r="AQ57" s="913"/>
      <c r="AR57" s="913"/>
      <c r="AS57" s="913"/>
      <c r="AT57" s="913"/>
      <c r="AU57" s="913"/>
      <c r="AV57" s="913"/>
      <c r="AW57" s="913"/>
      <c r="AX57" s="913"/>
      <c r="AY57" s="913"/>
      <c r="AZ57" s="913"/>
      <c r="BA57" s="913"/>
      <c r="BB57" s="913"/>
      <c r="BC57" s="913"/>
      <c r="BD57" s="913"/>
      <c r="BE57" s="913"/>
      <c r="BF57" s="913"/>
      <c r="BG57" s="913"/>
    </row>
    <row r="58">
      <c r="A58" s="480"/>
      <c r="B58" s="480"/>
      <c r="C58" s="480"/>
      <c r="D58" s="480"/>
      <c r="E58" s="480"/>
      <c r="F58" s="480"/>
      <c r="G58" s="480"/>
      <c r="H58" s="913"/>
      <c r="I58" s="913"/>
      <c r="J58" s="913"/>
      <c r="K58" s="913"/>
      <c r="L58" s="913"/>
      <c r="M58" s="913"/>
      <c r="N58" s="913"/>
      <c r="O58" s="913"/>
      <c r="P58" s="913"/>
      <c r="Q58" s="913"/>
      <c r="R58" s="913"/>
      <c r="S58" s="913"/>
      <c r="T58" s="913"/>
      <c r="U58" s="913"/>
      <c r="V58" s="913"/>
      <c r="W58" s="913"/>
      <c r="X58" s="913"/>
      <c r="Y58" s="913"/>
      <c r="Z58" s="913"/>
      <c r="AA58" s="913"/>
      <c r="AB58" s="913"/>
      <c r="AC58" s="913"/>
      <c r="AD58" s="913"/>
      <c r="AE58" s="913"/>
      <c r="AF58" s="913"/>
      <c r="AG58" s="913"/>
      <c r="AH58" s="913"/>
      <c r="AI58" s="913"/>
      <c r="AJ58" s="913"/>
      <c r="AK58" s="913"/>
      <c r="AL58" s="913"/>
      <c r="AM58" s="913"/>
      <c r="AN58" s="913"/>
      <c r="AO58" s="913"/>
      <c r="AP58" s="913"/>
      <c r="AQ58" s="913"/>
      <c r="AR58" s="913"/>
      <c r="AS58" s="913"/>
      <c r="AT58" s="913"/>
      <c r="AU58" s="913"/>
      <c r="AV58" s="913"/>
      <c r="AW58" s="913"/>
      <c r="AX58" s="913"/>
      <c r="AY58" s="913"/>
      <c r="AZ58" s="913"/>
      <c r="BA58" s="913"/>
      <c r="BB58" s="913"/>
      <c r="BC58" s="913"/>
      <c r="BD58" s="913"/>
      <c r="BE58" s="913"/>
      <c r="BF58" s="913"/>
      <c r="BG58" s="913"/>
    </row>
    <row r="59">
      <c r="A59" s="1220" t="s">
        <v>1084</v>
      </c>
      <c r="B59" s="480"/>
      <c r="C59" s="480"/>
      <c r="D59" s="480"/>
      <c r="E59" s="480"/>
      <c r="F59" s="480"/>
      <c r="G59" s="480"/>
      <c r="H59" s="913"/>
      <c r="I59" s="913"/>
      <c r="J59" s="913"/>
      <c r="K59" s="913"/>
      <c r="L59" s="913"/>
      <c r="M59" s="913"/>
      <c r="N59" s="913"/>
      <c r="O59" s="913"/>
      <c r="P59" s="913"/>
      <c r="Q59" s="913"/>
      <c r="R59" s="913"/>
      <c r="S59" s="913"/>
      <c r="T59" s="913"/>
      <c r="U59" s="913"/>
      <c r="V59" s="913"/>
      <c r="W59" s="913"/>
      <c r="X59" s="913"/>
      <c r="Y59" s="913"/>
      <c r="Z59" s="913"/>
      <c r="AA59" s="913"/>
      <c r="AB59" s="913"/>
      <c r="AC59" s="913"/>
      <c r="AD59" s="913"/>
      <c r="AE59" s="913"/>
      <c r="AF59" s="913"/>
      <c r="AG59" s="913"/>
      <c r="AH59" s="913"/>
      <c r="AI59" s="913"/>
      <c r="AJ59" s="913"/>
      <c r="AK59" s="913"/>
      <c r="AL59" s="913"/>
      <c r="AM59" s="913"/>
      <c r="AN59" s="913"/>
      <c r="AO59" s="913"/>
      <c r="AP59" s="913"/>
      <c r="AQ59" s="913"/>
      <c r="AR59" s="913"/>
      <c r="AS59" s="913"/>
      <c r="AT59" s="913"/>
      <c r="AU59" s="913"/>
      <c r="AV59" s="913"/>
      <c r="AW59" s="913"/>
      <c r="AX59" s="913"/>
      <c r="AY59" s="913"/>
      <c r="AZ59" s="913"/>
      <c r="BA59" s="913"/>
      <c r="BB59" s="913"/>
      <c r="BC59" s="913"/>
      <c r="BD59" s="913"/>
      <c r="BE59" s="913"/>
      <c r="BF59" s="913"/>
      <c r="BG59" s="913"/>
    </row>
    <row r="60">
      <c r="A60" s="1243" t="s">
        <v>1037</v>
      </c>
      <c r="B60" s="1220" t="s">
        <v>984</v>
      </c>
      <c r="C60" s="1220" t="s">
        <v>1038</v>
      </c>
      <c r="D60" s="1220" t="s">
        <v>994</v>
      </c>
      <c r="E60" s="1220" t="s">
        <v>1039</v>
      </c>
      <c r="F60" s="1220" t="s">
        <v>1040</v>
      </c>
      <c r="G60" s="1220" t="s">
        <v>1041</v>
      </c>
      <c r="H60" s="1236" t="s">
        <v>1042</v>
      </c>
      <c r="I60" s="1237" t="s">
        <v>1085</v>
      </c>
      <c r="J60" s="1236" t="s">
        <v>1086</v>
      </c>
      <c r="K60" s="1236" t="s">
        <v>1087</v>
      </c>
      <c r="L60" s="1236" t="s">
        <v>1088</v>
      </c>
      <c r="M60" s="1236" t="s">
        <v>1089</v>
      </c>
      <c r="N60" s="1236" t="s">
        <v>1090</v>
      </c>
      <c r="O60" s="1236" t="s">
        <v>1091</v>
      </c>
      <c r="P60" s="1236" t="s">
        <v>1092</v>
      </c>
      <c r="Q60" s="1236" t="s">
        <v>1093</v>
      </c>
      <c r="R60" s="1236" t="s">
        <v>1094</v>
      </c>
      <c r="S60" s="1236" t="s">
        <v>1095</v>
      </c>
      <c r="T60" s="1236" t="s">
        <v>1096</v>
      </c>
      <c r="U60" s="1236" t="s">
        <v>1097</v>
      </c>
      <c r="V60" s="1236" t="s">
        <v>1098</v>
      </c>
      <c r="W60" s="1236" t="s">
        <v>1099</v>
      </c>
      <c r="X60" s="1236" t="s">
        <v>1100</v>
      </c>
      <c r="Y60" s="1236" t="s">
        <v>1101</v>
      </c>
      <c r="Z60" s="1236" t="s">
        <v>1102</v>
      </c>
      <c r="AA60" s="1236" t="s">
        <v>1103</v>
      </c>
      <c r="AB60" s="1236" t="s">
        <v>1104</v>
      </c>
      <c r="AC60" s="1236" t="s">
        <v>1105</v>
      </c>
      <c r="AD60" s="1236" t="s">
        <v>1106</v>
      </c>
      <c r="AE60" s="1236" t="s">
        <v>1107</v>
      </c>
      <c r="AF60" s="1236" t="s">
        <v>1108</v>
      </c>
      <c r="AG60" s="1236" t="s">
        <v>1109</v>
      </c>
      <c r="AH60" s="1236" t="s">
        <v>1110</v>
      </c>
      <c r="AI60" s="1236" t="s">
        <v>1111</v>
      </c>
      <c r="AJ60" s="1236" t="s">
        <v>1112</v>
      </c>
      <c r="AK60" s="1236" t="s">
        <v>1113</v>
      </c>
      <c r="AL60" s="1236" t="s">
        <v>1114</v>
      </c>
      <c r="AM60" s="1236" t="s">
        <v>1115</v>
      </c>
      <c r="AN60" s="1236" t="s">
        <v>1116</v>
      </c>
      <c r="AO60" s="1236" t="s">
        <v>1117</v>
      </c>
      <c r="AP60" s="1236" t="s">
        <v>1118</v>
      </c>
      <c r="AQ60" s="1236" t="s">
        <v>1119</v>
      </c>
      <c r="AR60" s="1236" t="s">
        <v>1120</v>
      </c>
      <c r="AS60" s="1236" t="s">
        <v>1121</v>
      </c>
      <c r="AT60" s="1236" t="s">
        <v>1122</v>
      </c>
      <c r="AU60" s="1236" t="s">
        <v>1123</v>
      </c>
      <c r="AV60" s="1236" t="s">
        <v>1124</v>
      </c>
      <c r="AW60" s="1236" t="s">
        <v>1125</v>
      </c>
      <c r="AX60" s="1236" t="s">
        <v>1126</v>
      </c>
      <c r="AY60" s="1237" t="s">
        <v>1127</v>
      </c>
      <c r="AZ60" s="1236" t="s">
        <v>1128</v>
      </c>
      <c r="BA60" s="1236" t="s">
        <v>1071</v>
      </c>
      <c r="BB60" s="1236" t="s">
        <v>1072</v>
      </c>
      <c r="BC60" s="913"/>
      <c r="BD60" s="913"/>
      <c r="BE60" s="913"/>
      <c r="BF60" s="913"/>
      <c r="BG60" s="913"/>
    </row>
    <row r="61">
      <c r="A61" s="1238">
        <v>45563.0</v>
      </c>
      <c r="B61" s="1220" t="s">
        <v>105</v>
      </c>
      <c r="C61" s="1220" t="s">
        <v>1021</v>
      </c>
      <c r="D61" s="1220">
        <v>1744489.0</v>
      </c>
      <c r="E61" s="1238">
        <v>45610.0</v>
      </c>
      <c r="F61" s="1239">
        <v>45610.282476851855</v>
      </c>
      <c r="G61" s="1220">
        <v>2024.0</v>
      </c>
      <c r="H61" s="1236" t="s">
        <v>1073</v>
      </c>
      <c r="I61" s="1241">
        <v>6.002E9</v>
      </c>
      <c r="J61" s="1240">
        <v>0.0</v>
      </c>
      <c r="K61" s="1240">
        <v>6.002E9</v>
      </c>
      <c r="L61" s="1240">
        <v>1.2729E10</v>
      </c>
      <c r="M61" s="1240">
        <v>2.022E9</v>
      </c>
      <c r="N61" s="1240">
        <v>4.488E9</v>
      </c>
      <c r="O61" s="1240">
        <v>2.5241E10</v>
      </c>
      <c r="P61" s="1240">
        <v>0.0</v>
      </c>
      <c r="Q61" s="1240">
        <v>7.3326E10</v>
      </c>
      <c r="R61" s="1240">
        <v>1.0739E10</v>
      </c>
      <c r="S61" s="1240">
        <v>8.4065E10</v>
      </c>
      <c r="T61" s="1240">
        <v>4.459E9</v>
      </c>
      <c r="U61" s="1240">
        <v>0.0</v>
      </c>
      <c r="V61" s="1240">
        <v>8.2454E10</v>
      </c>
      <c r="W61" s="1240">
        <v>1.70978E11</v>
      </c>
      <c r="X61" s="1240">
        <v>0.0</v>
      </c>
      <c r="Y61" s="1240">
        <v>1.96219E11</v>
      </c>
      <c r="Z61" s="1240">
        <v>1.4796E10</v>
      </c>
      <c r="AA61" s="1240">
        <v>6.845E9</v>
      </c>
      <c r="AB61" s="1240">
        <v>2.473E9</v>
      </c>
      <c r="AC61" s="1240">
        <v>6.684E9</v>
      </c>
      <c r="AD61" s="1240">
        <v>3.801E9</v>
      </c>
      <c r="AE61" s="1240">
        <v>3.4599E10</v>
      </c>
      <c r="AF61" s="1240">
        <v>3.897E10</v>
      </c>
      <c r="AG61" s="1240">
        <v>0.0</v>
      </c>
      <c r="AH61" s="1240">
        <v>6.277E9</v>
      </c>
      <c r="AI61" s="1240">
        <v>1.0851E10</v>
      </c>
      <c r="AJ61" s="1240">
        <v>5.6098E10</v>
      </c>
      <c r="AK61" s="1240">
        <v>0.0</v>
      </c>
      <c r="AL61" s="1240">
        <v>0.0</v>
      </c>
      <c r="AM61" s="1240">
        <v>9.0697E10</v>
      </c>
      <c r="AN61" s="1240">
        <v>0.0</v>
      </c>
      <c r="AO61" s="1240">
        <v>5.8592E10</v>
      </c>
      <c r="AP61" s="1240">
        <v>4.9722E10</v>
      </c>
      <c r="AQ61" s="1240">
        <v>-3.699E9</v>
      </c>
      <c r="AR61" s="1240">
        <v>-3.919E9</v>
      </c>
      <c r="AS61" s="1240">
        <v>1.00696E11</v>
      </c>
      <c r="AT61" s="1240">
        <v>1.05522E11</v>
      </c>
      <c r="AU61" s="1240">
        <v>1.96219E11</v>
      </c>
      <c r="AV61" s="1240">
        <v>4.826E9</v>
      </c>
      <c r="AW61" s="1240">
        <v>1.96219E11</v>
      </c>
      <c r="AX61" s="1240">
        <v>4.459E9</v>
      </c>
      <c r="AY61" s="1241">
        <v>4.5815E10</v>
      </c>
      <c r="AZ61" s="1240">
        <v>3.9813E10</v>
      </c>
      <c r="BA61" s="1242" t="s">
        <v>1233</v>
      </c>
      <c r="BB61" s="1242" t="s">
        <v>1234</v>
      </c>
      <c r="BC61" s="913"/>
      <c r="BD61" s="913"/>
      <c r="BE61" s="913"/>
      <c r="BF61" s="913"/>
      <c r="BG61" s="913"/>
    </row>
    <row r="62">
      <c r="A62" s="1238">
        <v>45199.0</v>
      </c>
      <c r="B62" s="1220" t="s">
        <v>105</v>
      </c>
      <c r="C62" s="1220" t="s">
        <v>1021</v>
      </c>
      <c r="D62" s="1220">
        <v>1744489.0</v>
      </c>
      <c r="E62" s="1238">
        <v>45315.0</v>
      </c>
      <c r="F62" s="1239">
        <v>45315.70868055556</v>
      </c>
      <c r="G62" s="1220">
        <v>2023.0</v>
      </c>
      <c r="H62" s="1236" t="s">
        <v>1073</v>
      </c>
      <c r="I62" s="1240">
        <v>1.4182E10</v>
      </c>
      <c r="J62" s="1240">
        <v>0.0</v>
      </c>
      <c r="K62" s="1240">
        <v>1.4182E10</v>
      </c>
      <c r="L62" s="1240">
        <v>1.233E10</v>
      </c>
      <c r="M62" s="1240">
        <v>1.963E9</v>
      </c>
      <c r="N62" s="1240">
        <v>4.288E9</v>
      </c>
      <c r="O62" s="1240">
        <v>3.2763E10</v>
      </c>
      <c r="P62" s="1240">
        <v>3.9443E10</v>
      </c>
      <c r="Q62" s="1240">
        <v>7.7067E10</v>
      </c>
      <c r="R62" s="1240">
        <v>1.3061E10</v>
      </c>
      <c r="S62" s="1240">
        <v>9.0128E10</v>
      </c>
      <c r="T62" s="1240">
        <v>3.08E9</v>
      </c>
      <c r="U62" s="1240">
        <v>0.0</v>
      </c>
      <c r="V62" s="1240">
        <v>4.0165E10</v>
      </c>
      <c r="W62" s="1240">
        <v>1.72816E11</v>
      </c>
      <c r="X62" s="1240">
        <v>0.0</v>
      </c>
      <c r="Y62" s="1240">
        <v>2.05579E11</v>
      </c>
      <c r="Z62" s="1240">
        <v>1.5125E10</v>
      </c>
      <c r="AA62" s="1240">
        <v>4.33E9</v>
      </c>
      <c r="AB62" s="1240">
        <v>2.276E9</v>
      </c>
      <c r="AC62" s="1240">
        <v>6.138E9</v>
      </c>
      <c r="AD62" s="1240">
        <v>3.27E9</v>
      </c>
      <c r="AE62" s="1240">
        <v>3.1139E10</v>
      </c>
      <c r="AF62" s="1240">
        <v>4.5565E10</v>
      </c>
      <c r="AG62" s="1240">
        <v>0.0</v>
      </c>
      <c r="AH62" s="1240">
        <v>7.258E9</v>
      </c>
      <c r="AI62" s="1240">
        <v>8.605E9</v>
      </c>
      <c r="AJ62" s="1240">
        <v>6.1428E10</v>
      </c>
      <c r="AK62" s="1240">
        <v>0.0</v>
      </c>
      <c r="AL62" s="1240">
        <v>3.464E9</v>
      </c>
      <c r="AM62" s="1240">
        <v>9.2567E10</v>
      </c>
      <c r="AN62" s="1240">
        <v>0.0</v>
      </c>
      <c r="AO62" s="1240">
        <v>5.7383E10</v>
      </c>
      <c r="AP62" s="1240">
        <v>4.6093E10</v>
      </c>
      <c r="AQ62" s="1240">
        <v>-3.292E9</v>
      </c>
      <c r="AR62" s="1240">
        <v>-9.07E8</v>
      </c>
      <c r="AS62" s="1240">
        <v>9.9277E10</v>
      </c>
      <c r="AT62" s="1240">
        <v>1.13012E11</v>
      </c>
      <c r="AU62" s="1240">
        <v>2.05579E11</v>
      </c>
      <c r="AV62" s="1240">
        <v>1.3735E10</v>
      </c>
      <c r="AW62" s="1240">
        <v>2.05579E11</v>
      </c>
      <c r="AX62" s="1240">
        <v>3.08E9</v>
      </c>
      <c r="AY62" s="1240">
        <v>4.9895E10</v>
      </c>
      <c r="AZ62" s="1240">
        <v>3.5713E10</v>
      </c>
      <c r="BA62" s="1242" t="s">
        <v>1235</v>
      </c>
      <c r="BB62" s="1242" t="s">
        <v>1236</v>
      </c>
      <c r="BC62" s="913"/>
      <c r="BD62" s="913"/>
      <c r="BE62" s="913"/>
      <c r="BF62" s="913"/>
      <c r="BG62" s="913"/>
    </row>
    <row r="63">
      <c r="A63" s="1238">
        <v>44835.0</v>
      </c>
      <c r="B63" s="1220" t="s">
        <v>105</v>
      </c>
      <c r="C63" s="1220" t="s">
        <v>1021</v>
      </c>
      <c r="D63" s="1220">
        <v>1744489.0</v>
      </c>
      <c r="E63" s="1238">
        <v>44950.0</v>
      </c>
      <c r="F63" s="1239">
        <v>44950.67760416667</v>
      </c>
      <c r="G63" s="1220">
        <v>2022.0</v>
      </c>
      <c r="H63" s="1236" t="s">
        <v>1073</v>
      </c>
      <c r="I63" s="1240">
        <v>1.1615E10</v>
      </c>
      <c r="J63" s="1240">
        <v>0.0</v>
      </c>
      <c r="K63" s="1240">
        <v>1.1615E10</v>
      </c>
      <c r="L63" s="1240">
        <v>1.2652E10</v>
      </c>
      <c r="M63" s="1240">
        <v>1.742E9</v>
      </c>
      <c r="N63" s="1240">
        <v>3.089E9</v>
      </c>
      <c r="O63" s="1240">
        <v>2.9098E10</v>
      </c>
      <c r="P63" s="1240">
        <v>3.3596E10</v>
      </c>
      <c r="Q63" s="1240">
        <v>7.7897E10</v>
      </c>
      <c r="R63" s="1240">
        <v>1.4837E10</v>
      </c>
      <c r="S63" s="1240">
        <v>9.2734E10</v>
      </c>
      <c r="T63" s="1240">
        <v>3.218E9</v>
      </c>
      <c r="U63" s="1240">
        <v>8.363E9</v>
      </c>
      <c r="V63" s="1240">
        <v>3.6622E10</v>
      </c>
      <c r="W63" s="1240">
        <v>1.74533E11</v>
      </c>
      <c r="X63" s="1240">
        <v>0.0</v>
      </c>
      <c r="Y63" s="1240">
        <v>2.03631E11</v>
      </c>
      <c r="Z63" s="1240">
        <v>1.6205E10</v>
      </c>
      <c r="AA63" s="1240">
        <v>3.07E9</v>
      </c>
      <c r="AB63" s="1240">
        <v>3.78E8</v>
      </c>
      <c r="AC63" s="1240">
        <v>5.79E9</v>
      </c>
      <c r="AD63" s="1240">
        <v>3.63E9</v>
      </c>
      <c r="AE63" s="1240">
        <v>2.9073E10</v>
      </c>
      <c r="AF63" s="1240">
        <v>4.8538E10</v>
      </c>
      <c r="AG63" s="1240">
        <v>0.0</v>
      </c>
      <c r="AH63" s="1240">
        <v>8.363E9</v>
      </c>
      <c r="AI63" s="1240">
        <v>9.279E9</v>
      </c>
      <c r="AJ63" s="1240">
        <v>6.618E10</v>
      </c>
      <c r="AK63" s="1240">
        <v>0.0</v>
      </c>
      <c r="AL63" s="1240">
        <v>3.239E9</v>
      </c>
      <c r="AM63" s="1240">
        <v>9.5253E10</v>
      </c>
      <c r="AN63" s="1240">
        <v>0.0</v>
      </c>
      <c r="AO63" s="1240">
        <v>5.6398E10</v>
      </c>
      <c r="AP63" s="1240">
        <v>4.3636E10</v>
      </c>
      <c r="AQ63" s="1240">
        <v>-4.119E9</v>
      </c>
      <c r="AR63" s="1240">
        <v>-9.07E8</v>
      </c>
      <c r="AS63" s="1240">
        <v>9.5008E10</v>
      </c>
      <c r="AT63" s="1240">
        <v>1.08378E11</v>
      </c>
      <c r="AU63" s="1240">
        <v>2.03631E11</v>
      </c>
      <c r="AV63" s="1240">
        <v>1.337E10</v>
      </c>
      <c r="AW63" s="1240">
        <v>2.03631E11</v>
      </c>
      <c r="AX63" s="1240">
        <v>3.218E9</v>
      </c>
      <c r="AY63" s="1240">
        <v>4.8369E10</v>
      </c>
      <c r="AZ63" s="1240">
        <v>3.6754E10</v>
      </c>
      <c r="BA63" s="1242" t="s">
        <v>1237</v>
      </c>
      <c r="BB63" s="1242" t="s">
        <v>1238</v>
      </c>
      <c r="BC63" s="913"/>
      <c r="BD63" s="913"/>
      <c r="BE63" s="913"/>
      <c r="BF63" s="913"/>
      <c r="BG63" s="913"/>
    </row>
    <row r="64">
      <c r="A64" s="1238">
        <v>44471.0</v>
      </c>
      <c r="B64" s="1220" t="s">
        <v>105</v>
      </c>
      <c r="C64" s="1220" t="s">
        <v>1021</v>
      </c>
      <c r="D64" s="1220">
        <v>1744489.0</v>
      </c>
      <c r="E64" s="1238">
        <v>44524.0</v>
      </c>
      <c r="F64" s="1239">
        <v>44524.690567129626</v>
      </c>
      <c r="G64" s="1220">
        <v>2021.0</v>
      </c>
      <c r="H64" s="1236" t="s">
        <v>1073</v>
      </c>
      <c r="I64" s="1240">
        <v>1.5959E10</v>
      </c>
      <c r="J64" s="1240">
        <v>0.0</v>
      </c>
      <c r="K64" s="1240">
        <v>1.5959E10</v>
      </c>
      <c r="L64" s="1240">
        <v>1.3367E10</v>
      </c>
      <c r="M64" s="1240">
        <v>1.331E9</v>
      </c>
      <c r="N64" s="1240">
        <v>3.0E9</v>
      </c>
      <c r="O64" s="1240">
        <v>3.3657E10</v>
      </c>
      <c r="P64" s="1240">
        <v>3.2624E10</v>
      </c>
      <c r="Q64" s="1240">
        <v>7.8071E10</v>
      </c>
      <c r="R64" s="1240">
        <v>1.7115E10</v>
      </c>
      <c r="S64" s="1240">
        <v>9.5186E10</v>
      </c>
      <c r="T64" s="1240">
        <v>3.935E9</v>
      </c>
      <c r="U64" s="1240">
        <v>2.9549E10</v>
      </c>
      <c r="V64" s="1240">
        <v>8.658E9</v>
      </c>
      <c r="W64" s="1240">
        <v>1.69952E11</v>
      </c>
      <c r="X64" s="1240">
        <v>0.0</v>
      </c>
      <c r="Y64" s="1240">
        <v>2.03609E11</v>
      </c>
      <c r="Z64" s="1240">
        <v>1.6357E10</v>
      </c>
      <c r="AA64" s="1240">
        <v>5.866E9</v>
      </c>
      <c r="AB64" s="1240">
        <v>0.0</v>
      </c>
      <c r="AC64" s="1240">
        <v>4.317E9</v>
      </c>
      <c r="AD64" s="1240">
        <v>4.537E9</v>
      </c>
      <c r="AE64" s="1240">
        <v>3.1077E10</v>
      </c>
      <c r="AF64" s="1240">
        <v>5.1769E10</v>
      </c>
      <c r="AG64" s="1240">
        <v>0.0</v>
      </c>
      <c r="AH64" s="1240">
        <v>7.246E9</v>
      </c>
      <c r="AI64" s="1240">
        <v>1.1293E10</v>
      </c>
      <c r="AJ64" s="1240">
        <v>7.0308E10</v>
      </c>
      <c r="AK64" s="1240">
        <v>0.0</v>
      </c>
      <c r="AL64" s="1240">
        <v>3.229E9</v>
      </c>
      <c r="AM64" s="1240">
        <v>1.01385E11</v>
      </c>
      <c r="AN64" s="1240">
        <v>0.0</v>
      </c>
      <c r="AO64" s="1240">
        <v>5.5471E10</v>
      </c>
      <c r="AP64" s="1240">
        <v>4.0429E10</v>
      </c>
      <c r="AQ64" s="1240">
        <v>-6.44E9</v>
      </c>
      <c r="AR64" s="1240">
        <v>-9.07E8</v>
      </c>
      <c r="AS64" s="1240">
        <v>8.8553E10</v>
      </c>
      <c r="AT64" s="1240">
        <v>1.02224E11</v>
      </c>
      <c r="AU64" s="1240">
        <v>2.03609E11</v>
      </c>
      <c r="AV64" s="1240">
        <v>1.3671E10</v>
      </c>
      <c r="AW64" s="1240">
        <v>2.03609E11</v>
      </c>
      <c r="AX64" s="1240">
        <v>3.935E9</v>
      </c>
      <c r="AY64" s="1240">
        <v>5.4406E10</v>
      </c>
      <c r="AZ64" s="1240">
        <v>3.8447E10</v>
      </c>
      <c r="BA64" s="1242" t="s">
        <v>1239</v>
      </c>
      <c r="BB64" s="1242" t="s">
        <v>1240</v>
      </c>
      <c r="BC64" s="913"/>
      <c r="BD64" s="913"/>
      <c r="BE64" s="913"/>
      <c r="BF64" s="913"/>
      <c r="BG64" s="913"/>
    </row>
    <row r="65">
      <c r="A65" s="1238">
        <v>44107.0</v>
      </c>
      <c r="B65" s="1220" t="s">
        <v>105</v>
      </c>
      <c r="C65" s="1220" t="s">
        <v>1021</v>
      </c>
      <c r="D65" s="1220">
        <v>1744489.0</v>
      </c>
      <c r="E65" s="1238">
        <v>44160.0</v>
      </c>
      <c r="F65" s="1239">
        <v>44160.70825231481</v>
      </c>
      <c r="G65" s="1220">
        <v>2020.0</v>
      </c>
      <c r="H65" s="1236" t="s">
        <v>1073</v>
      </c>
      <c r="I65" s="1240">
        <v>1.7914E10</v>
      </c>
      <c r="J65" s="1240">
        <v>0.0</v>
      </c>
      <c r="K65" s="1240">
        <v>1.7914E10</v>
      </c>
      <c r="L65" s="1240">
        <v>1.2708E10</v>
      </c>
      <c r="M65" s="1240">
        <v>1.583E9</v>
      </c>
      <c r="N65" s="1240">
        <v>3.046E9</v>
      </c>
      <c r="O65" s="1240">
        <v>3.5251E10</v>
      </c>
      <c r="P65" s="1240">
        <v>3.2078E10</v>
      </c>
      <c r="Q65" s="1240">
        <v>7.7689E10</v>
      </c>
      <c r="R65" s="1240">
        <v>1.9173E10</v>
      </c>
      <c r="S65" s="1240">
        <v>9.6862E10</v>
      </c>
      <c r="T65" s="1240">
        <v>3.903E9</v>
      </c>
      <c r="U65" s="1240">
        <v>2.5022E10</v>
      </c>
      <c r="V65" s="1240">
        <v>8.433E9</v>
      </c>
      <c r="W65" s="1240">
        <v>1.66298E11</v>
      </c>
      <c r="X65" s="1240">
        <v>0.0</v>
      </c>
      <c r="Y65" s="1240">
        <v>2.01549E11</v>
      </c>
      <c r="Z65" s="1240">
        <v>1.3183E10</v>
      </c>
      <c r="AA65" s="1240">
        <v>5.711E9</v>
      </c>
      <c r="AB65" s="1240">
        <v>0.0</v>
      </c>
      <c r="AC65" s="1240">
        <v>4.116E9</v>
      </c>
      <c r="AD65" s="1240">
        <v>3.618E9</v>
      </c>
      <c r="AE65" s="1240">
        <v>2.6628E10</v>
      </c>
      <c r="AF65" s="1240">
        <v>5.5828E10</v>
      </c>
      <c r="AG65" s="1240">
        <v>0.0</v>
      </c>
      <c r="AH65" s="1240">
        <v>7.288E9</v>
      </c>
      <c r="AI65" s="1240">
        <v>1.4293E10</v>
      </c>
      <c r="AJ65" s="1240">
        <v>7.7409E10</v>
      </c>
      <c r="AK65" s="1240">
        <v>0.0</v>
      </c>
      <c r="AL65" s="1240">
        <v>2.911E9</v>
      </c>
      <c r="AM65" s="1240">
        <v>1.04037E11</v>
      </c>
      <c r="AN65" s="1240">
        <v>0.0</v>
      </c>
      <c r="AO65" s="1240">
        <v>5.4497E10</v>
      </c>
      <c r="AP65" s="1240">
        <v>3.8315E10</v>
      </c>
      <c r="AQ65" s="1240">
        <v>-8.322E9</v>
      </c>
      <c r="AR65" s="1240">
        <v>-9.07E8</v>
      </c>
      <c r="AS65" s="1240">
        <v>8.3583E10</v>
      </c>
      <c r="AT65" s="1240">
        <v>9.7512E10</v>
      </c>
      <c r="AU65" s="1240">
        <v>2.01549E11</v>
      </c>
      <c r="AV65" s="1240">
        <v>1.3929E10</v>
      </c>
      <c r="AW65" s="1240">
        <v>2.01549E11</v>
      </c>
      <c r="AX65" s="1240">
        <v>3.903E9</v>
      </c>
      <c r="AY65" s="1240">
        <v>5.8628E10</v>
      </c>
      <c r="AZ65" s="1240">
        <v>4.0714E10</v>
      </c>
      <c r="BA65" s="1242" t="s">
        <v>1241</v>
      </c>
      <c r="BB65" s="1242" t="s">
        <v>1242</v>
      </c>
      <c r="BC65" s="913"/>
      <c r="BD65" s="913"/>
      <c r="BE65" s="913"/>
      <c r="BF65" s="913"/>
      <c r="BG65" s="913"/>
    </row>
    <row r="66">
      <c r="A66" s="480"/>
      <c r="B66" s="480"/>
      <c r="C66" s="480"/>
      <c r="D66" s="480"/>
      <c r="E66" s="480"/>
      <c r="F66" s="480"/>
      <c r="G66" s="480"/>
      <c r="H66" s="913"/>
      <c r="I66" s="913"/>
      <c r="J66" s="913"/>
      <c r="K66" s="913"/>
      <c r="L66" s="913"/>
      <c r="M66" s="913"/>
      <c r="N66" s="913"/>
      <c r="O66" s="913"/>
      <c r="P66" s="913"/>
      <c r="Q66" s="913"/>
      <c r="R66" s="913"/>
      <c r="S66" s="913"/>
      <c r="T66" s="913"/>
      <c r="U66" s="913"/>
      <c r="V66" s="913"/>
      <c r="W66" s="913"/>
      <c r="X66" s="913"/>
      <c r="Y66" s="913"/>
      <c r="Z66" s="913"/>
      <c r="AA66" s="913"/>
      <c r="AB66" s="913"/>
      <c r="AC66" s="913"/>
      <c r="AD66" s="913"/>
      <c r="AE66" s="913"/>
      <c r="AF66" s="913"/>
      <c r="AG66" s="913"/>
      <c r="AH66" s="913"/>
      <c r="AI66" s="913"/>
      <c r="AJ66" s="913"/>
      <c r="AK66" s="913"/>
      <c r="AL66" s="913"/>
      <c r="AM66" s="913"/>
      <c r="AN66" s="913"/>
      <c r="AO66" s="913"/>
      <c r="AP66" s="913"/>
      <c r="AQ66" s="913"/>
      <c r="AR66" s="913"/>
      <c r="AS66" s="913"/>
      <c r="AT66" s="913"/>
      <c r="AU66" s="913"/>
      <c r="AV66" s="913"/>
      <c r="AW66" s="913"/>
      <c r="AX66" s="913"/>
      <c r="AY66" s="913"/>
      <c r="AZ66" s="913"/>
      <c r="BA66" s="913"/>
      <c r="BB66" s="913"/>
      <c r="BC66" s="913"/>
      <c r="BD66" s="913"/>
      <c r="BE66" s="913"/>
      <c r="BF66" s="913"/>
      <c r="BG66" s="913"/>
    </row>
    <row r="67">
      <c r="A67" s="1220" t="s">
        <v>1129</v>
      </c>
      <c r="B67" s="480"/>
      <c r="C67" s="480"/>
      <c r="D67" s="480"/>
      <c r="E67" s="480"/>
      <c r="F67" s="480"/>
      <c r="G67" s="480"/>
      <c r="H67" s="913"/>
      <c r="I67" s="913"/>
      <c r="J67" s="913"/>
      <c r="K67" s="913"/>
      <c r="L67" s="913"/>
      <c r="M67" s="913"/>
      <c r="N67" s="913"/>
      <c r="O67" s="913"/>
      <c r="P67" s="913"/>
      <c r="Q67" s="913"/>
      <c r="R67" s="913"/>
      <c r="S67" s="913"/>
      <c r="T67" s="913"/>
      <c r="U67" s="913"/>
      <c r="V67" s="913"/>
      <c r="W67" s="913"/>
      <c r="X67" s="913"/>
      <c r="Y67" s="913"/>
      <c r="Z67" s="913"/>
      <c r="AA67" s="913"/>
      <c r="AB67" s="913"/>
      <c r="AC67" s="913"/>
      <c r="AD67" s="913"/>
      <c r="AE67" s="913"/>
      <c r="AF67" s="913"/>
      <c r="AG67" s="913"/>
      <c r="AH67" s="913"/>
      <c r="AI67" s="913"/>
      <c r="AJ67" s="913"/>
      <c r="AK67" s="913"/>
      <c r="AL67" s="913"/>
      <c r="AM67" s="913"/>
      <c r="AN67" s="913"/>
      <c r="AO67" s="913"/>
      <c r="AP67" s="913"/>
      <c r="AQ67" s="913"/>
      <c r="AR67" s="913"/>
      <c r="AS67" s="913"/>
      <c r="AT67" s="913"/>
      <c r="AU67" s="913"/>
      <c r="AV67" s="913"/>
      <c r="AW67" s="913"/>
      <c r="AX67" s="913"/>
      <c r="AY67" s="913"/>
      <c r="AZ67" s="913"/>
      <c r="BA67" s="913"/>
      <c r="BB67" s="913"/>
      <c r="BC67" s="913"/>
      <c r="BD67" s="913"/>
      <c r="BE67" s="913"/>
      <c r="BF67" s="913"/>
      <c r="BG67" s="913"/>
    </row>
    <row r="68">
      <c r="A68" s="1243" t="s">
        <v>1037</v>
      </c>
      <c r="B68" s="1220" t="s">
        <v>984</v>
      </c>
      <c r="C68" s="1220" t="s">
        <v>1038</v>
      </c>
      <c r="D68" s="1220" t="s">
        <v>994</v>
      </c>
      <c r="E68" s="1220" t="s">
        <v>1039</v>
      </c>
      <c r="F68" s="1220" t="s">
        <v>1040</v>
      </c>
      <c r="G68" s="1220" t="s">
        <v>1041</v>
      </c>
      <c r="H68" s="1236" t="s">
        <v>1042</v>
      </c>
      <c r="I68" s="1237" t="s">
        <v>1065</v>
      </c>
      <c r="J68" s="1236" t="s">
        <v>1056</v>
      </c>
      <c r="K68" s="1236" t="s">
        <v>1130</v>
      </c>
      <c r="L68" s="1236" t="s">
        <v>1131</v>
      </c>
      <c r="M68" s="1236" t="s">
        <v>1132</v>
      </c>
      <c r="N68" s="1236" t="s">
        <v>1133</v>
      </c>
      <c r="O68" s="1236" t="s">
        <v>1089</v>
      </c>
      <c r="P68" s="1236" t="s">
        <v>1134</v>
      </c>
      <c r="Q68" s="1236" t="s">
        <v>1135</v>
      </c>
      <c r="R68" s="1236" t="s">
        <v>1136</v>
      </c>
      <c r="S68" s="1236" t="s">
        <v>1137</v>
      </c>
      <c r="T68" s="1236" t="s">
        <v>1138</v>
      </c>
      <c r="U68" s="1236" t="s">
        <v>1139</v>
      </c>
      <c r="V68" s="1236" t="s">
        <v>1140</v>
      </c>
      <c r="W68" s="1236" t="s">
        <v>1141</v>
      </c>
      <c r="X68" s="1236" t="s">
        <v>1142</v>
      </c>
      <c r="Y68" s="1236" t="s">
        <v>1143</v>
      </c>
      <c r="Z68" s="1236" t="s">
        <v>1144</v>
      </c>
      <c r="AA68" s="1236" t="s">
        <v>1145</v>
      </c>
      <c r="AB68" s="1236" t="s">
        <v>1146</v>
      </c>
      <c r="AC68" s="1236" t="s">
        <v>1147</v>
      </c>
      <c r="AD68" s="1236" t="s">
        <v>1148</v>
      </c>
      <c r="AE68" s="1236" t="s">
        <v>1149</v>
      </c>
      <c r="AF68" s="1236" t="s">
        <v>1150</v>
      </c>
      <c r="AG68" s="1236" t="s">
        <v>1151</v>
      </c>
      <c r="AH68" s="1236" t="s">
        <v>1152</v>
      </c>
      <c r="AI68" s="1236" t="s">
        <v>1153</v>
      </c>
      <c r="AJ68" s="1236" t="s">
        <v>1154</v>
      </c>
      <c r="AK68" s="1236" t="s">
        <v>1155</v>
      </c>
      <c r="AL68" s="1237" t="s">
        <v>1156</v>
      </c>
      <c r="AM68" s="1236" t="s">
        <v>1071</v>
      </c>
      <c r="AN68" s="1236" t="s">
        <v>1072</v>
      </c>
      <c r="AO68" s="913"/>
      <c r="AP68" s="913"/>
      <c r="AQ68" s="913"/>
      <c r="AR68" s="913"/>
      <c r="AS68" s="913"/>
      <c r="AT68" s="913"/>
      <c r="AU68" s="913"/>
      <c r="AV68" s="913"/>
      <c r="AW68" s="913"/>
      <c r="AX68" s="913"/>
      <c r="AY68" s="913"/>
      <c r="AZ68" s="913"/>
      <c r="BA68" s="913"/>
      <c r="BB68" s="913"/>
      <c r="BC68" s="913"/>
      <c r="BD68" s="913"/>
      <c r="BE68" s="913"/>
      <c r="BF68" s="913"/>
      <c r="BG68" s="913"/>
    </row>
    <row r="69">
      <c r="A69" s="1238">
        <v>45563.0</v>
      </c>
      <c r="B69" s="1220" t="s">
        <v>105</v>
      </c>
      <c r="C69" s="1220" t="s">
        <v>1021</v>
      </c>
      <c r="D69" s="1220">
        <v>1744489.0</v>
      </c>
      <c r="E69" s="1238">
        <v>45610.0</v>
      </c>
      <c r="F69" s="1239">
        <v>45610.282476851855</v>
      </c>
      <c r="G69" s="1220">
        <v>2024.0</v>
      </c>
      <c r="H69" s="1236" t="s">
        <v>1073</v>
      </c>
      <c r="I69" s="1241">
        <v>5.773E9</v>
      </c>
      <c r="J69" s="1240">
        <v>4.99E9</v>
      </c>
      <c r="K69" s="1240">
        <v>-8.21E8</v>
      </c>
      <c r="L69" s="1240">
        <v>1.366E9</v>
      </c>
      <c r="M69" s="1240">
        <v>0.0</v>
      </c>
      <c r="N69" s="1240">
        <v>-5.65E8</v>
      </c>
      <c r="O69" s="1240">
        <v>-4.2E7</v>
      </c>
      <c r="P69" s="1240">
        <v>1.56E8</v>
      </c>
      <c r="Q69" s="1240">
        <v>0.0</v>
      </c>
      <c r="R69" s="1240">
        <v>2.663E9</v>
      </c>
      <c r="S69" s="1240">
        <v>1.3971E10</v>
      </c>
      <c r="T69" s="1240">
        <v>-5.412E9</v>
      </c>
      <c r="U69" s="1240">
        <v>0.0</v>
      </c>
      <c r="V69" s="1240">
        <v>-1.506E9</v>
      </c>
      <c r="W69" s="1240">
        <v>1.05E8</v>
      </c>
      <c r="X69" s="1240">
        <v>-6.8E7</v>
      </c>
      <c r="Y69" s="1240">
        <v>-6.881E9</v>
      </c>
      <c r="Z69" s="1240">
        <v>-1.4E9</v>
      </c>
      <c r="AA69" s="1240">
        <v>0.0</v>
      </c>
      <c r="AB69" s="1240">
        <v>-2.992E9</v>
      </c>
      <c r="AC69" s="1240">
        <v>-1.366E9</v>
      </c>
      <c r="AD69" s="1240">
        <v>-9.53E9</v>
      </c>
      <c r="AE69" s="1240">
        <v>-1.5288E10</v>
      </c>
      <c r="AF69" s="1240">
        <v>6.5E7</v>
      </c>
      <c r="AG69" s="1240">
        <v>-8.133E9</v>
      </c>
      <c r="AH69" s="1240">
        <v>6.102E9</v>
      </c>
      <c r="AI69" s="1240">
        <v>1.4235E10</v>
      </c>
      <c r="AJ69" s="1240">
        <v>1.3971E10</v>
      </c>
      <c r="AK69" s="1240">
        <v>-5.412E9</v>
      </c>
      <c r="AL69" s="1241">
        <v>8.559E9</v>
      </c>
      <c r="AM69" s="1242" t="s">
        <v>1233</v>
      </c>
      <c r="AN69" s="1242" t="s">
        <v>1234</v>
      </c>
      <c r="AO69" s="913"/>
      <c r="AP69" s="913"/>
      <c r="AQ69" s="913"/>
      <c r="AR69" s="913"/>
      <c r="AS69" s="913"/>
      <c r="AT69" s="913"/>
      <c r="AU69" s="913"/>
      <c r="AV69" s="913"/>
      <c r="AW69" s="913"/>
      <c r="AX69" s="913"/>
      <c r="AY69" s="913"/>
      <c r="AZ69" s="913"/>
      <c r="BA69" s="913"/>
      <c r="BB69" s="913"/>
      <c r="BC69" s="913"/>
      <c r="BD69" s="913"/>
      <c r="BE69" s="913"/>
      <c r="BF69" s="913"/>
      <c r="BG69" s="913"/>
    </row>
    <row r="70">
      <c r="A70" s="1238">
        <v>45199.0</v>
      </c>
      <c r="B70" s="1220" t="s">
        <v>105</v>
      </c>
      <c r="C70" s="1220" t="s">
        <v>1021</v>
      </c>
      <c r="D70" s="1220">
        <v>1744489.0</v>
      </c>
      <c r="E70" s="1238">
        <v>45315.0</v>
      </c>
      <c r="F70" s="1239">
        <v>45315.70868055556</v>
      </c>
      <c r="G70" s="1220">
        <v>2023.0</v>
      </c>
      <c r="H70" s="1236" t="s">
        <v>1073</v>
      </c>
      <c r="I70" s="1240">
        <v>3.39E9</v>
      </c>
      <c r="J70" s="1240">
        <v>5.369E9</v>
      </c>
      <c r="K70" s="1240">
        <v>-1.346E9</v>
      </c>
      <c r="L70" s="1240">
        <v>1.143E9</v>
      </c>
      <c r="M70" s="1240">
        <v>1.77E8</v>
      </c>
      <c r="N70" s="1240">
        <v>3.58E8</v>
      </c>
      <c r="O70" s="1240">
        <v>-1.83E8</v>
      </c>
      <c r="P70" s="1240">
        <v>-1.142E9</v>
      </c>
      <c r="Q70" s="1240">
        <v>1.144E9</v>
      </c>
      <c r="R70" s="1240">
        <v>1.133E9</v>
      </c>
      <c r="S70" s="1240">
        <v>9.866E9</v>
      </c>
      <c r="T70" s="1240">
        <v>-4.969E9</v>
      </c>
      <c r="U70" s="1240">
        <v>0.0</v>
      </c>
      <c r="V70" s="1240">
        <v>0.0</v>
      </c>
      <c r="W70" s="1240">
        <v>4.58E8</v>
      </c>
      <c r="X70" s="1240">
        <v>-1.3E8</v>
      </c>
      <c r="Y70" s="1240">
        <v>-4.641E9</v>
      </c>
      <c r="Z70" s="1240">
        <v>-1.783E9</v>
      </c>
      <c r="AA70" s="1240">
        <v>5.2E7</v>
      </c>
      <c r="AB70" s="1240">
        <v>0.0</v>
      </c>
      <c r="AC70" s="1240">
        <v>0.0</v>
      </c>
      <c r="AD70" s="1240">
        <v>-9.41E8</v>
      </c>
      <c r="AE70" s="1240">
        <v>-2.724E9</v>
      </c>
      <c r="AF70" s="1240">
        <v>7.3E7</v>
      </c>
      <c r="AG70" s="1240">
        <v>2.574E9</v>
      </c>
      <c r="AH70" s="1240">
        <v>1.4235E10</v>
      </c>
      <c r="AI70" s="1240">
        <v>1.1661E10</v>
      </c>
      <c r="AJ70" s="1240">
        <v>9.866E9</v>
      </c>
      <c r="AK70" s="1240">
        <v>-4.969E9</v>
      </c>
      <c r="AL70" s="1241">
        <v>4.897E9</v>
      </c>
      <c r="AM70" s="1242" t="s">
        <v>1235</v>
      </c>
      <c r="AN70" s="1242" t="s">
        <v>1236</v>
      </c>
      <c r="AO70" s="913"/>
      <c r="AP70" s="913"/>
      <c r="AQ70" s="913"/>
      <c r="AR70" s="913"/>
      <c r="AS70" s="913"/>
      <c r="AT70" s="913"/>
      <c r="AU70" s="913"/>
      <c r="AV70" s="913"/>
      <c r="AW70" s="913"/>
      <c r="AX70" s="913"/>
      <c r="AY70" s="913"/>
      <c r="AZ70" s="913"/>
      <c r="BA70" s="913"/>
      <c r="BB70" s="913"/>
      <c r="BC70" s="913"/>
      <c r="BD70" s="913"/>
      <c r="BE70" s="913"/>
      <c r="BF70" s="913"/>
      <c r="BG70" s="913"/>
    </row>
    <row r="71">
      <c r="A71" s="1238">
        <v>44835.0</v>
      </c>
      <c r="B71" s="1220" t="s">
        <v>105</v>
      </c>
      <c r="C71" s="1220" t="s">
        <v>1021</v>
      </c>
      <c r="D71" s="1220">
        <v>1744489.0</v>
      </c>
      <c r="E71" s="1238">
        <v>44950.0</v>
      </c>
      <c r="F71" s="1239">
        <v>44950.67760416667</v>
      </c>
      <c r="G71" s="1220">
        <v>2022.0</v>
      </c>
      <c r="H71" s="1236" t="s">
        <v>1073</v>
      </c>
      <c r="I71" s="1240">
        <v>3.553E9</v>
      </c>
      <c r="J71" s="1240">
        <v>5.163E9</v>
      </c>
      <c r="K71" s="1240">
        <v>2.0E8</v>
      </c>
      <c r="L71" s="1240">
        <v>9.77E8</v>
      </c>
      <c r="M71" s="1240">
        <v>4.88E8</v>
      </c>
      <c r="N71" s="1240">
        <v>6.05E8</v>
      </c>
      <c r="O71" s="1240">
        <v>-4.2E8</v>
      </c>
      <c r="P71" s="1240">
        <v>9.64E8</v>
      </c>
      <c r="Q71" s="1240">
        <v>-6.61E8</v>
      </c>
      <c r="R71" s="1240">
        <v>-4.371E9</v>
      </c>
      <c r="S71" s="1240">
        <v>6.01E9</v>
      </c>
      <c r="T71" s="1240">
        <v>-4.943E9</v>
      </c>
      <c r="U71" s="1240">
        <v>0.0</v>
      </c>
      <c r="V71" s="1240">
        <v>0.0</v>
      </c>
      <c r="W71" s="1240">
        <v>5.2E7</v>
      </c>
      <c r="X71" s="1240">
        <v>-1.17E8</v>
      </c>
      <c r="Y71" s="1240">
        <v>-5.008E9</v>
      </c>
      <c r="Z71" s="1240">
        <v>-4.017E9</v>
      </c>
      <c r="AA71" s="1240">
        <v>1.27E8</v>
      </c>
      <c r="AB71" s="1240">
        <v>0.0</v>
      </c>
      <c r="AC71" s="1240">
        <v>0.0</v>
      </c>
      <c r="AD71" s="1240">
        <v>-8.51E8</v>
      </c>
      <c r="AE71" s="1240">
        <v>-4.741E9</v>
      </c>
      <c r="AF71" s="1240">
        <v>-6.03E8</v>
      </c>
      <c r="AG71" s="1240">
        <v>-4.342E9</v>
      </c>
      <c r="AH71" s="1240">
        <v>1.1661E10</v>
      </c>
      <c r="AI71" s="1240">
        <v>1.6003E10</v>
      </c>
      <c r="AJ71" s="1240">
        <v>6.01E9</v>
      </c>
      <c r="AK71" s="1240">
        <v>-4.943E9</v>
      </c>
      <c r="AL71" s="1241">
        <v>1.067E9</v>
      </c>
      <c r="AM71" s="1242" t="s">
        <v>1237</v>
      </c>
      <c r="AN71" s="1242" t="s">
        <v>1238</v>
      </c>
      <c r="AO71" s="913"/>
      <c r="AP71" s="913"/>
      <c r="AQ71" s="913"/>
      <c r="AR71" s="913"/>
      <c r="AS71" s="913"/>
      <c r="AT71" s="913"/>
      <c r="AU71" s="913"/>
      <c r="AV71" s="913"/>
      <c r="AW71" s="913"/>
      <c r="AX71" s="913"/>
      <c r="AY71" s="913"/>
      <c r="AZ71" s="913"/>
      <c r="BA71" s="913"/>
      <c r="BB71" s="913"/>
      <c r="BC71" s="913"/>
      <c r="BD71" s="913"/>
      <c r="BE71" s="913"/>
      <c r="BF71" s="913"/>
      <c r="BG71" s="913"/>
    </row>
    <row r="72">
      <c r="A72" s="1238">
        <v>44471.0</v>
      </c>
      <c r="B72" s="1220" t="s">
        <v>105</v>
      </c>
      <c r="C72" s="1220" t="s">
        <v>1021</v>
      </c>
      <c r="D72" s="1220">
        <v>1744489.0</v>
      </c>
      <c r="E72" s="1238">
        <v>44524.0</v>
      </c>
      <c r="F72" s="1239">
        <v>44524.690567129626</v>
      </c>
      <c r="G72" s="1220">
        <v>2021.0</v>
      </c>
      <c r="H72" s="1236" t="s">
        <v>1073</v>
      </c>
      <c r="I72" s="1240">
        <v>2.536E9</v>
      </c>
      <c r="J72" s="1240">
        <v>5.111E9</v>
      </c>
      <c r="K72" s="1240">
        <v>-1.241E9</v>
      </c>
      <c r="L72" s="1240">
        <v>6.0E8</v>
      </c>
      <c r="M72" s="1240">
        <v>2.194E9</v>
      </c>
      <c r="N72" s="1240">
        <v>-1.86E8</v>
      </c>
      <c r="O72" s="1240">
        <v>2.52E8</v>
      </c>
      <c r="P72" s="1240">
        <v>2.41E9</v>
      </c>
      <c r="Q72" s="1240">
        <v>-2.82E8</v>
      </c>
      <c r="R72" s="1240">
        <v>-3.633E9</v>
      </c>
      <c r="S72" s="1240">
        <v>5.567E9</v>
      </c>
      <c r="T72" s="1240">
        <v>-3.578E9</v>
      </c>
      <c r="U72" s="1240">
        <v>-2.59E8</v>
      </c>
      <c r="V72" s="1240">
        <v>-7.8E7</v>
      </c>
      <c r="W72" s="1240">
        <v>3.37E8</v>
      </c>
      <c r="X72" s="1240">
        <v>4.15E8</v>
      </c>
      <c r="Y72" s="1240">
        <v>-3.163E9</v>
      </c>
      <c r="Z72" s="1240">
        <v>-3.699E9</v>
      </c>
      <c r="AA72" s="1240">
        <v>4.35E8</v>
      </c>
      <c r="AB72" s="1240">
        <v>0.0</v>
      </c>
      <c r="AC72" s="1240">
        <v>0.0</v>
      </c>
      <c r="AD72" s="1240">
        <v>-6.86E8</v>
      </c>
      <c r="AE72" s="1240">
        <v>-4.385E9</v>
      </c>
      <c r="AF72" s="1240">
        <v>3.0E7</v>
      </c>
      <c r="AG72" s="1240">
        <v>-1.951E9</v>
      </c>
      <c r="AH72" s="1240">
        <v>1.6003E10</v>
      </c>
      <c r="AI72" s="1240">
        <v>1.7954E10</v>
      </c>
      <c r="AJ72" s="1240">
        <v>5.567E9</v>
      </c>
      <c r="AK72" s="1240">
        <v>-3.578E9</v>
      </c>
      <c r="AL72" s="1241">
        <v>1.989E9</v>
      </c>
      <c r="AM72" s="1242" t="s">
        <v>1239</v>
      </c>
      <c r="AN72" s="1242" t="s">
        <v>1240</v>
      </c>
      <c r="AO72" s="913"/>
      <c r="AP72" s="913"/>
      <c r="AQ72" s="913"/>
      <c r="AR72" s="913"/>
      <c r="AS72" s="913"/>
      <c r="AT72" s="913"/>
      <c r="AU72" s="913"/>
      <c r="AV72" s="913"/>
      <c r="AW72" s="913"/>
      <c r="AX72" s="913"/>
      <c r="AY72" s="913"/>
      <c r="AZ72" s="913"/>
      <c r="BA72" s="913"/>
      <c r="BB72" s="913"/>
      <c r="BC72" s="913"/>
      <c r="BD72" s="913"/>
      <c r="BE72" s="913"/>
      <c r="BF72" s="913"/>
      <c r="BG72" s="913"/>
    </row>
    <row r="73">
      <c r="A73" s="1238">
        <v>44107.0</v>
      </c>
      <c r="B73" s="1220" t="s">
        <v>105</v>
      </c>
      <c r="C73" s="1220" t="s">
        <v>1021</v>
      </c>
      <c r="D73" s="1220">
        <v>1744489.0</v>
      </c>
      <c r="E73" s="1238">
        <v>44160.0</v>
      </c>
      <c r="F73" s="1239">
        <v>44160.70825231481</v>
      </c>
      <c r="G73" s="1220">
        <v>2020.0</v>
      </c>
      <c r="H73" s="1236" t="s">
        <v>1073</v>
      </c>
      <c r="I73" s="1240">
        <v>-2.442E9</v>
      </c>
      <c r="J73" s="1240">
        <v>5.345E9</v>
      </c>
      <c r="K73" s="1240">
        <v>-3.92E8</v>
      </c>
      <c r="L73" s="1240">
        <v>5.25E8</v>
      </c>
      <c r="M73" s="1240">
        <v>-6.45E8</v>
      </c>
      <c r="N73" s="1240">
        <v>1.786E9</v>
      </c>
      <c r="O73" s="1240">
        <v>1.4E7</v>
      </c>
      <c r="P73" s="1240">
        <v>-2.293E9</v>
      </c>
      <c r="Q73" s="1240">
        <v>-1.52E8</v>
      </c>
      <c r="R73" s="1240">
        <v>5.227E9</v>
      </c>
      <c r="S73" s="1240">
        <v>7.618E9</v>
      </c>
      <c r="T73" s="1240">
        <v>-4.022E9</v>
      </c>
      <c r="U73" s="1240">
        <v>9.4E7</v>
      </c>
      <c r="V73" s="1240">
        <v>0.0</v>
      </c>
      <c r="W73" s="1240">
        <v>0.0</v>
      </c>
      <c r="X73" s="1240">
        <v>2.91E8</v>
      </c>
      <c r="Y73" s="1240">
        <v>-3.637E9</v>
      </c>
      <c r="Z73" s="1240">
        <v>1.1233E10</v>
      </c>
      <c r="AA73" s="1240">
        <v>3.05E8</v>
      </c>
      <c r="AB73" s="1240">
        <v>-3.05E8</v>
      </c>
      <c r="AC73" s="1240">
        <v>-1.587E9</v>
      </c>
      <c r="AD73" s="1240">
        <v>-1.166E9</v>
      </c>
      <c r="AE73" s="1240">
        <v>8.48E9</v>
      </c>
      <c r="AF73" s="1240">
        <v>3.8E7</v>
      </c>
      <c r="AG73" s="1240">
        <v>1.2499E10</v>
      </c>
      <c r="AH73" s="1240">
        <v>1.7954E10</v>
      </c>
      <c r="AI73" s="1240">
        <v>5.455E9</v>
      </c>
      <c r="AJ73" s="1240">
        <v>7.618E9</v>
      </c>
      <c r="AK73" s="1240">
        <v>-4.022E9</v>
      </c>
      <c r="AL73" s="1241">
        <v>3.596E9</v>
      </c>
      <c r="AM73" s="1242" t="s">
        <v>1241</v>
      </c>
      <c r="AN73" s="1242" t="s">
        <v>1242</v>
      </c>
      <c r="AO73" s="913"/>
      <c r="AP73" s="913"/>
      <c r="AQ73" s="913"/>
      <c r="AR73" s="913"/>
      <c r="AS73" s="913"/>
      <c r="AT73" s="913"/>
      <c r="AU73" s="913"/>
      <c r="AV73" s="913"/>
      <c r="AW73" s="913"/>
      <c r="AX73" s="913"/>
      <c r="AY73" s="913"/>
      <c r="AZ73" s="913"/>
      <c r="BA73" s="913"/>
      <c r="BB73" s="913"/>
      <c r="BC73" s="913"/>
      <c r="BD73" s="913"/>
      <c r="BE73" s="913"/>
      <c r="BF73" s="913"/>
      <c r="BG73" s="913"/>
    </row>
    <row r="74">
      <c r="A74" s="480"/>
      <c r="B74" s="480"/>
      <c r="C74" s="480"/>
      <c r="D74" s="480"/>
      <c r="E74" s="480"/>
      <c r="F74" s="480"/>
      <c r="G74" s="480"/>
      <c r="H74" s="913"/>
      <c r="I74" s="913"/>
      <c r="J74" s="913"/>
      <c r="K74" s="913"/>
      <c r="L74" s="913"/>
      <c r="M74" s="913"/>
      <c r="N74" s="913"/>
      <c r="O74" s="913"/>
      <c r="P74" s="913"/>
      <c r="Q74" s="913"/>
      <c r="R74" s="913"/>
      <c r="S74" s="913"/>
      <c r="T74" s="913"/>
      <c r="U74" s="913"/>
      <c r="V74" s="913"/>
      <c r="W74" s="913"/>
      <c r="X74" s="913"/>
      <c r="Y74" s="913"/>
      <c r="Z74" s="913"/>
      <c r="AA74" s="913"/>
      <c r="AB74" s="913"/>
      <c r="AC74" s="913"/>
      <c r="AD74" s="913"/>
      <c r="AE74" s="913"/>
      <c r="AF74" s="913"/>
      <c r="AG74" s="913"/>
      <c r="AH74" s="913"/>
      <c r="AI74" s="913"/>
      <c r="AJ74" s="913"/>
      <c r="AK74" s="913"/>
      <c r="AL74" s="913"/>
      <c r="AM74" s="913"/>
      <c r="AN74" s="913"/>
      <c r="AO74" s="913"/>
      <c r="AP74" s="913"/>
      <c r="AQ74" s="913"/>
      <c r="AR74" s="913"/>
      <c r="AS74" s="913"/>
      <c r="AT74" s="913"/>
      <c r="AU74" s="913"/>
      <c r="AV74" s="913"/>
      <c r="AW74" s="913"/>
      <c r="AX74" s="913"/>
      <c r="AY74" s="913"/>
      <c r="AZ74" s="913"/>
      <c r="BA74" s="913"/>
      <c r="BB74" s="913"/>
      <c r="BC74" s="913"/>
      <c r="BD74" s="913"/>
      <c r="BE74" s="913"/>
      <c r="BF74" s="913"/>
      <c r="BG74" s="913"/>
    </row>
    <row r="75">
      <c r="A75" s="1220" t="s">
        <v>1157</v>
      </c>
      <c r="B75" s="480"/>
      <c r="C75" s="480"/>
      <c r="D75" s="480"/>
      <c r="E75" s="480"/>
      <c r="F75" s="480"/>
      <c r="G75" s="480"/>
      <c r="H75" s="913"/>
      <c r="I75" s="913"/>
      <c r="J75" s="913"/>
      <c r="K75" s="913"/>
      <c r="L75" s="913"/>
      <c r="M75" s="913"/>
      <c r="N75" s="913"/>
      <c r="O75" s="913"/>
      <c r="P75" s="913"/>
      <c r="Q75" s="913"/>
      <c r="R75" s="913"/>
      <c r="S75" s="913"/>
      <c r="T75" s="913"/>
      <c r="U75" s="913"/>
      <c r="V75" s="913"/>
      <c r="W75" s="913"/>
      <c r="X75" s="913"/>
      <c r="Y75" s="913"/>
      <c r="Z75" s="913"/>
      <c r="AA75" s="913"/>
      <c r="AB75" s="913"/>
      <c r="AC75" s="913"/>
      <c r="AD75" s="913"/>
      <c r="AE75" s="913"/>
      <c r="AF75" s="913"/>
      <c r="AG75" s="913"/>
      <c r="AH75" s="913"/>
      <c r="AI75" s="913"/>
      <c r="AJ75" s="913"/>
      <c r="AK75" s="913"/>
      <c r="AL75" s="913"/>
      <c r="AM75" s="913"/>
      <c r="AN75" s="913"/>
      <c r="AO75" s="913"/>
      <c r="AP75" s="913"/>
      <c r="AQ75" s="913"/>
      <c r="AR75" s="913"/>
      <c r="AS75" s="913"/>
      <c r="AT75" s="913"/>
      <c r="AU75" s="913"/>
      <c r="AV75" s="913"/>
      <c r="AW75" s="913"/>
      <c r="AX75" s="913"/>
      <c r="AY75" s="913"/>
      <c r="AZ75" s="913"/>
      <c r="BA75" s="913"/>
      <c r="BB75" s="913"/>
      <c r="BC75" s="913"/>
      <c r="BD75" s="913"/>
      <c r="BE75" s="913"/>
      <c r="BF75" s="913"/>
      <c r="BG75" s="913"/>
    </row>
    <row r="76">
      <c r="A76" s="1220" t="s">
        <v>984</v>
      </c>
      <c r="B76" s="1220" t="s">
        <v>1037</v>
      </c>
      <c r="C76" s="1220" t="s">
        <v>1041</v>
      </c>
      <c r="D76" s="1220" t="s">
        <v>1042</v>
      </c>
      <c r="E76" s="1220" t="s">
        <v>1158</v>
      </c>
      <c r="F76" s="1220" t="s">
        <v>1159</v>
      </c>
      <c r="G76" s="1220" t="s">
        <v>1160</v>
      </c>
      <c r="H76" s="1236" t="s">
        <v>1161</v>
      </c>
      <c r="I76" s="1236" t="s">
        <v>1162</v>
      </c>
      <c r="J76" s="1236" t="s">
        <v>1163</v>
      </c>
      <c r="K76" s="1236" t="s">
        <v>1164</v>
      </c>
      <c r="L76" s="1236" t="s">
        <v>1165</v>
      </c>
      <c r="M76" s="1236" t="s">
        <v>1166</v>
      </c>
      <c r="N76" s="1236" t="s">
        <v>1167</v>
      </c>
      <c r="O76" s="1236" t="s">
        <v>1168</v>
      </c>
      <c r="P76" s="1236" t="s">
        <v>1169</v>
      </c>
      <c r="Q76" s="1236" t="s">
        <v>1170</v>
      </c>
      <c r="R76" s="1236" t="s">
        <v>1171</v>
      </c>
      <c r="S76" s="1236" t="s">
        <v>1172</v>
      </c>
      <c r="T76" s="1236" t="s">
        <v>1173</v>
      </c>
      <c r="U76" s="1236" t="s">
        <v>1174</v>
      </c>
      <c r="V76" s="1236" t="s">
        <v>1175</v>
      </c>
      <c r="W76" s="1236" t="s">
        <v>1176</v>
      </c>
      <c r="X76" s="1236" t="s">
        <v>1177</v>
      </c>
      <c r="Y76" s="1236" t="s">
        <v>1178</v>
      </c>
      <c r="Z76" s="1236" t="s">
        <v>1179</v>
      </c>
      <c r="AA76" s="1236" t="s">
        <v>1180</v>
      </c>
      <c r="AB76" s="1237" t="s">
        <v>1181</v>
      </c>
      <c r="AC76" s="1236" t="s">
        <v>1182</v>
      </c>
      <c r="AD76" s="1236" t="s">
        <v>1183</v>
      </c>
      <c r="AE76" s="1236" t="s">
        <v>1184</v>
      </c>
      <c r="AF76" s="1236" t="s">
        <v>1185</v>
      </c>
      <c r="AG76" s="1236" t="s">
        <v>1186</v>
      </c>
      <c r="AH76" s="1236" t="s">
        <v>1187</v>
      </c>
      <c r="AI76" s="1236" t="s">
        <v>1188</v>
      </c>
      <c r="AJ76" s="1236" t="s">
        <v>1189</v>
      </c>
      <c r="AK76" s="1236" t="s">
        <v>1190</v>
      </c>
      <c r="AL76" s="1236" t="s">
        <v>1191</v>
      </c>
      <c r="AM76" s="1236" t="s">
        <v>1192</v>
      </c>
      <c r="AN76" s="1236" t="s">
        <v>1193</v>
      </c>
      <c r="AO76" s="1236" t="s">
        <v>1194</v>
      </c>
      <c r="AP76" s="1236" t="s">
        <v>1195</v>
      </c>
      <c r="AQ76" s="1236" t="s">
        <v>1196</v>
      </c>
      <c r="AR76" s="1236" t="s">
        <v>1197</v>
      </c>
      <c r="AS76" s="1236" t="s">
        <v>1198</v>
      </c>
      <c r="AT76" s="1236" t="s">
        <v>1199</v>
      </c>
      <c r="AU76" s="1236" t="s">
        <v>1200</v>
      </c>
      <c r="AV76" s="1236" t="s">
        <v>1201</v>
      </c>
      <c r="AW76" s="1236" t="s">
        <v>1202</v>
      </c>
      <c r="AX76" s="1236" t="s">
        <v>1203</v>
      </c>
      <c r="AY76" s="1236" t="s">
        <v>1204</v>
      </c>
      <c r="AZ76" s="1236" t="s">
        <v>1205</v>
      </c>
      <c r="BA76" s="1236" t="s">
        <v>1206</v>
      </c>
      <c r="BB76" s="1236" t="s">
        <v>1207</v>
      </c>
      <c r="BC76" s="1236" t="s">
        <v>1208</v>
      </c>
      <c r="BD76" s="1236" t="s">
        <v>1209</v>
      </c>
      <c r="BE76" s="1236" t="s">
        <v>1210</v>
      </c>
      <c r="BF76" s="1236" t="s">
        <v>1211</v>
      </c>
      <c r="BG76" s="913"/>
    </row>
    <row r="77">
      <c r="A77" s="1220" t="s">
        <v>105</v>
      </c>
      <c r="B77" s="1238">
        <v>45563.0</v>
      </c>
      <c r="C77" s="1220">
        <v>2024.0</v>
      </c>
      <c r="D77" s="1220" t="s">
        <v>1073</v>
      </c>
      <c r="E77" s="1244">
        <v>0.7295297551952369</v>
      </c>
      <c r="F77" s="1244">
        <v>0.6710887597907454</v>
      </c>
      <c r="G77" s="1244">
        <v>0.1734732217694153</v>
      </c>
      <c r="H77" s="1240">
        <v>50.85413907465987</v>
      </c>
      <c r="I77" s="1240">
        <v>12.573341510784012</v>
      </c>
      <c r="J77" s="1240">
        <v>63.42748058544388</v>
      </c>
      <c r="K77" s="1240">
        <v>92.00551977920883</v>
      </c>
      <c r="L77" s="1240">
        <v>-28.578039193764944</v>
      </c>
      <c r="M77" s="1240">
        <v>0.3575157890128173</v>
      </c>
      <c r="N77" s="1240">
        <v>0.1267827628856952</v>
      </c>
      <c r="O77" s="1240">
        <v>0.08284716673416447</v>
      </c>
      <c r="P77" s="1240">
        <v>0.054421470868313615</v>
      </c>
      <c r="Q77" s="1240">
        <v>0.34311005416831813</v>
      </c>
      <c r="R77" s="1240">
        <v>0.025339034446205517</v>
      </c>
      <c r="S77" s="1240">
        <v>0.04937634066894415</v>
      </c>
      <c r="T77" s="1240">
        <v>0.07166811038237841</v>
      </c>
      <c r="U77" s="1240">
        <v>0.6568899458316818</v>
      </c>
      <c r="V77" s="1240">
        <v>0.6534576534576535</v>
      </c>
      <c r="W77" s="1240">
        <v>0.1267827628856952</v>
      </c>
      <c r="X77" s="1240">
        <v>0.23348911165585393</v>
      </c>
      <c r="Y77" s="1240">
        <v>0.45498331611980614</v>
      </c>
      <c r="Z77" s="1240">
        <v>0.279022811564733</v>
      </c>
      <c r="AA77" s="1240">
        <v>0.31270689572796584</v>
      </c>
      <c r="AB77" s="1241">
        <v>8.004837595024188</v>
      </c>
      <c r="AC77" s="1240">
        <v>0.3049437957000982</v>
      </c>
      <c r="AD77" s="1240">
        <v>1.9486275522364345</v>
      </c>
      <c r="AE77" s="1240">
        <v>7.177390211328462</v>
      </c>
      <c r="AF77" s="1240">
        <v>3.9671532846715327</v>
      </c>
      <c r="AG77" s="1240">
        <v>29.02967359050445</v>
      </c>
      <c r="AH77" s="1240">
        <v>0.0</v>
      </c>
      <c r="AI77" s="1240">
        <v>0.46560730612224094</v>
      </c>
      <c r="AJ77" s="1240">
        <v>7.655342465753424</v>
      </c>
      <c r="AK77" s="1240">
        <v>4.689863013698631</v>
      </c>
      <c r="AL77" s="1240">
        <v>3.288767123287671</v>
      </c>
      <c r="AM77" s="1240">
        <v>0.2747385358004827</v>
      </c>
      <c r="AN77" s="1240">
        <v>0.15292083055132935</v>
      </c>
      <c r="AO77" s="1240">
        <v>0.6126261541765085</v>
      </c>
      <c r="AP77" s="1240">
        <v>0.3049437957000982</v>
      </c>
      <c r="AQ77" s="1240">
        <v>2.041051862673484</v>
      </c>
      <c r="AR77" s="1240">
        <v>2.5814855875831486</v>
      </c>
      <c r="AS77" s="1240">
        <v>2.061227500737681</v>
      </c>
      <c r="AT77" s="1240">
        <v>0.2747385358004827</v>
      </c>
      <c r="AU77" s="1240">
        <v>1.7400716016524986</v>
      </c>
      <c r="AV77" s="1240">
        <v>1.7400716016524986</v>
      </c>
      <c r="AW77" s="1240">
        <v>1.917867032979061</v>
      </c>
      <c r="AX77" s="1240">
        <v>35.24099959774739</v>
      </c>
      <c r="AY77" s="1240">
        <v>20.47181329594579</v>
      </c>
      <c r="AZ77" s="1240">
        <v>12.541568248514782</v>
      </c>
      <c r="BA77" s="1240">
        <v>12.541568248514782</v>
      </c>
      <c r="BB77" s="1240">
        <v>0.3179083180496093</v>
      </c>
      <c r="BC77" s="1240">
        <v>1.917867032979061</v>
      </c>
      <c r="BD77" s="1240">
        <v>0.0077959915705127746</v>
      </c>
      <c r="BE77" s="1240">
        <v>15.35279523061545</v>
      </c>
      <c r="BF77" s="1240">
        <v>1.7400716016524986</v>
      </c>
      <c r="BG77" s="913"/>
    </row>
    <row r="78">
      <c r="A78" s="1220" t="s">
        <v>105</v>
      </c>
      <c r="B78" s="1238">
        <v>45199.0</v>
      </c>
      <c r="C78" s="1220">
        <v>2023.0</v>
      </c>
      <c r="D78" s="1220" t="s">
        <v>1073</v>
      </c>
      <c r="E78" s="1244">
        <v>1.0521532483380969</v>
      </c>
      <c r="F78" s="1244">
        <v>0.989113330550114</v>
      </c>
      <c r="G78" s="1244">
        <v>0.45544172902148433</v>
      </c>
      <c r="H78" s="1240">
        <v>50.62487345047133</v>
      </c>
      <c r="I78" s="1240">
        <v>12.10275164270874</v>
      </c>
      <c r="J78" s="1240">
        <v>62.727625093180066</v>
      </c>
      <c r="K78" s="1240">
        <v>93.25222546916437</v>
      </c>
      <c r="L78" s="1240">
        <v>-30.524600375984306</v>
      </c>
      <c r="M78" s="1240">
        <v>0.33405700915656145</v>
      </c>
      <c r="N78" s="1240">
        <v>0.10114963216270333</v>
      </c>
      <c r="O78" s="1240">
        <v>0.05364575131049067</v>
      </c>
      <c r="P78" s="1240">
        <v>0.02647978582195325</v>
      </c>
      <c r="Q78" s="1240">
        <v>0.28915915286223526</v>
      </c>
      <c r="R78" s="1240">
        <v>0.011450585906148001</v>
      </c>
      <c r="S78" s="1240">
        <v>0.02371143366540085</v>
      </c>
      <c r="T78" s="1240">
        <v>0.05154781013529007</v>
      </c>
      <c r="U78" s="1240">
        <v>0.4936045292514154</v>
      </c>
      <c r="V78" s="1240">
        <v>0.5303603202846975</v>
      </c>
      <c r="W78" s="1240">
        <v>0.10114963216270333</v>
      </c>
      <c r="X78" s="1240">
        <v>0.22585478088715288</v>
      </c>
      <c r="Y78" s="1240">
        <v>0.46769140888624755</v>
      </c>
      <c r="Z78" s="1240">
        <v>0.29779032098346275</v>
      </c>
      <c r="AA78" s="1240">
        <v>0.31865786367255056</v>
      </c>
      <c r="AB78" s="1240">
        <v>4.5575266092245315</v>
      </c>
      <c r="AC78" s="1240">
        <v>0.21248734681570502</v>
      </c>
      <c r="AD78" s="1240">
        <v>2.070761606414376</v>
      </c>
      <c r="AE78" s="1240">
        <v>7.209894566098946</v>
      </c>
      <c r="AF78" s="1240">
        <v>3.914115702479339</v>
      </c>
      <c r="AG78" s="1240">
        <v>30.15843097300051</v>
      </c>
      <c r="AH78" s="1240">
        <v>2.2538346474659634</v>
      </c>
      <c r="AI78" s="1240">
        <v>0.4324274366545221</v>
      </c>
      <c r="AJ78" s="1240">
        <v>5.397155361050328</v>
      </c>
      <c r="AK78" s="1240">
        <v>2.678884026258206</v>
      </c>
      <c r="AL78" s="1240">
        <v>7.758205689277899</v>
      </c>
      <c r="AM78" s="1240">
        <v>0.0</v>
      </c>
      <c r="AN78" s="1240">
        <v>0.11098112443474543</v>
      </c>
      <c r="AO78" s="1240">
        <v>0.49635110480437866</v>
      </c>
      <c r="AP78" s="1240">
        <v>0.21248734681570502</v>
      </c>
      <c r="AQ78" s="1240">
        <v>2.278521939953811</v>
      </c>
      <c r="AR78" s="1240">
        <v>1.9855101630106662</v>
      </c>
      <c r="AS78" s="1240">
        <v>1.9855101630106662</v>
      </c>
      <c r="AT78" s="1240">
        <v>0.0</v>
      </c>
      <c r="AU78" s="1240">
        <v>1.4923839358562405</v>
      </c>
      <c r="AV78" s="1240">
        <v>1.4923839358562405</v>
      </c>
      <c r="AW78" s="1240">
        <v>1.6666224212018268</v>
      </c>
      <c r="AX78" s="1240">
        <v>62.939422259983</v>
      </c>
      <c r="AY78" s="1240">
        <v>30.255135797426995</v>
      </c>
      <c r="AZ78" s="1240">
        <v>15.017170079059396</v>
      </c>
      <c r="BA78" s="1240">
        <v>15.017170079059396</v>
      </c>
      <c r="BB78" s="1240">
        <v>-2.394434542499354</v>
      </c>
      <c r="BC78" s="1240">
        <v>1.6666224212018268</v>
      </c>
      <c r="BD78" s="1240">
        <v>0.0</v>
      </c>
      <c r="BE78" s="1240">
        <v>15.856536736805795</v>
      </c>
      <c r="BF78" s="1240">
        <v>1.4923839358562405</v>
      </c>
      <c r="BG78" s="913"/>
    </row>
    <row r="79">
      <c r="A79" s="1220" t="s">
        <v>105</v>
      </c>
      <c r="B79" s="1238">
        <v>44835.0</v>
      </c>
      <c r="C79" s="1220">
        <v>2022.0</v>
      </c>
      <c r="D79" s="1220" t="s">
        <v>1073</v>
      </c>
      <c r="E79" s="1244">
        <v>1.000859904378633</v>
      </c>
      <c r="F79" s="1244">
        <v>0.940941767275479</v>
      </c>
      <c r="G79" s="1244">
        <v>0.3995115743129364</v>
      </c>
      <c r="H79" s="1240">
        <v>55.82529435942071</v>
      </c>
      <c r="I79" s="1240">
        <v>11.687836620650355</v>
      </c>
      <c r="J79" s="1240">
        <v>67.51313098007107</v>
      </c>
      <c r="K79" s="1240">
        <v>108.7264020881969</v>
      </c>
      <c r="L79" s="1240">
        <v>-41.21327110812584</v>
      </c>
      <c r="M79" s="1240">
        <v>0.3423635792171369</v>
      </c>
      <c r="N79" s="1240">
        <v>0.0825898793549479</v>
      </c>
      <c r="O79" s="1240">
        <v>0.06388868741084597</v>
      </c>
      <c r="P79" s="1240">
        <v>0.03859916346316578</v>
      </c>
      <c r="Q79" s="1240">
        <v>0.32771996215704824</v>
      </c>
      <c r="R79" s="1240">
        <v>0.01568032372281234</v>
      </c>
      <c r="S79" s="1240">
        <v>0.033607696194004714</v>
      </c>
      <c r="T79" s="1240">
        <v>0.039138853561566926</v>
      </c>
      <c r="U79" s="1240">
        <v>0.604162724692526</v>
      </c>
      <c r="V79" s="1240">
        <v>0.7735655737704918</v>
      </c>
      <c r="W79" s="1240">
        <v>0.0825898793549479</v>
      </c>
      <c r="X79" s="1240">
        <v>0.23753259572461954</v>
      </c>
      <c r="Y79" s="1240">
        <v>0.5091044964634557</v>
      </c>
      <c r="Z79" s="1240">
        <v>0.3228563079532739</v>
      </c>
      <c r="AA79" s="1240">
        <v>0.33735536383101894</v>
      </c>
      <c r="AB79" s="1240">
        <v>4.890479599141017</v>
      </c>
      <c r="AC79" s="1240">
        <v>0.12425313734003184</v>
      </c>
      <c r="AD79" s="1240">
        <v>2.143303721791849</v>
      </c>
      <c r="AE79" s="1240">
        <v>6.538254821372115</v>
      </c>
      <c r="AF79" s="1240">
        <v>3.3570502931194075</v>
      </c>
      <c r="AG79" s="1240">
        <v>31.229047072330655</v>
      </c>
      <c r="AH79" s="1240">
        <v>2.4622574115966187</v>
      </c>
      <c r="AI79" s="1240">
        <v>0.40623480707750786</v>
      </c>
      <c r="AJ79" s="1240">
        <v>3.2985729967069153</v>
      </c>
      <c r="AK79" s="1240">
        <v>0.5856201975850713</v>
      </c>
      <c r="AL79" s="1240">
        <v>6.374862788144895</v>
      </c>
      <c r="AM79" s="1240">
        <v>0.0</v>
      </c>
      <c r="AN79" s="1240">
        <v>0.07265298227799134</v>
      </c>
      <c r="AO79" s="1240">
        <v>0.17753743760399335</v>
      </c>
      <c r="AP79" s="1240">
        <v>0.12425313734003184</v>
      </c>
      <c r="AQ79" s="1240">
        <v>1.9576547231270358</v>
      </c>
      <c r="AR79" s="1240">
        <v>1.2158608132712927</v>
      </c>
      <c r="AS79" s="1240">
        <v>1.2158608132712927</v>
      </c>
      <c r="AT79" s="1240">
        <v>0.0</v>
      </c>
      <c r="AU79" s="1240">
        <v>1.8089977686089591</v>
      </c>
      <c r="AV79" s="1240">
        <v>1.8089977686089591</v>
      </c>
      <c r="AW79" s="1240">
        <v>2.077672928604241</v>
      </c>
      <c r="AX79" s="1240">
        <v>53.82689007203257</v>
      </c>
      <c r="AY79" s="1240">
        <v>161.0770946579194</v>
      </c>
      <c r="AZ79" s="1240">
        <v>28.597214642262898</v>
      </c>
      <c r="BA79" s="1240">
        <v>28.597214642262898</v>
      </c>
      <c r="BB79" s="1240">
        <v>0.933560124686815</v>
      </c>
      <c r="BC79" s="1240">
        <v>2.077672928604241</v>
      </c>
      <c r="BD79" s="1240">
        <v>0.0</v>
      </c>
      <c r="BE79" s="1240">
        <v>17.389619071434524</v>
      </c>
      <c r="BF79" s="1240">
        <v>1.8089977686089591</v>
      </c>
      <c r="BG79" s="913"/>
    </row>
    <row r="80">
      <c r="A80" s="1220" t="s">
        <v>105</v>
      </c>
      <c r="B80" s="1238">
        <v>44471.0</v>
      </c>
      <c r="C80" s="1220">
        <v>2021.0</v>
      </c>
      <c r="D80" s="1220" t="s">
        <v>1073</v>
      </c>
      <c r="E80" s="1244">
        <v>1.0830195964861473</v>
      </c>
      <c r="F80" s="1244">
        <v>1.0401904945779836</v>
      </c>
      <c r="G80" s="1244">
        <v>0.5135309071017151</v>
      </c>
      <c r="H80" s="1240">
        <v>72.36872941944289</v>
      </c>
      <c r="I80" s="1240">
        <v>10.764552081717666</v>
      </c>
      <c r="J80" s="1240">
        <v>83.13328150116055</v>
      </c>
      <c r="K80" s="1240">
        <v>132.2883383926791</v>
      </c>
      <c r="L80" s="1240">
        <v>-49.15505689151854</v>
      </c>
      <c r="M80" s="1240">
        <v>0.3305793704945267</v>
      </c>
      <c r="N80" s="1240">
        <v>0.05179625619270818</v>
      </c>
      <c r="O80" s="1240">
        <v>0.03798688777477825</v>
      </c>
      <c r="P80" s="1240">
        <v>0.030021655937583436</v>
      </c>
      <c r="Q80" s="1240">
        <v>0.009761811792268645</v>
      </c>
      <c r="R80" s="1240">
        <v>0.0099406214852978</v>
      </c>
      <c r="S80" s="1240">
        <v>0.02285636850247874</v>
      </c>
      <c r="T80" s="1240">
        <v>0.020239723645468666</v>
      </c>
      <c r="U80" s="1240">
        <v>0.7903162827020696</v>
      </c>
      <c r="V80" s="1240">
        <v>0.7333906071019473</v>
      </c>
      <c r="W80" s="1240">
        <v>0.05179625619270818</v>
      </c>
      <c r="X80" s="1240">
        <v>0.2672082275341463</v>
      </c>
      <c r="Y80" s="1240">
        <v>0.6143891228981514</v>
      </c>
      <c r="Z80" s="1240">
        <v>0.35406621782293773</v>
      </c>
      <c r="AA80" s="1240">
        <v>0.38057065312432237</v>
      </c>
      <c r="AB80" s="1240">
        <v>2.4836415362731152</v>
      </c>
      <c r="AC80" s="1240">
        <v>0.10232327316840055</v>
      </c>
      <c r="AD80" s="1240">
        <v>2.2992896909195624</v>
      </c>
      <c r="AE80" s="1240">
        <v>5.043614872447071</v>
      </c>
      <c r="AF80" s="1240">
        <v>2.7591245338387234</v>
      </c>
      <c r="AG80" s="1240">
        <v>33.907588279489104</v>
      </c>
      <c r="AH80" s="1240">
        <v>2.066515448749387</v>
      </c>
      <c r="AI80" s="1240">
        <v>0.3311150292963474</v>
      </c>
      <c r="AJ80" s="1240">
        <v>3.0655286343612334</v>
      </c>
      <c r="AK80" s="1240">
        <v>1.0952643171806167</v>
      </c>
      <c r="AL80" s="1240">
        <v>8.787995594713657</v>
      </c>
      <c r="AM80" s="1240">
        <v>0.0</v>
      </c>
      <c r="AN80" s="1240">
        <v>0.0825743866623157</v>
      </c>
      <c r="AO80" s="1240">
        <v>0.35728399497036106</v>
      </c>
      <c r="AP80" s="1240">
        <v>0.10232327316840055</v>
      </c>
      <c r="AQ80" s="1240">
        <v>0.9490282986703035</v>
      </c>
      <c r="AR80" s="1240">
        <v>1.5558971492453886</v>
      </c>
      <c r="AS80" s="1240">
        <v>1.5558971492453886</v>
      </c>
      <c r="AT80" s="1240">
        <v>0.0</v>
      </c>
      <c r="AU80" s="1240">
        <v>3.609523788013958</v>
      </c>
      <c r="AV80" s="1240">
        <v>3.609523788013958</v>
      </c>
      <c r="AW80" s="1240">
        <v>4.741080423625738</v>
      </c>
      <c r="AX80" s="1240">
        <v>157.92201581027666</v>
      </c>
      <c r="AY80" s="1240">
        <v>160.7009351432881</v>
      </c>
      <c r="AZ80" s="1240">
        <v>57.41587210346686</v>
      </c>
      <c r="BA80" s="1240">
        <v>57.41587210346686</v>
      </c>
      <c r="BB80" s="1240">
        <v>-0.92514016724677</v>
      </c>
      <c r="BC80" s="1240">
        <v>4.741080423625738</v>
      </c>
      <c r="BD80" s="1240">
        <v>0.0</v>
      </c>
      <c r="BE80" s="1240">
        <v>38.845862443046215</v>
      </c>
      <c r="BF80" s="1240">
        <v>3.609523788013958</v>
      </c>
      <c r="BG80" s="913"/>
    </row>
    <row r="81">
      <c r="A81" s="1220" t="s">
        <v>105</v>
      </c>
      <c r="B81" s="1238">
        <v>44107.0</v>
      </c>
      <c r="C81" s="1220">
        <v>2020.0</v>
      </c>
      <c r="D81" s="1220" t="s">
        <v>1073</v>
      </c>
      <c r="E81" s="1244">
        <v>1.3238320564818988</v>
      </c>
      <c r="F81" s="1244">
        <v>1.2643833558660058</v>
      </c>
      <c r="G81" s="1244">
        <v>0.6727504882079015</v>
      </c>
      <c r="H81" s="1240">
        <v>70.93686915030281</v>
      </c>
      <c r="I81" s="1240">
        <v>13.167616226071104</v>
      </c>
      <c r="J81" s="1240">
        <v>84.10448537637392</v>
      </c>
      <c r="K81" s="1240">
        <v>109.65804466727438</v>
      </c>
      <c r="L81" s="1240">
        <v>-25.553559290900466</v>
      </c>
      <c r="M81" s="1240">
        <v>0.32892885544748274</v>
      </c>
      <c r="N81" s="1240">
        <v>0.05782406557778186</v>
      </c>
      <c r="O81" s="1240">
        <v>-0.026656267204991743</v>
      </c>
      <c r="P81" s="1240">
        <v>-0.043310699210864376</v>
      </c>
      <c r="Q81" s="1240">
        <v>-0.4010327022375215</v>
      </c>
      <c r="R81" s="1240">
        <v>-0.014051173660003274</v>
      </c>
      <c r="S81" s="1240">
        <v>-0.033882488065755</v>
      </c>
      <c r="T81" s="1240">
        <v>0.02161547212741752</v>
      </c>
      <c r="U81" s="1240">
        <v>1.6247848537005163</v>
      </c>
      <c r="V81" s="1240">
        <v>-0.4609891563078551</v>
      </c>
      <c r="W81" s="1240">
        <v>0.05782406557778186</v>
      </c>
      <c r="X81" s="1240">
        <v>0.2908870795687401</v>
      </c>
      <c r="Y81" s="1240">
        <v>0.701434502231315</v>
      </c>
      <c r="Z81" s="1240">
        <v>0.38767032967032966</v>
      </c>
      <c r="AA81" s="1240">
        <v>0.412260654942304</v>
      </c>
      <c r="AB81" s="1240">
        <v>2.53588195841717</v>
      </c>
      <c r="AC81" s="1240">
        <v>0.12993791362488913</v>
      </c>
      <c r="AD81" s="1240">
        <v>2.4113635547898498</v>
      </c>
      <c r="AE81" s="1240">
        <v>5.145420207743154</v>
      </c>
      <c r="AF81" s="1240">
        <v>3.328529166350603</v>
      </c>
      <c r="AG81" s="1240">
        <v>27.71951989892609</v>
      </c>
      <c r="AH81" s="1240">
        <v>2.0384063844379328</v>
      </c>
      <c r="AI81" s="1240">
        <v>0.32442731048032986</v>
      </c>
      <c r="AJ81" s="1240">
        <v>4.213495575221239</v>
      </c>
      <c r="AK81" s="1240">
        <v>1.988938053097345</v>
      </c>
      <c r="AL81" s="1240">
        <v>9.908185840707965</v>
      </c>
      <c r="AM81" s="1240">
        <v>-0.5603813559322034</v>
      </c>
      <c r="AN81" s="1240">
        <v>0.11650455741114578</v>
      </c>
      <c r="AO81" s="1240">
        <v>0.4720399054870045</v>
      </c>
      <c r="AP81" s="1240">
        <v>0.12993791362488913</v>
      </c>
      <c r="AQ81" s="1240">
        <v>1.333917002276309</v>
      </c>
      <c r="AR81" s="1240">
        <v>1.8940825459970163</v>
      </c>
      <c r="AS81" s="1240">
        <v>1.358174362631485</v>
      </c>
      <c r="AT81" s="1240">
        <v>-0.5603813559322034</v>
      </c>
      <c r="AU81" s="1240">
        <v>2.650902695524209</v>
      </c>
      <c r="AV81" s="1240">
        <v>2.650902695524209</v>
      </c>
      <c r="AW81" s="1240">
        <v>3.3885483574967883</v>
      </c>
      <c r="AX81" s="1240">
        <v>-78.23813559322033</v>
      </c>
      <c r="AY81" s="1240">
        <v>61.61579532814238</v>
      </c>
      <c r="AZ81" s="1240">
        <v>29.08511420320294</v>
      </c>
      <c r="BA81" s="1240">
        <v>29.08511420320294</v>
      </c>
      <c r="BB81" s="1240">
        <v>0.6263027372773673</v>
      </c>
      <c r="BC81" s="1240">
        <v>3.3885483574967883</v>
      </c>
      <c r="BD81" s="1240">
        <v>0.007162509071608843</v>
      </c>
      <c r="BE81" s="1240">
        <v>49.968451133549245</v>
      </c>
      <c r="BF81" s="1240">
        <v>2.650902695524209</v>
      </c>
      <c r="BG81" s="913"/>
    </row>
    <row r="82">
      <c r="H82" s="799"/>
      <c r="I82" s="799"/>
      <c r="J82" s="799"/>
      <c r="K82" s="799"/>
      <c r="L82" s="799"/>
      <c r="M82" s="799"/>
      <c r="N82" s="799"/>
      <c r="O82" s="799"/>
      <c r="P82" s="799"/>
      <c r="Q82" s="799"/>
      <c r="R82" s="799"/>
      <c r="S82" s="799"/>
      <c r="T82" s="799"/>
      <c r="U82" s="799"/>
      <c r="V82" s="799"/>
      <c r="W82" s="799"/>
      <c r="X82" s="799"/>
      <c r="Y82" s="799"/>
      <c r="Z82" s="799"/>
      <c r="AA82" s="799"/>
      <c r="AB82" s="799"/>
      <c r="AC82" s="799"/>
      <c r="AD82" s="799"/>
      <c r="AE82" s="799"/>
      <c r="AF82" s="799"/>
      <c r="AG82" s="799"/>
      <c r="AH82" s="799"/>
      <c r="AI82" s="799"/>
      <c r="AJ82" s="799"/>
      <c r="AK82" s="799"/>
      <c r="AL82" s="799"/>
      <c r="AM82" s="799"/>
      <c r="AN82" s="799"/>
      <c r="AO82" s="799"/>
      <c r="AP82" s="799"/>
      <c r="AQ82" s="799"/>
      <c r="AR82" s="799"/>
      <c r="AS82" s="799"/>
      <c r="AT82" s="799"/>
      <c r="AU82" s="799"/>
      <c r="AV82" s="799"/>
      <c r="AW82" s="799"/>
      <c r="AX82" s="799"/>
      <c r="AY82" s="799"/>
      <c r="AZ82" s="799"/>
      <c r="BA82" s="799"/>
      <c r="BB82" s="799"/>
      <c r="BC82" s="799"/>
      <c r="BD82" s="799"/>
      <c r="BE82" s="799"/>
      <c r="BF82" s="799"/>
      <c r="BG82" s="799"/>
    </row>
    <row r="83">
      <c r="H83" s="799"/>
      <c r="I83" s="799"/>
      <c r="J83" s="799"/>
      <c r="K83" s="799"/>
      <c r="L83" s="799"/>
      <c r="M83" s="799"/>
      <c r="N83" s="799"/>
      <c r="O83" s="799"/>
      <c r="P83" s="799"/>
      <c r="Q83" s="799"/>
      <c r="R83" s="799"/>
      <c r="S83" s="799"/>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799"/>
      <c r="AR83" s="799"/>
      <c r="AS83" s="799"/>
      <c r="AT83" s="799"/>
      <c r="AU83" s="799"/>
      <c r="AV83" s="799"/>
      <c r="AW83" s="799"/>
      <c r="AX83" s="799"/>
      <c r="AY83" s="799"/>
      <c r="AZ83" s="799"/>
      <c r="BA83" s="799"/>
      <c r="BB83" s="799"/>
      <c r="BC83" s="799"/>
      <c r="BD83" s="799"/>
      <c r="BE83" s="799"/>
      <c r="BF83" s="799"/>
      <c r="BG83" s="799"/>
    </row>
    <row r="84">
      <c r="H84" s="799"/>
      <c r="I84" s="799"/>
      <c r="J84" s="799"/>
      <c r="K84" s="799"/>
      <c r="L84" s="799"/>
      <c r="M84" s="799"/>
      <c r="N84" s="799"/>
      <c r="O84" s="799"/>
      <c r="P84" s="799"/>
      <c r="Q84" s="799"/>
      <c r="R84" s="799"/>
      <c r="S84" s="799"/>
      <c r="T84" s="799"/>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799"/>
      <c r="AR84" s="799"/>
      <c r="AS84" s="799"/>
      <c r="AT84" s="799"/>
      <c r="AU84" s="799"/>
      <c r="AV84" s="799"/>
      <c r="AW84" s="799"/>
      <c r="AX84" s="799"/>
      <c r="AY84" s="799"/>
      <c r="AZ84" s="799"/>
      <c r="BA84" s="799"/>
      <c r="BB84" s="799"/>
      <c r="BC84" s="799"/>
      <c r="BD84" s="799"/>
      <c r="BE84" s="799"/>
      <c r="BF84" s="799"/>
      <c r="BG84" s="799"/>
    </row>
    <row r="85">
      <c r="H85" s="799"/>
      <c r="I85" s="799"/>
      <c r="J85" s="799"/>
      <c r="K85" s="799"/>
      <c r="L85" s="799"/>
      <c r="M85" s="799"/>
      <c r="N85" s="799"/>
      <c r="O85" s="799"/>
      <c r="P85" s="799"/>
      <c r="Q85" s="799"/>
      <c r="R85" s="799"/>
      <c r="S85" s="799"/>
      <c r="T85" s="799"/>
      <c r="U85" s="799"/>
      <c r="V85" s="799"/>
      <c r="W85" s="799"/>
      <c r="X85" s="799"/>
      <c r="Y85" s="799"/>
      <c r="Z85" s="799"/>
      <c r="AA85" s="799"/>
      <c r="AB85" s="799"/>
      <c r="AC85" s="799"/>
      <c r="AD85" s="799"/>
      <c r="AE85" s="799"/>
      <c r="AF85" s="1245"/>
      <c r="AG85" s="799"/>
      <c r="AH85" s="799"/>
      <c r="AI85" s="799"/>
      <c r="AJ85" s="799"/>
      <c r="AK85" s="799"/>
      <c r="AL85" s="799"/>
      <c r="AM85" s="799"/>
      <c r="AN85" s="799"/>
      <c r="AO85" s="799"/>
      <c r="AP85" s="799"/>
      <c r="AQ85" s="799"/>
      <c r="AR85" s="799"/>
      <c r="AS85" s="799"/>
      <c r="AT85" s="799"/>
      <c r="AU85" s="799"/>
      <c r="AV85" s="799"/>
      <c r="AW85" s="799"/>
      <c r="AX85" s="799"/>
      <c r="AY85" s="799"/>
      <c r="AZ85" s="799"/>
      <c r="BA85" s="799"/>
      <c r="BB85" s="799"/>
      <c r="BC85" s="799"/>
      <c r="BD85" s="799"/>
      <c r="BE85" s="799"/>
      <c r="BF85" s="799"/>
      <c r="BG85" s="799"/>
    </row>
    <row r="86">
      <c r="A86" s="1246"/>
      <c r="H86" s="799"/>
      <c r="I86" s="799"/>
      <c r="J86" s="799"/>
      <c r="K86" s="799"/>
      <c r="L86" s="799"/>
      <c r="M86" s="799"/>
      <c r="N86" s="799"/>
      <c r="O86" s="799"/>
      <c r="P86" s="799"/>
      <c r="Q86" s="799"/>
      <c r="R86" s="799"/>
      <c r="S86" s="799"/>
      <c r="T86" s="799"/>
      <c r="U86" s="799"/>
      <c r="V86" s="799"/>
      <c r="W86" s="799"/>
      <c r="X86" s="799"/>
      <c r="Y86" s="799"/>
      <c r="Z86" s="799"/>
      <c r="AA86" s="799"/>
      <c r="AB86" s="799"/>
      <c r="AC86" s="799"/>
      <c r="AD86" s="799"/>
      <c r="AE86" s="799"/>
      <c r="AF86" s="799"/>
      <c r="AG86" s="799"/>
      <c r="AH86" s="799"/>
      <c r="AI86" s="799"/>
      <c r="AJ86" s="799"/>
      <c r="AK86" s="799"/>
      <c r="AL86" s="799"/>
      <c r="AM86" s="799"/>
      <c r="AN86" s="799"/>
      <c r="AO86" s="799"/>
      <c r="AP86" s="799"/>
      <c r="AQ86" s="799"/>
      <c r="AR86" s="799"/>
      <c r="AS86" s="799"/>
      <c r="AT86" s="799"/>
      <c r="AU86" s="799"/>
      <c r="AV86" s="799"/>
      <c r="AW86" s="799"/>
      <c r="AX86" s="799"/>
      <c r="AY86" s="799"/>
      <c r="AZ86" s="799"/>
      <c r="BA86" s="799"/>
      <c r="BB86" s="799"/>
      <c r="BC86" s="799"/>
      <c r="BD86" s="799"/>
      <c r="BE86" s="799"/>
      <c r="BF86" s="799"/>
      <c r="BG86" s="799"/>
    </row>
    <row r="87">
      <c r="H87" s="799"/>
      <c r="I87" s="799"/>
      <c r="J87" s="799"/>
      <c r="K87" s="799"/>
      <c r="L87" s="799"/>
      <c r="M87" s="799"/>
      <c r="N87" s="799"/>
      <c r="O87" s="799"/>
      <c r="P87" s="799"/>
      <c r="Q87" s="799"/>
      <c r="R87" s="799"/>
      <c r="S87" s="799"/>
      <c r="T87" s="799"/>
      <c r="U87" s="799"/>
      <c r="V87" s="799"/>
      <c r="W87" s="799"/>
      <c r="X87" s="799"/>
      <c r="Y87" s="799"/>
      <c r="Z87" s="799"/>
      <c r="AA87" s="799"/>
      <c r="AB87" s="799"/>
      <c r="AC87" s="799"/>
      <c r="AD87" s="799"/>
      <c r="AE87" s="799"/>
      <c r="AF87" s="799"/>
      <c r="AG87" s="799"/>
      <c r="AH87" s="799"/>
      <c r="AI87" s="799"/>
      <c r="AJ87" s="799"/>
      <c r="AK87" s="799"/>
      <c r="AL87" s="799"/>
      <c r="AM87" s="799"/>
      <c r="AN87" s="799"/>
      <c r="AO87" s="799"/>
      <c r="AP87" s="799"/>
      <c r="AQ87" s="799"/>
      <c r="AR87" s="799"/>
      <c r="AS87" s="799"/>
      <c r="AT87" s="799"/>
      <c r="AU87" s="799"/>
      <c r="AV87" s="799"/>
      <c r="AW87" s="799"/>
      <c r="AX87" s="799"/>
      <c r="AY87" s="799"/>
      <c r="AZ87" s="799"/>
      <c r="BA87" s="799"/>
      <c r="BB87" s="799"/>
      <c r="BC87" s="799"/>
      <c r="BD87" s="799"/>
      <c r="BE87" s="799"/>
      <c r="BF87" s="799"/>
      <c r="BG87" s="799"/>
    </row>
    <row r="88">
      <c r="H88" s="799"/>
      <c r="I88" s="799"/>
      <c r="J88" s="799"/>
      <c r="K88" s="799"/>
      <c r="L88" s="799"/>
      <c r="M88" s="799"/>
      <c r="N88" s="799"/>
      <c r="O88" s="799"/>
      <c r="P88" s="799"/>
      <c r="Q88" s="799"/>
      <c r="R88" s="799"/>
      <c r="S88" s="799"/>
      <c r="T88" s="799"/>
      <c r="U88" s="799"/>
      <c r="V88" s="799"/>
      <c r="W88" s="799"/>
      <c r="X88" s="799"/>
      <c r="Y88" s="799"/>
      <c r="Z88" s="799"/>
      <c r="AA88" s="799"/>
      <c r="AB88" s="799"/>
      <c r="AC88" s="799"/>
      <c r="AD88" s="799"/>
      <c r="AE88" s="799"/>
      <c r="AF88" s="799"/>
      <c r="AG88" s="799"/>
      <c r="AH88" s="799"/>
      <c r="AI88" s="799"/>
      <c r="AJ88" s="799"/>
      <c r="AK88" s="799"/>
      <c r="AL88" s="799"/>
      <c r="AM88" s="799"/>
      <c r="AN88" s="799"/>
      <c r="AO88" s="799"/>
      <c r="AP88" s="799"/>
      <c r="AQ88" s="799"/>
      <c r="AR88" s="799"/>
      <c r="AS88" s="799"/>
      <c r="AT88" s="799"/>
      <c r="AU88" s="799"/>
      <c r="AV88" s="799"/>
      <c r="AW88" s="799"/>
      <c r="AX88" s="799"/>
      <c r="AY88" s="799"/>
      <c r="AZ88" s="799"/>
      <c r="BA88" s="799"/>
      <c r="BB88" s="799"/>
      <c r="BC88" s="799"/>
      <c r="BD88" s="799"/>
      <c r="BE88" s="799"/>
      <c r="BF88" s="799"/>
      <c r="BG88" s="799"/>
    </row>
    <row r="89">
      <c r="H89" s="799"/>
      <c r="I89" s="799"/>
      <c r="J89" s="799"/>
      <c r="K89" s="799"/>
      <c r="L89" s="799"/>
      <c r="M89" s="799"/>
      <c r="N89" s="799"/>
      <c r="O89" s="799"/>
      <c r="P89" s="799"/>
      <c r="Q89" s="799"/>
      <c r="R89" s="799"/>
      <c r="S89" s="799"/>
      <c r="T89" s="799"/>
      <c r="U89" s="799"/>
      <c r="V89" s="799"/>
      <c r="W89" s="799"/>
      <c r="X89" s="799"/>
      <c r="Y89" s="799"/>
      <c r="Z89" s="799"/>
      <c r="AA89" s="799"/>
      <c r="AB89" s="799"/>
      <c r="AC89" s="799"/>
      <c r="AD89" s="799"/>
      <c r="AE89" s="799"/>
      <c r="AF89" s="799"/>
      <c r="AG89" s="799"/>
      <c r="AH89" s="799"/>
      <c r="AI89" s="799"/>
      <c r="AJ89" s="799"/>
      <c r="AK89" s="799"/>
      <c r="AL89" s="799"/>
      <c r="AM89" s="799"/>
      <c r="AN89" s="799"/>
      <c r="AO89" s="799"/>
      <c r="AP89" s="799"/>
      <c r="AQ89" s="799"/>
      <c r="AR89" s="799"/>
      <c r="AS89" s="799"/>
      <c r="AT89" s="799"/>
      <c r="AU89" s="799"/>
      <c r="AV89" s="799"/>
      <c r="AW89" s="799"/>
      <c r="AX89" s="799"/>
      <c r="AY89" s="799"/>
      <c r="AZ89" s="799"/>
      <c r="BA89" s="799"/>
      <c r="BB89" s="799"/>
      <c r="BC89" s="799"/>
      <c r="BD89" s="799"/>
      <c r="BE89" s="799"/>
      <c r="BF89" s="799"/>
      <c r="BG89" s="799"/>
    </row>
    <row r="90">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799"/>
      <c r="AQ90" s="799"/>
      <c r="AR90" s="799"/>
      <c r="AS90" s="799"/>
      <c r="AT90" s="799"/>
      <c r="AU90" s="799"/>
      <c r="AV90" s="799"/>
      <c r="AW90" s="799"/>
      <c r="AX90" s="799"/>
      <c r="AY90" s="799"/>
      <c r="AZ90" s="799"/>
      <c r="BA90" s="799"/>
      <c r="BB90" s="799"/>
      <c r="BC90" s="799"/>
      <c r="BD90" s="799"/>
      <c r="BE90" s="799"/>
      <c r="BF90" s="799"/>
      <c r="BG90" s="799"/>
    </row>
    <row r="91">
      <c r="H91" s="799"/>
      <c r="I91" s="799"/>
      <c r="J91" s="799"/>
      <c r="K91" s="799"/>
      <c r="L91" s="799"/>
      <c r="M91" s="799"/>
      <c r="N91" s="799"/>
      <c r="O91" s="799"/>
      <c r="P91" s="799"/>
      <c r="Q91" s="799"/>
      <c r="R91" s="799"/>
      <c r="S91" s="799"/>
      <c r="T91" s="799"/>
      <c r="U91" s="799"/>
      <c r="V91" s="799"/>
      <c r="W91" s="799"/>
      <c r="X91" s="799"/>
      <c r="Y91" s="799"/>
      <c r="Z91" s="799"/>
      <c r="AA91" s="799"/>
      <c r="AB91" s="799"/>
      <c r="AC91" s="799"/>
      <c r="AD91" s="799"/>
      <c r="AE91" s="799"/>
      <c r="AF91" s="799"/>
      <c r="AG91" s="799"/>
      <c r="AH91" s="799"/>
      <c r="AI91" s="799"/>
      <c r="AJ91" s="799"/>
      <c r="AK91" s="799"/>
      <c r="AL91" s="799"/>
      <c r="AM91" s="799"/>
      <c r="AN91" s="799"/>
      <c r="AO91" s="799"/>
      <c r="AP91" s="799"/>
      <c r="AQ91" s="799"/>
      <c r="AR91" s="799"/>
      <c r="AS91" s="799"/>
      <c r="AT91" s="799"/>
      <c r="AU91" s="799"/>
      <c r="AV91" s="799"/>
      <c r="AW91" s="799"/>
      <c r="AX91" s="799"/>
      <c r="AY91" s="799"/>
      <c r="AZ91" s="799"/>
      <c r="BA91" s="799"/>
      <c r="BB91" s="799"/>
      <c r="BC91" s="799"/>
      <c r="BD91" s="799"/>
      <c r="BE91" s="799"/>
      <c r="BF91" s="799"/>
      <c r="BG91" s="799"/>
    </row>
    <row r="92">
      <c r="H92" s="799"/>
      <c r="I92" s="799"/>
      <c r="J92" s="799"/>
      <c r="K92" s="799"/>
      <c r="L92" s="799"/>
      <c r="M92" s="799"/>
      <c r="N92" s="799"/>
      <c r="O92" s="799"/>
      <c r="P92" s="799"/>
      <c r="Q92" s="799"/>
      <c r="R92" s="799"/>
      <c r="S92" s="799"/>
      <c r="T92" s="799"/>
      <c r="U92" s="799"/>
      <c r="V92" s="799"/>
      <c r="W92" s="799"/>
      <c r="X92" s="799"/>
      <c r="Y92" s="799"/>
      <c r="Z92" s="799"/>
      <c r="AA92" s="799"/>
      <c r="AB92" s="799"/>
      <c r="AC92" s="799"/>
      <c r="AD92" s="799"/>
      <c r="AE92" s="799"/>
      <c r="AF92" s="799"/>
      <c r="AG92" s="799"/>
      <c r="AH92" s="799"/>
      <c r="AI92" s="799"/>
      <c r="AJ92" s="799"/>
      <c r="AK92" s="799"/>
      <c r="AL92" s="799"/>
      <c r="AM92" s="799"/>
      <c r="AN92" s="799"/>
      <c r="AO92" s="799"/>
      <c r="AP92" s="799"/>
      <c r="AQ92" s="799"/>
      <c r="AR92" s="799"/>
      <c r="AS92" s="799"/>
      <c r="AT92" s="799"/>
      <c r="AU92" s="799"/>
      <c r="AV92" s="799"/>
      <c r="AW92" s="799"/>
      <c r="AX92" s="799"/>
      <c r="AY92" s="799"/>
      <c r="AZ92" s="799"/>
      <c r="BA92" s="799"/>
      <c r="BB92" s="799"/>
      <c r="BC92" s="799"/>
      <c r="BD92" s="799"/>
      <c r="BE92" s="799"/>
      <c r="BF92" s="799"/>
      <c r="BG92" s="799"/>
    </row>
    <row r="93">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c r="AY93" s="799"/>
      <c r="AZ93" s="799"/>
      <c r="BA93" s="799"/>
      <c r="BB93" s="799"/>
      <c r="BC93" s="799"/>
      <c r="BD93" s="799"/>
      <c r="BE93" s="799"/>
      <c r="BF93" s="799"/>
      <c r="BG93" s="799"/>
    </row>
    <row r="94">
      <c r="H94" s="799"/>
      <c r="I94" s="799"/>
      <c r="J94" s="799"/>
      <c r="K94" s="799"/>
      <c r="L94" s="799"/>
      <c r="M94" s="799"/>
      <c r="N94" s="799"/>
      <c r="O94" s="799"/>
      <c r="P94" s="799"/>
      <c r="Q94" s="799"/>
      <c r="R94" s="799"/>
      <c r="S94" s="799"/>
      <c r="T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799"/>
      <c r="AY94" s="799"/>
      <c r="AZ94" s="799"/>
      <c r="BA94" s="799"/>
      <c r="BB94" s="799"/>
      <c r="BC94" s="799"/>
      <c r="BD94" s="799"/>
      <c r="BE94" s="799"/>
      <c r="BF94" s="799"/>
      <c r="BG94" s="799"/>
    </row>
    <row r="95">
      <c r="H95" s="799"/>
      <c r="I95" s="799"/>
      <c r="J95" s="799"/>
      <c r="K95" s="799"/>
      <c r="L95" s="799"/>
      <c r="M95" s="799"/>
      <c r="N95" s="799"/>
      <c r="O95" s="799"/>
      <c r="P95" s="799"/>
      <c r="Q95" s="799"/>
      <c r="R95" s="799"/>
      <c r="S95" s="799"/>
      <c r="T95" s="799"/>
      <c r="U95" s="799"/>
      <c r="V95" s="799"/>
      <c r="W95" s="799"/>
      <c r="X95" s="799"/>
      <c r="Y95" s="799"/>
      <c r="Z95" s="799"/>
      <c r="AA95" s="799"/>
      <c r="AB95" s="799"/>
      <c r="AC95" s="799"/>
      <c r="AD95" s="799"/>
      <c r="AE95" s="799"/>
      <c r="AF95" s="799"/>
      <c r="AG95" s="799"/>
      <c r="AH95" s="799"/>
      <c r="AI95" s="799"/>
      <c r="AJ95" s="799"/>
      <c r="AK95" s="799"/>
      <c r="AL95" s="799"/>
      <c r="AM95" s="799"/>
      <c r="AN95" s="799"/>
      <c r="AO95" s="799"/>
      <c r="AP95" s="799"/>
      <c r="AQ95" s="799"/>
      <c r="AR95" s="799"/>
      <c r="AS95" s="799"/>
      <c r="AT95" s="799"/>
      <c r="AU95" s="799"/>
      <c r="AV95" s="799"/>
      <c r="AW95" s="799"/>
      <c r="AX95" s="799"/>
      <c r="AY95" s="799"/>
      <c r="AZ95" s="799"/>
      <c r="BA95" s="799"/>
      <c r="BB95" s="799"/>
      <c r="BC95" s="799"/>
      <c r="BD95" s="799"/>
      <c r="BE95" s="799"/>
      <c r="BF95" s="799"/>
      <c r="BG95" s="799"/>
    </row>
    <row r="96">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row>
    <row r="97">
      <c r="H97" s="799"/>
      <c r="I97" s="799"/>
      <c r="J97" s="799"/>
      <c r="K97" s="799"/>
      <c r="L97" s="799"/>
      <c r="M97" s="799"/>
      <c r="N97" s="799"/>
      <c r="O97" s="799"/>
      <c r="P97" s="799"/>
      <c r="Q97" s="799"/>
      <c r="R97" s="799"/>
      <c r="S97" s="799"/>
      <c r="T97" s="799"/>
      <c r="U97" s="799"/>
      <c r="V97" s="799"/>
      <c r="W97" s="799"/>
      <c r="X97" s="799"/>
      <c r="Y97" s="799"/>
      <c r="Z97" s="799"/>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799"/>
      <c r="AX97" s="799"/>
      <c r="AY97" s="799"/>
      <c r="AZ97" s="799"/>
      <c r="BA97" s="799"/>
      <c r="BB97" s="799"/>
      <c r="BC97" s="799"/>
      <c r="BD97" s="799"/>
      <c r="BE97" s="799"/>
      <c r="BF97" s="799"/>
      <c r="BG97" s="799"/>
    </row>
    <row r="98">
      <c r="H98" s="799"/>
      <c r="I98" s="799"/>
      <c r="J98" s="799"/>
      <c r="K98" s="799"/>
      <c r="L98" s="799"/>
      <c r="M98" s="799"/>
      <c r="N98" s="799"/>
      <c r="O98" s="799"/>
      <c r="P98" s="799"/>
      <c r="Q98" s="799"/>
      <c r="R98" s="799"/>
      <c r="S98" s="799"/>
      <c r="T98" s="799"/>
      <c r="U98" s="799"/>
      <c r="V98" s="799"/>
      <c r="W98" s="799"/>
      <c r="X98" s="799"/>
      <c r="Y98" s="799"/>
      <c r="Z98" s="799"/>
      <c r="AA98" s="799"/>
      <c r="AB98" s="799"/>
      <c r="AC98" s="799"/>
      <c r="AD98" s="799"/>
      <c r="AE98" s="799"/>
      <c r="AF98" s="799"/>
      <c r="AG98" s="799"/>
      <c r="AH98" s="799"/>
      <c r="AI98" s="799"/>
      <c r="AJ98" s="799"/>
      <c r="AK98" s="799"/>
      <c r="AL98" s="799"/>
      <c r="AM98" s="799"/>
      <c r="AN98" s="799"/>
      <c r="AO98" s="799"/>
      <c r="AP98" s="799"/>
      <c r="AQ98" s="799"/>
      <c r="AR98" s="799"/>
      <c r="AS98" s="799"/>
      <c r="AT98" s="799"/>
      <c r="AU98" s="799"/>
      <c r="AV98" s="799"/>
      <c r="AW98" s="799"/>
      <c r="AX98" s="799"/>
      <c r="AY98" s="799"/>
      <c r="AZ98" s="799"/>
      <c r="BA98" s="799"/>
      <c r="BB98" s="799"/>
      <c r="BC98" s="799"/>
      <c r="BD98" s="799"/>
      <c r="BE98" s="799"/>
      <c r="BF98" s="799"/>
      <c r="BG98" s="799"/>
    </row>
    <row r="99">
      <c r="H99" s="799"/>
      <c r="I99" s="799"/>
      <c r="J99" s="799"/>
      <c r="K99" s="799"/>
      <c r="L99" s="799"/>
      <c r="M99" s="799"/>
      <c r="N99" s="799"/>
      <c r="O99" s="799"/>
      <c r="P99" s="799"/>
      <c r="Q99" s="799"/>
      <c r="R99" s="799"/>
      <c r="S99" s="799"/>
      <c r="T99" s="799"/>
      <c r="U99" s="799"/>
      <c r="V99" s="799"/>
      <c r="W99" s="799"/>
      <c r="X99" s="799"/>
      <c r="Y99" s="799"/>
      <c r="Z99" s="799"/>
      <c r="AA99" s="799"/>
      <c r="AB99" s="799"/>
      <c r="AC99" s="799"/>
      <c r="AD99" s="799"/>
      <c r="AE99" s="799"/>
      <c r="AF99" s="799"/>
      <c r="AG99" s="799"/>
      <c r="AH99" s="799"/>
      <c r="AI99" s="799"/>
      <c r="AJ99" s="799"/>
      <c r="AK99" s="799"/>
      <c r="AL99" s="799"/>
      <c r="AM99" s="799"/>
      <c r="AN99" s="799"/>
      <c r="AO99" s="799"/>
      <c r="AP99" s="799"/>
      <c r="AQ99" s="799"/>
      <c r="AR99" s="799"/>
      <c r="AS99" s="799"/>
      <c r="AT99" s="799"/>
      <c r="AU99" s="799"/>
      <c r="AV99" s="799"/>
      <c r="AW99" s="799"/>
      <c r="AX99" s="799"/>
      <c r="AY99" s="799"/>
      <c r="AZ99" s="799"/>
      <c r="BA99" s="799"/>
      <c r="BB99" s="799"/>
      <c r="BC99" s="799"/>
      <c r="BD99" s="799"/>
      <c r="BE99" s="799"/>
      <c r="BF99" s="799"/>
      <c r="BG99" s="799"/>
    </row>
    <row r="100">
      <c r="H100" s="799"/>
      <c r="I100" s="799"/>
      <c r="J100" s="799"/>
      <c r="K100" s="799"/>
      <c r="L100" s="799"/>
      <c r="M100" s="799"/>
      <c r="N100" s="799"/>
      <c r="O100" s="799"/>
      <c r="P100" s="799"/>
      <c r="Q100" s="799"/>
      <c r="R100" s="799"/>
      <c r="S100" s="799"/>
      <c r="T100" s="799"/>
      <c r="U100" s="799"/>
      <c r="V100" s="799"/>
      <c r="W100" s="799"/>
      <c r="X100" s="799"/>
      <c r="Y100" s="799"/>
      <c r="Z100" s="799"/>
      <c r="AA100" s="799"/>
      <c r="AB100" s="799"/>
      <c r="AC100" s="799"/>
      <c r="AD100" s="799"/>
      <c r="AE100" s="799"/>
      <c r="AF100" s="799"/>
      <c r="AG100" s="799"/>
      <c r="AH100" s="799"/>
      <c r="AI100" s="799"/>
      <c r="AJ100" s="799"/>
      <c r="AK100" s="799"/>
      <c r="AL100" s="799"/>
      <c r="AM100" s="799"/>
      <c r="AN100" s="799"/>
      <c r="AO100" s="799"/>
      <c r="AP100" s="799"/>
      <c r="AQ100" s="799"/>
      <c r="AR100" s="799"/>
      <c r="AS100" s="799"/>
      <c r="AT100" s="799"/>
      <c r="AU100" s="799"/>
      <c r="AV100" s="799"/>
      <c r="AW100" s="799"/>
      <c r="AX100" s="799"/>
      <c r="AY100" s="799"/>
      <c r="AZ100" s="799"/>
      <c r="BA100" s="799"/>
      <c r="BB100" s="799"/>
      <c r="BC100" s="799"/>
      <c r="BD100" s="799"/>
      <c r="BE100" s="799"/>
      <c r="BF100" s="799"/>
      <c r="BG100" s="799"/>
    </row>
    <row r="101">
      <c r="H101" s="799"/>
      <c r="I101" s="799"/>
      <c r="J101" s="799"/>
      <c r="K101" s="799"/>
      <c r="L101" s="799"/>
      <c r="M101" s="799"/>
      <c r="N101" s="799"/>
      <c r="O101" s="799"/>
      <c r="P101" s="799"/>
      <c r="Q101" s="799"/>
      <c r="R101" s="799"/>
      <c r="S101" s="799"/>
      <c r="T101" s="799"/>
      <c r="U101" s="799"/>
      <c r="V101" s="799"/>
      <c r="W101" s="799"/>
      <c r="X101" s="799"/>
      <c r="Y101" s="799"/>
      <c r="Z101" s="799"/>
      <c r="AA101" s="799"/>
      <c r="AB101" s="799"/>
      <c r="AC101" s="799"/>
      <c r="AD101" s="799"/>
      <c r="AE101" s="799"/>
      <c r="AF101" s="799"/>
      <c r="AG101" s="799"/>
      <c r="AH101" s="799"/>
      <c r="AI101" s="799"/>
      <c r="AJ101" s="799"/>
      <c r="AK101" s="799"/>
      <c r="AL101" s="799"/>
      <c r="AM101" s="799"/>
      <c r="AN101" s="799"/>
      <c r="AO101" s="799"/>
      <c r="AP101" s="799"/>
      <c r="AQ101" s="799"/>
      <c r="AR101" s="799"/>
      <c r="AS101" s="799"/>
      <c r="AT101" s="799"/>
      <c r="AU101" s="799"/>
      <c r="AV101" s="799"/>
      <c r="AW101" s="799"/>
      <c r="AX101" s="799"/>
      <c r="AY101" s="799"/>
      <c r="AZ101" s="799"/>
      <c r="BA101" s="799"/>
      <c r="BB101" s="799"/>
      <c r="BC101" s="799"/>
      <c r="BD101" s="799"/>
      <c r="BE101" s="799"/>
      <c r="BF101" s="799"/>
      <c r="BG101" s="799"/>
    </row>
    <row r="102">
      <c r="H102" s="799"/>
      <c r="I102" s="799"/>
      <c r="J102" s="799"/>
      <c r="K102" s="799"/>
      <c r="L102" s="799"/>
      <c r="M102" s="799"/>
      <c r="N102" s="799"/>
      <c r="O102" s="799"/>
      <c r="P102" s="799"/>
      <c r="Q102" s="799"/>
      <c r="R102" s="799"/>
      <c r="S102" s="799"/>
      <c r="T102" s="799"/>
      <c r="U102" s="799"/>
      <c r="V102" s="799"/>
      <c r="W102" s="799"/>
      <c r="X102" s="799"/>
      <c r="Y102" s="799"/>
      <c r="Z102" s="799"/>
      <c r="AA102" s="799"/>
      <c r="AB102" s="799"/>
      <c r="AC102" s="799"/>
      <c r="AD102" s="799"/>
      <c r="AE102" s="799"/>
      <c r="AF102" s="799"/>
      <c r="AG102" s="799"/>
      <c r="AH102" s="799"/>
      <c r="AI102" s="799"/>
      <c r="AJ102" s="799"/>
      <c r="AK102" s="799"/>
      <c r="AL102" s="799"/>
      <c r="AM102" s="799"/>
      <c r="AN102" s="799"/>
      <c r="AO102" s="799"/>
      <c r="AP102" s="799"/>
      <c r="AQ102" s="799"/>
      <c r="AR102" s="799"/>
      <c r="AS102" s="799"/>
      <c r="AT102" s="799"/>
      <c r="AU102" s="799"/>
      <c r="AV102" s="799"/>
      <c r="AW102" s="799"/>
      <c r="AX102" s="799"/>
      <c r="AY102" s="799"/>
      <c r="AZ102" s="799"/>
      <c r="BA102" s="799"/>
      <c r="BB102" s="799"/>
      <c r="BC102" s="799"/>
      <c r="BD102" s="799"/>
      <c r="BE102" s="799"/>
      <c r="BF102" s="799"/>
      <c r="BG102" s="799"/>
    </row>
    <row r="103">
      <c r="H103" s="799"/>
      <c r="I103" s="799"/>
      <c r="J103" s="799"/>
      <c r="K103" s="799"/>
      <c r="L103" s="799"/>
      <c r="M103" s="799"/>
      <c r="N103" s="799"/>
      <c r="O103" s="799"/>
      <c r="P103" s="799"/>
      <c r="Q103" s="799"/>
      <c r="R103" s="799"/>
      <c r="S103" s="799"/>
      <c r="T103" s="799"/>
      <c r="U103" s="799"/>
      <c r="V103" s="799"/>
      <c r="W103" s="799"/>
      <c r="X103" s="799"/>
      <c r="Y103" s="799"/>
      <c r="Z103" s="799"/>
      <c r="AA103" s="799"/>
      <c r="AB103" s="799"/>
      <c r="AC103" s="799"/>
      <c r="AD103" s="799"/>
      <c r="AE103" s="799"/>
      <c r="AF103" s="799"/>
      <c r="AG103" s="799"/>
      <c r="AH103" s="799"/>
      <c r="AI103" s="799"/>
      <c r="AJ103" s="799"/>
      <c r="AK103" s="799"/>
      <c r="AL103" s="799"/>
      <c r="AM103" s="799"/>
      <c r="AN103" s="799"/>
      <c r="AO103" s="799"/>
      <c r="AP103" s="799"/>
      <c r="AQ103" s="799"/>
      <c r="AR103" s="799"/>
      <c r="AS103" s="799"/>
      <c r="AT103" s="799"/>
      <c r="AU103" s="799"/>
      <c r="AV103" s="799"/>
      <c r="AW103" s="799"/>
      <c r="AX103" s="799"/>
      <c r="AY103" s="799"/>
      <c r="AZ103" s="799"/>
      <c r="BA103" s="799"/>
      <c r="BB103" s="799"/>
      <c r="BC103" s="799"/>
      <c r="BD103" s="799"/>
      <c r="BE103" s="799"/>
      <c r="BF103" s="799"/>
      <c r="BG103" s="799"/>
    </row>
    <row r="104">
      <c r="H104" s="799"/>
      <c r="I104" s="799"/>
      <c r="J104" s="799"/>
      <c r="K104" s="799"/>
      <c r="L104" s="799"/>
      <c r="M104" s="799"/>
      <c r="N104" s="799"/>
      <c r="O104" s="799"/>
      <c r="P104" s="799"/>
      <c r="Q104" s="799"/>
      <c r="R104" s="799"/>
      <c r="S104" s="799"/>
      <c r="T104" s="799"/>
      <c r="U104" s="799"/>
      <c r="V104" s="799"/>
      <c r="W104" s="799"/>
      <c r="X104" s="799"/>
      <c r="Y104" s="799"/>
      <c r="Z104" s="799"/>
      <c r="AA104" s="799"/>
      <c r="AB104" s="799"/>
      <c r="AC104" s="799"/>
      <c r="AD104" s="799"/>
      <c r="AE104" s="799"/>
      <c r="AF104" s="799"/>
      <c r="AG104" s="799"/>
      <c r="AH104" s="799"/>
      <c r="AI104" s="799"/>
      <c r="AJ104" s="799"/>
      <c r="AK104" s="799"/>
      <c r="AL104" s="799"/>
      <c r="AM104" s="799"/>
      <c r="AN104" s="799"/>
      <c r="AO104" s="799"/>
      <c r="AP104" s="799"/>
      <c r="AQ104" s="799"/>
      <c r="AR104" s="799"/>
      <c r="AS104" s="799"/>
      <c r="AT104" s="799"/>
      <c r="AU104" s="799"/>
      <c r="AV104" s="799"/>
      <c r="AW104" s="799"/>
      <c r="AX104" s="799"/>
      <c r="AY104" s="799"/>
      <c r="AZ104" s="799"/>
      <c r="BA104" s="799"/>
      <c r="BB104" s="799"/>
      <c r="BC104" s="799"/>
      <c r="BD104" s="799"/>
      <c r="BE104" s="799"/>
      <c r="BF104" s="799"/>
      <c r="BG104" s="799"/>
    </row>
    <row r="105">
      <c r="H105" s="799"/>
      <c r="I105" s="799"/>
      <c r="J105" s="799"/>
      <c r="K105" s="799"/>
      <c r="L105" s="799"/>
      <c r="M105" s="799"/>
      <c r="N105" s="799"/>
      <c r="O105" s="799"/>
      <c r="P105" s="799"/>
      <c r="Q105" s="799"/>
      <c r="R105" s="799"/>
      <c r="S105" s="799"/>
      <c r="T105" s="799"/>
      <c r="U105" s="799"/>
      <c r="V105" s="799"/>
      <c r="W105" s="799"/>
      <c r="X105" s="799"/>
      <c r="Y105" s="799"/>
      <c r="Z105" s="799"/>
      <c r="AA105" s="799"/>
      <c r="AB105" s="799"/>
      <c r="AC105" s="799"/>
      <c r="AD105" s="799"/>
      <c r="AE105" s="799"/>
      <c r="AF105" s="799"/>
      <c r="AG105" s="799"/>
      <c r="AH105" s="799"/>
      <c r="AI105" s="799"/>
      <c r="AJ105" s="799"/>
      <c r="AK105" s="799"/>
      <c r="AL105" s="799"/>
      <c r="AM105" s="799"/>
      <c r="AN105" s="799"/>
      <c r="AO105" s="799"/>
      <c r="AP105" s="799"/>
      <c r="AQ105" s="799"/>
      <c r="AR105" s="799"/>
      <c r="AS105" s="799"/>
      <c r="AT105" s="799"/>
      <c r="AU105" s="799"/>
      <c r="AV105" s="799"/>
      <c r="AW105" s="799"/>
      <c r="AX105" s="799"/>
      <c r="AY105" s="799"/>
      <c r="AZ105" s="799"/>
      <c r="BA105" s="799"/>
      <c r="BB105" s="799"/>
      <c r="BC105" s="799"/>
      <c r="BD105" s="799"/>
      <c r="BE105" s="799"/>
      <c r="BF105" s="799"/>
      <c r="BG105" s="799"/>
    </row>
    <row r="106">
      <c r="H106" s="799"/>
      <c r="I106" s="799"/>
      <c r="J106" s="799"/>
      <c r="K106" s="799"/>
      <c r="L106" s="799"/>
      <c r="M106" s="799"/>
      <c r="N106" s="799"/>
      <c r="O106" s="799"/>
      <c r="P106" s="799"/>
      <c r="Q106" s="799"/>
      <c r="R106" s="799"/>
      <c r="S106" s="799"/>
      <c r="T106" s="799"/>
      <c r="U106" s="799"/>
      <c r="V106" s="799"/>
      <c r="W106" s="799"/>
      <c r="X106" s="799"/>
      <c r="Y106" s="799"/>
      <c r="Z106" s="799"/>
      <c r="AA106" s="799"/>
      <c r="AB106" s="799"/>
      <c r="AC106" s="799"/>
      <c r="AD106" s="799"/>
      <c r="AE106" s="799"/>
      <c r="AF106" s="799"/>
      <c r="AG106" s="799"/>
      <c r="AH106" s="799"/>
      <c r="AI106" s="799"/>
      <c r="AJ106" s="799"/>
      <c r="AK106" s="799"/>
      <c r="AL106" s="799"/>
      <c r="AM106" s="799"/>
      <c r="AN106" s="799"/>
      <c r="AO106" s="799"/>
      <c r="AP106" s="799"/>
      <c r="AQ106" s="799"/>
      <c r="AR106" s="799"/>
      <c r="AS106" s="799"/>
      <c r="AT106" s="799"/>
      <c r="AU106" s="799"/>
      <c r="AV106" s="799"/>
      <c r="AW106" s="799"/>
      <c r="AX106" s="799"/>
      <c r="AY106" s="799"/>
      <c r="AZ106" s="799"/>
      <c r="BA106" s="799"/>
      <c r="BB106" s="799"/>
      <c r="BC106" s="799"/>
      <c r="BD106" s="799"/>
      <c r="BE106" s="799"/>
      <c r="BF106" s="799"/>
      <c r="BG106" s="799"/>
    </row>
    <row r="107">
      <c r="H107" s="799"/>
      <c r="I107" s="799"/>
      <c r="J107" s="799"/>
      <c r="K107" s="799"/>
      <c r="L107" s="799"/>
      <c r="M107" s="799"/>
      <c r="N107" s="799"/>
      <c r="O107" s="799"/>
      <c r="P107" s="799"/>
      <c r="Q107" s="799"/>
      <c r="R107" s="799"/>
      <c r="S107" s="799"/>
      <c r="T107" s="799"/>
      <c r="U107" s="799"/>
      <c r="V107" s="799"/>
      <c r="W107" s="799"/>
      <c r="X107" s="799"/>
      <c r="Y107" s="799"/>
      <c r="Z107" s="799"/>
      <c r="AA107" s="799"/>
      <c r="AB107" s="799"/>
      <c r="AC107" s="799"/>
      <c r="AD107" s="799"/>
      <c r="AE107" s="799"/>
      <c r="AF107" s="799"/>
      <c r="AG107" s="799"/>
      <c r="AH107" s="799"/>
      <c r="AI107" s="799"/>
      <c r="AJ107" s="799"/>
      <c r="AK107" s="799"/>
      <c r="AL107" s="799"/>
      <c r="AM107" s="799"/>
      <c r="AN107" s="799"/>
      <c r="AO107" s="799"/>
      <c r="AP107" s="799"/>
      <c r="AQ107" s="799"/>
      <c r="AR107" s="799"/>
      <c r="AS107" s="799"/>
      <c r="AT107" s="799"/>
      <c r="AU107" s="799"/>
      <c r="AV107" s="799"/>
      <c r="AW107" s="799"/>
      <c r="AX107" s="799"/>
      <c r="AY107" s="799"/>
      <c r="AZ107" s="799"/>
      <c r="BA107" s="799"/>
      <c r="BB107" s="799"/>
      <c r="BC107" s="799"/>
      <c r="BD107" s="799"/>
      <c r="BE107" s="799"/>
      <c r="BF107" s="799"/>
      <c r="BG107" s="799"/>
    </row>
    <row r="108">
      <c r="H108" s="799"/>
      <c r="I108" s="799"/>
      <c r="J108" s="799"/>
      <c r="K108" s="799"/>
      <c r="L108" s="799"/>
      <c r="M108" s="799"/>
      <c r="N108" s="799"/>
      <c r="O108" s="799"/>
      <c r="P108" s="799"/>
      <c r="Q108" s="799"/>
      <c r="R108" s="799"/>
      <c r="S108" s="799"/>
      <c r="T108" s="799"/>
      <c r="U108" s="799"/>
      <c r="V108" s="799"/>
      <c r="W108" s="799"/>
      <c r="X108" s="799"/>
      <c r="Y108" s="799"/>
      <c r="Z108" s="799"/>
      <c r="AA108" s="799"/>
      <c r="AB108" s="799"/>
      <c r="AC108" s="799"/>
      <c r="AD108" s="799"/>
      <c r="AE108" s="799"/>
      <c r="AF108" s="799"/>
      <c r="AG108" s="799"/>
      <c r="AH108" s="799"/>
      <c r="AI108" s="799"/>
      <c r="AJ108" s="799"/>
      <c r="AK108" s="799"/>
      <c r="AL108" s="799"/>
      <c r="AM108" s="799"/>
      <c r="AN108" s="799"/>
      <c r="AO108" s="799"/>
      <c r="AP108" s="799"/>
      <c r="AQ108" s="799"/>
      <c r="AR108" s="799"/>
      <c r="AS108" s="799"/>
      <c r="AT108" s="799"/>
      <c r="AU108" s="799"/>
      <c r="AV108" s="799"/>
      <c r="AW108" s="799"/>
      <c r="AX108" s="799"/>
      <c r="AY108" s="799"/>
      <c r="AZ108" s="799"/>
      <c r="BA108" s="799"/>
      <c r="BB108" s="799"/>
      <c r="BC108" s="799"/>
      <c r="BD108" s="799"/>
      <c r="BE108" s="799"/>
      <c r="BF108" s="799"/>
      <c r="BG108" s="799"/>
    </row>
    <row r="109">
      <c r="H109" s="799"/>
      <c r="I109" s="799"/>
      <c r="J109" s="799"/>
      <c r="K109" s="799"/>
      <c r="L109" s="799"/>
      <c r="M109" s="799"/>
      <c r="N109" s="799"/>
      <c r="O109" s="799"/>
      <c r="P109" s="799"/>
      <c r="Q109" s="799"/>
      <c r="R109" s="799"/>
      <c r="S109" s="799"/>
      <c r="T109" s="799"/>
      <c r="U109" s="799"/>
      <c r="V109" s="799"/>
      <c r="W109" s="799"/>
      <c r="X109" s="799"/>
      <c r="Y109" s="799"/>
      <c r="Z109" s="799"/>
      <c r="AA109" s="799"/>
      <c r="AB109" s="799"/>
      <c r="AC109" s="799"/>
      <c r="AD109" s="799"/>
      <c r="AE109" s="799"/>
      <c r="AF109" s="799"/>
      <c r="AG109" s="799"/>
      <c r="AH109" s="799"/>
      <c r="AI109" s="799"/>
      <c r="AJ109" s="799"/>
      <c r="AK109" s="799"/>
      <c r="AL109" s="799"/>
      <c r="AM109" s="799"/>
      <c r="AN109" s="799"/>
      <c r="AO109" s="799"/>
      <c r="AP109" s="799"/>
      <c r="AQ109" s="799"/>
      <c r="AR109" s="799"/>
      <c r="AS109" s="799"/>
      <c r="AT109" s="799"/>
      <c r="AU109" s="799"/>
      <c r="AV109" s="799"/>
      <c r="AW109" s="799"/>
      <c r="AX109" s="799"/>
      <c r="AY109" s="799"/>
      <c r="AZ109" s="799"/>
      <c r="BA109" s="799"/>
      <c r="BB109" s="799"/>
      <c r="BC109" s="799"/>
      <c r="BD109" s="799"/>
      <c r="BE109" s="799"/>
      <c r="BF109" s="799"/>
      <c r="BG109" s="799"/>
    </row>
    <row r="110">
      <c r="H110" s="799"/>
      <c r="I110" s="799"/>
      <c r="J110" s="799"/>
      <c r="K110" s="799"/>
      <c r="L110" s="799"/>
      <c r="M110" s="799"/>
      <c r="N110" s="799"/>
      <c r="O110" s="799"/>
      <c r="P110" s="799"/>
      <c r="Q110" s="799"/>
      <c r="R110" s="799"/>
      <c r="S110" s="799"/>
      <c r="T110" s="799"/>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c r="AP110" s="799"/>
      <c r="AQ110" s="799"/>
      <c r="AR110" s="799"/>
      <c r="AS110" s="799"/>
      <c r="AT110" s="799"/>
      <c r="AU110" s="799"/>
      <c r="AV110" s="799"/>
      <c r="AW110" s="799"/>
      <c r="AX110" s="799"/>
      <c r="AY110" s="799"/>
      <c r="AZ110" s="799"/>
      <c r="BA110" s="799"/>
      <c r="BB110" s="799"/>
      <c r="BC110" s="799"/>
      <c r="BD110" s="799"/>
      <c r="BE110" s="799"/>
      <c r="BF110" s="799"/>
      <c r="BG110" s="799"/>
    </row>
    <row r="111">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row>
    <row r="112">
      <c r="H112" s="799"/>
      <c r="I112" s="799"/>
      <c r="J112" s="799"/>
      <c r="K112" s="799"/>
      <c r="L112" s="799"/>
      <c r="M112" s="799"/>
      <c r="N112" s="799"/>
      <c r="O112" s="799"/>
      <c r="P112" s="799"/>
      <c r="Q112" s="799"/>
      <c r="R112" s="799"/>
      <c r="S112" s="799"/>
      <c r="T112" s="799"/>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c r="AP112" s="799"/>
      <c r="AQ112" s="799"/>
      <c r="AR112" s="799"/>
      <c r="AS112" s="799"/>
      <c r="AT112" s="799"/>
      <c r="AU112" s="799"/>
      <c r="AV112" s="799"/>
      <c r="AW112" s="799"/>
      <c r="AX112" s="799"/>
      <c r="AY112" s="799"/>
      <c r="AZ112" s="799"/>
      <c r="BA112" s="799"/>
      <c r="BB112" s="799"/>
      <c r="BC112" s="799"/>
      <c r="BD112" s="799"/>
      <c r="BE112" s="799"/>
      <c r="BF112" s="799"/>
      <c r="BG112" s="799"/>
    </row>
    <row r="113">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row>
    <row r="114">
      <c r="H114" s="799"/>
      <c r="I114" s="799"/>
      <c r="J114" s="799"/>
      <c r="K114" s="799"/>
      <c r="L114" s="799"/>
      <c r="M114" s="799"/>
      <c r="N114" s="799"/>
      <c r="O114" s="799"/>
      <c r="P114" s="799"/>
      <c r="Q114" s="799"/>
      <c r="R114" s="799"/>
      <c r="S114" s="799"/>
      <c r="T114" s="799"/>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c r="AP114" s="799"/>
      <c r="AQ114" s="799"/>
      <c r="AR114" s="799"/>
      <c r="AS114" s="799"/>
      <c r="AT114" s="799"/>
      <c r="AU114" s="799"/>
      <c r="AV114" s="799"/>
      <c r="AW114" s="799"/>
      <c r="AX114" s="799"/>
      <c r="AY114" s="799"/>
      <c r="AZ114" s="799"/>
      <c r="BA114" s="799"/>
      <c r="BB114" s="799"/>
      <c r="BC114" s="799"/>
      <c r="BD114" s="799"/>
      <c r="BE114" s="799"/>
      <c r="BF114" s="799"/>
      <c r="BG114" s="799"/>
    </row>
    <row r="115">
      <c r="H115" s="799"/>
      <c r="I115" s="799"/>
      <c r="J115" s="799"/>
      <c r="K115" s="799"/>
      <c r="L115" s="799"/>
      <c r="M115" s="799"/>
      <c r="N115" s="799"/>
      <c r="O115" s="799"/>
      <c r="P115" s="799"/>
      <c r="Q115" s="799"/>
      <c r="R115" s="799"/>
      <c r="S115" s="799"/>
      <c r="T115" s="799"/>
      <c r="U115" s="799"/>
      <c r="V115" s="799"/>
      <c r="W115" s="799"/>
      <c r="X115" s="799"/>
      <c r="Y115" s="799"/>
      <c r="Z115" s="799"/>
      <c r="AA115" s="799"/>
      <c r="AB115" s="799"/>
      <c r="AC115" s="799"/>
      <c r="AD115" s="799"/>
      <c r="AE115" s="799"/>
      <c r="AF115" s="799"/>
      <c r="AG115" s="799"/>
      <c r="AH115" s="799"/>
      <c r="AI115" s="799"/>
      <c r="AJ115" s="799"/>
      <c r="AK115" s="799"/>
      <c r="AL115" s="799"/>
      <c r="AM115" s="799"/>
      <c r="AN115" s="799"/>
      <c r="AO115" s="799"/>
      <c r="AP115" s="799"/>
      <c r="AQ115" s="799"/>
      <c r="AR115" s="799"/>
      <c r="AS115" s="799"/>
      <c r="AT115" s="799"/>
      <c r="AU115" s="799"/>
      <c r="AV115" s="799"/>
      <c r="AW115" s="799"/>
      <c r="AX115" s="799"/>
      <c r="AY115" s="799"/>
      <c r="AZ115" s="799"/>
      <c r="BA115" s="799"/>
      <c r="BB115" s="799"/>
      <c r="BC115" s="799"/>
      <c r="BD115" s="799"/>
      <c r="BE115" s="799"/>
      <c r="BF115" s="799"/>
      <c r="BG115" s="799"/>
    </row>
    <row r="116">
      <c r="H116" s="799"/>
      <c r="I116" s="799"/>
      <c r="J116" s="799"/>
      <c r="K116" s="799"/>
      <c r="L116" s="799"/>
      <c r="M116" s="799"/>
      <c r="N116" s="799"/>
      <c r="O116" s="799"/>
      <c r="P116" s="799"/>
      <c r="Q116" s="799"/>
      <c r="R116" s="799"/>
      <c r="S116" s="799"/>
      <c r="T116" s="799"/>
      <c r="U116" s="799"/>
      <c r="V116" s="799"/>
      <c r="W116" s="799"/>
      <c r="X116" s="799"/>
      <c r="Y116" s="799"/>
      <c r="Z116" s="799"/>
      <c r="AA116" s="799"/>
      <c r="AB116" s="799"/>
      <c r="AC116" s="799"/>
      <c r="AD116" s="799"/>
      <c r="AE116" s="799"/>
      <c r="AF116" s="799"/>
      <c r="AG116" s="799"/>
      <c r="AH116" s="799"/>
      <c r="AI116" s="799"/>
      <c r="AJ116" s="799"/>
      <c r="AK116" s="799"/>
      <c r="AL116" s="799"/>
      <c r="AM116" s="799"/>
      <c r="AN116" s="799"/>
      <c r="AO116" s="799"/>
      <c r="AP116" s="799"/>
      <c r="AQ116" s="799"/>
      <c r="AR116" s="799"/>
      <c r="AS116" s="799"/>
      <c r="AT116" s="799"/>
      <c r="AU116" s="799"/>
      <c r="AV116" s="799"/>
      <c r="AW116" s="799"/>
      <c r="AX116" s="799"/>
      <c r="AY116" s="799"/>
      <c r="AZ116" s="799"/>
      <c r="BA116" s="799"/>
      <c r="BB116" s="799"/>
      <c r="BC116" s="799"/>
      <c r="BD116" s="799"/>
      <c r="BE116" s="799"/>
      <c r="BF116" s="799"/>
      <c r="BG116" s="799"/>
    </row>
    <row r="117">
      <c r="H117" s="799"/>
      <c r="I117" s="799"/>
      <c r="J117" s="799"/>
      <c r="K117" s="799"/>
      <c r="L117" s="799"/>
      <c r="M117" s="799"/>
      <c r="N117" s="799"/>
      <c r="O117" s="799"/>
      <c r="P117" s="799"/>
      <c r="Q117" s="799"/>
      <c r="R117" s="799"/>
      <c r="S117" s="799"/>
      <c r="T117" s="799"/>
      <c r="U117" s="799"/>
      <c r="V117" s="799"/>
      <c r="W117" s="799"/>
      <c r="X117" s="799"/>
      <c r="Y117" s="799"/>
      <c r="Z117" s="799"/>
      <c r="AA117" s="799"/>
      <c r="AB117" s="799"/>
      <c r="AC117" s="799"/>
      <c r="AD117" s="799"/>
      <c r="AE117" s="799"/>
      <c r="AF117" s="799"/>
      <c r="AG117" s="799"/>
      <c r="AH117" s="799"/>
      <c r="AI117" s="799"/>
      <c r="AJ117" s="799"/>
      <c r="AK117" s="799"/>
      <c r="AL117" s="799"/>
      <c r="AM117" s="799"/>
      <c r="AN117" s="799"/>
      <c r="AO117" s="799"/>
      <c r="AP117" s="799"/>
      <c r="AQ117" s="799"/>
      <c r="AR117" s="799"/>
      <c r="AS117" s="799"/>
      <c r="AT117" s="799"/>
      <c r="AU117" s="799"/>
      <c r="AV117" s="799"/>
      <c r="AW117" s="799"/>
      <c r="AX117" s="799"/>
      <c r="AY117" s="799"/>
      <c r="AZ117" s="799"/>
      <c r="BA117" s="799"/>
      <c r="BB117" s="799"/>
      <c r="BC117" s="799"/>
      <c r="BD117" s="799"/>
      <c r="BE117" s="799"/>
      <c r="BF117" s="799"/>
      <c r="BG117" s="799"/>
    </row>
    <row r="118">
      <c r="H118" s="799"/>
      <c r="I118" s="799"/>
      <c r="J118" s="799"/>
      <c r="K118" s="799"/>
      <c r="L118" s="799"/>
      <c r="M118" s="799"/>
      <c r="N118" s="799"/>
      <c r="O118" s="799"/>
      <c r="P118" s="799"/>
      <c r="Q118" s="799"/>
      <c r="R118" s="799"/>
      <c r="S118" s="799"/>
      <c r="T118" s="799"/>
      <c r="U118" s="799"/>
      <c r="V118" s="799"/>
      <c r="W118" s="799"/>
      <c r="X118" s="799"/>
      <c r="Y118" s="799"/>
      <c r="Z118" s="799"/>
      <c r="AA118" s="799"/>
      <c r="AB118" s="799"/>
      <c r="AC118" s="799"/>
      <c r="AD118" s="799"/>
      <c r="AE118" s="799"/>
      <c r="AF118" s="799"/>
      <c r="AG118" s="799"/>
      <c r="AH118" s="799"/>
      <c r="AI118" s="799"/>
      <c r="AJ118" s="799"/>
      <c r="AK118" s="799"/>
      <c r="AL118" s="799"/>
      <c r="AM118" s="799"/>
      <c r="AN118" s="799"/>
      <c r="AO118" s="799"/>
      <c r="AP118" s="799"/>
      <c r="AQ118" s="799"/>
      <c r="AR118" s="799"/>
      <c r="AS118" s="799"/>
      <c r="AT118" s="799"/>
      <c r="AU118" s="799"/>
      <c r="AV118" s="799"/>
      <c r="AW118" s="799"/>
      <c r="AX118" s="799"/>
      <c r="AY118" s="799"/>
      <c r="AZ118" s="799"/>
      <c r="BA118" s="799"/>
      <c r="BB118" s="799"/>
      <c r="BC118" s="799"/>
      <c r="BD118" s="799"/>
      <c r="BE118" s="799"/>
      <c r="BF118" s="799"/>
      <c r="BG118" s="799"/>
    </row>
    <row r="119">
      <c r="H119" s="799"/>
      <c r="I119" s="799"/>
      <c r="J119" s="799"/>
      <c r="K119" s="799"/>
      <c r="L119" s="799"/>
      <c r="M119" s="799"/>
      <c r="N119" s="799"/>
      <c r="O119" s="799"/>
      <c r="P119" s="799"/>
      <c r="Q119" s="799"/>
      <c r="R119" s="799"/>
      <c r="S119" s="799"/>
      <c r="T119" s="799"/>
      <c r="U119" s="799"/>
      <c r="V119" s="799"/>
      <c r="W119" s="799"/>
      <c r="X119" s="799"/>
      <c r="Y119" s="799"/>
      <c r="Z119" s="799"/>
      <c r="AA119" s="799"/>
      <c r="AB119" s="799"/>
      <c r="AC119" s="799"/>
      <c r="AD119" s="799"/>
      <c r="AE119" s="799"/>
      <c r="AF119" s="799"/>
      <c r="AG119" s="799"/>
      <c r="AH119" s="799"/>
      <c r="AI119" s="799"/>
      <c r="AJ119" s="799"/>
      <c r="AK119" s="799"/>
      <c r="AL119" s="799"/>
      <c r="AM119" s="799"/>
      <c r="AN119" s="799"/>
      <c r="AO119" s="799"/>
      <c r="AP119" s="799"/>
      <c r="AQ119" s="799"/>
      <c r="AR119" s="799"/>
      <c r="AS119" s="799"/>
      <c r="AT119" s="799"/>
      <c r="AU119" s="799"/>
      <c r="AV119" s="799"/>
      <c r="AW119" s="799"/>
      <c r="AX119" s="799"/>
      <c r="AY119" s="799"/>
      <c r="AZ119" s="799"/>
      <c r="BA119" s="799"/>
      <c r="BB119" s="799"/>
      <c r="BC119" s="799"/>
      <c r="BD119" s="799"/>
      <c r="BE119" s="799"/>
      <c r="BF119" s="799"/>
      <c r="BG119" s="799"/>
    </row>
    <row r="120">
      <c r="H120" s="799"/>
      <c r="I120" s="799"/>
      <c r="J120" s="799"/>
      <c r="K120" s="799"/>
      <c r="L120" s="799"/>
      <c r="M120" s="799"/>
      <c r="N120" s="799"/>
      <c r="O120" s="799"/>
      <c r="P120" s="799"/>
      <c r="Q120" s="799"/>
      <c r="R120" s="799"/>
      <c r="S120" s="799"/>
      <c r="T120" s="799"/>
      <c r="U120" s="799"/>
      <c r="V120" s="799"/>
      <c r="W120" s="799"/>
      <c r="X120" s="799"/>
      <c r="Y120" s="799"/>
      <c r="Z120" s="799"/>
      <c r="AA120" s="799"/>
      <c r="AB120" s="799"/>
      <c r="AC120" s="799"/>
      <c r="AD120" s="799"/>
      <c r="AE120" s="799"/>
      <c r="AF120" s="799"/>
      <c r="AG120" s="799"/>
      <c r="AH120" s="799"/>
      <c r="AI120" s="799"/>
      <c r="AJ120" s="799"/>
      <c r="AK120" s="799"/>
      <c r="AL120" s="799"/>
      <c r="AM120" s="799"/>
      <c r="AN120" s="799"/>
      <c r="AO120" s="799"/>
      <c r="AP120" s="799"/>
      <c r="AQ120" s="799"/>
      <c r="AR120" s="799"/>
      <c r="AS120" s="799"/>
      <c r="AT120" s="799"/>
      <c r="AU120" s="799"/>
      <c r="AV120" s="799"/>
      <c r="AW120" s="799"/>
      <c r="AX120" s="799"/>
      <c r="AY120" s="799"/>
      <c r="AZ120" s="799"/>
      <c r="BA120" s="799"/>
      <c r="BB120" s="799"/>
      <c r="BC120" s="799"/>
      <c r="BD120" s="799"/>
      <c r="BE120" s="799"/>
      <c r="BF120" s="799"/>
      <c r="BG120" s="799"/>
    </row>
    <row r="121">
      <c r="H121" s="799"/>
      <c r="I121" s="799"/>
      <c r="J121" s="799"/>
      <c r="K121" s="799"/>
      <c r="L121" s="799"/>
      <c r="M121" s="799"/>
      <c r="N121" s="799"/>
      <c r="O121" s="799"/>
      <c r="P121" s="799"/>
      <c r="Q121" s="799"/>
      <c r="R121" s="799"/>
      <c r="S121" s="799"/>
      <c r="T121" s="799"/>
      <c r="U121" s="799"/>
      <c r="V121" s="799"/>
      <c r="W121" s="799"/>
      <c r="X121" s="799"/>
      <c r="Y121" s="799"/>
      <c r="Z121" s="799"/>
      <c r="AA121" s="799"/>
      <c r="AB121" s="799"/>
      <c r="AC121" s="799"/>
      <c r="AD121" s="799"/>
      <c r="AE121" s="799"/>
      <c r="AF121" s="799"/>
      <c r="AG121" s="799"/>
      <c r="AH121" s="799"/>
      <c r="AI121" s="799"/>
      <c r="AJ121" s="799"/>
      <c r="AK121" s="799"/>
      <c r="AL121" s="799"/>
      <c r="AM121" s="799"/>
      <c r="AN121" s="799"/>
      <c r="AO121" s="799"/>
      <c r="AP121" s="799"/>
      <c r="AQ121" s="799"/>
      <c r="AR121" s="799"/>
      <c r="AS121" s="799"/>
      <c r="AT121" s="799"/>
      <c r="AU121" s="799"/>
      <c r="AV121" s="799"/>
      <c r="AW121" s="799"/>
      <c r="AX121" s="799"/>
      <c r="AY121" s="799"/>
      <c r="AZ121" s="799"/>
      <c r="BA121" s="799"/>
      <c r="BB121" s="799"/>
      <c r="BC121" s="799"/>
      <c r="BD121" s="799"/>
      <c r="BE121" s="799"/>
      <c r="BF121" s="799"/>
      <c r="BG121" s="799"/>
    </row>
    <row r="122">
      <c r="H122" s="799"/>
      <c r="I122" s="799"/>
      <c r="J122" s="799"/>
      <c r="K122" s="799"/>
      <c r="L122" s="799"/>
      <c r="M122" s="799"/>
      <c r="N122" s="799"/>
      <c r="O122" s="799"/>
      <c r="P122" s="799"/>
      <c r="Q122" s="799"/>
      <c r="R122" s="799"/>
      <c r="S122" s="799"/>
      <c r="T122" s="799"/>
      <c r="U122" s="799"/>
      <c r="V122" s="799"/>
      <c r="W122" s="799"/>
      <c r="X122" s="799"/>
      <c r="Y122" s="799"/>
      <c r="Z122" s="799"/>
      <c r="AA122" s="799"/>
      <c r="AB122" s="799"/>
      <c r="AC122" s="799"/>
      <c r="AD122" s="799"/>
      <c r="AE122" s="799"/>
      <c r="AF122" s="799"/>
      <c r="AG122" s="799"/>
      <c r="AH122" s="799"/>
      <c r="AI122" s="799"/>
      <c r="AJ122" s="799"/>
      <c r="AK122" s="799"/>
      <c r="AL122" s="799"/>
      <c r="AM122" s="799"/>
      <c r="AN122" s="799"/>
      <c r="AO122" s="799"/>
      <c r="AP122" s="799"/>
      <c r="AQ122" s="799"/>
      <c r="AR122" s="799"/>
      <c r="AS122" s="799"/>
      <c r="AT122" s="799"/>
      <c r="AU122" s="799"/>
      <c r="AV122" s="799"/>
      <c r="AW122" s="799"/>
      <c r="AX122" s="799"/>
      <c r="AY122" s="799"/>
      <c r="AZ122" s="799"/>
      <c r="BA122" s="799"/>
      <c r="BB122" s="799"/>
      <c r="BC122" s="799"/>
      <c r="BD122" s="799"/>
      <c r="BE122" s="799"/>
      <c r="BF122" s="799"/>
      <c r="BG122" s="799"/>
    </row>
    <row r="123">
      <c r="H123" s="799"/>
      <c r="I123" s="799"/>
      <c r="J123" s="799"/>
      <c r="K123" s="799"/>
      <c r="L123" s="799"/>
      <c r="M123" s="799"/>
      <c r="N123" s="799"/>
      <c r="O123" s="799"/>
      <c r="P123" s="799"/>
      <c r="Q123" s="799"/>
      <c r="R123" s="799"/>
      <c r="S123" s="799"/>
      <c r="T123" s="799"/>
      <c r="U123" s="799"/>
      <c r="V123" s="799"/>
      <c r="W123" s="799"/>
      <c r="X123" s="799"/>
      <c r="Y123" s="799"/>
      <c r="Z123" s="799"/>
      <c r="AA123" s="799"/>
      <c r="AB123" s="799"/>
      <c r="AC123" s="799"/>
      <c r="AD123" s="799"/>
      <c r="AE123" s="799"/>
      <c r="AF123" s="799"/>
      <c r="AG123" s="799"/>
      <c r="AH123" s="799"/>
      <c r="AI123" s="799"/>
      <c r="AJ123" s="799"/>
      <c r="AK123" s="799"/>
      <c r="AL123" s="799"/>
      <c r="AM123" s="799"/>
      <c r="AN123" s="799"/>
      <c r="AO123" s="799"/>
      <c r="AP123" s="799"/>
      <c r="AQ123" s="799"/>
      <c r="AR123" s="799"/>
      <c r="AS123" s="799"/>
      <c r="AT123" s="799"/>
      <c r="AU123" s="799"/>
      <c r="AV123" s="799"/>
      <c r="AW123" s="799"/>
      <c r="AX123" s="799"/>
      <c r="AY123" s="799"/>
      <c r="AZ123" s="799"/>
      <c r="BA123" s="799"/>
      <c r="BB123" s="799"/>
      <c r="BC123" s="799"/>
      <c r="BD123" s="799"/>
      <c r="BE123" s="799"/>
      <c r="BF123" s="799"/>
      <c r="BG123" s="799"/>
    </row>
    <row r="124">
      <c r="H124" s="799"/>
      <c r="I124" s="799"/>
      <c r="J124" s="799"/>
      <c r="K124" s="799"/>
      <c r="L124" s="799"/>
      <c r="M124" s="799"/>
      <c r="N124" s="799"/>
      <c r="O124" s="799"/>
      <c r="P124" s="799"/>
      <c r="Q124" s="799"/>
      <c r="R124" s="799"/>
      <c r="S124" s="799"/>
      <c r="T124" s="799"/>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799"/>
      <c r="BF124" s="799"/>
      <c r="BG124" s="799"/>
    </row>
    <row r="125">
      <c r="H125" s="799"/>
      <c r="I125" s="799"/>
      <c r="J125" s="799"/>
      <c r="K125" s="799"/>
      <c r="L125" s="799"/>
      <c r="M125" s="799"/>
      <c r="N125" s="799"/>
      <c r="O125" s="799"/>
      <c r="P125" s="799"/>
      <c r="Q125" s="799"/>
      <c r="R125" s="799"/>
      <c r="S125" s="799"/>
      <c r="T125" s="799"/>
      <c r="U125" s="799"/>
      <c r="V125" s="799"/>
      <c r="W125" s="799"/>
      <c r="X125" s="799"/>
      <c r="Y125" s="799"/>
      <c r="Z125" s="799"/>
      <c r="AA125" s="799"/>
      <c r="AB125" s="799"/>
      <c r="AC125" s="799"/>
      <c r="AD125" s="799"/>
      <c r="AE125" s="799"/>
      <c r="AF125" s="799"/>
      <c r="AG125" s="799"/>
      <c r="AH125" s="799"/>
      <c r="AI125" s="799"/>
      <c r="AJ125" s="799"/>
      <c r="AK125" s="799"/>
      <c r="AL125" s="799"/>
      <c r="AM125" s="799"/>
      <c r="AN125" s="799"/>
      <c r="AO125" s="799"/>
      <c r="AP125" s="799"/>
      <c r="AQ125" s="799"/>
      <c r="AR125" s="799"/>
      <c r="AS125" s="799"/>
      <c r="AT125" s="799"/>
      <c r="AU125" s="799"/>
      <c r="AV125" s="799"/>
      <c r="AW125" s="799"/>
      <c r="AX125" s="799"/>
      <c r="AY125" s="799"/>
      <c r="AZ125" s="799"/>
      <c r="BA125" s="799"/>
      <c r="BB125" s="799"/>
      <c r="BC125" s="799"/>
      <c r="BD125" s="799"/>
      <c r="BE125" s="799"/>
      <c r="BF125" s="799"/>
      <c r="BG125" s="799"/>
    </row>
    <row r="126">
      <c r="H126" s="799"/>
      <c r="I126" s="799"/>
      <c r="J126" s="799"/>
      <c r="K126" s="799"/>
      <c r="L126" s="799"/>
      <c r="M126" s="799"/>
      <c r="N126" s="799"/>
      <c r="O126" s="799"/>
      <c r="P126" s="799"/>
      <c r="Q126" s="799"/>
      <c r="R126" s="799"/>
      <c r="S126" s="799"/>
      <c r="T126" s="799"/>
      <c r="U126" s="799"/>
      <c r="V126" s="799"/>
      <c r="W126" s="799"/>
      <c r="X126" s="799"/>
      <c r="Y126" s="799"/>
      <c r="Z126" s="799"/>
      <c r="AA126" s="799"/>
      <c r="AB126" s="799"/>
      <c r="AC126" s="799"/>
      <c r="AD126" s="799"/>
      <c r="AE126" s="799"/>
      <c r="AF126" s="799"/>
      <c r="AG126" s="799"/>
      <c r="AH126" s="799"/>
      <c r="AI126" s="799"/>
      <c r="AJ126" s="799"/>
      <c r="AK126" s="799"/>
      <c r="AL126" s="799"/>
      <c r="AM126" s="799"/>
      <c r="AN126" s="799"/>
      <c r="AO126" s="799"/>
      <c r="AP126" s="799"/>
      <c r="AQ126" s="799"/>
      <c r="AR126" s="799"/>
      <c r="AS126" s="799"/>
      <c r="AT126" s="799"/>
      <c r="AU126" s="799"/>
      <c r="AV126" s="799"/>
      <c r="AW126" s="799"/>
      <c r="AX126" s="799"/>
      <c r="AY126" s="799"/>
      <c r="AZ126" s="799"/>
      <c r="BA126" s="799"/>
      <c r="BB126" s="799"/>
      <c r="BC126" s="799"/>
      <c r="BD126" s="799"/>
      <c r="BE126" s="799"/>
      <c r="BF126" s="799"/>
      <c r="BG126" s="799"/>
    </row>
    <row r="127">
      <c r="H127" s="799"/>
      <c r="I127" s="799"/>
      <c r="J127" s="799"/>
      <c r="K127" s="799"/>
      <c r="L127" s="799"/>
      <c r="M127" s="799"/>
      <c r="N127" s="799"/>
      <c r="O127" s="799"/>
      <c r="P127" s="799"/>
      <c r="Q127" s="799"/>
      <c r="R127" s="799"/>
      <c r="S127" s="799"/>
      <c r="T127" s="799"/>
      <c r="U127" s="799"/>
      <c r="V127" s="799"/>
      <c r="W127" s="799"/>
      <c r="X127" s="799"/>
      <c r="Y127" s="799"/>
      <c r="Z127" s="799"/>
      <c r="AA127" s="799"/>
      <c r="AB127" s="799"/>
      <c r="AC127" s="799"/>
      <c r="AD127" s="799"/>
      <c r="AE127" s="799"/>
      <c r="AF127" s="799"/>
      <c r="AG127" s="799"/>
      <c r="AH127" s="799"/>
      <c r="AI127" s="799"/>
      <c r="AJ127" s="799"/>
      <c r="AK127" s="799"/>
      <c r="AL127" s="799"/>
      <c r="AM127" s="799"/>
      <c r="AN127" s="799"/>
      <c r="AO127" s="799"/>
      <c r="AP127" s="799"/>
      <c r="AQ127" s="799"/>
      <c r="AR127" s="799"/>
      <c r="AS127" s="799"/>
      <c r="AT127" s="799"/>
      <c r="AU127" s="799"/>
      <c r="AV127" s="799"/>
      <c r="AW127" s="799"/>
      <c r="AX127" s="799"/>
      <c r="AY127" s="799"/>
      <c r="AZ127" s="799"/>
      <c r="BA127" s="799"/>
      <c r="BB127" s="799"/>
      <c r="BC127" s="799"/>
      <c r="BD127" s="799"/>
      <c r="BE127" s="799"/>
      <c r="BF127" s="799"/>
      <c r="BG127" s="799"/>
    </row>
    <row r="128">
      <c r="H128" s="799"/>
      <c r="I128" s="799"/>
      <c r="J128" s="799"/>
      <c r="K128" s="799"/>
      <c r="L128" s="799"/>
      <c r="M128" s="799"/>
      <c r="N128" s="799"/>
      <c r="O128" s="799"/>
      <c r="P128" s="799"/>
      <c r="Q128" s="799"/>
      <c r="R128" s="799"/>
      <c r="S128" s="799"/>
      <c r="T128" s="799"/>
      <c r="U128" s="799"/>
      <c r="V128" s="799"/>
      <c r="W128" s="799"/>
      <c r="X128" s="799"/>
      <c r="Y128" s="799"/>
      <c r="Z128" s="799"/>
      <c r="AA128" s="799"/>
      <c r="AB128" s="799"/>
      <c r="AC128" s="799"/>
      <c r="AD128" s="799"/>
      <c r="AE128" s="799"/>
      <c r="AF128" s="799"/>
      <c r="AG128" s="799"/>
      <c r="AH128" s="799"/>
      <c r="AI128" s="799"/>
      <c r="AJ128" s="799"/>
      <c r="AK128" s="799"/>
      <c r="AL128" s="799"/>
      <c r="AM128" s="799"/>
      <c r="AN128" s="799"/>
      <c r="AO128" s="799"/>
      <c r="AP128" s="799"/>
      <c r="AQ128" s="799"/>
      <c r="AR128" s="799"/>
      <c r="AS128" s="799"/>
      <c r="AT128" s="799"/>
      <c r="AU128" s="799"/>
      <c r="AV128" s="799"/>
      <c r="AW128" s="799"/>
      <c r="AX128" s="799"/>
      <c r="AY128" s="799"/>
      <c r="AZ128" s="799"/>
      <c r="BA128" s="799"/>
      <c r="BB128" s="799"/>
      <c r="BC128" s="799"/>
      <c r="BD128" s="799"/>
      <c r="BE128" s="799"/>
      <c r="BF128" s="799"/>
      <c r="BG128" s="799"/>
    </row>
    <row r="12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799"/>
      <c r="AE129" s="799"/>
      <c r="AF129" s="799"/>
      <c r="AG129" s="799"/>
      <c r="AH129" s="799"/>
      <c r="AI129" s="799"/>
      <c r="AJ129" s="799"/>
      <c r="AK129" s="799"/>
      <c r="AL129" s="799"/>
      <c r="AM129" s="799"/>
      <c r="AN129" s="799"/>
      <c r="AO129" s="799"/>
      <c r="AP129" s="799"/>
      <c r="AQ129" s="799"/>
      <c r="AR129" s="799"/>
      <c r="AS129" s="799"/>
      <c r="AT129" s="799"/>
      <c r="AU129" s="799"/>
      <c r="AV129" s="799"/>
      <c r="AW129" s="799"/>
      <c r="AX129" s="799"/>
      <c r="AY129" s="799"/>
      <c r="AZ129" s="799"/>
      <c r="BA129" s="799"/>
      <c r="BB129" s="799"/>
      <c r="BC129" s="799"/>
      <c r="BD129" s="799"/>
      <c r="BE129" s="799"/>
      <c r="BF129" s="799"/>
      <c r="BG129" s="799"/>
    </row>
    <row r="130">
      <c r="H130" s="799"/>
      <c r="I130" s="799"/>
      <c r="J130" s="799"/>
      <c r="K130" s="799"/>
      <c r="L130" s="799"/>
      <c r="M130" s="799"/>
      <c r="N130" s="799"/>
      <c r="O130" s="799"/>
      <c r="P130" s="799"/>
      <c r="Q130" s="799"/>
      <c r="R130" s="799"/>
      <c r="S130" s="799"/>
      <c r="T130" s="799"/>
      <c r="U130" s="799"/>
      <c r="V130" s="799"/>
      <c r="W130" s="799"/>
      <c r="X130" s="799"/>
      <c r="Y130" s="799"/>
      <c r="Z130" s="799"/>
      <c r="AA130" s="799"/>
      <c r="AB130" s="799"/>
      <c r="AC130" s="799"/>
      <c r="AD130" s="799"/>
      <c r="AE130" s="799"/>
      <c r="AF130" s="799"/>
      <c r="AG130" s="799"/>
      <c r="AH130" s="799"/>
      <c r="AI130" s="799"/>
      <c r="AJ130" s="799"/>
      <c r="AK130" s="799"/>
      <c r="AL130" s="799"/>
      <c r="AM130" s="799"/>
      <c r="AN130" s="799"/>
      <c r="AO130" s="799"/>
      <c r="AP130" s="799"/>
      <c r="AQ130" s="799"/>
      <c r="AR130" s="799"/>
      <c r="AS130" s="799"/>
      <c r="AT130" s="799"/>
      <c r="AU130" s="799"/>
      <c r="AV130" s="799"/>
      <c r="AW130" s="799"/>
      <c r="AX130" s="799"/>
      <c r="AY130" s="799"/>
      <c r="AZ130" s="799"/>
      <c r="BA130" s="799"/>
      <c r="BB130" s="799"/>
      <c r="BC130" s="799"/>
      <c r="BD130" s="799"/>
      <c r="BE130" s="799"/>
      <c r="BF130" s="799"/>
      <c r="BG130" s="799"/>
    </row>
    <row r="131">
      <c r="H131" s="799"/>
      <c r="I131" s="799"/>
      <c r="J131" s="799"/>
      <c r="K131" s="799"/>
      <c r="L131" s="799"/>
      <c r="M131" s="799"/>
      <c r="N131" s="799"/>
      <c r="O131" s="799"/>
      <c r="P131" s="799"/>
      <c r="Q131" s="799"/>
      <c r="R131" s="799"/>
      <c r="S131" s="799"/>
      <c r="T131" s="799"/>
      <c r="U131" s="799"/>
      <c r="V131" s="799"/>
      <c r="W131" s="799"/>
      <c r="X131" s="799"/>
      <c r="Y131" s="799"/>
      <c r="Z131" s="799"/>
      <c r="AA131" s="799"/>
      <c r="AB131" s="799"/>
      <c r="AC131" s="799"/>
      <c r="AD131" s="799"/>
      <c r="AE131" s="799"/>
      <c r="AF131" s="799"/>
      <c r="AG131" s="799"/>
      <c r="AH131" s="799"/>
      <c r="AI131" s="799"/>
      <c r="AJ131" s="799"/>
      <c r="AK131" s="799"/>
      <c r="AL131" s="799"/>
      <c r="AM131" s="799"/>
      <c r="AN131" s="799"/>
      <c r="AO131" s="799"/>
      <c r="AP131" s="799"/>
      <c r="AQ131" s="799"/>
      <c r="AR131" s="799"/>
      <c r="AS131" s="799"/>
      <c r="AT131" s="799"/>
      <c r="AU131" s="799"/>
      <c r="AV131" s="799"/>
      <c r="AW131" s="799"/>
      <c r="AX131" s="799"/>
      <c r="AY131" s="799"/>
      <c r="AZ131" s="799"/>
      <c r="BA131" s="799"/>
      <c r="BB131" s="799"/>
      <c r="BC131" s="799"/>
      <c r="BD131" s="799"/>
      <c r="BE131" s="799"/>
      <c r="BF131" s="799"/>
      <c r="BG131" s="799"/>
    </row>
    <row r="132">
      <c r="H132" s="799"/>
      <c r="I132" s="799"/>
      <c r="J132" s="799"/>
      <c r="K132" s="799"/>
      <c r="L132" s="799"/>
      <c r="M132" s="799"/>
      <c r="N132" s="799"/>
      <c r="O132" s="799"/>
      <c r="P132" s="799"/>
      <c r="Q132" s="799"/>
      <c r="R132" s="799"/>
      <c r="S132" s="799"/>
      <c r="T132" s="799"/>
      <c r="U132" s="799"/>
      <c r="V132" s="799"/>
      <c r="W132" s="799"/>
      <c r="X132" s="799"/>
      <c r="Y132" s="799"/>
      <c r="Z132" s="799"/>
      <c r="AA132" s="799"/>
      <c r="AB132" s="799"/>
      <c r="AC132" s="799"/>
      <c r="AD132" s="799"/>
      <c r="AE132" s="799"/>
      <c r="AF132" s="799"/>
      <c r="AG132" s="799"/>
      <c r="AH132" s="799"/>
      <c r="AI132" s="799"/>
      <c r="AJ132" s="799"/>
      <c r="AK132" s="799"/>
      <c r="AL132" s="799"/>
      <c r="AM132" s="799"/>
      <c r="AN132" s="799"/>
      <c r="AO132" s="799"/>
      <c r="AP132" s="799"/>
      <c r="AQ132" s="799"/>
      <c r="AR132" s="799"/>
      <c r="AS132" s="799"/>
      <c r="AT132" s="799"/>
      <c r="AU132" s="799"/>
      <c r="AV132" s="799"/>
      <c r="AW132" s="799"/>
      <c r="AX132" s="799"/>
      <c r="AY132" s="799"/>
      <c r="AZ132" s="799"/>
      <c r="BA132" s="799"/>
      <c r="BB132" s="799"/>
      <c r="BC132" s="799"/>
      <c r="BD132" s="799"/>
      <c r="BE132" s="799"/>
      <c r="BF132" s="799"/>
      <c r="BG132" s="799"/>
    </row>
    <row r="133">
      <c r="H133" s="799"/>
      <c r="I133" s="799"/>
      <c r="J133" s="799"/>
      <c r="K133" s="799"/>
      <c r="L133" s="799"/>
      <c r="M133" s="799"/>
      <c r="N133" s="799"/>
      <c r="O133" s="799"/>
      <c r="P133" s="799"/>
      <c r="Q133" s="799"/>
      <c r="R133" s="799"/>
      <c r="S133" s="799"/>
      <c r="T133" s="799"/>
      <c r="U133" s="799"/>
      <c r="V133" s="799"/>
      <c r="W133" s="799"/>
      <c r="X133" s="799"/>
      <c r="Y133" s="799"/>
      <c r="Z133" s="799"/>
      <c r="AA133" s="799"/>
      <c r="AB133" s="799"/>
      <c r="AC133" s="799"/>
      <c r="AD133" s="799"/>
      <c r="AE133" s="799"/>
      <c r="AF133" s="799"/>
      <c r="AG133" s="799"/>
      <c r="AH133" s="799"/>
      <c r="AI133" s="799"/>
      <c r="AJ133" s="799"/>
      <c r="AK133" s="799"/>
      <c r="AL133" s="799"/>
      <c r="AM133" s="799"/>
      <c r="AN133" s="799"/>
      <c r="AO133" s="799"/>
      <c r="AP133" s="799"/>
      <c r="AQ133" s="799"/>
      <c r="AR133" s="799"/>
      <c r="AS133" s="799"/>
      <c r="AT133" s="799"/>
      <c r="AU133" s="799"/>
      <c r="AV133" s="799"/>
      <c r="AW133" s="799"/>
      <c r="AX133" s="799"/>
      <c r="AY133" s="799"/>
      <c r="AZ133" s="799"/>
      <c r="BA133" s="799"/>
      <c r="BB133" s="799"/>
      <c r="BC133" s="799"/>
      <c r="BD133" s="799"/>
      <c r="BE133" s="799"/>
      <c r="BF133" s="799"/>
      <c r="BG133" s="799"/>
    </row>
    <row r="134">
      <c r="H134" s="799"/>
      <c r="I134" s="799"/>
      <c r="J134" s="799"/>
      <c r="K134" s="799"/>
      <c r="L134" s="799"/>
      <c r="M134" s="799"/>
      <c r="N134" s="799"/>
      <c r="O134" s="799"/>
      <c r="P134" s="799"/>
      <c r="Q134" s="799"/>
      <c r="R134" s="799"/>
      <c r="S134" s="799"/>
      <c r="T134" s="799"/>
      <c r="U134" s="799"/>
      <c r="V134" s="799"/>
      <c r="W134" s="799"/>
      <c r="X134" s="799"/>
      <c r="Y134" s="799"/>
      <c r="Z134" s="799"/>
      <c r="AA134" s="799"/>
      <c r="AB134" s="799"/>
      <c r="AC134" s="799"/>
      <c r="AD134" s="799"/>
      <c r="AE134" s="799"/>
      <c r="AF134" s="799"/>
      <c r="AG134" s="799"/>
      <c r="AH134" s="799"/>
      <c r="AI134" s="799"/>
      <c r="AJ134" s="799"/>
      <c r="AK134" s="799"/>
      <c r="AL134" s="799"/>
      <c r="AM134" s="799"/>
      <c r="AN134" s="799"/>
      <c r="AO134" s="799"/>
      <c r="AP134" s="799"/>
      <c r="AQ134" s="799"/>
      <c r="AR134" s="799"/>
      <c r="AS134" s="799"/>
      <c r="AT134" s="799"/>
      <c r="AU134" s="799"/>
      <c r="AV134" s="799"/>
      <c r="AW134" s="799"/>
      <c r="AX134" s="799"/>
      <c r="AY134" s="799"/>
      <c r="AZ134" s="799"/>
      <c r="BA134" s="799"/>
      <c r="BB134" s="799"/>
      <c r="BC134" s="799"/>
      <c r="BD134" s="799"/>
      <c r="BE134" s="799"/>
      <c r="BF134" s="799"/>
      <c r="BG134" s="799"/>
    </row>
    <row r="135">
      <c r="H135" s="799"/>
      <c r="I135" s="799"/>
      <c r="J135" s="799"/>
      <c r="K135" s="799"/>
      <c r="L135" s="799"/>
      <c r="M135" s="799"/>
      <c r="N135" s="799"/>
      <c r="O135" s="799"/>
      <c r="P135" s="799"/>
      <c r="Q135" s="799"/>
      <c r="R135" s="799"/>
      <c r="S135" s="799"/>
      <c r="T135" s="799"/>
      <c r="U135" s="799"/>
      <c r="V135" s="799"/>
      <c r="W135" s="799"/>
      <c r="X135" s="799"/>
      <c r="Y135" s="799"/>
      <c r="Z135" s="799"/>
      <c r="AA135" s="799"/>
      <c r="AB135" s="799"/>
      <c r="AC135" s="799"/>
      <c r="AD135" s="799"/>
      <c r="AE135" s="799"/>
      <c r="AF135" s="799"/>
      <c r="AG135" s="799"/>
      <c r="AH135" s="799"/>
      <c r="AI135" s="799"/>
      <c r="AJ135" s="799"/>
      <c r="AK135" s="799"/>
      <c r="AL135" s="799"/>
      <c r="AM135" s="799"/>
      <c r="AN135" s="799"/>
      <c r="AO135" s="799"/>
      <c r="AP135" s="799"/>
      <c r="AQ135" s="799"/>
      <c r="AR135" s="799"/>
      <c r="AS135" s="799"/>
      <c r="AT135" s="799"/>
      <c r="AU135" s="799"/>
      <c r="AV135" s="799"/>
      <c r="AW135" s="799"/>
      <c r="AX135" s="799"/>
      <c r="AY135" s="799"/>
      <c r="AZ135" s="799"/>
      <c r="BA135" s="799"/>
      <c r="BB135" s="799"/>
      <c r="BC135" s="799"/>
      <c r="BD135" s="799"/>
      <c r="BE135" s="799"/>
      <c r="BF135" s="799"/>
      <c r="BG135" s="799"/>
    </row>
    <row r="136">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row>
    <row r="137">
      <c r="H137" s="799"/>
      <c r="I137" s="799"/>
      <c r="J137" s="799"/>
      <c r="K137" s="799"/>
      <c r="L137" s="799"/>
      <c r="M137" s="799"/>
      <c r="N137" s="799"/>
      <c r="O137" s="799"/>
      <c r="P137" s="799"/>
      <c r="Q137" s="799"/>
      <c r="R137" s="799"/>
      <c r="S137" s="799"/>
      <c r="T137" s="799"/>
      <c r="U137" s="799"/>
      <c r="V137" s="799"/>
      <c r="W137" s="799"/>
      <c r="X137" s="799"/>
      <c r="Y137" s="799"/>
      <c r="Z137" s="799"/>
      <c r="AA137" s="799"/>
      <c r="AB137" s="799"/>
      <c r="AC137" s="799"/>
      <c r="AD137" s="799"/>
      <c r="AE137" s="799"/>
      <c r="AF137" s="799"/>
      <c r="AG137" s="799"/>
      <c r="AH137" s="799"/>
      <c r="AI137" s="799"/>
      <c r="AJ137" s="799"/>
      <c r="AK137" s="799"/>
      <c r="AL137" s="799"/>
      <c r="AM137" s="799"/>
      <c r="AN137" s="799"/>
      <c r="AO137" s="799"/>
      <c r="AP137" s="799"/>
      <c r="AQ137" s="799"/>
      <c r="AR137" s="799"/>
      <c r="AS137" s="799"/>
      <c r="AT137" s="799"/>
      <c r="AU137" s="799"/>
      <c r="AV137" s="799"/>
      <c r="AW137" s="799"/>
      <c r="AX137" s="799"/>
      <c r="AY137" s="799"/>
      <c r="AZ137" s="799"/>
      <c r="BA137" s="799"/>
      <c r="BB137" s="799"/>
      <c r="BC137" s="799"/>
      <c r="BD137" s="799"/>
      <c r="BE137" s="799"/>
      <c r="BF137" s="799"/>
      <c r="BG137" s="799"/>
    </row>
    <row r="138">
      <c r="H138" s="799"/>
      <c r="I138" s="799"/>
      <c r="J138" s="799"/>
      <c r="K138" s="799"/>
      <c r="L138" s="799"/>
      <c r="M138" s="799"/>
      <c r="N138" s="799"/>
      <c r="O138" s="799"/>
      <c r="P138" s="799"/>
      <c r="Q138" s="799"/>
      <c r="R138" s="799"/>
      <c r="S138" s="799"/>
      <c r="T138" s="799"/>
      <c r="U138" s="799"/>
      <c r="V138" s="799"/>
      <c r="W138" s="799"/>
      <c r="X138" s="799"/>
      <c r="Y138" s="799"/>
      <c r="Z138" s="799"/>
      <c r="AA138" s="799"/>
      <c r="AB138" s="799"/>
      <c r="AC138" s="799"/>
      <c r="AD138" s="799"/>
      <c r="AE138" s="799"/>
      <c r="AF138" s="799"/>
      <c r="AG138" s="799"/>
      <c r="AH138" s="799"/>
      <c r="AI138" s="799"/>
      <c r="AJ138" s="799"/>
      <c r="AK138" s="799"/>
      <c r="AL138" s="799"/>
      <c r="AM138" s="799"/>
      <c r="AN138" s="799"/>
      <c r="AO138" s="799"/>
      <c r="AP138" s="799"/>
      <c r="AQ138" s="799"/>
      <c r="AR138" s="799"/>
      <c r="AS138" s="799"/>
      <c r="AT138" s="799"/>
      <c r="AU138" s="799"/>
      <c r="AV138" s="799"/>
      <c r="AW138" s="799"/>
      <c r="AX138" s="799"/>
      <c r="AY138" s="799"/>
      <c r="AZ138" s="799"/>
      <c r="BA138" s="799"/>
      <c r="BB138" s="799"/>
      <c r="BC138" s="799"/>
      <c r="BD138" s="799"/>
      <c r="BE138" s="799"/>
      <c r="BF138" s="799"/>
      <c r="BG138" s="799"/>
    </row>
    <row r="139">
      <c r="H139" s="799"/>
      <c r="I139" s="799"/>
      <c r="J139" s="799"/>
      <c r="K139" s="799"/>
      <c r="L139" s="799"/>
      <c r="M139" s="799"/>
      <c r="N139" s="799"/>
      <c r="O139" s="799"/>
      <c r="P139" s="799"/>
      <c r="Q139" s="799"/>
      <c r="R139" s="799"/>
      <c r="S139" s="799"/>
      <c r="T139" s="799"/>
      <c r="U139" s="799"/>
      <c r="V139" s="799"/>
      <c r="W139" s="799"/>
      <c r="X139" s="799"/>
      <c r="Y139" s="799"/>
      <c r="Z139" s="799"/>
      <c r="AA139" s="799"/>
      <c r="AB139" s="799"/>
      <c r="AC139" s="799"/>
      <c r="AD139" s="799"/>
      <c r="AE139" s="799"/>
      <c r="AF139" s="799"/>
      <c r="AG139" s="799"/>
      <c r="AH139" s="799"/>
      <c r="AI139" s="799"/>
      <c r="AJ139" s="799"/>
      <c r="AK139" s="799"/>
      <c r="AL139" s="799"/>
      <c r="AM139" s="799"/>
      <c r="AN139" s="799"/>
      <c r="AO139" s="799"/>
      <c r="AP139" s="799"/>
      <c r="AQ139" s="799"/>
      <c r="AR139" s="799"/>
      <c r="AS139" s="799"/>
      <c r="AT139" s="799"/>
      <c r="AU139" s="799"/>
      <c r="AV139" s="799"/>
      <c r="AW139" s="799"/>
      <c r="AX139" s="799"/>
      <c r="AY139" s="799"/>
      <c r="AZ139" s="799"/>
      <c r="BA139" s="799"/>
      <c r="BB139" s="799"/>
      <c r="BC139" s="799"/>
      <c r="BD139" s="799"/>
      <c r="BE139" s="799"/>
      <c r="BF139" s="799"/>
      <c r="BG139" s="799"/>
    </row>
    <row r="140">
      <c r="H140" s="799"/>
      <c r="I140" s="799"/>
      <c r="J140" s="799"/>
      <c r="K140" s="799"/>
      <c r="L140" s="799"/>
      <c r="M140" s="799"/>
      <c r="N140" s="799"/>
      <c r="O140" s="799"/>
      <c r="P140" s="799"/>
      <c r="Q140" s="799"/>
      <c r="R140" s="799"/>
      <c r="S140" s="799"/>
      <c r="T140" s="799"/>
      <c r="U140" s="799"/>
      <c r="V140" s="799"/>
      <c r="W140" s="799"/>
      <c r="X140" s="799"/>
      <c r="Y140" s="799"/>
      <c r="Z140" s="799"/>
      <c r="AA140" s="799"/>
      <c r="AB140" s="799"/>
      <c r="AC140" s="799"/>
      <c r="AD140" s="799"/>
      <c r="AE140" s="799"/>
      <c r="AF140" s="799"/>
      <c r="AG140" s="799"/>
      <c r="AH140" s="799"/>
      <c r="AI140" s="799"/>
      <c r="AJ140" s="799"/>
      <c r="AK140" s="799"/>
      <c r="AL140" s="799"/>
      <c r="AM140" s="799"/>
      <c r="AN140" s="799"/>
      <c r="AO140" s="799"/>
      <c r="AP140" s="799"/>
      <c r="AQ140" s="799"/>
      <c r="AR140" s="799"/>
      <c r="AS140" s="799"/>
      <c r="AT140" s="799"/>
      <c r="AU140" s="799"/>
      <c r="AV140" s="799"/>
      <c r="AW140" s="799"/>
      <c r="AX140" s="799"/>
      <c r="AY140" s="799"/>
      <c r="AZ140" s="799"/>
      <c r="BA140" s="799"/>
      <c r="BB140" s="799"/>
      <c r="BC140" s="799"/>
      <c r="BD140" s="799"/>
      <c r="BE140" s="799"/>
      <c r="BF140" s="799"/>
      <c r="BG140" s="799"/>
    </row>
    <row r="141">
      <c r="H141" s="799"/>
      <c r="I141" s="799"/>
      <c r="J141" s="799"/>
      <c r="K141" s="799"/>
      <c r="L141" s="799"/>
      <c r="M141" s="799"/>
      <c r="N141" s="799"/>
      <c r="O141" s="799"/>
      <c r="P141" s="799"/>
      <c r="Q141" s="799"/>
      <c r="R141" s="799"/>
      <c r="S141" s="799"/>
      <c r="T141" s="799"/>
      <c r="U141" s="799"/>
      <c r="V141" s="799"/>
      <c r="W141" s="799"/>
      <c r="X141" s="799"/>
      <c r="Y141" s="799"/>
      <c r="Z141" s="799"/>
      <c r="AA141" s="799"/>
      <c r="AB141" s="799"/>
      <c r="AC141" s="799"/>
      <c r="AD141" s="799"/>
      <c r="AE141" s="799"/>
      <c r="AF141" s="799"/>
      <c r="AG141" s="799"/>
      <c r="AH141" s="799"/>
      <c r="AI141" s="799"/>
      <c r="AJ141" s="799"/>
      <c r="AK141" s="799"/>
      <c r="AL141" s="799"/>
      <c r="AM141" s="799"/>
      <c r="AN141" s="799"/>
      <c r="AO141" s="799"/>
      <c r="AP141" s="799"/>
      <c r="AQ141" s="799"/>
      <c r="AR141" s="799"/>
      <c r="AS141" s="799"/>
      <c r="AT141" s="799"/>
      <c r="AU141" s="799"/>
      <c r="AV141" s="799"/>
      <c r="AW141" s="799"/>
      <c r="AX141" s="799"/>
      <c r="AY141" s="799"/>
      <c r="AZ141" s="799"/>
      <c r="BA141" s="799"/>
      <c r="BB141" s="799"/>
      <c r="BC141" s="799"/>
      <c r="BD141" s="799"/>
      <c r="BE141" s="799"/>
      <c r="BF141" s="799"/>
      <c r="BG141" s="799"/>
    </row>
    <row r="142">
      <c r="H142" s="799"/>
      <c r="I142" s="799"/>
      <c r="J142" s="799"/>
      <c r="K142" s="799"/>
      <c r="L142" s="799"/>
      <c r="M142" s="799"/>
      <c r="N142" s="799"/>
      <c r="O142" s="799"/>
      <c r="P142" s="799"/>
      <c r="Q142" s="799"/>
      <c r="R142" s="799"/>
      <c r="S142" s="799"/>
      <c r="T142" s="799"/>
      <c r="U142" s="799"/>
      <c r="V142" s="799"/>
      <c r="W142" s="799"/>
      <c r="X142" s="799"/>
      <c r="Y142" s="799"/>
      <c r="Z142" s="799"/>
      <c r="AA142" s="799"/>
      <c r="AB142" s="799"/>
      <c r="AC142" s="799"/>
      <c r="AD142" s="799"/>
      <c r="AE142" s="799"/>
      <c r="AF142" s="799"/>
      <c r="AG142" s="799"/>
      <c r="AH142" s="799"/>
      <c r="AI142" s="799"/>
      <c r="AJ142" s="799"/>
      <c r="AK142" s="799"/>
      <c r="AL142" s="799"/>
      <c r="AM142" s="799"/>
      <c r="AN142" s="799"/>
      <c r="AO142" s="799"/>
      <c r="AP142" s="799"/>
      <c r="AQ142" s="799"/>
      <c r="AR142" s="799"/>
      <c r="AS142" s="799"/>
      <c r="AT142" s="799"/>
      <c r="AU142" s="799"/>
      <c r="AV142" s="799"/>
      <c r="AW142" s="799"/>
      <c r="AX142" s="799"/>
      <c r="AY142" s="799"/>
      <c r="AZ142" s="799"/>
      <c r="BA142" s="799"/>
      <c r="BB142" s="799"/>
      <c r="BC142" s="799"/>
      <c r="BD142" s="799"/>
      <c r="BE142" s="799"/>
      <c r="BF142" s="799"/>
      <c r="BG142" s="799"/>
    </row>
    <row r="143">
      <c r="H143" s="799"/>
      <c r="I143" s="799"/>
      <c r="J143" s="799"/>
      <c r="K143" s="799"/>
      <c r="L143" s="799"/>
      <c r="M143" s="799"/>
      <c r="N143" s="799"/>
      <c r="O143" s="799"/>
      <c r="P143" s="799"/>
      <c r="Q143" s="799"/>
      <c r="R143" s="799"/>
      <c r="S143" s="799"/>
      <c r="T143" s="799"/>
      <c r="U143" s="799"/>
      <c r="V143" s="799"/>
      <c r="W143" s="799"/>
      <c r="X143" s="799"/>
      <c r="Y143" s="799"/>
      <c r="Z143" s="799"/>
      <c r="AA143" s="799"/>
      <c r="AB143" s="799"/>
      <c r="AC143" s="799"/>
      <c r="AD143" s="799"/>
      <c r="AE143" s="799"/>
      <c r="AF143" s="799"/>
      <c r="AG143" s="799"/>
      <c r="AH143" s="799"/>
      <c r="AI143" s="799"/>
      <c r="AJ143" s="799"/>
      <c r="AK143" s="799"/>
      <c r="AL143" s="799"/>
      <c r="AM143" s="799"/>
      <c r="AN143" s="799"/>
      <c r="AO143" s="799"/>
      <c r="AP143" s="799"/>
      <c r="AQ143" s="799"/>
      <c r="AR143" s="799"/>
      <c r="AS143" s="799"/>
      <c r="AT143" s="799"/>
      <c r="AU143" s="799"/>
      <c r="AV143" s="799"/>
      <c r="AW143" s="799"/>
      <c r="AX143" s="799"/>
      <c r="AY143" s="799"/>
      <c r="AZ143" s="799"/>
      <c r="BA143" s="799"/>
      <c r="BB143" s="799"/>
      <c r="BC143" s="799"/>
      <c r="BD143" s="799"/>
      <c r="BE143" s="799"/>
      <c r="BF143" s="799"/>
      <c r="BG143" s="799"/>
    </row>
    <row r="144">
      <c r="H144" s="799"/>
      <c r="I144" s="799"/>
      <c r="J144" s="799"/>
      <c r="K144" s="799"/>
      <c r="L144" s="799"/>
      <c r="M144" s="799"/>
      <c r="N144" s="799"/>
      <c r="O144" s="799"/>
      <c r="P144" s="799"/>
      <c r="Q144" s="799"/>
      <c r="R144" s="799"/>
      <c r="S144" s="799"/>
      <c r="T144" s="799"/>
      <c r="U144" s="799"/>
      <c r="V144" s="799"/>
      <c r="W144" s="799"/>
      <c r="X144" s="799"/>
      <c r="Y144" s="799"/>
      <c r="Z144" s="799"/>
      <c r="AA144" s="799"/>
      <c r="AB144" s="799"/>
      <c r="AC144" s="799"/>
      <c r="AD144" s="799"/>
      <c r="AE144" s="799"/>
      <c r="AF144" s="799"/>
      <c r="AG144" s="799"/>
      <c r="AH144" s="799"/>
      <c r="AI144" s="799"/>
      <c r="AJ144" s="799"/>
      <c r="AK144" s="799"/>
      <c r="AL144" s="799"/>
      <c r="AM144" s="799"/>
      <c r="AN144" s="799"/>
      <c r="AO144" s="799"/>
      <c r="AP144" s="799"/>
      <c r="AQ144" s="799"/>
      <c r="AR144" s="799"/>
      <c r="AS144" s="799"/>
      <c r="AT144" s="799"/>
      <c r="AU144" s="799"/>
      <c r="AV144" s="799"/>
      <c r="AW144" s="799"/>
      <c r="AX144" s="799"/>
      <c r="AY144" s="799"/>
      <c r="AZ144" s="799"/>
      <c r="BA144" s="799"/>
      <c r="BB144" s="799"/>
      <c r="BC144" s="799"/>
      <c r="BD144" s="799"/>
      <c r="BE144" s="799"/>
      <c r="BF144" s="799"/>
      <c r="BG144" s="799"/>
    </row>
    <row r="145">
      <c r="H145" s="799"/>
      <c r="I145" s="799"/>
      <c r="J145" s="799"/>
      <c r="K145" s="799"/>
      <c r="L145" s="799"/>
      <c r="M145" s="799"/>
      <c r="N145" s="799"/>
      <c r="O145" s="799"/>
      <c r="P145" s="799"/>
      <c r="Q145" s="799"/>
      <c r="R145" s="799"/>
      <c r="S145" s="799"/>
      <c r="T145" s="799"/>
      <c r="U145" s="799"/>
      <c r="V145" s="799"/>
      <c r="W145" s="799"/>
      <c r="X145" s="799"/>
      <c r="Y145" s="799"/>
      <c r="Z145" s="799"/>
      <c r="AA145" s="799"/>
      <c r="AB145" s="799"/>
      <c r="AC145" s="799"/>
      <c r="AD145" s="799"/>
      <c r="AE145" s="799"/>
      <c r="AF145" s="799"/>
      <c r="AG145" s="799"/>
      <c r="AH145" s="799"/>
      <c r="AI145" s="799"/>
      <c r="AJ145" s="799"/>
      <c r="AK145" s="799"/>
      <c r="AL145" s="799"/>
      <c r="AM145" s="799"/>
      <c r="AN145" s="799"/>
      <c r="AO145" s="799"/>
      <c r="AP145" s="799"/>
      <c r="AQ145" s="799"/>
      <c r="AR145" s="799"/>
      <c r="AS145" s="799"/>
      <c r="AT145" s="799"/>
      <c r="AU145" s="799"/>
      <c r="AV145" s="799"/>
      <c r="AW145" s="799"/>
      <c r="AX145" s="799"/>
      <c r="AY145" s="799"/>
      <c r="AZ145" s="799"/>
      <c r="BA145" s="799"/>
      <c r="BB145" s="799"/>
      <c r="BC145" s="799"/>
      <c r="BD145" s="799"/>
      <c r="BE145" s="799"/>
      <c r="BF145" s="799"/>
      <c r="BG145" s="799"/>
    </row>
    <row r="146">
      <c r="H146" s="799"/>
      <c r="I146" s="799"/>
      <c r="J146" s="799"/>
      <c r="K146" s="799"/>
      <c r="L146" s="799"/>
      <c r="M146" s="799"/>
      <c r="N146" s="799"/>
      <c r="O146" s="799"/>
      <c r="P146" s="799"/>
      <c r="Q146" s="799"/>
      <c r="R146" s="799"/>
      <c r="S146" s="799"/>
      <c r="T146" s="799"/>
      <c r="U146" s="799"/>
      <c r="V146" s="799"/>
      <c r="W146" s="799"/>
      <c r="X146" s="799"/>
      <c r="Y146" s="799"/>
      <c r="Z146" s="799"/>
      <c r="AA146" s="799"/>
      <c r="AB146" s="799"/>
      <c r="AC146" s="799"/>
      <c r="AD146" s="799"/>
      <c r="AE146" s="799"/>
      <c r="AF146" s="799"/>
      <c r="AG146" s="799"/>
      <c r="AH146" s="799"/>
      <c r="AI146" s="799"/>
      <c r="AJ146" s="799"/>
      <c r="AK146" s="799"/>
      <c r="AL146" s="799"/>
      <c r="AM146" s="799"/>
      <c r="AN146" s="799"/>
      <c r="AO146" s="799"/>
      <c r="AP146" s="799"/>
      <c r="AQ146" s="799"/>
      <c r="AR146" s="799"/>
      <c r="AS146" s="799"/>
      <c r="AT146" s="799"/>
      <c r="AU146" s="799"/>
      <c r="AV146" s="799"/>
      <c r="AW146" s="799"/>
      <c r="AX146" s="799"/>
      <c r="AY146" s="799"/>
      <c r="AZ146" s="799"/>
      <c r="BA146" s="799"/>
      <c r="BB146" s="799"/>
      <c r="BC146" s="799"/>
      <c r="BD146" s="799"/>
      <c r="BE146" s="799"/>
      <c r="BF146" s="799"/>
      <c r="BG146" s="799"/>
    </row>
    <row r="147">
      <c r="H147" s="799"/>
      <c r="I147" s="799"/>
      <c r="J147" s="799"/>
      <c r="K147" s="799"/>
      <c r="L147" s="799"/>
      <c r="M147" s="799"/>
      <c r="N147" s="799"/>
      <c r="O147" s="799"/>
      <c r="P147" s="799"/>
      <c r="Q147" s="799"/>
      <c r="R147" s="799"/>
      <c r="S147" s="799"/>
      <c r="T147" s="799"/>
      <c r="U147" s="799"/>
      <c r="V147" s="799"/>
      <c r="W147" s="799"/>
      <c r="X147" s="799"/>
      <c r="Y147" s="799"/>
      <c r="Z147" s="799"/>
      <c r="AA147" s="799"/>
      <c r="AB147" s="799"/>
      <c r="AC147" s="799"/>
      <c r="AD147" s="799"/>
      <c r="AE147" s="799"/>
      <c r="AF147" s="799"/>
      <c r="AG147" s="799"/>
      <c r="AH147" s="799"/>
      <c r="AI147" s="799"/>
      <c r="AJ147" s="799"/>
      <c r="AK147" s="799"/>
      <c r="AL147" s="799"/>
      <c r="AM147" s="799"/>
      <c r="AN147" s="799"/>
      <c r="AO147" s="799"/>
      <c r="AP147" s="799"/>
      <c r="AQ147" s="799"/>
      <c r="AR147" s="799"/>
      <c r="AS147" s="799"/>
      <c r="AT147" s="799"/>
      <c r="AU147" s="799"/>
      <c r="AV147" s="799"/>
      <c r="AW147" s="799"/>
      <c r="AX147" s="799"/>
      <c r="AY147" s="799"/>
      <c r="AZ147" s="799"/>
      <c r="BA147" s="799"/>
      <c r="BB147" s="799"/>
      <c r="BC147" s="799"/>
      <c r="BD147" s="799"/>
      <c r="BE147" s="799"/>
      <c r="BF147" s="799"/>
      <c r="BG147" s="799"/>
    </row>
    <row r="148">
      <c r="H148" s="799"/>
      <c r="I148" s="799"/>
      <c r="J148" s="799"/>
      <c r="K148" s="799"/>
      <c r="L148" s="799"/>
      <c r="M148" s="799"/>
      <c r="N148" s="799"/>
      <c r="O148" s="799"/>
      <c r="P148" s="799"/>
      <c r="Q148" s="799"/>
      <c r="R148" s="799"/>
      <c r="S148" s="799"/>
      <c r="T148" s="799"/>
      <c r="U148" s="799"/>
      <c r="V148" s="799"/>
      <c r="W148" s="799"/>
      <c r="X148" s="799"/>
      <c r="Y148" s="799"/>
      <c r="Z148" s="799"/>
      <c r="AA148" s="799"/>
      <c r="AB148" s="799"/>
      <c r="AC148" s="799"/>
      <c r="AD148" s="799"/>
      <c r="AE148" s="799"/>
      <c r="AF148" s="799"/>
      <c r="AG148" s="799"/>
      <c r="AH148" s="799"/>
      <c r="AI148" s="799"/>
      <c r="AJ148" s="799"/>
      <c r="AK148" s="799"/>
      <c r="AL148" s="799"/>
      <c r="AM148" s="799"/>
      <c r="AN148" s="799"/>
      <c r="AO148" s="799"/>
      <c r="AP148" s="799"/>
      <c r="AQ148" s="799"/>
      <c r="AR148" s="799"/>
      <c r="AS148" s="799"/>
      <c r="AT148" s="799"/>
      <c r="AU148" s="799"/>
      <c r="AV148" s="799"/>
      <c r="AW148" s="799"/>
      <c r="AX148" s="799"/>
      <c r="AY148" s="799"/>
      <c r="AZ148" s="799"/>
      <c r="BA148" s="799"/>
      <c r="BB148" s="799"/>
      <c r="BC148" s="799"/>
      <c r="BD148" s="799"/>
      <c r="BE148" s="799"/>
      <c r="BF148" s="799"/>
      <c r="BG148" s="799"/>
    </row>
    <row r="149">
      <c r="H149" s="799"/>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799"/>
      <c r="AL149" s="799"/>
      <c r="AM149" s="799"/>
      <c r="AN149" s="799"/>
      <c r="AO149" s="799"/>
      <c r="AP149" s="799"/>
      <c r="AQ149" s="799"/>
      <c r="AR149" s="799"/>
      <c r="AS149" s="799"/>
      <c r="AT149" s="799"/>
      <c r="AU149" s="799"/>
      <c r="AV149" s="799"/>
      <c r="AW149" s="799"/>
      <c r="AX149" s="799"/>
      <c r="AY149" s="799"/>
      <c r="AZ149" s="799"/>
      <c r="BA149" s="799"/>
      <c r="BB149" s="799"/>
      <c r="BC149" s="799"/>
      <c r="BD149" s="799"/>
      <c r="BE149" s="799"/>
      <c r="BF149" s="799"/>
      <c r="BG149" s="799"/>
    </row>
    <row r="150">
      <c r="H150" s="799"/>
      <c r="I150" s="799"/>
      <c r="J150" s="799"/>
      <c r="K150" s="799"/>
      <c r="L150" s="799"/>
      <c r="M150" s="799"/>
      <c r="N150" s="799"/>
      <c r="O150" s="799"/>
      <c r="P150" s="799"/>
      <c r="Q150" s="799"/>
      <c r="R150" s="799"/>
      <c r="S150" s="799"/>
      <c r="T150" s="799"/>
      <c r="U150" s="799"/>
      <c r="V150" s="799"/>
      <c r="W150" s="799"/>
      <c r="X150" s="799"/>
      <c r="Y150" s="799"/>
      <c r="Z150" s="799"/>
      <c r="AA150" s="799"/>
      <c r="AB150" s="799"/>
      <c r="AC150" s="799"/>
      <c r="AD150" s="799"/>
      <c r="AE150" s="799"/>
      <c r="AF150" s="799"/>
      <c r="AG150" s="799"/>
      <c r="AH150" s="799"/>
      <c r="AI150" s="799"/>
      <c r="AJ150" s="799"/>
      <c r="AK150" s="799"/>
      <c r="AL150" s="799"/>
      <c r="AM150" s="799"/>
      <c r="AN150" s="799"/>
      <c r="AO150" s="799"/>
      <c r="AP150" s="799"/>
      <c r="AQ150" s="799"/>
      <c r="AR150" s="799"/>
      <c r="AS150" s="799"/>
      <c r="AT150" s="799"/>
      <c r="AU150" s="799"/>
      <c r="AV150" s="799"/>
      <c r="AW150" s="799"/>
      <c r="AX150" s="799"/>
      <c r="AY150" s="799"/>
      <c r="AZ150" s="799"/>
      <c r="BA150" s="799"/>
      <c r="BB150" s="799"/>
      <c r="BC150" s="799"/>
      <c r="BD150" s="799"/>
      <c r="BE150" s="799"/>
      <c r="BF150" s="799"/>
      <c r="BG150" s="799"/>
    </row>
    <row r="151">
      <c r="H151" s="799"/>
      <c r="I151" s="799"/>
      <c r="J151" s="799"/>
      <c r="K151" s="799"/>
      <c r="L151" s="799"/>
      <c r="M151" s="799"/>
      <c r="N151" s="799"/>
      <c r="O151" s="799"/>
      <c r="P151" s="799"/>
      <c r="Q151" s="799"/>
      <c r="R151" s="799"/>
      <c r="S151" s="799"/>
      <c r="T151" s="799"/>
      <c r="U151" s="799"/>
      <c r="V151" s="799"/>
      <c r="W151" s="799"/>
      <c r="X151" s="799"/>
      <c r="Y151" s="799"/>
      <c r="Z151" s="799"/>
      <c r="AA151" s="799"/>
      <c r="AB151" s="799"/>
      <c r="AC151" s="799"/>
      <c r="AD151" s="799"/>
      <c r="AE151" s="799"/>
      <c r="AF151" s="799"/>
      <c r="AG151" s="799"/>
      <c r="AH151" s="799"/>
      <c r="AI151" s="799"/>
      <c r="AJ151" s="799"/>
      <c r="AK151" s="799"/>
      <c r="AL151" s="799"/>
      <c r="AM151" s="799"/>
      <c r="AN151" s="799"/>
      <c r="AO151" s="799"/>
      <c r="AP151" s="799"/>
      <c r="AQ151" s="799"/>
      <c r="AR151" s="799"/>
      <c r="AS151" s="799"/>
      <c r="AT151" s="799"/>
      <c r="AU151" s="799"/>
      <c r="AV151" s="799"/>
      <c r="AW151" s="799"/>
      <c r="AX151" s="799"/>
      <c r="AY151" s="799"/>
      <c r="AZ151" s="799"/>
      <c r="BA151" s="799"/>
      <c r="BB151" s="799"/>
      <c r="BC151" s="799"/>
      <c r="BD151" s="799"/>
      <c r="BE151" s="799"/>
      <c r="BF151" s="799"/>
      <c r="BG151" s="799"/>
    </row>
    <row r="152">
      <c r="H152" s="799"/>
      <c r="I152" s="799"/>
      <c r="J152" s="799"/>
      <c r="K152" s="799"/>
      <c r="L152" s="799"/>
      <c r="M152" s="799"/>
      <c r="N152" s="799"/>
      <c r="O152" s="799"/>
      <c r="P152" s="799"/>
      <c r="Q152" s="799"/>
      <c r="R152" s="799"/>
      <c r="S152" s="799"/>
      <c r="T152" s="799"/>
      <c r="U152" s="799"/>
      <c r="V152" s="799"/>
      <c r="W152" s="799"/>
      <c r="X152" s="799"/>
      <c r="Y152" s="799"/>
      <c r="Z152" s="799"/>
      <c r="AA152" s="799"/>
      <c r="AB152" s="799"/>
      <c r="AC152" s="799"/>
      <c r="AD152" s="799"/>
      <c r="AE152" s="799"/>
      <c r="AF152" s="799"/>
      <c r="AG152" s="799"/>
      <c r="AH152" s="799"/>
      <c r="AI152" s="799"/>
      <c r="AJ152" s="799"/>
      <c r="AK152" s="799"/>
      <c r="AL152" s="799"/>
      <c r="AM152" s="799"/>
      <c r="AN152" s="799"/>
      <c r="AO152" s="799"/>
      <c r="AP152" s="799"/>
      <c r="AQ152" s="799"/>
      <c r="AR152" s="799"/>
      <c r="AS152" s="799"/>
      <c r="AT152" s="799"/>
      <c r="AU152" s="799"/>
      <c r="AV152" s="799"/>
      <c r="AW152" s="799"/>
      <c r="AX152" s="799"/>
      <c r="AY152" s="799"/>
      <c r="AZ152" s="799"/>
      <c r="BA152" s="799"/>
      <c r="BB152" s="799"/>
      <c r="BC152" s="799"/>
      <c r="BD152" s="799"/>
      <c r="BE152" s="799"/>
      <c r="BF152" s="799"/>
      <c r="BG152" s="799"/>
    </row>
    <row r="153">
      <c r="H153" s="799"/>
      <c r="I153" s="799"/>
      <c r="J153" s="799"/>
      <c r="K153" s="799"/>
      <c r="L153" s="799"/>
      <c r="M153" s="799"/>
      <c r="N153" s="799"/>
      <c r="O153" s="799"/>
      <c r="P153" s="799"/>
      <c r="Q153" s="799"/>
      <c r="R153" s="799"/>
      <c r="S153" s="799"/>
      <c r="T153" s="799"/>
      <c r="U153" s="799"/>
      <c r="V153" s="799"/>
      <c r="W153" s="799"/>
      <c r="X153" s="799"/>
      <c r="Y153" s="799"/>
      <c r="Z153" s="799"/>
      <c r="AA153" s="799"/>
      <c r="AB153" s="799"/>
      <c r="AC153" s="799"/>
      <c r="AD153" s="799"/>
      <c r="AE153" s="799"/>
      <c r="AF153" s="799"/>
      <c r="AG153" s="799"/>
      <c r="AH153" s="799"/>
      <c r="AI153" s="799"/>
      <c r="AJ153" s="799"/>
      <c r="AK153" s="799"/>
      <c r="AL153" s="799"/>
      <c r="AM153" s="799"/>
      <c r="AN153" s="799"/>
      <c r="AO153" s="799"/>
      <c r="AP153" s="799"/>
      <c r="AQ153" s="799"/>
      <c r="AR153" s="799"/>
      <c r="AS153" s="799"/>
      <c r="AT153" s="799"/>
      <c r="AU153" s="799"/>
      <c r="AV153" s="799"/>
      <c r="AW153" s="799"/>
      <c r="AX153" s="799"/>
      <c r="AY153" s="799"/>
      <c r="AZ153" s="799"/>
      <c r="BA153" s="799"/>
      <c r="BB153" s="799"/>
      <c r="BC153" s="799"/>
      <c r="BD153" s="799"/>
      <c r="BE153" s="799"/>
      <c r="BF153" s="799"/>
      <c r="BG153" s="799"/>
    </row>
    <row r="154">
      <c r="H154" s="799"/>
      <c r="I154" s="799"/>
      <c r="J154" s="799"/>
      <c r="K154" s="799"/>
      <c r="L154" s="799"/>
      <c r="M154" s="799"/>
      <c r="N154" s="799"/>
      <c r="O154" s="799"/>
      <c r="P154" s="799"/>
      <c r="Q154" s="799"/>
      <c r="R154" s="799"/>
      <c r="S154" s="799"/>
      <c r="T154" s="799"/>
      <c r="U154" s="799"/>
      <c r="V154" s="799"/>
      <c r="W154" s="799"/>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row>
    <row r="155">
      <c r="H155" s="799"/>
      <c r="I155" s="799"/>
      <c r="J155" s="799"/>
      <c r="K155" s="799"/>
      <c r="L155" s="799"/>
      <c r="M155" s="799"/>
      <c r="N155" s="799"/>
      <c r="O155" s="799"/>
      <c r="P155" s="799"/>
      <c r="Q155" s="799"/>
      <c r="R155" s="799"/>
      <c r="S155" s="799"/>
      <c r="T155" s="799"/>
      <c r="U155" s="799"/>
      <c r="V155" s="799"/>
      <c r="W155" s="799"/>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row>
    <row r="156">
      <c r="H156" s="799"/>
      <c r="I156" s="799"/>
      <c r="J156" s="799"/>
      <c r="K156" s="799"/>
      <c r="L156" s="799"/>
      <c r="M156" s="799"/>
      <c r="N156" s="799"/>
      <c r="O156" s="799"/>
      <c r="P156" s="799"/>
      <c r="Q156" s="799"/>
      <c r="R156" s="799"/>
      <c r="S156" s="799"/>
      <c r="T156" s="799"/>
      <c r="U156" s="799"/>
      <c r="V156" s="799"/>
      <c r="W156" s="799"/>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row>
    <row r="157">
      <c r="H157" s="799"/>
      <c r="I157" s="799"/>
      <c r="J157" s="799"/>
      <c r="K157" s="799"/>
      <c r="L157" s="799"/>
      <c r="M157" s="799"/>
      <c r="N157" s="799"/>
      <c r="O157" s="799"/>
      <c r="P157" s="799"/>
      <c r="Q157" s="799"/>
      <c r="R157" s="799"/>
      <c r="S157" s="799"/>
      <c r="T157" s="799"/>
      <c r="U157" s="799"/>
      <c r="V157" s="799"/>
      <c r="W157" s="799"/>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row>
    <row r="158">
      <c r="H158" s="799"/>
      <c r="I158" s="799"/>
      <c r="J158" s="799"/>
      <c r="K158" s="799"/>
      <c r="L158" s="799"/>
      <c r="M158" s="799"/>
      <c r="N158" s="799"/>
      <c r="O158" s="799"/>
      <c r="P158" s="799"/>
      <c r="Q158" s="799"/>
      <c r="R158" s="799"/>
      <c r="S158" s="799"/>
      <c r="T158" s="799"/>
      <c r="U158" s="799"/>
      <c r="V158" s="799"/>
      <c r="W158" s="799"/>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row>
    <row r="159">
      <c r="H159" s="799"/>
      <c r="I159" s="799"/>
      <c r="J159" s="799"/>
      <c r="K159" s="799"/>
      <c r="L159" s="799"/>
      <c r="M159" s="799"/>
      <c r="N159" s="799"/>
      <c r="O159" s="799"/>
      <c r="P159" s="799"/>
      <c r="Q159" s="799"/>
      <c r="R159" s="799"/>
      <c r="S159" s="799"/>
      <c r="T159" s="799"/>
      <c r="U159" s="799"/>
      <c r="V159" s="799"/>
      <c r="W159" s="799"/>
      <c r="X159" s="799"/>
      <c r="Y159" s="799"/>
      <c r="Z159" s="799"/>
      <c r="AA159" s="799"/>
      <c r="AB159" s="799"/>
      <c r="AC159" s="799"/>
      <c r="AD159" s="799"/>
      <c r="AE159" s="799"/>
      <c r="AF159" s="799"/>
      <c r="AG159" s="799"/>
      <c r="AH159" s="799"/>
      <c r="AI159" s="799"/>
      <c r="AJ159" s="799"/>
      <c r="AK159" s="799"/>
      <c r="AL159" s="799"/>
      <c r="AM159" s="799"/>
      <c r="AN159" s="799"/>
      <c r="AO159" s="799"/>
      <c r="AP159" s="799"/>
      <c r="AQ159" s="799"/>
      <c r="AR159" s="799"/>
      <c r="AS159" s="799"/>
      <c r="AT159" s="799"/>
      <c r="AU159" s="799"/>
      <c r="AV159" s="799"/>
      <c r="AW159" s="799"/>
      <c r="AX159" s="799"/>
      <c r="AY159" s="799"/>
      <c r="AZ159" s="799"/>
      <c r="BA159" s="799"/>
      <c r="BB159" s="799"/>
      <c r="BC159" s="799"/>
      <c r="BD159" s="799"/>
      <c r="BE159" s="799"/>
      <c r="BF159" s="799"/>
      <c r="BG159" s="799"/>
    </row>
    <row r="160">
      <c r="H160" s="799"/>
      <c r="I160" s="799"/>
      <c r="J160" s="799"/>
      <c r="K160" s="799"/>
      <c r="L160" s="799"/>
      <c r="M160" s="799"/>
      <c r="N160" s="799"/>
      <c r="O160" s="799"/>
      <c r="P160" s="799"/>
      <c r="Q160" s="799"/>
      <c r="R160" s="799"/>
      <c r="S160" s="799"/>
      <c r="T160" s="799"/>
      <c r="U160" s="799"/>
      <c r="V160" s="799"/>
      <c r="W160" s="799"/>
      <c r="X160" s="799"/>
      <c r="Y160" s="799"/>
      <c r="Z160" s="799"/>
      <c r="AA160" s="799"/>
      <c r="AB160" s="799"/>
      <c r="AC160" s="799"/>
      <c r="AD160" s="799"/>
      <c r="AE160" s="799"/>
      <c r="AF160" s="799"/>
      <c r="AG160" s="799"/>
      <c r="AH160" s="799"/>
      <c r="AI160" s="799"/>
      <c r="AJ160" s="799"/>
      <c r="AK160" s="799"/>
      <c r="AL160" s="799"/>
      <c r="AM160" s="799"/>
      <c r="AN160" s="799"/>
      <c r="AO160" s="799"/>
      <c r="AP160" s="799"/>
      <c r="AQ160" s="799"/>
      <c r="AR160" s="799"/>
      <c r="AS160" s="799"/>
      <c r="AT160" s="799"/>
      <c r="AU160" s="799"/>
      <c r="AV160" s="799"/>
      <c r="AW160" s="799"/>
      <c r="AX160" s="799"/>
      <c r="AY160" s="799"/>
      <c r="AZ160" s="799"/>
      <c r="BA160" s="799"/>
      <c r="BB160" s="799"/>
      <c r="BC160" s="799"/>
      <c r="BD160" s="799"/>
      <c r="BE160" s="799"/>
      <c r="BF160" s="799"/>
      <c r="BG160" s="799"/>
    </row>
    <row r="161">
      <c r="H161" s="799"/>
      <c r="I161" s="799"/>
      <c r="J161" s="799"/>
      <c r="K161" s="799"/>
      <c r="L161" s="799"/>
      <c r="M161" s="799"/>
      <c r="N161" s="799"/>
      <c r="O161" s="799"/>
      <c r="P161" s="799"/>
      <c r="Q161" s="799"/>
      <c r="R161" s="799"/>
      <c r="S161" s="799"/>
      <c r="T161" s="799"/>
      <c r="U161" s="799"/>
      <c r="V161" s="799"/>
      <c r="W161" s="799"/>
      <c r="X161" s="799"/>
      <c r="Y161" s="799"/>
      <c r="Z161" s="799"/>
      <c r="AA161" s="799"/>
      <c r="AB161" s="799"/>
      <c r="AC161" s="799"/>
      <c r="AD161" s="799"/>
      <c r="AE161" s="799"/>
      <c r="AF161" s="799"/>
      <c r="AG161" s="799"/>
      <c r="AH161" s="799"/>
      <c r="AI161" s="799"/>
      <c r="AJ161" s="799"/>
      <c r="AK161" s="799"/>
      <c r="AL161" s="799"/>
      <c r="AM161" s="799"/>
      <c r="AN161" s="799"/>
      <c r="AO161" s="799"/>
      <c r="AP161" s="799"/>
      <c r="AQ161" s="799"/>
      <c r="AR161" s="799"/>
      <c r="AS161" s="799"/>
      <c r="AT161" s="799"/>
      <c r="AU161" s="799"/>
      <c r="AV161" s="799"/>
      <c r="AW161" s="799"/>
      <c r="AX161" s="799"/>
      <c r="AY161" s="799"/>
      <c r="AZ161" s="799"/>
      <c r="BA161" s="799"/>
      <c r="BB161" s="799"/>
      <c r="BC161" s="799"/>
      <c r="BD161" s="799"/>
      <c r="BE161" s="799"/>
      <c r="BF161" s="799"/>
      <c r="BG161" s="799"/>
    </row>
    <row r="162">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row>
    <row r="163">
      <c r="H163" s="799"/>
      <c r="I163" s="799"/>
      <c r="J163" s="799"/>
      <c r="K163" s="799"/>
      <c r="L163" s="799"/>
      <c r="M163" s="799"/>
      <c r="N163" s="799"/>
      <c r="O163" s="799"/>
      <c r="P163" s="799"/>
      <c r="Q163" s="799"/>
      <c r="R163" s="799"/>
      <c r="S163" s="799"/>
      <c r="T163" s="799"/>
      <c r="U163" s="799"/>
      <c r="V163" s="799"/>
      <c r="W163" s="799"/>
      <c r="X163" s="799"/>
      <c r="Y163" s="799"/>
      <c r="Z163" s="799"/>
      <c r="AA163" s="799"/>
      <c r="AB163" s="799"/>
      <c r="AC163" s="799"/>
      <c r="AD163" s="799"/>
      <c r="AE163" s="799"/>
      <c r="AF163" s="799"/>
      <c r="AG163" s="799"/>
      <c r="AH163" s="799"/>
      <c r="AI163" s="799"/>
      <c r="AJ163" s="799"/>
      <c r="AK163" s="799"/>
      <c r="AL163" s="799"/>
      <c r="AM163" s="799"/>
      <c r="AN163" s="799"/>
      <c r="AO163" s="799"/>
      <c r="AP163" s="799"/>
      <c r="AQ163" s="799"/>
      <c r="AR163" s="799"/>
      <c r="AS163" s="799"/>
      <c r="AT163" s="799"/>
      <c r="AU163" s="799"/>
      <c r="AV163" s="799"/>
      <c r="AW163" s="799"/>
      <c r="AX163" s="799"/>
      <c r="AY163" s="799"/>
      <c r="AZ163" s="799"/>
      <c r="BA163" s="799"/>
      <c r="BB163" s="799"/>
      <c r="BC163" s="799"/>
      <c r="BD163" s="799"/>
      <c r="BE163" s="799"/>
      <c r="BF163" s="799"/>
      <c r="BG163" s="799"/>
    </row>
    <row r="164">
      <c r="H164" s="799"/>
      <c r="I164" s="799"/>
      <c r="J164" s="799"/>
      <c r="K164" s="799"/>
      <c r="L164" s="799"/>
      <c r="M164" s="799"/>
      <c r="N164" s="799"/>
      <c r="O164" s="799"/>
      <c r="P164" s="799"/>
      <c r="Q164" s="799"/>
      <c r="R164" s="799"/>
      <c r="S164" s="799"/>
      <c r="T164" s="799"/>
      <c r="U164" s="799"/>
      <c r="V164" s="799"/>
      <c r="W164" s="799"/>
      <c r="X164" s="799"/>
      <c r="Y164" s="799"/>
      <c r="Z164" s="799"/>
      <c r="AA164" s="799"/>
      <c r="AB164" s="799"/>
      <c r="AC164" s="799"/>
      <c r="AD164" s="799"/>
      <c r="AE164" s="799"/>
      <c r="AF164" s="799"/>
      <c r="AG164" s="799"/>
      <c r="AH164" s="799"/>
      <c r="AI164" s="799"/>
      <c r="AJ164" s="799"/>
      <c r="AK164" s="799"/>
      <c r="AL164" s="799"/>
      <c r="AM164" s="799"/>
      <c r="AN164" s="799"/>
      <c r="AO164" s="799"/>
      <c r="AP164" s="799"/>
      <c r="AQ164" s="799"/>
      <c r="AR164" s="799"/>
      <c r="AS164" s="799"/>
      <c r="AT164" s="799"/>
      <c r="AU164" s="799"/>
      <c r="AV164" s="799"/>
      <c r="AW164" s="799"/>
      <c r="AX164" s="799"/>
      <c r="AY164" s="799"/>
      <c r="AZ164" s="799"/>
      <c r="BA164" s="799"/>
      <c r="BB164" s="799"/>
      <c r="BC164" s="799"/>
      <c r="BD164" s="799"/>
      <c r="BE164" s="799"/>
      <c r="BF164" s="799"/>
      <c r="BG164" s="799"/>
    </row>
    <row r="165">
      <c r="H165" s="799"/>
      <c r="I165" s="799"/>
      <c r="J165" s="799"/>
      <c r="K165" s="799"/>
      <c r="L165" s="799"/>
      <c r="M165" s="799"/>
      <c r="N165" s="799"/>
      <c r="O165" s="799"/>
      <c r="P165" s="799"/>
      <c r="Q165" s="799"/>
      <c r="R165" s="799"/>
      <c r="S165" s="799"/>
      <c r="T165" s="799"/>
      <c r="U165" s="799"/>
      <c r="V165" s="799"/>
      <c r="W165" s="799"/>
      <c r="X165" s="799"/>
      <c r="Y165" s="799"/>
      <c r="Z165" s="799"/>
      <c r="AA165" s="799"/>
      <c r="AB165" s="799"/>
      <c r="AC165" s="799"/>
      <c r="AD165" s="799"/>
      <c r="AE165" s="799"/>
      <c r="AF165" s="799"/>
      <c r="AG165" s="799"/>
      <c r="AH165" s="799"/>
      <c r="AI165" s="799"/>
      <c r="AJ165" s="799"/>
      <c r="AK165" s="799"/>
      <c r="AL165" s="799"/>
      <c r="AM165" s="799"/>
      <c r="AN165" s="799"/>
      <c r="AO165" s="799"/>
      <c r="AP165" s="799"/>
      <c r="AQ165" s="799"/>
      <c r="AR165" s="799"/>
      <c r="AS165" s="799"/>
      <c r="AT165" s="799"/>
      <c r="AU165" s="799"/>
      <c r="AV165" s="799"/>
      <c r="AW165" s="799"/>
      <c r="AX165" s="799"/>
      <c r="AY165" s="799"/>
      <c r="AZ165" s="799"/>
      <c r="BA165" s="799"/>
      <c r="BB165" s="799"/>
      <c r="BC165" s="799"/>
      <c r="BD165" s="799"/>
      <c r="BE165" s="799"/>
      <c r="BF165" s="799"/>
      <c r="BG165" s="799"/>
    </row>
    <row r="166">
      <c r="H166" s="799"/>
      <c r="I166" s="799"/>
      <c r="J166" s="799"/>
      <c r="K166" s="799"/>
      <c r="L166" s="799"/>
      <c r="M166" s="799"/>
      <c r="N166" s="799"/>
      <c r="O166" s="799"/>
      <c r="P166" s="799"/>
      <c r="Q166" s="799"/>
      <c r="R166" s="799"/>
      <c r="S166" s="799"/>
      <c r="T166" s="799"/>
      <c r="U166" s="799"/>
      <c r="V166" s="799"/>
      <c r="W166" s="799"/>
      <c r="X166" s="799"/>
      <c r="Y166" s="799"/>
      <c r="Z166" s="799"/>
      <c r="AA166" s="799"/>
      <c r="AB166" s="799"/>
      <c r="AC166" s="799"/>
      <c r="AD166" s="799"/>
      <c r="AE166" s="799"/>
      <c r="AF166" s="799"/>
      <c r="AG166" s="799"/>
      <c r="AH166" s="799"/>
      <c r="AI166" s="799"/>
      <c r="AJ166" s="799"/>
      <c r="AK166" s="799"/>
      <c r="AL166" s="799"/>
      <c r="AM166" s="799"/>
      <c r="AN166" s="799"/>
      <c r="AO166" s="799"/>
      <c r="AP166" s="799"/>
      <c r="AQ166" s="799"/>
      <c r="AR166" s="799"/>
      <c r="AS166" s="799"/>
      <c r="AT166" s="799"/>
      <c r="AU166" s="799"/>
      <c r="AV166" s="799"/>
      <c r="AW166" s="799"/>
      <c r="AX166" s="799"/>
      <c r="AY166" s="799"/>
      <c r="AZ166" s="799"/>
      <c r="BA166" s="799"/>
      <c r="BB166" s="799"/>
      <c r="BC166" s="799"/>
      <c r="BD166" s="799"/>
      <c r="BE166" s="799"/>
      <c r="BF166" s="799"/>
      <c r="BG166" s="799"/>
    </row>
    <row r="167">
      <c r="H167" s="799"/>
      <c r="I167" s="799"/>
      <c r="J167" s="799"/>
      <c r="K167" s="799"/>
      <c r="L167" s="799"/>
      <c r="M167" s="799"/>
      <c r="N167" s="799"/>
      <c r="O167" s="799"/>
      <c r="P167" s="799"/>
      <c r="Q167" s="799"/>
      <c r="R167" s="799"/>
      <c r="S167" s="799"/>
      <c r="T167" s="799"/>
      <c r="U167" s="799"/>
      <c r="V167" s="799"/>
      <c r="W167" s="799"/>
      <c r="X167" s="799"/>
      <c r="Y167" s="799"/>
      <c r="Z167" s="799"/>
      <c r="AA167" s="799"/>
      <c r="AB167" s="799"/>
      <c r="AC167" s="799"/>
      <c r="AD167" s="799"/>
      <c r="AE167" s="799"/>
      <c r="AF167" s="799"/>
      <c r="AG167" s="799"/>
      <c r="AH167" s="799"/>
      <c r="AI167" s="799"/>
      <c r="AJ167" s="799"/>
      <c r="AK167" s="799"/>
      <c r="AL167" s="799"/>
      <c r="AM167" s="799"/>
      <c r="AN167" s="799"/>
      <c r="AO167" s="799"/>
      <c r="AP167" s="799"/>
      <c r="AQ167" s="799"/>
      <c r="AR167" s="799"/>
      <c r="AS167" s="799"/>
      <c r="AT167" s="799"/>
      <c r="AU167" s="799"/>
      <c r="AV167" s="799"/>
      <c r="AW167" s="799"/>
      <c r="AX167" s="799"/>
      <c r="AY167" s="799"/>
      <c r="AZ167" s="799"/>
      <c r="BA167" s="799"/>
      <c r="BB167" s="799"/>
      <c r="BC167" s="799"/>
      <c r="BD167" s="799"/>
      <c r="BE167" s="799"/>
      <c r="BF167" s="799"/>
      <c r="BG167" s="799"/>
    </row>
    <row r="168">
      <c r="H168" s="799"/>
      <c r="I168" s="799"/>
      <c r="J168" s="799"/>
      <c r="K168" s="799"/>
      <c r="L168" s="799"/>
      <c r="M168" s="799"/>
      <c r="N168" s="799"/>
      <c r="O168" s="799"/>
      <c r="P168" s="799"/>
      <c r="Q168" s="799"/>
      <c r="R168" s="799"/>
      <c r="S168" s="799"/>
      <c r="T168" s="799"/>
      <c r="U168" s="799"/>
      <c r="V168" s="799"/>
      <c r="W168" s="799"/>
      <c r="X168" s="799"/>
      <c r="Y168" s="799"/>
      <c r="Z168" s="799"/>
      <c r="AA168" s="799"/>
      <c r="AB168" s="799"/>
      <c r="AC168" s="799"/>
      <c r="AD168" s="799"/>
      <c r="AE168" s="799"/>
      <c r="AF168" s="799"/>
      <c r="AG168" s="799"/>
      <c r="AH168" s="799"/>
      <c r="AI168" s="799"/>
      <c r="AJ168" s="799"/>
      <c r="AK168" s="799"/>
      <c r="AL168" s="799"/>
      <c r="AM168" s="799"/>
      <c r="AN168" s="799"/>
      <c r="AO168" s="799"/>
      <c r="AP168" s="799"/>
      <c r="AQ168" s="799"/>
      <c r="AR168" s="799"/>
      <c r="AS168" s="799"/>
      <c r="AT168" s="799"/>
      <c r="AU168" s="799"/>
      <c r="AV168" s="799"/>
      <c r="AW168" s="799"/>
      <c r="AX168" s="799"/>
      <c r="AY168" s="799"/>
      <c r="AZ168" s="799"/>
      <c r="BA168" s="799"/>
      <c r="BB168" s="799"/>
      <c r="BC168" s="799"/>
      <c r="BD168" s="799"/>
      <c r="BE168" s="799"/>
      <c r="BF168" s="799"/>
      <c r="BG168" s="799"/>
    </row>
    <row r="169">
      <c r="H169" s="799"/>
      <c r="I169" s="799"/>
      <c r="J169" s="799"/>
      <c r="K169" s="799"/>
      <c r="L169" s="799"/>
      <c r="M169" s="799"/>
      <c r="N169" s="799"/>
      <c r="O169" s="799"/>
      <c r="P169" s="799"/>
      <c r="Q169" s="799"/>
      <c r="R169" s="799"/>
      <c r="S169" s="799"/>
      <c r="T169" s="799"/>
      <c r="U169" s="799"/>
      <c r="V169" s="799"/>
      <c r="W169" s="799"/>
      <c r="X169" s="799"/>
      <c r="Y169" s="799"/>
      <c r="Z169" s="799"/>
      <c r="AA169" s="799"/>
      <c r="AB169" s="799"/>
      <c r="AC169" s="799"/>
      <c r="AD169" s="799"/>
      <c r="AE169" s="799"/>
      <c r="AF169" s="799"/>
      <c r="AG169" s="799"/>
      <c r="AH169" s="799"/>
      <c r="AI169" s="799"/>
      <c r="AJ169" s="799"/>
      <c r="AK169" s="799"/>
      <c r="AL169" s="799"/>
      <c r="AM169" s="799"/>
      <c r="AN169" s="799"/>
      <c r="AO169" s="799"/>
      <c r="AP169" s="799"/>
      <c r="AQ169" s="799"/>
      <c r="AR169" s="799"/>
      <c r="AS169" s="799"/>
      <c r="AT169" s="799"/>
      <c r="AU169" s="799"/>
      <c r="AV169" s="799"/>
      <c r="AW169" s="799"/>
      <c r="AX169" s="799"/>
      <c r="AY169" s="799"/>
      <c r="AZ169" s="799"/>
      <c r="BA169" s="799"/>
      <c r="BB169" s="799"/>
      <c r="BC169" s="799"/>
      <c r="BD169" s="799"/>
      <c r="BE169" s="799"/>
      <c r="BF169" s="799"/>
      <c r="BG169" s="799"/>
    </row>
    <row r="170">
      <c r="H170" s="799"/>
      <c r="I170" s="799"/>
      <c r="J170" s="799"/>
      <c r="K170" s="799"/>
      <c r="L170" s="799"/>
      <c r="M170" s="799"/>
      <c r="N170" s="799"/>
      <c r="O170" s="799"/>
      <c r="P170" s="799"/>
      <c r="Q170" s="799"/>
      <c r="R170" s="799"/>
      <c r="S170" s="799"/>
      <c r="T170" s="799"/>
      <c r="U170" s="799"/>
      <c r="V170" s="799"/>
      <c r="W170" s="799"/>
      <c r="X170" s="799"/>
      <c r="Y170" s="799"/>
      <c r="Z170" s="799"/>
      <c r="AA170" s="799"/>
      <c r="AB170" s="799"/>
      <c r="AC170" s="799"/>
      <c r="AD170" s="799"/>
      <c r="AE170" s="799"/>
      <c r="AF170" s="799"/>
      <c r="AG170" s="799"/>
      <c r="AH170" s="799"/>
      <c r="AI170" s="799"/>
      <c r="AJ170" s="799"/>
      <c r="AK170" s="799"/>
      <c r="AL170" s="799"/>
      <c r="AM170" s="799"/>
      <c r="AN170" s="799"/>
      <c r="AO170" s="799"/>
      <c r="AP170" s="799"/>
      <c r="AQ170" s="799"/>
      <c r="AR170" s="799"/>
      <c r="AS170" s="799"/>
      <c r="AT170" s="799"/>
      <c r="AU170" s="799"/>
      <c r="AV170" s="799"/>
      <c r="AW170" s="799"/>
      <c r="AX170" s="799"/>
      <c r="AY170" s="799"/>
      <c r="AZ170" s="799"/>
      <c r="BA170" s="799"/>
      <c r="BB170" s="799"/>
      <c r="BC170" s="799"/>
      <c r="BD170" s="799"/>
      <c r="BE170" s="799"/>
      <c r="BF170" s="799"/>
      <c r="BG170" s="799"/>
    </row>
    <row r="171">
      <c r="H171" s="799"/>
      <c r="I171" s="799"/>
      <c r="J171" s="799"/>
      <c r="K171" s="799"/>
      <c r="L171" s="799"/>
      <c r="M171" s="799"/>
      <c r="N171" s="799"/>
      <c r="O171" s="799"/>
      <c r="P171" s="799"/>
      <c r="Q171" s="799"/>
      <c r="R171" s="799"/>
      <c r="S171" s="799"/>
      <c r="T171" s="799"/>
      <c r="U171" s="799"/>
      <c r="V171" s="799"/>
      <c r="W171" s="799"/>
      <c r="X171" s="799"/>
      <c r="Y171" s="799"/>
      <c r="Z171" s="799"/>
      <c r="AA171" s="799"/>
      <c r="AB171" s="799"/>
      <c r="AC171" s="799"/>
      <c r="AD171" s="799"/>
      <c r="AE171" s="799"/>
      <c r="AF171" s="799"/>
      <c r="AG171" s="799"/>
      <c r="AH171" s="799"/>
      <c r="AI171" s="799"/>
      <c r="AJ171" s="799"/>
      <c r="AK171" s="799"/>
      <c r="AL171" s="799"/>
      <c r="AM171" s="799"/>
      <c r="AN171" s="799"/>
      <c r="AO171" s="799"/>
      <c r="AP171" s="799"/>
      <c r="AQ171" s="799"/>
      <c r="AR171" s="799"/>
      <c r="AS171" s="799"/>
      <c r="AT171" s="799"/>
      <c r="AU171" s="799"/>
      <c r="AV171" s="799"/>
      <c r="AW171" s="799"/>
      <c r="AX171" s="799"/>
      <c r="AY171" s="799"/>
      <c r="AZ171" s="799"/>
      <c r="BA171" s="799"/>
      <c r="BB171" s="799"/>
      <c r="BC171" s="799"/>
      <c r="BD171" s="799"/>
      <c r="BE171" s="799"/>
      <c r="BF171" s="799"/>
      <c r="BG171" s="799"/>
    </row>
    <row r="172">
      <c r="H172" s="799"/>
      <c r="I172" s="799"/>
      <c r="J172" s="799"/>
      <c r="K172" s="799"/>
      <c r="L172" s="799"/>
      <c r="M172" s="799"/>
      <c r="N172" s="799"/>
      <c r="O172" s="799"/>
      <c r="P172" s="799"/>
      <c r="Q172" s="799"/>
      <c r="R172" s="799"/>
      <c r="S172" s="799"/>
      <c r="T172" s="799"/>
      <c r="U172" s="799"/>
      <c r="V172" s="799"/>
      <c r="W172" s="799"/>
      <c r="X172" s="799"/>
      <c r="Y172" s="799"/>
      <c r="Z172" s="799"/>
      <c r="AA172" s="799"/>
      <c r="AB172" s="799"/>
      <c r="AC172" s="799"/>
      <c r="AD172" s="799"/>
      <c r="AE172" s="799"/>
      <c r="AF172" s="799"/>
      <c r="AG172" s="799"/>
      <c r="AH172" s="799"/>
      <c r="AI172" s="799"/>
      <c r="AJ172" s="799"/>
      <c r="AK172" s="799"/>
      <c r="AL172" s="799"/>
      <c r="AM172" s="799"/>
      <c r="AN172" s="799"/>
      <c r="AO172" s="799"/>
      <c r="AP172" s="799"/>
      <c r="AQ172" s="799"/>
      <c r="AR172" s="799"/>
      <c r="AS172" s="799"/>
      <c r="AT172" s="799"/>
      <c r="AU172" s="799"/>
      <c r="AV172" s="799"/>
      <c r="AW172" s="799"/>
      <c r="AX172" s="799"/>
      <c r="AY172" s="799"/>
      <c r="AZ172" s="799"/>
      <c r="BA172" s="799"/>
      <c r="BB172" s="799"/>
      <c r="BC172" s="799"/>
      <c r="BD172" s="799"/>
      <c r="BE172" s="799"/>
      <c r="BF172" s="799"/>
      <c r="BG172" s="799"/>
    </row>
    <row r="173">
      <c r="H173" s="799"/>
      <c r="I173" s="799"/>
      <c r="J173" s="799"/>
      <c r="K173" s="799"/>
      <c r="L173" s="799"/>
      <c r="M173" s="799"/>
      <c r="N173" s="799"/>
      <c r="O173" s="799"/>
      <c r="P173" s="799"/>
      <c r="Q173" s="799"/>
      <c r="R173" s="799"/>
      <c r="S173" s="799"/>
      <c r="T173" s="799"/>
      <c r="U173" s="799"/>
      <c r="V173" s="799"/>
      <c r="W173" s="799"/>
      <c r="X173" s="799"/>
      <c r="Y173" s="799"/>
      <c r="Z173" s="799"/>
      <c r="AA173" s="799"/>
      <c r="AB173" s="799"/>
      <c r="AC173" s="799"/>
      <c r="AD173" s="799"/>
      <c r="AE173" s="799"/>
      <c r="AF173" s="799"/>
      <c r="AG173" s="799"/>
      <c r="AH173" s="799"/>
      <c r="AI173" s="799"/>
      <c r="AJ173" s="799"/>
      <c r="AK173" s="799"/>
      <c r="AL173" s="799"/>
      <c r="AM173" s="799"/>
      <c r="AN173" s="799"/>
      <c r="AO173" s="799"/>
      <c r="AP173" s="799"/>
      <c r="AQ173" s="799"/>
      <c r="AR173" s="799"/>
      <c r="AS173" s="799"/>
      <c r="AT173" s="799"/>
      <c r="AU173" s="799"/>
      <c r="AV173" s="799"/>
      <c r="AW173" s="799"/>
      <c r="AX173" s="799"/>
      <c r="AY173" s="799"/>
      <c r="AZ173" s="799"/>
      <c r="BA173" s="799"/>
      <c r="BB173" s="799"/>
      <c r="BC173" s="799"/>
      <c r="BD173" s="799"/>
      <c r="BE173" s="799"/>
      <c r="BF173" s="799"/>
      <c r="BG173" s="799"/>
    </row>
    <row r="174">
      <c r="H174" s="799"/>
      <c r="I174" s="799"/>
      <c r="J174" s="799"/>
      <c r="K174" s="799"/>
      <c r="L174" s="799"/>
      <c r="M174" s="799"/>
      <c r="N174" s="799"/>
      <c r="O174" s="799"/>
      <c r="P174" s="799"/>
      <c r="Q174" s="799"/>
      <c r="R174" s="799"/>
      <c r="S174" s="799"/>
      <c r="T174" s="799"/>
      <c r="U174" s="799"/>
      <c r="V174" s="799"/>
      <c r="W174" s="799"/>
      <c r="X174" s="799"/>
      <c r="Y174" s="799"/>
      <c r="Z174" s="799"/>
      <c r="AA174" s="799"/>
      <c r="AB174" s="799"/>
      <c r="AC174" s="799"/>
      <c r="AD174" s="799"/>
      <c r="AE174" s="799"/>
      <c r="AF174" s="799"/>
      <c r="AG174" s="799"/>
      <c r="AH174" s="799"/>
      <c r="AI174" s="799"/>
      <c r="AJ174" s="799"/>
      <c r="AK174" s="799"/>
      <c r="AL174" s="799"/>
      <c r="AM174" s="799"/>
      <c r="AN174" s="799"/>
      <c r="AO174" s="799"/>
      <c r="AP174" s="799"/>
      <c r="AQ174" s="799"/>
      <c r="AR174" s="799"/>
      <c r="AS174" s="799"/>
      <c r="AT174" s="799"/>
      <c r="AU174" s="799"/>
      <c r="AV174" s="799"/>
      <c r="AW174" s="799"/>
      <c r="AX174" s="799"/>
      <c r="AY174" s="799"/>
      <c r="AZ174" s="799"/>
      <c r="BA174" s="799"/>
      <c r="BB174" s="799"/>
      <c r="BC174" s="799"/>
      <c r="BD174" s="799"/>
      <c r="BE174" s="799"/>
      <c r="BF174" s="799"/>
      <c r="BG174" s="799"/>
    </row>
    <row r="175">
      <c r="H175" s="799"/>
      <c r="I175" s="799"/>
      <c r="J175" s="799"/>
      <c r="K175" s="799"/>
      <c r="L175" s="799"/>
      <c r="M175" s="799"/>
      <c r="N175" s="799"/>
      <c r="O175" s="799"/>
      <c r="P175" s="799"/>
      <c r="Q175" s="799"/>
      <c r="R175" s="799"/>
      <c r="S175" s="799"/>
      <c r="T175" s="799"/>
      <c r="U175" s="799"/>
      <c r="V175" s="799"/>
      <c r="W175" s="799"/>
      <c r="X175" s="799"/>
      <c r="Y175" s="799"/>
      <c r="Z175" s="799"/>
      <c r="AA175" s="799"/>
      <c r="AB175" s="799"/>
      <c r="AC175" s="799"/>
      <c r="AD175" s="799"/>
      <c r="AE175" s="799"/>
      <c r="AF175" s="799"/>
      <c r="AG175" s="799"/>
      <c r="AH175" s="799"/>
      <c r="AI175" s="799"/>
      <c r="AJ175" s="799"/>
      <c r="AK175" s="799"/>
      <c r="AL175" s="799"/>
      <c r="AM175" s="799"/>
      <c r="AN175" s="799"/>
      <c r="AO175" s="799"/>
      <c r="AP175" s="799"/>
      <c r="AQ175" s="799"/>
      <c r="AR175" s="799"/>
      <c r="AS175" s="799"/>
      <c r="AT175" s="799"/>
      <c r="AU175" s="799"/>
      <c r="AV175" s="799"/>
      <c r="AW175" s="799"/>
      <c r="AX175" s="799"/>
      <c r="AY175" s="799"/>
      <c r="AZ175" s="799"/>
      <c r="BA175" s="799"/>
      <c r="BB175" s="799"/>
      <c r="BC175" s="799"/>
      <c r="BD175" s="799"/>
      <c r="BE175" s="799"/>
      <c r="BF175" s="799"/>
      <c r="BG175" s="799"/>
    </row>
    <row r="176">
      <c r="H176" s="799"/>
      <c r="I176" s="799"/>
      <c r="J176" s="799"/>
      <c r="K176" s="799"/>
      <c r="L176" s="799"/>
      <c r="M176" s="799"/>
      <c r="N176" s="799"/>
      <c r="O176" s="799"/>
      <c r="P176" s="799"/>
      <c r="Q176" s="799"/>
      <c r="R176" s="799"/>
      <c r="S176" s="799"/>
      <c r="T176" s="799"/>
      <c r="U176" s="799"/>
      <c r="V176" s="799"/>
      <c r="W176" s="799"/>
      <c r="X176" s="799"/>
      <c r="Y176" s="799"/>
      <c r="Z176" s="799"/>
      <c r="AA176" s="799"/>
      <c r="AB176" s="799"/>
      <c r="AC176" s="799"/>
      <c r="AD176" s="799"/>
      <c r="AE176" s="799"/>
      <c r="AF176" s="799"/>
      <c r="AG176" s="799"/>
      <c r="AH176" s="799"/>
      <c r="AI176" s="799"/>
      <c r="AJ176" s="799"/>
      <c r="AK176" s="799"/>
      <c r="AL176" s="799"/>
      <c r="AM176" s="799"/>
      <c r="AN176" s="799"/>
      <c r="AO176" s="799"/>
      <c r="AP176" s="799"/>
      <c r="AQ176" s="799"/>
      <c r="AR176" s="799"/>
      <c r="AS176" s="799"/>
      <c r="AT176" s="799"/>
      <c r="AU176" s="799"/>
      <c r="AV176" s="799"/>
      <c r="AW176" s="799"/>
      <c r="AX176" s="799"/>
      <c r="AY176" s="799"/>
      <c r="AZ176" s="799"/>
      <c r="BA176" s="799"/>
      <c r="BB176" s="799"/>
      <c r="BC176" s="799"/>
      <c r="BD176" s="799"/>
      <c r="BE176" s="799"/>
      <c r="BF176" s="799"/>
      <c r="BG176" s="799"/>
    </row>
    <row r="177">
      <c r="H177" s="799"/>
      <c r="I177" s="799"/>
      <c r="J177" s="799"/>
      <c r="K177" s="799"/>
      <c r="L177" s="799"/>
      <c r="M177" s="799"/>
      <c r="N177" s="799"/>
      <c r="O177" s="799"/>
      <c r="P177" s="799"/>
      <c r="Q177" s="799"/>
      <c r="R177" s="799"/>
      <c r="S177" s="799"/>
      <c r="T177" s="799"/>
      <c r="U177" s="799"/>
      <c r="V177" s="799"/>
      <c r="W177" s="799"/>
      <c r="X177" s="799"/>
      <c r="Y177" s="799"/>
      <c r="Z177" s="799"/>
      <c r="AA177" s="799"/>
      <c r="AB177" s="799"/>
      <c r="AC177" s="799"/>
      <c r="AD177" s="799"/>
      <c r="AE177" s="799"/>
      <c r="AF177" s="799"/>
      <c r="AG177" s="799"/>
      <c r="AH177" s="799"/>
      <c r="AI177" s="799"/>
      <c r="AJ177" s="799"/>
      <c r="AK177" s="799"/>
      <c r="AL177" s="799"/>
      <c r="AM177" s="799"/>
      <c r="AN177" s="799"/>
      <c r="AO177" s="799"/>
      <c r="AP177" s="799"/>
      <c r="AQ177" s="799"/>
      <c r="AR177" s="799"/>
      <c r="AS177" s="799"/>
      <c r="AT177" s="799"/>
      <c r="AU177" s="799"/>
      <c r="AV177" s="799"/>
      <c r="AW177" s="799"/>
      <c r="AX177" s="799"/>
      <c r="AY177" s="799"/>
      <c r="AZ177" s="799"/>
      <c r="BA177" s="799"/>
      <c r="BB177" s="799"/>
      <c r="BC177" s="799"/>
      <c r="BD177" s="799"/>
      <c r="BE177" s="799"/>
      <c r="BF177" s="799"/>
      <c r="BG177" s="799"/>
    </row>
    <row r="178">
      <c r="H178" s="799"/>
      <c r="I178" s="799"/>
      <c r="J178" s="799"/>
      <c r="K178" s="799"/>
      <c r="L178" s="799"/>
      <c r="M178" s="799"/>
      <c r="N178" s="799"/>
      <c r="O178" s="799"/>
      <c r="P178" s="799"/>
      <c r="Q178" s="799"/>
      <c r="R178" s="799"/>
      <c r="S178" s="799"/>
      <c r="T178" s="799"/>
      <c r="U178" s="799"/>
      <c r="V178" s="799"/>
      <c r="W178" s="799"/>
      <c r="X178" s="799"/>
      <c r="Y178" s="799"/>
      <c r="Z178" s="799"/>
      <c r="AA178" s="799"/>
      <c r="AB178" s="799"/>
      <c r="AC178" s="799"/>
      <c r="AD178" s="799"/>
      <c r="AE178" s="799"/>
      <c r="AF178" s="799"/>
      <c r="AG178" s="799"/>
      <c r="AH178" s="799"/>
      <c r="AI178" s="799"/>
      <c r="AJ178" s="799"/>
      <c r="AK178" s="799"/>
      <c r="AL178" s="799"/>
      <c r="AM178" s="799"/>
      <c r="AN178" s="799"/>
      <c r="AO178" s="799"/>
      <c r="AP178" s="799"/>
      <c r="AQ178" s="799"/>
      <c r="AR178" s="799"/>
      <c r="AS178" s="799"/>
      <c r="AT178" s="799"/>
      <c r="AU178" s="799"/>
      <c r="AV178" s="799"/>
      <c r="AW178" s="799"/>
      <c r="AX178" s="799"/>
      <c r="AY178" s="799"/>
      <c r="AZ178" s="799"/>
      <c r="BA178" s="799"/>
      <c r="BB178" s="799"/>
      <c r="BC178" s="799"/>
      <c r="BD178" s="799"/>
      <c r="BE178" s="799"/>
      <c r="BF178" s="799"/>
      <c r="BG178" s="799"/>
    </row>
    <row r="179">
      <c r="H179" s="799"/>
      <c r="I179" s="799"/>
      <c r="J179" s="799"/>
      <c r="K179" s="799"/>
      <c r="L179" s="799"/>
      <c r="M179" s="799"/>
      <c r="N179" s="799"/>
      <c r="O179" s="799"/>
      <c r="P179" s="799"/>
      <c r="Q179" s="799"/>
      <c r="R179" s="799"/>
      <c r="S179" s="799"/>
      <c r="T179" s="799"/>
      <c r="U179" s="799"/>
      <c r="V179" s="799"/>
      <c r="W179" s="799"/>
      <c r="X179" s="799"/>
      <c r="Y179" s="799"/>
      <c r="Z179" s="799"/>
      <c r="AA179" s="799"/>
      <c r="AB179" s="799"/>
      <c r="AC179" s="799"/>
      <c r="AD179" s="799"/>
      <c r="AE179" s="799"/>
      <c r="AF179" s="799"/>
      <c r="AG179" s="799"/>
      <c r="AH179" s="799"/>
      <c r="AI179" s="799"/>
      <c r="AJ179" s="799"/>
      <c r="AK179" s="799"/>
      <c r="AL179" s="799"/>
      <c r="AM179" s="799"/>
      <c r="AN179" s="799"/>
      <c r="AO179" s="799"/>
      <c r="AP179" s="799"/>
      <c r="AQ179" s="799"/>
      <c r="AR179" s="799"/>
      <c r="AS179" s="799"/>
      <c r="AT179" s="799"/>
      <c r="AU179" s="799"/>
      <c r="AV179" s="799"/>
      <c r="AW179" s="799"/>
      <c r="AX179" s="799"/>
      <c r="AY179" s="799"/>
      <c r="AZ179" s="799"/>
      <c r="BA179" s="799"/>
      <c r="BB179" s="799"/>
      <c r="BC179" s="799"/>
      <c r="BD179" s="799"/>
      <c r="BE179" s="799"/>
      <c r="BF179" s="799"/>
      <c r="BG179" s="799"/>
    </row>
    <row r="180">
      <c r="H180" s="799"/>
      <c r="I180" s="799"/>
      <c r="J180" s="799"/>
      <c r="K180" s="799"/>
      <c r="L180" s="799"/>
      <c r="M180" s="799"/>
      <c r="N180" s="799"/>
      <c r="O180" s="799"/>
      <c r="P180" s="799"/>
      <c r="Q180" s="799"/>
      <c r="R180" s="799"/>
      <c r="S180" s="799"/>
      <c r="T180" s="799"/>
      <c r="U180" s="799"/>
      <c r="V180" s="799"/>
      <c r="W180" s="799"/>
      <c r="X180" s="799"/>
      <c r="Y180" s="799"/>
      <c r="Z180" s="799"/>
      <c r="AA180" s="799"/>
      <c r="AB180" s="799"/>
      <c r="AC180" s="799"/>
      <c r="AD180" s="799"/>
      <c r="AE180" s="799"/>
      <c r="AF180" s="799"/>
      <c r="AG180" s="799"/>
      <c r="AH180" s="799"/>
      <c r="AI180" s="799"/>
      <c r="AJ180" s="799"/>
      <c r="AK180" s="799"/>
      <c r="AL180" s="799"/>
      <c r="AM180" s="799"/>
      <c r="AN180" s="799"/>
      <c r="AO180" s="799"/>
      <c r="AP180" s="799"/>
      <c r="AQ180" s="799"/>
      <c r="AR180" s="799"/>
      <c r="AS180" s="799"/>
      <c r="AT180" s="799"/>
      <c r="AU180" s="799"/>
      <c r="AV180" s="799"/>
      <c r="AW180" s="799"/>
      <c r="AX180" s="799"/>
      <c r="AY180" s="799"/>
      <c r="AZ180" s="799"/>
      <c r="BA180" s="799"/>
      <c r="BB180" s="799"/>
      <c r="BC180" s="799"/>
      <c r="BD180" s="799"/>
      <c r="BE180" s="799"/>
      <c r="BF180" s="799"/>
      <c r="BG180" s="799"/>
    </row>
    <row r="181">
      <c r="H181" s="799"/>
      <c r="I181" s="799"/>
      <c r="J181" s="799"/>
      <c r="K181" s="799"/>
      <c r="L181" s="799"/>
      <c r="M181" s="799"/>
      <c r="N181" s="799"/>
      <c r="O181" s="799"/>
      <c r="P181" s="799"/>
      <c r="Q181" s="799"/>
      <c r="R181" s="799"/>
      <c r="S181" s="799"/>
      <c r="T181" s="799"/>
      <c r="U181" s="799"/>
      <c r="V181" s="799"/>
      <c r="W181" s="799"/>
      <c r="X181" s="799"/>
      <c r="Y181" s="799"/>
      <c r="Z181" s="799"/>
      <c r="AA181" s="799"/>
      <c r="AB181" s="799"/>
      <c r="AC181" s="799"/>
      <c r="AD181" s="799"/>
      <c r="AE181" s="799"/>
      <c r="AF181" s="799"/>
      <c r="AG181" s="799"/>
      <c r="AH181" s="799"/>
      <c r="AI181" s="799"/>
      <c r="AJ181" s="799"/>
      <c r="AK181" s="799"/>
      <c r="AL181" s="799"/>
      <c r="AM181" s="799"/>
      <c r="AN181" s="799"/>
      <c r="AO181" s="799"/>
      <c r="AP181" s="799"/>
      <c r="AQ181" s="799"/>
      <c r="AR181" s="799"/>
      <c r="AS181" s="799"/>
      <c r="AT181" s="799"/>
      <c r="AU181" s="799"/>
      <c r="AV181" s="799"/>
      <c r="AW181" s="799"/>
      <c r="AX181" s="799"/>
      <c r="AY181" s="799"/>
      <c r="AZ181" s="799"/>
      <c r="BA181" s="799"/>
      <c r="BB181" s="799"/>
      <c r="BC181" s="799"/>
      <c r="BD181" s="799"/>
      <c r="BE181" s="799"/>
      <c r="BF181" s="799"/>
      <c r="BG181" s="799"/>
    </row>
    <row r="182">
      <c r="H182" s="799"/>
      <c r="I182" s="799"/>
      <c r="J182" s="799"/>
      <c r="K182" s="799"/>
      <c r="L182" s="799"/>
      <c r="M182" s="799"/>
      <c r="N182" s="799"/>
      <c r="O182" s="799"/>
      <c r="P182" s="799"/>
      <c r="Q182" s="799"/>
      <c r="R182" s="799"/>
      <c r="S182" s="799"/>
      <c r="T182" s="799"/>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99"/>
      <c r="AU182" s="799"/>
      <c r="AV182" s="799"/>
      <c r="AW182" s="799"/>
      <c r="AX182" s="799"/>
      <c r="AY182" s="799"/>
      <c r="AZ182" s="799"/>
      <c r="BA182" s="799"/>
      <c r="BB182" s="799"/>
      <c r="BC182" s="799"/>
      <c r="BD182" s="799"/>
      <c r="BE182" s="799"/>
      <c r="BF182" s="799"/>
      <c r="BG182" s="799"/>
    </row>
    <row r="183">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99"/>
      <c r="AU183" s="799"/>
      <c r="AV183" s="799"/>
      <c r="AW183" s="799"/>
      <c r="AX183" s="799"/>
      <c r="AY183" s="799"/>
      <c r="AZ183" s="799"/>
      <c r="BA183" s="799"/>
      <c r="BB183" s="799"/>
      <c r="BC183" s="799"/>
      <c r="BD183" s="799"/>
      <c r="BE183" s="799"/>
      <c r="BF183" s="799"/>
      <c r="BG183" s="799"/>
    </row>
    <row r="184">
      <c r="H184" s="799"/>
      <c r="I184" s="799"/>
      <c r="J184" s="799"/>
      <c r="K184" s="799"/>
      <c r="L184" s="799"/>
      <c r="M184" s="799"/>
      <c r="N184" s="799"/>
      <c r="O184" s="799"/>
      <c r="P184" s="799"/>
      <c r="Q184" s="799"/>
      <c r="R184" s="799"/>
      <c r="S184" s="799"/>
      <c r="T184" s="799"/>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99"/>
      <c r="AU184" s="799"/>
      <c r="AV184" s="799"/>
      <c r="AW184" s="799"/>
      <c r="AX184" s="799"/>
      <c r="AY184" s="799"/>
      <c r="AZ184" s="799"/>
      <c r="BA184" s="799"/>
      <c r="BB184" s="799"/>
      <c r="BC184" s="799"/>
      <c r="BD184" s="799"/>
      <c r="BE184" s="799"/>
      <c r="BF184" s="799"/>
      <c r="BG184" s="799"/>
    </row>
    <row r="185">
      <c r="H185" s="799"/>
      <c r="I185" s="799"/>
      <c r="J185" s="799"/>
      <c r="K185" s="799"/>
      <c r="L185" s="799"/>
      <c r="M185" s="799"/>
      <c r="N185" s="799"/>
      <c r="O185" s="799"/>
      <c r="P185" s="799"/>
      <c r="Q185" s="799"/>
      <c r="R185" s="799"/>
      <c r="S185" s="799"/>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99"/>
      <c r="AU185" s="799"/>
      <c r="AV185" s="799"/>
      <c r="AW185" s="799"/>
      <c r="AX185" s="799"/>
      <c r="AY185" s="799"/>
      <c r="AZ185" s="799"/>
      <c r="BA185" s="799"/>
      <c r="BB185" s="799"/>
      <c r="BC185" s="799"/>
      <c r="BD185" s="799"/>
      <c r="BE185" s="799"/>
      <c r="BF185" s="799"/>
      <c r="BG185" s="799"/>
    </row>
    <row r="186">
      <c r="H186" s="799"/>
      <c r="I186" s="799"/>
      <c r="J186" s="799"/>
      <c r="K186" s="799"/>
      <c r="L186" s="799"/>
      <c r="M186" s="799"/>
      <c r="N186" s="799"/>
      <c r="O186" s="799"/>
      <c r="P186" s="799"/>
      <c r="Q186" s="799"/>
      <c r="R186" s="799"/>
      <c r="S186" s="799"/>
      <c r="T186" s="799"/>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99"/>
      <c r="AU186" s="799"/>
      <c r="AV186" s="799"/>
      <c r="AW186" s="799"/>
      <c r="AX186" s="799"/>
      <c r="AY186" s="799"/>
      <c r="AZ186" s="799"/>
      <c r="BA186" s="799"/>
      <c r="BB186" s="799"/>
      <c r="BC186" s="799"/>
      <c r="BD186" s="799"/>
      <c r="BE186" s="799"/>
      <c r="BF186" s="799"/>
      <c r="BG186" s="799"/>
    </row>
    <row r="187">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row>
    <row r="188">
      <c r="H188" s="799"/>
      <c r="I188" s="799"/>
      <c r="J188" s="799"/>
      <c r="K188" s="799"/>
      <c r="L188" s="799"/>
      <c r="M188" s="799"/>
      <c r="N188" s="799"/>
      <c r="O188" s="799"/>
      <c r="P188" s="799"/>
      <c r="Q188" s="799"/>
      <c r="R188" s="799"/>
      <c r="S188" s="799"/>
      <c r="T188" s="799"/>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99"/>
      <c r="AU188" s="799"/>
      <c r="AV188" s="799"/>
      <c r="AW188" s="799"/>
      <c r="AX188" s="799"/>
      <c r="AY188" s="799"/>
      <c r="AZ188" s="799"/>
      <c r="BA188" s="799"/>
      <c r="BB188" s="799"/>
      <c r="BC188" s="799"/>
      <c r="BD188" s="799"/>
      <c r="BE188" s="799"/>
      <c r="BF188" s="799"/>
      <c r="BG188" s="799"/>
    </row>
    <row r="18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99"/>
      <c r="AU189" s="799"/>
      <c r="AV189" s="799"/>
      <c r="AW189" s="799"/>
      <c r="AX189" s="799"/>
      <c r="AY189" s="799"/>
      <c r="AZ189" s="799"/>
      <c r="BA189" s="799"/>
      <c r="BB189" s="799"/>
      <c r="BC189" s="799"/>
      <c r="BD189" s="799"/>
      <c r="BE189" s="799"/>
      <c r="BF189" s="799"/>
      <c r="BG189" s="799"/>
    </row>
    <row r="190">
      <c r="H190" s="799"/>
      <c r="I190" s="799"/>
      <c r="J190" s="799"/>
      <c r="K190" s="799"/>
      <c r="L190" s="799"/>
      <c r="M190" s="799"/>
      <c r="N190" s="799"/>
      <c r="O190" s="799"/>
      <c r="P190" s="799"/>
      <c r="Q190" s="799"/>
      <c r="R190" s="799"/>
      <c r="S190" s="799"/>
      <c r="T190" s="799"/>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99"/>
      <c r="AU190" s="799"/>
      <c r="AV190" s="799"/>
      <c r="AW190" s="799"/>
      <c r="AX190" s="799"/>
      <c r="AY190" s="799"/>
      <c r="AZ190" s="799"/>
      <c r="BA190" s="799"/>
      <c r="BB190" s="799"/>
      <c r="BC190" s="799"/>
      <c r="BD190" s="799"/>
      <c r="BE190" s="799"/>
      <c r="BF190" s="799"/>
      <c r="BG190" s="799"/>
    </row>
    <row r="191">
      <c r="H191" s="799"/>
      <c r="I191" s="799"/>
      <c r="J191" s="799"/>
      <c r="K191" s="799"/>
      <c r="L191" s="799"/>
      <c r="M191" s="799"/>
      <c r="N191" s="799"/>
      <c r="O191" s="799"/>
      <c r="P191" s="799"/>
      <c r="Q191" s="799"/>
      <c r="R191" s="799"/>
      <c r="S191" s="799"/>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99"/>
      <c r="AU191" s="799"/>
      <c r="AV191" s="799"/>
      <c r="AW191" s="799"/>
      <c r="AX191" s="799"/>
      <c r="AY191" s="799"/>
      <c r="AZ191" s="799"/>
      <c r="BA191" s="799"/>
      <c r="BB191" s="799"/>
      <c r="BC191" s="799"/>
      <c r="BD191" s="799"/>
      <c r="BE191" s="799"/>
      <c r="BF191" s="799"/>
      <c r="BG191" s="799"/>
    </row>
    <row r="192">
      <c r="H192" s="799"/>
      <c r="I192" s="799"/>
      <c r="J192" s="799"/>
      <c r="K192" s="799"/>
      <c r="L192" s="799"/>
      <c r="M192" s="799"/>
      <c r="N192" s="799"/>
      <c r="O192" s="799"/>
      <c r="P192" s="799"/>
      <c r="Q192" s="799"/>
      <c r="R192" s="799"/>
      <c r="S192" s="799"/>
      <c r="T192" s="799"/>
      <c r="U192" s="799"/>
      <c r="V192" s="799"/>
      <c r="W192" s="799"/>
      <c r="X192" s="799"/>
      <c r="Y192" s="799"/>
      <c r="Z192" s="799"/>
      <c r="AA192" s="799"/>
      <c r="AB192" s="799"/>
      <c r="AC192" s="799"/>
      <c r="AD192" s="799"/>
      <c r="AE192" s="799"/>
      <c r="AF192" s="799"/>
      <c r="AG192" s="799"/>
      <c r="AH192" s="799"/>
      <c r="AI192" s="799"/>
      <c r="AJ192" s="799"/>
      <c r="AK192" s="799"/>
      <c r="AL192" s="799"/>
      <c r="AM192" s="799"/>
      <c r="AN192" s="799"/>
      <c r="AO192" s="799"/>
      <c r="AP192" s="799"/>
      <c r="AQ192" s="799"/>
      <c r="AR192" s="799"/>
      <c r="AS192" s="799"/>
      <c r="AT192" s="799"/>
      <c r="AU192" s="799"/>
      <c r="AV192" s="799"/>
      <c r="AW192" s="799"/>
      <c r="AX192" s="799"/>
      <c r="AY192" s="799"/>
      <c r="AZ192" s="799"/>
      <c r="BA192" s="799"/>
      <c r="BB192" s="799"/>
      <c r="BC192" s="799"/>
      <c r="BD192" s="799"/>
      <c r="BE192" s="799"/>
      <c r="BF192" s="799"/>
      <c r="BG192" s="799"/>
    </row>
    <row r="193">
      <c r="H193" s="799"/>
      <c r="I193" s="799"/>
      <c r="J193" s="799"/>
      <c r="K193" s="799"/>
      <c r="L193" s="799"/>
      <c r="M193" s="799"/>
      <c r="N193" s="799"/>
      <c r="O193" s="799"/>
      <c r="P193" s="799"/>
      <c r="Q193" s="799"/>
      <c r="R193" s="799"/>
      <c r="S193" s="799"/>
      <c r="T193" s="799"/>
      <c r="U193" s="799"/>
      <c r="V193" s="799"/>
      <c r="W193" s="799"/>
      <c r="X193" s="799"/>
      <c r="Y193" s="799"/>
      <c r="Z193" s="799"/>
      <c r="AA193" s="799"/>
      <c r="AB193" s="799"/>
      <c r="AC193" s="799"/>
      <c r="AD193" s="799"/>
      <c r="AE193" s="799"/>
      <c r="AF193" s="799"/>
      <c r="AG193" s="799"/>
      <c r="AH193" s="799"/>
      <c r="AI193" s="799"/>
      <c r="AJ193" s="799"/>
      <c r="AK193" s="799"/>
      <c r="AL193" s="799"/>
      <c r="AM193" s="799"/>
      <c r="AN193" s="799"/>
      <c r="AO193" s="799"/>
      <c r="AP193" s="799"/>
      <c r="AQ193" s="799"/>
      <c r="AR193" s="799"/>
      <c r="AS193" s="799"/>
      <c r="AT193" s="799"/>
      <c r="AU193" s="799"/>
      <c r="AV193" s="799"/>
      <c r="AW193" s="799"/>
      <c r="AX193" s="799"/>
      <c r="AY193" s="799"/>
      <c r="AZ193" s="799"/>
      <c r="BA193" s="799"/>
      <c r="BB193" s="799"/>
      <c r="BC193" s="799"/>
      <c r="BD193" s="799"/>
      <c r="BE193" s="799"/>
      <c r="BF193" s="799"/>
      <c r="BG193" s="799"/>
    </row>
    <row r="194">
      <c r="H194" s="799"/>
      <c r="I194" s="799"/>
      <c r="J194" s="799"/>
      <c r="K194" s="799"/>
      <c r="L194" s="799"/>
      <c r="M194" s="799"/>
      <c r="N194" s="799"/>
      <c r="O194" s="799"/>
      <c r="P194" s="799"/>
      <c r="Q194" s="799"/>
      <c r="R194" s="799"/>
      <c r="S194" s="799"/>
      <c r="T194" s="799"/>
      <c r="U194" s="799"/>
      <c r="V194" s="799"/>
      <c r="W194" s="799"/>
      <c r="X194" s="799"/>
      <c r="Y194" s="799"/>
      <c r="Z194" s="799"/>
      <c r="AA194" s="799"/>
      <c r="AB194" s="799"/>
      <c r="AC194" s="799"/>
      <c r="AD194" s="799"/>
      <c r="AE194" s="799"/>
      <c r="AF194" s="799"/>
      <c r="AG194" s="799"/>
      <c r="AH194" s="799"/>
      <c r="AI194" s="799"/>
      <c r="AJ194" s="799"/>
      <c r="AK194" s="799"/>
      <c r="AL194" s="799"/>
      <c r="AM194" s="799"/>
      <c r="AN194" s="799"/>
      <c r="AO194" s="799"/>
      <c r="AP194" s="799"/>
      <c r="AQ194" s="799"/>
      <c r="AR194" s="799"/>
      <c r="AS194" s="799"/>
      <c r="AT194" s="799"/>
      <c r="AU194" s="799"/>
      <c r="AV194" s="799"/>
      <c r="AW194" s="799"/>
      <c r="AX194" s="799"/>
      <c r="AY194" s="799"/>
      <c r="AZ194" s="799"/>
      <c r="BA194" s="799"/>
      <c r="BB194" s="799"/>
      <c r="BC194" s="799"/>
      <c r="BD194" s="799"/>
      <c r="BE194" s="799"/>
      <c r="BF194" s="799"/>
      <c r="BG194" s="799"/>
    </row>
    <row r="195">
      <c r="H195" s="799"/>
      <c r="I195" s="799"/>
      <c r="J195" s="799"/>
      <c r="K195" s="799"/>
      <c r="L195" s="799"/>
      <c r="M195" s="799"/>
      <c r="N195" s="799"/>
      <c r="O195" s="799"/>
      <c r="P195" s="799"/>
      <c r="Q195" s="799"/>
      <c r="R195" s="799"/>
      <c r="S195" s="799"/>
      <c r="T195" s="799"/>
      <c r="U195" s="799"/>
      <c r="V195" s="799"/>
      <c r="W195" s="799"/>
      <c r="X195" s="799"/>
      <c r="Y195" s="799"/>
      <c r="Z195" s="799"/>
      <c r="AA195" s="799"/>
      <c r="AB195" s="799"/>
      <c r="AC195" s="799"/>
      <c r="AD195" s="799"/>
      <c r="AE195" s="799"/>
      <c r="AF195" s="799"/>
      <c r="AG195" s="799"/>
      <c r="AH195" s="799"/>
      <c r="AI195" s="799"/>
      <c r="AJ195" s="799"/>
      <c r="AK195" s="799"/>
      <c r="AL195" s="799"/>
      <c r="AM195" s="799"/>
      <c r="AN195" s="799"/>
      <c r="AO195" s="799"/>
      <c r="AP195" s="799"/>
      <c r="AQ195" s="799"/>
      <c r="AR195" s="799"/>
      <c r="AS195" s="799"/>
      <c r="AT195" s="799"/>
      <c r="AU195" s="799"/>
      <c r="AV195" s="799"/>
      <c r="AW195" s="799"/>
      <c r="AX195" s="799"/>
      <c r="AY195" s="799"/>
      <c r="AZ195" s="799"/>
      <c r="BA195" s="799"/>
      <c r="BB195" s="799"/>
      <c r="BC195" s="799"/>
      <c r="BD195" s="799"/>
      <c r="BE195" s="799"/>
      <c r="BF195" s="799"/>
      <c r="BG195" s="799"/>
    </row>
    <row r="196">
      <c r="H196" s="799"/>
      <c r="I196" s="799"/>
      <c r="J196" s="799"/>
      <c r="K196" s="799"/>
      <c r="L196" s="799"/>
      <c r="M196" s="799"/>
      <c r="N196" s="799"/>
      <c r="O196" s="799"/>
      <c r="P196" s="799"/>
      <c r="Q196" s="799"/>
      <c r="R196" s="799"/>
      <c r="S196" s="799"/>
      <c r="T196" s="799"/>
      <c r="U196" s="799"/>
      <c r="V196" s="799"/>
      <c r="W196" s="799"/>
      <c r="X196" s="799"/>
      <c r="Y196" s="799"/>
      <c r="Z196" s="799"/>
      <c r="AA196" s="799"/>
      <c r="AB196" s="799"/>
      <c r="AC196" s="799"/>
      <c r="AD196" s="799"/>
      <c r="AE196" s="799"/>
      <c r="AF196" s="799"/>
      <c r="AG196" s="799"/>
      <c r="AH196" s="799"/>
      <c r="AI196" s="799"/>
      <c r="AJ196" s="799"/>
      <c r="AK196" s="799"/>
      <c r="AL196" s="799"/>
      <c r="AM196" s="799"/>
      <c r="AN196" s="799"/>
      <c r="AO196" s="799"/>
      <c r="AP196" s="799"/>
      <c r="AQ196" s="799"/>
      <c r="AR196" s="799"/>
      <c r="AS196" s="799"/>
      <c r="AT196" s="799"/>
      <c r="AU196" s="799"/>
      <c r="AV196" s="799"/>
      <c r="AW196" s="799"/>
      <c r="AX196" s="799"/>
      <c r="AY196" s="799"/>
      <c r="AZ196" s="799"/>
      <c r="BA196" s="799"/>
      <c r="BB196" s="799"/>
      <c r="BC196" s="799"/>
      <c r="BD196" s="799"/>
      <c r="BE196" s="799"/>
      <c r="BF196" s="799"/>
      <c r="BG196" s="799"/>
    </row>
    <row r="197">
      <c r="H197" s="799"/>
      <c r="I197" s="799"/>
      <c r="J197" s="799"/>
      <c r="K197" s="799"/>
      <c r="L197" s="799"/>
      <c r="M197" s="799"/>
      <c r="N197" s="799"/>
      <c r="O197" s="799"/>
      <c r="P197" s="799"/>
      <c r="Q197" s="799"/>
      <c r="R197" s="799"/>
      <c r="S197" s="799"/>
      <c r="T197" s="799"/>
      <c r="U197" s="799"/>
      <c r="V197" s="799"/>
      <c r="W197" s="799"/>
      <c r="X197" s="799"/>
      <c r="Y197" s="799"/>
      <c r="Z197" s="799"/>
      <c r="AA197" s="799"/>
      <c r="AB197" s="799"/>
      <c r="AC197" s="799"/>
      <c r="AD197" s="799"/>
      <c r="AE197" s="799"/>
      <c r="AF197" s="799"/>
      <c r="AG197" s="799"/>
      <c r="AH197" s="799"/>
      <c r="AI197" s="799"/>
      <c r="AJ197" s="799"/>
      <c r="AK197" s="799"/>
      <c r="AL197" s="799"/>
      <c r="AM197" s="799"/>
      <c r="AN197" s="799"/>
      <c r="AO197" s="799"/>
      <c r="AP197" s="799"/>
      <c r="AQ197" s="799"/>
      <c r="AR197" s="799"/>
      <c r="AS197" s="799"/>
      <c r="AT197" s="799"/>
      <c r="AU197" s="799"/>
      <c r="AV197" s="799"/>
      <c r="AW197" s="799"/>
      <c r="AX197" s="799"/>
      <c r="AY197" s="799"/>
      <c r="AZ197" s="799"/>
      <c r="BA197" s="799"/>
      <c r="BB197" s="799"/>
      <c r="BC197" s="799"/>
      <c r="BD197" s="799"/>
      <c r="BE197" s="799"/>
      <c r="BF197" s="799"/>
      <c r="BG197" s="799"/>
    </row>
    <row r="198">
      <c r="H198" s="799"/>
      <c r="I198" s="799"/>
      <c r="J198" s="799"/>
      <c r="K198" s="799"/>
      <c r="L198" s="799"/>
      <c r="M198" s="799"/>
      <c r="N198" s="799"/>
      <c r="O198" s="799"/>
      <c r="P198" s="799"/>
      <c r="Q198" s="799"/>
      <c r="R198" s="799"/>
      <c r="S198" s="799"/>
      <c r="T198" s="799"/>
      <c r="U198" s="799"/>
      <c r="V198" s="799"/>
      <c r="W198" s="799"/>
      <c r="X198" s="799"/>
      <c r="Y198" s="799"/>
      <c r="Z198" s="799"/>
      <c r="AA198" s="799"/>
      <c r="AB198" s="799"/>
      <c r="AC198" s="799"/>
      <c r="AD198" s="799"/>
      <c r="AE198" s="799"/>
      <c r="AF198" s="799"/>
      <c r="AG198" s="799"/>
      <c r="AH198" s="799"/>
      <c r="AI198" s="799"/>
      <c r="AJ198" s="799"/>
      <c r="AK198" s="799"/>
      <c r="AL198" s="799"/>
      <c r="AM198" s="799"/>
      <c r="AN198" s="799"/>
      <c r="AO198" s="799"/>
      <c r="AP198" s="799"/>
      <c r="AQ198" s="799"/>
      <c r="AR198" s="799"/>
      <c r="AS198" s="799"/>
      <c r="AT198" s="799"/>
      <c r="AU198" s="799"/>
      <c r="AV198" s="799"/>
      <c r="AW198" s="799"/>
      <c r="AX198" s="799"/>
      <c r="AY198" s="799"/>
      <c r="AZ198" s="799"/>
      <c r="BA198" s="799"/>
      <c r="BB198" s="799"/>
      <c r="BC198" s="799"/>
      <c r="BD198" s="799"/>
      <c r="BE198" s="799"/>
      <c r="BF198" s="799"/>
      <c r="BG198" s="799"/>
    </row>
    <row r="199">
      <c r="H199" s="799"/>
      <c r="I199" s="799"/>
      <c r="J199" s="799"/>
      <c r="K199" s="799"/>
      <c r="L199" s="799"/>
      <c r="M199" s="799"/>
      <c r="N199" s="799"/>
      <c r="O199" s="799"/>
      <c r="P199" s="799"/>
      <c r="Q199" s="799"/>
      <c r="R199" s="799"/>
      <c r="S199" s="799"/>
      <c r="T199" s="799"/>
      <c r="U199" s="799"/>
      <c r="V199" s="799"/>
      <c r="W199" s="799"/>
      <c r="X199" s="799"/>
      <c r="Y199" s="799"/>
      <c r="Z199" s="799"/>
      <c r="AA199" s="799"/>
      <c r="AB199" s="799"/>
      <c r="AC199" s="799"/>
      <c r="AD199" s="799"/>
      <c r="AE199" s="799"/>
      <c r="AF199" s="799"/>
      <c r="AG199" s="799"/>
      <c r="AH199" s="799"/>
      <c r="AI199" s="799"/>
      <c r="AJ199" s="799"/>
      <c r="AK199" s="799"/>
      <c r="AL199" s="799"/>
      <c r="AM199" s="799"/>
      <c r="AN199" s="799"/>
      <c r="AO199" s="799"/>
      <c r="AP199" s="799"/>
      <c r="AQ199" s="799"/>
      <c r="AR199" s="799"/>
      <c r="AS199" s="799"/>
      <c r="AT199" s="799"/>
      <c r="AU199" s="799"/>
      <c r="AV199" s="799"/>
      <c r="AW199" s="799"/>
      <c r="AX199" s="799"/>
      <c r="AY199" s="799"/>
      <c r="AZ199" s="799"/>
      <c r="BA199" s="799"/>
      <c r="BB199" s="799"/>
      <c r="BC199" s="799"/>
      <c r="BD199" s="799"/>
      <c r="BE199" s="799"/>
      <c r="BF199" s="799"/>
      <c r="BG199" s="799"/>
    </row>
    <row r="200">
      <c r="H200" s="799"/>
      <c r="I200" s="799"/>
      <c r="J200" s="799"/>
      <c r="K200" s="799"/>
      <c r="L200" s="799"/>
      <c r="M200" s="799"/>
      <c r="N200" s="799"/>
      <c r="O200" s="799"/>
      <c r="P200" s="799"/>
      <c r="Q200" s="799"/>
      <c r="R200" s="799"/>
      <c r="S200" s="799"/>
      <c r="T200" s="799"/>
      <c r="U200" s="799"/>
      <c r="V200" s="799"/>
      <c r="W200" s="799"/>
      <c r="X200" s="799"/>
      <c r="Y200" s="799"/>
      <c r="Z200" s="799"/>
      <c r="AA200" s="799"/>
      <c r="AB200" s="799"/>
      <c r="AC200" s="799"/>
      <c r="AD200" s="799"/>
      <c r="AE200" s="799"/>
      <c r="AF200" s="799"/>
      <c r="AG200" s="799"/>
      <c r="AH200" s="799"/>
      <c r="AI200" s="799"/>
      <c r="AJ200" s="799"/>
      <c r="AK200" s="799"/>
      <c r="AL200" s="799"/>
      <c r="AM200" s="799"/>
      <c r="AN200" s="799"/>
      <c r="AO200" s="799"/>
      <c r="AP200" s="799"/>
      <c r="AQ200" s="799"/>
      <c r="AR200" s="799"/>
      <c r="AS200" s="799"/>
      <c r="AT200" s="799"/>
      <c r="AU200" s="799"/>
      <c r="AV200" s="799"/>
      <c r="AW200" s="799"/>
      <c r="AX200" s="799"/>
      <c r="AY200" s="799"/>
      <c r="AZ200" s="799"/>
      <c r="BA200" s="799"/>
      <c r="BB200" s="799"/>
      <c r="BC200" s="799"/>
      <c r="BD200" s="799"/>
      <c r="BE200" s="799"/>
      <c r="BF200" s="799"/>
      <c r="BG200" s="799"/>
    </row>
    <row r="201">
      <c r="H201" s="799"/>
      <c r="I201" s="799"/>
      <c r="J201" s="799"/>
      <c r="K201" s="799"/>
      <c r="L201" s="799"/>
      <c r="M201" s="799"/>
      <c r="N201" s="799"/>
      <c r="O201" s="799"/>
      <c r="P201" s="799"/>
      <c r="Q201" s="799"/>
      <c r="R201" s="799"/>
      <c r="S201" s="799"/>
      <c r="T201" s="799"/>
      <c r="U201" s="799"/>
      <c r="V201" s="799"/>
      <c r="W201" s="799"/>
      <c r="X201" s="799"/>
      <c r="Y201" s="799"/>
      <c r="Z201" s="799"/>
      <c r="AA201" s="799"/>
      <c r="AB201" s="799"/>
      <c r="AC201" s="799"/>
      <c r="AD201" s="799"/>
      <c r="AE201" s="799"/>
      <c r="AF201" s="799"/>
      <c r="AG201" s="799"/>
      <c r="AH201" s="799"/>
      <c r="AI201" s="799"/>
      <c r="AJ201" s="799"/>
      <c r="AK201" s="799"/>
      <c r="AL201" s="799"/>
      <c r="AM201" s="799"/>
      <c r="AN201" s="799"/>
      <c r="AO201" s="799"/>
      <c r="AP201" s="799"/>
      <c r="AQ201" s="799"/>
      <c r="AR201" s="799"/>
      <c r="AS201" s="799"/>
      <c r="AT201" s="799"/>
      <c r="AU201" s="799"/>
      <c r="AV201" s="799"/>
      <c r="AW201" s="799"/>
      <c r="AX201" s="799"/>
      <c r="AY201" s="799"/>
      <c r="AZ201" s="799"/>
      <c r="BA201" s="799"/>
      <c r="BB201" s="799"/>
      <c r="BC201" s="799"/>
      <c r="BD201" s="799"/>
      <c r="BE201" s="799"/>
      <c r="BF201" s="799"/>
      <c r="BG201" s="799"/>
    </row>
    <row r="202">
      <c r="H202" s="799"/>
      <c r="I202" s="799"/>
      <c r="J202" s="799"/>
      <c r="K202" s="799"/>
      <c r="L202" s="799"/>
      <c r="M202" s="799"/>
      <c r="N202" s="799"/>
      <c r="O202" s="799"/>
      <c r="P202" s="799"/>
      <c r="Q202" s="799"/>
      <c r="R202" s="799"/>
      <c r="S202" s="799"/>
      <c r="T202" s="799"/>
      <c r="U202" s="799"/>
      <c r="V202" s="799"/>
      <c r="W202" s="799"/>
      <c r="X202" s="799"/>
      <c r="Y202" s="799"/>
      <c r="Z202" s="799"/>
      <c r="AA202" s="799"/>
      <c r="AB202" s="799"/>
      <c r="AC202" s="799"/>
      <c r="AD202" s="799"/>
      <c r="AE202" s="799"/>
      <c r="AF202" s="799"/>
      <c r="AG202" s="799"/>
      <c r="AH202" s="799"/>
      <c r="AI202" s="799"/>
      <c r="AJ202" s="799"/>
      <c r="AK202" s="799"/>
      <c r="AL202" s="799"/>
      <c r="AM202" s="799"/>
      <c r="AN202" s="799"/>
      <c r="AO202" s="799"/>
      <c r="AP202" s="799"/>
      <c r="AQ202" s="799"/>
      <c r="AR202" s="799"/>
      <c r="AS202" s="799"/>
      <c r="AT202" s="799"/>
      <c r="AU202" s="799"/>
      <c r="AV202" s="799"/>
      <c r="AW202" s="799"/>
      <c r="AX202" s="799"/>
      <c r="AY202" s="799"/>
      <c r="AZ202" s="799"/>
      <c r="BA202" s="799"/>
      <c r="BB202" s="799"/>
      <c r="BC202" s="799"/>
      <c r="BD202" s="799"/>
      <c r="BE202" s="799"/>
      <c r="BF202" s="799"/>
      <c r="BG202" s="799"/>
    </row>
    <row r="203">
      <c r="H203" s="799"/>
      <c r="I203" s="799"/>
      <c r="J203" s="799"/>
      <c r="K203" s="799"/>
      <c r="L203" s="799"/>
      <c r="M203" s="799"/>
      <c r="N203" s="799"/>
      <c r="O203" s="799"/>
      <c r="P203" s="799"/>
      <c r="Q203" s="799"/>
      <c r="R203" s="799"/>
      <c r="S203" s="799"/>
      <c r="T203" s="799"/>
      <c r="U203" s="799"/>
      <c r="V203" s="799"/>
      <c r="W203" s="799"/>
      <c r="X203" s="799"/>
      <c r="Y203" s="799"/>
      <c r="Z203" s="799"/>
      <c r="AA203" s="799"/>
      <c r="AB203" s="799"/>
      <c r="AC203" s="799"/>
      <c r="AD203" s="799"/>
      <c r="AE203" s="799"/>
      <c r="AF203" s="799"/>
      <c r="AG203" s="799"/>
      <c r="AH203" s="799"/>
      <c r="AI203" s="799"/>
      <c r="AJ203" s="799"/>
      <c r="AK203" s="799"/>
      <c r="AL203" s="799"/>
      <c r="AM203" s="799"/>
      <c r="AN203" s="799"/>
      <c r="AO203" s="799"/>
      <c r="AP203" s="799"/>
      <c r="AQ203" s="799"/>
      <c r="AR203" s="799"/>
      <c r="AS203" s="799"/>
      <c r="AT203" s="799"/>
      <c r="AU203" s="799"/>
      <c r="AV203" s="799"/>
      <c r="AW203" s="799"/>
      <c r="AX203" s="799"/>
      <c r="AY203" s="799"/>
      <c r="AZ203" s="799"/>
      <c r="BA203" s="799"/>
      <c r="BB203" s="799"/>
      <c r="BC203" s="799"/>
      <c r="BD203" s="799"/>
      <c r="BE203" s="799"/>
      <c r="BF203" s="799"/>
      <c r="BG203" s="799"/>
    </row>
    <row r="204">
      <c r="H204" s="799"/>
      <c r="I204" s="799"/>
      <c r="J204" s="799"/>
      <c r="K204" s="799"/>
      <c r="L204" s="799"/>
      <c r="M204" s="799"/>
      <c r="N204" s="799"/>
      <c r="O204" s="799"/>
      <c r="P204" s="799"/>
      <c r="Q204" s="799"/>
      <c r="R204" s="799"/>
      <c r="S204" s="799"/>
      <c r="T204" s="799"/>
      <c r="U204" s="799"/>
      <c r="V204" s="799"/>
      <c r="W204" s="799"/>
      <c r="X204" s="799"/>
      <c r="Y204" s="799"/>
      <c r="Z204" s="799"/>
      <c r="AA204" s="799"/>
      <c r="AB204" s="799"/>
      <c r="AC204" s="799"/>
      <c r="AD204" s="799"/>
      <c r="AE204" s="799"/>
      <c r="AF204" s="799"/>
      <c r="AG204" s="799"/>
      <c r="AH204" s="799"/>
      <c r="AI204" s="799"/>
      <c r="AJ204" s="799"/>
      <c r="AK204" s="799"/>
      <c r="AL204" s="799"/>
      <c r="AM204" s="799"/>
      <c r="AN204" s="799"/>
      <c r="AO204" s="799"/>
      <c r="AP204" s="799"/>
      <c r="AQ204" s="799"/>
      <c r="AR204" s="799"/>
      <c r="AS204" s="799"/>
      <c r="AT204" s="799"/>
      <c r="AU204" s="799"/>
      <c r="AV204" s="799"/>
      <c r="AW204" s="799"/>
      <c r="AX204" s="799"/>
      <c r="AY204" s="799"/>
      <c r="AZ204" s="799"/>
      <c r="BA204" s="799"/>
      <c r="BB204" s="799"/>
      <c r="BC204" s="799"/>
      <c r="BD204" s="799"/>
      <c r="BE204" s="799"/>
      <c r="BF204" s="799"/>
      <c r="BG204" s="799"/>
    </row>
    <row r="205">
      <c r="H205" s="799"/>
      <c r="I205" s="799"/>
      <c r="J205" s="799"/>
      <c r="K205" s="799"/>
      <c r="L205" s="799"/>
      <c r="M205" s="799"/>
      <c r="N205" s="799"/>
      <c r="O205" s="799"/>
      <c r="P205" s="799"/>
      <c r="Q205" s="799"/>
      <c r="R205" s="799"/>
      <c r="S205" s="799"/>
      <c r="T205" s="799"/>
      <c r="U205" s="799"/>
      <c r="V205" s="799"/>
      <c r="W205" s="799"/>
      <c r="X205" s="799"/>
      <c r="Y205" s="799"/>
      <c r="Z205" s="799"/>
      <c r="AA205" s="799"/>
      <c r="AB205" s="799"/>
      <c r="AC205" s="799"/>
      <c r="AD205" s="799"/>
      <c r="AE205" s="799"/>
      <c r="AF205" s="799"/>
      <c r="AG205" s="799"/>
      <c r="AH205" s="799"/>
      <c r="AI205" s="799"/>
      <c r="AJ205" s="799"/>
      <c r="AK205" s="799"/>
      <c r="AL205" s="799"/>
      <c r="AM205" s="799"/>
      <c r="AN205" s="799"/>
      <c r="AO205" s="799"/>
      <c r="AP205" s="799"/>
      <c r="AQ205" s="799"/>
      <c r="AR205" s="799"/>
      <c r="AS205" s="799"/>
      <c r="AT205" s="799"/>
      <c r="AU205" s="799"/>
      <c r="AV205" s="799"/>
      <c r="AW205" s="799"/>
      <c r="AX205" s="799"/>
      <c r="AY205" s="799"/>
      <c r="AZ205" s="799"/>
      <c r="BA205" s="799"/>
      <c r="BB205" s="799"/>
      <c r="BC205" s="799"/>
      <c r="BD205" s="799"/>
      <c r="BE205" s="799"/>
      <c r="BF205" s="799"/>
      <c r="BG205" s="799"/>
    </row>
    <row r="206">
      <c r="H206" s="799"/>
      <c r="I206" s="799"/>
      <c r="J206" s="799"/>
      <c r="K206" s="799"/>
      <c r="L206" s="799"/>
      <c r="M206" s="799"/>
      <c r="N206" s="799"/>
      <c r="O206" s="799"/>
      <c r="P206" s="799"/>
      <c r="Q206" s="799"/>
      <c r="R206" s="799"/>
      <c r="S206" s="799"/>
      <c r="T206" s="799"/>
      <c r="U206" s="799"/>
      <c r="V206" s="799"/>
      <c r="W206" s="799"/>
      <c r="X206" s="799"/>
      <c r="Y206" s="799"/>
      <c r="Z206" s="799"/>
      <c r="AA206" s="799"/>
      <c r="AB206" s="799"/>
      <c r="AC206" s="799"/>
      <c r="AD206" s="799"/>
      <c r="AE206" s="799"/>
      <c r="AF206" s="799"/>
      <c r="AG206" s="799"/>
      <c r="AH206" s="799"/>
      <c r="AI206" s="799"/>
      <c r="AJ206" s="799"/>
      <c r="AK206" s="799"/>
      <c r="AL206" s="799"/>
      <c r="AM206" s="799"/>
      <c r="AN206" s="799"/>
      <c r="AO206" s="799"/>
      <c r="AP206" s="799"/>
      <c r="AQ206" s="799"/>
      <c r="AR206" s="799"/>
      <c r="AS206" s="799"/>
      <c r="AT206" s="799"/>
      <c r="AU206" s="799"/>
      <c r="AV206" s="799"/>
      <c r="AW206" s="799"/>
      <c r="AX206" s="799"/>
      <c r="AY206" s="799"/>
      <c r="AZ206" s="799"/>
      <c r="BA206" s="799"/>
      <c r="BB206" s="799"/>
      <c r="BC206" s="799"/>
      <c r="BD206" s="799"/>
      <c r="BE206" s="799"/>
      <c r="BF206" s="799"/>
      <c r="BG206" s="799"/>
    </row>
    <row r="207">
      <c r="H207" s="799"/>
      <c r="I207" s="799"/>
      <c r="J207" s="799"/>
      <c r="K207" s="799"/>
      <c r="L207" s="799"/>
      <c r="M207" s="799"/>
      <c r="N207" s="799"/>
      <c r="O207" s="799"/>
      <c r="P207" s="799"/>
      <c r="Q207" s="799"/>
      <c r="R207" s="799"/>
      <c r="S207" s="799"/>
      <c r="T207" s="799"/>
      <c r="U207" s="799"/>
      <c r="V207" s="799"/>
      <c r="W207" s="799"/>
      <c r="X207" s="799"/>
      <c r="Y207" s="799"/>
      <c r="Z207" s="799"/>
      <c r="AA207" s="799"/>
      <c r="AB207" s="799"/>
      <c r="AC207" s="799"/>
      <c r="AD207" s="799"/>
      <c r="AE207" s="799"/>
      <c r="AF207" s="799"/>
      <c r="AG207" s="799"/>
      <c r="AH207" s="799"/>
      <c r="AI207" s="799"/>
      <c r="AJ207" s="799"/>
      <c r="AK207" s="799"/>
      <c r="AL207" s="799"/>
      <c r="AM207" s="799"/>
      <c r="AN207" s="799"/>
      <c r="AO207" s="799"/>
      <c r="AP207" s="799"/>
      <c r="AQ207" s="799"/>
      <c r="AR207" s="799"/>
      <c r="AS207" s="799"/>
      <c r="AT207" s="799"/>
      <c r="AU207" s="799"/>
      <c r="AV207" s="799"/>
      <c r="AW207" s="799"/>
      <c r="AX207" s="799"/>
      <c r="AY207" s="799"/>
      <c r="AZ207" s="799"/>
      <c r="BA207" s="799"/>
      <c r="BB207" s="799"/>
      <c r="BC207" s="799"/>
      <c r="BD207" s="799"/>
      <c r="BE207" s="799"/>
      <c r="BF207" s="799"/>
      <c r="BG207" s="799"/>
    </row>
    <row r="208">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c r="AE208" s="799"/>
      <c r="AF208" s="799"/>
      <c r="AG208" s="799"/>
      <c r="AH208" s="799"/>
      <c r="AI208" s="799"/>
      <c r="AJ208" s="799"/>
      <c r="AK208" s="799"/>
      <c r="AL208" s="799"/>
      <c r="AM208" s="799"/>
      <c r="AN208" s="799"/>
      <c r="AO208" s="799"/>
      <c r="AP208" s="799"/>
      <c r="AQ208" s="799"/>
      <c r="AR208" s="799"/>
      <c r="AS208" s="799"/>
      <c r="AT208" s="799"/>
      <c r="AU208" s="799"/>
      <c r="AV208" s="799"/>
      <c r="AW208" s="799"/>
      <c r="AX208" s="799"/>
      <c r="AY208" s="799"/>
      <c r="AZ208" s="799"/>
      <c r="BA208" s="799"/>
      <c r="BB208" s="799"/>
      <c r="BC208" s="799"/>
      <c r="BD208" s="799"/>
      <c r="BE208" s="799"/>
      <c r="BF208" s="799"/>
      <c r="BG208" s="799"/>
    </row>
    <row r="209">
      <c r="H209" s="799"/>
      <c r="I209" s="799"/>
      <c r="J209" s="799"/>
      <c r="K209" s="799"/>
      <c r="L209" s="799"/>
      <c r="M209" s="799"/>
      <c r="N209" s="799"/>
      <c r="O209" s="799"/>
      <c r="P209" s="799"/>
      <c r="Q209" s="799"/>
      <c r="R209" s="799"/>
      <c r="S209" s="799"/>
      <c r="T209" s="799"/>
      <c r="U209" s="799"/>
      <c r="V209" s="799"/>
      <c r="W209" s="799"/>
      <c r="X209" s="799"/>
      <c r="Y209" s="799"/>
      <c r="Z209" s="799"/>
      <c r="AA209" s="799"/>
      <c r="AB209" s="799"/>
      <c r="AC209" s="799"/>
      <c r="AD209" s="799"/>
      <c r="AE209" s="799"/>
      <c r="AF209" s="799"/>
      <c r="AG209" s="799"/>
      <c r="AH209" s="799"/>
      <c r="AI209" s="799"/>
      <c r="AJ209" s="799"/>
      <c r="AK209" s="799"/>
      <c r="AL209" s="799"/>
      <c r="AM209" s="799"/>
      <c r="AN209" s="799"/>
      <c r="AO209" s="799"/>
      <c r="AP209" s="799"/>
      <c r="AQ209" s="799"/>
      <c r="AR209" s="799"/>
      <c r="AS209" s="799"/>
      <c r="AT209" s="799"/>
      <c r="AU209" s="799"/>
      <c r="AV209" s="799"/>
      <c r="AW209" s="799"/>
      <c r="AX209" s="799"/>
      <c r="AY209" s="799"/>
      <c r="AZ209" s="799"/>
      <c r="BA209" s="799"/>
      <c r="BB209" s="799"/>
      <c r="BC209" s="799"/>
      <c r="BD209" s="799"/>
      <c r="BE209" s="799"/>
      <c r="BF209" s="799"/>
      <c r="BG209" s="799"/>
    </row>
    <row r="210">
      <c r="H210" s="799"/>
      <c r="I210" s="799"/>
      <c r="J210" s="799"/>
      <c r="K210" s="799"/>
      <c r="L210" s="799"/>
      <c r="M210" s="799"/>
      <c r="N210" s="799"/>
      <c r="O210" s="799"/>
      <c r="P210" s="799"/>
      <c r="Q210" s="799"/>
      <c r="R210" s="799"/>
      <c r="S210" s="799"/>
      <c r="T210" s="799"/>
      <c r="U210" s="799"/>
      <c r="V210" s="799"/>
      <c r="W210" s="799"/>
      <c r="X210" s="799"/>
      <c r="Y210" s="799"/>
      <c r="Z210" s="799"/>
      <c r="AA210" s="799"/>
      <c r="AB210" s="799"/>
      <c r="AC210" s="799"/>
      <c r="AD210" s="799"/>
      <c r="AE210" s="799"/>
      <c r="AF210" s="799"/>
      <c r="AG210" s="799"/>
      <c r="AH210" s="799"/>
      <c r="AI210" s="799"/>
      <c r="AJ210" s="799"/>
      <c r="AK210" s="799"/>
      <c r="AL210" s="799"/>
      <c r="AM210" s="799"/>
      <c r="AN210" s="799"/>
      <c r="AO210" s="799"/>
      <c r="AP210" s="799"/>
      <c r="AQ210" s="799"/>
      <c r="AR210" s="799"/>
      <c r="AS210" s="799"/>
      <c r="AT210" s="799"/>
      <c r="AU210" s="799"/>
      <c r="AV210" s="799"/>
      <c r="AW210" s="799"/>
      <c r="AX210" s="799"/>
      <c r="AY210" s="799"/>
      <c r="AZ210" s="799"/>
      <c r="BA210" s="799"/>
      <c r="BB210" s="799"/>
      <c r="BC210" s="799"/>
      <c r="BD210" s="799"/>
      <c r="BE210" s="799"/>
      <c r="BF210" s="799"/>
      <c r="BG210" s="799"/>
    </row>
    <row r="211">
      <c r="H211" s="799"/>
      <c r="I211" s="799"/>
      <c r="J211" s="799"/>
      <c r="K211" s="799"/>
      <c r="L211" s="799"/>
      <c r="M211" s="799"/>
      <c r="N211" s="799"/>
      <c r="O211" s="799"/>
      <c r="P211" s="799"/>
      <c r="Q211" s="799"/>
      <c r="R211" s="799"/>
      <c r="S211" s="799"/>
      <c r="T211" s="799"/>
      <c r="U211" s="799"/>
      <c r="V211" s="799"/>
      <c r="W211" s="799"/>
      <c r="X211" s="799"/>
      <c r="Y211" s="799"/>
      <c r="Z211" s="799"/>
      <c r="AA211" s="799"/>
      <c r="AB211" s="799"/>
      <c r="AC211" s="799"/>
      <c r="AD211" s="799"/>
      <c r="AE211" s="799"/>
      <c r="AF211" s="799"/>
      <c r="AG211" s="799"/>
      <c r="AH211" s="799"/>
      <c r="AI211" s="799"/>
      <c r="AJ211" s="799"/>
      <c r="AK211" s="799"/>
      <c r="AL211" s="799"/>
      <c r="AM211" s="799"/>
      <c r="AN211" s="799"/>
      <c r="AO211" s="799"/>
      <c r="AP211" s="799"/>
      <c r="AQ211" s="799"/>
      <c r="AR211" s="799"/>
      <c r="AS211" s="799"/>
      <c r="AT211" s="799"/>
      <c r="AU211" s="799"/>
      <c r="AV211" s="799"/>
      <c r="AW211" s="799"/>
      <c r="AX211" s="799"/>
      <c r="AY211" s="799"/>
      <c r="AZ211" s="799"/>
      <c r="BA211" s="799"/>
      <c r="BB211" s="799"/>
      <c r="BC211" s="799"/>
      <c r="BD211" s="799"/>
      <c r="BE211" s="799"/>
      <c r="BF211" s="799"/>
      <c r="BG211" s="799"/>
    </row>
    <row r="212">
      <c r="H212" s="799"/>
      <c r="I212" s="799"/>
      <c r="J212" s="799"/>
      <c r="K212" s="799"/>
      <c r="L212" s="799"/>
      <c r="M212" s="799"/>
      <c r="N212" s="799"/>
      <c r="O212" s="799"/>
      <c r="P212" s="799"/>
      <c r="Q212" s="799"/>
      <c r="R212" s="799"/>
      <c r="S212" s="799"/>
      <c r="T212" s="799"/>
      <c r="U212" s="799"/>
      <c r="V212" s="799"/>
      <c r="W212" s="799"/>
      <c r="X212" s="799"/>
      <c r="Y212" s="799"/>
      <c r="Z212" s="799"/>
      <c r="AA212" s="799"/>
      <c r="AB212" s="799"/>
      <c r="AC212" s="799"/>
      <c r="AD212" s="799"/>
      <c r="AE212" s="799"/>
      <c r="AF212" s="799"/>
      <c r="AG212" s="799"/>
      <c r="AH212" s="799"/>
      <c r="AI212" s="799"/>
      <c r="AJ212" s="799"/>
      <c r="AK212" s="799"/>
      <c r="AL212" s="799"/>
      <c r="AM212" s="799"/>
      <c r="AN212" s="799"/>
      <c r="AO212" s="799"/>
      <c r="AP212" s="799"/>
      <c r="AQ212" s="799"/>
      <c r="AR212" s="799"/>
      <c r="AS212" s="799"/>
      <c r="AT212" s="799"/>
      <c r="AU212" s="799"/>
      <c r="AV212" s="799"/>
      <c r="AW212" s="799"/>
      <c r="AX212" s="799"/>
      <c r="AY212" s="799"/>
      <c r="AZ212" s="799"/>
      <c r="BA212" s="799"/>
      <c r="BB212" s="799"/>
      <c r="BC212" s="799"/>
      <c r="BD212" s="799"/>
      <c r="BE212" s="799"/>
      <c r="BF212" s="799"/>
      <c r="BG212" s="799"/>
    </row>
    <row r="213">
      <c r="H213" s="799"/>
      <c r="I213" s="799"/>
      <c r="J213" s="799"/>
      <c r="K213" s="799"/>
      <c r="L213" s="799"/>
      <c r="M213" s="799"/>
      <c r="N213" s="799"/>
      <c r="O213" s="799"/>
      <c r="P213" s="799"/>
      <c r="Q213" s="799"/>
      <c r="R213" s="799"/>
      <c r="S213" s="799"/>
      <c r="T213" s="799"/>
      <c r="U213" s="799"/>
      <c r="V213" s="799"/>
      <c r="W213" s="799"/>
      <c r="X213" s="799"/>
      <c r="Y213" s="799"/>
      <c r="Z213" s="799"/>
      <c r="AA213" s="799"/>
      <c r="AB213" s="799"/>
      <c r="AC213" s="799"/>
      <c r="AD213" s="799"/>
      <c r="AE213" s="799"/>
      <c r="AF213" s="799"/>
      <c r="AG213" s="799"/>
      <c r="AH213" s="799"/>
      <c r="AI213" s="799"/>
      <c r="AJ213" s="799"/>
      <c r="AK213" s="799"/>
      <c r="AL213" s="799"/>
      <c r="AM213" s="799"/>
      <c r="AN213" s="799"/>
      <c r="AO213" s="799"/>
      <c r="AP213" s="799"/>
      <c r="AQ213" s="799"/>
      <c r="AR213" s="799"/>
      <c r="AS213" s="799"/>
      <c r="AT213" s="799"/>
      <c r="AU213" s="799"/>
      <c r="AV213" s="799"/>
      <c r="AW213" s="799"/>
      <c r="AX213" s="799"/>
      <c r="AY213" s="799"/>
      <c r="AZ213" s="799"/>
      <c r="BA213" s="799"/>
      <c r="BB213" s="799"/>
      <c r="BC213" s="799"/>
      <c r="BD213" s="799"/>
      <c r="BE213" s="799"/>
      <c r="BF213" s="799"/>
      <c r="BG213" s="799"/>
    </row>
    <row r="214">
      <c r="H214" s="799"/>
      <c r="I214" s="799"/>
      <c r="J214" s="799"/>
      <c r="K214" s="799"/>
      <c r="L214" s="799"/>
      <c r="M214" s="799"/>
      <c r="N214" s="799"/>
      <c r="O214" s="799"/>
      <c r="P214" s="799"/>
      <c r="Q214" s="799"/>
      <c r="R214" s="799"/>
      <c r="S214" s="799"/>
      <c r="T214" s="799"/>
      <c r="U214" s="799"/>
      <c r="V214" s="799"/>
      <c r="W214" s="799"/>
      <c r="X214" s="799"/>
      <c r="Y214" s="799"/>
      <c r="Z214" s="799"/>
      <c r="AA214" s="799"/>
      <c r="AB214" s="799"/>
      <c r="AC214" s="799"/>
      <c r="AD214" s="799"/>
      <c r="AE214" s="799"/>
      <c r="AF214" s="799"/>
      <c r="AG214" s="799"/>
      <c r="AH214" s="799"/>
      <c r="AI214" s="799"/>
      <c r="AJ214" s="799"/>
      <c r="AK214" s="799"/>
      <c r="AL214" s="799"/>
      <c r="AM214" s="799"/>
      <c r="AN214" s="799"/>
      <c r="AO214" s="799"/>
      <c r="AP214" s="799"/>
      <c r="AQ214" s="799"/>
      <c r="AR214" s="799"/>
      <c r="AS214" s="799"/>
      <c r="AT214" s="799"/>
      <c r="AU214" s="799"/>
      <c r="AV214" s="799"/>
      <c r="AW214" s="799"/>
      <c r="AX214" s="799"/>
      <c r="AY214" s="799"/>
      <c r="AZ214" s="799"/>
      <c r="BA214" s="799"/>
      <c r="BB214" s="799"/>
      <c r="BC214" s="799"/>
      <c r="BD214" s="799"/>
      <c r="BE214" s="799"/>
      <c r="BF214" s="799"/>
      <c r="BG214" s="799"/>
    </row>
    <row r="215">
      <c r="H215" s="799"/>
      <c r="I215" s="799"/>
      <c r="J215" s="799"/>
      <c r="K215" s="799"/>
      <c r="L215" s="799"/>
      <c r="M215" s="799"/>
      <c r="N215" s="799"/>
      <c r="O215" s="799"/>
      <c r="P215" s="799"/>
      <c r="Q215" s="799"/>
      <c r="R215" s="799"/>
      <c r="S215" s="799"/>
      <c r="T215" s="799"/>
      <c r="U215" s="799"/>
      <c r="V215" s="799"/>
      <c r="W215" s="799"/>
      <c r="X215" s="799"/>
      <c r="Y215" s="799"/>
      <c r="Z215" s="799"/>
      <c r="AA215" s="799"/>
      <c r="AB215" s="799"/>
      <c r="AC215" s="799"/>
      <c r="AD215" s="799"/>
      <c r="AE215" s="799"/>
      <c r="AF215" s="799"/>
      <c r="AG215" s="799"/>
      <c r="AH215" s="799"/>
      <c r="AI215" s="799"/>
      <c r="AJ215" s="799"/>
      <c r="AK215" s="799"/>
      <c r="AL215" s="799"/>
      <c r="AM215" s="799"/>
      <c r="AN215" s="799"/>
      <c r="AO215" s="799"/>
      <c r="AP215" s="799"/>
      <c r="AQ215" s="799"/>
      <c r="AR215" s="799"/>
      <c r="AS215" s="799"/>
      <c r="AT215" s="799"/>
      <c r="AU215" s="799"/>
      <c r="AV215" s="799"/>
      <c r="AW215" s="799"/>
      <c r="AX215" s="799"/>
      <c r="AY215" s="799"/>
      <c r="AZ215" s="799"/>
      <c r="BA215" s="799"/>
      <c r="BB215" s="799"/>
      <c r="BC215" s="799"/>
      <c r="BD215" s="799"/>
      <c r="BE215" s="799"/>
      <c r="BF215" s="799"/>
      <c r="BG215" s="799"/>
    </row>
    <row r="216">
      <c r="H216" s="799"/>
      <c r="I216" s="799"/>
      <c r="J216" s="799"/>
      <c r="K216" s="799"/>
      <c r="L216" s="799"/>
      <c r="M216" s="799"/>
      <c r="N216" s="799"/>
      <c r="O216" s="799"/>
      <c r="P216" s="799"/>
      <c r="Q216" s="799"/>
      <c r="R216" s="799"/>
      <c r="S216" s="799"/>
      <c r="T216" s="799"/>
      <c r="U216" s="799"/>
      <c r="V216" s="799"/>
      <c r="W216" s="799"/>
      <c r="X216" s="799"/>
      <c r="Y216" s="799"/>
      <c r="Z216" s="799"/>
      <c r="AA216" s="799"/>
      <c r="AB216" s="799"/>
      <c r="AC216" s="799"/>
      <c r="AD216" s="799"/>
      <c r="AE216" s="799"/>
      <c r="AF216" s="799"/>
      <c r="AG216" s="799"/>
      <c r="AH216" s="799"/>
      <c r="AI216" s="799"/>
      <c r="AJ216" s="799"/>
      <c r="AK216" s="799"/>
      <c r="AL216" s="799"/>
      <c r="AM216" s="799"/>
      <c r="AN216" s="799"/>
      <c r="AO216" s="799"/>
      <c r="AP216" s="799"/>
      <c r="AQ216" s="799"/>
      <c r="AR216" s="799"/>
      <c r="AS216" s="799"/>
      <c r="AT216" s="799"/>
      <c r="AU216" s="799"/>
      <c r="AV216" s="799"/>
      <c r="AW216" s="799"/>
      <c r="AX216" s="799"/>
      <c r="AY216" s="799"/>
      <c r="AZ216" s="799"/>
      <c r="BA216" s="799"/>
      <c r="BB216" s="799"/>
      <c r="BC216" s="799"/>
      <c r="BD216" s="799"/>
      <c r="BE216" s="799"/>
      <c r="BF216" s="799"/>
      <c r="BG216" s="799"/>
    </row>
    <row r="217">
      <c r="H217" s="799"/>
      <c r="I217" s="799"/>
      <c r="J217" s="799"/>
      <c r="K217" s="799"/>
      <c r="L217" s="799"/>
      <c r="M217" s="799"/>
      <c r="N217" s="799"/>
      <c r="O217" s="799"/>
      <c r="P217" s="799"/>
      <c r="Q217" s="799"/>
      <c r="R217" s="799"/>
      <c r="S217" s="799"/>
      <c r="T217" s="799"/>
      <c r="U217" s="799"/>
      <c r="V217" s="799"/>
      <c r="W217" s="799"/>
      <c r="X217" s="799"/>
      <c r="Y217" s="799"/>
      <c r="Z217" s="799"/>
      <c r="AA217" s="799"/>
      <c r="AB217" s="799"/>
      <c r="AC217" s="799"/>
      <c r="AD217" s="799"/>
      <c r="AE217" s="799"/>
      <c r="AF217" s="799"/>
      <c r="AG217" s="799"/>
      <c r="AH217" s="799"/>
      <c r="AI217" s="799"/>
      <c r="AJ217" s="799"/>
      <c r="AK217" s="799"/>
      <c r="AL217" s="799"/>
      <c r="AM217" s="799"/>
      <c r="AN217" s="799"/>
      <c r="AO217" s="799"/>
      <c r="AP217" s="799"/>
      <c r="AQ217" s="799"/>
      <c r="AR217" s="799"/>
      <c r="AS217" s="799"/>
      <c r="AT217" s="799"/>
      <c r="AU217" s="799"/>
      <c r="AV217" s="799"/>
      <c r="AW217" s="799"/>
      <c r="AX217" s="799"/>
      <c r="AY217" s="799"/>
      <c r="AZ217" s="799"/>
      <c r="BA217" s="799"/>
      <c r="BB217" s="799"/>
      <c r="BC217" s="799"/>
      <c r="BD217" s="799"/>
      <c r="BE217" s="799"/>
      <c r="BF217" s="799"/>
      <c r="BG217" s="799"/>
    </row>
    <row r="218">
      <c r="H218" s="799"/>
      <c r="I218" s="799"/>
      <c r="J218" s="799"/>
      <c r="K218" s="799"/>
      <c r="L218" s="799"/>
      <c r="M218" s="799"/>
      <c r="N218" s="799"/>
      <c r="O218" s="799"/>
      <c r="P218" s="799"/>
      <c r="Q218" s="799"/>
      <c r="R218" s="799"/>
      <c r="S218" s="799"/>
      <c r="T218" s="799"/>
      <c r="U218" s="799"/>
      <c r="V218" s="799"/>
      <c r="W218" s="799"/>
      <c r="X218" s="799"/>
      <c r="Y218" s="799"/>
      <c r="Z218" s="799"/>
      <c r="AA218" s="799"/>
      <c r="AB218" s="799"/>
      <c r="AC218" s="799"/>
      <c r="AD218" s="799"/>
      <c r="AE218" s="799"/>
      <c r="AF218" s="799"/>
      <c r="AG218" s="799"/>
      <c r="AH218" s="799"/>
      <c r="AI218" s="799"/>
      <c r="AJ218" s="799"/>
      <c r="AK218" s="799"/>
      <c r="AL218" s="799"/>
      <c r="AM218" s="799"/>
      <c r="AN218" s="799"/>
      <c r="AO218" s="799"/>
      <c r="AP218" s="799"/>
      <c r="AQ218" s="799"/>
      <c r="AR218" s="799"/>
      <c r="AS218" s="799"/>
      <c r="AT218" s="799"/>
      <c r="AU218" s="799"/>
      <c r="AV218" s="799"/>
      <c r="AW218" s="799"/>
      <c r="AX218" s="799"/>
      <c r="AY218" s="799"/>
      <c r="AZ218" s="799"/>
      <c r="BA218" s="799"/>
      <c r="BB218" s="799"/>
      <c r="BC218" s="799"/>
      <c r="BD218" s="799"/>
      <c r="BE218" s="799"/>
      <c r="BF218" s="799"/>
      <c r="BG218" s="799"/>
    </row>
    <row r="219">
      <c r="H219" s="799"/>
      <c r="I219" s="799"/>
      <c r="J219" s="799"/>
      <c r="K219" s="799"/>
      <c r="L219" s="799"/>
      <c r="M219" s="799"/>
      <c r="N219" s="799"/>
      <c r="O219" s="799"/>
      <c r="P219" s="799"/>
      <c r="Q219" s="799"/>
      <c r="R219" s="799"/>
      <c r="S219" s="799"/>
      <c r="T219" s="799"/>
      <c r="U219" s="799"/>
      <c r="V219" s="799"/>
      <c r="W219" s="799"/>
      <c r="X219" s="799"/>
      <c r="Y219" s="799"/>
      <c r="Z219" s="799"/>
      <c r="AA219" s="799"/>
      <c r="AB219" s="799"/>
      <c r="AC219" s="799"/>
      <c r="AD219" s="799"/>
      <c r="AE219" s="799"/>
      <c r="AF219" s="799"/>
      <c r="AG219" s="799"/>
      <c r="AH219" s="799"/>
      <c r="AI219" s="799"/>
      <c r="AJ219" s="799"/>
      <c r="AK219" s="799"/>
      <c r="AL219" s="799"/>
      <c r="AM219" s="799"/>
      <c r="AN219" s="799"/>
      <c r="AO219" s="799"/>
      <c r="AP219" s="799"/>
      <c r="AQ219" s="799"/>
      <c r="AR219" s="799"/>
      <c r="AS219" s="799"/>
      <c r="AT219" s="799"/>
      <c r="AU219" s="799"/>
      <c r="AV219" s="799"/>
      <c r="AW219" s="799"/>
      <c r="AX219" s="799"/>
      <c r="AY219" s="799"/>
      <c r="AZ219" s="799"/>
      <c r="BA219" s="799"/>
      <c r="BB219" s="799"/>
      <c r="BC219" s="799"/>
      <c r="BD219" s="799"/>
      <c r="BE219" s="799"/>
      <c r="BF219" s="799"/>
      <c r="BG219" s="799"/>
    </row>
    <row r="220">
      <c r="H220" s="799"/>
      <c r="I220" s="799"/>
      <c r="J220" s="799"/>
      <c r="K220" s="799"/>
      <c r="L220" s="799"/>
      <c r="M220" s="799"/>
      <c r="N220" s="799"/>
      <c r="O220" s="799"/>
      <c r="P220" s="799"/>
      <c r="Q220" s="799"/>
      <c r="R220" s="799"/>
      <c r="S220" s="799"/>
      <c r="T220" s="799"/>
      <c r="U220" s="799"/>
      <c r="V220" s="799"/>
      <c r="W220" s="799"/>
      <c r="X220" s="799"/>
      <c r="Y220" s="799"/>
      <c r="Z220" s="799"/>
      <c r="AA220" s="799"/>
      <c r="AB220" s="799"/>
      <c r="AC220" s="799"/>
      <c r="AD220" s="799"/>
      <c r="AE220" s="799"/>
      <c r="AF220" s="799"/>
      <c r="AG220" s="799"/>
      <c r="AH220" s="799"/>
      <c r="AI220" s="799"/>
      <c r="AJ220" s="799"/>
      <c r="AK220" s="799"/>
      <c r="AL220" s="799"/>
      <c r="AM220" s="799"/>
      <c r="AN220" s="799"/>
      <c r="AO220" s="799"/>
      <c r="AP220" s="799"/>
      <c r="AQ220" s="799"/>
      <c r="AR220" s="799"/>
      <c r="AS220" s="799"/>
      <c r="AT220" s="799"/>
      <c r="AU220" s="799"/>
      <c r="AV220" s="799"/>
      <c r="AW220" s="799"/>
      <c r="AX220" s="799"/>
      <c r="AY220" s="799"/>
      <c r="AZ220" s="799"/>
      <c r="BA220" s="799"/>
      <c r="BB220" s="799"/>
      <c r="BC220" s="799"/>
      <c r="BD220" s="799"/>
      <c r="BE220" s="799"/>
      <c r="BF220" s="799"/>
      <c r="BG220" s="799"/>
    </row>
    <row r="221">
      <c r="H221" s="799"/>
      <c r="I221" s="799"/>
      <c r="J221" s="799"/>
      <c r="K221" s="799"/>
      <c r="L221" s="799"/>
      <c r="M221" s="799"/>
      <c r="N221" s="799"/>
      <c r="O221" s="799"/>
      <c r="P221" s="799"/>
      <c r="Q221" s="799"/>
      <c r="R221" s="799"/>
      <c r="S221" s="799"/>
      <c r="T221" s="799"/>
      <c r="U221" s="799"/>
      <c r="V221" s="799"/>
      <c r="W221" s="799"/>
      <c r="X221" s="799"/>
      <c r="Y221" s="799"/>
      <c r="Z221" s="799"/>
      <c r="AA221" s="799"/>
      <c r="AB221" s="799"/>
      <c r="AC221" s="799"/>
      <c r="AD221" s="799"/>
      <c r="AE221" s="799"/>
      <c r="AF221" s="799"/>
      <c r="AG221" s="799"/>
      <c r="AH221" s="799"/>
      <c r="AI221" s="799"/>
      <c r="AJ221" s="799"/>
      <c r="AK221" s="799"/>
      <c r="AL221" s="799"/>
      <c r="AM221" s="799"/>
      <c r="AN221" s="799"/>
      <c r="AO221" s="799"/>
      <c r="AP221" s="799"/>
      <c r="AQ221" s="799"/>
      <c r="AR221" s="799"/>
      <c r="AS221" s="799"/>
      <c r="AT221" s="799"/>
      <c r="AU221" s="799"/>
      <c r="AV221" s="799"/>
      <c r="AW221" s="799"/>
      <c r="AX221" s="799"/>
      <c r="AY221" s="799"/>
      <c r="AZ221" s="799"/>
      <c r="BA221" s="799"/>
      <c r="BB221" s="799"/>
      <c r="BC221" s="799"/>
      <c r="BD221" s="799"/>
      <c r="BE221" s="799"/>
      <c r="BF221" s="799"/>
      <c r="BG221" s="799"/>
    </row>
    <row r="222">
      <c r="H222" s="799"/>
      <c r="I222" s="799"/>
      <c r="J222" s="799"/>
      <c r="K222" s="799"/>
      <c r="L222" s="799"/>
      <c r="M222" s="799"/>
      <c r="N222" s="799"/>
      <c r="O222" s="799"/>
      <c r="P222" s="799"/>
      <c r="Q222" s="799"/>
      <c r="R222" s="799"/>
      <c r="S222" s="799"/>
      <c r="T222" s="799"/>
      <c r="U222" s="799"/>
      <c r="V222" s="799"/>
      <c r="W222" s="799"/>
      <c r="X222" s="799"/>
      <c r="Y222" s="799"/>
      <c r="Z222" s="799"/>
      <c r="AA222" s="799"/>
      <c r="AB222" s="799"/>
      <c r="AC222" s="799"/>
      <c r="AD222" s="799"/>
      <c r="AE222" s="799"/>
      <c r="AF222" s="799"/>
      <c r="AG222" s="799"/>
      <c r="AH222" s="799"/>
      <c r="AI222" s="799"/>
      <c r="AJ222" s="799"/>
      <c r="AK222" s="799"/>
      <c r="AL222" s="799"/>
      <c r="AM222" s="799"/>
      <c r="AN222" s="799"/>
      <c r="AO222" s="799"/>
      <c r="AP222" s="799"/>
      <c r="AQ222" s="799"/>
      <c r="AR222" s="799"/>
      <c r="AS222" s="799"/>
      <c r="AT222" s="799"/>
      <c r="AU222" s="799"/>
      <c r="AV222" s="799"/>
      <c r="AW222" s="799"/>
      <c r="AX222" s="799"/>
      <c r="AY222" s="799"/>
      <c r="AZ222" s="799"/>
      <c r="BA222" s="799"/>
      <c r="BB222" s="799"/>
      <c r="BC222" s="799"/>
      <c r="BD222" s="799"/>
      <c r="BE222" s="799"/>
      <c r="BF222" s="799"/>
      <c r="BG222" s="799"/>
    </row>
    <row r="223">
      <c r="H223" s="799"/>
      <c r="I223" s="799"/>
      <c r="J223" s="799"/>
      <c r="K223" s="799"/>
      <c r="L223" s="799"/>
      <c r="M223" s="799"/>
      <c r="N223" s="799"/>
      <c r="O223" s="799"/>
      <c r="P223" s="799"/>
      <c r="Q223" s="799"/>
      <c r="R223" s="799"/>
      <c r="S223" s="799"/>
      <c r="T223" s="799"/>
      <c r="U223" s="799"/>
      <c r="V223" s="799"/>
      <c r="W223" s="799"/>
      <c r="X223" s="799"/>
      <c r="Y223" s="799"/>
      <c r="Z223" s="799"/>
      <c r="AA223" s="799"/>
      <c r="AB223" s="799"/>
      <c r="AC223" s="799"/>
      <c r="AD223" s="799"/>
      <c r="AE223" s="799"/>
      <c r="AF223" s="799"/>
      <c r="AG223" s="799"/>
      <c r="AH223" s="799"/>
      <c r="AI223" s="799"/>
      <c r="AJ223" s="799"/>
      <c r="AK223" s="799"/>
      <c r="AL223" s="799"/>
      <c r="AM223" s="799"/>
      <c r="AN223" s="799"/>
      <c r="AO223" s="799"/>
      <c r="AP223" s="799"/>
      <c r="AQ223" s="799"/>
      <c r="AR223" s="799"/>
      <c r="AS223" s="799"/>
      <c r="AT223" s="799"/>
      <c r="AU223" s="799"/>
      <c r="AV223" s="799"/>
      <c r="AW223" s="799"/>
      <c r="AX223" s="799"/>
      <c r="AY223" s="799"/>
      <c r="AZ223" s="799"/>
      <c r="BA223" s="799"/>
      <c r="BB223" s="799"/>
      <c r="BC223" s="799"/>
      <c r="BD223" s="799"/>
      <c r="BE223" s="799"/>
      <c r="BF223" s="799"/>
      <c r="BG223" s="799"/>
    </row>
    <row r="224">
      <c r="H224" s="799"/>
      <c r="I224" s="799"/>
      <c r="J224" s="799"/>
      <c r="K224" s="799"/>
      <c r="L224" s="799"/>
      <c r="M224" s="799"/>
      <c r="N224" s="799"/>
      <c r="O224" s="799"/>
      <c r="P224" s="799"/>
      <c r="Q224" s="799"/>
      <c r="R224" s="799"/>
      <c r="S224" s="799"/>
      <c r="T224" s="799"/>
      <c r="U224" s="799"/>
      <c r="V224" s="799"/>
      <c r="W224" s="799"/>
      <c r="X224" s="799"/>
      <c r="Y224" s="799"/>
      <c r="Z224" s="799"/>
      <c r="AA224" s="799"/>
      <c r="AB224" s="799"/>
      <c r="AC224" s="799"/>
      <c r="AD224" s="799"/>
      <c r="AE224" s="799"/>
      <c r="AF224" s="799"/>
      <c r="AG224" s="799"/>
      <c r="AH224" s="799"/>
      <c r="AI224" s="799"/>
      <c r="AJ224" s="799"/>
      <c r="AK224" s="799"/>
      <c r="AL224" s="799"/>
      <c r="AM224" s="799"/>
      <c r="AN224" s="799"/>
      <c r="AO224" s="799"/>
      <c r="AP224" s="799"/>
      <c r="AQ224" s="799"/>
      <c r="AR224" s="799"/>
      <c r="AS224" s="799"/>
      <c r="AT224" s="799"/>
      <c r="AU224" s="799"/>
      <c r="AV224" s="799"/>
      <c r="AW224" s="799"/>
      <c r="AX224" s="799"/>
      <c r="AY224" s="799"/>
      <c r="AZ224" s="799"/>
      <c r="BA224" s="799"/>
      <c r="BB224" s="799"/>
      <c r="BC224" s="799"/>
      <c r="BD224" s="799"/>
      <c r="BE224" s="799"/>
      <c r="BF224" s="799"/>
      <c r="BG224" s="799"/>
    </row>
    <row r="225">
      <c r="H225" s="799"/>
      <c r="I225" s="799"/>
      <c r="J225" s="799"/>
      <c r="K225" s="799"/>
      <c r="L225" s="799"/>
      <c r="M225" s="799"/>
      <c r="N225" s="799"/>
      <c r="O225" s="799"/>
      <c r="P225" s="799"/>
      <c r="Q225" s="799"/>
      <c r="R225" s="799"/>
      <c r="S225" s="799"/>
      <c r="T225" s="799"/>
      <c r="U225" s="799"/>
      <c r="V225" s="799"/>
      <c r="W225" s="799"/>
      <c r="X225" s="799"/>
      <c r="Y225" s="799"/>
      <c r="Z225" s="799"/>
      <c r="AA225" s="799"/>
      <c r="AB225" s="799"/>
      <c r="AC225" s="799"/>
      <c r="AD225" s="799"/>
      <c r="AE225" s="799"/>
      <c r="AF225" s="799"/>
      <c r="AG225" s="799"/>
      <c r="AH225" s="799"/>
      <c r="AI225" s="799"/>
      <c r="AJ225" s="799"/>
      <c r="AK225" s="799"/>
      <c r="AL225" s="799"/>
      <c r="AM225" s="799"/>
      <c r="AN225" s="799"/>
      <c r="AO225" s="799"/>
      <c r="AP225" s="799"/>
      <c r="AQ225" s="799"/>
      <c r="AR225" s="799"/>
      <c r="AS225" s="799"/>
      <c r="AT225" s="799"/>
      <c r="AU225" s="799"/>
      <c r="AV225" s="799"/>
      <c r="AW225" s="799"/>
      <c r="AX225" s="799"/>
      <c r="AY225" s="799"/>
      <c r="AZ225" s="799"/>
      <c r="BA225" s="799"/>
      <c r="BB225" s="799"/>
      <c r="BC225" s="799"/>
      <c r="BD225" s="799"/>
      <c r="BE225" s="799"/>
      <c r="BF225" s="799"/>
      <c r="BG225" s="799"/>
    </row>
    <row r="226">
      <c r="H226" s="799"/>
      <c r="I226" s="799"/>
      <c r="J226" s="799"/>
      <c r="K226" s="799"/>
      <c r="L226" s="799"/>
      <c r="M226" s="799"/>
      <c r="N226" s="799"/>
      <c r="O226" s="799"/>
      <c r="P226" s="799"/>
      <c r="Q226" s="799"/>
      <c r="R226" s="799"/>
      <c r="S226" s="799"/>
      <c r="T226" s="799"/>
      <c r="U226" s="799"/>
      <c r="V226" s="799"/>
      <c r="W226" s="799"/>
      <c r="X226" s="799"/>
      <c r="Y226" s="799"/>
      <c r="Z226" s="799"/>
      <c r="AA226" s="799"/>
      <c r="AB226" s="799"/>
      <c r="AC226" s="799"/>
      <c r="AD226" s="799"/>
      <c r="AE226" s="799"/>
      <c r="AF226" s="799"/>
      <c r="AG226" s="799"/>
      <c r="AH226" s="799"/>
      <c r="AI226" s="799"/>
      <c r="AJ226" s="799"/>
      <c r="AK226" s="799"/>
      <c r="AL226" s="799"/>
      <c r="AM226" s="799"/>
      <c r="AN226" s="799"/>
      <c r="AO226" s="799"/>
      <c r="AP226" s="799"/>
      <c r="AQ226" s="799"/>
      <c r="AR226" s="799"/>
      <c r="AS226" s="799"/>
      <c r="AT226" s="799"/>
      <c r="AU226" s="799"/>
      <c r="AV226" s="799"/>
      <c r="AW226" s="799"/>
      <c r="AX226" s="799"/>
      <c r="AY226" s="799"/>
      <c r="AZ226" s="799"/>
      <c r="BA226" s="799"/>
      <c r="BB226" s="799"/>
      <c r="BC226" s="799"/>
      <c r="BD226" s="799"/>
      <c r="BE226" s="799"/>
      <c r="BF226" s="799"/>
      <c r="BG226" s="799"/>
    </row>
    <row r="227">
      <c r="H227" s="799"/>
      <c r="I227" s="799"/>
      <c r="J227" s="799"/>
      <c r="K227" s="799"/>
      <c r="L227" s="799"/>
      <c r="M227" s="799"/>
      <c r="N227" s="799"/>
      <c r="O227" s="799"/>
      <c r="P227" s="799"/>
      <c r="Q227" s="799"/>
      <c r="R227" s="799"/>
      <c r="S227" s="799"/>
      <c r="T227" s="799"/>
      <c r="U227" s="799"/>
      <c r="V227" s="799"/>
      <c r="W227" s="799"/>
      <c r="X227" s="799"/>
      <c r="Y227" s="799"/>
      <c r="Z227" s="799"/>
      <c r="AA227" s="799"/>
      <c r="AB227" s="799"/>
      <c r="AC227" s="799"/>
      <c r="AD227" s="799"/>
      <c r="AE227" s="799"/>
      <c r="AF227" s="799"/>
      <c r="AG227" s="799"/>
      <c r="AH227" s="799"/>
      <c r="AI227" s="799"/>
      <c r="AJ227" s="799"/>
      <c r="AK227" s="799"/>
      <c r="AL227" s="799"/>
      <c r="AM227" s="799"/>
      <c r="AN227" s="799"/>
      <c r="AO227" s="799"/>
      <c r="AP227" s="799"/>
      <c r="AQ227" s="799"/>
      <c r="AR227" s="799"/>
      <c r="AS227" s="799"/>
      <c r="AT227" s="799"/>
      <c r="AU227" s="799"/>
      <c r="AV227" s="799"/>
      <c r="AW227" s="799"/>
      <c r="AX227" s="799"/>
      <c r="AY227" s="799"/>
      <c r="AZ227" s="799"/>
      <c r="BA227" s="799"/>
      <c r="BB227" s="799"/>
      <c r="BC227" s="799"/>
      <c r="BD227" s="799"/>
      <c r="BE227" s="799"/>
      <c r="BF227" s="799"/>
      <c r="BG227" s="799"/>
    </row>
    <row r="228">
      <c r="H228" s="799"/>
      <c r="I228" s="799"/>
      <c r="J228" s="799"/>
      <c r="K228" s="799"/>
      <c r="L228" s="799"/>
      <c r="M228" s="799"/>
      <c r="N228" s="799"/>
      <c r="O228" s="799"/>
      <c r="P228" s="799"/>
      <c r="Q228" s="799"/>
      <c r="R228" s="799"/>
      <c r="S228" s="799"/>
      <c r="T228" s="799"/>
      <c r="U228" s="799"/>
      <c r="V228" s="799"/>
      <c r="W228" s="799"/>
      <c r="X228" s="799"/>
      <c r="Y228" s="799"/>
      <c r="Z228" s="799"/>
      <c r="AA228" s="799"/>
      <c r="AB228" s="799"/>
      <c r="AC228" s="799"/>
      <c r="AD228" s="799"/>
      <c r="AE228" s="799"/>
      <c r="AF228" s="799"/>
      <c r="AG228" s="799"/>
      <c r="AH228" s="799"/>
      <c r="AI228" s="799"/>
      <c r="AJ228" s="799"/>
      <c r="AK228" s="799"/>
      <c r="AL228" s="799"/>
      <c r="AM228" s="799"/>
      <c r="AN228" s="799"/>
      <c r="AO228" s="799"/>
      <c r="AP228" s="799"/>
      <c r="AQ228" s="799"/>
      <c r="AR228" s="799"/>
      <c r="AS228" s="799"/>
      <c r="AT228" s="799"/>
      <c r="AU228" s="799"/>
      <c r="AV228" s="799"/>
      <c r="AW228" s="799"/>
      <c r="AX228" s="799"/>
      <c r="AY228" s="799"/>
      <c r="AZ228" s="799"/>
      <c r="BA228" s="799"/>
      <c r="BB228" s="799"/>
      <c r="BC228" s="799"/>
      <c r="BD228" s="799"/>
      <c r="BE228" s="799"/>
      <c r="BF228" s="799"/>
      <c r="BG228" s="799"/>
    </row>
    <row r="229">
      <c r="H229" s="799"/>
      <c r="I229" s="799"/>
      <c r="J229" s="799"/>
      <c r="K229" s="799"/>
      <c r="L229" s="799"/>
      <c r="M229" s="799"/>
      <c r="N229" s="799"/>
      <c r="O229" s="799"/>
      <c r="P229" s="799"/>
      <c r="Q229" s="799"/>
      <c r="R229" s="799"/>
      <c r="S229" s="799"/>
      <c r="T229" s="799"/>
      <c r="U229" s="799"/>
      <c r="V229" s="799"/>
      <c r="W229" s="799"/>
      <c r="X229" s="799"/>
      <c r="Y229" s="799"/>
      <c r="Z229" s="799"/>
      <c r="AA229" s="799"/>
      <c r="AB229" s="799"/>
      <c r="AC229" s="799"/>
      <c r="AD229" s="799"/>
      <c r="AE229" s="799"/>
      <c r="AF229" s="799"/>
      <c r="AG229" s="799"/>
      <c r="AH229" s="799"/>
      <c r="AI229" s="799"/>
      <c r="AJ229" s="799"/>
      <c r="AK229" s="799"/>
      <c r="AL229" s="799"/>
      <c r="AM229" s="799"/>
      <c r="AN229" s="799"/>
      <c r="AO229" s="799"/>
      <c r="AP229" s="799"/>
      <c r="AQ229" s="799"/>
      <c r="AR229" s="799"/>
      <c r="AS229" s="799"/>
      <c r="AT229" s="799"/>
      <c r="AU229" s="799"/>
      <c r="AV229" s="799"/>
      <c r="AW229" s="799"/>
      <c r="AX229" s="799"/>
      <c r="AY229" s="799"/>
      <c r="AZ229" s="799"/>
      <c r="BA229" s="799"/>
      <c r="BB229" s="799"/>
      <c r="BC229" s="799"/>
      <c r="BD229" s="799"/>
      <c r="BE229" s="799"/>
      <c r="BF229" s="799"/>
      <c r="BG229" s="799"/>
    </row>
    <row r="230">
      <c r="H230" s="799"/>
      <c r="I230" s="799"/>
      <c r="J230" s="799"/>
      <c r="K230" s="799"/>
      <c r="L230" s="799"/>
      <c r="M230" s="799"/>
      <c r="N230" s="799"/>
      <c r="O230" s="799"/>
      <c r="P230" s="799"/>
      <c r="Q230" s="799"/>
      <c r="R230" s="799"/>
      <c r="S230" s="799"/>
      <c r="T230" s="799"/>
      <c r="U230" s="799"/>
      <c r="V230" s="799"/>
      <c r="W230" s="799"/>
      <c r="X230" s="799"/>
      <c r="Y230" s="799"/>
      <c r="Z230" s="799"/>
      <c r="AA230" s="799"/>
      <c r="AB230" s="799"/>
      <c r="AC230" s="799"/>
      <c r="AD230" s="799"/>
      <c r="AE230" s="799"/>
      <c r="AF230" s="799"/>
      <c r="AG230" s="799"/>
      <c r="AH230" s="799"/>
      <c r="AI230" s="799"/>
      <c r="AJ230" s="799"/>
      <c r="AK230" s="799"/>
      <c r="AL230" s="799"/>
      <c r="AM230" s="799"/>
      <c r="AN230" s="799"/>
      <c r="AO230" s="799"/>
      <c r="AP230" s="799"/>
      <c r="AQ230" s="799"/>
      <c r="AR230" s="799"/>
      <c r="AS230" s="799"/>
      <c r="AT230" s="799"/>
      <c r="AU230" s="799"/>
      <c r="AV230" s="799"/>
      <c r="AW230" s="799"/>
      <c r="AX230" s="799"/>
      <c r="AY230" s="799"/>
      <c r="AZ230" s="799"/>
      <c r="BA230" s="799"/>
      <c r="BB230" s="799"/>
      <c r="BC230" s="799"/>
      <c r="BD230" s="799"/>
      <c r="BE230" s="799"/>
      <c r="BF230" s="799"/>
      <c r="BG230" s="799"/>
    </row>
    <row r="231">
      <c r="H231" s="799"/>
      <c r="I231" s="799"/>
      <c r="J231" s="799"/>
      <c r="K231" s="799"/>
      <c r="L231" s="799"/>
      <c r="M231" s="799"/>
      <c r="N231" s="799"/>
      <c r="O231" s="799"/>
      <c r="P231" s="799"/>
      <c r="Q231" s="799"/>
      <c r="R231" s="799"/>
      <c r="S231" s="799"/>
      <c r="T231" s="799"/>
      <c r="U231" s="799"/>
      <c r="V231" s="799"/>
      <c r="W231" s="799"/>
      <c r="X231" s="799"/>
      <c r="Y231" s="799"/>
      <c r="Z231" s="799"/>
      <c r="AA231" s="799"/>
      <c r="AB231" s="799"/>
      <c r="AC231" s="799"/>
      <c r="AD231" s="799"/>
      <c r="AE231" s="799"/>
      <c r="AF231" s="799"/>
      <c r="AG231" s="799"/>
      <c r="AH231" s="799"/>
      <c r="AI231" s="799"/>
      <c r="AJ231" s="799"/>
      <c r="AK231" s="799"/>
      <c r="AL231" s="799"/>
      <c r="AM231" s="799"/>
      <c r="AN231" s="799"/>
      <c r="AO231" s="799"/>
      <c r="AP231" s="799"/>
      <c r="AQ231" s="799"/>
      <c r="AR231" s="799"/>
      <c r="AS231" s="799"/>
      <c r="AT231" s="799"/>
      <c r="AU231" s="799"/>
      <c r="AV231" s="799"/>
      <c r="AW231" s="799"/>
      <c r="AX231" s="799"/>
      <c r="AY231" s="799"/>
      <c r="AZ231" s="799"/>
      <c r="BA231" s="799"/>
      <c r="BB231" s="799"/>
      <c r="BC231" s="799"/>
      <c r="BD231" s="799"/>
      <c r="BE231" s="799"/>
      <c r="BF231" s="799"/>
      <c r="BG231" s="799"/>
    </row>
    <row r="232">
      <c r="H232" s="799"/>
      <c r="I232" s="799"/>
      <c r="J232" s="799"/>
      <c r="K232" s="799"/>
      <c r="L232" s="799"/>
      <c r="M232" s="799"/>
      <c r="N232" s="799"/>
      <c r="O232" s="799"/>
      <c r="P232" s="799"/>
      <c r="Q232" s="799"/>
      <c r="R232" s="799"/>
      <c r="S232" s="799"/>
      <c r="T232" s="799"/>
      <c r="U232" s="799"/>
      <c r="V232" s="799"/>
      <c r="W232" s="799"/>
      <c r="X232" s="799"/>
      <c r="Y232" s="799"/>
      <c r="Z232" s="799"/>
      <c r="AA232" s="799"/>
      <c r="AB232" s="799"/>
      <c r="AC232" s="799"/>
      <c r="AD232" s="799"/>
      <c r="AE232" s="799"/>
      <c r="AF232" s="799"/>
      <c r="AG232" s="799"/>
      <c r="AH232" s="799"/>
      <c r="AI232" s="799"/>
      <c r="AJ232" s="799"/>
      <c r="AK232" s="799"/>
      <c r="AL232" s="799"/>
      <c r="AM232" s="799"/>
      <c r="AN232" s="799"/>
      <c r="AO232" s="799"/>
      <c r="AP232" s="799"/>
      <c r="AQ232" s="799"/>
      <c r="AR232" s="799"/>
      <c r="AS232" s="799"/>
      <c r="AT232" s="799"/>
      <c r="AU232" s="799"/>
      <c r="AV232" s="799"/>
      <c r="AW232" s="799"/>
      <c r="AX232" s="799"/>
      <c r="AY232" s="799"/>
      <c r="AZ232" s="799"/>
      <c r="BA232" s="799"/>
      <c r="BB232" s="799"/>
      <c r="BC232" s="799"/>
      <c r="BD232" s="799"/>
      <c r="BE232" s="799"/>
      <c r="BF232" s="799"/>
      <c r="BG232" s="799"/>
    </row>
    <row r="233">
      <c r="H233" s="799"/>
      <c r="I233" s="799"/>
      <c r="J233" s="799"/>
      <c r="K233" s="799"/>
      <c r="L233" s="799"/>
      <c r="M233" s="799"/>
      <c r="N233" s="799"/>
      <c r="O233" s="799"/>
      <c r="P233" s="799"/>
      <c r="Q233" s="799"/>
      <c r="R233" s="799"/>
      <c r="S233" s="799"/>
      <c r="T233" s="799"/>
      <c r="U233" s="799"/>
      <c r="V233" s="799"/>
      <c r="W233" s="799"/>
      <c r="X233" s="799"/>
      <c r="Y233" s="799"/>
      <c r="Z233" s="799"/>
      <c r="AA233" s="799"/>
      <c r="AB233" s="799"/>
      <c r="AC233" s="799"/>
      <c r="AD233" s="799"/>
      <c r="AE233" s="799"/>
      <c r="AF233" s="799"/>
      <c r="AG233" s="799"/>
      <c r="AH233" s="799"/>
      <c r="AI233" s="799"/>
      <c r="AJ233" s="799"/>
      <c r="AK233" s="799"/>
      <c r="AL233" s="799"/>
      <c r="AM233" s="799"/>
      <c r="AN233" s="799"/>
      <c r="AO233" s="799"/>
      <c r="AP233" s="799"/>
      <c r="AQ233" s="799"/>
      <c r="AR233" s="799"/>
      <c r="AS233" s="799"/>
      <c r="AT233" s="799"/>
      <c r="AU233" s="799"/>
      <c r="AV233" s="799"/>
      <c r="AW233" s="799"/>
      <c r="AX233" s="799"/>
      <c r="AY233" s="799"/>
      <c r="AZ233" s="799"/>
      <c r="BA233" s="799"/>
      <c r="BB233" s="799"/>
      <c r="BC233" s="799"/>
      <c r="BD233" s="799"/>
      <c r="BE233" s="799"/>
      <c r="BF233" s="799"/>
      <c r="BG233" s="799"/>
    </row>
    <row r="234">
      <c r="H234" s="799"/>
      <c r="I234" s="799"/>
      <c r="J234" s="799"/>
      <c r="K234" s="799"/>
      <c r="L234" s="799"/>
      <c r="M234" s="799"/>
      <c r="N234" s="799"/>
      <c r="O234" s="799"/>
      <c r="P234" s="799"/>
      <c r="Q234" s="799"/>
      <c r="R234" s="799"/>
      <c r="S234" s="799"/>
      <c r="T234" s="799"/>
      <c r="U234" s="799"/>
      <c r="V234" s="799"/>
      <c r="W234" s="799"/>
      <c r="X234" s="799"/>
      <c r="Y234" s="799"/>
      <c r="Z234" s="799"/>
      <c r="AA234" s="799"/>
      <c r="AB234" s="799"/>
      <c r="AC234" s="799"/>
      <c r="AD234" s="799"/>
      <c r="AE234" s="799"/>
      <c r="AF234" s="799"/>
      <c r="AG234" s="799"/>
      <c r="AH234" s="799"/>
      <c r="AI234" s="799"/>
      <c r="AJ234" s="799"/>
      <c r="AK234" s="799"/>
      <c r="AL234" s="799"/>
      <c r="AM234" s="799"/>
      <c r="AN234" s="799"/>
      <c r="AO234" s="799"/>
      <c r="AP234" s="799"/>
      <c r="AQ234" s="799"/>
      <c r="AR234" s="799"/>
      <c r="AS234" s="799"/>
      <c r="AT234" s="799"/>
      <c r="AU234" s="799"/>
      <c r="AV234" s="799"/>
      <c r="AW234" s="799"/>
      <c r="AX234" s="799"/>
      <c r="AY234" s="799"/>
      <c r="AZ234" s="799"/>
      <c r="BA234" s="799"/>
      <c r="BB234" s="799"/>
      <c r="BC234" s="799"/>
      <c r="BD234" s="799"/>
      <c r="BE234" s="799"/>
      <c r="BF234" s="799"/>
      <c r="BG234" s="799"/>
    </row>
    <row r="235">
      <c r="H235" s="799"/>
      <c r="I235" s="799"/>
      <c r="J235" s="799"/>
      <c r="K235" s="799"/>
      <c r="L235" s="799"/>
      <c r="M235" s="799"/>
      <c r="N235" s="799"/>
      <c r="O235" s="799"/>
      <c r="P235" s="799"/>
      <c r="Q235" s="799"/>
      <c r="R235" s="799"/>
      <c r="S235" s="799"/>
      <c r="T235" s="799"/>
      <c r="U235" s="799"/>
      <c r="V235" s="799"/>
      <c r="W235" s="799"/>
      <c r="X235" s="799"/>
      <c r="Y235" s="799"/>
      <c r="Z235" s="799"/>
      <c r="AA235" s="799"/>
      <c r="AB235" s="799"/>
      <c r="AC235" s="799"/>
      <c r="AD235" s="799"/>
      <c r="AE235" s="799"/>
      <c r="AF235" s="799"/>
      <c r="AG235" s="799"/>
      <c r="AH235" s="799"/>
      <c r="AI235" s="799"/>
      <c r="AJ235" s="799"/>
      <c r="AK235" s="799"/>
      <c r="AL235" s="799"/>
      <c r="AM235" s="799"/>
      <c r="AN235" s="799"/>
      <c r="AO235" s="799"/>
      <c r="AP235" s="799"/>
      <c r="AQ235" s="799"/>
      <c r="AR235" s="799"/>
      <c r="AS235" s="799"/>
      <c r="AT235" s="799"/>
      <c r="AU235" s="799"/>
      <c r="AV235" s="799"/>
      <c r="AW235" s="799"/>
      <c r="AX235" s="799"/>
      <c r="AY235" s="799"/>
      <c r="AZ235" s="799"/>
      <c r="BA235" s="799"/>
      <c r="BB235" s="799"/>
      <c r="BC235" s="799"/>
      <c r="BD235" s="799"/>
      <c r="BE235" s="799"/>
      <c r="BF235" s="799"/>
      <c r="BG235" s="799"/>
    </row>
    <row r="236">
      <c r="H236" s="799"/>
      <c r="I236" s="799"/>
      <c r="J236" s="799"/>
      <c r="K236" s="799"/>
      <c r="L236" s="799"/>
      <c r="M236" s="799"/>
      <c r="N236" s="799"/>
      <c r="O236" s="799"/>
      <c r="P236" s="799"/>
      <c r="Q236" s="799"/>
      <c r="R236" s="799"/>
      <c r="S236" s="799"/>
      <c r="T236" s="799"/>
      <c r="U236" s="799"/>
      <c r="V236" s="799"/>
      <c r="W236" s="799"/>
      <c r="X236" s="799"/>
      <c r="Y236" s="799"/>
      <c r="Z236" s="799"/>
      <c r="AA236" s="799"/>
      <c r="AB236" s="799"/>
      <c r="AC236" s="799"/>
      <c r="AD236" s="799"/>
      <c r="AE236" s="799"/>
      <c r="AF236" s="799"/>
      <c r="AG236" s="799"/>
      <c r="AH236" s="799"/>
      <c r="AI236" s="799"/>
      <c r="AJ236" s="799"/>
      <c r="AK236" s="799"/>
      <c r="AL236" s="799"/>
      <c r="AM236" s="799"/>
      <c r="AN236" s="799"/>
      <c r="AO236" s="799"/>
      <c r="AP236" s="799"/>
      <c r="AQ236" s="799"/>
      <c r="AR236" s="799"/>
      <c r="AS236" s="799"/>
      <c r="AT236" s="799"/>
      <c r="AU236" s="799"/>
      <c r="AV236" s="799"/>
      <c r="AW236" s="799"/>
      <c r="AX236" s="799"/>
      <c r="AY236" s="799"/>
      <c r="AZ236" s="799"/>
      <c r="BA236" s="799"/>
      <c r="BB236" s="799"/>
      <c r="BC236" s="799"/>
      <c r="BD236" s="799"/>
      <c r="BE236" s="799"/>
      <c r="BF236" s="799"/>
      <c r="BG236" s="799"/>
    </row>
    <row r="237">
      <c r="H237" s="799"/>
      <c r="I237" s="799"/>
      <c r="J237" s="799"/>
      <c r="K237" s="799"/>
      <c r="L237" s="799"/>
      <c r="M237" s="799"/>
      <c r="N237" s="799"/>
      <c r="O237" s="799"/>
      <c r="P237" s="799"/>
      <c r="Q237" s="799"/>
      <c r="R237" s="799"/>
      <c r="S237" s="799"/>
      <c r="T237" s="799"/>
      <c r="U237" s="799"/>
      <c r="V237" s="799"/>
      <c r="W237" s="799"/>
      <c r="X237" s="799"/>
      <c r="Y237" s="799"/>
      <c r="Z237" s="799"/>
      <c r="AA237" s="799"/>
      <c r="AB237" s="799"/>
      <c r="AC237" s="799"/>
      <c r="AD237" s="799"/>
      <c r="AE237" s="799"/>
      <c r="AF237" s="799"/>
      <c r="AG237" s="799"/>
      <c r="AH237" s="799"/>
      <c r="AI237" s="799"/>
      <c r="AJ237" s="799"/>
      <c r="AK237" s="799"/>
      <c r="AL237" s="799"/>
      <c r="AM237" s="799"/>
      <c r="AN237" s="799"/>
      <c r="AO237" s="799"/>
      <c r="AP237" s="799"/>
      <c r="AQ237" s="799"/>
      <c r="AR237" s="799"/>
      <c r="AS237" s="799"/>
      <c r="AT237" s="799"/>
      <c r="AU237" s="799"/>
      <c r="AV237" s="799"/>
      <c r="AW237" s="799"/>
      <c r="AX237" s="799"/>
      <c r="AY237" s="799"/>
      <c r="AZ237" s="799"/>
      <c r="BA237" s="799"/>
      <c r="BB237" s="799"/>
      <c r="BC237" s="799"/>
      <c r="BD237" s="799"/>
      <c r="BE237" s="799"/>
      <c r="BF237" s="799"/>
      <c r="BG237" s="799"/>
    </row>
    <row r="238">
      <c r="H238" s="799"/>
      <c r="I238" s="799"/>
      <c r="J238" s="799"/>
      <c r="K238" s="799"/>
      <c r="L238" s="799"/>
      <c r="M238" s="799"/>
      <c r="N238" s="799"/>
      <c r="O238" s="799"/>
      <c r="P238" s="799"/>
      <c r="Q238" s="799"/>
      <c r="R238" s="799"/>
      <c r="S238" s="799"/>
      <c r="T238" s="799"/>
      <c r="U238" s="799"/>
      <c r="V238" s="799"/>
      <c r="W238" s="799"/>
      <c r="X238" s="799"/>
      <c r="Y238" s="799"/>
      <c r="Z238" s="799"/>
      <c r="AA238" s="799"/>
      <c r="AB238" s="799"/>
      <c r="AC238" s="799"/>
      <c r="AD238" s="799"/>
      <c r="AE238" s="799"/>
      <c r="AF238" s="799"/>
      <c r="AG238" s="799"/>
      <c r="AH238" s="799"/>
      <c r="AI238" s="799"/>
      <c r="AJ238" s="799"/>
      <c r="AK238" s="799"/>
      <c r="AL238" s="799"/>
      <c r="AM238" s="799"/>
      <c r="AN238" s="799"/>
      <c r="AO238" s="799"/>
      <c r="AP238" s="799"/>
      <c r="AQ238" s="799"/>
      <c r="AR238" s="799"/>
      <c r="AS238" s="799"/>
      <c r="AT238" s="799"/>
      <c r="AU238" s="799"/>
      <c r="AV238" s="799"/>
      <c r="AW238" s="799"/>
      <c r="AX238" s="799"/>
      <c r="AY238" s="799"/>
      <c r="AZ238" s="799"/>
      <c r="BA238" s="799"/>
      <c r="BB238" s="799"/>
      <c r="BC238" s="799"/>
      <c r="BD238" s="799"/>
      <c r="BE238" s="799"/>
      <c r="BF238" s="799"/>
      <c r="BG238" s="799"/>
    </row>
    <row r="239">
      <c r="H239" s="799"/>
      <c r="I239" s="799"/>
      <c r="J239" s="799"/>
      <c r="K239" s="799"/>
      <c r="L239" s="799"/>
      <c r="M239" s="799"/>
      <c r="N239" s="799"/>
      <c r="O239" s="799"/>
      <c r="P239" s="799"/>
      <c r="Q239" s="799"/>
      <c r="R239" s="799"/>
      <c r="S239" s="799"/>
      <c r="T239" s="799"/>
      <c r="U239" s="799"/>
      <c r="V239" s="799"/>
      <c r="W239" s="799"/>
      <c r="X239" s="799"/>
      <c r="Y239" s="799"/>
      <c r="Z239" s="799"/>
      <c r="AA239" s="799"/>
      <c r="AB239" s="799"/>
      <c r="AC239" s="799"/>
      <c r="AD239" s="799"/>
      <c r="AE239" s="799"/>
      <c r="AF239" s="799"/>
      <c r="AG239" s="799"/>
      <c r="AH239" s="799"/>
      <c r="AI239" s="799"/>
      <c r="AJ239" s="799"/>
      <c r="AK239" s="799"/>
      <c r="AL239" s="799"/>
      <c r="AM239" s="799"/>
      <c r="AN239" s="799"/>
      <c r="AO239" s="799"/>
      <c r="AP239" s="799"/>
      <c r="AQ239" s="799"/>
      <c r="AR239" s="799"/>
      <c r="AS239" s="799"/>
      <c r="AT239" s="799"/>
      <c r="AU239" s="799"/>
      <c r="AV239" s="799"/>
      <c r="AW239" s="799"/>
      <c r="AX239" s="799"/>
      <c r="AY239" s="799"/>
      <c r="AZ239" s="799"/>
      <c r="BA239" s="799"/>
      <c r="BB239" s="799"/>
      <c r="BC239" s="799"/>
      <c r="BD239" s="799"/>
      <c r="BE239" s="799"/>
      <c r="BF239" s="799"/>
      <c r="BG239" s="799"/>
    </row>
    <row r="240">
      <c r="H240" s="799"/>
      <c r="I240" s="799"/>
      <c r="J240" s="799"/>
      <c r="K240" s="799"/>
      <c r="L240" s="799"/>
      <c r="M240" s="799"/>
      <c r="N240" s="799"/>
      <c r="O240" s="799"/>
      <c r="P240" s="799"/>
      <c r="Q240" s="799"/>
      <c r="R240" s="799"/>
      <c r="S240" s="799"/>
      <c r="T240" s="799"/>
      <c r="U240" s="799"/>
      <c r="V240" s="799"/>
      <c r="W240" s="799"/>
      <c r="X240" s="799"/>
      <c r="Y240" s="799"/>
      <c r="Z240" s="799"/>
      <c r="AA240" s="799"/>
      <c r="AB240" s="799"/>
      <c r="AC240" s="799"/>
      <c r="AD240" s="799"/>
      <c r="AE240" s="799"/>
      <c r="AF240" s="799"/>
      <c r="AG240" s="799"/>
      <c r="AH240" s="799"/>
      <c r="AI240" s="799"/>
      <c r="AJ240" s="799"/>
      <c r="AK240" s="799"/>
      <c r="AL240" s="799"/>
      <c r="AM240" s="799"/>
      <c r="AN240" s="799"/>
      <c r="AO240" s="799"/>
      <c r="AP240" s="799"/>
      <c r="AQ240" s="799"/>
      <c r="AR240" s="799"/>
      <c r="AS240" s="799"/>
      <c r="AT240" s="799"/>
      <c r="AU240" s="799"/>
      <c r="AV240" s="799"/>
      <c r="AW240" s="799"/>
      <c r="AX240" s="799"/>
      <c r="AY240" s="799"/>
      <c r="AZ240" s="799"/>
      <c r="BA240" s="799"/>
      <c r="BB240" s="799"/>
      <c r="BC240" s="799"/>
      <c r="BD240" s="799"/>
      <c r="BE240" s="799"/>
      <c r="BF240" s="799"/>
      <c r="BG240" s="799"/>
    </row>
    <row r="241">
      <c r="H241" s="799"/>
      <c r="I241" s="799"/>
      <c r="J241" s="799"/>
      <c r="K241" s="799"/>
      <c r="L241" s="799"/>
      <c r="M241" s="799"/>
      <c r="N241" s="799"/>
      <c r="O241" s="799"/>
      <c r="P241" s="799"/>
      <c r="Q241" s="799"/>
      <c r="R241" s="799"/>
      <c r="S241" s="799"/>
      <c r="T241" s="799"/>
      <c r="U241" s="799"/>
      <c r="V241" s="799"/>
      <c r="W241" s="799"/>
      <c r="X241" s="799"/>
      <c r="Y241" s="799"/>
      <c r="Z241" s="799"/>
      <c r="AA241" s="799"/>
      <c r="AB241" s="799"/>
      <c r="AC241" s="799"/>
      <c r="AD241" s="799"/>
      <c r="AE241" s="799"/>
      <c r="AF241" s="799"/>
      <c r="AG241" s="799"/>
      <c r="AH241" s="799"/>
      <c r="AI241" s="799"/>
      <c r="AJ241" s="799"/>
      <c r="AK241" s="799"/>
      <c r="AL241" s="799"/>
      <c r="AM241" s="799"/>
      <c r="AN241" s="799"/>
      <c r="AO241" s="799"/>
      <c r="AP241" s="799"/>
      <c r="AQ241" s="799"/>
      <c r="AR241" s="799"/>
      <c r="AS241" s="799"/>
      <c r="AT241" s="799"/>
      <c r="AU241" s="799"/>
      <c r="AV241" s="799"/>
      <c r="AW241" s="799"/>
      <c r="AX241" s="799"/>
      <c r="AY241" s="799"/>
      <c r="AZ241" s="799"/>
      <c r="BA241" s="799"/>
      <c r="BB241" s="799"/>
      <c r="BC241" s="799"/>
      <c r="BD241" s="799"/>
      <c r="BE241" s="799"/>
      <c r="BF241" s="799"/>
      <c r="BG241" s="799"/>
    </row>
    <row r="242">
      <c r="H242" s="799"/>
      <c r="I242" s="799"/>
      <c r="J242" s="799"/>
      <c r="K242" s="799"/>
      <c r="L242" s="799"/>
      <c r="M242" s="799"/>
      <c r="N242" s="799"/>
      <c r="O242" s="799"/>
      <c r="P242" s="799"/>
      <c r="Q242" s="799"/>
      <c r="R242" s="799"/>
      <c r="S242" s="799"/>
      <c r="T242" s="799"/>
      <c r="U242" s="799"/>
      <c r="V242" s="799"/>
      <c r="W242" s="799"/>
      <c r="X242" s="799"/>
      <c r="Y242" s="799"/>
      <c r="Z242" s="799"/>
      <c r="AA242" s="799"/>
      <c r="AB242" s="799"/>
      <c r="AC242" s="799"/>
      <c r="AD242" s="799"/>
      <c r="AE242" s="799"/>
      <c r="AF242" s="799"/>
      <c r="AG242" s="799"/>
      <c r="AH242" s="799"/>
      <c r="AI242" s="799"/>
      <c r="AJ242" s="799"/>
      <c r="AK242" s="799"/>
      <c r="AL242" s="799"/>
      <c r="AM242" s="799"/>
      <c r="AN242" s="799"/>
      <c r="AO242" s="799"/>
      <c r="AP242" s="799"/>
      <c r="AQ242" s="799"/>
      <c r="AR242" s="799"/>
      <c r="AS242" s="799"/>
      <c r="AT242" s="799"/>
      <c r="AU242" s="799"/>
      <c r="AV242" s="799"/>
      <c r="AW242" s="799"/>
      <c r="AX242" s="799"/>
      <c r="AY242" s="799"/>
      <c r="AZ242" s="799"/>
      <c r="BA242" s="799"/>
      <c r="BB242" s="799"/>
      <c r="BC242" s="799"/>
      <c r="BD242" s="799"/>
      <c r="BE242" s="799"/>
      <c r="BF242" s="799"/>
      <c r="BG242" s="799"/>
    </row>
    <row r="243">
      <c r="H243" s="799"/>
      <c r="I243" s="799"/>
      <c r="J243" s="799"/>
      <c r="K243" s="799"/>
      <c r="L243" s="799"/>
      <c r="M243" s="799"/>
      <c r="N243" s="799"/>
      <c r="O243" s="799"/>
      <c r="P243" s="799"/>
      <c r="Q243" s="799"/>
      <c r="R243" s="799"/>
      <c r="S243" s="799"/>
      <c r="T243" s="799"/>
      <c r="U243" s="799"/>
      <c r="V243" s="799"/>
      <c r="W243" s="799"/>
      <c r="X243" s="799"/>
      <c r="Y243" s="799"/>
      <c r="Z243" s="799"/>
      <c r="AA243" s="799"/>
      <c r="AB243" s="799"/>
      <c r="AC243" s="799"/>
      <c r="AD243" s="799"/>
      <c r="AE243" s="799"/>
      <c r="AF243" s="799"/>
      <c r="AG243" s="799"/>
      <c r="AH243" s="799"/>
      <c r="AI243" s="799"/>
      <c r="AJ243" s="799"/>
      <c r="AK243" s="799"/>
      <c r="AL243" s="799"/>
      <c r="AM243" s="799"/>
      <c r="AN243" s="799"/>
      <c r="AO243" s="799"/>
      <c r="AP243" s="799"/>
      <c r="AQ243" s="799"/>
      <c r="AR243" s="799"/>
      <c r="AS243" s="799"/>
      <c r="AT243" s="799"/>
      <c r="AU243" s="799"/>
      <c r="AV243" s="799"/>
      <c r="AW243" s="799"/>
      <c r="AX243" s="799"/>
      <c r="AY243" s="799"/>
      <c r="AZ243" s="799"/>
      <c r="BA243" s="799"/>
      <c r="BB243" s="799"/>
      <c r="BC243" s="799"/>
      <c r="BD243" s="799"/>
      <c r="BE243" s="799"/>
      <c r="BF243" s="799"/>
      <c r="BG243" s="799"/>
    </row>
    <row r="244">
      <c r="H244" s="799"/>
      <c r="I244" s="799"/>
      <c r="J244" s="799"/>
      <c r="K244" s="799"/>
      <c r="L244" s="799"/>
      <c r="M244" s="799"/>
      <c r="N244" s="799"/>
      <c r="O244" s="799"/>
      <c r="P244" s="799"/>
      <c r="Q244" s="799"/>
      <c r="R244" s="799"/>
      <c r="S244" s="799"/>
      <c r="T244" s="799"/>
      <c r="U244" s="799"/>
      <c r="V244" s="799"/>
      <c r="W244" s="799"/>
      <c r="X244" s="799"/>
      <c r="Y244" s="799"/>
      <c r="Z244" s="799"/>
      <c r="AA244" s="799"/>
      <c r="AB244" s="799"/>
      <c r="AC244" s="799"/>
      <c r="AD244" s="799"/>
      <c r="AE244" s="799"/>
      <c r="AF244" s="799"/>
      <c r="AG244" s="799"/>
      <c r="AH244" s="799"/>
      <c r="AI244" s="799"/>
      <c r="AJ244" s="799"/>
      <c r="AK244" s="799"/>
      <c r="AL244" s="799"/>
      <c r="AM244" s="799"/>
      <c r="AN244" s="799"/>
      <c r="AO244" s="799"/>
      <c r="AP244" s="799"/>
      <c r="AQ244" s="799"/>
      <c r="AR244" s="799"/>
      <c r="AS244" s="799"/>
      <c r="AT244" s="799"/>
      <c r="AU244" s="799"/>
      <c r="AV244" s="799"/>
      <c r="AW244" s="799"/>
      <c r="AX244" s="799"/>
      <c r="AY244" s="799"/>
      <c r="AZ244" s="799"/>
      <c r="BA244" s="799"/>
      <c r="BB244" s="799"/>
      <c r="BC244" s="799"/>
      <c r="BD244" s="799"/>
      <c r="BE244" s="799"/>
      <c r="BF244" s="799"/>
      <c r="BG244" s="799"/>
    </row>
    <row r="245">
      <c r="H245" s="799"/>
      <c r="I245" s="799"/>
      <c r="J245" s="799"/>
      <c r="K245" s="799"/>
      <c r="L245" s="799"/>
      <c r="M245" s="799"/>
      <c r="N245" s="799"/>
      <c r="O245" s="799"/>
      <c r="P245" s="799"/>
      <c r="Q245" s="799"/>
      <c r="R245" s="799"/>
      <c r="S245" s="799"/>
      <c r="T245" s="799"/>
      <c r="U245" s="799"/>
      <c r="V245" s="799"/>
      <c r="W245" s="799"/>
      <c r="X245" s="799"/>
      <c r="Y245" s="799"/>
      <c r="Z245" s="799"/>
      <c r="AA245" s="799"/>
      <c r="AB245" s="799"/>
      <c r="AC245" s="799"/>
      <c r="AD245" s="799"/>
      <c r="AE245" s="799"/>
      <c r="AF245" s="799"/>
      <c r="AG245" s="799"/>
      <c r="AH245" s="799"/>
      <c r="AI245" s="799"/>
      <c r="AJ245" s="799"/>
      <c r="AK245" s="799"/>
      <c r="AL245" s="799"/>
      <c r="AM245" s="799"/>
      <c r="AN245" s="799"/>
      <c r="AO245" s="799"/>
      <c r="AP245" s="799"/>
      <c r="AQ245" s="799"/>
      <c r="AR245" s="799"/>
      <c r="AS245" s="799"/>
      <c r="AT245" s="799"/>
      <c r="AU245" s="799"/>
      <c r="AV245" s="799"/>
      <c r="AW245" s="799"/>
      <c r="AX245" s="799"/>
      <c r="AY245" s="799"/>
      <c r="AZ245" s="799"/>
      <c r="BA245" s="799"/>
      <c r="BB245" s="799"/>
      <c r="BC245" s="799"/>
      <c r="BD245" s="799"/>
      <c r="BE245" s="799"/>
      <c r="BF245" s="799"/>
      <c r="BG245" s="799"/>
    </row>
    <row r="246">
      <c r="H246" s="799"/>
      <c r="I246" s="799"/>
      <c r="J246" s="799"/>
      <c r="K246" s="799"/>
      <c r="L246" s="799"/>
      <c r="M246" s="799"/>
      <c r="N246" s="799"/>
      <c r="O246" s="799"/>
      <c r="P246" s="799"/>
      <c r="Q246" s="799"/>
      <c r="R246" s="799"/>
      <c r="S246" s="799"/>
      <c r="T246" s="799"/>
      <c r="U246" s="799"/>
      <c r="V246" s="799"/>
      <c r="W246" s="799"/>
      <c r="X246" s="799"/>
      <c r="Y246" s="799"/>
      <c r="Z246" s="799"/>
      <c r="AA246" s="799"/>
      <c r="AB246" s="799"/>
      <c r="AC246" s="799"/>
      <c r="AD246" s="799"/>
      <c r="AE246" s="799"/>
      <c r="AF246" s="799"/>
      <c r="AG246" s="799"/>
      <c r="AH246" s="799"/>
      <c r="AI246" s="799"/>
      <c r="AJ246" s="799"/>
      <c r="AK246" s="799"/>
      <c r="AL246" s="799"/>
      <c r="AM246" s="799"/>
      <c r="AN246" s="799"/>
      <c r="AO246" s="799"/>
      <c r="AP246" s="799"/>
      <c r="AQ246" s="799"/>
      <c r="AR246" s="799"/>
      <c r="AS246" s="799"/>
      <c r="AT246" s="799"/>
      <c r="AU246" s="799"/>
      <c r="AV246" s="799"/>
      <c r="AW246" s="799"/>
      <c r="AX246" s="799"/>
      <c r="AY246" s="799"/>
      <c r="AZ246" s="799"/>
      <c r="BA246" s="799"/>
      <c r="BB246" s="799"/>
      <c r="BC246" s="799"/>
      <c r="BD246" s="799"/>
      <c r="BE246" s="799"/>
      <c r="BF246" s="799"/>
      <c r="BG246" s="799"/>
    </row>
    <row r="247">
      <c r="H247" s="799"/>
      <c r="I247" s="799"/>
      <c r="J247" s="799"/>
      <c r="K247" s="799"/>
      <c r="L247" s="799"/>
      <c r="M247" s="799"/>
      <c r="N247" s="799"/>
      <c r="O247" s="799"/>
      <c r="P247" s="799"/>
      <c r="Q247" s="799"/>
      <c r="R247" s="799"/>
      <c r="S247" s="799"/>
      <c r="T247" s="799"/>
      <c r="U247" s="799"/>
      <c r="V247" s="799"/>
      <c r="W247" s="799"/>
      <c r="X247" s="799"/>
      <c r="Y247" s="799"/>
      <c r="Z247" s="799"/>
      <c r="AA247" s="799"/>
      <c r="AB247" s="799"/>
      <c r="AC247" s="799"/>
      <c r="AD247" s="799"/>
      <c r="AE247" s="799"/>
      <c r="AF247" s="799"/>
      <c r="AG247" s="799"/>
      <c r="AH247" s="799"/>
      <c r="AI247" s="799"/>
      <c r="AJ247" s="799"/>
      <c r="AK247" s="799"/>
      <c r="AL247" s="799"/>
      <c r="AM247" s="799"/>
      <c r="AN247" s="799"/>
      <c r="AO247" s="799"/>
      <c r="AP247" s="799"/>
      <c r="AQ247" s="799"/>
      <c r="AR247" s="799"/>
      <c r="AS247" s="799"/>
      <c r="AT247" s="799"/>
      <c r="AU247" s="799"/>
      <c r="AV247" s="799"/>
      <c r="AW247" s="799"/>
      <c r="AX247" s="799"/>
      <c r="AY247" s="799"/>
      <c r="AZ247" s="799"/>
      <c r="BA247" s="799"/>
      <c r="BB247" s="799"/>
      <c r="BC247" s="799"/>
      <c r="BD247" s="799"/>
      <c r="BE247" s="799"/>
      <c r="BF247" s="799"/>
      <c r="BG247" s="799"/>
    </row>
    <row r="248">
      <c r="H248" s="799"/>
      <c r="I248" s="799"/>
      <c r="J248" s="799"/>
      <c r="K248" s="799"/>
      <c r="L248" s="799"/>
      <c r="M248" s="799"/>
      <c r="N248" s="799"/>
      <c r="O248" s="799"/>
      <c r="P248" s="799"/>
      <c r="Q248" s="799"/>
      <c r="R248" s="799"/>
      <c r="S248" s="799"/>
      <c r="T248" s="799"/>
      <c r="U248" s="799"/>
      <c r="V248" s="799"/>
      <c r="W248" s="799"/>
      <c r="X248" s="799"/>
      <c r="Y248" s="799"/>
      <c r="Z248" s="799"/>
      <c r="AA248" s="799"/>
      <c r="AB248" s="799"/>
      <c r="AC248" s="799"/>
      <c r="AD248" s="799"/>
      <c r="AE248" s="799"/>
      <c r="AF248" s="799"/>
      <c r="AG248" s="799"/>
      <c r="AH248" s="799"/>
      <c r="AI248" s="799"/>
      <c r="AJ248" s="799"/>
      <c r="AK248" s="799"/>
      <c r="AL248" s="799"/>
      <c r="AM248" s="799"/>
      <c r="AN248" s="799"/>
      <c r="AO248" s="799"/>
      <c r="AP248" s="799"/>
      <c r="AQ248" s="799"/>
      <c r="AR248" s="799"/>
      <c r="AS248" s="799"/>
      <c r="AT248" s="799"/>
      <c r="AU248" s="799"/>
      <c r="AV248" s="799"/>
      <c r="AW248" s="799"/>
      <c r="AX248" s="799"/>
      <c r="AY248" s="799"/>
      <c r="AZ248" s="799"/>
      <c r="BA248" s="799"/>
      <c r="BB248" s="799"/>
      <c r="BC248" s="799"/>
      <c r="BD248" s="799"/>
      <c r="BE248" s="799"/>
      <c r="BF248" s="799"/>
      <c r="BG248" s="799"/>
    </row>
    <row r="249">
      <c r="H249" s="799"/>
      <c r="I249" s="799"/>
      <c r="J249" s="799"/>
      <c r="K249" s="799"/>
      <c r="L249" s="799"/>
      <c r="M249" s="799"/>
      <c r="N249" s="799"/>
      <c r="O249" s="799"/>
      <c r="P249" s="799"/>
      <c r="Q249" s="799"/>
      <c r="R249" s="799"/>
      <c r="S249" s="799"/>
      <c r="T249" s="799"/>
      <c r="U249" s="799"/>
      <c r="V249" s="799"/>
      <c r="W249" s="799"/>
      <c r="X249" s="799"/>
      <c r="Y249" s="799"/>
      <c r="Z249" s="799"/>
      <c r="AA249" s="799"/>
      <c r="AB249" s="799"/>
      <c r="AC249" s="799"/>
      <c r="AD249" s="799"/>
      <c r="AE249" s="799"/>
      <c r="AF249" s="799"/>
      <c r="AG249" s="799"/>
      <c r="AH249" s="799"/>
      <c r="AI249" s="799"/>
      <c r="AJ249" s="799"/>
      <c r="AK249" s="799"/>
      <c r="AL249" s="799"/>
      <c r="AM249" s="799"/>
      <c r="AN249" s="799"/>
      <c r="AO249" s="799"/>
      <c r="AP249" s="799"/>
      <c r="AQ249" s="799"/>
      <c r="AR249" s="799"/>
      <c r="AS249" s="799"/>
      <c r="AT249" s="799"/>
      <c r="AU249" s="799"/>
      <c r="AV249" s="799"/>
      <c r="AW249" s="799"/>
      <c r="AX249" s="799"/>
      <c r="AY249" s="799"/>
      <c r="AZ249" s="799"/>
      <c r="BA249" s="799"/>
      <c r="BB249" s="799"/>
      <c r="BC249" s="799"/>
      <c r="BD249" s="799"/>
      <c r="BE249" s="799"/>
      <c r="BF249" s="799"/>
      <c r="BG249" s="799"/>
    </row>
    <row r="250">
      <c r="H250" s="799"/>
      <c r="I250" s="799"/>
      <c r="J250" s="799"/>
      <c r="K250" s="799"/>
      <c r="L250" s="799"/>
      <c r="M250" s="799"/>
      <c r="N250" s="799"/>
      <c r="O250" s="799"/>
      <c r="P250" s="799"/>
      <c r="Q250" s="799"/>
      <c r="R250" s="799"/>
      <c r="S250" s="799"/>
      <c r="T250" s="799"/>
      <c r="U250" s="799"/>
      <c r="V250" s="799"/>
      <c r="W250" s="799"/>
      <c r="X250" s="799"/>
      <c r="Y250" s="799"/>
      <c r="Z250" s="799"/>
      <c r="AA250" s="799"/>
      <c r="AB250" s="799"/>
      <c r="AC250" s="799"/>
      <c r="AD250" s="799"/>
      <c r="AE250" s="799"/>
      <c r="AF250" s="799"/>
      <c r="AG250" s="799"/>
      <c r="AH250" s="799"/>
      <c r="AI250" s="799"/>
      <c r="AJ250" s="799"/>
      <c r="AK250" s="799"/>
      <c r="AL250" s="799"/>
      <c r="AM250" s="799"/>
      <c r="AN250" s="799"/>
      <c r="AO250" s="799"/>
      <c r="AP250" s="799"/>
      <c r="AQ250" s="799"/>
      <c r="AR250" s="799"/>
      <c r="AS250" s="799"/>
      <c r="AT250" s="799"/>
      <c r="AU250" s="799"/>
      <c r="AV250" s="799"/>
      <c r="AW250" s="799"/>
      <c r="AX250" s="799"/>
      <c r="AY250" s="799"/>
      <c r="AZ250" s="799"/>
      <c r="BA250" s="799"/>
      <c r="BB250" s="799"/>
      <c r="BC250" s="799"/>
      <c r="BD250" s="799"/>
      <c r="BE250" s="799"/>
      <c r="BF250" s="799"/>
      <c r="BG250" s="799"/>
    </row>
    <row r="251">
      <c r="H251" s="799"/>
      <c r="I251" s="799"/>
      <c r="J251" s="799"/>
      <c r="K251" s="799"/>
      <c r="L251" s="799"/>
      <c r="M251" s="799"/>
      <c r="N251" s="799"/>
      <c r="O251" s="799"/>
      <c r="P251" s="799"/>
      <c r="Q251" s="799"/>
      <c r="R251" s="799"/>
      <c r="S251" s="799"/>
      <c r="T251" s="799"/>
      <c r="U251" s="799"/>
      <c r="V251" s="799"/>
      <c r="W251" s="799"/>
      <c r="X251" s="799"/>
      <c r="Y251" s="799"/>
      <c r="Z251" s="799"/>
      <c r="AA251" s="799"/>
      <c r="AB251" s="799"/>
      <c r="AC251" s="799"/>
      <c r="AD251" s="799"/>
      <c r="AE251" s="799"/>
      <c r="AF251" s="799"/>
      <c r="AG251" s="799"/>
      <c r="AH251" s="799"/>
      <c r="AI251" s="799"/>
      <c r="AJ251" s="799"/>
      <c r="AK251" s="799"/>
      <c r="AL251" s="799"/>
      <c r="AM251" s="799"/>
      <c r="AN251" s="799"/>
      <c r="AO251" s="799"/>
      <c r="AP251" s="799"/>
      <c r="AQ251" s="799"/>
      <c r="AR251" s="799"/>
      <c r="AS251" s="799"/>
      <c r="AT251" s="799"/>
      <c r="AU251" s="799"/>
      <c r="AV251" s="799"/>
      <c r="AW251" s="799"/>
      <c r="AX251" s="799"/>
      <c r="AY251" s="799"/>
      <c r="AZ251" s="799"/>
      <c r="BA251" s="799"/>
      <c r="BB251" s="799"/>
      <c r="BC251" s="799"/>
      <c r="BD251" s="799"/>
      <c r="BE251" s="799"/>
      <c r="BF251" s="799"/>
      <c r="BG251" s="799"/>
    </row>
    <row r="252">
      <c r="H252" s="799"/>
      <c r="I252" s="799"/>
      <c r="J252" s="799"/>
      <c r="K252" s="799"/>
      <c r="L252" s="799"/>
      <c r="M252" s="799"/>
      <c r="N252" s="799"/>
      <c r="O252" s="799"/>
      <c r="P252" s="799"/>
      <c r="Q252" s="799"/>
      <c r="R252" s="799"/>
      <c r="S252" s="799"/>
      <c r="T252" s="799"/>
      <c r="U252" s="799"/>
      <c r="V252" s="799"/>
      <c r="W252" s="799"/>
      <c r="X252" s="799"/>
      <c r="Y252" s="799"/>
      <c r="Z252" s="799"/>
      <c r="AA252" s="799"/>
      <c r="AB252" s="799"/>
      <c r="AC252" s="799"/>
      <c r="AD252" s="799"/>
      <c r="AE252" s="799"/>
      <c r="AF252" s="799"/>
      <c r="AG252" s="799"/>
      <c r="AH252" s="799"/>
      <c r="AI252" s="799"/>
      <c r="AJ252" s="799"/>
      <c r="AK252" s="799"/>
      <c r="AL252" s="799"/>
      <c r="AM252" s="799"/>
      <c r="AN252" s="799"/>
      <c r="AO252" s="799"/>
      <c r="AP252" s="799"/>
      <c r="AQ252" s="799"/>
      <c r="AR252" s="799"/>
      <c r="AS252" s="799"/>
      <c r="AT252" s="799"/>
      <c r="AU252" s="799"/>
      <c r="AV252" s="799"/>
      <c r="AW252" s="799"/>
      <c r="AX252" s="799"/>
      <c r="AY252" s="799"/>
      <c r="AZ252" s="799"/>
      <c r="BA252" s="799"/>
      <c r="BB252" s="799"/>
      <c r="BC252" s="799"/>
      <c r="BD252" s="799"/>
      <c r="BE252" s="799"/>
      <c r="BF252" s="799"/>
      <c r="BG252" s="799"/>
    </row>
    <row r="253">
      <c r="H253" s="799"/>
      <c r="I253" s="799"/>
      <c r="J253" s="799"/>
      <c r="K253" s="799"/>
      <c r="L253" s="799"/>
      <c r="M253" s="799"/>
      <c r="N253" s="799"/>
      <c r="O253" s="799"/>
      <c r="P253" s="799"/>
      <c r="Q253" s="799"/>
      <c r="R253" s="799"/>
      <c r="S253" s="799"/>
      <c r="T253" s="799"/>
      <c r="U253" s="799"/>
      <c r="V253" s="799"/>
      <c r="W253" s="799"/>
      <c r="X253" s="799"/>
      <c r="Y253" s="799"/>
      <c r="Z253" s="799"/>
      <c r="AA253" s="799"/>
      <c r="AB253" s="799"/>
      <c r="AC253" s="799"/>
      <c r="AD253" s="799"/>
      <c r="AE253" s="799"/>
      <c r="AF253" s="799"/>
      <c r="AG253" s="799"/>
      <c r="AH253" s="799"/>
      <c r="AI253" s="799"/>
      <c r="AJ253" s="799"/>
      <c r="AK253" s="799"/>
      <c r="AL253" s="799"/>
      <c r="AM253" s="799"/>
      <c r="AN253" s="799"/>
      <c r="AO253" s="799"/>
      <c r="AP253" s="799"/>
      <c r="AQ253" s="799"/>
      <c r="AR253" s="799"/>
      <c r="AS253" s="799"/>
      <c r="AT253" s="799"/>
      <c r="AU253" s="799"/>
      <c r="AV253" s="799"/>
      <c r="AW253" s="799"/>
      <c r="AX253" s="799"/>
      <c r="AY253" s="799"/>
      <c r="AZ253" s="799"/>
      <c r="BA253" s="799"/>
      <c r="BB253" s="799"/>
      <c r="BC253" s="799"/>
      <c r="BD253" s="799"/>
      <c r="BE253" s="799"/>
      <c r="BF253" s="799"/>
      <c r="BG253" s="799"/>
    </row>
    <row r="254">
      <c r="H254" s="799"/>
      <c r="I254" s="799"/>
      <c r="J254" s="799"/>
      <c r="K254" s="799"/>
      <c r="L254" s="799"/>
      <c r="M254" s="799"/>
      <c r="N254" s="799"/>
      <c r="O254" s="799"/>
      <c r="P254" s="799"/>
      <c r="Q254" s="799"/>
      <c r="R254" s="799"/>
      <c r="S254" s="799"/>
      <c r="T254" s="799"/>
      <c r="U254" s="799"/>
      <c r="V254" s="799"/>
      <c r="W254" s="799"/>
      <c r="X254" s="799"/>
      <c r="Y254" s="799"/>
      <c r="Z254" s="799"/>
      <c r="AA254" s="799"/>
      <c r="AB254" s="799"/>
      <c r="AC254" s="799"/>
      <c r="AD254" s="799"/>
      <c r="AE254" s="799"/>
      <c r="AF254" s="799"/>
      <c r="AG254" s="799"/>
      <c r="AH254" s="799"/>
      <c r="AI254" s="799"/>
      <c r="AJ254" s="799"/>
      <c r="AK254" s="799"/>
      <c r="AL254" s="799"/>
      <c r="AM254" s="799"/>
      <c r="AN254" s="799"/>
      <c r="AO254" s="799"/>
      <c r="AP254" s="799"/>
      <c r="AQ254" s="799"/>
      <c r="AR254" s="799"/>
      <c r="AS254" s="799"/>
      <c r="AT254" s="799"/>
      <c r="AU254" s="799"/>
      <c r="AV254" s="799"/>
      <c r="AW254" s="799"/>
      <c r="AX254" s="799"/>
      <c r="AY254" s="799"/>
      <c r="AZ254" s="799"/>
      <c r="BA254" s="799"/>
      <c r="BB254" s="799"/>
      <c r="BC254" s="799"/>
      <c r="BD254" s="799"/>
      <c r="BE254" s="799"/>
      <c r="BF254" s="799"/>
      <c r="BG254" s="799"/>
    </row>
    <row r="255">
      <c r="H255" s="799"/>
      <c r="I255" s="799"/>
      <c r="J255" s="799"/>
      <c r="K255" s="799"/>
      <c r="L255" s="799"/>
      <c r="M255" s="799"/>
      <c r="N255" s="799"/>
      <c r="O255" s="799"/>
      <c r="P255" s="799"/>
      <c r="Q255" s="799"/>
      <c r="R255" s="799"/>
      <c r="S255" s="799"/>
      <c r="T255" s="799"/>
      <c r="U255" s="799"/>
      <c r="V255" s="799"/>
      <c r="W255" s="799"/>
      <c r="X255" s="799"/>
      <c r="Y255" s="799"/>
      <c r="Z255" s="799"/>
      <c r="AA255" s="799"/>
      <c r="AB255" s="799"/>
      <c r="AC255" s="799"/>
      <c r="AD255" s="799"/>
      <c r="AE255" s="799"/>
      <c r="AF255" s="799"/>
      <c r="AG255" s="799"/>
      <c r="AH255" s="799"/>
      <c r="AI255" s="799"/>
      <c r="AJ255" s="799"/>
      <c r="AK255" s="799"/>
      <c r="AL255" s="799"/>
      <c r="AM255" s="799"/>
      <c r="AN255" s="799"/>
      <c r="AO255" s="799"/>
      <c r="AP255" s="799"/>
      <c r="AQ255" s="799"/>
      <c r="AR255" s="799"/>
      <c r="AS255" s="799"/>
      <c r="AT255" s="799"/>
      <c r="AU255" s="799"/>
      <c r="AV255" s="799"/>
      <c r="AW255" s="799"/>
      <c r="AX255" s="799"/>
      <c r="AY255" s="799"/>
      <c r="AZ255" s="799"/>
      <c r="BA255" s="799"/>
      <c r="BB255" s="799"/>
      <c r="BC255" s="799"/>
      <c r="BD255" s="799"/>
      <c r="BE255" s="799"/>
      <c r="BF255" s="799"/>
      <c r="BG255" s="799"/>
    </row>
    <row r="256">
      <c r="H256" s="799"/>
      <c r="I256" s="799"/>
      <c r="J256" s="799"/>
      <c r="K256" s="799"/>
      <c r="L256" s="799"/>
      <c r="M256" s="799"/>
      <c r="N256" s="799"/>
      <c r="O256" s="799"/>
      <c r="P256" s="799"/>
      <c r="Q256" s="799"/>
      <c r="R256" s="799"/>
      <c r="S256" s="799"/>
      <c r="T256" s="799"/>
      <c r="U256" s="799"/>
      <c r="V256" s="799"/>
      <c r="W256" s="799"/>
      <c r="X256" s="799"/>
      <c r="Y256" s="799"/>
      <c r="Z256" s="799"/>
      <c r="AA256" s="799"/>
      <c r="AB256" s="799"/>
      <c r="AC256" s="799"/>
      <c r="AD256" s="799"/>
      <c r="AE256" s="799"/>
      <c r="AF256" s="799"/>
      <c r="AG256" s="799"/>
      <c r="AH256" s="799"/>
      <c r="AI256" s="799"/>
      <c r="AJ256" s="799"/>
      <c r="AK256" s="799"/>
      <c r="AL256" s="799"/>
      <c r="AM256" s="799"/>
      <c r="AN256" s="799"/>
      <c r="AO256" s="799"/>
      <c r="AP256" s="799"/>
      <c r="AQ256" s="799"/>
      <c r="AR256" s="799"/>
      <c r="AS256" s="799"/>
      <c r="AT256" s="799"/>
      <c r="AU256" s="799"/>
      <c r="AV256" s="799"/>
      <c r="AW256" s="799"/>
      <c r="AX256" s="799"/>
      <c r="AY256" s="799"/>
      <c r="AZ256" s="799"/>
      <c r="BA256" s="799"/>
      <c r="BB256" s="799"/>
      <c r="BC256" s="799"/>
      <c r="BD256" s="799"/>
      <c r="BE256" s="799"/>
      <c r="BF256" s="799"/>
      <c r="BG256" s="799"/>
    </row>
    <row r="257">
      <c r="H257" s="799"/>
      <c r="I257" s="799"/>
      <c r="J257" s="799"/>
      <c r="K257" s="799"/>
      <c r="L257" s="799"/>
      <c r="M257" s="799"/>
      <c r="N257" s="799"/>
      <c r="O257" s="799"/>
      <c r="P257" s="799"/>
      <c r="Q257" s="799"/>
      <c r="R257" s="799"/>
      <c r="S257" s="799"/>
      <c r="T257" s="799"/>
      <c r="U257" s="799"/>
      <c r="V257" s="799"/>
      <c r="W257" s="799"/>
      <c r="X257" s="799"/>
      <c r="Y257" s="799"/>
      <c r="Z257" s="799"/>
      <c r="AA257" s="799"/>
      <c r="AB257" s="799"/>
      <c r="AC257" s="799"/>
      <c r="AD257" s="799"/>
      <c r="AE257" s="799"/>
      <c r="AF257" s="799"/>
      <c r="AG257" s="799"/>
      <c r="AH257" s="799"/>
      <c r="AI257" s="799"/>
      <c r="AJ257" s="799"/>
      <c r="AK257" s="799"/>
      <c r="AL257" s="799"/>
      <c r="AM257" s="799"/>
      <c r="AN257" s="799"/>
      <c r="AO257" s="799"/>
      <c r="AP257" s="799"/>
      <c r="AQ257" s="799"/>
      <c r="AR257" s="799"/>
      <c r="AS257" s="799"/>
      <c r="AT257" s="799"/>
      <c r="AU257" s="799"/>
      <c r="AV257" s="799"/>
      <c r="AW257" s="799"/>
      <c r="AX257" s="799"/>
      <c r="AY257" s="799"/>
      <c r="AZ257" s="799"/>
      <c r="BA257" s="799"/>
      <c r="BB257" s="799"/>
      <c r="BC257" s="799"/>
      <c r="BD257" s="799"/>
      <c r="BE257" s="799"/>
      <c r="BF257" s="799"/>
      <c r="BG257" s="799"/>
    </row>
    <row r="258">
      <c r="H258" s="799"/>
      <c r="I258" s="799"/>
      <c r="J258" s="799"/>
      <c r="K258" s="799"/>
      <c r="L258" s="799"/>
      <c r="M258" s="799"/>
      <c r="N258" s="799"/>
      <c r="O258" s="799"/>
      <c r="P258" s="799"/>
      <c r="Q258" s="799"/>
      <c r="R258" s="799"/>
      <c r="S258" s="799"/>
      <c r="T258" s="799"/>
      <c r="U258" s="799"/>
      <c r="V258" s="799"/>
      <c r="W258" s="799"/>
      <c r="X258" s="799"/>
      <c r="Y258" s="799"/>
      <c r="Z258" s="799"/>
      <c r="AA258" s="799"/>
      <c r="AB258" s="799"/>
      <c r="AC258" s="799"/>
      <c r="AD258" s="799"/>
      <c r="AE258" s="799"/>
      <c r="AF258" s="799"/>
      <c r="AG258" s="799"/>
      <c r="AH258" s="799"/>
      <c r="AI258" s="799"/>
      <c r="AJ258" s="799"/>
      <c r="AK258" s="799"/>
      <c r="AL258" s="799"/>
      <c r="AM258" s="799"/>
      <c r="AN258" s="799"/>
      <c r="AO258" s="799"/>
      <c r="AP258" s="799"/>
      <c r="AQ258" s="799"/>
      <c r="AR258" s="799"/>
      <c r="AS258" s="799"/>
      <c r="AT258" s="799"/>
      <c r="AU258" s="799"/>
      <c r="AV258" s="799"/>
      <c r="AW258" s="799"/>
      <c r="AX258" s="799"/>
      <c r="AY258" s="799"/>
      <c r="AZ258" s="799"/>
      <c r="BA258" s="799"/>
      <c r="BB258" s="799"/>
      <c r="BC258" s="799"/>
      <c r="BD258" s="799"/>
      <c r="BE258" s="799"/>
      <c r="BF258" s="799"/>
      <c r="BG258" s="799"/>
    </row>
    <row r="259">
      <c r="H259" s="799"/>
      <c r="I259" s="799"/>
      <c r="J259" s="799"/>
      <c r="K259" s="799"/>
      <c r="L259" s="799"/>
      <c r="M259" s="799"/>
      <c r="N259" s="799"/>
      <c r="O259" s="799"/>
      <c r="P259" s="799"/>
      <c r="Q259" s="799"/>
      <c r="R259" s="799"/>
      <c r="S259" s="799"/>
      <c r="T259" s="799"/>
      <c r="U259" s="799"/>
      <c r="V259" s="799"/>
      <c r="W259" s="799"/>
      <c r="X259" s="799"/>
      <c r="Y259" s="799"/>
      <c r="Z259" s="799"/>
      <c r="AA259" s="799"/>
      <c r="AB259" s="799"/>
      <c r="AC259" s="799"/>
      <c r="AD259" s="799"/>
      <c r="AE259" s="799"/>
      <c r="AF259" s="799"/>
      <c r="AG259" s="799"/>
      <c r="AH259" s="799"/>
      <c r="AI259" s="799"/>
      <c r="AJ259" s="799"/>
      <c r="AK259" s="799"/>
      <c r="AL259" s="799"/>
      <c r="AM259" s="799"/>
      <c r="AN259" s="799"/>
      <c r="AO259" s="799"/>
      <c r="AP259" s="799"/>
      <c r="AQ259" s="799"/>
      <c r="AR259" s="799"/>
      <c r="AS259" s="799"/>
      <c r="AT259" s="799"/>
      <c r="AU259" s="799"/>
      <c r="AV259" s="799"/>
      <c r="AW259" s="799"/>
      <c r="AX259" s="799"/>
      <c r="AY259" s="799"/>
      <c r="AZ259" s="799"/>
      <c r="BA259" s="799"/>
      <c r="BB259" s="799"/>
      <c r="BC259" s="799"/>
      <c r="BD259" s="799"/>
      <c r="BE259" s="799"/>
      <c r="BF259" s="799"/>
      <c r="BG259" s="799"/>
    </row>
    <row r="260">
      <c r="H260" s="799"/>
      <c r="I260" s="799"/>
      <c r="J260" s="799"/>
      <c r="K260" s="799"/>
      <c r="L260" s="799"/>
      <c r="M260" s="799"/>
      <c r="N260" s="799"/>
      <c r="O260" s="799"/>
      <c r="P260" s="799"/>
      <c r="Q260" s="799"/>
      <c r="R260" s="799"/>
      <c r="S260" s="799"/>
      <c r="T260" s="799"/>
      <c r="U260" s="799"/>
      <c r="V260" s="799"/>
      <c r="W260" s="799"/>
      <c r="X260" s="799"/>
      <c r="Y260" s="799"/>
      <c r="Z260" s="799"/>
      <c r="AA260" s="799"/>
      <c r="AB260" s="799"/>
      <c r="AC260" s="799"/>
      <c r="AD260" s="799"/>
      <c r="AE260" s="799"/>
      <c r="AF260" s="799"/>
      <c r="AG260" s="799"/>
      <c r="AH260" s="799"/>
      <c r="AI260" s="799"/>
      <c r="AJ260" s="799"/>
      <c r="AK260" s="799"/>
      <c r="AL260" s="799"/>
      <c r="AM260" s="799"/>
      <c r="AN260" s="799"/>
      <c r="AO260" s="799"/>
      <c r="AP260" s="799"/>
      <c r="AQ260" s="799"/>
      <c r="AR260" s="799"/>
      <c r="AS260" s="799"/>
      <c r="AT260" s="799"/>
      <c r="AU260" s="799"/>
      <c r="AV260" s="799"/>
      <c r="AW260" s="799"/>
      <c r="AX260" s="799"/>
      <c r="AY260" s="799"/>
      <c r="AZ260" s="799"/>
      <c r="BA260" s="799"/>
      <c r="BB260" s="799"/>
      <c r="BC260" s="799"/>
      <c r="BD260" s="799"/>
      <c r="BE260" s="799"/>
      <c r="BF260" s="799"/>
      <c r="BG260" s="799"/>
    </row>
    <row r="261">
      <c r="H261" s="799"/>
      <c r="I261" s="799"/>
      <c r="J261" s="799"/>
      <c r="K261" s="799"/>
      <c r="L261" s="799"/>
      <c r="M261" s="799"/>
      <c r="N261" s="799"/>
      <c r="O261" s="799"/>
      <c r="P261" s="799"/>
      <c r="Q261" s="799"/>
      <c r="R261" s="799"/>
      <c r="S261" s="799"/>
      <c r="T261" s="799"/>
      <c r="U261" s="799"/>
      <c r="V261" s="799"/>
      <c r="W261" s="799"/>
      <c r="X261" s="799"/>
      <c r="Y261" s="799"/>
      <c r="Z261" s="799"/>
      <c r="AA261" s="799"/>
      <c r="AB261" s="799"/>
      <c r="AC261" s="799"/>
      <c r="AD261" s="799"/>
      <c r="AE261" s="799"/>
      <c r="AF261" s="799"/>
      <c r="AG261" s="799"/>
      <c r="AH261" s="799"/>
      <c r="AI261" s="799"/>
      <c r="AJ261" s="799"/>
      <c r="AK261" s="799"/>
      <c r="AL261" s="799"/>
      <c r="AM261" s="799"/>
      <c r="AN261" s="799"/>
      <c r="AO261" s="799"/>
      <c r="AP261" s="799"/>
      <c r="AQ261" s="799"/>
      <c r="AR261" s="799"/>
      <c r="AS261" s="799"/>
      <c r="AT261" s="799"/>
      <c r="AU261" s="799"/>
      <c r="AV261" s="799"/>
      <c r="AW261" s="799"/>
      <c r="AX261" s="799"/>
      <c r="AY261" s="799"/>
      <c r="AZ261" s="799"/>
      <c r="BA261" s="799"/>
      <c r="BB261" s="799"/>
      <c r="BC261" s="799"/>
      <c r="BD261" s="799"/>
      <c r="BE261" s="799"/>
      <c r="BF261" s="799"/>
      <c r="BG261" s="799"/>
    </row>
    <row r="262">
      <c r="H262" s="799"/>
      <c r="I262" s="799"/>
      <c r="J262" s="799"/>
      <c r="K262" s="799"/>
      <c r="L262" s="799"/>
      <c r="M262" s="799"/>
      <c r="N262" s="799"/>
      <c r="O262" s="799"/>
      <c r="P262" s="799"/>
      <c r="Q262" s="799"/>
      <c r="R262" s="799"/>
      <c r="S262" s="799"/>
      <c r="T262" s="799"/>
      <c r="U262" s="799"/>
      <c r="V262" s="799"/>
      <c r="W262" s="799"/>
      <c r="X262" s="799"/>
      <c r="Y262" s="799"/>
      <c r="Z262" s="799"/>
      <c r="AA262" s="799"/>
      <c r="AB262" s="799"/>
      <c r="AC262" s="799"/>
      <c r="AD262" s="799"/>
      <c r="AE262" s="799"/>
      <c r="AF262" s="799"/>
      <c r="AG262" s="799"/>
      <c r="AH262" s="799"/>
      <c r="AI262" s="799"/>
      <c r="AJ262" s="799"/>
      <c r="AK262" s="799"/>
      <c r="AL262" s="799"/>
      <c r="AM262" s="799"/>
      <c r="AN262" s="799"/>
      <c r="AO262" s="799"/>
      <c r="AP262" s="799"/>
      <c r="AQ262" s="799"/>
      <c r="AR262" s="799"/>
      <c r="AS262" s="799"/>
      <c r="AT262" s="799"/>
      <c r="AU262" s="799"/>
      <c r="AV262" s="799"/>
      <c r="AW262" s="799"/>
      <c r="AX262" s="799"/>
      <c r="AY262" s="799"/>
      <c r="AZ262" s="799"/>
      <c r="BA262" s="799"/>
      <c r="BB262" s="799"/>
      <c r="BC262" s="799"/>
      <c r="BD262" s="799"/>
      <c r="BE262" s="799"/>
      <c r="BF262" s="799"/>
      <c r="BG262" s="799"/>
    </row>
    <row r="263">
      <c r="H263" s="799"/>
      <c r="I263" s="799"/>
      <c r="J263" s="799"/>
      <c r="K263" s="799"/>
      <c r="L263" s="799"/>
      <c r="M263" s="799"/>
      <c r="N263" s="799"/>
      <c r="O263" s="799"/>
      <c r="P263" s="799"/>
      <c r="Q263" s="799"/>
      <c r="R263" s="799"/>
      <c r="S263" s="799"/>
      <c r="T263" s="799"/>
      <c r="U263" s="799"/>
      <c r="V263" s="799"/>
      <c r="W263" s="799"/>
      <c r="X263" s="799"/>
      <c r="Y263" s="799"/>
      <c r="Z263" s="799"/>
      <c r="AA263" s="799"/>
      <c r="AB263" s="799"/>
      <c r="AC263" s="799"/>
      <c r="AD263" s="799"/>
      <c r="AE263" s="799"/>
      <c r="AF263" s="799"/>
      <c r="AG263" s="799"/>
      <c r="AH263" s="799"/>
      <c r="AI263" s="799"/>
      <c r="AJ263" s="799"/>
      <c r="AK263" s="799"/>
      <c r="AL263" s="799"/>
      <c r="AM263" s="799"/>
      <c r="AN263" s="799"/>
      <c r="AO263" s="799"/>
      <c r="AP263" s="799"/>
      <c r="AQ263" s="799"/>
      <c r="AR263" s="799"/>
      <c r="AS263" s="799"/>
      <c r="AT263" s="799"/>
      <c r="AU263" s="799"/>
      <c r="AV263" s="799"/>
      <c r="AW263" s="799"/>
      <c r="AX263" s="799"/>
      <c r="AY263" s="799"/>
      <c r="AZ263" s="799"/>
      <c r="BA263" s="799"/>
      <c r="BB263" s="799"/>
      <c r="BC263" s="799"/>
      <c r="BD263" s="799"/>
      <c r="BE263" s="799"/>
      <c r="BF263" s="799"/>
      <c r="BG263" s="799"/>
    </row>
    <row r="264">
      <c r="H264" s="799"/>
      <c r="I264" s="799"/>
      <c r="J264" s="799"/>
      <c r="K264" s="799"/>
      <c r="L264" s="799"/>
      <c r="M264" s="799"/>
      <c r="N264" s="799"/>
      <c r="O264" s="799"/>
      <c r="P264" s="799"/>
      <c r="Q264" s="799"/>
      <c r="R264" s="799"/>
      <c r="S264" s="799"/>
      <c r="T264" s="799"/>
      <c r="U264" s="799"/>
      <c r="V264" s="799"/>
      <c r="W264" s="799"/>
      <c r="X264" s="799"/>
      <c r="Y264" s="799"/>
      <c r="Z264" s="799"/>
      <c r="AA264" s="799"/>
      <c r="AB264" s="799"/>
      <c r="AC264" s="799"/>
      <c r="AD264" s="799"/>
      <c r="AE264" s="799"/>
      <c r="AF264" s="799"/>
      <c r="AG264" s="799"/>
      <c r="AH264" s="799"/>
      <c r="AI264" s="799"/>
      <c r="AJ264" s="799"/>
      <c r="AK264" s="799"/>
      <c r="AL264" s="799"/>
      <c r="AM264" s="799"/>
      <c r="AN264" s="799"/>
      <c r="AO264" s="799"/>
      <c r="AP264" s="799"/>
      <c r="AQ264" s="799"/>
      <c r="AR264" s="799"/>
      <c r="AS264" s="799"/>
      <c r="AT264" s="799"/>
      <c r="AU264" s="799"/>
      <c r="AV264" s="799"/>
      <c r="AW264" s="799"/>
      <c r="AX264" s="799"/>
      <c r="AY264" s="799"/>
      <c r="AZ264" s="799"/>
      <c r="BA264" s="799"/>
      <c r="BB264" s="799"/>
      <c r="BC264" s="799"/>
      <c r="BD264" s="799"/>
      <c r="BE264" s="799"/>
      <c r="BF264" s="799"/>
      <c r="BG264" s="799"/>
    </row>
    <row r="265">
      <c r="H265" s="799"/>
      <c r="I265" s="799"/>
      <c r="J265" s="799"/>
      <c r="K265" s="799"/>
      <c r="L265" s="799"/>
      <c r="M265" s="799"/>
      <c r="N265" s="799"/>
      <c r="O265" s="799"/>
      <c r="P265" s="799"/>
      <c r="Q265" s="799"/>
      <c r="R265" s="799"/>
      <c r="S265" s="799"/>
      <c r="T265" s="799"/>
      <c r="U265" s="799"/>
      <c r="V265" s="799"/>
      <c r="W265" s="799"/>
      <c r="X265" s="799"/>
      <c r="Y265" s="799"/>
      <c r="Z265" s="799"/>
      <c r="AA265" s="799"/>
      <c r="AB265" s="799"/>
      <c r="AC265" s="799"/>
      <c r="AD265" s="799"/>
      <c r="AE265" s="799"/>
      <c r="AF265" s="799"/>
      <c r="AG265" s="799"/>
      <c r="AH265" s="799"/>
      <c r="AI265" s="799"/>
      <c r="AJ265" s="799"/>
      <c r="AK265" s="799"/>
      <c r="AL265" s="799"/>
      <c r="AM265" s="799"/>
      <c r="AN265" s="799"/>
      <c r="AO265" s="799"/>
      <c r="AP265" s="799"/>
      <c r="AQ265" s="799"/>
      <c r="AR265" s="799"/>
      <c r="AS265" s="799"/>
      <c r="AT265" s="799"/>
      <c r="AU265" s="799"/>
      <c r="AV265" s="799"/>
      <c r="AW265" s="799"/>
      <c r="AX265" s="799"/>
      <c r="AY265" s="799"/>
      <c r="AZ265" s="799"/>
      <c r="BA265" s="799"/>
      <c r="BB265" s="799"/>
      <c r="BC265" s="799"/>
      <c r="BD265" s="799"/>
      <c r="BE265" s="799"/>
      <c r="BF265" s="799"/>
      <c r="BG265" s="799"/>
    </row>
    <row r="266">
      <c r="H266" s="799"/>
      <c r="I266" s="799"/>
      <c r="J266" s="799"/>
      <c r="K266" s="799"/>
      <c r="L266" s="799"/>
      <c r="M266" s="799"/>
      <c r="N266" s="799"/>
      <c r="O266" s="799"/>
      <c r="P266" s="799"/>
      <c r="Q266" s="799"/>
      <c r="R266" s="799"/>
      <c r="S266" s="799"/>
      <c r="T266" s="799"/>
      <c r="U266" s="799"/>
      <c r="V266" s="799"/>
      <c r="W266" s="799"/>
      <c r="X266" s="799"/>
      <c r="Y266" s="799"/>
      <c r="Z266" s="799"/>
      <c r="AA266" s="799"/>
      <c r="AB266" s="799"/>
      <c r="AC266" s="799"/>
      <c r="AD266" s="799"/>
      <c r="AE266" s="799"/>
      <c r="AF266" s="799"/>
      <c r="AG266" s="799"/>
      <c r="AH266" s="799"/>
      <c r="AI266" s="799"/>
      <c r="AJ266" s="799"/>
      <c r="AK266" s="799"/>
      <c r="AL266" s="799"/>
      <c r="AM266" s="799"/>
      <c r="AN266" s="799"/>
      <c r="AO266" s="799"/>
      <c r="AP266" s="799"/>
      <c r="AQ266" s="799"/>
      <c r="AR266" s="799"/>
      <c r="AS266" s="799"/>
      <c r="AT266" s="799"/>
      <c r="AU266" s="799"/>
      <c r="AV266" s="799"/>
      <c r="AW266" s="799"/>
      <c r="AX266" s="799"/>
      <c r="AY266" s="799"/>
      <c r="AZ266" s="799"/>
      <c r="BA266" s="799"/>
      <c r="BB266" s="799"/>
      <c r="BC266" s="799"/>
      <c r="BD266" s="799"/>
      <c r="BE266" s="799"/>
      <c r="BF266" s="799"/>
      <c r="BG266" s="799"/>
    </row>
    <row r="267">
      <c r="H267" s="799"/>
      <c r="I267" s="799"/>
      <c r="J267" s="799"/>
      <c r="K267" s="799"/>
      <c r="L267" s="799"/>
      <c r="M267" s="799"/>
      <c r="N267" s="799"/>
      <c r="O267" s="799"/>
      <c r="P267" s="799"/>
      <c r="Q267" s="799"/>
      <c r="R267" s="799"/>
      <c r="S267" s="799"/>
      <c r="T267" s="799"/>
      <c r="U267" s="799"/>
      <c r="V267" s="799"/>
      <c r="W267" s="799"/>
      <c r="X267" s="799"/>
      <c r="Y267" s="799"/>
      <c r="Z267" s="799"/>
      <c r="AA267" s="799"/>
      <c r="AB267" s="799"/>
      <c r="AC267" s="799"/>
      <c r="AD267" s="799"/>
      <c r="AE267" s="799"/>
      <c r="AF267" s="799"/>
      <c r="AG267" s="799"/>
      <c r="AH267" s="799"/>
      <c r="AI267" s="799"/>
      <c r="AJ267" s="799"/>
      <c r="AK267" s="799"/>
      <c r="AL267" s="799"/>
      <c r="AM267" s="799"/>
      <c r="AN267" s="799"/>
      <c r="AO267" s="799"/>
      <c r="AP267" s="799"/>
      <c r="AQ267" s="799"/>
      <c r="AR267" s="799"/>
      <c r="AS267" s="799"/>
      <c r="AT267" s="799"/>
      <c r="AU267" s="799"/>
      <c r="AV267" s="799"/>
      <c r="AW267" s="799"/>
      <c r="AX267" s="799"/>
      <c r="AY267" s="799"/>
      <c r="AZ267" s="799"/>
      <c r="BA267" s="799"/>
      <c r="BB267" s="799"/>
      <c r="BC267" s="799"/>
      <c r="BD267" s="799"/>
      <c r="BE267" s="799"/>
      <c r="BF267" s="799"/>
      <c r="BG267" s="799"/>
    </row>
    <row r="268">
      <c r="H268" s="799"/>
      <c r="I268" s="799"/>
      <c r="J268" s="799"/>
      <c r="K268" s="799"/>
      <c r="L268" s="799"/>
      <c r="M268" s="799"/>
      <c r="N268" s="799"/>
      <c r="O268" s="799"/>
      <c r="P268" s="799"/>
      <c r="Q268" s="799"/>
      <c r="R268" s="799"/>
      <c r="S268" s="799"/>
      <c r="T268" s="799"/>
      <c r="U268" s="799"/>
      <c r="V268" s="799"/>
      <c r="W268" s="799"/>
      <c r="X268" s="799"/>
      <c r="Y268" s="799"/>
      <c r="Z268" s="799"/>
      <c r="AA268" s="799"/>
      <c r="AB268" s="799"/>
      <c r="AC268" s="799"/>
      <c r="AD268" s="799"/>
      <c r="AE268" s="799"/>
      <c r="AF268" s="799"/>
      <c r="AG268" s="799"/>
      <c r="AH268" s="799"/>
      <c r="AI268" s="799"/>
      <c r="AJ268" s="799"/>
      <c r="AK268" s="799"/>
      <c r="AL268" s="799"/>
      <c r="AM268" s="799"/>
      <c r="AN268" s="799"/>
      <c r="AO268" s="799"/>
      <c r="AP268" s="799"/>
      <c r="AQ268" s="799"/>
      <c r="AR268" s="799"/>
      <c r="AS268" s="799"/>
      <c r="AT268" s="799"/>
      <c r="AU268" s="799"/>
      <c r="AV268" s="799"/>
      <c r="AW268" s="799"/>
      <c r="AX268" s="799"/>
      <c r="AY268" s="799"/>
      <c r="AZ268" s="799"/>
      <c r="BA268" s="799"/>
      <c r="BB268" s="799"/>
      <c r="BC268" s="799"/>
      <c r="BD268" s="799"/>
      <c r="BE268" s="799"/>
      <c r="BF268" s="799"/>
      <c r="BG268" s="799"/>
    </row>
    <row r="269">
      <c r="H269" s="799"/>
      <c r="I269" s="799"/>
      <c r="J269" s="799"/>
      <c r="K269" s="799"/>
      <c r="L269" s="799"/>
      <c r="M269" s="799"/>
      <c r="N269" s="799"/>
      <c r="O269" s="799"/>
      <c r="P269" s="799"/>
      <c r="Q269" s="799"/>
      <c r="R269" s="799"/>
      <c r="S269" s="799"/>
      <c r="T269" s="799"/>
      <c r="U269" s="799"/>
      <c r="V269" s="799"/>
      <c r="W269" s="799"/>
      <c r="X269" s="799"/>
      <c r="Y269" s="799"/>
      <c r="Z269" s="799"/>
      <c r="AA269" s="799"/>
      <c r="AB269" s="799"/>
      <c r="AC269" s="799"/>
      <c r="AD269" s="799"/>
      <c r="AE269" s="799"/>
      <c r="AF269" s="799"/>
      <c r="AG269" s="799"/>
      <c r="AH269" s="799"/>
      <c r="AI269" s="799"/>
      <c r="AJ269" s="799"/>
      <c r="AK269" s="799"/>
      <c r="AL269" s="799"/>
      <c r="AM269" s="799"/>
      <c r="AN269" s="799"/>
      <c r="AO269" s="799"/>
      <c r="AP269" s="799"/>
      <c r="AQ269" s="799"/>
      <c r="AR269" s="799"/>
      <c r="AS269" s="799"/>
      <c r="AT269" s="799"/>
      <c r="AU269" s="799"/>
      <c r="AV269" s="799"/>
      <c r="AW269" s="799"/>
      <c r="AX269" s="799"/>
      <c r="AY269" s="799"/>
      <c r="AZ269" s="799"/>
      <c r="BA269" s="799"/>
      <c r="BB269" s="799"/>
      <c r="BC269" s="799"/>
      <c r="BD269" s="799"/>
      <c r="BE269" s="799"/>
      <c r="BF269" s="799"/>
      <c r="BG269" s="799"/>
    </row>
    <row r="270">
      <c r="H270" s="799"/>
      <c r="I270" s="799"/>
      <c r="J270" s="799"/>
      <c r="K270" s="799"/>
      <c r="L270" s="799"/>
      <c r="M270" s="799"/>
      <c r="N270" s="799"/>
      <c r="O270" s="799"/>
      <c r="P270" s="799"/>
      <c r="Q270" s="799"/>
      <c r="R270" s="799"/>
      <c r="S270" s="799"/>
      <c r="T270" s="799"/>
      <c r="U270" s="799"/>
      <c r="V270" s="799"/>
      <c r="W270" s="799"/>
      <c r="X270" s="799"/>
      <c r="Y270" s="799"/>
      <c r="Z270" s="799"/>
      <c r="AA270" s="799"/>
      <c r="AB270" s="799"/>
      <c r="AC270" s="799"/>
      <c r="AD270" s="799"/>
      <c r="AE270" s="799"/>
      <c r="AF270" s="799"/>
      <c r="AG270" s="799"/>
      <c r="AH270" s="799"/>
      <c r="AI270" s="799"/>
      <c r="AJ270" s="799"/>
      <c r="AK270" s="799"/>
      <c r="AL270" s="799"/>
      <c r="AM270" s="799"/>
      <c r="AN270" s="799"/>
      <c r="AO270" s="799"/>
      <c r="AP270" s="799"/>
      <c r="AQ270" s="799"/>
      <c r="AR270" s="799"/>
      <c r="AS270" s="799"/>
      <c r="AT270" s="799"/>
      <c r="AU270" s="799"/>
      <c r="AV270" s="799"/>
      <c r="AW270" s="799"/>
      <c r="AX270" s="799"/>
      <c r="AY270" s="799"/>
      <c r="AZ270" s="799"/>
      <c r="BA270" s="799"/>
      <c r="BB270" s="799"/>
      <c r="BC270" s="799"/>
      <c r="BD270" s="799"/>
      <c r="BE270" s="799"/>
      <c r="BF270" s="799"/>
      <c r="BG270" s="799"/>
    </row>
    <row r="271">
      <c r="H271" s="799"/>
      <c r="I271" s="799"/>
      <c r="J271" s="799"/>
      <c r="K271" s="799"/>
      <c r="L271" s="799"/>
      <c r="M271" s="799"/>
      <c r="N271" s="799"/>
      <c r="O271" s="799"/>
      <c r="P271" s="799"/>
      <c r="Q271" s="799"/>
      <c r="R271" s="799"/>
      <c r="S271" s="799"/>
      <c r="T271" s="799"/>
      <c r="U271" s="799"/>
      <c r="V271" s="799"/>
      <c r="W271" s="799"/>
      <c r="X271" s="799"/>
      <c r="Y271" s="799"/>
      <c r="Z271" s="799"/>
      <c r="AA271" s="799"/>
      <c r="AB271" s="799"/>
      <c r="AC271" s="799"/>
      <c r="AD271" s="799"/>
      <c r="AE271" s="799"/>
      <c r="AF271" s="799"/>
      <c r="AG271" s="799"/>
      <c r="AH271" s="799"/>
      <c r="AI271" s="799"/>
      <c r="AJ271" s="799"/>
      <c r="AK271" s="799"/>
      <c r="AL271" s="799"/>
      <c r="AM271" s="799"/>
      <c r="AN271" s="799"/>
      <c r="AO271" s="799"/>
      <c r="AP271" s="799"/>
      <c r="AQ271" s="799"/>
      <c r="AR271" s="799"/>
      <c r="AS271" s="799"/>
      <c r="AT271" s="799"/>
      <c r="AU271" s="799"/>
      <c r="AV271" s="799"/>
      <c r="AW271" s="799"/>
      <c r="AX271" s="799"/>
      <c r="AY271" s="799"/>
      <c r="AZ271" s="799"/>
      <c r="BA271" s="799"/>
      <c r="BB271" s="799"/>
      <c r="BC271" s="799"/>
      <c r="BD271" s="799"/>
      <c r="BE271" s="799"/>
      <c r="BF271" s="799"/>
      <c r="BG271" s="799"/>
    </row>
    <row r="272">
      <c r="H272" s="799"/>
      <c r="I272" s="799"/>
      <c r="J272" s="799"/>
      <c r="K272" s="799"/>
      <c r="L272" s="799"/>
      <c r="M272" s="799"/>
      <c r="N272" s="799"/>
      <c r="O272" s="799"/>
      <c r="P272" s="799"/>
      <c r="Q272" s="799"/>
      <c r="R272" s="799"/>
      <c r="S272" s="799"/>
      <c r="T272" s="799"/>
      <c r="U272" s="799"/>
      <c r="V272" s="799"/>
      <c r="W272" s="799"/>
      <c r="X272" s="799"/>
      <c r="Y272" s="799"/>
      <c r="Z272" s="799"/>
      <c r="AA272" s="799"/>
      <c r="AB272" s="799"/>
      <c r="AC272" s="799"/>
      <c r="AD272" s="799"/>
      <c r="AE272" s="799"/>
      <c r="AF272" s="799"/>
      <c r="AG272" s="799"/>
      <c r="AH272" s="799"/>
      <c r="AI272" s="799"/>
      <c r="AJ272" s="799"/>
      <c r="AK272" s="799"/>
      <c r="AL272" s="799"/>
      <c r="AM272" s="799"/>
      <c r="AN272" s="799"/>
      <c r="AO272" s="799"/>
      <c r="AP272" s="799"/>
      <c r="AQ272" s="799"/>
      <c r="AR272" s="799"/>
      <c r="AS272" s="799"/>
      <c r="AT272" s="799"/>
      <c r="AU272" s="799"/>
      <c r="AV272" s="799"/>
      <c r="AW272" s="799"/>
      <c r="AX272" s="799"/>
      <c r="AY272" s="799"/>
      <c r="AZ272" s="799"/>
      <c r="BA272" s="799"/>
      <c r="BB272" s="799"/>
      <c r="BC272" s="799"/>
      <c r="BD272" s="799"/>
      <c r="BE272" s="799"/>
      <c r="BF272" s="799"/>
      <c r="BG272" s="799"/>
    </row>
    <row r="273">
      <c r="H273" s="799"/>
      <c r="I273" s="799"/>
      <c r="J273" s="799"/>
      <c r="K273" s="799"/>
      <c r="L273" s="799"/>
      <c r="M273" s="799"/>
      <c r="N273" s="799"/>
      <c r="O273" s="799"/>
      <c r="P273" s="799"/>
      <c r="Q273" s="799"/>
      <c r="R273" s="799"/>
      <c r="S273" s="799"/>
      <c r="T273" s="799"/>
      <c r="U273" s="799"/>
      <c r="V273" s="799"/>
      <c r="W273" s="799"/>
      <c r="X273" s="799"/>
      <c r="Y273" s="799"/>
      <c r="Z273" s="799"/>
      <c r="AA273" s="799"/>
      <c r="AB273" s="799"/>
      <c r="AC273" s="799"/>
      <c r="AD273" s="799"/>
      <c r="AE273" s="799"/>
      <c r="AF273" s="799"/>
      <c r="AG273" s="799"/>
      <c r="AH273" s="799"/>
      <c r="AI273" s="799"/>
      <c r="AJ273" s="799"/>
      <c r="AK273" s="799"/>
      <c r="AL273" s="799"/>
      <c r="AM273" s="799"/>
      <c r="AN273" s="799"/>
      <c r="AO273" s="799"/>
      <c r="AP273" s="799"/>
      <c r="AQ273" s="799"/>
      <c r="AR273" s="799"/>
      <c r="AS273" s="799"/>
      <c r="AT273" s="799"/>
      <c r="AU273" s="799"/>
      <c r="AV273" s="799"/>
      <c r="AW273" s="799"/>
      <c r="AX273" s="799"/>
      <c r="AY273" s="799"/>
      <c r="AZ273" s="799"/>
      <c r="BA273" s="799"/>
      <c r="BB273" s="799"/>
      <c r="BC273" s="799"/>
      <c r="BD273" s="799"/>
      <c r="BE273" s="799"/>
      <c r="BF273" s="799"/>
      <c r="BG273" s="799"/>
    </row>
    <row r="274">
      <c r="H274" s="799"/>
      <c r="I274" s="799"/>
      <c r="J274" s="799"/>
      <c r="K274" s="799"/>
      <c r="L274" s="799"/>
      <c r="M274" s="799"/>
      <c r="N274" s="799"/>
      <c r="O274" s="799"/>
      <c r="P274" s="799"/>
      <c r="Q274" s="799"/>
      <c r="R274" s="799"/>
      <c r="S274" s="799"/>
      <c r="T274" s="799"/>
      <c r="U274" s="799"/>
      <c r="V274" s="799"/>
      <c r="W274" s="799"/>
      <c r="X274" s="799"/>
      <c r="Y274" s="799"/>
      <c r="Z274" s="799"/>
      <c r="AA274" s="799"/>
      <c r="AB274" s="799"/>
      <c r="AC274" s="799"/>
      <c r="AD274" s="799"/>
      <c r="AE274" s="799"/>
      <c r="AF274" s="799"/>
      <c r="AG274" s="799"/>
      <c r="AH274" s="799"/>
      <c r="AI274" s="799"/>
      <c r="AJ274" s="799"/>
      <c r="AK274" s="799"/>
      <c r="AL274" s="799"/>
      <c r="AM274" s="799"/>
      <c r="AN274" s="799"/>
      <c r="AO274" s="799"/>
      <c r="AP274" s="799"/>
      <c r="AQ274" s="799"/>
      <c r="AR274" s="799"/>
      <c r="AS274" s="799"/>
      <c r="AT274" s="799"/>
      <c r="AU274" s="799"/>
      <c r="AV274" s="799"/>
      <c r="AW274" s="799"/>
      <c r="AX274" s="799"/>
      <c r="AY274" s="799"/>
      <c r="AZ274" s="799"/>
      <c r="BA274" s="799"/>
      <c r="BB274" s="799"/>
      <c r="BC274" s="799"/>
      <c r="BD274" s="799"/>
      <c r="BE274" s="799"/>
      <c r="BF274" s="799"/>
      <c r="BG274" s="799"/>
    </row>
    <row r="275">
      <c r="H275" s="799"/>
      <c r="I275" s="799"/>
      <c r="J275" s="799"/>
      <c r="K275" s="799"/>
      <c r="L275" s="799"/>
      <c r="M275" s="799"/>
      <c r="N275" s="799"/>
      <c r="O275" s="799"/>
      <c r="P275" s="799"/>
      <c r="Q275" s="799"/>
      <c r="R275" s="799"/>
      <c r="S275" s="799"/>
      <c r="T275" s="799"/>
      <c r="U275" s="799"/>
      <c r="V275" s="799"/>
      <c r="W275" s="799"/>
      <c r="X275" s="799"/>
      <c r="Y275" s="799"/>
      <c r="Z275" s="799"/>
      <c r="AA275" s="799"/>
      <c r="AB275" s="799"/>
      <c r="AC275" s="799"/>
      <c r="AD275" s="799"/>
      <c r="AE275" s="799"/>
      <c r="AF275" s="799"/>
      <c r="AG275" s="799"/>
      <c r="AH275" s="799"/>
      <c r="AI275" s="799"/>
      <c r="AJ275" s="799"/>
      <c r="AK275" s="799"/>
      <c r="AL275" s="799"/>
      <c r="AM275" s="799"/>
      <c r="AN275" s="799"/>
      <c r="AO275" s="799"/>
      <c r="AP275" s="799"/>
      <c r="AQ275" s="799"/>
      <c r="AR275" s="799"/>
      <c r="AS275" s="799"/>
      <c r="AT275" s="799"/>
      <c r="AU275" s="799"/>
      <c r="AV275" s="799"/>
      <c r="AW275" s="799"/>
      <c r="AX275" s="799"/>
      <c r="AY275" s="799"/>
      <c r="AZ275" s="799"/>
      <c r="BA275" s="799"/>
      <c r="BB275" s="799"/>
      <c r="BC275" s="799"/>
      <c r="BD275" s="799"/>
      <c r="BE275" s="799"/>
      <c r="BF275" s="799"/>
      <c r="BG275" s="799"/>
    </row>
    <row r="276">
      <c r="H276" s="799"/>
      <c r="I276" s="799"/>
      <c r="J276" s="799"/>
      <c r="K276" s="799"/>
      <c r="L276" s="799"/>
      <c r="M276" s="799"/>
      <c r="N276" s="799"/>
      <c r="O276" s="799"/>
      <c r="P276" s="799"/>
      <c r="Q276" s="799"/>
      <c r="R276" s="799"/>
      <c r="S276" s="799"/>
      <c r="T276" s="799"/>
      <c r="U276" s="799"/>
      <c r="V276" s="799"/>
      <c r="W276" s="799"/>
      <c r="X276" s="799"/>
      <c r="Y276" s="799"/>
      <c r="Z276" s="799"/>
      <c r="AA276" s="799"/>
      <c r="AB276" s="799"/>
      <c r="AC276" s="799"/>
      <c r="AD276" s="799"/>
      <c r="AE276" s="799"/>
      <c r="AF276" s="799"/>
      <c r="AG276" s="799"/>
      <c r="AH276" s="799"/>
      <c r="AI276" s="799"/>
      <c r="AJ276" s="799"/>
      <c r="AK276" s="799"/>
      <c r="AL276" s="799"/>
      <c r="AM276" s="799"/>
      <c r="AN276" s="799"/>
      <c r="AO276" s="799"/>
      <c r="AP276" s="799"/>
      <c r="AQ276" s="799"/>
      <c r="AR276" s="799"/>
      <c r="AS276" s="799"/>
      <c r="AT276" s="799"/>
      <c r="AU276" s="799"/>
      <c r="AV276" s="799"/>
      <c r="AW276" s="799"/>
      <c r="AX276" s="799"/>
      <c r="AY276" s="799"/>
      <c r="AZ276" s="799"/>
      <c r="BA276" s="799"/>
      <c r="BB276" s="799"/>
      <c r="BC276" s="799"/>
      <c r="BD276" s="799"/>
      <c r="BE276" s="799"/>
      <c r="BF276" s="799"/>
      <c r="BG276" s="799"/>
    </row>
    <row r="277">
      <c r="H277" s="799"/>
      <c r="I277" s="799"/>
      <c r="J277" s="799"/>
      <c r="K277" s="799"/>
      <c r="L277" s="799"/>
      <c r="M277" s="799"/>
      <c r="N277" s="799"/>
      <c r="O277" s="799"/>
      <c r="P277" s="799"/>
      <c r="Q277" s="799"/>
      <c r="R277" s="799"/>
      <c r="S277" s="799"/>
      <c r="T277" s="799"/>
      <c r="U277" s="799"/>
      <c r="V277" s="799"/>
      <c r="W277" s="799"/>
      <c r="X277" s="799"/>
      <c r="Y277" s="799"/>
      <c r="Z277" s="799"/>
      <c r="AA277" s="799"/>
      <c r="AB277" s="799"/>
      <c r="AC277" s="799"/>
      <c r="AD277" s="799"/>
      <c r="AE277" s="799"/>
      <c r="AF277" s="799"/>
      <c r="AG277" s="799"/>
      <c r="AH277" s="799"/>
      <c r="AI277" s="799"/>
      <c r="AJ277" s="799"/>
      <c r="AK277" s="799"/>
      <c r="AL277" s="799"/>
      <c r="AM277" s="799"/>
      <c r="AN277" s="799"/>
      <c r="AO277" s="799"/>
      <c r="AP277" s="799"/>
      <c r="AQ277" s="799"/>
      <c r="AR277" s="799"/>
      <c r="AS277" s="799"/>
      <c r="AT277" s="799"/>
      <c r="AU277" s="799"/>
      <c r="AV277" s="799"/>
      <c r="AW277" s="799"/>
      <c r="AX277" s="799"/>
      <c r="AY277" s="799"/>
      <c r="AZ277" s="799"/>
      <c r="BA277" s="799"/>
      <c r="BB277" s="799"/>
      <c r="BC277" s="799"/>
      <c r="BD277" s="799"/>
      <c r="BE277" s="799"/>
      <c r="BF277" s="799"/>
      <c r="BG277" s="799"/>
    </row>
    <row r="278">
      <c r="H278" s="799"/>
      <c r="I278" s="799"/>
      <c r="J278" s="799"/>
      <c r="K278" s="799"/>
      <c r="L278" s="799"/>
      <c r="M278" s="799"/>
      <c r="N278" s="799"/>
      <c r="O278" s="799"/>
      <c r="P278" s="799"/>
      <c r="Q278" s="799"/>
      <c r="R278" s="799"/>
      <c r="S278" s="799"/>
      <c r="T278" s="799"/>
      <c r="U278" s="799"/>
      <c r="V278" s="799"/>
      <c r="W278" s="799"/>
      <c r="X278" s="799"/>
      <c r="Y278" s="799"/>
      <c r="Z278" s="799"/>
      <c r="AA278" s="799"/>
      <c r="AB278" s="799"/>
      <c r="AC278" s="799"/>
      <c r="AD278" s="799"/>
      <c r="AE278" s="799"/>
      <c r="AF278" s="799"/>
      <c r="AG278" s="799"/>
      <c r="AH278" s="799"/>
      <c r="AI278" s="799"/>
      <c r="AJ278" s="799"/>
      <c r="AK278" s="799"/>
      <c r="AL278" s="799"/>
      <c r="AM278" s="799"/>
      <c r="AN278" s="799"/>
      <c r="AO278" s="799"/>
      <c r="AP278" s="799"/>
      <c r="AQ278" s="799"/>
      <c r="AR278" s="799"/>
      <c r="AS278" s="799"/>
      <c r="AT278" s="799"/>
      <c r="AU278" s="799"/>
      <c r="AV278" s="799"/>
      <c r="AW278" s="799"/>
      <c r="AX278" s="799"/>
      <c r="AY278" s="799"/>
      <c r="AZ278" s="799"/>
      <c r="BA278" s="799"/>
      <c r="BB278" s="799"/>
      <c r="BC278" s="799"/>
      <c r="BD278" s="799"/>
      <c r="BE278" s="799"/>
      <c r="BF278" s="799"/>
      <c r="BG278" s="799"/>
    </row>
    <row r="279">
      <c r="H279" s="799"/>
      <c r="I279" s="799"/>
      <c r="J279" s="799"/>
      <c r="K279" s="799"/>
      <c r="L279" s="799"/>
      <c r="M279" s="799"/>
      <c r="N279" s="799"/>
      <c r="O279" s="799"/>
      <c r="P279" s="799"/>
      <c r="Q279" s="799"/>
      <c r="R279" s="799"/>
      <c r="S279" s="799"/>
      <c r="T279" s="799"/>
      <c r="U279" s="799"/>
      <c r="V279" s="799"/>
      <c r="W279" s="799"/>
      <c r="X279" s="799"/>
      <c r="Y279" s="799"/>
      <c r="Z279" s="799"/>
      <c r="AA279" s="799"/>
      <c r="AB279" s="799"/>
      <c r="AC279" s="799"/>
      <c r="AD279" s="799"/>
      <c r="AE279" s="799"/>
      <c r="AF279" s="799"/>
      <c r="AG279" s="799"/>
      <c r="AH279" s="799"/>
      <c r="AI279" s="799"/>
      <c r="AJ279" s="799"/>
      <c r="AK279" s="799"/>
      <c r="AL279" s="799"/>
      <c r="AM279" s="799"/>
      <c r="AN279" s="799"/>
      <c r="AO279" s="799"/>
      <c r="AP279" s="799"/>
      <c r="AQ279" s="799"/>
      <c r="AR279" s="799"/>
      <c r="AS279" s="799"/>
      <c r="AT279" s="799"/>
      <c r="AU279" s="799"/>
      <c r="AV279" s="799"/>
      <c r="AW279" s="799"/>
      <c r="AX279" s="799"/>
      <c r="AY279" s="799"/>
      <c r="AZ279" s="799"/>
      <c r="BA279" s="799"/>
      <c r="BB279" s="799"/>
      <c r="BC279" s="799"/>
      <c r="BD279" s="799"/>
      <c r="BE279" s="799"/>
      <c r="BF279" s="799"/>
      <c r="BG279" s="799"/>
    </row>
    <row r="280">
      <c r="H280" s="799"/>
      <c r="I280" s="799"/>
      <c r="J280" s="799"/>
      <c r="K280" s="799"/>
      <c r="L280" s="799"/>
      <c r="M280" s="799"/>
      <c r="N280" s="799"/>
      <c r="O280" s="799"/>
      <c r="P280" s="799"/>
      <c r="Q280" s="799"/>
      <c r="R280" s="799"/>
      <c r="S280" s="799"/>
      <c r="T280" s="799"/>
      <c r="U280" s="799"/>
      <c r="V280" s="799"/>
      <c r="W280" s="799"/>
      <c r="X280" s="799"/>
      <c r="Y280" s="799"/>
      <c r="Z280" s="799"/>
      <c r="AA280" s="799"/>
      <c r="AB280" s="799"/>
      <c r="AC280" s="799"/>
      <c r="AD280" s="799"/>
      <c r="AE280" s="799"/>
      <c r="AF280" s="799"/>
      <c r="AG280" s="799"/>
      <c r="AH280" s="799"/>
      <c r="AI280" s="799"/>
      <c r="AJ280" s="799"/>
      <c r="AK280" s="799"/>
      <c r="AL280" s="799"/>
      <c r="AM280" s="799"/>
      <c r="AN280" s="799"/>
      <c r="AO280" s="799"/>
      <c r="AP280" s="799"/>
      <c r="AQ280" s="799"/>
      <c r="AR280" s="799"/>
      <c r="AS280" s="799"/>
      <c r="AT280" s="799"/>
      <c r="AU280" s="799"/>
      <c r="AV280" s="799"/>
      <c r="AW280" s="799"/>
      <c r="AX280" s="799"/>
      <c r="AY280" s="799"/>
      <c r="AZ280" s="799"/>
      <c r="BA280" s="799"/>
      <c r="BB280" s="799"/>
      <c r="BC280" s="799"/>
      <c r="BD280" s="799"/>
      <c r="BE280" s="799"/>
      <c r="BF280" s="799"/>
      <c r="BG280" s="799"/>
    </row>
    <row r="281">
      <c r="H281" s="799"/>
      <c r="I281" s="799"/>
      <c r="J281" s="799"/>
      <c r="K281" s="799"/>
      <c r="L281" s="799"/>
      <c r="M281" s="799"/>
      <c r="N281" s="799"/>
      <c r="O281" s="799"/>
      <c r="P281" s="799"/>
      <c r="Q281" s="799"/>
      <c r="R281" s="799"/>
      <c r="S281" s="799"/>
      <c r="T281" s="799"/>
      <c r="U281" s="799"/>
      <c r="V281" s="799"/>
      <c r="W281" s="799"/>
      <c r="X281" s="799"/>
      <c r="Y281" s="799"/>
      <c r="Z281" s="799"/>
      <c r="AA281" s="799"/>
      <c r="AB281" s="799"/>
      <c r="AC281" s="799"/>
      <c r="AD281" s="799"/>
      <c r="AE281" s="799"/>
      <c r="AF281" s="799"/>
      <c r="AG281" s="799"/>
      <c r="AH281" s="799"/>
      <c r="AI281" s="799"/>
      <c r="AJ281" s="799"/>
      <c r="AK281" s="799"/>
      <c r="AL281" s="799"/>
      <c r="AM281" s="799"/>
      <c r="AN281" s="799"/>
      <c r="AO281" s="799"/>
      <c r="AP281" s="799"/>
      <c r="AQ281" s="799"/>
      <c r="AR281" s="799"/>
      <c r="AS281" s="799"/>
      <c r="AT281" s="799"/>
      <c r="AU281" s="799"/>
      <c r="AV281" s="799"/>
      <c r="AW281" s="799"/>
      <c r="AX281" s="799"/>
      <c r="AY281" s="799"/>
      <c r="AZ281" s="799"/>
      <c r="BA281" s="799"/>
      <c r="BB281" s="799"/>
      <c r="BC281" s="799"/>
      <c r="BD281" s="799"/>
      <c r="BE281" s="799"/>
      <c r="BF281" s="799"/>
      <c r="BG281" s="799"/>
    </row>
    <row r="282">
      <c r="H282" s="799"/>
      <c r="I282" s="799"/>
      <c r="J282" s="799"/>
      <c r="K282" s="799"/>
      <c r="L282" s="799"/>
      <c r="M282" s="799"/>
      <c r="N282" s="799"/>
      <c r="O282" s="799"/>
      <c r="P282" s="799"/>
      <c r="Q282" s="799"/>
      <c r="R282" s="799"/>
      <c r="S282" s="799"/>
      <c r="T282" s="799"/>
      <c r="U282" s="799"/>
      <c r="V282" s="799"/>
      <c r="W282" s="799"/>
      <c r="X282" s="799"/>
      <c r="Y282" s="799"/>
      <c r="Z282" s="799"/>
      <c r="AA282" s="799"/>
      <c r="AB282" s="799"/>
      <c r="AC282" s="799"/>
      <c r="AD282" s="799"/>
      <c r="AE282" s="799"/>
      <c r="AF282" s="799"/>
      <c r="AG282" s="799"/>
      <c r="AH282" s="799"/>
      <c r="AI282" s="799"/>
      <c r="AJ282" s="799"/>
      <c r="AK282" s="799"/>
      <c r="AL282" s="799"/>
      <c r="AM282" s="799"/>
      <c r="AN282" s="799"/>
      <c r="AO282" s="799"/>
      <c r="AP282" s="799"/>
      <c r="AQ282" s="799"/>
      <c r="AR282" s="799"/>
      <c r="AS282" s="799"/>
      <c r="AT282" s="799"/>
      <c r="AU282" s="799"/>
      <c r="AV282" s="799"/>
      <c r="AW282" s="799"/>
      <c r="AX282" s="799"/>
      <c r="AY282" s="799"/>
      <c r="AZ282" s="799"/>
      <c r="BA282" s="799"/>
      <c r="BB282" s="799"/>
      <c r="BC282" s="799"/>
      <c r="BD282" s="799"/>
      <c r="BE282" s="799"/>
      <c r="BF282" s="799"/>
      <c r="BG282" s="799"/>
    </row>
    <row r="283">
      <c r="H283" s="799"/>
      <c r="I283" s="799"/>
      <c r="J283" s="799"/>
      <c r="K283" s="799"/>
      <c r="L283" s="799"/>
      <c r="M283" s="799"/>
      <c r="N283" s="799"/>
      <c r="O283" s="799"/>
      <c r="P283" s="799"/>
      <c r="Q283" s="799"/>
      <c r="R283" s="799"/>
      <c r="S283" s="799"/>
      <c r="T283" s="799"/>
      <c r="U283" s="799"/>
      <c r="V283" s="799"/>
      <c r="W283" s="799"/>
      <c r="X283" s="799"/>
      <c r="Y283" s="799"/>
      <c r="Z283" s="799"/>
      <c r="AA283" s="799"/>
      <c r="AB283" s="799"/>
      <c r="AC283" s="799"/>
      <c r="AD283" s="799"/>
      <c r="AE283" s="799"/>
      <c r="AF283" s="799"/>
      <c r="AG283" s="799"/>
      <c r="AH283" s="799"/>
      <c r="AI283" s="799"/>
      <c r="AJ283" s="799"/>
      <c r="AK283" s="799"/>
      <c r="AL283" s="799"/>
      <c r="AM283" s="799"/>
      <c r="AN283" s="799"/>
      <c r="AO283" s="799"/>
      <c r="AP283" s="799"/>
      <c r="AQ283" s="799"/>
      <c r="AR283" s="799"/>
      <c r="AS283" s="799"/>
      <c r="AT283" s="799"/>
      <c r="AU283" s="799"/>
      <c r="AV283" s="799"/>
      <c r="AW283" s="799"/>
      <c r="AX283" s="799"/>
      <c r="AY283" s="799"/>
      <c r="AZ283" s="799"/>
      <c r="BA283" s="799"/>
      <c r="BB283" s="799"/>
      <c r="BC283" s="799"/>
      <c r="BD283" s="799"/>
      <c r="BE283" s="799"/>
      <c r="BF283" s="799"/>
      <c r="BG283" s="799"/>
    </row>
    <row r="284">
      <c r="H284" s="799"/>
      <c r="I284" s="799"/>
      <c r="J284" s="799"/>
      <c r="K284" s="799"/>
      <c r="L284" s="799"/>
      <c r="M284" s="799"/>
      <c r="N284" s="799"/>
      <c r="O284" s="799"/>
      <c r="P284" s="799"/>
      <c r="Q284" s="799"/>
      <c r="R284" s="799"/>
      <c r="S284" s="799"/>
      <c r="T284" s="799"/>
      <c r="U284" s="799"/>
      <c r="V284" s="799"/>
      <c r="W284" s="799"/>
      <c r="X284" s="799"/>
      <c r="Y284" s="799"/>
      <c r="Z284" s="799"/>
      <c r="AA284" s="799"/>
      <c r="AB284" s="799"/>
      <c r="AC284" s="799"/>
      <c r="AD284" s="799"/>
      <c r="AE284" s="799"/>
      <c r="AF284" s="799"/>
      <c r="AG284" s="799"/>
      <c r="AH284" s="799"/>
      <c r="AI284" s="799"/>
      <c r="AJ284" s="799"/>
      <c r="AK284" s="799"/>
      <c r="AL284" s="799"/>
      <c r="AM284" s="799"/>
      <c r="AN284" s="799"/>
      <c r="AO284" s="799"/>
      <c r="AP284" s="799"/>
      <c r="AQ284" s="799"/>
      <c r="AR284" s="799"/>
      <c r="AS284" s="799"/>
      <c r="AT284" s="799"/>
      <c r="AU284" s="799"/>
      <c r="AV284" s="799"/>
      <c r="AW284" s="799"/>
      <c r="AX284" s="799"/>
      <c r="AY284" s="799"/>
      <c r="AZ284" s="799"/>
      <c r="BA284" s="799"/>
      <c r="BB284" s="799"/>
      <c r="BC284" s="799"/>
      <c r="BD284" s="799"/>
      <c r="BE284" s="799"/>
      <c r="BF284" s="799"/>
      <c r="BG284" s="799"/>
    </row>
    <row r="285">
      <c r="H285" s="799"/>
      <c r="I285" s="799"/>
      <c r="J285" s="799"/>
      <c r="K285" s="799"/>
      <c r="L285" s="799"/>
      <c r="M285" s="799"/>
      <c r="N285" s="799"/>
      <c r="O285" s="799"/>
      <c r="P285" s="799"/>
      <c r="Q285" s="799"/>
      <c r="R285" s="799"/>
      <c r="S285" s="799"/>
      <c r="T285" s="799"/>
      <c r="U285" s="799"/>
      <c r="V285" s="799"/>
      <c r="W285" s="799"/>
      <c r="X285" s="799"/>
      <c r="Y285" s="799"/>
      <c r="Z285" s="799"/>
      <c r="AA285" s="799"/>
      <c r="AB285" s="799"/>
      <c r="AC285" s="799"/>
      <c r="AD285" s="799"/>
      <c r="AE285" s="799"/>
      <c r="AF285" s="799"/>
      <c r="AG285" s="799"/>
      <c r="AH285" s="799"/>
      <c r="AI285" s="799"/>
      <c r="AJ285" s="799"/>
      <c r="AK285" s="799"/>
      <c r="AL285" s="799"/>
      <c r="AM285" s="799"/>
      <c r="AN285" s="799"/>
      <c r="AO285" s="799"/>
      <c r="AP285" s="799"/>
      <c r="AQ285" s="799"/>
      <c r="AR285" s="799"/>
      <c r="AS285" s="799"/>
      <c r="AT285" s="799"/>
      <c r="AU285" s="799"/>
      <c r="AV285" s="799"/>
      <c r="AW285" s="799"/>
      <c r="AX285" s="799"/>
      <c r="AY285" s="799"/>
      <c r="AZ285" s="799"/>
      <c r="BA285" s="799"/>
      <c r="BB285" s="799"/>
      <c r="BC285" s="799"/>
      <c r="BD285" s="799"/>
      <c r="BE285" s="799"/>
      <c r="BF285" s="799"/>
      <c r="BG285" s="799"/>
    </row>
    <row r="286">
      <c r="H286" s="799"/>
      <c r="I286" s="799"/>
      <c r="J286" s="799"/>
      <c r="K286" s="799"/>
      <c r="L286" s="799"/>
      <c r="M286" s="799"/>
      <c r="N286" s="799"/>
      <c r="O286" s="799"/>
      <c r="P286" s="799"/>
      <c r="Q286" s="799"/>
      <c r="R286" s="799"/>
      <c r="S286" s="799"/>
      <c r="T286" s="799"/>
      <c r="U286" s="799"/>
      <c r="V286" s="799"/>
      <c r="W286" s="799"/>
      <c r="X286" s="799"/>
      <c r="Y286" s="799"/>
      <c r="Z286" s="799"/>
      <c r="AA286" s="799"/>
      <c r="AB286" s="799"/>
      <c r="AC286" s="799"/>
      <c r="AD286" s="799"/>
      <c r="AE286" s="799"/>
      <c r="AF286" s="799"/>
      <c r="AG286" s="799"/>
      <c r="AH286" s="799"/>
      <c r="AI286" s="799"/>
      <c r="AJ286" s="799"/>
      <c r="AK286" s="799"/>
      <c r="AL286" s="799"/>
      <c r="AM286" s="799"/>
      <c r="AN286" s="799"/>
      <c r="AO286" s="799"/>
      <c r="AP286" s="799"/>
      <c r="AQ286" s="799"/>
      <c r="AR286" s="799"/>
      <c r="AS286" s="799"/>
      <c r="AT286" s="799"/>
      <c r="AU286" s="799"/>
      <c r="AV286" s="799"/>
      <c r="AW286" s="799"/>
      <c r="AX286" s="799"/>
      <c r="AY286" s="799"/>
      <c r="AZ286" s="799"/>
      <c r="BA286" s="799"/>
      <c r="BB286" s="799"/>
      <c r="BC286" s="799"/>
      <c r="BD286" s="799"/>
      <c r="BE286" s="799"/>
      <c r="BF286" s="799"/>
      <c r="BG286" s="799"/>
    </row>
    <row r="287">
      <c r="H287" s="799"/>
      <c r="I287" s="799"/>
      <c r="J287" s="799"/>
      <c r="K287" s="799"/>
      <c r="L287" s="799"/>
      <c r="M287" s="799"/>
      <c r="N287" s="799"/>
      <c r="O287" s="799"/>
      <c r="P287" s="799"/>
      <c r="Q287" s="799"/>
      <c r="R287" s="799"/>
      <c r="S287" s="799"/>
      <c r="T287" s="799"/>
      <c r="U287" s="799"/>
      <c r="V287" s="799"/>
      <c r="W287" s="799"/>
      <c r="X287" s="799"/>
      <c r="Y287" s="799"/>
      <c r="Z287" s="799"/>
      <c r="AA287" s="799"/>
      <c r="AB287" s="799"/>
      <c r="AC287" s="799"/>
      <c r="AD287" s="799"/>
      <c r="AE287" s="799"/>
      <c r="AF287" s="799"/>
      <c r="AG287" s="799"/>
      <c r="AH287" s="799"/>
      <c r="AI287" s="799"/>
      <c r="AJ287" s="799"/>
      <c r="AK287" s="799"/>
      <c r="AL287" s="799"/>
      <c r="AM287" s="799"/>
      <c r="AN287" s="799"/>
      <c r="AO287" s="799"/>
      <c r="AP287" s="799"/>
      <c r="AQ287" s="799"/>
      <c r="AR287" s="799"/>
      <c r="AS287" s="799"/>
      <c r="AT287" s="799"/>
      <c r="AU287" s="799"/>
      <c r="AV287" s="799"/>
      <c r="AW287" s="799"/>
      <c r="AX287" s="799"/>
      <c r="AY287" s="799"/>
      <c r="AZ287" s="799"/>
      <c r="BA287" s="799"/>
      <c r="BB287" s="799"/>
      <c r="BC287" s="799"/>
      <c r="BD287" s="799"/>
      <c r="BE287" s="799"/>
      <c r="BF287" s="799"/>
      <c r="BG287" s="799"/>
    </row>
    <row r="288">
      <c r="H288" s="799"/>
      <c r="I288" s="799"/>
      <c r="J288" s="799"/>
      <c r="K288" s="799"/>
      <c r="L288" s="799"/>
      <c r="M288" s="799"/>
      <c r="N288" s="799"/>
      <c r="O288" s="799"/>
      <c r="P288" s="799"/>
      <c r="Q288" s="799"/>
      <c r="R288" s="799"/>
      <c r="S288" s="799"/>
      <c r="T288" s="799"/>
      <c r="U288" s="799"/>
      <c r="V288" s="799"/>
      <c r="W288" s="799"/>
      <c r="X288" s="799"/>
      <c r="Y288" s="799"/>
      <c r="Z288" s="799"/>
      <c r="AA288" s="799"/>
      <c r="AB288" s="799"/>
      <c r="AC288" s="799"/>
      <c r="AD288" s="799"/>
      <c r="AE288" s="799"/>
      <c r="AF288" s="799"/>
      <c r="AG288" s="799"/>
      <c r="AH288" s="799"/>
      <c r="AI288" s="799"/>
      <c r="AJ288" s="799"/>
      <c r="AK288" s="799"/>
      <c r="AL288" s="799"/>
      <c r="AM288" s="799"/>
      <c r="AN288" s="799"/>
      <c r="AO288" s="799"/>
      <c r="AP288" s="799"/>
      <c r="AQ288" s="799"/>
      <c r="AR288" s="799"/>
      <c r="AS288" s="799"/>
      <c r="AT288" s="799"/>
      <c r="AU288" s="799"/>
      <c r="AV288" s="799"/>
      <c r="AW288" s="799"/>
      <c r="AX288" s="799"/>
      <c r="AY288" s="799"/>
      <c r="AZ288" s="799"/>
      <c r="BA288" s="799"/>
      <c r="BB288" s="799"/>
      <c r="BC288" s="799"/>
      <c r="BD288" s="799"/>
      <c r="BE288" s="799"/>
      <c r="BF288" s="799"/>
      <c r="BG288" s="799"/>
    </row>
    <row r="289">
      <c r="H289" s="799"/>
      <c r="I289" s="799"/>
      <c r="J289" s="799"/>
      <c r="K289" s="799"/>
      <c r="L289" s="799"/>
      <c r="M289" s="799"/>
      <c r="N289" s="799"/>
      <c r="O289" s="799"/>
      <c r="P289" s="799"/>
      <c r="Q289" s="799"/>
      <c r="R289" s="799"/>
      <c r="S289" s="799"/>
      <c r="T289" s="799"/>
      <c r="U289" s="799"/>
      <c r="V289" s="799"/>
      <c r="W289" s="799"/>
      <c r="X289" s="799"/>
      <c r="Y289" s="799"/>
      <c r="Z289" s="799"/>
      <c r="AA289" s="799"/>
      <c r="AB289" s="799"/>
      <c r="AC289" s="799"/>
      <c r="AD289" s="799"/>
      <c r="AE289" s="799"/>
      <c r="AF289" s="799"/>
      <c r="AG289" s="799"/>
      <c r="AH289" s="799"/>
      <c r="AI289" s="799"/>
      <c r="AJ289" s="799"/>
      <c r="AK289" s="799"/>
      <c r="AL289" s="799"/>
      <c r="AM289" s="799"/>
      <c r="AN289" s="799"/>
      <c r="AO289" s="799"/>
      <c r="AP289" s="799"/>
      <c r="AQ289" s="799"/>
      <c r="AR289" s="799"/>
      <c r="AS289" s="799"/>
      <c r="AT289" s="799"/>
      <c r="AU289" s="799"/>
      <c r="AV289" s="799"/>
      <c r="AW289" s="799"/>
      <c r="AX289" s="799"/>
      <c r="AY289" s="799"/>
      <c r="AZ289" s="799"/>
      <c r="BA289" s="799"/>
      <c r="BB289" s="799"/>
      <c r="BC289" s="799"/>
      <c r="BD289" s="799"/>
      <c r="BE289" s="799"/>
      <c r="BF289" s="799"/>
      <c r="BG289" s="799"/>
    </row>
    <row r="290">
      <c r="H290" s="799"/>
      <c r="I290" s="799"/>
      <c r="J290" s="799"/>
      <c r="K290" s="799"/>
      <c r="L290" s="799"/>
      <c r="M290" s="799"/>
      <c r="N290" s="799"/>
      <c r="O290" s="799"/>
      <c r="P290" s="799"/>
      <c r="Q290" s="799"/>
      <c r="R290" s="799"/>
      <c r="S290" s="799"/>
      <c r="T290" s="799"/>
      <c r="U290" s="799"/>
      <c r="V290" s="799"/>
      <c r="W290" s="799"/>
      <c r="X290" s="799"/>
      <c r="Y290" s="799"/>
      <c r="Z290" s="799"/>
      <c r="AA290" s="799"/>
      <c r="AB290" s="799"/>
      <c r="AC290" s="799"/>
      <c r="AD290" s="799"/>
      <c r="AE290" s="799"/>
      <c r="AF290" s="799"/>
      <c r="AG290" s="799"/>
      <c r="AH290" s="799"/>
      <c r="AI290" s="799"/>
      <c r="AJ290" s="799"/>
      <c r="AK290" s="799"/>
      <c r="AL290" s="799"/>
      <c r="AM290" s="799"/>
      <c r="AN290" s="799"/>
      <c r="AO290" s="799"/>
      <c r="AP290" s="799"/>
      <c r="AQ290" s="799"/>
      <c r="AR290" s="799"/>
      <c r="AS290" s="799"/>
      <c r="AT290" s="799"/>
      <c r="AU290" s="799"/>
      <c r="AV290" s="799"/>
      <c r="AW290" s="799"/>
      <c r="AX290" s="799"/>
      <c r="AY290" s="799"/>
      <c r="AZ290" s="799"/>
      <c r="BA290" s="799"/>
      <c r="BB290" s="799"/>
      <c r="BC290" s="799"/>
      <c r="BD290" s="799"/>
      <c r="BE290" s="799"/>
      <c r="BF290" s="799"/>
      <c r="BG290" s="799"/>
    </row>
    <row r="291">
      <c r="H291" s="799"/>
      <c r="I291" s="799"/>
      <c r="J291" s="799"/>
      <c r="K291" s="799"/>
      <c r="L291" s="799"/>
      <c r="M291" s="799"/>
      <c r="N291" s="799"/>
      <c r="O291" s="799"/>
      <c r="P291" s="799"/>
      <c r="Q291" s="799"/>
      <c r="R291" s="799"/>
      <c r="S291" s="799"/>
      <c r="T291" s="799"/>
      <c r="U291" s="799"/>
      <c r="V291" s="799"/>
      <c r="W291" s="799"/>
      <c r="X291" s="799"/>
      <c r="Y291" s="799"/>
      <c r="Z291" s="799"/>
      <c r="AA291" s="799"/>
      <c r="AB291" s="799"/>
      <c r="AC291" s="799"/>
      <c r="AD291" s="799"/>
      <c r="AE291" s="799"/>
      <c r="AF291" s="799"/>
      <c r="AG291" s="799"/>
      <c r="AH291" s="799"/>
      <c r="AI291" s="799"/>
      <c r="AJ291" s="799"/>
      <c r="AK291" s="799"/>
      <c r="AL291" s="799"/>
      <c r="AM291" s="799"/>
      <c r="AN291" s="799"/>
      <c r="AO291" s="799"/>
      <c r="AP291" s="799"/>
      <c r="AQ291" s="799"/>
      <c r="AR291" s="799"/>
      <c r="AS291" s="799"/>
      <c r="AT291" s="799"/>
      <c r="AU291" s="799"/>
      <c r="AV291" s="799"/>
      <c r="AW291" s="799"/>
      <c r="AX291" s="799"/>
      <c r="AY291" s="799"/>
      <c r="AZ291" s="799"/>
      <c r="BA291" s="799"/>
      <c r="BB291" s="799"/>
      <c r="BC291" s="799"/>
      <c r="BD291" s="799"/>
      <c r="BE291" s="799"/>
      <c r="BF291" s="799"/>
      <c r="BG291" s="799"/>
    </row>
    <row r="292">
      <c r="H292" s="799"/>
      <c r="I292" s="799"/>
      <c r="J292" s="799"/>
      <c r="K292" s="799"/>
      <c r="L292" s="799"/>
      <c r="M292" s="799"/>
      <c r="N292" s="799"/>
      <c r="O292" s="799"/>
      <c r="P292" s="799"/>
      <c r="Q292" s="799"/>
      <c r="R292" s="799"/>
      <c r="S292" s="799"/>
      <c r="T292" s="799"/>
      <c r="U292" s="799"/>
      <c r="V292" s="799"/>
      <c r="W292" s="799"/>
      <c r="X292" s="799"/>
      <c r="Y292" s="799"/>
      <c r="Z292" s="799"/>
      <c r="AA292" s="799"/>
      <c r="AB292" s="799"/>
      <c r="AC292" s="799"/>
      <c r="AD292" s="799"/>
      <c r="AE292" s="799"/>
      <c r="AF292" s="799"/>
      <c r="AG292" s="799"/>
      <c r="AH292" s="799"/>
      <c r="AI292" s="799"/>
      <c r="AJ292" s="799"/>
      <c r="AK292" s="799"/>
      <c r="AL292" s="799"/>
      <c r="AM292" s="799"/>
      <c r="AN292" s="799"/>
      <c r="AO292" s="799"/>
      <c r="AP292" s="799"/>
      <c r="AQ292" s="799"/>
      <c r="AR292" s="799"/>
      <c r="AS292" s="799"/>
      <c r="AT292" s="799"/>
      <c r="AU292" s="799"/>
      <c r="AV292" s="799"/>
      <c r="AW292" s="799"/>
      <c r="AX292" s="799"/>
      <c r="AY292" s="799"/>
      <c r="AZ292" s="799"/>
      <c r="BA292" s="799"/>
      <c r="BB292" s="799"/>
      <c r="BC292" s="799"/>
      <c r="BD292" s="799"/>
      <c r="BE292" s="799"/>
      <c r="BF292" s="799"/>
      <c r="BG292" s="799"/>
    </row>
    <row r="293">
      <c r="H293" s="799"/>
      <c r="I293" s="799"/>
      <c r="J293" s="799"/>
      <c r="K293" s="799"/>
      <c r="L293" s="799"/>
      <c r="M293" s="799"/>
      <c r="N293" s="799"/>
      <c r="O293" s="799"/>
      <c r="P293" s="799"/>
      <c r="Q293" s="799"/>
      <c r="R293" s="799"/>
      <c r="S293" s="799"/>
      <c r="T293" s="799"/>
      <c r="U293" s="799"/>
      <c r="V293" s="799"/>
      <c r="W293" s="799"/>
      <c r="X293" s="799"/>
      <c r="Y293" s="799"/>
      <c r="Z293" s="799"/>
      <c r="AA293" s="799"/>
      <c r="AB293" s="799"/>
      <c r="AC293" s="799"/>
      <c r="AD293" s="799"/>
      <c r="AE293" s="799"/>
      <c r="AF293" s="799"/>
      <c r="AG293" s="799"/>
      <c r="AH293" s="799"/>
      <c r="AI293" s="799"/>
      <c r="AJ293" s="799"/>
      <c r="AK293" s="799"/>
      <c r="AL293" s="799"/>
      <c r="AM293" s="799"/>
      <c r="AN293" s="799"/>
      <c r="AO293" s="799"/>
      <c r="AP293" s="799"/>
      <c r="AQ293" s="799"/>
      <c r="AR293" s="799"/>
      <c r="AS293" s="799"/>
      <c r="AT293" s="799"/>
      <c r="AU293" s="799"/>
      <c r="AV293" s="799"/>
      <c r="AW293" s="799"/>
      <c r="AX293" s="799"/>
      <c r="AY293" s="799"/>
      <c r="AZ293" s="799"/>
      <c r="BA293" s="799"/>
      <c r="BB293" s="799"/>
      <c r="BC293" s="799"/>
      <c r="BD293" s="799"/>
      <c r="BE293" s="799"/>
      <c r="BF293" s="799"/>
      <c r="BG293" s="799"/>
    </row>
    <row r="294">
      <c r="H294" s="799"/>
      <c r="I294" s="799"/>
      <c r="J294" s="799"/>
      <c r="K294" s="799"/>
      <c r="L294" s="799"/>
      <c r="M294" s="799"/>
      <c r="N294" s="799"/>
      <c r="O294" s="799"/>
      <c r="P294" s="799"/>
      <c r="Q294" s="799"/>
      <c r="R294" s="799"/>
      <c r="S294" s="799"/>
      <c r="T294" s="799"/>
      <c r="U294" s="799"/>
      <c r="V294" s="799"/>
      <c r="W294" s="799"/>
      <c r="X294" s="799"/>
      <c r="Y294" s="799"/>
      <c r="Z294" s="799"/>
      <c r="AA294" s="799"/>
      <c r="AB294" s="799"/>
      <c r="AC294" s="799"/>
      <c r="AD294" s="799"/>
      <c r="AE294" s="799"/>
      <c r="AF294" s="799"/>
      <c r="AG294" s="799"/>
      <c r="AH294" s="799"/>
      <c r="AI294" s="799"/>
      <c r="AJ294" s="799"/>
      <c r="AK294" s="799"/>
      <c r="AL294" s="799"/>
      <c r="AM294" s="799"/>
      <c r="AN294" s="799"/>
      <c r="AO294" s="799"/>
      <c r="AP294" s="799"/>
      <c r="AQ294" s="799"/>
      <c r="AR294" s="799"/>
      <c r="AS294" s="799"/>
      <c r="AT294" s="799"/>
      <c r="AU294" s="799"/>
      <c r="AV294" s="799"/>
      <c r="AW294" s="799"/>
      <c r="AX294" s="799"/>
      <c r="AY294" s="799"/>
      <c r="AZ294" s="799"/>
      <c r="BA294" s="799"/>
      <c r="BB294" s="799"/>
      <c r="BC294" s="799"/>
      <c r="BD294" s="799"/>
      <c r="BE294" s="799"/>
      <c r="BF294" s="799"/>
      <c r="BG294" s="799"/>
    </row>
    <row r="295">
      <c r="H295" s="799"/>
      <c r="I295" s="799"/>
      <c r="J295" s="799"/>
      <c r="K295" s="799"/>
      <c r="L295" s="799"/>
      <c r="M295" s="799"/>
      <c r="N295" s="799"/>
      <c r="O295" s="799"/>
      <c r="P295" s="799"/>
      <c r="Q295" s="799"/>
      <c r="R295" s="799"/>
      <c r="S295" s="799"/>
      <c r="T295" s="799"/>
      <c r="U295" s="799"/>
      <c r="V295" s="799"/>
      <c r="W295" s="799"/>
      <c r="X295" s="799"/>
      <c r="Y295" s="799"/>
      <c r="Z295" s="799"/>
      <c r="AA295" s="799"/>
      <c r="AB295" s="799"/>
      <c r="AC295" s="799"/>
      <c r="AD295" s="799"/>
      <c r="AE295" s="799"/>
      <c r="AF295" s="799"/>
      <c r="AG295" s="799"/>
      <c r="AH295" s="799"/>
      <c r="AI295" s="799"/>
      <c r="AJ295" s="799"/>
      <c r="AK295" s="799"/>
      <c r="AL295" s="799"/>
      <c r="AM295" s="799"/>
      <c r="AN295" s="799"/>
      <c r="AO295" s="799"/>
      <c r="AP295" s="799"/>
      <c r="AQ295" s="799"/>
      <c r="AR295" s="799"/>
      <c r="AS295" s="799"/>
      <c r="AT295" s="799"/>
      <c r="AU295" s="799"/>
      <c r="AV295" s="799"/>
      <c r="AW295" s="799"/>
      <c r="AX295" s="799"/>
      <c r="AY295" s="799"/>
      <c r="AZ295" s="799"/>
      <c r="BA295" s="799"/>
      <c r="BB295" s="799"/>
      <c r="BC295" s="799"/>
      <c r="BD295" s="799"/>
      <c r="BE295" s="799"/>
      <c r="BF295" s="799"/>
      <c r="BG295" s="799"/>
    </row>
    <row r="296">
      <c r="H296" s="799"/>
      <c r="I296" s="799"/>
      <c r="J296" s="799"/>
      <c r="K296" s="799"/>
      <c r="L296" s="799"/>
      <c r="M296" s="799"/>
      <c r="N296" s="799"/>
      <c r="O296" s="799"/>
      <c r="P296" s="799"/>
      <c r="Q296" s="799"/>
      <c r="R296" s="799"/>
      <c r="S296" s="799"/>
      <c r="T296" s="799"/>
      <c r="U296" s="799"/>
      <c r="V296" s="799"/>
      <c r="W296" s="799"/>
      <c r="X296" s="799"/>
      <c r="Y296" s="799"/>
      <c r="Z296" s="799"/>
      <c r="AA296" s="799"/>
      <c r="AB296" s="799"/>
      <c r="AC296" s="799"/>
      <c r="AD296" s="799"/>
      <c r="AE296" s="799"/>
      <c r="AF296" s="799"/>
      <c r="AG296" s="799"/>
      <c r="AH296" s="799"/>
      <c r="AI296" s="799"/>
      <c r="AJ296" s="799"/>
      <c r="AK296" s="799"/>
      <c r="AL296" s="799"/>
      <c r="AM296" s="799"/>
      <c r="AN296" s="799"/>
      <c r="AO296" s="799"/>
      <c r="AP296" s="799"/>
      <c r="AQ296" s="799"/>
      <c r="AR296" s="799"/>
      <c r="AS296" s="799"/>
      <c r="AT296" s="799"/>
      <c r="AU296" s="799"/>
      <c r="AV296" s="799"/>
      <c r="AW296" s="799"/>
      <c r="AX296" s="799"/>
      <c r="AY296" s="799"/>
      <c r="AZ296" s="799"/>
      <c r="BA296" s="799"/>
      <c r="BB296" s="799"/>
      <c r="BC296" s="799"/>
      <c r="BD296" s="799"/>
      <c r="BE296" s="799"/>
      <c r="BF296" s="799"/>
      <c r="BG296" s="799"/>
    </row>
    <row r="297">
      <c r="H297" s="799"/>
      <c r="I297" s="799"/>
      <c r="J297" s="799"/>
      <c r="K297" s="799"/>
      <c r="L297" s="799"/>
      <c r="M297" s="799"/>
      <c r="N297" s="799"/>
      <c r="O297" s="799"/>
      <c r="P297" s="799"/>
      <c r="Q297" s="799"/>
      <c r="R297" s="799"/>
      <c r="S297" s="799"/>
      <c r="T297" s="799"/>
      <c r="U297" s="799"/>
      <c r="V297" s="799"/>
      <c r="W297" s="799"/>
      <c r="X297" s="799"/>
      <c r="Y297" s="799"/>
      <c r="Z297" s="799"/>
      <c r="AA297" s="799"/>
      <c r="AB297" s="799"/>
      <c r="AC297" s="799"/>
      <c r="AD297" s="799"/>
      <c r="AE297" s="799"/>
      <c r="AF297" s="799"/>
      <c r="AG297" s="799"/>
      <c r="AH297" s="799"/>
      <c r="AI297" s="799"/>
      <c r="AJ297" s="799"/>
      <c r="AK297" s="799"/>
      <c r="AL297" s="799"/>
      <c r="AM297" s="799"/>
      <c r="AN297" s="799"/>
      <c r="AO297" s="799"/>
      <c r="AP297" s="799"/>
      <c r="AQ297" s="799"/>
      <c r="AR297" s="799"/>
      <c r="AS297" s="799"/>
      <c r="AT297" s="799"/>
      <c r="AU297" s="799"/>
      <c r="AV297" s="799"/>
      <c r="AW297" s="799"/>
      <c r="AX297" s="799"/>
      <c r="AY297" s="799"/>
      <c r="AZ297" s="799"/>
      <c r="BA297" s="799"/>
      <c r="BB297" s="799"/>
      <c r="BC297" s="799"/>
      <c r="BD297" s="799"/>
      <c r="BE297" s="799"/>
      <c r="BF297" s="799"/>
      <c r="BG297" s="799"/>
    </row>
    <row r="298">
      <c r="H298" s="799"/>
      <c r="I298" s="799"/>
      <c r="J298" s="799"/>
      <c r="K298" s="799"/>
      <c r="L298" s="799"/>
      <c r="M298" s="799"/>
      <c r="N298" s="799"/>
      <c r="O298" s="799"/>
      <c r="P298" s="799"/>
      <c r="Q298" s="799"/>
      <c r="R298" s="799"/>
      <c r="S298" s="799"/>
      <c r="T298" s="799"/>
      <c r="U298" s="799"/>
      <c r="V298" s="799"/>
      <c r="W298" s="799"/>
      <c r="X298" s="799"/>
      <c r="Y298" s="799"/>
      <c r="Z298" s="799"/>
      <c r="AA298" s="799"/>
      <c r="AB298" s="799"/>
      <c r="AC298" s="799"/>
      <c r="AD298" s="799"/>
      <c r="AE298" s="799"/>
      <c r="AF298" s="799"/>
      <c r="AG298" s="799"/>
      <c r="AH298" s="799"/>
      <c r="AI298" s="799"/>
      <c r="AJ298" s="799"/>
      <c r="AK298" s="799"/>
      <c r="AL298" s="799"/>
      <c r="AM298" s="799"/>
      <c r="AN298" s="799"/>
      <c r="AO298" s="799"/>
      <c r="AP298" s="799"/>
      <c r="AQ298" s="799"/>
      <c r="AR298" s="799"/>
      <c r="AS298" s="799"/>
      <c r="AT298" s="799"/>
      <c r="AU298" s="799"/>
      <c r="AV298" s="799"/>
      <c r="AW298" s="799"/>
      <c r="AX298" s="799"/>
      <c r="AY298" s="799"/>
      <c r="AZ298" s="799"/>
      <c r="BA298" s="799"/>
      <c r="BB298" s="799"/>
      <c r="BC298" s="799"/>
      <c r="BD298" s="799"/>
      <c r="BE298" s="799"/>
      <c r="BF298" s="799"/>
      <c r="BG298" s="799"/>
    </row>
    <row r="299">
      <c r="H299" s="799"/>
      <c r="I299" s="799"/>
      <c r="J299" s="799"/>
      <c r="K299" s="799"/>
      <c r="L299" s="799"/>
      <c r="M299" s="799"/>
      <c r="N299" s="799"/>
      <c r="O299" s="799"/>
      <c r="P299" s="799"/>
      <c r="Q299" s="799"/>
      <c r="R299" s="799"/>
      <c r="S299" s="799"/>
      <c r="T299" s="799"/>
      <c r="U299" s="799"/>
      <c r="V299" s="799"/>
      <c r="W299" s="799"/>
      <c r="X299" s="799"/>
      <c r="Y299" s="799"/>
      <c r="Z299" s="799"/>
      <c r="AA299" s="799"/>
      <c r="AB299" s="799"/>
      <c r="AC299" s="799"/>
      <c r="AD299" s="799"/>
      <c r="AE299" s="799"/>
      <c r="AF299" s="799"/>
      <c r="AG299" s="799"/>
      <c r="AH299" s="799"/>
      <c r="AI299" s="799"/>
      <c r="AJ299" s="799"/>
      <c r="AK299" s="799"/>
      <c r="AL299" s="799"/>
      <c r="AM299" s="799"/>
      <c r="AN299" s="799"/>
      <c r="AO299" s="799"/>
      <c r="AP299" s="799"/>
      <c r="AQ299" s="799"/>
      <c r="AR299" s="799"/>
      <c r="AS299" s="799"/>
      <c r="AT299" s="799"/>
      <c r="AU299" s="799"/>
      <c r="AV299" s="799"/>
      <c r="AW299" s="799"/>
      <c r="AX299" s="799"/>
      <c r="AY299" s="799"/>
      <c r="AZ299" s="799"/>
      <c r="BA299" s="799"/>
      <c r="BB299" s="799"/>
      <c r="BC299" s="799"/>
      <c r="BD299" s="799"/>
      <c r="BE299" s="799"/>
      <c r="BF299" s="799"/>
      <c r="BG299" s="799"/>
    </row>
    <row r="300">
      <c r="H300" s="799"/>
      <c r="I300" s="799"/>
      <c r="J300" s="799"/>
      <c r="K300" s="799"/>
      <c r="L300" s="799"/>
      <c r="M300" s="799"/>
      <c r="N300" s="799"/>
      <c r="O300" s="799"/>
      <c r="P300" s="799"/>
      <c r="Q300" s="799"/>
      <c r="R300" s="799"/>
      <c r="S300" s="799"/>
      <c r="T300" s="799"/>
      <c r="U300" s="799"/>
      <c r="V300" s="799"/>
      <c r="W300" s="799"/>
      <c r="X300" s="799"/>
      <c r="Y300" s="799"/>
      <c r="Z300" s="799"/>
      <c r="AA300" s="799"/>
      <c r="AB300" s="799"/>
      <c r="AC300" s="799"/>
      <c r="AD300" s="799"/>
      <c r="AE300" s="799"/>
      <c r="AF300" s="799"/>
      <c r="AG300" s="799"/>
      <c r="AH300" s="799"/>
      <c r="AI300" s="799"/>
      <c r="AJ300" s="799"/>
      <c r="AK300" s="799"/>
      <c r="AL300" s="799"/>
      <c r="AM300" s="799"/>
      <c r="AN300" s="799"/>
      <c r="AO300" s="799"/>
      <c r="AP300" s="799"/>
      <c r="AQ300" s="799"/>
      <c r="AR300" s="799"/>
      <c r="AS300" s="799"/>
      <c r="AT300" s="799"/>
      <c r="AU300" s="799"/>
      <c r="AV300" s="799"/>
      <c r="AW300" s="799"/>
      <c r="AX300" s="799"/>
      <c r="AY300" s="799"/>
      <c r="AZ300" s="799"/>
      <c r="BA300" s="799"/>
      <c r="BB300" s="799"/>
      <c r="BC300" s="799"/>
      <c r="BD300" s="799"/>
      <c r="BE300" s="799"/>
      <c r="BF300" s="799"/>
      <c r="BG300" s="799"/>
    </row>
    <row r="301">
      <c r="H301" s="799"/>
      <c r="I301" s="799"/>
      <c r="J301" s="799"/>
      <c r="K301" s="799"/>
      <c r="L301" s="799"/>
      <c r="M301" s="799"/>
      <c r="N301" s="799"/>
      <c r="O301" s="799"/>
      <c r="P301" s="799"/>
      <c r="Q301" s="799"/>
      <c r="R301" s="799"/>
      <c r="S301" s="799"/>
      <c r="T301" s="799"/>
      <c r="U301" s="799"/>
      <c r="V301" s="799"/>
      <c r="W301" s="799"/>
      <c r="X301" s="799"/>
      <c r="Y301" s="799"/>
      <c r="Z301" s="799"/>
      <c r="AA301" s="799"/>
      <c r="AB301" s="799"/>
      <c r="AC301" s="799"/>
      <c r="AD301" s="799"/>
      <c r="AE301" s="799"/>
      <c r="AF301" s="799"/>
      <c r="AG301" s="799"/>
      <c r="AH301" s="799"/>
      <c r="AI301" s="799"/>
      <c r="AJ301" s="799"/>
      <c r="AK301" s="799"/>
      <c r="AL301" s="799"/>
      <c r="AM301" s="799"/>
      <c r="AN301" s="799"/>
      <c r="AO301" s="799"/>
      <c r="AP301" s="799"/>
      <c r="AQ301" s="799"/>
      <c r="AR301" s="799"/>
      <c r="AS301" s="799"/>
      <c r="AT301" s="799"/>
      <c r="AU301" s="799"/>
      <c r="AV301" s="799"/>
      <c r="AW301" s="799"/>
      <c r="AX301" s="799"/>
      <c r="AY301" s="799"/>
      <c r="AZ301" s="799"/>
      <c r="BA301" s="799"/>
      <c r="BB301" s="799"/>
      <c r="BC301" s="799"/>
      <c r="BD301" s="799"/>
      <c r="BE301" s="799"/>
      <c r="BF301" s="799"/>
      <c r="BG301" s="799"/>
    </row>
    <row r="302">
      <c r="H302" s="799"/>
      <c r="I302" s="799"/>
      <c r="J302" s="799"/>
      <c r="K302" s="799"/>
      <c r="L302" s="799"/>
      <c r="M302" s="799"/>
      <c r="N302" s="799"/>
      <c r="O302" s="799"/>
      <c r="P302" s="799"/>
      <c r="Q302" s="799"/>
      <c r="R302" s="799"/>
      <c r="S302" s="799"/>
      <c r="T302" s="799"/>
      <c r="U302" s="799"/>
      <c r="V302" s="799"/>
      <c r="W302" s="799"/>
      <c r="X302" s="799"/>
      <c r="Y302" s="799"/>
      <c r="Z302" s="799"/>
      <c r="AA302" s="799"/>
      <c r="AB302" s="799"/>
      <c r="AC302" s="799"/>
      <c r="AD302" s="799"/>
      <c r="AE302" s="799"/>
      <c r="AF302" s="799"/>
      <c r="AG302" s="799"/>
      <c r="AH302" s="799"/>
      <c r="AI302" s="799"/>
      <c r="AJ302" s="799"/>
      <c r="AK302" s="799"/>
      <c r="AL302" s="799"/>
      <c r="AM302" s="799"/>
      <c r="AN302" s="799"/>
      <c r="AO302" s="799"/>
      <c r="AP302" s="799"/>
      <c r="AQ302" s="799"/>
      <c r="AR302" s="799"/>
      <c r="AS302" s="799"/>
      <c r="AT302" s="799"/>
      <c r="AU302" s="799"/>
      <c r="AV302" s="799"/>
      <c r="AW302" s="799"/>
      <c r="AX302" s="799"/>
      <c r="AY302" s="799"/>
      <c r="AZ302" s="799"/>
      <c r="BA302" s="799"/>
      <c r="BB302" s="799"/>
      <c r="BC302" s="799"/>
      <c r="BD302" s="799"/>
      <c r="BE302" s="799"/>
      <c r="BF302" s="799"/>
      <c r="BG302" s="799"/>
    </row>
    <row r="303">
      <c r="H303" s="799"/>
      <c r="I303" s="799"/>
      <c r="J303" s="799"/>
      <c r="K303" s="799"/>
      <c r="L303" s="799"/>
      <c r="M303" s="799"/>
      <c r="N303" s="799"/>
      <c r="O303" s="799"/>
      <c r="P303" s="799"/>
      <c r="Q303" s="799"/>
      <c r="R303" s="799"/>
      <c r="S303" s="799"/>
      <c r="T303" s="799"/>
      <c r="U303" s="799"/>
      <c r="V303" s="799"/>
      <c r="W303" s="799"/>
      <c r="X303" s="799"/>
      <c r="Y303" s="799"/>
      <c r="Z303" s="799"/>
      <c r="AA303" s="799"/>
      <c r="AB303" s="799"/>
      <c r="AC303" s="799"/>
      <c r="AD303" s="799"/>
      <c r="AE303" s="799"/>
      <c r="AF303" s="799"/>
      <c r="AG303" s="799"/>
      <c r="AH303" s="799"/>
      <c r="AI303" s="799"/>
      <c r="AJ303" s="799"/>
      <c r="AK303" s="799"/>
      <c r="AL303" s="799"/>
      <c r="AM303" s="799"/>
      <c r="AN303" s="799"/>
      <c r="AO303" s="799"/>
      <c r="AP303" s="799"/>
      <c r="AQ303" s="799"/>
      <c r="AR303" s="799"/>
      <c r="AS303" s="799"/>
      <c r="AT303" s="799"/>
      <c r="AU303" s="799"/>
      <c r="AV303" s="799"/>
      <c r="AW303" s="799"/>
      <c r="AX303" s="799"/>
      <c r="AY303" s="799"/>
      <c r="AZ303" s="799"/>
      <c r="BA303" s="799"/>
      <c r="BB303" s="799"/>
      <c r="BC303" s="799"/>
      <c r="BD303" s="799"/>
      <c r="BE303" s="799"/>
      <c r="BF303" s="799"/>
      <c r="BG303" s="799"/>
    </row>
    <row r="304">
      <c r="H304" s="799"/>
      <c r="I304" s="799"/>
      <c r="J304" s="799"/>
      <c r="K304" s="799"/>
      <c r="L304" s="799"/>
      <c r="M304" s="799"/>
      <c r="N304" s="799"/>
      <c r="O304" s="799"/>
      <c r="P304" s="799"/>
      <c r="Q304" s="799"/>
      <c r="R304" s="799"/>
      <c r="S304" s="799"/>
      <c r="T304" s="799"/>
      <c r="U304" s="799"/>
      <c r="V304" s="799"/>
      <c r="W304" s="799"/>
      <c r="X304" s="799"/>
      <c r="Y304" s="799"/>
      <c r="Z304" s="799"/>
      <c r="AA304" s="799"/>
      <c r="AB304" s="799"/>
      <c r="AC304" s="799"/>
      <c r="AD304" s="799"/>
      <c r="AE304" s="799"/>
      <c r="AF304" s="799"/>
      <c r="AG304" s="799"/>
      <c r="AH304" s="799"/>
      <c r="AI304" s="799"/>
      <c r="AJ304" s="799"/>
      <c r="AK304" s="799"/>
      <c r="AL304" s="799"/>
      <c r="AM304" s="799"/>
      <c r="AN304" s="799"/>
      <c r="AO304" s="799"/>
      <c r="AP304" s="799"/>
      <c r="AQ304" s="799"/>
      <c r="AR304" s="799"/>
      <c r="AS304" s="799"/>
      <c r="AT304" s="799"/>
      <c r="AU304" s="799"/>
      <c r="AV304" s="799"/>
      <c r="AW304" s="799"/>
      <c r="AX304" s="799"/>
      <c r="AY304" s="799"/>
      <c r="AZ304" s="799"/>
      <c r="BA304" s="799"/>
      <c r="BB304" s="799"/>
      <c r="BC304" s="799"/>
      <c r="BD304" s="799"/>
      <c r="BE304" s="799"/>
      <c r="BF304" s="799"/>
      <c r="BG304" s="799"/>
    </row>
    <row r="305">
      <c r="H305" s="799"/>
      <c r="I305" s="799"/>
      <c r="J305" s="799"/>
      <c r="K305" s="799"/>
      <c r="L305" s="799"/>
      <c r="M305" s="799"/>
      <c r="N305" s="799"/>
      <c r="O305" s="799"/>
      <c r="P305" s="799"/>
      <c r="Q305" s="799"/>
      <c r="R305" s="799"/>
      <c r="S305" s="799"/>
      <c r="T305" s="799"/>
      <c r="U305" s="799"/>
      <c r="V305" s="799"/>
      <c r="W305" s="799"/>
      <c r="X305" s="799"/>
      <c r="Y305" s="799"/>
      <c r="Z305" s="799"/>
      <c r="AA305" s="799"/>
      <c r="AB305" s="799"/>
      <c r="AC305" s="799"/>
      <c r="AD305" s="799"/>
      <c r="AE305" s="799"/>
      <c r="AF305" s="799"/>
      <c r="AG305" s="799"/>
      <c r="AH305" s="799"/>
      <c r="AI305" s="799"/>
      <c r="AJ305" s="799"/>
      <c r="AK305" s="799"/>
      <c r="AL305" s="799"/>
      <c r="AM305" s="799"/>
      <c r="AN305" s="799"/>
      <c r="AO305" s="799"/>
      <c r="AP305" s="799"/>
      <c r="AQ305" s="799"/>
      <c r="AR305" s="799"/>
      <c r="AS305" s="799"/>
      <c r="AT305" s="799"/>
      <c r="AU305" s="799"/>
      <c r="AV305" s="799"/>
      <c r="AW305" s="799"/>
      <c r="AX305" s="799"/>
      <c r="AY305" s="799"/>
      <c r="AZ305" s="799"/>
      <c r="BA305" s="799"/>
      <c r="BB305" s="799"/>
      <c r="BC305" s="799"/>
      <c r="BD305" s="799"/>
      <c r="BE305" s="799"/>
      <c r="BF305" s="799"/>
      <c r="BG305" s="799"/>
    </row>
    <row r="306">
      <c r="H306" s="799"/>
      <c r="I306" s="799"/>
      <c r="J306" s="799"/>
      <c r="K306" s="799"/>
      <c r="L306" s="799"/>
      <c r="M306" s="799"/>
      <c r="N306" s="799"/>
      <c r="O306" s="799"/>
      <c r="P306" s="799"/>
      <c r="Q306" s="799"/>
      <c r="R306" s="799"/>
      <c r="S306" s="799"/>
      <c r="T306" s="799"/>
      <c r="U306" s="799"/>
      <c r="V306" s="799"/>
      <c r="W306" s="799"/>
      <c r="X306" s="799"/>
      <c r="Y306" s="799"/>
      <c r="Z306" s="799"/>
      <c r="AA306" s="799"/>
      <c r="AB306" s="799"/>
      <c r="AC306" s="799"/>
      <c r="AD306" s="799"/>
      <c r="AE306" s="799"/>
      <c r="AF306" s="799"/>
      <c r="AG306" s="799"/>
      <c r="AH306" s="799"/>
      <c r="AI306" s="799"/>
      <c r="AJ306" s="799"/>
      <c r="AK306" s="799"/>
      <c r="AL306" s="799"/>
      <c r="AM306" s="799"/>
      <c r="AN306" s="799"/>
      <c r="AO306" s="799"/>
      <c r="AP306" s="799"/>
      <c r="AQ306" s="799"/>
      <c r="AR306" s="799"/>
      <c r="AS306" s="799"/>
      <c r="AT306" s="799"/>
      <c r="AU306" s="799"/>
      <c r="AV306" s="799"/>
      <c r="AW306" s="799"/>
      <c r="AX306" s="799"/>
      <c r="AY306" s="799"/>
      <c r="AZ306" s="799"/>
      <c r="BA306" s="799"/>
      <c r="BB306" s="799"/>
      <c r="BC306" s="799"/>
      <c r="BD306" s="799"/>
      <c r="BE306" s="799"/>
      <c r="BF306" s="799"/>
      <c r="BG306" s="799"/>
    </row>
    <row r="307">
      <c r="H307" s="799"/>
      <c r="I307" s="799"/>
      <c r="J307" s="799"/>
      <c r="K307" s="799"/>
      <c r="L307" s="799"/>
      <c r="M307" s="799"/>
      <c r="N307" s="799"/>
      <c r="O307" s="799"/>
      <c r="P307" s="799"/>
      <c r="Q307" s="799"/>
      <c r="R307" s="799"/>
      <c r="S307" s="799"/>
      <c r="T307" s="799"/>
      <c r="U307" s="799"/>
      <c r="V307" s="799"/>
      <c r="W307" s="799"/>
      <c r="X307" s="799"/>
      <c r="Y307" s="799"/>
      <c r="Z307" s="799"/>
      <c r="AA307" s="799"/>
      <c r="AB307" s="799"/>
      <c r="AC307" s="799"/>
      <c r="AD307" s="799"/>
      <c r="AE307" s="799"/>
      <c r="AF307" s="799"/>
      <c r="AG307" s="799"/>
      <c r="AH307" s="799"/>
      <c r="AI307" s="799"/>
      <c r="AJ307" s="799"/>
      <c r="AK307" s="799"/>
      <c r="AL307" s="799"/>
      <c r="AM307" s="799"/>
      <c r="AN307" s="799"/>
      <c r="AO307" s="799"/>
      <c r="AP307" s="799"/>
      <c r="AQ307" s="799"/>
      <c r="AR307" s="799"/>
      <c r="AS307" s="799"/>
      <c r="AT307" s="799"/>
      <c r="AU307" s="799"/>
      <c r="AV307" s="799"/>
      <c r="AW307" s="799"/>
      <c r="AX307" s="799"/>
      <c r="AY307" s="799"/>
      <c r="AZ307" s="799"/>
      <c r="BA307" s="799"/>
      <c r="BB307" s="799"/>
      <c r="BC307" s="799"/>
      <c r="BD307" s="799"/>
      <c r="BE307" s="799"/>
      <c r="BF307" s="799"/>
      <c r="BG307" s="799"/>
    </row>
    <row r="308">
      <c r="H308" s="799"/>
      <c r="I308" s="799"/>
      <c r="J308" s="799"/>
      <c r="K308" s="799"/>
      <c r="L308" s="799"/>
      <c r="M308" s="799"/>
      <c r="N308" s="799"/>
      <c r="O308" s="799"/>
      <c r="P308" s="799"/>
      <c r="Q308" s="799"/>
      <c r="R308" s="799"/>
      <c r="S308" s="799"/>
      <c r="T308" s="799"/>
      <c r="U308" s="799"/>
      <c r="V308" s="799"/>
      <c r="W308" s="799"/>
      <c r="X308" s="799"/>
      <c r="Y308" s="799"/>
      <c r="Z308" s="799"/>
      <c r="AA308" s="799"/>
      <c r="AB308" s="799"/>
      <c r="AC308" s="799"/>
      <c r="AD308" s="799"/>
      <c r="AE308" s="799"/>
      <c r="AF308" s="799"/>
      <c r="AG308" s="799"/>
      <c r="AH308" s="799"/>
      <c r="AI308" s="799"/>
      <c r="AJ308" s="799"/>
      <c r="AK308" s="799"/>
      <c r="AL308" s="799"/>
      <c r="AM308" s="799"/>
      <c r="AN308" s="799"/>
      <c r="AO308" s="799"/>
      <c r="AP308" s="799"/>
      <c r="AQ308" s="799"/>
      <c r="AR308" s="799"/>
      <c r="AS308" s="799"/>
      <c r="AT308" s="799"/>
      <c r="AU308" s="799"/>
      <c r="AV308" s="799"/>
      <c r="AW308" s="799"/>
      <c r="AX308" s="799"/>
      <c r="AY308" s="799"/>
      <c r="AZ308" s="799"/>
      <c r="BA308" s="799"/>
      <c r="BB308" s="799"/>
      <c r="BC308" s="799"/>
      <c r="BD308" s="799"/>
      <c r="BE308" s="799"/>
      <c r="BF308" s="799"/>
      <c r="BG308" s="799"/>
    </row>
    <row r="309">
      <c r="H309" s="799"/>
      <c r="I309" s="799"/>
      <c r="J309" s="799"/>
      <c r="K309" s="799"/>
      <c r="L309" s="799"/>
      <c r="M309" s="799"/>
      <c r="N309" s="799"/>
      <c r="O309" s="799"/>
      <c r="P309" s="799"/>
      <c r="Q309" s="799"/>
      <c r="R309" s="799"/>
      <c r="S309" s="799"/>
      <c r="T309" s="799"/>
      <c r="U309" s="799"/>
      <c r="V309" s="799"/>
      <c r="W309" s="799"/>
      <c r="X309" s="799"/>
      <c r="Y309" s="799"/>
      <c r="Z309" s="799"/>
      <c r="AA309" s="799"/>
      <c r="AB309" s="799"/>
      <c r="AC309" s="799"/>
      <c r="AD309" s="799"/>
      <c r="AE309" s="799"/>
      <c r="AF309" s="799"/>
      <c r="AG309" s="799"/>
      <c r="AH309" s="799"/>
      <c r="AI309" s="799"/>
      <c r="AJ309" s="799"/>
      <c r="AK309" s="799"/>
      <c r="AL309" s="799"/>
      <c r="AM309" s="799"/>
      <c r="AN309" s="799"/>
      <c r="AO309" s="799"/>
      <c r="AP309" s="799"/>
      <c r="AQ309" s="799"/>
      <c r="AR309" s="799"/>
      <c r="AS309" s="799"/>
      <c r="AT309" s="799"/>
      <c r="AU309" s="799"/>
      <c r="AV309" s="799"/>
      <c r="AW309" s="799"/>
      <c r="AX309" s="799"/>
      <c r="AY309" s="799"/>
      <c r="AZ309" s="799"/>
      <c r="BA309" s="799"/>
      <c r="BB309" s="799"/>
      <c r="BC309" s="799"/>
      <c r="BD309" s="799"/>
      <c r="BE309" s="799"/>
      <c r="BF309" s="799"/>
      <c r="BG309" s="799"/>
    </row>
    <row r="310">
      <c r="H310" s="799"/>
      <c r="I310" s="799"/>
      <c r="J310" s="799"/>
      <c r="K310" s="799"/>
      <c r="L310" s="799"/>
      <c r="M310" s="799"/>
      <c r="N310" s="799"/>
      <c r="O310" s="799"/>
      <c r="P310" s="799"/>
      <c r="Q310" s="799"/>
      <c r="R310" s="799"/>
      <c r="S310" s="799"/>
      <c r="T310" s="799"/>
      <c r="U310" s="799"/>
      <c r="V310" s="799"/>
      <c r="W310" s="799"/>
      <c r="X310" s="799"/>
      <c r="Y310" s="799"/>
      <c r="Z310" s="799"/>
      <c r="AA310" s="799"/>
      <c r="AB310" s="799"/>
      <c r="AC310" s="799"/>
      <c r="AD310" s="799"/>
      <c r="AE310" s="799"/>
      <c r="AF310" s="799"/>
      <c r="AG310" s="799"/>
      <c r="AH310" s="799"/>
      <c r="AI310" s="799"/>
      <c r="AJ310" s="799"/>
      <c r="AK310" s="799"/>
      <c r="AL310" s="799"/>
      <c r="AM310" s="799"/>
      <c r="AN310" s="799"/>
      <c r="AO310" s="799"/>
      <c r="AP310" s="799"/>
      <c r="AQ310" s="799"/>
      <c r="AR310" s="799"/>
      <c r="AS310" s="799"/>
      <c r="AT310" s="799"/>
      <c r="AU310" s="799"/>
      <c r="AV310" s="799"/>
      <c r="AW310" s="799"/>
      <c r="AX310" s="799"/>
      <c r="AY310" s="799"/>
      <c r="AZ310" s="799"/>
      <c r="BA310" s="799"/>
      <c r="BB310" s="799"/>
      <c r="BC310" s="799"/>
      <c r="BD310" s="799"/>
      <c r="BE310" s="799"/>
      <c r="BF310" s="799"/>
      <c r="BG310" s="799"/>
    </row>
    <row r="311">
      <c r="H311" s="799"/>
      <c r="I311" s="799"/>
      <c r="J311" s="799"/>
      <c r="K311" s="799"/>
      <c r="L311" s="799"/>
      <c r="M311" s="799"/>
      <c r="N311" s="799"/>
      <c r="O311" s="799"/>
      <c r="P311" s="799"/>
      <c r="Q311" s="799"/>
      <c r="R311" s="799"/>
      <c r="S311" s="799"/>
      <c r="T311" s="799"/>
      <c r="U311" s="799"/>
      <c r="V311" s="799"/>
      <c r="W311" s="799"/>
      <c r="X311" s="799"/>
      <c r="Y311" s="799"/>
      <c r="Z311" s="799"/>
      <c r="AA311" s="799"/>
      <c r="AB311" s="799"/>
      <c r="AC311" s="799"/>
      <c r="AD311" s="799"/>
      <c r="AE311" s="799"/>
      <c r="AF311" s="799"/>
      <c r="AG311" s="799"/>
      <c r="AH311" s="799"/>
      <c r="AI311" s="799"/>
      <c r="AJ311" s="799"/>
      <c r="AK311" s="799"/>
      <c r="AL311" s="799"/>
      <c r="AM311" s="799"/>
      <c r="AN311" s="799"/>
      <c r="AO311" s="799"/>
      <c r="AP311" s="799"/>
      <c r="AQ311" s="799"/>
      <c r="AR311" s="799"/>
      <c r="AS311" s="799"/>
      <c r="AT311" s="799"/>
      <c r="AU311" s="799"/>
      <c r="AV311" s="799"/>
      <c r="AW311" s="799"/>
      <c r="AX311" s="799"/>
      <c r="AY311" s="799"/>
      <c r="AZ311" s="799"/>
      <c r="BA311" s="799"/>
      <c r="BB311" s="799"/>
      <c r="BC311" s="799"/>
      <c r="BD311" s="799"/>
      <c r="BE311" s="799"/>
      <c r="BF311" s="799"/>
      <c r="BG311" s="799"/>
    </row>
    <row r="312">
      <c r="H312" s="799"/>
      <c r="I312" s="799"/>
      <c r="J312" s="799"/>
      <c r="K312" s="799"/>
      <c r="L312" s="799"/>
      <c r="M312" s="799"/>
      <c r="N312" s="799"/>
      <c r="O312" s="799"/>
      <c r="P312" s="799"/>
      <c r="Q312" s="799"/>
      <c r="R312" s="799"/>
      <c r="S312" s="799"/>
      <c r="T312" s="799"/>
      <c r="U312" s="799"/>
      <c r="V312" s="799"/>
      <c r="W312" s="799"/>
      <c r="X312" s="799"/>
      <c r="Y312" s="799"/>
      <c r="Z312" s="799"/>
      <c r="AA312" s="799"/>
      <c r="AB312" s="799"/>
      <c r="AC312" s="799"/>
      <c r="AD312" s="799"/>
      <c r="AE312" s="799"/>
      <c r="AF312" s="799"/>
      <c r="AG312" s="799"/>
      <c r="AH312" s="799"/>
      <c r="AI312" s="799"/>
      <c r="AJ312" s="799"/>
      <c r="AK312" s="799"/>
      <c r="AL312" s="799"/>
      <c r="AM312" s="799"/>
      <c r="AN312" s="799"/>
      <c r="AO312" s="799"/>
      <c r="AP312" s="799"/>
      <c r="AQ312" s="799"/>
      <c r="AR312" s="799"/>
      <c r="AS312" s="799"/>
      <c r="AT312" s="799"/>
      <c r="AU312" s="799"/>
      <c r="AV312" s="799"/>
      <c r="AW312" s="799"/>
      <c r="AX312" s="799"/>
      <c r="AY312" s="799"/>
      <c r="AZ312" s="799"/>
      <c r="BA312" s="799"/>
      <c r="BB312" s="799"/>
      <c r="BC312" s="799"/>
      <c r="BD312" s="799"/>
      <c r="BE312" s="799"/>
      <c r="BF312" s="799"/>
      <c r="BG312" s="799"/>
    </row>
    <row r="313">
      <c r="H313" s="799"/>
      <c r="I313" s="799"/>
      <c r="J313" s="799"/>
      <c r="K313" s="799"/>
      <c r="L313" s="799"/>
      <c r="M313" s="799"/>
      <c r="N313" s="799"/>
      <c r="O313" s="799"/>
      <c r="P313" s="799"/>
      <c r="Q313" s="799"/>
      <c r="R313" s="799"/>
      <c r="S313" s="799"/>
      <c r="T313" s="799"/>
      <c r="U313" s="799"/>
      <c r="V313" s="799"/>
      <c r="W313" s="799"/>
      <c r="X313" s="799"/>
      <c r="Y313" s="799"/>
      <c r="Z313" s="799"/>
      <c r="AA313" s="799"/>
      <c r="AB313" s="799"/>
      <c r="AC313" s="799"/>
      <c r="AD313" s="799"/>
      <c r="AE313" s="799"/>
      <c r="AF313" s="799"/>
      <c r="AG313" s="799"/>
      <c r="AH313" s="799"/>
      <c r="AI313" s="799"/>
      <c r="AJ313" s="799"/>
      <c r="AK313" s="799"/>
      <c r="AL313" s="799"/>
      <c r="AM313" s="799"/>
      <c r="AN313" s="799"/>
      <c r="AO313" s="799"/>
      <c r="AP313" s="799"/>
      <c r="AQ313" s="799"/>
      <c r="AR313" s="799"/>
      <c r="AS313" s="799"/>
      <c r="AT313" s="799"/>
      <c r="AU313" s="799"/>
      <c r="AV313" s="799"/>
      <c r="AW313" s="799"/>
      <c r="AX313" s="799"/>
      <c r="AY313" s="799"/>
      <c r="AZ313" s="799"/>
      <c r="BA313" s="799"/>
      <c r="BB313" s="799"/>
      <c r="BC313" s="799"/>
      <c r="BD313" s="799"/>
      <c r="BE313" s="799"/>
      <c r="BF313" s="799"/>
      <c r="BG313" s="799"/>
    </row>
    <row r="314">
      <c r="H314" s="799"/>
      <c r="I314" s="799"/>
      <c r="J314" s="799"/>
      <c r="K314" s="799"/>
      <c r="L314" s="799"/>
      <c r="M314" s="799"/>
      <c r="N314" s="799"/>
      <c r="O314" s="799"/>
      <c r="P314" s="799"/>
      <c r="Q314" s="799"/>
      <c r="R314" s="799"/>
      <c r="S314" s="799"/>
      <c r="T314" s="799"/>
      <c r="U314" s="799"/>
      <c r="V314" s="799"/>
      <c r="W314" s="799"/>
      <c r="X314" s="799"/>
      <c r="Y314" s="799"/>
      <c r="Z314" s="799"/>
      <c r="AA314" s="799"/>
      <c r="AB314" s="799"/>
      <c r="AC314" s="799"/>
      <c r="AD314" s="799"/>
      <c r="AE314" s="799"/>
      <c r="AF314" s="799"/>
      <c r="AG314" s="799"/>
      <c r="AH314" s="799"/>
      <c r="AI314" s="799"/>
      <c r="AJ314" s="799"/>
      <c r="AK314" s="799"/>
      <c r="AL314" s="799"/>
      <c r="AM314" s="799"/>
      <c r="AN314" s="799"/>
      <c r="AO314" s="799"/>
      <c r="AP314" s="799"/>
      <c r="AQ314" s="799"/>
      <c r="AR314" s="799"/>
      <c r="AS314" s="799"/>
      <c r="AT314" s="799"/>
      <c r="AU314" s="799"/>
      <c r="AV314" s="799"/>
      <c r="AW314" s="799"/>
      <c r="AX314" s="799"/>
      <c r="AY314" s="799"/>
      <c r="AZ314" s="799"/>
      <c r="BA314" s="799"/>
      <c r="BB314" s="799"/>
      <c r="BC314" s="799"/>
      <c r="BD314" s="799"/>
      <c r="BE314" s="799"/>
      <c r="BF314" s="799"/>
      <c r="BG314" s="799"/>
    </row>
    <row r="315">
      <c r="H315" s="799"/>
      <c r="I315" s="799"/>
      <c r="J315" s="799"/>
      <c r="K315" s="799"/>
      <c r="L315" s="799"/>
      <c r="M315" s="799"/>
      <c r="N315" s="799"/>
      <c r="O315" s="799"/>
      <c r="P315" s="799"/>
      <c r="Q315" s="799"/>
      <c r="R315" s="799"/>
      <c r="S315" s="799"/>
      <c r="T315" s="799"/>
      <c r="U315" s="799"/>
      <c r="V315" s="799"/>
      <c r="W315" s="799"/>
      <c r="X315" s="799"/>
      <c r="Y315" s="799"/>
      <c r="Z315" s="799"/>
      <c r="AA315" s="799"/>
      <c r="AB315" s="799"/>
      <c r="AC315" s="799"/>
      <c r="AD315" s="799"/>
      <c r="AE315" s="799"/>
      <c r="AF315" s="799"/>
      <c r="AG315" s="799"/>
      <c r="AH315" s="799"/>
      <c r="AI315" s="799"/>
      <c r="AJ315" s="799"/>
      <c r="AK315" s="799"/>
      <c r="AL315" s="799"/>
      <c r="AM315" s="799"/>
      <c r="AN315" s="799"/>
      <c r="AO315" s="799"/>
      <c r="AP315" s="799"/>
      <c r="AQ315" s="799"/>
      <c r="AR315" s="799"/>
      <c r="AS315" s="799"/>
      <c r="AT315" s="799"/>
      <c r="AU315" s="799"/>
      <c r="AV315" s="799"/>
      <c r="AW315" s="799"/>
      <c r="AX315" s="799"/>
      <c r="AY315" s="799"/>
      <c r="AZ315" s="799"/>
      <c r="BA315" s="799"/>
      <c r="BB315" s="799"/>
      <c r="BC315" s="799"/>
      <c r="BD315" s="799"/>
      <c r="BE315" s="799"/>
      <c r="BF315" s="799"/>
      <c r="BG315" s="799"/>
    </row>
    <row r="316">
      <c r="H316" s="799"/>
      <c r="I316" s="799"/>
      <c r="J316" s="799"/>
      <c r="K316" s="799"/>
      <c r="L316" s="799"/>
      <c r="M316" s="799"/>
      <c r="N316" s="799"/>
      <c r="O316" s="799"/>
      <c r="P316" s="799"/>
      <c r="Q316" s="799"/>
      <c r="R316" s="799"/>
      <c r="S316" s="799"/>
      <c r="T316" s="799"/>
      <c r="U316" s="799"/>
      <c r="V316" s="799"/>
      <c r="W316" s="799"/>
      <c r="X316" s="799"/>
      <c r="Y316" s="799"/>
      <c r="Z316" s="799"/>
      <c r="AA316" s="799"/>
      <c r="AB316" s="799"/>
      <c r="AC316" s="799"/>
      <c r="AD316" s="799"/>
      <c r="AE316" s="799"/>
      <c r="AF316" s="799"/>
      <c r="AG316" s="799"/>
      <c r="AH316" s="799"/>
      <c r="AI316" s="799"/>
      <c r="AJ316" s="799"/>
      <c r="AK316" s="799"/>
      <c r="AL316" s="799"/>
      <c r="AM316" s="799"/>
      <c r="AN316" s="799"/>
      <c r="AO316" s="799"/>
      <c r="AP316" s="799"/>
      <c r="AQ316" s="799"/>
      <c r="AR316" s="799"/>
      <c r="AS316" s="799"/>
      <c r="AT316" s="799"/>
      <c r="AU316" s="799"/>
      <c r="AV316" s="799"/>
      <c r="AW316" s="799"/>
      <c r="AX316" s="799"/>
      <c r="AY316" s="799"/>
      <c r="AZ316" s="799"/>
      <c r="BA316" s="799"/>
      <c r="BB316" s="799"/>
      <c r="BC316" s="799"/>
      <c r="BD316" s="799"/>
      <c r="BE316" s="799"/>
      <c r="BF316" s="799"/>
      <c r="BG316" s="799"/>
    </row>
    <row r="317">
      <c r="H317" s="799"/>
      <c r="I317" s="799"/>
      <c r="J317" s="799"/>
      <c r="K317" s="799"/>
      <c r="L317" s="799"/>
      <c r="M317" s="799"/>
      <c r="N317" s="799"/>
      <c r="O317" s="799"/>
      <c r="P317" s="799"/>
      <c r="Q317" s="799"/>
      <c r="R317" s="799"/>
      <c r="S317" s="799"/>
      <c r="T317" s="799"/>
      <c r="U317" s="799"/>
      <c r="V317" s="799"/>
      <c r="W317" s="799"/>
      <c r="X317" s="799"/>
      <c r="Y317" s="799"/>
      <c r="Z317" s="799"/>
      <c r="AA317" s="799"/>
      <c r="AB317" s="799"/>
      <c r="AC317" s="799"/>
      <c r="AD317" s="799"/>
      <c r="AE317" s="799"/>
      <c r="AF317" s="799"/>
      <c r="AG317" s="799"/>
      <c r="AH317" s="799"/>
      <c r="AI317" s="799"/>
      <c r="AJ317" s="799"/>
      <c r="AK317" s="799"/>
      <c r="AL317" s="799"/>
      <c r="AM317" s="799"/>
      <c r="AN317" s="799"/>
      <c r="AO317" s="799"/>
      <c r="AP317" s="799"/>
      <c r="AQ317" s="799"/>
      <c r="AR317" s="799"/>
      <c r="AS317" s="799"/>
      <c r="AT317" s="799"/>
      <c r="AU317" s="799"/>
      <c r="AV317" s="799"/>
      <c r="AW317" s="799"/>
      <c r="AX317" s="799"/>
      <c r="AY317" s="799"/>
      <c r="AZ317" s="799"/>
      <c r="BA317" s="799"/>
      <c r="BB317" s="799"/>
      <c r="BC317" s="799"/>
      <c r="BD317" s="799"/>
      <c r="BE317" s="799"/>
      <c r="BF317" s="799"/>
      <c r="BG317" s="799"/>
    </row>
    <row r="318">
      <c r="H318" s="799"/>
      <c r="I318" s="799"/>
      <c r="J318" s="799"/>
      <c r="K318" s="799"/>
      <c r="L318" s="799"/>
      <c r="M318" s="799"/>
      <c r="N318" s="799"/>
      <c r="O318" s="799"/>
      <c r="P318" s="799"/>
      <c r="Q318" s="799"/>
      <c r="R318" s="799"/>
      <c r="S318" s="799"/>
      <c r="T318" s="799"/>
      <c r="U318" s="799"/>
      <c r="V318" s="799"/>
      <c r="W318" s="799"/>
      <c r="X318" s="799"/>
      <c r="Y318" s="799"/>
      <c r="Z318" s="799"/>
      <c r="AA318" s="799"/>
      <c r="AB318" s="799"/>
      <c r="AC318" s="799"/>
      <c r="AD318" s="799"/>
      <c r="AE318" s="799"/>
      <c r="AF318" s="799"/>
      <c r="AG318" s="799"/>
      <c r="AH318" s="799"/>
      <c r="AI318" s="799"/>
      <c r="AJ318" s="799"/>
      <c r="AK318" s="799"/>
      <c r="AL318" s="799"/>
      <c r="AM318" s="799"/>
      <c r="AN318" s="799"/>
      <c r="AO318" s="799"/>
      <c r="AP318" s="799"/>
      <c r="AQ318" s="799"/>
      <c r="AR318" s="799"/>
      <c r="AS318" s="799"/>
      <c r="AT318" s="799"/>
      <c r="AU318" s="799"/>
      <c r="AV318" s="799"/>
      <c r="AW318" s="799"/>
      <c r="AX318" s="799"/>
      <c r="AY318" s="799"/>
      <c r="AZ318" s="799"/>
      <c r="BA318" s="799"/>
      <c r="BB318" s="799"/>
      <c r="BC318" s="799"/>
      <c r="BD318" s="799"/>
      <c r="BE318" s="799"/>
      <c r="BF318" s="799"/>
      <c r="BG318" s="799"/>
    </row>
    <row r="319">
      <c r="H319" s="799"/>
      <c r="I319" s="799"/>
      <c r="J319" s="799"/>
      <c r="K319" s="799"/>
      <c r="L319" s="799"/>
      <c r="M319" s="799"/>
      <c r="N319" s="799"/>
      <c r="O319" s="799"/>
      <c r="P319" s="799"/>
      <c r="Q319" s="799"/>
      <c r="R319" s="799"/>
      <c r="S319" s="799"/>
      <c r="T319" s="799"/>
      <c r="U319" s="799"/>
      <c r="V319" s="799"/>
      <c r="W319" s="799"/>
      <c r="X319" s="799"/>
      <c r="Y319" s="799"/>
      <c r="Z319" s="799"/>
      <c r="AA319" s="799"/>
      <c r="AB319" s="799"/>
      <c r="AC319" s="799"/>
      <c r="AD319" s="799"/>
      <c r="AE319" s="799"/>
      <c r="AF319" s="799"/>
      <c r="AG319" s="799"/>
      <c r="AH319" s="799"/>
      <c r="AI319" s="799"/>
      <c r="AJ319" s="799"/>
      <c r="AK319" s="799"/>
      <c r="AL319" s="799"/>
      <c r="AM319" s="799"/>
      <c r="AN319" s="799"/>
      <c r="AO319" s="799"/>
      <c r="AP319" s="799"/>
      <c r="AQ319" s="799"/>
      <c r="AR319" s="799"/>
      <c r="AS319" s="799"/>
      <c r="AT319" s="799"/>
      <c r="AU319" s="799"/>
      <c r="AV319" s="799"/>
      <c r="AW319" s="799"/>
      <c r="AX319" s="799"/>
      <c r="AY319" s="799"/>
      <c r="AZ319" s="799"/>
      <c r="BA319" s="799"/>
      <c r="BB319" s="799"/>
      <c r="BC319" s="799"/>
      <c r="BD319" s="799"/>
      <c r="BE319" s="799"/>
      <c r="BF319" s="799"/>
      <c r="BG319" s="799"/>
    </row>
    <row r="320">
      <c r="H320" s="799"/>
      <c r="I320" s="799"/>
      <c r="J320" s="799"/>
      <c r="K320" s="799"/>
      <c r="L320" s="799"/>
      <c r="M320" s="799"/>
      <c r="N320" s="799"/>
      <c r="O320" s="799"/>
      <c r="P320" s="799"/>
      <c r="Q320" s="799"/>
      <c r="R320" s="799"/>
      <c r="S320" s="799"/>
      <c r="T320" s="799"/>
      <c r="U320" s="799"/>
      <c r="V320" s="799"/>
      <c r="W320" s="799"/>
      <c r="X320" s="799"/>
      <c r="Y320" s="799"/>
      <c r="Z320" s="799"/>
      <c r="AA320" s="799"/>
      <c r="AB320" s="799"/>
      <c r="AC320" s="799"/>
      <c r="AD320" s="799"/>
      <c r="AE320" s="799"/>
      <c r="AF320" s="799"/>
      <c r="AG320" s="799"/>
      <c r="AH320" s="799"/>
      <c r="AI320" s="799"/>
      <c r="AJ320" s="799"/>
      <c r="AK320" s="799"/>
      <c r="AL320" s="799"/>
      <c r="AM320" s="799"/>
      <c r="AN320" s="799"/>
      <c r="AO320" s="799"/>
      <c r="AP320" s="799"/>
      <c r="AQ320" s="799"/>
      <c r="AR320" s="799"/>
      <c r="AS320" s="799"/>
      <c r="AT320" s="799"/>
      <c r="AU320" s="799"/>
      <c r="AV320" s="799"/>
      <c r="AW320" s="799"/>
      <c r="AX320" s="799"/>
      <c r="AY320" s="799"/>
      <c r="AZ320" s="799"/>
      <c r="BA320" s="799"/>
      <c r="BB320" s="799"/>
      <c r="BC320" s="799"/>
      <c r="BD320" s="799"/>
      <c r="BE320" s="799"/>
      <c r="BF320" s="799"/>
      <c r="BG320" s="799"/>
    </row>
    <row r="321">
      <c r="H321" s="799"/>
      <c r="I321" s="799"/>
      <c r="J321" s="799"/>
      <c r="K321" s="799"/>
      <c r="L321" s="799"/>
      <c r="M321" s="799"/>
      <c r="N321" s="799"/>
      <c r="O321" s="799"/>
      <c r="P321" s="799"/>
      <c r="Q321" s="799"/>
      <c r="R321" s="799"/>
      <c r="S321" s="799"/>
      <c r="T321" s="799"/>
      <c r="U321" s="799"/>
      <c r="V321" s="799"/>
      <c r="W321" s="799"/>
      <c r="X321" s="799"/>
      <c r="Y321" s="799"/>
      <c r="Z321" s="799"/>
      <c r="AA321" s="799"/>
      <c r="AB321" s="799"/>
      <c r="AC321" s="799"/>
      <c r="AD321" s="799"/>
      <c r="AE321" s="799"/>
      <c r="AF321" s="799"/>
      <c r="AG321" s="799"/>
      <c r="AH321" s="799"/>
      <c r="AI321" s="799"/>
      <c r="AJ321" s="799"/>
      <c r="AK321" s="799"/>
      <c r="AL321" s="799"/>
      <c r="AM321" s="799"/>
      <c r="AN321" s="799"/>
      <c r="AO321" s="799"/>
      <c r="AP321" s="799"/>
      <c r="AQ321" s="799"/>
      <c r="AR321" s="799"/>
      <c r="AS321" s="799"/>
      <c r="AT321" s="799"/>
      <c r="AU321" s="799"/>
      <c r="AV321" s="799"/>
      <c r="AW321" s="799"/>
      <c r="AX321" s="799"/>
      <c r="AY321" s="799"/>
      <c r="AZ321" s="799"/>
      <c r="BA321" s="799"/>
      <c r="BB321" s="799"/>
      <c r="BC321" s="799"/>
      <c r="BD321" s="799"/>
      <c r="BE321" s="799"/>
      <c r="BF321" s="799"/>
      <c r="BG321" s="799"/>
    </row>
    <row r="322">
      <c r="H322" s="799"/>
      <c r="I322" s="799"/>
      <c r="J322" s="799"/>
      <c r="K322" s="799"/>
      <c r="L322" s="799"/>
      <c r="M322" s="799"/>
      <c r="N322" s="799"/>
      <c r="O322" s="799"/>
      <c r="P322" s="799"/>
      <c r="Q322" s="799"/>
      <c r="R322" s="799"/>
      <c r="S322" s="799"/>
      <c r="T322" s="799"/>
      <c r="U322" s="799"/>
      <c r="V322" s="799"/>
      <c r="W322" s="799"/>
      <c r="X322" s="799"/>
      <c r="Y322" s="799"/>
      <c r="Z322" s="799"/>
      <c r="AA322" s="799"/>
      <c r="AB322" s="799"/>
      <c r="AC322" s="799"/>
      <c r="AD322" s="799"/>
      <c r="AE322" s="799"/>
      <c r="AF322" s="799"/>
      <c r="AG322" s="799"/>
      <c r="AH322" s="799"/>
      <c r="AI322" s="799"/>
      <c r="AJ322" s="799"/>
      <c r="AK322" s="799"/>
      <c r="AL322" s="799"/>
      <c r="AM322" s="799"/>
      <c r="AN322" s="799"/>
      <c r="AO322" s="799"/>
      <c r="AP322" s="799"/>
      <c r="AQ322" s="799"/>
      <c r="AR322" s="799"/>
      <c r="AS322" s="799"/>
      <c r="AT322" s="799"/>
      <c r="AU322" s="799"/>
      <c r="AV322" s="799"/>
      <c r="AW322" s="799"/>
      <c r="AX322" s="799"/>
      <c r="AY322" s="799"/>
      <c r="AZ322" s="799"/>
      <c r="BA322" s="799"/>
      <c r="BB322" s="799"/>
      <c r="BC322" s="799"/>
      <c r="BD322" s="799"/>
      <c r="BE322" s="799"/>
      <c r="BF322" s="799"/>
      <c r="BG322" s="799"/>
    </row>
    <row r="323">
      <c r="H323" s="799"/>
      <c r="I323" s="799"/>
      <c r="J323" s="799"/>
      <c r="K323" s="799"/>
      <c r="L323" s="799"/>
      <c r="M323" s="799"/>
      <c r="N323" s="799"/>
      <c r="O323" s="799"/>
      <c r="P323" s="799"/>
      <c r="Q323" s="799"/>
      <c r="R323" s="799"/>
      <c r="S323" s="799"/>
      <c r="T323" s="799"/>
      <c r="U323" s="799"/>
      <c r="V323" s="799"/>
      <c r="W323" s="799"/>
      <c r="X323" s="799"/>
      <c r="Y323" s="799"/>
      <c r="Z323" s="799"/>
      <c r="AA323" s="799"/>
      <c r="AB323" s="799"/>
      <c r="AC323" s="799"/>
      <c r="AD323" s="799"/>
      <c r="AE323" s="799"/>
      <c r="AF323" s="799"/>
      <c r="AG323" s="799"/>
      <c r="AH323" s="799"/>
      <c r="AI323" s="799"/>
      <c r="AJ323" s="799"/>
      <c r="AK323" s="799"/>
      <c r="AL323" s="799"/>
      <c r="AM323" s="799"/>
      <c r="AN323" s="799"/>
      <c r="AO323" s="799"/>
      <c r="AP323" s="799"/>
      <c r="AQ323" s="799"/>
      <c r="AR323" s="799"/>
      <c r="AS323" s="799"/>
      <c r="AT323" s="799"/>
      <c r="AU323" s="799"/>
      <c r="AV323" s="799"/>
      <c r="AW323" s="799"/>
      <c r="AX323" s="799"/>
      <c r="AY323" s="799"/>
      <c r="AZ323" s="799"/>
      <c r="BA323" s="799"/>
      <c r="BB323" s="799"/>
      <c r="BC323" s="799"/>
      <c r="BD323" s="799"/>
      <c r="BE323" s="799"/>
      <c r="BF323" s="799"/>
      <c r="BG323" s="799"/>
    </row>
    <row r="324">
      <c r="H324" s="799"/>
      <c r="I324" s="799"/>
      <c r="J324" s="799"/>
      <c r="K324" s="799"/>
      <c r="L324" s="799"/>
      <c r="M324" s="799"/>
      <c r="N324" s="799"/>
      <c r="O324" s="799"/>
      <c r="P324" s="799"/>
      <c r="Q324" s="799"/>
      <c r="R324" s="799"/>
      <c r="S324" s="799"/>
      <c r="T324" s="799"/>
      <c r="U324" s="799"/>
      <c r="V324" s="799"/>
      <c r="W324" s="799"/>
      <c r="X324" s="799"/>
      <c r="Y324" s="799"/>
      <c r="Z324" s="799"/>
      <c r="AA324" s="799"/>
      <c r="AB324" s="799"/>
      <c r="AC324" s="799"/>
      <c r="AD324" s="799"/>
      <c r="AE324" s="799"/>
      <c r="AF324" s="799"/>
      <c r="AG324" s="799"/>
      <c r="AH324" s="799"/>
      <c r="AI324" s="799"/>
      <c r="AJ324" s="799"/>
      <c r="AK324" s="799"/>
      <c r="AL324" s="799"/>
      <c r="AM324" s="799"/>
      <c r="AN324" s="799"/>
      <c r="AO324" s="799"/>
      <c r="AP324" s="799"/>
      <c r="AQ324" s="799"/>
      <c r="AR324" s="799"/>
      <c r="AS324" s="799"/>
      <c r="AT324" s="799"/>
      <c r="AU324" s="799"/>
      <c r="AV324" s="799"/>
      <c r="AW324" s="799"/>
      <c r="AX324" s="799"/>
      <c r="AY324" s="799"/>
      <c r="AZ324" s="799"/>
      <c r="BA324" s="799"/>
      <c r="BB324" s="799"/>
      <c r="BC324" s="799"/>
      <c r="BD324" s="799"/>
      <c r="BE324" s="799"/>
      <c r="BF324" s="799"/>
      <c r="BG324" s="799"/>
    </row>
    <row r="325">
      <c r="H325" s="799"/>
      <c r="I325" s="799"/>
      <c r="J325" s="799"/>
      <c r="K325" s="799"/>
      <c r="L325" s="799"/>
      <c r="M325" s="799"/>
      <c r="N325" s="799"/>
      <c r="O325" s="799"/>
      <c r="P325" s="799"/>
      <c r="Q325" s="799"/>
      <c r="R325" s="799"/>
      <c r="S325" s="799"/>
      <c r="T325" s="799"/>
      <c r="U325" s="799"/>
      <c r="V325" s="799"/>
      <c r="W325" s="799"/>
      <c r="X325" s="799"/>
      <c r="Y325" s="799"/>
      <c r="Z325" s="799"/>
      <c r="AA325" s="799"/>
      <c r="AB325" s="799"/>
      <c r="AC325" s="799"/>
      <c r="AD325" s="799"/>
      <c r="AE325" s="799"/>
      <c r="AF325" s="799"/>
      <c r="AG325" s="799"/>
      <c r="AH325" s="799"/>
      <c r="AI325" s="799"/>
      <c r="AJ325" s="799"/>
      <c r="AK325" s="799"/>
      <c r="AL325" s="799"/>
      <c r="AM325" s="799"/>
      <c r="AN325" s="799"/>
      <c r="AO325" s="799"/>
      <c r="AP325" s="799"/>
      <c r="AQ325" s="799"/>
      <c r="AR325" s="799"/>
      <c r="AS325" s="799"/>
      <c r="AT325" s="799"/>
      <c r="AU325" s="799"/>
      <c r="AV325" s="799"/>
      <c r="AW325" s="799"/>
      <c r="AX325" s="799"/>
      <c r="AY325" s="799"/>
      <c r="AZ325" s="799"/>
      <c r="BA325" s="799"/>
      <c r="BB325" s="799"/>
      <c r="BC325" s="799"/>
      <c r="BD325" s="799"/>
      <c r="BE325" s="799"/>
      <c r="BF325" s="799"/>
      <c r="BG325" s="799"/>
    </row>
    <row r="326">
      <c r="H326" s="799"/>
      <c r="I326" s="799"/>
      <c r="J326" s="799"/>
      <c r="K326" s="799"/>
      <c r="L326" s="799"/>
      <c r="M326" s="799"/>
      <c r="N326" s="799"/>
      <c r="O326" s="799"/>
      <c r="P326" s="799"/>
      <c r="Q326" s="799"/>
      <c r="R326" s="799"/>
      <c r="S326" s="799"/>
      <c r="T326" s="799"/>
      <c r="U326" s="799"/>
      <c r="V326" s="799"/>
      <c r="W326" s="799"/>
      <c r="X326" s="799"/>
      <c r="Y326" s="799"/>
      <c r="Z326" s="799"/>
      <c r="AA326" s="799"/>
      <c r="AB326" s="799"/>
      <c r="AC326" s="799"/>
      <c r="AD326" s="799"/>
      <c r="AE326" s="799"/>
      <c r="AF326" s="799"/>
      <c r="AG326" s="799"/>
      <c r="AH326" s="799"/>
      <c r="AI326" s="799"/>
      <c r="AJ326" s="799"/>
      <c r="AK326" s="799"/>
      <c r="AL326" s="799"/>
      <c r="AM326" s="799"/>
      <c r="AN326" s="799"/>
      <c r="AO326" s="799"/>
      <c r="AP326" s="799"/>
      <c r="AQ326" s="799"/>
      <c r="AR326" s="799"/>
      <c r="AS326" s="799"/>
      <c r="AT326" s="799"/>
      <c r="AU326" s="799"/>
      <c r="AV326" s="799"/>
      <c r="AW326" s="799"/>
      <c r="AX326" s="799"/>
      <c r="AY326" s="799"/>
      <c r="AZ326" s="799"/>
      <c r="BA326" s="799"/>
      <c r="BB326" s="799"/>
      <c r="BC326" s="799"/>
      <c r="BD326" s="799"/>
      <c r="BE326" s="799"/>
      <c r="BF326" s="799"/>
      <c r="BG326" s="799"/>
    </row>
    <row r="327">
      <c r="H327" s="799"/>
      <c r="I327" s="799"/>
      <c r="J327" s="799"/>
      <c r="K327" s="799"/>
      <c r="L327" s="799"/>
      <c r="M327" s="799"/>
      <c r="N327" s="799"/>
      <c r="O327" s="799"/>
      <c r="P327" s="799"/>
      <c r="Q327" s="799"/>
      <c r="R327" s="799"/>
      <c r="S327" s="799"/>
      <c r="T327" s="799"/>
      <c r="U327" s="799"/>
      <c r="V327" s="799"/>
      <c r="W327" s="799"/>
      <c r="X327" s="799"/>
      <c r="Y327" s="799"/>
      <c r="Z327" s="799"/>
      <c r="AA327" s="799"/>
      <c r="AB327" s="799"/>
      <c r="AC327" s="799"/>
      <c r="AD327" s="799"/>
      <c r="AE327" s="799"/>
      <c r="AF327" s="799"/>
      <c r="AG327" s="799"/>
      <c r="AH327" s="799"/>
      <c r="AI327" s="799"/>
      <c r="AJ327" s="799"/>
      <c r="AK327" s="799"/>
      <c r="AL327" s="799"/>
      <c r="AM327" s="799"/>
      <c r="AN327" s="799"/>
      <c r="AO327" s="799"/>
      <c r="AP327" s="799"/>
      <c r="AQ327" s="799"/>
      <c r="AR327" s="799"/>
      <c r="AS327" s="799"/>
      <c r="AT327" s="799"/>
      <c r="AU327" s="799"/>
      <c r="AV327" s="799"/>
      <c r="AW327" s="799"/>
      <c r="AX327" s="799"/>
      <c r="AY327" s="799"/>
      <c r="AZ327" s="799"/>
      <c r="BA327" s="799"/>
      <c r="BB327" s="799"/>
      <c r="BC327" s="799"/>
      <c r="BD327" s="799"/>
      <c r="BE327" s="799"/>
      <c r="BF327" s="799"/>
      <c r="BG327" s="799"/>
    </row>
    <row r="328">
      <c r="H328" s="799"/>
      <c r="I328" s="799"/>
      <c r="J328" s="799"/>
      <c r="K328" s="799"/>
      <c r="L328" s="799"/>
      <c r="M328" s="799"/>
      <c r="N328" s="799"/>
      <c r="O328" s="799"/>
      <c r="P328" s="799"/>
      <c r="Q328" s="799"/>
      <c r="R328" s="799"/>
      <c r="S328" s="799"/>
      <c r="T328" s="799"/>
      <c r="U328" s="799"/>
      <c r="V328" s="799"/>
      <c r="W328" s="799"/>
      <c r="X328" s="799"/>
      <c r="Y328" s="799"/>
      <c r="Z328" s="799"/>
      <c r="AA328" s="799"/>
      <c r="AB328" s="799"/>
      <c r="AC328" s="799"/>
      <c r="AD328" s="799"/>
      <c r="AE328" s="799"/>
      <c r="AF328" s="799"/>
      <c r="AG328" s="799"/>
      <c r="AH328" s="799"/>
      <c r="AI328" s="799"/>
      <c r="AJ328" s="799"/>
      <c r="AK328" s="799"/>
      <c r="AL328" s="799"/>
      <c r="AM328" s="799"/>
      <c r="AN328" s="799"/>
      <c r="AO328" s="799"/>
      <c r="AP328" s="799"/>
      <c r="AQ328" s="799"/>
      <c r="AR328" s="799"/>
      <c r="AS328" s="799"/>
      <c r="AT328" s="799"/>
      <c r="AU328" s="799"/>
      <c r="AV328" s="799"/>
      <c r="AW328" s="799"/>
      <c r="AX328" s="799"/>
      <c r="AY328" s="799"/>
      <c r="AZ328" s="799"/>
      <c r="BA328" s="799"/>
      <c r="BB328" s="799"/>
      <c r="BC328" s="799"/>
      <c r="BD328" s="799"/>
      <c r="BE328" s="799"/>
      <c r="BF328" s="799"/>
      <c r="BG328" s="799"/>
    </row>
    <row r="329">
      <c r="H329" s="799"/>
      <c r="I329" s="799"/>
      <c r="J329" s="799"/>
      <c r="K329" s="799"/>
      <c r="L329" s="799"/>
      <c r="M329" s="799"/>
      <c r="N329" s="799"/>
      <c r="O329" s="799"/>
      <c r="P329" s="799"/>
      <c r="Q329" s="799"/>
      <c r="R329" s="799"/>
      <c r="S329" s="799"/>
      <c r="T329" s="799"/>
      <c r="U329" s="799"/>
      <c r="V329" s="799"/>
      <c r="W329" s="799"/>
      <c r="X329" s="799"/>
      <c r="Y329" s="799"/>
      <c r="Z329" s="799"/>
      <c r="AA329" s="799"/>
      <c r="AB329" s="799"/>
      <c r="AC329" s="799"/>
      <c r="AD329" s="799"/>
      <c r="AE329" s="799"/>
      <c r="AF329" s="799"/>
      <c r="AG329" s="799"/>
      <c r="AH329" s="799"/>
      <c r="AI329" s="799"/>
      <c r="AJ329" s="799"/>
      <c r="AK329" s="799"/>
      <c r="AL329" s="799"/>
      <c r="AM329" s="799"/>
      <c r="AN329" s="799"/>
      <c r="AO329" s="799"/>
      <c r="AP329" s="799"/>
      <c r="AQ329" s="799"/>
      <c r="AR329" s="799"/>
      <c r="AS329" s="799"/>
      <c r="AT329" s="799"/>
      <c r="AU329" s="799"/>
      <c r="AV329" s="799"/>
      <c r="AW329" s="799"/>
      <c r="AX329" s="799"/>
      <c r="AY329" s="799"/>
      <c r="AZ329" s="799"/>
      <c r="BA329" s="799"/>
      <c r="BB329" s="799"/>
      <c r="BC329" s="799"/>
      <c r="BD329" s="799"/>
      <c r="BE329" s="799"/>
      <c r="BF329" s="799"/>
      <c r="BG329" s="799"/>
    </row>
    <row r="330">
      <c r="H330" s="799"/>
      <c r="I330" s="799"/>
      <c r="J330" s="799"/>
      <c r="K330" s="799"/>
      <c r="L330" s="799"/>
      <c r="M330" s="799"/>
      <c r="N330" s="799"/>
      <c r="O330" s="799"/>
      <c r="P330" s="799"/>
      <c r="Q330" s="799"/>
      <c r="R330" s="799"/>
      <c r="S330" s="799"/>
      <c r="T330" s="799"/>
      <c r="U330" s="799"/>
      <c r="V330" s="799"/>
      <c r="W330" s="799"/>
      <c r="X330" s="799"/>
      <c r="Y330" s="799"/>
      <c r="Z330" s="799"/>
      <c r="AA330" s="799"/>
      <c r="AB330" s="799"/>
      <c r="AC330" s="799"/>
      <c r="AD330" s="799"/>
      <c r="AE330" s="799"/>
      <c r="AF330" s="799"/>
      <c r="AG330" s="799"/>
      <c r="AH330" s="799"/>
      <c r="AI330" s="799"/>
      <c r="AJ330" s="799"/>
      <c r="AK330" s="799"/>
      <c r="AL330" s="799"/>
      <c r="AM330" s="799"/>
      <c r="AN330" s="799"/>
      <c r="AO330" s="799"/>
      <c r="AP330" s="799"/>
      <c r="AQ330" s="799"/>
      <c r="AR330" s="799"/>
      <c r="AS330" s="799"/>
      <c r="AT330" s="799"/>
      <c r="AU330" s="799"/>
      <c r="AV330" s="799"/>
      <c r="AW330" s="799"/>
      <c r="AX330" s="799"/>
      <c r="AY330" s="799"/>
      <c r="AZ330" s="799"/>
      <c r="BA330" s="799"/>
      <c r="BB330" s="799"/>
      <c r="BC330" s="799"/>
      <c r="BD330" s="799"/>
      <c r="BE330" s="799"/>
      <c r="BF330" s="799"/>
      <c r="BG330" s="799"/>
    </row>
    <row r="331">
      <c r="H331" s="799"/>
      <c r="I331" s="799"/>
      <c r="J331" s="799"/>
      <c r="K331" s="799"/>
      <c r="L331" s="799"/>
      <c r="M331" s="799"/>
      <c r="N331" s="799"/>
      <c r="O331" s="799"/>
      <c r="P331" s="799"/>
      <c r="Q331" s="799"/>
      <c r="R331" s="799"/>
      <c r="S331" s="799"/>
      <c r="T331" s="799"/>
      <c r="U331" s="799"/>
      <c r="V331" s="799"/>
      <c r="W331" s="799"/>
      <c r="X331" s="799"/>
      <c r="Y331" s="799"/>
      <c r="Z331" s="799"/>
      <c r="AA331" s="799"/>
      <c r="AB331" s="799"/>
      <c r="AC331" s="799"/>
      <c r="AD331" s="799"/>
      <c r="AE331" s="799"/>
      <c r="AF331" s="799"/>
      <c r="AG331" s="799"/>
      <c r="AH331" s="799"/>
      <c r="AI331" s="799"/>
      <c r="AJ331" s="799"/>
      <c r="AK331" s="799"/>
      <c r="AL331" s="799"/>
      <c r="AM331" s="799"/>
      <c r="AN331" s="799"/>
      <c r="AO331" s="799"/>
      <c r="AP331" s="799"/>
      <c r="AQ331" s="799"/>
      <c r="AR331" s="799"/>
      <c r="AS331" s="799"/>
      <c r="AT331" s="799"/>
      <c r="AU331" s="799"/>
      <c r="AV331" s="799"/>
      <c r="AW331" s="799"/>
      <c r="AX331" s="799"/>
      <c r="AY331" s="799"/>
      <c r="AZ331" s="799"/>
      <c r="BA331" s="799"/>
      <c r="BB331" s="799"/>
      <c r="BC331" s="799"/>
      <c r="BD331" s="799"/>
      <c r="BE331" s="799"/>
      <c r="BF331" s="799"/>
      <c r="BG331" s="799"/>
    </row>
    <row r="332">
      <c r="H332" s="799"/>
      <c r="I332" s="799"/>
      <c r="J332" s="799"/>
      <c r="K332" s="799"/>
      <c r="L332" s="799"/>
      <c r="M332" s="799"/>
      <c r="N332" s="799"/>
      <c r="O332" s="799"/>
      <c r="P332" s="799"/>
      <c r="Q332" s="799"/>
      <c r="R332" s="799"/>
      <c r="S332" s="799"/>
      <c r="T332" s="799"/>
      <c r="U332" s="799"/>
      <c r="V332" s="799"/>
      <c r="W332" s="799"/>
      <c r="X332" s="799"/>
      <c r="Y332" s="799"/>
      <c r="Z332" s="799"/>
      <c r="AA332" s="799"/>
      <c r="AB332" s="799"/>
      <c r="AC332" s="799"/>
      <c r="AD332" s="799"/>
      <c r="AE332" s="799"/>
      <c r="AF332" s="799"/>
      <c r="AG332" s="799"/>
      <c r="AH332" s="799"/>
      <c r="AI332" s="799"/>
      <c r="AJ332" s="799"/>
      <c r="AK332" s="799"/>
      <c r="AL332" s="799"/>
      <c r="AM332" s="799"/>
      <c r="AN332" s="799"/>
      <c r="AO332" s="799"/>
      <c r="AP332" s="799"/>
      <c r="AQ332" s="799"/>
      <c r="AR332" s="799"/>
      <c r="AS332" s="799"/>
      <c r="AT332" s="799"/>
      <c r="AU332" s="799"/>
      <c r="AV332" s="799"/>
      <c r="AW332" s="799"/>
      <c r="AX332" s="799"/>
      <c r="AY332" s="799"/>
      <c r="AZ332" s="799"/>
      <c r="BA332" s="799"/>
      <c r="BB332" s="799"/>
      <c r="BC332" s="799"/>
      <c r="BD332" s="799"/>
      <c r="BE332" s="799"/>
      <c r="BF332" s="799"/>
      <c r="BG332" s="799"/>
    </row>
    <row r="333">
      <c r="H333" s="799"/>
      <c r="I333" s="799"/>
      <c r="J333" s="799"/>
      <c r="K333" s="799"/>
      <c r="L333" s="799"/>
      <c r="M333" s="799"/>
      <c r="N333" s="799"/>
      <c r="O333" s="799"/>
      <c r="P333" s="799"/>
      <c r="Q333" s="799"/>
      <c r="R333" s="799"/>
      <c r="S333" s="799"/>
      <c r="T333" s="799"/>
      <c r="U333" s="799"/>
      <c r="V333" s="799"/>
      <c r="W333" s="799"/>
      <c r="X333" s="799"/>
      <c r="Y333" s="799"/>
      <c r="Z333" s="799"/>
      <c r="AA333" s="799"/>
      <c r="AB333" s="799"/>
      <c r="AC333" s="799"/>
      <c r="AD333" s="799"/>
      <c r="AE333" s="799"/>
      <c r="AF333" s="799"/>
      <c r="AG333" s="799"/>
      <c r="AH333" s="799"/>
      <c r="AI333" s="799"/>
      <c r="AJ333" s="799"/>
      <c r="AK333" s="799"/>
      <c r="AL333" s="799"/>
      <c r="AM333" s="799"/>
      <c r="AN333" s="799"/>
      <c r="AO333" s="799"/>
      <c r="AP333" s="799"/>
      <c r="AQ333" s="799"/>
      <c r="AR333" s="799"/>
      <c r="AS333" s="799"/>
      <c r="AT333" s="799"/>
      <c r="AU333" s="799"/>
      <c r="AV333" s="799"/>
      <c r="AW333" s="799"/>
      <c r="AX333" s="799"/>
      <c r="AY333" s="799"/>
      <c r="AZ333" s="799"/>
      <c r="BA333" s="799"/>
      <c r="BB333" s="799"/>
      <c r="BC333" s="799"/>
      <c r="BD333" s="799"/>
      <c r="BE333" s="799"/>
      <c r="BF333" s="799"/>
      <c r="BG333" s="799"/>
    </row>
    <row r="334">
      <c r="H334" s="799"/>
      <c r="I334" s="799"/>
      <c r="J334" s="799"/>
      <c r="K334" s="799"/>
      <c r="L334" s="799"/>
      <c r="M334" s="799"/>
      <c r="N334" s="799"/>
      <c r="O334" s="799"/>
      <c r="P334" s="799"/>
      <c r="Q334" s="799"/>
      <c r="R334" s="799"/>
      <c r="S334" s="799"/>
      <c r="T334" s="799"/>
      <c r="U334" s="799"/>
      <c r="V334" s="799"/>
      <c r="W334" s="799"/>
      <c r="X334" s="799"/>
      <c r="Y334" s="799"/>
      <c r="Z334" s="799"/>
      <c r="AA334" s="799"/>
      <c r="AB334" s="799"/>
      <c r="AC334" s="799"/>
      <c r="AD334" s="799"/>
      <c r="AE334" s="799"/>
      <c r="AF334" s="799"/>
      <c r="AG334" s="799"/>
      <c r="AH334" s="799"/>
      <c r="AI334" s="799"/>
      <c r="AJ334" s="799"/>
      <c r="AK334" s="799"/>
      <c r="AL334" s="799"/>
      <c r="AM334" s="799"/>
      <c r="AN334" s="799"/>
      <c r="AO334" s="799"/>
      <c r="AP334" s="799"/>
      <c r="AQ334" s="799"/>
      <c r="AR334" s="799"/>
      <c r="AS334" s="799"/>
      <c r="AT334" s="799"/>
      <c r="AU334" s="799"/>
      <c r="AV334" s="799"/>
      <c r="AW334" s="799"/>
      <c r="AX334" s="799"/>
      <c r="AY334" s="799"/>
      <c r="AZ334" s="799"/>
      <c r="BA334" s="799"/>
      <c r="BB334" s="799"/>
      <c r="BC334" s="799"/>
      <c r="BD334" s="799"/>
      <c r="BE334" s="799"/>
      <c r="BF334" s="799"/>
      <c r="BG334" s="799"/>
    </row>
    <row r="335">
      <c r="H335" s="799"/>
      <c r="I335" s="799"/>
      <c r="J335" s="799"/>
      <c r="K335" s="799"/>
      <c r="L335" s="799"/>
      <c r="M335" s="799"/>
      <c r="N335" s="799"/>
      <c r="O335" s="799"/>
      <c r="P335" s="799"/>
      <c r="Q335" s="799"/>
      <c r="R335" s="799"/>
      <c r="S335" s="799"/>
      <c r="T335" s="799"/>
      <c r="U335" s="799"/>
      <c r="V335" s="799"/>
      <c r="W335" s="799"/>
      <c r="X335" s="799"/>
      <c r="Y335" s="799"/>
      <c r="Z335" s="799"/>
      <c r="AA335" s="799"/>
      <c r="AB335" s="799"/>
      <c r="AC335" s="799"/>
      <c r="AD335" s="799"/>
      <c r="AE335" s="799"/>
      <c r="AF335" s="799"/>
      <c r="AG335" s="799"/>
      <c r="AH335" s="799"/>
      <c r="AI335" s="799"/>
      <c r="AJ335" s="799"/>
      <c r="AK335" s="799"/>
      <c r="AL335" s="799"/>
      <c r="AM335" s="799"/>
      <c r="AN335" s="799"/>
      <c r="AO335" s="799"/>
      <c r="AP335" s="799"/>
      <c r="AQ335" s="799"/>
      <c r="AR335" s="799"/>
      <c r="AS335" s="799"/>
      <c r="AT335" s="799"/>
      <c r="AU335" s="799"/>
      <c r="AV335" s="799"/>
      <c r="AW335" s="799"/>
      <c r="AX335" s="799"/>
      <c r="AY335" s="799"/>
      <c r="AZ335" s="799"/>
      <c r="BA335" s="799"/>
      <c r="BB335" s="799"/>
      <c r="BC335" s="799"/>
      <c r="BD335" s="799"/>
      <c r="BE335" s="799"/>
      <c r="BF335" s="799"/>
      <c r="BG335" s="799"/>
    </row>
    <row r="336">
      <c r="H336" s="799"/>
      <c r="I336" s="799"/>
      <c r="J336" s="799"/>
      <c r="K336" s="799"/>
      <c r="L336" s="799"/>
      <c r="M336" s="799"/>
      <c r="N336" s="799"/>
      <c r="O336" s="799"/>
      <c r="P336" s="799"/>
      <c r="Q336" s="799"/>
      <c r="R336" s="799"/>
      <c r="S336" s="799"/>
      <c r="T336" s="799"/>
      <c r="U336" s="799"/>
      <c r="V336" s="799"/>
      <c r="W336" s="799"/>
      <c r="X336" s="799"/>
      <c r="Y336" s="799"/>
      <c r="Z336" s="799"/>
      <c r="AA336" s="799"/>
      <c r="AB336" s="799"/>
      <c r="AC336" s="799"/>
      <c r="AD336" s="799"/>
      <c r="AE336" s="799"/>
      <c r="AF336" s="799"/>
      <c r="AG336" s="799"/>
      <c r="AH336" s="799"/>
      <c r="AI336" s="799"/>
      <c r="AJ336" s="799"/>
      <c r="AK336" s="799"/>
      <c r="AL336" s="799"/>
      <c r="AM336" s="799"/>
      <c r="AN336" s="799"/>
      <c r="AO336" s="799"/>
      <c r="AP336" s="799"/>
      <c r="AQ336" s="799"/>
      <c r="AR336" s="799"/>
      <c r="AS336" s="799"/>
      <c r="AT336" s="799"/>
      <c r="AU336" s="799"/>
      <c r="AV336" s="799"/>
      <c r="AW336" s="799"/>
      <c r="AX336" s="799"/>
      <c r="AY336" s="799"/>
      <c r="AZ336" s="799"/>
      <c r="BA336" s="799"/>
      <c r="BB336" s="799"/>
      <c r="BC336" s="799"/>
      <c r="BD336" s="799"/>
      <c r="BE336" s="799"/>
      <c r="BF336" s="799"/>
      <c r="BG336" s="799"/>
    </row>
    <row r="337">
      <c r="H337" s="799"/>
      <c r="I337" s="799"/>
      <c r="J337" s="799"/>
      <c r="K337" s="799"/>
      <c r="L337" s="799"/>
      <c r="M337" s="799"/>
      <c r="N337" s="799"/>
      <c r="O337" s="799"/>
      <c r="P337" s="799"/>
      <c r="Q337" s="799"/>
      <c r="R337" s="799"/>
      <c r="S337" s="799"/>
      <c r="T337" s="799"/>
      <c r="U337" s="799"/>
      <c r="V337" s="799"/>
      <c r="W337" s="799"/>
      <c r="X337" s="799"/>
      <c r="Y337" s="799"/>
      <c r="Z337" s="799"/>
      <c r="AA337" s="799"/>
      <c r="AB337" s="799"/>
      <c r="AC337" s="799"/>
      <c r="AD337" s="799"/>
      <c r="AE337" s="799"/>
      <c r="AF337" s="799"/>
      <c r="AG337" s="799"/>
      <c r="AH337" s="799"/>
      <c r="AI337" s="799"/>
      <c r="AJ337" s="799"/>
      <c r="AK337" s="799"/>
      <c r="AL337" s="799"/>
      <c r="AM337" s="799"/>
      <c r="AN337" s="799"/>
      <c r="AO337" s="799"/>
      <c r="AP337" s="799"/>
      <c r="AQ337" s="799"/>
      <c r="AR337" s="799"/>
      <c r="AS337" s="799"/>
      <c r="AT337" s="799"/>
      <c r="AU337" s="799"/>
      <c r="AV337" s="799"/>
      <c r="AW337" s="799"/>
      <c r="AX337" s="799"/>
      <c r="AY337" s="799"/>
      <c r="AZ337" s="799"/>
      <c r="BA337" s="799"/>
      <c r="BB337" s="799"/>
      <c r="BC337" s="799"/>
      <c r="BD337" s="799"/>
      <c r="BE337" s="799"/>
      <c r="BF337" s="799"/>
      <c r="BG337" s="799"/>
    </row>
    <row r="338">
      <c r="H338" s="799"/>
      <c r="I338" s="799"/>
      <c r="J338" s="799"/>
      <c r="K338" s="799"/>
      <c r="L338" s="799"/>
      <c r="M338" s="799"/>
      <c r="N338" s="799"/>
      <c r="O338" s="799"/>
      <c r="P338" s="799"/>
      <c r="Q338" s="799"/>
      <c r="R338" s="799"/>
      <c r="S338" s="799"/>
      <c r="T338" s="799"/>
      <c r="U338" s="799"/>
      <c r="V338" s="799"/>
      <c r="W338" s="799"/>
      <c r="X338" s="799"/>
      <c r="Y338" s="799"/>
      <c r="Z338" s="799"/>
      <c r="AA338" s="799"/>
      <c r="AB338" s="799"/>
      <c r="AC338" s="799"/>
      <c r="AD338" s="799"/>
      <c r="AE338" s="799"/>
      <c r="AF338" s="799"/>
      <c r="AG338" s="799"/>
      <c r="AH338" s="799"/>
      <c r="AI338" s="799"/>
      <c r="AJ338" s="799"/>
      <c r="AK338" s="799"/>
      <c r="AL338" s="799"/>
      <c r="AM338" s="799"/>
      <c r="AN338" s="799"/>
      <c r="AO338" s="799"/>
      <c r="AP338" s="799"/>
      <c r="AQ338" s="799"/>
      <c r="AR338" s="799"/>
      <c r="AS338" s="799"/>
      <c r="AT338" s="799"/>
      <c r="AU338" s="799"/>
      <c r="AV338" s="799"/>
      <c r="AW338" s="799"/>
      <c r="AX338" s="799"/>
      <c r="AY338" s="799"/>
      <c r="AZ338" s="799"/>
      <c r="BA338" s="799"/>
      <c r="BB338" s="799"/>
      <c r="BC338" s="799"/>
      <c r="BD338" s="799"/>
      <c r="BE338" s="799"/>
      <c r="BF338" s="799"/>
      <c r="BG338" s="799"/>
    </row>
    <row r="339">
      <c r="H339" s="799"/>
      <c r="I339" s="799"/>
      <c r="J339" s="799"/>
      <c r="K339" s="799"/>
      <c r="L339" s="799"/>
      <c r="M339" s="799"/>
      <c r="N339" s="799"/>
      <c r="O339" s="799"/>
      <c r="P339" s="799"/>
      <c r="Q339" s="799"/>
      <c r="R339" s="799"/>
      <c r="S339" s="799"/>
      <c r="T339" s="799"/>
      <c r="U339" s="799"/>
      <c r="V339" s="799"/>
      <c r="W339" s="799"/>
      <c r="X339" s="799"/>
      <c r="Y339" s="799"/>
      <c r="Z339" s="799"/>
      <c r="AA339" s="799"/>
      <c r="AB339" s="799"/>
      <c r="AC339" s="799"/>
      <c r="AD339" s="799"/>
      <c r="AE339" s="799"/>
      <c r="AF339" s="799"/>
      <c r="AG339" s="799"/>
      <c r="AH339" s="799"/>
      <c r="AI339" s="799"/>
      <c r="AJ339" s="799"/>
      <c r="AK339" s="799"/>
      <c r="AL339" s="799"/>
      <c r="AM339" s="799"/>
      <c r="AN339" s="799"/>
      <c r="AO339" s="799"/>
      <c r="AP339" s="799"/>
      <c r="AQ339" s="799"/>
      <c r="AR339" s="799"/>
      <c r="AS339" s="799"/>
      <c r="AT339" s="799"/>
      <c r="AU339" s="799"/>
      <c r="AV339" s="799"/>
      <c r="AW339" s="799"/>
      <c r="AX339" s="799"/>
      <c r="AY339" s="799"/>
      <c r="AZ339" s="799"/>
      <c r="BA339" s="799"/>
      <c r="BB339" s="799"/>
      <c r="BC339" s="799"/>
      <c r="BD339" s="799"/>
      <c r="BE339" s="799"/>
      <c r="BF339" s="799"/>
      <c r="BG339" s="799"/>
    </row>
    <row r="340">
      <c r="H340" s="799"/>
      <c r="I340" s="799"/>
      <c r="J340" s="799"/>
      <c r="K340" s="799"/>
      <c r="L340" s="799"/>
      <c r="M340" s="799"/>
      <c r="N340" s="799"/>
      <c r="O340" s="799"/>
      <c r="P340" s="799"/>
      <c r="Q340" s="799"/>
      <c r="R340" s="799"/>
      <c r="S340" s="799"/>
      <c r="T340" s="799"/>
      <c r="U340" s="799"/>
      <c r="V340" s="799"/>
      <c r="W340" s="799"/>
      <c r="X340" s="799"/>
      <c r="Y340" s="799"/>
      <c r="Z340" s="799"/>
      <c r="AA340" s="799"/>
      <c r="AB340" s="799"/>
      <c r="AC340" s="799"/>
      <c r="AD340" s="799"/>
      <c r="AE340" s="799"/>
      <c r="AF340" s="799"/>
      <c r="AG340" s="799"/>
      <c r="AH340" s="799"/>
      <c r="AI340" s="799"/>
      <c r="AJ340" s="799"/>
      <c r="AK340" s="799"/>
      <c r="AL340" s="799"/>
      <c r="AM340" s="799"/>
      <c r="AN340" s="799"/>
      <c r="AO340" s="799"/>
      <c r="AP340" s="799"/>
      <c r="AQ340" s="799"/>
      <c r="AR340" s="799"/>
      <c r="AS340" s="799"/>
      <c r="AT340" s="799"/>
      <c r="AU340" s="799"/>
      <c r="AV340" s="799"/>
      <c r="AW340" s="799"/>
      <c r="AX340" s="799"/>
      <c r="AY340" s="799"/>
      <c r="AZ340" s="799"/>
      <c r="BA340" s="799"/>
      <c r="BB340" s="799"/>
      <c r="BC340" s="799"/>
      <c r="BD340" s="799"/>
      <c r="BE340" s="799"/>
      <c r="BF340" s="799"/>
      <c r="BG340" s="799"/>
    </row>
    <row r="341">
      <c r="H341" s="799"/>
      <c r="I341" s="799"/>
      <c r="J341" s="799"/>
      <c r="K341" s="799"/>
      <c r="L341" s="799"/>
      <c r="M341" s="799"/>
      <c r="N341" s="799"/>
      <c r="O341" s="799"/>
      <c r="P341" s="799"/>
      <c r="Q341" s="799"/>
      <c r="R341" s="799"/>
      <c r="S341" s="799"/>
      <c r="T341" s="799"/>
      <c r="U341" s="799"/>
      <c r="V341" s="799"/>
      <c r="W341" s="799"/>
      <c r="X341" s="799"/>
      <c r="Y341" s="799"/>
      <c r="Z341" s="799"/>
      <c r="AA341" s="799"/>
      <c r="AB341" s="799"/>
      <c r="AC341" s="799"/>
      <c r="AD341" s="799"/>
      <c r="AE341" s="799"/>
      <c r="AF341" s="799"/>
      <c r="AG341" s="799"/>
      <c r="AH341" s="799"/>
      <c r="AI341" s="799"/>
      <c r="AJ341" s="799"/>
      <c r="AK341" s="799"/>
      <c r="AL341" s="799"/>
      <c r="AM341" s="799"/>
      <c r="AN341" s="799"/>
      <c r="AO341" s="799"/>
      <c r="AP341" s="799"/>
      <c r="AQ341" s="799"/>
      <c r="AR341" s="799"/>
      <c r="AS341" s="799"/>
      <c r="AT341" s="799"/>
      <c r="AU341" s="799"/>
      <c r="AV341" s="799"/>
      <c r="AW341" s="799"/>
      <c r="AX341" s="799"/>
      <c r="AY341" s="799"/>
      <c r="AZ341" s="799"/>
      <c r="BA341" s="799"/>
      <c r="BB341" s="799"/>
      <c r="BC341" s="799"/>
      <c r="BD341" s="799"/>
      <c r="BE341" s="799"/>
      <c r="BF341" s="799"/>
      <c r="BG341" s="799"/>
    </row>
    <row r="342">
      <c r="H342" s="799"/>
      <c r="I342" s="799"/>
      <c r="J342" s="799"/>
      <c r="K342" s="799"/>
      <c r="L342" s="799"/>
      <c r="M342" s="799"/>
      <c r="N342" s="799"/>
      <c r="O342" s="799"/>
      <c r="P342" s="799"/>
      <c r="Q342" s="799"/>
      <c r="R342" s="799"/>
      <c r="S342" s="799"/>
      <c r="T342" s="799"/>
      <c r="U342" s="799"/>
      <c r="V342" s="799"/>
      <c r="W342" s="799"/>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c r="AV342" s="799"/>
      <c r="AW342" s="799"/>
      <c r="AX342" s="799"/>
      <c r="AY342" s="799"/>
      <c r="AZ342" s="799"/>
      <c r="BA342" s="799"/>
      <c r="BB342" s="799"/>
      <c r="BC342" s="799"/>
      <c r="BD342" s="799"/>
      <c r="BE342" s="799"/>
      <c r="BF342" s="799"/>
      <c r="BG342" s="799"/>
    </row>
    <row r="343">
      <c r="H343" s="799"/>
      <c r="I343" s="799"/>
      <c r="J343" s="799"/>
      <c r="K343" s="799"/>
      <c r="L343" s="799"/>
      <c r="M343" s="799"/>
      <c r="N343" s="799"/>
      <c r="O343" s="799"/>
      <c r="P343" s="799"/>
      <c r="Q343" s="799"/>
      <c r="R343" s="799"/>
      <c r="S343" s="799"/>
      <c r="T343" s="799"/>
      <c r="U343" s="799"/>
      <c r="V343" s="799"/>
      <c r="W343" s="799"/>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c r="AV343" s="799"/>
      <c r="AW343" s="799"/>
      <c r="AX343" s="799"/>
      <c r="AY343" s="799"/>
      <c r="AZ343" s="799"/>
      <c r="BA343" s="799"/>
      <c r="BB343" s="799"/>
      <c r="BC343" s="799"/>
      <c r="BD343" s="799"/>
      <c r="BE343" s="799"/>
      <c r="BF343" s="799"/>
      <c r="BG343" s="799"/>
    </row>
    <row r="344">
      <c r="H344" s="799"/>
      <c r="I344" s="799"/>
      <c r="J344" s="799"/>
      <c r="K344" s="799"/>
      <c r="L344" s="799"/>
      <c r="M344" s="799"/>
      <c r="N344" s="799"/>
      <c r="O344" s="799"/>
      <c r="P344" s="799"/>
      <c r="Q344" s="799"/>
      <c r="R344" s="799"/>
      <c r="S344" s="799"/>
      <c r="T344" s="799"/>
      <c r="U344" s="799"/>
      <c r="V344" s="799"/>
      <c r="W344" s="799"/>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c r="AV344" s="799"/>
      <c r="AW344" s="799"/>
      <c r="AX344" s="799"/>
      <c r="AY344" s="799"/>
      <c r="AZ344" s="799"/>
      <c r="BA344" s="799"/>
      <c r="BB344" s="799"/>
      <c r="BC344" s="799"/>
      <c r="BD344" s="799"/>
      <c r="BE344" s="799"/>
      <c r="BF344" s="799"/>
      <c r="BG344" s="799"/>
    </row>
    <row r="345">
      <c r="H345" s="799"/>
      <c r="I345" s="799"/>
      <c r="J345" s="799"/>
      <c r="K345" s="799"/>
      <c r="L345" s="799"/>
      <c r="M345" s="799"/>
      <c r="N345" s="799"/>
      <c r="O345" s="799"/>
      <c r="P345" s="799"/>
      <c r="Q345" s="799"/>
      <c r="R345" s="799"/>
      <c r="S345" s="799"/>
      <c r="T345" s="799"/>
      <c r="U345" s="799"/>
      <c r="V345" s="799"/>
      <c r="W345" s="799"/>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c r="AV345" s="799"/>
      <c r="AW345" s="799"/>
      <c r="AX345" s="799"/>
      <c r="AY345" s="799"/>
      <c r="AZ345" s="799"/>
      <c r="BA345" s="799"/>
      <c r="BB345" s="799"/>
      <c r="BC345" s="799"/>
      <c r="BD345" s="799"/>
      <c r="BE345" s="799"/>
      <c r="BF345" s="799"/>
      <c r="BG345" s="799"/>
    </row>
    <row r="346">
      <c r="H346" s="799"/>
      <c r="I346" s="799"/>
      <c r="J346" s="799"/>
      <c r="K346" s="799"/>
      <c r="L346" s="799"/>
      <c r="M346" s="799"/>
      <c r="N346" s="799"/>
      <c r="O346" s="799"/>
      <c r="P346" s="799"/>
      <c r="Q346" s="799"/>
      <c r="R346" s="799"/>
      <c r="S346" s="799"/>
      <c r="T346" s="799"/>
      <c r="U346" s="799"/>
      <c r="V346" s="799"/>
      <c r="W346" s="799"/>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799"/>
      <c r="AX346" s="799"/>
      <c r="AY346" s="799"/>
      <c r="AZ346" s="799"/>
      <c r="BA346" s="799"/>
      <c r="BB346" s="799"/>
      <c r="BC346" s="799"/>
      <c r="BD346" s="799"/>
      <c r="BE346" s="799"/>
      <c r="BF346" s="799"/>
      <c r="BG346" s="799"/>
    </row>
    <row r="347">
      <c r="H347" s="799"/>
      <c r="I347" s="799"/>
      <c r="J347" s="799"/>
      <c r="K347" s="799"/>
      <c r="L347" s="799"/>
      <c r="M347" s="799"/>
      <c r="N347" s="799"/>
      <c r="O347" s="799"/>
      <c r="P347" s="799"/>
      <c r="Q347" s="799"/>
      <c r="R347" s="799"/>
      <c r="S347" s="799"/>
      <c r="T347" s="799"/>
      <c r="U347" s="799"/>
      <c r="V347" s="799"/>
      <c r="W347" s="799"/>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799"/>
      <c r="AX347" s="799"/>
      <c r="AY347" s="799"/>
      <c r="AZ347" s="799"/>
      <c r="BA347" s="799"/>
      <c r="BB347" s="799"/>
      <c r="BC347" s="799"/>
      <c r="BD347" s="799"/>
      <c r="BE347" s="799"/>
      <c r="BF347" s="799"/>
      <c r="BG347" s="799"/>
    </row>
    <row r="348">
      <c r="H348" s="799"/>
      <c r="I348" s="799"/>
      <c r="J348" s="799"/>
      <c r="K348" s="799"/>
      <c r="L348" s="799"/>
      <c r="M348" s="799"/>
      <c r="N348" s="799"/>
      <c r="O348" s="799"/>
      <c r="P348" s="799"/>
      <c r="Q348" s="799"/>
      <c r="R348" s="799"/>
      <c r="S348" s="799"/>
      <c r="T348" s="799"/>
      <c r="U348" s="799"/>
      <c r="V348" s="799"/>
      <c r="W348" s="799"/>
      <c r="X348" s="799"/>
      <c r="Y348" s="799"/>
      <c r="Z348" s="799"/>
      <c r="AA348" s="799"/>
      <c r="AB348" s="799"/>
      <c r="AC348" s="799"/>
      <c r="AD348" s="799"/>
      <c r="AE348" s="799"/>
      <c r="AF348" s="799"/>
      <c r="AG348" s="799"/>
      <c r="AH348" s="799"/>
      <c r="AI348" s="799"/>
      <c r="AJ348" s="799"/>
      <c r="AK348" s="799"/>
      <c r="AL348" s="799"/>
      <c r="AM348" s="799"/>
      <c r="AN348" s="799"/>
      <c r="AO348" s="799"/>
      <c r="AP348" s="799"/>
      <c r="AQ348" s="799"/>
      <c r="AR348" s="799"/>
      <c r="AS348" s="799"/>
      <c r="AT348" s="799"/>
      <c r="AU348" s="799"/>
      <c r="AV348" s="799"/>
      <c r="AW348" s="799"/>
      <c r="AX348" s="799"/>
      <c r="AY348" s="799"/>
      <c r="AZ348" s="799"/>
      <c r="BA348" s="799"/>
      <c r="BB348" s="799"/>
      <c r="BC348" s="799"/>
      <c r="BD348" s="799"/>
      <c r="BE348" s="799"/>
      <c r="BF348" s="799"/>
      <c r="BG348" s="799"/>
    </row>
    <row r="349">
      <c r="H349" s="799"/>
      <c r="I349" s="799"/>
      <c r="J349" s="799"/>
      <c r="K349" s="799"/>
      <c r="L349" s="799"/>
      <c r="M349" s="799"/>
      <c r="N349" s="799"/>
      <c r="O349" s="799"/>
      <c r="P349" s="799"/>
      <c r="Q349" s="799"/>
      <c r="R349" s="799"/>
      <c r="S349" s="799"/>
      <c r="T349" s="799"/>
      <c r="U349" s="799"/>
      <c r="V349" s="799"/>
      <c r="W349" s="799"/>
      <c r="X349" s="799"/>
      <c r="Y349" s="799"/>
      <c r="Z349" s="799"/>
      <c r="AA349" s="799"/>
      <c r="AB349" s="799"/>
      <c r="AC349" s="799"/>
      <c r="AD349" s="799"/>
      <c r="AE349" s="799"/>
      <c r="AF349" s="799"/>
      <c r="AG349" s="799"/>
      <c r="AH349" s="799"/>
      <c r="AI349" s="799"/>
      <c r="AJ349" s="799"/>
      <c r="AK349" s="799"/>
      <c r="AL349" s="799"/>
      <c r="AM349" s="799"/>
      <c r="AN349" s="799"/>
      <c r="AO349" s="799"/>
      <c r="AP349" s="799"/>
      <c r="AQ349" s="799"/>
      <c r="AR349" s="799"/>
      <c r="AS349" s="799"/>
      <c r="AT349" s="799"/>
      <c r="AU349" s="799"/>
      <c r="AV349" s="799"/>
      <c r="AW349" s="799"/>
      <c r="AX349" s="799"/>
      <c r="AY349" s="799"/>
      <c r="AZ349" s="799"/>
      <c r="BA349" s="799"/>
      <c r="BB349" s="799"/>
      <c r="BC349" s="799"/>
      <c r="BD349" s="799"/>
      <c r="BE349" s="799"/>
      <c r="BF349" s="799"/>
      <c r="BG349" s="799"/>
    </row>
    <row r="350">
      <c r="H350" s="799"/>
      <c r="I350" s="799"/>
      <c r="J350" s="799"/>
      <c r="K350" s="799"/>
      <c r="L350" s="799"/>
      <c r="M350" s="799"/>
      <c r="N350" s="799"/>
      <c r="O350" s="799"/>
      <c r="P350" s="799"/>
      <c r="Q350" s="799"/>
      <c r="R350" s="799"/>
      <c r="S350" s="799"/>
      <c r="T350" s="799"/>
      <c r="U350" s="799"/>
      <c r="V350" s="799"/>
      <c r="W350" s="799"/>
      <c r="X350" s="799"/>
      <c r="Y350" s="799"/>
      <c r="Z350" s="799"/>
      <c r="AA350" s="799"/>
      <c r="AB350" s="799"/>
      <c r="AC350" s="799"/>
      <c r="AD350" s="799"/>
      <c r="AE350" s="799"/>
      <c r="AF350" s="799"/>
      <c r="AG350" s="799"/>
      <c r="AH350" s="799"/>
      <c r="AI350" s="799"/>
      <c r="AJ350" s="799"/>
      <c r="AK350" s="799"/>
      <c r="AL350" s="799"/>
      <c r="AM350" s="799"/>
      <c r="AN350" s="799"/>
      <c r="AO350" s="799"/>
      <c r="AP350" s="799"/>
      <c r="AQ350" s="799"/>
      <c r="AR350" s="799"/>
      <c r="AS350" s="799"/>
      <c r="AT350" s="799"/>
      <c r="AU350" s="799"/>
      <c r="AV350" s="799"/>
      <c r="AW350" s="799"/>
      <c r="AX350" s="799"/>
      <c r="AY350" s="799"/>
      <c r="AZ350" s="799"/>
      <c r="BA350" s="799"/>
      <c r="BB350" s="799"/>
      <c r="BC350" s="799"/>
      <c r="BD350" s="799"/>
      <c r="BE350" s="799"/>
      <c r="BF350" s="799"/>
      <c r="BG350" s="799"/>
    </row>
    <row r="351">
      <c r="H351" s="799"/>
      <c r="I351" s="799"/>
      <c r="J351" s="799"/>
      <c r="K351" s="799"/>
      <c r="L351" s="799"/>
      <c r="M351" s="799"/>
      <c r="N351" s="799"/>
      <c r="O351" s="799"/>
      <c r="P351" s="799"/>
      <c r="Q351" s="799"/>
      <c r="R351" s="799"/>
      <c r="S351" s="799"/>
      <c r="T351" s="799"/>
      <c r="U351" s="799"/>
      <c r="V351" s="799"/>
      <c r="W351" s="799"/>
      <c r="X351" s="799"/>
      <c r="Y351" s="799"/>
      <c r="Z351" s="799"/>
      <c r="AA351" s="799"/>
      <c r="AB351" s="799"/>
      <c r="AC351" s="799"/>
      <c r="AD351" s="799"/>
      <c r="AE351" s="799"/>
      <c r="AF351" s="799"/>
      <c r="AG351" s="799"/>
      <c r="AH351" s="799"/>
      <c r="AI351" s="799"/>
      <c r="AJ351" s="799"/>
      <c r="AK351" s="799"/>
      <c r="AL351" s="799"/>
      <c r="AM351" s="799"/>
      <c r="AN351" s="799"/>
      <c r="AO351" s="799"/>
      <c r="AP351" s="799"/>
      <c r="AQ351" s="799"/>
      <c r="AR351" s="799"/>
      <c r="AS351" s="799"/>
      <c r="AT351" s="799"/>
      <c r="AU351" s="799"/>
      <c r="AV351" s="799"/>
      <c r="AW351" s="799"/>
      <c r="AX351" s="799"/>
      <c r="AY351" s="799"/>
      <c r="AZ351" s="799"/>
      <c r="BA351" s="799"/>
      <c r="BB351" s="799"/>
      <c r="BC351" s="799"/>
      <c r="BD351" s="799"/>
      <c r="BE351" s="799"/>
      <c r="BF351" s="799"/>
      <c r="BG351" s="799"/>
    </row>
    <row r="352">
      <c r="H352" s="799"/>
      <c r="I352" s="799"/>
      <c r="J352" s="799"/>
      <c r="K352" s="799"/>
      <c r="L352" s="799"/>
      <c r="M352" s="799"/>
      <c r="N352" s="799"/>
      <c r="O352" s="799"/>
      <c r="P352" s="799"/>
      <c r="Q352" s="799"/>
      <c r="R352" s="799"/>
      <c r="S352" s="799"/>
      <c r="T352" s="799"/>
      <c r="U352" s="799"/>
      <c r="V352" s="799"/>
      <c r="W352" s="799"/>
      <c r="X352" s="799"/>
      <c r="Y352" s="799"/>
      <c r="Z352" s="799"/>
      <c r="AA352" s="799"/>
      <c r="AB352" s="799"/>
      <c r="AC352" s="799"/>
      <c r="AD352" s="799"/>
      <c r="AE352" s="799"/>
      <c r="AF352" s="799"/>
      <c r="AG352" s="799"/>
      <c r="AH352" s="799"/>
      <c r="AI352" s="799"/>
      <c r="AJ352" s="799"/>
      <c r="AK352" s="799"/>
      <c r="AL352" s="799"/>
      <c r="AM352" s="799"/>
      <c r="AN352" s="799"/>
      <c r="AO352" s="799"/>
      <c r="AP352" s="799"/>
      <c r="AQ352" s="799"/>
      <c r="AR352" s="799"/>
      <c r="AS352" s="799"/>
      <c r="AT352" s="799"/>
      <c r="AU352" s="799"/>
      <c r="AV352" s="799"/>
      <c r="AW352" s="799"/>
      <c r="AX352" s="799"/>
      <c r="AY352" s="799"/>
      <c r="AZ352" s="799"/>
      <c r="BA352" s="799"/>
      <c r="BB352" s="799"/>
      <c r="BC352" s="799"/>
      <c r="BD352" s="799"/>
      <c r="BE352" s="799"/>
      <c r="BF352" s="799"/>
      <c r="BG352" s="799"/>
    </row>
    <row r="353">
      <c r="H353" s="799"/>
      <c r="I353" s="799"/>
      <c r="J353" s="799"/>
      <c r="K353" s="799"/>
      <c r="L353" s="799"/>
      <c r="M353" s="799"/>
      <c r="N353" s="799"/>
      <c r="O353" s="799"/>
      <c r="P353" s="799"/>
      <c r="Q353" s="799"/>
      <c r="R353" s="799"/>
      <c r="S353" s="799"/>
      <c r="T353" s="799"/>
      <c r="U353" s="799"/>
      <c r="V353" s="799"/>
      <c r="W353" s="799"/>
      <c r="X353" s="799"/>
      <c r="Y353" s="799"/>
      <c r="Z353" s="799"/>
      <c r="AA353" s="799"/>
      <c r="AB353" s="799"/>
      <c r="AC353" s="799"/>
      <c r="AD353" s="799"/>
      <c r="AE353" s="799"/>
      <c r="AF353" s="799"/>
      <c r="AG353" s="799"/>
      <c r="AH353" s="799"/>
      <c r="AI353" s="799"/>
      <c r="AJ353" s="799"/>
      <c r="AK353" s="799"/>
      <c r="AL353" s="799"/>
      <c r="AM353" s="799"/>
      <c r="AN353" s="799"/>
      <c r="AO353" s="799"/>
      <c r="AP353" s="799"/>
      <c r="AQ353" s="799"/>
      <c r="AR353" s="799"/>
      <c r="AS353" s="799"/>
      <c r="AT353" s="799"/>
      <c r="AU353" s="799"/>
      <c r="AV353" s="799"/>
      <c r="AW353" s="799"/>
      <c r="AX353" s="799"/>
      <c r="AY353" s="799"/>
      <c r="AZ353" s="799"/>
      <c r="BA353" s="799"/>
      <c r="BB353" s="799"/>
      <c r="BC353" s="799"/>
      <c r="BD353" s="799"/>
      <c r="BE353" s="799"/>
      <c r="BF353" s="799"/>
      <c r="BG353" s="799"/>
    </row>
    <row r="354">
      <c r="H354" s="799"/>
      <c r="I354" s="799"/>
      <c r="J354" s="799"/>
      <c r="K354" s="799"/>
      <c r="L354" s="799"/>
      <c r="M354" s="799"/>
      <c r="N354" s="799"/>
      <c r="O354" s="799"/>
      <c r="P354" s="799"/>
      <c r="Q354" s="799"/>
      <c r="R354" s="799"/>
      <c r="S354" s="799"/>
      <c r="T354" s="799"/>
      <c r="U354" s="799"/>
      <c r="V354" s="799"/>
      <c r="W354" s="799"/>
      <c r="X354" s="799"/>
      <c r="Y354" s="799"/>
      <c r="Z354" s="799"/>
      <c r="AA354" s="799"/>
      <c r="AB354" s="799"/>
      <c r="AC354" s="799"/>
      <c r="AD354" s="799"/>
      <c r="AE354" s="799"/>
      <c r="AF354" s="799"/>
      <c r="AG354" s="799"/>
      <c r="AH354" s="799"/>
      <c r="AI354" s="799"/>
      <c r="AJ354" s="799"/>
      <c r="AK354" s="799"/>
      <c r="AL354" s="799"/>
      <c r="AM354" s="799"/>
      <c r="AN354" s="799"/>
      <c r="AO354" s="799"/>
      <c r="AP354" s="799"/>
      <c r="AQ354" s="799"/>
      <c r="AR354" s="799"/>
      <c r="AS354" s="799"/>
      <c r="AT354" s="799"/>
      <c r="AU354" s="799"/>
      <c r="AV354" s="799"/>
      <c r="AW354" s="799"/>
      <c r="AX354" s="799"/>
      <c r="AY354" s="799"/>
      <c r="AZ354" s="799"/>
      <c r="BA354" s="799"/>
      <c r="BB354" s="799"/>
      <c r="BC354" s="799"/>
      <c r="BD354" s="799"/>
      <c r="BE354" s="799"/>
      <c r="BF354" s="799"/>
      <c r="BG354" s="799"/>
    </row>
    <row r="355">
      <c r="H355" s="799"/>
      <c r="I355" s="799"/>
      <c r="J355" s="799"/>
      <c r="K355" s="799"/>
      <c r="L355" s="799"/>
      <c r="M355" s="799"/>
      <c r="N355" s="799"/>
      <c r="O355" s="799"/>
      <c r="P355" s="799"/>
      <c r="Q355" s="799"/>
      <c r="R355" s="799"/>
      <c r="S355" s="799"/>
      <c r="T355" s="799"/>
      <c r="U355" s="799"/>
      <c r="V355" s="799"/>
      <c r="W355" s="799"/>
      <c r="X355" s="799"/>
      <c r="Y355" s="799"/>
      <c r="Z355" s="799"/>
      <c r="AA355" s="799"/>
      <c r="AB355" s="799"/>
      <c r="AC355" s="799"/>
      <c r="AD355" s="799"/>
      <c r="AE355" s="799"/>
      <c r="AF355" s="799"/>
      <c r="AG355" s="799"/>
      <c r="AH355" s="799"/>
      <c r="AI355" s="799"/>
      <c r="AJ355" s="799"/>
      <c r="AK355" s="799"/>
      <c r="AL355" s="799"/>
      <c r="AM355" s="799"/>
      <c r="AN355" s="799"/>
      <c r="AO355" s="799"/>
      <c r="AP355" s="799"/>
      <c r="AQ355" s="799"/>
      <c r="AR355" s="799"/>
      <c r="AS355" s="799"/>
      <c r="AT355" s="799"/>
      <c r="AU355" s="799"/>
      <c r="AV355" s="799"/>
      <c r="AW355" s="799"/>
      <c r="AX355" s="799"/>
      <c r="AY355" s="799"/>
      <c r="AZ355" s="799"/>
      <c r="BA355" s="799"/>
      <c r="BB355" s="799"/>
      <c r="BC355" s="799"/>
      <c r="BD355" s="799"/>
      <c r="BE355" s="799"/>
      <c r="BF355" s="799"/>
      <c r="BG355" s="799"/>
    </row>
    <row r="356">
      <c r="H356" s="799"/>
      <c r="I356" s="799"/>
      <c r="J356" s="799"/>
      <c r="K356" s="799"/>
      <c r="L356" s="799"/>
      <c r="M356" s="799"/>
      <c r="N356" s="799"/>
      <c r="O356" s="799"/>
      <c r="P356" s="799"/>
      <c r="Q356" s="799"/>
      <c r="R356" s="799"/>
      <c r="S356" s="799"/>
      <c r="T356" s="799"/>
      <c r="U356" s="799"/>
      <c r="V356" s="799"/>
      <c r="W356" s="799"/>
      <c r="X356" s="799"/>
      <c r="Y356" s="799"/>
      <c r="Z356" s="799"/>
      <c r="AA356" s="799"/>
      <c r="AB356" s="799"/>
      <c r="AC356" s="799"/>
      <c r="AD356" s="799"/>
      <c r="AE356" s="799"/>
      <c r="AF356" s="799"/>
      <c r="AG356" s="799"/>
      <c r="AH356" s="799"/>
      <c r="AI356" s="799"/>
      <c r="AJ356" s="799"/>
      <c r="AK356" s="799"/>
      <c r="AL356" s="799"/>
      <c r="AM356" s="799"/>
      <c r="AN356" s="799"/>
      <c r="AO356" s="799"/>
      <c r="AP356" s="799"/>
      <c r="AQ356" s="799"/>
      <c r="AR356" s="799"/>
      <c r="AS356" s="799"/>
      <c r="AT356" s="799"/>
      <c r="AU356" s="799"/>
      <c r="AV356" s="799"/>
      <c r="AW356" s="799"/>
      <c r="AX356" s="799"/>
      <c r="AY356" s="799"/>
      <c r="AZ356" s="799"/>
      <c r="BA356" s="799"/>
      <c r="BB356" s="799"/>
      <c r="BC356" s="799"/>
      <c r="BD356" s="799"/>
      <c r="BE356" s="799"/>
      <c r="BF356" s="799"/>
      <c r="BG356" s="799"/>
    </row>
    <row r="357">
      <c r="H357" s="799"/>
      <c r="I357" s="799"/>
      <c r="J357" s="799"/>
      <c r="K357" s="799"/>
      <c r="L357" s="799"/>
      <c r="M357" s="799"/>
      <c r="N357" s="799"/>
      <c r="O357" s="799"/>
      <c r="P357" s="799"/>
      <c r="Q357" s="799"/>
      <c r="R357" s="799"/>
      <c r="S357" s="799"/>
      <c r="T357" s="799"/>
      <c r="U357" s="799"/>
      <c r="V357" s="799"/>
      <c r="W357" s="799"/>
      <c r="X357" s="799"/>
      <c r="Y357" s="799"/>
      <c r="Z357" s="799"/>
      <c r="AA357" s="799"/>
      <c r="AB357" s="799"/>
      <c r="AC357" s="799"/>
      <c r="AD357" s="799"/>
      <c r="AE357" s="799"/>
      <c r="AF357" s="799"/>
      <c r="AG357" s="799"/>
      <c r="AH357" s="799"/>
      <c r="AI357" s="799"/>
      <c r="AJ357" s="799"/>
      <c r="AK357" s="799"/>
      <c r="AL357" s="799"/>
      <c r="AM357" s="799"/>
      <c r="AN357" s="799"/>
      <c r="AO357" s="799"/>
      <c r="AP357" s="799"/>
      <c r="AQ357" s="799"/>
      <c r="AR357" s="799"/>
      <c r="AS357" s="799"/>
      <c r="AT357" s="799"/>
      <c r="AU357" s="799"/>
      <c r="AV357" s="799"/>
      <c r="AW357" s="799"/>
      <c r="AX357" s="799"/>
      <c r="AY357" s="799"/>
      <c r="AZ357" s="799"/>
      <c r="BA357" s="799"/>
      <c r="BB357" s="799"/>
      <c r="BC357" s="799"/>
      <c r="BD357" s="799"/>
      <c r="BE357" s="799"/>
      <c r="BF357" s="799"/>
      <c r="BG357" s="799"/>
    </row>
    <row r="358">
      <c r="H358" s="799"/>
      <c r="I358" s="799"/>
      <c r="J358" s="799"/>
      <c r="K358" s="799"/>
      <c r="L358" s="799"/>
      <c r="M358" s="799"/>
      <c r="N358" s="799"/>
      <c r="O358" s="799"/>
      <c r="P358" s="799"/>
      <c r="Q358" s="799"/>
      <c r="R358" s="799"/>
      <c r="S358" s="799"/>
      <c r="T358" s="799"/>
      <c r="U358" s="799"/>
      <c r="V358" s="799"/>
      <c r="W358" s="799"/>
      <c r="X358" s="799"/>
      <c r="Y358" s="799"/>
      <c r="Z358" s="799"/>
      <c r="AA358" s="799"/>
      <c r="AB358" s="799"/>
      <c r="AC358" s="799"/>
      <c r="AD358" s="799"/>
      <c r="AE358" s="799"/>
      <c r="AF358" s="799"/>
      <c r="AG358" s="799"/>
      <c r="AH358" s="799"/>
      <c r="AI358" s="799"/>
      <c r="AJ358" s="799"/>
      <c r="AK358" s="799"/>
      <c r="AL358" s="799"/>
      <c r="AM358" s="799"/>
      <c r="AN358" s="799"/>
      <c r="AO358" s="799"/>
      <c r="AP358" s="799"/>
      <c r="AQ358" s="799"/>
      <c r="AR358" s="799"/>
      <c r="AS358" s="799"/>
      <c r="AT358" s="799"/>
      <c r="AU358" s="799"/>
      <c r="AV358" s="799"/>
      <c r="AW358" s="799"/>
      <c r="AX358" s="799"/>
      <c r="AY358" s="799"/>
      <c r="AZ358" s="799"/>
      <c r="BA358" s="799"/>
      <c r="BB358" s="799"/>
      <c r="BC358" s="799"/>
      <c r="BD358" s="799"/>
      <c r="BE358" s="799"/>
      <c r="BF358" s="799"/>
      <c r="BG358" s="799"/>
    </row>
    <row r="359">
      <c r="H359" s="799"/>
      <c r="I359" s="799"/>
      <c r="J359" s="799"/>
      <c r="K359" s="799"/>
      <c r="L359" s="799"/>
      <c r="M359" s="799"/>
      <c r="N359" s="799"/>
      <c r="O359" s="799"/>
      <c r="P359" s="799"/>
      <c r="Q359" s="799"/>
      <c r="R359" s="799"/>
      <c r="S359" s="799"/>
      <c r="T359" s="799"/>
      <c r="U359" s="799"/>
      <c r="V359" s="799"/>
      <c r="W359" s="799"/>
      <c r="X359" s="799"/>
      <c r="Y359" s="799"/>
      <c r="Z359" s="799"/>
      <c r="AA359" s="799"/>
      <c r="AB359" s="799"/>
      <c r="AC359" s="799"/>
      <c r="AD359" s="799"/>
      <c r="AE359" s="799"/>
      <c r="AF359" s="799"/>
      <c r="AG359" s="799"/>
      <c r="AH359" s="799"/>
      <c r="AI359" s="799"/>
      <c r="AJ359" s="799"/>
      <c r="AK359" s="799"/>
      <c r="AL359" s="799"/>
      <c r="AM359" s="799"/>
      <c r="AN359" s="799"/>
      <c r="AO359" s="799"/>
      <c r="AP359" s="799"/>
      <c r="AQ359" s="799"/>
      <c r="AR359" s="799"/>
      <c r="AS359" s="799"/>
      <c r="AT359" s="799"/>
      <c r="AU359" s="799"/>
      <c r="AV359" s="799"/>
      <c r="AW359" s="799"/>
      <c r="AX359" s="799"/>
      <c r="AY359" s="799"/>
      <c r="AZ359" s="799"/>
      <c r="BA359" s="799"/>
      <c r="BB359" s="799"/>
      <c r="BC359" s="799"/>
      <c r="BD359" s="799"/>
      <c r="BE359" s="799"/>
      <c r="BF359" s="799"/>
      <c r="BG359" s="799"/>
    </row>
    <row r="360">
      <c r="H360" s="799"/>
      <c r="I360" s="799"/>
      <c r="J360" s="799"/>
      <c r="K360" s="799"/>
      <c r="L360" s="799"/>
      <c r="M360" s="799"/>
      <c r="N360" s="799"/>
      <c r="O360" s="799"/>
      <c r="P360" s="799"/>
      <c r="Q360" s="799"/>
      <c r="R360" s="799"/>
      <c r="S360" s="799"/>
      <c r="T360" s="799"/>
      <c r="U360" s="799"/>
      <c r="V360" s="799"/>
      <c r="W360" s="799"/>
      <c r="X360" s="799"/>
      <c r="Y360" s="799"/>
      <c r="Z360" s="799"/>
      <c r="AA360" s="799"/>
      <c r="AB360" s="799"/>
      <c r="AC360" s="799"/>
      <c r="AD360" s="799"/>
      <c r="AE360" s="799"/>
      <c r="AF360" s="799"/>
      <c r="AG360" s="799"/>
      <c r="AH360" s="799"/>
      <c r="AI360" s="799"/>
      <c r="AJ360" s="799"/>
      <c r="AK360" s="799"/>
      <c r="AL360" s="799"/>
      <c r="AM360" s="799"/>
      <c r="AN360" s="799"/>
      <c r="AO360" s="799"/>
      <c r="AP360" s="799"/>
      <c r="AQ360" s="799"/>
      <c r="AR360" s="799"/>
      <c r="AS360" s="799"/>
      <c r="AT360" s="799"/>
      <c r="AU360" s="799"/>
      <c r="AV360" s="799"/>
      <c r="AW360" s="799"/>
      <c r="AX360" s="799"/>
      <c r="AY360" s="799"/>
      <c r="AZ360" s="799"/>
      <c r="BA360" s="799"/>
      <c r="BB360" s="799"/>
      <c r="BC360" s="799"/>
      <c r="BD360" s="799"/>
      <c r="BE360" s="799"/>
      <c r="BF360" s="799"/>
      <c r="BG360" s="799"/>
    </row>
    <row r="361">
      <c r="H361" s="799"/>
      <c r="I361" s="799"/>
      <c r="J361" s="799"/>
      <c r="K361" s="799"/>
      <c r="L361" s="799"/>
      <c r="M361" s="799"/>
      <c r="N361" s="799"/>
      <c r="O361" s="799"/>
      <c r="P361" s="799"/>
      <c r="Q361" s="799"/>
      <c r="R361" s="799"/>
      <c r="S361" s="799"/>
      <c r="T361" s="799"/>
      <c r="U361" s="799"/>
      <c r="V361" s="799"/>
      <c r="W361" s="799"/>
      <c r="X361" s="799"/>
      <c r="Y361" s="799"/>
      <c r="Z361" s="799"/>
      <c r="AA361" s="799"/>
      <c r="AB361" s="799"/>
      <c r="AC361" s="799"/>
      <c r="AD361" s="799"/>
      <c r="AE361" s="799"/>
      <c r="AF361" s="799"/>
      <c r="AG361" s="799"/>
      <c r="AH361" s="799"/>
      <c r="AI361" s="799"/>
      <c r="AJ361" s="799"/>
      <c r="AK361" s="799"/>
      <c r="AL361" s="799"/>
      <c r="AM361" s="799"/>
      <c r="AN361" s="799"/>
      <c r="AO361" s="799"/>
      <c r="AP361" s="799"/>
      <c r="AQ361" s="799"/>
      <c r="AR361" s="799"/>
      <c r="AS361" s="799"/>
      <c r="AT361" s="799"/>
      <c r="AU361" s="799"/>
      <c r="AV361" s="799"/>
      <c r="AW361" s="799"/>
      <c r="AX361" s="799"/>
      <c r="AY361" s="799"/>
      <c r="AZ361" s="799"/>
      <c r="BA361" s="799"/>
      <c r="BB361" s="799"/>
      <c r="BC361" s="799"/>
      <c r="BD361" s="799"/>
      <c r="BE361" s="799"/>
      <c r="BF361" s="799"/>
      <c r="BG361" s="799"/>
    </row>
    <row r="362">
      <c r="H362" s="799"/>
      <c r="I362" s="799"/>
      <c r="J362" s="799"/>
      <c r="K362" s="799"/>
      <c r="L362" s="799"/>
      <c r="M362" s="799"/>
      <c r="N362" s="799"/>
      <c r="O362" s="799"/>
      <c r="P362" s="799"/>
      <c r="Q362" s="799"/>
      <c r="R362" s="799"/>
      <c r="S362" s="799"/>
      <c r="T362" s="799"/>
      <c r="U362" s="799"/>
      <c r="V362" s="799"/>
      <c r="W362" s="799"/>
      <c r="X362" s="799"/>
      <c r="Y362" s="799"/>
      <c r="Z362" s="799"/>
      <c r="AA362" s="799"/>
      <c r="AB362" s="799"/>
      <c r="AC362" s="799"/>
      <c r="AD362" s="799"/>
      <c r="AE362" s="799"/>
      <c r="AF362" s="799"/>
      <c r="AG362" s="799"/>
      <c r="AH362" s="799"/>
      <c r="AI362" s="799"/>
      <c r="AJ362" s="799"/>
      <c r="AK362" s="799"/>
      <c r="AL362" s="799"/>
      <c r="AM362" s="799"/>
      <c r="AN362" s="799"/>
      <c r="AO362" s="799"/>
      <c r="AP362" s="799"/>
      <c r="AQ362" s="799"/>
      <c r="AR362" s="799"/>
      <c r="AS362" s="799"/>
      <c r="AT362" s="799"/>
      <c r="AU362" s="799"/>
      <c r="AV362" s="799"/>
      <c r="AW362" s="799"/>
      <c r="AX362" s="799"/>
      <c r="AY362" s="799"/>
      <c r="AZ362" s="799"/>
      <c r="BA362" s="799"/>
      <c r="BB362" s="799"/>
      <c r="BC362" s="799"/>
      <c r="BD362" s="799"/>
      <c r="BE362" s="799"/>
      <c r="BF362" s="799"/>
      <c r="BG362" s="799"/>
    </row>
    <row r="363">
      <c r="H363" s="799"/>
      <c r="I363" s="799"/>
      <c r="J363" s="799"/>
      <c r="K363" s="799"/>
      <c r="L363" s="799"/>
      <c r="M363" s="799"/>
      <c r="N363" s="799"/>
      <c r="O363" s="799"/>
      <c r="P363" s="799"/>
      <c r="Q363" s="799"/>
      <c r="R363" s="799"/>
      <c r="S363" s="799"/>
      <c r="T363" s="799"/>
      <c r="U363" s="799"/>
      <c r="V363" s="799"/>
      <c r="W363" s="799"/>
      <c r="X363" s="799"/>
      <c r="Y363" s="799"/>
      <c r="Z363" s="799"/>
      <c r="AA363" s="799"/>
      <c r="AB363" s="799"/>
      <c r="AC363" s="799"/>
      <c r="AD363" s="799"/>
      <c r="AE363" s="799"/>
      <c r="AF363" s="799"/>
      <c r="AG363" s="799"/>
      <c r="AH363" s="799"/>
      <c r="AI363" s="799"/>
      <c r="AJ363" s="799"/>
      <c r="AK363" s="799"/>
      <c r="AL363" s="799"/>
      <c r="AM363" s="799"/>
      <c r="AN363" s="799"/>
      <c r="AO363" s="799"/>
      <c r="AP363" s="799"/>
      <c r="AQ363" s="799"/>
      <c r="AR363" s="799"/>
      <c r="AS363" s="799"/>
      <c r="AT363" s="799"/>
      <c r="AU363" s="799"/>
      <c r="AV363" s="799"/>
      <c r="AW363" s="799"/>
      <c r="AX363" s="799"/>
      <c r="AY363" s="799"/>
      <c r="AZ363" s="799"/>
      <c r="BA363" s="799"/>
      <c r="BB363" s="799"/>
      <c r="BC363" s="799"/>
      <c r="BD363" s="799"/>
      <c r="BE363" s="799"/>
      <c r="BF363" s="799"/>
      <c r="BG363" s="799"/>
    </row>
    <row r="364">
      <c r="H364" s="799"/>
      <c r="I364" s="799"/>
      <c r="J364" s="799"/>
      <c r="K364" s="799"/>
      <c r="L364" s="799"/>
      <c r="M364" s="799"/>
      <c r="N364" s="799"/>
      <c r="O364" s="799"/>
      <c r="P364" s="799"/>
      <c r="Q364" s="799"/>
      <c r="R364" s="799"/>
      <c r="S364" s="799"/>
      <c r="T364" s="799"/>
      <c r="U364" s="799"/>
      <c r="V364" s="799"/>
      <c r="W364" s="799"/>
      <c r="X364" s="799"/>
      <c r="Y364" s="799"/>
      <c r="Z364" s="799"/>
      <c r="AA364" s="799"/>
      <c r="AB364" s="799"/>
      <c r="AC364" s="799"/>
      <c r="AD364" s="799"/>
      <c r="AE364" s="799"/>
      <c r="AF364" s="799"/>
      <c r="AG364" s="799"/>
      <c r="AH364" s="799"/>
      <c r="AI364" s="799"/>
      <c r="AJ364" s="799"/>
      <c r="AK364" s="799"/>
      <c r="AL364" s="799"/>
      <c r="AM364" s="799"/>
      <c r="AN364" s="799"/>
      <c r="AO364" s="799"/>
      <c r="AP364" s="799"/>
      <c r="AQ364" s="799"/>
      <c r="AR364" s="799"/>
      <c r="AS364" s="799"/>
      <c r="AT364" s="799"/>
      <c r="AU364" s="799"/>
      <c r="AV364" s="799"/>
      <c r="AW364" s="799"/>
      <c r="AX364" s="799"/>
      <c r="AY364" s="799"/>
      <c r="AZ364" s="799"/>
      <c r="BA364" s="799"/>
      <c r="BB364" s="799"/>
      <c r="BC364" s="799"/>
      <c r="BD364" s="799"/>
      <c r="BE364" s="799"/>
      <c r="BF364" s="799"/>
      <c r="BG364" s="799"/>
    </row>
    <row r="365">
      <c r="H365" s="799"/>
      <c r="I365" s="799"/>
      <c r="J365" s="799"/>
      <c r="K365" s="799"/>
      <c r="L365" s="799"/>
      <c r="M365" s="799"/>
      <c r="N365" s="799"/>
      <c r="O365" s="799"/>
      <c r="P365" s="799"/>
      <c r="Q365" s="799"/>
      <c r="R365" s="799"/>
      <c r="S365" s="799"/>
      <c r="T365" s="799"/>
      <c r="U365" s="799"/>
      <c r="V365" s="799"/>
      <c r="W365" s="799"/>
      <c r="X365" s="799"/>
      <c r="Y365" s="799"/>
      <c r="Z365" s="799"/>
      <c r="AA365" s="799"/>
      <c r="AB365" s="799"/>
      <c r="AC365" s="799"/>
      <c r="AD365" s="799"/>
      <c r="AE365" s="799"/>
      <c r="AF365" s="799"/>
      <c r="AG365" s="799"/>
      <c r="AH365" s="799"/>
      <c r="AI365" s="799"/>
      <c r="AJ365" s="799"/>
      <c r="AK365" s="799"/>
      <c r="AL365" s="799"/>
      <c r="AM365" s="799"/>
      <c r="AN365" s="799"/>
      <c r="AO365" s="799"/>
      <c r="AP365" s="799"/>
      <c r="AQ365" s="799"/>
      <c r="AR365" s="799"/>
      <c r="AS365" s="799"/>
      <c r="AT365" s="799"/>
      <c r="AU365" s="799"/>
      <c r="AV365" s="799"/>
      <c r="AW365" s="799"/>
      <c r="AX365" s="799"/>
      <c r="AY365" s="799"/>
      <c r="AZ365" s="799"/>
      <c r="BA365" s="799"/>
      <c r="BB365" s="799"/>
      <c r="BC365" s="799"/>
      <c r="BD365" s="799"/>
      <c r="BE365" s="799"/>
      <c r="BF365" s="799"/>
      <c r="BG365" s="799"/>
    </row>
    <row r="366">
      <c r="H366" s="799"/>
      <c r="I366" s="799"/>
      <c r="J366" s="799"/>
      <c r="K366" s="799"/>
      <c r="L366" s="799"/>
      <c r="M366" s="799"/>
      <c r="N366" s="799"/>
      <c r="O366" s="799"/>
      <c r="P366" s="799"/>
      <c r="Q366" s="799"/>
      <c r="R366" s="799"/>
      <c r="S366" s="799"/>
      <c r="T366" s="799"/>
      <c r="U366" s="799"/>
      <c r="V366" s="799"/>
      <c r="W366" s="799"/>
      <c r="X366" s="799"/>
      <c r="Y366" s="799"/>
      <c r="Z366" s="799"/>
      <c r="AA366" s="799"/>
      <c r="AB366" s="799"/>
      <c r="AC366" s="799"/>
      <c r="AD366" s="799"/>
      <c r="AE366" s="799"/>
      <c r="AF366" s="799"/>
      <c r="AG366" s="799"/>
      <c r="AH366" s="799"/>
      <c r="AI366" s="799"/>
      <c r="AJ366" s="799"/>
      <c r="AK366" s="799"/>
      <c r="AL366" s="799"/>
      <c r="AM366" s="799"/>
      <c r="AN366" s="799"/>
      <c r="AO366" s="799"/>
      <c r="AP366" s="799"/>
      <c r="AQ366" s="799"/>
      <c r="AR366" s="799"/>
      <c r="AS366" s="799"/>
      <c r="AT366" s="799"/>
      <c r="AU366" s="799"/>
      <c r="AV366" s="799"/>
      <c r="AW366" s="799"/>
      <c r="AX366" s="799"/>
      <c r="AY366" s="799"/>
      <c r="AZ366" s="799"/>
      <c r="BA366" s="799"/>
      <c r="BB366" s="799"/>
      <c r="BC366" s="799"/>
      <c r="BD366" s="799"/>
      <c r="BE366" s="799"/>
      <c r="BF366" s="799"/>
      <c r="BG366" s="799"/>
    </row>
    <row r="367">
      <c r="H367" s="799"/>
      <c r="I367" s="799"/>
      <c r="J367" s="799"/>
      <c r="K367" s="799"/>
      <c r="L367" s="799"/>
      <c r="M367" s="799"/>
      <c r="N367" s="799"/>
      <c r="O367" s="799"/>
      <c r="P367" s="799"/>
      <c r="Q367" s="799"/>
      <c r="R367" s="799"/>
      <c r="S367" s="799"/>
      <c r="T367" s="799"/>
      <c r="U367" s="799"/>
      <c r="V367" s="799"/>
      <c r="W367" s="799"/>
      <c r="X367" s="799"/>
      <c r="Y367" s="799"/>
      <c r="Z367" s="799"/>
      <c r="AA367" s="799"/>
      <c r="AB367" s="799"/>
      <c r="AC367" s="799"/>
      <c r="AD367" s="799"/>
      <c r="AE367" s="799"/>
      <c r="AF367" s="799"/>
      <c r="AG367" s="799"/>
      <c r="AH367" s="799"/>
      <c r="AI367" s="799"/>
      <c r="AJ367" s="799"/>
      <c r="AK367" s="799"/>
      <c r="AL367" s="799"/>
      <c r="AM367" s="799"/>
      <c r="AN367" s="799"/>
      <c r="AO367" s="799"/>
      <c r="AP367" s="799"/>
      <c r="AQ367" s="799"/>
      <c r="AR367" s="799"/>
      <c r="AS367" s="799"/>
      <c r="AT367" s="799"/>
      <c r="AU367" s="799"/>
      <c r="AV367" s="799"/>
      <c r="AW367" s="799"/>
      <c r="AX367" s="799"/>
      <c r="AY367" s="799"/>
      <c r="AZ367" s="799"/>
      <c r="BA367" s="799"/>
      <c r="BB367" s="799"/>
      <c r="BC367" s="799"/>
      <c r="BD367" s="799"/>
      <c r="BE367" s="799"/>
      <c r="BF367" s="799"/>
      <c r="BG367" s="799"/>
    </row>
    <row r="368">
      <c r="H368" s="799"/>
      <c r="I368" s="799"/>
      <c r="J368" s="799"/>
      <c r="K368" s="799"/>
      <c r="L368" s="799"/>
      <c r="M368" s="799"/>
      <c r="N368" s="799"/>
      <c r="O368" s="799"/>
      <c r="P368" s="799"/>
      <c r="Q368" s="799"/>
      <c r="R368" s="799"/>
      <c r="S368" s="799"/>
      <c r="T368" s="799"/>
      <c r="U368" s="799"/>
      <c r="V368" s="799"/>
      <c r="W368" s="799"/>
      <c r="X368" s="799"/>
      <c r="Y368" s="799"/>
      <c r="Z368" s="799"/>
      <c r="AA368" s="799"/>
      <c r="AB368" s="799"/>
      <c r="AC368" s="799"/>
      <c r="AD368" s="799"/>
      <c r="AE368" s="799"/>
      <c r="AF368" s="799"/>
      <c r="AG368" s="799"/>
      <c r="AH368" s="799"/>
      <c r="AI368" s="799"/>
      <c r="AJ368" s="799"/>
      <c r="AK368" s="799"/>
      <c r="AL368" s="799"/>
      <c r="AM368" s="799"/>
      <c r="AN368" s="799"/>
      <c r="AO368" s="799"/>
      <c r="AP368" s="799"/>
      <c r="AQ368" s="799"/>
      <c r="AR368" s="799"/>
      <c r="AS368" s="799"/>
      <c r="AT368" s="799"/>
      <c r="AU368" s="799"/>
      <c r="AV368" s="799"/>
      <c r="AW368" s="799"/>
      <c r="AX368" s="799"/>
      <c r="AY368" s="799"/>
      <c r="AZ368" s="799"/>
      <c r="BA368" s="799"/>
      <c r="BB368" s="799"/>
      <c r="BC368" s="799"/>
      <c r="BD368" s="799"/>
      <c r="BE368" s="799"/>
      <c r="BF368" s="799"/>
      <c r="BG368" s="799"/>
    </row>
    <row r="369">
      <c r="H369" s="799"/>
      <c r="I369" s="799"/>
      <c r="J369" s="799"/>
      <c r="K369" s="799"/>
      <c r="L369" s="799"/>
      <c r="M369" s="799"/>
      <c r="N369" s="799"/>
      <c r="O369" s="799"/>
      <c r="P369" s="799"/>
      <c r="Q369" s="799"/>
      <c r="R369" s="799"/>
      <c r="S369" s="799"/>
      <c r="T369" s="799"/>
      <c r="U369" s="799"/>
      <c r="V369" s="799"/>
      <c r="W369" s="799"/>
      <c r="X369" s="799"/>
      <c r="Y369" s="799"/>
      <c r="Z369" s="799"/>
      <c r="AA369" s="799"/>
      <c r="AB369" s="799"/>
      <c r="AC369" s="799"/>
      <c r="AD369" s="799"/>
      <c r="AE369" s="799"/>
      <c r="AF369" s="799"/>
      <c r="AG369" s="799"/>
      <c r="AH369" s="799"/>
      <c r="AI369" s="799"/>
      <c r="AJ369" s="799"/>
      <c r="AK369" s="799"/>
      <c r="AL369" s="799"/>
      <c r="AM369" s="799"/>
      <c r="AN369" s="799"/>
      <c r="AO369" s="799"/>
      <c r="AP369" s="799"/>
      <c r="AQ369" s="799"/>
      <c r="AR369" s="799"/>
      <c r="AS369" s="799"/>
      <c r="AT369" s="799"/>
      <c r="AU369" s="799"/>
      <c r="AV369" s="799"/>
      <c r="AW369" s="799"/>
      <c r="AX369" s="799"/>
      <c r="AY369" s="799"/>
      <c r="AZ369" s="799"/>
      <c r="BA369" s="799"/>
      <c r="BB369" s="799"/>
      <c r="BC369" s="799"/>
      <c r="BD369" s="799"/>
      <c r="BE369" s="799"/>
      <c r="BF369" s="799"/>
      <c r="BG369" s="799"/>
    </row>
    <row r="370">
      <c r="H370" s="799"/>
      <c r="I370" s="799"/>
      <c r="J370" s="799"/>
      <c r="K370" s="799"/>
      <c r="L370" s="799"/>
      <c r="M370" s="799"/>
      <c r="N370" s="799"/>
      <c r="O370" s="799"/>
      <c r="P370" s="799"/>
      <c r="Q370" s="799"/>
      <c r="R370" s="799"/>
      <c r="S370" s="799"/>
      <c r="T370" s="799"/>
      <c r="U370" s="799"/>
      <c r="V370" s="799"/>
      <c r="W370" s="799"/>
      <c r="X370" s="799"/>
      <c r="Y370" s="799"/>
      <c r="Z370" s="799"/>
      <c r="AA370" s="799"/>
      <c r="AB370" s="799"/>
      <c r="AC370" s="799"/>
      <c r="AD370" s="799"/>
      <c r="AE370" s="799"/>
      <c r="AF370" s="799"/>
      <c r="AG370" s="799"/>
      <c r="AH370" s="799"/>
      <c r="AI370" s="799"/>
      <c r="AJ370" s="799"/>
      <c r="AK370" s="799"/>
      <c r="AL370" s="799"/>
      <c r="AM370" s="799"/>
      <c r="AN370" s="799"/>
      <c r="AO370" s="799"/>
      <c r="AP370" s="799"/>
      <c r="AQ370" s="799"/>
      <c r="AR370" s="799"/>
      <c r="AS370" s="799"/>
      <c r="AT370" s="799"/>
      <c r="AU370" s="799"/>
      <c r="AV370" s="799"/>
      <c r="AW370" s="799"/>
      <c r="AX370" s="799"/>
      <c r="AY370" s="799"/>
      <c r="AZ370" s="799"/>
      <c r="BA370" s="799"/>
      <c r="BB370" s="799"/>
      <c r="BC370" s="799"/>
      <c r="BD370" s="799"/>
      <c r="BE370" s="799"/>
      <c r="BF370" s="799"/>
      <c r="BG370" s="799"/>
    </row>
    <row r="371">
      <c r="H371" s="799"/>
      <c r="I371" s="799"/>
      <c r="J371" s="799"/>
      <c r="K371" s="799"/>
      <c r="L371" s="799"/>
      <c r="M371" s="799"/>
      <c r="N371" s="799"/>
      <c r="O371" s="799"/>
      <c r="P371" s="799"/>
      <c r="Q371" s="799"/>
      <c r="R371" s="799"/>
      <c r="S371" s="799"/>
      <c r="T371" s="799"/>
      <c r="U371" s="799"/>
      <c r="V371" s="799"/>
      <c r="W371" s="799"/>
      <c r="X371" s="799"/>
      <c r="Y371" s="799"/>
      <c r="Z371" s="799"/>
      <c r="AA371" s="799"/>
      <c r="AB371" s="799"/>
      <c r="AC371" s="799"/>
      <c r="AD371" s="799"/>
      <c r="AE371" s="799"/>
      <c r="AF371" s="799"/>
      <c r="AG371" s="799"/>
      <c r="AH371" s="799"/>
      <c r="AI371" s="799"/>
      <c r="AJ371" s="799"/>
      <c r="AK371" s="799"/>
      <c r="AL371" s="799"/>
      <c r="AM371" s="799"/>
      <c r="AN371" s="799"/>
      <c r="AO371" s="799"/>
      <c r="AP371" s="799"/>
      <c r="AQ371" s="799"/>
      <c r="AR371" s="799"/>
      <c r="AS371" s="799"/>
      <c r="AT371" s="799"/>
      <c r="AU371" s="799"/>
      <c r="AV371" s="799"/>
      <c r="AW371" s="799"/>
      <c r="AX371" s="799"/>
      <c r="AY371" s="799"/>
      <c r="AZ371" s="799"/>
      <c r="BA371" s="799"/>
      <c r="BB371" s="799"/>
      <c r="BC371" s="799"/>
      <c r="BD371" s="799"/>
      <c r="BE371" s="799"/>
      <c r="BF371" s="799"/>
      <c r="BG371" s="799"/>
    </row>
    <row r="372">
      <c r="H372" s="799"/>
      <c r="I372" s="799"/>
      <c r="J372" s="799"/>
      <c r="K372" s="799"/>
      <c r="L372" s="799"/>
      <c r="M372" s="799"/>
      <c r="N372" s="799"/>
      <c r="O372" s="799"/>
      <c r="P372" s="799"/>
      <c r="Q372" s="799"/>
      <c r="R372" s="799"/>
      <c r="S372" s="799"/>
      <c r="T372" s="799"/>
      <c r="U372" s="799"/>
      <c r="V372" s="799"/>
      <c r="W372" s="799"/>
      <c r="X372" s="799"/>
      <c r="Y372" s="799"/>
      <c r="Z372" s="799"/>
      <c r="AA372" s="799"/>
      <c r="AB372" s="799"/>
      <c r="AC372" s="799"/>
      <c r="AD372" s="799"/>
      <c r="AE372" s="799"/>
      <c r="AF372" s="799"/>
      <c r="AG372" s="799"/>
      <c r="AH372" s="799"/>
      <c r="AI372" s="799"/>
      <c r="AJ372" s="799"/>
      <c r="AK372" s="799"/>
      <c r="AL372" s="799"/>
      <c r="AM372" s="799"/>
      <c r="AN372" s="799"/>
      <c r="AO372" s="799"/>
      <c r="AP372" s="799"/>
      <c r="AQ372" s="799"/>
      <c r="AR372" s="799"/>
      <c r="AS372" s="799"/>
      <c r="AT372" s="799"/>
      <c r="AU372" s="799"/>
      <c r="AV372" s="799"/>
      <c r="AW372" s="799"/>
      <c r="AX372" s="799"/>
      <c r="AY372" s="799"/>
      <c r="AZ372" s="799"/>
      <c r="BA372" s="799"/>
      <c r="BB372" s="799"/>
      <c r="BC372" s="799"/>
      <c r="BD372" s="799"/>
      <c r="BE372" s="799"/>
      <c r="BF372" s="799"/>
      <c r="BG372" s="799"/>
    </row>
    <row r="373">
      <c r="H373" s="799"/>
      <c r="I373" s="799"/>
      <c r="J373" s="799"/>
      <c r="K373" s="799"/>
      <c r="L373" s="799"/>
      <c r="M373" s="799"/>
      <c r="N373" s="799"/>
      <c r="O373" s="799"/>
      <c r="P373" s="799"/>
      <c r="Q373" s="799"/>
      <c r="R373" s="799"/>
      <c r="S373" s="799"/>
      <c r="T373" s="799"/>
      <c r="U373" s="799"/>
      <c r="V373" s="799"/>
      <c r="W373" s="799"/>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799"/>
      <c r="AX373" s="799"/>
      <c r="AY373" s="799"/>
      <c r="AZ373" s="799"/>
      <c r="BA373" s="799"/>
      <c r="BB373" s="799"/>
      <c r="BC373" s="799"/>
      <c r="BD373" s="799"/>
      <c r="BE373" s="799"/>
      <c r="BF373" s="799"/>
      <c r="BG373" s="799"/>
    </row>
    <row r="374">
      <c r="H374" s="799"/>
      <c r="I374" s="799"/>
      <c r="J374" s="799"/>
      <c r="K374" s="799"/>
      <c r="L374" s="799"/>
      <c r="M374" s="799"/>
      <c r="N374" s="799"/>
      <c r="O374" s="799"/>
      <c r="P374" s="799"/>
      <c r="Q374" s="799"/>
      <c r="R374" s="799"/>
      <c r="S374" s="799"/>
      <c r="T374" s="799"/>
      <c r="U374" s="799"/>
      <c r="V374" s="799"/>
      <c r="W374" s="799"/>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799"/>
      <c r="AX374" s="799"/>
      <c r="AY374" s="799"/>
      <c r="AZ374" s="799"/>
      <c r="BA374" s="799"/>
      <c r="BB374" s="799"/>
      <c r="BC374" s="799"/>
      <c r="BD374" s="799"/>
      <c r="BE374" s="799"/>
      <c r="BF374" s="799"/>
      <c r="BG374" s="799"/>
    </row>
    <row r="375">
      <c r="H375" s="799"/>
      <c r="I375" s="799"/>
      <c r="J375" s="799"/>
      <c r="K375" s="799"/>
      <c r="L375" s="799"/>
      <c r="M375" s="799"/>
      <c r="N375" s="799"/>
      <c r="O375" s="799"/>
      <c r="P375" s="799"/>
      <c r="Q375" s="799"/>
      <c r="R375" s="799"/>
      <c r="S375" s="799"/>
      <c r="T375" s="799"/>
      <c r="U375" s="799"/>
      <c r="V375" s="799"/>
      <c r="W375" s="799"/>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799"/>
      <c r="AX375" s="799"/>
      <c r="AY375" s="799"/>
      <c r="AZ375" s="799"/>
      <c r="BA375" s="799"/>
      <c r="BB375" s="799"/>
      <c r="BC375" s="799"/>
      <c r="BD375" s="799"/>
      <c r="BE375" s="799"/>
      <c r="BF375" s="799"/>
      <c r="BG375" s="799"/>
    </row>
    <row r="376">
      <c r="H376" s="799"/>
      <c r="I376" s="799"/>
      <c r="J376" s="799"/>
      <c r="K376" s="799"/>
      <c r="L376" s="799"/>
      <c r="M376" s="799"/>
      <c r="N376" s="799"/>
      <c r="O376" s="799"/>
      <c r="P376" s="799"/>
      <c r="Q376" s="799"/>
      <c r="R376" s="799"/>
      <c r="S376" s="799"/>
      <c r="T376" s="799"/>
      <c r="U376" s="799"/>
      <c r="V376" s="799"/>
      <c r="W376" s="799"/>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799"/>
      <c r="AX376" s="799"/>
      <c r="AY376" s="799"/>
      <c r="AZ376" s="799"/>
      <c r="BA376" s="799"/>
      <c r="BB376" s="799"/>
      <c r="BC376" s="799"/>
      <c r="BD376" s="799"/>
      <c r="BE376" s="799"/>
      <c r="BF376" s="799"/>
      <c r="BG376" s="799"/>
    </row>
    <row r="377">
      <c r="H377" s="799"/>
      <c r="I377" s="799"/>
      <c r="J377" s="799"/>
      <c r="K377" s="799"/>
      <c r="L377" s="799"/>
      <c r="M377" s="799"/>
      <c r="N377" s="799"/>
      <c r="O377" s="799"/>
      <c r="P377" s="799"/>
      <c r="Q377" s="799"/>
      <c r="R377" s="799"/>
      <c r="S377" s="799"/>
      <c r="T377" s="799"/>
      <c r="U377" s="799"/>
      <c r="V377" s="799"/>
      <c r="W377" s="799"/>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799"/>
      <c r="AX377" s="799"/>
      <c r="AY377" s="799"/>
      <c r="AZ377" s="799"/>
      <c r="BA377" s="799"/>
      <c r="BB377" s="799"/>
      <c r="BC377" s="799"/>
      <c r="BD377" s="799"/>
      <c r="BE377" s="799"/>
      <c r="BF377" s="799"/>
      <c r="BG377" s="799"/>
    </row>
    <row r="378">
      <c r="H378" s="799"/>
      <c r="I378" s="799"/>
      <c r="J378" s="799"/>
      <c r="K378" s="799"/>
      <c r="L378" s="799"/>
      <c r="M378" s="799"/>
      <c r="N378" s="799"/>
      <c r="O378" s="799"/>
      <c r="P378" s="799"/>
      <c r="Q378" s="799"/>
      <c r="R378" s="799"/>
      <c r="S378" s="799"/>
      <c r="T378" s="799"/>
      <c r="U378" s="799"/>
      <c r="V378" s="799"/>
      <c r="W378" s="799"/>
      <c r="X378" s="799"/>
      <c r="Y378" s="799"/>
      <c r="Z378" s="799"/>
      <c r="AA378" s="799"/>
      <c r="AB378" s="799"/>
      <c r="AC378" s="799"/>
      <c r="AD378" s="799"/>
      <c r="AE378" s="799"/>
      <c r="AF378" s="799"/>
      <c r="AG378" s="799"/>
      <c r="AH378" s="799"/>
      <c r="AI378" s="799"/>
      <c r="AJ378" s="799"/>
      <c r="AK378" s="799"/>
      <c r="AL378" s="799"/>
      <c r="AM378" s="799"/>
      <c r="AN378" s="799"/>
      <c r="AO378" s="799"/>
      <c r="AP378" s="799"/>
      <c r="AQ378" s="799"/>
      <c r="AR378" s="799"/>
      <c r="AS378" s="799"/>
      <c r="AT378" s="799"/>
      <c r="AU378" s="799"/>
      <c r="AV378" s="799"/>
      <c r="AW378" s="799"/>
      <c r="AX378" s="799"/>
      <c r="AY378" s="799"/>
      <c r="AZ378" s="799"/>
      <c r="BA378" s="799"/>
      <c r="BB378" s="799"/>
      <c r="BC378" s="799"/>
      <c r="BD378" s="799"/>
      <c r="BE378" s="799"/>
      <c r="BF378" s="799"/>
      <c r="BG378" s="799"/>
    </row>
    <row r="379">
      <c r="H379" s="799"/>
      <c r="I379" s="799"/>
      <c r="J379" s="799"/>
      <c r="K379" s="799"/>
      <c r="L379" s="799"/>
      <c r="M379" s="799"/>
      <c r="N379" s="799"/>
      <c r="O379" s="799"/>
      <c r="P379" s="799"/>
      <c r="Q379" s="799"/>
      <c r="R379" s="799"/>
      <c r="S379" s="799"/>
      <c r="T379" s="799"/>
      <c r="U379" s="799"/>
      <c r="V379" s="799"/>
      <c r="W379" s="799"/>
      <c r="X379" s="799"/>
      <c r="Y379" s="799"/>
      <c r="Z379" s="799"/>
      <c r="AA379" s="799"/>
      <c r="AB379" s="799"/>
      <c r="AC379" s="799"/>
      <c r="AD379" s="799"/>
      <c r="AE379" s="799"/>
      <c r="AF379" s="799"/>
      <c r="AG379" s="799"/>
      <c r="AH379" s="799"/>
      <c r="AI379" s="799"/>
      <c r="AJ379" s="799"/>
      <c r="AK379" s="799"/>
      <c r="AL379" s="799"/>
      <c r="AM379" s="799"/>
      <c r="AN379" s="799"/>
      <c r="AO379" s="799"/>
      <c r="AP379" s="799"/>
      <c r="AQ379" s="799"/>
      <c r="AR379" s="799"/>
      <c r="AS379" s="799"/>
      <c r="AT379" s="799"/>
      <c r="AU379" s="799"/>
      <c r="AV379" s="799"/>
      <c r="AW379" s="799"/>
      <c r="AX379" s="799"/>
      <c r="AY379" s="799"/>
      <c r="AZ379" s="799"/>
      <c r="BA379" s="799"/>
      <c r="BB379" s="799"/>
      <c r="BC379" s="799"/>
      <c r="BD379" s="799"/>
      <c r="BE379" s="799"/>
      <c r="BF379" s="799"/>
      <c r="BG379" s="799"/>
    </row>
    <row r="380">
      <c r="H380" s="799"/>
      <c r="I380" s="799"/>
      <c r="J380" s="799"/>
      <c r="K380" s="799"/>
      <c r="L380" s="799"/>
      <c r="M380" s="799"/>
      <c r="N380" s="799"/>
      <c r="O380" s="799"/>
      <c r="P380" s="799"/>
      <c r="Q380" s="799"/>
      <c r="R380" s="799"/>
      <c r="S380" s="799"/>
      <c r="T380" s="799"/>
      <c r="U380" s="799"/>
      <c r="V380" s="799"/>
      <c r="W380" s="799"/>
      <c r="X380" s="799"/>
      <c r="Y380" s="799"/>
      <c r="Z380" s="799"/>
      <c r="AA380" s="799"/>
      <c r="AB380" s="799"/>
      <c r="AC380" s="799"/>
      <c r="AD380" s="799"/>
      <c r="AE380" s="799"/>
      <c r="AF380" s="799"/>
      <c r="AG380" s="799"/>
      <c r="AH380" s="799"/>
      <c r="AI380" s="799"/>
      <c r="AJ380" s="799"/>
      <c r="AK380" s="799"/>
      <c r="AL380" s="799"/>
      <c r="AM380" s="799"/>
      <c r="AN380" s="799"/>
      <c r="AO380" s="799"/>
      <c r="AP380" s="799"/>
      <c r="AQ380" s="799"/>
      <c r="AR380" s="799"/>
      <c r="AS380" s="799"/>
      <c r="AT380" s="799"/>
      <c r="AU380" s="799"/>
      <c r="AV380" s="799"/>
      <c r="AW380" s="799"/>
      <c r="AX380" s="799"/>
      <c r="AY380" s="799"/>
      <c r="AZ380" s="799"/>
      <c r="BA380" s="799"/>
      <c r="BB380" s="799"/>
      <c r="BC380" s="799"/>
      <c r="BD380" s="799"/>
      <c r="BE380" s="799"/>
      <c r="BF380" s="799"/>
      <c r="BG380" s="799"/>
    </row>
    <row r="381">
      <c r="H381" s="799"/>
      <c r="I381" s="799"/>
      <c r="J381" s="799"/>
      <c r="K381" s="799"/>
      <c r="L381" s="799"/>
      <c r="M381" s="799"/>
      <c r="N381" s="799"/>
      <c r="O381" s="799"/>
      <c r="P381" s="799"/>
      <c r="Q381" s="799"/>
      <c r="R381" s="799"/>
      <c r="S381" s="799"/>
      <c r="T381" s="799"/>
      <c r="U381" s="799"/>
      <c r="V381" s="799"/>
      <c r="W381" s="799"/>
      <c r="X381" s="799"/>
      <c r="Y381" s="799"/>
      <c r="Z381" s="799"/>
      <c r="AA381" s="799"/>
      <c r="AB381" s="799"/>
      <c r="AC381" s="799"/>
      <c r="AD381" s="799"/>
      <c r="AE381" s="799"/>
      <c r="AF381" s="799"/>
      <c r="AG381" s="799"/>
      <c r="AH381" s="799"/>
      <c r="AI381" s="799"/>
      <c r="AJ381" s="799"/>
      <c r="AK381" s="799"/>
      <c r="AL381" s="799"/>
      <c r="AM381" s="799"/>
      <c r="AN381" s="799"/>
      <c r="AO381" s="799"/>
      <c r="AP381" s="799"/>
      <c r="AQ381" s="799"/>
      <c r="AR381" s="799"/>
      <c r="AS381" s="799"/>
      <c r="AT381" s="799"/>
      <c r="AU381" s="799"/>
      <c r="AV381" s="799"/>
      <c r="AW381" s="799"/>
      <c r="AX381" s="799"/>
      <c r="AY381" s="799"/>
      <c r="AZ381" s="799"/>
      <c r="BA381" s="799"/>
      <c r="BB381" s="799"/>
      <c r="BC381" s="799"/>
      <c r="BD381" s="799"/>
      <c r="BE381" s="799"/>
      <c r="BF381" s="799"/>
      <c r="BG381" s="799"/>
    </row>
    <row r="382">
      <c r="H382" s="799"/>
      <c r="I382" s="799"/>
      <c r="J382" s="799"/>
      <c r="K382" s="799"/>
      <c r="L382" s="799"/>
      <c r="M382" s="799"/>
      <c r="N382" s="799"/>
      <c r="O382" s="799"/>
      <c r="P382" s="799"/>
      <c r="Q382" s="799"/>
      <c r="R382" s="799"/>
      <c r="S382" s="799"/>
      <c r="T382" s="799"/>
      <c r="U382" s="799"/>
      <c r="V382" s="799"/>
      <c r="W382" s="799"/>
      <c r="X382" s="799"/>
      <c r="Y382" s="799"/>
      <c r="Z382" s="799"/>
      <c r="AA382" s="799"/>
      <c r="AB382" s="799"/>
      <c r="AC382" s="799"/>
      <c r="AD382" s="799"/>
      <c r="AE382" s="799"/>
      <c r="AF382" s="799"/>
      <c r="AG382" s="799"/>
      <c r="AH382" s="799"/>
      <c r="AI382" s="799"/>
      <c r="AJ382" s="799"/>
      <c r="AK382" s="799"/>
      <c r="AL382" s="799"/>
      <c r="AM382" s="799"/>
      <c r="AN382" s="799"/>
      <c r="AO382" s="799"/>
      <c r="AP382" s="799"/>
      <c r="AQ382" s="799"/>
      <c r="AR382" s="799"/>
      <c r="AS382" s="799"/>
      <c r="AT382" s="799"/>
      <c r="AU382" s="799"/>
      <c r="AV382" s="799"/>
      <c r="AW382" s="799"/>
      <c r="AX382" s="799"/>
      <c r="AY382" s="799"/>
      <c r="AZ382" s="799"/>
      <c r="BA382" s="799"/>
      <c r="BB382" s="799"/>
      <c r="BC382" s="799"/>
      <c r="BD382" s="799"/>
      <c r="BE382" s="799"/>
      <c r="BF382" s="799"/>
      <c r="BG382" s="799"/>
    </row>
    <row r="383">
      <c r="H383" s="799"/>
      <c r="I383" s="799"/>
      <c r="J383" s="799"/>
      <c r="K383" s="799"/>
      <c r="L383" s="799"/>
      <c r="M383" s="799"/>
      <c r="N383" s="799"/>
      <c r="O383" s="799"/>
      <c r="P383" s="799"/>
      <c r="Q383" s="799"/>
      <c r="R383" s="799"/>
      <c r="S383" s="799"/>
      <c r="T383" s="799"/>
      <c r="U383" s="799"/>
      <c r="V383" s="799"/>
      <c r="W383" s="799"/>
      <c r="X383" s="799"/>
      <c r="Y383" s="799"/>
      <c r="Z383" s="799"/>
      <c r="AA383" s="799"/>
      <c r="AB383" s="799"/>
      <c r="AC383" s="799"/>
      <c r="AD383" s="799"/>
      <c r="AE383" s="799"/>
      <c r="AF383" s="799"/>
      <c r="AG383" s="799"/>
      <c r="AH383" s="799"/>
      <c r="AI383" s="799"/>
      <c r="AJ383" s="799"/>
      <c r="AK383" s="799"/>
      <c r="AL383" s="799"/>
      <c r="AM383" s="799"/>
      <c r="AN383" s="799"/>
      <c r="AO383" s="799"/>
      <c r="AP383" s="799"/>
      <c r="AQ383" s="799"/>
      <c r="AR383" s="799"/>
      <c r="AS383" s="799"/>
      <c r="AT383" s="799"/>
      <c r="AU383" s="799"/>
      <c r="AV383" s="799"/>
      <c r="AW383" s="799"/>
      <c r="AX383" s="799"/>
      <c r="AY383" s="799"/>
      <c r="AZ383" s="799"/>
      <c r="BA383" s="799"/>
      <c r="BB383" s="799"/>
      <c r="BC383" s="799"/>
      <c r="BD383" s="799"/>
      <c r="BE383" s="799"/>
      <c r="BF383" s="799"/>
      <c r="BG383" s="799"/>
    </row>
    <row r="384">
      <c r="H384" s="799"/>
      <c r="I384" s="799"/>
      <c r="J384" s="799"/>
      <c r="K384" s="799"/>
      <c r="L384" s="799"/>
      <c r="M384" s="799"/>
      <c r="N384" s="799"/>
      <c r="O384" s="799"/>
      <c r="P384" s="799"/>
      <c r="Q384" s="799"/>
      <c r="R384" s="799"/>
      <c r="S384" s="799"/>
      <c r="T384" s="799"/>
      <c r="U384" s="799"/>
      <c r="V384" s="799"/>
      <c r="W384" s="799"/>
      <c r="X384" s="799"/>
      <c r="Y384" s="799"/>
      <c r="Z384" s="799"/>
      <c r="AA384" s="799"/>
      <c r="AB384" s="799"/>
      <c r="AC384" s="799"/>
      <c r="AD384" s="799"/>
      <c r="AE384" s="799"/>
      <c r="AF384" s="799"/>
      <c r="AG384" s="799"/>
      <c r="AH384" s="799"/>
      <c r="AI384" s="799"/>
      <c r="AJ384" s="799"/>
      <c r="AK384" s="799"/>
      <c r="AL384" s="799"/>
      <c r="AM384" s="799"/>
      <c r="AN384" s="799"/>
      <c r="AO384" s="799"/>
      <c r="AP384" s="799"/>
      <c r="AQ384" s="799"/>
      <c r="AR384" s="799"/>
      <c r="AS384" s="799"/>
      <c r="AT384" s="799"/>
      <c r="AU384" s="799"/>
      <c r="AV384" s="799"/>
      <c r="AW384" s="799"/>
      <c r="AX384" s="799"/>
      <c r="AY384" s="799"/>
      <c r="AZ384" s="799"/>
      <c r="BA384" s="799"/>
      <c r="BB384" s="799"/>
      <c r="BC384" s="799"/>
      <c r="BD384" s="799"/>
      <c r="BE384" s="799"/>
      <c r="BF384" s="799"/>
      <c r="BG384" s="799"/>
    </row>
    <row r="385">
      <c r="H385" s="799"/>
      <c r="I385" s="799"/>
      <c r="J385" s="799"/>
      <c r="K385" s="799"/>
      <c r="L385" s="799"/>
      <c r="M385" s="799"/>
      <c r="N385" s="799"/>
      <c r="O385" s="799"/>
      <c r="P385" s="799"/>
      <c r="Q385" s="799"/>
      <c r="R385" s="799"/>
      <c r="S385" s="799"/>
      <c r="T385" s="799"/>
      <c r="U385" s="799"/>
      <c r="V385" s="799"/>
      <c r="W385" s="799"/>
      <c r="X385" s="799"/>
      <c r="Y385" s="799"/>
      <c r="Z385" s="799"/>
      <c r="AA385" s="799"/>
      <c r="AB385" s="799"/>
      <c r="AC385" s="799"/>
      <c r="AD385" s="799"/>
      <c r="AE385" s="799"/>
      <c r="AF385" s="799"/>
      <c r="AG385" s="799"/>
      <c r="AH385" s="799"/>
      <c r="AI385" s="799"/>
      <c r="AJ385" s="799"/>
      <c r="AK385" s="799"/>
      <c r="AL385" s="799"/>
      <c r="AM385" s="799"/>
      <c r="AN385" s="799"/>
      <c r="AO385" s="799"/>
      <c r="AP385" s="799"/>
      <c r="AQ385" s="799"/>
      <c r="AR385" s="799"/>
      <c r="AS385" s="799"/>
      <c r="AT385" s="799"/>
      <c r="AU385" s="799"/>
      <c r="AV385" s="799"/>
      <c r="AW385" s="799"/>
      <c r="AX385" s="799"/>
      <c r="AY385" s="799"/>
      <c r="AZ385" s="799"/>
      <c r="BA385" s="799"/>
      <c r="BB385" s="799"/>
      <c r="BC385" s="799"/>
      <c r="BD385" s="799"/>
      <c r="BE385" s="799"/>
      <c r="BF385" s="799"/>
      <c r="BG385" s="799"/>
    </row>
    <row r="386">
      <c r="H386" s="799"/>
      <c r="I386" s="799"/>
      <c r="J386" s="799"/>
      <c r="K386" s="799"/>
      <c r="L386" s="799"/>
      <c r="M386" s="799"/>
      <c r="N386" s="799"/>
      <c r="O386" s="799"/>
      <c r="P386" s="799"/>
      <c r="Q386" s="799"/>
      <c r="R386" s="799"/>
      <c r="S386" s="799"/>
      <c r="T386" s="799"/>
      <c r="U386" s="799"/>
      <c r="V386" s="799"/>
      <c r="W386" s="799"/>
      <c r="X386" s="799"/>
      <c r="Y386" s="799"/>
      <c r="Z386" s="799"/>
      <c r="AA386" s="799"/>
      <c r="AB386" s="799"/>
      <c r="AC386" s="799"/>
      <c r="AD386" s="799"/>
      <c r="AE386" s="799"/>
      <c r="AF386" s="799"/>
      <c r="AG386" s="799"/>
      <c r="AH386" s="799"/>
      <c r="AI386" s="799"/>
      <c r="AJ386" s="799"/>
      <c r="AK386" s="799"/>
      <c r="AL386" s="799"/>
      <c r="AM386" s="799"/>
      <c r="AN386" s="799"/>
      <c r="AO386" s="799"/>
      <c r="AP386" s="799"/>
      <c r="AQ386" s="799"/>
      <c r="AR386" s="799"/>
      <c r="AS386" s="799"/>
      <c r="AT386" s="799"/>
      <c r="AU386" s="799"/>
      <c r="AV386" s="799"/>
      <c r="AW386" s="799"/>
      <c r="AX386" s="799"/>
      <c r="AY386" s="799"/>
      <c r="AZ386" s="799"/>
      <c r="BA386" s="799"/>
      <c r="BB386" s="799"/>
      <c r="BC386" s="799"/>
      <c r="BD386" s="799"/>
      <c r="BE386" s="799"/>
      <c r="BF386" s="799"/>
      <c r="BG386" s="799"/>
    </row>
    <row r="387">
      <c r="H387" s="799"/>
      <c r="I387" s="799"/>
      <c r="J387" s="799"/>
      <c r="K387" s="799"/>
      <c r="L387" s="799"/>
      <c r="M387" s="799"/>
      <c r="N387" s="799"/>
      <c r="O387" s="799"/>
      <c r="P387" s="799"/>
      <c r="Q387" s="799"/>
      <c r="R387" s="799"/>
      <c r="S387" s="799"/>
      <c r="T387" s="799"/>
      <c r="U387" s="799"/>
      <c r="V387" s="799"/>
      <c r="W387" s="799"/>
      <c r="X387" s="799"/>
      <c r="Y387" s="799"/>
      <c r="Z387" s="799"/>
      <c r="AA387" s="799"/>
      <c r="AB387" s="799"/>
      <c r="AC387" s="799"/>
      <c r="AD387" s="799"/>
      <c r="AE387" s="799"/>
      <c r="AF387" s="799"/>
      <c r="AG387" s="799"/>
      <c r="AH387" s="799"/>
      <c r="AI387" s="799"/>
      <c r="AJ387" s="799"/>
      <c r="AK387" s="799"/>
      <c r="AL387" s="799"/>
      <c r="AM387" s="799"/>
      <c r="AN387" s="799"/>
      <c r="AO387" s="799"/>
      <c r="AP387" s="799"/>
      <c r="AQ387" s="799"/>
      <c r="AR387" s="799"/>
      <c r="AS387" s="799"/>
      <c r="AT387" s="799"/>
      <c r="AU387" s="799"/>
      <c r="AV387" s="799"/>
      <c r="AW387" s="799"/>
      <c r="AX387" s="799"/>
      <c r="AY387" s="799"/>
      <c r="AZ387" s="799"/>
      <c r="BA387" s="799"/>
      <c r="BB387" s="799"/>
      <c r="BC387" s="799"/>
      <c r="BD387" s="799"/>
      <c r="BE387" s="799"/>
      <c r="BF387" s="799"/>
      <c r="BG387" s="799"/>
    </row>
    <row r="388">
      <c r="H388" s="799"/>
      <c r="I388" s="799"/>
      <c r="J388" s="799"/>
      <c r="K388" s="799"/>
      <c r="L388" s="799"/>
      <c r="M388" s="799"/>
      <c r="N388" s="799"/>
      <c r="O388" s="799"/>
      <c r="P388" s="799"/>
      <c r="Q388" s="799"/>
      <c r="R388" s="799"/>
      <c r="S388" s="799"/>
      <c r="T388" s="799"/>
      <c r="U388" s="799"/>
      <c r="V388" s="799"/>
      <c r="W388" s="799"/>
      <c r="X388" s="799"/>
      <c r="Y388" s="799"/>
      <c r="Z388" s="799"/>
      <c r="AA388" s="799"/>
      <c r="AB388" s="799"/>
      <c r="AC388" s="799"/>
      <c r="AD388" s="799"/>
      <c r="AE388" s="799"/>
      <c r="AF388" s="799"/>
      <c r="AG388" s="799"/>
      <c r="AH388" s="799"/>
      <c r="AI388" s="799"/>
      <c r="AJ388" s="799"/>
      <c r="AK388" s="799"/>
      <c r="AL388" s="799"/>
      <c r="AM388" s="799"/>
      <c r="AN388" s="799"/>
      <c r="AO388" s="799"/>
      <c r="AP388" s="799"/>
      <c r="AQ388" s="799"/>
      <c r="AR388" s="799"/>
      <c r="AS388" s="799"/>
      <c r="AT388" s="799"/>
      <c r="AU388" s="799"/>
      <c r="AV388" s="799"/>
      <c r="AW388" s="799"/>
      <c r="AX388" s="799"/>
      <c r="AY388" s="799"/>
      <c r="AZ388" s="799"/>
      <c r="BA388" s="799"/>
      <c r="BB388" s="799"/>
      <c r="BC388" s="799"/>
      <c r="BD388" s="799"/>
      <c r="BE388" s="799"/>
      <c r="BF388" s="799"/>
      <c r="BG388" s="799"/>
    </row>
    <row r="389">
      <c r="H389" s="799"/>
      <c r="I389" s="799"/>
      <c r="J389" s="799"/>
      <c r="K389" s="799"/>
      <c r="L389" s="799"/>
      <c r="M389" s="799"/>
      <c r="N389" s="799"/>
      <c r="O389" s="799"/>
      <c r="P389" s="799"/>
      <c r="Q389" s="799"/>
      <c r="R389" s="799"/>
      <c r="S389" s="799"/>
      <c r="T389" s="799"/>
      <c r="U389" s="799"/>
      <c r="V389" s="799"/>
      <c r="W389" s="799"/>
      <c r="X389" s="799"/>
      <c r="Y389" s="799"/>
      <c r="Z389" s="799"/>
      <c r="AA389" s="799"/>
      <c r="AB389" s="799"/>
      <c r="AC389" s="799"/>
      <c r="AD389" s="799"/>
      <c r="AE389" s="799"/>
      <c r="AF389" s="799"/>
      <c r="AG389" s="799"/>
      <c r="AH389" s="799"/>
      <c r="AI389" s="799"/>
      <c r="AJ389" s="799"/>
      <c r="AK389" s="799"/>
      <c r="AL389" s="799"/>
      <c r="AM389" s="799"/>
      <c r="AN389" s="799"/>
      <c r="AO389" s="799"/>
      <c r="AP389" s="799"/>
      <c r="AQ389" s="799"/>
      <c r="AR389" s="799"/>
      <c r="AS389" s="799"/>
      <c r="AT389" s="799"/>
      <c r="AU389" s="799"/>
      <c r="AV389" s="799"/>
      <c r="AW389" s="799"/>
      <c r="AX389" s="799"/>
      <c r="AY389" s="799"/>
      <c r="AZ389" s="799"/>
      <c r="BA389" s="799"/>
      <c r="BB389" s="799"/>
      <c r="BC389" s="799"/>
      <c r="BD389" s="799"/>
      <c r="BE389" s="799"/>
      <c r="BF389" s="799"/>
      <c r="BG389" s="799"/>
    </row>
    <row r="390">
      <c r="H390" s="799"/>
      <c r="I390" s="799"/>
      <c r="J390" s="799"/>
      <c r="K390" s="799"/>
      <c r="L390" s="799"/>
      <c r="M390" s="799"/>
      <c r="N390" s="799"/>
      <c r="O390" s="799"/>
      <c r="P390" s="799"/>
      <c r="Q390" s="799"/>
      <c r="R390" s="799"/>
      <c r="S390" s="799"/>
      <c r="T390" s="799"/>
      <c r="U390" s="799"/>
      <c r="V390" s="799"/>
      <c r="W390" s="799"/>
      <c r="X390" s="799"/>
      <c r="Y390" s="799"/>
      <c r="Z390" s="799"/>
      <c r="AA390" s="799"/>
      <c r="AB390" s="799"/>
      <c r="AC390" s="799"/>
      <c r="AD390" s="799"/>
      <c r="AE390" s="799"/>
      <c r="AF390" s="799"/>
      <c r="AG390" s="799"/>
      <c r="AH390" s="799"/>
      <c r="AI390" s="799"/>
      <c r="AJ390" s="799"/>
      <c r="AK390" s="799"/>
      <c r="AL390" s="799"/>
      <c r="AM390" s="799"/>
      <c r="AN390" s="799"/>
      <c r="AO390" s="799"/>
      <c r="AP390" s="799"/>
      <c r="AQ390" s="799"/>
      <c r="AR390" s="799"/>
      <c r="AS390" s="799"/>
      <c r="AT390" s="799"/>
      <c r="AU390" s="799"/>
      <c r="AV390" s="799"/>
      <c r="AW390" s="799"/>
      <c r="AX390" s="799"/>
      <c r="AY390" s="799"/>
      <c r="AZ390" s="799"/>
      <c r="BA390" s="799"/>
      <c r="BB390" s="799"/>
      <c r="BC390" s="799"/>
      <c r="BD390" s="799"/>
      <c r="BE390" s="799"/>
      <c r="BF390" s="799"/>
      <c r="BG390" s="799"/>
    </row>
    <row r="391">
      <c r="H391" s="799"/>
      <c r="I391" s="799"/>
      <c r="J391" s="799"/>
      <c r="K391" s="799"/>
      <c r="L391" s="799"/>
      <c r="M391" s="799"/>
      <c r="N391" s="799"/>
      <c r="O391" s="799"/>
      <c r="P391" s="799"/>
      <c r="Q391" s="799"/>
      <c r="R391" s="799"/>
      <c r="S391" s="799"/>
      <c r="T391" s="799"/>
      <c r="U391" s="799"/>
      <c r="V391" s="799"/>
      <c r="W391" s="799"/>
      <c r="X391" s="799"/>
      <c r="Y391" s="799"/>
      <c r="Z391" s="799"/>
      <c r="AA391" s="799"/>
      <c r="AB391" s="799"/>
      <c r="AC391" s="799"/>
      <c r="AD391" s="799"/>
      <c r="AE391" s="799"/>
      <c r="AF391" s="799"/>
      <c r="AG391" s="799"/>
      <c r="AH391" s="799"/>
      <c r="AI391" s="799"/>
      <c r="AJ391" s="799"/>
      <c r="AK391" s="799"/>
      <c r="AL391" s="799"/>
      <c r="AM391" s="799"/>
      <c r="AN391" s="799"/>
      <c r="AO391" s="799"/>
      <c r="AP391" s="799"/>
      <c r="AQ391" s="799"/>
      <c r="AR391" s="799"/>
      <c r="AS391" s="799"/>
      <c r="AT391" s="799"/>
      <c r="AU391" s="799"/>
      <c r="AV391" s="799"/>
      <c r="AW391" s="799"/>
      <c r="AX391" s="799"/>
      <c r="AY391" s="799"/>
      <c r="AZ391" s="799"/>
      <c r="BA391" s="799"/>
      <c r="BB391" s="799"/>
      <c r="BC391" s="799"/>
      <c r="BD391" s="799"/>
      <c r="BE391" s="799"/>
      <c r="BF391" s="799"/>
      <c r="BG391" s="799"/>
    </row>
    <row r="392">
      <c r="H392" s="799"/>
      <c r="I392" s="799"/>
      <c r="J392" s="799"/>
      <c r="K392" s="799"/>
      <c r="L392" s="799"/>
      <c r="M392" s="799"/>
      <c r="N392" s="799"/>
      <c r="O392" s="799"/>
      <c r="P392" s="799"/>
      <c r="Q392" s="799"/>
      <c r="R392" s="799"/>
      <c r="S392" s="799"/>
      <c r="T392" s="799"/>
      <c r="U392" s="799"/>
      <c r="V392" s="799"/>
      <c r="W392" s="799"/>
      <c r="X392" s="799"/>
      <c r="Y392" s="799"/>
      <c r="Z392" s="799"/>
      <c r="AA392" s="799"/>
      <c r="AB392" s="799"/>
      <c r="AC392" s="799"/>
      <c r="AD392" s="799"/>
      <c r="AE392" s="799"/>
      <c r="AF392" s="799"/>
      <c r="AG392" s="799"/>
      <c r="AH392" s="799"/>
      <c r="AI392" s="799"/>
      <c r="AJ392" s="799"/>
      <c r="AK392" s="799"/>
      <c r="AL392" s="799"/>
      <c r="AM392" s="799"/>
      <c r="AN392" s="799"/>
      <c r="AO392" s="799"/>
      <c r="AP392" s="799"/>
      <c r="AQ392" s="799"/>
      <c r="AR392" s="799"/>
      <c r="AS392" s="799"/>
      <c r="AT392" s="799"/>
      <c r="AU392" s="799"/>
      <c r="AV392" s="799"/>
      <c r="AW392" s="799"/>
      <c r="AX392" s="799"/>
      <c r="AY392" s="799"/>
      <c r="AZ392" s="799"/>
      <c r="BA392" s="799"/>
      <c r="BB392" s="799"/>
      <c r="BC392" s="799"/>
      <c r="BD392" s="799"/>
      <c r="BE392" s="799"/>
      <c r="BF392" s="799"/>
      <c r="BG392" s="799"/>
    </row>
    <row r="393">
      <c r="H393" s="799"/>
      <c r="I393" s="799"/>
      <c r="J393" s="799"/>
      <c r="K393" s="799"/>
      <c r="L393" s="799"/>
      <c r="M393" s="799"/>
      <c r="N393" s="799"/>
      <c r="O393" s="799"/>
      <c r="P393" s="799"/>
      <c r="Q393" s="799"/>
      <c r="R393" s="799"/>
      <c r="S393" s="799"/>
      <c r="T393" s="799"/>
      <c r="U393" s="799"/>
      <c r="V393" s="799"/>
      <c r="W393" s="799"/>
      <c r="X393" s="799"/>
      <c r="Y393" s="799"/>
      <c r="Z393" s="799"/>
      <c r="AA393" s="799"/>
      <c r="AB393" s="799"/>
      <c r="AC393" s="799"/>
      <c r="AD393" s="799"/>
      <c r="AE393" s="799"/>
      <c r="AF393" s="799"/>
      <c r="AG393" s="799"/>
      <c r="AH393" s="799"/>
      <c r="AI393" s="799"/>
      <c r="AJ393" s="799"/>
      <c r="AK393" s="799"/>
      <c r="AL393" s="799"/>
      <c r="AM393" s="799"/>
      <c r="AN393" s="799"/>
      <c r="AO393" s="799"/>
      <c r="AP393" s="799"/>
      <c r="AQ393" s="799"/>
      <c r="AR393" s="799"/>
      <c r="AS393" s="799"/>
      <c r="AT393" s="799"/>
      <c r="AU393" s="799"/>
      <c r="AV393" s="799"/>
      <c r="AW393" s="799"/>
      <c r="AX393" s="799"/>
      <c r="AY393" s="799"/>
      <c r="AZ393" s="799"/>
      <c r="BA393" s="799"/>
      <c r="BB393" s="799"/>
      <c r="BC393" s="799"/>
      <c r="BD393" s="799"/>
      <c r="BE393" s="799"/>
      <c r="BF393" s="799"/>
      <c r="BG393" s="799"/>
    </row>
    <row r="394">
      <c r="H394" s="799"/>
      <c r="I394" s="799"/>
      <c r="J394" s="799"/>
      <c r="K394" s="799"/>
      <c r="L394" s="799"/>
      <c r="M394" s="799"/>
      <c r="N394" s="799"/>
      <c r="O394" s="799"/>
      <c r="P394" s="799"/>
      <c r="Q394" s="799"/>
      <c r="R394" s="799"/>
      <c r="S394" s="799"/>
      <c r="T394" s="799"/>
      <c r="U394" s="799"/>
      <c r="V394" s="799"/>
      <c r="W394" s="799"/>
      <c r="X394" s="799"/>
      <c r="Y394" s="799"/>
      <c r="Z394" s="799"/>
      <c r="AA394" s="799"/>
      <c r="AB394" s="799"/>
      <c r="AC394" s="799"/>
      <c r="AD394" s="799"/>
      <c r="AE394" s="799"/>
      <c r="AF394" s="799"/>
      <c r="AG394" s="799"/>
      <c r="AH394" s="799"/>
      <c r="AI394" s="799"/>
      <c r="AJ394" s="799"/>
      <c r="AK394" s="799"/>
      <c r="AL394" s="799"/>
      <c r="AM394" s="799"/>
      <c r="AN394" s="799"/>
      <c r="AO394" s="799"/>
      <c r="AP394" s="799"/>
      <c r="AQ394" s="799"/>
      <c r="AR394" s="799"/>
      <c r="AS394" s="799"/>
      <c r="AT394" s="799"/>
      <c r="AU394" s="799"/>
      <c r="AV394" s="799"/>
      <c r="AW394" s="799"/>
      <c r="AX394" s="799"/>
      <c r="AY394" s="799"/>
      <c r="AZ394" s="799"/>
      <c r="BA394" s="799"/>
      <c r="BB394" s="799"/>
      <c r="BC394" s="799"/>
      <c r="BD394" s="799"/>
      <c r="BE394" s="799"/>
      <c r="BF394" s="799"/>
      <c r="BG394" s="799"/>
    </row>
    <row r="395">
      <c r="H395" s="799"/>
      <c r="I395" s="799"/>
      <c r="J395" s="799"/>
      <c r="K395" s="799"/>
      <c r="L395" s="799"/>
      <c r="M395" s="799"/>
      <c r="N395" s="799"/>
      <c r="O395" s="799"/>
      <c r="P395" s="799"/>
      <c r="Q395" s="799"/>
      <c r="R395" s="799"/>
      <c r="S395" s="799"/>
      <c r="T395" s="799"/>
      <c r="U395" s="799"/>
      <c r="V395" s="799"/>
      <c r="W395" s="799"/>
      <c r="X395" s="799"/>
      <c r="Y395" s="799"/>
      <c r="Z395" s="799"/>
      <c r="AA395" s="799"/>
      <c r="AB395" s="799"/>
      <c r="AC395" s="799"/>
      <c r="AD395" s="799"/>
      <c r="AE395" s="799"/>
      <c r="AF395" s="799"/>
      <c r="AG395" s="799"/>
      <c r="AH395" s="799"/>
      <c r="AI395" s="799"/>
      <c r="AJ395" s="799"/>
      <c r="AK395" s="799"/>
      <c r="AL395" s="799"/>
      <c r="AM395" s="799"/>
      <c r="AN395" s="799"/>
      <c r="AO395" s="799"/>
      <c r="AP395" s="799"/>
      <c r="AQ395" s="799"/>
      <c r="AR395" s="799"/>
      <c r="AS395" s="799"/>
      <c r="AT395" s="799"/>
      <c r="AU395" s="799"/>
      <c r="AV395" s="799"/>
      <c r="AW395" s="799"/>
      <c r="AX395" s="799"/>
      <c r="AY395" s="799"/>
      <c r="AZ395" s="799"/>
      <c r="BA395" s="799"/>
      <c r="BB395" s="799"/>
      <c r="BC395" s="799"/>
      <c r="BD395" s="799"/>
      <c r="BE395" s="799"/>
      <c r="BF395" s="799"/>
      <c r="BG395" s="799"/>
    </row>
    <row r="396">
      <c r="H396" s="799"/>
      <c r="I396" s="799"/>
      <c r="J396" s="799"/>
      <c r="K396" s="799"/>
      <c r="L396" s="799"/>
      <c r="M396" s="799"/>
      <c r="N396" s="799"/>
      <c r="O396" s="799"/>
      <c r="P396" s="799"/>
      <c r="Q396" s="799"/>
      <c r="R396" s="799"/>
      <c r="S396" s="799"/>
      <c r="T396" s="799"/>
      <c r="U396" s="799"/>
      <c r="V396" s="799"/>
      <c r="W396" s="799"/>
      <c r="X396" s="799"/>
      <c r="Y396" s="799"/>
      <c r="Z396" s="799"/>
      <c r="AA396" s="799"/>
      <c r="AB396" s="799"/>
      <c r="AC396" s="799"/>
      <c r="AD396" s="799"/>
      <c r="AE396" s="799"/>
      <c r="AF396" s="799"/>
      <c r="AG396" s="799"/>
      <c r="AH396" s="799"/>
      <c r="AI396" s="799"/>
      <c r="AJ396" s="799"/>
      <c r="AK396" s="799"/>
      <c r="AL396" s="799"/>
      <c r="AM396" s="799"/>
      <c r="AN396" s="799"/>
      <c r="AO396" s="799"/>
      <c r="AP396" s="799"/>
      <c r="AQ396" s="799"/>
      <c r="AR396" s="799"/>
      <c r="AS396" s="799"/>
      <c r="AT396" s="799"/>
      <c r="AU396" s="799"/>
      <c r="AV396" s="799"/>
      <c r="AW396" s="799"/>
      <c r="AX396" s="799"/>
      <c r="AY396" s="799"/>
      <c r="AZ396" s="799"/>
      <c r="BA396" s="799"/>
      <c r="BB396" s="799"/>
      <c r="BC396" s="799"/>
      <c r="BD396" s="799"/>
      <c r="BE396" s="799"/>
      <c r="BF396" s="799"/>
      <c r="BG396" s="799"/>
    </row>
    <row r="397">
      <c r="H397" s="799"/>
      <c r="I397" s="799"/>
      <c r="J397" s="799"/>
      <c r="K397" s="799"/>
      <c r="L397" s="799"/>
      <c r="M397" s="799"/>
      <c r="N397" s="799"/>
      <c r="O397" s="799"/>
      <c r="P397" s="799"/>
      <c r="Q397" s="799"/>
      <c r="R397" s="799"/>
      <c r="S397" s="799"/>
      <c r="T397" s="799"/>
      <c r="U397" s="799"/>
      <c r="V397" s="799"/>
      <c r="W397" s="799"/>
      <c r="X397" s="799"/>
      <c r="Y397" s="799"/>
      <c r="Z397" s="799"/>
      <c r="AA397" s="799"/>
      <c r="AB397" s="799"/>
      <c r="AC397" s="799"/>
      <c r="AD397" s="799"/>
      <c r="AE397" s="799"/>
      <c r="AF397" s="799"/>
      <c r="AG397" s="799"/>
      <c r="AH397" s="799"/>
      <c r="AI397" s="799"/>
      <c r="AJ397" s="799"/>
      <c r="AK397" s="799"/>
      <c r="AL397" s="799"/>
      <c r="AM397" s="799"/>
      <c r="AN397" s="799"/>
      <c r="AO397" s="799"/>
      <c r="AP397" s="799"/>
      <c r="AQ397" s="799"/>
      <c r="AR397" s="799"/>
      <c r="AS397" s="799"/>
      <c r="AT397" s="799"/>
      <c r="AU397" s="799"/>
      <c r="AV397" s="799"/>
      <c r="AW397" s="799"/>
      <c r="AX397" s="799"/>
      <c r="AY397" s="799"/>
      <c r="AZ397" s="799"/>
      <c r="BA397" s="799"/>
      <c r="BB397" s="799"/>
      <c r="BC397" s="799"/>
      <c r="BD397" s="799"/>
      <c r="BE397" s="799"/>
      <c r="BF397" s="799"/>
      <c r="BG397" s="799"/>
    </row>
    <row r="398">
      <c r="H398" s="799"/>
      <c r="I398" s="799"/>
      <c r="J398" s="799"/>
      <c r="K398" s="799"/>
      <c r="L398" s="799"/>
      <c r="M398" s="799"/>
      <c r="N398" s="799"/>
      <c r="O398" s="799"/>
      <c r="P398" s="799"/>
      <c r="Q398" s="799"/>
      <c r="R398" s="799"/>
      <c r="S398" s="799"/>
      <c r="T398" s="799"/>
      <c r="U398" s="799"/>
      <c r="V398" s="799"/>
      <c r="W398" s="799"/>
      <c r="X398" s="799"/>
      <c r="Y398" s="799"/>
      <c r="Z398" s="799"/>
      <c r="AA398" s="799"/>
      <c r="AB398" s="799"/>
      <c r="AC398" s="799"/>
      <c r="AD398" s="799"/>
      <c r="AE398" s="799"/>
      <c r="AF398" s="799"/>
      <c r="AG398" s="799"/>
      <c r="AH398" s="799"/>
      <c r="AI398" s="799"/>
      <c r="AJ398" s="799"/>
      <c r="AK398" s="799"/>
      <c r="AL398" s="799"/>
      <c r="AM398" s="799"/>
      <c r="AN398" s="799"/>
      <c r="AO398" s="799"/>
      <c r="AP398" s="799"/>
      <c r="AQ398" s="799"/>
      <c r="AR398" s="799"/>
      <c r="AS398" s="799"/>
      <c r="AT398" s="799"/>
      <c r="AU398" s="799"/>
      <c r="AV398" s="799"/>
      <c r="AW398" s="799"/>
      <c r="AX398" s="799"/>
      <c r="AY398" s="799"/>
      <c r="AZ398" s="799"/>
      <c r="BA398" s="799"/>
      <c r="BB398" s="799"/>
      <c r="BC398" s="799"/>
      <c r="BD398" s="799"/>
      <c r="BE398" s="799"/>
      <c r="BF398" s="799"/>
      <c r="BG398" s="799"/>
    </row>
    <row r="399">
      <c r="H399" s="799"/>
      <c r="I399" s="799"/>
      <c r="J399" s="799"/>
      <c r="K399" s="799"/>
      <c r="L399" s="799"/>
      <c r="M399" s="799"/>
      <c r="N399" s="799"/>
      <c r="O399" s="799"/>
      <c r="P399" s="799"/>
      <c r="Q399" s="799"/>
      <c r="R399" s="799"/>
      <c r="S399" s="799"/>
      <c r="T399" s="799"/>
      <c r="U399" s="799"/>
      <c r="V399" s="799"/>
      <c r="W399" s="799"/>
      <c r="X399" s="799"/>
      <c r="Y399" s="799"/>
      <c r="Z399" s="799"/>
      <c r="AA399" s="799"/>
      <c r="AB399" s="799"/>
      <c r="AC399" s="799"/>
      <c r="AD399" s="799"/>
      <c r="AE399" s="799"/>
      <c r="AF399" s="799"/>
      <c r="AG399" s="799"/>
      <c r="AH399" s="799"/>
      <c r="AI399" s="799"/>
      <c r="AJ399" s="799"/>
      <c r="AK399" s="799"/>
      <c r="AL399" s="799"/>
      <c r="AM399" s="799"/>
      <c r="AN399" s="799"/>
      <c r="AO399" s="799"/>
      <c r="AP399" s="799"/>
      <c r="AQ399" s="799"/>
      <c r="AR399" s="799"/>
      <c r="AS399" s="799"/>
      <c r="AT399" s="799"/>
      <c r="AU399" s="799"/>
      <c r="AV399" s="799"/>
      <c r="AW399" s="799"/>
      <c r="AX399" s="799"/>
      <c r="AY399" s="799"/>
      <c r="AZ399" s="799"/>
      <c r="BA399" s="799"/>
      <c r="BB399" s="799"/>
      <c r="BC399" s="799"/>
      <c r="BD399" s="799"/>
      <c r="BE399" s="799"/>
      <c r="BF399" s="799"/>
      <c r="BG399" s="799"/>
    </row>
    <row r="400">
      <c r="H400" s="799"/>
      <c r="I400" s="799"/>
      <c r="J400" s="799"/>
      <c r="K400" s="799"/>
      <c r="L400" s="799"/>
      <c r="M400" s="799"/>
      <c r="N400" s="799"/>
      <c r="O400" s="799"/>
      <c r="P400" s="799"/>
      <c r="Q400" s="799"/>
      <c r="R400" s="799"/>
      <c r="S400" s="799"/>
      <c r="T400" s="799"/>
      <c r="U400" s="799"/>
      <c r="V400" s="799"/>
      <c r="W400" s="799"/>
      <c r="X400" s="799"/>
      <c r="Y400" s="799"/>
      <c r="Z400" s="799"/>
      <c r="AA400" s="799"/>
      <c r="AB400" s="799"/>
      <c r="AC400" s="799"/>
      <c r="AD400" s="799"/>
      <c r="AE400" s="799"/>
      <c r="AF400" s="799"/>
      <c r="AG400" s="799"/>
      <c r="AH400" s="799"/>
      <c r="AI400" s="799"/>
      <c r="AJ400" s="799"/>
      <c r="AK400" s="799"/>
      <c r="AL400" s="799"/>
      <c r="AM400" s="799"/>
      <c r="AN400" s="799"/>
      <c r="AO400" s="799"/>
      <c r="AP400" s="799"/>
      <c r="AQ400" s="799"/>
      <c r="AR400" s="799"/>
      <c r="AS400" s="799"/>
      <c r="AT400" s="799"/>
      <c r="AU400" s="799"/>
      <c r="AV400" s="799"/>
      <c r="AW400" s="799"/>
      <c r="AX400" s="799"/>
      <c r="AY400" s="799"/>
      <c r="AZ400" s="799"/>
      <c r="BA400" s="799"/>
      <c r="BB400" s="799"/>
      <c r="BC400" s="799"/>
      <c r="BD400" s="799"/>
      <c r="BE400" s="799"/>
      <c r="BF400" s="799"/>
      <c r="BG400" s="799"/>
    </row>
    <row r="401">
      <c r="H401" s="799"/>
      <c r="I401" s="799"/>
      <c r="J401" s="799"/>
      <c r="K401" s="799"/>
      <c r="L401" s="799"/>
      <c r="M401" s="799"/>
      <c r="N401" s="799"/>
      <c r="O401" s="799"/>
      <c r="P401" s="799"/>
      <c r="Q401" s="799"/>
      <c r="R401" s="799"/>
      <c r="S401" s="799"/>
      <c r="T401" s="799"/>
      <c r="U401" s="799"/>
      <c r="V401" s="799"/>
      <c r="W401" s="799"/>
      <c r="X401" s="799"/>
      <c r="Y401" s="799"/>
      <c r="Z401" s="799"/>
      <c r="AA401" s="799"/>
      <c r="AB401" s="799"/>
      <c r="AC401" s="799"/>
      <c r="AD401" s="799"/>
      <c r="AE401" s="799"/>
      <c r="AF401" s="799"/>
      <c r="AG401" s="799"/>
      <c r="AH401" s="799"/>
      <c r="AI401" s="799"/>
      <c r="AJ401" s="799"/>
      <c r="AK401" s="799"/>
      <c r="AL401" s="799"/>
      <c r="AM401" s="799"/>
      <c r="AN401" s="799"/>
      <c r="AO401" s="799"/>
      <c r="AP401" s="799"/>
      <c r="AQ401" s="799"/>
      <c r="AR401" s="799"/>
      <c r="AS401" s="799"/>
      <c r="AT401" s="799"/>
      <c r="AU401" s="799"/>
      <c r="AV401" s="799"/>
      <c r="AW401" s="799"/>
      <c r="AX401" s="799"/>
      <c r="AY401" s="799"/>
      <c r="AZ401" s="799"/>
      <c r="BA401" s="799"/>
      <c r="BB401" s="799"/>
      <c r="BC401" s="799"/>
      <c r="BD401" s="799"/>
      <c r="BE401" s="799"/>
      <c r="BF401" s="799"/>
      <c r="BG401" s="799"/>
    </row>
    <row r="402">
      <c r="H402" s="799"/>
      <c r="I402" s="799"/>
      <c r="J402" s="799"/>
      <c r="K402" s="799"/>
      <c r="L402" s="799"/>
      <c r="M402" s="799"/>
      <c r="N402" s="799"/>
      <c r="O402" s="799"/>
      <c r="P402" s="799"/>
      <c r="Q402" s="799"/>
      <c r="R402" s="799"/>
      <c r="S402" s="799"/>
      <c r="T402" s="799"/>
      <c r="U402" s="799"/>
      <c r="V402" s="799"/>
      <c r="W402" s="799"/>
      <c r="X402" s="799"/>
      <c r="Y402" s="799"/>
      <c r="Z402" s="799"/>
      <c r="AA402" s="799"/>
      <c r="AB402" s="799"/>
      <c r="AC402" s="799"/>
      <c r="AD402" s="799"/>
      <c r="AE402" s="799"/>
      <c r="AF402" s="799"/>
      <c r="AG402" s="799"/>
      <c r="AH402" s="799"/>
      <c r="AI402" s="799"/>
      <c r="AJ402" s="799"/>
      <c r="AK402" s="799"/>
      <c r="AL402" s="799"/>
      <c r="AM402" s="799"/>
      <c r="AN402" s="799"/>
      <c r="AO402" s="799"/>
      <c r="AP402" s="799"/>
      <c r="AQ402" s="799"/>
      <c r="AR402" s="799"/>
      <c r="AS402" s="799"/>
      <c r="AT402" s="799"/>
      <c r="AU402" s="799"/>
      <c r="AV402" s="799"/>
      <c r="AW402" s="799"/>
      <c r="AX402" s="799"/>
      <c r="AY402" s="799"/>
      <c r="AZ402" s="799"/>
      <c r="BA402" s="799"/>
      <c r="BB402" s="799"/>
      <c r="BC402" s="799"/>
      <c r="BD402" s="799"/>
      <c r="BE402" s="799"/>
      <c r="BF402" s="799"/>
      <c r="BG402" s="799"/>
    </row>
    <row r="403">
      <c r="H403" s="799"/>
      <c r="I403" s="799"/>
      <c r="J403" s="799"/>
      <c r="K403" s="799"/>
      <c r="L403" s="799"/>
      <c r="M403" s="799"/>
      <c r="N403" s="799"/>
      <c r="O403" s="799"/>
      <c r="P403" s="799"/>
      <c r="Q403" s="799"/>
      <c r="R403" s="799"/>
      <c r="S403" s="799"/>
      <c r="T403" s="799"/>
      <c r="U403" s="799"/>
      <c r="V403" s="799"/>
      <c r="W403" s="799"/>
      <c r="X403" s="799"/>
      <c r="Y403" s="799"/>
      <c r="Z403" s="799"/>
      <c r="AA403" s="799"/>
      <c r="AB403" s="799"/>
      <c r="AC403" s="799"/>
      <c r="AD403" s="799"/>
      <c r="AE403" s="799"/>
      <c r="AF403" s="799"/>
      <c r="AG403" s="799"/>
      <c r="AH403" s="799"/>
      <c r="AI403" s="799"/>
      <c r="AJ403" s="799"/>
      <c r="AK403" s="799"/>
      <c r="AL403" s="799"/>
      <c r="AM403" s="799"/>
      <c r="AN403" s="799"/>
      <c r="AO403" s="799"/>
      <c r="AP403" s="799"/>
      <c r="AQ403" s="799"/>
      <c r="AR403" s="799"/>
      <c r="AS403" s="799"/>
      <c r="AT403" s="799"/>
      <c r="AU403" s="799"/>
      <c r="AV403" s="799"/>
      <c r="AW403" s="799"/>
      <c r="AX403" s="799"/>
      <c r="AY403" s="799"/>
      <c r="AZ403" s="799"/>
      <c r="BA403" s="799"/>
      <c r="BB403" s="799"/>
      <c r="BC403" s="799"/>
      <c r="BD403" s="799"/>
      <c r="BE403" s="799"/>
      <c r="BF403" s="799"/>
      <c r="BG403" s="799"/>
    </row>
    <row r="404">
      <c r="H404" s="799"/>
      <c r="I404" s="799"/>
      <c r="J404" s="799"/>
      <c r="K404" s="799"/>
      <c r="L404" s="799"/>
      <c r="M404" s="799"/>
      <c r="N404" s="799"/>
      <c r="O404" s="799"/>
      <c r="P404" s="799"/>
      <c r="Q404" s="799"/>
      <c r="R404" s="799"/>
      <c r="S404" s="799"/>
      <c r="T404" s="799"/>
      <c r="U404" s="799"/>
      <c r="V404" s="799"/>
      <c r="W404" s="799"/>
      <c r="X404" s="799"/>
      <c r="Y404" s="799"/>
      <c r="Z404" s="799"/>
      <c r="AA404" s="799"/>
      <c r="AB404" s="799"/>
      <c r="AC404" s="799"/>
      <c r="AD404" s="799"/>
      <c r="AE404" s="799"/>
      <c r="AF404" s="799"/>
      <c r="AG404" s="799"/>
      <c r="AH404" s="799"/>
      <c r="AI404" s="799"/>
      <c r="AJ404" s="799"/>
      <c r="AK404" s="799"/>
      <c r="AL404" s="799"/>
      <c r="AM404" s="799"/>
      <c r="AN404" s="799"/>
      <c r="AO404" s="799"/>
      <c r="AP404" s="799"/>
      <c r="AQ404" s="799"/>
      <c r="AR404" s="799"/>
      <c r="AS404" s="799"/>
      <c r="AT404" s="799"/>
      <c r="AU404" s="799"/>
      <c r="AV404" s="799"/>
      <c r="AW404" s="799"/>
      <c r="AX404" s="799"/>
      <c r="AY404" s="799"/>
      <c r="AZ404" s="799"/>
      <c r="BA404" s="799"/>
      <c r="BB404" s="799"/>
      <c r="BC404" s="799"/>
      <c r="BD404" s="799"/>
      <c r="BE404" s="799"/>
      <c r="BF404" s="799"/>
      <c r="BG404" s="799"/>
    </row>
    <row r="405">
      <c r="H405" s="799"/>
      <c r="I405" s="799"/>
      <c r="J405" s="799"/>
      <c r="K405" s="799"/>
      <c r="L405" s="799"/>
      <c r="M405" s="799"/>
      <c r="N405" s="799"/>
      <c r="O405" s="799"/>
      <c r="P405" s="799"/>
      <c r="Q405" s="799"/>
      <c r="R405" s="799"/>
      <c r="S405" s="799"/>
      <c r="T405" s="799"/>
      <c r="U405" s="799"/>
      <c r="V405" s="799"/>
      <c r="W405" s="799"/>
      <c r="X405" s="799"/>
      <c r="Y405" s="799"/>
      <c r="Z405" s="799"/>
      <c r="AA405" s="799"/>
      <c r="AB405" s="799"/>
      <c r="AC405" s="799"/>
      <c r="AD405" s="799"/>
      <c r="AE405" s="799"/>
      <c r="AF405" s="799"/>
      <c r="AG405" s="799"/>
      <c r="AH405" s="799"/>
      <c r="AI405" s="799"/>
      <c r="AJ405" s="799"/>
      <c r="AK405" s="799"/>
      <c r="AL405" s="799"/>
      <c r="AM405" s="799"/>
      <c r="AN405" s="799"/>
      <c r="AO405" s="799"/>
      <c r="AP405" s="799"/>
      <c r="AQ405" s="799"/>
      <c r="AR405" s="799"/>
      <c r="AS405" s="799"/>
      <c r="AT405" s="799"/>
      <c r="AU405" s="799"/>
      <c r="AV405" s="799"/>
      <c r="AW405" s="799"/>
      <c r="AX405" s="799"/>
      <c r="AY405" s="799"/>
      <c r="AZ405" s="799"/>
      <c r="BA405" s="799"/>
      <c r="BB405" s="799"/>
      <c r="BC405" s="799"/>
      <c r="BD405" s="799"/>
      <c r="BE405" s="799"/>
      <c r="BF405" s="799"/>
      <c r="BG405" s="799"/>
    </row>
    <row r="406">
      <c r="H406" s="799"/>
      <c r="I406" s="799"/>
      <c r="J406" s="799"/>
      <c r="K406" s="799"/>
      <c r="L406" s="799"/>
      <c r="M406" s="799"/>
      <c r="N406" s="799"/>
      <c r="O406" s="799"/>
      <c r="P406" s="799"/>
      <c r="Q406" s="799"/>
      <c r="R406" s="799"/>
      <c r="S406" s="799"/>
      <c r="T406" s="799"/>
      <c r="U406" s="799"/>
      <c r="V406" s="799"/>
      <c r="W406" s="799"/>
      <c r="X406" s="799"/>
      <c r="Y406" s="799"/>
      <c r="Z406" s="799"/>
      <c r="AA406" s="799"/>
      <c r="AB406" s="799"/>
      <c r="AC406" s="799"/>
      <c r="AD406" s="799"/>
      <c r="AE406" s="799"/>
      <c r="AF406" s="799"/>
      <c r="AG406" s="799"/>
      <c r="AH406" s="799"/>
      <c r="AI406" s="799"/>
      <c r="AJ406" s="799"/>
      <c r="AK406" s="799"/>
      <c r="AL406" s="799"/>
      <c r="AM406" s="799"/>
      <c r="AN406" s="799"/>
      <c r="AO406" s="799"/>
      <c r="AP406" s="799"/>
      <c r="AQ406" s="799"/>
      <c r="AR406" s="799"/>
      <c r="AS406" s="799"/>
      <c r="AT406" s="799"/>
      <c r="AU406" s="799"/>
      <c r="AV406" s="799"/>
      <c r="AW406" s="799"/>
      <c r="AX406" s="799"/>
      <c r="AY406" s="799"/>
      <c r="AZ406" s="799"/>
      <c r="BA406" s="799"/>
      <c r="BB406" s="799"/>
      <c r="BC406" s="799"/>
      <c r="BD406" s="799"/>
      <c r="BE406" s="799"/>
      <c r="BF406" s="799"/>
      <c r="BG406" s="799"/>
    </row>
    <row r="407">
      <c r="H407" s="799"/>
      <c r="I407" s="799"/>
      <c r="J407" s="799"/>
      <c r="K407" s="799"/>
      <c r="L407" s="799"/>
      <c r="M407" s="799"/>
      <c r="N407" s="799"/>
      <c r="O407" s="799"/>
      <c r="P407" s="799"/>
      <c r="Q407" s="799"/>
      <c r="R407" s="799"/>
      <c r="S407" s="799"/>
      <c r="T407" s="799"/>
      <c r="U407" s="799"/>
      <c r="V407" s="799"/>
      <c r="W407" s="799"/>
      <c r="X407" s="799"/>
      <c r="Y407" s="799"/>
      <c r="Z407" s="799"/>
      <c r="AA407" s="799"/>
      <c r="AB407" s="799"/>
      <c r="AC407" s="799"/>
      <c r="AD407" s="799"/>
      <c r="AE407" s="799"/>
      <c r="AF407" s="799"/>
      <c r="AG407" s="799"/>
      <c r="AH407" s="799"/>
      <c r="AI407" s="799"/>
      <c r="AJ407" s="799"/>
      <c r="AK407" s="799"/>
      <c r="AL407" s="799"/>
      <c r="AM407" s="799"/>
      <c r="AN407" s="799"/>
      <c r="AO407" s="799"/>
      <c r="AP407" s="799"/>
      <c r="AQ407" s="799"/>
      <c r="AR407" s="799"/>
      <c r="AS407" s="799"/>
      <c r="AT407" s="799"/>
      <c r="AU407" s="799"/>
      <c r="AV407" s="799"/>
      <c r="AW407" s="799"/>
      <c r="AX407" s="799"/>
      <c r="AY407" s="799"/>
      <c r="AZ407" s="799"/>
      <c r="BA407" s="799"/>
      <c r="BB407" s="799"/>
      <c r="BC407" s="799"/>
      <c r="BD407" s="799"/>
      <c r="BE407" s="799"/>
      <c r="BF407" s="799"/>
      <c r="BG407" s="799"/>
    </row>
    <row r="408">
      <c r="H408" s="799"/>
      <c r="I408" s="799"/>
      <c r="J408" s="799"/>
      <c r="K408" s="799"/>
      <c r="L408" s="799"/>
      <c r="M408" s="799"/>
      <c r="N408" s="799"/>
      <c r="O408" s="799"/>
      <c r="P408" s="799"/>
      <c r="Q408" s="799"/>
      <c r="R408" s="799"/>
      <c r="S408" s="799"/>
      <c r="T408" s="799"/>
      <c r="U408" s="799"/>
      <c r="V408" s="799"/>
      <c r="W408" s="799"/>
      <c r="X408" s="799"/>
      <c r="Y408" s="799"/>
      <c r="Z408" s="799"/>
      <c r="AA408" s="799"/>
      <c r="AB408" s="799"/>
      <c r="AC408" s="799"/>
      <c r="AD408" s="799"/>
      <c r="AE408" s="799"/>
      <c r="AF408" s="799"/>
      <c r="AG408" s="799"/>
      <c r="AH408" s="799"/>
      <c r="AI408" s="799"/>
      <c r="AJ408" s="799"/>
      <c r="AK408" s="799"/>
      <c r="AL408" s="799"/>
      <c r="AM408" s="799"/>
      <c r="AN408" s="799"/>
      <c r="AO408" s="799"/>
      <c r="AP408" s="799"/>
      <c r="AQ408" s="799"/>
      <c r="AR408" s="799"/>
      <c r="AS408" s="799"/>
      <c r="AT408" s="799"/>
      <c r="AU408" s="799"/>
      <c r="AV408" s="799"/>
      <c r="AW408" s="799"/>
      <c r="AX408" s="799"/>
      <c r="AY408" s="799"/>
      <c r="AZ408" s="799"/>
      <c r="BA408" s="799"/>
      <c r="BB408" s="799"/>
      <c r="BC408" s="799"/>
      <c r="BD408" s="799"/>
      <c r="BE408" s="799"/>
      <c r="BF408" s="799"/>
      <c r="BG408" s="799"/>
    </row>
    <row r="409">
      <c r="H409" s="799"/>
      <c r="I409" s="799"/>
      <c r="J409" s="799"/>
      <c r="K409" s="799"/>
      <c r="L409" s="799"/>
      <c r="M409" s="799"/>
      <c r="N409" s="799"/>
      <c r="O409" s="799"/>
      <c r="P409" s="799"/>
      <c r="Q409" s="799"/>
      <c r="R409" s="799"/>
      <c r="S409" s="799"/>
      <c r="T409" s="799"/>
      <c r="U409" s="799"/>
      <c r="V409" s="799"/>
      <c r="W409" s="799"/>
      <c r="X409" s="799"/>
      <c r="Y409" s="799"/>
      <c r="Z409" s="799"/>
      <c r="AA409" s="799"/>
      <c r="AB409" s="799"/>
      <c r="AC409" s="799"/>
      <c r="AD409" s="799"/>
      <c r="AE409" s="799"/>
      <c r="AF409" s="799"/>
      <c r="AG409" s="799"/>
      <c r="AH409" s="799"/>
      <c r="AI409" s="799"/>
      <c r="AJ409" s="799"/>
      <c r="AK409" s="799"/>
      <c r="AL409" s="799"/>
      <c r="AM409" s="799"/>
      <c r="AN409" s="799"/>
      <c r="AO409" s="799"/>
      <c r="AP409" s="799"/>
      <c r="AQ409" s="799"/>
      <c r="AR409" s="799"/>
      <c r="AS409" s="799"/>
      <c r="AT409" s="799"/>
      <c r="AU409" s="799"/>
      <c r="AV409" s="799"/>
      <c r="AW409" s="799"/>
      <c r="AX409" s="799"/>
      <c r="AY409" s="799"/>
      <c r="AZ409" s="799"/>
      <c r="BA409" s="799"/>
      <c r="BB409" s="799"/>
      <c r="BC409" s="799"/>
      <c r="BD409" s="799"/>
      <c r="BE409" s="799"/>
      <c r="BF409" s="799"/>
      <c r="BG409" s="799"/>
    </row>
    <row r="410">
      <c r="H410" s="799"/>
      <c r="I410" s="799"/>
      <c r="J410" s="799"/>
      <c r="K410" s="799"/>
      <c r="L410" s="799"/>
      <c r="M410" s="799"/>
      <c r="N410" s="799"/>
      <c r="O410" s="799"/>
      <c r="P410" s="799"/>
      <c r="Q410" s="799"/>
      <c r="R410" s="799"/>
      <c r="S410" s="799"/>
      <c r="T410" s="799"/>
      <c r="U410" s="799"/>
      <c r="V410" s="799"/>
      <c r="W410" s="799"/>
      <c r="X410" s="799"/>
      <c r="Y410" s="799"/>
      <c r="Z410" s="799"/>
      <c r="AA410" s="799"/>
      <c r="AB410" s="799"/>
      <c r="AC410" s="799"/>
      <c r="AD410" s="799"/>
      <c r="AE410" s="799"/>
      <c r="AF410" s="799"/>
      <c r="AG410" s="799"/>
      <c r="AH410" s="799"/>
      <c r="AI410" s="799"/>
      <c r="AJ410" s="799"/>
      <c r="AK410" s="799"/>
      <c r="AL410" s="799"/>
      <c r="AM410" s="799"/>
      <c r="AN410" s="799"/>
      <c r="AO410" s="799"/>
      <c r="AP410" s="799"/>
      <c r="AQ410" s="799"/>
      <c r="AR410" s="799"/>
      <c r="AS410" s="799"/>
      <c r="AT410" s="799"/>
      <c r="AU410" s="799"/>
      <c r="AV410" s="799"/>
      <c r="AW410" s="799"/>
      <c r="AX410" s="799"/>
      <c r="AY410" s="799"/>
      <c r="AZ410" s="799"/>
      <c r="BA410" s="799"/>
      <c r="BB410" s="799"/>
      <c r="BC410" s="799"/>
      <c r="BD410" s="799"/>
      <c r="BE410" s="799"/>
      <c r="BF410" s="799"/>
      <c r="BG410" s="799"/>
    </row>
    <row r="411">
      <c r="H411" s="799"/>
      <c r="I411" s="799"/>
      <c r="J411" s="799"/>
      <c r="K411" s="799"/>
      <c r="L411" s="799"/>
      <c r="M411" s="799"/>
      <c r="N411" s="799"/>
      <c r="O411" s="799"/>
      <c r="P411" s="799"/>
      <c r="Q411" s="799"/>
      <c r="R411" s="799"/>
      <c r="S411" s="799"/>
      <c r="T411" s="799"/>
      <c r="U411" s="799"/>
      <c r="V411" s="799"/>
      <c r="W411" s="799"/>
      <c r="X411" s="799"/>
      <c r="Y411" s="799"/>
      <c r="Z411" s="799"/>
      <c r="AA411" s="799"/>
      <c r="AB411" s="799"/>
      <c r="AC411" s="799"/>
      <c r="AD411" s="799"/>
      <c r="AE411" s="799"/>
      <c r="AF411" s="799"/>
      <c r="AG411" s="799"/>
      <c r="AH411" s="799"/>
      <c r="AI411" s="799"/>
      <c r="AJ411" s="799"/>
      <c r="AK411" s="799"/>
      <c r="AL411" s="799"/>
      <c r="AM411" s="799"/>
      <c r="AN411" s="799"/>
      <c r="AO411" s="799"/>
      <c r="AP411" s="799"/>
      <c r="AQ411" s="799"/>
      <c r="AR411" s="799"/>
      <c r="AS411" s="799"/>
      <c r="AT411" s="799"/>
      <c r="AU411" s="799"/>
      <c r="AV411" s="799"/>
      <c r="AW411" s="799"/>
      <c r="AX411" s="799"/>
      <c r="AY411" s="799"/>
      <c r="AZ411" s="799"/>
      <c r="BA411" s="799"/>
      <c r="BB411" s="799"/>
      <c r="BC411" s="799"/>
      <c r="BD411" s="799"/>
      <c r="BE411" s="799"/>
      <c r="BF411" s="799"/>
      <c r="BG411" s="799"/>
    </row>
    <row r="412">
      <c r="H412" s="799"/>
      <c r="I412" s="799"/>
      <c r="J412" s="799"/>
      <c r="K412" s="799"/>
      <c r="L412" s="799"/>
      <c r="M412" s="799"/>
      <c r="N412" s="799"/>
      <c r="O412" s="799"/>
      <c r="P412" s="799"/>
      <c r="Q412" s="799"/>
      <c r="R412" s="799"/>
      <c r="S412" s="799"/>
      <c r="T412" s="799"/>
      <c r="U412" s="799"/>
      <c r="V412" s="799"/>
      <c r="W412" s="799"/>
      <c r="X412" s="799"/>
      <c r="Y412" s="799"/>
      <c r="Z412" s="799"/>
      <c r="AA412" s="799"/>
      <c r="AB412" s="799"/>
      <c r="AC412" s="799"/>
      <c r="AD412" s="799"/>
      <c r="AE412" s="799"/>
      <c r="AF412" s="799"/>
      <c r="AG412" s="799"/>
      <c r="AH412" s="799"/>
      <c r="AI412" s="799"/>
      <c r="AJ412" s="799"/>
      <c r="AK412" s="799"/>
      <c r="AL412" s="799"/>
      <c r="AM412" s="799"/>
      <c r="AN412" s="799"/>
      <c r="AO412" s="799"/>
      <c r="AP412" s="799"/>
      <c r="AQ412" s="799"/>
      <c r="AR412" s="799"/>
      <c r="AS412" s="799"/>
      <c r="AT412" s="799"/>
      <c r="AU412" s="799"/>
      <c r="AV412" s="799"/>
      <c r="AW412" s="799"/>
      <c r="AX412" s="799"/>
      <c r="AY412" s="799"/>
      <c r="AZ412" s="799"/>
      <c r="BA412" s="799"/>
      <c r="BB412" s="799"/>
      <c r="BC412" s="799"/>
      <c r="BD412" s="799"/>
      <c r="BE412" s="799"/>
      <c r="BF412" s="799"/>
      <c r="BG412" s="799"/>
    </row>
    <row r="413">
      <c r="H413" s="799"/>
      <c r="I413" s="799"/>
      <c r="J413" s="799"/>
      <c r="K413" s="799"/>
      <c r="L413" s="799"/>
      <c r="M413" s="799"/>
      <c r="N413" s="799"/>
      <c r="O413" s="799"/>
      <c r="P413" s="799"/>
      <c r="Q413" s="799"/>
      <c r="R413" s="799"/>
      <c r="S413" s="799"/>
      <c r="T413" s="799"/>
      <c r="U413" s="799"/>
      <c r="V413" s="799"/>
      <c r="W413" s="799"/>
      <c r="X413" s="799"/>
      <c r="Y413" s="799"/>
      <c r="Z413" s="799"/>
      <c r="AA413" s="799"/>
      <c r="AB413" s="799"/>
      <c r="AC413" s="799"/>
      <c r="AD413" s="799"/>
      <c r="AE413" s="799"/>
      <c r="AF413" s="799"/>
      <c r="AG413" s="799"/>
      <c r="AH413" s="799"/>
      <c r="AI413" s="799"/>
      <c r="AJ413" s="799"/>
      <c r="AK413" s="799"/>
      <c r="AL413" s="799"/>
      <c r="AM413" s="799"/>
      <c r="AN413" s="799"/>
      <c r="AO413" s="799"/>
      <c r="AP413" s="799"/>
      <c r="AQ413" s="799"/>
      <c r="AR413" s="799"/>
      <c r="AS413" s="799"/>
      <c r="AT413" s="799"/>
      <c r="AU413" s="799"/>
      <c r="AV413" s="799"/>
      <c r="AW413" s="799"/>
      <c r="AX413" s="799"/>
      <c r="AY413" s="799"/>
      <c r="AZ413" s="799"/>
      <c r="BA413" s="799"/>
      <c r="BB413" s="799"/>
      <c r="BC413" s="799"/>
      <c r="BD413" s="799"/>
      <c r="BE413" s="799"/>
      <c r="BF413" s="799"/>
      <c r="BG413" s="799"/>
    </row>
    <row r="414">
      <c r="H414" s="799"/>
      <c r="I414" s="799"/>
      <c r="J414" s="799"/>
      <c r="K414" s="799"/>
      <c r="L414" s="799"/>
      <c r="M414" s="799"/>
      <c r="N414" s="799"/>
      <c r="O414" s="799"/>
      <c r="P414" s="799"/>
      <c r="Q414" s="799"/>
      <c r="R414" s="799"/>
      <c r="S414" s="799"/>
      <c r="T414" s="799"/>
      <c r="U414" s="799"/>
      <c r="V414" s="799"/>
      <c r="W414" s="799"/>
      <c r="X414" s="799"/>
      <c r="Y414" s="799"/>
      <c r="Z414" s="799"/>
      <c r="AA414" s="799"/>
      <c r="AB414" s="799"/>
      <c r="AC414" s="799"/>
      <c r="AD414" s="799"/>
      <c r="AE414" s="799"/>
      <c r="AF414" s="799"/>
      <c r="AG414" s="799"/>
      <c r="AH414" s="799"/>
      <c r="AI414" s="799"/>
      <c r="AJ414" s="799"/>
      <c r="AK414" s="799"/>
      <c r="AL414" s="799"/>
      <c r="AM414" s="799"/>
      <c r="AN414" s="799"/>
      <c r="AO414" s="799"/>
      <c r="AP414" s="799"/>
      <c r="AQ414" s="799"/>
      <c r="AR414" s="799"/>
      <c r="AS414" s="799"/>
      <c r="AT414" s="799"/>
      <c r="AU414" s="799"/>
      <c r="AV414" s="799"/>
      <c r="AW414" s="799"/>
      <c r="AX414" s="799"/>
      <c r="AY414" s="799"/>
      <c r="AZ414" s="799"/>
      <c r="BA414" s="799"/>
      <c r="BB414" s="799"/>
      <c r="BC414" s="799"/>
      <c r="BD414" s="799"/>
      <c r="BE414" s="799"/>
      <c r="BF414" s="799"/>
      <c r="BG414" s="799"/>
    </row>
    <row r="415">
      <c r="H415" s="799"/>
      <c r="I415" s="799"/>
      <c r="J415" s="799"/>
      <c r="K415" s="799"/>
      <c r="L415" s="799"/>
      <c r="M415" s="799"/>
      <c r="N415" s="799"/>
      <c r="O415" s="799"/>
      <c r="P415" s="799"/>
      <c r="Q415" s="799"/>
      <c r="R415" s="799"/>
      <c r="S415" s="799"/>
      <c r="T415" s="799"/>
      <c r="U415" s="799"/>
      <c r="V415" s="799"/>
      <c r="W415" s="799"/>
      <c r="X415" s="799"/>
      <c r="Y415" s="799"/>
      <c r="Z415" s="799"/>
      <c r="AA415" s="799"/>
      <c r="AB415" s="799"/>
      <c r="AC415" s="799"/>
      <c r="AD415" s="799"/>
      <c r="AE415" s="799"/>
      <c r="AF415" s="799"/>
      <c r="AG415" s="799"/>
      <c r="AH415" s="799"/>
      <c r="AI415" s="799"/>
      <c r="AJ415" s="799"/>
      <c r="AK415" s="799"/>
      <c r="AL415" s="799"/>
      <c r="AM415" s="799"/>
      <c r="AN415" s="799"/>
      <c r="AO415" s="799"/>
      <c r="AP415" s="799"/>
      <c r="AQ415" s="799"/>
      <c r="AR415" s="799"/>
      <c r="AS415" s="799"/>
      <c r="AT415" s="799"/>
      <c r="AU415" s="799"/>
      <c r="AV415" s="799"/>
      <c r="AW415" s="799"/>
      <c r="AX415" s="799"/>
      <c r="AY415" s="799"/>
      <c r="AZ415" s="799"/>
      <c r="BA415" s="799"/>
      <c r="BB415" s="799"/>
      <c r="BC415" s="799"/>
      <c r="BD415" s="799"/>
      <c r="BE415" s="799"/>
      <c r="BF415" s="799"/>
      <c r="BG415" s="799"/>
    </row>
    <row r="416">
      <c r="H416" s="799"/>
      <c r="I416" s="799"/>
      <c r="J416" s="799"/>
      <c r="K416" s="799"/>
      <c r="L416" s="799"/>
      <c r="M416" s="799"/>
      <c r="N416" s="799"/>
      <c r="O416" s="799"/>
      <c r="P416" s="799"/>
      <c r="Q416" s="799"/>
      <c r="R416" s="799"/>
      <c r="S416" s="799"/>
      <c r="T416" s="799"/>
      <c r="U416" s="799"/>
      <c r="V416" s="799"/>
      <c r="W416" s="799"/>
      <c r="X416" s="799"/>
      <c r="Y416" s="799"/>
      <c r="Z416" s="799"/>
      <c r="AA416" s="799"/>
      <c r="AB416" s="799"/>
      <c r="AC416" s="799"/>
      <c r="AD416" s="799"/>
      <c r="AE416" s="799"/>
      <c r="AF416" s="799"/>
      <c r="AG416" s="799"/>
      <c r="AH416" s="799"/>
      <c r="AI416" s="799"/>
      <c r="AJ416" s="799"/>
      <c r="AK416" s="799"/>
      <c r="AL416" s="799"/>
      <c r="AM416" s="799"/>
      <c r="AN416" s="799"/>
      <c r="AO416" s="799"/>
      <c r="AP416" s="799"/>
      <c r="AQ416" s="799"/>
      <c r="AR416" s="799"/>
      <c r="AS416" s="799"/>
      <c r="AT416" s="799"/>
      <c r="AU416" s="799"/>
      <c r="AV416" s="799"/>
      <c r="AW416" s="799"/>
      <c r="AX416" s="799"/>
      <c r="AY416" s="799"/>
      <c r="AZ416" s="799"/>
      <c r="BA416" s="799"/>
      <c r="BB416" s="799"/>
      <c r="BC416" s="799"/>
      <c r="BD416" s="799"/>
      <c r="BE416" s="799"/>
      <c r="BF416" s="799"/>
      <c r="BG416" s="799"/>
    </row>
    <row r="417">
      <c r="H417" s="799"/>
      <c r="I417" s="799"/>
      <c r="J417" s="799"/>
      <c r="K417" s="799"/>
      <c r="L417" s="799"/>
      <c r="M417" s="799"/>
      <c r="N417" s="799"/>
      <c r="O417" s="799"/>
      <c r="P417" s="799"/>
      <c r="Q417" s="799"/>
      <c r="R417" s="799"/>
      <c r="S417" s="799"/>
      <c r="T417" s="799"/>
      <c r="U417" s="799"/>
      <c r="V417" s="799"/>
      <c r="W417" s="799"/>
      <c r="X417" s="799"/>
      <c r="Y417" s="799"/>
      <c r="Z417" s="799"/>
      <c r="AA417" s="799"/>
      <c r="AB417" s="799"/>
      <c r="AC417" s="799"/>
      <c r="AD417" s="799"/>
      <c r="AE417" s="799"/>
      <c r="AF417" s="799"/>
      <c r="AG417" s="799"/>
      <c r="AH417" s="799"/>
      <c r="AI417" s="799"/>
      <c r="AJ417" s="799"/>
      <c r="AK417" s="799"/>
      <c r="AL417" s="799"/>
      <c r="AM417" s="799"/>
      <c r="AN417" s="799"/>
      <c r="AO417" s="799"/>
      <c r="AP417" s="799"/>
      <c r="AQ417" s="799"/>
      <c r="AR417" s="799"/>
      <c r="AS417" s="799"/>
      <c r="AT417" s="799"/>
      <c r="AU417" s="799"/>
      <c r="AV417" s="799"/>
      <c r="AW417" s="799"/>
      <c r="AX417" s="799"/>
      <c r="AY417" s="799"/>
      <c r="AZ417" s="799"/>
      <c r="BA417" s="799"/>
      <c r="BB417" s="799"/>
      <c r="BC417" s="799"/>
      <c r="BD417" s="799"/>
      <c r="BE417" s="799"/>
      <c r="BF417" s="799"/>
      <c r="BG417" s="799"/>
    </row>
    <row r="418">
      <c r="H418" s="799"/>
      <c r="I418" s="799"/>
      <c r="J418" s="799"/>
      <c r="K418" s="799"/>
      <c r="L418" s="799"/>
      <c r="M418" s="799"/>
      <c r="N418" s="799"/>
      <c r="O418" s="799"/>
      <c r="P418" s="799"/>
      <c r="Q418" s="799"/>
      <c r="R418" s="799"/>
      <c r="S418" s="799"/>
      <c r="T418" s="799"/>
      <c r="U418" s="799"/>
      <c r="V418" s="799"/>
      <c r="W418" s="799"/>
      <c r="X418" s="799"/>
      <c r="Y418" s="799"/>
      <c r="Z418" s="799"/>
      <c r="AA418" s="799"/>
      <c r="AB418" s="799"/>
      <c r="AC418" s="799"/>
      <c r="AD418" s="799"/>
      <c r="AE418" s="799"/>
      <c r="AF418" s="799"/>
      <c r="AG418" s="799"/>
      <c r="AH418" s="799"/>
      <c r="AI418" s="799"/>
      <c r="AJ418" s="799"/>
      <c r="AK418" s="799"/>
      <c r="AL418" s="799"/>
      <c r="AM418" s="799"/>
      <c r="AN418" s="799"/>
      <c r="AO418" s="799"/>
      <c r="AP418" s="799"/>
      <c r="AQ418" s="799"/>
      <c r="AR418" s="799"/>
      <c r="AS418" s="799"/>
      <c r="AT418" s="799"/>
      <c r="AU418" s="799"/>
      <c r="AV418" s="799"/>
      <c r="AW418" s="799"/>
      <c r="AX418" s="799"/>
      <c r="AY418" s="799"/>
      <c r="AZ418" s="799"/>
      <c r="BA418" s="799"/>
      <c r="BB418" s="799"/>
      <c r="BC418" s="799"/>
      <c r="BD418" s="799"/>
      <c r="BE418" s="799"/>
      <c r="BF418" s="799"/>
      <c r="BG418" s="799"/>
    </row>
    <row r="419">
      <c r="H419" s="799"/>
      <c r="I419" s="799"/>
      <c r="J419" s="799"/>
      <c r="K419" s="799"/>
      <c r="L419" s="799"/>
      <c r="M419" s="799"/>
      <c r="N419" s="799"/>
      <c r="O419" s="799"/>
      <c r="P419" s="799"/>
      <c r="Q419" s="799"/>
      <c r="R419" s="799"/>
      <c r="S419" s="799"/>
      <c r="T419" s="799"/>
      <c r="U419" s="799"/>
      <c r="V419" s="799"/>
      <c r="W419" s="799"/>
      <c r="X419" s="799"/>
      <c r="Y419" s="799"/>
      <c r="Z419" s="799"/>
      <c r="AA419" s="799"/>
      <c r="AB419" s="799"/>
      <c r="AC419" s="799"/>
      <c r="AD419" s="799"/>
      <c r="AE419" s="799"/>
      <c r="AF419" s="799"/>
      <c r="AG419" s="799"/>
      <c r="AH419" s="799"/>
      <c r="AI419" s="799"/>
      <c r="AJ419" s="799"/>
      <c r="AK419" s="799"/>
      <c r="AL419" s="799"/>
      <c r="AM419" s="799"/>
      <c r="AN419" s="799"/>
      <c r="AO419" s="799"/>
      <c r="AP419" s="799"/>
      <c r="AQ419" s="799"/>
      <c r="AR419" s="799"/>
      <c r="AS419" s="799"/>
      <c r="AT419" s="799"/>
      <c r="AU419" s="799"/>
      <c r="AV419" s="799"/>
      <c r="AW419" s="799"/>
      <c r="AX419" s="799"/>
      <c r="AY419" s="799"/>
      <c r="AZ419" s="799"/>
      <c r="BA419" s="799"/>
      <c r="BB419" s="799"/>
      <c r="BC419" s="799"/>
      <c r="BD419" s="799"/>
      <c r="BE419" s="799"/>
      <c r="BF419" s="799"/>
      <c r="BG419" s="799"/>
    </row>
    <row r="420">
      <c r="H420" s="799"/>
      <c r="I420" s="799"/>
      <c r="J420" s="799"/>
      <c r="K420" s="799"/>
      <c r="L420" s="799"/>
      <c r="M420" s="799"/>
      <c r="N420" s="799"/>
      <c r="O420" s="799"/>
      <c r="P420" s="799"/>
      <c r="Q420" s="799"/>
      <c r="R420" s="799"/>
      <c r="S420" s="799"/>
      <c r="T420" s="799"/>
      <c r="U420" s="799"/>
      <c r="V420" s="799"/>
      <c r="W420" s="799"/>
      <c r="X420" s="799"/>
      <c r="Y420" s="799"/>
      <c r="Z420" s="799"/>
      <c r="AA420" s="799"/>
      <c r="AB420" s="799"/>
      <c r="AC420" s="799"/>
      <c r="AD420" s="799"/>
      <c r="AE420" s="799"/>
      <c r="AF420" s="799"/>
      <c r="AG420" s="799"/>
      <c r="AH420" s="799"/>
      <c r="AI420" s="799"/>
      <c r="AJ420" s="799"/>
      <c r="AK420" s="799"/>
      <c r="AL420" s="799"/>
      <c r="AM420" s="799"/>
      <c r="AN420" s="799"/>
      <c r="AO420" s="799"/>
      <c r="AP420" s="799"/>
      <c r="AQ420" s="799"/>
      <c r="AR420" s="799"/>
      <c r="AS420" s="799"/>
      <c r="AT420" s="799"/>
      <c r="AU420" s="799"/>
      <c r="AV420" s="799"/>
      <c r="AW420" s="799"/>
      <c r="AX420" s="799"/>
      <c r="AY420" s="799"/>
      <c r="AZ420" s="799"/>
      <c r="BA420" s="799"/>
      <c r="BB420" s="799"/>
      <c r="BC420" s="799"/>
      <c r="BD420" s="799"/>
      <c r="BE420" s="799"/>
      <c r="BF420" s="799"/>
      <c r="BG420" s="799"/>
    </row>
    <row r="421">
      <c r="H421" s="799"/>
      <c r="I421" s="799"/>
      <c r="J421" s="799"/>
      <c r="K421" s="799"/>
      <c r="L421" s="799"/>
      <c r="M421" s="799"/>
      <c r="N421" s="799"/>
      <c r="O421" s="799"/>
      <c r="P421" s="799"/>
      <c r="Q421" s="799"/>
      <c r="R421" s="799"/>
      <c r="S421" s="799"/>
      <c r="T421" s="799"/>
      <c r="U421" s="799"/>
      <c r="V421" s="799"/>
      <c r="W421" s="799"/>
      <c r="X421" s="799"/>
      <c r="Y421" s="799"/>
      <c r="Z421" s="799"/>
      <c r="AA421" s="799"/>
      <c r="AB421" s="799"/>
      <c r="AC421" s="799"/>
      <c r="AD421" s="799"/>
      <c r="AE421" s="799"/>
      <c r="AF421" s="799"/>
      <c r="AG421" s="799"/>
      <c r="AH421" s="799"/>
      <c r="AI421" s="799"/>
      <c r="AJ421" s="799"/>
      <c r="AK421" s="799"/>
      <c r="AL421" s="799"/>
      <c r="AM421" s="799"/>
      <c r="AN421" s="799"/>
      <c r="AO421" s="799"/>
      <c r="AP421" s="799"/>
      <c r="AQ421" s="799"/>
      <c r="AR421" s="799"/>
      <c r="AS421" s="799"/>
      <c r="AT421" s="799"/>
      <c r="AU421" s="799"/>
      <c r="AV421" s="799"/>
      <c r="AW421" s="799"/>
      <c r="AX421" s="799"/>
      <c r="AY421" s="799"/>
      <c r="AZ421" s="799"/>
      <c r="BA421" s="799"/>
      <c r="BB421" s="799"/>
      <c r="BC421" s="799"/>
      <c r="BD421" s="799"/>
      <c r="BE421" s="799"/>
      <c r="BF421" s="799"/>
      <c r="BG421" s="799"/>
    </row>
    <row r="422">
      <c r="H422" s="799"/>
      <c r="I422" s="799"/>
      <c r="J422" s="799"/>
      <c r="K422" s="799"/>
      <c r="L422" s="799"/>
      <c r="M422" s="799"/>
      <c r="N422" s="799"/>
      <c r="O422" s="799"/>
      <c r="P422" s="799"/>
      <c r="Q422" s="799"/>
      <c r="R422" s="799"/>
      <c r="S422" s="799"/>
      <c r="T422" s="799"/>
      <c r="U422" s="799"/>
      <c r="V422" s="799"/>
      <c r="W422" s="799"/>
      <c r="X422" s="799"/>
      <c r="Y422" s="799"/>
      <c r="Z422" s="799"/>
      <c r="AA422" s="799"/>
      <c r="AB422" s="799"/>
      <c r="AC422" s="799"/>
      <c r="AD422" s="799"/>
      <c r="AE422" s="799"/>
      <c r="AF422" s="799"/>
      <c r="AG422" s="799"/>
      <c r="AH422" s="799"/>
      <c r="AI422" s="799"/>
      <c r="AJ422" s="799"/>
      <c r="AK422" s="799"/>
      <c r="AL422" s="799"/>
      <c r="AM422" s="799"/>
      <c r="AN422" s="799"/>
      <c r="AO422" s="799"/>
      <c r="AP422" s="799"/>
      <c r="AQ422" s="799"/>
      <c r="AR422" s="799"/>
      <c r="AS422" s="799"/>
      <c r="AT422" s="799"/>
      <c r="AU422" s="799"/>
      <c r="AV422" s="799"/>
      <c r="AW422" s="799"/>
      <c r="AX422" s="799"/>
      <c r="AY422" s="799"/>
      <c r="AZ422" s="799"/>
      <c r="BA422" s="799"/>
      <c r="BB422" s="799"/>
      <c r="BC422" s="799"/>
      <c r="BD422" s="799"/>
      <c r="BE422" s="799"/>
      <c r="BF422" s="799"/>
      <c r="BG422" s="799"/>
    </row>
    <row r="423">
      <c r="H423" s="799"/>
      <c r="I423" s="799"/>
      <c r="J423" s="799"/>
      <c r="K423" s="799"/>
      <c r="L423" s="799"/>
      <c r="M423" s="799"/>
      <c r="N423" s="799"/>
      <c r="O423" s="799"/>
      <c r="P423" s="799"/>
      <c r="Q423" s="799"/>
      <c r="R423" s="799"/>
      <c r="S423" s="799"/>
      <c r="T423" s="799"/>
      <c r="U423" s="799"/>
      <c r="V423" s="799"/>
      <c r="W423" s="799"/>
      <c r="X423" s="799"/>
      <c r="Y423" s="799"/>
      <c r="Z423" s="799"/>
      <c r="AA423" s="799"/>
      <c r="AB423" s="799"/>
      <c r="AC423" s="799"/>
      <c r="AD423" s="799"/>
      <c r="AE423" s="799"/>
      <c r="AF423" s="799"/>
      <c r="AG423" s="799"/>
      <c r="AH423" s="799"/>
      <c r="AI423" s="799"/>
      <c r="AJ423" s="799"/>
      <c r="AK423" s="799"/>
      <c r="AL423" s="799"/>
      <c r="AM423" s="799"/>
      <c r="AN423" s="799"/>
      <c r="AO423" s="799"/>
      <c r="AP423" s="799"/>
      <c r="AQ423" s="799"/>
      <c r="AR423" s="799"/>
      <c r="AS423" s="799"/>
      <c r="AT423" s="799"/>
      <c r="AU423" s="799"/>
      <c r="AV423" s="799"/>
      <c r="AW423" s="799"/>
      <c r="AX423" s="799"/>
      <c r="AY423" s="799"/>
      <c r="AZ423" s="799"/>
      <c r="BA423" s="799"/>
      <c r="BB423" s="799"/>
      <c r="BC423" s="799"/>
      <c r="BD423" s="799"/>
      <c r="BE423" s="799"/>
      <c r="BF423" s="799"/>
      <c r="BG423" s="799"/>
    </row>
    <row r="424">
      <c r="H424" s="799"/>
      <c r="I424" s="799"/>
      <c r="J424" s="799"/>
      <c r="K424" s="799"/>
      <c r="L424" s="799"/>
      <c r="M424" s="799"/>
      <c r="N424" s="799"/>
      <c r="O424" s="799"/>
      <c r="P424" s="799"/>
      <c r="Q424" s="799"/>
      <c r="R424" s="799"/>
      <c r="S424" s="799"/>
      <c r="T424" s="799"/>
      <c r="U424" s="799"/>
      <c r="V424" s="799"/>
      <c r="W424" s="799"/>
      <c r="X424" s="799"/>
      <c r="Y424" s="799"/>
      <c r="Z424" s="799"/>
      <c r="AA424" s="799"/>
      <c r="AB424" s="799"/>
      <c r="AC424" s="799"/>
      <c r="AD424" s="799"/>
      <c r="AE424" s="799"/>
      <c r="AF424" s="799"/>
      <c r="AG424" s="799"/>
      <c r="AH424" s="799"/>
      <c r="AI424" s="799"/>
      <c r="AJ424" s="799"/>
      <c r="AK424" s="799"/>
      <c r="AL424" s="799"/>
      <c r="AM424" s="799"/>
      <c r="AN424" s="799"/>
      <c r="AO424" s="799"/>
      <c r="AP424" s="799"/>
      <c r="AQ424" s="799"/>
      <c r="AR424" s="799"/>
      <c r="AS424" s="799"/>
      <c r="AT424" s="799"/>
      <c r="AU424" s="799"/>
      <c r="AV424" s="799"/>
      <c r="AW424" s="799"/>
      <c r="AX424" s="799"/>
      <c r="AY424" s="799"/>
      <c r="AZ424" s="799"/>
      <c r="BA424" s="799"/>
      <c r="BB424" s="799"/>
      <c r="BC424" s="799"/>
      <c r="BD424" s="799"/>
      <c r="BE424" s="799"/>
      <c r="BF424" s="799"/>
      <c r="BG424" s="799"/>
    </row>
    <row r="425">
      <c r="H425" s="799"/>
      <c r="I425" s="799"/>
      <c r="J425" s="799"/>
      <c r="K425" s="799"/>
      <c r="L425" s="799"/>
      <c r="M425" s="799"/>
      <c r="N425" s="799"/>
      <c r="O425" s="799"/>
      <c r="P425" s="799"/>
      <c r="Q425" s="799"/>
      <c r="R425" s="799"/>
      <c r="S425" s="799"/>
      <c r="T425" s="799"/>
      <c r="U425" s="799"/>
      <c r="V425" s="799"/>
      <c r="W425" s="799"/>
      <c r="X425" s="799"/>
      <c r="Y425" s="799"/>
      <c r="Z425" s="799"/>
      <c r="AA425" s="799"/>
      <c r="AB425" s="799"/>
      <c r="AC425" s="799"/>
      <c r="AD425" s="799"/>
      <c r="AE425" s="799"/>
      <c r="AF425" s="799"/>
      <c r="AG425" s="799"/>
      <c r="AH425" s="799"/>
      <c r="AI425" s="799"/>
      <c r="AJ425" s="799"/>
      <c r="AK425" s="799"/>
      <c r="AL425" s="799"/>
      <c r="AM425" s="799"/>
      <c r="AN425" s="799"/>
      <c r="AO425" s="799"/>
      <c r="AP425" s="799"/>
      <c r="AQ425" s="799"/>
      <c r="AR425" s="799"/>
      <c r="AS425" s="799"/>
      <c r="AT425" s="799"/>
      <c r="AU425" s="799"/>
      <c r="AV425" s="799"/>
      <c r="AW425" s="799"/>
      <c r="AX425" s="799"/>
      <c r="AY425" s="799"/>
      <c r="AZ425" s="799"/>
      <c r="BA425" s="799"/>
      <c r="BB425" s="799"/>
      <c r="BC425" s="799"/>
      <c r="BD425" s="799"/>
      <c r="BE425" s="799"/>
      <c r="BF425" s="799"/>
      <c r="BG425" s="799"/>
    </row>
    <row r="426">
      <c r="H426" s="799"/>
      <c r="I426" s="799"/>
      <c r="J426" s="799"/>
      <c r="K426" s="799"/>
      <c r="L426" s="799"/>
      <c r="M426" s="799"/>
      <c r="N426" s="799"/>
      <c r="O426" s="799"/>
      <c r="P426" s="799"/>
      <c r="Q426" s="799"/>
      <c r="R426" s="799"/>
      <c r="S426" s="799"/>
      <c r="T426" s="799"/>
      <c r="U426" s="799"/>
      <c r="V426" s="799"/>
      <c r="W426" s="799"/>
      <c r="X426" s="799"/>
      <c r="Y426" s="799"/>
      <c r="Z426" s="799"/>
      <c r="AA426" s="799"/>
      <c r="AB426" s="799"/>
      <c r="AC426" s="799"/>
      <c r="AD426" s="799"/>
      <c r="AE426" s="799"/>
      <c r="AF426" s="799"/>
      <c r="AG426" s="799"/>
      <c r="AH426" s="799"/>
      <c r="AI426" s="799"/>
      <c r="AJ426" s="799"/>
      <c r="AK426" s="799"/>
      <c r="AL426" s="799"/>
      <c r="AM426" s="799"/>
      <c r="AN426" s="799"/>
      <c r="AO426" s="799"/>
      <c r="AP426" s="799"/>
      <c r="AQ426" s="799"/>
      <c r="AR426" s="799"/>
      <c r="AS426" s="799"/>
      <c r="AT426" s="799"/>
      <c r="AU426" s="799"/>
      <c r="AV426" s="799"/>
      <c r="AW426" s="799"/>
      <c r="AX426" s="799"/>
      <c r="AY426" s="799"/>
      <c r="AZ426" s="799"/>
      <c r="BA426" s="799"/>
      <c r="BB426" s="799"/>
      <c r="BC426" s="799"/>
      <c r="BD426" s="799"/>
      <c r="BE426" s="799"/>
      <c r="BF426" s="799"/>
      <c r="BG426" s="799"/>
    </row>
    <row r="427">
      <c r="H427" s="799"/>
      <c r="I427" s="799"/>
      <c r="J427" s="799"/>
      <c r="K427" s="799"/>
      <c r="L427" s="799"/>
      <c r="M427" s="799"/>
      <c r="N427" s="799"/>
      <c r="O427" s="799"/>
      <c r="P427" s="799"/>
      <c r="Q427" s="799"/>
      <c r="R427" s="799"/>
      <c r="S427" s="799"/>
      <c r="T427" s="799"/>
      <c r="U427" s="799"/>
      <c r="V427" s="799"/>
      <c r="W427" s="799"/>
      <c r="X427" s="799"/>
      <c r="Y427" s="799"/>
      <c r="Z427" s="799"/>
      <c r="AA427" s="799"/>
      <c r="AB427" s="799"/>
      <c r="AC427" s="799"/>
      <c r="AD427" s="799"/>
      <c r="AE427" s="799"/>
      <c r="AF427" s="799"/>
      <c r="AG427" s="799"/>
      <c r="AH427" s="799"/>
      <c r="AI427" s="799"/>
      <c r="AJ427" s="799"/>
      <c r="AK427" s="799"/>
      <c r="AL427" s="799"/>
      <c r="AM427" s="799"/>
      <c r="AN427" s="799"/>
      <c r="AO427" s="799"/>
      <c r="AP427" s="799"/>
      <c r="AQ427" s="799"/>
      <c r="AR427" s="799"/>
      <c r="AS427" s="799"/>
      <c r="AT427" s="799"/>
      <c r="AU427" s="799"/>
      <c r="AV427" s="799"/>
      <c r="AW427" s="799"/>
      <c r="AX427" s="799"/>
      <c r="AY427" s="799"/>
      <c r="AZ427" s="799"/>
      <c r="BA427" s="799"/>
      <c r="BB427" s="799"/>
      <c r="BC427" s="799"/>
      <c r="BD427" s="799"/>
      <c r="BE427" s="799"/>
      <c r="BF427" s="799"/>
      <c r="BG427" s="799"/>
    </row>
    <row r="428">
      <c r="H428" s="799"/>
      <c r="I428" s="799"/>
      <c r="J428" s="799"/>
      <c r="K428" s="799"/>
      <c r="L428" s="799"/>
      <c r="M428" s="799"/>
      <c r="N428" s="799"/>
      <c r="O428" s="799"/>
      <c r="P428" s="799"/>
      <c r="Q428" s="799"/>
      <c r="R428" s="799"/>
      <c r="S428" s="799"/>
      <c r="T428" s="799"/>
      <c r="U428" s="799"/>
      <c r="V428" s="799"/>
      <c r="W428" s="799"/>
      <c r="X428" s="799"/>
      <c r="Y428" s="799"/>
      <c r="Z428" s="799"/>
      <c r="AA428" s="799"/>
      <c r="AB428" s="799"/>
      <c r="AC428" s="799"/>
      <c r="AD428" s="799"/>
      <c r="AE428" s="799"/>
      <c r="AF428" s="799"/>
      <c r="AG428" s="799"/>
      <c r="AH428" s="799"/>
      <c r="AI428" s="799"/>
      <c r="AJ428" s="799"/>
      <c r="AK428" s="799"/>
      <c r="AL428" s="799"/>
      <c r="AM428" s="799"/>
      <c r="AN428" s="799"/>
      <c r="AO428" s="799"/>
      <c r="AP428" s="799"/>
      <c r="AQ428" s="799"/>
      <c r="AR428" s="799"/>
      <c r="AS428" s="799"/>
      <c r="AT428" s="799"/>
      <c r="AU428" s="799"/>
      <c r="AV428" s="799"/>
      <c r="AW428" s="799"/>
      <c r="AX428" s="799"/>
      <c r="AY428" s="799"/>
      <c r="AZ428" s="799"/>
      <c r="BA428" s="799"/>
      <c r="BB428" s="799"/>
      <c r="BC428" s="799"/>
      <c r="BD428" s="799"/>
      <c r="BE428" s="799"/>
      <c r="BF428" s="799"/>
      <c r="BG428" s="799"/>
    </row>
    <row r="429">
      <c r="H429" s="799"/>
      <c r="I429" s="799"/>
      <c r="J429" s="799"/>
      <c r="K429" s="799"/>
      <c r="L429" s="799"/>
      <c r="M429" s="799"/>
      <c r="N429" s="799"/>
      <c r="O429" s="799"/>
      <c r="P429" s="799"/>
      <c r="Q429" s="799"/>
      <c r="R429" s="799"/>
      <c r="S429" s="799"/>
      <c r="T429" s="799"/>
      <c r="U429" s="799"/>
      <c r="V429" s="799"/>
      <c r="W429" s="799"/>
      <c r="X429" s="799"/>
      <c r="Y429" s="799"/>
      <c r="Z429" s="799"/>
      <c r="AA429" s="799"/>
      <c r="AB429" s="799"/>
      <c r="AC429" s="799"/>
      <c r="AD429" s="799"/>
      <c r="AE429" s="799"/>
      <c r="AF429" s="799"/>
      <c r="AG429" s="799"/>
      <c r="AH429" s="799"/>
      <c r="AI429" s="799"/>
      <c r="AJ429" s="799"/>
      <c r="AK429" s="799"/>
      <c r="AL429" s="799"/>
      <c r="AM429" s="799"/>
      <c r="AN429" s="799"/>
      <c r="AO429" s="799"/>
      <c r="AP429" s="799"/>
      <c r="AQ429" s="799"/>
      <c r="AR429" s="799"/>
      <c r="AS429" s="799"/>
      <c r="AT429" s="799"/>
      <c r="AU429" s="799"/>
      <c r="AV429" s="799"/>
      <c r="AW429" s="799"/>
      <c r="AX429" s="799"/>
      <c r="AY429" s="799"/>
      <c r="AZ429" s="799"/>
      <c r="BA429" s="799"/>
      <c r="BB429" s="799"/>
      <c r="BC429" s="799"/>
      <c r="BD429" s="799"/>
      <c r="BE429" s="799"/>
      <c r="BF429" s="799"/>
      <c r="BG429" s="799"/>
    </row>
    <row r="430">
      <c r="H430" s="799"/>
      <c r="I430" s="799"/>
      <c r="J430" s="799"/>
      <c r="K430" s="799"/>
      <c r="L430" s="799"/>
      <c r="M430" s="799"/>
      <c r="N430" s="799"/>
      <c r="O430" s="799"/>
      <c r="P430" s="799"/>
      <c r="Q430" s="799"/>
      <c r="R430" s="799"/>
      <c r="S430" s="799"/>
      <c r="T430" s="799"/>
      <c r="U430" s="799"/>
      <c r="V430" s="799"/>
      <c r="W430" s="799"/>
      <c r="X430" s="799"/>
      <c r="Y430" s="799"/>
      <c r="Z430" s="799"/>
      <c r="AA430" s="799"/>
      <c r="AB430" s="799"/>
      <c r="AC430" s="799"/>
      <c r="AD430" s="799"/>
      <c r="AE430" s="799"/>
      <c r="AF430" s="799"/>
      <c r="AG430" s="799"/>
      <c r="AH430" s="799"/>
      <c r="AI430" s="799"/>
      <c r="AJ430" s="799"/>
      <c r="AK430" s="799"/>
      <c r="AL430" s="799"/>
      <c r="AM430" s="799"/>
      <c r="AN430" s="799"/>
      <c r="AO430" s="799"/>
      <c r="AP430" s="799"/>
      <c r="AQ430" s="799"/>
      <c r="AR430" s="799"/>
      <c r="AS430" s="799"/>
      <c r="AT430" s="799"/>
      <c r="AU430" s="799"/>
      <c r="AV430" s="799"/>
      <c r="AW430" s="799"/>
      <c r="AX430" s="799"/>
      <c r="AY430" s="799"/>
      <c r="AZ430" s="799"/>
      <c r="BA430" s="799"/>
      <c r="BB430" s="799"/>
      <c r="BC430" s="799"/>
      <c r="BD430" s="799"/>
      <c r="BE430" s="799"/>
      <c r="BF430" s="799"/>
      <c r="BG430" s="799"/>
    </row>
    <row r="431">
      <c r="H431" s="799"/>
      <c r="I431" s="799"/>
      <c r="J431" s="799"/>
      <c r="K431" s="799"/>
      <c r="L431" s="799"/>
      <c r="M431" s="799"/>
      <c r="N431" s="799"/>
      <c r="O431" s="799"/>
      <c r="P431" s="799"/>
      <c r="Q431" s="799"/>
      <c r="R431" s="799"/>
      <c r="S431" s="799"/>
      <c r="T431" s="799"/>
      <c r="U431" s="799"/>
      <c r="V431" s="799"/>
      <c r="W431" s="799"/>
      <c r="X431" s="799"/>
      <c r="Y431" s="799"/>
      <c r="Z431" s="799"/>
      <c r="AA431" s="799"/>
      <c r="AB431" s="799"/>
      <c r="AC431" s="799"/>
      <c r="AD431" s="799"/>
      <c r="AE431" s="799"/>
      <c r="AF431" s="799"/>
      <c r="AG431" s="799"/>
      <c r="AH431" s="799"/>
      <c r="AI431" s="799"/>
      <c r="AJ431" s="799"/>
      <c r="AK431" s="799"/>
      <c r="AL431" s="799"/>
      <c r="AM431" s="799"/>
      <c r="AN431" s="799"/>
      <c r="AO431" s="799"/>
      <c r="AP431" s="799"/>
      <c r="AQ431" s="799"/>
      <c r="AR431" s="799"/>
      <c r="AS431" s="799"/>
      <c r="AT431" s="799"/>
      <c r="AU431" s="799"/>
      <c r="AV431" s="799"/>
      <c r="AW431" s="799"/>
      <c r="AX431" s="799"/>
      <c r="AY431" s="799"/>
      <c r="AZ431" s="799"/>
      <c r="BA431" s="799"/>
      <c r="BB431" s="799"/>
      <c r="BC431" s="799"/>
      <c r="BD431" s="799"/>
      <c r="BE431" s="799"/>
      <c r="BF431" s="799"/>
      <c r="BG431" s="799"/>
    </row>
    <row r="432">
      <c r="H432" s="799"/>
      <c r="I432" s="799"/>
      <c r="J432" s="799"/>
      <c r="K432" s="799"/>
      <c r="L432" s="799"/>
      <c r="M432" s="799"/>
      <c r="N432" s="799"/>
      <c r="O432" s="799"/>
      <c r="P432" s="799"/>
      <c r="Q432" s="799"/>
      <c r="R432" s="799"/>
      <c r="S432" s="799"/>
      <c r="T432" s="799"/>
      <c r="U432" s="799"/>
      <c r="V432" s="799"/>
      <c r="W432" s="799"/>
      <c r="X432" s="799"/>
      <c r="Y432" s="799"/>
      <c r="Z432" s="799"/>
      <c r="AA432" s="799"/>
      <c r="AB432" s="799"/>
      <c r="AC432" s="799"/>
      <c r="AD432" s="799"/>
      <c r="AE432" s="799"/>
      <c r="AF432" s="799"/>
      <c r="AG432" s="799"/>
      <c r="AH432" s="799"/>
      <c r="AI432" s="799"/>
      <c r="AJ432" s="799"/>
      <c r="AK432" s="799"/>
      <c r="AL432" s="799"/>
      <c r="AM432" s="799"/>
      <c r="AN432" s="799"/>
      <c r="AO432" s="799"/>
      <c r="AP432" s="799"/>
      <c r="AQ432" s="799"/>
      <c r="AR432" s="799"/>
      <c r="AS432" s="799"/>
      <c r="AT432" s="799"/>
      <c r="AU432" s="799"/>
      <c r="AV432" s="799"/>
      <c r="AW432" s="799"/>
      <c r="AX432" s="799"/>
      <c r="AY432" s="799"/>
      <c r="AZ432" s="799"/>
      <c r="BA432" s="799"/>
      <c r="BB432" s="799"/>
      <c r="BC432" s="799"/>
      <c r="BD432" s="799"/>
      <c r="BE432" s="799"/>
      <c r="BF432" s="799"/>
      <c r="BG432" s="799"/>
    </row>
    <row r="433">
      <c r="H433" s="799"/>
      <c r="I433" s="799"/>
      <c r="J433" s="799"/>
      <c r="K433" s="799"/>
      <c r="L433" s="799"/>
      <c r="M433" s="799"/>
      <c r="N433" s="799"/>
      <c r="O433" s="799"/>
      <c r="P433" s="799"/>
      <c r="Q433" s="799"/>
      <c r="R433" s="799"/>
      <c r="S433" s="799"/>
      <c r="T433" s="799"/>
      <c r="U433" s="799"/>
      <c r="V433" s="799"/>
      <c r="W433" s="799"/>
      <c r="X433" s="799"/>
      <c r="Y433" s="799"/>
      <c r="Z433" s="799"/>
      <c r="AA433" s="799"/>
      <c r="AB433" s="799"/>
      <c r="AC433" s="799"/>
      <c r="AD433" s="799"/>
      <c r="AE433" s="799"/>
      <c r="AF433" s="799"/>
      <c r="AG433" s="799"/>
      <c r="AH433" s="799"/>
      <c r="AI433" s="799"/>
      <c r="AJ433" s="799"/>
      <c r="AK433" s="799"/>
      <c r="AL433" s="799"/>
      <c r="AM433" s="799"/>
      <c r="AN433" s="799"/>
      <c r="AO433" s="799"/>
      <c r="AP433" s="799"/>
      <c r="AQ433" s="799"/>
      <c r="AR433" s="799"/>
      <c r="AS433" s="799"/>
      <c r="AT433" s="799"/>
      <c r="AU433" s="799"/>
      <c r="AV433" s="799"/>
      <c r="AW433" s="799"/>
      <c r="AX433" s="799"/>
      <c r="AY433" s="799"/>
      <c r="AZ433" s="799"/>
      <c r="BA433" s="799"/>
      <c r="BB433" s="799"/>
      <c r="BC433" s="799"/>
      <c r="BD433" s="799"/>
      <c r="BE433" s="799"/>
      <c r="BF433" s="799"/>
      <c r="BG433" s="799"/>
    </row>
    <row r="434">
      <c r="H434" s="799"/>
      <c r="I434" s="799"/>
      <c r="J434" s="799"/>
      <c r="K434" s="799"/>
      <c r="L434" s="799"/>
      <c r="M434" s="799"/>
      <c r="N434" s="799"/>
      <c r="O434" s="799"/>
      <c r="P434" s="799"/>
      <c r="Q434" s="799"/>
      <c r="R434" s="799"/>
      <c r="S434" s="799"/>
      <c r="T434" s="799"/>
      <c r="U434" s="799"/>
      <c r="V434" s="799"/>
      <c r="W434" s="799"/>
      <c r="X434" s="799"/>
      <c r="Y434" s="799"/>
      <c r="Z434" s="799"/>
      <c r="AA434" s="799"/>
      <c r="AB434" s="799"/>
      <c r="AC434" s="799"/>
      <c r="AD434" s="799"/>
      <c r="AE434" s="799"/>
      <c r="AF434" s="799"/>
      <c r="AG434" s="799"/>
      <c r="AH434" s="799"/>
      <c r="AI434" s="799"/>
      <c r="AJ434" s="799"/>
      <c r="AK434" s="799"/>
      <c r="AL434" s="799"/>
      <c r="AM434" s="799"/>
      <c r="AN434" s="799"/>
      <c r="AO434" s="799"/>
      <c r="AP434" s="799"/>
      <c r="AQ434" s="799"/>
      <c r="AR434" s="799"/>
      <c r="AS434" s="799"/>
      <c r="AT434" s="799"/>
      <c r="AU434" s="799"/>
      <c r="AV434" s="799"/>
      <c r="AW434" s="799"/>
      <c r="AX434" s="799"/>
      <c r="AY434" s="799"/>
      <c r="AZ434" s="799"/>
      <c r="BA434" s="799"/>
      <c r="BB434" s="799"/>
      <c r="BC434" s="799"/>
      <c r="BD434" s="799"/>
      <c r="BE434" s="799"/>
      <c r="BF434" s="799"/>
      <c r="BG434" s="799"/>
    </row>
    <row r="435">
      <c r="H435" s="799"/>
      <c r="I435" s="799"/>
      <c r="J435" s="799"/>
      <c r="K435" s="799"/>
      <c r="L435" s="799"/>
      <c r="M435" s="799"/>
      <c r="N435" s="799"/>
      <c r="O435" s="799"/>
      <c r="P435" s="799"/>
      <c r="Q435" s="799"/>
      <c r="R435" s="799"/>
      <c r="S435" s="799"/>
      <c r="T435" s="799"/>
      <c r="U435" s="799"/>
      <c r="V435" s="799"/>
      <c r="W435" s="799"/>
      <c r="X435" s="799"/>
      <c r="Y435" s="799"/>
      <c r="Z435" s="799"/>
      <c r="AA435" s="799"/>
      <c r="AB435" s="799"/>
      <c r="AC435" s="799"/>
      <c r="AD435" s="799"/>
      <c r="AE435" s="799"/>
      <c r="AF435" s="799"/>
      <c r="AG435" s="799"/>
      <c r="AH435" s="799"/>
      <c r="AI435" s="799"/>
      <c r="AJ435" s="799"/>
      <c r="AK435" s="799"/>
      <c r="AL435" s="799"/>
      <c r="AM435" s="799"/>
      <c r="AN435" s="799"/>
      <c r="AO435" s="799"/>
      <c r="AP435" s="799"/>
      <c r="AQ435" s="799"/>
      <c r="AR435" s="799"/>
      <c r="AS435" s="799"/>
      <c r="AT435" s="799"/>
      <c r="AU435" s="799"/>
      <c r="AV435" s="799"/>
      <c r="AW435" s="799"/>
      <c r="AX435" s="799"/>
      <c r="AY435" s="799"/>
      <c r="AZ435" s="799"/>
      <c r="BA435" s="799"/>
      <c r="BB435" s="799"/>
      <c r="BC435" s="799"/>
      <c r="BD435" s="799"/>
      <c r="BE435" s="799"/>
      <c r="BF435" s="799"/>
      <c r="BG435" s="799"/>
    </row>
    <row r="436">
      <c r="H436" s="799"/>
      <c r="I436" s="799"/>
      <c r="J436" s="799"/>
      <c r="K436" s="799"/>
      <c r="L436" s="799"/>
      <c r="M436" s="799"/>
      <c r="N436" s="799"/>
      <c r="O436" s="799"/>
      <c r="P436" s="799"/>
      <c r="Q436" s="799"/>
      <c r="R436" s="799"/>
      <c r="S436" s="799"/>
      <c r="T436" s="799"/>
      <c r="U436" s="799"/>
      <c r="V436" s="799"/>
      <c r="W436" s="799"/>
      <c r="X436" s="799"/>
      <c r="Y436" s="799"/>
      <c r="Z436" s="799"/>
      <c r="AA436" s="799"/>
      <c r="AB436" s="799"/>
      <c r="AC436" s="799"/>
      <c r="AD436" s="799"/>
      <c r="AE436" s="799"/>
      <c r="AF436" s="799"/>
      <c r="AG436" s="799"/>
      <c r="AH436" s="799"/>
      <c r="AI436" s="799"/>
      <c r="AJ436" s="799"/>
      <c r="AK436" s="799"/>
      <c r="AL436" s="799"/>
      <c r="AM436" s="799"/>
      <c r="AN436" s="799"/>
      <c r="AO436" s="799"/>
      <c r="AP436" s="799"/>
      <c r="AQ436" s="799"/>
      <c r="AR436" s="799"/>
      <c r="AS436" s="799"/>
      <c r="AT436" s="799"/>
      <c r="AU436" s="799"/>
      <c r="AV436" s="799"/>
      <c r="AW436" s="799"/>
      <c r="AX436" s="799"/>
      <c r="AY436" s="799"/>
      <c r="AZ436" s="799"/>
      <c r="BA436" s="799"/>
      <c r="BB436" s="799"/>
      <c r="BC436" s="799"/>
      <c r="BD436" s="799"/>
      <c r="BE436" s="799"/>
      <c r="BF436" s="799"/>
      <c r="BG436" s="799"/>
    </row>
    <row r="437">
      <c r="H437" s="799"/>
      <c r="I437" s="799"/>
      <c r="J437" s="799"/>
      <c r="K437" s="799"/>
      <c r="L437" s="799"/>
      <c r="M437" s="799"/>
      <c r="N437" s="799"/>
      <c r="O437" s="799"/>
      <c r="P437" s="799"/>
      <c r="Q437" s="799"/>
      <c r="R437" s="799"/>
      <c r="S437" s="799"/>
      <c r="T437" s="799"/>
      <c r="U437" s="799"/>
      <c r="V437" s="799"/>
      <c r="W437" s="799"/>
      <c r="X437" s="799"/>
      <c r="Y437" s="799"/>
      <c r="Z437" s="799"/>
      <c r="AA437" s="799"/>
      <c r="AB437" s="799"/>
      <c r="AC437" s="799"/>
      <c r="AD437" s="799"/>
      <c r="AE437" s="799"/>
      <c r="AF437" s="799"/>
      <c r="AG437" s="799"/>
      <c r="AH437" s="799"/>
      <c r="AI437" s="799"/>
      <c r="AJ437" s="799"/>
      <c r="AK437" s="799"/>
      <c r="AL437" s="799"/>
      <c r="AM437" s="799"/>
      <c r="AN437" s="799"/>
      <c r="AO437" s="799"/>
      <c r="AP437" s="799"/>
      <c r="AQ437" s="799"/>
      <c r="AR437" s="799"/>
      <c r="AS437" s="799"/>
      <c r="AT437" s="799"/>
      <c r="AU437" s="799"/>
      <c r="AV437" s="799"/>
      <c r="AW437" s="799"/>
      <c r="AX437" s="799"/>
      <c r="AY437" s="799"/>
      <c r="AZ437" s="799"/>
      <c r="BA437" s="799"/>
      <c r="BB437" s="799"/>
      <c r="BC437" s="799"/>
      <c r="BD437" s="799"/>
      <c r="BE437" s="799"/>
      <c r="BF437" s="799"/>
      <c r="BG437" s="799"/>
    </row>
    <row r="438">
      <c r="H438" s="799"/>
      <c r="I438" s="799"/>
      <c r="J438" s="799"/>
      <c r="K438" s="799"/>
      <c r="L438" s="799"/>
      <c r="M438" s="799"/>
      <c r="N438" s="799"/>
      <c r="O438" s="799"/>
      <c r="P438" s="799"/>
      <c r="Q438" s="799"/>
      <c r="R438" s="799"/>
      <c r="S438" s="799"/>
      <c r="T438" s="799"/>
      <c r="U438" s="799"/>
      <c r="V438" s="799"/>
      <c r="W438" s="799"/>
      <c r="X438" s="799"/>
      <c r="Y438" s="799"/>
      <c r="Z438" s="799"/>
      <c r="AA438" s="799"/>
      <c r="AB438" s="799"/>
      <c r="AC438" s="799"/>
      <c r="AD438" s="799"/>
      <c r="AE438" s="799"/>
      <c r="AF438" s="799"/>
      <c r="AG438" s="799"/>
      <c r="AH438" s="799"/>
      <c r="AI438" s="799"/>
      <c r="AJ438" s="799"/>
      <c r="AK438" s="799"/>
      <c r="AL438" s="799"/>
      <c r="AM438" s="799"/>
      <c r="AN438" s="799"/>
      <c r="AO438" s="799"/>
      <c r="AP438" s="799"/>
      <c r="AQ438" s="799"/>
      <c r="AR438" s="799"/>
      <c r="AS438" s="799"/>
      <c r="AT438" s="799"/>
      <c r="AU438" s="799"/>
      <c r="AV438" s="799"/>
      <c r="AW438" s="799"/>
      <c r="AX438" s="799"/>
      <c r="AY438" s="799"/>
      <c r="AZ438" s="799"/>
      <c r="BA438" s="799"/>
      <c r="BB438" s="799"/>
      <c r="BC438" s="799"/>
      <c r="BD438" s="799"/>
      <c r="BE438" s="799"/>
      <c r="BF438" s="799"/>
      <c r="BG438" s="799"/>
    </row>
    <row r="439">
      <c r="H439" s="799"/>
      <c r="I439" s="799"/>
      <c r="J439" s="799"/>
      <c r="K439" s="799"/>
      <c r="L439" s="799"/>
      <c r="M439" s="799"/>
      <c r="N439" s="799"/>
      <c r="O439" s="799"/>
      <c r="P439" s="799"/>
      <c r="Q439" s="799"/>
      <c r="R439" s="799"/>
      <c r="S439" s="799"/>
      <c r="T439" s="799"/>
      <c r="U439" s="799"/>
      <c r="V439" s="799"/>
      <c r="W439" s="799"/>
      <c r="X439" s="799"/>
      <c r="Y439" s="799"/>
      <c r="Z439" s="799"/>
      <c r="AA439" s="799"/>
      <c r="AB439" s="799"/>
      <c r="AC439" s="799"/>
      <c r="AD439" s="799"/>
      <c r="AE439" s="799"/>
      <c r="AF439" s="799"/>
      <c r="AG439" s="799"/>
      <c r="AH439" s="799"/>
      <c r="AI439" s="799"/>
      <c r="AJ439" s="799"/>
      <c r="AK439" s="799"/>
      <c r="AL439" s="799"/>
      <c r="AM439" s="799"/>
      <c r="AN439" s="799"/>
      <c r="AO439" s="799"/>
      <c r="AP439" s="799"/>
      <c r="AQ439" s="799"/>
      <c r="AR439" s="799"/>
      <c r="AS439" s="799"/>
      <c r="AT439" s="799"/>
      <c r="AU439" s="799"/>
      <c r="AV439" s="799"/>
      <c r="AW439" s="799"/>
      <c r="AX439" s="799"/>
      <c r="AY439" s="799"/>
      <c r="AZ439" s="799"/>
      <c r="BA439" s="799"/>
      <c r="BB439" s="799"/>
      <c r="BC439" s="799"/>
      <c r="BD439" s="799"/>
      <c r="BE439" s="799"/>
      <c r="BF439" s="799"/>
      <c r="BG439" s="799"/>
    </row>
    <row r="440">
      <c r="H440" s="799"/>
      <c r="I440" s="799"/>
      <c r="J440" s="799"/>
      <c r="K440" s="799"/>
      <c r="L440" s="799"/>
      <c r="M440" s="799"/>
      <c r="N440" s="799"/>
      <c r="O440" s="799"/>
      <c r="P440" s="799"/>
      <c r="Q440" s="799"/>
      <c r="R440" s="799"/>
      <c r="S440" s="799"/>
      <c r="T440" s="799"/>
      <c r="U440" s="799"/>
      <c r="V440" s="799"/>
      <c r="W440" s="799"/>
      <c r="X440" s="799"/>
      <c r="Y440" s="799"/>
      <c r="Z440" s="799"/>
      <c r="AA440" s="799"/>
      <c r="AB440" s="799"/>
      <c r="AC440" s="799"/>
      <c r="AD440" s="799"/>
      <c r="AE440" s="799"/>
      <c r="AF440" s="799"/>
      <c r="AG440" s="799"/>
      <c r="AH440" s="799"/>
      <c r="AI440" s="799"/>
      <c r="AJ440" s="799"/>
      <c r="AK440" s="799"/>
      <c r="AL440" s="799"/>
      <c r="AM440" s="799"/>
      <c r="AN440" s="799"/>
      <c r="AO440" s="799"/>
      <c r="AP440" s="799"/>
      <c r="AQ440" s="799"/>
      <c r="AR440" s="799"/>
      <c r="AS440" s="799"/>
      <c r="AT440" s="799"/>
      <c r="AU440" s="799"/>
      <c r="AV440" s="799"/>
      <c r="AW440" s="799"/>
      <c r="AX440" s="799"/>
      <c r="AY440" s="799"/>
      <c r="AZ440" s="799"/>
      <c r="BA440" s="799"/>
      <c r="BB440" s="799"/>
      <c r="BC440" s="799"/>
      <c r="BD440" s="799"/>
      <c r="BE440" s="799"/>
      <c r="BF440" s="799"/>
      <c r="BG440" s="799"/>
    </row>
    <row r="441">
      <c r="H441" s="799"/>
      <c r="I441" s="799"/>
      <c r="J441" s="799"/>
      <c r="K441" s="799"/>
      <c r="L441" s="799"/>
      <c r="M441" s="799"/>
      <c r="N441" s="799"/>
      <c r="O441" s="799"/>
      <c r="P441" s="799"/>
      <c r="Q441" s="799"/>
      <c r="R441" s="799"/>
      <c r="S441" s="799"/>
      <c r="T441" s="799"/>
      <c r="U441" s="799"/>
      <c r="V441" s="799"/>
      <c r="W441" s="799"/>
      <c r="X441" s="799"/>
      <c r="Y441" s="799"/>
      <c r="Z441" s="799"/>
      <c r="AA441" s="799"/>
      <c r="AB441" s="799"/>
      <c r="AC441" s="799"/>
      <c r="AD441" s="799"/>
      <c r="AE441" s="799"/>
      <c r="AF441" s="799"/>
      <c r="AG441" s="799"/>
      <c r="AH441" s="799"/>
      <c r="AI441" s="799"/>
      <c r="AJ441" s="799"/>
      <c r="AK441" s="799"/>
      <c r="AL441" s="799"/>
      <c r="AM441" s="799"/>
      <c r="AN441" s="799"/>
      <c r="AO441" s="799"/>
      <c r="AP441" s="799"/>
      <c r="AQ441" s="799"/>
      <c r="AR441" s="799"/>
      <c r="AS441" s="799"/>
      <c r="AT441" s="799"/>
      <c r="AU441" s="799"/>
      <c r="AV441" s="799"/>
      <c r="AW441" s="799"/>
      <c r="AX441" s="799"/>
      <c r="AY441" s="799"/>
      <c r="AZ441" s="799"/>
      <c r="BA441" s="799"/>
      <c r="BB441" s="799"/>
      <c r="BC441" s="799"/>
      <c r="BD441" s="799"/>
      <c r="BE441" s="799"/>
      <c r="BF441" s="799"/>
      <c r="BG441" s="799"/>
    </row>
    <row r="442">
      <c r="H442" s="799"/>
      <c r="I442" s="799"/>
      <c r="J442" s="799"/>
      <c r="K442" s="799"/>
      <c r="L442" s="799"/>
      <c r="M442" s="799"/>
      <c r="N442" s="799"/>
      <c r="O442" s="799"/>
      <c r="P442" s="799"/>
      <c r="Q442" s="799"/>
      <c r="R442" s="799"/>
      <c r="S442" s="799"/>
      <c r="T442" s="799"/>
      <c r="U442" s="799"/>
      <c r="V442" s="799"/>
      <c r="W442" s="799"/>
      <c r="X442" s="799"/>
      <c r="Y442" s="799"/>
      <c r="Z442" s="799"/>
      <c r="AA442" s="799"/>
      <c r="AB442" s="799"/>
      <c r="AC442" s="799"/>
      <c r="AD442" s="799"/>
      <c r="AE442" s="799"/>
      <c r="AF442" s="799"/>
      <c r="AG442" s="799"/>
      <c r="AH442" s="799"/>
      <c r="AI442" s="799"/>
      <c r="AJ442" s="799"/>
      <c r="AK442" s="799"/>
      <c r="AL442" s="799"/>
      <c r="AM442" s="799"/>
      <c r="AN442" s="799"/>
      <c r="AO442" s="799"/>
      <c r="AP442" s="799"/>
      <c r="AQ442" s="799"/>
      <c r="AR442" s="799"/>
      <c r="AS442" s="799"/>
      <c r="AT442" s="799"/>
      <c r="AU442" s="799"/>
      <c r="AV442" s="799"/>
      <c r="AW442" s="799"/>
      <c r="AX442" s="799"/>
      <c r="AY442" s="799"/>
      <c r="AZ442" s="799"/>
      <c r="BA442" s="799"/>
      <c r="BB442" s="799"/>
      <c r="BC442" s="799"/>
      <c r="BD442" s="799"/>
      <c r="BE442" s="799"/>
      <c r="BF442" s="799"/>
      <c r="BG442" s="799"/>
    </row>
    <row r="443">
      <c r="H443" s="799"/>
      <c r="I443" s="799"/>
      <c r="J443" s="799"/>
      <c r="K443" s="799"/>
      <c r="L443" s="799"/>
      <c r="M443" s="799"/>
      <c r="N443" s="799"/>
      <c r="O443" s="799"/>
      <c r="P443" s="799"/>
      <c r="Q443" s="799"/>
      <c r="R443" s="799"/>
      <c r="S443" s="799"/>
      <c r="T443" s="799"/>
      <c r="U443" s="799"/>
      <c r="V443" s="799"/>
      <c r="W443" s="799"/>
      <c r="X443" s="799"/>
      <c r="Y443" s="799"/>
      <c r="Z443" s="799"/>
      <c r="AA443" s="799"/>
      <c r="AB443" s="799"/>
      <c r="AC443" s="799"/>
      <c r="AD443" s="799"/>
      <c r="AE443" s="799"/>
      <c r="AF443" s="799"/>
      <c r="AG443" s="799"/>
      <c r="AH443" s="799"/>
      <c r="AI443" s="799"/>
      <c r="AJ443" s="799"/>
      <c r="AK443" s="799"/>
      <c r="AL443" s="799"/>
      <c r="AM443" s="799"/>
      <c r="AN443" s="799"/>
      <c r="AO443" s="799"/>
      <c r="AP443" s="799"/>
      <c r="AQ443" s="799"/>
      <c r="AR443" s="799"/>
      <c r="AS443" s="799"/>
      <c r="AT443" s="799"/>
      <c r="AU443" s="799"/>
      <c r="AV443" s="799"/>
      <c r="AW443" s="799"/>
      <c r="AX443" s="799"/>
      <c r="AY443" s="799"/>
      <c r="AZ443" s="799"/>
      <c r="BA443" s="799"/>
      <c r="BB443" s="799"/>
      <c r="BC443" s="799"/>
      <c r="BD443" s="799"/>
      <c r="BE443" s="799"/>
      <c r="BF443" s="799"/>
      <c r="BG443" s="799"/>
    </row>
    <row r="444">
      <c r="H444" s="799"/>
      <c r="I444" s="799"/>
      <c r="J444" s="799"/>
      <c r="K444" s="799"/>
      <c r="L444" s="799"/>
      <c r="M444" s="799"/>
      <c r="N444" s="799"/>
      <c r="O444" s="799"/>
      <c r="P444" s="799"/>
      <c r="Q444" s="799"/>
      <c r="R444" s="799"/>
      <c r="S444" s="799"/>
      <c r="T444" s="799"/>
      <c r="U444" s="799"/>
      <c r="V444" s="799"/>
      <c r="W444" s="799"/>
      <c r="X444" s="799"/>
      <c r="Y444" s="799"/>
      <c r="Z444" s="799"/>
      <c r="AA444" s="799"/>
      <c r="AB444" s="799"/>
      <c r="AC444" s="799"/>
      <c r="AD444" s="799"/>
      <c r="AE444" s="799"/>
      <c r="AF444" s="799"/>
      <c r="AG444" s="799"/>
      <c r="AH444" s="799"/>
      <c r="AI444" s="799"/>
      <c r="AJ444" s="799"/>
      <c r="AK444" s="799"/>
      <c r="AL444" s="799"/>
      <c r="AM444" s="799"/>
      <c r="AN444" s="799"/>
      <c r="AO444" s="799"/>
      <c r="AP444" s="799"/>
      <c r="AQ444" s="799"/>
      <c r="AR444" s="799"/>
      <c r="AS444" s="799"/>
      <c r="AT444" s="799"/>
      <c r="AU444" s="799"/>
      <c r="AV444" s="799"/>
      <c r="AW444" s="799"/>
      <c r="AX444" s="799"/>
      <c r="AY444" s="799"/>
      <c r="AZ444" s="799"/>
      <c r="BA444" s="799"/>
      <c r="BB444" s="799"/>
      <c r="BC444" s="799"/>
      <c r="BD444" s="799"/>
      <c r="BE444" s="799"/>
      <c r="BF444" s="799"/>
      <c r="BG444" s="799"/>
    </row>
    <row r="445">
      <c r="H445" s="799"/>
      <c r="I445" s="799"/>
      <c r="J445" s="799"/>
      <c r="K445" s="799"/>
      <c r="L445" s="799"/>
      <c r="M445" s="799"/>
      <c r="N445" s="799"/>
      <c r="O445" s="799"/>
      <c r="P445" s="799"/>
      <c r="Q445" s="799"/>
      <c r="R445" s="799"/>
      <c r="S445" s="799"/>
      <c r="T445" s="799"/>
      <c r="U445" s="799"/>
      <c r="V445" s="799"/>
      <c r="W445" s="799"/>
      <c r="X445" s="799"/>
      <c r="Y445" s="799"/>
      <c r="Z445" s="799"/>
      <c r="AA445" s="799"/>
      <c r="AB445" s="799"/>
      <c r="AC445" s="799"/>
      <c r="AD445" s="799"/>
      <c r="AE445" s="799"/>
      <c r="AF445" s="799"/>
      <c r="AG445" s="799"/>
      <c r="AH445" s="799"/>
      <c r="AI445" s="799"/>
      <c r="AJ445" s="799"/>
      <c r="AK445" s="799"/>
      <c r="AL445" s="799"/>
      <c r="AM445" s="799"/>
      <c r="AN445" s="799"/>
      <c r="AO445" s="799"/>
      <c r="AP445" s="799"/>
      <c r="AQ445" s="799"/>
      <c r="AR445" s="799"/>
      <c r="AS445" s="799"/>
      <c r="AT445" s="799"/>
      <c r="AU445" s="799"/>
      <c r="AV445" s="799"/>
      <c r="AW445" s="799"/>
      <c r="AX445" s="799"/>
      <c r="AY445" s="799"/>
      <c r="AZ445" s="799"/>
      <c r="BA445" s="799"/>
      <c r="BB445" s="799"/>
      <c r="BC445" s="799"/>
      <c r="BD445" s="799"/>
      <c r="BE445" s="799"/>
      <c r="BF445" s="799"/>
      <c r="BG445" s="799"/>
    </row>
    <row r="446">
      <c r="H446" s="799"/>
      <c r="I446" s="799"/>
      <c r="J446" s="799"/>
      <c r="K446" s="799"/>
      <c r="L446" s="799"/>
      <c r="M446" s="799"/>
      <c r="N446" s="799"/>
      <c r="O446" s="799"/>
      <c r="P446" s="799"/>
      <c r="Q446" s="799"/>
      <c r="R446" s="799"/>
      <c r="S446" s="799"/>
      <c r="T446" s="799"/>
      <c r="U446" s="799"/>
      <c r="V446" s="799"/>
      <c r="W446" s="799"/>
      <c r="X446" s="799"/>
      <c r="Y446" s="799"/>
      <c r="Z446" s="799"/>
      <c r="AA446" s="799"/>
      <c r="AB446" s="799"/>
      <c r="AC446" s="799"/>
      <c r="AD446" s="799"/>
      <c r="AE446" s="799"/>
      <c r="AF446" s="799"/>
      <c r="AG446" s="799"/>
      <c r="AH446" s="799"/>
      <c r="AI446" s="799"/>
      <c r="AJ446" s="799"/>
      <c r="AK446" s="799"/>
      <c r="AL446" s="799"/>
      <c r="AM446" s="799"/>
      <c r="AN446" s="799"/>
      <c r="AO446" s="799"/>
      <c r="AP446" s="799"/>
      <c r="AQ446" s="799"/>
      <c r="AR446" s="799"/>
      <c r="AS446" s="799"/>
      <c r="AT446" s="799"/>
      <c r="AU446" s="799"/>
      <c r="AV446" s="799"/>
      <c r="AW446" s="799"/>
      <c r="AX446" s="799"/>
      <c r="AY446" s="799"/>
      <c r="AZ446" s="799"/>
      <c r="BA446" s="799"/>
      <c r="BB446" s="799"/>
      <c r="BC446" s="799"/>
      <c r="BD446" s="799"/>
      <c r="BE446" s="799"/>
      <c r="BF446" s="799"/>
      <c r="BG446" s="799"/>
    </row>
    <row r="447">
      <c r="H447" s="799"/>
      <c r="I447" s="799"/>
      <c r="J447" s="799"/>
      <c r="K447" s="799"/>
      <c r="L447" s="799"/>
      <c r="M447" s="799"/>
      <c r="N447" s="799"/>
      <c r="O447" s="799"/>
      <c r="P447" s="799"/>
      <c r="Q447" s="799"/>
      <c r="R447" s="799"/>
      <c r="S447" s="799"/>
      <c r="T447" s="799"/>
      <c r="U447" s="799"/>
      <c r="V447" s="799"/>
      <c r="W447" s="799"/>
      <c r="X447" s="799"/>
      <c r="Y447" s="799"/>
      <c r="Z447" s="799"/>
      <c r="AA447" s="799"/>
      <c r="AB447" s="799"/>
      <c r="AC447" s="799"/>
      <c r="AD447" s="799"/>
      <c r="AE447" s="799"/>
      <c r="AF447" s="799"/>
      <c r="AG447" s="799"/>
      <c r="AH447" s="799"/>
      <c r="AI447" s="799"/>
      <c r="AJ447" s="799"/>
      <c r="AK447" s="799"/>
      <c r="AL447" s="799"/>
      <c r="AM447" s="799"/>
      <c r="AN447" s="799"/>
      <c r="AO447" s="799"/>
      <c r="AP447" s="799"/>
      <c r="AQ447" s="799"/>
      <c r="AR447" s="799"/>
      <c r="AS447" s="799"/>
      <c r="AT447" s="799"/>
      <c r="AU447" s="799"/>
      <c r="AV447" s="799"/>
      <c r="AW447" s="799"/>
      <c r="AX447" s="799"/>
      <c r="AY447" s="799"/>
      <c r="AZ447" s="799"/>
      <c r="BA447" s="799"/>
      <c r="BB447" s="799"/>
      <c r="BC447" s="799"/>
      <c r="BD447" s="799"/>
      <c r="BE447" s="799"/>
      <c r="BF447" s="799"/>
      <c r="BG447" s="799"/>
    </row>
    <row r="448">
      <c r="H448" s="799"/>
      <c r="I448" s="799"/>
      <c r="J448" s="799"/>
      <c r="K448" s="799"/>
      <c r="L448" s="799"/>
      <c r="M448" s="799"/>
      <c r="N448" s="799"/>
      <c r="O448" s="799"/>
      <c r="P448" s="799"/>
      <c r="Q448" s="799"/>
      <c r="R448" s="799"/>
      <c r="S448" s="799"/>
      <c r="T448" s="799"/>
      <c r="U448" s="799"/>
      <c r="V448" s="799"/>
      <c r="W448" s="799"/>
      <c r="X448" s="799"/>
      <c r="Y448" s="799"/>
      <c r="Z448" s="799"/>
      <c r="AA448" s="799"/>
      <c r="AB448" s="799"/>
      <c r="AC448" s="799"/>
      <c r="AD448" s="799"/>
      <c r="AE448" s="799"/>
      <c r="AF448" s="799"/>
      <c r="AG448" s="799"/>
      <c r="AH448" s="799"/>
      <c r="AI448" s="799"/>
      <c r="AJ448" s="799"/>
      <c r="AK448" s="799"/>
      <c r="AL448" s="799"/>
      <c r="AM448" s="799"/>
      <c r="AN448" s="799"/>
      <c r="AO448" s="799"/>
      <c r="AP448" s="799"/>
      <c r="AQ448" s="799"/>
      <c r="AR448" s="799"/>
      <c r="AS448" s="799"/>
      <c r="AT448" s="799"/>
      <c r="AU448" s="799"/>
      <c r="AV448" s="799"/>
      <c r="AW448" s="799"/>
      <c r="AX448" s="799"/>
      <c r="AY448" s="799"/>
      <c r="AZ448" s="799"/>
      <c r="BA448" s="799"/>
      <c r="BB448" s="799"/>
      <c r="BC448" s="799"/>
      <c r="BD448" s="799"/>
      <c r="BE448" s="799"/>
      <c r="BF448" s="799"/>
      <c r="BG448" s="799"/>
    </row>
    <row r="449">
      <c r="H449" s="799"/>
      <c r="I449" s="799"/>
      <c r="J449" s="799"/>
      <c r="K449" s="799"/>
      <c r="L449" s="799"/>
      <c r="M449" s="799"/>
      <c r="N449" s="799"/>
      <c r="O449" s="799"/>
      <c r="P449" s="799"/>
      <c r="Q449" s="799"/>
      <c r="R449" s="799"/>
      <c r="S449" s="799"/>
      <c r="T449" s="799"/>
      <c r="U449" s="799"/>
      <c r="V449" s="799"/>
      <c r="W449" s="799"/>
      <c r="X449" s="799"/>
      <c r="Y449" s="799"/>
      <c r="Z449" s="799"/>
      <c r="AA449" s="799"/>
      <c r="AB449" s="799"/>
      <c r="AC449" s="799"/>
      <c r="AD449" s="799"/>
      <c r="AE449" s="799"/>
      <c r="AF449" s="799"/>
      <c r="AG449" s="799"/>
      <c r="AH449" s="799"/>
      <c r="AI449" s="799"/>
      <c r="AJ449" s="799"/>
      <c r="AK449" s="799"/>
      <c r="AL449" s="799"/>
      <c r="AM449" s="799"/>
      <c r="AN449" s="799"/>
      <c r="AO449" s="799"/>
      <c r="AP449" s="799"/>
      <c r="AQ449" s="799"/>
      <c r="AR449" s="799"/>
      <c r="AS449" s="799"/>
      <c r="AT449" s="799"/>
      <c r="AU449" s="799"/>
      <c r="AV449" s="799"/>
      <c r="AW449" s="799"/>
      <c r="AX449" s="799"/>
      <c r="AY449" s="799"/>
      <c r="AZ449" s="799"/>
      <c r="BA449" s="799"/>
      <c r="BB449" s="799"/>
      <c r="BC449" s="799"/>
      <c r="BD449" s="799"/>
      <c r="BE449" s="799"/>
      <c r="BF449" s="799"/>
      <c r="BG449" s="799"/>
    </row>
    <row r="450">
      <c r="H450" s="799"/>
      <c r="I450" s="799"/>
      <c r="J450" s="799"/>
      <c r="K450" s="799"/>
      <c r="L450" s="799"/>
      <c r="M450" s="799"/>
      <c r="N450" s="799"/>
      <c r="O450" s="799"/>
      <c r="P450" s="799"/>
      <c r="Q450" s="799"/>
      <c r="R450" s="799"/>
      <c r="S450" s="799"/>
      <c r="T450" s="799"/>
      <c r="U450" s="799"/>
      <c r="V450" s="799"/>
      <c r="W450" s="799"/>
      <c r="X450" s="799"/>
      <c r="Y450" s="799"/>
      <c r="Z450" s="799"/>
      <c r="AA450" s="799"/>
      <c r="AB450" s="799"/>
      <c r="AC450" s="799"/>
      <c r="AD450" s="799"/>
      <c r="AE450" s="799"/>
      <c r="AF450" s="799"/>
      <c r="AG450" s="799"/>
      <c r="AH450" s="799"/>
      <c r="AI450" s="799"/>
      <c r="AJ450" s="799"/>
      <c r="AK450" s="799"/>
      <c r="AL450" s="799"/>
      <c r="AM450" s="799"/>
      <c r="AN450" s="799"/>
      <c r="AO450" s="799"/>
      <c r="AP450" s="799"/>
      <c r="AQ450" s="799"/>
      <c r="AR450" s="799"/>
      <c r="AS450" s="799"/>
      <c r="AT450" s="799"/>
      <c r="AU450" s="799"/>
      <c r="AV450" s="799"/>
      <c r="AW450" s="799"/>
      <c r="AX450" s="799"/>
      <c r="AY450" s="799"/>
      <c r="AZ450" s="799"/>
      <c r="BA450" s="799"/>
      <c r="BB450" s="799"/>
      <c r="BC450" s="799"/>
      <c r="BD450" s="799"/>
      <c r="BE450" s="799"/>
      <c r="BF450" s="799"/>
      <c r="BG450" s="799"/>
    </row>
    <row r="451">
      <c r="H451" s="799"/>
      <c r="I451" s="799"/>
      <c r="J451" s="799"/>
      <c r="K451" s="799"/>
      <c r="L451" s="799"/>
      <c r="M451" s="799"/>
      <c r="N451" s="799"/>
      <c r="O451" s="799"/>
      <c r="P451" s="799"/>
      <c r="Q451" s="799"/>
      <c r="R451" s="799"/>
      <c r="S451" s="799"/>
      <c r="T451" s="799"/>
      <c r="U451" s="799"/>
      <c r="V451" s="799"/>
      <c r="W451" s="799"/>
      <c r="X451" s="799"/>
      <c r="Y451" s="799"/>
      <c r="Z451" s="799"/>
      <c r="AA451" s="799"/>
      <c r="AB451" s="799"/>
      <c r="AC451" s="799"/>
      <c r="AD451" s="799"/>
      <c r="AE451" s="799"/>
      <c r="AF451" s="799"/>
      <c r="AG451" s="799"/>
      <c r="AH451" s="799"/>
      <c r="AI451" s="799"/>
      <c r="AJ451" s="799"/>
      <c r="AK451" s="799"/>
      <c r="AL451" s="799"/>
      <c r="AM451" s="799"/>
      <c r="AN451" s="799"/>
      <c r="AO451" s="799"/>
      <c r="AP451" s="799"/>
      <c r="AQ451" s="799"/>
      <c r="AR451" s="799"/>
      <c r="AS451" s="799"/>
      <c r="AT451" s="799"/>
      <c r="AU451" s="799"/>
      <c r="AV451" s="799"/>
      <c r="AW451" s="799"/>
      <c r="AX451" s="799"/>
      <c r="AY451" s="799"/>
      <c r="AZ451" s="799"/>
      <c r="BA451" s="799"/>
      <c r="BB451" s="799"/>
      <c r="BC451" s="799"/>
      <c r="BD451" s="799"/>
      <c r="BE451" s="799"/>
      <c r="BF451" s="799"/>
      <c r="BG451" s="799"/>
    </row>
    <row r="452">
      <c r="H452" s="799"/>
      <c r="I452" s="799"/>
      <c r="J452" s="799"/>
      <c r="K452" s="799"/>
      <c r="L452" s="799"/>
      <c r="M452" s="799"/>
      <c r="N452" s="799"/>
      <c r="O452" s="799"/>
      <c r="P452" s="799"/>
      <c r="Q452" s="799"/>
      <c r="R452" s="799"/>
      <c r="S452" s="799"/>
      <c r="T452" s="799"/>
      <c r="U452" s="799"/>
      <c r="V452" s="799"/>
      <c r="W452" s="799"/>
      <c r="X452" s="799"/>
      <c r="Y452" s="799"/>
      <c r="Z452" s="799"/>
      <c r="AA452" s="799"/>
      <c r="AB452" s="799"/>
      <c r="AC452" s="799"/>
      <c r="AD452" s="799"/>
      <c r="AE452" s="799"/>
      <c r="AF452" s="799"/>
      <c r="AG452" s="799"/>
      <c r="AH452" s="799"/>
      <c r="AI452" s="799"/>
      <c r="AJ452" s="799"/>
      <c r="AK452" s="799"/>
      <c r="AL452" s="799"/>
      <c r="AM452" s="799"/>
      <c r="AN452" s="799"/>
      <c r="AO452" s="799"/>
      <c r="AP452" s="799"/>
      <c r="AQ452" s="799"/>
      <c r="AR452" s="799"/>
      <c r="AS452" s="799"/>
      <c r="AT452" s="799"/>
      <c r="AU452" s="799"/>
      <c r="AV452" s="799"/>
      <c r="AW452" s="799"/>
      <c r="AX452" s="799"/>
      <c r="AY452" s="799"/>
      <c r="AZ452" s="799"/>
      <c r="BA452" s="799"/>
      <c r="BB452" s="799"/>
      <c r="BC452" s="799"/>
      <c r="BD452" s="799"/>
      <c r="BE452" s="799"/>
      <c r="BF452" s="799"/>
      <c r="BG452" s="799"/>
    </row>
    <row r="453">
      <c r="H453" s="799"/>
      <c r="I453" s="799"/>
      <c r="J453" s="799"/>
      <c r="K453" s="799"/>
      <c r="L453" s="799"/>
      <c r="M453" s="799"/>
      <c r="N453" s="799"/>
      <c r="O453" s="799"/>
      <c r="P453" s="799"/>
      <c r="Q453" s="799"/>
      <c r="R453" s="799"/>
      <c r="S453" s="799"/>
      <c r="T453" s="799"/>
      <c r="U453" s="799"/>
      <c r="V453" s="799"/>
      <c r="W453" s="799"/>
      <c r="X453" s="799"/>
      <c r="Y453" s="799"/>
      <c r="Z453" s="799"/>
      <c r="AA453" s="799"/>
      <c r="AB453" s="799"/>
      <c r="AC453" s="799"/>
      <c r="AD453" s="799"/>
      <c r="AE453" s="799"/>
      <c r="AF453" s="799"/>
      <c r="AG453" s="799"/>
      <c r="AH453" s="799"/>
      <c r="AI453" s="799"/>
      <c r="AJ453" s="799"/>
      <c r="AK453" s="799"/>
      <c r="AL453" s="799"/>
      <c r="AM453" s="799"/>
      <c r="AN453" s="799"/>
      <c r="AO453" s="799"/>
      <c r="AP453" s="799"/>
      <c r="AQ453" s="799"/>
      <c r="AR453" s="799"/>
      <c r="AS453" s="799"/>
      <c r="AT453" s="799"/>
      <c r="AU453" s="799"/>
      <c r="AV453" s="799"/>
      <c r="AW453" s="799"/>
      <c r="AX453" s="799"/>
      <c r="AY453" s="799"/>
      <c r="AZ453" s="799"/>
      <c r="BA453" s="799"/>
      <c r="BB453" s="799"/>
      <c r="BC453" s="799"/>
      <c r="BD453" s="799"/>
      <c r="BE453" s="799"/>
      <c r="BF453" s="799"/>
      <c r="BG453" s="799"/>
    </row>
    <row r="454">
      <c r="H454" s="799"/>
      <c r="I454" s="799"/>
      <c r="J454" s="799"/>
      <c r="K454" s="799"/>
      <c r="L454" s="799"/>
      <c r="M454" s="799"/>
      <c r="N454" s="799"/>
      <c r="O454" s="799"/>
      <c r="P454" s="799"/>
      <c r="Q454" s="799"/>
      <c r="R454" s="799"/>
      <c r="S454" s="799"/>
      <c r="T454" s="799"/>
      <c r="U454" s="799"/>
      <c r="V454" s="799"/>
      <c r="W454" s="799"/>
      <c r="X454" s="799"/>
      <c r="Y454" s="799"/>
      <c r="Z454" s="799"/>
      <c r="AA454" s="799"/>
      <c r="AB454" s="799"/>
      <c r="AC454" s="799"/>
      <c r="AD454" s="799"/>
      <c r="AE454" s="799"/>
      <c r="AF454" s="799"/>
      <c r="AG454" s="799"/>
      <c r="AH454" s="799"/>
      <c r="AI454" s="799"/>
      <c r="AJ454" s="799"/>
      <c r="AK454" s="799"/>
      <c r="AL454" s="799"/>
      <c r="AM454" s="799"/>
      <c r="AN454" s="799"/>
      <c r="AO454" s="799"/>
      <c r="AP454" s="799"/>
      <c r="AQ454" s="799"/>
      <c r="AR454" s="799"/>
      <c r="AS454" s="799"/>
      <c r="AT454" s="799"/>
      <c r="AU454" s="799"/>
      <c r="AV454" s="799"/>
      <c r="AW454" s="799"/>
      <c r="AX454" s="799"/>
      <c r="AY454" s="799"/>
      <c r="AZ454" s="799"/>
      <c r="BA454" s="799"/>
      <c r="BB454" s="799"/>
      <c r="BC454" s="799"/>
      <c r="BD454" s="799"/>
      <c r="BE454" s="799"/>
      <c r="BF454" s="799"/>
      <c r="BG454" s="799"/>
    </row>
    <row r="455">
      <c r="H455" s="799"/>
      <c r="I455" s="799"/>
      <c r="J455" s="799"/>
      <c r="K455" s="799"/>
      <c r="L455" s="799"/>
      <c r="M455" s="799"/>
      <c r="N455" s="799"/>
      <c r="O455" s="799"/>
      <c r="P455" s="799"/>
      <c r="Q455" s="799"/>
      <c r="R455" s="799"/>
      <c r="S455" s="799"/>
      <c r="T455" s="799"/>
      <c r="U455" s="799"/>
      <c r="V455" s="799"/>
      <c r="W455" s="799"/>
      <c r="X455" s="799"/>
      <c r="Y455" s="799"/>
      <c r="Z455" s="799"/>
      <c r="AA455" s="799"/>
      <c r="AB455" s="799"/>
      <c r="AC455" s="799"/>
      <c r="AD455" s="799"/>
      <c r="AE455" s="799"/>
      <c r="AF455" s="799"/>
      <c r="AG455" s="799"/>
      <c r="AH455" s="799"/>
      <c r="AI455" s="799"/>
      <c r="AJ455" s="799"/>
      <c r="AK455" s="799"/>
      <c r="AL455" s="799"/>
      <c r="AM455" s="799"/>
      <c r="AN455" s="799"/>
      <c r="AO455" s="799"/>
      <c r="AP455" s="799"/>
      <c r="AQ455" s="799"/>
      <c r="AR455" s="799"/>
      <c r="AS455" s="799"/>
      <c r="AT455" s="799"/>
      <c r="AU455" s="799"/>
      <c r="AV455" s="799"/>
      <c r="AW455" s="799"/>
      <c r="AX455" s="799"/>
      <c r="AY455" s="799"/>
      <c r="AZ455" s="799"/>
      <c r="BA455" s="799"/>
      <c r="BB455" s="799"/>
      <c r="BC455" s="799"/>
      <c r="BD455" s="799"/>
      <c r="BE455" s="799"/>
      <c r="BF455" s="799"/>
      <c r="BG455" s="799"/>
    </row>
    <row r="456">
      <c r="H456" s="799"/>
      <c r="I456" s="799"/>
      <c r="J456" s="799"/>
      <c r="K456" s="799"/>
      <c r="L456" s="799"/>
      <c r="M456" s="799"/>
      <c r="N456" s="799"/>
      <c r="O456" s="799"/>
      <c r="P456" s="799"/>
      <c r="Q456" s="799"/>
      <c r="R456" s="799"/>
      <c r="S456" s="799"/>
      <c r="T456" s="799"/>
      <c r="U456" s="799"/>
      <c r="V456" s="799"/>
      <c r="W456" s="799"/>
      <c r="X456" s="799"/>
      <c r="Y456" s="799"/>
      <c r="Z456" s="799"/>
      <c r="AA456" s="799"/>
      <c r="AB456" s="799"/>
      <c r="AC456" s="799"/>
      <c r="AD456" s="799"/>
      <c r="AE456" s="799"/>
      <c r="AF456" s="799"/>
      <c r="AG456" s="799"/>
      <c r="AH456" s="799"/>
      <c r="AI456" s="799"/>
      <c r="AJ456" s="799"/>
      <c r="AK456" s="799"/>
      <c r="AL456" s="799"/>
      <c r="AM456" s="799"/>
      <c r="AN456" s="799"/>
      <c r="AO456" s="799"/>
      <c r="AP456" s="799"/>
      <c r="AQ456" s="799"/>
      <c r="AR456" s="799"/>
      <c r="AS456" s="799"/>
      <c r="AT456" s="799"/>
      <c r="AU456" s="799"/>
      <c r="AV456" s="799"/>
      <c r="AW456" s="799"/>
      <c r="AX456" s="799"/>
      <c r="AY456" s="799"/>
      <c r="AZ456" s="799"/>
      <c r="BA456" s="799"/>
      <c r="BB456" s="799"/>
      <c r="BC456" s="799"/>
      <c r="BD456" s="799"/>
      <c r="BE456" s="799"/>
      <c r="BF456" s="799"/>
      <c r="BG456" s="799"/>
    </row>
    <row r="457">
      <c r="H457" s="799"/>
      <c r="I457" s="799"/>
      <c r="J457" s="799"/>
      <c r="K457" s="799"/>
      <c r="L457" s="799"/>
      <c r="M457" s="799"/>
      <c r="N457" s="799"/>
      <c r="O457" s="799"/>
      <c r="P457" s="799"/>
      <c r="Q457" s="799"/>
      <c r="R457" s="799"/>
      <c r="S457" s="799"/>
      <c r="T457" s="799"/>
      <c r="U457" s="799"/>
      <c r="V457" s="799"/>
      <c r="W457" s="799"/>
      <c r="X457" s="799"/>
      <c r="Y457" s="799"/>
      <c r="Z457" s="799"/>
      <c r="AA457" s="799"/>
      <c r="AB457" s="799"/>
      <c r="AC457" s="799"/>
      <c r="AD457" s="799"/>
      <c r="AE457" s="799"/>
      <c r="AF457" s="799"/>
      <c r="AG457" s="799"/>
      <c r="AH457" s="799"/>
      <c r="AI457" s="799"/>
      <c r="AJ457" s="799"/>
      <c r="AK457" s="799"/>
      <c r="AL457" s="799"/>
      <c r="AM457" s="799"/>
      <c r="AN457" s="799"/>
      <c r="AO457" s="799"/>
      <c r="AP457" s="799"/>
      <c r="AQ457" s="799"/>
      <c r="AR457" s="799"/>
      <c r="AS457" s="799"/>
      <c r="AT457" s="799"/>
      <c r="AU457" s="799"/>
      <c r="AV457" s="799"/>
      <c r="AW457" s="799"/>
      <c r="AX457" s="799"/>
      <c r="AY457" s="799"/>
      <c r="AZ457" s="799"/>
      <c r="BA457" s="799"/>
      <c r="BB457" s="799"/>
      <c r="BC457" s="799"/>
      <c r="BD457" s="799"/>
      <c r="BE457" s="799"/>
      <c r="BF457" s="799"/>
      <c r="BG457" s="799"/>
    </row>
    <row r="458">
      <c r="H458" s="799"/>
      <c r="I458" s="799"/>
      <c r="J458" s="799"/>
      <c r="K458" s="799"/>
      <c r="L458" s="799"/>
      <c r="M458" s="799"/>
      <c r="N458" s="799"/>
      <c r="O458" s="799"/>
      <c r="P458" s="799"/>
      <c r="Q458" s="799"/>
      <c r="R458" s="799"/>
      <c r="S458" s="799"/>
      <c r="T458" s="799"/>
      <c r="U458" s="799"/>
      <c r="V458" s="799"/>
      <c r="W458" s="799"/>
      <c r="X458" s="799"/>
      <c r="Y458" s="799"/>
      <c r="Z458" s="799"/>
      <c r="AA458" s="799"/>
      <c r="AB458" s="799"/>
      <c r="AC458" s="799"/>
      <c r="AD458" s="799"/>
      <c r="AE458" s="799"/>
      <c r="AF458" s="799"/>
      <c r="AG458" s="799"/>
      <c r="AH458" s="799"/>
      <c r="AI458" s="799"/>
      <c r="AJ458" s="799"/>
      <c r="AK458" s="799"/>
      <c r="AL458" s="799"/>
      <c r="AM458" s="799"/>
      <c r="AN458" s="799"/>
      <c r="AO458" s="799"/>
      <c r="AP458" s="799"/>
      <c r="AQ458" s="799"/>
      <c r="AR458" s="799"/>
      <c r="AS458" s="799"/>
      <c r="AT458" s="799"/>
      <c r="AU458" s="799"/>
      <c r="AV458" s="799"/>
      <c r="AW458" s="799"/>
      <c r="AX458" s="799"/>
      <c r="AY458" s="799"/>
      <c r="AZ458" s="799"/>
      <c r="BA458" s="799"/>
      <c r="BB458" s="799"/>
      <c r="BC458" s="799"/>
      <c r="BD458" s="799"/>
      <c r="BE458" s="799"/>
      <c r="BF458" s="799"/>
      <c r="BG458" s="799"/>
    </row>
    <row r="459">
      <c r="H459" s="799"/>
      <c r="I459" s="799"/>
      <c r="J459" s="799"/>
      <c r="K459" s="799"/>
      <c r="L459" s="799"/>
      <c r="M459" s="799"/>
      <c r="N459" s="799"/>
      <c r="O459" s="799"/>
      <c r="P459" s="799"/>
      <c r="Q459" s="799"/>
      <c r="R459" s="799"/>
      <c r="S459" s="799"/>
      <c r="T459" s="799"/>
      <c r="U459" s="799"/>
      <c r="V459" s="799"/>
      <c r="W459" s="799"/>
      <c r="X459" s="799"/>
      <c r="Y459" s="799"/>
      <c r="Z459" s="799"/>
      <c r="AA459" s="799"/>
      <c r="AB459" s="799"/>
      <c r="AC459" s="799"/>
      <c r="AD459" s="799"/>
      <c r="AE459" s="799"/>
      <c r="AF459" s="799"/>
      <c r="AG459" s="799"/>
      <c r="AH459" s="799"/>
      <c r="AI459" s="799"/>
      <c r="AJ459" s="799"/>
      <c r="AK459" s="799"/>
      <c r="AL459" s="799"/>
      <c r="AM459" s="799"/>
      <c r="AN459" s="799"/>
      <c r="AO459" s="799"/>
      <c r="AP459" s="799"/>
      <c r="AQ459" s="799"/>
      <c r="AR459" s="799"/>
      <c r="AS459" s="799"/>
      <c r="AT459" s="799"/>
      <c r="AU459" s="799"/>
      <c r="AV459" s="799"/>
      <c r="AW459" s="799"/>
      <c r="AX459" s="799"/>
      <c r="AY459" s="799"/>
      <c r="AZ459" s="799"/>
      <c r="BA459" s="799"/>
      <c r="BB459" s="799"/>
      <c r="BC459" s="799"/>
      <c r="BD459" s="799"/>
      <c r="BE459" s="799"/>
      <c r="BF459" s="799"/>
      <c r="BG459" s="799"/>
    </row>
    <row r="460">
      <c r="H460" s="799"/>
      <c r="I460" s="799"/>
      <c r="J460" s="799"/>
      <c r="K460" s="799"/>
      <c r="L460" s="799"/>
      <c r="M460" s="799"/>
      <c r="N460" s="799"/>
      <c r="O460" s="799"/>
      <c r="P460" s="799"/>
      <c r="Q460" s="799"/>
      <c r="R460" s="799"/>
      <c r="S460" s="799"/>
      <c r="T460" s="799"/>
      <c r="U460" s="799"/>
      <c r="V460" s="799"/>
      <c r="W460" s="799"/>
      <c r="X460" s="799"/>
      <c r="Y460" s="799"/>
      <c r="Z460" s="799"/>
      <c r="AA460" s="799"/>
      <c r="AB460" s="799"/>
      <c r="AC460" s="799"/>
      <c r="AD460" s="799"/>
      <c r="AE460" s="799"/>
      <c r="AF460" s="799"/>
      <c r="AG460" s="799"/>
      <c r="AH460" s="799"/>
      <c r="AI460" s="799"/>
      <c r="AJ460" s="799"/>
      <c r="AK460" s="799"/>
      <c r="AL460" s="799"/>
      <c r="AM460" s="799"/>
      <c r="AN460" s="799"/>
      <c r="AO460" s="799"/>
      <c r="AP460" s="799"/>
      <c r="AQ460" s="799"/>
      <c r="AR460" s="799"/>
      <c r="AS460" s="799"/>
      <c r="AT460" s="799"/>
      <c r="AU460" s="799"/>
      <c r="AV460" s="799"/>
      <c r="AW460" s="799"/>
      <c r="AX460" s="799"/>
      <c r="AY460" s="799"/>
      <c r="AZ460" s="799"/>
      <c r="BA460" s="799"/>
      <c r="BB460" s="799"/>
      <c r="BC460" s="799"/>
      <c r="BD460" s="799"/>
      <c r="BE460" s="799"/>
      <c r="BF460" s="799"/>
      <c r="BG460" s="799"/>
    </row>
    <row r="461">
      <c r="H461" s="799"/>
      <c r="I461" s="799"/>
      <c r="J461" s="799"/>
      <c r="K461" s="799"/>
      <c r="L461" s="799"/>
      <c r="M461" s="799"/>
      <c r="N461" s="799"/>
      <c r="O461" s="799"/>
      <c r="P461" s="799"/>
      <c r="Q461" s="799"/>
      <c r="R461" s="799"/>
      <c r="S461" s="799"/>
      <c r="T461" s="799"/>
      <c r="U461" s="799"/>
      <c r="V461" s="799"/>
      <c r="W461" s="799"/>
      <c r="X461" s="799"/>
      <c r="Y461" s="799"/>
      <c r="Z461" s="799"/>
      <c r="AA461" s="799"/>
      <c r="AB461" s="799"/>
      <c r="AC461" s="799"/>
      <c r="AD461" s="799"/>
      <c r="AE461" s="799"/>
      <c r="AF461" s="799"/>
      <c r="AG461" s="799"/>
      <c r="AH461" s="799"/>
      <c r="AI461" s="799"/>
      <c r="AJ461" s="799"/>
      <c r="AK461" s="799"/>
      <c r="AL461" s="799"/>
      <c r="AM461" s="799"/>
      <c r="AN461" s="799"/>
      <c r="AO461" s="799"/>
      <c r="AP461" s="799"/>
      <c r="AQ461" s="799"/>
      <c r="AR461" s="799"/>
      <c r="AS461" s="799"/>
      <c r="AT461" s="799"/>
      <c r="AU461" s="799"/>
      <c r="AV461" s="799"/>
      <c r="AW461" s="799"/>
      <c r="AX461" s="799"/>
      <c r="AY461" s="799"/>
      <c r="AZ461" s="799"/>
      <c r="BA461" s="799"/>
      <c r="BB461" s="799"/>
      <c r="BC461" s="799"/>
      <c r="BD461" s="799"/>
      <c r="BE461" s="799"/>
      <c r="BF461" s="799"/>
      <c r="BG461" s="799"/>
    </row>
    <row r="462">
      <c r="H462" s="799"/>
      <c r="I462" s="799"/>
      <c r="J462" s="799"/>
      <c r="K462" s="799"/>
      <c r="L462" s="799"/>
      <c r="M462" s="799"/>
      <c r="N462" s="799"/>
      <c r="O462" s="799"/>
      <c r="P462" s="799"/>
      <c r="Q462" s="799"/>
      <c r="R462" s="799"/>
      <c r="S462" s="799"/>
      <c r="T462" s="799"/>
      <c r="U462" s="799"/>
      <c r="V462" s="799"/>
      <c r="W462" s="799"/>
      <c r="X462" s="799"/>
      <c r="Y462" s="799"/>
      <c r="Z462" s="799"/>
      <c r="AA462" s="799"/>
      <c r="AB462" s="799"/>
      <c r="AC462" s="799"/>
      <c r="AD462" s="799"/>
      <c r="AE462" s="799"/>
      <c r="AF462" s="799"/>
      <c r="AG462" s="799"/>
      <c r="AH462" s="799"/>
      <c r="AI462" s="799"/>
      <c r="AJ462" s="799"/>
      <c r="AK462" s="799"/>
      <c r="AL462" s="799"/>
      <c r="AM462" s="799"/>
      <c r="AN462" s="799"/>
      <c r="AO462" s="799"/>
      <c r="AP462" s="799"/>
      <c r="AQ462" s="799"/>
      <c r="AR462" s="799"/>
      <c r="AS462" s="799"/>
      <c r="AT462" s="799"/>
      <c r="AU462" s="799"/>
      <c r="AV462" s="799"/>
      <c r="AW462" s="799"/>
      <c r="AX462" s="799"/>
      <c r="AY462" s="799"/>
      <c r="AZ462" s="799"/>
      <c r="BA462" s="799"/>
      <c r="BB462" s="799"/>
      <c r="BC462" s="799"/>
      <c r="BD462" s="799"/>
      <c r="BE462" s="799"/>
      <c r="BF462" s="799"/>
      <c r="BG462" s="799"/>
    </row>
    <row r="463">
      <c r="H463" s="799"/>
      <c r="I463" s="799"/>
      <c r="J463" s="799"/>
      <c r="K463" s="799"/>
      <c r="L463" s="799"/>
      <c r="M463" s="799"/>
      <c r="N463" s="799"/>
      <c r="O463" s="799"/>
      <c r="P463" s="799"/>
      <c r="Q463" s="799"/>
      <c r="R463" s="799"/>
      <c r="S463" s="799"/>
      <c r="T463" s="799"/>
      <c r="U463" s="799"/>
      <c r="V463" s="799"/>
      <c r="W463" s="799"/>
      <c r="X463" s="799"/>
      <c r="Y463" s="799"/>
      <c r="Z463" s="799"/>
      <c r="AA463" s="799"/>
      <c r="AB463" s="799"/>
      <c r="AC463" s="799"/>
      <c r="AD463" s="799"/>
      <c r="AE463" s="799"/>
      <c r="AF463" s="799"/>
      <c r="AG463" s="799"/>
      <c r="AH463" s="799"/>
      <c r="AI463" s="799"/>
      <c r="AJ463" s="799"/>
      <c r="AK463" s="799"/>
      <c r="AL463" s="799"/>
      <c r="AM463" s="799"/>
      <c r="AN463" s="799"/>
      <c r="AO463" s="799"/>
      <c r="AP463" s="799"/>
      <c r="AQ463" s="799"/>
      <c r="AR463" s="799"/>
      <c r="AS463" s="799"/>
      <c r="AT463" s="799"/>
      <c r="AU463" s="799"/>
      <c r="AV463" s="799"/>
      <c r="AW463" s="799"/>
      <c r="AX463" s="799"/>
      <c r="AY463" s="799"/>
      <c r="AZ463" s="799"/>
      <c r="BA463" s="799"/>
      <c r="BB463" s="799"/>
      <c r="BC463" s="799"/>
      <c r="BD463" s="799"/>
      <c r="BE463" s="799"/>
      <c r="BF463" s="799"/>
      <c r="BG463" s="799"/>
    </row>
    <row r="464">
      <c r="H464" s="799"/>
      <c r="I464" s="799"/>
      <c r="J464" s="799"/>
      <c r="K464" s="799"/>
      <c r="L464" s="799"/>
      <c r="M464" s="799"/>
      <c r="N464" s="799"/>
      <c r="O464" s="799"/>
      <c r="P464" s="799"/>
      <c r="Q464" s="799"/>
      <c r="R464" s="799"/>
      <c r="S464" s="799"/>
      <c r="T464" s="799"/>
      <c r="U464" s="799"/>
      <c r="V464" s="799"/>
      <c r="W464" s="799"/>
      <c r="X464" s="799"/>
      <c r="Y464" s="799"/>
      <c r="Z464" s="799"/>
      <c r="AA464" s="799"/>
      <c r="AB464" s="799"/>
      <c r="AC464" s="799"/>
      <c r="AD464" s="799"/>
      <c r="AE464" s="799"/>
      <c r="AF464" s="799"/>
      <c r="AG464" s="799"/>
      <c r="AH464" s="799"/>
      <c r="AI464" s="799"/>
      <c r="AJ464" s="799"/>
      <c r="AK464" s="799"/>
      <c r="AL464" s="799"/>
      <c r="AM464" s="799"/>
      <c r="AN464" s="799"/>
      <c r="AO464" s="799"/>
      <c r="AP464" s="799"/>
      <c r="AQ464" s="799"/>
      <c r="AR464" s="799"/>
      <c r="AS464" s="799"/>
      <c r="AT464" s="799"/>
      <c r="AU464" s="799"/>
      <c r="AV464" s="799"/>
      <c r="AW464" s="799"/>
      <c r="AX464" s="799"/>
      <c r="AY464" s="799"/>
      <c r="AZ464" s="799"/>
      <c r="BA464" s="799"/>
      <c r="BB464" s="799"/>
      <c r="BC464" s="799"/>
      <c r="BD464" s="799"/>
      <c r="BE464" s="799"/>
      <c r="BF464" s="799"/>
      <c r="BG464" s="799"/>
    </row>
    <row r="465">
      <c r="H465" s="799"/>
      <c r="I465" s="799"/>
      <c r="J465" s="799"/>
      <c r="K465" s="799"/>
      <c r="L465" s="799"/>
      <c r="M465" s="799"/>
      <c r="N465" s="799"/>
      <c r="O465" s="799"/>
      <c r="P465" s="799"/>
      <c r="Q465" s="799"/>
      <c r="R465" s="799"/>
      <c r="S465" s="799"/>
      <c r="T465" s="799"/>
      <c r="U465" s="799"/>
      <c r="V465" s="799"/>
      <c r="W465" s="799"/>
      <c r="X465" s="799"/>
      <c r="Y465" s="799"/>
      <c r="Z465" s="799"/>
      <c r="AA465" s="799"/>
      <c r="AB465" s="799"/>
      <c r="AC465" s="799"/>
      <c r="AD465" s="799"/>
      <c r="AE465" s="799"/>
      <c r="AF465" s="799"/>
      <c r="AG465" s="799"/>
      <c r="AH465" s="799"/>
      <c r="AI465" s="799"/>
      <c r="AJ465" s="799"/>
      <c r="AK465" s="799"/>
      <c r="AL465" s="799"/>
      <c r="AM465" s="799"/>
      <c r="AN465" s="799"/>
      <c r="AO465" s="799"/>
      <c r="AP465" s="799"/>
      <c r="AQ465" s="799"/>
      <c r="AR465" s="799"/>
      <c r="AS465" s="799"/>
      <c r="AT465" s="799"/>
      <c r="AU465" s="799"/>
      <c r="AV465" s="799"/>
      <c r="AW465" s="799"/>
      <c r="AX465" s="799"/>
      <c r="AY465" s="799"/>
      <c r="AZ465" s="799"/>
      <c r="BA465" s="799"/>
      <c r="BB465" s="799"/>
      <c r="BC465" s="799"/>
      <c r="BD465" s="799"/>
      <c r="BE465" s="799"/>
      <c r="BF465" s="799"/>
      <c r="BG465" s="799"/>
    </row>
    <row r="466">
      <c r="H466" s="799"/>
      <c r="I466" s="799"/>
      <c r="J466" s="799"/>
      <c r="K466" s="799"/>
      <c r="L466" s="799"/>
      <c r="M466" s="799"/>
      <c r="N466" s="799"/>
      <c r="O466" s="799"/>
      <c r="P466" s="799"/>
      <c r="Q466" s="799"/>
      <c r="R466" s="799"/>
      <c r="S466" s="799"/>
      <c r="T466" s="799"/>
      <c r="U466" s="799"/>
      <c r="V466" s="799"/>
      <c r="W466" s="799"/>
      <c r="X466" s="799"/>
      <c r="Y466" s="799"/>
      <c r="Z466" s="799"/>
      <c r="AA466" s="799"/>
      <c r="AB466" s="799"/>
      <c r="AC466" s="799"/>
      <c r="AD466" s="799"/>
      <c r="AE466" s="799"/>
      <c r="AF466" s="799"/>
      <c r="AG466" s="799"/>
      <c r="AH466" s="799"/>
      <c r="AI466" s="799"/>
      <c r="AJ466" s="799"/>
      <c r="AK466" s="799"/>
      <c r="AL466" s="799"/>
      <c r="AM466" s="799"/>
      <c r="AN466" s="799"/>
      <c r="AO466" s="799"/>
      <c r="AP466" s="799"/>
      <c r="AQ466" s="799"/>
      <c r="AR466" s="799"/>
      <c r="AS466" s="799"/>
      <c r="AT466" s="799"/>
      <c r="AU466" s="799"/>
      <c r="AV466" s="799"/>
      <c r="AW466" s="799"/>
      <c r="AX466" s="799"/>
      <c r="AY466" s="799"/>
      <c r="AZ466" s="799"/>
      <c r="BA466" s="799"/>
      <c r="BB466" s="799"/>
      <c r="BC466" s="799"/>
      <c r="BD466" s="799"/>
      <c r="BE466" s="799"/>
      <c r="BF466" s="799"/>
      <c r="BG466" s="799"/>
    </row>
    <row r="467">
      <c r="H467" s="799"/>
      <c r="I467" s="799"/>
      <c r="J467" s="799"/>
      <c r="K467" s="799"/>
      <c r="L467" s="799"/>
      <c r="M467" s="799"/>
      <c r="N467" s="799"/>
      <c r="O467" s="799"/>
      <c r="P467" s="799"/>
      <c r="Q467" s="799"/>
      <c r="R467" s="799"/>
      <c r="S467" s="799"/>
      <c r="T467" s="799"/>
      <c r="U467" s="799"/>
      <c r="V467" s="799"/>
      <c r="W467" s="799"/>
      <c r="X467" s="799"/>
      <c r="Y467" s="799"/>
      <c r="Z467" s="799"/>
      <c r="AA467" s="799"/>
      <c r="AB467" s="799"/>
      <c r="AC467" s="799"/>
      <c r="AD467" s="799"/>
      <c r="AE467" s="799"/>
      <c r="AF467" s="799"/>
      <c r="AG467" s="799"/>
      <c r="AH467" s="799"/>
      <c r="AI467" s="799"/>
      <c r="AJ467" s="799"/>
      <c r="AK467" s="799"/>
      <c r="AL467" s="799"/>
      <c r="AM467" s="799"/>
      <c r="AN467" s="799"/>
      <c r="AO467" s="799"/>
      <c r="AP467" s="799"/>
      <c r="AQ467" s="799"/>
      <c r="AR467" s="799"/>
      <c r="AS467" s="799"/>
      <c r="AT467" s="799"/>
      <c r="AU467" s="799"/>
      <c r="AV467" s="799"/>
      <c r="AW467" s="799"/>
      <c r="AX467" s="799"/>
      <c r="AY467" s="799"/>
      <c r="AZ467" s="799"/>
      <c r="BA467" s="799"/>
      <c r="BB467" s="799"/>
      <c r="BC467" s="799"/>
      <c r="BD467" s="799"/>
      <c r="BE467" s="799"/>
      <c r="BF467" s="799"/>
      <c r="BG467" s="799"/>
    </row>
    <row r="468">
      <c r="H468" s="799"/>
      <c r="I468" s="799"/>
      <c r="J468" s="799"/>
      <c r="K468" s="799"/>
      <c r="L468" s="799"/>
      <c r="M468" s="799"/>
      <c r="N468" s="799"/>
      <c r="O468" s="799"/>
      <c r="P468" s="799"/>
      <c r="Q468" s="799"/>
      <c r="R468" s="799"/>
      <c r="S468" s="799"/>
      <c r="T468" s="799"/>
      <c r="U468" s="799"/>
      <c r="V468" s="799"/>
      <c r="W468" s="799"/>
      <c r="X468" s="799"/>
      <c r="Y468" s="799"/>
      <c r="Z468" s="799"/>
      <c r="AA468" s="799"/>
      <c r="AB468" s="799"/>
      <c r="AC468" s="799"/>
      <c r="AD468" s="799"/>
      <c r="AE468" s="799"/>
      <c r="AF468" s="799"/>
      <c r="AG468" s="799"/>
      <c r="AH468" s="799"/>
      <c r="AI468" s="799"/>
      <c r="AJ468" s="799"/>
      <c r="AK468" s="799"/>
      <c r="AL468" s="799"/>
      <c r="AM468" s="799"/>
      <c r="AN468" s="799"/>
      <c r="AO468" s="799"/>
      <c r="AP468" s="799"/>
      <c r="AQ468" s="799"/>
      <c r="AR468" s="799"/>
      <c r="AS468" s="799"/>
      <c r="AT468" s="799"/>
      <c r="AU468" s="799"/>
      <c r="AV468" s="799"/>
      <c r="AW468" s="799"/>
      <c r="AX468" s="799"/>
      <c r="AY468" s="799"/>
      <c r="AZ468" s="799"/>
      <c r="BA468" s="799"/>
      <c r="BB468" s="799"/>
      <c r="BC468" s="799"/>
      <c r="BD468" s="799"/>
      <c r="BE468" s="799"/>
      <c r="BF468" s="799"/>
      <c r="BG468" s="799"/>
    </row>
    <row r="469">
      <c r="H469" s="799"/>
      <c r="I469" s="799"/>
      <c r="J469" s="799"/>
      <c r="K469" s="799"/>
      <c r="L469" s="799"/>
      <c r="M469" s="799"/>
      <c r="N469" s="799"/>
      <c r="O469" s="799"/>
      <c r="P469" s="799"/>
      <c r="Q469" s="799"/>
      <c r="R469" s="799"/>
      <c r="S469" s="799"/>
      <c r="T469" s="799"/>
      <c r="U469" s="799"/>
      <c r="V469" s="799"/>
      <c r="W469" s="799"/>
      <c r="X469" s="799"/>
      <c r="Y469" s="799"/>
      <c r="Z469" s="799"/>
      <c r="AA469" s="799"/>
      <c r="AB469" s="799"/>
      <c r="AC469" s="799"/>
      <c r="AD469" s="799"/>
      <c r="AE469" s="799"/>
      <c r="AF469" s="799"/>
      <c r="AG469" s="799"/>
      <c r="AH469" s="799"/>
      <c r="AI469" s="799"/>
      <c r="AJ469" s="799"/>
      <c r="AK469" s="799"/>
      <c r="AL469" s="799"/>
      <c r="AM469" s="799"/>
      <c r="AN469" s="799"/>
      <c r="AO469" s="799"/>
      <c r="AP469" s="799"/>
      <c r="AQ469" s="799"/>
      <c r="AR469" s="799"/>
      <c r="AS469" s="799"/>
      <c r="AT469" s="799"/>
      <c r="AU469" s="799"/>
      <c r="AV469" s="799"/>
      <c r="AW469" s="799"/>
      <c r="AX469" s="799"/>
      <c r="AY469" s="799"/>
      <c r="AZ469" s="799"/>
      <c r="BA469" s="799"/>
      <c r="BB469" s="799"/>
      <c r="BC469" s="799"/>
      <c r="BD469" s="799"/>
      <c r="BE469" s="799"/>
      <c r="BF469" s="799"/>
      <c r="BG469" s="799"/>
    </row>
    <row r="470">
      <c r="H470" s="799"/>
      <c r="I470" s="799"/>
      <c r="J470" s="799"/>
      <c r="K470" s="799"/>
      <c r="L470" s="799"/>
      <c r="M470" s="799"/>
      <c r="N470" s="799"/>
      <c r="O470" s="799"/>
      <c r="P470" s="799"/>
      <c r="Q470" s="799"/>
      <c r="R470" s="799"/>
      <c r="S470" s="799"/>
      <c r="T470" s="799"/>
      <c r="U470" s="799"/>
      <c r="V470" s="799"/>
      <c r="W470" s="799"/>
      <c r="X470" s="799"/>
      <c r="Y470" s="799"/>
      <c r="Z470" s="799"/>
      <c r="AA470" s="799"/>
      <c r="AB470" s="799"/>
      <c r="AC470" s="799"/>
      <c r="AD470" s="799"/>
      <c r="AE470" s="799"/>
      <c r="AF470" s="799"/>
      <c r="AG470" s="799"/>
      <c r="AH470" s="799"/>
      <c r="AI470" s="799"/>
      <c r="AJ470" s="799"/>
      <c r="AK470" s="799"/>
      <c r="AL470" s="799"/>
      <c r="AM470" s="799"/>
      <c r="AN470" s="799"/>
      <c r="AO470" s="799"/>
      <c r="AP470" s="799"/>
      <c r="AQ470" s="799"/>
      <c r="AR470" s="799"/>
      <c r="AS470" s="799"/>
      <c r="AT470" s="799"/>
      <c r="AU470" s="799"/>
      <c r="AV470" s="799"/>
      <c r="AW470" s="799"/>
      <c r="AX470" s="799"/>
      <c r="AY470" s="799"/>
      <c r="AZ470" s="799"/>
      <c r="BA470" s="799"/>
      <c r="BB470" s="799"/>
      <c r="BC470" s="799"/>
      <c r="BD470" s="799"/>
      <c r="BE470" s="799"/>
      <c r="BF470" s="799"/>
      <c r="BG470" s="799"/>
    </row>
    <row r="471">
      <c r="H471" s="799"/>
      <c r="I471" s="799"/>
      <c r="J471" s="799"/>
      <c r="K471" s="799"/>
      <c r="L471" s="799"/>
      <c r="M471" s="799"/>
      <c r="N471" s="799"/>
      <c r="O471" s="799"/>
      <c r="P471" s="799"/>
      <c r="Q471" s="799"/>
      <c r="R471" s="799"/>
      <c r="S471" s="799"/>
      <c r="T471" s="799"/>
      <c r="U471" s="799"/>
      <c r="V471" s="799"/>
      <c r="W471" s="799"/>
      <c r="X471" s="799"/>
      <c r="Y471" s="799"/>
      <c r="Z471" s="799"/>
      <c r="AA471" s="799"/>
      <c r="AB471" s="799"/>
      <c r="AC471" s="799"/>
      <c r="AD471" s="799"/>
      <c r="AE471" s="799"/>
      <c r="AF471" s="799"/>
      <c r="AG471" s="799"/>
      <c r="AH471" s="799"/>
      <c r="AI471" s="799"/>
      <c r="AJ471" s="799"/>
      <c r="AK471" s="799"/>
      <c r="AL471" s="799"/>
      <c r="AM471" s="799"/>
      <c r="AN471" s="799"/>
      <c r="AO471" s="799"/>
      <c r="AP471" s="799"/>
      <c r="AQ471" s="799"/>
      <c r="AR471" s="799"/>
      <c r="AS471" s="799"/>
      <c r="AT471" s="799"/>
      <c r="AU471" s="799"/>
      <c r="AV471" s="799"/>
      <c r="AW471" s="799"/>
      <c r="AX471" s="799"/>
      <c r="AY471" s="799"/>
      <c r="AZ471" s="799"/>
      <c r="BA471" s="799"/>
      <c r="BB471" s="799"/>
      <c r="BC471" s="799"/>
      <c r="BD471" s="799"/>
      <c r="BE471" s="799"/>
      <c r="BF471" s="799"/>
      <c r="BG471" s="799"/>
    </row>
    <row r="472">
      <c r="H472" s="799"/>
      <c r="I472" s="799"/>
      <c r="J472" s="799"/>
      <c r="K472" s="799"/>
      <c r="L472" s="799"/>
      <c r="M472" s="799"/>
      <c r="N472" s="799"/>
      <c r="O472" s="799"/>
      <c r="P472" s="799"/>
      <c r="Q472" s="799"/>
      <c r="R472" s="799"/>
      <c r="S472" s="799"/>
      <c r="T472" s="799"/>
      <c r="U472" s="799"/>
      <c r="V472" s="799"/>
      <c r="W472" s="799"/>
      <c r="X472" s="799"/>
      <c r="Y472" s="799"/>
      <c r="Z472" s="799"/>
      <c r="AA472" s="799"/>
      <c r="AB472" s="799"/>
      <c r="AC472" s="799"/>
      <c r="AD472" s="799"/>
      <c r="AE472" s="799"/>
      <c r="AF472" s="799"/>
      <c r="AG472" s="799"/>
      <c r="AH472" s="799"/>
      <c r="AI472" s="799"/>
      <c r="AJ472" s="799"/>
      <c r="AK472" s="799"/>
      <c r="AL472" s="799"/>
      <c r="AM472" s="799"/>
      <c r="AN472" s="799"/>
      <c r="AO472" s="799"/>
      <c r="AP472" s="799"/>
      <c r="AQ472" s="799"/>
      <c r="AR472" s="799"/>
      <c r="AS472" s="799"/>
      <c r="AT472" s="799"/>
      <c r="AU472" s="799"/>
      <c r="AV472" s="799"/>
      <c r="AW472" s="799"/>
      <c r="AX472" s="799"/>
      <c r="AY472" s="799"/>
      <c r="AZ472" s="799"/>
      <c r="BA472" s="799"/>
      <c r="BB472" s="799"/>
      <c r="BC472" s="799"/>
      <c r="BD472" s="799"/>
      <c r="BE472" s="799"/>
      <c r="BF472" s="799"/>
      <c r="BG472" s="799"/>
    </row>
    <row r="473">
      <c r="H473" s="799"/>
      <c r="I473" s="799"/>
      <c r="J473" s="799"/>
      <c r="K473" s="799"/>
      <c r="L473" s="799"/>
      <c r="M473" s="799"/>
      <c r="N473" s="799"/>
      <c r="O473" s="799"/>
      <c r="P473" s="799"/>
      <c r="Q473" s="799"/>
      <c r="R473" s="799"/>
      <c r="S473" s="799"/>
      <c r="T473" s="799"/>
      <c r="U473" s="799"/>
      <c r="V473" s="799"/>
      <c r="W473" s="799"/>
      <c r="X473" s="799"/>
      <c r="Y473" s="799"/>
      <c r="Z473" s="799"/>
      <c r="AA473" s="799"/>
      <c r="AB473" s="799"/>
      <c r="AC473" s="799"/>
      <c r="AD473" s="799"/>
      <c r="AE473" s="799"/>
      <c r="AF473" s="799"/>
      <c r="AG473" s="799"/>
      <c r="AH473" s="799"/>
      <c r="AI473" s="799"/>
      <c r="AJ473" s="799"/>
      <c r="AK473" s="799"/>
      <c r="AL473" s="799"/>
      <c r="AM473" s="799"/>
      <c r="AN473" s="799"/>
      <c r="AO473" s="799"/>
      <c r="AP473" s="799"/>
      <c r="AQ473" s="799"/>
      <c r="AR473" s="799"/>
      <c r="AS473" s="799"/>
      <c r="AT473" s="799"/>
      <c r="AU473" s="799"/>
      <c r="AV473" s="799"/>
      <c r="AW473" s="799"/>
      <c r="AX473" s="799"/>
      <c r="AY473" s="799"/>
      <c r="AZ473" s="799"/>
      <c r="BA473" s="799"/>
      <c r="BB473" s="799"/>
      <c r="BC473" s="799"/>
      <c r="BD473" s="799"/>
      <c r="BE473" s="799"/>
      <c r="BF473" s="799"/>
      <c r="BG473" s="799"/>
    </row>
    <row r="474">
      <c r="H474" s="799"/>
      <c r="I474" s="799"/>
      <c r="J474" s="799"/>
      <c r="K474" s="799"/>
      <c r="L474" s="799"/>
      <c r="M474" s="799"/>
      <c r="N474" s="799"/>
      <c r="O474" s="799"/>
      <c r="P474" s="799"/>
      <c r="Q474" s="799"/>
      <c r="R474" s="799"/>
      <c r="S474" s="799"/>
      <c r="T474" s="799"/>
      <c r="U474" s="799"/>
      <c r="V474" s="799"/>
      <c r="W474" s="799"/>
      <c r="X474" s="799"/>
      <c r="Y474" s="799"/>
      <c r="Z474" s="799"/>
      <c r="AA474" s="799"/>
      <c r="AB474" s="799"/>
      <c r="AC474" s="799"/>
      <c r="AD474" s="799"/>
      <c r="AE474" s="799"/>
      <c r="AF474" s="799"/>
      <c r="AG474" s="799"/>
      <c r="AH474" s="799"/>
      <c r="AI474" s="799"/>
      <c r="AJ474" s="799"/>
      <c r="AK474" s="799"/>
      <c r="AL474" s="799"/>
      <c r="AM474" s="799"/>
      <c r="AN474" s="799"/>
      <c r="AO474" s="799"/>
      <c r="AP474" s="799"/>
      <c r="AQ474" s="799"/>
      <c r="AR474" s="799"/>
      <c r="AS474" s="799"/>
      <c r="AT474" s="799"/>
      <c r="AU474" s="799"/>
      <c r="AV474" s="799"/>
      <c r="AW474" s="799"/>
      <c r="AX474" s="799"/>
      <c r="AY474" s="799"/>
      <c r="AZ474" s="799"/>
      <c r="BA474" s="799"/>
      <c r="BB474" s="799"/>
      <c r="BC474" s="799"/>
      <c r="BD474" s="799"/>
      <c r="BE474" s="799"/>
      <c r="BF474" s="799"/>
      <c r="BG474" s="799"/>
    </row>
    <row r="475">
      <c r="H475" s="799"/>
      <c r="I475" s="799"/>
      <c r="J475" s="799"/>
      <c r="K475" s="799"/>
      <c r="L475" s="799"/>
      <c r="M475" s="799"/>
      <c r="N475" s="799"/>
      <c r="O475" s="799"/>
      <c r="P475" s="799"/>
      <c r="Q475" s="799"/>
      <c r="R475" s="799"/>
      <c r="S475" s="799"/>
      <c r="T475" s="799"/>
      <c r="U475" s="799"/>
      <c r="V475" s="799"/>
      <c r="W475" s="799"/>
      <c r="X475" s="799"/>
      <c r="Y475" s="799"/>
      <c r="Z475" s="799"/>
      <c r="AA475" s="799"/>
      <c r="AB475" s="799"/>
      <c r="AC475" s="799"/>
      <c r="AD475" s="799"/>
      <c r="AE475" s="799"/>
      <c r="AF475" s="799"/>
      <c r="AG475" s="799"/>
      <c r="AH475" s="799"/>
      <c r="AI475" s="799"/>
      <c r="AJ475" s="799"/>
      <c r="AK475" s="799"/>
      <c r="AL475" s="799"/>
      <c r="AM475" s="799"/>
      <c r="AN475" s="799"/>
      <c r="AO475" s="799"/>
      <c r="AP475" s="799"/>
      <c r="AQ475" s="799"/>
      <c r="AR475" s="799"/>
      <c r="AS475" s="799"/>
      <c r="AT475" s="799"/>
      <c r="AU475" s="799"/>
      <c r="AV475" s="799"/>
      <c r="AW475" s="799"/>
      <c r="AX475" s="799"/>
      <c r="AY475" s="799"/>
      <c r="AZ475" s="799"/>
      <c r="BA475" s="799"/>
      <c r="BB475" s="799"/>
      <c r="BC475" s="799"/>
      <c r="BD475" s="799"/>
      <c r="BE475" s="799"/>
      <c r="BF475" s="799"/>
      <c r="BG475" s="799"/>
    </row>
    <row r="476">
      <c r="H476" s="799"/>
      <c r="I476" s="799"/>
      <c r="J476" s="799"/>
      <c r="K476" s="799"/>
      <c r="L476" s="799"/>
      <c r="M476" s="799"/>
      <c r="N476" s="799"/>
      <c r="O476" s="799"/>
      <c r="P476" s="799"/>
      <c r="Q476" s="799"/>
      <c r="R476" s="799"/>
      <c r="S476" s="799"/>
      <c r="T476" s="799"/>
      <c r="U476" s="799"/>
      <c r="V476" s="799"/>
      <c r="W476" s="799"/>
      <c r="X476" s="799"/>
      <c r="Y476" s="799"/>
      <c r="Z476" s="799"/>
      <c r="AA476" s="799"/>
      <c r="AB476" s="799"/>
      <c r="AC476" s="799"/>
      <c r="AD476" s="799"/>
      <c r="AE476" s="799"/>
      <c r="AF476" s="799"/>
      <c r="AG476" s="799"/>
      <c r="AH476" s="799"/>
      <c r="AI476" s="799"/>
      <c r="AJ476" s="799"/>
      <c r="AK476" s="799"/>
      <c r="AL476" s="799"/>
      <c r="AM476" s="799"/>
      <c r="AN476" s="799"/>
      <c r="AO476" s="799"/>
      <c r="AP476" s="799"/>
      <c r="AQ476" s="799"/>
      <c r="AR476" s="799"/>
      <c r="AS476" s="799"/>
      <c r="AT476" s="799"/>
      <c r="AU476" s="799"/>
      <c r="AV476" s="799"/>
      <c r="AW476" s="799"/>
      <c r="AX476" s="799"/>
      <c r="AY476" s="799"/>
      <c r="AZ476" s="799"/>
      <c r="BA476" s="799"/>
      <c r="BB476" s="799"/>
      <c r="BC476" s="799"/>
      <c r="BD476" s="799"/>
      <c r="BE476" s="799"/>
      <c r="BF476" s="799"/>
      <c r="BG476" s="799"/>
    </row>
    <row r="477">
      <c r="H477" s="799"/>
      <c r="I477" s="799"/>
      <c r="J477" s="799"/>
      <c r="K477" s="799"/>
      <c r="L477" s="799"/>
      <c r="M477" s="799"/>
      <c r="N477" s="799"/>
      <c r="O477" s="799"/>
      <c r="P477" s="799"/>
      <c r="Q477" s="799"/>
      <c r="R477" s="799"/>
      <c r="S477" s="799"/>
      <c r="T477" s="799"/>
      <c r="U477" s="799"/>
      <c r="V477" s="799"/>
      <c r="W477" s="799"/>
      <c r="X477" s="799"/>
      <c r="Y477" s="799"/>
      <c r="Z477" s="799"/>
      <c r="AA477" s="799"/>
      <c r="AB477" s="799"/>
      <c r="AC477" s="799"/>
      <c r="AD477" s="799"/>
      <c r="AE477" s="799"/>
      <c r="AF477" s="799"/>
      <c r="AG477" s="799"/>
      <c r="AH477" s="799"/>
      <c r="AI477" s="799"/>
      <c r="AJ477" s="799"/>
      <c r="AK477" s="799"/>
      <c r="AL477" s="799"/>
      <c r="AM477" s="799"/>
      <c r="AN477" s="799"/>
      <c r="AO477" s="799"/>
      <c r="AP477" s="799"/>
      <c r="AQ477" s="799"/>
      <c r="AR477" s="799"/>
      <c r="AS477" s="799"/>
      <c r="AT477" s="799"/>
      <c r="AU477" s="799"/>
      <c r="AV477" s="799"/>
      <c r="AW477" s="799"/>
      <c r="AX477" s="799"/>
      <c r="AY477" s="799"/>
      <c r="AZ477" s="799"/>
      <c r="BA477" s="799"/>
      <c r="BB477" s="799"/>
      <c r="BC477" s="799"/>
      <c r="BD477" s="799"/>
      <c r="BE477" s="799"/>
      <c r="BF477" s="799"/>
      <c r="BG477" s="799"/>
    </row>
    <row r="478">
      <c r="H478" s="799"/>
      <c r="I478" s="799"/>
      <c r="J478" s="799"/>
      <c r="K478" s="799"/>
      <c r="L478" s="799"/>
      <c r="M478" s="799"/>
      <c r="N478" s="799"/>
      <c r="O478" s="799"/>
      <c r="P478" s="799"/>
      <c r="Q478" s="799"/>
      <c r="R478" s="799"/>
      <c r="S478" s="799"/>
      <c r="T478" s="799"/>
      <c r="U478" s="799"/>
      <c r="V478" s="799"/>
      <c r="W478" s="799"/>
      <c r="X478" s="799"/>
      <c r="Y478" s="799"/>
      <c r="Z478" s="799"/>
      <c r="AA478" s="799"/>
      <c r="AB478" s="799"/>
      <c r="AC478" s="799"/>
      <c r="AD478" s="799"/>
      <c r="AE478" s="799"/>
      <c r="AF478" s="799"/>
      <c r="AG478" s="799"/>
      <c r="AH478" s="799"/>
      <c r="AI478" s="799"/>
      <c r="AJ478" s="799"/>
      <c r="AK478" s="799"/>
      <c r="AL478" s="799"/>
      <c r="AM478" s="799"/>
      <c r="AN478" s="799"/>
      <c r="AO478" s="799"/>
      <c r="AP478" s="799"/>
      <c r="AQ478" s="799"/>
      <c r="AR478" s="799"/>
      <c r="AS478" s="799"/>
      <c r="AT478" s="799"/>
      <c r="AU478" s="799"/>
      <c r="AV478" s="799"/>
      <c r="AW478" s="799"/>
      <c r="AX478" s="799"/>
      <c r="AY478" s="799"/>
      <c r="AZ478" s="799"/>
      <c r="BA478" s="799"/>
      <c r="BB478" s="799"/>
      <c r="BC478" s="799"/>
      <c r="BD478" s="799"/>
      <c r="BE478" s="799"/>
      <c r="BF478" s="799"/>
      <c r="BG478" s="799"/>
    </row>
    <row r="479">
      <c r="H479" s="799"/>
      <c r="I479" s="799"/>
      <c r="J479" s="799"/>
      <c r="K479" s="799"/>
      <c r="L479" s="799"/>
      <c r="M479" s="799"/>
      <c r="N479" s="799"/>
      <c r="O479" s="799"/>
      <c r="P479" s="799"/>
      <c r="Q479" s="799"/>
      <c r="R479" s="799"/>
      <c r="S479" s="799"/>
      <c r="T479" s="799"/>
      <c r="U479" s="799"/>
      <c r="V479" s="799"/>
      <c r="W479" s="799"/>
      <c r="X479" s="799"/>
      <c r="Y479" s="799"/>
      <c r="Z479" s="799"/>
      <c r="AA479" s="799"/>
      <c r="AB479" s="799"/>
      <c r="AC479" s="799"/>
      <c r="AD479" s="799"/>
      <c r="AE479" s="799"/>
      <c r="AF479" s="799"/>
      <c r="AG479" s="799"/>
      <c r="AH479" s="799"/>
      <c r="AI479" s="799"/>
      <c r="AJ479" s="799"/>
      <c r="AK479" s="799"/>
      <c r="AL479" s="799"/>
      <c r="AM479" s="799"/>
      <c r="AN479" s="799"/>
      <c r="AO479" s="799"/>
      <c r="AP479" s="799"/>
      <c r="AQ479" s="799"/>
      <c r="AR479" s="799"/>
      <c r="AS479" s="799"/>
      <c r="AT479" s="799"/>
      <c r="AU479" s="799"/>
      <c r="AV479" s="799"/>
      <c r="AW479" s="799"/>
      <c r="AX479" s="799"/>
      <c r="AY479" s="799"/>
      <c r="AZ479" s="799"/>
      <c r="BA479" s="799"/>
      <c r="BB479" s="799"/>
      <c r="BC479" s="799"/>
      <c r="BD479" s="799"/>
      <c r="BE479" s="799"/>
      <c r="BF479" s="799"/>
      <c r="BG479" s="799"/>
    </row>
    <row r="480">
      <c r="H480" s="799"/>
      <c r="I480" s="799"/>
      <c r="J480" s="799"/>
      <c r="K480" s="799"/>
      <c r="L480" s="799"/>
      <c r="M480" s="799"/>
      <c r="N480" s="799"/>
      <c r="O480" s="799"/>
      <c r="P480" s="799"/>
      <c r="Q480" s="799"/>
      <c r="R480" s="799"/>
      <c r="S480" s="799"/>
      <c r="T480" s="799"/>
      <c r="U480" s="799"/>
      <c r="V480" s="799"/>
      <c r="W480" s="799"/>
      <c r="X480" s="799"/>
      <c r="Y480" s="799"/>
      <c r="Z480" s="799"/>
      <c r="AA480" s="799"/>
      <c r="AB480" s="799"/>
      <c r="AC480" s="799"/>
      <c r="AD480" s="799"/>
      <c r="AE480" s="799"/>
      <c r="AF480" s="799"/>
      <c r="AG480" s="799"/>
      <c r="AH480" s="799"/>
      <c r="AI480" s="799"/>
      <c r="AJ480" s="799"/>
      <c r="AK480" s="799"/>
      <c r="AL480" s="799"/>
      <c r="AM480" s="799"/>
      <c r="AN480" s="799"/>
      <c r="AO480" s="799"/>
      <c r="AP480" s="799"/>
      <c r="AQ480" s="799"/>
      <c r="AR480" s="799"/>
      <c r="AS480" s="799"/>
      <c r="AT480" s="799"/>
      <c r="AU480" s="799"/>
      <c r="AV480" s="799"/>
      <c r="AW480" s="799"/>
      <c r="AX480" s="799"/>
      <c r="AY480" s="799"/>
      <c r="AZ480" s="799"/>
      <c r="BA480" s="799"/>
      <c r="BB480" s="799"/>
      <c r="BC480" s="799"/>
      <c r="BD480" s="799"/>
      <c r="BE480" s="799"/>
      <c r="BF480" s="799"/>
      <c r="BG480" s="799"/>
    </row>
    <row r="481">
      <c r="H481" s="799"/>
      <c r="I481" s="799"/>
      <c r="J481" s="799"/>
      <c r="K481" s="799"/>
      <c r="L481" s="799"/>
      <c r="M481" s="799"/>
      <c r="N481" s="799"/>
      <c r="O481" s="799"/>
      <c r="P481" s="799"/>
      <c r="Q481" s="799"/>
      <c r="R481" s="799"/>
      <c r="S481" s="799"/>
      <c r="T481" s="799"/>
      <c r="U481" s="799"/>
      <c r="V481" s="799"/>
      <c r="W481" s="799"/>
      <c r="X481" s="799"/>
      <c r="Y481" s="799"/>
      <c r="Z481" s="799"/>
      <c r="AA481" s="799"/>
      <c r="AB481" s="799"/>
      <c r="AC481" s="799"/>
      <c r="AD481" s="799"/>
      <c r="AE481" s="799"/>
      <c r="AF481" s="799"/>
      <c r="AG481" s="799"/>
      <c r="AH481" s="799"/>
      <c r="AI481" s="799"/>
      <c r="AJ481" s="799"/>
      <c r="AK481" s="799"/>
      <c r="AL481" s="799"/>
      <c r="AM481" s="799"/>
      <c r="AN481" s="799"/>
      <c r="AO481" s="799"/>
      <c r="AP481" s="799"/>
      <c r="AQ481" s="799"/>
      <c r="AR481" s="799"/>
      <c r="AS481" s="799"/>
      <c r="AT481" s="799"/>
      <c r="AU481" s="799"/>
      <c r="AV481" s="799"/>
      <c r="AW481" s="799"/>
      <c r="AX481" s="799"/>
      <c r="AY481" s="799"/>
      <c r="AZ481" s="799"/>
      <c r="BA481" s="799"/>
      <c r="BB481" s="799"/>
      <c r="BC481" s="799"/>
      <c r="BD481" s="799"/>
      <c r="BE481" s="799"/>
      <c r="BF481" s="799"/>
      <c r="BG481" s="799"/>
    </row>
    <row r="482">
      <c r="H482" s="799"/>
      <c r="I482" s="799"/>
      <c r="J482" s="799"/>
      <c r="K482" s="799"/>
      <c r="L482" s="799"/>
      <c r="M482" s="799"/>
      <c r="N482" s="799"/>
      <c r="O482" s="799"/>
      <c r="P482" s="799"/>
      <c r="Q482" s="799"/>
      <c r="R482" s="799"/>
      <c r="S482" s="799"/>
      <c r="T482" s="799"/>
      <c r="U482" s="799"/>
      <c r="V482" s="799"/>
      <c r="W482" s="799"/>
      <c r="X482" s="799"/>
      <c r="Y482" s="799"/>
      <c r="Z482" s="799"/>
      <c r="AA482" s="799"/>
      <c r="AB482" s="799"/>
      <c r="AC482" s="799"/>
      <c r="AD482" s="799"/>
      <c r="AE482" s="799"/>
      <c r="AF482" s="799"/>
      <c r="AG482" s="799"/>
      <c r="AH482" s="799"/>
      <c r="AI482" s="799"/>
      <c r="AJ482" s="799"/>
      <c r="AK482" s="799"/>
      <c r="AL482" s="799"/>
      <c r="AM482" s="799"/>
      <c r="AN482" s="799"/>
      <c r="AO482" s="799"/>
      <c r="AP482" s="799"/>
      <c r="AQ482" s="799"/>
      <c r="AR482" s="799"/>
      <c r="AS482" s="799"/>
      <c r="AT482" s="799"/>
      <c r="AU482" s="799"/>
      <c r="AV482" s="799"/>
      <c r="AW482" s="799"/>
      <c r="AX482" s="799"/>
      <c r="AY482" s="799"/>
      <c r="AZ482" s="799"/>
      <c r="BA482" s="799"/>
      <c r="BB482" s="799"/>
      <c r="BC482" s="799"/>
      <c r="BD482" s="799"/>
      <c r="BE482" s="799"/>
      <c r="BF482" s="799"/>
      <c r="BG482" s="799"/>
    </row>
    <row r="483">
      <c r="H483" s="799"/>
      <c r="I483" s="799"/>
      <c r="J483" s="799"/>
      <c r="K483" s="799"/>
      <c r="L483" s="799"/>
      <c r="M483" s="799"/>
      <c r="N483" s="799"/>
      <c r="O483" s="799"/>
      <c r="P483" s="799"/>
      <c r="Q483" s="799"/>
      <c r="R483" s="799"/>
      <c r="S483" s="799"/>
      <c r="T483" s="799"/>
      <c r="U483" s="799"/>
      <c r="V483" s="799"/>
      <c r="W483" s="799"/>
      <c r="X483" s="799"/>
      <c r="Y483" s="799"/>
      <c r="Z483" s="799"/>
      <c r="AA483" s="799"/>
      <c r="AB483" s="799"/>
      <c r="AC483" s="799"/>
      <c r="AD483" s="799"/>
      <c r="AE483" s="799"/>
      <c r="AF483" s="799"/>
      <c r="AG483" s="799"/>
      <c r="AH483" s="799"/>
      <c r="AI483" s="799"/>
      <c r="AJ483" s="799"/>
      <c r="AK483" s="799"/>
      <c r="AL483" s="799"/>
      <c r="AM483" s="799"/>
      <c r="AN483" s="799"/>
      <c r="AO483" s="799"/>
      <c r="AP483" s="799"/>
      <c r="AQ483" s="799"/>
      <c r="AR483" s="799"/>
      <c r="AS483" s="799"/>
      <c r="AT483" s="799"/>
      <c r="AU483" s="799"/>
      <c r="AV483" s="799"/>
      <c r="AW483" s="799"/>
      <c r="AX483" s="799"/>
      <c r="AY483" s="799"/>
      <c r="AZ483" s="799"/>
      <c r="BA483" s="799"/>
      <c r="BB483" s="799"/>
      <c r="BC483" s="799"/>
      <c r="BD483" s="799"/>
      <c r="BE483" s="799"/>
      <c r="BF483" s="799"/>
      <c r="BG483" s="799"/>
    </row>
    <row r="484">
      <c r="H484" s="799"/>
      <c r="I484" s="799"/>
      <c r="J484" s="799"/>
      <c r="K484" s="799"/>
      <c r="L484" s="799"/>
      <c r="M484" s="799"/>
      <c r="N484" s="799"/>
      <c r="O484" s="799"/>
      <c r="P484" s="799"/>
      <c r="Q484" s="799"/>
      <c r="R484" s="799"/>
      <c r="S484" s="799"/>
      <c r="T484" s="799"/>
      <c r="U484" s="799"/>
      <c r="V484" s="799"/>
      <c r="W484" s="799"/>
      <c r="X484" s="799"/>
      <c r="Y484" s="799"/>
      <c r="Z484" s="799"/>
      <c r="AA484" s="799"/>
      <c r="AB484" s="799"/>
      <c r="AC484" s="799"/>
      <c r="AD484" s="799"/>
      <c r="AE484" s="799"/>
      <c r="AF484" s="799"/>
      <c r="AG484" s="799"/>
      <c r="AH484" s="799"/>
      <c r="AI484" s="799"/>
      <c r="AJ484" s="799"/>
      <c r="AK484" s="799"/>
      <c r="AL484" s="799"/>
      <c r="AM484" s="799"/>
      <c r="AN484" s="799"/>
      <c r="AO484" s="799"/>
      <c r="AP484" s="799"/>
      <c r="AQ484" s="799"/>
      <c r="AR484" s="799"/>
      <c r="AS484" s="799"/>
      <c r="AT484" s="799"/>
      <c r="AU484" s="799"/>
      <c r="AV484" s="799"/>
      <c r="AW484" s="799"/>
      <c r="AX484" s="799"/>
      <c r="AY484" s="799"/>
      <c r="AZ484" s="799"/>
      <c r="BA484" s="799"/>
      <c r="BB484" s="799"/>
      <c r="BC484" s="799"/>
      <c r="BD484" s="799"/>
      <c r="BE484" s="799"/>
      <c r="BF484" s="799"/>
      <c r="BG484" s="799"/>
    </row>
    <row r="485">
      <c r="H485" s="799"/>
      <c r="I485" s="799"/>
      <c r="J485" s="799"/>
      <c r="K485" s="799"/>
      <c r="L485" s="799"/>
      <c r="M485" s="799"/>
      <c r="N485" s="799"/>
      <c r="O485" s="799"/>
      <c r="P485" s="799"/>
      <c r="Q485" s="799"/>
      <c r="R485" s="799"/>
      <c r="S485" s="799"/>
      <c r="T485" s="799"/>
      <c r="U485" s="799"/>
      <c r="V485" s="799"/>
      <c r="W485" s="799"/>
      <c r="X485" s="799"/>
      <c r="Y485" s="799"/>
      <c r="Z485" s="799"/>
      <c r="AA485" s="799"/>
      <c r="AB485" s="799"/>
      <c r="AC485" s="799"/>
      <c r="AD485" s="799"/>
      <c r="AE485" s="799"/>
      <c r="AF485" s="799"/>
      <c r="AG485" s="799"/>
      <c r="AH485" s="799"/>
      <c r="AI485" s="799"/>
      <c r="AJ485" s="799"/>
      <c r="AK485" s="799"/>
      <c r="AL485" s="799"/>
      <c r="AM485" s="799"/>
      <c r="AN485" s="799"/>
      <c r="AO485" s="799"/>
      <c r="AP485" s="799"/>
      <c r="AQ485" s="799"/>
      <c r="AR485" s="799"/>
      <c r="AS485" s="799"/>
      <c r="AT485" s="799"/>
      <c r="AU485" s="799"/>
      <c r="AV485" s="799"/>
      <c r="AW485" s="799"/>
      <c r="AX485" s="799"/>
      <c r="AY485" s="799"/>
      <c r="AZ485" s="799"/>
      <c r="BA485" s="799"/>
      <c r="BB485" s="799"/>
      <c r="BC485" s="799"/>
      <c r="BD485" s="799"/>
      <c r="BE485" s="799"/>
      <c r="BF485" s="799"/>
      <c r="BG485" s="799"/>
    </row>
    <row r="486">
      <c r="H486" s="799"/>
      <c r="I486" s="799"/>
      <c r="J486" s="799"/>
      <c r="K486" s="799"/>
      <c r="L486" s="799"/>
      <c r="M486" s="799"/>
      <c r="N486" s="799"/>
      <c r="O486" s="799"/>
      <c r="P486" s="799"/>
      <c r="Q486" s="799"/>
      <c r="R486" s="799"/>
      <c r="S486" s="799"/>
      <c r="T486" s="799"/>
      <c r="U486" s="799"/>
      <c r="V486" s="799"/>
      <c r="W486" s="799"/>
      <c r="X486" s="799"/>
      <c r="Y486" s="799"/>
      <c r="Z486" s="799"/>
      <c r="AA486" s="799"/>
      <c r="AB486" s="799"/>
      <c r="AC486" s="799"/>
      <c r="AD486" s="799"/>
      <c r="AE486" s="799"/>
      <c r="AF486" s="799"/>
      <c r="AG486" s="799"/>
      <c r="AH486" s="799"/>
      <c r="AI486" s="799"/>
      <c r="AJ486" s="799"/>
      <c r="AK486" s="799"/>
      <c r="AL486" s="799"/>
      <c r="AM486" s="799"/>
      <c r="AN486" s="799"/>
      <c r="AO486" s="799"/>
      <c r="AP486" s="799"/>
      <c r="AQ486" s="799"/>
      <c r="AR486" s="799"/>
      <c r="AS486" s="799"/>
      <c r="AT486" s="799"/>
      <c r="AU486" s="799"/>
      <c r="AV486" s="799"/>
      <c r="AW486" s="799"/>
      <c r="AX486" s="799"/>
      <c r="AY486" s="799"/>
      <c r="AZ486" s="799"/>
      <c r="BA486" s="799"/>
      <c r="BB486" s="799"/>
      <c r="BC486" s="799"/>
      <c r="BD486" s="799"/>
      <c r="BE486" s="799"/>
      <c r="BF486" s="799"/>
      <c r="BG486" s="799"/>
    </row>
    <row r="487">
      <c r="H487" s="799"/>
      <c r="I487" s="799"/>
      <c r="J487" s="799"/>
      <c r="K487" s="799"/>
      <c r="L487" s="799"/>
      <c r="M487" s="799"/>
      <c r="N487" s="799"/>
      <c r="O487" s="799"/>
      <c r="P487" s="799"/>
      <c r="Q487" s="799"/>
      <c r="R487" s="799"/>
      <c r="S487" s="799"/>
      <c r="T487" s="799"/>
      <c r="U487" s="799"/>
      <c r="V487" s="799"/>
      <c r="W487" s="799"/>
      <c r="X487" s="799"/>
      <c r="Y487" s="799"/>
      <c r="Z487" s="799"/>
      <c r="AA487" s="799"/>
      <c r="AB487" s="799"/>
      <c r="AC487" s="799"/>
      <c r="AD487" s="799"/>
      <c r="AE487" s="799"/>
      <c r="AF487" s="799"/>
      <c r="AG487" s="799"/>
      <c r="AH487" s="799"/>
      <c r="AI487" s="799"/>
      <c r="AJ487" s="799"/>
      <c r="AK487" s="799"/>
      <c r="AL487" s="799"/>
      <c r="AM487" s="799"/>
      <c r="AN487" s="799"/>
      <c r="AO487" s="799"/>
      <c r="AP487" s="799"/>
      <c r="AQ487" s="799"/>
      <c r="AR487" s="799"/>
      <c r="AS487" s="799"/>
      <c r="AT487" s="799"/>
      <c r="AU487" s="799"/>
      <c r="AV487" s="799"/>
      <c r="AW487" s="799"/>
      <c r="AX487" s="799"/>
      <c r="AY487" s="799"/>
      <c r="AZ487" s="799"/>
      <c r="BA487" s="799"/>
      <c r="BB487" s="799"/>
      <c r="BC487" s="799"/>
      <c r="BD487" s="799"/>
      <c r="BE487" s="799"/>
      <c r="BF487" s="799"/>
      <c r="BG487" s="799"/>
    </row>
    <row r="488">
      <c r="H488" s="799"/>
      <c r="I488" s="799"/>
      <c r="J488" s="799"/>
      <c r="K488" s="799"/>
      <c r="L488" s="799"/>
      <c r="M488" s="799"/>
      <c r="N488" s="799"/>
      <c r="O488" s="799"/>
      <c r="P488" s="799"/>
      <c r="Q488" s="799"/>
      <c r="R488" s="799"/>
      <c r="S488" s="799"/>
      <c r="T488" s="799"/>
      <c r="U488" s="799"/>
      <c r="V488" s="799"/>
      <c r="W488" s="799"/>
      <c r="X488" s="799"/>
      <c r="Y488" s="799"/>
      <c r="Z488" s="799"/>
      <c r="AA488" s="799"/>
      <c r="AB488" s="799"/>
      <c r="AC488" s="799"/>
      <c r="AD488" s="799"/>
      <c r="AE488" s="799"/>
      <c r="AF488" s="799"/>
      <c r="AG488" s="799"/>
      <c r="AH488" s="799"/>
      <c r="AI488" s="799"/>
      <c r="AJ488" s="799"/>
      <c r="AK488" s="799"/>
      <c r="AL488" s="799"/>
      <c r="AM488" s="799"/>
      <c r="AN488" s="799"/>
      <c r="AO488" s="799"/>
      <c r="AP488" s="799"/>
      <c r="AQ488" s="799"/>
      <c r="AR488" s="799"/>
      <c r="AS488" s="799"/>
      <c r="AT488" s="799"/>
      <c r="AU488" s="799"/>
      <c r="AV488" s="799"/>
      <c r="AW488" s="799"/>
      <c r="AX488" s="799"/>
      <c r="AY488" s="799"/>
      <c r="AZ488" s="799"/>
      <c r="BA488" s="799"/>
      <c r="BB488" s="799"/>
      <c r="BC488" s="799"/>
      <c r="BD488" s="799"/>
      <c r="BE488" s="799"/>
      <c r="BF488" s="799"/>
      <c r="BG488" s="799"/>
    </row>
    <row r="489">
      <c r="H489" s="799"/>
      <c r="I489" s="799"/>
      <c r="J489" s="799"/>
      <c r="K489" s="799"/>
      <c r="L489" s="799"/>
      <c r="M489" s="799"/>
      <c r="N489" s="799"/>
      <c r="O489" s="799"/>
      <c r="P489" s="799"/>
      <c r="Q489" s="799"/>
      <c r="R489" s="799"/>
      <c r="S489" s="799"/>
      <c r="T489" s="799"/>
      <c r="U489" s="799"/>
      <c r="V489" s="799"/>
      <c r="W489" s="799"/>
      <c r="X489" s="799"/>
      <c r="Y489" s="799"/>
      <c r="Z489" s="799"/>
      <c r="AA489" s="799"/>
      <c r="AB489" s="799"/>
      <c r="AC489" s="799"/>
      <c r="AD489" s="799"/>
      <c r="AE489" s="799"/>
      <c r="AF489" s="799"/>
      <c r="AG489" s="799"/>
      <c r="AH489" s="799"/>
      <c r="AI489" s="799"/>
      <c r="AJ489" s="799"/>
      <c r="AK489" s="799"/>
      <c r="AL489" s="799"/>
      <c r="AM489" s="799"/>
      <c r="AN489" s="799"/>
      <c r="AO489" s="799"/>
      <c r="AP489" s="799"/>
      <c r="AQ489" s="799"/>
      <c r="AR489" s="799"/>
      <c r="AS489" s="799"/>
      <c r="AT489" s="799"/>
      <c r="AU489" s="799"/>
      <c r="AV489" s="799"/>
      <c r="AW489" s="799"/>
      <c r="AX489" s="799"/>
      <c r="AY489" s="799"/>
      <c r="AZ489" s="799"/>
      <c r="BA489" s="799"/>
      <c r="BB489" s="799"/>
      <c r="BC489" s="799"/>
      <c r="BD489" s="799"/>
      <c r="BE489" s="799"/>
      <c r="BF489" s="799"/>
      <c r="BG489" s="799"/>
    </row>
    <row r="490">
      <c r="H490" s="799"/>
      <c r="I490" s="799"/>
      <c r="J490" s="799"/>
      <c r="K490" s="799"/>
      <c r="L490" s="799"/>
      <c r="M490" s="799"/>
      <c r="N490" s="799"/>
      <c r="O490" s="799"/>
      <c r="P490" s="799"/>
      <c r="Q490" s="799"/>
      <c r="R490" s="799"/>
      <c r="S490" s="799"/>
      <c r="T490" s="799"/>
      <c r="U490" s="799"/>
      <c r="V490" s="799"/>
      <c r="W490" s="799"/>
      <c r="X490" s="799"/>
      <c r="Y490" s="799"/>
      <c r="Z490" s="799"/>
      <c r="AA490" s="799"/>
      <c r="AB490" s="799"/>
      <c r="AC490" s="799"/>
      <c r="AD490" s="799"/>
      <c r="AE490" s="799"/>
      <c r="AF490" s="799"/>
      <c r="AG490" s="799"/>
      <c r="AH490" s="799"/>
      <c r="AI490" s="799"/>
      <c r="AJ490" s="799"/>
      <c r="AK490" s="799"/>
      <c r="AL490" s="799"/>
      <c r="AM490" s="799"/>
      <c r="AN490" s="799"/>
      <c r="AO490" s="799"/>
      <c r="AP490" s="799"/>
      <c r="AQ490" s="799"/>
      <c r="AR490" s="799"/>
      <c r="AS490" s="799"/>
      <c r="AT490" s="799"/>
      <c r="AU490" s="799"/>
      <c r="AV490" s="799"/>
      <c r="AW490" s="799"/>
      <c r="AX490" s="799"/>
      <c r="AY490" s="799"/>
      <c r="AZ490" s="799"/>
      <c r="BA490" s="799"/>
      <c r="BB490" s="799"/>
      <c r="BC490" s="799"/>
      <c r="BD490" s="799"/>
      <c r="BE490" s="799"/>
      <c r="BF490" s="799"/>
      <c r="BG490" s="799"/>
    </row>
    <row r="491">
      <c r="H491" s="799"/>
      <c r="I491" s="799"/>
      <c r="J491" s="799"/>
      <c r="K491" s="799"/>
      <c r="L491" s="799"/>
      <c r="M491" s="799"/>
      <c r="N491" s="799"/>
      <c r="O491" s="799"/>
      <c r="P491" s="799"/>
      <c r="Q491" s="799"/>
      <c r="R491" s="799"/>
      <c r="S491" s="799"/>
      <c r="T491" s="799"/>
      <c r="U491" s="799"/>
      <c r="V491" s="799"/>
      <c r="W491" s="799"/>
      <c r="X491" s="799"/>
      <c r="Y491" s="799"/>
      <c r="Z491" s="799"/>
      <c r="AA491" s="799"/>
      <c r="AB491" s="799"/>
      <c r="AC491" s="799"/>
      <c r="AD491" s="799"/>
      <c r="AE491" s="799"/>
      <c r="AF491" s="799"/>
      <c r="AG491" s="799"/>
      <c r="AH491" s="799"/>
      <c r="AI491" s="799"/>
      <c r="AJ491" s="799"/>
      <c r="AK491" s="799"/>
      <c r="AL491" s="799"/>
      <c r="AM491" s="799"/>
      <c r="AN491" s="799"/>
      <c r="AO491" s="799"/>
      <c r="AP491" s="799"/>
      <c r="AQ491" s="799"/>
      <c r="AR491" s="799"/>
      <c r="AS491" s="799"/>
      <c r="AT491" s="799"/>
      <c r="AU491" s="799"/>
      <c r="AV491" s="799"/>
      <c r="AW491" s="799"/>
      <c r="AX491" s="799"/>
      <c r="AY491" s="799"/>
      <c r="AZ491" s="799"/>
      <c r="BA491" s="799"/>
      <c r="BB491" s="799"/>
      <c r="BC491" s="799"/>
      <c r="BD491" s="799"/>
      <c r="BE491" s="799"/>
      <c r="BF491" s="799"/>
      <c r="BG491" s="799"/>
    </row>
    <row r="492">
      <c r="H492" s="799"/>
      <c r="I492" s="799"/>
      <c r="J492" s="799"/>
      <c r="K492" s="799"/>
      <c r="L492" s="799"/>
      <c r="M492" s="799"/>
      <c r="N492" s="799"/>
      <c r="O492" s="799"/>
      <c r="P492" s="799"/>
      <c r="Q492" s="799"/>
      <c r="R492" s="799"/>
      <c r="S492" s="799"/>
      <c r="T492" s="799"/>
      <c r="U492" s="799"/>
      <c r="V492" s="799"/>
      <c r="W492" s="799"/>
      <c r="X492" s="799"/>
      <c r="Y492" s="799"/>
      <c r="Z492" s="799"/>
      <c r="AA492" s="799"/>
      <c r="AB492" s="799"/>
      <c r="AC492" s="799"/>
      <c r="AD492" s="799"/>
      <c r="AE492" s="799"/>
      <c r="AF492" s="799"/>
      <c r="AG492" s="799"/>
      <c r="AH492" s="799"/>
      <c r="AI492" s="799"/>
      <c r="AJ492" s="799"/>
      <c r="AK492" s="799"/>
      <c r="AL492" s="799"/>
      <c r="AM492" s="799"/>
      <c r="AN492" s="799"/>
      <c r="AO492" s="799"/>
      <c r="AP492" s="799"/>
      <c r="AQ492" s="799"/>
      <c r="AR492" s="799"/>
      <c r="AS492" s="799"/>
      <c r="AT492" s="799"/>
      <c r="AU492" s="799"/>
      <c r="AV492" s="799"/>
      <c r="AW492" s="799"/>
      <c r="AX492" s="799"/>
      <c r="AY492" s="799"/>
      <c r="AZ492" s="799"/>
      <c r="BA492" s="799"/>
      <c r="BB492" s="799"/>
      <c r="BC492" s="799"/>
      <c r="BD492" s="799"/>
      <c r="BE492" s="799"/>
      <c r="BF492" s="799"/>
      <c r="BG492" s="799"/>
    </row>
    <row r="493">
      <c r="H493" s="799"/>
      <c r="I493" s="799"/>
      <c r="J493" s="799"/>
      <c r="K493" s="799"/>
      <c r="L493" s="799"/>
      <c r="M493" s="799"/>
      <c r="N493" s="799"/>
      <c r="O493" s="799"/>
      <c r="P493" s="799"/>
      <c r="Q493" s="799"/>
      <c r="R493" s="799"/>
      <c r="S493" s="799"/>
      <c r="T493" s="799"/>
      <c r="U493" s="799"/>
      <c r="V493" s="799"/>
      <c r="W493" s="799"/>
      <c r="X493" s="799"/>
      <c r="Y493" s="799"/>
      <c r="Z493" s="799"/>
      <c r="AA493" s="799"/>
      <c r="AB493" s="799"/>
      <c r="AC493" s="799"/>
      <c r="AD493" s="799"/>
      <c r="AE493" s="799"/>
      <c r="AF493" s="799"/>
      <c r="AG493" s="799"/>
      <c r="AH493" s="799"/>
      <c r="AI493" s="799"/>
      <c r="AJ493" s="799"/>
      <c r="AK493" s="799"/>
      <c r="AL493" s="799"/>
      <c r="AM493" s="799"/>
      <c r="AN493" s="799"/>
      <c r="AO493" s="799"/>
      <c r="AP493" s="799"/>
      <c r="AQ493" s="799"/>
      <c r="AR493" s="799"/>
      <c r="AS493" s="799"/>
      <c r="AT493" s="799"/>
      <c r="AU493" s="799"/>
      <c r="AV493" s="799"/>
      <c r="AW493" s="799"/>
      <c r="AX493" s="799"/>
      <c r="AY493" s="799"/>
      <c r="AZ493" s="799"/>
      <c r="BA493" s="799"/>
      <c r="BB493" s="799"/>
      <c r="BC493" s="799"/>
      <c r="BD493" s="799"/>
      <c r="BE493" s="799"/>
      <c r="BF493" s="799"/>
      <c r="BG493" s="799"/>
    </row>
    <row r="494">
      <c r="H494" s="799"/>
      <c r="I494" s="799"/>
      <c r="J494" s="799"/>
      <c r="K494" s="799"/>
      <c r="L494" s="799"/>
      <c r="M494" s="799"/>
      <c r="N494" s="799"/>
      <c r="O494" s="799"/>
      <c r="P494" s="799"/>
      <c r="Q494" s="799"/>
      <c r="R494" s="799"/>
      <c r="S494" s="799"/>
      <c r="T494" s="799"/>
      <c r="U494" s="799"/>
      <c r="V494" s="799"/>
      <c r="W494" s="799"/>
      <c r="X494" s="799"/>
      <c r="Y494" s="799"/>
      <c r="Z494" s="799"/>
      <c r="AA494" s="799"/>
      <c r="AB494" s="799"/>
      <c r="AC494" s="799"/>
      <c r="AD494" s="799"/>
      <c r="AE494" s="799"/>
      <c r="AF494" s="799"/>
      <c r="AG494" s="799"/>
      <c r="AH494" s="799"/>
      <c r="AI494" s="799"/>
      <c r="AJ494" s="799"/>
      <c r="AK494" s="799"/>
      <c r="AL494" s="799"/>
      <c r="AM494" s="799"/>
      <c r="AN494" s="799"/>
      <c r="AO494" s="799"/>
      <c r="AP494" s="799"/>
      <c r="AQ494" s="799"/>
      <c r="AR494" s="799"/>
      <c r="AS494" s="799"/>
      <c r="AT494" s="799"/>
      <c r="AU494" s="799"/>
      <c r="AV494" s="799"/>
      <c r="AW494" s="799"/>
      <c r="AX494" s="799"/>
      <c r="AY494" s="799"/>
      <c r="AZ494" s="799"/>
      <c r="BA494" s="799"/>
      <c r="BB494" s="799"/>
      <c r="BC494" s="799"/>
      <c r="BD494" s="799"/>
      <c r="BE494" s="799"/>
      <c r="BF494" s="799"/>
      <c r="BG494" s="799"/>
    </row>
    <row r="495">
      <c r="H495" s="799"/>
      <c r="I495" s="799"/>
      <c r="J495" s="799"/>
      <c r="K495" s="799"/>
      <c r="L495" s="799"/>
      <c r="M495" s="799"/>
      <c r="N495" s="799"/>
      <c r="O495" s="799"/>
      <c r="P495" s="799"/>
      <c r="Q495" s="799"/>
      <c r="R495" s="799"/>
      <c r="S495" s="799"/>
      <c r="T495" s="799"/>
      <c r="U495" s="799"/>
      <c r="V495" s="799"/>
      <c r="W495" s="799"/>
      <c r="X495" s="799"/>
      <c r="Y495" s="799"/>
      <c r="Z495" s="799"/>
      <c r="AA495" s="799"/>
      <c r="AB495" s="799"/>
      <c r="AC495" s="799"/>
      <c r="AD495" s="799"/>
      <c r="AE495" s="799"/>
      <c r="AF495" s="799"/>
      <c r="AG495" s="799"/>
      <c r="AH495" s="799"/>
      <c r="AI495" s="799"/>
      <c r="AJ495" s="799"/>
      <c r="AK495" s="799"/>
      <c r="AL495" s="799"/>
      <c r="AM495" s="799"/>
      <c r="AN495" s="799"/>
      <c r="AO495" s="799"/>
      <c r="AP495" s="799"/>
      <c r="AQ495" s="799"/>
      <c r="AR495" s="799"/>
      <c r="AS495" s="799"/>
      <c r="AT495" s="799"/>
      <c r="AU495" s="799"/>
      <c r="AV495" s="799"/>
      <c r="AW495" s="799"/>
      <c r="AX495" s="799"/>
      <c r="AY495" s="799"/>
      <c r="AZ495" s="799"/>
      <c r="BA495" s="799"/>
      <c r="BB495" s="799"/>
      <c r="BC495" s="799"/>
      <c r="BD495" s="799"/>
      <c r="BE495" s="799"/>
      <c r="BF495" s="799"/>
      <c r="BG495" s="799"/>
    </row>
    <row r="496">
      <c r="H496" s="799"/>
      <c r="I496" s="799"/>
      <c r="J496" s="799"/>
      <c r="K496" s="799"/>
      <c r="L496" s="799"/>
      <c r="M496" s="799"/>
      <c r="N496" s="799"/>
      <c r="O496" s="799"/>
      <c r="P496" s="799"/>
      <c r="Q496" s="799"/>
      <c r="R496" s="799"/>
      <c r="S496" s="799"/>
      <c r="T496" s="799"/>
      <c r="U496" s="799"/>
      <c r="V496" s="799"/>
      <c r="W496" s="799"/>
      <c r="X496" s="799"/>
      <c r="Y496" s="799"/>
      <c r="Z496" s="799"/>
      <c r="AA496" s="799"/>
      <c r="AB496" s="799"/>
      <c r="AC496" s="799"/>
      <c r="AD496" s="799"/>
      <c r="AE496" s="799"/>
      <c r="AF496" s="799"/>
      <c r="AG496" s="799"/>
      <c r="AH496" s="799"/>
      <c r="AI496" s="799"/>
      <c r="AJ496" s="799"/>
      <c r="AK496" s="799"/>
      <c r="AL496" s="799"/>
      <c r="AM496" s="799"/>
      <c r="AN496" s="799"/>
      <c r="AO496" s="799"/>
      <c r="AP496" s="799"/>
      <c r="AQ496" s="799"/>
      <c r="AR496" s="799"/>
      <c r="AS496" s="799"/>
      <c r="AT496" s="799"/>
      <c r="AU496" s="799"/>
      <c r="AV496" s="799"/>
      <c r="AW496" s="799"/>
      <c r="AX496" s="799"/>
      <c r="AY496" s="799"/>
      <c r="AZ496" s="799"/>
      <c r="BA496" s="799"/>
      <c r="BB496" s="799"/>
      <c r="BC496" s="799"/>
      <c r="BD496" s="799"/>
      <c r="BE496" s="799"/>
      <c r="BF496" s="799"/>
      <c r="BG496" s="799"/>
    </row>
    <row r="497">
      <c r="H497" s="799"/>
      <c r="I497" s="799"/>
      <c r="J497" s="799"/>
      <c r="K497" s="799"/>
      <c r="L497" s="799"/>
      <c r="M497" s="799"/>
      <c r="N497" s="799"/>
      <c r="O497" s="799"/>
      <c r="P497" s="799"/>
      <c r="Q497" s="799"/>
      <c r="R497" s="799"/>
      <c r="S497" s="799"/>
      <c r="T497" s="799"/>
      <c r="U497" s="799"/>
      <c r="V497" s="799"/>
      <c r="W497" s="799"/>
      <c r="X497" s="799"/>
      <c r="Y497" s="799"/>
      <c r="Z497" s="799"/>
      <c r="AA497" s="799"/>
      <c r="AB497" s="799"/>
      <c r="AC497" s="799"/>
      <c r="AD497" s="799"/>
      <c r="AE497" s="799"/>
      <c r="AF497" s="799"/>
      <c r="AG497" s="799"/>
      <c r="AH497" s="799"/>
      <c r="AI497" s="799"/>
      <c r="AJ497" s="799"/>
      <c r="AK497" s="799"/>
      <c r="AL497" s="799"/>
      <c r="AM497" s="799"/>
      <c r="AN497" s="799"/>
      <c r="AO497" s="799"/>
      <c r="AP497" s="799"/>
      <c r="AQ497" s="799"/>
      <c r="AR497" s="799"/>
      <c r="AS497" s="799"/>
      <c r="AT497" s="799"/>
      <c r="AU497" s="799"/>
      <c r="AV497" s="799"/>
      <c r="AW497" s="799"/>
      <c r="AX497" s="799"/>
      <c r="AY497" s="799"/>
      <c r="AZ497" s="799"/>
      <c r="BA497" s="799"/>
      <c r="BB497" s="799"/>
      <c r="BC497" s="799"/>
      <c r="BD497" s="799"/>
      <c r="BE497" s="799"/>
      <c r="BF497" s="799"/>
      <c r="BG497" s="799"/>
    </row>
    <row r="498">
      <c r="H498" s="799"/>
      <c r="I498" s="799"/>
      <c r="J498" s="799"/>
      <c r="K498" s="799"/>
      <c r="L498" s="799"/>
      <c r="M498" s="799"/>
      <c r="N498" s="799"/>
      <c r="O498" s="799"/>
      <c r="P498" s="799"/>
      <c r="Q498" s="799"/>
      <c r="R498" s="799"/>
      <c r="S498" s="799"/>
      <c r="T498" s="799"/>
      <c r="U498" s="799"/>
      <c r="V498" s="799"/>
      <c r="W498" s="799"/>
      <c r="X498" s="799"/>
      <c r="Y498" s="799"/>
      <c r="Z498" s="799"/>
      <c r="AA498" s="799"/>
      <c r="AB498" s="799"/>
      <c r="AC498" s="799"/>
      <c r="AD498" s="799"/>
      <c r="AE498" s="799"/>
      <c r="AF498" s="799"/>
      <c r="AG498" s="799"/>
      <c r="AH498" s="799"/>
      <c r="AI498" s="799"/>
      <c r="AJ498" s="799"/>
      <c r="AK498" s="799"/>
      <c r="AL498" s="799"/>
      <c r="AM498" s="799"/>
      <c r="AN498" s="799"/>
      <c r="AO498" s="799"/>
      <c r="AP498" s="799"/>
      <c r="AQ498" s="799"/>
      <c r="AR498" s="799"/>
      <c r="AS498" s="799"/>
      <c r="AT498" s="799"/>
      <c r="AU498" s="799"/>
      <c r="AV498" s="799"/>
      <c r="AW498" s="799"/>
      <c r="AX498" s="799"/>
      <c r="AY498" s="799"/>
      <c r="AZ498" s="799"/>
      <c r="BA498" s="799"/>
      <c r="BB498" s="799"/>
      <c r="BC498" s="799"/>
      <c r="BD498" s="799"/>
      <c r="BE498" s="799"/>
      <c r="BF498" s="799"/>
      <c r="BG498" s="799"/>
    </row>
    <row r="499">
      <c r="H499" s="799"/>
      <c r="I499" s="799"/>
      <c r="J499" s="799"/>
      <c r="K499" s="799"/>
      <c r="L499" s="799"/>
      <c r="M499" s="799"/>
      <c r="N499" s="799"/>
      <c r="O499" s="799"/>
      <c r="P499" s="799"/>
      <c r="Q499" s="799"/>
      <c r="R499" s="799"/>
      <c r="S499" s="799"/>
      <c r="T499" s="799"/>
      <c r="U499" s="799"/>
      <c r="V499" s="799"/>
      <c r="W499" s="799"/>
      <c r="X499" s="799"/>
      <c r="Y499" s="799"/>
      <c r="Z499" s="799"/>
      <c r="AA499" s="799"/>
      <c r="AB499" s="799"/>
      <c r="AC499" s="799"/>
      <c r="AD499" s="799"/>
      <c r="AE499" s="799"/>
      <c r="AF499" s="799"/>
      <c r="AG499" s="799"/>
      <c r="AH499" s="799"/>
      <c r="AI499" s="799"/>
      <c r="AJ499" s="799"/>
      <c r="AK499" s="799"/>
      <c r="AL499" s="799"/>
      <c r="AM499" s="799"/>
      <c r="AN499" s="799"/>
      <c r="AO499" s="799"/>
      <c r="AP499" s="799"/>
      <c r="AQ499" s="799"/>
      <c r="AR499" s="799"/>
      <c r="AS499" s="799"/>
      <c r="AT499" s="799"/>
      <c r="AU499" s="799"/>
      <c r="AV499" s="799"/>
      <c r="AW499" s="799"/>
      <c r="AX499" s="799"/>
      <c r="AY499" s="799"/>
      <c r="AZ499" s="799"/>
      <c r="BA499" s="799"/>
      <c r="BB499" s="799"/>
      <c r="BC499" s="799"/>
      <c r="BD499" s="799"/>
      <c r="BE499" s="799"/>
      <c r="BF499" s="799"/>
      <c r="BG499" s="799"/>
    </row>
    <row r="500">
      <c r="H500" s="799"/>
      <c r="I500" s="799"/>
      <c r="J500" s="799"/>
      <c r="K500" s="799"/>
      <c r="L500" s="799"/>
      <c r="M500" s="799"/>
      <c r="N500" s="799"/>
      <c r="O500" s="799"/>
      <c r="P500" s="799"/>
      <c r="Q500" s="799"/>
      <c r="R500" s="799"/>
      <c r="S500" s="799"/>
      <c r="T500" s="799"/>
      <c r="U500" s="799"/>
      <c r="V500" s="799"/>
      <c r="W500" s="799"/>
      <c r="X500" s="799"/>
      <c r="Y500" s="799"/>
      <c r="Z500" s="799"/>
      <c r="AA500" s="799"/>
      <c r="AB500" s="799"/>
      <c r="AC500" s="799"/>
      <c r="AD500" s="799"/>
      <c r="AE500" s="799"/>
      <c r="AF500" s="799"/>
      <c r="AG500" s="799"/>
      <c r="AH500" s="799"/>
      <c r="AI500" s="799"/>
      <c r="AJ500" s="799"/>
      <c r="AK500" s="799"/>
      <c r="AL500" s="799"/>
      <c r="AM500" s="799"/>
      <c r="AN500" s="799"/>
      <c r="AO500" s="799"/>
      <c r="AP500" s="799"/>
      <c r="AQ500" s="799"/>
      <c r="AR500" s="799"/>
      <c r="AS500" s="799"/>
      <c r="AT500" s="799"/>
      <c r="AU500" s="799"/>
      <c r="AV500" s="799"/>
      <c r="AW500" s="799"/>
      <c r="AX500" s="799"/>
      <c r="AY500" s="799"/>
      <c r="AZ500" s="799"/>
      <c r="BA500" s="799"/>
      <c r="BB500" s="799"/>
      <c r="BC500" s="799"/>
      <c r="BD500" s="799"/>
      <c r="BE500" s="799"/>
      <c r="BF500" s="799"/>
      <c r="BG500" s="799"/>
    </row>
    <row r="501">
      <c r="H501" s="799"/>
      <c r="I501" s="799"/>
      <c r="J501" s="799"/>
      <c r="K501" s="799"/>
      <c r="L501" s="799"/>
      <c r="M501" s="799"/>
      <c r="N501" s="799"/>
      <c r="O501" s="799"/>
      <c r="P501" s="799"/>
      <c r="Q501" s="799"/>
      <c r="R501" s="799"/>
      <c r="S501" s="799"/>
      <c r="T501" s="799"/>
      <c r="U501" s="799"/>
      <c r="V501" s="799"/>
      <c r="W501" s="799"/>
      <c r="X501" s="799"/>
      <c r="Y501" s="799"/>
      <c r="Z501" s="799"/>
      <c r="AA501" s="799"/>
      <c r="AB501" s="799"/>
      <c r="AC501" s="799"/>
      <c r="AD501" s="799"/>
      <c r="AE501" s="799"/>
      <c r="AF501" s="799"/>
      <c r="AG501" s="799"/>
      <c r="AH501" s="799"/>
      <c r="AI501" s="799"/>
      <c r="AJ501" s="799"/>
      <c r="AK501" s="799"/>
      <c r="AL501" s="799"/>
      <c r="AM501" s="799"/>
      <c r="AN501" s="799"/>
      <c r="AO501" s="799"/>
      <c r="AP501" s="799"/>
      <c r="AQ501" s="799"/>
      <c r="AR501" s="799"/>
      <c r="AS501" s="799"/>
      <c r="AT501" s="799"/>
      <c r="AU501" s="799"/>
      <c r="AV501" s="799"/>
      <c r="AW501" s="799"/>
      <c r="AX501" s="799"/>
      <c r="AY501" s="799"/>
      <c r="AZ501" s="799"/>
      <c r="BA501" s="799"/>
      <c r="BB501" s="799"/>
      <c r="BC501" s="799"/>
      <c r="BD501" s="799"/>
      <c r="BE501" s="799"/>
      <c r="BF501" s="799"/>
      <c r="BG501" s="799"/>
    </row>
    <row r="502">
      <c r="H502" s="799"/>
      <c r="I502" s="799"/>
      <c r="J502" s="799"/>
      <c r="K502" s="799"/>
      <c r="L502" s="799"/>
      <c r="M502" s="799"/>
      <c r="N502" s="799"/>
      <c r="O502" s="799"/>
      <c r="P502" s="799"/>
      <c r="Q502" s="799"/>
      <c r="R502" s="799"/>
      <c r="S502" s="799"/>
      <c r="T502" s="799"/>
      <c r="U502" s="799"/>
      <c r="V502" s="799"/>
      <c r="W502" s="799"/>
      <c r="X502" s="799"/>
      <c r="Y502" s="799"/>
      <c r="Z502" s="799"/>
      <c r="AA502" s="799"/>
      <c r="AB502" s="799"/>
      <c r="AC502" s="799"/>
      <c r="AD502" s="799"/>
      <c r="AE502" s="799"/>
      <c r="AF502" s="799"/>
      <c r="AG502" s="799"/>
      <c r="AH502" s="799"/>
      <c r="AI502" s="799"/>
      <c r="AJ502" s="799"/>
      <c r="AK502" s="799"/>
      <c r="AL502" s="799"/>
      <c r="AM502" s="799"/>
      <c r="AN502" s="799"/>
      <c r="AO502" s="799"/>
      <c r="AP502" s="799"/>
      <c r="AQ502" s="799"/>
      <c r="AR502" s="799"/>
      <c r="AS502" s="799"/>
      <c r="AT502" s="799"/>
      <c r="AU502" s="799"/>
      <c r="AV502" s="799"/>
      <c r="AW502" s="799"/>
      <c r="AX502" s="799"/>
      <c r="AY502" s="799"/>
      <c r="AZ502" s="799"/>
      <c r="BA502" s="799"/>
      <c r="BB502" s="799"/>
      <c r="BC502" s="799"/>
      <c r="BD502" s="799"/>
      <c r="BE502" s="799"/>
      <c r="BF502" s="799"/>
      <c r="BG502" s="799"/>
    </row>
    <row r="503">
      <c r="H503" s="799"/>
      <c r="I503" s="799"/>
      <c r="J503" s="799"/>
      <c r="K503" s="799"/>
      <c r="L503" s="799"/>
      <c r="M503" s="799"/>
      <c r="N503" s="799"/>
      <c r="O503" s="799"/>
      <c r="P503" s="799"/>
      <c r="Q503" s="799"/>
      <c r="R503" s="799"/>
      <c r="S503" s="799"/>
      <c r="T503" s="799"/>
      <c r="U503" s="799"/>
      <c r="V503" s="799"/>
      <c r="W503" s="799"/>
      <c r="X503" s="799"/>
      <c r="Y503" s="799"/>
      <c r="Z503" s="799"/>
      <c r="AA503" s="799"/>
      <c r="AB503" s="799"/>
      <c r="AC503" s="799"/>
      <c r="AD503" s="799"/>
      <c r="AE503" s="799"/>
      <c r="AF503" s="799"/>
      <c r="AG503" s="799"/>
      <c r="AH503" s="799"/>
      <c r="AI503" s="799"/>
      <c r="AJ503" s="799"/>
      <c r="AK503" s="799"/>
      <c r="AL503" s="799"/>
      <c r="AM503" s="799"/>
      <c r="AN503" s="799"/>
      <c r="AO503" s="799"/>
      <c r="AP503" s="799"/>
      <c r="AQ503" s="799"/>
      <c r="AR503" s="799"/>
      <c r="AS503" s="799"/>
      <c r="AT503" s="799"/>
      <c r="AU503" s="799"/>
      <c r="AV503" s="799"/>
      <c r="AW503" s="799"/>
      <c r="AX503" s="799"/>
      <c r="AY503" s="799"/>
      <c r="AZ503" s="799"/>
      <c r="BA503" s="799"/>
      <c r="BB503" s="799"/>
      <c r="BC503" s="799"/>
      <c r="BD503" s="799"/>
      <c r="BE503" s="799"/>
      <c r="BF503" s="799"/>
      <c r="BG503" s="799"/>
    </row>
    <row r="504">
      <c r="H504" s="799"/>
      <c r="I504" s="799"/>
      <c r="J504" s="799"/>
      <c r="K504" s="799"/>
      <c r="L504" s="799"/>
      <c r="M504" s="799"/>
      <c r="N504" s="799"/>
      <c r="O504" s="799"/>
      <c r="P504" s="799"/>
      <c r="Q504" s="799"/>
      <c r="R504" s="799"/>
      <c r="S504" s="799"/>
      <c r="T504" s="799"/>
      <c r="U504" s="799"/>
      <c r="V504" s="799"/>
      <c r="W504" s="799"/>
      <c r="X504" s="799"/>
      <c r="Y504" s="799"/>
      <c r="Z504" s="799"/>
      <c r="AA504" s="799"/>
      <c r="AB504" s="799"/>
      <c r="AC504" s="799"/>
      <c r="AD504" s="799"/>
      <c r="AE504" s="799"/>
      <c r="AF504" s="799"/>
      <c r="AG504" s="799"/>
      <c r="AH504" s="799"/>
      <c r="AI504" s="799"/>
      <c r="AJ504" s="799"/>
      <c r="AK504" s="799"/>
      <c r="AL504" s="799"/>
      <c r="AM504" s="799"/>
      <c r="AN504" s="799"/>
      <c r="AO504" s="799"/>
      <c r="AP504" s="799"/>
      <c r="AQ504" s="799"/>
      <c r="AR504" s="799"/>
      <c r="AS504" s="799"/>
      <c r="AT504" s="799"/>
      <c r="AU504" s="799"/>
      <c r="AV504" s="799"/>
      <c r="AW504" s="799"/>
      <c r="AX504" s="799"/>
      <c r="AY504" s="799"/>
      <c r="AZ504" s="799"/>
      <c r="BA504" s="799"/>
      <c r="BB504" s="799"/>
      <c r="BC504" s="799"/>
      <c r="BD504" s="799"/>
      <c r="BE504" s="799"/>
      <c r="BF504" s="799"/>
      <c r="BG504" s="799"/>
    </row>
    <row r="505">
      <c r="H505" s="799"/>
      <c r="I505" s="799"/>
      <c r="J505" s="799"/>
      <c r="K505" s="799"/>
      <c r="L505" s="799"/>
      <c r="M505" s="799"/>
      <c r="N505" s="799"/>
      <c r="O505" s="799"/>
      <c r="P505" s="799"/>
      <c r="Q505" s="799"/>
      <c r="R505" s="799"/>
      <c r="S505" s="799"/>
      <c r="T505" s="799"/>
      <c r="U505" s="799"/>
      <c r="V505" s="799"/>
      <c r="W505" s="799"/>
      <c r="X505" s="799"/>
      <c r="Y505" s="799"/>
      <c r="Z505" s="799"/>
      <c r="AA505" s="799"/>
      <c r="AB505" s="799"/>
      <c r="AC505" s="799"/>
      <c r="AD505" s="799"/>
      <c r="AE505" s="799"/>
      <c r="AF505" s="799"/>
      <c r="AG505" s="799"/>
      <c r="AH505" s="799"/>
      <c r="AI505" s="799"/>
      <c r="AJ505" s="799"/>
      <c r="AK505" s="799"/>
      <c r="AL505" s="799"/>
      <c r="AM505" s="799"/>
      <c r="AN505" s="799"/>
      <c r="AO505" s="799"/>
      <c r="AP505" s="799"/>
      <c r="AQ505" s="799"/>
      <c r="AR505" s="799"/>
      <c r="AS505" s="799"/>
      <c r="AT505" s="799"/>
      <c r="AU505" s="799"/>
      <c r="AV505" s="799"/>
      <c r="AW505" s="799"/>
      <c r="AX505" s="799"/>
      <c r="AY505" s="799"/>
      <c r="AZ505" s="799"/>
      <c r="BA505" s="799"/>
      <c r="BB505" s="799"/>
      <c r="BC505" s="799"/>
      <c r="BD505" s="799"/>
      <c r="BE505" s="799"/>
      <c r="BF505" s="799"/>
      <c r="BG505" s="799"/>
    </row>
    <row r="506">
      <c r="H506" s="799"/>
      <c r="I506" s="799"/>
      <c r="J506" s="799"/>
      <c r="K506" s="799"/>
      <c r="L506" s="799"/>
      <c r="M506" s="799"/>
      <c r="N506" s="799"/>
      <c r="O506" s="799"/>
      <c r="P506" s="799"/>
      <c r="Q506" s="799"/>
      <c r="R506" s="799"/>
      <c r="S506" s="799"/>
      <c r="T506" s="799"/>
      <c r="U506" s="799"/>
      <c r="V506" s="799"/>
      <c r="W506" s="799"/>
      <c r="X506" s="799"/>
      <c r="Y506" s="799"/>
      <c r="Z506" s="799"/>
      <c r="AA506" s="799"/>
      <c r="AB506" s="799"/>
      <c r="AC506" s="799"/>
      <c r="AD506" s="799"/>
      <c r="AE506" s="799"/>
      <c r="AF506" s="799"/>
      <c r="AG506" s="799"/>
      <c r="AH506" s="799"/>
      <c r="AI506" s="799"/>
      <c r="AJ506" s="799"/>
      <c r="AK506" s="799"/>
      <c r="AL506" s="799"/>
      <c r="AM506" s="799"/>
      <c r="AN506" s="799"/>
      <c r="AO506" s="799"/>
      <c r="AP506" s="799"/>
      <c r="AQ506" s="799"/>
      <c r="AR506" s="799"/>
      <c r="AS506" s="799"/>
      <c r="AT506" s="799"/>
      <c r="AU506" s="799"/>
      <c r="AV506" s="799"/>
      <c r="AW506" s="799"/>
      <c r="AX506" s="799"/>
      <c r="AY506" s="799"/>
      <c r="AZ506" s="799"/>
      <c r="BA506" s="799"/>
      <c r="BB506" s="799"/>
      <c r="BC506" s="799"/>
      <c r="BD506" s="799"/>
      <c r="BE506" s="799"/>
      <c r="BF506" s="799"/>
      <c r="BG506" s="799"/>
    </row>
    <row r="507">
      <c r="H507" s="799"/>
      <c r="I507" s="799"/>
      <c r="J507" s="799"/>
      <c r="K507" s="799"/>
      <c r="L507" s="799"/>
      <c r="M507" s="799"/>
      <c r="N507" s="799"/>
      <c r="O507" s="799"/>
      <c r="P507" s="799"/>
      <c r="Q507" s="799"/>
      <c r="R507" s="799"/>
      <c r="S507" s="799"/>
      <c r="T507" s="799"/>
      <c r="U507" s="799"/>
      <c r="V507" s="799"/>
      <c r="W507" s="799"/>
      <c r="X507" s="799"/>
      <c r="Y507" s="799"/>
      <c r="Z507" s="799"/>
      <c r="AA507" s="799"/>
      <c r="AB507" s="799"/>
      <c r="AC507" s="799"/>
      <c r="AD507" s="799"/>
      <c r="AE507" s="799"/>
      <c r="AF507" s="799"/>
      <c r="AG507" s="799"/>
      <c r="AH507" s="799"/>
      <c r="AI507" s="799"/>
      <c r="AJ507" s="799"/>
      <c r="AK507" s="799"/>
      <c r="AL507" s="799"/>
      <c r="AM507" s="799"/>
      <c r="AN507" s="799"/>
      <c r="AO507" s="799"/>
      <c r="AP507" s="799"/>
      <c r="AQ507" s="799"/>
      <c r="AR507" s="799"/>
      <c r="AS507" s="799"/>
      <c r="AT507" s="799"/>
      <c r="AU507" s="799"/>
      <c r="AV507" s="799"/>
      <c r="AW507" s="799"/>
      <c r="AX507" s="799"/>
      <c r="AY507" s="799"/>
      <c r="AZ507" s="799"/>
      <c r="BA507" s="799"/>
      <c r="BB507" s="799"/>
      <c r="BC507" s="799"/>
      <c r="BD507" s="799"/>
      <c r="BE507" s="799"/>
      <c r="BF507" s="799"/>
      <c r="BG507" s="799"/>
    </row>
    <row r="508">
      <c r="H508" s="799"/>
      <c r="I508" s="799"/>
      <c r="J508" s="799"/>
      <c r="K508" s="799"/>
      <c r="L508" s="799"/>
      <c r="M508" s="799"/>
      <c r="N508" s="799"/>
      <c r="O508" s="799"/>
      <c r="P508" s="799"/>
      <c r="Q508" s="799"/>
      <c r="R508" s="799"/>
      <c r="S508" s="799"/>
      <c r="T508" s="799"/>
      <c r="U508" s="799"/>
      <c r="V508" s="799"/>
      <c r="W508" s="799"/>
      <c r="X508" s="799"/>
      <c r="Y508" s="799"/>
      <c r="Z508" s="799"/>
      <c r="AA508" s="799"/>
      <c r="AB508" s="799"/>
      <c r="AC508" s="799"/>
      <c r="AD508" s="799"/>
      <c r="AE508" s="799"/>
      <c r="AF508" s="799"/>
      <c r="AG508" s="799"/>
      <c r="AH508" s="799"/>
      <c r="AI508" s="799"/>
      <c r="AJ508" s="799"/>
      <c r="AK508" s="799"/>
      <c r="AL508" s="799"/>
      <c r="AM508" s="799"/>
      <c r="AN508" s="799"/>
      <c r="AO508" s="799"/>
      <c r="AP508" s="799"/>
      <c r="AQ508" s="799"/>
      <c r="AR508" s="799"/>
      <c r="AS508" s="799"/>
      <c r="AT508" s="799"/>
      <c r="AU508" s="799"/>
      <c r="AV508" s="799"/>
      <c r="AW508" s="799"/>
      <c r="AX508" s="799"/>
      <c r="AY508" s="799"/>
      <c r="AZ508" s="799"/>
      <c r="BA508" s="799"/>
      <c r="BB508" s="799"/>
      <c r="BC508" s="799"/>
      <c r="BD508" s="799"/>
      <c r="BE508" s="799"/>
      <c r="BF508" s="799"/>
      <c r="BG508" s="799"/>
    </row>
    <row r="509">
      <c r="H509" s="799"/>
      <c r="I509" s="799"/>
      <c r="J509" s="799"/>
      <c r="K509" s="799"/>
      <c r="L509" s="799"/>
      <c r="M509" s="799"/>
      <c r="N509" s="799"/>
      <c r="O509" s="799"/>
      <c r="P509" s="799"/>
      <c r="Q509" s="799"/>
      <c r="R509" s="799"/>
      <c r="S509" s="799"/>
      <c r="T509" s="799"/>
      <c r="U509" s="799"/>
      <c r="V509" s="799"/>
      <c r="W509" s="799"/>
      <c r="X509" s="799"/>
      <c r="Y509" s="799"/>
      <c r="Z509" s="799"/>
      <c r="AA509" s="799"/>
      <c r="AB509" s="799"/>
      <c r="AC509" s="799"/>
      <c r="AD509" s="799"/>
      <c r="AE509" s="799"/>
      <c r="AF509" s="799"/>
      <c r="AG509" s="799"/>
      <c r="AH509" s="799"/>
      <c r="AI509" s="799"/>
      <c r="AJ509" s="799"/>
      <c r="AK509" s="799"/>
      <c r="AL509" s="799"/>
      <c r="AM509" s="799"/>
      <c r="AN509" s="799"/>
      <c r="AO509" s="799"/>
      <c r="AP509" s="799"/>
      <c r="AQ509" s="799"/>
      <c r="AR509" s="799"/>
      <c r="AS509" s="799"/>
      <c r="AT509" s="799"/>
      <c r="AU509" s="799"/>
      <c r="AV509" s="799"/>
      <c r="AW509" s="799"/>
      <c r="AX509" s="799"/>
      <c r="AY509" s="799"/>
      <c r="AZ509" s="799"/>
      <c r="BA509" s="799"/>
      <c r="BB509" s="799"/>
      <c r="BC509" s="799"/>
      <c r="BD509" s="799"/>
      <c r="BE509" s="799"/>
      <c r="BF509" s="799"/>
      <c r="BG509" s="799"/>
    </row>
    <row r="510">
      <c r="H510" s="799"/>
      <c r="I510" s="799"/>
      <c r="J510" s="799"/>
      <c r="K510" s="799"/>
      <c r="L510" s="799"/>
      <c r="M510" s="799"/>
      <c r="N510" s="799"/>
      <c r="O510" s="799"/>
      <c r="P510" s="799"/>
      <c r="Q510" s="799"/>
      <c r="R510" s="799"/>
      <c r="S510" s="799"/>
      <c r="T510" s="799"/>
      <c r="U510" s="799"/>
      <c r="V510" s="799"/>
      <c r="W510" s="799"/>
      <c r="X510" s="799"/>
      <c r="Y510" s="799"/>
      <c r="Z510" s="799"/>
      <c r="AA510" s="799"/>
      <c r="AB510" s="799"/>
      <c r="AC510" s="799"/>
      <c r="AD510" s="799"/>
      <c r="AE510" s="799"/>
      <c r="AF510" s="799"/>
      <c r="AG510" s="799"/>
      <c r="AH510" s="799"/>
      <c r="AI510" s="799"/>
      <c r="AJ510" s="799"/>
      <c r="AK510" s="799"/>
      <c r="AL510" s="799"/>
      <c r="AM510" s="799"/>
      <c r="AN510" s="799"/>
      <c r="AO510" s="799"/>
      <c r="AP510" s="799"/>
      <c r="AQ510" s="799"/>
      <c r="AR510" s="799"/>
      <c r="AS510" s="799"/>
      <c r="AT510" s="799"/>
      <c r="AU510" s="799"/>
      <c r="AV510" s="799"/>
      <c r="AW510" s="799"/>
      <c r="AX510" s="799"/>
      <c r="AY510" s="799"/>
      <c r="AZ510" s="799"/>
      <c r="BA510" s="799"/>
      <c r="BB510" s="799"/>
      <c r="BC510" s="799"/>
      <c r="BD510" s="799"/>
      <c r="BE510" s="799"/>
      <c r="BF510" s="799"/>
      <c r="BG510" s="799"/>
    </row>
    <row r="511">
      <c r="H511" s="799"/>
      <c r="I511" s="799"/>
      <c r="J511" s="799"/>
      <c r="K511" s="799"/>
      <c r="L511" s="799"/>
      <c r="M511" s="799"/>
      <c r="N511" s="799"/>
      <c r="O511" s="799"/>
      <c r="P511" s="799"/>
      <c r="Q511" s="799"/>
      <c r="R511" s="799"/>
      <c r="S511" s="799"/>
      <c r="T511" s="799"/>
      <c r="U511" s="799"/>
      <c r="V511" s="799"/>
      <c r="W511" s="799"/>
      <c r="X511" s="799"/>
      <c r="Y511" s="799"/>
      <c r="Z511" s="799"/>
      <c r="AA511" s="799"/>
      <c r="AB511" s="799"/>
      <c r="AC511" s="799"/>
      <c r="AD511" s="799"/>
      <c r="AE511" s="799"/>
      <c r="AF511" s="799"/>
      <c r="AG511" s="799"/>
      <c r="AH511" s="799"/>
      <c r="AI511" s="799"/>
      <c r="AJ511" s="799"/>
      <c r="AK511" s="799"/>
      <c r="AL511" s="799"/>
      <c r="AM511" s="799"/>
      <c r="AN511" s="799"/>
      <c r="AO511" s="799"/>
      <c r="AP511" s="799"/>
      <c r="AQ511" s="799"/>
      <c r="AR511" s="799"/>
      <c r="AS511" s="799"/>
      <c r="AT511" s="799"/>
      <c r="AU511" s="799"/>
      <c r="AV511" s="799"/>
      <c r="AW511" s="799"/>
      <c r="AX511" s="799"/>
      <c r="AY511" s="799"/>
      <c r="AZ511" s="799"/>
      <c r="BA511" s="799"/>
      <c r="BB511" s="799"/>
      <c r="BC511" s="799"/>
      <c r="BD511" s="799"/>
      <c r="BE511" s="799"/>
      <c r="BF511" s="799"/>
      <c r="BG511" s="799"/>
    </row>
    <row r="512">
      <c r="H512" s="799"/>
      <c r="I512" s="799"/>
      <c r="J512" s="799"/>
      <c r="K512" s="799"/>
      <c r="L512" s="799"/>
      <c r="M512" s="799"/>
      <c r="N512" s="799"/>
      <c r="O512" s="799"/>
      <c r="P512" s="799"/>
      <c r="Q512" s="799"/>
      <c r="R512" s="799"/>
      <c r="S512" s="799"/>
      <c r="T512" s="799"/>
      <c r="U512" s="799"/>
      <c r="V512" s="799"/>
      <c r="W512" s="799"/>
      <c r="X512" s="799"/>
      <c r="Y512" s="799"/>
      <c r="Z512" s="799"/>
      <c r="AA512" s="799"/>
      <c r="AB512" s="799"/>
      <c r="AC512" s="799"/>
      <c r="AD512" s="799"/>
      <c r="AE512" s="799"/>
      <c r="AF512" s="799"/>
      <c r="AG512" s="799"/>
      <c r="AH512" s="799"/>
      <c r="AI512" s="799"/>
      <c r="AJ512" s="799"/>
      <c r="AK512" s="799"/>
      <c r="AL512" s="799"/>
      <c r="AM512" s="799"/>
      <c r="AN512" s="799"/>
      <c r="AO512" s="799"/>
      <c r="AP512" s="799"/>
      <c r="AQ512" s="799"/>
      <c r="AR512" s="799"/>
      <c r="AS512" s="799"/>
      <c r="AT512" s="799"/>
      <c r="AU512" s="799"/>
      <c r="AV512" s="799"/>
      <c r="AW512" s="799"/>
      <c r="AX512" s="799"/>
      <c r="AY512" s="799"/>
      <c r="AZ512" s="799"/>
      <c r="BA512" s="799"/>
      <c r="BB512" s="799"/>
      <c r="BC512" s="799"/>
      <c r="BD512" s="799"/>
      <c r="BE512" s="799"/>
      <c r="BF512" s="799"/>
      <c r="BG512" s="799"/>
    </row>
    <row r="513">
      <c r="H513" s="799"/>
      <c r="I513" s="799"/>
      <c r="J513" s="799"/>
      <c r="K513" s="799"/>
      <c r="L513" s="799"/>
      <c r="M513" s="799"/>
      <c r="N513" s="799"/>
      <c r="O513" s="799"/>
      <c r="P513" s="799"/>
      <c r="Q513" s="799"/>
      <c r="R513" s="799"/>
      <c r="S513" s="799"/>
      <c r="T513" s="799"/>
      <c r="U513" s="799"/>
      <c r="V513" s="799"/>
      <c r="W513" s="799"/>
      <c r="X513" s="799"/>
      <c r="Y513" s="799"/>
      <c r="Z513" s="799"/>
      <c r="AA513" s="799"/>
      <c r="AB513" s="799"/>
      <c r="AC513" s="799"/>
      <c r="AD513" s="799"/>
      <c r="AE513" s="799"/>
      <c r="AF513" s="799"/>
      <c r="AG513" s="799"/>
      <c r="AH513" s="799"/>
      <c r="AI513" s="799"/>
      <c r="AJ513" s="799"/>
      <c r="AK513" s="799"/>
      <c r="AL513" s="799"/>
      <c r="AM513" s="799"/>
      <c r="AN513" s="799"/>
      <c r="AO513" s="799"/>
      <c r="AP513" s="799"/>
      <c r="AQ513" s="799"/>
      <c r="AR513" s="799"/>
      <c r="AS513" s="799"/>
      <c r="AT513" s="799"/>
      <c r="AU513" s="799"/>
      <c r="AV513" s="799"/>
      <c r="AW513" s="799"/>
      <c r="AX513" s="799"/>
      <c r="AY513" s="799"/>
      <c r="AZ513" s="799"/>
      <c r="BA513" s="799"/>
      <c r="BB513" s="799"/>
      <c r="BC513" s="799"/>
      <c r="BD513" s="799"/>
      <c r="BE513" s="799"/>
      <c r="BF513" s="799"/>
      <c r="BG513" s="799"/>
    </row>
    <row r="514">
      <c r="H514" s="799"/>
      <c r="I514" s="799"/>
      <c r="J514" s="799"/>
      <c r="K514" s="799"/>
      <c r="L514" s="799"/>
      <c r="M514" s="799"/>
      <c r="N514" s="799"/>
      <c r="O514" s="799"/>
      <c r="P514" s="799"/>
      <c r="Q514" s="799"/>
      <c r="R514" s="799"/>
      <c r="S514" s="799"/>
      <c r="T514" s="799"/>
      <c r="U514" s="799"/>
      <c r="V514" s="799"/>
      <c r="W514" s="799"/>
      <c r="X514" s="799"/>
      <c r="Y514" s="799"/>
      <c r="Z514" s="799"/>
      <c r="AA514" s="799"/>
      <c r="AB514" s="799"/>
      <c r="AC514" s="799"/>
      <c r="AD514" s="799"/>
      <c r="AE514" s="799"/>
      <c r="AF514" s="799"/>
      <c r="AG514" s="799"/>
      <c r="AH514" s="799"/>
      <c r="AI514" s="799"/>
      <c r="AJ514" s="799"/>
      <c r="AK514" s="799"/>
      <c r="AL514" s="799"/>
      <c r="AM514" s="799"/>
      <c r="AN514" s="799"/>
      <c r="AO514" s="799"/>
      <c r="AP514" s="799"/>
      <c r="AQ514" s="799"/>
      <c r="AR514" s="799"/>
      <c r="AS514" s="799"/>
      <c r="AT514" s="799"/>
      <c r="AU514" s="799"/>
      <c r="AV514" s="799"/>
      <c r="AW514" s="799"/>
      <c r="AX514" s="799"/>
      <c r="AY514" s="799"/>
      <c r="AZ514" s="799"/>
      <c r="BA514" s="799"/>
      <c r="BB514" s="799"/>
      <c r="BC514" s="799"/>
      <c r="BD514" s="799"/>
      <c r="BE514" s="799"/>
      <c r="BF514" s="799"/>
      <c r="BG514" s="799"/>
    </row>
    <row r="515">
      <c r="H515" s="799"/>
      <c r="I515" s="799"/>
      <c r="J515" s="799"/>
      <c r="K515" s="799"/>
      <c r="L515" s="799"/>
      <c r="M515" s="799"/>
      <c r="N515" s="799"/>
      <c r="O515" s="799"/>
      <c r="P515" s="799"/>
      <c r="Q515" s="799"/>
      <c r="R515" s="799"/>
      <c r="S515" s="799"/>
      <c r="T515" s="799"/>
      <c r="U515" s="799"/>
      <c r="V515" s="799"/>
      <c r="W515" s="799"/>
      <c r="X515" s="799"/>
      <c r="Y515" s="799"/>
      <c r="Z515" s="799"/>
      <c r="AA515" s="799"/>
      <c r="AB515" s="799"/>
      <c r="AC515" s="799"/>
      <c r="AD515" s="799"/>
      <c r="AE515" s="799"/>
      <c r="AF515" s="799"/>
      <c r="AG515" s="799"/>
      <c r="AH515" s="799"/>
      <c r="AI515" s="799"/>
      <c r="AJ515" s="799"/>
      <c r="AK515" s="799"/>
      <c r="AL515" s="799"/>
      <c r="AM515" s="799"/>
      <c r="AN515" s="799"/>
      <c r="AO515" s="799"/>
      <c r="AP515" s="799"/>
      <c r="AQ515" s="799"/>
      <c r="AR515" s="799"/>
      <c r="AS515" s="799"/>
      <c r="AT515" s="799"/>
      <c r="AU515" s="799"/>
      <c r="AV515" s="799"/>
      <c r="AW515" s="799"/>
      <c r="AX515" s="799"/>
      <c r="AY515" s="799"/>
      <c r="AZ515" s="799"/>
      <c r="BA515" s="799"/>
      <c r="BB515" s="799"/>
      <c r="BC515" s="799"/>
      <c r="BD515" s="799"/>
      <c r="BE515" s="799"/>
      <c r="BF515" s="799"/>
      <c r="BG515" s="799"/>
    </row>
    <row r="516">
      <c r="H516" s="799"/>
      <c r="I516" s="799"/>
      <c r="J516" s="799"/>
      <c r="K516" s="799"/>
      <c r="L516" s="799"/>
      <c r="M516" s="799"/>
      <c r="N516" s="799"/>
      <c r="O516" s="799"/>
      <c r="P516" s="799"/>
      <c r="Q516" s="799"/>
      <c r="R516" s="799"/>
      <c r="S516" s="799"/>
      <c r="T516" s="799"/>
      <c r="U516" s="799"/>
      <c r="V516" s="799"/>
      <c r="W516" s="799"/>
      <c r="X516" s="799"/>
      <c r="Y516" s="799"/>
      <c r="Z516" s="799"/>
      <c r="AA516" s="799"/>
      <c r="AB516" s="799"/>
      <c r="AC516" s="799"/>
      <c r="AD516" s="799"/>
      <c r="AE516" s="799"/>
      <c r="AF516" s="799"/>
      <c r="AG516" s="799"/>
      <c r="AH516" s="799"/>
      <c r="AI516" s="799"/>
      <c r="AJ516" s="799"/>
      <c r="AK516" s="799"/>
      <c r="AL516" s="799"/>
      <c r="AM516" s="799"/>
      <c r="AN516" s="799"/>
      <c r="AO516" s="799"/>
      <c r="AP516" s="799"/>
      <c r="AQ516" s="799"/>
      <c r="AR516" s="799"/>
      <c r="AS516" s="799"/>
      <c r="AT516" s="799"/>
      <c r="AU516" s="799"/>
      <c r="AV516" s="799"/>
      <c r="AW516" s="799"/>
      <c r="AX516" s="799"/>
      <c r="AY516" s="799"/>
      <c r="AZ516" s="799"/>
      <c r="BA516" s="799"/>
      <c r="BB516" s="799"/>
      <c r="BC516" s="799"/>
      <c r="BD516" s="799"/>
      <c r="BE516" s="799"/>
      <c r="BF516" s="799"/>
      <c r="BG516" s="799"/>
    </row>
    <row r="517">
      <c r="H517" s="799"/>
      <c r="I517" s="799"/>
      <c r="J517" s="799"/>
      <c r="K517" s="799"/>
      <c r="L517" s="799"/>
      <c r="M517" s="799"/>
      <c r="N517" s="799"/>
      <c r="O517" s="799"/>
      <c r="P517" s="799"/>
      <c r="Q517" s="799"/>
      <c r="R517" s="799"/>
      <c r="S517" s="799"/>
      <c r="T517" s="799"/>
      <c r="U517" s="799"/>
      <c r="V517" s="799"/>
      <c r="W517" s="799"/>
      <c r="X517" s="799"/>
      <c r="Y517" s="799"/>
      <c r="Z517" s="799"/>
      <c r="AA517" s="799"/>
      <c r="AB517" s="799"/>
      <c r="AC517" s="799"/>
      <c r="AD517" s="799"/>
      <c r="AE517" s="799"/>
      <c r="AF517" s="799"/>
      <c r="AG517" s="799"/>
      <c r="AH517" s="799"/>
      <c r="AI517" s="799"/>
      <c r="AJ517" s="799"/>
      <c r="AK517" s="799"/>
      <c r="AL517" s="799"/>
      <c r="AM517" s="799"/>
      <c r="AN517" s="799"/>
      <c r="AO517" s="799"/>
      <c r="AP517" s="799"/>
      <c r="AQ517" s="799"/>
      <c r="AR517" s="799"/>
      <c r="AS517" s="799"/>
      <c r="AT517" s="799"/>
      <c r="AU517" s="799"/>
      <c r="AV517" s="799"/>
      <c r="AW517" s="799"/>
      <c r="AX517" s="799"/>
      <c r="AY517" s="799"/>
      <c r="AZ517" s="799"/>
      <c r="BA517" s="799"/>
      <c r="BB517" s="799"/>
      <c r="BC517" s="799"/>
      <c r="BD517" s="799"/>
      <c r="BE517" s="799"/>
      <c r="BF517" s="799"/>
      <c r="BG517" s="799"/>
    </row>
    <row r="518">
      <c r="H518" s="799"/>
      <c r="I518" s="799"/>
      <c r="J518" s="799"/>
      <c r="K518" s="799"/>
      <c r="L518" s="799"/>
      <c r="M518" s="799"/>
      <c r="N518" s="799"/>
      <c r="O518" s="799"/>
      <c r="P518" s="799"/>
      <c r="Q518" s="799"/>
      <c r="R518" s="799"/>
      <c r="S518" s="799"/>
      <c r="T518" s="799"/>
      <c r="U518" s="799"/>
      <c r="V518" s="799"/>
      <c r="W518" s="799"/>
      <c r="X518" s="799"/>
      <c r="Y518" s="799"/>
      <c r="Z518" s="799"/>
      <c r="AA518" s="799"/>
      <c r="AB518" s="799"/>
      <c r="AC518" s="799"/>
      <c r="AD518" s="799"/>
      <c r="AE518" s="799"/>
      <c r="AF518" s="799"/>
      <c r="AG518" s="799"/>
      <c r="AH518" s="799"/>
      <c r="AI518" s="799"/>
      <c r="AJ518" s="799"/>
      <c r="AK518" s="799"/>
      <c r="AL518" s="799"/>
      <c r="AM518" s="799"/>
      <c r="AN518" s="799"/>
      <c r="AO518" s="799"/>
      <c r="AP518" s="799"/>
      <c r="AQ518" s="799"/>
      <c r="AR518" s="799"/>
      <c r="AS518" s="799"/>
      <c r="AT518" s="799"/>
      <c r="AU518" s="799"/>
      <c r="AV518" s="799"/>
      <c r="AW518" s="799"/>
      <c r="AX518" s="799"/>
      <c r="AY518" s="799"/>
      <c r="AZ518" s="799"/>
      <c r="BA518" s="799"/>
      <c r="BB518" s="799"/>
      <c r="BC518" s="799"/>
      <c r="BD518" s="799"/>
      <c r="BE518" s="799"/>
      <c r="BF518" s="799"/>
      <c r="BG518" s="799"/>
    </row>
    <row r="519">
      <c r="H519" s="799"/>
      <c r="I519" s="799"/>
      <c r="J519" s="799"/>
      <c r="K519" s="799"/>
      <c r="L519" s="799"/>
      <c r="M519" s="799"/>
      <c r="N519" s="799"/>
      <c r="O519" s="799"/>
      <c r="P519" s="799"/>
      <c r="Q519" s="799"/>
      <c r="R519" s="799"/>
      <c r="S519" s="799"/>
      <c r="T519" s="799"/>
      <c r="U519" s="799"/>
      <c r="V519" s="799"/>
      <c r="W519" s="799"/>
      <c r="X519" s="799"/>
      <c r="Y519" s="799"/>
      <c r="Z519" s="799"/>
      <c r="AA519" s="799"/>
      <c r="AB519" s="799"/>
      <c r="AC519" s="799"/>
      <c r="AD519" s="799"/>
      <c r="AE519" s="799"/>
      <c r="AF519" s="799"/>
      <c r="AG519" s="799"/>
      <c r="AH519" s="799"/>
      <c r="AI519" s="799"/>
      <c r="AJ519" s="799"/>
      <c r="AK519" s="799"/>
      <c r="AL519" s="799"/>
      <c r="AM519" s="799"/>
      <c r="AN519" s="799"/>
      <c r="AO519" s="799"/>
      <c r="AP519" s="799"/>
      <c r="AQ519" s="799"/>
      <c r="AR519" s="799"/>
      <c r="AS519" s="799"/>
      <c r="AT519" s="799"/>
      <c r="AU519" s="799"/>
      <c r="AV519" s="799"/>
      <c r="AW519" s="799"/>
      <c r="AX519" s="799"/>
      <c r="AY519" s="799"/>
      <c r="AZ519" s="799"/>
      <c r="BA519" s="799"/>
      <c r="BB519" s="799"/>
      <c r="BC519" s="799"/>
      <c r="BD519" s="799"/>
      <c r="BE519" s="799"/>
      <c r="BF519" s="799"/>
      <c r="BG519" s="799"/>
    </row>
    <row r="520">
      <c r="H520" s="799"/>
      <c r="I520" s="799"/>
      <c r="J520" s="799"/>
      <c r="K520" s="799"/>
      <c r="L520" s="799"/>
      <c r="M520" s="799"/>
      <c r="N520" s="799"/>
      <c r="O520" s="799"/>
      <c r="P520" s="799"/>
      <c r="Q520" s="799"/>
      <c r="R520" s="799"/>
      <c r="S520" s="799"/>
      <c r="T520" s="799"/>
      <c r="U520" s="799"/>
      <c r="V520" s="799"/>
      <c r="W520" s="799"/>
      <c r="X520" s="799"/>
      <c r="Y520" s="799"/>
      <c r="Z520" s="799"/>
      <c r="AA520" s="799"/>
      <c r="AB520" s="799"/>
      <c r="AC520" s="799"/>
      <c r="AD520" s="799"/>
      <c r="AE520" s="799"/>
      <c r="AF520" s="799"/>
      <c r="AG520" s="799"/>
      <c r="AH520" s="799"/>
      <c r="AI520" s="799"/>
      <c r="AJ520" s="799"/>
      <c r="AK520" s="799"/>
      <c r="AL520" s="799"/>
      <c r="AM520" s="799"/>
      <c r="AN520" s="799"/>
      <c r="AO520" s="799"/>
      <c r="AP520" s="799"/>
      <c r="AQ520" s="799"/>
      <c r="AR520" s="799"/>
      <c r="AS520" s="799"/>
      <c r="AT520" s="799"/>
      <c r="AU520" s="799"/>
      <c r="AV520" s="799"/>
      <c r="AW520" s="799"/>
      <c r="AX520" s="799"/>
      <c r="AY520" s="799"/>
      <c r="AZ520" s="799"/>
      <c r="BA520" s="799"/>
      <c r="BB520" s="799"/>
      <c r="BC520" s="799"/>
      <c r="BD520" s="799"/>
      <c r="BE520" s="799"/>
      <c r="BF520" s="799"/>
      <c r="BG520" s="799"/>
    </row>
    <row r="521">
      <c r="H521" s="799"/>
      <c r="I521" s="799"/>
      <c r="J521" s="799"/>
      <c r="K521" s="799"/>
      <c r="L521" s="799"/>
      <c r="M521" s="799"/>
      <c r="N521" s="799"/>
      <c r="O521" s="799"/>
      <c r="P521" s="799"/>
      <c r="Q521" s="799"/>
      <c r="R521" s="799"/>
      <c r="S521" s="799"/>
      <c r="T521" s="799"/>
      <c r="U521" s="799"/>
      <c r="V521" s="799"/>
      <c r="W521" s="799"/>
      <c r="X521" s="799"/>
      <c r="Y521" s="799"/>
      <c r="Z521" s="799"/>
      <c r="AA521" s="799"/>
      <c r="AB521" s="799"/>
      <c r="AC521" s="799"/>
      <c r="AD521" s="799"/>
      <c r="AE521" s="799"/>
      <c r="AF521" s="799"/>
      <c r="AG521" s="799"/>
      <c r="AH521" s="799"/>
      <c r="AI521" s="799"/>
      <c r="AJ521" s="799"/>
      <c r="AK521" s="799"/>
      <c r="AL521" s="799"/>
      <c r="AM521" s="799"/>
      <c r="AN521" s="799"/>
      <c r="AO521" s="799"/>
      <c r="AP521" s="799"/>
      <c r="AQ521" s="799"/>
      <c r="AR521" s="799"/>
      <c r="AS521" s="799"/>
      <c r="AT521" s="799"/>
      <c r="AU521" s="799"/>
      <c r="AV521" s="799"/>
      <c r="AW521" s="799"/>
      <c r="AX521" s="799"/>
      <c r="AY521" s="799"/>
      <c r="AZ521" s="799"/>
      <c r="BA521" s="799"/>
      <c r="BB521" s="799"/>
      <c r="BC521" s="799"/>
      <c r="BD521" s="799"/>
      <c r="BE521" s="799"/>
      <c r="BF521" s="799"/>
      <c r="BG521" s="799"/>
    </row>
    <row r="522">
      <c r="H522" s="799"/>
      <c r="I522" s="799"/>
      <c r="J522" s="799"/>
      <c r="K522" s="799"/>
      <c r="L522" s="799"/>
      <c r="M522" s="799"/>
      <c r="N522" s="799"/>
      <c r="O522" s="799"/>
      <c r="P522" s="799"/>
      <c r="Q522" s="799"/>
      <c r="R522" s="799"/>
      <c r="S522" s="799"/>
      <c r="T522" s="799"/>
      <c r="U522" s="799"/>
      <c r="V522" s="799"/>
      <c r="W522" s="799"/>
      <c r="X522" s="799"/>
      <c r="Y522" s="799"/>
      <c r="Z522" s="799"/>
      <c r="AA522" s="799"/>
      <c r="AB522" s="799"/>
      <c r="AC522" s="799"/>
      <c r="AD522" s="799"/>
      <c r="AE522" s="799"/>
      <c r="AF522" s="799"/>
      <c r="AG522" s="799"/>
      <c r="AH522" s="799"/>
      <c r="AI522" s="799"/>
      <c r="AJ522" s="799"/>
      <c r="AK522" s="799"/>
      <c r="AL522" s="799"/>
      <c r="AM522" s="799"/>
      <c r="AN522" s="799"/>
      <c r="AO522" s="799"/>
      <c r="AP522" s="799"/>
      <c r="AQ522" s="799"/>
      <c r="AR522" s="799"/>
      <c r="AS522" s="799"/>
      <c r="AT522" s="799"/>
      <c r="AU522" s="799"/>
      <c r="AV522" s="799"/>
      <c r="AW522" s="799"/>
      <c r="AX522" s="799"/>
      <c r="AY522" s="799"/>
      <c r="AZ522" s="799"/>
      <c r="BA522" s="799"/>
      <c r="BB522" s="799"/>
      <c r="BC522" s="799"/>
      <c r="BD522" s="799"/>
      <c r="BE522" s="799"/>
      <c r="BF522" s="799"/>
      <c r="BG522" s="799"/>
    </row>
    <row r="523">
      <c r="H523" s="799"/>
      <c r="I523" s="799"/>
      <c r="J523" s="799"/>
      <c r="K523" s="799"/>
      <c r="L523" s="799"/>
      <c r="M523" s="799"/>
      <c r="N523" s="799"/>
      <c r="O523" s="799"/>
      <c r="P523" s="799"/>
      <c r="Q523" s="799"/>
      <c r="R523" s="799"/>
      <c r="S523" s="799"/>
      <c r="T523" s="799"/>
      <c r="U523" s="799"/>
      <c r="V523" s="799"/>
      <c r="W523" s="799"/>
      <c r="X523" s="799"/>
      <c r="Y523" s="799"/>
      <c r="Z523" s="799"/>
      <c r="AA523" s="799"/>
      <c r="AB523" s="799"/>
      <c r="AC523" s="799"/>
      <c r="AD523" s="799"/>
      <c r="AE523" s="799"/>
      <c r="AF523" s="799"/>
      <c r="AG523" s="799"/>
      <c r="AH523" s="799"/>
      <c r="AI523" s="799"/>
      <c r="AJ523" s="799"/>
      <c r="AK523" s="799"/>
      <c r="AL523" s="799"/>
      <c r="AM523" s="799"/>
      <c r="AN523" s="799"/>
      <c r="AO523" s="799"/>
      <c r="AP523" s="799"/>
      <c r="AQ523" s="799"/>
      <c r="AR523" s="799"/>
      <c r="AS523" s="799"/>
      <c r="AT523" s="799"/>
      <c r="AU523" s="799"/>
      <c r="AV523" s="799"/>
      <c r="AW523" s="799"/>
      <c r="AX523" s="799"/>
      <c r="AY523" s="799"/>
      <c r="AZ523" s="799"/>
      <c r="BA523" s="799"/>
      <c r="BB523" s="799"/>
      <c r="BC523" s="799"/>
      <c r="BD523" s="799"/>
      <c r="BE523" s="799"/>
      <c r="BF523" s="799"/>
      <c r="BG523" s="799"/>
    </row>
    <row r="524">
      <c r="H524" s="799"/>
      <c r="I524" s="799"/>
      <c r="J524" s="799"/>
      <c r="K524" s="799"/>
      <c r="L524" s="799"/>
      <c r="M524" s="799"/>
      <c r="N524" s="799"/>
      <c r="O524" s="799"/>
      <c r="P524" s="799"/>
      <c r="Q524" s="799"/>
      <c r="R524" s="799"/>
      <c r="S524" s="799"/>
      <c r="T524" s="799"/>
      <c r="U524" s="799"/>
      <c r="V524" s="799"/>
      <c r="W524" s="799"/>
      <c r="X524" s="799"/>
      <c r="Y524" s="799"/>
      <c r="Z524" s="799"/>
      <c r="AA524" s="799"/>
      <c r="AB524" s="799"/>
      <c r="AC524" s="799"/>
      <c r="AD524" s="799"/>
      <c r="AE524" s="799"/>
      <c r="AF524" s="799"/>
      <c r="AG524" s="799"/>
      <c r="AH524" s="799"/>
      <c r="AI524" s="799"/>
      <c r="AJ524" s="799"/>
      <c r="AK524" s="799"/>
      <c r="AL524" s="799"/>
      <c r="AM524" s="799"/>
      <c r="AN524" s="799"/>
      <c r="AO524" s="799"/>
      <c r="AP524" s="799"/>
      <c r="AQ524" s="799"/>
      <c r="AR524" s="799"/>
      <c r="AS524" s="799"/>
      <c r="AT524" s="799"/>
      <c r="AU524" s="799"/>
      <c r="AV524" s="799"/>
      <c r="AW524" s="799"/>
      <c r="AX524" s="799"/>
      <c r="AY524" s="799"/>
      <c r="AZ524" s="799"/>
      <c r="BA524" s="799"/>
      <c r="BB524" s="799"/>
      <c r="BC524" s="799"/>
      <c r="BD524" s="799"/>
      <c r="BE524" s="799"/>
      <c r="BF524" s="799"/>
      <c r="BG524" s="799"/>
    </row>
    <row r="525">
      <c r="H525" s="799"/>
      <c r="I525" s="799"/>
      <c r="J525" s="799"/>
      <c r="K525" s="799"/>
      <c r="L525" s="799"/>
      <c r="M525" s="799"/>
      <c r="N525" s="799"/>
      <c r="O525" s="799"/>
      <c r="P525" s="799"/>
      <c r="Q525" s="799"/>
      <c r="R525" s="799"/>
      <c r="S525" s="799"/>
      <c r="T525" s="799"/>
      <c r="U525" s="799"/>
      <c r="V525" s="799"/>
      <c r="W525" s="799"/>
      <c r="X525" s="799"/>
      <c r="Y525" s="799"/>
      <c r="Z525" s="799"/>
      <c r="AA525" s="799"/>
      <c r="AB525" s="799"/>
      <c r="AC525" s="799"/>
      <c r="AD525" s="799"/>
      <c r="AE525" s="799"/>
      <c r="AF525" s="799"/>
      <c r="AG525" s="799"/>
      <c r="AH525" s="799"/>
      <c r="AI525" s="799"/>
      <c r="AJ525" s="799"/>
      <c r="AK525" s="799"/>
      <c r="AL525" s="799"/>
      <c r="AM525" s="799"/>
      <c r="AN525" s="799"/>
      <c r="AO525" s="799"/>
      <c r="AP525" s="799"/>
      <c r="AQ525" s="799"/>
      <c r="AR525" s="799"/>
      <c r="AS525" s="799"/>
      <c r="AT525" s="799"/>
      <c r="AU525" s="799"/>
      <c r="AV525" s="799"/>
      <c r="AW525" s="799"/>
      <c r="AX525" s="799"/>
      <c r="AY525" s="799"/>
      <c r="AZ525" s="799"/>
      <c r="BA525" s="799"/>
      <c r="BB525" s="799"/>
      <c r="BC525" s="799"/>
      <c r="BD525" s="799"/>
      <c r="BE525" s="799"/>
      <c r="BF525" s="799"/>
      <c r="BG525" s="799"/>
    </row>
    <row r="526">
      <c r="H526" s="799"/>
      <c r="I526" s="799"/>
      <c r="J526" s="799"/>
      <c r="K526" s="799"/>
      <c r="L526" s="799"/>
      <c r="M526" s="799"/>
      <c r="N526" s="799"/>
      <c r="O526" s="799"/>
      <c r="P526" s="799"/>
      <c r="Q526" s="799"/>
      <c r="R526" s="799"/>
      <c r="S526" s="799"/>
      <c r="T526" s="799"/>
      <c r="U526" s="799"/>
      <c r="V526" s="799"/>
      <c r="W526" s="799"/>
      <c r="X526" s="799"/>
      <c r="Y526" s="799"/>
      <c r="Z526" s="799"/>
      <c r="AA526" s="799"/>
      <c r="AB526" s="799"/>
      <c r="AC526" s="799"/>
      <c r="AD526" s="799"/>
      <c r="AE526" s="799"/>
      <c r="AF526" s="799"/>
      <c r="AG526" s="799"/>
      <c r="AH526" s="799"/>
      <c r="AI526" s="799"/>
      <c r="AJ526" s="799"/>
      <c r="AK526" s="799"/>
      <c r="AL526" s="799"/>
      <c r="AM526" s="799"/>
      <c r="AN526" s="799"/>
      <c r="AO526" s="799"/>
      <c r="AP526" s="799"/>
      <c r="AQ526" s="799"/>
      <c r="AR526" s="799"/>
      <c r="AS526" s="799"/>
      <c r="AT526" s="799"/>
      <c r="AU526" s="799"/>
      <c r="AV526" s="799"/>
      <c r="AW526" s="799"/>
      <c r="AX526" s="799"/>
      <c r="AY526" s="799"/>
      <c r="AZ526" s="799"/>
      <c r="BA526" s="799"/>
      <c r="BB526" s="799"/>
      <c r="BC526" s="799"/>
      <c r="BD526" s="799"/>
      <c r="BE526" s="799"/>
      <c r="BF526" s="799"/>
      <c r="BG526" s="799"/>
    </row>
    <row r="527">
      <c r="H527" s="799"/>
      <c r="I527" s="799"/>
      <c r="J527" s="799"/>
      <c r="K527" s="799"/>
      <c r="L527" s="799"/>
      <c r="M527" s="799"/>
      <c r="N527" s="799"/>
      <c r="O527" s="799"/>
      <c r="P527" s="799"/>
      <c r="Q527" s="799"/>
      <c r="R527" s="799"/>
      <c r="S527" s="799"/>
      <c r="T527" s="799"/>
      <c r="U527" s="799"/>
      <c r="V527" s="799"/>
      <c r="W527" s="799"/>
      <c r="X527" s="799"/>
      <c r="Y527" s="799"/>
      <c r="Z527" s="799"/>
      <c r="AA527" s="799"/>
      <c r="AB527" s="799"/>
      <c r="AC527" s="799"/>
      <c r="AD527" s="799"/>
      <c r="AE527" s="799"/>
      <c r="AF527" s="799"/>
      <c r="AG527" s="799"/>
      <c r="AH527" s="799"/>
      <c r="AI527" s="799"/>
      <c r="AJ527" s="799"/>
      <c r="AK527" s="799"/>
      <c r="AL527" s="799"/>
      <c r="AM527" s="799"/>
      <c r="AN527" s="799"/>
      <c r="AO527" s="799"/>
      <c r="AP527" s="799"/>
      <c r="AQ527" s="799"/>
      <c r="AR527" s="799"/>
      <c r="AS527" s="799"/>
      <c r="AT527" s="799"/>
      <c r="AU527" s="799"/>
      <c r="AV527" s="799"/>
      <c r="AW527" s="799"/>
      <c r="AX527" s="799"/>
      <c r="AY527" s="799"/>
      <c r="AZ527" s="799"/>
      <c r="BA527" s="799"/>
      <c r="BB527" s="799"/>
      <c r="BC527" s="799"/>
      <c r="BD527" s="799"/>
      <c r="BE527" s="799"/>
      <c r="BF527" s="799"/>
      <c r="BG527" s="799"/>
    </row>
    <row r="528">
      <c r="H528" s="799"/>
      <c r="I528" s="799"/>
      <c r="J528" s="799"/>
      <c r="K528" s="799"/>
      <c r="L528" s="799"/>
      <c r="M528" s="799"/>
      <c r="N528" s="799"/>
      <c r="O528" s="799"/>
      <c r="P528" s="799"/>
      <c r="Q528" s="799"/>
      <c r="R528" s="799"/>
      <c r="S528" s="799"/>
      <c r="T528" s="799"/>
      <c r="U528" s="799"/>
      <c r="V528" s="799"/>
      <c r="W528" s="799"/>
      <c r="X528" s="799"/>
      <c r="Y528" s="799"/>
      <c r="Z528" s="799"/>
      <c r="AA528" s="799"/>
      <c r="AB528" s="799"/>
      <c r="AC528" s="799"/>
      <c r="AD528" s="799"/>
      <c r="AE528" s="799"/>
      <c r="AF528" s="799"/>
      <c r="AG528" s="799"/>
      <c r="AH528" s="799"/>
      <c r="AI528" s="799"/>
      <c r="AJ528" s="799"/>
      <c r="AK528" s="799"/>
      <c r="AL528" s="799"/>
      <c r="AM528" s="799"/>
      <c r="AN528" s="799"/>
      <c r="AO528" s="799"/>
      <c r="AP528" s="799"/>
      <c r="AQ528" s="799"/>
      <c r="AR528" s="799"/>
      <c r="AS528" s="799"/>
      <c r="AT528" s="799"/>
      <c r="AU528" s="799"/>
      <c r="AV528" s="799"/>
      <c r="AW528" s="799"/>
      <c r="AX528" s="799"/>
      <c r="AY528" s="799"/>
      <c r="AZ528" s="799"/>
      <c r="BA528" s="799"/>
      <c r="BB528" s="799"/>
      <c r="BC528" s="799"/>
      <c r="BD528" s="799"/>
      <c r="BE528" s="799"/>
      <c r="BF528" s="799"/>
      <c r="BG528" s="799"/>
    </row>
    <row r="529">
      <c r="H529" s="799"/>
      <c r="I529" s="799"/>
      <c r="J529" s="799"/>
      <c r="K529" s="799"/>
      <c r="L529" s="799"/>
      <c r="M529" s="799"/>
      <c r="N529" s="799"/>
      <c r="O529" s="799"/>
      <c r="P529" s="799"/>
      <c r="Q529" s="799"/>
      <c r="R529" s="799"/>
      <c r="S529" s="799"/>
      <c r="T529" s="799"/>
      <c r="U529" s="799"/>
      <c r="V529" s="799"/>
      <c r="W529" s="799"/>
      <c r="X529" s="799"/>
      <c r="Y529" s="799"/>
      <c r="Z529" s="799"/>
      <c r="AA529" s="799"/>
      <c r="AB529" s="799"/>
      <c r="AC529" s="799"/>
      <c r="AD529" s="799"/>
      <c r="AE529" s="799"/>
      <c r="AF529" s="799"/>
      <c r="AG529" s="799"/>
      <c r="AH529" s="799"/>
      <c r="AI529" s="799"/>
      <c r="AJ529" s="799"/>
      <c r="AK529" s="799"/>
      <c r="AL529" s="799"/>
      <c r="AM529" s="799"/>
      <c r="AN529" s="799"/>
      <c r="AO529" s="799"/>
      <c r="AP529" s="799"/>
      <c r="AQ529" s="799"/>
      <c r="AR529" s="799"/>
      <c r="AS529" s="799"/>
      <c r="AT529" s="799"/>
      <c r="AU529" s="799"/>
      <c r="AV529" s="799"/>
      <c r="AW529" s="799"/>
      <c r="AX529" s="799"/>
      <c r="AY529" s="799"/>
      <c r="AZ529" s="799"/>
      <c r="BA529" s="799"/>
      <c r="BB529" s="799"/>
      <c r="BC529" s="799"/>
      <c r="BD529" s="799"/>
      <c r="BE529" s="799"/>
      <c r="BF529" s="799"/>
      <c r="BG529" s="799"/>
    </row>
    <row r="530">
      <c r="H530" s="799"/>
      <c r="I530" s="799"/>
      <c r="J530" s="799"/>
      <c r="K530" s="799"/>
      <c r="L530" s="799"/>
      <c r="M530" s="799"/>
      <c r="N530" s="799"/>
      <c r="O530" s="799"/>
      <c r="P530" s="799"/>
      <c r="Q530" s="799"/>
      <c r="R530" s="799"/>
      <c r="S530" s="799"/>
      <c r="T530" s="799"/>
      <c r="U530" s="799"/>
      <c r="V530" s="799"/>
      <c r="W530" s="799"/>
      <c r="X530" s="799"/>
      <c r="Y530" s="799"/>
      <c r="Z530" s="799"/>
      <c r="AA530" s="799"/>
      <c r="AB530" s="799"/>
      <c r="AC530" s="799"/>
      <c r="AD530" s="799"/>
      <c r="AE530" s="799"/>
      <c r="AF530" s="799"/>
      <c r="AG530" s="799"/>
      <c r="AH530" s="799"/>
      <c r="AI530" s="799"/>
      <c r="AJ530" s="799"/>
      <c r="AK530" s="799"/>
      <c r="AL530" s="799"/>
      <c r="AM530" s="799"/>
      <c r="AN530" s="799"/>
      <c r="AO530" s="799"/>
      <c r="AP530" s="799"/>
      <c r="AQ530" s="799"/>
      <c r="AR530" s="799"/>
      <c r="AS530" s="799"/>
      <c r="AT530" s="799"/>
      <c r="AU530" s="799"/>
      <c r="AV530" s="799"/>
      <c r="AW530" s="799"/>
      <c r="AX530" s="799"/>
      <c r="AY530" s="799"/>
      <c r="AZ530" s="799"/>
      <c r="BA530" s="799"/>
      <c r="BB530" s="799"/>
      <c r="BC530" s="799"/>
      <c r="BD530" s="799"/>
      <c r="BE530" s="799"/>
      <c r="BF530" s="799"/>
      <c r="BG530" s="799"/>
    </row>
    <row r="531">
      <c r="H531" s="799"/>
      <c r="I531" s="799"/>
      <c r="J531" s="799"/>
      <c r="K531" s="799"/>
      <c r="L531" s="799"/>
      <c r="M531" s="799"/>
      <c r="N531" s="799"/>
      <c r="O531" s="799"/>
      <c r="P531" s="799"/>
      <c r="Q531" s="799"/>
      <c r="R531" s="799"/>
      <c r="S531" s="799"/>
      <c r="T531" s="799"/>
      <c r="U531" s="799"/>
      <c r="V531" s="799"/>
      <c r="W531" s="799"/>
      <c r="X531" s="799"/>
      <c r="Y531" s="799"/>
      <c r="Z531" s="799"/>
      <c r="AA531" s="799"/>
      <c r="AB531" s="799"/>
      <c r="AC531" s="799"/>
      <c r="AD531" s="799"/>
      <c r="AE531" s="799"/>
      <c r="AF531" s="799"/>
      <c r="AG531" s="799"/>
      <c r="AH531" s="799"/>
      <c r="AI531" s="799"/>
      <c r="AJ531" s="799"/>
      <c r="AK531" s="799"/>
      <c r="AL531" s="799"/>
      <c r="AM531" s="799"/>
      <c r="AN531" s="799"/>
      <c r="AO531" s="799"/>
      <c r="AP531" s="799"/>
      <c r="AQ531" s="799"/>
      <c r="AR531" s="799"/>
      <c r="AS531" s="799"/>
      <c r="AT531" s="799"/>
      <c r="AU531" s="799"/>
      <c r="AV531" s="799"/>
      <c r="AW531" s="799"/>
      <c r="AX531" s="799"/>
      <c r="AY531" s="799"/>
      <c r="AZ531" s="799"/>
      <c r="BA531" s="799"/>
      <c r="BB531" s="799"/>
      <c r="BC531" s="799"/>
      <c r="BD531" s="799"/>
      <c r="BE531" s="799"/>
      <c r="BF531" s="799"/>
      <c r="BG531" s="799"/>
    </row>
    <row r="532">
      <c r="H532" s="799"/>
      <c r="I532" s="799"/>
      <c r="J532" s="799"/>
      <c r="K532" s="799"/>
      <c r="L532" s="799"/>
      <c r="M532" s="799"/>
      <c r="N532" s="799"/>
      <c r="O532" s="799"/>
      <c r="P532" s="799"/>
      <c r="Q532" s="799"/>
      <c r="R532" s="799"/>
      <c r="S532" s="799"/>
      <c r="T532" s="799"/>
      <c r="U532" s="799"/>
      <c r="V532" s="799"/>
      <c r="W532" s="799"/>
      <c r="X532" s="799"/>
      <c r="Y532" s="799"/>
      <c r="Z532" s="799"/>
      <c r="AA532" s="799"/>
      <c r="AB532" s="799"/>
      <c r="AC532" s="799"/>
      <c r="AD532" s="799"/>
      <c r="AE532" s="799"/>
      <c r="AF532" s="799"/>
      <c r="AG532" s="799"/>
      <c r="AH532" s="799"/>
      <c r="AI532" s="799"/>
      <c r="AJ532" s="799"/>
      <c r="AK532" s="799"/>
      <c r="AL532" s="799"/>
      <c r="AM532" s="799"/>
      <c r="AN532" s="799"/>
      <c r="AO532" s="799"/>
      <c r="AP532" s="799"/>
      <c r="AQ532" s="799"/>
      <c r="AR532" s="799"/>
      <c r="AS532" s="799"/>
      <c r="AT532" s="799"/>
      <c r="AU532" s="799"/>
      <c r="AV532" s="799"/>
      <c r="AW532" s="799"/>
      <c r="AX532" s="799"/>
      <c r="AY532" s="799"/>
      <c r="AZ532" s="799"/>
      <c r="BA532" s="799"/>
      <c r="BB532" s="799"/>
      <c r="BC532" s="799"/>
      <c r="BD532" s="799"/>
      <c r="BE532" s="799"/>
      <c r="BF532" s="799"/>
      <c r="BG532" s="799"/>
    </row>
    <row r="533">
      <c r="H533" s="799"/>
      <c r="I533" s="799"/>
      <c r="J533" s="799"/>
      <c r="K533" s="799"/>
      <c r="L533" s="799"/>
      <c r="M533" s="799"/>
      <c r="N533" s="799"/>
      <c r="O533" s="799"/>
      <c r="P533" s="799"/>
      <c r="Q533" s="799"/>
      <c r="R533" s="799"/>
      <c r="S533" s="799"/>
      <c r="T533" s="799"/>
      <c r="U533" s="799"/>
      <c r="V533" s="799"/>
      <c r="W533" s="799"/>
      <c r="X533" s="799"/>
      <c r="Y533" s="799"/>
      <c r="Z533" s="799"/>
      <c r="AA533" s="799"/>
      <c r="AB533" s="799"/>
      <c r="AC533" s="799"/>
      <c r="AD533" s="799"/>
      <c r="AE533" s="799"/>
      <c r="AF533" s="799"/>
      <c r="AG533" s="799"/>
      <c r="AH533" s="799"/>
      <c r="AI533" s="799"/>
      <c r="AJ533" s="799"/>
      <c r="AK533" s="799"/>
      <c r="AL533" s="799"/>
      <c r="AM533" s="799"/>
      <c r="AN533" s="799"/>
      <c r="AO533" s="799"/>
      <c r="AP533" s="799"/>
      <c r="AQ533" s="799"/>
      <c r="AR533" s="799"/>
      <c r="AS533" s="799"/>
      <c r="AT533" s="799"/>
      <c r="AU533" s="799"/>
      <c r="AV533" s="799"/>
      <c r="AW533" s="799"/>
      <c r="AX533" s="799"/>
      <c r="AY533" s="799"/>
      <c r="AZ533" s="799"/>
      <c r="BA533" s="799"/>
      <c r="BB533" s="799"/>
      <c r="BC533" s="799"/>
      <c r="BD533" s="799"/>
      <c r="BE533" s="799"/>
      <c r="BF533" s="799"/>
      <c r="BG533" s="799"/>
    </row>
    <row r="534">
      <c r="H534" s="799"/>
      <c r="I534" s="799"/>
      <c r="J534" s="799"/>
      <c r="K534" s="799"/>
      <c r="L534" s="799"/>
      <c r="M534" s="799"/>
      <c r="N534" s="799"/>
      <c r="O534" s="799"/>
      <c r="P534" s="799"/>
      <c r="Q534" s="799"/>
      <c r="R534" s="799"/>
      <c r="S534" s="799"/>
      <c r="T534" s="799"/>
      <c r="U534" s="799"/>
      <c r="V534" s="799"/>
      <c r="W534" s="799"/>
      <c r="X534" s="799"/>
      <c r="Y534" s="799"/>
      <c r="Z534" s="799"/>
      <c r="AA534" s="799"/>
      <c r="AB534" s="799"/>
      <c r="AC534" s="799"/>
      <c r="AD534" s="799"/>
      <c r="AE534" s="799"/>
      <c r="AF534" s="799"/>
      <c r="AG534" s="799"/>
      <c r="AH534" s="799"/>
      <c r="AI534" s="799"/>
      <c r="AJ534" s="799"/>
      <c r="AK534" s="799"/>
      <c r="AL534" s="799"/>
      <c r="AM534" s="799"/>
      <c r="AN534" s="799"/>
      <c r="AO534" s="799"/>
      <c r="AP534" s="799"/>
      <c r="AQ534" s="799"/>
      <c r="AR534" s="799"/>
      <c r="AS534" s="799"/>
      <c r="AT534" s="799"/>
      <c r="AU534" s="799"/>
      <c r="AV534" s="799"/>
      <c r="AW534" s="799"/>
      <c r="AX534" s="799"/>
      <c r="AY534" s="799"/>
      <c r="AZ534" s="799"/>
      <c r="BA534" s="799"/>
      <c r="BB534" s="799"/>
      <c r="BC534" s="799"/>
      <c r="BD534" s="799"/>
      <c r="BE534" s="799"/>
      <c r="BF534" s="799"/>
      <c r="BG534" s="799"/>
    </row>
    <row r="535">
      <c r="H535" s="799"/>
      <c r="I535" s="799"/>
      <c r="J535" s="799"/>
      <c r="K535" s="799"/>
      <c r="L535" s="799"/>
      <c r="M535" s="799"/>
      <c r="N535" s="799"/>
      <c r="O535" s="799"/>
      <c r="P535" s="799"/>
      <c r="Q535" s="799"/>
      <c r="R535" s="799"/>
      <c r="S535" s="799"/>
      <c r="T535" s="799"/>
      <c r="U535" s="799"/>
      <c r="V535" s="799"/>
      <c r="W535" s="799"/>
      <c r="X535" s="799"/>
      <c r="Y535" s="799"/>
      <c r="Z535" s="799"/>
      <c r="AA535" s="799"/>
      <c r="AB535" s="799"/>
      <c r="AC535" s="799"/>
      <c r="AD535" s="799"/>
      <c r="AE535" s="799"/>
      <c r="AF535" s="799"/>
      <c r="AG535" s="799"/>
      <c r="AH535" s="799"/>
      <c r="AI535" s="799"/>
      <c r="AJ535" s="799"/>
      <c r="AK535" s="799"/>
      <c r="AL535" s="799"/>
      <c r="AM535" s="799"/>
      <c r="AN535" s="799"/>
      <c r="AO535" s="799"/>
      <c r="AP535" s="799"/>
      <c r="AQ535" s="799"/>
      <c r="AR535" s="799"/>
      <c r="AS535" s="799"/>
      <c r="AT535" s="799"/>
      <c r="AU535" s="799"/>
      <c r="AV535" s="799"/>
      <c r="AW535" s="799"/>
      <c r="AX535" s="799"/>
      <c r="AY535" s="799"/>
      <c r="AZ535" s="799"/>
      <c r="BA535" s="799"/>
      <c r="BB535" s="799"/>
      <c r="BC535" s="799"/>
      <c r="BD535" s="799"/>
      <c r="BE535" s="799"/>
      <c r="BF535" s="799"/>
      <c r="BG535" s="799"/>
    </row>
    <row r="536">
      <c r="H536" s="799"/>
      <c r="I536" s="799"/>
      <c r="J536" s="799"/>
      <c r="K536" s="799"/>
      <c r="L536" s="799"/>
      <c r="M536" s="799"/>
      <c r="N536" s="799"/>
      <c r="O536" s="799"/>
      <c r="P536" s="799"/>
      <c r="Q536" s="799"/>
      <c r="R536" s="799"/>
      <c r="S536" s="799"/>
      <c r="T536" s="799"/>
      <c r="U536" s="799"/>
      <c r="V536" s="799"/>
      <c r="W536" s="799"/>
      <c r="X536" s="799"/>
      <c r="Y536" s="799"/>
      <c r="Z536" s="799"/>
      <c r="AA536" s="799"/>
      <c r="AB536" s="799"/>
      <c r="AC536" s="799"/>
      <c r="AD536" s="799"/>
      <c r="AE536" s="799"/>
      <c r="AF536" s="799"/>
      <c r="AG536" s="799"/>
      <c r="AH536" s="799"/>
      <c r="AI536" s="799"/>
      <c r="AJ536" s="799"/>
      <c r="AK536" s="799"/>
      <c r="AL536" s="799"/>
      <c r="AM536" s="799"/>
      <c r="AN536" s="799"/>
      <c r="AO536" s="799"/>
      <c r="AP536" s="799"/>
      <c r="AQ536" s="799"/>
      <c r="AR536" s="799"/>
      <c r="AS536" s="799"/>
      <c r="AT536" s="799"/>
      <c r="AU536" s="799"/>
      <c r="AV536" s="799"/>
      <c r="AW536" s="799"/>
      <c r="AX536" s="799"/>
      <c r="AY536" s="799"/>
      <c r="AZ536" s="799"/>
      <c r="BA536" s="799"/>
      <c r="BB536" s="799"/>
      <c r="BC536" s="799"/>
      <c r="BD536" s="799"/>
      <c r="BE536" s="799"/>
      <c r="BF536" s="799"/>
      <c r="BG536" s="799"/>
    </row>
    <row r="537">
      <c r="H537" s="799"/>
      <c r="I537" s="799"/>
      <c r="J537" s="799"/>
      <c r="K537" s="799"/>
      <c r="L537" s="799"/>
      <c r="M537" s="799"/>
      <c r="N537" s="799"/>
      <c r="O537" s="799"/>
      <c r="P537" s="799"/>
      <c r="Q537" s="799"/>
      <c r="R537" s="799"/>
      <c r="S537" s="799"/>
      <c r="T537" s="799"/>
      <c r="U537" s="799"/>
      <c r="V537" s="799"/>
      <c r="W537" s="799"/>
      <c r="X537" s="799"/>
      <c r="Y537" s="799"/>
      <c r="Z537" s="799"/>
      <c r="AA537" s="799"/>
      <c r="AB537" s="799"/>
      <c r="AC537" s="799"/>
      <c r="AD537" s="799"/>
      <c r="AE537" s="799"/>
      <c r="AF537" s="799"/>
      <c r="AG537" s="799"/>
      <c r="AH537" s="799"/>
      <c r="AI537" s="799"/>
      <c r="AJ537" s="799"/>
      <c r="AK537" s="799"/>
      <c r="AL537" s="799"/>
      <c r="AM537" s="799"/>
      <c r="AN537" s="799"/>
      <c r="AO537" s="799"/>
      <c r="AP537" s="799"/>
      <c r="AQ537" s="799"/>
      <c r="AR537" s="799"/>
      <c r="AS537" s="799"/>
      <c r="AT537" s="799"/>
      <c r="AU537" s="799"/>
      <c r="AV537" s="799"/>
      <c r="AW537" s="799"/>
      <c r="AX537" s="799"/>
      <c r="AY537" s="799"/>
      <c r="AZ537" s="799"/>
      <c r="BA537" s="799"/>
      <c r="BB537" s="799"/>
      <c r="BC537" s="799"/>
      <c r="BD537" s="799"/>
      <c r="BE537" s="799"/>
      <c r="BF537" s="799"/>
      <c r="BG537" s="799"/>
    </row>
    <row r="538">
      <c r="H538" s="799"/>
      <c r="I538" s="799"/>
      <c r="J538" s="799"/>
      <c r="K538" s="799"/>
      <c r="L538" s="799"/>
      <c r="M538" s="799"/>
      <c r="N538" s="799"/>
      <c r="O538" s="799"/>
      <c r="P538" s="799"/>
      <c r="Q538" s="799"/>
      <c r="R538" s="799"/>
      <c r="S538" s="799"/>
      <c r="T538" s="799"/>
      <c r="U538" s="799"/>
      <c r="V538" s="799"/>
      <c r="W538" s="799"/>
      <c r="X538" s="799"/>
      <c r="Y538" s="799"/>
      <c r="Z538" s="799"/>
      <c r="AA538" s="799"/>
      <c r="AB538" s="799"/>
      <c r="AC538" s="799"/>
      <c r="AD538" s="799"/>
      <c r="AE538" s="799"/>
      <c r="AF538" s="799"/>
      <c r="AG538" s="799"/>
      <c r="AH538" s="799"/>
      <c r="AI538" s="799"/>
      <c r="AJ538" s="799"/>
      <c r="AK538" s="799"/>
      <c r="AL538" s="799"/>
      <c r="AM538" s="799"/>
      <c r="AN538" s="799"/>
      <c r="AO538" s="799"/>
      <c r="AP538" s="799"/>
      <c r="AQ538" s="799"/>
      <c r="AR538" s="799"/>
      <c r="AS538" s="799"/>
      <c r="AT538" s="799"/>
      <c r="AU538" s="799"/>
      <c r="AV538" s="799"/>
      <c r="AW538" s="799"/>
      <c r="AX538" s="799"/>
      <c r="AY538" s="799"/>
      <c r="AZ538" s="799"/>
      <c r="BA538" s="799"/>
      <c r="BB538" s="799"/>
      <c r="BC538" s="799"/>
      <c r="BD538" s="799"/>
      <c r="BE538" s="799"/>
      <c r="BF538" s="799"/>
      <c r="BG538" s="799"/>
    </row>
    <row r="539">
      <c r="H539" s="799"/>
      <c r="I539" s="799"/>
      <c r="J539" s="799"/>
      <c r="K539" s="799"/>
      <c r="L539" s="799"/>
      <c r="M539" s="799"/>
      <c r="N539" s="799"/>
      <c r="O539" s="799"/>
      <c r="P539" s="799"/>
      <c r="Q539" s="799"/>
      <c r="R539" s="799"/>
      <c r="S539" s="799"/>
      <c r="T539" s="799"/>
      <c r="U539" s="799"/>
      <c r="V539" s="799"/>
      <c r="W539" s="799"/>
      <c r="X539" s="799"/>
      <c r="Y539" s="799"/>
      <c r="Z539" s="799"/>
      <c r="AA539" s="799"/>
      <c r="AB539" s="799"/>
      <c r="AC539" s="799"/>
      <c r="AD539" s="799"/>
      <c r="AE539" s="799"/>
      <c r="AF539" s="799"/>
      <c r="AG539" s="799"/>
      <c r="AH539" s="799"/>
      <c r="AI539" s="799"/>
      <c r="AJ539" s="799"/>
      <c r="AK539" s="799"/>
      <c r="AL539" s="799"/>
      <c r="AM539" s="799"/>
      <c r="AN539" s="799"/>
      <c r="AO539" s="799"/>
      <c r="AP539" s="799"/>
      <c r="AQ539" s="799"/>
      <c r="AR539" s="799"/>
      <c r="AS539" s="799"/>
      <c r="AT539" s="799"/>
      <c r="AU539" s="799"/>
      <c r="AV539" s="799"/>
      <c r="AW539" s="799"/>
      <c r="AX539" s="799"/>
      <c r="AY539" s="799"/>
      <c r="AZ539" s="799"/>
      <c r="BA539" s="799"/>
      <c r="BB539" s="799"/>
      <c r="BC539" s="799"/>
      <c r="BD539" s="799"/>
      <c r="BE539" s="799"/>
      <c r="BF539" s="799"/>
      <c r="BG539" s="799"/>
    </row>
    <row r="540">
      <c r="H540" s="799"/>
      <c r="I540" s="799"/>
      <c r="J540" s="799"/>
      <c r="K540" s="799"/>
      <c r="L540" s="799"/>
      <c r="M540" s="799"/>
      <c r="N540" s="799"/>
      <c r="O540" s="799"/>
      <c r="P540" s="799"/>
      <c r="Q540" s="799"/>
      <c r="R540" s="799"/>
      <c r="S540" s="799"/>
      <c r="T540" s="799"/>
      <c r="U540" s="799"/>
      <c r="V540" s="799"/>
      <c r="W540" s="799"/>
      <c r="X540" s="799"/>
      <c r="Y540" s="799"/>
      <c r="Z540" s="799"/>
      <c r="AA540" s="799"/>
      <c r="AB540" s="799"/>
      <c r="AC540" s="799"/>
      <c r="AD540" s="799"/>
      <c r="AE540" s="799"/>
      <c r="AF540" s="799"/>
      <c r="AG540" s="799"/>
      <c r="AH540" s="799"/>
      <c r="AI540" s="799"/>
      <c r="AJ540" s="799"/>
      <c r="AK540" s="799"/>
      <c r="AL540" s="799"/>
      <c r="AM540" s="799"/>
      <c r="AN540" s="799"/>
      <c r="AO540" s="799"/>
      <c r="AP540" s="799"/>
      <c r="AQ540" s="799"/>
      <c r="AR540" s="799"/>
      <c r="AS540" s="799"/>
      <c r="AT540" s="799"/>
      <c r="AU540" s="799"/>
      <c r="AV540" s="799"/>
      <c r="AW540" s="799"/>
      <c r="AX540" s="799"/>
      <c r="AY540" s="799"/>
      <c r="AZ540" s="799"/>
      <c r="BA540" s="799"/>
      <c r="BB540" s="799"/>
      <c r="BC540" s="799"/>
      <c r="BD540" s="799"/>
      <c r="BE540" s="799"/>
      <c r="BF540" s="799"/>
      <c r="BG540" s="799"/>
    </row>
    <row r="541">
      <c r="H541" s="799"/>
      <c r="I541" s="799"/>
      <c r="J541" s="799"/>
      <c r="K541" s="799"/>
      <c r="L541" s="799"/>
      <c r="M541" s="799"/>
      <c r="N541" s="799"/>
      <c r="O541" s="799"/>
      <c r="P541" s="799"/>
      <c r="Q541" s="799"/>
      <c r="R541" s="799"/>
      <c r="S541" s="799"/>
      <c r="T541" s="799"/>
      <c r="U541" s="799"/>
      <c r="V541" s="799"/>
      <c r="W541" s="799"/>
      <c r="X541" s="799"/>
      <c r="Y541" s="799"/>
      <c r="Z541" s="799"/>
      <c r="AA541" s="799"/>
      <c r="AB541" s="799"/>
      <c r="AC541" s="799"/>
      <c r="AD541" s="799"/>
      <c r="AE541" s="799"/>
      <c r="AF541" s="799"/>
      <c r="AG541" s="799"/>
      <c r="AH541" s="799"/>
      <c r="AI541" s="799"/>
      <c r="AJ541" s="799"/>
      <c r="AK541" s="799"/>
      <c r="AL541" s="799"/>
      <c r="AM541" s="799"/>
      <c r="AN541" s="799"/>
      <c r="AO541" s="799"/>
      <c r="AP541" s="799"/>
      <c r="AQ541" s="799"/>
      <c r="AR541" s="799"/>
      <c r="AS541" s="799"/>
      <c r="AT541" s="799"/>
      <c r="AU541" s="799"/>
      <c r="AV541" s="799"/>
      <c r="AW541" s="799"/>
      <c r="AX541" s="799"/>
      <c r="AY541" s="799"/>
      <c r="AZ541" s="799"/>
      <c r="BA541" s="799"/>
      <c r="BB541" s="799"/>
      <c r="BC541" s="799"/>
      <c r="BD541" s="799"/>
      <c r="BE541" s="799"/>
      <c r="BF541" s="799"/>
      <c r="BG541" s="799"/>
    </row>
    <row r="542">
      <c r="H542" s="799"/>
      <c r="I542" s="799"/>
      <c r="J542" s="799"/>
      <c r="K542" s="799"/>
      <c r="L542" s="799"/>
      <c r="M542" s="799"/>
      <c r="N542" s="799"/>
      <c r="O542" s="799"/>
      <c r="P542" s="799"/>
      <c r="Q542" s="799"/>
      <c r="R542" s="799"/>
      <c r="S542" s="799"/>
      <c r="T542" s="799"/>
      <c r="U542" s="799"/>
      <c r="V542" s="799"/>
      <c r="W542" s="799"/>
      <c r="X542" s="799"/>
      <c r="Y542" s="799"/>
      <c r="Z542" s="799"/>
      <c r="AA542" s="799"/>
      <c r="AB542" s="799"/>
      <c r="AC542" s="799"/>
      <c r="AD542" s="799"/>
      <c r="AE542" s="799"/>
      <c r="AF542" s="799"/>
      <c r="AG542" s="799"/>
      <c r="AH542" s="799"/>
      <c r="AI542" s="799"/>
      <c r="AJ542" s="799"/>
      <c r="AK542" s="799"/>
      <c r="AL542" s="799"/>
      <c r="AM542" s="799"/>
      <c r="AN542" s="799"/>
      <c r="AO542" s="799"/>
      <c r="AP542" s="799"/>
      <c r="AQ542" s="799"/>
      <c r="AR542" s="799"/>
      <c r="AS542" s="799"/>
      <c r="AT542" s="799"/>
      <c r="AU542" s="799"/>
      <c r="AV542" s="799"/>
      <c r="AW542" s="799"/>
      <c r="AX542" s="799"/>
      <c r="AY542" s="799"/>
      <c r="AZ542" s="799"/>
      <c r="BA542" s="799"/>
      <c r="BB542" s="799"/>
      <c r="BC542" s="799"/>
      <c r="BD542" s="799"/>
      <c r="BE542" s="799"/>
      <c r="BF542" s="799"/>
      <c r="BG542" s="799"/>
    </row>
    <row r="543">
      <c r="H543" s="799"/>
      <c r="I543" s="799"/>
      <c r="J543" s="799"/>
      <c r="K543" s="799"/>
      <c r="L543" s="799"/>
      <c r="M543" s="799"/>
      <c r="N543" s="799"/>
      <c r="O543" s="799"/>
      <c r="P543" s="799"/>
      <c r="Q543" s="799"/>
      <c r="R543" s="799"/>
      <c r="S543" s="799"/>
      <c r="T543" s="799"/>
      <c r="U543" s="799"/>
      <c r="V543" s="799"/>
      <c r="W543" s="799"/>
      <c r="X543" s="799"/>
      <c r="Y543" s="799"/>
      <c r="Z543" s="799"/>
      <c r="AA543" s="799"/>
      <c r="AB543" s="799"/>
      <c r="AC543" s="799"/>
      <c r="AD543" s="799"/>
      <c r="AE543" s="799"/>
      <c r="AF543" s="799"/>
      <c r="AG543" s="799"/>
      <c r="AH543" s="799"/>
      <c r="AI543" s="799"/>
      <c r="AJ543" s="799"/>
      <c r="AK543" s="799"/>
      <c r="AL543" s="799"/>
      <c r="AM543" s="799"/>
      <c r="AN543" s="799"/>
      <c r="AO543" s="799"/>
      <c r="AP543" s="799"/>
      <c r="AQ543" s="799"/>
      <c r="AR543" s="799"/>
      <c r="AS543" s="799"/>
      <c r="AT543" s="799"/>
      <c r="AU543" s="799"/>
      <c r="AV543" s="799"/>
      <c r="AW543" s="799"/>
      <c r="AX543" s="799"/>
      <c r="AY543" s="799"/>
      <c r="AZ543" s="799"/>
      <c r="BA543" s="799"/>
      <c r="BB543" s="799"/>
      <c r="BC543" s="799"/>
      <c r="BD543" s="799"/>
      <c r="BE543" s="799"/>
      <c r="BF543" s="799"/>
      <c r="BG543" s="799"/>
    </row>
    <row r="544">
      <c r="H544" s="799"/>
      <c r="I544" s="799"/>
      <c r="J544" s="799"/>
      <c r="K544" s="799"/>
      <c r="L544" s="799"/>
      <c r="M544" s="799"/>
      <c r="N544" s="799"/>
      <c r="O544" s="799"/>
      <c r="P544" s="799"/>
      <c r="Q544" s="799"/>
      <c r="R544" s="799"/>
      <c r="S544" s="799"/>
      <c r="T544" s="799"/>
      <c r="U544" s="799"/>
      <c r="V544" s="799"/>
      <c r="W544" s="799"/>
      <c r="X544" s="799"/>
      <c r="Y544" s="799"/>
      <c r="Z544" s="799"/>
      <c r="AA544" s="799"/>
      <c r="AB544" s="799"/>
      <c r="AC544" s="799"/>
      <c r="AD544" s="799"/>
      <c r="AE544" s="799"/>
      <c r="AF544" s="799"/>
      <c r="AG544" s="799"/>
      <c r="AH544" s="799"/>
      <c r="AI544" s="799"/>
      <c r="AJ544" s="799"/>
      <c r="AK544" s="799"/>
      <c r="AL544" s="799"/>
      <c r="AM544" s="799"/>
      <c r="AN544" s="799"/>
      <c r="AO544" s="799"/>
      <c r="AP544" s="799"/>
      <c r="AQ544" s="799"/>
      <c r="AR544" s="799"/>
      <c r="AS544" s="799"/>
      <c r="AT544" s="799"/>
      <c r="AU544" s="799"/>
      <c r="AV544" s="799"/>
      <c r="AW544" s="799"/>
      <c r="AX544" s="799"/>
      <c r="AY544" s="799"/>
      <c r="AZ544" s="799"/>
      <c r="BA544" s="799"/>
      <c r="BB544" s="799"/>
      <c r="BC544" s="799"/>
      <c r="BD544" s="799"/>
      <c r="BE544" s="799"/>
      <c r="BF544" s="799"/>
      <c r="BG544" s="799"/>
    </row>
    <row r="545">
      <c r="H545" s="799"/>
      <c r="I545" s="799"/>
      <c r="J545" s="799"/>
      <c r="K545" s="799"/>
      <c r="L545" s="799"/>
      <c r="M545" s="799"/>
      <c r="N545" s="799"/>
      <c r="O545" s="799"/>
      <c r="P545" s="799"/>
      <c r="Q545" s="799"/>
      <c r="R545" s="799"/>
      <c r="S545" s="799"/>
      <c r="T545" s="799"/>
      <c r="U545" s="799"/>
      <c r="V545" s="799"/>
      <c r="W545" s="799"/>
      <c r="X545" s="799"/>
      <c r="Y545" s="799"/>
      <c r="Z545" s="799"/>
      <c r="AA545" s="799"/>
      <c r="AB545" s="799"/>
      <c r="AC545" s="799"/>
      <c r="AD545" s="799"/>
      <c r="AE545" s="799"/>
      <c r="AF545" s="799"/>
      <c r="AG545" s="799"/>
      <c r="AH545" s="799"/>
      <c r="AI545" s="799"/>
      <c r="AJ545" s="799"/>
      <c r="AK545" s="799"/>
      <c r="AL545" s="799"/>
      <c r="AM545" s="799"/>
      <c r="AN545" s="799"/>
      <c r="AO545" s="799"/>
      <c r="AP545" s="799"/>
      <c r="AQ545" s="799"/>
      <c r="AR545" s="799"/>
      <c r="AS545" s="799"/>
      <c r="AT545" s="799"/>
      <c r="AU545" s="799"/>
      <c r="AV545" s="799"/>
      <c r="AW545" s="799"/>
      <c r="AX545" s="799"/>
      <c r="AY545" s="799"/>
      <c r="AZ545" s="799"/>
      <c r="BA545" s="799"/>
      <c r="BB545" s="799"/>
      <c r="BC545" s="799"/>
      <c r="BD545" s="799"/>
      <c r="BE545" s="799"/>
      <c r="BF545" s="799"/>
      <c r="BG545" s="799"/>
    </row>
    <row r="546">
      <c r="H546" s="799"/>
      <c r="I546" s="799"/>
      <c r="J546" s="799"/>
      <c r="K546" s="799"/>
      <c r="L546" s="799"/>
      <c r="M546" s="799"/>
      <c r="N546" s="799"/>
      <c r="O546" s="799"/>
      <c r="P546" s="799"/>
      <c r="Q546" s="799"/>
      <c r="R546" s="799"/>
      <c r="S546" s="799"/>
      <c r="T546" s="799"/>
      <c r="U546" s="799"/>
      <c r="V546" s="799"/>
      <c r="W546" s="799"/>
      <c r="X546" s="799"/>
      <c r="Y546" s="799"/>
      <c r="Z546" s="799"/>
      <c r="AA546" s="799"/>
      <c r="AB546" s="799"/>
      <c r="AC546" s="799"/>
      <c r="AD546" s="799"/>
      <c r="AE546" s="799"/>
      <c r="AF546" s="799"/>
      <c r="AG546" s="799"/>
      <c r="AH546" s="799"/>
      <c r="AI546" s="799"/>
      <c r="AJ546" s="799"/>
      <c r="AK546" s="799"/>
      <c r="AL546" s="799"/>
      <c r="AM546" s="799"/>
      <c r="AN546" s="799"/>
      <c r="AO546" s="799"/>
      <c r="AP546" s="799"/>
      <c r="AQ546" s="799"/>
      <c r="AR546" s="799"/>
      <c r="AS546" s="799"/>
      <c r="AT546" s="799"/>
      <c r="AU546" s="799"/>
      <c r="AV546" s="799"/>
      <c r="AW546" s="799"/>
      <c r="AX546" s="799"/>
      <c r="AY546" s="799"/>
      <c r="AZ546" s="799"/>
      <c r="BA546" s="799"/>
      <c r="BB546" s="799"/>
      <c r="BC546" s="799"/>
      <c r="BD546" s="799"/>
      <c r="BE546" s="799"/>
      <c r="BF546" s="799"/>
      <c r="BG546" s="799"/>
    </row>
    <row r="547">
      <c r="H547" s="799"/>
      <c r="I547" s="799"/>
      <c r="J547" s="799"/>
      <c r="K547" s="799"/>
      <c r="L547" s="799"/>
      <c r="M547" s="799"/>
      <c r="N547" s="799"/>
      <c r="O547" s="799"/>
      <c r="P547" s="799"/>
      <c r="Q547" s="799"/>
      <c r="R547" s="799"/>
      <c r="S547" s="799"/>
      <c r="T547" s="799"/>
      <c r="U547" s="799"/>
      <c r="V547" s="799"/>
      <c r="W547" s="799"/>
      <c r="X547" s="799"/>
      <c r="Y547" s="799"/>
      <c r="Z547" s="799"/>
      <c r="AA547" s="799"/>
      <c r="AB547" s="799"/>
      <c r="AC547" s="799"/>
      <c r="AD547" s="799"/>
      <c r="AE547" s="799"/>
      <c r="AF547" s="799"/>
      <c r="AG547" s="799"/>
      <c r="AH547" s="799"/>
      <c r="AI547" s="799"/>
      <c r="AJ547" s="799"/>
      <c r="AK547" s="799"/>
      <c r="AL547" s="799"/>
      <c r="AM547" s="799"/>
      <c r="AN547" s="799"/>
      <c r="AO547" s="799"/>
      <c r="AP547" s="799"/>
      <c r="AQ547" s="799"/>
      <c r="AR547" s="799"/>
      <c r="AS547" s="799"/>
      <c r="AT547" s="799"/>
      <c r="AU547" s="799"/>
      <c r="AV547" s="799"/>
      <c r="AW547" s="799"/>
      <c r="AX547" s="799"/>
      <c r="AY547" s="799"/>
      <c r="AZ547" s="799"/>
      <c r="BA547" s="799"/>
      <c r="BB547" s="799"/>
      <c r="BC547" s="799"/>
      <c r="BD547" s="799"/>
      <c r="BE547" s="799"/>
      <c r="BF547" s="799"/>
      <c r="BG547" s="799"/>
    </row>
    <row r="548">
      <c r="H548" s="799"/>
      <c r="I548" s="799"/>
      <c r="J548" s="799"/>
      <c r="K548" s="799"/>
      <c r="L548" s="799"/>
      <c r="M548" s="799"/>
      <c r="N548" s="799"/>
      <c r="O548" s="799"/>
      <c r="P548" s="799"/>
      <c r="Q548" s="799"/>
      <c r="R548" s="799"/>
      <c r="S548" s="799"/>
      <c r="T548" s="799"/>
      <c r="U548" s="799"/>
      <c r="V548" s="799"/>
      <c r="W548" s="799"/>
      <c r="X548" s="799"/>
      <c r="Y548" s="799"/>
      <c r="Z548" s="799"/>
      <c r="AA548" s="799"/>
      <c r="AB548" s="799"/>
      <c r="AC548" s="799"/>
      <c r="AD548" s="799"/>
      <c r="AE548" s="799"/>
      <c r="AF548" s="799"/>
      <c r="AG548" s="799"/>
      <c r="AH548" s="799"/>
      <c r="AI548" s="799"/>
      <c r="AJ548" s="799"/>
      <c r="AK548" s="799"/>
      <c r="AL548" s="799"/>
      <c r="AM548" s="799"/>
      <c r="AN548" s="799"/>
      <c r="AO548" s="799"/>
      <c r="AP548" s="799"/>
      <c r="AQ548" s="799"/>
      <c r="AR548" s="799"/>
      <c r="AS548" s="799"/>
      <c r="AT548" s="799"/>
      <c r="AU548" s="799"/>
      <c r="AV548" s="799"/>
      <c r="AW548" s="799"/>
      <c r="AX548" s="799"/>
      <c r="AY548" s="799"/>
      <c r="AZ548" s="799"/>
      <c r="BA548" s="799"/>
      <c r="BB548" s="799"/>
      <c r="BC548" s="799"/>
      <c r="BD548" s="799"/>
      <c r="BE548" s="799"/>
      <c r="BF548" s="799"/>
      <c r="BG548" s="799"/>
    </row>
    <row r="549">
      <c r="H549" s="799"/>
      <c r="I549" s="799"/>
      <c r="J549" s="799"/>
      <c r="K549" s="799"/>
      <c r="L549" s="799"/>
      <c r="M549" s="799"/>
      <c r="N549" s="799"/>
      <c r="O549" s="799"/>
      <c r="P549" s="799"/>
      <c r="Q549" s="799"/>
      <c r="R549" s="799"/>
      <c r="S549" s="799"/>
      <c r="T549" s="799"/>
      <c r="U549" s="799"/>
      <c r="V549" s="799"/>
      <c r="W549" s="799"/>
      <c r="X549" s="799"/>
      <c r="Y549" s="799"/>
      <c r="Z549" s="799"/>
      <c r="AA549" s="799"/>
      <c r="AB549" s="799"/>
      <c r="AC549" s="799"/>
      <c r="AD549" s="799"/>
      <c r="AE549" s="799"/>
      <c r="AF549" s="799"/>
      <c r="AG549" s="799"/>
      <c r="AH549" s="799"/>
      <c r="AI549" s="799"/>
      <c r="AJ549" s="799"/>
      <c r="AK549" s="799"/>
      <c r="AL549" s="799"/>
      <c r="AM549" s="799"/>
      <c r="AN549" s="799"/>
      <c r="AO549" s="799"/>
      <c r="AP549" s="799"/>
      <c r="AQ549" s="799"/>
      <c r="AR549" s="799"/>
      <c r="AS549" s="799"/>
      <c r="AT549" s="799"/>
      <c r="AU549" s="799"/>
      <c r="AV549" s="799"/>
      <c r="AW549" s="799"/>
      <c r="AX549" s="799"/>
      <c r="AY549" s="799"/>
      <c r="AZ549" s="799"/>
      <c r="BA549" s="799"/>
      <c r="BB549" s="799"/>
      <c r="BC549" s="799"/>
      <c r="BD549" s="799"/>
      <c r="BE549" s="799"/>
      <c r="BF549" s="799"/>
      <c r="BG549" s="799"/>
    </row>
    <row r="550">
      <c r="H550" s="799"/>
      <c r="I550" s="799"/>
      <c r="J550" s="799"/>
      <c r="K550" s="799"/>
      <c r="L550" s="799"/>
      <c r="M550" s="799"/>
      <c r="N550" s="799"/>
      <c r="O550" s="799"/>
      <c r="P550" s="799"/>
      <c r="Q550" s="799"/>
      <c r="R550" s="799"/>
      <c r="S550" s="799"/>
      <c r="T550" s="799"/>
      <c r="U550" s="799"/>
      <c r="V550" s="799"/>
      <c r="W550" s="799"/>
      <c r="X550" s="799"/>
      <c r="Y550" s="799"/>
      <c r="Z550" s="799"/>
      <c r="AA550" s="799"/>
      <c r="AB550" s="799"/>
      <c r="AC550" s="799"/>
      <c r="AD550" s="799"/>
      <c r="AE550" s="799"/>
      <c r="AF550" s="799"/>
      <c r="AG550" s="799"/>
      <c r="AH550" s="799"/>
      <c r="AI550" s="799"/>
      <c r="AJ550" s="799"/>
      <c r="AK550" s="799"/>
      <c r="AL550" s="799"/>
      <c r="AM550" s="799"/>
      <c r="AN550" s="799"/>
      <c r="AO550" s="799"/>
      <c r="AP550" s="799"/>
      <c r="AQ550" s="799"/>
      <c r="AR550" s="799"/>
      <c r="AS550" s="799"/>
      <c r="AT550" s="799"/>
      <c r="AU550" s="799"/>
      <c r="AV550" s="799"/>
      <c r="AW550" s="799"/>
      <c r="AX550" s="799"/>
      <c r="AY550" s="799"/>
      <c r="AZ550" s="799"/>
      <c r="BA550" s="799"/>
      <c r="BB550" s="799"/>
      <c r="BC550" s="799"/>
      <c r="BD550" s="799"/>
      <c r="BE550" s="799"/>
      <c r="BF550" s="799"/>
      <c r="BG550" s="799"/>
    </row>
    <row r="551">
      <c r="H551" s="799"/>
      <c r="I551" s="799"/>
      <c r="J551" s="799"/>
      <c r="K551" s="799"/>
      <c r="L551" s="799"/>
      <c r="M551" s="799"/>
      <c r="N551" s="799"/>
      <c r="O551" s="799"/>
      <c r="P551" s="799"/>
      <c r="Q551" s="799"/>
      <c r="R551" s="799"/>
      <c r="S551" s="799"/>
      <c r="T551" s="799"/>
      <c r="U551" s="799"/>
      <c r="V551" s="799"/>
      <c r="W551" s="799"/>
      <c r="X551" s="799"/>
      <c r="Y551" s="799"/>
      <c r="Z551" s="799"/>
      <c r="AA551" s="799"/>
      <c r="AB551" s="799"/>
      <c r="AC551" s="799"/>
      <c r="AD551" s="799"/>
      <c r="AE551" s="799"/>
      <c r="AF551" s="799"/>
      <c r="AG551" s="799"/>
      <c r="AH551" s="799"/>
      <c r="AI551" s="799"/>
      <c r="AJ551" s="799"/>
      <c r="AK551" s="799"/>
      <c r="AL551" s="799"/>
      <c r="AM551" s="799"/>
      <c r="AN551" s="799"/>
      <c r="AO551" s="799"/>
      <c r="AP551" s="799"/>
      <c r="AQ551" s="799"/>
      <c r="AR551" s="799"/>
      <c r="AS551" s="799"/>
      <c r="AT551" s="799"/>
      <c r="AU551" s="799"/>
      <c r="AV551" s="799"/>
      <c r="AW551" s="799"/>
      <c r="AX551" s="799"/>
      <c r="AY551" s="799"/>
      <c r="AZ551" s="799"/>
      <c r="BA551" s="799"/>
      <c r="BB551" s="799"/>
      <c r="BC551" s="799"/>
      <c r="BD551" s="799"/>
      <c r="BE551" s="799"/>
      <c r="BF551" s="799"/>
      <c r="BG551" s="799"/>
    </row>
    <row r="552">
      <c r="H552" s="799"/>
      <c r="I552" s="799"/>
      <c r="J552" s="799"/>
      <c r="K552" s="799"/>
      <c r="L552" s="799"/>
      <c r="M552" s="799"/>
      <c r="N552" s="799"/>
      <c r="O552" s="799"/>
      <c r="P552" s="799"/>
      <c r="Q552" s="799"/>
      <c r="R552" s="799"/>
      <c r="S552" s="799"/>
      <c r="T552" s="799"/>
      <c r="U552" s="799"/>
      <c r="V552" s="799"/>
      <c r="W552" s="799"/>
      <c r="X552" s="799"/>
      <c r="Y552" s="799"/>
      <c r="Z552" s="799"/>
      <c r="AA552" s="799"/>
      <c r="AB552" s="799"/>
      <c r="AC552" s="799"/>
      <c r="AD552" s="799"/>
      <c r="AE552" s="799"/>
      <c r="AF552" s="799"/>
      <c r="AG552" s="799"/>
      <c r="AH552" s="799"/>
      <c r="AI552" s="799"/>
      <c r="AJ552" s="799"/>
      <c r="AK552" s="799"/>
      <c r="AL552" s="799"/>
      <c r="AM552" s="799"/>
      <c r="AN552" s="799"/>
      <c r="AO552" s="799"/>
      <c r="AP552" s="799"/>
      <c r="AQ552" s="799"/>
      <c r="AR552" s="799"/>
      <c r="AS552" s="799"/>
      <c r="AT552" s="799"/>
      <c r="AU552" s="799"/>
      <c r="AV552" s="799"/>
      <c r="AW552" s="799"/>
      <c r="AX552" s="799"/>
      <c r="AY552" s="799"/>
      <c r="AZ552" s="799"/>
      <c r="BA552" s="799"/>
      <c r="BB552" s="799"/>
      <c r="BC552" s="799"/>
      <c r="BD552" s="799"/>
      <c r="BE552" s="799"/>
      <c r="BF552" s="799"/>
      <c r="BG552" s="799"/>
    </row>
    <row r="553">
      <c r="H553" s="799"/>
      <c r="I553" s="799"/>
      <c r="J553" s="799"/>
      <c r="K553" s="799"/>
      <c r="L553" s="799"/>
      <c r="M553" s="799"/>
      <c r="N553" s="799"/>
      <c r="O553" s="799"/>
      <c r="P553" s="799"/>
      <c r="Q553" s="799"/>
      <c r="R553" s="799"/>
      <c r="S553" s="799"/>
      <c r="T553" s="799"/>
      <c r="U553" s="799"/>
      <c r="V553" s="799"/>
      <c r="W553" s="799"/>
      <c r="X553" s="799"/>
      <c r="Y553" s="799"/>
      <c r="Z553" s="799"/>
      <c r="AA553" s="799"/>
      <c r="AB553" s="799"/>
      <c r="AC553" s="799"/>
      <c r="AD553" s="799"/>
      <c r="AE553" s="799"/>
      <c r="AF553" s="799"/>
      <c r="AG553" s="799"/>
      <c r="AH553" s="799"/>
      <c r="AI553" s="799"/>
      <c r="AJ553" s="799"/>
      <c r="AK553" s="799"/>
      <c r="AL553" s="799"/>
      <c r="AM553" s="799"/>
      <c r="AN553" s="799"/>
      <c r="AO553" s="799"/>
      <c r="AP553" s="799"/>
      <c r="AQ553" s="799"/>
      <c r="AR553" s="799"/>
      <c r="AS553" s="799"/>
      <c r="AT553" s="799"/>
      <c r="AU553" s="799"/>
      <c r="AV553" s="799"/>
      <c r="AW553" s="799"/>
      <c r="AX553" s="799"/>
      <c r="AY553" s="799"/>
      <c r="AZ553" s="799"/>
      <c r="BA553" s="799"/>
      <c r="BB553" s="799"/>
      <c r="BC553" s="799"/>
      <c r="BD553" s="799"/>
      <c r="BE553" s="799"/>
      <c r="BF553" s="799"/>
      <c r="BG553" s="799"/>
    </row>
    <row r="554">
      <c r="H554" s="799"/>
      <c r="I554" s="799"/>
      <c r="J554" s="799"/>
      <c r="K554" s="799"/>
      <c r="L554" s="799"/>
      <c r="M554" s="799"/>
      <c r="N554" s="799"/>
      <c r="O554" s="799"/>
      <c r="P554" s="799"/>
      <c r="Q554" s="799"/>
      <c r="R554" s="799"/>
      <c r="S554" s="799"/>
      <c r="T554" s="799"/>
      <c r="U554" s="799"/>
      <c r="V554" s="799"/>
      <c r="W554" s="799"/>
      <c r="X554" s="799"/>
      <c r="Y554" s="799"/>
      <c r="Z554" s="799"/>
      <c r="AA554" s="799"/>
      <c r="AB554" s="799"/>
      <c r="AC554" s="799"/>
      <c r="AD554" s="799"/>
      <c r="AE554" s="799"/>
      <c r="AF554" s="799"/>
      <c r="AG554" s="799"/>
      <c r="AH554" s="799"/>
      <c r="AI554" s="799"/>
      <c r="AJ554" s="799"/>
      <c r="AK554" s="799"/>
      <c r="AL554" s="799"/>
      <c r="AM554" s="799"/>
      <c r="AN554" s="799"/>
      <c r="AO554" s="799"/>
      <c r="AP554" s="799"/>
      <c r="AQ554" s="799"/>
      <c r="AR554" s="799"/>
      <c r="AS554" s="799"/>
      <c r="AT554" s="799"/>
      <c r="AU554" s="799"/>
      <c r="AV554" s="799"/>
      <c r="AW554" s="799"/>
      <c r="AX554" s="799"/>
      <c r="AY554" s="799"/>
      <c r="AZ554" s="799"/>
      <c r="BA554" s="799"/>
      <c r="BB554" s="799"/>
      <c r="BC554" s="799"/>
      <c r="BD554" s="799"/>
      <c r="BE554" s="799"/>
      <c r="BF554" s="799"/>
      <c r="BG554" s="799"/>
    </row>
    <row r="555">
      <c r="H555" s="799"/>
      <c r="I555" s="799"/>
      <c r="J555" s="799"/>
      <c r="K555" s="799"/>
      <c r="L555" s="799"/>
      <c r="M555" s="799"/>
      <c r="N555" s="799"/>
      <c r="O555" s="799"/>
      <c r="P555" s="799"/>
      <c r="Q555" s="799"/>
      <c r="R555" s="799"/>
      <c r="S555" s="799"/>
      <c r="T555" s="799"/>
      <c r="U555" s="799"/>
      <c r="V555" s="799"/>
      <c r="W555" s="799"/>
      <c r="X555" s="799"/>
      <c r="Y555" s="799"/>
      <c r="Z555" s="799"/>
      <c r="AA555" s="799"/>
      <c r="AB555" s="799"/>
      <c r="AC555" s="799"/>
      <c r="AD555" s="799"/>
      <c r="AE555" s="799"/>
      <c r="AF555" s="799"/>
      <c r="AG555" s="799"/>
      <c r="AH555" s="799"/>
      <c r="AI555" s="799"/>
      <c r="AJ555" s="799"/>
      <c r="AK555" s="799"/>
      <c r="AL555" s="799"/>
      <c r="AM555" s="799"/>
      <c r="AN555" s="799"/>
      <c r="AO555" s="799"/>
      <c r="AP555" s="799"/>
      <c r="AQ555" s="799"/>
      <c r="AR555" s="799"/>
      <c r="AS555" s="799"/>
      <c r="AT555" s="799"/>
      <c r="AU555" s="799"/>
      <c r="AV555" s="799"/>
      <c r="AW555" s="799"/>
      <c r="AX555" s="799"/>
      <c r="AY555" s="799"/>
      <c r="AZ555" s="799"/>
      <c r="BA555" s="799"/>
      <c r="BB555" s="799"/>
      <c r="BC555" s="799"/>
      <c r="BD555" s="799"/>
      <c r="BE555" s="799"/>
      <c r="BF555" s="799"/>
      <c r="BG555" s="799"/>
    </row>
    <row r="556">
      <c r="H556" s="799"/>
      <c r="I556" s="799"/>
      <c r="J556" s="799"/>
      <c r="K556" s="799"/>
      <c r="L556" s="799"/>
      <c r="M556" s="799"/>
      <c r="N556" s="799"/>
      <c r="O556" s="799"/>
      <c r="P556" s="799"/>
      <c r="Q556" s="799"/>
      <c r="R556" s="799"/>
      <c r="S556" s="799"/>
      <c r="T556" s="799"/>
      <c r="U556" s="799"/>
      <c r="V556" s="799"/>
      <c r="W556" s="799"/>
      <c r="X556" s="799"/>
      <c r="Y556" s="799"/>
      <c r="Z556" s="799"/>
      <c r="AA556" s="799"/>
      <c r="AB556" s="799"/>
      <c r="AC556" s="799"/>
      <c r="AD556" s="799"/>
      <c r="AE556" s="799"/>
      <c r="AF556" s="799"/>
      <c r="AG556" s="799"/>
      <c r="AH556" s="799"/>
      <c r="AI556" s="799"/>
      <c r="AJ556" s="799"/>
      <c r="AK556" s="799"/>
      <c r="AL556" s="799"/>
      <c r="AM556" s="799"/>
      <c r="AN556" s="799"/>
      <c r="AO556" s="799"/>
      <c r="AP556" s="799"/>
      <c r="AQ556" s="799"/>
      <c r="AR556" s="799"/>
      <c r="AS556" s="799"/>
      <c r="AT556" s="799"/>
      <c r="AU556" s="799"/>
      <c r="AV556" s="799"/>
      <c r="AW556" s="799"/>
      <c r="AX556" s="799"/>
      <c r="AY556" s="799"/>
      <c r="AZ556" s="799"/>
      <c r="BA556" s="799"/>
      <c r="BB556" s="799"/>
      <c r="BC556" s="799"/>
      <c r="BD556" s="799"/>
      <c r="BE556" s="799"/>
      <c r="BF556" s="799"/>
      <c r="BG556" s="799"/>
    </row>
    <row r="557">
      <c r="H557" s="799"/>
      <c r="I557" s="799"/>
      <c r="J557" s="799"/>
      <c r="K557" s="799"/>
      <c r="L557" s="799"/>
      <c r="M557" s="799"/>
      <c r="N557" s="799"/>
      <c r="O557" s="799"/>
      <c r="P557" s="799"/>
      <c r="Q557" s="799"/>
      <c r="R557" s="799"/>
      <c r="S557" s="799"/>
      <c r="T557" s="799"/>
      <c r="U557" s="799"/>
      <c r="V557" s="799"/>
      <c r="W557" s="799"/>
      <c r="X557" s="799"/>
      <c r="Y557" s="799"/>
      <c r="Z557" s="799"/>
      <c r="AA557" s="799"/>
      <c r="AB557" s="799"/>
      <c r="AC557" s="799"/>
      <c r="AD557" s="799"/>
      <c r="AE557" s="799"/>
      <c r="AF557" s="799"/>
      <c r="AG557" s="799"/>
      <c r="AH557" s="799"/>
      <c r="AI557" s="799"/>
      <c r="AJ557" s="799"/>
      <c r="AK557" s="799"/>
      <c r="AL557" s="799"/>
      <c r="AM557" s="799"/>
      <c r="AN557" s="799"/>
      <c r="AO557" s="799"/>
      <c r="AP557" s="799"/>
      <c r="AQ557" s="799"/>
      <c r="AR557" s="799"/>
      <c r="AS557" s="799"/>
      <c r="AT557" s="799"/>
      <c r="AU557" s="799"/>
      <c r="AV557" s="799"/>
      <c r="AW557" s="799"/>
      <c r="AX557" s="799"/>
      <c r="AY557" s="799"/>
      <c r="AZ557" s="799"/>
      <c r="BA557" s="799"/>
      <c r="BB557" s="799"/>
      <c r="BC557" s="799"/>
      <c r="BD557" s="799"/>
      <c r="BE557" s="799"/>
      <c r="BF557" s="799"/>
      <c r="BG557" s="799"/>
    </row>
    <row r="558">
      <c r="H558" s="799"/>
      <c r="I558" s="799"/>
      <c r="J558" s="799"/>
      <c r="K558" s="799"/>
      <c r="L558" s="799"/>
      <c r="M558" s="799"/>
      <c r="N558" s="799"/>
      <c r="O558" s="799"/>
      <c r="P558" s="799"/>
      <c r="Q558" s="799"/>
      <c r="R558" s="799"/>
      <c r="S558" s="799"/>
      <c r="T558" s="799"/>
      <c r="U558" s="799"/>
      <c r="V558" s="799"/>
      <c r="W558" s="799"/>
      <c r="X558" s="799"/>
      <c r="Y558" s="799"/>
      <c r="Z558" s="799"/>
      <c r="AA558" s="799"/>
      <c r="AB558" s="799"/>
      <c r="AC558" s="799"/>
      <c r="AD558" s="799"/>
      <c r="AE558" s="799"/>
      <c r="AF558" s="799"/>
      <c r="AG558" s="799"/>
      <c r="AH558" s="799"/>
      <c r="AI558" s="799"/>
      <c r="AJ558" s="799"/>
      <c r="AK558" s="799"/>
      <c r="AL558" s="799"/>
      <c r="AM558" s="799"/>
      <c r="AN558" s="799"/>
      <c r="AO558" s="799"/>
      <c r="AP558" s="799"/>
      <c r="AQ558" s="799"/>
      <c r="AR558" s="799"/>
      <c r="AS558" s="799"/>
      <c r="AT558" s="799"/>
      <c r="AU558" s="799"/>
      <c r="AV558" s="799"/>
      <c r="AW558" s="799"/>
      <c r="AX558" s="799"/>
      <c r="AY558" s="799"/>
      <c r="AZ558" s="799"/>
      <c r="BA558" s="799"/>
      <c r="BB558" s="799"/>
      <c r="BC558" s="799"/>
      <c r="BD558" s="799"/>
      <c r="BE558" s="799"/>
      <c r="BF558" s="799"/>
      <c r="BG558" s="799"/>
    </row>
    <row r="559">
      <c r="H559" s="799"/>
      <c r="I559" s="799"/>
      <c r="J559" s="799"/>
      <c r="K559" s="799"/>
      <c r="L559" s="799"/>
      <c r="M559" s="799"/>
      <c r="N559" s="799"/>
      <c r="O559" s="799"/>
      <c r="P559" s="799"/>
      <c r="Q559" s="799"/>
      <c r="R559" s="799"/>
      <c r="S559" s="799"/>
      <c r="T559" s="799"/>
      <c r="U559" s="799"/>
      <c r="V559" s="799"/>
      <c r="W559" s="799"/>
      <c r="X559" s="799"/>
      <c r="Y559" s="799"/>
      <c r="Z559" s="799"/>
      <c r="AA559" s="799"/>
      <c r="AB559" s="799"/>
      <c r="AC559" s="799"/>
      <c r="AD559" s="799"/>
      <c r="AE559" s="799"/>
      <c r="AF559" s="799"/>
      <c r="AG559" s="799"/>
      <c r="AH559" s="799"/>
      <c r="AI559" s="799"/>
      <c r="AJ559" s="799"/>
      <c r="AK559" s="799"/>
      <c r="AL559" s="799"/>
      <c r="AM559" s="799"/>
      <c r="AN559" s="799"/>
      <c r="AO559" s="799"/>
      <c r="AP559" s="799"/>
      <c r="AQ559" s="799"/>
      <c r="AR559" s="799"/>
      <c r="AS559" s="799"/>
      <c r="AT559" s="799"/>
      <c r="AU559" s="799"/>
      <c r="AV559" s="799"/>
      <c r="AW559" s="799"/>
      <c r="AX559" s="799"/>
      <c r="AY559" s="799"/>
      <c r="AZ559" s="799"/>
      <c r="BA559" s="799"/>
      <c r="BB559" s="799"/>
      <c r="BC559" s="799"/>
      <c r="BD559" s="799"/>
      <c r="BE559" s="799"/>
      <c r="BF559" s="799"/>
      <c r="BG559" s="799"/>
    </row>
    <row r="560">
      <c r="H560" s="799"/>
      <c r="I560" s="799"/>
      <c r="J560" s="799"/>
      <c r="K560" s="799"/>
      <c r="L560" s="799"/>
      <c r="M560" s="799"/>
      <c r="N560" s="799"/>
      <c r="O560" s="799"/>
      <c r="P560" s="799"/>
      <c r="Q560" s="799"/>
      <c r="R560" s="799"/>
      <c r="S560" s="799"/>
      <c r="T560" s="799"/>
      <c r="U560" s="799"/>
      <c r="V560" s="799"/>
      <c r="W560" s="799"/>
      <c r="X560" s="799"/>
      <c r="Y560" s="799"/>
      <c r="Z560" s="799"/>
      <c r="AA560" s="799"/>
      <c r="AB560" s="799"/>
      <c r="AC560" s="799"/>
      <c r="AD560" s="799"/>
      <c r="AE560" s="799"/>
      <c r="AF560" s="799"/>
      <c r="AG560" s="799"/>
      <c r="AH560" s="799"/>
      <c r="AI560" s="799"/>
      <c r="AJ560" s="799"/>
      <c r="AK560" s="799"/>
      <c r="AL560" s="799"/>
      <c r="AM560" s="799"/>
      <c r="AN560" s="799"/>
      <c r="AO560" s="799"/>
      <c r="AP560" s="799"/>
      <c r="AQ560" s="799"/>
      <c r="AR560" s="799"/>
      <c r="AS560" s="799"/>
      <c r="AT560" s="799"/>
      <c r="AU560" s="799"/>
      <c r="AV560" s="799"/>
      <c r="AW560" s="799"/>
      <c r="AX560" s="799"/>
      <c r="AY560" s="799"/>
      <c r="AZ560" s="799"/>
      <c r="BA560" s="799"/>
      <c r="BB560" s="799"/>
      <c r="BC560" s="799"/>
      <c r="BD560" s="799"/>
      <c r="BE560" s="799"/>
      <c r="BF560" s="799"/>
      <c r="BG560" s="799"/>
    </row>
    <row r="561">
      <c r="H561" s="799"/>
      <c r="I561" s="799"/>
      <c r="J561" s="799"/>
      <c r="K561" s="799"/>
      <c r="L561" s="799"/>
      <c r="M561" s="799"/>
      <c r="N561" s="799"/>
      <c r="O561" s="799"/>
      <c r="P561" s="799"/>
      <c r="Q561" s="799"/>
      <c r="R561" s="799"/>
      <c r="S561" s="799"/>
      <c r="T561" s="799"/>
      <c r="U561" s="799"/>
      <c r="V561" s="799"/>
      <c r="W561" s="799"/>
      <c r="X561" s="799"/>
      <c r="Y561" s="799"/>
      <c r="Z561" s="799"/>
      <c r="AA561" s="799"/>
      <c r="AB561" s="799"/>
      <c r="AC561" s="799"/>
      <c r="AD561" s="799"/>
      <c r="AE561" s="799"/>
      <c r="AF561" s="799"/>
      <c r="AG561" s="799"/>
      <c r="AH561" s="799"/>
      <c r="AI561" s="799"/>
      <c r="AJ561" s="799"/>
      <c r="AK561" s="799"/>
      <c r="AL561" s="799"/>
      <c r="AM561" s="799"/>
      <c r="AN561" s="799"/>
      <c r="AO561" s="799"/>
      <c r="AP561" s="799"/>
      <c r="AQ561" s="799"/>
      <c r="AR561" s="799"/>
      <c r="AS561" s="799"/>
      <c r="AT561" s="799"/>
      <c r="AU561" s="799"/>
      <c r="AV561" s="799"/>
      <c r="AW561" s="799"/>
      <c r="AX561" s="799"/>
      <c r="AY561" s="799"/>
      <c r="AZ561" s="799"/>
      <c r="BA561" s="799"/>
      <c r="BB561" s="799"/>
      <c r="BC561" s="799"/>
      <c r="BD561" s="799"/>
      <c r="BE561" s="799"/>
      <c r="BF561" s="799"/>
      <c r="BG561" s="799"/>
    </row>
    <row r="562">
      <c r="H562" s="799"/>
      <c r="I562" s="799"/>
      <c r="J562" s="799"/>
      <c r="K562" s="799"/>
      <c r="L562" s="799"/>
      <c r="M562" s="799"/>
      <c r="N562" s="799"/>
      <c r="O562" s="799"/>
      <c r="P562" s="799"/>
      <c r="Q562" s="799"/>
      <c r="R562" s="799"/>
      <c r="S562" s="799"/>
      <c r="T562" s="799"/>
      <c r="U562" s="799"/>
      <c r="V562" s="799"/>
      <c r="W562" s="799"/>
      <c r="X562" s="799"/>
      <c r="Y562" s="799"/>
      <c r="Z562" s="799"/>
      <c r="AA562" s="799"/>
      <c r="AB562" s="799"/>
      <c r="AC562" s="799"/>
      <c r="AD562" s="799"/>
      <c r="AE562" s="799"/>
      <c r="AF562" s="799"/>
      <c r="AG562" s="799"/>
      <c r="AH562" s="799"/>
      <c r="AI562" s="799"/>
      <c r="AJ562" s="799"/>
      <c r="AK562" s="799"/>
      <c r="AL562" s="799"/>
      <c r="AM562" s="799"/>
      <c r="AN562" s="799"/>
      <c r="AO562" s="799"/>
      <c r="AP562" s="799"/>
      <c r="AQ562" s="799"/>
      <c r="AR562" s="799"/>
      <c r="AS562" s="799"/>
      <c r="AT562" s="799"/>
      <c r="AU562" s="799"/>
      <c r="AV562" s="799"/>
      <c r="AW562" s="799"/>
      <c r="AX562" s="799"/>
      <c r="AY562" s="799"/>
      <c r="AZ562" s="799"/>
      <c r="BA562" s="799"/>
      <c r="BB562" s="799"/>
      <c r="BC562" s="799"/>
      <c r="BD562" s="799"/>
      <c r="BE562" s="799"/>
      <c r="BF562" s="799"/>
      <c r="BG562" s="799"/>
    </row>
    <row r="563">
      <c r="H563" s="799"/>
      <c r="I563" s="799"/>
      <c r="J563" s="799"/>
      <c r="K563" s="799"/>
      <c r="L563" s="799"/>
      <c r="M563" s="799"/>
      <c r="N563" s="799"/>
      <c r="O563" s="799"/>
      <c r="P563" s="799"/>
      <c r="Q563" s="799"/>
      <c r="R563" s="799"/>
      <c r="S563" s="799"/>
      <c r="T563" s="799"/>
      <c r="U563" s="799"/>
      <c r="V563" s="799"/>
      <c r="W563" s="799"/>
      <c r="X563" s="799"/>
      <c r="Y563" s="799"/>
      <c r="Z563" s="799"/>
      <c r="AA563" s="799"/>
      <c r="AB563" s="799"/>
      <c r="AC563" s="799"/>
      <c r="AD563" s="799"/>
      <c r="AE563" s="799"/>
      <c r="AF563" s="799"/>
      <c r="AG563" s="799"/>
      <c r="AH563" s="799"/>
      <c r="AI563" s="799"/>
      <c r="AJ563" s="799"/>
      <c r="AK563" s="799"/>
      <c r="AL563" s="799"/>
      <c r="AM563" s="799"/>
      <c r="AN563" s="799"/>
      <c r="AO563" s="799"/>
      <c r="AP563" s="799"/>
      <c r="AQ563" s="799"/>
      <c r="AR563" s="799"/>
      <c r="AS563" s="799"/>
      <c r="AT563" s="799"/>
      <c r="AU563" s="799"/>
      <c r="AV563" s="799"/>
      <c r="AW563" s="799"/>
      <c r="AX563" s="799"/>
      <c r="AY563" s="799"/>
      <c r="AZ563" s="799"/>
      <c r="BA563" s="799"/>
      <c r="BB563" s="799"/>
      <c r="BC563" s="799"/>
      <c r="BD563" s="799"/>
      <c r="BE563" s="799"/>
      <c r="BF563" s="799"/>
      <c r="BG563" s="799"/>
    </row>
    <row r="564">
      <c r="H564" s="799"/>
      <c r="I564" s="799"/>
      <c r="J564" s="799"/>
      <c r="K564" s="799"/>
      <c r="L564" s="799"/>
      <c r="M564" s="799"/>
      <c r="N564" s="799"/>
      <c r="O564" s="799"/>
      <c r="P564" s="799"/>
      <c r="Q564" s="799"/>
      <c r="R564" s="799"/>
      <c r="S564" s="799"/>
      <c r="T564" s="799"/>
      <c r="U564" s="799"/>
      <c r="V564" s="799"/>
      <c r="W564" s="799"/>
      <c r="X564" s="799"/>
      <c r="Y564" s="799"/>
      <c r="Z564" s="799"/>
      <c r="AA564" s="799"/>
      <c r="AB564" s="799"/>
      <c r="AC564" s="799"/>
      <c r="AD564" s="799"/>
      <c r="AE564" s="799"/>
      <c r="AF564" s="799"/>
      <c r="AG564" s="799"/>
      <c r="AH564" s="799"/>
      <c r="AI564" s="799"/>
      <c r="AJ564" s="799"/>
      <c r="AK564" s="799"/>
      <c r="AL564" s="799"/>
      <c r="AM564" s="799"/>
      <c r="AN564" s="799"/>
      <c r="AO564" s="799"/>
      <c r="AP564" s="799"/>
      <c r="AQ564" s="799"/>
      <c r="AR564" s="799"/>
      <c r="AS564" s="799"/>
      <c r="AT564" s="799"/>
      <c r="AU564" s="799"/>
      <c r="AV564" s="799"/>
      <c r="AW564" s="799"/>
      <c r="AX564" s="799"/>
      <c r="AY564" s="799"/>
      <c r="AZ564" s="799"/>
      <c r="BA564" s="799"/>
      <c r="BB564" s="799"/>
      <c r="BC564" s="799"/>
      <c r="BD564" s="799"/>
      <c r="BE564" s="799"/>
      <c r="BF564" s="799"/>
      <c r="BG564" s="799"/>
    </row>
    <row r="565">
      <c r="H565" s="799"/>
      <c r="I565" s="799"/>
      <c r="J565" s="799"/>
      <c r="K565" s="799"/>
      <c r="L565" s="799"/>
      <c r="M565" s="799"/>
      <c r="N565" s="799"/>
      <c r="O565" s="799"/>
      <c r="P565" s="799"/>
      <c r="Q565" s="799"/>
      <c r="R565" s="799"/>
      <c r="S565" s="799"/>
      <c r="T565" s="799"/>
      <c r="U565" s="799"/>
      <c r="V565" s="799"/>
      <c r="W565" s="799"/>
      <c r="X565" s="799"/>
      <c r="Y565" s="799"/>
      <c r="Z565" s="799"/>
      <c r="AA565" s="799"/>
      <c r="AB565" s="799"/>
      <c r="AC565" s="799"/>
      <c r="AD565" s="799"/>
      <c r="AE565" s="799"/>
      <c r="AF565" s="799"/>
      <c r="AG565" s="799"/>
      <c r="AH565" s="799"/>
      <c r="AI565" s="799"/>
      <c r="AJ565" s="799"/>
      <c r="AK565" s="799"/>
      <c r="AL565" s="799"/>
      <c r="AM565" s="799"/>
      <c r="AN565" s="799"/>
      <c r="AO565" s="799"/>
      <c r="AP565" s="799"/>
      <c r="AQ565" s="799"/>
      <c r="AR565" s="799"/>
      <c r="AS565" s="799"/>
      <c r="AT565" s="799"/>
      <c r="AU565" s="799"/>
      <c r="AV565" s="799"/>
      <c r="AW565" s="799"/>
      <c r="AX565" s="799"/>
      <c r="AY565" s="799"/>
      <c r="AZ565" s="799"/>
      <c r="BA565" s="799"/>
      <c r="BB565" s="799"/>
      <c r="BC565" s="799"/>
      <c r="BD565" s="799"/>
      <c r="BE565" s="799"/>
      <c r="BF565" s="799"/>
      <c r="BG565" s="799"/>
    </row>
    <row r="566">
      <c r="H566" s="799"/>
      <c r="I566" s="799"/>
      <c r="J566" s="799"/>
      <c r="K566" s="799"/>
      <c r="L566" s="799"/>
      <c r="M566" s="799"/>
      <c r="N566" s="799"/>
      <c r="O566" s="799"/>
      <c r="P566" s="799"/>
      <c r="Q566" s="799"/>
      <c r="R566" s="799"/>
      <c r="S566" s="799"/>
      <c r="T566" s="799"/>
      <c r="U566" s="799"/>
      <c r="V566" s="799"/>
      <c r="W566" s="799"/>
      <c r="X566" s="799"/>
      <c r="Y566" s="799"/>
      <c r="Z566" s="799"/>
      <c r="AA566" s="799"/>
      <c r="AB566" s="799"/>
      <c r="AC566" s="799"/>
      <c r="AD566" s="799"/>
      <c r="AE566" s="799"/>
      <c r="AF566" s="799"/>
      <c r="AG566" s="799"/>
      <c r="AH566" s="799"/>
      <c r="AI566" s="799"/>
      <c r="AJ566" s="799"/>
      <c r="AK566" s="799"/>
      <c r="AL566" s="799"/>
      <c r="AM566" s="799"/>
      <c r="AN566" s="799"/>
      <c r="AO566" s="799"/>
      <c r="AP566" s="799"/>
      <c r="AQ566" s="799"/>
      <c r="AR566" s="799"/>
      <c r="AS566" s="799"/>
      <c r="AT566" s="799"/>
      <c r="AU566" s="799"/>
      <c r="AV566" s="799"/>
      <c r="AW566" s="799"/>
      <c r="AX566" s="799"/>
      <c r="AY566" s="799"/>
      <c r="AZ566" s="799"/>
      <c r="BA566" s="799"/>
      <c r="BB566" s="799"/>
      <c r="BC566" s="799"/>
      <c r="BD566" s="799"/>
      <c r="BE566" s="799"/>
      <c r="BF566" s="799"/>
      <c r="BG566" s="799"/>
    </row>
    <row r="567">
      <c r="H567" s="799"/>
      <c r="I567" s="799"/>
      <c r="J567" s="799"/>
      <c r="K567" s="799"/>
      <c r="L567" s="799"/>
      <c r="M567" s="799"/>
      <c r="N567" s="799"/>
      <c r="O567" s="799"/>
      <c r="P567" s="799"/>
      <c r="Q567" s="799"/>
      <c r="R567" s="799"/>
      <c r="S567" s="799"/>
      <c r="T567" s="799"/>
      <c r="U567" s="799"/>
      <c r="V567" s="799"/>
      <c r="W567" s="799"/>
      <c r="X567" s="799"/>
      <c r="Y567" s="799"/>
      <c r="Z567" s="799"/>
      <c r="AA567" s="799"/>
      <c r="AB567" s="799"/>
      <c r="AC567" s="799"/>
      <c r="AD567" s="799"/>
      <c r="AE567" s="799"/>
      <c r="AF567" s="799"/>
      <c r="AG567" s="799"/>
      <c r="AH567" s="799"/>
      <c r="AI567" s="799"/>
      <c r="AJ567" s="799"/>
      <c r="AK567" s="799"/>
      <c r="AL567" s="799"/>
      <c r="AM567" s="799"/>
      <c r="AN567" s="799"/>
      <c r="AO567" s="799"/>
      <c r="AP567" s="799"/>
      <c r="AQ567" s="799"/>
      <c r="AR567" s="799"/>
      <c r="AS567" s="799"/>
      <c r="AT567" s="799"/>
      <c r="AU567" s="799"/>
      <c r="AV567" s="799"/>
      <c r="AW567" s="799"/>
      <c r="AX567" s="799"/>
      <c r="AY567" s="799"/>
      <c r="AZ567" s="799"/>
      <c r="BA567" s="799"/>
      <c r="BB567" s="799"/>
      <c r="BC567" s="799"/>
      <c r="BD567" s="799"/>
      <c r="BE567" s="799"/>
      <c r="BF567" s="799"/>
      <c r="BG567" s="799"/>
    </row>
    <row r="568">
      <c r="H568" s="799"/>
      <c r="I568" s="799"/>
      <c r="J568" s="799"/>
      <c r="K568" s="799"/>
      <c r="L568" s="799"/>
      <c r="M568" s="799"/>
      <c r="N568" s="799"/>
      <c r="O568" s="799"/>
      <c r="P568" s="799"/>
      <c r="Q568" s="799"/>
      <c r="R568" s="799"/>
      <c r="S568" s="799"/>
      <c r="T568" s="799"/>
      <c r="U568" s="799"/>
      <c r="V568" s="799"/>
      <c r="W568" s="799"/>
      <c r="X568" s="799"/>
      <c r="Y568" s="799"/>
      <c r="Z568" s="799"/>
      <c r="AA568" s="799"/>
      <c r="AB568" s="799"/>
      <c r="AC568" s="799"/>
      <c r="AD568" s="799"/>
      <c r="AE568" s="799"/>
      <c r="AF568" s="799"/>
      <c r="AG568" s="799"/>
      <c r="AH568" s="799"/>
      <c r="AI568" s="799"/>
      <c r="AJ568" s="799"/>
      <c r="AK568" s="799"/>
      <c r="AL568" s="799"/>
      <c r="AM568" s="799"/>
      <c r="AN568" s="799"/>
      <c r="AO568" s="799"/>
      <c r="AP568" s="799"/>
      <c r="AQ568" s="799"/>
      <c r="AR568" s="799"/>
      <c r="AS568" s="799"/>
      <c r="AT568" s="799"/>
      <c r="AU568" s="799"/>
      <c r="AV568" s="799"/>
      <c r="AW568" s="799"/>
      <c r="AX568" s="799"/>
      <c r="AY568" s="799"/>
      <c r="AZ568" s="799"/>
      <c r="BA568" s="799"/>
      <c r="BB568" s="799"/>
      <c r="BC568" s="799"/>
      <c r="BD568" s="799"/>
      <c r="BE568" s="799"/>
      <c r="BF568" s="799"/>
      <c r="BG568" s="799"/>
    </row>
    <row r="569">
      <c r="H569" s="799"/>
      <c r="I569" s="799"/>
      <c r="J569" s="799"/>
      <c r="K569" s="799"/>
      <c r="L569" s="799"/>
      <c r="M569" s="799"/>
      <c r="N569" s="799"/>
      <c r="O569" s="799"/>
      <c r="P569" s="799"/>
      <c r="Q569" s="799"/>
      <c r="R569" s="799"/>
      <c r="S569" s="799"/>
      <c r="T569" s="799"/>
      <c r="U569" s="799"/>
      <c r="V569" s="799"/>
      <c r="W569" s="799"/>
      <c r="X569" s="799"/>
      <c r="Y569" s="799"/>
      <c r="Z569" s="799"/>
      <c r="AA569" s="799"/>
      <c r="AB569" s="799"/>
      <c r="AC569" s="799"/>
      <c r="AD569" s="799"/>
      <c r="AE569" s="799"/>
      <c r="AF569" s="799"/>
      <c r="AG569" s="799"/>
      <c r="AH569" s="799"/>
      <c r="AI569" s="799"/>
      <c r="AJ569" s="799"/>
      <c r="AK569" s="799"/>
      <c r="AL569" s="799"/>
      <c r="AM569" s="799"/>
      <c r="AN569" s="799"/>
      <c r="AO569" s="799"/>
      <c r="AP569" s="799"/>
      <c r="AQ569" s="799"/>
      <c r="AR569" s="799"/>
      <c r="AS569" s="799"/>
      <c r="AT569" s="799"/>
      <c r="AU569" s="799"/>
      <c r="AV569" s="799"/>
      <c r="AW569" s="799"/>
      <c r="AX569" s="799"/>
      <c r="AY569" s="799"/>
      <c r="AZ569" s="799"/>
      <c r="BA569" s="799"/>
      <c r="BB569" s="799"/>
      <c r="BC569" s="799"/>
      <c r="BD569" s="799"/>
      <c r="BE569" s="799"/>
      <c r="BF569" s="799"/>
      <c r="BG569" s="799"/>
    </row>
    <row r="570">
      <c r="H570" s="799"/>
      <c r="I570" s="799"/>
      <c r="J570" s="799"/>
      <c r="K570" s="799"/>
      <c r="L570" s="799"/>
      <c r="M570" s="799"/>
      <c r="N570" s="799"/>
      <c r="O570" s="799"/>
      <c r="P570" s="799"/>
      <c r="Q570" s="799"/>
      <c r="R570" s="799"/>
      <c r="S570" s="799"/>
      <c r="T570" s="799"/>
      <c r="U570" s="799"/>
      <c r="V570" s="799"/>
      <c r="W570" s="799"/>
      <c r="X570" s="799"/>
      <c r="Y570" s="799"/>
      <c r="Z570" s="799"/>
      <c r="AA570" s="799"/>
      <c r="AB570" s="799"/>
      <c r="AC570" s="799"/>
      <c r="AD570" s="799"/>
      <c r="AE570" s="799"/>
      <c r="AF570" s="799"/>
      <c r="AG570" s="799"/>
      <c r="AH570" s="799"/>
      <c r="AI570" s="799"/>
      <c r="AJ570" s="799"/>
      <c r="AK570" s="799"/>
      <c r="AL570" s="799"/>
      <c r="AM570" s="799"/>
      <c r="AN570" s="799"/>
      <c r="AO570" s="799"/>
      <c r="AP570" s="799"/>
      <c r="AQ570" s="799"/>
      <c r="AR570" s="799"/>
      <c r="AS570" s="799"/>
      <c r="AT570" s="799"/>
      <c r="AU570" s="799"/>
      <c r="AV570" s="799"/>
      <c r="AW570" s="799"/>
      <c r="AX570" s="799"/>
      <c r="AY570" s="799"/>
      <c r="AZ570" s="799"/>
      <c r="BA570" s="799"/>
      <c r="BB570" s="799"/>
      <c r="BC570" s="799"/>
      <c r="BD570" s="799"/>
      <c r="BE570" s="799"/>
      <c r="BF570" s="799"/>
      <c r="BG570" s="799"/>
    </row>
    <row r="571">
      <c r="H571" s="799"/>
      <c r="I571" s="799"/>
      <c r="J571" s="799"/>
      <c r="K571" s="799"/>
      <c r="L571" s="799"/>
      <c r="M571" s="799"/>
      <c r="N571" s="799"/>
      <c r="O571" s="799"/>
      <c r="P571" s="799"/>
      <c r="Q571" s="799"/>
      <c r="R571" s="799"/>
      <c r="S571" s="799"/>
      <c r="T571" s="799"/>
      <c r="U571" s="799"/>
      <c r="V571" s="799"/>
      <c r="W571" s="799"/>
      <c r="X571" s="799"/>
      <c r="Y571" s="799"/>
      <c r="Z571" s="799"/>
      <c r="AA571" s="799"/>
      <c r="AB571" s="799"/>
      <c r="AC571" s="799"/>
      <c r="AD571" s="799"/>
      <c r="AE571" s="799"/>
      <c r="AF571" s="799"/>
      <c r="AG571" s="799"/>
      <c r="AH571" s="799"/>
      <c r="AI571" s="799"/>
      <c r="AJ571" s="799"/>
      <c r="AK571" s="799"/>
      <c r="AL571" s="799"/>
      <c r="AM571" s="799"/>
      <c r="AN571" s="799"/>
      <c r="AO571" s="799"/>
      <c r="AP571" s="799"/>
      <c r="AQ571" s="799"/>
      <c r="AR571" s="799"/>
      <c r="AS571" s="799"/>
      <c r="AT571" s="799"/>
      <c r="AU571" s="799"/>
      <c r="AV571" s="799"/>
      <c r="AW571" s="799"/>
      <c r="AX571" s="799"/>
      <c r="AY571" s="799"/>
      <c r="AZ571" s="799"/>
      <c r="BA571" s="799"/>
      <c r="BB571" s="799"/>
      <c r="BC571" s="799"/>
      <c r="BD571" s="799"/>
      <c r="BE571" s="799"/>
      <c r="BF571" s="799"/>
      <c r="BG571" s="799"/>
    </row>
    <row r="572">
      <c r="H572" s="799"/>
      <c r="I572" s="799"/>
      <c r="J572" s="799"/>
      <c r="K572" s="799"/>
      <c r="L572" s="799"/>
      <c r="M572" s="799"/>
      <c r="N572" s="799"/>
      <c r="O572" s="799"/>
      <c r="P572" s="799"/>
      <c r="Q572" s="799"/>
      <c r="R572" s="799"/>
      <c r="S572" s="799"/>
      <c r="T572" s="799"/>
      <c r="U572" s="799"/>
      <c r="V572" s="799"/>
      <c r="W572" s="799"/>
      <c r="X572" s="799"/>
      <c r="Y572" s="799"/>
      <c r="Z572" s="799"/>
      <c r="AA572" s="799"/>
      <c r="AB572" s="799"/>
      <c r="AC572" s="799"/>
      <c r="AD572" s="799"/>
      <c r="AE572" s="799"/>
      <c r="AF572" s="799"/>
      <c r="AG572" s="799"/>
      <c r="AH572" s="799"/>
      <c r="AI572" s="799"/>
      <c r="AJ572" s="799"/>
      <c r="AK572" s="799"/>
      <c r="AL572" s="799"/>
      <c r="AM572" s="799"/>
      <c r="AN572" s="799"/>
      <c r="AO572" s="799"/>
      <c r="AP572" s="799"/>
      <c r="AQ572" s="799"/>
      <c r="AR572" s="799"/>
      <c r="AS572" s="799"/>
      <c r="AT572" s="799"/>
      <c r="AU572" s="799"/>
      <c r="AV572" s="799"/>
      <c r="AW572" s="799"/>
      <c r="AX572" s="799"/>
      <c r="AY572" s="799"/>
      <c r="AZ572" s="799"/>
      <c r="BA572" s="799"/>
      <c r="BB572" s="799"/>
      <c r="BC572" s="799"/>
      <c r="BD572" s="799"/>
      <c r="BE572" s="799"/>
      <c r="BF572" s="799"/>
      <c r="BG572" s="799"/>
    </row>
    <row r="573">
      <c r="H573" s="799"/>
      <c r="I573" s="799"/>
      <c r="J573" s="799"/>
      <c r="K573" s="799"/>
      <c r="L573" s="799"/>
      <c r="M573" s="799"/>
      <c r="N573" s="799"/>
      <c r="O573" s="799"/>
      <c r="P573" s="799"/>
      <c r="Q573" s="799"/>
      <c r="R573" s="799"/>
      <c r="S573" s="799"/>
      <c r="T573" s="799"/>
      <c r="U573" s="799"/>
      <c r="V573" s="799"/>
      <c r="W573" s="799"/>
      <c r="X573" s="799"/>
      <c r="Y573" s="799"/>
      <c r="Z573" s="799"/>
      <c r="AA573" s="799"/>
      <c r="AB573" s="799"/>
      <c r="AC573" s="799"/>
      <c r="AD573" s="799"/>
      <c r="AE573" s="799"/>
      <c r="AF573" s="799"/>
      <c r="AG573" s="799"/>
      <c r="AH573" s="799"/>
      <c r="AI573" s="799"/>
      <c r="AJ573" s="799"/>
      <c r="AK573" s="799"/>
      <c r="AL573" s="799"/>
      <c r="AM573" s="799"/>
      <c r="AN573" s="799"/>
      <c r="AO573" s="799"/>
      <c r="AP573" s="799"/>
      <c r="AQ573" s="799"/>
      <c r="AR573" s="799"/>
      <c r="AS573" s="799"/>
      <c r="AT573" s="799"/>
      <c r="AU573" s="799"/>
      <c r="AV573" s="799"/>
      <c r="AW573" s="799"/>
      <c r="AX573" s="799"/>
      <c r="AY573" s="799"/>
      <c r="AZ573" s="799"/>
      <c r="BA573" s="799"/>
      <c r="BB573" s="799"/>
      <c r="BC573" s="799"/>
      <c r="BD573" s="799"/>
      <c r="BE573" s="799"/>
      <c r="BF573" s="799"/>
      <c r="BG573" s="799"/>
    </row>
    <row r="574">
      <c r="H574" s="799"/>
      <c r="I574" s="799"/>
      <c r="J574" s="799"/>
      <c r="K574" s="799"/>
      <c r="L574" s="799"/>
      <c r="M574" s="799"/>
      <c r="N574" s="799"/>
      <c r="O574" s="799"/>
      <c r="P574" s="799"/>
      <c r="Q574" s="799"/>
      <c r="R574" s="799"/>
      <c r="S574" s="799"/>
      <c r="T574" s="799"/>
      <c r="U574" s="799"/>
      <c r="V574" s="799"/>
      <c r="W574" s="799"/>
      <c r="X574" s="799"/>
      <c r="Y574" s="799"/>
      <c r="Z574" s="799"/>
      <c r="AA574" s="799"/>
      <c r="AB574" s="799"/>
      <c r="AC574" s="799"/>
      <c r="AD574" s="799"/>
      <c r="AE574" s="799"/>
      <c r="AF574" s="799"/>
      <c r="AG574" s="799"/>
      <c r="AH574" s="799"/>
      <c r="AI574" s="799"/>
      <c r="AJ574" s="799"/>
      <c r="AK574" s="799"/>
      <c r="AL574" s="799"/>
      <c r="AM574" s="799"/>
      <c r="AN574" s="799"/>
      <c r="AO574" s="799"/>
      <c r="AP574" s="799"/>
      <c r="AQ574" s="799"/>
      <c r="AR574" s="799"/>
      <c r="AS574" s="799"/>
      <c r="AT574" s="799"/>
      <c r="AU574" s="799"/>
      <c r="AV574" s="799"/>
      <c r="AW574" s="799"/>
      <c r="AX574" s="799"/>
      <c r="AY574" s="799"/>
      <c r="AZ574" s="799"/>
      <c r="BA574" s="799"/>
      <c r="BB574" s="799"/>
      <c r="BC574" s="799"/>
      <c r="BD574" s="799"/>
      <c r="BE574" s="799"/>
      <c r="BF574" s="799"/>
      <c r="BG574" s="799"/>
    </row>
    <row r="575">
      <c r="H575" s="799"/>
      <c r="I575" s="799"/>
      <c r="J575" s="799"/>
      <c r="K575" s="799"/>
      <c r="L575" s="799"/>
      <c r="M575" s="799"/>
      <c r="N575" s="799"/>
      <c r="O575" s="799"/>
      <c r="P575" s="799"/>
      <c r="Q575" s="799"/>
      <c r="R575" s="799"/>
      <c r="S575" s="799"/>
      <c r="T575" s="799"/>
      <c r="U575" s="799"/>
      <c r="V575" s="799"/>
      <c r="W575" s="799"/>
      <c r="X575" s="799"/>
      <c r="Y575" s="799"/>
      <c r="Z575" s="799"/>
      <c r="AA575" s="799"/>
      <c r="AB575" s="799"/>
      <c r="AC575" s="799"/>
      <c r="AD575" s="799"/>
      <c r="AE575" s="799"/>
      <c r="AF575" s="799"/>
      <c r="AG575" s="799"/>
      <c r="AH575" s="799"/>
      <c r="AI575" s="799"/>
      <c r="AJ575" s="799"/>
      <c r="AK575" s="799"/>
      <c r="AL575" s="799"/>
      <c r="AM575" s="799"/>
      <c r="AN575" s="799"/>
      <c r="AO575" s="799"/>
      <c r="AP575" s="799"/>
      <c r="AQ575" s="799"/>
      <c r="AR575" s="799"/>
      <c r="AS575" s="799"/>
      <c r="AT575" s="799"/>
      <c r="AU575" s="799"/>
      <c r="AV575" s="799"/>
      <c r="AW575" s="799"/>
      <c r="AX575" s="799"/>
      <c r="AY575" s="799"/>
      <c r="AZ575" s="799"/>
      <c r="BA575" s="799"/>
      <c r="BB575" s="799"/>
      <c r="BC575" s="799"/>
      <c r="BD575" s="799"/>
      <c r="BE575" s="799"/>
      <c r="BF575" s="799"/>
      <c r="BG575" s="799"/>
    </row>
    <row r="576">
      <c r="H576" s="799"/>
      <c r="I576" s="799"/>
      <c r="J576" s="799"/>
      <c r="K576" s="799"/>
      <c r="L576" s="799"/>
      <c r="M576" s="799"/>
      <c r="N576" s="799"/>
      <c r="O576" s="799"/>
      <c r="P576" s="799"/>
      <c r="Q576" s="799"/>
      <c r="R576" s="799"/>
      <c r="S576" s="799"/>
      <c r="T576" s="799"/>
      <c r="U576" s="799"/>
      <c r="V576" s="799"/>
      <c r="W576" s="799"/>
      <c r="X576" s="799"/>
      <c r="Y576" s="799"/>
      <c r="Z576" s="799"/>
      <c r="AA576" s="799"/>
      <c r="AB576" s="799"/>
      <c r="AC576" s="799"/>
      <c r="AD576" s="799"/>
      <c r="AE576" s="799"/>
      <c r="AF576" s="799"/>
      <c r="AG576" s="799"/>
      <c r="AH576" s="799"/>
      <c r="AI576" s="799"/>
      <c r="AJ576" s="799"/>
      <c r="AK576" s="799"/>
      <c r="AL576" s="799"/>
      <c r="AM576" s="799"/>
      <c r="AN576" s="799"/>
      <c r="AO576" s="799"/>
      <c r="AP576" s="799"/>
      <c r="AQ576" s="799"/>
      <c r="AR576" s="799"/>
      <c r="AS576" s="799"/>
      <c r="AT576" s="799"/>
      <c r="AU576" s="799"/>
      <c r="AV576" s="799"/>
      <c r="AW576" s="799"/>
      <c r="AX576" s="799"/>
      <c r="AY576" s="799"/>
      <c r="AZ576" s="799"/>
      <c r="BA576" s="799"/>
      <c r="BB576" s="799"/>
      <c r="BC576" s="799"/>
      <c r="BD576" s="799"/>
      <c r="BE576" s="799"/>
      <c r="BF576" s="799"/>
      <c r="BG576" s="799"/>
    </row>
    <row r="577">
      <c r="H577" s="799"/>
      <c r="I577" s="799"/>
      <c r="J577" s="799"/>
      <c r="K577" s="799"/>
      <c r="L577" s="799"/>
      <c r="M577" s="799"/>
      <c r="N577" s="799"/>
      <c r="O577" s="799"/>
      <c r="P577" s="799"/>
      <c r="Q577" s="799"/>
      <c r="R577" s="799"/>
      <c r="S577" s="799"/>
      <c r="T577" s="799"/>
      <c r="U577" s="799"/>
      <c r="V577" s="799"/>
      <c r="W577" s="799"/>
      <c r="X577" s="799"/>
      <c r="Y577" s="799"/>
      <c r="Z577" s="799"/>
      <c r="AA577" s="799"/>
      <c r="AB577" s="799"/>
      <c r="AC577" s="799"/>
      <c r="AD577" s="799"/>
      <c r="AE577" s="799"/>
      <c r="AF577" s="799"/>
      <c r="AG577" s="799"/>
      <c r="AH577" s="799"/>
      <c r="AI577" s="799"/>
      <c r="AJ577" s="799"/>
      <c r="AK577" s="799"/>
      <c r="AL577" s="799"/>
      <c r="AM577" s="799"/>
      <c r="AN577" s="799"/>
      <c r="AO577" s="799"/>
      <c r="AP577" s="799"/>
      <c r="AQ577" s="799"/>
      <c r="AR577" s="799"/>
      <c r="AS577" s="799"/>
      <c r="AT577" s="799"/>
      <c r="AU577" s="799"/>
      <c r="AV577" s="799"/>
      <c r="AW577" s="799"/>
      <c r="AX577" s="799"/>
      <c r="AY577" s="799"/>
      <c r="AZ577" s="799"/>
      <c r="BA577" s="799"/>
      <c r="BB577" s="799"/>
      <c r="BC577" s="799"/>
      <c r="BD577" s="799"/>
      <c r="BE577" s="799"/>
      <c r="BF577" s="799"/>
      <c r="BG577" s="799"/>
    </row>
    <row r="578">
      <c r="H578" s="799"/>
      <c r="I578" s="799"/>
      <c r="J578" s="799"/>
      <c r="K578" s="799"/>
      <c r="L578" s="799"/>
      <c r="M578" s="799"/>
      <c r="N578" s="799"/>
      <c r="O578" s="799"/>
      <c r="P578" s="799"/>
      <c r="Q578" s="799"/>
      <c r="R578" s="799"/>
      <c r="S578" s="799"/>
      <c r="T578" s="799"/>
      <c r="U578" s="799"/>
      <c r="V578" s="799"/>
      <c r="W578" s="799"/>
      <c r="X578" s="799"/>
      <c r="Y578" s="799"/>
      <c r="Z578" s="799"/>
      <c r="AA578" s="799"/>
      <c r="AB578" s="799"/>
      <c r="AC578" s="799"/>
      <c r="AD578" s="799"/>
      <c r="AE578" s="799"/>
      <c r="AF578" s="799"/>
      <c r="AG578" s="799"/>
      <c r="AH578" s="799"/>
      <c r="AI578" s="799"/>
      <c r="AJ578" s="799"/>
      <c r="AK578" s="799"/>
      <c r="AL578" s="799"/>
      <c r="AM578" s="799"/>
      <c r="AN578" s="799"/>
      <c r="AO578" s="799"/>
      <c r="AP578" s="799"/>
      <c r="AQ578" s="799"/>
      <c r="AR578" s="799"/>
      <c r="AS578" s="799"/>
      <c r="AT578" s="799"/>
      <c r="AU578" s="799"/>
      <c r="AV578" s="799"/>
      <c r="AW578" s="799"/>
      <c r="AX578" s="799"/>
      <c r="AY578" s="799"/>
      <c r="AZ578" s="799"/>
      <c r="BA578" s="799"/>
      <c r="BB578" s="799"/>
      <c r="BC578" s="799"/>
      <c r="BD578" s="799"/>
      <c r="BE578" s="799"/>
      <c r="BF578" s="799"/>
      <c r="BG578" s="799"/>
    </row>
    <row r="579">
      <c r="H579" s="799"/>
      <c r="I579" s="799"/>
      <c r="J579" s="799"/>
      <c r="K579" s="799"/>
      <c r="L579" s="799"/>
      <c r="M579" s="799"/>
      <c r="N579" s="799"/>
      <c r="O579" s="799"/>
      <c r="P579" s="799"/>
      <c r="Q579" s="799"/>
      <c r="R579" s="799"/>
      <c r="S579" s="799"/>
      <c r="T579" s="799"/>
      <c r="U579" s="799"/>
      <c r="V579" s="799"/>
      <c r="W579" s="799"/>
      <c r="X579" s="799"/>
      <c r="Y579" s="799"/>
      <c r="Z579" s="799"/>
      <c r="AA579" s="799"/>
      <c r="AB579" s="799"/>
      <c r="AC579" s="799"/>
      <c r="AD579" s="799"/>
      <c r="AE579" s="799"/>
      <c r="AF579" s="799"/>
      <c r="AG579" s="799"/>
      <c r="AH579" s="799"/>
      <c r="AI579" s="799"/>
      <c r="AJ579" s="799"/>
      <c r="AK579" s="799"/>
      <c r="AL579" s="799"/>
      <c r="AM579" s="799"/>
      <c r="AN579" s="799"/>
      <c r="AO579" s="799"/>
      <c r="AP579" s="799"/>
      <c r="AQ579" s="799"/>
      <c r="AR579" s="799"/>
      <c r="AS579" s="799"/>
      <c r="AT579" s="799"/>
      <c r="AU579" s="799"/>
      <c r="AV579" s="799"/>
      <c r="AW579" s="799"/>
      <c r="AX579" s="799"/>
      <c r="AY579" s="799"/>
      <c r="AZ579" s="799"/>
      <c r="BA579" s="799"/>
      <c r="BB579" s="799"/>
      <c r="BC579" s="799"/>
      <c r="BD579" s="799"/>
      <c r="BE579" s="799"/>
      <c r="BF579" s="799"/>
      <c r="BG579" s="799"/>
    </row>
    <row r="580">
      <c r="H580" s="799"/>
      <c r="I580" s="799"/>
      <c r="J580" s="799"/>
      <c r="K580" s="799"/>
      <c r="L580" s="799"/>
      <c r="M580" s="799"/>
      <c r="N580" s="799"/>
      <c r="O580" s="799"/>
      <c r="P580" s="799"/>
      <c r="Q580" s="799"/>
      <c r="R580" s="799"/>
      <c r="S580" s="799"/>
      <c r="T580" s="799"/>
      <c r="U580" s="799"/>
      <c r="V580" s="799"/>
      <c r="W580" s="799"/>
      <c r="X580" s="799"/>
      <c r="Y580" s="799"/>
      <c r="Z580" s="799"/>
      <c r="AA580" s="799"/>
      <c r="AB580" s="799"/>
      <c r="AC580" s="799"/>
      <c r="AD580" s="799"/>
      <c r="AE580" s="799"/>
      <c r="AF580" s="799"/>
      <c r="AG580" s="799"/>
      <c r="AH580" s="799"/>
      <c r="AI580" s="799"/>
      <c r="AJ580" s="799"/>
      <c r="AK580" s="799"/>
      <c r="AL580" s="799"/>
      <c r="AM580" s="799"/>
      <c r="AN580" s="799"/>
      <c r="AO580" s="799"/>
      <c r="AP580" s="799"/>
      <c r="AQ580" s="799"/>
      <c r="AR580" s="799"/>
      <c r="AS580" s="799"/>
      <c r="AT580" s="799"/>
      <c r="AU580" s="799"/>
      <c r="AV580" s="799"/>
      <c r="AW580" s="799"/>
      <c r="AX580" s="799"/>
      <c r="AY580" s="799"/>
      <c r="AZ580" s="799"/>
      <c r="BA580" s="799"/>
      <c r="BB580" s="799"/>
      <c r="BC580" s="799"/>
      <c r="BD580" s="799"/>
      <c r="BE580" s="799"/>
      <c r="BF580" s="799"/>
      <c r="BG580" s="799"/>
    </row>
    <row r="581">
      <c r="H581" s="799"/>
      <c r="I581" s="799"/>
      <c r="J581" s="799"/>
      <c r="K581" s="799"/>
      <c r="L581" s="799"/>
      <c r="M581" s="799"/>
      <c r="N581" s="799"/>
      <c r="O581" s="799"/>
      <c r="P581" s="799"/>
      <c r="Q581" s="799"/>
      <c r="R581" s="799"/>
      <c r="S581" s="799"/>
      <c r="T581" s="799"/>
      <c r="U581" s="799"/>
      <c r="V581" s="799"/>
      <c r="W581" s="799"/>
      <c r="X581" s="799"/>
      <c r="Y581" s="799"/>
      <c r="Z581" s="799"/>
      <c r="AA581" s="799"/>
      <c r="AB581" s="799"/>
      <c r="AC581" s="799"/>
      <c r="AD581" s="799"/>
      <c r="AE581" s="799"/>
      <c r="AF581" s="799"/>
      <c r="AG581" s="799"/>
      <c r="AH581" s="799"/>
      <c r="AI581" s="799"/>
      <c r="AJ581" s="799"/>
      <c r="AK581" s="799"/>
      <c r="AL581" s="799"/>
      <c r="AM581" s="799"/>
      <c r="AN581" s="799"/>
      <c r="AO581" s="799"/>
      <c r="AP581" s="799"/>
      <c r="AQ581" s="799"/>
      <c r="AR581" s="799"/>
      <c r="AS581" s="799"/>
      <c r="AT581" s="799"/>
      <c r="AU581" s="799"/>
      <c r="AV581" s="799"/>
      <c r="AW581" s="799"/>
      <c r="AX581" s="799"/>
      <c r="AY581" s="799"/>
      <c r="AZ581" s="799"/>
      <c r="BA581" s="799"/>
      <c r="BB581" s="799"/>
      <c r="BC581" s="799"/>
      <c r="BD581" s="799"/>
      <c r="BE581" s="799"/>
      <c r="BF581" s="799"/>
      <c r="BG581" s="799"/>
    </row>
    <row r="582">
      <c r="H582" s="799"/>
      <c r="I582" s="799"/>
      <c r="J582" s="799"/>
      <c r="K582" s="799"/>
      <c r="L582" s="799"/>
      <c r="M582" s="799"/>
      <c r="N582" s="799"/>
      <c r="O582" s="799"/>
      <c r="P582" s="799"/>
      <c r="Q582" s="799"/>
      <c r="R582" s="799"/>
      <c r="S582" s="799"/>
      <c r="T582" s="799"/>
      <c r="U582" s="799"/>
      <c r="V582" s="799"/>
      <c r="W582" s="799"/>
      <c r="X582" s="799"/>
      <c r="Y582" s="799"/>
      <c r="Z582" s="799"/>
      <c r="AA582" s="799"/>
      <c r="AB582" s="799"/>
      <c r="AC582" s="799"/>
      <c r="AD582" s="799"/>
      <c r="AE582" s="799"/>
      <c r="AF582" s="799"/>
      <c r="AG582" s="799"/>
      <c r="AH582" s="799"/>
      <c r="AI582" s="799"/>
      <c r="AJ582" s="799"/>
      <c r="AK582" s="799"/>
      <c r="AL582" s="799"/>
      <c r="AM582" s="799"/>
      <c r="AN582" s="799"/>
      <c r="AO582" s="799"/>
      <c r="AP582" s="799"/>
      <c r="AQ582" s="799"/>
      <c r="AR582" s="799"/>
      <c r="AS582" s="799"/>
      <c r="AT582" s="799"/>
      <c r="AU582" s="799"/>
      <c r="AV582" s="799"/>
      <c r="AW582" s="799"/>
      <c r="AX582" s="799"/>
      <c r="AY582" s="799"/>
      <c r="AZ582" s="799"/>
      <c r="BA582" s="799"/>
      <c r="BB582" s="799"/>
      <c r="BC582" s="799"/>
      <c r="BD582" s="799"/>
      <c r="BE582" s="799"/>
      <c r="BF582" s="799"/>
      <c r="BG582" s="799"/>
    </row>
    <row r="583">
      <c r="H583" s="799"/>
      <c r="I583" s="799"/>
      <c r="J583" s="799"/>
      <c r="K583" s="799"/>
      <c r="L583" s="799"/>
      <c r="M583" s="799"/>
      <c r="N583" s="799"/>
      <c r="O583" s="799"/>
      <c r="P583" s="799"/>
      <c r="Q583" s="799"/>
      <c r="R583" s="799"/>
      <c r="S583" s="799"/>
      <c r="T583" s="799"/>
      <c r="U583" s="799"/>
      <c r="V583" s="799"/>
      <c r="W583" s="799"/>
      <c r="X583" s="799"/>
      <c r="Y583" s="799"/>
      <c r="Z583" s="799"/>
      <c r="AA583" s="799"/>
      <c r="AB583" s="799"/>
      <c r="AC583" s="799"/>
      <c r="AD583" s="799"/>
      <c r="AE583" s="799"/>
      <c r="AF583" s="799"/>
      <c r="AG583" s="799"/>
      <c r="AH583" s="799"/>
      <c r="AI583" s="799"/>
      <c r="AJ583" s="799"/>
      <c r="AK583" s="799"/>
      <c r="AL583" s="799"/>
      <c r="AM583" s="799"/>
      <c r="AN583" s="799"/>
      <c r="AO583" s="799"/>
      <c r="AP583" s="799"/>
      <c r="AQ583" s="799"/>
      <c r="AR583" s="799"/>
      <c r="AS583" s="799"/>
      <c r="AT583" s="799"/>
      <c r="AU583" s="799"/>
      <c r="AV583" s="799"/>
      <c r="AW583" s="799"/>
      <c r="AX583" s="799"/>
      <c r="AY583" s="799"/>
      <c r="AZ583" s="799"/>
      <c r="BA583" s="799"/>
      <c r="BB583" s="799"/>
      <c r="BC583" s="799"/>
      <c r="BD583" s="799"/>
      <c r="BE583" s="799"/>
      <c r="BF583" s="799"/>
      <c r="BG583" s="799"/>
    </row>
    <row r="584">
      <c r="H584" s="799"/>
      <c r="I584" s="799"/>
      <c r="J584" s="799"/>
      <c r="K584" s="799"/>
      <c r="L584" s="799"/>
      <c r="M584" s="799"/>
      <c r="N584" s="799"/>
      <c r="O584" s="799"/>
      <c r="P584" s="799"/>
      <c r="Q584" s="799"/>
      <c r="R584" s="799"/>
      <c r="S584" s="799"/>
      <c r="T584" s="799"/>
      <c r="U584" s="799"/>
      <c r="V584" s="799"/>
      <c r="W584" s="799"/>
      <c r="X584" s="799"/>
      <c r="Y584" s="799"/>
      <c r="Z584" s="799"/>
      <c r="AA584" s="799"/>
      <c r="AB584" s="799"/>
      <c r="AC584" s="799"/>
      <c r="AD584" s="799"/>
      <c r="AE584" s="799"/>
      <c r="AF584" s="799"/>
      <c r="AG584" s="799"/>
      <c r="AH584" s="799"/>
      <c r="AI584" s="799"/>
      <c r="AJ584" s="799"/>
      <c r="AK584" s="799"/>
      <c r="AL584" s="799"/>
      <c r="AM584" s="799"/>
      <c r="AN584" s="799"/>
      <c r="AO584" s="799"/>
      <c r="AP584" s="799"/>
      <c r="AQ584" s="799"/>
      <c r="AR584" s="799"/>
      <c r="AS584" s="799"/>
      <c r="AT584" s="799"/>
      <c r="AU584" s="799"/>
      <c r="AV584" s="799"/>
      <c r="AW584" s="799"/>
      <c r="AX584" s="799"/>
      <c r="AY584" s="799"/>
      <c r="AZ584" s="799"/>
      <c r="BA584" s="799"/>
      <c r="BB584" s="799"/>
      <c r="BC584" s="799"/>
      <c r="BD584" s="799"/>
      <c r="BE584" s="799"/>
      <c r="BF584" s="799"/>
      <c r="BG584" s="799"/>
    </row>
    <row r="585">
      <c r="H585" s="799"/>
      <c r="I585" s="799"/>
      <c r="J585" s="799"/>
      <c r="K585" s="799"/>
      <c r="L585" s="799"/>
      <c r="M585" s="799"/>
      <c r="N585" s="799"/>
      <c r="O585" s="799"/>
      <c r="P585" s="799"/>
      <c r="Q585" s="799"/>
      <c r="R585" s="799"/>
      <c r="S585" s="799"/>
      <c r="T585" s="799"/>
      <c r="U585" s="799"/>
      <c r="V585" s="799"/>
      <c r="W585" s="799"/>
      <c r="X585" s="799"/>
      <c r="Y585" s="799"/>
      <c r="Z585" s="799"/>
      <c r="AA585" s="799"/>
      <c r="AB585" s="799"/>
      <c r="AC585" s="799"/>
      <c r="AD585" s="799"/>
      <c r="AE585" s="799"/>
      <c r="AF585" s="799"/>
      <c r="AG585" s="799"/>
      <c r="AH585" s="799"/>
      <c r="AI585" s="799"/>
      <c r="AJ585" s="799"/>
      <c r="AK585" s="799"/>
      <c r="AL585" s="799"/>
      <c r="AM585" s="799"/>
      <c r="AN585" s="799"/>
      <c r="AO585" s="799"/>
      <c r="AP585" s="799"/>
      <c r="AQ585" s="799"/>
      <c r="AR585" s="799"/>
      <c r="AS585" s="799"/>
      <c r="AT585" s="799"/>
      <c r="AU585" s="799"/>
      <c r="AV585" s="799"/>
      <c r="AW585" s="799"/>
      <c r="AX585" s="799"/>
      <c r="AY585" s="799"/>
      <c r="AZ585" s="799"/>
      <c r="BA585" s="799"/>
      <c r="BB585" s="799"/>
      <c r="BC585" s="799"/>
      <c r="BD585" s="799"/>
      <c r="BE585" s="799"/>
      <c r="BF585" s="799"/>
      <c r="BG585" s="799"/>
    </row>
    <row r="586">
      <c r="H586" s="799"/>
      <c r="I586" s="799"/>
      <c r="J586" s="799"/>
      <c r="K586" s="799"/>
      <c r="L586" s="799"/>
      <c r="M586" s="799"/>
      <c r="N586" s="799"/>
      <c r="O586" s="799"/>
      <c r="P586" s="799"/>
      <c r="Q586" s="799"/>
      <c r="R586" s="799"/>
      <c r="S586" s="799"/>
      <c r="T586" s="799"/>
      <c r="U586" s="799"/>
      <c r="V586" s="799"/>
      <c r="W586" s="799"/>
      <c r="X586" s="799"/>
      <c r="Y586" s="799"/>
      <c r="Z586" s="799"/>
      <c r="AA586" s="799"/>
      <c r="AB586" s="799"/>
      <c r="AC586" s="799"/>
      <c r="AD586" s="799"/>
      <c r="AE586" s="799"/>
      <c r="AF586" s="799"/>
      <c r="AG586" s="799"/>
      <c r="AH586" s="799"/>
      <c r="AI586" s="799"/>
      <c r="AJ586" s="799"/>
      <c r="AK586" s="799"/>
      <c r="AL586" s="799"/>
      <c r="AM586" s="799"/>
      <c r="AN586" s="799"/>
      <c r="AO586" s="799"/>
      <c r="AP586" s="799"/>
      <c r="AQ586" s="799"/>
      <c r="AR586" s="799"/>
      <c r="AS586" s="799"/>
      <c r="AT586" s="799"/>
      <c r="AU586" s="799"/>
      <c r="AV586" s="799"/>
      <c r="AW586" s="799"/>
      <c r="AX586" s="799"/>
      <c r="AY586" s="799"/>
      <c r="AZ586" s="799"/>
      <c r="BA586" s="799"/>
      <c r="BB586" s="799"/>
      <c r="BC586" s="799"/>
      <c r="BD586" s="799"/>
      <c r="BE586" s="799"/>
      <c r="BF586" s="799"/>
      <c r="BG586" s="799"/>
    </row>
    <row r="587">
      <c r="H587" s="799"/>
      <c r="I587" s="799"/>
      <c r="J587" s="799"/>
      <c r="K587" s="799"/>
      <c r="L587" s="799"/>
      <c r="M587" s="799"/>
      <c r="N587" s="799"/>
      <c r="O587" s="799"/>
      <c r="P587" s="799"/>
      <c r="Q587" s="799"/>
      <c r="R587" s="799"/>
      <c r="S587" s="799"/>
      <c r="T587" s="799"/>
      <c r="U587" s="799"/>
      <c r="V587" s="799"/>
      <c r="W587" s="799"/>
      <c r="X587" s="799"/>
      <c r="Y587" s="799"/>
      <c r="Z587" s="799"/>
      <c r="AA587" s="799"/>
      <c r="AB587" s="799"/>
      <c r="AC587" s="799"/>
      <c r="AD587" s="799"/>
      <c r="AE587" s="799"/>
      <c r="AF587" s="799"/>
      <c r="AG587" s="799"/>
      <c r="AH587" s="799"/>
      <c r="AI587" s="799"/>
      <c r="AJ587" s="799"/>
      <c r="AK587" s="799"/>
      <c r="AL587" s="799"/>
      <c r="AM587" s="799"/>
      <c r="AN587" s="799"/>
      <c r="AO587" s="799"/>
      <c r="AP587" s="799"/>
      <c r="AQ587" s="799"/>
      <c r="AR587" s="799"/>
      <c r="AS587" s="799"/>
      <c r="AT587" s="799"/>
      <c r="AU587" s="799"/>
      <c r="AV587" s="799"/>
      <c r="AW587" s="799"/>
      <c r="AX587" s="799"/>
      <c r="AY587" s="799"/>
      <c r="AZ587" s="799"/>
      <c r="BA587" s="799"/>
      <c r="BB587" s="799"/>
      <c r="BC587" s="799"/>
      <c r="BD587" s="799"/>
      <c r="BE587" s="799"/>
      <c r="BF587" s="799"/>
      <c r="BG587" s="799"/>
    </row>
    <row r="588">
      <c r="H588" s="799"/>
      <c r="I588" s="799"/>
      <c r="J588" s="799"/>
      <c r="K588" s="799"/>
      <c r="L588" s="799"/>
      <c r="M588" s="799"/>
      <c r="N588" s="799"/>
      <c r="O588" s="799"/>
      <c r="P588" s="799"/>
      <c r="Q588" s="799"/>
      <c r="R588" s="799"/>
      <c r="S588" s="799"/>
      <c r="T588" s="799"/>
      <c r="U588" s="799"/>
      <c r="V588" s="799"/>
      <c r="W588" s="799"/>
      <c r="X588" s="799"/>
      <c r="Y588" s="799"/>
      <c r="Z588" s="799"/>
      <c r="AA588" s="799"/>
      <c r="AB588" s="799"/>
      <c r="AC588" s="799"/>
      <c r="AD588" s="799"/>
      <c r="AE588" s="799"/>
      <c r="AF588" s="799"/>
      <c r="AG588" s="799"/>
      <c r="AH588" s="799"/>
      <c r="AI588" s="799"/>
      <c r="AJ588" s="799"/>
      <c r="AK588" s="799"/>
      <c r="AL588" s="799"/>
      <c r="AM588" s="799"/>
      <c r="AN588" s="799"/>
      <c r="AO588" s="799"/>
      <c r="AP588" s="799"/>
      <c r="AQ588" s="799"/>
      <c r="AR588" s="799"/>
      <c r="AS588" s="799"/>
      <c r="AT588" s="799"/>
      <c r="AU588" s="799"/>
      <c r="AV588" s="799"/>
      <c r="AW588" s="799"/>
      <c r="AX588" s="799"/>
      <c r="AY588" s="799"/>
      <c r="AZ588" s="799"/>
      <c r="BA588" s="799"/>
      <c r="BB588" s="799"/>
      <c r="BC588" s="799"/>
      <c r="BD588" s="799"/>
      <c r="BE588" s="799"/>
      <c r="BF588" s="799"/>
      <c r="BG588" s="799"/>
    </row>
    <row r="589">
      <c r="H589" s="799"/>
      <c r="I589" s="799"/>
      <c r="J589" s="799"/>
      <c r="K589" s="799"/>
      <c r="L589" s="799"/>
      <c r="M589" s="799"/>
      <c r="N589" s="799"/>
      <c r="O589" s="799"/>
      <c r="P589" s="799"/>
      <c r="Q589" s="799"/>
      <c r="R589" s="799"/>
      <c r="S589" s="799"/>
      <c r="T589" s="799"/>
      <c r="U589" s="799"/>
      <c r="V589" s="799"/>
      <c r="W589" s="799"/>
      <c r="X589" s="799"/>
      <c r="Y589" s="799"/>
      <c r="Z589" s="799"/>
      <c r="AA589" s="799"/>
      <c r="AB589" s="799"/>
      <c r="AC589" s="799"/>
      <c r="AD589" s="799"/>
      <c r="AE589" s="799"/>
      <c r="AF589" s="799"/>
      <c r="AG589" s="799"/>
      <c r="AH589" s="799"/>
      <c r="AI589" s="799"/>
      <c r="AJ589" s="799"/>
      <c r="AK589" s="799"/>
      <c r="AL589" s="799"/>
      <c r="AM589" s="799"/>
      <c r="AN589" s="799"/>
      <c r="AO589" s="799"/>
      <c r="AP589" s="799"/>
      <c r="AQ589" s="799"/>
      <c r="AR589" s="799"/>
      <c r="AS589" s="799"/>
      <c r="AT589" s="799"/>
      <c r="AU589" s="799"/>
      <c r="AV589" s="799"/>
      <c r="AW589" s="799"/>
      <c r="AX589" s="799"/>
      <c r="AY589" s="799"/>
      <c r="AZ589" s="799"/>
      <c r="BA589" s="799"/>
      <c r="BB589" s="799"/>
      <c r="BC589" s="799"/>
      <c r="BD589" s="799"/>
      <c r="BE589" s="799"/>
      <c r="BF589" s="799"/>
      <c r="BG589" s="799"/>
    </row>
    <row r="590">
      <c r="H590" s="799"/>
      <c r="I590" s="799"/>
      <c r="J590" s="799"/>
      <c r="K590" s="799"/>
      <c r="L590" s="799"/>
      <c r="M590" s="799"/>
      <c r="N590" s="799"/>
      <c r="O590" s="799"/>
      <c r="P590" s="799"/>
      <c r="Q590" s="799"/>
      <c r="R590" s="799"/>
      <c r="S590" s="799"/>
      <c r="T590" s="799"/>
      <c r="U590" s="799"/>
      <c r="V590" s="799"/>
      <c r="W590" s="799"/>
      <c r="X590" s="799"/>
      <c r="Y590" s="799"/>
      <c r="Z590" s="799"/>
      <c r="AA590" s="799"/>
      <c r="AB590" s="799"/>
      <c r="AC590" s="799"/>
      <c r="AD590" s="799"/>
      <c r="AE590" s="799"/>
      <c r="AF590" s="799"/>
      <c r="AG590" s="799"/>
      <c r="AH590" s="799"/>
      <c r="AI590" s="799"/>
      <c r="AJ590" s="799"/>
      <c r="AK590" s="799"/>
      <c r="AL590" s="799"/>
      <c r="AM590" s="799"/>
      <c r="AN590" s="799"/>
      <c r="AO590" s="799"/>
      <c r="AP590" s="799"/>
      <c r="AQ590" s="799"/>
      <c r="AR590" s="799"/>
      <c r="AS590" s="799"/>
      <c r="AT590" s="799"/>
      <c r="AU590" s="799"/>
      <c r="AV590" s="799"/>
      <c r="AW590" s="799"/>
      <c r="AX590" s="799"/>
      <c r="AY590" s="799"/>
      <c r="AZ590" s="799"/>
      <c r="BA590" s="799"/>
      <c r="BB590" s="799"/>
      <c r="BC590" s="799"/>
      <c r="BD590" s="799"/>
      <c r="BE590" s="799"/>
      <c r="BF590" s="799"/>
      <c r="BG590" s="799"/>
    </row>
    <row r="591">
      <c r="H591" s="799"/>
      <c r="I591" s="799"/>
      <c r="J591" s="799"/>
      <c r="K591" s="799"/>
      <c r="L591" s="799"/>
      <c r="M591" s="799"/>
      <c r="N591" s="799"/>
      <c r="O591" s="799"/>
      <c r="P591" s="799"/>
      <c r="Q591" s="799"/>
      <c r="R591" s="799"/>
      <c r="S591" s="799"/>
      <c r="T591" s="799"/>
      <c r="U591" s="799"/>
      <c r="V591" s="799"/>
      <c r="W591" s="799"/>
      <c r="X591" s="799"/>
      <c r="Y591" s="799"/>
      <c r="Z591" s="799"/>
      <c r="AA591" s="799"/>
      <c r="AB591" s="799"/>
      <c r="AC591" s="799"/>
      <c r="AD591" s="799"/>
      <c r="AE591" s="799"/>
      <c r="AF591" s="799"/>
      <c r="AG591" s="799"/>
      <c r="AH591" s="799"/>
      <c r="AI591" s="799"/>
      <c r="AJ591" s="799"/>
      <c r="AK591" s="799"/>
      <c r="AL591" s="799"/>
      <c r="AM591" s="799"/>
      <c r="AN591" s="799"/>
      <c r="AO591" s="799"/>
      <c r="AP591" s="799"/>
      <c r="AQ591" s="799"/>
      <c r="AR591" s="799"/>
      <c r="AS591" s="799"/>
      <c r="AT591" s="799"/>
      <c r="AU591" s="799"/>
      <c r="AV591" s="799"/>
      <c r="AW591" s="799"/>
      <c r="AX591" s="799"/>
      <c r="AY591" s="799"/>
      <c r="AZ591" s="799"/>
      <c r="BA591" s="799"/>
      <c r="BB591" s="799"/>
      <c r="BC591" s="799"/>
      <c r="BD591" s="799"/>
      <c r="BE591" s="799"/>
      <c r="BF591" s="799"/>
      <c r="BG591" s="799"/>
    </row>
    <row r="592">
      <c r="H592" s="799"/>
      <c r="I592" s="799"/>
      <c r="J592" s="799"/>
      <c r="K592" s="799"/>
      <c r="L592" s="799"/>
      <c r="M592" s="799"/>
      <c r="N592" s="799"/>
      <c r="O592" s="799"/>
      <c r="P592" s="799"/>
      <c r="Q592" s="799"/>
      <c r="R592" s="799"/>
      <c r="S592" s="799"/>
      <c r="T592" s="799"/>
      <c r="U592" s="799"/>
      <c r="V592" s="799"/>
      <c r="W592" s="799"/>
      <c r="X592" s="799"/>
      <c r="Y592" s="799"/>
      <c r="Z592" s="799"/>
      <c r="AA592" s="799"/>
      <c r="AB592" s="799"/>
      <c r="AC592" s="799"/>
      <c r="AD592" s="799"/>
      <c r="AE592" s="799"/>
      <c r="AF592" s="799"/>
      <c r="AG592" s="799"/>
      <c r="AH592" s="799"/>
      <c r="AI592" s="799"/>
      <c r="AJ592" s="799"/>
      <c r="AK592" s="799"/>
      <c r="AL592" s="799"/>
      <c r="AM592" s="799"/>
      <c r="AN592" s="799"/>
      <c r="AO592" s="799"/>
      <c r="AP592" s="799"/>
      <c r="AQ592" s="799"/>
      <c r="AR592" s="799"/>
      <c r="AS592" s="799"/>
      <c r="AT592" s="799"/>
      <c r="AU592" s="799"/>
      <c r="AV592" s="799"/>
      <c r="AW592" s="799"/>
      <c r="AX592" s="799"/>
      <c r="AY592" s="799"/>
      <c r="AZ592" s="799"/>
      <c r="BA592" s="799"/>
      <c r="BB592" s="799"/>
      <c r="BC592" s="799"/>
      <c r="BD592" s="799"/>
      <c r="BE592" s="799"/>
      <c r="BF592" s="799"/>
      <c r="BG592" s="799"/>
    </row>
    <row r="593">
      <c r="H593" s="799"/>
      <c r="I593" s="799"/>
      <c r="J593" s="799"/>
      <c r="K593" s="799"/>
      <c r="L593" s="799"/>
      <c r="M593" s="799"/>
      <c r="N593" s="799"/>
      <c r="O593" s="799"/>
      <c r="P593" s="799"/>
      <c r="Q593" s="799"/>
      <c r="R593" s="799"/>
      <c r="S593" s="799"/>
      <c r="T593" s="799"/>
      <c r="U593" s="799"/>
      <c r="V593" s="799"/>
      <c r="W593" s="799"/>
      <c r="X593" s="799"/>
      <c r="Y593" s="799"/>
      <c r="Z593" s="799"/>
      <c r="AA593" s="799"/>
      <c r="AB593" s="799"/>
      <c r="AC593" s="799"/>
      <c r="AD593" s="799"/>
      <c r="AE593" s="799"/>
      <c r="AF593" s="799"/>
      <c r="AG593" s="799"/>
      <c r="AH593" s="799"/>
      <c r="AI593" s="799"/>
      <c r="AJ593" s="799"/>
      <c r="AK593" s="799"/>
      <c r="AL593" s="799"/>
      <c r="AM593" s="799"/>
      <c r="AN593" s="799"/>
      <c r="AO593" s="799"/>
      <c r="AP593" s="799"/>
      <c r="AQ593" s="799"/>
      <c r="AR593" s="799"/>
      <c r="AS593" s="799"/>
      <c r="AT593" s="799"/>
      <c r="AU593" s="799"/>
      <c r="AV593" s="799"/>
      <c r="AW593" s="799"/>
      <c r="AX593" s="799"/>
      <c r="AY593" s="799"/>
      <c r="AZ593" s="799"/>
      <c r="BA593" s="799"/>
      <c r="BB593" s="799"/>
      <c r="BC593" s="799"/>
      <c r="BD593" s="799"/>
      <c r="BE593" s="799"/>
      <c r="BF593" s="799"/>
      <c r="BG593" s="799"/>
    </row>
    <row r="594">
      <c r="H594" s="799"/>
      <c r="I594" s="799"/>
      <c r="J594" s="799"/>
      <c r="K594" s="799"/>
      <c r="L594" s="799"/>
      <c r="M594" s="799"/>
      <c r="N594" s="799"/>
      <c r="O594" s="799"/>
      <c r="P594" s="799"/>
      <c r="Q594" s="799"/>
      <c r="R594" s="799"/>
      <c r="S594" s="799"/>
      <c r="T594" s="799"/>
      <c r="U594" s="799"/>
      <c r="V594" s="799"/>
      <c r="W594" s="799"/>
      <c r="X594" s="799"/>
      <c r="Y594" s="799"/>
      <c r="Z594" s="799"/>
      <c r="AA594" s="799"/>
      <c r="AB594" s="799"/>
      <c r="AC594" s="799"/>
      <c r="AD594" s="799"/>
      <c r="AE594" s="799"/>
      <c r="AF594" s="799"/>
      <c r="AG594" s="799"/>
      <c r="AH594" s="799"/>
      <c r="AI594" s="799"/>
      <c r="AJ594" s="799"/>
      <c r="AK594" s="799"/>
      <c r="AL594" s="799"/>
      <c r="AM594" s="799"/>
      <c r="AN594" s="799"/>
      <c r="AO594" s="799"/>
      <c r="AP594" s="799"/>
      <c r="AQ594" s="799"/>
      <c r="AR594" s="799"/>
      <c r="AS594" s="799"/>
      <c r="AT594" s="799"/>
      <c r="AU594" s="799"/>
      <c r="AV594" s="799"/>
      <c r="AW594" s="799"/>
      <c r="AX594" s="799"/>
      <c r="AY594" s="799"/>
      <c r="AZ594" s="799"/>
      <c r="BA594" s="799"/>
      <c r="BB594" s="799"/>
      <c r="BC594" s="799"/>
      <c r="BD594" s="799"/>
      <c r="BE594" s="799"/>
      <c r="BF594" s="799"/>
      <c r="BG594" s="799"/>
    </row>
    <row r="595">
      <c r="H595" s="799"/>
      <c r="I595" s="799"/>
      <c r="J595" s="799"/>
      <c r="K595" s="799"/>
      <c r="L595" s="799"/>
      <c r="M595" s="799"/>
      <c r="N595" s="799"/>
      <c r="O595" s="799"/>
      <c r="P595" s="799"/>
      <c r="Q595" s="799"/>
      <c r="R595" s="799"/>
      <c r="S595" s="799"/>
      <c r="T595" s="799"/>
      <c r="U595" s="799"/>
      <c r="V595" s="799"/>
      <c r="W595" s="799"/>
      <c r="X595" s="799"/>
      <c r="Y595" s="799"/>
      <c r="Z595" s="799"/>
      <c r="AA595" s="799"/>
      <c r="AB595" s="799"/>
      <c r="AC595" s="799"/>
      <c r="AD595" s="799"/>
      <c r="AE595" s="799"/>
      <c r="AF595" s="799"/>
      <c r="AG595" s="799"/>
      <c r="AH595" s="799"/>
      <c r="AI595" s="799"/>
      <c r="AJ595" s="799"/>
      <c r="AK595" s="799"/>
      <c r="AL595" s="799"/>
      <c r="AM595" s="799"/>
      <c r="AN595" s="799"/>
      <c r="AO595" s="799"/>
      <c r="AP595" s="799"/>
      <c r="AQ595" s="799"/>
      <c r="AR595" s="799"/>
      <c r="AS595" s="799"/>
      <c r="AT595" s="799"/>
      <c r="AU595" s="799"/>
      <c r="AV595" s="799"/>
      <c r="AW595" s="799"/>
      <c r="AX595" s="799"/>
      <c r="AY595" s="799"/>
      <c r="AZ595" s="799"/>
      <c r="BA595" s="799"/>
      <c r="BB595" s="799"/>
      <c r="BC595" s="799"/>
      <c r="BD595" s="799"/>
      <c r="BE595" s="799"/>
      <c r="BF595" s="799"/>
      <c r="BG595" s="799"/>
    </row>
    <row r="596">
      <c r="H596" s="799"/>
      <c r="I596" s="799"/>
      <c r="J596" s="799"/>
      <c r="K596" s="799"/>
      <c r="L596" s="799"/>
      <c r="M596" s="799"/>
      <c r="N596" s="799"/>
      <c r="O596" s="799"/>
      <c r="P596" s="799"/>
      <c r="Q596" s="799"/>
      <c r="R596" s="799"/>
      <c r="S596" s="799"/>
      <c r="T596" s="799"/>
      <c r="U596" s="799"/>
      <c r="V596" s="799"/>
      <c r="W596" s="799"/>
      <c r="X596" s="799"/>
      <c r="Y596" s="799"/>
      <c r="Z596" s="799"/>
      <c r="AA596" s="799"/>
      <c r="AB596" s="799"/>
      <c r="AC596" s="799"/>
      <c r="AD596" s="799"/>
      <c r="AE596" s="799"/>
      <c r="AF596" s="799"/>
      <c r="AG596" s="799"/>
      <c r="AH596" s="799"/>
      <c r="AI596" s="799"/>
      <c r="AJ596" s="799"/>
      <c r="AK596" s="799"/>
      <c r="AL596" s="799"/>
      <c r="AM596" s="799"/>
      <c r="AN596" s="799"/>
      <c r="AO596" s="799"/>
      <c r="AP596" s="799"/>
      <c r="AQ596" s="799"/>
      <c r="AR596" s="799"/>
      <c r="AS596" s="799"/>
      <c r="AT596" s="799"/>
      <c r="AU596" s="799"/>
      <c r="AV596" s="799"/>
      <c r="AW596" s="799"/>
      <c r="AX596" s="799"/>
      <c r="AY596" s="799"/>
      <c r="AZ596" s="799"/>
      <c r="BA596" s="799"/>
      <c r="BB596" s="799"/>
      <c r="BC596" s="799"/>
      <c r="BD596" s="799"/>
      <c r="BE596" s="799"/>
      <c r="BF596" s="799"/>
      <c r="BG596" s="799"/>
    </row>
    <row r="597">
      <c r="H597" s="799"/>
      <c r="I597" s="799"/>
      <c r="J597" s="799"/>
      <c r="K597" s="799"/>
      <c r="L597" s="799"/>
      <c r="M597" s="799"/>
      <c r="N597" s="799"/>
      <c r="O597" s="799"/>
      <c r="P597" s="799"/>
      <c r="Q597" s="799"/>
      <c r="R597" s="799"/>
      <c r="S597" s="799"/>
      <c r="T597" s="799"/>
      <c r="U597" s="799"/>
      <c r="V597" s="799"/>
      <c r="W597" s="799"/>
      <c r="X597" s="799"/>
      <c r="Y597" s="799"/>
      <c r="Z597" s="799"/>
      <c r="AA597" s="799"/>
      <c r="AB597" s="799"/>
      <c r="AC597" s="799"/>
      <c r="AD597" s="799"/>
      <c r="AE597" s="799"/>
      <c r="AF597" s="799"/>
      <c r="AG597" s="799"/>
      <c r="AH597" s="799"/>
      <c r="AI597" s="799"/>
      <c r="AJ597" s="799"/>
      <c r="AK597" s="799"/>
      <c r="AL597" s="799"/>
      <c r="AM597" s="799"/>
      <c r="AN597" s="799"/>
      <c r="AO597" s="799"/>
      <c r="AP597" s="799"/>
      <c r="AQ597" s="799"/>
      <c r="AR597" s="799"/>
      <c r="AS597" s="799"/>
      <c r="AT597" s="799"/>
      <c r="AU597" s="799"/>
      <c r="AV597" s="799"/>
      <c r="AW597" s="799"/>
      <c r="AX597" s="799"/>
      <c r="AY597" s="799"/>
      <c r="AZ597" s="799"/>
      <c r="BA597" s="799"/>
      <c r="BB597" s="799"/>
      <c r="BC597" s="799"/>
      <c r="BD597" s="799"/>
      <c r="BE597" s="799"/>
      <c r="BF597" s="799"/>
      <c r="BG597" s="799"/>
    </row>
    <row r="598">
      <c r="H598" s="799"/>
      <c r="I598" s="799"/>
      <c r="J598" s="799"/>
      <c r="K598" s="799"/>
      <c r="L598" s="799"/>
      <c r="M598" s="799"/>
      <c r="N598" s="799"/>
      <c r="O598" s="799"/>
      <c r="P598" s="799"/>
      <c r="Q598" s="799"/>
      <c r="R598" s="799"/>
      <c r="S598" s="799"/>
      <c r="T598" s="799"/>
      <c r="U598" s="799"/>
      <c r="V598" s="799"/>
      <c r="W598" s="799"/>
      <c r="X598" s="799"/>
      <c r="Y598" s="799"/>
      <c r="Z598" s="799"/>
      <c r="AA598" s="799"/>
      <c r="AB598" s="799"/>
      <c r="AC598" s="799"/>
      <c r="AD598" s="799"/>
      <c r="AE598" s="799"/>
      <c r="AF598" s="799"/>
      <c r="AG598" s="799"/>
      <c r="AH598" s="799"/>
      <c r="AI598" s="799"/>
      <c r="AJ598" s="799"/>
      <c r="AK598" s="799"/>
      <c r="AL598" s="799"/>
      <c r="AM598" s="799"/>
      <c r="AN598" s="799"/>
      <c r="AO598" s="799"/>
      <c r="AP598" s="799"/>
      <c r="AQ598" s="799"/>
      <c r="AR598" s="799"/>
      <c r="AS598" s="799"/>
      <c r="AT598" s="799"/>
      <c r="AU598" s="799"/>
      <c r="AV598" s="799"/>
      <c r="AW598" s="799"/>
      <c r="AX598" s="799"/>
      <c r="AY598" s="799"/>
      <c r="AZ598" s="799"/>
      <c r="BA598" s="799"/>
      <c r="BB598" s="799"/>
      <c r="BC598" s="799"/>
      <c r="BD598" s="799"/>
      <c r="BE598" s="799"/>
      <c r="BF598" s="799"/>
      <c r="BG598" s="799"/>
    </row>
    <row r="599">
      <c r="H599" s="799"/>
      <c r="I599" s="799"/>
      <c r="J599" s="799"/>
      <c r="K599" s="799"/>
      <c r="L599" s="799"/>
      <c r="M599" s="799"/>
      <c r="N599" s="799"/>
      <c r="O599" s="799"/>
      <c r="P599" s="799"/>
      <c r="Q599" s="799"/>
      <c r="R599" s="799"/>
      <c r="S599" s="799"/>
      <c r="T599" s="799"/>
      <c r="U599" s="799"/>
      <c r="V599" s="799"/>
      <c r="W599" s="799"/>
      <c r="X599" s="799"/>
      <c r="Y599" s="799"/>
      <c r="Z599" s="799"/>
      <c r="AA599" s="799"/>
      <c r="AB599" s="799"/>
      <c r="AC599" s="799"/>
      <c r="AD599" s="799"/>
      <c r="AE599" s="799"/>
      <c r="AF599" s="799"/>
      <c r="AG599" s="799"/>
      <c r="AH599" s="799"/>
      <c r="AI599" s="799"/>
      <c r="AJ599" s="799"/>
      <c r="AK599" s="799"/>
      <c r="AL599" s="799"/>
      <c r="AM599" s="799"/>
      <c r="AN599" s="799"/>
      <c r="AO599" s="799"/>
      <c r="AP599" s="799"/>
      <c r="AQ599" s="799"/>
      <c r="AR599" s="799"/>
      <c r="AS599" s="799"/>
      <c r="AT599" s="799"/>
      <c r="AU599" s="799"/>
      <c r="AV599" s="799"/>
      <c r="AW599" s="799"/>
      <c r="AX599" s="799"/>
      <c r="AY599" s="799"/>
      <c r="AZ599" s="799"/>
      <c r="BA599" s="799"/>
      <c r="BB599" s="799"/>
      <c r="BC599" s="799"/>
      <c r="BD599" s="799"/>
      <c r="BE599" s="799"/>
      <c r="BF599" s="799"/>
      <c r="BG599" s="799"/>
    </row>
    <row r="600">
      <c r="H600" s="799"/>
      <c r="I600" s="799"/>
      <c r="J600" s="799"/>
      <c r="K600" s="799"/>
      <c r="L600" s="799"/>
      <c r="M600" s="799"/>
      <c r="N600" s="799"/>
      <c r="O600" s="799"/>
      <c r="P600" s="799"/>
      <c r="Q600" s="799"/>
      <c r="R600" s="799"/>
      <c r="S600" s="799"/>
      <c r="T600" s="799"/>
      <c r="U600" s="799"/>
      <c r="V600" s="799"/>
      <c r="W600" s="799"/>
      <c r="X600" s="799"/>
      <c r="Y600" s="799"/>
      <c r="Z600" s="799"/>
      <c r="AA600" s="799"/>
      <c r="AB600" s="799"/>
      <c r="AC600" s="799"/>
      <c r="AD600" s="799"/>
      <c r="AE600" s="799"/>
      <c r="AF600" s="799"/>
      <c r="AG600" s="799"/>
      <c r="AH600" s="799"/>
      <c r="AI600" s="799"/>
      <c r="AJ600" s="799"/>
      <c r="AK600" s="799"/>
      <c r="AL600" s="799"/>
      <c r="AM600" s="799"/>
      <c r="AN600" s="799"/>
      <c r="AO600" s="799"/>
      <c r="AP600" s="799"/>
      <c r="AQ600" s="799"/>
      <c r="AR600" s="799"/>
      <c r="AS600" s="799"/>
      <c r="AT600" s="799"/>
      <c r="AU600" s="799"/>
      <c r="AV600" s="799"/>
      <c r="AW600" s="799"/>
      <c r="AX600" s="799"/>
      <c r="AY600" s="799"/>
      <c r="AZ600" s="799"/>
      <c r="BA600" s="799"/>
      <c r="BB600" s="799"/>
      <c r="BC600" s="799"/>
      <c r="BD600" s="799"/>
      <c r="BE600" s="799"/>
      <c r="BF600" s="799"/>
      <c r="BG600" s="799"/>
    </row>
    <row r="601">
      <c r="H601" s="799"/>
      <c r="I601" s="799"/>
      <c r="J601" s="799"/>
      <c r="K601" s="799"/>
      <c r="L601" s="799"/>
      <c r="M601" s="799"/>
      <c r="N601" s="799"/>
      <c r="O601" s="799"/>
      <c r="P601" s="799"/>
      <c r="Q601" s="799"/>
      <c r="R601" s="799"/>
      <c r="S601" s="799"/>
      <c r="T601" s="799"/>
      <c r="U601" s="799"/>
      <c r="V601" s="799"/>
      <c r="W601" s="799"/>
      <c r="X601" s="799"/>
      <c r="Y601" s="799"/>
      <c r="Z601" s="799"/>
      <c r="AA601" s="799"/>
      <c r="AB601" s="799"/>
      <c r="AC601" s="799"/>
      <c r="AD601" s="799"/>
      <c r="AE601" s="799"/>
      <c r="AF601" s="799"/>
      <c r="AG601" s="799"/>
      <c r="AH601" s="799"/>
      <c r="AI601" s="799"/>
      <c r="AJ601" s="799"/>
      <c r="AK601" s="799"/>
      <c r="AL601" s="799"/>
      <c r="AM601" s="799"/>
      <c r="AN601" s="799"/>
      <c r="AO601" s="799"/>
      <c r="AP601" s="799"/>
      <c r="AQ601" s="799"/>
      <c r="AR601" s="799"/>
      <c r="AS601" s="799"/>
      <c r="AT601" s="799"/>
      <c r="AU601" s="799"/>
      <c r="AV601" s="799"/>
      <c r="AW601" s="799"/>
      <c r="AX601" s="799"/>
      <c r="AY601" s="799"/>
      <c r="AZ601" s="799"/>
      <c r="BA601" s="799"/>
      <c r="BB601" s="799"/>
      <c r="BC601" s="799"/>
      <c r="BD601" s="799"/>
      <c r="BE601" s="799"/>
      <c r="BF601" s="799"/>
      <c r="BG601" s="799"/>
    </row>
    <row r="602">
      <c r="H602" s="799"/>
      <c r="I602" s="799"/>
      <c r="J602" s="799"/>
      <c r="K602" s="799"/>
      <c r="L602" s="799"/>
      <c r="M602" s="799"/>
      <c r="N602" s="799"/>
      <c r="O602" s="799"/>
      <c r="P602" s="799"/>
      <c r="Q602" s="799"/>
      <c r="R602" s="799"/>
      <c r="S602" s="799"/>
      <c r="T602" s="799"/>
      <c r="U602" s="799"/>
      <c r="V602" s="799"/>
      <c r="W602" s="799"/>
      <c r="X602" s="799"/>
      <c r="Y602" s="799"/>
      <c r="Z602" s="799"/>
      <c r="AA602" s="799"/>
      <c r="AB602" s="799"/>
      <c r="AC602" s="799"/>
      <c r="AD602" s="799"/>
      <c r="AE602" s="799"/>
      <c r="AF602" s="799"/>
      <c r="AG602" s="799"/>
      <c r="AH602" s="799"/>
      <c r="AI602" s="799"/>
      <c r="AJ602" s="799"/>
      <c r="AK602" s="799"/>
      <c r="AL602" s="799"/>
      <c r="AM602" s="799"/>
      <c r="AN602" s="799"/>
      <c r="AO602" s="799"/>
      <c r="AP602" s="799"/>
      <c r="AQ602" s="799"/>
      <c r="AR602" s="799"/>
      <c r="AS602" s="799"/>
      <c r="AT602" s="799"/>
      <c r="AU602" s="799"/>
      <c r="AV602" s="799"/>
      <c r="AW602" s="799"/>
      <c r="AX602" s="799"/>
      <c r="AY602" s="799"/>
      <c r="AZ602" s="799"/>
      <c r="BA602" s="799"/>
      <c r="BB602" s="799"/>
      <c r="BC602" s="799"/>
      <c r="BD602" s="799"/>
      <c r="BE602" s="799"/>
      <c r="BF602" s="799"/>
      <c r="BG602" s="799"/>
    </row>
    <row r="603">
      <c r="H603" s="799"/>
      <c r="I603" s="799"/>
      <c r="J603" s="799"/>
      <c r="K603" s="799"/>
      <c r="L603" s="799"/>
      <c r="M603" s="799"/>
      <c r="N603" s="799"/>
      <c r="O603" s="799"/>
      <c r="P603" s="799"/>
      <c r="Q603" s="799"/>
      <c r="R603" s="799"/>
      <c r="S603" s="799"/>
      <c r="T603" s="799"/>
      <c r="U603" s="799"/>
      <c r="V603" s="799"/>
      <c r="W603" s="799"/>
      <c r="X603" s="799"/>
      <c r="Y603" s="799"/>
      <c r="Z603" s="799"/>
      <c r="AA603" s="799"/>
      <c r="AB603" s="799"/>
      <c r="AC603" s="799"/>
      <c r="AD603" s="799"/>
      <c r="AE603" s="799"/>
      <c r="AF603" s="799"/>
      <c r="AG603" s="799"/>
      <c r="AH603" s="799"/>
      <c r="AI603" s="799"/>
      <c r="AJ603" s="799"/>
      <c r="AK603" s="799"/>
      <c r="AL603" s="799"/>
      <c r="AM603" s="799"/>
      <c r="AN603" s="799"/>
      <c r="AO603" s="799"/>
      <c r="AP603" s="799"/>
      <c r="AQ603" s="799"/>
      <c r="AR603" s="799"/>
      <c r="AS603" s="799"/>
      <c r="AT603" s="799"/>
      <c r="AU603" s="799"/>
      <c r="AV603" s="799"/>
      <c r="AW603" s="799"/>
      <c r="AX603" s="799"/>
      <c r="AY603" s="799"/>
      <c r="AZ603" s="799"/>
      <c r="BA603" s="799"/>
      <c r="BB603" s="799"/>
      <c r="BC603" s="799"/>
      <c r="BD603" s="799"/>
      <c r="BE603" s="799"/>
      <c r="BF603" s="799"/>
      <c r="BG603" s="799"/>
    </row>
    <row r="604">
      <c r="H604" s="799"/>
      <c r="I604" s="799"/>
      <c r="J604" s="799"/>
      <c r="K604" s="799"/>
      <c r="L604" s="799"/>
      <c r="M604" s="799"/>
      <c r="N604" s="799"/>
      <c r="O604" s="799"/>
      <c r="P604" s="799"/>
      <c r="Q604" s="799"/>
      <c r="R604" s="799"/>
      <c r="S604" s="799"/>
      <c r="T604" s="799"/>
      <c r="U604" s="799"/>
      <c r="V604" s="799"/>
      <c r="W604" s="799"/>
      <c r="X604" s="799"/>
      <c r="Y604" s="799"/>
      <c r="Z604" s="799"/>
      <c r="AA604" s="799"/>
      <c r="AB604" s="799"/>
      <c r="AC604" s="799"/>
      <c r="AD604" s="799"/>
      <c r="AE604" s="799"/>
      <c r="AF604" s="799"/>
      <c r="AG604" s="799"/>
      <c r="AH604" s="799"/>
      <c r="AI604" s="799"/>
      <c r="AJ604" s="799"/>
      <c r="AK604" s="799"/>
      <c r="AL604" s="799"/>
      <c r="AM604" s="799"/>
      <c r="AN604" s="799"/>
      <c r="AO604" s="799"/>
      <c r="AP604" s="799"/>
      <c r="AQ604" s="799"/>
      <c r="AR604" s="799"/>
      <c r="AS604" s="799"/>
      <c r="AT604" s="799"/>
      <c r="AU604" s="799"/>
      <c r="AV604" s="799"/>
      <c r="AW604" s="799"/>
      <c r="AX604" s="799"/>
      <c r="AY604" s="799"/>
      <c r="AZ604" s="799"/>
      <c r="BA604" s="799"/>
      <c r="BB604" s="799"/>
      <c r="BC604" s="799"/>
      <c r="BD604" s="799"/>
      <c r="BE604" s="799"/>
      <c r="BF604" s="799"/>
      <c r="BG604" s="799"/>
    </row>
    <row r="605">
      <c r="H605" s="799"/>
      <c r="I605" s="799"/>
      <c r="J605" s="799"/>
      <c r="K605" s="799"/>
      <c r="L605" s="799"/>
      <c r="M605" s="799"/>
      <c r="N605" s="799"/>
      <c r="O605" s="799"/>
      <c r="P605" s="799"/>
      <c r="Q605" s="799"/>
      <c r="R605" s="799"/>
      <c r="S605" s="799"/>
      <c r="T605" s="799"/>
      <c r="U605" s="799"/>
      <c r="V605" s="799"/>
      <c r="W605" s="799"/>
      <c r="X605" s="799"/>
      <c r="Y605" s="799"/>
      <c r="Z605" s="799"/>
      <c r="AA605" s="799"/>
      <c r="AB605" s="799"/>
      <c r="AC605" s="799"/>
      <c r="AD605" s="799"/>
      <c r="AE605" s="799"/>
      <c r="AF605" s="799"/>
      <c r="AG605" s="799"/>
      <c r="AH605" s="799"/>
      <c r="AI605" s="799"/>
      <c r="AJ605" s="799"/>
      <c r="AK605" s="799"/>
      <c r="AL605" s="799"/>
      <c r="AM605" s="799"/>
      <c r="AN605" s="799"/>
      <c r="AO605" s="799"/>
      <c r="AP605" s="799"/>
      <c r="AQ605" s="799"/>
      <c r="AR605" s="799"/>
      <c r="AS605" s="799"/>
      <c r="AT605" s="799"/>
      <c r="AU605" s="799"/>
      <c r="AV605" s="799"/>
      <c r="AW605" s="799"/>
      <c r="AX605" s="799"/>
      <c r="AY605" s="799"/>
      <c r="AZ605" s="799"/>
      <c r="BA605" s="799"/>
      <c r="BB605" s="799"/>
      <c r="BC605" s="799"/>
      <c r="BD605" s="799"/>
      <c r="BE605" s="799"/>
      <c r="BF605" s="799"/>
      <c r="BG605" s="799"/>
    </row>
    <row r="606">
      <c r="H606" s="799"/>
      <c r="I606" s="799"/>
      <c r="J606" s="799"/>
      <c r="K606" s="799"/>
      <c r="L606" s="799"/>
      <c r="M606" s="799"/>
      <c r="N606" s="799"/>
      <c r="O606" s="799"/>
      <c r="P606" s="799"/>
      <c r="Q606" s="799"/>
      <c r="R606" s="799"/>
      <c r="S606" s="799"/>
      <c r="T606" s="799"/>
      <c r="U606" s="799"/>
      <c r="V606" s="799"/>
      <c r="W606" s="799"/>
      <c r="X606" s="799"/>
      <c r="Y606" s="799"/>
      <c r="Z606" s="799"/>
      <c r="AA606" s="799"/>
      <c r="AB606" s="799"/>
      <c r="AC606" s="799"/>
      <c r="AD606" s="799"/>
      <c r="AE606" s="799"/>
      <c r="AF606" s="799"/>
      <c r="AG606" s="799"/>
      <c r="AH606" s="799"/>
      <c r="AI606" s="799"/>
      <c r="AJ606" s="799"/>
      <c r="AK606" s="799"/>
      <c r="AL606" s="799"/>
      <c r="AM606" s="799"/>
      <c r="AN606" s="799"/>
      <c r="AO606" s="799"/>
      <c r="AP606" s="799"/>
      <c r="AQ606" s="799"/>
      <c r="AR606" s="799"/>
      <c r="AS606" s="799"/>
      <c r="AT606" s="799"/>
      <c r="AU606" s="799"/>
      <c r="AV606" s="799"/>
      <c r="AW606" s="799"/>
      <c r="AX606" s="799"/>
      <c r="AY606" s="799"/>
      <c r="AZ606" s="799"/>
      <c r="BA606" s="799"/>
      <c r="BB606" s="799"/>
      <c r="BC606" s="799"/>
      <c r="BD606" s="799"/>
      <c r="BE606" s="799"/>
      <c r="BF606" s="799"/>
      <c r="BG606" s="799"/>
    </row>
    <row r="607">
      <c r="H607" s="799"/>
      <c r="I607" s="799"/>
      <c r="J607" s="799"/>
      <c r="K607" s="799"/>
      <c r="L607" s="799"/>
      <c r="M607" s="799"/>
      <c r="N607" s="799"/>
      <c r="O607" s="799"/>
      <c r="P607" s="799"/>
      <c r="Q607" s="799"/>
      <c r="R607" s="799"/>
      <c r="S607" s="799"/>
      <c r="T607" s="799"/>
      <c r="U607" s="799"/>
      <c r="V607" s="799"/>
      <c r="W607" s="799"/>
      <c r="X607" s="799"/>
      <c r="Y607" s="799"/>
      <c r="Z607" s="799"/>
      <c r="AA607" s="799"/>
      <c r="AB607" s="799"/>
      <c r="AC607" s="799"/>
      <c r="AD607" s="799"/>
      <c r="AE607" s="799"/>
      <c r="AF607" s="799"/>
      <c r="AG607" s="799"/>
      <c r="AH607" s="799"/>
      <c r="AI607" s="799"/>
      <c r="AJ607" s="799"/>
      <c r="AK607" s="799"/>
      <c r="AL607" s="799"/>
      <c r="AM607" s="799"/>
      <c r="AN607" s="799"/>
      <c r="AO607" s="799"/>
      <c r="AP607" s="799"/>
      <c r="AQ607" s="799"/>
      <c r="AR607" s="799"/>
      <c r="AS607" s="799"/>
      <c r="AT607" s="799"/>
      <c r="AU607" s="799"/>
      <c r="AV607" s="799"/>
      <c r="AW607" s="799"/>
      <c r="AX607" s="799"/>
      <c r="AY607" s="799"/>
      <c r="AZ607" s="799"/>
      <c r="BA607" s="799"/>
      <c r="BB607" s="799"/>
      <c r="BC607" s="799"/>
      <c r="BD607" s="799"/>
      <c r="BE607" s="799"/>
      <c r="BF607" s="799"/>
      <c r="BG607" s="799"/>
    </row>
    <row r="608">
      <c r="H608" s="799"/>
      <c r="I608" s="799"/>
      <c r="J608" s="799"/>
      <c r="K608" s="799"/>
      <c r="L608" s="799"/>
      <c r="M608" s="799"/>
      <c r="N608" s="799"/>
      <c r="O608" s="799"/>
      <c r="P608" s="799"/>
      <c r="Q608" s="799"/>
      <c r="R608" s="799"/>
      <c r="S608" s="799"/>
      <c r="T608" s="799"/>
      <c r="U608" s="799"/>
      <c r="V608" s="799"/>
      <c r="W608" s="799"/>
      <c r="X608" s="799"/>
      <c r="Y608" s="799"/>
      <c r="Z608" s="799"/>
      <c r="AA608" s="799"/>
      <c r="AB608" s="799"/>
      <c r="AC608" s="799"/>
      <c r="AD608" s="799"/>
      <c r="AE608" s="799"/>
      <c r="AF608" s="799"/>
      <c r="AG608" s="799"/>
      <c r="AH608" s="799"/>
      <c r="AI608" s="799"/>
      <c r="AJ608" s="799"/>
      <c r="AK608" s="799"/>
      <c r="AL608" s="799"/>
      <c r="AM608" s="799"/>
      <c r="AN608" s="799"/>
      <c r="AO608" s="799"/>
      <c r="AP608" s="799"/>
      <c r="AQ608" s="799"/>
      <c r="AR608" s="799"/>
      <c r="AS608" s="799"/>
      <c r="AT608" s="799"/>
      <c r="AU608" s="799"/>
      <c r="AV608" s="799"/>
      <c r="AW608" s="799"/>
      <c r="AX608" s="799"/>
      <c r="AY608" s="799"/>
      <c r="AZ608" s="799"/>
      <c r="BA608" s="799"/>
      <c r="BB608" s="799"/>
      <c r="BC608" s="799"/>
      <c r="BD608" s="799"/>
      <c r="BE608" s="799"/>
      <c r="BF608" s="799"/>
      <c r="BG608" s="799"/>
    </row>
    <row r="609">
      <c r="H609" s="799"/>
      <c r="I609" s="799"/>
      <c r="J609" s="799"/>
      <c r="K609" s="799"/>
      <c r="L609" s="799"/>
      <c r="M609" s="799"/>
      <c r="N609" s="799"/>
      <c r="O609" s="799"/>
      <c r="P609" s="799"/>
      <c r="Q609" s="799"/>
      <c r="R609" s="799"/>
      <c r="S609" s="799"/>
      <c r="T609" s="799"/>
      <c r="U609" s="799"/>
      <c r="V609" s="799"/>
      <c r="W609" s="799"/>
      <c r="X609" s="799"/>
      <c r="Y609" s="799"/>
      <c r="Z609" s="799"/>
      <c r="AA609" s="799"/>
      <c r="AB609" s="799"/>
      <c r="AC609" s="799"/>
      <c r="AD609" s="799"/>
      <c r="AE609" s="799"/>
      <c r="AF609" s="799"/>
      <c r="AG609" s="799"/>
      <c r="AH609" s="799"/>
      <c r="AI609" s="799"/>
      <c r="AJ609" s="799"/>
      <c r="AK609" s="799"/>
      <c r="AL609" s="799"/>
      <c r="AM609" s="799"/>
      <c r="AN609" s="799"/>
      <c r="AO609" s="799"/>
      <c r="AP609" s="799"/>
      <c r="AQ609" s="799"/>
      <c r="AR609" s="799"/>
      <c r="AS609" s="799"/>
      <c r="AT609" s="799"/>
      <c r="AU609" s="799"/>
      <c r="AV609" s="799"/>
      <c r="AW609" s="799"/>
      <c r="AX609" s="799"/>
      <c r="AY609" s="799"/>
      <c r="AZ609" s="799"/>
      <c r="BA609" s="799"/>
      <c r="BB609" s="799"/>
      <c r="BC609" s="799"/>
      <c r="BD609" s="799"/>
      <c r="BE609" s="799"/>
      <c r="BF609" s="799"/>
      <c r="BG609" s="799"/>
    </row>
    <row r="610">
      <c r="H610" s="799"/>
      <c r="I610" s="799"/>
      <c r="J610" s="799"/>
      <c r="K610" s="799"/>
      <c r="L610" s="799"/>
      <c r="M610" s="799"/>
      <c r="N610" s="799"/>
      <c r="O610" s="799"/>
      <c r="P610" s="799"/>
      <c r="Q610" s="799"/>
      <c r="R610" s="799"/>
      <c r="S610" s="799"/>
      <c r="T610" s="799"/>
      <c r="U610" s="799"/>
      <c r="V610" s="799"/>
      <c r="W610" s="799"/>
      <c r="X610" s="799"/>
      <c r="Y610" s="799"/>
      <c r="Z610" s="799"/>
      <c r="AA610" s="799"/>
      <c r="AB610" s="799"/>
      <c r="AC610" s="799"/>
      <c r="AD610" s="799"/>
      <c r="AE610" s="799"/>
      <c r="AF610" s="799"/>
      <c r="AG610" s="799"/>
      <c r="AH610" s="799"/>
      <c r="AI610" s="799"/>
      <c r="AJ610" s="799"/>
      <c r="AK610" s="799"/>
      <c r="AL610" s="799"/>
      <c r="AM610" s="799"/>
      <c r="AN610" s="799"/>
      <c r="AO610" s="799"/>
      <c r="AP610" s="799"/>
      <c r="AQ610" s="799"/>
      <c r="AR610" s="799"/>
      <c r="AS610" s="799"/>
      <c r="AT610" s="799"/>
      <c r="AU610" s="799"/>
      <c r="AV610" s="799"/>
      <c r="AW610" s="799"/>
      <c r="AX610" s="799"/>
      <c r="AY610" s="799"/>
      <c r="AZ610" s="799"/>
      <c r="BA610" s="799"/>
      <c r="BB610" s="799"/>
      <c r="BC610" s="799"/>
      <c r="BD610" s="799"/>
      <c r="BE610" s="799"/>
      <c r="BF610" s="799"/>
      <c r="BG610" s="799"/>
    </row>
    <row r="611">
      <c r="H611" s="799"/>
      <c r="I611" s="799"/>
      <c r="J611" s="799"/>
      <c r="K611" s="799"/>
      <c r="L611" s="799"/>
      <c r="M611" s="799"/>
      <c r="N611" s="799"/>
      <c r="O611" s="799"/>
      <c r="P611" s="799"/>
      <c r="Q611" s="799"/>
      <c r="R611" s="799"/>
      <c r="S611" s="799"/>
      <c r="T611" s="799"/>
      <c r="U611" s="799"/>
      <c r="V611" s="799"/>
      <c r="W611" s="799"/>
      <c r="X611" s="799"/>
      <c r="Y611" s="799"/>
      <c r="Z611" s="799"/>
      <c r="AA611" s="799"/>
      <c r="AB611" s="799"/>
      <c r="AC611" s="799"/>
      <c r="AD611" s="799"/>
      <c r="AE611" s="799"/>
      <c r="AF611" s="799"/>
      <c r="AG611" s="799"/>
      <c r="AH611" s="799"/>
      <c r="AI611" s="799"/>
      <c r="AJ611" s="799"/>
      <c r="AK611" s="799"/>
      <c r="AL611" s="799"/>
      <c r="AM611" s="799"/>
      <c r="AN611" s="799"/>
      <c r="AO611" s="799"/>
      <c r="AP611" s="799"/>
      <c r="AQ611" s="799"/>
      <c r="AR611" s="799"/>
      <c r="AS611" s="799"/>
      <c r="AT611" s="799"/>
      <c r="AU611" s="799"/>
      <c r="AV611" s="799"/>
      <c r="AW611" s="799"/>
      <c r="AX611" s="799"/>
      <c r="AY611" s="799"/>
      <c r="AZ611" s="799"/>
      <c r="BA611" s="799"/>
      <c r="BB611" s="799"/>
      <c r="BC611" s="799"/>
      <c r="BD611" s="799"/>
      <c r="BE611" s="799"/>
      <c r="BF611" s="799"/>
      <c r="BG611" s="799"/>
    </row>
    <row r="612">
      <c r="H612" s="799"/>
      <c r="I612" s="799"/>
      <c r="J612" s="799"/>
      <c r="K612" s="799"/>
      <c r="L612" s="799"/>
      <c r="M612" s="799"/>
      <c r="N612" s="799"/>
      <c r="O612" s="799"/>
      <c r="P612" s="799"/>
      <c r="Q612" s="799"/>
      <c r="R612" s="799"/>
      <c r="S612" s="799"/>
      <c r="T612" s="799"/>
      <c r="U612" s="799"/>
      <c r="V612" s="799"/>
      <c r="W612" s="799"/>
      <c r="X612" s="799"/>
      <c r="Y612" s="799"/>
      <c r="Z612" s="799"/>
      <c r="AA612" s="799"/>
      <c r="AB612" s="799"/>
      <c r="AC612" s="799"/>
      <c r="AD612" s="799"/>
      <c r="AE612" s="799"/>
      <c r="AF612" s="799"/>
      <c r="AG612" s="799"/>
      <c r="AH612" s="799"/>
      <c r="AI612" s="799"/>
      <c r="AJ612" s="799"/>
      <c r="AK612" s="799"/>
      <c r="AL612" s="799"/>
      <c r="AM612" s="799"/>
      <c r="AN612" s="799"/>
      <c r="AO612" s="799"/>
      <c r="AP612" s="799"/>
      <c r="AQ612" s="799"/>
      <c r="AR612" s="799"/>
      <c r="AS612" s="799"/>
      <c r="AT612" s="799"/>
      <c r="AU612" s="799"/>
      <c r="AV612" s="799"/>
      <c r="AW612" s="799"/>
      <c r="AX612" s="799"/>
      <c r="AY612" s="799"/>
      <c r="AZ612" s="799"/>
      <c r="BA612" s="799"/>
      <c r="BB612" s="799"/>
      <c r="BC612" s="799"/>
      <c r="BD612" s="799"/>
      <c r="BE612" s="799"/>
      <c r="BF612" s="799"/>
      <c r="BG612" s="799"/>
    </row>
    <row r="613">
      <c r="H613" s="799"/>
      <c r="I613" s="799"/>
      <c r="J613" s="799"/>
      <c r="K613" s="799"/>
      <c r="L613" s="799"/>
      <c r="M613" s="799"/>
      <c r="N613" s="799"/>
      <c r="O613" s="799"/>
      <c r="P613" s="799"/>
      <c r="Q613" s="799"/>
      <c r="R613" s="799"/>
      <c r="S613" s="799"/>
      <c r="T613" s="799"/>
      <c r="U613" s="799"/>
      <c r="V613" s="799"/>
      <c r="W613" s="799"/>
      <c r="X613" s="799"/>
      <c r="Y613" s="799"/>
      <c r="Z613" s="799"/>
      <c r="AA613" s="799"/>
      <c r="AB613" s="799"/>
      <c r="AC613" s="799"/>
      <c r="AD613" s="799"/>
      <c r="AE613" s="799"/>
      <c r="AF613" s="799"/>
      <c r="AG613" s="799"/>
      <c r="AH613" s="799"/>
      <c r="AI613" s="799"/>
      <c r="AJ613" s="799"/>
      <c r="AK613" s="799"/>
      <c r="AL613" s="799"/>
      <c r="AM613" s="799"/>
      <c r="AN613" s="799"/>
      <c r="AO613" s="799"/>
      <c r="AP613" s="799"/>
      <c r="AQ613" s="799"/>
      <c r="AR613" s="799"/>
      <c r="AS613" s="799"/>
      <c r="AT613" s="799"/>
      <c r="AU613" s="799"/>
      <c r="AV613" s="799"/>
      <c r="AW613" s="799"/>
      <c r="AX613" s="799"/>
      <c r="AY613" s="799"/>
      <c r="AZ613" s="799"/>
      <c r="BA613" s="799"/>
      <c r="BB613" s="799"/>
      <c r="BC613" s="799"/>
      <c r="BD613" s="799"/>
      <c r="BE613" s="799"/>
      <c r="BF613" s="799"/>
      <c r="BG613" s="799"/>
    </row>
    <row r="614">
      <c r="H614" s="799"/>
      <c r="I614" s="799"/>
      <c r="J614" s="799"/>
      <c r="K614" s="799"/>
      <c r="L614" s="799"/>
      <c r="M614" s="799"/>
      <c r="N614" s="799"/>
      <c r="O614" s="799"/>
      <c r="P614" s="799"/>
      <c r="Q614" s="799"/>
      <c r="R614" s="799"/>
      <c r="S614" s="799"/>
      <c r="T614" s="799"/>
      <c r="U614" s="799"/>
      <c r="V614" s="799"/>
      <c r="W614" s="799"/>
      <c r="X614" s="799"/>
      <c r="Y614" s="799"/>
      <c r="Z614" s="799"/>
      <c r="AA614" s="799"/>
      <c r="AB614" s="799"/>
      <c r="AC614" s="799"/>
      <c r="AD614" s="799"/>
      <c r="AE614" s="799"/>
      <c r="AF614" s="799"/>
      <c r="AG614" s="799"/>
      <c r="AH614" s="799"/>
      <c r="AI614" s="799"/>
      <c r="AJ614" s="799"/>
      <c r="AK614" s="799"/>
      <c r="AL614" s="799"/>
      <c r="AM614" s="799"/>
      <c r="AN614" s="799"/>
      <c r="AO614" s="799"/>
      <c r="AP614" s="799"/>
      <c r="AQ614" s="799"/>
      <c r="AR614" s="799"/>
      <c r="AS614" s="799"/>
      <c r="AT614" s="799"/>
      <c r="AU614" s="799"/>
      <c r="AV614" s="799"/>
      <c r="AW614" s="799"/>
      <c r="AX614" s="799"/>
      <c r="AY614" s="799"/>
      <c r="AZ614" s="799"/>
      <c r="BA614" s="799"/>
      <c r="BB614" s="799"/>
      <c r="BC614" s="799"/>
      <c r="BD614" s="799"/>
      <c r="BE614" s="799"/>
      <c r="BF614" s="799"/>
      <c r="BG614" s="799"/>
    </row>
    <row r="615">
      <c r="H615" s="799"/>
      <c r="I615" s="799"/>
      <c r="J615" s="799"/>
      <c r="K615" s="799"/>
      <c r="L615" s="799"/>
      <c r="M615" s="799"/>
      <c r="N615" s="799"/>
      <c r="O615" s="799"/>
      <c r="P615" s="799"/>
      <c r="Q615" s="799"/>
      <c r="R615" s="799"/>
      <c r="S615" s="799"/>
      <c r="T615" s="799"/>
      <c r="U615" s="799"/>
      <c r="V615" s="799"/>
      <c r="W615" s="799"/>
      <c r="X615" s="799"/>
      <c r="Y615" s="799"/>
      <c r="Z615" s="799"/>
      <c r="AA615" s="799"/>
      <c r="AB615" s="799"/>
      <c r="AC615" s="799"/>
      <c r="AD615" s="799"/>
      <c r="AE615" s="799"/>
      <c r="AF615" s="799"/>
      <c r="AG615" s="799"/>
      <c r="AH615" s="799"/>
      <c r="AI615" s="799"/>
      <c r="AJ615" s="799"/>
      <c r="AK615" s="799"/>
      <c r="AL615" s="799"/>
      <c r="AM615" s="799"/>
      <c r="AN615" s="799"/>
      <c r="AO615" s="799"/>
      <c r="AP615" s="799"/>
      <c r="AQ615" s="799"/>
      <c r="AR615" s="799"/>
      <c r="AS615" s="799"/>
      <c r="AT615" s="799"/>
      <c r="AU615" s="799"/>
      <c r="AV615" s="799"/>
      <c r="AW615" s="799"/>
      <c r="AX615" s="799"/>
      <c r="AY615" s="799"/>
      <c r="AZ615" s="799"/>
      <c r="BA615" s="799"/>
      <c r="BB615" s="799"/>
      <c r="BC615" s="799"/>
      <c r="BD615" s="799"/>
      <c r="BE615" s="799"/>
      <c r="BF615" s="799"/>
      <c r="BG615" s="799"/>
    </row>
    <row r="616">
      <c r="H616" s="799"/>
      <c r="I616" s="799"/>
      <c r="J616" s="799"/>
      <c r="K616" s="799"/>
      <c r="L616" s="799"/>
      <c r="M616" s="799"/>
      <c r="N616" s="799"/>
      <c r="O616" s="799"/>
      <c r="P616" s="799"/>
      <c r="Q616" s="799"/>
      <c r="R616" s="799"/>
      <c r="S616" s="799"/>
      <c r="T616" s="799"/>
      <c r="U616" s="799"/>
      <c r="V616" s="799"/>
      <c r="W616" s="799"/>
      <c r="X616" s="799"/>
      <c r="Y616" s="799"/>
      <c r="Z616" s="799"/>
      <c r="AA616" s="799"/>
      <c r="AB616" s="799"/>
      <c r="AC616" s="799"/>
      <c r="AD616" s="799"/>
      <c r="AE616" s="799"/>
      <c r="AF616" s="799"/>
      <c r="AG616" s="799"/>
      <c r="AH616" s="799"/>
      <c r="AI616" s="799"/>
      <c r="AJ616" s="799"/>
      <c r="AK616" s="799"/>
      <c r="AL616" s="799"/>
      <c r="AM616" s="799"/>
      <c r="AN616" s="799"/>
      <c r="AO616" s="799"/>
      <c r="AP616" s="799"/>
      <c r="AQ616" s="799"/>
      <c r="AR616" s="799"/>
      <c r="AS616" s="799"/>
      <c r="AT616" s="799"/>
      <c r="AU616" s="799"/>
      <c r="AV616" s="799"/>
      <c r="AW616" s="799"/>
      <c r="AX616" s="799"/>
      <c r="AY616" s="799"/>
      <c r="AZ616" s="799"/>
      <c r="BA616" s="799"/>
      <c r="BB616" s="799"/>
      <c r="BC616" s="799"/>
      <c r="BD616" s="799"/>
      <c r="BE616" s="799"/>
      <c r="BF616" s="799"/>
      <c r="BG616" s="799"/>
    </row>
    <row r="617">
      <c r="H617" s="799"/>
      <c r="I617" s="799"/>
      <c r="J617" s="799"/>
      <c r="K617" s="799"/>
      <c r="L617" s="799"/>
      <c r="M617" s="799"/>
      <c r="N617" s="799"/>
      <c r="O617" s="799"/>
      <c r="P617" s="799"/>
      <c r="Q617" s="799"/>
      <c r="R617" s="799"/>
      <c r="S617" s="799"/>
      <c r="T617" s="799"/>
      <c r="U617" s="799"/>
      <c r="V617" s="799"/>
      <c r="W617" s="799"/>
      <c r="X617" s="799"/>
      <c r="Y617" s="799"/>
      <c r="Z617" s="799"/>
      <c r="AA617" s="799"/>
      <c r="AB617" s="799"/>
      <c r="AC617" s="799"/>
      <c r="AD617" s="799"/>
      <c r="AE617" s="799"/>
      <c r="AF617" s="799"/>
      <c r="AG617" s="799"/>
      <c r="AH617" s="799"/>
      <c r="AI617" s="799"/>
      <c r="AJ617" s="799"/>
      <c r="AK617" s="799"/>
      <c r="AL617" s="799"/>
      <c r="AM617" s="799"/>
      <c r="AN617" s="799"/>
      <c r="AO617" s="799"/>
      <c r="AP617" s="799"/>
      <c r="AQ617" s="799"/>
      <c r="AR617" s="799"/>
      <c r="AS617" s="799"/>
      <c r="AT617" s="799"/>
      <c r="AU617" s="799"/>
      <c r="AV617" s="799"/>
      <c r="AW617" s="799"/>
      <c r="AX617" s="799"/>
      <c r="AY617" s="799"/>
      <c r="AZ617" s="799"/>
      <c r="BA617" s="799"/>
      <c r="BB617" s="799"/>
      <c r="BC617" s="799"/>
      <c r="BD617" s="799"/>
      <c r="BE617" s="799"/>
      <c r="BF617" s="799"/>
      <c r="BG617" s="799"/>
    </row>
    <row r="618">
      <c r="H618" s="799"/>
      <c r="I618" s="799"/>
      <c r="J618" s="799"/>
      <c r="K618" s="799"/>
      <c r="L618" s="799"/>
      <c r="M618" s="799"/>
      <c r="N618" s="799"/>
      <c r="O618" s="799"/>
      <c r="P618" s="799"/>
      <c r="Q618" s="799"/>
      <c r="R618" s="799"/>
      <c r="S618" s="799"/>
      <c r="T618" s="799"/>
      <c r="U618" s="799"/>
      <c r="V618" s="799"/>
      <c r="W618" s="799"/>
      <c r="X618" s="799"/>
      <c r="Y618" s="799"/>
      <c r="Z618" s="799"/>
      <c r="AA618" s="799"/>
      <c r="AB618" s="799"/>
      <c r="AC618" s="799"/>
      <c r="AD618" s="799"/>
      <c r="AE618" s="799"/>
      <c r="AF618" s="799"/>
      <c r="AG618" s="799"/>
      <c r="AH618" s="799"/>
      <c r="AI618" s="799"/>
      <c r="AJ618" s="799"/>
      <c r="AK618" s="799"/>
      <c r="AL618" s="799"/>
      <c r="AM618" s="799"/>
      <c r="AN618" s="799"/>
      <c r="AO618" s="799"/>
      <c r="AP618" s="799"/>
      <c r="AQ618" s="799"/>
      <c r="AR618" s="799"/>
      <c r="AS618" s="799"/>
      <c r="AT618" s="799"/>
      <c r="AU618" s="799"/>
      <c r="AV618" s="799"/>
      <c r="AW618" s="799"/>
      <c r="AX618" s="799"/>
      <c r="AY618" s="799"/>
      <c r="AZ618" s="799"/>
      <c r="BA618" s="799"/>
      <c r="BB618" s="799"/>
      <c r="BC618" s="799"/>
      <c r="BD618" s="799"/>
      <c r="BE618" s="799"/>
      <c r="BF618" s="799"/>
      <c r="BG618" s="799"/>
    </row>
    <row r="619">
      <c r="H619" s="799"/>
      <c r="I619" s="799"/>
      <c r="J619" s="799"/>
      <c r="K619" s="799"/>
      <c r="L619" s="799"/>
      <c r="M619" s="799"/>
      <c r="N619" s="799"/>
      <c r="O619" s="799"/>
      <c r="P619" s="799"/>
      <c r="Q619" s="799"/>
      <c r="R619" s="799"/>
      <c r="S619" s="799"/>
      <c r="T619" s="799"/>
      <c r="U619" s="799"/>
      <c r="V619" s="799"/>
      <c r="W619" s="799"/>
      <c r="X619" s="799"/>
      <c r="Y619" s="799"/>
      <c r="Z619" s="799"/>
      <c r="AA619" s="799"/>
      <c r="AB619" s="799"/>
      <c r="AC619" s="799"/>
      <c r="AD619" s="799"/>
      <c r="AE619" s="799"/>
      <c r="AF619" s="799"/>
      <c r="AG619" s="799"/>
      <c r="AH619" s="799"/>
      <c r="AI619" s="799"/>
      <c r="AJ619" s="799"/>
      <c r="AK619" s="799"/>
      <c r="AL619" s="799"/>
      <c r="AM619" s="799"/>
      <c r="AN619" s="799"/>
      <c r="AO619" s="799"/>
      <c r="AP619" s="799"/>
      <c r="AQ619" s="799"/>
      <c r="AR619" s="799"/>
      <c r="AS619" s="799"/>
      <c r="AT619" s="799"/>
      <c r="AU619" s="799"/>
      <c r="AV619" s="799"/>
      <c r="AW619" s="799"/>
      <c r="AX619" s="799"/>
      <c r="AY619" s="799"/>
      <c r="AZ619" s="799"/>
      <c r="BA619" s="799"/>
      <c r="BB619" s="799"/>
      <c r="BC619" s="799"/>
      <c r="BD619" s="799"/>
      <c r="BE619" s="799"/>
      <c r="BF619" s="799"/>
      <c r="BG619" s="799"/>
    </row>
    <row r="620">
      <c r="H620" s="799"/>
      <c r="I620" s="799"/>
      <c r="J620" s="799"/>
      <c r="K620" s="799"/>
      <c r="L620" s="799"/>
      <c r="M620" s="799"/>
      <c r="N620" s="799"/>
      <c r="O620" s="799"/>
      <c r="P620" s="799"/>
      <c r="Q620" s="799"/>
      <c r="R620" s="799"/>
      <c r="S620" s="799"/>
      <c r="T620" s="799"/>
      <c r="U620" s="799"/>
      <c r="V620" s="799"/>
      <c r="W620" s="799"/>
      <c r="X620" s="799"/>
      <c r="Y620" s="799"/>
      <c r="Z620" s="799"/>
      <c r="AA620" s="799"/>
      <c r="AB620" s="799"/>
      <c r="AC620" s="799"/>
      <c r="AD620" s="799"/>
      <c r="AE620" s="799"/>
      <c r="AF620" s="799"/>
      <c r="AG620" s="799"/>
      <c r="AH620" s="799"/>
      <c r="AI620" s="799"/>
      <c r="AJ620" s="799"/>
      <c r="AK620" s="799"/>
      <c r="AL620" s="799"/>
      <c r="AM620" s="799"/>
      <c r="AN620" s="799"/>
      <c r="AO620" s="799"/>
      <c r="AP620" s="799"/>
      <c r="AQ620" s="799"/>
      <c r="AR620" s="799"/>
      <c r="AS620" s="799"/>
      <c r="AT620" s="799"/>
      <c r="AU620" s="799"/>
      <c r="AV620" s="799"/>
      <c r="AW620" s="799"/>
      <c r="AX620" s="799"/>
      <c r="AY620" s="799"/>
      <c r="AZ620" s="799"/>
      <c r="BA620" s="799"/>
      <c r="BB620" s="799"/>
      <c r="BC620" s="799"/>
      <c r="BD620" s="799"/>
      <c r="BE620" s="799"/>
      <c r="BF620" s="799"/>
      <c r="BG620" s="799"/>
    </row>
    <row r="621">
      <c r="H621" s="799"/>
      <c r="I621" s="799"/>
      <c r="J621" s="799"/>
      <c r="K621" s="799"/>
      <c r="L621" s="799"/>
      <c r="M621" s="799"/>
      <c r="N621" s="799"/>
      <c r="O621" s="799"/>
      <c r="P621" s="799"/>
      <c r="Q621" s="799"/>
      <c r="R621" s="799"/>
      <c r="S621" s="799"/>
      <c r="T621" s="799"/>
      <c r="U621" s="799"/>
      <c r="V621" s="799"/>
      <c r="W621" s="799"/>
      <c r="X621" s="799"/>
      <c r="Y621" s="799"/>
      <c r="Z621" s="799"/>
      <c r="AA621" s="799"/>
      <c r="AB621" s="799"/>
      <c r="AC621" s="799"/>
      <c r="AD621" s="799"/>
      <c r="AE621" s="799"/>
      <c r="AF621" s="799"/>
      <c r="AG621" s="799"/>
      <c r="AH621" s="799"/>
      <c r="AI621" s="799"/>
      <c r="AJ621" s="799"/>
      <c r="AK621" s="799"/>
      <c r="AL621" s="799"/>
      <c r="AM621" s="799"/>
      <c r="AN621" s="799"/>
      <c r="AO621" s="799"/>
      <c r="AP621" s="799"/>
      <c r="AQ621" s="799"/>
      <c r="AR621" s="799"/>
      <c r="AS621" s="799"/>
      <c r="AT621" s="799"/>
      <c r="AU621" s="799"/>
      <c r="AV621" s="799"/>
      <c r="AW621" s="799"/>
      <c r="AX621" s="799"/>
      <c r="AY621" s="799"/>
      <c r="AZ621" s="799"/>
      <c r="BA621" s="799"/>
      <c r="BB621" s="799"/>
      <c r="BC621" s="799"/>
      <c r="BD621" s="799"/>
      <c r="BE621" s="799"/>
      <c r="BF621" s="799"/>
      <c r="BG621" s="799"/>
    </row>
    <row r="622">
      <c r="H622" s="799"/>
      <c r="I622" s="799"/>
      <c r="J622" s="799"/>
      <c r="K622" s="799"/>
      <c r="L622" s="799"/>
      <c r="M622" s="799"/>
      <c r="N622" s="799"/>
      <c r="O622" s="799"/>
      <c r="P622" s="799"/>
      <c r="Q622" s="799"/>
      <c r="R622" s="799"/>
      <c r="S622" s="799"/>
      <c r="T622" s="799"/>
      <c r="U622" s="799"/>
      <c r="V622" s="799"/>
      <c r="W622" s="799"/>
      <c r="X622" s="799"/>
      <c r="Y622" s="799"/>
      <c r="Z622" s="799"/>
      <c r="AA622" s="799"/>
      <c r="AB622" s="799"/>
      <c r="AC622" s="799"/>
      <c r="AD622" s="799"/>
      <c r="AE622" s="799"/>
      <c r="AF622" s="799"/>
      <c r="AG622" s="799"/>
      <c r="AH622" s="799"/>
      <c r="AI622" s="799"/>
      <c r="AJ622" s="799"/>
      <c r="AK622" s="799"/>
      <c r="AL622" s="799"/>
      <c r="AM622" s="799"/>
      <c r="AN622" s="799"/>
      <c r="AO622" s="799"/>
      <c r="AP622" s="799"/>
      <c r="AQ622" s="799"/>
      <c r="AR622" s="799"/>
      <c r="AS622" s="799"/>
      <c r="AT622" s="799"/>
      <c r="AU622" s="799"/>
      <c r="AV622" s="799"/>
      <c r="AW622" s="799"/>
      <c r="AX622" s="799"/>
      <c r="AY622" s="799"/>
      <c r="AZ622" s="799"/>
      <c r="BA622" s="799"/>
      <c r="BB622" s="799"/>
      <c r="BC622" s="799"/>
      <c r="BD622" s="799"/>
      <c r="BE622" s="799"/>
      <c r="BF622" s="799"/>
      <c r="BG622" s="799"/>
    </row>
    <row r="623">
      <c r="H623" s="799"/>
      <c r="I623" s="799"/>
      <c r="J623" s="799"/>
      <c r="K623" s="799"/>
      <c r="L623" s="799"/>
      <c r="M623" s="799"/>
      <c r="N623" s="799"/>
      <c r="O623" s="799"/>
      <c r="P623" s="799"/>
      <c r="Q623" s="799"/>
      <c r="R623" s="799"/>
      <c r="S623" s="799"/>
      <c r="T623" s="799"/>
      <c r="U623" s="799"/>
      <c r="V623" s="799"/>
      <c r="W623" s="799"/>
      <c r="X623" s="799"/>
      <c r="Y623" s="799"/>
      <c r="Z623" s="799"/>
      <c r="AA623" s="799"/>
      <c r="AB623" s="799"/>
      <c r="AC623" s="799"/>
      <c r="AD623" s="799"/>
      <c r="AE623" s="799"/>
      <c r="AF623" s="799"/>
      <c r="AG623" s="799"/>
      <c r="AH623" s="799"/>
      <c r="AI623" s="799"/>
      <c r="AJ623" s="799"/>
      <c r="AK623" s="799"/>
      <c r="AL623" s="799"/>
      <c r="AM623" s="799"/>
      <c r="AN623" s="799"/>
      <c r="AO623" s="799"/>
      <c r="AP623" s="799"/>
      <c r="AQ623" s="799"/>
      <c r="AR623" s="799"/>
      <c r="AS623" s="799"/>
      <c r="AT623" s="799"/>
      <c r="AU623" s="799"/>
      <c r="AV623" s="799"/>
      <c r="AW623" s="799"/>
      <c r="AX623" s="799"/>
      <c r="AY623" s="799"/>
      <c r="AZ623" s="799"/>
      <c r="BA623" s="799"/>
      <c r="BB623" s="799"/>
      <c r="BC623" s="799"/>
      <c r="BD623" s="799"/>
      <c r="BE623" s="799"/>
      <c r="BF623" s="799"/>
      <c r="BG623" s="799"/>
    </row>
    <row r="624">
      <c r="H624" s="799"/>
      <c r="I624" s="799"/>
      <c r="J624" s="799"/>
      <c r="K624" s="799"/>
      <c r="L624" s="799"/>
      <c r="M624" s="799"/>
      <c r="N624" s="799"/>
      <c r="O624" s="799"/>
      <c r="P624" s="799"/>
      <c r="Q624" s="799"/>
      <c r="R624" s="799"/>
      <c r="S624" s="799"/>
      <c r="T624" s="799"/>
      <c r="U624" s="799"/>
      <c r="V624" s="799"/>
      <c r="W624" s="799"/>
      <c r="X624" s="799"/>
      <c r="Y624" s="799"/>
      <c r="Z624" s="799"/>
      <c r="AA624" s="799"/>
      <c r="AB624" s="799"/>
      <c r="AC624" s="799"/>
      <c r="AD624" s="799"/>
      <c r="AE624" s="799"/>
      <c r="AF624" s="799"/>
      <c r="AG624" s="799"/>
      <c r="AH624" s="799"/>
      <c r="AI624" s="799"/>
      <c r="AJ624" s="799"/>
      <c r="AK624" s="799"/>
      <c r="AL624" s="799"/>
      <c r="AM624" s="799"/>
      <c r="AN624" s="799"/>
      <c r="AO624" s="799"/>
      <c r="AP624" s="799"/>
      <c r="AQ624" s="799"/>
      <c r="AR624" s="799"/>
      <c r="AS624" s="799"/>
      <c r="AT624" s="799"/>
      <c r="AU624" s="799"/>
      <c r="AV624" s="799"/>
      <c r="AW624" s="799"/>
      <c r="AX624" s="799"/>
      <c r="AY624" s="799"/>
      <c r="AZ624" s="799"/>
      <c r="BA624" s="799"/>
      <c r="BB624" s="799"/>
      <c r="BC624" s="799"/>
      <c r="BD624" s="799"/>
      <c r="BE624" s="799"/>
      <c r="BF624" s="799"/>
      <c r="BG624" s="799"/>
    </row>
    <row r="625">
      <c r="H625" s="799"/>
      <c r="I625" s="799"/>
      <c r="J625" s="799"/>
      <c r="K625" s="799"/>
      <c r="L625" s="799"/>
      <c r="M625" s="799"/>
      <c r="N625" s="799"/>
      <c r="O625" s="799"/>
      <c r="P625" s="799"/>
      <c r="Q625" s="799"/>
      <c r="R625" s="799"/>
      <c r="S625" s="799"/>
      <c r="T625" s="799"/>
      <c r="U625" s="799"/>
      <c r="V625" s="799"/>
      <c r="W625" s="799"/>
      <c r="X625" s="799"/>
      <c r="Y625" s="799"/>
      <c r="Z625" s="799"/>
      <c r="AA625" s="799"/>
      <c r="AB625" s="799"/>
      <c r="AC625" s="799"/>
      <c r="AD625" s="799"/>
      <c r="AE625" s="799"/>
      <c r="AF625" s="799"/>
      <c r="AG625" s="799"/>
      <c r="AH625" s="799"/>
      <c r="AI625" s="799"/>
      <c r="AJ625" s="799"/>
      <c r="AK625" s="799"/>
      <c r="AL625" s="799"/>
      <c r="AM625" s="799"/>
      <c r="AN625" s="799"/>
      <c r="AO625" s="799"/>
      <c r="AP625" s="799"/>
      <c r="AQ625" s="799"/>
      <c r="AR625" s="799"/>
      <c r="AS625" s="799"/>
      <c r="AT625" s="799"/>
      <c r="AU625" s="799"/>
      <c r="AV625" s="799"/>
      <c r="AW625" s="799"/>
      <c r="AX625" s="799"/>
      <c r="AY625" s="799"/>
      <c r="AZ625" s="799"/>
      <c r="BA625" s="799"/>
      <c r="BB625" s="799"/>
      <c r="BC625" s="799"/>
      <c r="BD625" s="799"/>
      <c r="BE625" s="799"/>
      <c r="BF625" s="799"/>
      <c r="BG625" s="799"/>
    </row>
    <row r="626">
      <c r="H626" s="799"/>
      <c r="I626" s="799"/>
      <c r="J626" s="799"/>
      <c r="K626" s="799"/>
      <c r="L626" s="799"/>
      <c r="M626" s="799"/>
      <c r="N626" s="799"/>
      <c r="O626" s="799"/>
      <c r="P626" s="799"/>
      <c r="Q626" s="799"/>
      <c r="R626" s="799"/>
      <c r="S626" s="799"/>
      <c r="T626" s="799"/>
      <c r="U626" s="799"/>
      <c r="V626" s="799"/>
      <c r="W626" s="799"/>
      <c r="X626" s="799"/>
      <c r="Y626" s="799"/>
      <c r="Z626" s="799"/>
      <c r="AA626" s="799"/>
      <c r="AB626" s="799"/>
      <c r="AC626" s="799"/>
      <c r="AD626" s="799"/>
      <c r="AE626" s="799"/>
      <c r="AF626" s="799"/>
      <c r="AG626" s="799"/>
      <c r="AH626" s="799"/>
      <c r="AI626" s="799"/>
      <c r="AJ626" s="799"/>
      <c r="AK626" s="799"/>
      <c r="AL626" s="799"/>
      <c r="AM626" s="799"/>
      <c r="AN626" s="799"/>
      <c r="AO626" s="799"/>
      <c r="AP626" s="799"/>
      <c r="AQ626" s="799"/>
      <c r="AR626" s="799"/>
      <c r="AS626" s="799"/>
      <c r="AT626" s="799"/>
      <c r="AU626" s="799"/>
      <c r="AV626" s="799"/>
      <c r="AW626" s="799"/>
      <c r="AX626" s="799"/>
      <c r="AY626" s="799"/>
      <c r="AZ626" s="799"/>
      <c r="BA626" s="799"/>
      <c r="BB626" s="799"/>
      <c r="BC626" s="799"/>
      <c r="BD626" s="799"/>
      <c r="BE626" s="799"/>
      <c r="BF626" s="799"/>
      <c r="BG626" s="799"/>
    </row>
    <row r="627">
      <c r="H627" s="799"/>
      <c r="I627" s="799"/>
      <c r="J627" s="799"/>
      <c r="K627" s="799"/>
      <c r="L627" s="799"/>
      <c r="M627" s="799"/>
      <c r="N627" s="799"/>
      <c r="O627" s="799"/>
      <c r="P627" s="799"/>
      <c r="Q627" s="799"/>
      <c r="R627" s="799"/>
      <c r="S627" s="799"/>
      <c r="T627" s="799"/>
      <c r="U627" s="799"/>
      <c r="V627" s="799"/>
      <c r="W627" s="799"/>
      <c r="X627" s="799"/>
      <c r="Y627" s="799"/>
      <c r="Z627" s="799"/>
      <c r="AA627" s="799"/>
      <c r="AB627" s="799"/>
      <c r="AC627" s="799"/>
      <c r="AD627" s="799"/>
      <c r="AE627" s="799"/>
      <c r="AF627" s="799"/>
      <c r="AG627" s="799"/>
      <c r="AH627" s="799"/>
      <c r="AI627" s="799"/>
      <c r="AJ627" s="799"/>
      <c r="AK627" s="799"/>
      <c r="AL627" s="799"/>
      <c r="AM627" s="799"/>
      <c r="AN627" s="799"/>
      <c r="AO627" s="799"/>
      <c r="AP627" s="799"/>
      <c r="AQ627" s="799"/>
      <c r="AR627" s="799"/>
      <c r="AS627" s="799"/>
      <c r="AT627" s="799"/>
      <c r="AU627" s="799"/>
      <c r="AV627" s="799"/>
      <c r="AW627" s="799"/>
      <c r="AX627" s="799"/>
      <c r="AY627" s="799"/>
      <c r="AZ627" s="799"/>
      <c r="BA627" s="799"/>
      <c r="BB627" s="799"/>
      <c r="BC627" s="799"/>
      <c r="BD627" s="799"/>
      <c r="BE627" s="799"/>
      <c r="BF627" s="799"/>
      <c r="BG627" s="799"/>
    </row>
    <row r="628">
      <c r="H628" s="799"/>
      <c r="I628" s="799"/>
      <c r="J628" s="799"/>
      <c r="K628" s="799"/>
      <c r="L628" s="799"/>
      <c r="M628" s="799"/>
      <c r="N628" s="799"/>
      <c r="O628" s="799"/>
      <c r="P628" s="799"/>
      <c r="Q628" s="799"/>
      <c r="R628" s="799"/>
      <c r="S628" s="799"/>
      <c r="T628" s="799"/>
      <c r="U628" s="799"/>
      <c r="V628" s="799"/>
      <c r="W628" s="799"/>
      <c r="X628" s="799"/>
      <c r="Y628" s="799"/>
      <c r="Z628" s="799"/>
      <c r="AA628" s="799"/>
      <c r="AB628" s="799"/>
      <c r="AC628" s="799"/>
      <c r="AD628" s="799"/>
      <c r="AE628" s="799"/>
      <c r="AF628" s="799"/>
      <c r="AG628" s="799"/>
      <c r="AH628" s="799"/>
      <c r="AI628" s="799"/>
      <c r="AJ628" s="799"/>
      <c r="AK628" s="799"/>
      <c r="AL628" s="799"/>
      <c r="AM628" s="799"/>
      <c r="AN628" s="799"/>
      <c r="AO628" s="799"/>
      <c r="AP628" s="799"/>
      <c r="AQ628" s="799"/>
      <c r="AR628" s="799"/>
      <c r="AS628" s="799"/>
      <c r="AT628" s="799"/>
      <c r="AU628" s="799"/>
      <c r="AV628" s="799"/>
      <c r="AW628" s="799"/>
      <c r="AX628" s="799"/>
      <c r="AY628" s="799"/>
      <c r="AZ628" s="799"/>
      <c r="BA628" s="799"/>
      <c r="BB628" s="799"/>
      <c r="BC628" s="799"/>
      <c r="BD628" s="799"/>
      <c r="BE628" s="799"/>
      <c r="BF628" s="799"/>
      <c r="BG628" s="799"/>
    </row>
    <row r="629">
      <c r="H629" s="799"/>
      <c r="I629" s="799"/>
      <c r="J629" s="799"/>
      <c r="K629" s="799"/>
      <c r="L629" s="799"/>
      <c r="M629" s="799"/>
      <c r="N629" s="799"/>
      <c r="O629" s="799"/>
      <c r="P629" s="799"/>
      <c r="Q629" s="799"/>
      <c r="R629" s="799"/>
      <c r="S629" s="799"/>
      <c r="T629" s="799"/>
      <c r="U629" s="799"/>
      <c r="V629" s="799"/>
      <c r="W629" s="799"/>
      <c r="X629" s="799"/>
      <c r="Y629" s="799"/>
      <c r="Z629" s="799"/>
      <c r="AA629" s="799"/>
      <c r="AB629" s="799"/>
      <c r="AC629" s="799"/>
      <c r="AD629" s="799"/>
      <c r="AE629" s="799"/>
      <c r="AF629" s="799"/>
      <c r="AG629" s="799"/>
      <c r="AH629" s="799"/>
      <c r="AI629" s="799"/>
      <c r="AJ629" s="799"/>
      <c r="AK629" s="799"/>
      <c r="AL629" s="799"/>
      <c r="AM629" s="799"/>
      <c r="AN629" s="799"/>
      <c r="AO629" s="799"/>
      <c r="AP629" s="799"/>
      <c r="AQ629" s="799"/>
      <c r="AR629" s="799"/>
      <c r="AS629" s="799"/>
      <c r="AT629" s="799"/>
      <c r="AU629" s="799"/>
      <c r="AV629" s="799"/>
      <c r="AW629" s="799"/>
      <c r="AX629" s="799"/>
      <c r="AY629" s="799"/>
      <c r="AZ629" s="799"/>
      <c r="BA629" s="799"/>
      <c r="BB629" s="799"/>
      <c r="BC629" s="799"/>
      <c r="BD629" s="799"/>
      <c r="BE629" s="799"/>
      <c r="BF629" s="799"/>
      <c r="BG629" s="799"/>
    </row>
    <row r="630">
      <c r="H630" s="799"/>
      <c r="I630" s="799"/>
      <c r="J630" s="799"/>
      <c r="K630" s="799"/>
      <c r="L630" s="799"/>
      <c r="M630" s="799"/>
      <c r="N630" s="799"/>
      <c r="O630" s="799"/>
      <c r="P630" s="799"/>
      <c r="Q630" s="799"/>
      <c r="R630" s="799"/>
      <c r="S630" s="799"/>
      <c r="T630" s="799"/>
      <c r="U630" s="799"/>
      <c r="V630" s="799"/>
      <c r="W630" s="799"/>
      <c r="X630" s="799"/>
      <c r="Y630" s="799"/>
      <c r="Z630" s="799"/>
      <c r="AA630" s="799"/>
      <c r="AB630" s="799"/>
      <c r="AC630" s="799"/>
      <c r="AD630" s="799"/>
      <c r="AE630" s="799"/>
      <c r="AF630" s="799"/>
      <c r="AG630" s="799"/>
      <c r="AH630" s="799"/>
      <c r="AI630" s="799"/>
      <c r="AJ630" s="799"/>
      <c r="AK630" s="799"/>
      <c r="AL630" s="799"/>
      <c r="AM630" s="799"/>
      <c r="AN630" s="799"/>
      <c r="AO630" s="799"/>
      <c r="AP630" s="799"/>
      <c r="AQ630" s="799"/>
      <c r="AR630" s="799"/>
      <c r="AS630" s="799"/>
      <c r="AT630" s="799"/>
      <c r="AU630" s="799"/>
      <c r="AV630" s="799"/>
      <c r="AW630" s="799"/>
      <c r="AX630" s="799"/>
      <c r="AY630" s="799"/>
      <c r="AZ630" s="799"/>
      <c r="BA630" s="799"/>
      <c r="BB630" s="799"/>
      <c r="BC630" s="799"/>
      <c r="BD630" s="799"/>
      <c r="BE630" s="799"/>
      <c r="BF630" s="799"/>
      <c r="BG630" s="799"/>
    </row>
    <row r="631">
      <c r="H631" s="799"/>
      <c r="I631" s="799"/>
      <c r="J631" s="799"/>
      <c r="K631" s="799"/>
      <c r="L631" s="799"/>
      <c r="M631" s="799"/>
      <c r="N631" s="799"/>
      <c r="O631" s="799"/>
      <c r="P631" s="799"/>
      <c r="Q631" s="799"/>
      <c r="R631" s="799"/>
      <c r="S631" s="799"/>
      <c r="T631" s="799"/>
      <c r="U631" s="799"/>
      <c r="V631" s="799"/>
      <c r="W631" s="799"/>
      <c r="X631" s="799"/>
      <c r="Y631" s="799"/>
      <c r="Z631" s="799"/>
      <c r="AA631" s="799"/>
      <c r="AB631" s="799"/>
      <c r="AC631" s="799"/>
      <c r="AD631" s="799"/>
      <c r="AE631" s="799"/>
      <c r="AF631" s="799"/>
      <c r="AG631" s="799"/>
      <c r="AH631" s="799"/>
      <c r="AI631" s="799"/>
      <c r="AJ631" s="799"/>
      <c r="AK631" s="799"/>
      <c r="AL631" s="799"/>
      <c r="AM631" s="799"/>
      <c r="AN631" s="799"/>
      <c r="AO631" s="799"/>
      <c r="AP631" s="799"/>
      <c r="AQ631" s="799"/>
      <c r="AR631" s="799"/>
      <c r="AS631" s="799"/>
      <c r="AT631" s="799"/>
      <c r="AU631" s="799"/>
      <c r="AV631" s="799"/>
      <c r="AW631" s="799"/>
      <c r="AX631" s="799"/>
      <c r="AY631" s="799"/>
      <c r="AZ631" s="799"/>
      <c r="BA631" s="799"/>
      <c r="BB631" s="799"/>
      <c r="BC631" s="799"/>
      <c r="BD631" s="799"/>
      <c r="BE631" s="799"/>
      <c r="BF631" s="799"/>
      <c r="BG631" s="799"/>
    </row>
    <row r="632">
      <c r="H632" s="799"/>
      <c r="I632" s="799"/>
      <c r="J632" s="799"/>
      <c r="K632" s="799"/>
      <c r="L632" s="799"/>
      <c r="M632" s="799"/>
      <c r="N632" s="799"/>
      <c r="O632" s="799"/>
      <c r="P632" s="799"/>
      <c r="Q632" s="799"/>
      <c r="R632" s="799"/>
      <c r="S632" s="799"/>
      <c r="T632" s="799"/>
      <c r="U632" s="799"/>
      <c r="V632" s="799"/>
      <c r="W632" s="799"/>
      <c r="X632" s="799"/>
      <c r="Y632" s="799"/>
      <c r="Z632" s="799"/>
      <c r="AA632" s="799"/>
      <c r="AB632" s="799"/>
      <c r="AC632" s="799"/>
      <c r="AD632" s="799"/>
      <c r="AE632" s="799"/>
      <c r="AF632" s="799"/>
      <c r="AG632" s="799"/>
      <c r="AH632" s="799"/>
      <c r="AI632" s="799"/>
      <c r="AJ632" s="799"/>
      <c r="AK632" s="799"/>
      <c r="AL632" s="799"/>
      <c r="AM632" s="799"/>
      <c r="AN632" s="799"/>
      <c r="AO632" s="799"/>
      <c r="AP632" s="799"/>
      <c r="AQ632" s="799"/>
      <c r="AR632" s="799"/>
      <c r="AS632" s="799"/>
      <c r="AT632" s="799"/>
      <c r="AU632" s="799"/>
      <c r="AV632" s="799"/>
      <c r="AW632" s="799"/>
      <c r="AX632" s="799"/>
      <c r="AY632" s="799"/>
      <c r="AZ632" s="799"/>
      <c r="BA632" s="799"/>
      <c r="BB632" s="799"/>
      <c r="BC632" s="799"/>
      <c r="BD632" s="799"/>
      <c r="BE632" s="799"/>
      <c r="BF632" s="799"/>
      <c r="BG632" s="799"/>
    </row>
    <row r="633">
      <c r="H633" s="799"/>
      <c r="I633" s="799"/>
      <c r="J633" s="799"/>
      <c r="K633" s="799"/>
      <c r="L633" s="799"/>
      <c r="M633" s="799"/>
      <c r="N633" s="799"/>
      <c r="O633" s="799"/>
      <c r="P633" s="799"/>
      <c r="Q633" s="799"/>
      <c r="R633" s="799"/>
      <c r="S633" s="799"/>
      <c r="T633" s="799"/>
      <c r="U633" s="799"/>
      <c r="V633" s="799"/>
      <c r="W633" s="799"/>
      <c r="X633" s="799"/>
      <c r="Y633" s="799"/>
      <c r="Z633" s="799"/>
      <c r="AA633" s="799"/>
      <c r="AB633" s="799"/>
      <c r="AC633" s="799"/>
      <c r="AD633" s="799"/>
      <c r="AE633" s="799"/>
      <c r="AF633" s="799"/>
      <c r="AG633" s="799"/>
      <c r="AH633" s="799"/>
      <c r="AI633" s="799"/>
      <c r="AJ633" s="799"/>
      <c r="AK633" s="799"/>
      <c r="AL633" s="799"/>
      <c r="AM633" s="799"/>
      <c r="AN633" s="799"/>
      <c r="AO633" s="799"/>
      <c r="AP633" s="799"/>
      <c r="AQ633" s="799"/>
      <c r="AR633" s="799"/>
      <c r="AS633" s="799"/>
      <c r="AT633" s="799"/>
      <c r="AU633" s="799"/>
      <c r="AV633" s="799"/>
      <c r="AW633" s="799"/>
      <c r="AX633" s="799"/>
      <c r="AY633" s="799"/>
      <c r="AZ633" s="799"/>
      <c r="BA633" s="799"/>
      <c r="BB633" s="799"/>
      <c r="BC633" s="799"/>
      <c r="BD633" s="799"/>
      <c r="BE633" s="799"/>
      <c r="BF633" s="799"/>
      <c r="BG633" s="799"/>
    </row>
    <row r="634">
      <c r="H634" s="799"/>
      <c r="I634" s="799"/>
      <c r="J634" s="799"/>
      <c r="K634" s="799"/>
      <c r="L634" s="799"/>
      <c r="M634" s="799"/>
      <c r="N634" s="799"/>
      <c r="O634" s="799"/>
      <c r="P634" s="799"/>
      <c r="Q634" s="799"/>
      <c r="R634" s="799"/>
      <c r="S634" s="799"/>
      <c r="T634" s="799"/>
      <c r="U634" s="799"/>
      <c r="V634" s="799"/>
      <c r="W634" s="799"/>
      <c r="X634" s="799"/>
      <c r="Y634" s="799"/>
      <c r="Z634" s="799"/>
      <c r="AA634" s="799"/>
      <c r="AB634" s="799"/>
      <c r="AC634" s="799"/>
      <c r="AD634" s="799"/>
      <c r="AE634" s="799"/>
      <c r="AF634" s="799"/>
      <c r="AG634" s="799"/>
      <c r="AH634" s="799"/>
      <c r="AI634" s="799"/>
      <c r="AJ634" s="799"/>
      <c r="AK634" s="799"/>
      <c r="AL634" s="799"/>
      <c r="AM634" s="799"/>
      <c r="AN634" s="799"/>
      <c r="AO634" s="799"/>
      <c r="AP634" s="799"/>
      <c r="AQ634" s="799"/>
      <c r="AR634" s="799"/>
      <c r="AS634" s="799"/>
      <c r="AT634" s="799"/>
      <c r="AU634" s="799"/>
      <c r="AV634" s="799"/>
      <c r="AW634" s="799"/>
      <c r="AX634" s="799"/>
      <c r="AY634" s="799"/>
      <c r="AZ634" s="799"/>
      <c r="BA634" s="799"/>
      <c r="BB634" s="799"/>
      <c r="BC634" s="799"/>
      <c r="BD634" s="799"/>
      <c r="BE634" s="799"/>
      <c r="BF634" s="799"/>
      <c r="BG634" s="799"/>
    </row>
    <row r="635">
      <c r="H635" s="799"/>
      <c r="I635" s="799"/>
      <c r="J635" s="799"/>
      <c r="K635" s="799"/>
      <c r="L635" s="799"/>
      <c r="M635" s="799"/>
      <c r="N635" s="799"/>
      <c r="O635" s="799"/>
      <c r="P635" s="799"/>
      <c r="Q635" s="799"/>
      <c r="R635" s="799"/>
      <c r="S635" s="799"/>
      <c r="T635" s="799"/>
      <c r="U635" s="799"/>
      <c r="V635" s="799"/>
      <c r="W635" s="799"/>
      <c r="X635" s="799"/>
      <c r="Y635" s="799"/>
      <c r="Z635" s="799"/>
      <c r="AA635" s="799"/>
      <c r="AB635" s="799"/>
      <c r="AC635" s="799"/>
      <c r="AD635" s="799"/>
      <c r="AE635" s="799"/>
      <c r="AF635" s="799"/>
      <c r="AG635" s="799"/>
      <c r="AH635" s="799"/>
      <c r="AI635" s="799"/>
      <c r="AJ635" s="799"/>
      <c r="AK635" s="799"/>
      <c r="AL635" s="799"/>
      <c r="AM635" s="799"/>
      <c r="AN635" s="799"/>
      <c r="AO635" s="799"/>
      <c r="AP635" s="799"/>
      <c r="AQ635" s="799"/>
      <c r="AR635" s="799"/>
      <c r="AS635" s="799"/>
      <c r="AT635" s="799"/>
      <c r="AU635" s="799"/>
      <c r="AV635" s="799"/>
      <c r="AW635" s="799"/>
      <c r="AX635" s="799"/>
      <c r="AY635" s="799"/>
      <c r="AZ635" s="799"/>
      <c r="BA635" s="799"/>
      <c r="BB635" s="799"/>
      <c r="BC635" s="799"/>
      <c r="BD635" s="799"/>
      <c r="BE635" s="799"/>
      <c r="BF635" s="799"/>
      <c r="BG635" s="799"/>
    </row>
    <row r="636">
      <c r="H636" s="799"/>
      <c r="I636" s="799"/>
      <c r="J636" s="799"/>
      <c r="K636" s="799"/>
      <c r="L636" s="799"/>
      <c r="M636" s="799"/>
      <c r="N636" s="799"/>
      <c r="O636" s="799"/>
      <c r="P636" s="799"/>
      <c r="Q636" s="799"/>
      <c r="R636" s="799"/>
      <c r="S636" s="799"/>
      <c r="T636" s="799"/>
      <c r="U636" s="799"/>
      <c r="V636" s="799"/>
      <c r="W636" s="799"/>
      <c r="X636" s="799"/>
      <c r="Y636" s="799"/>
      <c r="Z636" s="799"/>
      <c r="AA636" s="799"/>
      <c r="AB636" s="799"/>
      <c r="AC636" s="799"/>
      <c r="AD636" s="799"/>
      <c r="AE636" s="799"/>
      <c r="AF636" s="799"/>
      <c r="AG636" s="799"/>
      <c r="AH636" s="799"/>
      <c r="AI636" s="799"/>
      <c r="AJ636" s="799"/>
      <c r="AK636" s="799"/>
      <c r="AL636" s="799"/>
      <c r="AM636" s="799"/>
      <c r="AN636" s="799"/>
      <c r="AO636" s="799"/>
      <c r="AP636" s="799"/>
      <c r="AQ636" s="799"/>
      <c r="AR636" s="799"/>
      <c r="AS636" s="799"/>
      <c r="AT636" s="799"/>
      <c r="AU636" s="799"/>
      <c r="AV636" s="799"/>
      <c r="AW636" s="799"/>
      <c r="AX636" s="799"/>
      <c r="AY636" s="799"/>
      <c r="AZ636" s="799"/>
      <c r="BA636" s="799"/>
      <c r="BB636" s="799"/>
      <c r="BC636" s="799"/>
      <c r="BD636" s="799"/>
      <c r="BE636" s="799"/>
      <c r="BF636" s="799"/>
      <c r="BG636" s="799"/>
    </row>
    <row r="637">
      <c r="H637" s="799"/>
      <c r="I637" s="799"/>
      <c r="J637" s="799"/>
      <c r="K637" s="799"/>
      <c r="L637" s="799"/>
      <c r="M637" s="799"/>
      <c r="N637" s="799"/>
      <c r="O637" s="799"/>
      <c r="P637" s="799"/>
      <c r="Q637" s="799"/>
      <c r="R637" s="799"/>
      <c r="S637" s="799"/>
      <c r="T637" s="799"/>
      <c r="U637" s="799"/>
      <c r="V637" s="799"/>
      <c r="W637" s="799"/>
      <c r="X637" s="799"/>
      <c r="Y637" s="799"/>
      <c r="Z637" s="799"/>
      <c r="AA637" s="799"/>
      <c r="AB637" s="799"/>
      <c r="AC637" s="799"/>
      <c r="AD637" s="799"/>
      <c r="AE637" s="799"/>
      <c r="AF637" s="799"/>
      <c r="AG637" s="799"/>
      <c r="AH637" s="799"/>
      <c r="AI637" s="799"/>
      <c r="AJ637" s="799"/>
      <c r="AK637" s="799"/>
      <c r="AL637" s="799"/>
      <c r="AM637" s="799"/>
      <c r="AN637" s="799"/>
      <c r="AO637" s="799"/>
      <c r="AP637" s="799"/>
      <c r="AQ637" s="799"/>
      <c r="AR637" s="799"/>
      <c r="AS637" s="799"/>
      <c r="AT637" s="799"/>
      <c r="AU637" s="799"/>
      <c r="AV637" s="799"/>
      <c r="AW637" s="799"/>
      <c r="AX637" s="799"/>
      <c r="AY637" s="799"/>
      <c r="AZ637" s="799"/>
      <c r="BA637" s="799"/>
      <c r="BB637" s="799"/>
      <c r="BC637" s="799"/>
      <c r="BD637" s="799"/>
      <c r="BE637" s="799"/>
      <c r="BF637" s="799"/>
      <c r="BG637" s="799"/>
    </row>
    <row r="638">
      <c r="H638" s="799"/>
      <c r="I638" s="799"/>
      <c r="J638" s="799"/>
      <c r="K638" s="799"/>
      <c r="L638" s="799"/>
      <c r="M638" s="799"/>
      <c r="N638" s="799"/>
      <c r="O638" s="799"/>
      <c r="P638" s="799"/>
      <c r="Q638" s="799"/>
      <c r="R638" s="799"/>
      <c r="S638" s="799"/>
      <c r="T638" s="799"/>
      <c r="U638" s="799"/>
      <c r="V638" s="799"/>
      <c r="W638" s="799"/>
      <c r="X638" s="799"/>
      <c r="Y638" s="799"/>
      <c r="Z638" s="799"/>
      <c r="AA638" s="799"/>
      <c r="AB638" s="799"/>
      <c r="AC638" s="799"/>
      <c r="AD638" s="799"/>
      <c r="AE638" s="799"/>
      <c r="AF638" s="799"/>
      <c r="AG638" s="799"/>
      <c r="AH638" s="799"/>
      <c r="AI638" s="799"/>
      <c r="AJ638" s="799"/>
      <c r="AK638" s="799"/>
      <c r="AL638" s="799"/>
      <c r="AM638" s="799"/>
      <c r="AN638" s="799"/>
      <c r="AO638" s="799"/>
      <c r="AP638" s="799"/>
      <c r="AQ638" s="799"/>
      <c r="AR638" s="799"/>
      <c r="AS638" s="799"/>
      <c r="AT638" s="799"/>
      <c r="AU638" s="799"/>
      <c r="AV638" s="799"/>
      <c r="AW638" s="799"/>
      <c r="AX638" s="799"/>
      <c r="AY638" s="799"/>
      <c r="AZ638" s="799"/>
      <c r="BA638" s="799"/>
      <c r="BB638" s="799"/>
      <c r="BC638" s="799"/>
      <c r="BD638" s="799"/>
      <c r="BE638" s="799"/>
      <c r="BF638" s="799"/>
      <c r="BG638" s="799"/>
    </row>
    <row r="639">
      <c r="H639" s="799"/>
      <c r="I639" s="799"/>
      <c r="J639" s="799"/>
      <c r="K639" s="799"/>
      <c r="L639" s="799"/>
      <c r="M639" s="799"/>
      <c r="N639" s="799"/>
      <c r="O639" s="799"/>
      <c r="P639" s="799"/>
      <c r="Q639" s="799"/>
      <c r="R639" s="799"/>
      <c r="S639" s="799"/>
      <c r="T639" s="799"/>
      <c r="U639" s="799"/>
      <c r="V639" s="799"/>
      <c r="W639" s="799"/>
      <c r="X639" s="799"/>
      <c r="Y639" s="799"/>
      <c r="Z639" s="799"/>
      <c r="AA639" s="799"/>
      <c r="AB639" s="799"/>
      <c r="AC639" s="799"/>
      <c r="AD639" s="799"/>
      <c r="AE639" s="799"/>
      <c r="AF639" s="799"/>
      <c r="AG639" s="799"/>
      <c r="AH639" s="799"/>
      <c r="AI639" s="799"/>
      <c r="AJ639" s="799"/>
      <c r="AK639" s="799"/>
      <c r="AL639" s="799"/>
      <c r="AM639" s="799"/>
      <c r="AN639" s="799"/>
      <c r="AO639" s="799"/>
      <c r="AP639" s="799"/>
      <c r="AQ639" s="799"/>
      <c r="AR639" s="799"/>
      <c r="AS639" s="799"/>
      <c r="AT639" s="799"/>
      <c r="AU639" s="799"/>
      <c r="AV639" s="799"/>
      <c r="AW639" s="799"/>
      <c r="AX639" s="799"/>
      <c r="AY639" s="799"/>
      <c r="AZ639" s="799"/>
      <c r="BA639" s="799"/>
      <c r="BB639" s="799"/>
      <c r="BC639" s="799"/>
      <c r="BD639" s="799"/>
      <c r="BE639" s="799"/>
      <c r="BF639" s="799"/>
      <c r="BG639" s="799"/>
    </row>
    <row r="640">
      <c r="H640" s="799"/>
      <c r="I640" s="799"/>
      <c r="J640" s="799"/>
      <c r="K640" s="799"/>
      <c r="L640" s="799"/>
      <c r="M640" s="799"/>
      <c r="N640" s="799"/>
      <c r="O640" s="799"/>
      <c r="P640" s="799"/>
      <c r="Q640" s="799"/>
      <c r="R640" s="799"/>
      <c r="S640" s="799"/>
      <c r="T640" s="799"/>
      <c r="U640" s="799"/>
      <c r="V640" s="799"/>
      <c r="W640" s="799"/>
      <c r="X640" s="799"/>
      <c r="Y640" s="799"/>
      <c r="Z640" s="799"/>
      <c r="AA640" s="799"/>
      <c r="AB640" s="799"/>
      <c r="AC640" s="799"/>
      <c r="AD640" s="799"/>
      <c r="AE640" s="799"/>
      <c r="AF640" s="799"/>
      <c r="AG640" s="799"/>
      <c r="AH640" s="799"/>
      <c r="AI640" s="799"/>
      <c r="AJ640" s="799"/>
      <c r="AK640" s="799"/>
      <c r="AL640" s="799"/>
      <c r="AM640" s="799"/>
      <c r="AN640" s="799"/>
      <c r="AO640" s="799"/>
      <c r="AP640" s="799"/>
      <c r="AQ640" s="799"/>
      <c r="AR640" s="799"/>
      <c r="AS640" s="799"/>
      <c r="AT640" s="799"/>
      <c r="AU640" s="799"/>
      <c r="AV640" s="799"/>
      <c r="AW640" s="799"/>
      <c r="AX640" s="799"/>
      <c r="AY640" s="799"/>
      <c r="AZ640" s="799"/>
      <c r="BA640" s="799"/>
      <c r="BB640" s="799"/>
      <c r="BC640" s="799"/>
      <c r="BD640" s="799"/>
      <c r="BE640" s="799"/>
      <c r="BF640" s="799"/>
      <c r="BG640" s="799"/>
    </row>
    <row r="641">
      <c r="H641" s="799"/>
      <c r="I641" s="799"/>
      <c r="J641" s="799"/>
      <c r="K641" s="799"/>
      <c r="L641" s="799"/>
      <c r="M641" s="799"/>
      <c r="N641" s="799"/>
      <c r="O641" s="799"/>
      <c r="P641" s="799"/>
      <c r="Q641" s="799"/>
      <c r="R641" s="799"/>
      <c r="S641" s="799"/>
      <c r="T641" s="799"/>
      <c r="U641" s="799"/>
      <c r="V641" s="799"/>
      <c r="W641" s="799"/>
      <c r="X641" s="799"/>
      <c r="Y641" s="799"/>
      <c r="Z641" s="799"/>
      <c r="AA641" s="799"/>
      <c r="AB641" s="799"/>
      <c r="AC641" s="799"/>
      <c r="AD641" s="799"/>
      <c r="AE641" s="799"/>
      <c r="AF641" s="799"/>
      <c r="AG641" s="799"/>
      <c r="AH641" s="799"/>
      <c r="AI641" s="799"/>
      <c r="AJ641" s="799"/>
      <c r="AK641" s="799"/>
      <c r="AL641" s="799"/>
      <c r="AM641" s="799"/>
      <c r="AN641" s="799"/>
      <c r="AO641" s="799"/>
      <c r="AP641" s="799"/>
      <c r="AQ641" s="799"/>
      <c r="AR641" s="799"/>
      <c r="AS641" s="799"/>
      <c r="AT641" s="799"/>
      <c r="AU641" s="799"/>
      <c r="AV641" s="799"/>
      <c r="AW641" s="799"/>
      <c r="AX641" s="799"/>
      <c r="AY641" s="799"/>
      <c r="AZ641" s="799"/>
      <c r="BA641" s="799"/>
      <c r="BB641" s="799"/>
      <c r="BC641" s="799"/>
      <c r="BD641" s="799"/>
      <c r="BE641" s="799"/>
      <c r="BF641" s="799"/>
      <c r="BG641" s="799"/>
    </row>
    <row r="642">
      <c r="H642" s="799"/>
      <c r="I642" s="799"/>
      <c r="J642" s="799"/>
      <c r="K642" s="799"/>
      <c r="L642" s="799"/>
      <c r="M642" s="799"/>
      <c r="N642" s="799"/>
      <c r="O642" s="799"/>
      <c r="P642" s="799"/>
      <c r="Q642" s="799"/>
      <c r="R642" s="799"/>
      <c r="S642" s="799"/>
      <c r="T642" s="799"/>
      <c r="U642" s="799"/>
      <c r="V642" s="799"/>
      <c r="W642" s="799"/>
      <c r="X642" s="799"/>
      <c r="Y642" s="799"/>
      <c r="Z642" s="799"/>
      <c r="AA642" s="799"/>
      <c r="AB642" s="799"/>
      <c r="AC642" s="799"/>
      <c r="AD642" s="799"/>
      <c r="AE642" s="799"/>
      <c r="AF642" s="799"/>
      <c r="AG642" s="799"/>
      <c r="AH642" s="799"/>
      <c r="AI642" s="799"/>
      <c r="AJ642" s="799"/>
      <c r="AK642" s="799"/>
      <c r="AL642" s="799"/>
      <c r="AM642" s="799"/>
      <c r="AN642" s="799"/>
      <c r="AO642" s="799"/>
      <c r="AP642" s="799"/>
      <c r="AQ642" s="799"/>
      <c r="AR642" s="799"/>
      <c r="AS642" s="799"/>
      <c r="AT642" s="799"/>
      <c r="AU642" s="799"/>
      <c r="AV642" s="799"/>
      <c r="AW642" s="799"/>
      <c r="AX642" s="799"/>
      <c r="AY642" s="799"/>
      <c r="AZ642" s="799"/>
      <c r="BA642" s="799"/>
      <c r="BB642" s="799"/>
      <c r="BC642" s="799"/>
      <c r="BD642" s="799"/>
      <c r="BE642" s="799"/>
      <c r="BF642" s="799"/>
      <c r="BG642" s="799"/>
    </row>
    <row r="643">
      <c r="H643" s="799"/>
      <c r="I643" s="799"/>
      <c r="J643" s="799"/>
      <c r="K643" s="799"/>
      <c r="L643" s="799"/>
      <c r="M643" s="799"/>
      <c r="N643" s="799"/>
      <c r="O643" s="799"/>
      <c r="P643" s="799"/>
      <c r="Q643" s="799"/>
      <c r="R643" s="799"/>
      <c r="S643" s="799"/>
      <c r="T643" s="799"/>
      <c r="U643" s="799"/>
      <c r="V643" s="799"/>
      <c r="W643" s="799"/>
      <c r="X643" s="799"/>
      <c r="Y643" s="799"/>
      <c r="Z643" s="799"/>
      <c r="AA643" s="799"/>
      <c r="AB643" s="799"/>
      <c r="AC643" s="799"/>
      <c r="AD643" s="799"/>
      <c r="AE643" s="799"/>
      <c r="AF643" s="799"/>
      <c r="AG643" s="799"/>
      <c r="AH643" s="799"/>
      <c r="AI643" s="799"/>
      <c r="AJ643" s="799"/>
      <c r="AK643" s="799"/>
      <c r="AL643" s="799"/>
      <c r="AM643" s="799"/>
      <c r="AN643" s="799"/>
      <c r="AO643" s="799"/>
      <c r="AP643" s="799"/>
      <c r="AQ643" s="799"/>
      <c r="AR643" s="799"/>
      <c r="AS643" s="799"/>
      <c r="AT643" s="799"/>
      <c r="AU643" s="799"/>
      <c r="AV643" s="799"/>
      <c r="AW643" s="799"/>
      <c r="AX643" s="799"/>
      <c r="AY643" s="799"/>
      <c r="AZ643" s="799"/>
      <c r="BA643" s="799"/>
      <c r="BB643" s="799"/>
      <c r="BC643" s="799"/>
      <c r="BD643" s="799"/>
      <c r="BE643" s="799"/>
      <c r="BF643" s="799"/>
      <c r="BG643" s="799"/>
    </row>
    <row r="644">
      <c r="H644" s="799"/>
      <c r="I644" s="799"/>
      <c r="J644" s="799"/>
      <c r="K644" s="799"/>
      <c r="L644" s="799"/>
      <c r="M644" s="799"/>
      <c r="N644" s="799"/>
      <c r="O644" s="799"/>
      <c r="P644" s="799"/>
      <c r="Q644" s="799"/>
      <c r="R644" s="799"/>
      <c r="S644" s="799"/>
      <c r="T644" s="799"/>
      <c r="U644" s="799"/>
      <c r="V644" s="799"/>
      <c r="W644" s="799"/>
      <c r="X644" s="799"/>
      <c r="Y644" s="799"/>
      <c r="Z644" s="799"/>
      <c r="AA644" s="799"/>
      <c r="AB644" s="799"/>
      <c r="AC644" s="799"/>
      <c r="AD644" s="799"/>
      <c r="AE644" s="799"/>
      <c r="AF644" s="799"/>
      <c r="AG644" s="799"/>
      <c r="AH644" s="799"/>
      <c r="AI644" s="799"/>
      <c r="AJ644" s="799"/>
      <c r="AK644" s="799"/>
      <c r="AL644" s="799"/>
      <c r="AM644" s="799"/>
      <c r="AN644" s="799"/>
      <c r="AO644" s="799"/>
      <c r="AP644" s="799"/>
      <c r="AQ644" s="799"/>
      <c r="AR644" s="799"/>
      <c r="AS644" s="799"/>
      <c r="AT644" s="799"/>
      <c r="AU644" s="799"/>
      <c r="AV644" s="799"/>
      <c r="AW644" s="799"/>
      <c r="AX644" s="799"/>
      <c r="AY644" s="799"/>
      <c r="AZ644" s="799"/>
      <c r="BA644" s="799"/>
      <c r="BB644" s="799"/>
      <c r="BC644" s="799"/>
      <c r="BD644" s="799"/>
      <c r="BE644" s="799"/>
      <c r="BF644" s="799"/>
      <c r="BG644" s="799"/>
    </row>
    <row r="645">
      <c r="H645" s="799"/>
      <c r="I645" s="799"/>
      <c r="J645" s="799"/>
      <c r="K645" s="799"/>
      <c r="L645" s="799"/>
      <c r="M645" s="799"/>
      <c r="N645" s="799"/>
      <c r="O645" s="799"/>
      <c r="P645" s="799"/>
      <c r="Q645" s="799"/>
      <c r="R645" s="799"/>
      <c r="S645" s="799"/>
      <c r="T645" s="799"/>
      <c r="U645" s="799"/>
      <c r="V645" s="799"/>
      <c r="W645" s="799"/>
      <c r="X645" s="799"/>
      <c r="Y645" s="799"/>
      <c r="Z645" s="799"/>
      <c r="AA645" s="799"/>
      <c r="AB645" s="799"/>
      <c r="AC645" s="799"/>
      <c r="AD645" s="799"/>
      <c r="AE645" s="799"/>
      <c r="AF645" s="799"/>
      <c r="AG645" s="799"/>
      <c r="AH645" s="799"/>
      <c r="AI645" s="799"/>
      <c r="AJ645" s="799"/>
      <c r="AK645" s="799"/>
      <c r="AL645" s="799"/>
      <c r="AM645" s="799"/>
      <c r="AN645" s="799"/>
      <c r="AO645" s="799"/>
      <c r="AP645" s="799"/>
      <c r="AQ645" s="799"/>
      <c r="AR645" s="799"/>
      <c r="AS645" s="799"/>
      <c r="AT645" s="799"/>
      <c r="AU645" s="799"/>
      <c r="AV645" s="799"/>
      <c r="AW645" s="799"/>
      <c r="AX645" s="799"/>
      <c r="AY645" s="799"/>
      <c r="AZ645" s="799"/>
      <c r="BA645" s="799"/>
      <c r="BB645" s="799"/>
      <c r="BC645" s="799"/>
      <c r="BD645" s="799"/>
      <c r="BE645" s="799"/>
      <c r="BF645" s="799"/>
      <c r="BG645" s="799"/>
    </row>
    <row r="646">
      <c r="H646" s="799"/>
      <c r="I646" s="799"/>
      <c r="J646" s="799"/>
      <c r="K646" s="799"/>
      <c r="L646" s="799"/>
      <c r="M646" s="799"/>
      <c r="N646" s="799"/>
      <c r="O646" s="799"/>
      <c r="P646" s="799"/>
      <c r="Q646" s="799"/>
      <c r="R646" s="799"/>
      <c r="S646" s="799"/>
      <c r="T646" s="799"/>
      <c r="U646" s="799"/>
      <c r="V646" s="799"/>
      <c r="W646" s="799"/>
      <c r="X646" s="799"/>
      <c r="Y646" s="799"/>
      <c r="Z646" s="799"/>
      <c r="AA646" s="799"/>
      <c r="AB646" s="799"/>
      <c r="AC646" s="799"/>
      <c r="AD646" s="799"/>
      <c r="AE646" s="799"/>
      <c r="AF646" s="799"/>
      <c r="AG646" s="799"/>
      <c r="AH646" s="799"/>
      <c r="AI646" s="799"/>
      <c r="AJ646" s="799"/>
      <c r="AK646" s="799"/>
      <c r="AL646" s="799"/>
      <c r="AM646" s="799"/>
      <c r="AN646" s="799"/>
      <c r="AO646" s="799"/>
      <c r="AP646" s="799"/>
      <c r="AQ646" s="799"/>
      <c r="AR646" s="799"/>
      <c r="AS646" s="799"/>
      <c r="AT646" s="799"/>
      <c r="AU646" s="799"/>
      <c r="AV646" s="799"/>
      <c r="AW646" s="799"/>
      <c r="AX646" s="799"/>
      <c r="AY646" s="799"/>
      <c r="AZ646" s="799"/>
      <c r="BA646" s="799"/>
      <c r="BB646" s="799"/>
      <c r="BC646" s="799"/>
      <c r="BD646" s="799"/>
      <c r="BE646" s="799"/>
      <c r="BF646" s="799"/>
      <c r="BG646" s="799"/>
    </row>
    <row r="647">
      <c r="H647" s="799"/>
      <c r="I647" s="799"/>
      <c r="J647" s="799"/>
      <c r="K647" s="799"/>
      <c r="L647" s="799"/>
      <c r="M647" s="799"/>
      <c r="N647" s="799"/>
      <c r="O647" s="799"/>
      <c r="P647" s="799"/>
      <c r="Q647" s="799"/>
      <c r="R647" s="799"/>
      <c r="S647" s="799"/>
      <c r="T647" s="799"/>
      <c r="U647" s="799"/>
      <c r="V647" s="799"/>
      <c r="W647" s="799"/>
      <c r="X647" s="799"/>
      <c r="Y647" s="799"/>
      <c r="Z647" s="799"/>
      <c r="AA647" s="799"/>
      <c r="AB647" s="799"/>
      <c r="AC647" s="799"/>
      <c r="AD647" s="799"/>
      <c r="AE647" s="799"/>
      <c r="AF647" s="799"/>
      <c r="AG647" s="799"/>
      <c r="AH647" s="799"/>
      <c r="AI647" s="799"/>
      <c r="AJ647" s="799"/>
      <c r="AK647" s="799"/>
      <c r="AL647" s="799"/>
      <c r="AM647" s="799"/>
      <c r="AN647" s="799"/>
      <c r="AO647" s="799"/>
      <c r="AP647" s="799"/>
      <c r="AQ647" s="799"/>
      <c r="AR647" s="799"/>
      <c r="AS647" s="799"/>
      <c r="AT647" s="799"/>
      <c r="AU647" s="799"/>
      <c r="AV647" s="799"/>
      <c r="AW647" s="799"/>
      <c r="AX647" s="799"/>
      <c r="AY647" s="799"/>
      <c r="AZ647" s="799"/>
      <c r="BA647" s="799"/>
      <c r="BB647" s="799"/>
      <c r="BC647" s="799"/>
      <c r="BD647" s="799"/>
      <c r="BE647" s="799"/>
      <c r="BF647" s="799"/>
      <c r="BG647" s="799"/>
    </row>
    <row r="648">
      <c r="H648" s="799"/>
      <c r="I648" s="799"/>
      <c r="J648" s="799"/>
      <c r="K648" s="799"/>
      <c r="L648" s="799"/>
      <c r="M648" s="799"/>
      <c r="N648" s="799"/>
      <c r="O648" s="799"/>
      <c r="P648" s="799"/>
      <c r="Q648" s="799"/>
      <c r="R648" s="799"/>
      <c r="S648" s="799"/>
      <c r="T648" s="799"/>
      <c r="U648" s="799"/>
      <c r="V648" s="799"/>
      <c r="W648" s="799"/>
      <c r="X648" s="799"/>
      <c r="Y648" s="799"/>
      <c r="Z648" s="799"/>
      <c r="AA648" s="799"/>
      <c r="AB648" s="799"/>
      <c r="AC648" s="799"/>
      <c r="AD648" s="799"/>
      <c r="AE648" s="799"/>
      <c r="AF648" s="799"/>
      <c r="AG648" s="799"/>
      <c r="AH648" s="799"/>
      <c r="AI648" s="799"/>
      <c r="AJ648" s="799"/>
      <c r="AK648" s="799"/>
      <c r="AL648" s="799"/>
      <c r="AM648" s="799"/>
      <c r="AN648" s="799"/>
      <c r="AO648" s="799"/>
      <c r="AP648" s="799"/>
      <c r="AQ648" s="799"/>
      <c r="AR648" s="799"/>
      <c r="AS648" s="799"/>
      <c r="AT648" s="799"/>
      <c r="AU648" s="799"/>
      <c r="AV648" s="799"/>
      <c r="AW648" s="799"/>
      <c r="AX648" s="799"/>
      <c r="AY648" s="799"/>
      <c r="AZ648" s="799"/>
      <c r="BA648" s="799"/>
      <c r="BB648" s="799"/>
      <c r="BC648" s="799"/>
      <c r="BD648" s="799"/>
      <c r="BE648" s="799"/>
      <c r="BF648" s="799"/>
      <c r="BG648" s="799"/>
    </row>
    <row r="649">
      <c r="H649" s="799"/>
      <c r="I649" s="799"/>
      <c r="J649" s="799"/>
      <c r="K649" s="799"/>
      <c r="L649" s="799"/>
      <c r="M649" s="799"/>
      <c r="N649" s="799"/>
      <c r="O649" s="799"/>
      <c r="P649" s="799"/>
      <c r="Q649" s="799"/>
      <c r="R649" s="799"/>
      <c r="S649" s="799"/>
      <c r="T649" s="799"/>
      <c r="U649" s="799"/>
      <c r="V649" s="799"/>
      <c r="W649" s="799"/>
      <c r="X649" s="799"/>
      <c r="Y649" s="799"/>
      <c r="Z649" s="799"/>
      <c r="AA649" s="799"/>
      <c r="AB649" s="799"/>
      <c r="AC649" s="799"/>
      <c r="AD649" s="799"/>
      <c r="AE649" s="799"/>
      <c r="AF649" s="799"/>
      <c r="AG649" s="799"/>
      <c r="AH649" s="799"/>
      <c r="AI649" s="799"/>
      <c r="AJ649" s="799"/>
      <c r="AK649" s="799"/>
      <c r="AL649" s="799"/>
      <c r="AM649" s="799"/>
      <c r="AN649" s="799"/>
      <c r="AO649" s="799"/>
      <c r="AP649" s="799"/>
      <c r="AQ649" s="799"/>
      <c r="AR649" s="799"/>
      <c r="AS649" s="799"/>
      <c r="AT649" s="799"/>
      <c r="AU649" s="799"/>
      <c r="AV649" s="799"/>
      <c r="AW649" s="799"/>
      <c r="AX649" s="799"/>
      <c r="AY649" s="799"/>
      <c r="AZ649" s="799"/>
      <c r="BA649" s="799"/>
      <c r="BB649" s="799"/>
      <c r="BC649" s="799"/>
      <c r="BD649" s="799"/>
      <c r="BE649" s="799"/>
      <c r="BF649" s="799"/>
      <c r="BG649" s="799"/>
    </row>
    <row r="650">
      <c r="H650" s="799"/>
      <c r="I650" s="799"/>
      <c r="J650" s="799"/>
      <c r="K650" s="799"/>
      <c r="L650" s="799"/>
      <c r="M650" s="799"/>
      <c r="N650" s="799"/>
      <c r="O650" s="799"/>
      <c r="P650" s="799"/>
      <c r="Q650" s="799"/>
      <c r="R650" s="799"/>
      <c r="S650" s="799"/>
      <c r="T650" s="799"/>
      <c r="U650" s="799"/>
      <c r="V650" s="799"/>
      <c r="W650" s="799"/>
      <c r="X650" s="799"/>
      <c r="Y650" s="799"/>
      <c r="Z650" s="799"/>
      <c r="AA650" s="799"/>
      <c r="AB650" s="799"/>
      <c r="AC650" s="799"/>
      <c r="AD650" s="799"/>
      <c r="AE650" s="799"/>
      <c r="AF650" s="799"/>
      <c r="AG650" s="799"/>
      <c r="AH650" s="799"/>
      <c r="AI650" s="799"/>
      <c r="AJ650" s="799"/>
      <c r="AK650" s="799"/>
      <c r="AL650" s="799"/>
      <c r="AM650" s="799"/>
      <c r="AN650" s="799"/>
      <c r="AO650" s="799"/>
      <c r="AP650" s="799"/>
      <c r="AQ650" s="799"/>
      <c r="AR650" s="799"/>
      <c r="AS650" s="799"/>
      <c r="AT650" s="799"/>
      <c r="AU650" s="799"/>
      <c r="AV650" s="799"/>
      <c r="AW650" s="799"/>
      <c r="AX650" s="799"/>
      <c r="AY650" s="799"/>
      <c r="AZ650" s="799"/>
      <c r="BA650" s="799"/>
      <c r="BB650" s="799"/>
      <c r="BC650" s="799"/>
      <c r="BD650" s="799"/>
      <c r="BE650" s="799"/>
      <c r="BF650" s="799"/>
      <c r="BG650" s="799"/>
    </row>
    <row r="651">
      <c r="H651" s="799"/>
      <c r="I651" s="799"/>
      <c r="J651" s="799"/>
      <c r="K651" s="799"/>
      <c r="L651" s="799"/>
      <c r="M651" s="799"/>
      <c r="N651" s="799"/>
      <c r="O651" s="799"/>
      <c r="P651" s="799"/>
      <c r="Q651" s="799"/>
      <c r="R651" s="799"/>
      <c r="S651" s="799"/>
      <c r="T651" s="799"/>
      <c r="U651" s="799"/>
      <c r="V651" s="799"/>
      <c r="W651" s="799"/>
      <c r="X651" s="799"/>
      <c r="Y651" s="799"/>
      <c r="Z651" s="799"/>
      <c r="AA651" s="799"/>
      <c r="AB651" s="799"/>
      <c r="AC651" s="799"/>
      <c r="AD651" s="799"/>
      <c r="AE651" s="799"/>
      <c r="AF651" s="799"/>
      <c r="AG651" s="799"/>
      <c r="AH651" s="799"/>
      <c r="AI651" s="799"/>
      <c r="AJ651" s="799"/>
      <c r="AK651" s="799"/>
      <c r="AL651" s="799"/>
      <c r="AM651" s="799"/>
      <c r="AN651" s="799"/>
      <c r="AO651" s="799"/>
      <c r="AP651" s="799"/>
      <c r="AQ651" s="799"/>
      <c r="AR651" s="799"/>
      <c r="AS651" s="799"/>
      <c r="AT651" s="799"/>
      <c r="AU651" s="799"/>
      <c r="AV651" s="799"/>
      <c r="AW651" s="799"/>
      <c r="AX651" s="799"/>
      <c r="AY651" s="799"/>
      <c r="AZ651" s="799"/>
      <c r="BA651" s="799"/>
      <c r="BB651" s="799"/>
      <c r="BC651" s="799"/>
      <c r="BD651" s="799"/>
      <c r="BE651" s="799"/>
      <c r="BF651" s="799"/>
      <c r="BG651" s="799"/>
    </row>
    <row r="652">
      <c r="H652" s="799"/>
      <c r="I652" s="799"/>
      <c r="J652" s="799"/>
      <c r="K652" s="799"/>
      <c r="L652" s="799"/>
      <c r="M652" s="799"/>
      <c r="N652" s="799"/>
      <c r="O652" s="799"/>
      <c r="P652" s="799"/>
      <c r="Q652" s="799"/>
      <c r="R652" s="799"/>
      <c r="S652" s="799"/>
      <c r="T652" s="799"/>
      <c r="U652" s="799"/>
      <c r="V652" s="799"/>
      <c r="W652" s="799"/>
      <c r="X652" s="799"/>
      <c r="Y652" s="799"/>
      <c r="Z652" s="799"/>
      <c r="AA652" s="799"/>
      <c r="AB652" s="799"/>
      <c r="AC652" s="799"/>
      <c r="AD652" s="799"/>
      <c r="AE652" s="799"/>
      <c r="AF652" s="799"/>
      <c r="AG652" s="799"/>
      <c r="AH652" s="799"/>
      <c r="AI652" s="799"/>
      <c r="AJ652" s="799"/>
      <c r="AK652" s="799"/>
      <c r="AL652" s="799"/>
      <c r="AM652" s="799"/>
      <c r="AN652" s="799"/>
      <c r="AO652" s="799"/>
      <c r="AP652" s="799"/>
      <c r="AQ652" s="799"/>
      <c r="AR652" s="799"/>
      <c r="AS652" s="799"/>
      <c r="AT652" s="799"/>
      <c r="AU652" s="799"/>
      <c r="AV652" s="799"/>
      <c r="AW652" s="799"/>
      <c r="AX652" s="799"/>
      <c r="AY652" s="799"/>
      <c r="AZ652" s="799"/>
      <c r="BA652" s="799"/>
      <c r="BB652" s="799"/>
      <c r="BC652" s="799"/>
      <c r="BD652" s="799"/>
      <c r="BE652" s="799"/>
      <c r="BF652" s="799"/>
      <c r="BG652" s="799"/>
    </row>
    <row r="653">
      <c r="H653" s="799"/>
      <c r="I653" s="799"/>
      <c r="J653" s="799"/>
      <c r="K653" s="799"/>
      <c r="L653" s="799"/>
      <c r="M653" s="799"/>
      <c r="N653" s="799"/>
      <c r="O653" s="799"/>
      <c r="P653" s="799"/>
      <c r="Q653" s="799"/>
      <c r="R653" s="799"/>
      <c r="S653" s="799"/>
      <c r="T653" s="799"/>
      <c r="U653" s="799"/>
      <c r="V653" s="799"/>
      <c r="W653" s="799"/>
      <c r="X653" s="799"/>
      <c r="Y653" s="799"/>
      <c r="Z653" s="799"/>
      <c r="AA653" s="799"/>
      <c r="AB653" s="799"/>
      <c r="AC653" s="799"/>
      <c r="AD653" s="799"/>
      <c r="AE653" s="799"/>
      <c r="AF653" s="799"/>
      <c r="AG653" s="799"/>
      <c r="AH653" s="799"/>
      <c r="AI653" s="799"/>
      <c r="AJ653" s="799"/>
      <c r="AK653" s="799"/>
      <c r="AL653" s="799"/>
      <c r="AM653" s="799"/>
      <c r="AN653" s="799"/>
      <c r="AO653" s="799"/>
      <c r="AP653" s="799"/>
      <c r="AQ653" s="799"/>
      <c r="AR653" s="799"/>
      <c r="AS653" s="799"/>
      <c r="AT653" s="799"/>
      <c r="AU653" s="799"/>
      <c r="AV653" s="799"/>
      <c r="AW653" s="799"/>
      <c r="AX653" s="799"/>
      <c r="AY653" s="799"/>
      <c r="AZ653" s="799"/>
      <c r="BA653" s="799"/>
      <c r="BB653" s="799"/>
      <c r="BC653" s="799"/>
      <c r="BD653" s="799"/>
      <c r="BE653" s="799"/>
      <c r="BF653" s="799"/>
      <c r="BG653" s="799"/>
    </row>
    <row r="654">
      <c r="H654" s="799"/>
      <c r="I654" s="799"/>
      <c r="J654" s="799"/>
      <c r="K654" s="799"/>
      <c r="L654" s="799"/>
      <c r="M654" s="799"/>
      <c r="N654" s="799"/>
      <c r="O654" s="799"/>
      <c r="P654" s="799"/>
      <c r="Q654" s="799"/>
      <c r="R654" s="799"/>
      <c r="S654" s="799"/>
      <c r="T654" s="799"/>
      <c r="U654" s="799"/>
      <c r="V654" s="799"/>
      <c r="W654" s="799"/>
      <c r="X654" s="799"/>
      <c r="Y654" s="799"/>
      <c r="Z654" s="799"/>
      <c r="AA654" s="799"/>
      <c r="AB654" s="799"/>
      <c r="AC654" s="799"/>
      <c r="AD654" s="799"/>
      <c r="AE654" s="799"/>
      <c r="AF654" s="799"/>
      <c r="AG654" s="799"/>
      <c r="AH654" s="799"/>
      <c r="AI654" s="799"/>
      <c r="AJ654" s="799"/>
      <c r="AK654" s="799"/>
      <c r="AL654" s="799"/>
      <c r="AM654" s="799"/>
      <c r="AN654" s="799"/>
      <c r="AO654" s="799"/>
      <c r="AP654" s="799"/>
      <c r="AQ654" s="799"/>
      <c r="AR654" s="799"/>
      <c r="AS654" s="799"/>
      <c r="AT654" s="799"/>
      <c r="AU654" s="799"/>
      <c r="AV654" s="799"/>
      <c r="AW654" s="799"/>
      <c r="AX654" s="799"/>
      <c r="AY654" s="799"/>
      <c r="AZ654" s="799"/>
      <c r="BA654" s="799"/>
      <c r="BB654" s="799"/>
      <c r="BC654" s="799"/>
      <c r="BD654" s="799"/>
      <c r="BE654" s="799"/>
      <c r="BF654" s="799"/>
      <c r="BG654" s="799"/>
    </row>
    <row r="655">
      <c r="H655" s="799"/>
      <c r="I655" s="799"/>
      <c r="J655" s="799"/>
      <c r="K655" s="799"/>
      <c r="L655" s="799"/>
      <c r="M655" s="799"/>
      <c r="N655" s="799"/>
      <c r="O655" s="799"/>
      <c r="P655" s="799"/>
      <c r="Q655" s="799"/>
      <c r="R655" s="799"/>
      <c r="S655" s="799"/>
      <c r="T655" s="799"/>
      <c r="U655" s="799"/>
      <c r="V655" s="799"/>
      <c r="W655" s="799"/>
      <c r="X655" s="799"/>
      <c r="Y655" s="799"/>
      <c r="Z655" s="799"/>
      <c r="AA655" s="799"/>
      <c r="AB655" s="799"/>
      <c r="AC655" s="799"/>
      <c r="AD655" s="799"/>
      <c r="AE655" s="799"/>
      <c r="AF655" s="799"/>
      <c r="AG655" s="799"/>
      <c r="AH655" s="799"/>
      <c r="AI655" s="799"/>
      <c r="AJ655" s="799"/>
      <c r="AK655" s="799"/>
      <c r="AL655" s="799"/>
      <c r="AM655" s="799"/>
      <c r="AN655" s="799"/>
      <c r="AO655" s="799"/>
      <c r="AP655" s="799"/>
      <c r="AQ655" s="799"/>
      <c r="AR655" s="799"/>
      <c r="AS655" s="799"/>
      <c r="AT655" s="799"/>
      <c r="AU655" s="799"/>
      <c r="AV655" s="799"/>
      <c r="AW655" s="799"/>
      <c r="AX655" s="799"/>
      <c r="AY655" s="799"/>
      <c r="AZ655" s="799"/>
      <c r="BA655" s="799"/>
      <c r="BB655" s="799"/>
      <c r="BC655" s="799"/>
      <c r="BD655" s="799"/>
      <c r="BE655" s="799"/>
      <c r="BF655" s="799"/>
      <c r="BG655" s="799"/>
    </row>
    <row r="656">
      <c r="H656" s="799"/>
      <c r="I656" s="799"/>
      <c r="J656" s="799"/>
      <c r="K656" s="799"/>
      <c r="L656" s="799"/>
      <c r="M656" s="799"/>
      <c r="N656" s="799"/>
      <c r="O656" s="799"/>
      <c r="P656" s="799"/>
      <c r="Q656" s="799"/>
      <c r="R656" s="799"/>
      <c r="S656" s="799"/>
      <c r="T656" s="799"/>
      <c r="U656" s="799"/>
      <c r="V656" s="799"/>
      <c r="W656" s="799"/>
      <c r="X656" s="799"/>
      <c r="Y656" s="799"/>
      <c r="Z656" s="799"/>
      <c r="AA656" s="799"/>
      <c r="AB656" s="799"/>
      <c r="AC656" s="799"/>
      <c r="AD656" s="799"/>
      <c r="AE656" s="799"/>
      <c r="AF656" s="799"/>
      <c r="AG656" s="799"/>
      <c r="AH656" s="799"/>
      <c r="AI656" s="799"/>
      <c r="AJ656" s="799"/>
      <c r="AK656" s="799"/>
      <c r="AL656" s="799"/>
      <c r="AM656" s="799"/>
      <c r="AN656" s="799"/>
      <c r="AO656" s="799"/>
      <c r="AP656" s="799"/>
      <c r="AQ656" s="799"/>
      <c r="AR656" s="799"/>
      <c r="AS656" s="799"/>
      <c r="AT656" s="799"/>
      <c r="AU656" s="799"/>
      <c r="AV656" s="799"/>
      <c r="AW656" s="799"/>
      <c r="AX656" s="799"/>
      <c r="AY656" s="799"/>
      <c r="AZ656" s="799"/>
      <c r="BA656" s="799"/>
      <c r="BB656" s="799"/>
      <c r="BC656" s="799"/>
      <c r="BD656" s="799"/>
      <c r="BE656" s="799"/>
      <c r="BF656" s="799"/>
      <c r="BG656" s="799"/>
    </row>
    <row r="657">
      <c r="H657" s="799"/>
      <c r="I657" s="799"/>
      <c r="J657" s="799"/>
      <c r="K657" s="799"/>
      <c r="L657" s="799"/>
      <c r="M657" s="799"/>
      <c r="N657" s="799"/>
      <c r="O657" s="799"/>
      <c r="P657" s="799"/>
      <c r="Q657" s="799"/>
      <c r="R657" s="799"/>
      <c r="S657" s="799"/>
      <c r="T657" s="799"/>
      <c r="U657" s="799"/>
      <c r="V657" s="799"/>
      <c r="W657" s="799"/>
      <c r="X657" s="799"/>
      <c r="Y657" s="799"/>
      <c r="Z657" s="799"/>
      <c r="AA657" s="799"/>
      <c r="AB657" s="799"/>
      <c r="AC657" s="799"/>
      <c r="AD657" s="799"/>
      <c r="AE657" s="799"/>
      <c r="AF657" s="799"/>
      <c r="AG657" s="799"/>
      <c r="AH657" s="799"/>
      <c r="AI657" s="799"/>
      <c r="AJ657" s="799"/>
      <c r="AK657" s="799"/>
      <c r="AL657" s="799"/>
      <c r="AM657" s="799"/>
      <c r="AN657" s="799"/>
      <c r="AO657" s="799"/>
      <c r="AP657" s="799"/>
      <c r="AQ657" s="799"/>
      <c r="AR657" s="799"/>
      <c r="AS657" s="799"/>
      <c r="AT657" s="799"/>
      <c r="AU657" s="799"/>
      <c r="AV657" s="799"/>
      <c r="AW657" s="799"/>
      <c r="AX657" s="799"/>
      <c r="AY657" s="799"/>
      <c r="AZ657" s="799"/>
      <c r="BA657" s="799"/>
      <c r="BB657" s="799"/>
      <c r="BC657" s="799"/>
      <c r="BD657" s="799"/>
      <c r="BE657" s="799"/>
      <c r="BF657" s="799"/>
      <c r="BG657" s="799"/>
    </row>
    <row r="658">
      <c r="H658" s="799"/>
      <c r="I658" s="799"/>
      <c r="J658" s="799"/>
      <c r="K658" s="799"/>
      <c r="L658" s="799"/>
      <c r="M658" s="799"/>
      <c r="N658" s="799"/>
      <c r="O658" s="799"/>
      <c r="P658" s="799"/>
      <c r="Q658" s="799"/>
      <c r="R658" s="799"/>
      <c r="S658" s="799"/>
      <c r="T658" s="799"/>
      <c r="U658" s="799"/>
      <c r="V658" s="799"/>
      <c r="W658" s="799"/>
      <c r="X658" s="799"/>
      <c r="Y658" s="799"/>
      <c r="Z658" s="799"/>
      <c r="AA658" s="799"/>
      <c r="AB658" s="799"/>
      <c r="AC658" s="799"/>
      <c r="AD658" s="799"/>
      <c r="AE658" s="799"/>
      <c r="AF658" s="799"/>
      <c r="AG658" s="799"/>
      <c r="AH658" s="799"/>
      <c r="AI658" s="799"/>
      <c r="AJ658" s="799"/>
      <c r="AK658" s="799"/>
      <c r="AL658" s="799"/>
      <c r="AM658" s="799"/>
      <c r="AN658" s="799"/>
      <c r="AO658" s="799"/>
      <c r="AP658" s="799"/>
      <c r="AQ658" s="799"/>
      <c r="AR658" s="799"/>
      <c r="AS658" s="799"/>
      <c r="AT658" s="799"/>
      <c r="AU658" s="799"/>
      <c r="AV658" s="799"/>
      <c r="AW658" s="799"/>
      <c r="AX658" s="799"/>
      <c r="AY658" s="799"/>
      <c r="AZ658" s="799"/>
      <c r="BA658" s="799"/>
      <c r="BB658" s="799"/>
      <c r="BC658" s="799"/>
      <c r="BD658" s="799"/>
      <c r="BE658" s="799"/>
      <c r="BF658" s="799"/>
      <c r="BG658" s="799"/>
    </row>
    <row r="659">
      <c r="H659" s="799"/>
      <c r="I659" s="799"/>
      <c r="J659" s="799"/>
      <c r="K659" s="799"/>
      <c r="L659" s="799"/>
      <c r="M659" s="799"/>
      <c r="N659" s="799"/>
      <c r="O659" s="799"/>
      <c r="P659" s="799"/>
      <c r="Q659" s="799"/>
      <c r="R659" s="799"/>
      <c r="S659" s="799"/>
      <c r="T659" s="799"/>
      <c r="U659" s="799"/>
      <c r="V659" s="799"/>
      <c r="W659" s="799"/>
      <c r="X659" s="799"/>
      <c r="Y659" s="799"/>
      <c r="Z659" s="799"/>
      <c r="AA659" s="799"/>
      <c r="AB659" s="799"/>
      <c r="AC659" s="799"/>
      <c r="AD659" s="799"/>
      <c r="AE659" s="799"/>
      <c r="AF659" s="799"/>
      <c r="AG659" s="799"/>
      <c r="AH659" s="799"/>
      <c r="AI659" s="799"/>
      <c r="AJ659" s="799"/>
      <c r="AK659" s="799"/>
      <c r="AL659" s="799"/>
      <c r="AM659" s="799"/>
      <c r="AN659" s="799"/>
      <c r="AO659" s="799"/>
      <c r="AP659" s="799"/>
      <c r="AQ659" s="799"/>
      <c r="AR659" s="799"/>
      <c r="AS659" s="799"/>
      <c r="AT659" s="799"/>
      <c r="AU659" s="799"/>
      <c r="AV659" s="799"/>
      <c r="AW659" s="799"/>
      <c r="AX659" s="799"/>
      <c r="AY659" s="799"/>
      <c r="AZ659" s="799"/>
      <c r="BA659" s="799"/>
      <c r="BB659" s="799"/>
      <c r="BC659" s="799"/>
      <c r="BD659" s="799"/>
      <c r="BE659" s="799"/>
      <c r="BF659" s="799"/>
      <c r="BG659" s="799"/>
    </row>
    <row r="660">
      <c r="H660" s="799"/>
      <c r="I660" s="799"/>
      <c r="J660" s="799"/>
      <c r="K660" s="799"/>
      <c r="L660" s="799"/>
      <c r="M660" s="799"/>
      <c r="N660" s="799"/>
      <c r="O660" s="799"/>
      <c r="P660" s="799"/>
      <c r="Q660" s="799"/>
      <c r="R660" s="799"/>
      <c r="S660" s="799"/>
      <c r="T660" s="799"/>
      <c r="U660" s="799"/>
      <c r="V660" s="799"/>
      <c r="W660" s="799"/>
      <c r="X660" s="799"/>
      <c r="Y660" s="799"/>
      <c r="Z660" s="799"/>
      <c r="AA660" s="799"/>
      <c r="AB660" s="799"/>
      <c r="AC660" s="799"/>
      <c r="AD660" s="799"/>
      <c r="AE660" s="799"/>
      <c r="AF660" s="799"/>
      <c r="AG660" s="799"/>
      <c r="AH660" s="799"/>
      <c r="AI660" s="799"/>
      <c r="AJ660" s="799"/>
      <c r="AK660" s="799"/>
      <c r="AL660" s="799"/>
      <c r="AM660" s="799"/>
      <c r="AN660" s="799"/>
      <c r="AO660" s="799"/>
      <c r="AP660" s="799"/>
      <c r="AQ660" s="799"/>
      <c r="AR660" s="799"/>
      <c r="AS660" s="799"/>
      <c r="AT660" s="799"/>
      <c r="AU660" s="799"/>
      <c r="AV660" s="799"/>
      <c r="AW660" s="799"/>
      <c r="AX660" s="799"/>
      <c r="AY660" s="799"/>
      <c r="AZ660" s="799"/>
      <c r="BA660" s="799"/>
      <c r="BB660" s="799"/>
      <c r="BC660" s="799"/>
      <c r="BD660" s="799"/>
      <c r="BE660" s="799"/>
      <c r="BF660" s="799"/>
      <c r="BG660" s="799"/>
    </row>
    <row r="661">
      <c r="H661" s="799"/>
      <c r="I661" s="799"/>
      <c r="J661" s="799"/>
      <c r="K661" s="799"/>
      <c r="L661" s="799"/>
      <c r="M661" s="799"/>
      <c r="N661" s="799"/>
      <c r="O661" s="799"/>
      <c r="P661" s="799"/>
      <c r="Q661" s="799"/>
      <c r="R661" s="799"/>
      <c r="S661" s="799"/>
      <c r="T661" s="799"/>
      <c r="U661" s="799"/>
      <c r="V661" s="799"/>
      <c r="W661" s="799"/>
      <c r="X661" s="799"/>
      <c r="Y661" s="799"/>
      <c r="Z661" s="799"/>
      <c r="AA661" s="799"/>
      <c r="AB661" s="799"/>
      <c r="AC661" s="799"/>
      <c r="AD661" s="799"/>
      <c r="AE661" s="799"/>
      <c r="AF661" s="799"/>
      <c r="AG661" s="799"/>
      <c r="AH661" s="799"/>
      <c r="AI661" s="799"/>
      <c r="AJ661" s="799"/>
      <c r="AK661" s="799"/>
      <c r="AL661" s="799"/>
      <c r="AM661" s="799"/>
      <c r="AN661" s="799"/>
      <c r="AO661" s="799"/>
      <c r="AP661" s="799"/>
      <c r="AQ661" s="799"/>
      <c r="AR661" s="799"/>
      <c r="AS661" s="799"/>
      <c r="AT661" s="799"/>
      <c r="AU661" s="799"/>
      <c r="AV661" s="799"/>
      <c r="AW661" s="799"/>
      <c r="AX661" s="799"/>
      <c r="AY661" s="799"/>
      <c r="AZ661" s="799"/>
      <c r="BA661" s="799"/>
      <c r="BB661" s="799"/>
      <c r="BC661" s="799"/>
      <c r="BD661" s="799"/>
      <c r="BE661" s="799"/>
      <c r="BF661" s="799"/>
      <c r="BG661" s="799"/>
    </row>
    <row r="662">
      <c r="H662" s="799"/>
      <c r="I662" s="799"/>
      <c r="J662" s="799"/>
      <c r="K662" s="799"/>
      <c r="L662" s="799"/>
      <c r="M662" s="799"/>
      <c r="N662" s="799"/>
      <c r="O662" s="799"/>
      <c r="P662" s="799"/>
      <c r="Q662" s="799"/>
      <c r="R662" s="799"/>
      <c r="S662" s="799"/>
      <c r="T662" s="799"/>
      <c r="U662" s="799"/>
      <c r="V662" s="799"/>
      <c r="W662" s="799"/>
      <c r="X662" s="799"/>
      <c r="Y662" s="799"/>
      <c r="Z662" s="799"/>
      <c r="AA662" s="799"/>
      <c r="AB662" s="799"/>
      <c r="AC662" s="799"/>
      <c r="AD662" s="799"/>
      <c r="AE662" s="799"/>
      <c r="AF662" s="799"/>
      <c r="AG662" s="799"/>
      <c r="AH662" s="799"/>
      <c r="AI662" s="799"/>
      <c r="AJ662" s="799"/>
      <c r="AK662" s="799"/>
      <c r="AL662" s="799"/>
      <c r="AM662" s="799"/>
      <c r="AN662" s="799"/>
      <c r="AO662" s="799"/>
      <c r="AP662" s="799"/>
      <c r="AQ662" s="799"/>
      <c r="AR662" s="799"/>
      <c r="AS662" s="799"/>
      <c r="AT662" s="799"/>
      <c r="AU662" s="799"/>
      <c r="AV662" s="799"/>
      <c r="AW662" s="799"/>
      <c r="AX662" s="799"/>
      <c r="AY662" s="799"/>
      <c r="AZ662" s="799"/>
      <c r="BA662" s="799"/>
      <c r="BB662" s="799"/>
      <c r="BC662" s="799"/>
      <c r="BD662" s="799"/>
      <c r="BE662" s="799"/>
      <c r="BF662" s="799"/>
      <c r="BG662" s="799"/>
    </row>
    <row r="663">
      <c r="H663" s="799"/>
      <c r="I663" s="799"/>
      <c r="J663" s="799"/>
      <c r="K663" s="799"/>
      <c r="L663" s="799"/>
      <c r="M663" s="799"/>
      <c r="N663" s="799"/>
      <c r="O663" s="799"/>
      <c r="P663" s="799"/>
      <c r="Q663" s="799"/>
      <c r="R663" s="799"/>
      <c r="S663" s="799"/>
      <c r="T663" s="799"/>
      <c r="U663" s="799"/>
      <c r="V663" s="799"/>
      <c r="W663" s="799"/>
      <c r="X663" s="799"/>
      <c r="Y663" s="799"/>
      <c r="Z663" s="799"/>
      <c r="AA663" s="799"/>
      <c r="AB663" s="799"/>
      <c r="AC663" s="799"/>
      <c r="AD663" s="799"/>
      <c r="AE663" s="799"/>
      <c r="AF663" s="799"/>
      <c r="AG663" s="799"/>
      <c r="AH663" s="799"/>
      <c r="AI663" s="799"/>
      <c r="AJ663" s="799"/>
      <c r="AK663" s="799"/>
      <c r="AL663" s="799"/>
      <c r="AM663" s="799"/>
      <c r="AN663" s="799"/>
      <c r="AO663" s="799"/>
      <c r="AP663" s="799"/>
      <c r="AQ663" s="799"/>
      <c r="AR663" s="799"/>
      <c r="AS663" s="799"/>
      <c r="AT663" s="799"/>
      <c r="AU663" s="799"/>
      <c r="AV663" s="799"/>
      <c r="AW663" s="799"/>
      <c r="AX663" s="799"/>
      <c r="AY663" s="799"/>
      <c r="AZ663" s="799"/>
      <c r="BA663" s="799"/>
      <c r="BB663" s="799"/>
      <c r="BC663" s="799"/>
      <c r="BD663" s="799"/>
      <c r="BE663" s="799"/>
      <c r="BF663" s="799"/>
      <c r="BG663" s="799"/>
    </row>
    <row r="664">
      <c r="H664" s="799"/>
      <c r="I664" s="799"/>
      <c r="J664" s="799"/>
      <c r="K664" s="799"/>
      <c r="L664" s="799"/>
      <c r="M664" s="799"/>
      <c r="N664" s="799"/>
      <c r="O664" s="799"/>
      <c r="P664" s="799"/>
      <c r="Q664" s="799"/>
      <c r="R664" s="799"/>
      <c r="S664" s="799"/>
      <c r="T664" s="799"/>
      <c r="U664" s="799"/>
      <c r="V664" s="799"/>
      <c r="W664" s="799"/>
      <c r="X664" s="799"/>
      <c r="Y664" s="799"/>
      <c r="Z664" s="799"/>
      <c r="AA664" s="799"/>
      <c r="AB664" s="799"/>
      <c r="AC664" s="799"/>
      <c r="AD664" s="799"/>
      <c r="AE664" s="799"/>
      <c r="AF664" s="799"/>
      <c r="AG664" s="799"/>
      <c r="AH664" s="799"/>
      <c r="AI664" s="799"/>
      <c r="AJ664" s="799"/>
      <c r="AK664" s="799"/>
      <c r="AL664" s="799"/>
      <c r="AM664" s="799"/>
      <c r="AN664" s="799"/>
      <c r="AO664" s="799"/>
      <c r="AP664" s="799"/>
      <c r="AQ664" s="799"/>
      <c r="AR664" s="799"/>
      <c r="AS664" s="799"/>
      <c r="AT664" s="799"/>
      <c r="AU664" s="799"/>
      <c r="AV664" s="799"/>
      <c r="AW664" s="799"/>
      <c r="AX664" s="799"/>
      <c r="AY664" s="799"/>
      <c r="AZ664" s="799"/>
      <c r="BA664" s="799"/>
      <c r="BB664" s="799"/>
      <c r="BC664" s="799"/>
      <c r="BD664" s="799"/>
      <c r="BE664" s="799"/>
      <c r="BF664" s="799"/>
      <c r="BG664" s="799"/>
    </row>
    <row r="665">
      <c r="H665" s="799"/>
      <c r="I665" s="799"/>
      <c r="J665" s="799"/>
      <c r="K665" s="799"/>
      <c r="L665" s="799"/>
      <c r="M665" s="799"/>
      <c r="N665" s="799"/>
      <c r="O665" s="799"/>
      <c r="P665" s="799"/>
      <c r="Q665" s="799"/>
      <c r="R665" s="799"/>
      <c r="S665" s="799"/>
      <c r="T665" s="799"/>
      <c r="U665" s="799"/>
      <c r="V665" s="799"/>
      <c r="W665" s="799"/>
      <c r="X665" s="799"/>
      <c r="Y665" s="799"/>
      <c r="Z665" s="799"/>
      <c r="AA665" s="799"/>
      <c r="AB665" s="799"/>
      <c r="AC665" s="799"/>
      <c r="AD665" s="799"/>
      <c r="AE665" s="799"/>
      <c r="AF665" s="799"/>
      <c r="AG665" s="799"/>
      <c r="AH665" s="799"/>
      <c r="AI665" s="799"/>
      <c r="AJ665" s="799"/>
      <c r="AK665" s="799"/>
      <c r="AL665" s="799"/>
      <c r="AM665" s="799"/>
      <c r="AN665" s="799"/>
      <c r="AO665" s="799"/>
      <c r="AP665" s="799"/>
      <c r="AQ665" s="799"/>
      <c r="AR665" s="799"/>
      <c r="AS665" s="799"/>
      <c r="AT665" s="799"/>
      <c r="AU665" s="799"/>
      <c r="AV665" s="799"/>
      <c r="AW665" s="799"/>
      <c r="AX665" s="799"/>
      <c r="AY665" s="799"/>
      <c r="AZ665" s="799"/>
      <c r="BA665" s="799"/>
      <c r="BB665" s="799"/>
      <c r="BC665" s="799"/>
      <c r="BD665" s="799"/>
      <c r="BE665" s="799"/>
      <c r="BF665" s="799"/>
      <c r="BG665" s="799"/>
    </row>
    <row r="666">
      <c r="H666" s="799"/>
      <c r="I666" s="799"/>
      <c r="J666" s="799"/>
      <c r="K666" s="799"/>
      <c r="L666" s="799"/>
      <c r="M666" s="799"/>
      <c r="N666" s="799"/>
      <c r="O666" s="799"/>
      <c r="P666" s="799"/>
      <c r="Q666" s="799"/>
      <c r="R666" s="799"/>
      <c r="S666" s="799"/>
      <c r="T666" s="799"/>
      <c r="U666" s="799"/>
      <c r="V666" s="799"/>
      <c r="W666" s="799"/>
      <c r="X666" s="799"/>
      <c r="Y666" s="799"/>
      <c r="Z666" s="799"/>
      <c r="AA666" s="799"/>
      <c r="AB666" s="799"/>
      <c r="AC666" s="799"/>
      <c r="AD666" s="799"/>
      <c r="AE666" s="799"/>
      <c r="AF666" s="799"/>
      <c r="AG666" s="799"/>
      <c r="AH666" s="799"/>
      <c r="AI666" s="799"/>
      <c r="AJ666" s="799"/>
      <c r="AK666" s="799"/>
      <c r="AL666" s="799"/>
      <c r="AM666" s="799"/>
      <c r="AN666" s="799"/>
      <c r="AO666" s="799"/>
      <c r="AP666" s="799"/>
      <c r="AQ666" s="799"/>
      <c r="AR666" s="799"/>
      <c r="AS666" s="799"/>
      <c r="AT666" s="799"/>
      <c r="AU666" s="799"/>
      <c r="AV666" s="799"/>
      <c r="AW666" s="799"/>
      <c r="AX666" s="799"/>
      <c r="AY666" s="799"/>
      <c r="AZ666" s="799"/>
      <c r="BA666" s="799"/>
      <c r="BB666" s="799"/>
      <c r="BC666" s="799"/>
      <c r="BD666" s="799"/>
      <c r="BE666" s="799"/>
      <c r="BF666" s="799"/>
      <c r="BG666" s="799"/>
    </row>
    <row r="667">
      <c r="H667" s="799"/>
      <c r="I667" s="799"/>
      <c r="J667" s="799"/>
      <c r="K667" s="799"/>
      <c r="L667" s="799"/>
      <c r="M667" s="799"/>
      <c r="N667" s="799"/>
      <c r="O667" s="799"/>
      <c r="P667" s="799"/>
      <c r="Q667" s="799"/>
      <c r="R667" s="799"/>
      <c r="S667" s="799"/>
      <c r="T667" s="799"/>
      <c r="U667" s="799"/>
      <c r="V667" s="799"/>
      <c r="W667" s="799"/>
      <c r="X667" s="799"/>
      <c r="Y667" s="799"/>
      <c r="Z667" s="799"/>
      <c r="AA667" s="799"/>
      <c r="AB667" s="799"/>
      <c r="AC667" s="799"/>
      <c r="AD667" s="799"/>
      <c r="AE667" s="799"/>
      <c r="AF667" s="799"/>
      <c r="AG667" s="799"/>
      <c r="AH667" s="799"/>
      <c r="AI667" s="799"/>
      <c r="AJ667" s="799"/>
      <c r="AK667" s="799"/>
      <c r="AL667" s="799"/>
      <c r="AM667" s="799"/>
      <c r="AN667" s="799"/>
      <c r="AO667" s="799"/>
      <c r="AP667" s="799"/>
      <c r="AQ667" s="799"/>
      <c r="AR667" s="799"/>
      <c r="AS667" s="799"/>
      <c r="AT667" s="799"/>
      <c r="AU667" s="799"/>
      <c r="AV667" s="799"/>
      <c r="AW667" s="799"/>
      <c r="AX667" s="799"/>
      <c r="AY667" s="799"/>
      <c r="AZ667" s="799"/>
      <c r="BA667" s="799"/>
      <c r="BB667" s="799"/>
      <c r="BC667" s="799"/>
      <c r="BD667" s="799"/>
      <c r="BE667" s="799"/>
      <c r="BF667" s="799"/>
      <c r="BG667" s="799"/>
    </row>
    <row r="668">
      <c r="H668" s="799"/>
      <c r="I668" s="799"/>
      <c r="J668" s="799"/>
      <c r="K668" s="799"/>
      <c r="L668" s="799"/>
      <c r="M668" s="799"/>
      <c r="N668" s="799"/>
      <c r="O668" s="799"/>
      <c r="P668" s="799"/>
      <c r="Q668" s="799"/>
      <c r="R668" s="799"/>
      <c r="S668" s="799"/>
      <c r="T668" s="799"/>
      <c r="U668" s="799"/>
      <c r="V668" s="799"/>
      <c r="W668" s="799"/>
      <c r="X668" s="799"/>
      <c r="Y668" s="799"/>
      <c r="Z668" s="799"/>
      <c r="AA668" s="799"/>
      <c r="AB668" s="799"/>
      <c r="AC668" s="799"/>
      <c r="AD668" s="799"/>
      <c r="AE668" s="799"/>
      <c r="AF668" s="799"/>
      <c r="AG668" s="799"/>
      <c r="AH668" s="799"/>
      <c r="AI668" s="799"/>
      <c r="AJ668" s="799"/>
      <c r="AK668" s="799"/>
      <c r="AL668" s="799"/>
      <c r="AM668" s="799"/>
      <c r="AN668" s="799"/>
      <c r="AO668" s="799"/>
      <c r="AP668" s="799"/>
      <c r="AQ668" s="799"/>
      <c r="AR668" s="799"/>
      <c r="AS668" s="799"/>
      <c r="AT668" s="799"/>
      <c r="AU668" s="799"/>
      <c r="AV668" s="799"/>
      <c r="AW668" s="799"/>
      <c r="AX668" s="799"/>
      <c r="AY668" s="799"/>
      <c r="AZ668" s="799"/>
      <c r="BA668" s="799"/>
      <c r="BB668" s="799"/>
      <c r="BC668" s="799"/>
      <c r="BD668" s="799"/>
      <c r="BE668" s="799"/>
      <c r="BF668" s="799"/>
      <c r="BG668" s="799"/>
    </row>
    <row r="669">
      <c r="H669" s="799"/>
      <c r="I669" s="799"/>
      <c r="J669" s="799"/>
      <c r="K669" s="799"/>
      <c r="L669" s="799"/>
      <c r="M669" s="799"/>
      <c r="N669" s="799"/>
      <c r="O669" s="799"/>
      <c r="P669" s="799"/>
      <c r="Q669" s="799"/>
      <c r="R669" s="799"/>
      <c r="S669" s="799"/>
      <c r="T669" s="799"/>
      <c r="U669" s="799"/>
      <c r="V669" s="799"/>
      <c r="W669" s="799"/>
      <c r="X669" s="799"/>
      <c r="Y669" s="799"/>
      <c r="Z669" s="799"/>
      <c r="AA669" s="799"/>
      <c r="AB669" s="799"/>
      <c r="AC669" s="799"/>
      <c r="AD669" s="799"/>
      <c r="AE669" s="799"/>
      <c r="AF669" s="799"/>
      <c r="AG669" s="799"/>
      <c r="AH669" s="799"/>
      <c r="AI669" s="799"/>
      <c r="AJ669" s="799"/>
      <c r="AK669" s="799"/>
      <c r="AL669" s="799"/>
      <c r="AM669" s="799"/>
      <c r="AN669" s="799"/>
      <c r="AO669" s="799"/>
      <c r="AP669" s="799"/>
      <c r="AQ669" s="799"/>
      <c r="AR669" s="799"/>
      <c r="AS669" s="799"/>
      <c r="AT669" s="799"/>
      <c r="AU669" s="799"/>
      <c r="AV669" s="799"/>
      <c r="AW669" s="799"/>
      <c r="AX669" s="799"/>
      <c r="AY669" s="799"/>
      <c r="AZ669" s="799"/>
      <c r="BA669" s="799"/>
      <c r="BB669" s="799"/>
      <c r="BC669" s="799"/>
      <c r="BD669" s="799"/>
      <c r="BE669" s="799"/>
      <c r="BF669" s="799"/>
      <c r="BG669" s="799"/>
    </row>
    <row r="670">
      <c r="H670" s="799"/>
      <c r="I670" s="799"/>
      <c r="J670" s="799"/>
      <c r="K670" s="799"/>
      <c r="L670" s="799"/>
      <c r="M670" s="799"/>
      <c r="N670" s="799"/>
      <c r="O670" s="799"/>
      <c r="P670" s="799"/>
      <c r="Q670" s="799"/>
      <c r="R670" s="799"/>
      <c r="S670" s="799"/>
      <c r="T670" s="799"/>
      <c r="U670" s="799"/>
      <c r="V670" s="799"/>
      <c r="W670" s="799"/>
      <c r="X670" s="799"/>
      <c r="Y670" s="799"/>
      <c r="Z670" s="799"/>
      <c r="AA670" s="799"/>
      <c r="AB670" s="799"/>
      <c r="AC670" s="799"/>
      <c r="AD670" s="799"/>
      <c r="AE670" s="799"/>
      <c r="AF670" s="799"/>
      <c r="AG670" s="799"/>
      <c r="AH670" s="799"/>
      <c r="AI670" s="799"/>
      <c r="AJ670" s="799"/>
      <c r="AK670" s="799"/>
      <c r="AL670" s="799"/>
      <c r="AM670" s="799"/>
      <c r="AN670" s="799"/>
      <c r="AO670" s="799"/>
      <c r="AP670" s="799"/>
      <c r="AQ670" s="799"/>
      <c r="AR670" s="799"/>
      <c r="AS670" s="799"/>
      <c r="AT670" s="799"/>
      <c r="AU670" s="799"/>
      <c r="AV670" s="799"/>
      <c r="AW670" s="799"/>
      <c r="AX670" s="799"/>
      <c r="AY670" s="799"/>
      <c r="AZ670" s="799"/>
      <c r="BA670" s="799"/>
      <c r="BB670" s="799"/>
      <c r="BC670" s="799"/>
      <c r="BD670" s="799"/>
      <c r="BE670" s="799"/>
      <c r="BF670" s="799"/>
      <c r="BG670" s="799"/>
    </row>
    <row r="671">
      <c r="H671" s="799"/>
      <c r="I671" s="799"/>
      <c r="J671" s="799"/>
      <c r="K671" s="799"/>
      <c r="L671" s="799"/>
      <c r="M671" s="799"/>
      <c r="N671" s="799"/>
      <c r="O671" s="799"/>
      <c r="P671" s="799"/>
      <c r="Q671" s="799"/>
      <c r="R671" s="799"/>
      <c r="S671" s="799"/>
      <c r="T671" s="799"/>
      <c r="U671" s="799"/>
      <c r="V671" s="799"/>
      <c r="W671" s="799"/>
      <c r="X671" s="799"/>
      <c r="Y671" s="799"/>
      <c r="Z671" s="799"/>
      <c r="AA671" s="799"/>
      <c r="AB671" s="799"/>
      <c r="AC671" s="799"/>
      <c r="AD671" s="799"/>
      <c r="AE671" s="799"/>
      <c r="AF671" s="799"/>
      <c r="AG671" s="799"/>
      <c r="AH671" s="799"/>
      <c r="AI671" s="799"/>
      <c r="AJ671" s="799"/>
      <c r="AK671" s="799"/>
      <c r="AL671" s="799"/>
      <c r="AM671" s="799"/>
      <c r="AN671" s="799"/>
      <c r="AO671" s="799"/>
      <c r="AP671" s="799"/>
      <c r="AQ671" s="799"/>
      <c r="AR671" s="799"/>
      <c r="AS671" s="799"/>
      <c r="AT671" s="799"/>
      <c r="AU671" s="799"/>
      <c r="AV671" s="799"/>
      <c r="AW671" s="799"/>
      <c r="AX671" s="799"/>
      <c r="AY671" s="799"/>
      <c r="AZ671" s="799"/>
      <c r="BA671" s="799"/>
      <c r="BB671" s="799"/>
      <c r="BC671" s="799"/>
      <c r="BD671" s="799"/>
      <c r="BE671" s="799"/>
      <c r="BF671" s="799"/>
      <c r="BG671" s="799"/>
    </row>
    <row r="672">
      <c r="H672" s="799"/>
      <c r="I672" s="799"/>
      <c r="J672" s="799"/>
      <c r="K672" s="799"/>
      <c r="L672" s="799"/>
      <c r="M672" s="799"/>
      <c r="N672" s="799"/>
      <c r="O672" s="799"/>
      <c r="P672" s="799"/>
      <c r="Q672" s="799"/>
      <c r="R672" s="799"/>
      <c r="S672" s="799"/>
      <c r="T672" s="799"/>
      <c r="U672" s="799"/>
      <c r="V672" s="799"/>
      <c r="W672" s="799"/>
      <c r="X672" s="799"/>
      <c r="Y672" s="799"/>
      <c r="Z672" s="799"/>
      <c r="AA672" s="799"/>
      <c r="AB672" s="799"/>
      <c r="AC672" s="799"/>
      <c r="AD672" s="799"/>
      <c r="AE672" s="799"/>
      <c r="AF672" s="799"/>
      <c r="AG672" s="799"/>
      <c r="AH672" s="799"/>
      <c r="AI672" s="799"/>
      <c r="AJ672" s="799"/>
      <c r="AK672" s="799"/>
      <c r="AL672" s="799"/>
      <c r="AM672" s="799"/>
      <c r="AN672" s="799"/>
      <c r="AO672" s="799"/>
      <c r="AP672" s="799"/>
      <c r="AQ672" s="799"/>
      <c r="AR672" s="799"/>
      <c r="AS672" s="799"/>
      <c r="AT672" s="799"/>
      <c r="AU672" s="799"/>
      <c r="AV672" s="799"/>
      <c r="AW672" s="799"/>
      <c r="AX672" s="799"/>
      <c r="AY672" s="799"/>
      <c r="AZ672" s="799"/>
      <c r="BA672" s="799"/>
      <c r="BB672" s="799"/>
      <c r="BC672" s="799"/>
      <c r="BD672" s="799"/>
      <c r="BE672" s="799"/>
      <c r="BF672" s="799"/>
      <c r="BG672" s="799"/>
    </row>
    <row r="673">
      <c r="H673" s="799"/>
      <c r="I673" s="799"/>
      <c r="J673" s="799"/>
      <c r="K673" s="799"/>
      <c r="L673" s="799"/>
      <c r="M673" s="799"/>
      <c r="N673" s="799"/>
      <c r="O673" s="799"/>
      <c r="P673" s="799"/>
      <c r="Q673" s="799"/>
      <c r="R673" s="799"/>
      <c r="S673" s="799"/>
      <c r="T673" s="799"/>
      <c r="U673" s="799"/>
      <c r="V673" s="799"/>
      <c r="W673" s="799"/>
      <c r="X673" s="799"/>
      <c r="Y673" s="799"/>
      <c r="Z673" s="799"/>
      <c r="AA673" s="799"/>
      <c r="AB673" s="799"/>
      <c r="AC673" s="799"/>
      <c r="AD673" s="799"/>
      <c r="AE673" s="799"/>
      <c r="AF673" s="799"/>
      <c r="AG673" s="799"/>
      <c r="AH673" s="799"/>
      <c r="AI673" s="799"/>
      <c r="AJ673" s="799"/>
      <c r="AK673" s="799"/>
      <c r="AL673" s="799"/>
      <c r="AM673" s="799"/>
      <c r="AN673" s="799"/>
      <c r="AO673" s="799"/>
      <c r="AP673" s="799"/>
      <c r="AQ673" s="799"/>
      <c r="AR673" s="799"/>
      <c r="AS673" s="799"/>
      <c r="AT673" s="799"/>
      <c r="AU673" s="799"/>
      <c r="AV673" s="799"/>
      <c r="AW673" s="799"/>
      <c r="AX673" s="799"/>
      <c r="AY673" s="799"/>
      <c r="AZ673" s="799"/>
      <c r="BA673" s="799"/>
      <c r="BB673" s="799"/>
      <c r="BC673" s="799"/>
      <c r="BD673" s="799"/>
      <c r="BE673" s="799"/>
      <c r="BF673" s="799"/>
      <c r="BG673" s="799"/>
    </row>
    <row r="674">
      <c r="H674" s="799"/>
      <c r="I674" s="799"/>
      <c r="J674" s="799"/>
      <c r="K674" s="799"/>
      <c r="L674" s="799"/>
      <c r="M674" s="799"/>
      <c r="N674" s="799"/>
      <c r="O674" s="799"/>
      <c r="P674" s="799"/>
      <c r="Q674" s="799"/>
      <c r="R674" s="799"/>
      <c r="S674" s="799"/>
      <c r="T674" s="799"/>
      <c r="U674" s="799"/>
      <c r="V674" s="799"/>
      <c r="W674" s="799"/>
      <c r="X674" s="799"/>
      <c r="Y674" s="799"/>
      <c r="Z674" s="799"/>
      <c r="AA674" s="799"/>
      <c r="AB674" s="799"/>
      <c r="AC674" s="799"/>
      <c r="AD674" s="799"/>
      <c r="AE674" s="799"/>
      <c r="AF674" s="799"/>
      <c r="AG674" s="799"/>
      <c r="AH674" s="799"/>
      <c r="AI674" s="799"/>
      <c r="AJ674" s="799"/>
      <c r="AK674" s="799"/>
      <c r="AL674" s="799"/>
      <c r="AM674" s="799"/>
      <c r="AN674" s="799"/>
      <c r="AO674" s="799"/>
      <c r="AP674" s="799"/>
      <c r="AQ674" s="799"/>
      <c r="AR674" s="799"/>
      <c r="AS674" s="799"/>
      <c r="AT674" s="799"/>
      <c r="AU674" s="799"/>
      <c r="AV674" s="799"/>
      <c r="AW674" s="799"/>
      <c r="AX674" s="799"/>
      <c r="AY674" s="799"/>
      <c r="AZ674" s="799"/>
      <c r="BA674" s="799"/>
      <c r="BB674" s="799"/>
      <c r="BC674" s="799"/>
      <c r="BD674" s="799"/>
      <c r="BE674" s="799"/>
      <c r="BF674" s="799"/>
      <c r="BG674" s="799"/>
    </row>
    <row r="675">
      <c r="H675" s="799"/>
      <c r="I675" s="799"/>
      <c r="J675" s="799"/>
      <c r="K675" s="799"/>
      <c r="L675" s="799"/>
      <c r="M675" s="799"/>
      <c r="N675" s="799"/>
      <c r="O675" s="799"/>
      <c r="P675" s="799"/>
      <c r="Q675" s="799"/>
      <c r="R675" s="799"/>
      <c r="S675" s="799"/>
      <c r="T675" s="799"/>
      <c r="U675" s="799"/>
      <c r="V675" s="799"/>
      <c r="W675" s="799"/>
      <c r="X675" s="799"/>
      <c r="Y675" s="799"/>
      <c r="Z675" s="799"/>
      <c r="AA675" s="799"/>
      <c r="AB675" s="799"/>
      <c r="AC675" s="799"/>
      <c r="AD675" s="799"/>
      <c r="AE675" s="799"/>
      <c r="AF675" s="799"/>
      <c r="AG675" s="799"/>
      <c r="AH675" s="799"/>
      <c r="AI675" s="799"/>
      <c r="AJ675" s="799"/>
      <c r="AK675" s="799"/>
      <c r="AL675" s="799"/>
      <c r="AM675" s="799"/>
      <c r="AN675" s="799"/>
      <c r="AO675" s="799"/>
      <c r="AP675" s="799"/>
      <c r="AQ675" s="799"/>
      <c r="AR675" s="799"/>
      <c r="AS675" s="799"/>
      <c r="AT675" s="799"/>
      <c r="AU675" s="799"/>
      <c r="AV675" s="799"/>
      <c r="AW675" s="799"/>
      <c r="AX675" s="799"/>
      <c r="AY675" s="799"/>
      <c r="AZ675" s="799"/>
      <c r="BA675" s="799"/>
      <c r="BB675" s="799"/>
      <c r="BC675" s="799"/>
      <c r="BD675" s="799"/>
      <c r="BE675" s="799"/>
      <c r="BF675" s="799"/>
      <c r="BG675" s="799"/>
    </row>
    <row r="676">
      <c r="H676" s="799"/>
      <c r="I676" s="799"/>
      <c r="J676" s="799"/>
      <c r="K676" s="799"/>
      <c r="L676" s="799"/>
      <c r="M676" s="799"/>
      <c r="N676" s="799"/>
      <c r="O676" s="799"/>
      <c r="P676" s="799"/>
      <c r="Q676" s="799"/>
      <c r="R676" s="799"/>
      <c r="S676" s="799"/>
      <c r="T676" s="799"/>
      <c r="U676" s="799"/>
      <c r="V676" s="799"/>
      <c r="W676" s="799"/>
      <c r="X676" s="799"/>
      <c r="Y676" s="799"/>
      <c r="Z676" s="799"/>
      <c r="AA676" s="799"/>
      <c r="AB676" s="799"/>
      <c r="AC676" s="799"/>
      <c r="AD676" s="799"/>
      <c r="AE676" s="799"/>
      <c r="AF676" s="799"/>
      <c r="AG676" s="799"/>
      <c r="AH676" s="799"/>
      <c r="AI676" s="799"/>
      <c r="AJ676" s="799"/>
      <c r="AK676" s="799"/>
      <c r="AL676" s="799"/>
      <c r="AM676" s="799"/>
      <c r="AN676" s="799"/>
      <c r="AO676" s="799"/>
      <c r="AP676" s="799"/>
      <c r="AQ676" s="799"/>
      <c r="AR676" s="799"/>
      <c r="AS676" s="799"/>
      <c r="AT676" s="799"/>
      <c r="AU676" s="799"/>
      <c r="AV676" s="799"/>
      <c r="AW676" s="799"/>
      <c r="AX676" s="799"/>
      <c r="AY676" s="799"/>
      <c r="AZ676" s="799"/>
      <c r="BA676" s="799"/>
      <c r="BB676" s="799"/>
      <c r="BC676" s="799"/>
      <c r="BD676" s="799"/>
      <c r="BE676" s="799"/>
      <c r="BF676" s="799"/>
      <c r="BG676" s="799"/>
    </row>
    <row r="677">
      <c r="H677" s="799"/>
      <c r="I677" s="799"/>
      <c r="J677" s="799"/>
      <c r="K677" s="799"/>
      <c r="L677" s="799"/>
      <c r="M677" s="799"/>
      <c r="N677" s="799"/>
      <c r="O677" s="799"/>
      <c r="P677" s="799"/>
      <c r="Q677" s="799"/>
      <c r="R677" s="799"/>
      <c r="S677" s="799"/>
      <c r="T677" s="799"/>
      <c r="U677" s="799"/>
      <c r="V677" s="799"/>
      <c r="W677" s="799"/>
      <c r="X677" s="799"/>
      <c r="Y677" s="799"/>
      <c r="Z677" s="799"/>
      <c r="AA677" s="799"/>
      <c r="AB677" s="799"/>
      <c r="AC677" s="799"/>
      <c r="AD677" s="799"/>
      <c r="AE677" s="799"/>
      <c r="AF677" s="799"/>
      <c r="AG677" s="799"/>
      <c r="AH677" s="799"/>
      <c r="AI677" s="799"/>
      <c r="AJ677" s="799"/>
      <c r="AK677" s="799"/>
      <c r="AL677" s="799"/>
      <c r="AM677" s="799"/>
      <c r="AN677" s="799"/>
      <c r="AO677" s="799"/>
      <c r="AP677" s="799"/>
      <c r="AQ677" s="799"/>
      <c r="AR677" s="799"/>
      <c r="AS677" s="799"/>
      <c r="AT677" s="799"/>
      <c r="AU677" s="799"/>
      <c r="AV677" s="799"/>
      <c r="AW677" s="799"/>
      <c r="AX677" s="799"/>
      <c r="AY677" s="799"/>
      <c r="AZ677" s="799"/>
      <c r="BA677" s="799"/>
      <c r="BB677" s="799"/>
      <c r="BC677" s="799"/>
      <c r="BD677" s="799"/>
      <c r="BE677" s="799"/>
      <c r="BF677" s="799"/>
      <c r="BG677" s="799"/>
    </row>
    <row r="678">
      <c r="H678" s="799"/>
      <c r="I678" s="799"/>
      <c r="J678" s="799"/>
      <c r="K678" s="799"/>
      <c r="L678" s="799"/>
      <c r="M678" s="799"/>
      <c r="N678" s="799"/>
      <c r="O678" s="799"/>
      <c r="P678" s="799"/>
      <c r="Q678" s="799"/>
      <c r="R678" s="799"/>
      <c r="S678" s="799"/>
      <c r="T678" s="799"/>
      <c r="U678" s="799"/>
      <c r="V678" s="799"/>
      <c r="W678" s="799"/>
      <c r="X678" s="799"/>
      <c r="Y678" s="799"/>
      <c r="Z678" s="799"/>
      <c r="AA678" s="799"/>
      <c r="AB678" s="799"/>
      <c r="AC678" s="799"/>
      <c r="AD678" s="799"/>
      <c r="AE678" s="799"/>
      <c r="AF678" s="799"/>
      <c r="AG678" s="799"/>
      <c r="AH678" s="799"/>
      <c r="AI678" s="799"/>
      <c r="AJ678" s="799"/>
      <c r="AK678" s="799"/>
      <c r="AL678" s="799"/>
      <c r="AM678" s="799"/>
      <c r="AN678" s="799"/>
      <c r="AO678" s="799"/>
      <c r="AP678" s="799"/>
      <c r="AQ678" s="799"/>
      <c r="AR678" s="799"/>
      <c r="AS678" s="799"/>
      <c r="AT678" s="799"/>
      <c r="AU678" s="799"/>
      <c r="AV678" s="799"/>
      <c r="AW678" s="799"/>
      <c r="AX678" s="799"/>
      <c r="AY678" s="799"/>
      <c r="AZ678" s="799"/>
      <c r="BA678" s="799"/>
      <c r="BB678" s="799"/>
      <c r="BC678" s="799"/>
      <c r="BD678" s="799"/>
      <c r="BE678" s="799"/>
      <c r="BF678" s="799"/>
      <c r="BG678" s="799"/>
    </row>
    <row r="679">
      <c r="H679" s="799"/>
      <c r="I679" s="799"/>
      <c r="J679" s="799"/>
      <c r="K679" s="799"/>
      <c r="L679" s="799"/>
      <c r="M679" s="799"/>
      <c r="N679" s="799"/>
      <c r="O679" s="799"/>
      <c r="P679" s="799"/>
      <c r="Q679" s="799"/>
      <c r="R679" s="799"/>
      <c r="S679" s="799"/>
      <c r="T679" s="799"/>
      <c r="U679" s="799"/>
      <c r="V679" s="799"/>
      <c r="W679" s="799"/>
      <c r="X679" s="799"/>
      <c r="Y679" s="799"/>
      <c r="Z679" s="799"/>
      <c r="AA679" s="799"/>
      <c r="AB679" s="799"/>
      <c r="AC679" s="799"/>
      <c r="AD679" s="799"/>
      <c r="AE679" s="799"/>
      <c r="AF679" s="799"/>
      <c r="AG679" s="799"/>
      <c r="AH679" s="799"/>
      <c r="AI679" s="799"/>
      <c r="AJ679" s="799"/>
      <c r="AK679" s="799"/>
      <c r="AL679" s="799"/>
      <c r="AM679" s="799"/>
      <c r="AN679" s="799"/>
      <c r="AO679" s="799"/>
      <c r="AP679" s="799"/>
      <c r="AQ679" s="799"/>
      <c r="AR679" s="799"/>
      <c r="AS679" s="799"/>
      <c r="AT679" s="799"/>
      <c r="AU679" s="799"/>
      <c r="AV679" s="799"/>
      <c r="AW679" s="799"/>
      <c r="AX679" s="799"/>
      <c r="AY679" s="799"/>
      <c r="AZ679" s="799"/>
      <c r="BA679" s="799"/>
      <c r="BB679" s="799"/>
      <c r="BC679" s="799"/>
      <c r="BD679" s="799"/>
      <c r="BE679" s="799"/>
      <c r="BF679" s="799"/>
      <c r="BG679" s="799"/>
    </row>
    <row r="680">
      <c r="H680" s="799"/>
      <c r="I680" s="799"/>
      <c r="J680" s="799"/>
      <c r="K680" s="799"/>
      <c r="L680" s="799"/>
      <c r="M680" s="799"/>
      <c r="N680" s="799"/>
      <c r="O680" s="799"/>
      <c r="P680" s="799"/>
      <c r="Q680" s="799"/>
      <c r="R680" s="799"/>
      <c r="S680" s="799"/>
      <c r="T680" s="799"/>
      <c r="U680" s="799"/>
      <c r="V680" s="799"/>
      <c r="W680" s="799"/>
      <c r="X680" s="799"/>
      <c r="Y680" s="799"/>
      <c r="Z680" s="799"/>
      <c r="AA680" s="799"/>
      <c r="AB680" s="799"/>
      <c r="AC680" s="799"/>
      <c r="AD680" s="799"/>
      <c r="AE680" s="799"/>
      <c r="AF680" s="799"/>
      <c r="AG680" s="799"/>
      <c r="AH680" s="799"/>
      <c r="AI680" s="799"/>
      <c r="AJ680" s="799"/>
      <c r="AK680" s="799"/>
      <c r="AL680" s="799"/>
      <c r="AM680" s="799"/>
      <c r="AN680" s="799"/>
      <c r="AO680" s="799"/>
      <c r="AP680" s="799"/>
      <c r="AQ680" s="799"/>
      <c r="AR680" s="799"/>
      <c r="AS680" s="799"/>
      <c r="AT680" s="799"/>
      <c r="AU680" s="799"/>
      <c r="AV680" s="799"/>
      <c r="AW680" s="799"/>
      <c r="AX680" s="799"/>
      <c r="AY680" s="799"/>
      <c r="AZ680" s="799"/>
      <c r="BA680" s="799"/>
      <c r="BB680" s="799"/>
      <c r="BC680" s="799"/>
      <c r="BD680" s="799"/>
      <c r="BE680" s="799"/>
      <c r="BF680" s="799"/>
      <c r="BG680" s="799"/>
    </row>
    <row r="681">
      <c r="H681" s="799"/>
      <c r="I681" s="799"/>
      <c r="J681" s="799"/>
      <c r="K681" s="799"/>
      <c r="L681" s="799"/>
      <c r="M681" s="799"/>
      <c r="N681" s="799"/>
      <c r="O681" s="799"/>
      <c r="P681" s="799"/>
      <c r="Q681" s="799"/>
      <c r="R681" s="799"/>
      <c r="S681" s="799"/>
      <c r="T681" s="799"/>
      <c r="U681" s="799"/>
      <c r="V681" s="799"/>
      <c r="W681" s="799"/>
      <c r="X681" s="799"/>
      <c r="Y681" s="799"/>
      <c r="Z681" s="799"/>
      <c r="AA681" s="799"/>
      <c r="AB681" s="799"/>
      <c r="AC681" s="799"/>
      <c r="AD681" s="799"/>
      <c r="AE681" s="799"/>
      <c r="AF681" s="799"/>
      <c r="AG681" s="799"/>
      <c r="AH681" s="799"/>
      <c r="AI681" s="799"/>
      <c r="AJ681" s="799"/>
      <c r="AK681" s="799"/>
      <c r="AL681" s="799"/>
      <c r="AM681" s="799"/>
      <c r="AN681" s="799"/>
      <c r="AO681" s="799"/>
      <c r="AP681" s="799"/>
      <c r="AQ681" s="799"/>
      <c r="AR681" s="799"/>
      <c r="AS681" s="799"/>
      <c r="AT681" s="799"/>
      <c r="AU681" s="799"/>
      <c r="AV681" s="799"/>
      <c r="AW681" s="799"/>
      <c r="AX681" s="799"/>
      <c r="AY681" s="799"/>
      <c r="AZ681" s="799"/>
      <c r="BA681" s="799"/>
      <c r="BB681" s="799"/>
      <c r="BC681" s="799"/>
      <c r="BD681" s="799"/>
      <c r="BE681" s="799"/>
      <c r="BF681" s="799"/>
      <c r="BG681" s="799"/>
    </row>
    <row r="682">
      <c r="H682" s="799"/>
      <c r="I682" s="799"/>
      <c r="J682" s="799"/>
      <c r="K682" s="799"/>
      <c r="L682" s="799"/>
      <c r="M682" s="799"/>
      <c r="N682" s="799"/>
      <c r="O682" s="799"/>
      <c r="P682" s="799"/>
      <c r="Q682" s="799"/>
      <c r="R682" s="799"/>
      <c r="S682" s="799"/>
      <c r="T682" s="799"/>
      <c r="U682" s="799"/>
      <c r="V682" s="799"/>
      <c r="W682" s="799"/>
      <c r="X682" s="799"/>
      <c r="Y682" s="799"/>
      <c r="Z682" s="799"/>
      <c r="AA682" s="799"/>
      <c r="AB682" s="799"/>
      <c r="AC682" s="799"/>
      <c r="AD682" s="799"/>
      <c r="AE682" s="799"/>
      <c r="AF682" s="799"/>
      <c r="AG682" s="799"/>
      <c r="AH682" s="799"/>
      <c r="AI682" s="799"/>
      <c r="AJ682" s="799"/>
      <c r="AK682" s="799"/>
      <c r="AL682" s="799"/>
      <c r="AM682" s="799"/>
      <c r="AN682" s="799"/>
      <c r="AO682" s="799"/>
      <c r="AP682" s="799"/>
      <c r="AQ682" s="799"/>
      <c r="AR682" s="799"/>
      <c r="AS682" s="799"/>
      <c r="AT682" s="799"/>
      <c r="AU682" s="799"/>
      <c r="AV682" s="799"/>
      <c r="AW682" s="799"/>
      <c r="AX682" s="799"/>
      <c r="AY682" s="799"/>
      <c r="AZ682" s="799"/>
      <c r="BA682" s="799"/>
      <c r="BB682" s="799"/>
      <c r="BC682" s="799"/>
      <c r="BD682" s="799"/>
      <c r="BE682" s="799"/>
      <c r="BF682" s="799"/>
      <c r="BG682" s="799"/>
    </row>
    <row r="683">
      <c r="H683" s="799"/>
      <c r="I683" s="799"/>
      <c r="J683" s="799"/>
      <c r="K683" s="799"/>
      <c r="L683" s="799"/>
      <c r="M683" s="799"/>
      <c r="N683" s="799"/>
      <c r="O683" s="799"/>
      <c r="P683" s="799"/>
      <c r="Q683" s="799"/>
      <c r="R683" s="799"/>
      <c r="S683" s="799"/>
      <c r="T683" s="799"/>
      <c r="U683" s="799"/>
      <c r="V683" s="799"/>
      <c r="W683" s="799"/>
      <c r="X683" s="799"/>
      <c r="Y683" s="799"/>
      <c r="Z683" s="799"/>
      <c r="AA683" s="799"/>
      <c r="AB683" s="799"/>
      <c r="AC683" s="799"/>
      <c r="AD683" s="799"/>
      <c r="AE683" s="799"/>
      <c r="AF683" s="799"/>
      <c r="AG683" s="799"/>
      <c r="AH683" s="799"/>
      <c r="AI683" s="799"/>
      <c r="AJ683" s="799"/>
      <c r="AK683" s="799"/>
      <c r="AL683" s="799"/>
      <c r="AM683" s="799"/>
      <c r="AN683" s="799"/>
      <c r="AO683" s="799"/>
      <c r="AP683" s="799"/>
      <c r="AQ683" s="799"/>
      <c r="AR683" s="799"/>
      <c r="AS683" s="799"/>
      <c r="AT683" s="799"/>
      <c r="AU683" s="799"/>
      <c r="AV683" s="799"/>
      <c r="AW683" s="799"/>
      <c r="AX683" s="799"/>
      <c r="AY683" s="799"/>
      <c r="AZ683" s="799"/>
      <c r="BA683" s="799"/>
      <c r="BB683" s="799"/>
      <c r="BC683" s="799"/>
      <c r="BD683" s="799"/>
      <c r="BE683" s="799"/>
      <c r="BF683" s="799"/>
      <c r="BG683" s="799"/>
    </row>
    <row r="684">
      <c r="H684" s="799"/>
      <c r="I684" s="799"/>
      <c r="J684" s="799"/>
      <c r="K684" s="799"/>
      <c r="L684" s="799"/>
      <c r="M684" s="799"/>
      <c r="N684" s="799"/>
      <c r="O684" s="799"/>
      <c r="P684" s="799"/>
      <c r="Q684" s="799"/>
      <c r="R684" s="799"/>
      <c r="S684" s="799"/>
      <c r="T684" s="799"/>
      <c r="U684" s="799"/>
      <c r="V684" s="799"/>
      <c r="W684" s="799"/>
      <c r="X684" s="799"/>
      <c r="Y684" s="799"/>
      <c r="Z684" s="799"/>
      <c r="AA684" s="799"/>
      <c r="AB684" s="799"/>
      <c r="AC684" s="799"/>
      <c r="AD684" s="799"/>
      <c r="AE684" s="799"/>
      <c r="AF684" s="799"/>
      <c r="AG684" s="799"/>
      <c r="AH684" s="799"/>
      <c r="AI684" s="799"/>
      <c r="AJ684" s="799"/>
      <c r="AK684" s="799"/>
      <c r="AL684" s="799"/>
      <c r="AM684" s="799"/>
      <c r="AN684" s="799"/>
      <c r="AO684" s="799"/>
      <c r="AP684" s="799"/>
      <c r="AQ684" s="799"/>
      <c r="AR684" s="799"/>
      <c r="AS684" s="799"/>
      <c r="AT684" s="799"/>
      <c r="AU684" s="799"/>
      <c r="AV684" s="799"/>
      <c r="AW684" s="799"/>
      <c r="AX684" s="799"/>
      <c r="AY684" s="799"/>
      <c r="AZ684" s="799"/>
      <c r="BA684" s="799"/>
      <c r="BB684" s="799"/>
      <c r="BC684" s="799"/>
      <c r="BD684" s="799"/>
      <c r="BE684" s="799"/>
      <c r="BF684" s="799"/>
      <c r="BG684" s="799"/>
    </row>
    <row r="685">
      <c r="H685" s="799"/>
      <c r="I685" s="799"/>
      <c r="J685" s="799"/>
      <c r="K685" s="799"/>
      <c r="L685" s="799"/>
      <c r="M685" s="799"/>
      <c r="N685" s="799"/>
      <c r="O685" s="799"/>
      <c r="P685" s="799"/>
      <c r="Q685" s="799"/>
      <c r="R685" s="799"/>
      <c r="S685" s="799"/>
      <c r="T685" s="799"/>
      <c r="U685" s="799"/>
      <c r="V685" s="799"/>
      <c r="W685" s="799"/>
      <c r="X685" s="799"/>
      <c r="Y685" s="799"/>
      <c r="Z685" s="799"/>
      <c r="AA685" s="799"/>
      <c r="AB685" s="799"/>
      <c r="AC685" s="799"/>
      <c r="AD685" s="799"/>
      <c r="AE685" s="799"/>
      <c r="AF685" s="799"/>
      <c r="AG685" s="799"/>
      <c r="AH685" s="799"/>
      <c r="AI685" s="799"/>
      <c r="AJ685" s="799"/>
      <c r="AK685" s="799"/>
      <c r="AL685" s="799"/>
      <c r="AM685" s="799"/>
      <c r="AN685" s="799"/>
      <c r="AO685" s="799"/>
      <c r="AP685" s="799"/>
      <c r="AQ685" s="799"/>
      <c r="AR685" s="799"/>
      <c r="AS685" s="799"/>
      <c r="AT685" s="799"/>
      <c r="AU685" s="799"/>
      <c r="AV685" s="799"/>
      <c r="AW685" s="799"/>
      <c r="AX685" s="799"/>
      <c r="AY685" s="799"/>
      <c r="AZ685" s="799"/>
      <c r="BA685" s="799"/>
      <c r="BB685" s="799"/>
      <c r="BC685" s="799"/>
      <c r="BD685" s="799"/>
      <c r="BE685" s="799"/>
      <c r="BF685" s="799"/>
      <c r="BG685" s="799"/>
    </row>
    <row r="686">
      <c r="H686" s="799"/>
      <c r="I686" s="799"/>
      <c r="J686" s="799"/>
      <c r="K686" s="799"/>
      <c r="L686" s="799"/>
      <c r="M686" s="799"/>
      <c r="N686" s="799"/>
      <c r="O686" s="799"/>
      <c r="P686" s="799"/>
      <c r="Q686" s="799"/>
      <c r="R686" s="799"/>
      <c r="S686" s="799"/>
      <c r="T686" s="799"/>
      <c r="U686" s="799"/>
      <c r="V686" s="799"/>
      <c r="W686" s="799"/>
      <c r="X686" s="799"/>
      <c r="Y686" s="799"/>
      <c r="Z686" s="799"/>
      <c r="AA686" s="799"/>
      <c r="AB686" s="799"/>
      <c r="AC686" s="799"/>
      <c r="AD686" s="799"/>
      <c r="AE686" s="799"/>
      <c r="AF686" s="799"/>
      <c r="AG686" s="799"/>
      <c r="AH686" s="799"/>
      <c r="AI686" s="799"/>
      <c r="AJ686" s="799"/>
      <c r="AK686" s="799"/>
      <c r="AL686" s="799"/>
      <c r="AM686" s="799"/>
      <c r="AN686" s="799"/>
      <c r="AO686" s="799"/>
      <c r="AP686" s="799"/>
      <c r="AQ686" s="799"/>
      <c r="AR686" s="799"/>
      <c r="AS686" s="799"/>
      <c r="AT686" s="799"/>
      <c r="AU686" s="799"/>
      <c r="AV686" s="799"/>
      <c r="AW686" s="799"/>
      <c r="AX686" s="799"/>
      <c r="AY686" s="799"/>
      <c r="AZ686" s="799"/>
      <c r="BA686" s="799"/>
      <c r="BB686" s="799"/>
      <c r="BC686" s="799"/>
      <c r="BD686" s="799"/>
      <c r="BE686" s="799"/>
      <c r="BF686" s="799"/>
      <c r="BG686" s="799"/>
    </row>
    <row r="687">
      <c r="H687" s="799"/>
      <c r="I687" s="799"/>
      <c r="J687" s="799"/>
      <c r="K687" s="799"/>
      <c r="L687" s="799"/>
      <c r="M687" s="799"/>
      <c r="N687" s="799"/>
      <c r="O687" s="799"/>
      <c r="P687" s="799"/>
      <c r="Q687" s="799"/>
      <c r="R687" s="799"/>
      <c r="S687" s="799"/>
      <c r="T687" s="799"/>
      <c r="U687" s="799"/>
      <c r="V687" s="799"/>
      <c r="W687" s="799"/>
      <c r="X687" s="799"/>
      <c r="Y687" s="799"/>
      <c r="Z687" s="799"/>
      <c r="AA687" s="799"/>
      <c r="AB687" s="799"/>
      <c r="AC687" s="799"/>
      <c r="AD687" s="799"/>
      <c r="AE687" s="799"/>
      <c r="AF687" s="799"/>
      <c r="AG687" s="799"/>
      <c r="AH687" s="799"/>
      <c r="AI687" s="799"/>
      <c r="AJ687" s="799"/>
      <c r="AK687" s="799"/>
      <c r="AL687" s="799"/>
      <c r="AM687" s="799"/>
      <c r="AN687" s="799"/>
      <c r="AO687" s="799"/>
      <c r="AP687" s="799"/>
      <c r="AQ687" s="799"/>
      <c r="AR687" s="799"/>
      <c r="AS687" s="799"/>
      <c r="AT687" s="799"/>
      <c r="AU687" s="799"/>
      <c r="AV687" s="799"/>
      <c r="AW687" s="799"/>
      <c r="AX687" s="799"/>
      <c r="AY687" s="799"/>
      <c r="AZ687" s="799"/>
      <c r="BA687" s="799"/>
      <c r="BB687" s="799"/>
      <c r="BC687" s="799"/>
      <c r="BD687" s="799"/>
      <c r="BE687" s="799"/>
      <c r="BF687" s="799"/>
      <c r="BG687" s="799"/>
    </row>
    <row r="688">
      <c r="H688" s="799"/>
      <c r="I688" s="799"/>
      <c r="J688" s="799"/>
      <c r="K688" s="799"/>
      <c r="L688" s="799"/>
      <c r="M688" s="799"/>
      <c r="N688" s="799"/>
      <c r="O688" s="799"/>
      <c r="P688" s="799"/>
      <c r="Q688" s="799"/>
      <c r="R688" s="799"/>
      <c r="S688" s="799"/>
      <c r="T688" s="799"/>
      <c r="U688" s="799"/>
      <c r="V688" s="799"/>
      <c r="W688" s="799"/>
      <c r="X688" s="799"/>
      <c r="Y688" s="799"/>
      <c r="Z688" s="799"/>
      <c r="AA688" s="799"/>
      <c r="AB688" s="799"/>
      <c r="AC688" s="799"/>
      <c r="AD688" s="799"/>
      <c r="AE688" s="799"/>
      <c r="AF688" s="799"/>
      <c r="AG688" s="799"/>
      <c r="AH688" s="799"/>
      <c r="AI688" s="799"/>
      <c r="AJ688" s="799"/>
      <c r="AK688" s="799"/>
      <c r="AL688" s="799"/>
      <c r="AM688" s="799"/>
      <c r="AN688" s="799"/>
      <c r="AO688" s="799"/>
      <c r="AP688" s="799"/>
      <c r="AQ688" s="799"/>
      <c r="AR688" s="799"/>
      <c r="AS688" s="799"/>
      <c r="AT688" s="799"/>
      <c r="AU688" s="799"/>
      <c r="AV688" s="799"/>
      <c r="AW688" s="799"/>
      <c r="AX688" s="799"/>
      <c r="AY688" s="799"/>
      <c r="AZ688" s="799"/>
      <c r="BA688" s="799"/>
      <c r="BB688" s="799"/>
      <c r="BC688" s="799"/>
      <c r="BD688" s="799"/>
      <c r="BE688" s="799"/>
      <c r="BF688" s="799"/>
      <c r="BG688" s="799"/>
    </row>
    <row r="689">
      <c r="H689" s="799"/>
      <c r="I689" s="799"/>
      <c r="J689" s="799"/>
      <c r="K689" s="799"/>
      <c r="L689" s="799"/>
      <c r="M689" s="799"/>
      <c r="N689" s="799"/>
      <c r="O689" s="799"/>
      <c r="P689" s="799"/>
      <c r="Q689" s="799"/>
      <c r="R689" s="799"/>
      <c r="S689" s="799"/>
      <c r="T689" s="799"/>
      <c r="U689" s="799"/>
      <c r="V689" s="799"/>
      <c r="W689" s="799"/>
      <c r="X689" s="799"/>
      <c r="Y689" s="799"/>
      <c r="Z689" s="799"/>
      <c r="AA689" s="799"/>
      <c r="AB689" s="799"/>
      <c r="AC689" s="799"/>
      <c r="AD689" s="799"/>
      <c r="AE689" s="799"/>
      <c r="AF689" s="799"/>
      <c r="AG689" s="799"/>
      <c r="AH689" s="799"/>
      <c r="AI689" s="799"/>
      <c r="AJ689" s="799"/>
      <c r="AK689" s="799"/>
      <c r="AL689" s="799"/>
      <c r="AM689" s="799"/>
      <c r="AN689" s="799"/>
      <c r="AO689" s="799"/>
      <c r="AP689" s="799"/>
      <c r="AQ689" s="799"/>
      <c r="AR689" s="799"/>
      <c r="AS689" s="799"/>
      <c r="AT689" s="799"/>
      <c r="AU689" s="799"/>
      <c r="AV689" s="799"/>
      <c r="AW689" s="799"/>
      <c r="AX689" s="799"/>
      <c r="AY689" s="799"/>
      <c r="AZ689" s="799"/>
      <c r="BA689" s="799"/>
      <c r="BB689" s="799"/>
      <c r="BC689" s="799"/>
      <c r="BD689" s="799"/>
      <c r="BE689" s="799"/>
      <c r="BF689" s="799"/>
      <c r="BG689" s="799"/>
    </row>
    <row r="690">
      <c r="H690" s="799"/>
      <c r="I690" s="799"/>
      <c r="J690" s="799"/>
      <c r="K690" s="799"/>
      <c r="L690" s="799"/>
      <c r="M690" s="799"/>
      <c r="N690" s="799"/>
      <c r="O690" s="799"/>
      <c r="P690" s="799"/>
      <c r="Q690" s="799"/>
      <c r="R690" s="799"/>
      <c r="S690" s="799"/>
      <c r="T690" s="799"/>
      <c r="U690" s="799"/>
      <c r="V690" s="799"/>
      <c r="W690" s="799"/>
      <c r="X690" s="799"/>
      <c r="Y690" s="799"/>
      <c r="Z690" s="799"/>
      <c r="AA690" s="799"/>
      <c r="AB690" s="799"/>
      <c r="AC690" s="799"/>
      <c r="AD690" s="799"/>
      <c r="AE690" s="799"/>
      <c r="AF690" s="799"/>
      <c r="AG690" s="799"/>
      <c r="AH690" s="799"/>
      <c r="AI690" s="799"/>
      <c r="AJ690" s="799"/>
      <c r="AK690" s="799"/>
      <c r="AL690" s="799"/>
      <c r="AM690" s="799"/>
      <c r="AN690" s="799"/>
      <c r="AO690" s="799"/>
      <c r="AP690" s="799"/>
      <c r="AQ690" s="799"/>
      <c r="AR690" s="799"/>
      <c r="AS690" s="799"/>
      <c r="AT690" s="799"/>
      <c r="AU690" s="799"/>
      <c r="AV690" s="799"/>
      <c r="AW690" s="799"/>
      <c r="AX690" s="799"/>
      <c r="AY690" s="799"/>
      <c r="AZ690" s="799"/>
      <c r="BA690" s="799"/>
      <c r="BB690" s="799"/>
      <c r="BC690" s="799"/>
      <c r="BD690" s="799"/>
      <c r="BE690" s="799"/>
      <c r="BF690" s="799"/>
      <c r="BG690" s="799"/>
    </row>
    <row r="691">
      <c r="H691" s="799"/>
      <c r="I691" s="799"/>
      <c r="J691" s="799"/>
      <c r="K691" s="799"/>
      <c r="L691" s="799"/>
      <c r="M691" s="799"/>
      <c r="N691" s="799"/>
      <c r="O691" s="799"/>
      <c r="P691" s="799"/>
      <c r="Q691" s="799"/>
      <c r="R691" s="799"/>
      <c r="S691" s="799"/>
      <c r="T691" s="799"/>
      <c r="U691" s="799"/>
      <c r="V691" s="799"/>
      <c r="W691" s="799"/>
      <c r="X691" s="799"/>
      <c r="Y691" s="799"/>
      <c r="Z691" s="799"/>
      <c r="AA691" s="799"/>
      <c r="AB691" s="799"/>
      <c r="AC691" s="799"/>
      <c r="AD691" s="799"/>
      <c r="AE691" s="799"/>
      <c r="AF691" s="799"/>
      <c r="AG691" s="799"/>
      <c r="AH691" s="799"/>
      <c r="AI691" s="799"/>
      <c r="AJ691" s="799"/>
      <c r="AK691" s="799"/>
      <c r="AL691" s="799"/>
      <c r="AM691" s="799"/>
      <c r="AN691" s="799"/>
      <c r="AO691" s="799"/>
      <c r="AP691" s="799"/>
      <c r="AQ691" s="799"/>
      <c r="AR691" s="799"/>
      <c r="AS691" s="799"/>
      <c r="AT691" s="799"/>
      <c r="AU691" s="799"/>
      <c r="AV691" s="799"/>
      <c r="AW691" s="799"/>
      <c r="AX691" s="799"/>
      <c r="AY691" s="799"/>
      <c r="AZ691" s="799"/>
      <c r="BA691" s="799"/>
      <c r="BB691" s="799"/>
      <c r="BC691" s="799"/>
      <c r="BD691" s="799"/>
      <c r="BE691" s="799"/>
      <c r="BF691" s="799"/>
      <c r="BG691" s="799"/>
    </row>
    <row r="692">
      <c r="H692" s="799"/>
      <c r="I692" s="799"/>
      <c r="J692" s="799"/>
      <c r="K692" s="799"/>
      <c r="L692" s="799"/>
      <c r="M692" s="799"/>
      <c r="N692" s="799"/>
      <c r="O692" s="799"/>
      <c r="P692" s="799"/>
      <c r="Q692" s="799"/>
      <c r="R692" s="799"/>
      <c r="S692" s="799"/>
      <c r="T692" s="799"/>
      <c r="U692" s="799"/>
      <c r="V692" s="799"/>
      <c r="W692" s="799"/>
      <c r="X692" s="799"/>
      <c r="Y692" s="799"/>
      <c r="Z692" s="799"/>
      <c r="AA692" s="799"/>
      <c r="AB692" s="799"/>
      <c r="AC692" s="799"/>
      <c r="AD692" s="799"/>
      <c r="AE692" s="799"/>
      <c r="AF692" s="799"/>
      <c r="AG692" s="799"/>
      <c r="AH692" s="799"/>
      <c r="AI692" s="799"/>
      <c r="AJ692" s="799"/>
      <c r="AK692" s="799"/>
      <c r="AL692" s="799"/>
      <c r="AM692" s="799"/>
      <c r="AN692" s="799"/>
      <c r="AO692" s="799"/>
      <c r="AP692" s="799"/>
      <c r="AQ692" s="799"/>
      <c r="AR692" s="799"/>
      <c r="AS692" s="799"/>
      <c r="AT692" s="799"/>
      <c r="AU692" s="799"/>
      <c r="AV692" s="799"/>
      <c r="AW692" s="799"/>
      <c r="AX692" s="799"/>
      <c r="AY692" s="799"/>
      <c r="AZ692" s="799"/>
      <c r="BA692" s="799"/>
      <c r="BB692" s="799"/>
      <c r="BC692" s="799"/>
      <c r="BD692" s="799"/>
      <c r="BE692" s="799"/>
      <c r="BF692" s="799"/>
      <c r="BG692" s="799"/>
    </row>
    <row r="693">
      <c r="H693" s="799"/>
      <c r="I693" s="799"/>
      <c r="J693" s="799"/>
      <c r="K693" s="799"/>
      <c r="L693" s="799"/>
      <c r="M693" s="799"/>
      <c r="N693" s="799"/>
      <c r="O693" s="799"/>
      <c r="P693" s="799"/>
      <c r="Q693" s="799"/>
      <c r="R693" s="799"/>
      <c r="S693" s="799"/>
      <c r="T693" s="799"/>
      <c r="U693" s="799"/>
      <c r="V693" s="799"/>
      <c r="W693" s="799"/>
      <c r="X693" s="799"/>
      <c r="Y693" s="799"/>
      <c r="Z693" s="799"/>
      <c r="AA693" s="799"/>
      <c r="AB693" s="799"/>
      <c r="AC693" s="799"/>
      <c r="AD693" s="799"/>
      <c r="AE693" s="799"/>
      <c r="AF693" s="799"/>
      <c r="AG693" s="799"/>
      <c r="AH693" s="799"/>
      <c r="AI693" s="799"/>
      <c r="AJ693" s="799"/>
      <c r="AK693" s="799"/>
      <c r="AL693" s="799"/>
      <c r="AM693" s="799"/>
      <c r="AN693" s="799"/>
      <c r="AO693" s="799"/>
      <c r="AP693" s="799"/>
      <c r="AQ693" s="799"/>
      <c r="AR693" s="799"/>
      <c r="AS693" s="799"/>
      <c r="AT693" s="799"/>
      <c r="AU693" s="799"/>
      <c r="AV693" s="799"/>
      <c r="AW693" s="799"/>
      <c r="AX693" s="799"/>
      <c r="AY693" s="799"/>
      <c r="AZ693" s="799"/>
      <c r="BA693" s="799"/>
      <c r="BB693" s="799"/>
      <c r="BC693" s="799"/>
      <c r="BD693" s="799"/>
      <c r="BE693" s="799"/>
      <c r="BF693" s="799"/>
      <c r="BG693" s="799"/>
    </row>
    <row r="694">
      <c r="H694" s="799"/>
      <c r="I694" s="799"/>
      <c r="J694" s="799"/>
      <c r="K694" s="799"/>
      <c r="L694" s="799"/>
      <c r="M694" s="799"/>
      <c r="N694" s="799"/>
      <c r="O694" s="799"/>
      <c r="P694" s="799"/>
      <c r="Q694" s="799"/>
      <c r="R694" s="799"/>
      <c r="S694" s="799"/>
      <c r="T694" s="799"/>
      <c r="U694" s="799"/>
      <c r="V694" s="799"/>
      <c r="W694" s="799"/>
      <c r="X694" s="799"/>
      <c r="Y694" s="799"/>
      <c r="Z694" s="799"/>
      <c r="AA694" s="799"/>
      <c r="AB694" s="799"/>
      <c r="AC694" s="799"/>
      <c r="AD694" s="799"/>
      <c r="AE694" s="799"/>
      <c r="AF694" s="799"/>
      <c r="AG694" s="799"/>
      <c r="AH694" s="799"/>
      <c r="AI694" s="799"/>
      <c r="AJ694" s="799"/>
      <c r="AK694" s="799"/>
      <c r="AL694" s="799"/>
      <c r="AM694" s="799"/>
      <c r="AN694" s="799"/>
      <c r="AO694" s="799"/>
      <c r="AP694" s="799"/>
      <c r="AQ694" s="799"/>
      <c r="AR694" s="799"/>
      <c r="AS694" s="799"/>
      <c r="AT694" s="799"/>
      <c r="AU694" s="799"/>
      <c r="AV694" s="799"/>
      <c r="AW694" s="799"/>
      <c r="AX694" s="799"/>
      <c r="AY694" s="799"/>
      <c r="AZ694" s="799"/>
      <c r="BA694" s="799"/>
      <c r="BB694" s="799"/>
      <c r="BC694" s="799"/>
      <c r="BD694" s="799"/>
      <c r="BE694" s="799"/>
      <c r="BF694" s="799"/>
      <c r="BG694" s="799"/>
    </row>
    <row r="695">
      <c r="H695" s="799"/>
      <c r="I695" s="799"/>
      <c r="J695" s="799"/>
      <c r="K695" s="799"/>
      <c r="L695" s="799"/>
      <c r="M695" s="799"/>
      <c r="N695" s="799"/>
      <c r="O695" s="799"/>
      <c r="P695" s="799"/>
      <c r="Q695" s="799"/>
      <c r="R695" s="799"/>
      <c r="S695" s="799"/>
      <c r="T695" s="799"/>
      <c r="U695" s="799"/>
      <c r="V695" s="799"/>
      <c r="W695" s="799"/>
      <c r="X695" s="799"/>
      <c r="Y695" s="799"/>
      <c r="Z695" s="799"/>
      <c r="AA695" s="799"/>
      <c r="AB695" s="799"/>
      <c r="AC695" s="799"/>
      <c r="AD695" s="799"/>
      <c r="AE695" s="799"/>
      <c r="AF695" s="799"/>
      <c r="AG695" s="799"/>
      <c r="AH695" s="799"/>
      <c r="AI695" s="799"/>
      <c r="AJ695" s="799"/>
      <c r="AK695" s="799"/>
      <c r="AL695" s="799"/>
      <c r="AM695" s="799"/>
      <c r="AN695" s="799"/>
      <c r="AO695" s="799"/>
      <c r="AP695" s="799"/>
      <c r="AQ695" s="799"/>
      <c r="AR695" s="799"/>
      <c r="AS695" s="799"/>
      <c r="AT695" s="799"/>
      <c r="AU695" s="799"/>
      <c r="AV695" s="799"/>
      <c r="AW695" s="799"/>
      <c r="AX695" s="799"/>
      <c r="AY695" s="799"/>
      <c r="AZ695" s="799"/>
      <c r="BA695" s="799"/>
      <c r="BB695" s="799"/>
      <c r="BC695" s="799"/>
      <c r="BD695" s="799"/>
      <c r="BE695" s="799"/>
      <c r="BF695" s="799"/>
      <c r="BG695" s="799"/>
    </row>
    <row r="696">
      <c r="H696" s="799"/>
      <c r="I696" s="799"/>
      <c r="J696" s="799"/>
      <c r="K696" s="799"/>
      <c r="L696" s="799"/>
      <c r="M696" s="799"/>
      <c r="N696" s="799"/>
      <c r="O696" s="799"/>
      <c r="P696" s="799"/>
      <c r="Q696" s="799"/>
      <c r="R696" s="799"/>
      <c r="S696" s="799"/>
      <c r="T696" s="799"/>
      <c r="U696" s="799"/>
      <c r="V696" s="799"/>
      <c r="W696" s="799"/>
      <c r="X696" s="799"/>
      <c r="Y696" s="799"/>
      <c r="Z696" s="799"/>
      <c r="AA696" s="799"/>
      <c r="AB696" s="799"/>
      <c r="AC696" s="799"/>
      <c r="AD696" s="799"/>
      <c r="AE696" s="799"/>
      <c r="AF696" s="799"/>
      <c r="AG696" s="799"/>
      <c r="AH696" s="799"/>
      <c r="AI696" s="799"/>
      <c r="AJ696" s="799"/>
      <c r="AK696" s="799"/>
      <c r="AL696" s="799"/>
      <c r="AM696" s="799"/>
      <c r="AN696" s="799"/>
      <c r="AO696" s="799"/>
      <c r="AP696" s="799"/>
      <c r="AQ696" s="799"/>
      <c r="AR696" s="799"/>
      <c r="AS696" s="799"/>
      <c r="AT696" s="799"/>
      <c r="AU696" s="799"/>
      <c r="AV696" s="799"/>
      <c r="AW696" s="799"/>
      <c r="AX696" s="799"/>
      <c r="AY696" s="799"/>
      <c r="AZ696" s="799"/>
      <c r="BA696" s="799"/>
      <c r="BB696" s="799"/>
      <c r="BC696" s="799"/>
      <c r="BD696" s="799"/>
      <c r="BE696" s="799"/>
      <c r="BF696" s="799"/>
      <c r="BG696" s="799"/>
    </row>
    <row r="697">
      <c r="H697" s="799"/>
      <c r="I697" s="799"/>
      <c r="J697" s="799"/>
      <c r="K697" s="799"/>
      <c r="L697" s="799"/>
      <c r="M697" s="799"/>
      <c r="N697" s="799"/>
      <c r="O697" s="799"/>
      <c r="P697" s="799"/>
      <c r="Q697" s="799"/>
      <c r="R697" s="799"/>
      <c r="S697" s="799"/>
      <c r="T697" s="799"/>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799"/>
      <c r="AX697" s="799"/>
      <c r="AY697" s="799"/>
      <c r="AZ697" s="799"/>
      <c r="BA697" s="799"/>
      <c r="BB697" s="799"/>
      <c r="BC697" s="799"/>
      <c r="BD697" s="799"/>
      <c r="BE697" s="799"/>
      <c r="BF697" s="799"/>
      <c r="BG697" s="799"/>
    </row>
    <row r="698">
      <c r="H698" s="799"/>
      <c r="I698" s="799"/>
      <c r="J698" s="799"/>
      <c r="K698" s="799"/>
      <c r="L698" s="799"/>
      <c r="M698" s="799"/>
      <c r="N698" s="799"/>
      <c r="O698" s="799"/>
      <c r="P698" s="799"/>
      <c r="Q698" s="799"/>
      <c r="R698" s="799"/>
      <c r="S698" s="799"/>
      <c r="T698" s="799"/>
      <c r="U698" s="799"/>
      <c r="V698" s="799"/>
      <c r="W698" s="799"/>
      <c r="X698" s="799"/>
      <c r="Y698" s="799"/>
      <c r="Z698" s="799"/>
      <c r="AA698" s="799"/>
      <c r="AB698" s="799"/>
      <c r="AC698" s="799"/>
      <c r="AD698" s="799"/>
      <c r="AE698" s="799"/>
      <c r="AF698" s="799"/>
      <c r="AG698" s="799"/>
      <c r="AH698" s="799"/>
      <c r="AI698" s="799"/>
      <c r="AJ698" s="799"/>
      <c r="AK698" s="799"/>
      <c r="AL698" s="799"/>
      <c r="AM698" s="799"/>
      <c r="AN698" s="799"/>
      <c r="AO698" s="799"/>
      <c r="AP698" s="799"/>
      <c r="AQ698" s="799"/>
      <c r="AR698" s="799"/>
      <c r="AS698" s="799"/>
      <c r="AT698" s="799"/>
      <c r="AU698" s="799"/>
      <c r="AV698" s="799"/>
      <c r="AW698" s="799"/>
      <c r="AX698" s="799"/>
      <c r="AY698" s="799"/>
      <c r="AZ698" s="799"/>
      <c r="BA698" s="799"/>
      <c r="BB698" s="799"/>
      <c r="BC698" s="799"/>
      <c r="BD698" s="799"/>
      <c r="BE698" s="799"/>
      <c r="BF698" s="799"/>
      <c r="BG698" s="799"/>
    </row>
    <row r="699">
      <c r="H699" s="799"/>
      <c r="I699" s="799"/>
      <c r="J699" s="799"/>
      <c r="K699" s="799"/>
      <c r="L699" s="799"/>
      <c r="M699" s="799"/>
      <c r="N699" s="799"/>
      <c r="O699" s="799"/>
      <c r="P699" s="799"/>
      <c r="Q699" s="799"/>
      <c r="R699" s="799"/>
      <c r="S699" s="799"/>
      <c r="T699" s="799"/>
      <c r="U699" s="799"/>
      <c r="V699" s="799"/>
      <c r="W699" s="799"/>
      <c r="X699" s="799"/>
      <c r="Y699" s="799"/>
      <c r="Z699" s="799"/>
      <c r="AA699" s="799"/>
      <c r="AB699" s="799"/>
      <c r="AC699" s="799"/>
      <c r="AD699" s="799"/>
      <c r="AE699" s="799"/>
      <c r="AF699" s="799"/>
      <c r="AG699" s="799"/>
      <c r="AH699" s="799"/>
      <c r="AI699" s="799"/>
      <c r="AJ699" s="799"/>
      <c r="AK699" s="799"/>
      <c r="AL699" s="799"/>
      <c r="AM699" s="799"/>
      <c r="AN699" s="799"/>
      <c r="AO699" s="799"/>
      <c r="AP699" s="799"/>
      <c r="AQ699" s="799"/>
      <c r="AR699" s="799"/>
      <c r="AS699" s="799"/>
      <c r="AT699" s="799"/>
      <c r="AU699" s="799"/>
      <c r="AV699" s="799"/>
      <c r="AW699" s="799"/>
      <c r="AX699" s="799"/>
      <c r="AY699" s="799"/>
      <c r="AZ699" s="799"/>
      <c r="BA699" s="799"/>
      <c r="BB699" s="799"/>
      <c r="BC699" s="799"/>
      <c r="BD699" s="799"/>
      <c r="BE699" s="799"/>
      <c r="BF699" s="799"/>
      <c r="BG699" s="799"/>
    </row>
    <row r="700">
      <c r="H700" s="799"/>
      <c r="I700" s="799"/>
      <c r="J700" s="799"/>
      <c r="K700" s="799"/>
      <c r="L700" s="799"/>
      <c r="M700" s="799"/>
      <c r="N700" s="799"/>
      <c r="O700" s="799"/>
      <c r="P700" s="799"/>
      <c r="Q700" s="799"/>
      <c r="R700" s="799"/>
      <c r="S700" s="799"/>
      <c r="T700" s="799"/>
      <c r="U700" s="799"/>
      <c r="V700" s="799"/>
      <c r="W700" s="799"/>
      <c r="X700" s="799"/>
      <c r="Y700" s="799"/>
      <c r="Z700" s="799"/>
      <c r="AA700" s="799"/>
      <c r="AB700" s="799"/>
      <c r="AC700" s="799"/>
      <c r="AD700" s="799"/>
      <c r="AE700" s="799"/>
      <c r="AF700" s="799"/>
      <c r="AG700" s="799"/>
      <c r="AH700" s="799"/>
      <c r="AI700" s="799"/>
      <c r="AJ700" s="799"/>
      <c r="AK700" s="799"/>
      <c r="AL700" s="799"/>
      <c r="AM700" s="799"/>
      <c r="AN700" s="799"/>
      <c r="AO700" s="799"/>
      <c r="AP700" s="799"/>
      <c r="AQ700" s="799"/>
      <c r="AR700" s="799"/>
      <c r="AS700" s="799"/>
      <c r="AT700" s="799"/>
      <c r="AU700" s="799"/>
      <c r="AV700" s="799"/>
      <c r="AW700" s="799"/>
      <c r="AX700" s="799"/>
      <c r="AY700" s="799"/>
      <c r="AZ700" s="799"/>
      <c r="BA700" s="799"/>
      <c r="BB700" s="799"/>
      <c r="BC700" s="799"/>
      <c r="BD700" s="799"/>
      <c r="BE700" s="799"/>
      <c r="BF700" s="799"/>
      <c r="BG700" s="799"/>
    </row>
    <row r="701">
      <c r="H701" s="799"/>
      <c r="I701" s="799"/>
      <c r="J701" s="799"/>
      <c r="K701" s="799"/>
      <c r="L701" s="799"/>
      <c r="M701" s="799"/>
      <c r="N701" s="799"/>
      <c r="O701" s="799"/>
      <c r="P701" s="799"/>
      <c r="Q701" s="799"/>
      <c r="R701" s="799"/>
      <c r="S701" s="799"/>
      <c r="T701" s="799"/>
      <c r="U701" s="799"/>
      <c r="V701" s="799"/>
      <c r="W701" s="799"/>
      <c r="X701" s="799"/>
      <c r="Y701" s="799"/>
      <c r="Z701" s="799"/>
      <c r="AA701" s="799"/>
      <c r="AB701" s="799"/>
      <c r="AC701" s="799"/>
      <c r="AD701" s="799"/>
      <c r="AE701" s="799"/>
      <c r="AF701" s="799"/>
      <c r="AG701" s="799"/>
      <c r="AH701" s="799"/>
      <c r="AI701" s="799"/>
      <c r="AJ701" s="799"/>
      <c r="AK701" s="799"/>
      <c r="AL701" s="799"/>
      <c r="AM701" s="799"/>
      <c r="AN701" s="799"/>
      <c r="AO701" s="799"/>
      <c r="AP701" s="799"/>
      <c r="AQ701" s="799"/>
      <c r="AR701" s="799"/>
      <c r="AS701" s="799"/>
      <c r="AT701" s="799"/>
      <c r="AU701" s="799"/>
      <c r="AV701" s="799"/>
      <c r="AW701" s="799"/>
      <c r="AX701" s="799"/>
      <c r="AY701" s="799"/>
      <c r="AZ701" s="799"/>
      <c r="BA701" s="799"/>
      <c r="BB701" s="799"/>
      <c r="BC701" s="799"/>
      <c r="BD701" s="799"/>
      <c r="BE701" s="799"/>
      <c r="BF701" s="799"/>
      <c r="BG701" s="799"/>
    </row>
    <row r="702">
      <c r="H702" s="799"/>
      <c r="I702" s="799"/>
      <c r="J702" s="799"/>
      <c r="K702" s="799"/>
      <c r="L702" s="799"/>
      <c r="M702" s="799"/>
      <c r="N702" s="799"/>
      <c r="O702" s="799"/>
      <c r="P702" s="799"/>
      <c r="Q702" s="799"/>
      <c r="R702" s="799"/>
      <c r="S702" s="799"/>
      <c r="T702" s="799"/>
      <c r="U702" s="799"/>
      <c r="V702" s="799"/>
      <c r="W702" s="799"/>
      <c r="X702" s="799"/>
      <c r="Y702" s="799"/>
      <c r="Z702" s="799"/>
      <c r="AA702" s="799"/>
      <c r="AB702" s="799"/>
      <c r="AC702" s="799"/>
      <c r="AD702" s="799"/>
      <c r="AE702" s="799"/>
      <c r="AF702" s="799"/>
      <c r="AG702" s="799"/>
      <c r="AH702" s="799"/>
      <c r="AI702" s="799"/>
      <c r="AJ702" s="799"/>
      <c r="AK702" s="799"/>
      <c r="AL702" s="799"/>
      <c r="AM702" s="799"/>
      <c r="AN702" s="799"/>
      <c r="AO702" s="799"/>
      <c r="AP702" s="799"/>
      <c r="AQ702" s="799"/>
      <c r="AR702" s="799"/>
      <c r="AS702" s="799"/>
      <c r="AT702" s="799"/>
      <c r="AU702" s="799"/>
      <c r="AV702" s="799"/>
      <c r="AW702" s="799"/>
      <c r="AX702" s="799"/>
      <c r="AY702" s="799"/>
      <c r="AZ702" s="799"/>
      <c r="BA702" s="799"/>
      <c r="BB702" s="799"/>
      <c r="BC702" s="799"/>
      <c r="BD702" s="799"/>
      <c r="BE702" s="799"/>
      <c r="BF702" s="799"/>
      <c r="BG702" s="799"/>
    </row>
    <row r="703">
      <c r="H703" s="799"/>
      <c r="I703" s="799"/>
      <c r="J703" s="799"/>
      <c r="K703" s="799"/>
      <c r="L703" s="799"/>
      <c r="M703" s="799"/>
      <c r="N703" s="799"/>
      <c r="O703" s="799"/>
      <c r="P703" s="799"/>
      <c r="Q703" s="799"/>
      <c r="R703" s="799"/>
      <c r="S703" s="799"/>
      <c r="T703" s="799"/>
      <c r="U703" s="799"/>
      <c r="V703" s="799"/>
      <c r="W703" s="799"/>
      <c r="X703" s="799"/>
      <c r="Y703" s="799"/>
      <c r="Z703" s="799"/>
      <c r="AA703" s="799"/>
      <c r="AB703" s="799"/>
      <c r="AC703" s="799"/>
      <c r="AD703" s="799"/>
      <c r="AE703" s="799"/>
      <c r="AF703" s="799"/>
      <c r="AG703" s="799"/>
      <c r="AH703" s="799"/>
      <c r="AI703" s="799"/>
      <c r="AJ703" s="799"/>
      <c r="AK703" s="799"/>
      <c r="AL703" s="799"/>
      <c r="AM703" s="799"/>
      <c r="AN703" s="799"/>
      <c r="AO703" s="799"/>
      <c r="AP703" s="799"/>
      <c r="AQ703" s="799"/>
      <c r="AR703" s="799"/>
      <c r="AS703" s="799"/>
      <c r="AT703" s="799"/>
      <c r="AU703" s="799"/>
      <c r="AV703" s="799"/>
      <c r="AW703" s="799"/>
      <c r="AX703" s="799"/>
      <c r="AY703" s="799"/>
      <c r="AZ703" s="799"/>
      <c r="BA703" s="799"/>
      <c r="BB703" s="799"/>
      <c r="BC703" s="799"/>
      <c r="BD703" s="799"/>
      <c r="BE703" s="799"/>
      <c r="BF703" s="799"/>
      <c r="BG703" s="799"/>
    </row>
    <row r="704">
      <c r="H704" s="799"/>
      <c r="I704" s="799"/>
      <c r="J704" s="799"/>
      <c r="K704" s="799"/>
      <c r="L704" s="799"/>
      <c r="M704" s="799"/>
      <c r="N704" s="799"/>
      <c r="O704" s="799"/>
      <c r="P704" s="799"/>
      <c r="Q704" s="799"/>
      <c r="R704" s="799"/>
      <c r="S704" s="799"/>
      <c r="T704" s="799"/>
      <c r="U704" s="799"/>
      <c r="V704" s="799"/>
      <c r="W704" s="799"/>
      <c r="X704" s="799"/>
      <c r="Y704" s="799"/>
      <c r="Z704" s="799"/>
      <c r="AA704" s="799"/>
      <c r="AB704" s="799"/>
      <c r="AC704" s="799"/>
      <c r="AD704" s="799"/>
      <c r="AE704" s="799"/>
      <c r="AF704" s="799"/>
      <c r="AG704" s="799"/>
      <c r="AH704" s="799"/>
      <c r="AI704" s="799"/>
      <c r="AJ704" s="799"/>
      <c r="AK704" s="799"/>
      <c r="AL704" s="799"/>
      <c r="AM704" s="799"/>
      <c r="AN704" s="799"/>
      <c r="AO704" s="799"/>
      <c r="AP704" s="799"/>
      <c r="AQ704" s="799"/>
      <c r="AR704" s="799"/>
      <c r="AS704" s="799"/>
      <c r="AT704" s="799"/>
      <c r="AU704" s="799"/>
      <c r="AV704" s="799"/>
      <c r="AW704" s="799"/>
      <c r="AX704" s="799"/>
      <c r="AY704" s="799"/>
      <c r="AZ704" s="799"/>
      <c r="BA704" s="799"/>
      <c r="BB704" s="799"/>
      <c r="BC704" s="799"/>
      <c r="BD704" s="799"/>
      <c r="BE704" s="799"/>
      <c r="BF704" s="799"/>
      <c r="BG704" s="799"/>
    </row>
    <row r="705">
      <c r="H705" s="799"/>
      <c r="I705" s="799"/>
      <c r="J705" s="799"/>
      <c r="K705" s="799"/>
      <c r="L705" s="799"/>
      <c r="M705" s="799"/>
      <c r="N705" s="799"/>
      <c r="O705" s="799"/>
      <c r="P705" s="799"/>
      <c r="Q705" s="799"/>
      <c r="R705" s="799"/>
      <c r="S705" s="799"/>
      <c r="T705" s="799"/>
      <c r="U705" s="799"/>
      <c r="V705" s="799"/>
      <c r="W705" s="799"/>
      <c r="X705" s="799"/>
      <c r="Y705" s="799"/>
      <c r="Z705" s="799"/>
      <c r="AA705" s="799"/>
      <c r="AB705" s="799"/>
      <c r="AC705" s="799"/>
      <c r="AD705" s="799"/>
      <c r="AE705" s="799"/>
      <c r="AF705" s="799"/>
      <c r="AG705" s="799"/>
      <c r="AH705" s="799"/>
      <c r="AI705" s="799"/>
      <c r="AJ705" s="799"/>
      <c r="AK705" s="799"/>
      <c r="AL705" s="799"/>
      <c r="AM705" s="799"/>
      <c r="AN705" s="799"/>
      <c r="AO705" s="799"/>
      <c r="AP705" s="799"/>
      <c r="AQ705" s="799"/>
      <c r="AR705" s="799"/>
      <c r="AS705" s="799"/>
      <c r="AT705" s="799"/>
      <c r="AU705" s="799"/>
      <c r="AV705" s="799"/>
      <c r="AW705" s="799"/>
      <c r="AX705" s="799"/>
      <c r="AY705" s="799"/>
      <c r="AZ705" s="799"/>
      <c r="BA705" s="799"/>
      <c r="BB705" s="799"/>
      <c r="BC705" s="799"/>
      <c r="BD705" s="799"/>
      <c r="BE705" s="799"/>
      <c r="BF705" s="799"/>
      <c r="BG705" s="799"/>
    </row>
    <row r="706">
      <c r="H706" s="799"/>
      <c r="I706" s="799"/>
      <c r="J706" s="799"/>
      <c r="K706" s="799"/>
      <c r="L706" s="799"/>
      <c r="M706" s="799"/>
      <c r="N706" s="799"/>
      <c r="O706" s="799"/>
      <c r="P706" s="799"/>
      <c r="Q706" s="799"/>
      <c r="R706" s="799"/>
      <c r="S706" s="799"/>
      <c r="T706" s="799"/>
      <c r="U706" s="799"/>
      <c r="V706" s="799"/>
      <c r="W706" s="799"/>
      <c r="X706" s="799"/>
      <c r="Y706" s="799"/>
      <c r="Z706" s="799"/>
      <c r="AA706" s="799"/>
      <c r="AB706" s="799"/>
      <c r="AC706" s="799"/>
      <c r="AD706" s="799"/>
      <c r="AE706" s="799"/>
      <c r="AF706" s="799"/>
      <c r="AG706" s="799"/>
      <c r="AH706" s="799"/>
      <c r="AI706" s="799"/>
      <c r="AJ706" s="799"/>
      <c r="AK706" s="799"/>
      <c r="AL706" s="799"/>
      <c r="AM706" s="799"/>
      <c r="AN706" s="799"/>
      <c r="AO706" s="799"/>
      <c r="AP706" s="799"/>
      <c r="AQ706" s="799"/>
      <c r="AR706" s="799"/>
      <c r="AS706" s="799"/>
      <c r="AT706" s="799"/>
      <c r="AU706" s="799"/>
      <c r="AV706" s="799"/>
      <c r="AW706" s="799"/>
      <c r="AX706" s="799"/>
      <c r="AY706" s="799"/>
      <c r="AZ706" s="799"/>
      <c r="BA706" s="799"/>
      <c r="BB706" s="799"/>
      <c r="BC706" s="799"/>
      <c r="BD706" s="799"/>
      <c r="BE706" s="799"/>
      <c r="BF706" s="799"/>
      <c r="BG706" s="799"/>
    </row>
    <row r="707">
      <c r="H707" s="799"/>
      <c r="I707" s="799"/>
      <c r="J707" s="799"/>
      <c r="K707" s="799"/>
      <c r="L707" s="799"/>
      <c r="M707" s="799"/>
      <c r="N707" s="799"/>
      <c r="O707" s="799"/>
      <c r="P707" s="799"/>
      <c r="Q707" s="799"/>
      <c r="R707" s="799"/>
      <c r="S707" s="799"/>
      <c r="T707" s="799"/>
      <c r="U707" s="799"/>
      <c r="V707" s="799"/>
      <c r="W707" s="799"/>
      <c r="X707" s="799"/>
      <c r="Y707" s="799"/>
      <c r="Z707" s="799"/>
      <c r="AA707" s="799"/>
      <c r="AB707" s="799"/>
      <c r="AC707" s="799"/>
      <c r="AD707" s="799"/>
      <c r="AE707" s="799"/>
      <c r="AF707" s="799"/>
      <c r="AG707" s="799"/>
      <c r="AH707" s="799"/>
      <c r="AI707" s="799"/>
      <c r="AJ707" s="799"/>
      <c r="AK707" s="799"/>
      <c r="AL707" s="799"/>
      <c r="AM707" s="799"/>
      <c r="AN707" s="799"/>
      <c r="AO707" s="799"/>
      <c r="AP707" s="799"/>
      <c r="AQ707" s="799"/>
      <c r="AR707" s="799"/>
      <c r="AS707" s="799"/>
      <c r="AT707" s="799"/>
      <c r="AU707" s="799"/>
      <c r="AV707" s="799"/>
      <c r="AW707" s="799"/>
      <c r="AX707" s="799"/>
      <c r="AY707" s="799"/>
      <c r="AZ707" s="799"/>
      <c r="BA707" s="799"/>
      <c r="BB707" s="799"/>
      <c r="BC707" s="799"/>
      <c r="BD707" s="799"/>
      <c r="BE707" s="799"/>
      <c r="BF707" s="799"/>
      <c r="BG707" s="799"/>
    </row>
    <row r="708">
      <c r="H708" s="799"/>
      <c r="I708" s="799"/>
      <c r="J708" s="799"/>
      <c r="K708" s="799"/>
      <c r="L708" s="799"/>
      <c r="M708" s="799"/>
      <c r="N708" s="799"/>
      <c r="O708" s="799"/>
      <c r="P708" s="799"/>
      <c r="Q708" s="799"/>
      <c r="R708" s="799"/>
      <c r="S708" s="799"/>
      <c r="T708" s="799"/>
      <c r="U708" s="799"/>
      <c r="V708" s="799"/>
      <c r="W708" s="799"/>
      <c r="X708" s="799"/>
      <c r="Y708" s="799"/>
      <c r="Z708" s="799"/>
      <c r="AA708" s="799"/>
      <c r="AB708" s="799"/>
      <c r="AC708" s="799"/>
      <c r="AD708" s="799"/>
      <c r="AE708" s="799"/>
      <c r="AF708" s="799"/>
      <c r="AG708" s="799"/>
      <c r="AH708" s="799"/>
      <c r="AI708" s="799"/>
      <c r="AJ708" s="799"/>
      <c r="AK708" s="799"/>
      <c r="AL708" s="799"/>
      <c r="AM708" s="799"/>
      <c r="AN708" s="799"/>
      <c r="AO708" s="799"/>
      <c r="AP708" s="799"/>
      <c r="AQ708" s="799"/>
      <c r="AR708" s="799"/>
      <c r="AS708" s="799"/>
      <c r="AT708" s="799"/>
      <c r="AU708" s="799"/>
      <c r="AV708" s="799"/>
      <c r="AW708" s="799"/>
      <c r="AX708" s="799"/>
      <c r="AY708" s="799"/>
      <c r="AZ708" s="799"/>
      <c r="BA708" s="799"/>
      <c r="BB708" s="799"/>
      <c r="BC708" s="799"/>
      <c r="BD708" s="799"/>
      <c r="BE708" s="799"/>
      <c r="BF708" s="799"/>
      <c r="BG708" s="799"/>
    </row>
    <row r="709">
      <c r="H709" s="799"/>
      <c r="I709" s="799"/>
      <c r="J709" s="799"/>
      <c r="K709" s="799"/>
      <c r="L709" s="799"/>
      <c r="M709" s="799"/>
      <c r="N709" s="799"/>
      <c r="O709" s="799"/>
      <c r="P709" s="799"/>
      <c r="Q709" s="799"/>
      <c r="R709" s="799"/>
      <c r="S709" s="799"/>
      <c r="T709" s="799"/>
      <c r="U709" s="799"/>
      <c r="V709" s="799"/>
      <c r="W709" s="799"/>
      <c r="X709" s="799"/>
      <c r="Y709" s="799"/>
      <c r="Z709" s="799"/>
      <c r="AA709" s="799"/>
      <c r="AB709" s="799"/>
      <c r="AC709" s="799"/>
      <c r="AD709" s="799"/>
      <c r="AE709" s="799"/>
      <c r="AF709" s="799"/>
      <c r="AG709" s="799"/>
      <c r="AH709" s="799"/>
      <c r="AI709" s="799"/>
      <c r="AJ709" s="799"/>
      <c r="AK709" s="799"/>
      <c r="AL709" s="799"/>
      <c r="AM709" s="799"/>
      <c r="AN709" s="799"/>
      <c r="AO709" s="799"/>
      <c r="AP709" s="799"/>
      <c r="AQ709" s="799"/>
      <c r="AR709" s="799"/>
      <c r="AS709" s="799"/>
      <c r="AT709" s="799"/>
      <c r="AU709" s="799"/>
      <c r="AV709" s="799"/>
      <c r="AW709" s="799"/>
      <c r="AX709" s="799"/>
      <c r="AY709" s="799"/>
      <c r="AZ709" s="799"/>
      <c r="BA709" s="799"/>
      <c r="BB709" s="799"/>
      <c r="BC709" s="799"/>
      <c r="BD709" s="799"/>
      <c r="BE709" s="799"/>
      <c r="BF709" s="799"/>
      <c r="BG709" s="799"/>
    </row>
    <row r="710">
      <c r="H710" s="799"/>
      <c r="I710" s="799"/>
      <c r="J710" s="799"/>
      <c r="K710" s="799"/>
      <c r="L710" s="799"/>
      <c r="M710" s="799"/>
      <c r="N710" s="799"/>
      <c r="O710" s="799"/>
      <c r="P710" s="799"/>
      <c r="Q710" s="799"/>
      <c r="R710" s="799"/>
      <c r="S710" s="799"/>
      <c r="T710" s="799"/>
      <c r="U710" s="799"/>
      <c r="V710" s="799"/>
      <c r="W710" s="799"/>
      <c r="X710" s="799"/>
      <c r="Y710" s="799"/>
      <c r="Z710" s="799"/>
      <c r="AA710" s="799"/>
      <c r="AB710" s="799"/>
      <c r="AC710" s="799"/>
      <c r="AD710" s="799"/>
      <c r="AE710" s="799"/>
      <c r="AF710" s="799"/>
      <c r="AG710" s="799"/>
      <c r="AH710" s="799"/>
      <c r="AI710" s="799"/>
      <c r="AJ710" s="799"/>
      <c r="AK710" s="799"/>
      <c r="AL710" s="799"/>
      <c r="AM710" s="799"/>
      <c r="AN710" s="799"/>
      <c r="AO710" s="799"/>
      <c r="AP710" s="799"/>
      <c r="AQ710" s="799"/>
      <c r="AR710" s="799"/>
      <c r="AS710" s="799"/>
      <c r="AT710" s="799"/>
      <c r="AU710" s="799"/>
      <c r="AV710" s="799"/>
      <c r="AW710" s="799"/>
      <c r="AX710" s="799"/>
      <c r="AY710" s="799"/>
      <c r="AZ710" s="799"/>
      <c r="BA710" s="799"/>
      <c r="BB710" s="799"/>
      <c r="BC710" s="799"/>
      <c r="BD710" s="799"/>
      <c r="BE710" s="799"/>
      <c r="BF710" s="799"/>
      <c r="BG710" s="799"/>
    </row>
    <row r="711">
      <c r="H711" s="799"/>
      <c r="I711" s="799"/>
      <c r="J711" s="799"/>
      <c r="K711" s="799"/>
      <c r="L711" s="799"/>
      <c r="M711" s="799"/>
      <c r="N711" s="799"/>
      <c r="O711" s="799"/>
      <c r="P711" s="799"/>
      <c r="Q711" s="799"/>
      <c r="R711" s="799"/>
      <c r="S711" s="799"/>
      <c r="T711" s="799"/>
      <c r="U711" s="799"/>
      <c r="V711" s="799"/>
      <c r="W711" s="799"/>
      <c r="X711" s="799"/>
      <c r="Y711" s="799"/>
      <c r="Z711" s="799"/>
      <c r="AA711" s="799"/>
      <c r="AB711" s="799"/>
      <c r="AC711" s="799"/>
      <c r="AD711" s="799"/>
      <c r="AE711" s="799"/>
      <c r="AF711" s="799"/>
      <c r="AG711" s="799"/>
      <c r="AH711" s="799"/>
      <c r="AI711" s="799"/>
      <c r="AJ711" s="799"/>
      <c r="AK711" s="799"/>
      <c r="AL711" s="799"/>
      <c r="AM711" s="799"/>
      <c r="AN711" s="799"/>
      <c r="AO711" s="799"/>
      <c r="AP711" s="799"/>
      <c r="AQ711" s="799"/>
      <c r="AR711" s="799"/>
      <c r="AS711" s="799"/>
      <c r="AT711" s="799"/>
      <c r="AU711" s="799"/>
      <c r="AV711" s="799"/>
      <c r="AW711" s="799"/>
      <c r="AX711" s="799"/>
      <c r="AY711" s="799"/>
      <c r="AZ711" s="799"/>
      <c r="BA711" s="799"/>
      <c r="BB711" s="799"/>
      <c r="BC711" s="799"/>
      <c r="BD711" s="799"/>
      <c r="BE711" s="799"/>
      <c r="BF711" s="799"/>
      <c r="BG711" s="799"/>
    </row>
    <row r="712">
      <c r="H712" s="799"/>
      <c r="I712" s="799"/>
      <c r="J712" s="799"/>
      <c r="K712" s="799"/>
      <c r="L712" s="799"/>
      <c r="M712" s="799"/>
      <c r="N712" s="799"/>
      <c r="O712" s="799"/>
      <c r="P712" s="799"/>
      <c r="Q712" s="799"/>
      <c r="R712" s="799"/>
      <c r="S712" s="799"/>
      <c r="T712" s="799"/>
      <c r="U712" s="799"/>
      <c r="V712" s="799"/>
      <c r="W712" s="799"/>
      <c r="X712" s="799"/>
      <c r="Y712" s="799"/>
      <c r="Z712" s="799"/>
      <c r="AA712" s="799"/>
      <c r="AB712" s="799"/>
      <c r="AC712" s="799"/>
      <c r="AD712" s="799"/>
      <c r="AE712" s="799"/>
      <c r="AF712" s="799"/>
      <c r="AG712" s="799"/>
      <c r="AH712" s="799"/>
      <c r="AI712" s="799"/>
      <c r="AJ712" s="799"/>
      <c r="AK712" s="799"/>
      <c r="AL712" s="799"/>
      <c r="AM712" s="799"/>
      <c r="AN712" s="799"/>
      <c r="AO712" s="799"/>
      <c r="AP712" s="799"/>
      <c r="AQ712" s="799"/>
      <c r="AR712" s="799"/>
      <c r="AS712" s="799"/>
      <c r="AT712" s="799"/>
      <c r="AU712" s="799"/>
      <c r="AV712" s="799"/>
      <c r="AW712" s="799"/>
      <c r="AX712" s="799"/>
      <c r="AY712" s="799"/>
      <c r="AZ712" s="799"/>
      <c r="BA712" s="799"/>
      <c r="BB712" s="799"/>
      <c r="BC712" s="799"/>
      <c r="BD712" s="799"/>
      <c r="BE712" s="799"/>
      <c r="BF712" s="799"/>
      <c r="BG712" s="799"/>
    </row>
    <row r="713">
      <c r="H713" s="799"/>
      <c r="I713" s="799"/>
      <c r="J713" s="799"/>
      <c r="K713" s="799"/>
      <c r="L713" s="799"/>
      <c r="M713" s="799"/>
      <c r="N713" s="799"/>
      <c r="O713" s="799"/>
      <c r="P713" s="799"/>
      <c r="Q713" s="799"/>
      <c r="R713" s="799"/>
      <c r="S713" s="799"/>
      <c r="T713" s="799"/>
      <c r="U713" s="799"/>
      <c r="V713" s="799"/>
      <c r="W713" s="799"/>
      <c r="X713" s="799"/>
      <c r="Y713" s="799"/>
      <c r="Z713" s="799"/>
      <c r="AA713" s="799"/>
      <c r="AB713" s="799"/>
      <c r="AC713" s="799"/>
      <c r="AD713" s="799"/>
      <c r="AE713" s="799"/>
      <c r="AF713" s="799"/>
      <c r="AG713" s="799"/>
      <c r="AH713" s="799"/>
      <c r="AI713" s="799"/>
      <c r="AJ713" s="799"/>
      <c r="AK713" s="799"/>
      <c r="AL713" s="799"/>
      <c r="AM713" s="799"/>
      <c r="AN713" s="799"/>
      <c r="AO713" s="799"/>
      <c r="AP713" s="799"/>
      <c r="AQ713" s="799"/>
      <c r="AR713" s="799"/>
      <c r="AS713" s="799"/>
      <c r="AT713" s="799"/>
      <c r="AU713" s="799"/>
      <c r="AV713" s="799"/>
      <c r="AW713" s="799"/>
      <c r="AX713" s="799"/>
      <c r="AY713" s="799"/>
      <c r="AZ713" s="799"/>
      <c r="BA713" s="799"/>
      <c r="BB713" s="799"/>
      <c r="BC713" s="799"/>
      <c r="BD713" s="799"/>
      <c r="BE713" s="799"/>
      <c r="BF713" s="799"/>
      <c r="BG713" s="799"/>
    </row>
    <row r="714">
      <c r="H714" s="799"/>
      <c r="I714" s="799"/>
      <c r="J714" s="799"/>
      <c r="K714" s="799"/>
      <c r="L714" s="799"/>
      <c r="M714" s="799"/>
      <c r="N714" s="799"/>
      <c r="O714" s="799"/>
      <c r="P714" s="799"/>
      <c r="Q714" s="799"/>
      <c r="R714" s="799"/>
      <c r="S714" s="799"/>
      <c r="T714" s="799"/>
      <c r="U714" s="799"/>
      <c r="V714" s="799"/>
      <c r="W714" s="799"/>
      <c r="X714" s="799"/>
      <c r="Y714" s="799"/>
      <c r="Z714" s="799"/>
      <c r="AA714" s="799"/>
      <c r="AB714" s="799"/>
      <c r="AC714" s="799"/>
      <c r="AD714" s="799"/>
      <c r="AE714" s="799"/>
      <c r="AF714" s="799"/>
      <c r="AG714" s="799"/>
      <c r="AH714" s="799"/>
      <c r="AI714" s="799"/>
      <c r="AJ714" s="799"/>
      <c r="AK714" s="799"/>
      <c r="AL714" s="799"/>
      <c r="AM714" s="799"/>
      <c r="AN714" s="799"/>
      <c r="AO714" s="799"/>
      <c r="AP714" s="799"/>
      <c r="AQ714" s="799"/>
      <c r="AR714" s="799"/>
      <c r="AS714" s="799"/>
      <c r="AT714" s="799"/>
      <c r="AU714" s="799"/>
      <c r="AV714" s="799"/>
      <c r="AW714" s="799"/>
      <c r="AX714" s="799"/>
      <c r="AY714" s="799"/>
      <c r="AZ714" s="799"/>
      <c r="BA714" s="799"/>
      <c r="BB714" s="799"/>
      <c r="BC714" s="799"/>
      <c r="BD714" s="799"/>
      <c r="BE714" s="799"/>
      <c r="BF714" s="799"/>
      <c r="BG714" s="799"/>
    </row>
    <row r="715">
      <c r="H715" s="799"/>
      <c r="I715" s="799"/>
      <c r="J715" s="799"/>
      <c r="K715" s="799"/>
      <c r="L715" s="799"/>
      <c r="M715" s="799"/>
      <c r="N715" s="799"/>
      <c r="O715" s="799"/>
      <c r="P715" s="799"/>
      <c r="Q715" s="799"/>
      <c r="R715" s="799"/>
      <c r="S715" s="799"/>
      <c r="T715" s="799"/>
      <c r="U715" s="799"/>
      <c r="V715" s="799"/>
      <c r="W715" s="799"/>
      <c r="X715" s="799"/>
      <c r="Y715" s="799"/>
      <c r="Z715" s="799"/>
      <c r="AA715" s="799"/>
      <c r="AB715" s="799"/>
      <c r="AC715" s="799"/>
      <c r="AD715" s="799"/>
      <c r="AE715" s="799"/>
      <c r="AF715" s="799"/>
      <c r="AG715" s="799"/>
      <c r="AH715" s="799"/>
      <c r="AI715" s="799"/>
      <c r="AJ715" s="799"/>
      <c r="AK715" s="799"/>
      <c r="AL715" s="799"/>
      <c r="AM715" s="799"/>
      <c r="AN715" s="799"/>
      <c r="AO715" s="799"/>
      <c r="AP715" s="799"/>
      <c r="AQ715" s="799"/>
      <c r="AR715" s="799"/>
      <c r="AS715" s="799"/>
      <c r="AT715" s="799"/>
      <c r="AU715" s="799"/>
      <c r="AV715" s="799"/>
      <c r="AW715" s="799"/>
      <c r="AX715" s="799"/>
      <c r="AY715" s="799"/>
      <c r="AZ715" s="799"/>
      <c r="BA715" s="799"/>
      <c r="BB715" s="799"/>
      <c r="BC715" s="799"/>
      <c r="BD715" s="799"/>
      <c r="BE715" s="799"/>
      <c r="BF715" s="799"/>
      <c r="BG715" s="799"/>
    </row>
    <row r="716">
      <c r="H716" s="799"/>
      <c r="I716" s="799"/>
      <c r="J716" s="799"/>
      <c r="K716" s="799"/>
      <c r="L716" s="799"/>
      <c r="M716" s="799"/>
      <c r="N716" s="799"/>
      <c r="O716" s="799"/>
      <c r="P716" s="799"/>
      <c r="Q716" s="799"/>
      <c r="R716" s="799"/>
      <c r="S716" s="799"/>
      <c r="T716" s="799"/>
      <c r="U716" s="799"/>
      <c r="V716" s="799"/>
      <c r="W716" s="799"/>
      <c r="X716" s="799"/>
      <c r="Y716" s="799"/>
      <c r="Z716" s="799"/>
      <c r="AA716" s="799"/>
      <c r="AB716" s="799"/>
      <c r="AC716" s="799"/>
      <c r="AD716" s="799"/>
      <c r="AE716" s="799"/>
      <c r="AF716" s="799"/>
      <c r="AG716" s="799"/>
      <c r="AH716" s="799"/>
      <c r="AI716" s="799"/>
      <c r="AJ716" s="799"/>
      <c r="AK716" s="799"/>
      <c r="AL716" s="799"/>
      <c r="AM716" s="799"/>
      <c r="AN716" s="799"/>
      <c r="AO716" s="799"/>
      <c r="AP716" s="799"/>
      <c r="AQ716" s="799"/>
      <c r="AR716" s="799"/>
      <c r="AS716" s="799"/>
      <c r="AT716" s="799"/>
      <c r="AU716" s="799"/>
      <c r="AV716" s="799"/>
      <c r="AW716" s="799"/>
      <c r="AX716" s="799"/>
      <c r="AY716" s="799"/>
      <c r="AZ716" s="799"/>
      <c r="BA716" s="799"/>
      <c r="BB716" s="799"/>
      <c r="BC716" s="799"/>
      <c r="BD716" s="799"/>
      <c r="BE716" s="799"/>
      <c r="BF716" s="799"/>
      <c r="BG716" s="799"/>
    </row>
    <row r="717">
      <c r="H717" s="799"/>
      <c r="I717" s="799"/>
      <c r="J717" s="799"/>
      <c r="K717" s="799"/>
      <c r="L717" s="799"/>
      <c r="M717" s="799"/>
      <c r="N717" s="799"/>
      <c r="O717" s="799"/>
      <c r="P717" s="799"/>
      <c r="Q717" s="799"/>
      <c r="R717" s="799"/>
      <c r="S717" s="799"/>
      <c r="T717" s="799"/>
      <c r="U717" s="799"/>
      <c r="V717" s="799"/>
      <c r="W717" s="799"/>
      <c r="X717" s="799"/>
      <c r="Y717" s="799"/>
      <c r="Z717" s="799"/>
      <c r="AA717" s="799"/>
      <c r="AB717" s="799"/>
      <c r="AC717" s="799"/>
      <c r="AD717" s="799"/>
      <c r="AE717" s="799"/>
      <c r="AF717" s="799"/>
      <c r="AG717" s="799"/>
      <c r="AH717" s="799"/>
      <c r="AI717" s="799"/>
      <c r="AJ717" s="799"/>
      <c r="AK717" s="799"/>
      <c r="AL717" s="799"/>
      <c r="AM717" s="799"/>
      <c r="AN717" s="799"/>
      <c r="AO717" s="799"/>
      <c r="AP717" s="799"/>
      <c r="AQ717" s="799"/>
      <c r="AR717" s="799"/>
      <c r="AS717" s="799"/>
      <c r="AT717" s="799"/>
      <c r="AU717" s="799"/>
      <c r="AV717" s="799"/>
      <c r="AW717" s="799"/>
      <c r="AX717" s="799"/>
      <c r="AY717" s="799"/>
      <c r="AZ717" s="799"/>
      <c r="BA717" s="799"/>
      <c r="BB717" s="799"/>
      <c r="BC717" s="799"/>
      <c r="BD717" s="799"/>
      <c r="BE717" s="799"/>
      <c r="BF717" s="799"/>
      <c r="BG717" s="799"/>
    </row>
    <row r="718">
      <c r="H718" s="799"/>
      <c r="I718" s="799"/>
      <c r="J718" s="799"/>
      <c r="K718" s="799"/>
      <c r="L718" s="799"/>
      <c r="M718" s="799"/>
      <c r="N718" s="799"/>
      <c r="O718" s="799"/>
      <c r="P718" s="799"/>
      <c r="Q718" s="799"/>
      <c r="R718" s="799"/>
      <c r="S718" s="799"/>
      <c r="T718" s="799"/>
      <c r="U718" s="799"/>
      <c r="V718" s="799"/>
      <c r="W718" s="799"/>
      <c r="X718" s="799"/>
      <c r="Y718" s="799"/>
      <c r="Z718" s="799"/>
      <c r="AA718" s="799"/>
      <c r="AB718" s="799"/>
      <c r="AC718" s="799"/>
      <c r="AD718" s="799"/>
      <c r="AE718" s="799"/>
      <c r="AF718" s="799"/>
      <c r="AG718" s="799"/>
      <c r="AH718" s="799"/>
      <c r="AI718" s="799"/>
      <c r="AJ718" s="799"/>
      <c r="AK718" s="799"/>
      <c r="AL718" s="799"/>
      <c r="AM718" s="799"/>
      <c r="AN718" s="799"/>
      <c r="AO718" s="799"/>
      <c r="AP718" s="799"/>
      <c r="AQ718" s="799"/>
      <c r="AR718" s="799"/>
      <c r="AS718" s="799"/>
      <c r="AT718" s="799"/>
      <c r="AU718" s="799"/>
      <c r="AV718" s="799"/>
      <c r="AW718" s="799"/>
      <c r="AX718" s="799"/>
      <c r="AY718" s="799"/>
      <c r="AZ718" s="799"/>
      <c r="BA718" s="799"/>
      <c r="BB718" s="799"/>
      <c r="BC718" s="799"/>
      <c r="BD718" s="799"/>
      <c r="BE718" s="799"/>
      <c r="BF718" s="799"/>
      <c r="BG718" s="799"/>
    </row>
    <row r="719">
      <c r="H719" s="799"/>
      <c r="I719" s="799"/>
      <c r="J719" s="799"/>
      <c r="K719" s="799"/>
      <c r="L719" s="799"/>
      <c r="M719" s="799"/>
      <c r="N719" s="799"/>
      <c r="O719" s="799"/>
      <c r="P719" s="799"/>
      <c r="Q719" s="799"/>
      <c r="R719" s="799"/>
      <c r="S719" s="799"/>
      <c r="T719" s="799"/>
      <c r="U719" s="799"/>
      <c r="V719" s="799"/>
      <c r="W719" s="799"/>
      <c r="X719" s="799"/>
      <c r="Y719" s="799"/>
      <c r="Z719" s="799"/>
      <c r="AA719" s="799"/>
      <c r="AB719" s="799"/>
      <c r="AC719" s="799"/>
      <c r="AD719" s="799"/>
      <c r="AE719" s="799"/>
      <c r="AF719" s="799"/>
      <c r="AG719" s="799"/>
      <c r="AH719" s="799"/>
      <c r="AI719" s="799"/>
      <c r="AJ719" s="799"/>
      <c r="AK719" s="799"/>
      <c r="AL719" s="799"/>
      <c r="AM719" s="799"/>
      <c r="AN719" s="799"/>
      <c r="AO719" s="799"/>
      <c r="AP719" s="799"/>
      <c r="AQ719" s="799"/>
      <c r="AR719" s="799"/>
      <c r="AS719" s="799"/>
      <c r="AT719" s="799"/>
      <c r="AU719" s="799"/>
      <c r="AV719" s="799"/>
      <c r="AW719" s="799"/>
      <c r="AX719" s="799"/>
      <c r="AY719" s="799"/>
      <c r="AZ719" s="799"/>
      <c r="BA719" s="799"/>
      <c r="BB719" s="799"/>
      <c r="BC719" s="799"/>
      <c r="BD719" s="799"/>
      <c r="BE719" s="799"/>
      <c r="BF719" s="799"/>
      <c r="BG719" s="799"/>
    </row>
    <row r="720">
      <c r="H720" s="799"/>
      <c r="I720" s="799"/>
      <c r="J720" s="799"/>
      <c r="K720" s="799"/>
      <c r="L720" s="799"/>
      <c r="M720" s="799"/>
      <c r="N720" s="799"/>
      <c r="O720" s="799"/>
      <c r="P720" s="799"/>
      <c r="Q720" s="799"/>
      <c r="R720" s="799"/>
      <c r="S720" s="799"/>
      <c r="T720" s="799"/>
      <c r="U720" s="799"/>
      <c r="V720" s="799"/>
      <c r="W720" s="799"/>
      <c r="X720" s="799"/>
      <c r="Y720" s="799"/>
      <c r="Z720" s="799"/>
      <c r="AA720" s="799"/>
      <c r="AB720" s="799"/>
      <c r="AC720" s="799"/>
      <c r="AD720" s="799"/>
      <c r="AE720" s="799"/>
      <c r="AF720" s="799"/>
      <c r="AG720" s="799"/>
      <c r="AH720" s="799"/>
      <c r="AI720" s="799"/>
      <c r="AJ720" s="799"/>
      <c r="AK720" s="799"/>
      <c r="AL720" s="799"/>
      <c r="AM720" s="799"/>
      <c r="AN720" s="799"/>
      <c r="AO720" s="799"/>
      <c r="AP720" s="799"/>
      <c r="AQ720" s="799"/>
      <c r="AR720" s="799"/>
      <c r="AS720" s="799"/>
      <c r="AT720" s="799"/>
      <c r="AU720" s="799"/>
      <c r="AV720" s="799"/>
      <c r="AW720" s="799"/>
      <c r="AX720" s="799"/>
      <c r="AY720" s="799"/>
      <c r="AZ720" s="799"/>
      <c r="BA720" s="799"/>
      <c r="BB720" s="799"/>
      <c r="BC720" s="799"/>
      <c r="BD720" s="799"/>
      <c r="BE720" s="799"/>
      <c r="BF720" s="799"/>
      <c r="BG720" s="799"/>
    </row>
    <row r="721">
      <c r="H721" s="799"/>
      <c r="I721" s="799"/>
      <c r="J721" s="799"/>
      <c r="K721" s="799"/>
      <c r="L721" s="799"/>
      <c r="M721" s="799"/>
      <c r="N721" s="799"/>
      <c r="O721" s="799"/>
      <c r="P721" s="799"/>
      <c r="Q721" s="799"/>
      <c r="R721" s="799"/>
      <c r="S721" s="799"/>
      <c r="T721" s="799"/>
      <c r="U721" s="799"/>
      <c r="V721" s="799"/>
      <c r="W721" s="799"/>
      <c r="X721" s="799"/>
      <c r="Y721" s="799"/>
      <c r="Z721" s="799"/>
      <c r="AA721" s="799"/>
      <c r="AB721" s="799"/>
      <c r="AC721" s="799"/>
      <c r="AD721" s="799"/>
      <c r="AE721" s="799"/>
      <c r="AF721" s="799"/>
      <c r="AG721" s="799"/>
      <c r="AH721" s="799"/>
      <c r="AI721" s="799"/>
      <c r="AJ721" s="799"/>
      <c r="AK721" s="799"/>
      <c r="AL721" s="799"/>
      <c r="AM721" s="799"/>
      <c r="AN721" s="799"/>
      <c r="AO721" s="799"/>
      <c r="AP721" s="799"/>
      <c r="AQ721" s="799"/>
      <c r="AR721" s="799"/>
      <c r="AS721" s="799"/>
      <c r="AT721" s="799"/>
      <c r="AU721" s="799"/>
      <c r="AV721" s="799"/>
      <c r="AW721" s="799"/>
      <c r="AX721" s="799"/>
      <c r="AY721" s="799"/>
      <c r="AZ721" s="799"/>
      <c r="BA721" s="799"/>
      <c r="BB721" s="799"/>
      <c r="BC721" s="799"/>
      <c r="BD721" s="799"/>
      <c r="BE721" s="799"/>
      <c r="BF721" s="799"/>
      <c r="BG721" s="799"/>
    </row>
    <row r="722">
      <c r="H722" s="799"/>
      <c r="I722" s="799"/>
      <c r="J722" s="799"/>
      <c r="K722" s="799"/>
      <c r="L722" s="799"/>
      <c r="M722" s="799"/>
      <c r="N722" s="799"/>
      <c r="O722" s="799"/>
      <c r="P722" s="799"/>
      <c r="Q722" s="799"/>
      <c r="R722" s="799"/>
      <c r="S722" s="799"/>
      <c r="T722" s="799"/>
      <c r="U722" s="799"/>
      <c r="V722" s="799"/>
      <c r="W722" s="799"/>
      <c r="X722" s="799"/>
      <c r="Y722" s="799"/>
      <c r="Z722" s="799"/>
      <c r="AA722" s="799"/>
      <c r="AB722" s="799"/>
      <c r="AC722" s="799"/>
      <c r="AD722" s="799"/>
      <c r="AE722" s="799"/>
      <c r="AF722" s="799"/>
      <c r="AG722" s="799"/>
      <c r="AH722" s="799"/>
      <c r="AI722" s="799"/>
      <c r="AJ722" s="799"/>
      <c r="AK722" s="799"/>
      <c r="AL722" s="799"/>
      <c r="AM722" s="799"/>
      <c r="AN722" s="799"/>
      <c r="AO722" s="799"/>
      <c r="AP722" s="799"/>
      <c r="AQ722" s="799"/>
      <c r="AR722" s="799"/>
      <c r="AS722" s="799"/>
      <c r="AT722" s="799"/>
      <c r="AU722" s="799"/>
      <c r="AV722" s="799"/>
      <c r="AW722" s="799"/>
      <c r="AX722" s="799"/>
      <c r="AY722" s="799"/>
      <c r="AZ722" s="799"/>
      <c r="BA722" s="799"/>
      <c r="BB722" s="799"/>
      <c r="BC722" s="799"/>
      <c r="BD722" s="799"/>
      <c r="BE722" s="799"/>
      <c r="BF722" s="799"/>
      <c r="BG722" s="799"/>
    </row>
    <row r="723">
      <c r="H723" s="799"/>
      <c r="I723" s="799"/>
      <c r="J723" s="799"/>
      <c r="K723" s="799"/>
      <c r="L723" s="799"/>
      <c r="M723" s="799"/>
      <c r="N723" s="799"/>
      <c r="O723" s="799"/>
      <c r="P723" s="799"/>
      <c r="Q723" s="799"/>
      <c r="R723" s="799"/>
      <c r="S723" s="799"/>
      <c r="T723" s="799"/>
      <c r="U723" s="799"/>
      <c r="V723" s="799"/>
      <c r="W723" s="799"/>
      <c r="X723" s="799"/>
      <c r="Y723" s="799"/>
      <c r="Z723" s="799"/>
      <c r="AA723" s="799"/>
      <c r="AB723" s="799"/>
      <c r="AC723" s="799"/>
      <c r="AD723" s="799"/>
      <c r="AE723" s="799"/>
      <c r="AF723" s="799"/>
      <c r="AG723" s="799"/>
      <c r="AH723" s="799"/>
      <c r="AI723" s="799"/>
      <c r="AJ723" s="799"/>
      <c r="AK723" s="799"/>
      <c r="AL723" s="799"/>
      <c r="AM723" s="799"/>
      <c r="AN723" s="799"/>
      <c r="AO723" s="799"/>
      <c r="AP723" s="799"/>
      <c r="AQ723" s="799"/>
      <c r="AR723" s="799"/>
      <c r="AS723" s="799"/>
      <c r="AT723" s="799"/>
      <c r="AU723" s="799"/>
      <c r="AV723" s="799"/>
      <c r="AW723" s="799"/>
      <c r="AX723" s="799"/>
      <c r="AY723" s="799"/>
      <c r="AZ723" s="799"/>
      <c r="BA723" s="799"/>
      <c r="BB723" s="799"/>
      <c r="BC723" s="799"/>
      <c r="BD723" s="799"/>
      <c r="BE723" s="799"/>
      <c r="BF723" s="799"/>
      <c r="BG723" s="799"/>
    </row>
    <row r="724">
      <c r="H724" s="799"/>
      <c r="I724" s="799"/>
      <c r="J724" s="799"/>
      <c r="K724" s="799"/>
      <c r="L724" s="799"/>
      <c r="M724" s="799"/>
      <c r="N724" s="799"/>
      <c r="O724" s="799"/>
      <c r="P724" s="799"/>
      <c r="Q724" s="799"/>
      <c r="R724" s="799"/>
      <c r="S724" s="799"/>
      <c r="T724" s="799"/>
      <c r="U724" s="799"/>
      <c r="V724" s="799"/>
      <c r="W724" s="799"/>
      <c r="X724" s="799"/>
      <c r="Y724" s="799"/>
      <c r="Z724" s="799"/>
      <c r="AA724" s="799"/>
      <c r="AB724" s="799"/>
      <c r="AC724" s="799"/>
      <c r="AD724" s="799"/>
      <c r="AE724" s="799"/>
      <c r="AF724" s="799"/>
      <c r="AG724" s="799"/>
      <c r="AH724" s="799"/>
      <c r="AI724" s="799"/>
      <c r="AJ724" s="799"/>
      <c r="AK724" s="799"/>
      <c r="AL724" s="799"/>
      <c r="AM724" s="799"/>
      <c r="AN724" s="799"/>
      <c r="AO724" s="799"/>
      <c r="AP724" s="799"/>
      <c r="AQ724" s="799"/>
      <c r="AR724" s="799"/>
      <c r="AS724" s="799"/>
      <c r="AT724" s="799"/>
      <c r="AU724" s="799"/>
      <c r="AV724" s="799"/>
      <c r="AW724" s="799"/>
      <c r="AX724" s="799"/>
      <c r="AY724" s="799"/>
      <c r="AZ724" s="799"/>
      <c r="BA724" s="799"/>
      <c r="BB724" s="799"/>
      <c r="BC724" s="799"/>
      <c r="BD724" s="799"/>
      <c r="BE724" s="799"/>
      <c r="BF724" s="799"/>
      <c r="BG724" s="799"/>
    </row>
    <row r="725">
      <c r="H725" s="799"/>
      <c r="I725" s="799"/>
      <c r="J725" s="799"/>
      <c r="K725" s="799"/>
      <c r="L725" s="799"/>
      <c r="M725" s="799"/>
      <c r="N725" s="799"/>
      <c r="O725" s="799"/>
      <c r="P725" s="799"/>
      <c r="Q725" s="799"/>
      <c r="R725" s="799"/>
      <c r="S725" s="799"/>
      <c r="T725" s="799"/>
      <c r="U725" s="799"/>
      <c r="V725" s="799"/>
      <c r="W725" s="799"/>
      <c r="X725" s="799"/>
      <c r="Y725" s="799"/>
      <c r="Z725" s="799"/>
      <c r="AA725" s="799"/>
      <c r="AB725" s="799"/>
      <c r="AC725" s="799"/>
      <c r="AD725" s="799"/>
      <c r="AE725" s="799"/>
      <c r="AF725" s="799"/>
      <c r="AG725" s="799"/>
      <c r="AH725" s="799"/>
      <c r="AI725" s="799"/>
      <c r="AJ725" s="799"/>
      <c r="AK725" s="799"/>
      <c r="AL725" s="799"/>
      <c r="AM725" s="799"/>
      <c r="AN725" s="799"/>
      <c r="AO725" s="799"/>
      <c r="AP725" s="799"/>
      <c r="AQ725" s="799"/>
      <c r="AR725" s="799"/>
      <c r="AS725" s="799"/>
      <c r="AT725" s="799"/>
      <c r="AU725" s="799"/>
      <c r="AV725" s="799"/>
      <c r="AW725" s="799"/>
      <c r="AX725" s="799"/>
      <c r="AY725" s="799"/>
      <c r="AZ725" s="799"/>
      <c r="BA725" s="799"/>
      <c r="BB725" s="799"/>
      <c r="BC725" s="799"/>
      <c r="BD725" s="799"/>
      <c r="BE725" s="799"/>
      <c r="BF725" s="799"/>
      <c r="BG725" s="799"/>
    </row>
    <row r="726">
      <c r="H726" s="799"/>
      <c r="I726" s="799"/>
      <c r="J726" s="799"/>
      <c r="K726" s="799"/>
      <c r="L726" s="799"/>
      <c r="M726" s="799"/>
      <c r="N726" s="799"/>
      <c r="O726" s="799"/>
      <c r="P726" s="799"/>
      <c r="Q726" s="799"/>
      <c r="R726" s="799"/>
      <c r="S726" s="799"/>
      <c r="T726" s="799"/>
      <c r="U726" s="799"/>
      <c r="V726" s="799"/>
      <c r="W726" s="799"/>
      <c r="X726" s="799"/>
      <c r="Y726" s="799"/>
      <c r="Z726" s="799"/>
      <c r="AA726" s="799"/>
      <c r="AB726" s="799"/>
      <c r="AC726" s="799"/>
      <c r="AD726" s="799"/>
      <c r="AE726" s="799"/>
      <c r="AF726" s="799"/>
      <c r="AG726" s="799"/>
      <c r="AH726" s="799"/>
      <c r="AI726" s="799"/>
      <c r="AJ726" s="799"/>
      <c r="AK726" s="799"/>
      <c r="AL726" s="799"/>
      <c r="AM726" s="799"/>
      <c r="AN726" s="799"/>
      <c r="AO726" s="799"/>
      <c r="AP726" s="799"/>
      <c r="AQ726" s="799"/>
      <c r="AR726" s="799"/>
      <c r="AS726" s="799"/>
      <c r="AT726" s="799"/>
      <c r="AU726" s="799"/>
      <c r="AV726" s="799"/>
      <c r="AW726" s="799"/>
      <c r="AX726" s="799"/>
      <c r="AY726" s="799"/>
      <c r="AZ726" s="799"/>
      <c r="BA726" s="799"/>
      <c r="BB726" s="799"/>
      <c r="BC726" s="799"/>
      <c r="BD726" s="799"/>
      <c r="BE726" s="799"/>
      <c r="BF726" s="799"/>
      <c r="BG726" s="799"/>
    </row>
    <row r="727">
      <c r="H727" s="799"/>
      <c r="I727" s="799"/>
      <c r="J727" s="799"/>
      <c r="K727" s="799"/>
      <c r="L727" s="799"/>
      <c r="M727" s="799"/>
      <c r="N727" s="799"/>
      <c r="O727" s="799"/>
      <c r="P727" s="799"/>
      <c r="Q727" s="799"/>
      <c r="R727" s="799"/>
      <c r="S727" s="799"/>
      <c r="T727" s="799"/>
      <c r="U727" s="799"/>
      <c r="V727" s="799"/>
      <c r="W727" s="799"/>
      <c r="X727" s="799"/>
      <c r="Y727" s="799"/>
      <c r="Z727" s="799"/>
      <c r="AA727" s="799"/>
      <c r="AB727" s="799"/>
      <c r="AC727" s="799"/>
      <c r="AD727" s="799"/>
      <c r="AE727" s="799"/>
      <c r="AF727" s="799"/>
      <c r="AG727" s="799"/>
      <c r="AH727" s="799"/>
      <c r="AI727" s="799"/>
      <c r="AJ727" s="799"/>
      <c r="AK727" s="799"/>
      <c r="AL727" s="799"/>
      <c r="AM727" s="799"/>
      <c r="AN727" s="799"/>
      <c r="AO727" s="799"/>
      <c r="AP727" s="799"/>
      <c r="AQ727" s="799"/>
      <c r="AR727" s="799"/>
      <c r="AS727" s="799"/>
      <c r="AT727" s="799"/>
      <c r="AU727" s="799"/>
      <c r="AV727" s="799"/>
      <c r="AW727" s="799"/>
      <c r="AX727" s="799"/>
      <c r="AY727" s="799"/>
      <c r="AZ727" s="799"/>
      <c r="BA727" s="799"/>
      <c r="BB727" s="799"/>
      <c r="BC727" s="799"/>
      <c r="BD727" s="799"/>
      <c r="BE727" s="799"/>
      <c r="BF727" s="799"/>
      <c r="BG727" s="799"/>
    </row>
    <row r="728">
      <c r="H728" s="799"/>
      <c r="I728" s="799"/>
      <c r="J728" s="799"/>
      <c r="K728" s="799"/>
      <c r="L728" s="799"/>
      <c r="M728" s="799"/>
      <c r="N728" s="799"/>
      <c r="O728" s="799"/>
      <c r="P728" s="799"/>
      <c r="Q728" s="799"/>
      <c r="R728" s="799"/>
      <c r="S728" s="799"/>
      <c r="T728" s="799"/>
      <c r="U728" s="799"/>
      <c r="V728" s="799"/>
      <c r="W728" s="799"/>
      <c r="X728" s="799"/>
      <c r="Y728" s="799"/>
      <c r="Z728" s="799"/>
      <c r="AA728" s="799"/>
      <c r="AB728" s="799"/>
      <c r="AC728" s="799"/>
      <c r="AD728" s="799"/>
      <c r="AE728" s="799"/>
      <c r="AF728" s="799"/>
      <c r="AG728" s="799"/>
      <c r="AH728" s="799"/>
      <c r="AI728" s="799"/>
      <c r="AJ728" s="799"/>
      <c r="AK728" s="799"/>
      <c r="AL728" s="799"/>
      <c r="AM728" s="799"/>
      <c r="AN728" s="799"/>
      <c r="AO728" s="799"/>
      <c r="AP728" s="799"/>
      <c r="AQ728" s="799"/>
      <c r="AR728" s="799"/>
      <c r="AS728" s="799"/>
      <c r="AT728" s="799"/>
      <c r="AU728" s="799"/>
      <c r="AV728" s="799"/>
      <c r="AW728" s="799"/>
      <c r="AX728" s="799"/>
      <c r="AY728" s="799"/>
      <c r="AZ728" s="799"/>
      <c r="BA728" s="799"/>
      <c r="BB728" s="799"/>
      <c r="BC728" s="799"/>
      <c r="BD728" s="799"/>
      <c r="BE728" s="799"/>
      <c r="BF728" s="799"/>
      <c r="BG728" s="799"/>
    </row>
    <row r="729">
      <c r="H729" s="799"/>
      <c r="I729" s="799"/>
      <c r="J729" s="799"/>
      <c r="K729" s="799"/>
      <c r="L729" s="799"/>
      <c r="M729" s="799"/>
      <c r="N729" s="799"/>
      <c r="O729" s="799"/>
      <c r="P729" s="799"/>
      <c r="Q729" s="799"/>
      <c r="R729" s="799"/>
      <c r="S729" s="799"/>
      <c r="T729" s="799"/>
      <c r="U729" s="799"/>
      <c r="V729" s="799"/>
      <c r="W729" s="799"/>
      <c r="X729" s="799"/>
      <c r="Y729" s="799"/>
      <c r="Z729" s="799"/>
      <c r="AA729" s="799"/>
      <c r="AB729" s="799"/>
      <c r="AC729" s="799"/>
      <c r="AD729" s="799"/>
      <c r="AE729" s="799"/>
      <c r="AF729" s="799"/>
      <c r="AG729" s="799"/>
      <c r="AH729" s="799"/>
      <c r="AI729" s="799"/>
      <c r="AJ729" s="799"/>
      <c r="AK729" s="799"/>
      <c r="AL729" s="799"/>
      <c r="AM729" s="799"/>
      <c r="AN729" s="799"/>
      <c r="AO729" s="799"/>
      <c r="AP729" s="799"/>
      <c r="AQ729" s="799"/>
      <c r="AR729" s="799"/>
      <c r="AS729" s="799"/>
      <c r="AT729" s="799"/>
      <c r="AU729" s="799"/>
      <c r="AV729" s="799"/>
      <c r="AW729" s="799"/>
      <c r="AX729" s="799"/>
      <c r="AY729" s="799"/>
      <c r="AZ729" s="799"/>
      <c r="BA729" s="799"/>
      <c r="BB729" s="799"/>
      <c r="BC729" s="799"/>
      <c r="BD729" s="799"/>
      <c r="BE729" s="799"/>
      <c r="BF729" s="799"/>
      <c r="BG729" s="799"/>
    </row>
    <row r="730">
      <c r="H730" s="799"/>
      <c r="I730" s="799"/>
      <c r="J730" s="799"/>
      <c r="K730" s="799"/>
      <c r="L730" s="799"/>
      <c r="M730" s="799"/>
      <c r="N730" s="799"/>
      <c r="O730" s="799"/>
      <c r="P730" s="799"/>
      <c r="Q730" s="799"/>
      <c r="R730" s="799"/>
      <c r="S730" s="799"/>
      <c r="T730" s="799"/>
      <c r="U730" s="799"/>
      <c r="V730" s="799"/>
      <c r="W730" s="799"/>
      <c r="X730" s="799"/>
      <c r="Y730" s="799"/>
      <c r="Z730" s="799"/>
      <c r="AA730" s="799"/>
      <c r="AB730" s="799"/>
      <c r="AC730" s="799"/>
      <c r="AD730" s="799"/>
      <c r="AE730" s="799"/>
      <c r="AF730" s="799"/>
      <c r="AG730" s="799"/>
      <c r="AH730" s="799"/>
      <c r="AI730" s="799"/>
      <c r="AJ730" s="799"/>
      <c r="AK730" s="799"/>
      <c r="AL730" s="799"/>
      <c r="AM730" s="799"/>
      <c r="AN730" s="799"/>
      <c r="AO730" s="799"/>
      <c r="AP730" s="799"/>
      <c r="AQ730" s="799"/>
      <c r="AR730" s="799"/>
      <c r="AS730" s="799"/>
      <c r="AT730" s="799"/>
      <c r="AU730" s="799"/>
      <c r="AV730" s="799"/>
      <c r="AW730" s="799"/>
      <c r="AX730" s="799"/>
      <c r="AY730" s="799"/>
      <c r="AZ730" s="799"/>
      <c r="BA730" s="799"/>
      <c r="BB730" s="799"/>
      <c r="BC730" s="799"/>
      <c r="BD730" s="799"/>
      <c r="BE730" s="799"/>
      <c r="BF730" s="799"/>
      <c r="BG730" s="799"/>
    </row>
    <row r="731">
      <c r="H731" s="799"/>
      <c r="I731" s="799"/>
      <c r="J731" s="799"/>
      <c r="K731" s="799"/>
      <c r="L731" s="799"/>
      <c r="M731" s="799"/>
      <c r="N731" s="799"/>
      <c r="O731" s="799"/>
      <c r="P731" s="799"/>
      <c r="Q731" s="799"/>
      <c r="R731" s="799"/>
      <c r="S731" s="799"/>
      <c r="T731" s="799"/>
      <c r="U731" s="799"/>
      <c r="V731" s="799"/>
      <c r="W731" s="799"/>
      <c r="X731" s="799"/>
      <c r="Y731" s="799"/>
      <c r="Z731" s="799"/>
      <c r="AA731" s="799"/>
      <c r="AB731" s="799"/>
      <c r="AC731" s="799"/>
      <c r="AD731" s="799"/>
      <c r="AE731" s="799"/>
      <c r="AF731" s="799"/>
      <c r="AG731" s="799"/>
      <c r="AH731" s="799"/>
      <c r="AI731" s="799"/>
      <c r="AJ731" s="799"/>
      <c r="AK731" s="799"/>
      <c r="AL731" s="799"/>
      <c r="AM731" s="799"/>
      <c r="AN731" s="799"/>
      <c r="AO731" s="799"/>
      <c r="AP731" s="799"/>
      <c r="AQ731" s="799"/>
      <c r="AR731" s="799"/>
      <c r="AS731" s="799"/>
      <c r="AT731" s="799"/>
      <c r="AU731" s="799"/>
      <c r="AV731" s="799"/>
      <c r="AW731" s="799"/>
      <c r="AX731" s="799"/>
      <c r="AY731" s="799"/>
      <c r="AZ731" s="799"/>
      <c r="BA731" s="799"/>
      <c r="BB731" s="799"/>
      <c r="BC731" s="799"/>
      <c r="BD731" s="799"/>
      <c r="BE731" s="799"/>
      <c r="BF731" s="799"/>
      <c r="BG731" s="799"/>
    </row>
    <row r="732">
      <c r="H732" s="799"/>
      <c r="I732" s="799"/>
      <c r="J732" s="799"/>
      <c r="K732" s="799"/>
      <c r="L732" s="799"/>
      <c r="M732" s="799"/>
      <c r="N732" s="799"/>
      <c r="O732" s="799"/>
      <c r="P732" s="799"/>
      <c r="Q732" s="799"/>
      <c r="R732" s="799"/>
      <c r="S732" s="799"/>
      <c r="T732" s="799"/>
      <c r="U732" s="799"/>
      <c r="V732" s="799"/>
      <c r="W732" s="799"/>
      <c r="X732" s="799"/>
      <c r="Y732" s="799"/>
      <c r="Z732" s="799"/>
      <c r="AA732" s="799"/>
      <c r="AB732" s="799"/>
      <c r="AC732" s="799"/>
      <c r="AD732" s="799"/>
      <c r="AE732" s="799"/>
      <c r="AF732" s="799"/>
      <c r="AG732" s="799"/>
      <c r="AH732" s="799"/>
      <c r="AI732" s="799"/>
      <c r="AJ732" s="799"/>
      <c r="AK732" s="799"/>
      <c r="AL732" s="799"/>
      <c r="AM732" s="799"/>
      <c r="AN732" s="799"/>
      <c r="AO732" s="799"/>
      <c r="AP732" s="799"/>
      <c r="AQ732" s="799"/>
      <c r="AR732" s="799"/>
      <c r="AS732" s="799"/>
      <c r="AT732" s="799"/>
      <c r="AU732" s="799"/>
      <c r="AV732" s="799"/>
      <c r="AW732" s="799"/>
      <c r="AX732" s="799"/>
      <c r="AY732" s="799"/>
      <c r="AZ732" s="799"/>
      <c r="BA732" s="799"/>
      <c r="BB732" s="799"/>
      <c r="BC732" s="799"/>
      <c r="BD732" s="799"/>
      <c r="BE732" s="799"/>
      <c r="BF732" s="799"/>
      <c r="BG732" s="799"/>
    </row>
    <row r="733">
      <c r="H733" s="799"/>
      <c r="I733" s="799"/>
      <c r="J733" s="799"/>
      <c r="K733" s="799"/>
      <c r="L733" s="799"/>
      <c r="M733" s="799"/>
      <c r="N733" s="799"/>
      <c r="O733" s="799"/>
      <c r="P733" s="799"/>
      <c r="Q733" s="799"/>
      <c r="R733" s="799"/>
      <c r="S733" s="799"/>
      <c r="T733" s="799"/>
      <c r="U733" s="799"/>
      <c r="V733" s="799"/>
      <c r="W733" s="799"/>
      <c r="X733" s="799"/>
      <c r="Y733" s="799"/>
      <c r="Z733" s="799"/>
      <c r="AA733" s="799"/>
      <c r="AB733" s="799"/>
      <c r="AC733" s="799"/>
      <c r="AD733" s="799"/>
      <c r="AE733" s="799"/>
      <c r="AF733" s="799"/>
      <c r="AG733" s="799"/>
      <c r="AH733" s="799"/>
      <c r="AI733" s="799"/>
      <c r="AJ733" s="799"/>
      <c r="AK733" s="799"/>
      <c r="AL733" s="799"/>
      <c r="AM733" s="799"/>
      <c r="AN733" s="799"/>
      <c r="AO733" s="799"/>
      <c r="AP733" s="799"/>
      <c r="AQ733" s="799"/>
      <c r="AR733" s="799"/>
      <c r="AS733" s="799"/>
      <c r="AT733" s="799"/>
      <c r="AU733" s="799"/>
      <c r="AV733" s="799"/>
      <c r="AW733" s="799"/>
      <c r="AX733" s="799"/>
      <c r="AY733" s="799"/>
      <c r="AZ733" s="799"/>
      <c r="BA733" s="799"/>
      <c r="BB733" s="799"/>
      <c r="BC733" s="799"/>
      <c r="BD733" s="799"/>
      <c r="BE733" s="799"/>
      <c r="BF733" s="799"/>
      <c r="BG733" s="799"/>
    </row>
    <row r="734">
      <c r="H734" s="799"/>
      <c r="I734" s="799"/>
      <c r="J734" s="799"/>
      <c r="K734" s="799"/>
      <c r="L734" s="799"/>
      <c r="M734" s="799"/>
      <c r="N734" s="799"/>
      <c r="O734" s="799"/>
      <c r="P734" s="799"/>
      <c r="Q734" s="799"/>
      <c r="R734" s="799"/>
      <c r="S734" s="799"/>
      <c r="T734" s="799"/>
      <c r="U734" s="799"/>
      <c r="V734" s="799"/>
      <c r="W734" s="799"/>
      <c r="X734" s="799"/>
      <c r="Y734" s="799"/>
      <c r="Z734" s="799"/>
      <c r="AA734" s="799"/>
      <c r="AB734" s="799"/>
      <c r="AC734" s="799"/>
      <c r="AD734" s="799"/>
      <c r="AE734" s="799"/>
      <c r="AF734" s="799"/>
      <c r="AG734" s="799"/>
      <c r="AH734" s="799"/>
      <c r="AI734" s="799"/>
      <c r="AJ734" s="799"/>
      <c r="AK734" s="799"/>
      <c r="AL734" s="799"/>
      <c r="AM734" s="799"/>
      <c r="AN734" s="799"/>
      <c r="AO734" s="799"/>
      <c r="AP734" s="799"/>
      <c r="AQ734" s="799"/>
      <c r="AR734" s="799"/>
      <c r="AS734" s="799"/>
      <c r="AT734" s="799"/>
      <c r="AU734" s="799"/>
      <c r="AV734" s="799"/>
      <c r="AW734" s="799"/>
      <c r="AX734" s="799"/>
      <c r="AY734" s="799"/>
      <c r="AZ734" s="799"/>
      <c r="BA734" s="799"/>
      <c r="BB734" s="799"/>
      <c r="BC734" s="799"/>
      <c r="BD734" s="799"/>
      <c r="BE734" s="799"/>
      <c r="BF734" s="799"/>
      <c r="BG734" s="799"/>
    </row>
    <row r="735">
      <c r="H735" s="799"/>
      <c r="I735" s="799"/>
      <c r="J735" s="799"/>
      <c r="K735" s="799"/>
      <c r="L735" s="799"/>
      <c r="M735" s="799"/>
      <c r="N735" s="799"/>
      <c r="O735" s="799"/>
      <c r="P735" s="799"/>
      <c r="Q735" s="799"/>
      <c r="R735" s="799"/>
      <c r="S735" s="799"/>
      <c r="T735" s="799"/>
      <c r="U735" s="799"/>
      <c r="V735" s="799"/>
      <c r="W735" s="799"/>
      <c r="X735" s="799"/>
      <c r="Y735" s="799"/>
      <c r="Z735" s="799"/>
      <c r="AA735" s="799"/>
      <c r="AB735" s="799"/>
      <c r="AC735" s="799"/>
      <c r="AD735" s="799"/>
      <c r="AE735" s="799"/>
      <c r="AF735" s="799"/>
      <c r="AG735" s="799"/>
      <c r="AH735" s="799"/>
      <c r="AI735" s="799"/>
      <c r="AJ735" s="799"/>
      <c r="AK735" s="799"/>
      <c r="AL735" s="799"/>
      <c r="AM735" s="799"/>
      <c r="AN735" s="799"/>
      <c r="AO735" s="799"/>
      <c r="AP735" s="799"/>
      <c r="AQ735" s="799"/>
      <c r="AR735" s="799"/>
      <c r="AS735" s="799"/>
      <c r="AT735" s="799"/>
      <c r="AU735" s="799"/>
      <c r="AV735" s="799"/>
      <c r="AW735" s="799"/>
      <c r="AX735" s="799"/>
      <c r="AY735" s="799"/>
      <c r="AZ735" s="799"/>
      <c r="BA735" s="799"/>
      <c r="BB735" s="799"/>
      <c r="BC735" s="799"/>
      <c r="BD735" s="799"/>
      <c r="BE735" s="799"/>
      <c r="BF735" s="799"/>
      <c r="BG735" s="799"/>
    </row>
    <row r="736">
      <c r="H736" s="799"/>
      <c r="I736" s="799"/>
      <c r="J736" s="799"/>
      <c r="K736" s="799"/>
      <c r="L736" s="799"/>
      <c r="M736" s="799"/>
      <c r="N736" s="799"/>
      <c r="O736" s="799"/>
      <c r="P736" s="799"/>
      <c r="Q736" s="799"/>
      <c r="R736" s="799"/>
      <c r="S736" s="799"/>
      <c r="T736" s="799"/>
      <c r="U736" s="799"/>
      <c r="V736" s="799"/>
      <c r="W736" s="799"/>
      <c r="X736" s="799"/>
      <c r="Y736" s="799"/>
      <c r="Z736" s="799"/>
      <c r="AA736" s="799"/>
      <c r="AB736" s="799"/>
      <c r="AC736" s="799"/>
      <c r="AD736" s="799"/>
      <c r="AE736" s="799"/>
      <c r="AF736" s="799"/>
      <c r="AG736" s="799"/>
      <c r="AH736" s="799"/>
      <c r="AI736" s="799"/>
      <c r="AJ736" s="799"/>
      <c r="AK736" s="799"/>
      <c r="AL736" s="799"/>
      <c r="AM736" s="799"/>
      <c r="AN736" s="799"/>
      <c r="AO736" s="799"/>
      <c r="AP736" s="799"/>
      <c r="AQ736" s="799"/>
      <c r="AR736" s="799"/>
      <c r="AS736" s="799"/>
      <c r="AT736" s="799"/>
      <c r="AU736" s="799"/>
      <c r="AV736" s="799"/>
      <c r="AW736" s="799"/>
      <c r="AX736" s="799"/>
      <c r="AY736" s="799"/>
      <c r="AZ736" s="799"/>
      <c r="BA736" s="799"/>
      <c r="BB736" s="799"/>
      <c r="BC736" s="799"/>
      <c r="BD736" s="799"/>
      <c r="BE736" s="799"/>
      <c r="BF736" s="799"/>
      <c r="BG736" s="799"/>
    </row>
    <row r="737">
      <c r="H737" s="799"/>
      <c r="I737" s="799"/>
      <c r="J737" s="799"/>
      <c r="K737" s="799"/>
      <c r="L737" s="799"/>
      <c r="M737" s="799"/>
      <c r="N737" s="799"/>
      <c r="O737" s="799"/>
      <c r="P737" s="799"/>
      <c r="Q737" s="799"/>
      <c r="R737" s="799"/>
      <c r="S737" s="799"/>
      <c r="T737" s="799"/>
      <c r="U737" s="799"/>
      <c r="V737" s="799"/>
      <c r="W737" s="799"/>
      <c r="X737" s="799"/>
      <c r="Y737" s="799"/>
      <c r="Z737" s="799"/>
      <c r="AA737" s="799"/>
      <c r="AB737" s="799"/>
      <c r="AC737" s="799"/>
      <c r="AD737" s="799"/>
      <c r="AE737" s="799"/>
      <c r="AF737" s="799"/>
      <c r="AG737" s="799"/>
      <c r="AH737" s="799"/>
      <c r="AI737" s="799"/>
      <c r="AJ737" s="799"/>
      <c r="AK737" s="799"/>
      <c r="AL737" s="799"/>
      <c r="AM737" s="799"/>
      <c r="AN737" s="799"/>
      <c r="AO737" s="799"/>
      <c r="AP737" s="799"/>
      <c r="AQ737" s="799"/>
      <c r="AR737" s="799"/>
      <c r="AS737" s="799"/>
      <c r="AT737" s="799"/>
      <c r="AU737" s="799"/>
      <c r="AV737" s="799"/>
      <c r="AW737" s="799"/>
      <c r="AX737" s="799"/>
      <c r="AY737" s="799"/>
      <c r="AZ737" s="799"/>
      <c r="BA737" s="799"/>
      <c r="BB737" s="799"/>
      <c r="BC737" s="799"/>
      <c r="BD737" s="799"/>
      <c r="BE737" s="799"/>
      <c r="BF737" s="799"/>
      <c r="BG737" s="799"/>
    </row>
    <row r="738">
      <c r="H738" s="799"/>
      <c r="I738" s="799"/>
      <c r="J738" s="799"/>
      <c r="K738" s="799"/>
      <c r="L738" s="799"/>
      <c r="M738" s="799"/>
      <c r="N738" s="799"/>
      <c r="O738" s="799"/>
      <c r="P738" s="799"/>
      <c r="Q738" s="799"/>
      <c r="R738" s="799"/>
      <c r="S738" s="799"/>
      <c r="T738" s="799"/>
      <c r="U738" s="799"/>
      <c r="V738" s="799"/>
      <c r="W738" s="799"/>
      <c r="X738" s="799"/>
      <c r="Y738" s="799"/>
      <c r="Z738" s="799"/>
      <c r="AA738" s="799"/>
      <c r="AB738" s="799"/>
      <c r="AC738" s="799"/>
      <c r="AD738" s="799"/>
      <c r="AE738" s="799"/>
      <c r="AF738" s="799"/>
      <c r="AG738" s="799"/>
      <c r="AH738" s="799"/>
      <c r="AI738" s="799"/>
      <c r="AJ738" s="799"/>
      <c r="AK738" s="799"/>
      <c r="AL738" s="799"/>
      <c r="AM738" s="799"/>
      <c r="AN738" s="799"/>
      <c r="AO738" s="799"/>
      <c r="AP738" s="799"/>
      <c r="AQ738" s="799"/>
      <c r="AR738" s="799"/>
      <c r="AS738" s="799"/>
      <c r="AT738" s="799"/>
      <c r="AU738" s="799"/>
      <c r="AV738" s="799"/>
      <c r="AW738" s="799"/>
      <c r="AX738" s="799"/>
      <c r="AY738" s="799"/>
      <c r="AZ738" s="799"/>
      <c r="BA738" s="799"/>
      <c r="BB738" s="799"/>
      <c r="BC738" s="799"/>
      <c r="BD738" s="799"/>
      <c r="BE738" s="799"/>
      <c r="BF738" s="799"/>
      <c r="BG738" s="799"/>
    </row>
    <row r="739">
      <c r="H739" s="799"/>
      <c r="I739" s="799"/>
      <c r="J739" s="799"/>
      <c r="K739" s="799"/>
      <c r="L739" s="799"/>
      <c r="M739" s="799"/>
      <c r="N739" s="799"/>
      <c r="O739" s="799"/>
      <c r="P739" s="799"/>
      <c r="Q739" s="799"/>
      <c r="R739" s="799"/>
      <c r="S739" s="799"/>
      <c r="T739" s="799"/>
      <c r="U739" s="799"/>
      <c r="V739" s="799"/>
      <c r="W739" s="799"/>
      <c r="X739" s="799"/>
      <c r="Y739" s="799"/>
      <c r="Z739" s="799"/>
      <c r="AA739" s="799"/>
      <c r="AB739" s="799"/>
      <c r="AC739" s="799"/>
      <c r="AD739" s="799"/>
      <c r="AE739" s="799"/>
      <c r="AF739" s="799"/>
      <c r="AG739" s="799"/>
      <c r="AH739" s="799"/>
      <c r="AI739" s="799"/>
      <c r="AJ739" s="799"/>
      <c r="AK739" s="799"/>
      <c r="AL739" s="799"/>
      <c r="AM739" s="799"/>
      <c r="AN739" s="799"/>
      <c r="AO739" s="799"/>
      <c r="AP739" s="799"/>
      <c r="AQ739" s="799"/>
      <c r="AR739" s="799"/>
      <c r="AS739" s="799"/>
      <c r="AT739" s="799"/>
      <c r="AU739" s="799"/>
      <c r="AV739" s="799"/>
      <c r="AW739" s="799"/>
      <c r="AX739" s="799"/>
      <c r="AY739" s="799"/>
      <c r="AZ739" s="799"/>
      <c r="BA739" s="799"/>
      <c r="BB739" s="799"/>
      <c r="BC739" s="799"/>
      <c r="BD739" s="799"/>
      <c r="BE739" s="799"/>
      <c r="BF739" s="799"/>
      <c r="BG739" s="799"/>
    </row>
    <row r="740">
      <c r="H740" s="799"/>
      <c r="I740" s="799"/>
      <c r="J740" s="799"/>
      <c r="K740" s="799"/>
      <c r="L740" s="799"/>
      <c r="M740" s="799"/>
      <c r="N740" s="799"/>
      <c r="O740" s="799"/>
      <c r="P740" s="799"/>
      <c r="Q740" s="799"/>
      <c r="R740" s="799"/>
      <c r="S740" s="799"/>
      <c r="T740" s="799"/>
      <c r="U740" s="799"/>
      <c r="V740" s="799"/>
      <c r="W740" s="799"/>
      <c r="X740" s="799"/>
      <c r="Y740" s="799"/>
      <c r="Z740" s="799"/>
      <c r="AA740" s="799"/>
      <c r="AB740" s="799"/>
      <c r="AC740" s="799"/>
      <c r="AD740" s="799"/>
      <c r="AE740" s="799"/>
      <c r="AF740" s="799"/>
      <c r="AG740" s="799"/>
      <c r="AH740" s="799"/>
      <c r="AI740" s="799"/>
      <c r="AJ740" s="799"/>
      <c r="AK740" s="799"/>
      <c r="AL740" s="799"/>
      <c r="AM740" s="799"/>
      <c r="AN740" s="799"/>
      <c r="AO740" s="799"/>
      <c r="AP740" s="799"/>
      <c r="AQ740" s="799"/>
      <c r="AR740" s="799"/>
      <c r="AS740" s="799"/>
      <c r="AT740" s="799"/>
      <c r="AU740" s="799"/>
      <c r="AV740" s="799"/>
      <c r="AW740" s="799"/>
      <c r="AX740" s="799"/>
      <c r="AY740" s="799"/>
      <c r="AZ740" s="799"/>
      <c r="BA740" s="799"/>
      <c r="BB740" s="799"/>
      <c r="BC740" s="799"/>
      <c r="BD740" s="799"/>
      <c r="BE740" s="799"/>
      <c r="BF740" s="799"/>
      <c r="BG740" s="799"/>
    </row>
    <row r="741">
      <c r="H741" s="799"/>
      <c r="I741" s="799"/>
      <c r="J741" s="799"/>
      <c r="K741" s="799"/>
      <c r="L741" s="799"/>
      <c r="M741" s="799"/>
      <c r="N741" s="799"/>
      <c r="O741" s="799"/>
      <c r="P741" s="799"/>
      <c r="Q741" s="799"/>
      <c r="R741" s="799"/>
      <c r="S741" s="799"/>
      <c r="T741" s="799"/>
      <c r="U741" s="799"/>
      <c r="V741" s="799"/>
      <c r="W741" s="799"/>
      <c r="X741" s="799"/>
      <c r="Y741" s="799"/>
      <c r="Z741" s="799"/>
      <c r="AA741" s="799"/>
      <c r="AB741" s="799"/>
      <c r="AC741" s="799"/>
      <c r="AD741" s="799"/>
      <c r="AE741" s="799"/>
      <c r="AF741" s="799"/>
      <c r="AG741" s="799"/>
      <c r="AH741" s="799"/>
      <c r="AI741" s="799"/>
      <c r="AJ741" s="799"/>
      <c r="AK741" s="799"/>
      <c r="AL741" s="799"/>
      <c r="AM741" s="799"/>
      <c r="AN741" s="799"/>
      <c r="AO741" s="799"/>
      <c r="AP741" s="799"/>
      <c r="AQ741" s="799"/>
      <c r="AR741" s="799"/>
      <c r="AS741" s="799"/>
      <c r="AT741" s="799"/>
      <c r="AU741" s="799"/>
      <c r="AV741" s="799"/>
      <c r="AW741" s="799"/>
      <c r="AX741" s="799"/>
      <c r="AY741" s="799"/>
      <c r="AZ741" s="799"/>
      <c r="BA741" s="799"/>
      <c r="BB741" s="799"/>
      <c r="BC741" s="799"/>
      <c r="BD741" s="799"/>
      <c r="BE741" s="799"/>
      <c r="BF741" s="799"/>
      <c r="BG741" s="799"/>
    </row>
    <row r="742">
      <c r="H742" s="799"/>
      <c r="I742" s="799"/>
      <c r="J742" s="799"/>
      <c r="K742" s="799"/>
      <c r="L742" s="799"/>
      <c r="M742" s="799"/>
      <c r="N742" s="799"/>
      <c r="O742" s="799"/>
      <c r="P742" s="799"/>
      <c r="Q742" s="799"/>
      <c r="R742" s="799"/>
      <c r="S742" s="799"/>
      <c r="T742" s="799"/>
      <c r="U742" s="799"/>
      <c r="V742" s="799"/>
      <c r="W742" s="799"/>
      <c r="X742" s="799"/>
      <c r="Y742" s="799"/>
      <c r="Z742" s="799"/>
      <c r="AA742" s="799"/>
      <c r="AB742" s="799"/>
      <c r="AC742" s="799"/>
      <c r="AD742" s="799"/>
      <c r="AE742" s="799"/>
      <c r="AF742" s="799"/>
      <c r="AG742" s="799"/>
      <c r="AH742" s="799"/>
      <c r="AI742" s="799"/>
      <c r="AJ742" s="799"/>
      <c r="AK742" s="799"/>
      <c r="AL742" s="799"/>
      <c r="AM742" s="799"/>
      <c r="AN742" s="799"/>
      <c r="AO742" s="799"/>
      <c r="AP742" s="799"/>
      <c r="AQ742" s="799"/>
      <c r="AR742" s="799"/>
      <c r="AS742" s="799"/>
      <c r="AT742" s="799"/>
      <c r="AU742" s="799"/>
      <c r="AV742" s="799"/>
      <c r="AW742" s="799"/>
      <c r="AX742" s="799"/>
      <c r="AY742" s="799"/>
      <c r="AZ742" s="799"/>
      <c r="BA742" s="799"/>
      <c r="BB742" s="799"/>
      <c r="BC742" s="799"/>
      <c r="BD742" s="799"/>
      <c r="BE742" s="799"/>
      <c r="BF742" s="799"/>
      <c r="BG742" s="799"/>
    </row>
    <row r="743">
      <c r="H743" s="799"/>
      <c r="I743" s="799"/>
      <c r="J743" s="799"/>
      <c r="K743" s="799"/>
      <c r="L743" s="799"/>
      <c r="M743" s="799"/>
      <c r="N743" s="799"/>
      <c r="O743" s="799"/>
      <c r="P743" s="799"/>
      <c r="Q743" s="799"/>
      <c r="R743" s="799"/>
      <c r="S743" s="799"/>
      <c r="T743" s="799"/>
      <c r="U743" s="799"/>
      <c r="V743" s="799"/>
      <c r="W743" s="799"/>
      <c r="X743" s="799"/>
      <c r="Y743" s="799"/>
      <c r="Z743" s="799"/>
      <c r="AA743" s="799"/>
      <c r="AB743" s="799"/>
      <c r="AC743" s="799"/>
      <c r="AD743" s="799"/>
      <c r="AE743" s="799"/>
      <c r="AF743" s="799"/>
      <c r="AG743" s="799"/>
      <c r="AH743" s="799"/>
      <c r="AI743" s="799"/>
      <c r="AJ743" s="799"/>
      <c r="AK743" s="799"/>
      <c r="AL743" s="799"/>
      <c r="AM743" s="799"/>
      <c r="AN743" s="799"/>
      <c r="AO743" s="799"/>
      <c r="AP743" s="799"/>
      <c r="AQ743" s="799"/>
      <c r="AR743" s="799"/>
      <c r="AS743" s="799"/>
      <c r="AT743" s="799"/>
      <c r="AU743" s="799"/>
      <c r="AV743" s="799"/>
      <c r="AW743" s="799"/>
      <c r="AX743" s="799"/>
      <c r="AY743" s="799"/>
      <c r="AZ743" s="799"/>
      <c r="BA743" s="799"/>
      <c r="BB743" s="799"/>
      <c r="BC743" s="799"/>
      <c r="BD743" s="799"/>
      <c r="BE743" s="799"/>
      <c r="BF743" s="799"/>
      <c r="BG743" s="799"/>
    </row>
    <row r="744">
      <c r="H744" s="799"/>
      <c r="I744" s="799"/>
      <c r="J744" s="799"/>
      <c r="K744" s="799"/>
      <c r="L744" s="799"/>
      <c r="M744" s="799"/>
      <c r="N744" s="799"/>
      <c r="O744" s="799"/>
      <c r="P744" s="799"/>
      <c r="Q744" s="799"/>
      <c r="R744" s="799"/>
      <c r="S744" s="799"/>
      <c r="T744" s="799"/>
      <c r="U744" s="799"/>
      <c r="V744" s="799"/>
      <c r="W744" s="799"/>
      <c r="X744" s="799"/>
      <c r="Y744" s="799"/>
      <c r="Z744" s="799"/>
      <c r="AA744" s="799"/>
      <c r="AB744" s="799"/>
      <c r="AC744" s="799"/>
      <c r="AD744" s="799"/>
      <c r="AE744" s="799"/>
      <c r="AF744" s="799"/>
      <c r="AG744" s="799"/>
      <c r="AH744" s="799"/>
      <c r="AI744" s="799"/>
      <c r="AJ744" s="799"/>
      <c r="AK744" s="799"/>
      <c r="AL744" s="799"/>
      <c r="AM744" s="799"/>
      <c r="AN744" s="799"/>
      <c r="AO744" s="799"/>
      <c r="AP744" s="799"/>
      <c r="AQ744" s="799"/>
      <c r="AR744" s="799"/>
      <c r="AS744" s="799"/>
      <c r="AT744" s="799"/>
      <c r="AU744" s="799"/>
      <c r="AV744" s="799"/>
      <c r="AW744" s="799"/>
      <c r="AX744" s="799"/>
      <c r="AY744" s="799"/>
      <c r="AZ744" s="799"/>
      <c r="BA744" s="799"/>
      <c r="BB744" s="799"/>
      <c r="BC744" s="799"/>
      <c r="BD744" s="799"/>
      <c r="BE744" s="799"/>
      <c r="BF744" s="799"/>
      <c r="BG744" s="799"/>
    </row>
    <row r="745">
      <c r="H745" s="799"/>
      <c r="I745" s="799"/>
      <c r="J745" s="799"/>
      <c r="K745" s="799"/>
      <c r="L745" s="799"/>
      <c r="M745" s="799"/>
      <c r="N745" s="799"/>
      <c r="O745" s="799"/>
      <c r="P745" s="799"/>
      <c r="Q745" s="799"/>
      <c r="R745" s="799"/>
      <c r="S745" s="799"/>
      <c r="T745" s="799"/>
      <c r="U745" s="799"/>
      <c r="V745" s="799"/>
      <c r="W745" s="799"/>
      <c r="X745" s="799"/>
      <c r="Y745" s="799"/>
      <c r="Z745" s="799"/>
      <c r="AA745" s="799"/>
      <c r="AB745" s="799"/>
      <c r="AC745" s="799"/>
      <c r="AD745" s="799"/>
      <c r="AE745" s="799"/>
      <c r="AF745" s="799"/>
      <c r="AG745" s="799"/>
      <c r="AH745" s="799"/>
      <c r="AI745" s="799"/>
      <c r="AJ745" s="799"/>
      <c r="AK745" s="799"/>
      <c r="AL745" s="799"/>
      <c r="AM745" s="799"/>
      <c r="AN745" s="799"/>
      <c r="AO745" s="799"/>
      <c r="AP745" s="799"/>
      <c r="AQ745" s="799"/>
      <c r="AR745" s="799"/>
      <c r="AS745" s="799"/>
      <c r="AT745" s="799"/>
      <c r="AU745" s="799"/>
      <c r="AV745" s="799"/>
      <c r="AW745" s="799"/>
      <c r="AX745" s="799"/>
      <c r="AY745" s="799"/>
      <c r="AZ745" s="799"/>
      <c r="BA745" s="799"/>
      <c r="BB745" s="799"/>
      <c r="BC745" s="799"/>
      <c r="BD745" s="799"/>
      <c r="BE745" s="799"/>
      <c r="BF745" s="799"/>
      <c r="BG745" s="799"/>
    </row>
    <row r="746">
      <c r="H746" s="799"/>
      <c r="I746" s="799"/>
      <c r="J746" s="799"/>
      <c r="K746" s="799"/>
      <c r="L746" s="799"/>
      <c r="M746" s="799"/>
      <c r="N746" s="799"/>
      <c r="O746" s="799"/>
      <c r="P746" s="799"/>
      <c r="Q746" s="799"/>
      <c r="R746" s="799"/>
      <c r="S746" s="799"/>
      <c r="T746" s="799"/>
      <c r="U746" s="799"/>
      <c r="V746" s="799"/>
      <c r="W746" s="799"/>
      <c r="X746" s="799"/>
      <c r="Y746" s="799"/>
      <c r="Z746" s="799"/>
      <c r="AA746" s="799"/>
      <c r="AB746" s="799"/>
      <c r="AC746" s="799"/>
      <c r="AD746" s="799"/>
      <c r="AE746" s="799"/>
      <c r="AF746" s="799"/>
      <c r="AG746" s="799"/>
      <c r="AH746" s="799"/>
      <c r="AI746" s="799"/>
      <c r="AJ746" s="799"/>
      <c r="AK746" s="799"/>
      <c r="AL746" s="799"/>
      <c r="AM746" s="799"/>
      <c r="AN746" s="799"/>
      <c r="AO746" s="799"/>
      <c r="AP746" s="799"/>
      <c r="AQ746" s="799"/>
      <c r="AR746" s="799"/>
      <c r="AS746" s="799"/>
      <c r="AT746" s="799"/>
      <c r="AU746" s="799"/>
      <c r="AV746" s="799"/>
      <c r="AW746" s="799"/>
      <c r="AX746" s="799"/>
      <c r="AY746" s="799"/>
      <c r="AZ746" s="799"/>
      <c r="BA746" s="799"/>
      <c r="BB746" s="799"/>
      <c r="BC746" s="799"/>
      <c r="BD746" s="799"/>
      <c r="BE746" s="799"/>
      <c r="BF746" s="799"/>
      <c r="BG746" s="799"/>
    </row>
    <row r="747">
      <c r="H747" s="799"/>
      <c r="I747" s="799"/>
      <c r="J747" s="799"/>
      <c r="K747" s="799"/>
      <c r="L747" s="799"/>
      <c r="M747" s="799"/>
      <c r="N747" s="799"/>
      <c r="O747" s="799"/>
      <c r="P747" s="799"/>
      <c r="Q747" s="799"/>
      <c r="R747" s="799"/>
      <c r="S747" s="799"/>
      <c r="T747" s="799"/>
      <c r="U747" s="799"/>
      <c r="V747" s="799"/>
      <c r="W747" s="799"/>
      <c r="X747" s="799"/>
      <c r="Y747" s="799"/>
      <c r="Z747" s="799"/>
      <c r="AA747" s="799"/>
      <c r="AB747" s="799"/>
      <c r="AC747" s="799"/>
      <c r="AD747" s="799"/>
      <c r="AE747" s="799"/>
      <c r="AF747" s="799"/>
      <c r="AG747" s="799"/>
      <c r="AH747" s="799"/>
      <c r="AI747" s="799"/>
      <c r="AJ747" s="799"/>
      <c r="AK747" s="799"/>
      <c r="AL747" s="799"/>
      <c r="AM747" s="799"/>
      <c r="AN747" s="799"/>
      <c r="AO747" s="799"/>
      <c r="AP747" s="799"/>
      <c r="AQ747" s="799"/>
      <c r="AR747" s="799"/>
      <c r="AS747" s="799"/>
      <c r="AT747" s="799"/>
      <c r="AU747" s="799"/>
      <c r="AV747" s="799"/>
      <c r="AW747" s="799"/>
      <c r="AX747" s="799"/>
      <c r="AY747" s="799"/>
      <c r="AZ747" s="799"/>
      <c r="BA747" s="799"/>
      <c r="BB747" s="799"/>
      <c r="BC747" s="799"/>
      <c r="BD747" s="799"/>
      <c r="BE747" s="799"/>
      <c r="BF747" s="799"/>
      <c r="BG747" s="799"/>
    </row>
    <row r="748">
      <c r="H748" s="799"/>
      <c r="I748" s="799"/>
      <c r="J748" s="799"/>
      <c r="K748" s="799"/>
      <c r="L748" s="799"/>
      <c r="M748" s="799"/>
      <c r="N748" s="799"/>
      <c r="O748" s="799"/>
      <c r="P748" s="799"/>
      <c r="Q748" s="799"/>
      <c r="R748" s="799"/>
      <c r="S748" s="799"/>
      <c r="T748" s="799"/>
      <c r="U748" s="799"/>
      <c r="V748" s="799"/>
      <c r="W748" s="799"/>
      <c r="X748" s="799"/>
      <c r="Y748" s="799"/>
      <c r="Z748" s="799"/>
      <c r="AA748" s="799"/>
      <c r="AB748" s="799"/>
      <c r="AC748" s="799"/>
      <c r="AD748" s="799"/>
      <c r="AE748" s="799"/>
      <c r="AF748" s="799"/>
      <c r="AG748" s="799"/>
      <c r="AH748" s="799"/>
      <c r="AI748" s="799"/>
      <c r="AJ748" s="799"/>
      <c r="AK748" s="799"/>
      <c r="AL748" s="799"/>
      <c r="AM748" s="799"/>
      <c r="AN748" s="799"/>
      <c r="AO748" s="799"/>
      <c r="AP748" s="799"/>
      <c r="AQ748" s="799"/>
      <c r="AR748" s="799"/>
      <c r="AS748" s="799"/>
      <c r="AT748" s="799"/>
      <c r="AU748" s="799"/>
      <c r="AV748" s="799"/>
      <c r="AW748" s="799"/>
      <c r="AX748" s="799"/>
      <c r="AY748" s="799"/>
      <c r="AZ748" s="799"/>
      <c r="BA748" s="799"/>
      <c r="BB748" s="799"/>
      <c r="BC748" s="799"/>
      <c r="BD748" s="799"/>
      <c r="BE748" s="799"/>
      <c r="BF748" s="799"/>
      <c r="BG748" s="799"/>
    </row>
    <row r="749">
      <c r="H749" s="799"/>
      <c r="I749" s="799"/>
      <c r="J749" s="799"/>
      <c r="K749" s="799"/>
      <c r="L749" s="799"/>
      <c r="M749" s="799"/>
      <c r="N749" s="799"/>
      <c r="O749" s="799"/>
      <c r="P749" s="799"/>
      <c r="Q749" s="799"/>
      <c r="R749" s="799"/>
      <c r="S749" s="799"/>
      <c r="T749" s="799"/>
      <c r="U749" s="799"/>
      <c r="V749" s="799"/>
      <c r="W749" s="799"/>
      <c r="X749" s="799"/>
      <c r="Y749" s="799"/>
      <c r="Z749" s="799"/>
      <c r="AA749" s="799"/>
      <c r="AB749" s="799"/>
      <c r="AC749" s="799"/>
      <c r="AD749" s="799"/>
      <c r="AE749" s="799"/>
      <c r="AF749" s="799"/>
      <c r="AG749" s="799"/>
      <c r="AH749" s="799"/>
      <c r="AI749" s="799"/>
      <c r="AJ749" s="799"/>
      <c r="AK749" s="799"/>
      <c r="AL749" s="799"/>
      <c r="AM749" s="799"/>
      <c r="AN749" s="799"/>
      <c r="AO749" s="799"/>
      <c r="AP749" s="799"/>
      <c r="AQ749" s="799"/>
      <c r="AR749" s="799"/>
      <c r="AS749" s="799"/>
      <c r="AT749" s="799"/>
      <c r="AU749" s="799"/>
      <c r="AV749" s="799"/>
      <c r="AW749" s="799"/>
      <c r="AX749" s="799"/>
      <c r="AY749" s="799"/>
      <c r="AZ749" s="799"/>
      <c r="BA749" s="799"/>
      <c r="BB749" s="799"/>
      <c r="BC749" s="799"/>
      <c r="BD749" s="799"/>
      <c r="BE749" s="799"/>
      <c r="BF749" s="799"/>
      <c r="BG749" s="799"/>
    </row>
    <row r="750">
      <c r="H750" s="799"/>
      <c r="I750" s="799"/>
      <c r="J750" s="799"/>
      <c r="K750" s="799"/>
      <c r="L750" s="799"/>
      <c r="M750" s="799"/>
      <c r="N750" s="799"/>
      <c r="O750" s="799"/>
      <c r="P750" s="799"/>
      <c r="Q750" s="799"/>
      <c r="R750" s="799"/>
      <c r="S750" s="799"/>
      <c r="T750" s="799"/>
      <c r="U750" s="799"/>
      <c r="V750" s="799"/>
      <c r="W750" s="799"/>
      <c r="X750" s="799"/>
      <c r="Y750" s="799"/>
      <c r="Z750" s="799"/>
      <c r="AA750" s="799"/>
      <c r="AB750" s="799"/>
      <c r="AC750" s="799"/>
      <c r="AD750" s="799"/>
      <c r="AE750" s="799"/>
      <c r="AF750" s="799"/>
      <c r="AG750" s="799"/>
      <c r="AH750" s="799"/>
      <c r="AI750" s="799"/>
      <c r="AJ750" s="799"/>
      <c r="AK750" s="799"/>
      <c r="AL750" s="799"/>
      <c r="AM750" s="799"/>
      <c r="AN750" s="799"/>
      <c r="AO750" s="799"/>
      <c r="AP750" s="799"/>
      <c r="AQ750" s="799"/>
      <c r="AR750" s="799"/>
      <c r="AS750" s="799"/>
      <c r="AT750" s="799"/>
      <c r="AU750" s="799"/>
      <c r="AV750" s="799"/>
      <c r="AW750" s="799"/>
      <c r="AX750" s="799"/>
      <c r="AY750" s="799"/>
      <c r="AZ750" s="799"/>
      <c r="BA750" s="799"/>
      <c r="BB750" s="799"/>
      <c r="BC750" s="799"/>
      <c r="BD750" s="799"/>
      <c r="BE750" s="799"/>
      <c r="BF750" s="799"/>
      <c r="BG750" s="799"/>
    </row>
    <row r="751">
      <c r="H751" s="799"/>
      <c r="I751" s="799"/>
      <c r="J751" s="799"/>
      <c r="K751" s="799"/>
      <c r="L751" s="799"/>
      <c r="M751" s="799"/>
      <c r="N751" s="799"/>
      <c r="O751" s="799"/>
      <c r="P751" s="799"/>
      <c r="Q751" s="799"/>
      <c r="R751" s="799"/>
      <c r="S751" s="799"/>
      <c r="T751" s="799"/>
      <c r="U751" s="799"/>
      <c r="V751" s="799"/>
      <c r="W751" s="799"/>
      <c r="X751" s="799"/>
      <c r="Y751" s="799"/>
      <c r="Z751" s="799"/>
      <c r="AA751" s="799"/>
      <c r="AB751" s="799"/>
      <c r="AC751" s="799"/>
      <c r="AD751" s="799"/>
      <c r="AE751" s="799"/>
      <c r="AF751" s="799"/>
      <c r="AG751" s="799"/>
      <c r="AH751" s="799"/>
      <c r="AI751" s="799"/>
      <c r="AJ751" s="799"/>
      <c r="AK751" s="799"/>
      <c r="AL751" s="799"/>
      <c r="AM751" s="799"/>
      <c r="AN751" s="799"/>
      <c r="AO751" s="799"/>
      <c r="AP751" s="799"/>
      <c r="AQ751" s="799"/>
      <c r="AR751" s="799"/>
      <c r="AS751" s="799"/>
      <c r="AT751" s="799"/>
      <c r="AU751" s="799"/>
      <c r="AV751" s="799"/>
      <c r="AW751" s="799"/>
      <c r="AX751" s="799"/>
      <c r="AY751" s="799"/>
      <c r="AZ751" s="799"/>
      <c r="BA751" s="799"/>
      <c r="BB751" s="799"/>
      <c r="BC751" s="799"/>
      <c r="BD751" s="799"/>
      <c r="BE751" s="799"/>
      <c r="BF751" s="799"/>
      <c r="BG751" s="799"/>
    </row>
    <row r="752">
      <c r="H752" s="799"/>
      <c r="I752" s="799"/>
      <c r="J752" s="799"/>
      <c r="K752" s="799"/>
      <c r="L752" s="799"/>
      <c r="M752" s="799"/>
      <c r="N752" s="799"/>
      <c r="O752" s="799"/>
      <c r="P752" s="799"/>
      <c r="Q752" s="799"/>
      <c r="R752" s="799"/>
      <c r="S752" s="799"/>
      <c r="T752" s="799"/>
      <c r="U752" s="799"/>
      <c r="V752" s="799"/>
      <c r="W752" s="799"/>
      <c r="X752" s="799"/>
      <c r="Y752" s="799"/>
      <c r="Z752" s="799"/>
      <c r="AA752" s="799"/>
      <c r="AB752" s="799"/>
      <c r="AC752" s="799"/>
      <c r="AD752" s="799"/>
      <c r="AE752" s="799"/>
      <c r="AF752" s="799"/>
      <c r="AG752" s="799"/>
      <c r="AH752" s="799"/>
      <c r="AI752" s="799"/>
      <c r="AJ752" s="799"/>
      <c r="AK752" s="799"/>
      <c r="AL752" s="799"/>
      <c r="AM752" s="799"/>
      <c r="AN752" s="799"/>
      <c r="AO752" s="799"/>
      <c r="AP752" s="799"/>
      <c r="AQ752" s="799"/>
      <c r="AR752" s="799"/>
      <c r="AS752" s="799"/>
      <c r="AT752" s="799"/>
      <c r="AU752" s="799"/>
      <c r="AV752" s="799"/>
      <c r="AW752" s="799"/>
      <c r="AX752" s="799"/>
      <c r="AY752" s="799"/>
      <c r="AZ752" s="799"/>
      <c r="BA752" s="799"/>
      <c r="BB752" s="799"/>
      <c r="BC752" s="799"/>
      <c r="BD752" s="799"/>
      <c r="BE752" s="799"/>
      <c r="BF752" s="799"/>
      <c r="BG752" s="799"/>
    </row>
    <row r="753">
      <c r="H753" s="799"/>
      <c r="I753" s="799"/>
      <c r="J753" s="799"/>
      <c r="K753" s="799"/>
      <c r="L753" s="799"/>
      <c r="M753" s="799"/>
      <c r="N753" s="799"/>
      <c r="O753" s="799"/>
      <c r="P753" s="799"/>
      <c r="Q753" s="799"/>
      <c r="R753" s="799"/>
      <c r="S753" s="799"/>
      <c r="T753" s="799"/>
      <c r="U753" s="799"/>
      <c r="V753" s="799"/>
      <c r="W753" s="799"/>
      <c r="X753" s="799"/>
      <c r="Y753" s="799"/>
      <c r="Z753" s="799"/>
      <c r="AA753" s="799"/>
      <c r="AB753" s="799"/>
      <c r="AC753" s="799"/>
      <c r="AD753" s="799"/>
      <c r="AE753" s="799"/>
      <c r="AF753" s="799"/>
      <c r="AG753" s="799"/>
      <c r="AH753" s="799"/>
      <c r="AI753" s="799"/>
      <c r="AJ753" s="799"/>
      <c r="AK753" s="799"/>
      <c r="AL753" s="799"/>
      <c r="AM753" s="799"/>
      <c r="AN753" s="799"/>
      <c r="AO753" s="799"/>
      <c r="AP753" s="799"/>
      <c r="AQ753" s="799"/>
      <c r="AR753" s="799"/>
      <c r="AS753" s="799"/>
      <c r="AT753" s="799"/>
      <c r="AU753" s="799"/>
      <c r="AV753" s="799"/>
      <c r="AW753" s="799"/>
      <c r="AX753" s="799"/>
      <c r="AY753" s="799"/>
      <c r="AZ753" s="799"/>
      <c r="BA753" s="799"/>
      <c r="BB753" s="799"/>
      <c r="BC753" s="799"/>
      <c r="BD753" s="799"/>
      <c r="BE753" s="799"/>
      <c r="BF753" s="799"/>
      <c r="BG753" s="799"/>
    </row>
    <row r="754">
      <c r="H754" s="799"/>
      <c r="I754" s="799"/>
      <c r="J754" s="799"/>
      <c r="K754" s="799"/>
      <c r="L754" s="799"/>
      <c r="M754" s="799"/>
      <c r="N754" s="799"/>
      <c r="O754" s="799"/>
      <c r="P754" s="799"/>
      <c r="Q754" s="799"/>
      <c r="R754" s="799"/>
      <c r="S754" s="799"/>
      <c r="T754" s="799"/>
      <c r="U754" s="799"/>
      <c r="V754" s="799"/>
      <c r="W754" s="799"/>
      <c r="X754" s="799"/>
      <c r="Y754" s="799"/>
      <c r="Z754" s="799"/>
      <c r="AA754" s="799"/>
      <c r="AB754" s="799"/>
      <c r="AC754" s="799"/>
      <c r="AD754" s="799"/>
      <c r="AE754" s="799"/>
      <c r="AF754" s="799"/>
      <c r="AG754" s="799"/>
      <c r="AH754" s="799"/>
      <c r="AI754" s="799"/>
      <c r="AJ754" s="799"/>
      <c r="AK754" s="799"/>
      <c r="AL754" s="799"/>
      <c r="AM754" s="799"/>
      <c r="AN754" s="799"/>
      <c r="AO754" s="799"/>
      <c r="AP754" s="799"/>
      <c r="AQ754" s="799"/>
      <c r="AR754" s="799"/>
      <c r="AS754" s="799"/>
      <c r="AT754" s="799"/>
      <c r="AU754" s="799"/>
      <c r="AV754" s="799"/>
      <c r="AW754" s="799"/>
      <c r="AX754" s="799"/>
      <c r="AY754" s="799"/>
      <c r="AZ754" s="799"/>
      <c r="BA754" s="799"/>
      <c r="BB754" s="799"/>
      <c r="BC754" s="799"/>
      <c r="BD754" s="799"/>
      <c r="BE754" s="799"/>
      <c r="BF754" s="799"/>
      <c r="BG754" s="799"/>
    </row>
    <row r="755">
      <c r="H755" s="799"/>
      <c r="I755" s="799"/>
      <c r="J755" s="799"/>
      <c r="K755" s="799"/>
      <c r="L755" s="799"/>
      <c r="M755" s="799"/>
      <c r="N755" s="799"/>
      <c r="O755" s="799"/>
      <c r="P755" s="799"/>
      <c r="Q755" s="799"/>
      <c r="R755" s="799"/>
      <c r="S755" s="799"/>
      <c r="T755" s="799"/>
      <c r="U755" s="799"/>
      <c r="V755" s="799"/>
      <c r="W755" s="799"/>
      <c r="X755" s="799"/>
      <c r="Y755" s="799"/>
      <c r="Z755" s="799"/>
      <c r="AA755" s="799"/>
      <c r="AB755" s="799"/>
      <c r="AC755" s="799"/>
      <c r="AD755" s="799"/>
      <c r="AE755" s="799"/>
      <c r="AF755" s="799"/>
      <c r="AG755" s="799"/>
      <c r="AH755" s="799"/>
      <c r="AI755" s="799"/>
      <c r="AJ755" s="799"/>
      <c r="AK755" s="799"/>
      <c r="AL755" s="799"/>
      <c r="AM755" s="799"/>
      <c r="AN755" s="799"/>
      <c r="AO755" s="799"/>
      <c r="AP755" s="799"/>
      <c r="AQ755" s="799"/>
      <c r="AR755" s="799"/>
      <c r="AS755" s="799"/>
      <c r="AT755" s="799"/>
      <c r="AU755" s="799"/>
      <c r="AV755" s="799"/>
      <c r="AW755" s="799"/>
      <c r="AX755" s="799"/>
      <c r="AY755" s="799"/>
      <c r="AZ755" s="799"/>
      <c r="BA755" s="799"/>
      <c r="BB755" s="799"/>
      <c r="BC755" s="799"/>
      <c r="BD755" s="799"/>
      <c r="BE755" s="799"/>
      <c r="BF755" s="799"/>
      <c r="BG755" s="799"/>
    </row>
    <row r="756">
      <c r="H756" s="799"/>
      <c r="I756" s="799"/>
      <c r="J756" s="799"/>
      <c r="K756" s="799"/>
      <c r="L756" s="799"/>
      <c r="M756" s="799"/>
      <c r="N756" s="799"/>
      <c r="O756" s="799"/>
      <c r="P756" s="799"/>
      <c r="Q756" s="799"/>
      <c r="R756" s="799"/>
      <c r="S756" s="799"/>
      <c r="T756" s="799"/>
      <c r="U756" s="799"/>
      <c r="V756" s="799"/>
      <c r="W756" s="799"/>
      <c r="X756" s="799"/>
      <c r="Y756" s="799"/>
      <c r="Z756" s="799"/>
      <c r="AA756" s="799"/>
      <c r="AB756" s="799"/>
      <c r="AC756" s="799"/>
      <c r="AD756" s="799"/>
      <c r="AE756" s="799"/>
      <c r="AF756" s="799"/>
      <c r="AG756" s="799"/>
      <c r="AH756" s="799"/>
      <c r="AI756" s="799"/>
      <c r="AJ756" s="799"/>
      <c r="AK756" s="799"/>
      <c r="AL756" s="799"/>
      <c r="AM756" s="799"/>
      <c r="AN756" s="799"/>
      <c r="AO756" s="799"/>
      <c r="AP756" s="799"/>
      <c r="AQ756" s="799"/>
      <c r="AR756" s="799"/>
      <c r="AS756" s="799"/>
      <c r="AT756" s="799"/>
      <c r="AU756" s="799"/>
      <c r="AV756" s="799"/>
      <c r="AW756" s="799"/>
      <c r="AX756" s="799"/>
      <c r="AY756" s="799"/>
      <c r="AZ756" s="799"/>
      <c r="BA756" s="799"/>
      <c r="BB756" s="799"/>
      <c r="BC756" s="799"/>
      <c r="BD756" s="799"/>
      <c r="BE756" s="799"/>
      <c r="BF756" s="799"/>
      <c r="BG756" s="799"/>
    </row>
    <row r="757">
      <c r="H757" s="799"/>
      <c r="I757" s="799"/>
      <c r="J757" s="799"/>
      <c r="K757" s="799"/>
      <c r="L757" s="799"/>
      <c r="M757" s="799"/>
      <c r="N757" s="799"/>
      <c r="O757" s="799"/>
      <c r="P757" s="799"/>
      <c r="Q757" s="799"/>
      <c r="R757" s="799"/>
      <c r="S757" s="799"/>
      <c r="T757" s="799"/>
      <c r="U757" s="799"/>
      <c r="V757" s="799"/>
      <c r="W757" s="799"/>
      <c r="X757" s="799"/>
      <c r="Y757" s="799"/>
      <c r="Z757" s="799"/>
      <c r="AA757" s="799"/>
      <c r="AB757" s="799"/>
      <c r="AC757" s="799"/>
      <c r="AD757" s="799"/>
      <c r="AE757" s="799"/>
      <c r="AF757" s="799"/>
      <c r="AG757" s="799"/>
      <c r="AH757" s="799"/>
      <c r="AI757" s="799"/>
      <c r="AJ757" s="799"/>
      <c r="AK757" s="799"/>
      <c r="AL757" s="799"/>
      <c r="AM757" s="799"/>
      <c r="AN757" s="799"/>
      <c r="AO757" s="799"/>
      <c r="AP757" s="799"/>
      <c r="AQ757" s="799"/>
      <c r="AR757" s="799"/>
      <c r="AS757" s="799"/>
      <c r="AT757" s="799"/>
      <c r="AU757" s="799"/>
      <c r="AV757" s="799"/>
      <c r="AW757" s="799"/>
      <c r="AX757" s="799"/>
      <c r="AY757" s="799"/>
      <c r="AZ757" s="799"/>
      <c r="BA757" s="799"/>
      <c r="BB757" s="799"/>
      <c r="BC757" s="799"/>
      <c r="BD757" s="799"/>
      <c r="BE757" s="799"/>
      <c r="BF757" s="799"/>
      <c r="BG757" s="799"/>
    </row>
    <row r="758">
      <c r="H758" s="799"/>
      <c r="I758" s="799"/>
      <c r="J758" s="799"/>
      <c r="K758" s="799"/>
      <c r="L758" s="799"/>
      <c r="M758" s="799"/>
      <c r="N758" s="799"/>
      <c r="O758" s="799"/>
      <c r="P758" s="799"/>
      <c r="Q758" s="799"/>
      <c r="R758" s="799"/>
      <c r="S758" s="799"/>
      <c r="T758" s="799"/>
      <c r="U758" s="799"/>
      <c r="V758" s="799"/>
      <c r="W758" s="799"/>
      <c r="X758" s="799"/>
      <c r="Y758" s="799"/>
      <c r="Z758" s="799"/>
      <c r="AA758" s="799"/>
      <c r="AB758" s="799"/>
      <c r="AC758" s="799"/>
      <c r="AD758" s="799"/>
      <c r="AE758" s="799"/>
      <c r="AF758" s="799"/>
      <c r="AG758" s="799"/>
      <c r="AH758" s="799"/>
      <c r="AI758" s="799"/>
      <c r="AJ758" s="799"/>
      <c r="AK758" s="799"/>
      <c r="AL758" s="799"/>
      <c r="AM758" s="799"/>
      <c r="AN758" s="799"/>
      <c r="AO758" s="799"/>
      <c r="AP758" s="799"/>
      <c r="AQ758" s="799"/>
      <c r="AR758" s="799"/>
      <c r="AS758" s="799"/>
      <c r="AT758" s="799"/>
      <c r="AU758" s="799"/>
      <c r="AV758" s="799"/>
      <c r="AW758" s="799"/>
      <c r="AX758" s="799"/>
      <c r="AY758" s="799"/>
      <c r="AZ758" s="799"/>
      <c r="BA758" s="799"/>
      <c r="BB758" s="799"/>
      <c r="BC758" s="799"/>
      <c r="BD758" s="799"/>
      <c r="BE758" s="799"/>
      <c r="BF758" s="799"/>
      <c r="BG758" s="799"/>
    </row>
    <row r="759">
      <c r="H759" s="799"/>
      <c r="I759" s="799"/>
      <c r="J759" s="799"/>
      <c r="K759" s="799"/>
      <c r="L759" s="799"/>
      <c r="M759" s="799"/>
      <c r="N759" s="799"/>
      <c r="O759" s="799"/>
      <c r="P759" s="799"/>
      <c r="Q759" s="799"/>
      <c r="R759" s="799"/>
      <c r="S759" s="799"/>
      <c r="T759" s="799"/>
      <c r="U759" s="799"/>
      <c r="V759" s="799"/>
      <c r="W759" s="799"/>
      <c r="X759" s="799"/>
      <c r="Y759" s="799"/>
      <c r="Z759" s="799"/>
      <c r="AA759" s="799"/>
      <c r="AB759" s="799"/>
      <c r="AC759" s="799"/>
      <c r="AD759" s="799"/>
      <c r="AE759" s="799"/>
      <c r="AF759" s="799"/>
      <c r="AG759" s="799"/>
      <c r="AH759" s="799"/>
      <c r="AI759" s="799"/>
      <c r="AJ759" s="799"/>
      <c r="AK759" s="799"/>
      <c r="AL759" s="799"/>
      <c r="AM759" s="799"/>
      <c r="AN759" s="799"/>
      <c r="AO759" s="799"/>
      <c r="AP759" s="799"/>
      <c r="AQ759" s="799"/>
      <c r="AR759" s="799"/>
      <c r="AS759" s="799"/>
      <c r="AT759" s="799"/>
      <c r="AU759" s="799"/>
      <c r="AV759" s="799"/>
      <c r="AW759" s="799"/>
      <c r="AX759" s="799"/>
      <c r="AY759" s="799"/>
      <c r="AZ759" s="799"/>
      <c r="BA759" s="799"/>
      <c r="BB759" s="799"/>
      <c r="BC759" s="799"/>
      <c r="BD759" s="799"/>
      <c r="BE759" s="799"/>
      <c r="BF759" s="799"/>
      <c r="BG759" s="799"/>
    </row>
    <row r="760">
      <c r="H760" s="799"/>
      <c r="I760" s="799"/>
      <c r="J760" s="799"/>
      <c r="K760" s="799"/>
      <c r="L760" s="799"/>
      <c r="M760" s="799"/>
      <c r="N760" s="799"/>
      <c r="O760" s="799"/>
      <c r="P760" s="799"/>
      <c r="Q760" s="799"/>
      <c r="R760" s="799"/>
      <c r="S760" s="799"/>
      <c r="T760" s="799"/>
      <c r="U760" s="799"/>
      <c r="V760" s="799"/>
      <c r="W760" s="799"/>
      <c r="X760" s="799"/>
      <c r="Y760" s="799"/>
      <c r="Z760" s="799"/>
      <c r="AA760" s="799"/>
      <c r="AB760" s="799"/>
      <c r="AC760" s="799"/>
      <c r="AD760" s="799"/>
      <c r="AE760" s="799"/>
      <c r="AF760" s="799"/>
      <c r="AG760" s="799"/>
      <c r="AH760" s="799"/>
      <c r="AI760" s="799"/>
      <c r="AJ760" s="799"/>
      <c r="AK760" s="799"/>
      <c r="AL760" s="799"/>
      <c r="AM760" s="799"/>
      <c r="AN760" s="799"/>
      <c r="AO760" s="799"/>
      <c r="AP760" s="799"/>
      <c r="AQ760" s="799"/>
      <c r="AR760" s="799"/>
      <c r="AS760" s="799"/>
      <c r="AT760" s="799"/>
      <c r="AU760" s="799"/>
      <c r="AV760" s="799"/>
      <c r="AW760" s="799"/>
      <c r="AX760" s="799"/>
      <c r="AY760" s="799"/>
      <c r="AZ760" s="799"/>
      <c r="BA760" s="799"/>
      <c r="BB760" s="799"/>
      <c r="BC760" s="799"/>
      <c r="BD760" s="799"/>
      <c r="BE760" s="799"/>
      <c r="BF760" s="799"/>
      <c r="BG760" s="799"/>
    </row>
    <row r="761">
      <c r="H761" s="799"/>
      <c r="I761" s="799"/>
      <c r="J761" s="799"/>
      <c r="K761" s="799"/>
      <c r="L761" s="799"/>
      <c r="M761" s="799"/>
      <c r="N761" s="799"/>
      <c r="O761" s="799"/>
      <c r="P761" s="799"/>
      <c r="Q761" s="799"/>
      <c r="R761" s="799"/>
      <c r="S761" s="799"/>
      <c r="T761" s="799"/>
      <c r="U761" s="799"/>
      <c r="V761" s="799"/>
      <c r="W761" s="799"/>
      <c r="X761" s="799"/>
      <c r="Y761" s="799"/>
      <c r="Z761" s="799"/>
      <c r="AA761" s="799"/>
      <c r="AB761" s="799"/>
      <c r="AC761" s="799"/>
      <c r="AD761" s="799"/>
      <c r="AE761" s="799"/>
      <c r="AF761" s="799"/>
      <c r="AG761" s="799"/>
      <c r="AH761" s="799"/>
      <c r="AI761" s="799"/>
      <c r="AJ761" s="799"/>
      <c r="AK761" s="799"/>
      <c r="AL761" s="799"/>
      <c r="AM761" s="799"/>
      <c r="AN761" s="799"/>
      <c r="AO761" s="799"/>
      <c r="AP761" s="799"/>
      <c r="AQ761" s="799"/>
      <c r="AR761" s="799"/>
      <c r="AS761" s="799"/>
      <c r="AT761" s="799"/>
      <c r="AU761" s="799"/>
      <c r="AV761" s="799"/>
      <c r="AW761" s="799"/>
      <c r="AX761" s="799"/>
      <c r="AY761" s="799"/>
      <c r="AZ761" s="799"/>
      <c r="BA761" s="799"/>
      <c r="BB761" s="799"/>
      <c r="BC761" s="799"/>
      <c r="BD761" s="799"/>
      <c r="BE761" s="799"/>
      <c r="BF761" s="799"/>
      <c r="BG761" s="799"/>
    </row>
    <row r="762">
      <c r="H762" s="799"/>
      <c r="I762" s="799"/>
      <c r="J762" s="799"/>
      <c r="K762" s="799"/>
      <c r="L762" s="799"/>
      <c r="M762" s="799"/>
      <c r="N762" s="799"/>
      <c r="O762" s="799"/>
      <c r="P762" s="799"/>
      <c r="Q762" s="799"/>
      <c r="R762" s="799"/>
      <c r="S762" s="799"/>
      <c r="T762" s="799"/>
      <c r="U762" s="799"/>
      <c r="V762" s="799"/>
      <c r="W762" s="799"/>
      <c r="X762" s="799"/>
      <c r="Y762" s="799"/>
      <c r="Z762" s="799"/>
      <c r="AA762" s="799"/>
      <c r="AB762" s="799"/>
      <c r="AC762" s="799"/>
      <c r="AD762" s="799"/>
      <c r="AE762" s="799"/>
      <c r="AF762" s="799"/>
      <c r="AG762" s="799"/>
      <c r="AH762" s="799"/>
      <c r="AI762" s="799"/>
      <c r="AJ762" s="799"/>
      <c r="AK762" s="799"/>
      <c r="AL762" s="799"/>
      <c r="AM762" s="799"/>
      <c r="AN762" s="799"/>
      <c r="AO762" s="799"/>
      <c r="AP762" s="799"/>
      <c r="AQ762" s="799"/>
      <c r="AR762" s="799"/>
      <c r="AS762" s="799"/>
      <c r="AT762" s="799"/>
      <c r="AU762" s="799"/>
      <c r="AV762" s="799"/>
      <c r="AW762" s="799"/>
      <c r="AX762" s="799"/>
      <c r="AY762" s="799"/>
      <c r="AZ762" s="799"/>
      <c r="BA762" s="799"/>
      <c r="BB762" s="799"/>
      <c r="BC762" s="799"/>
      <c r="BD762" s="799"/>
      <c r="BE762" s="799"/>
      <c r="BF762" s="799"/>
      <c r="BG762" s="799"/>
    </row>
    <row r="763">
      <c r="H763" s="799"/>
      <c r="I763" s="799"/>
      <c r="J763" s="799"/>
      <c r="K763" s="799"/>
      <c r="L763" s="799"/>
      <c r="M763" s="799"/>
      <c r="N763" s="799"/>
      <c r="O763" s="799"/>
      <c r="P763" s="799"/>
      <c r="Q763" s="799"/>
      <c r="R763" s="799"/>
      <c r="S763" s="799"/>
      <c r="T763" s="799"/>
      <c r="U763" s="799"/>
      <c r="V763" s="799"/>
      <c r="W763" s="799"/>
      <c r="X763" s="799"/>
      <c r="Y763" s="799"/>
      <c r="Z763" s="799"/>
      <c r="AA763" s="799"/>
      <c r="AB763" s="799"/>
      <c r="AC763" s="799"/>
      <c r="AD763" s="799"/>
      <c r="AE763" s="799"/>
      <c r="AF763" s="799"/>
      <c r="AG763" s="799"/>
      <c r="AH763" s="799"/>
      <c r="AI763" s="799"/>
      <c r="AJ763" s="799"/>
      <c r="AK763" s="799"/>
      <c r="AL763" s="799"/>
      <c r="AM763" s="799"/>
      <c r="AN763" s="799"/>
      <c r="AO763" s="799"/>
      <c r="AP763" s="799"/>
      <c r="AQ763" s="799"/>
      <c r="AR763" s="799"/>
      <c r="AS763" s="799"/>
      <c r="AT763" s="799"/>
      <c r="AU763" s="799"/>
      <c r="AV763" s="799"/>
      <c r="AW763" s="799"/>
      <c r="AX763" s="799"/>
      <c r="AY763" s="799"/>
      <c r="AZ763" s="799"/>
      <c r="BA763" s="799"/>
      <c r="BB763" s="799"/>
      <c r="BC763" s="799"/>
      <c r="BD763" s="799"/>
      <c r="BE763" s="799"/>
      <c r="BF763" s="799"/>
      <c r="BG763" s="799"/>
    </row>
    <row r="764">
      <c r="H764" s="799"/>
      <c r="I764" s="799"/>
      <c r="J764" s="799"/>
      <c r="K764" s="799"/>
      <c r="L764" s="799"/>
      <c r="M764" s="799"/>
      <c r="N764" s="799"/>
      <c r="O764" s="799"/>
      <c r="P764" s="799"/>
      <c r="Q764" s="799"/>
      <c r="R764" s="799"/>
      <c r="S764" s="799"/>
      <c r="T764" s="799"/>
      <c r="U764" s="799"/>
      <c r="V764" s="799"/>
      <c r="W764" s="799"/>
      <c r="X764" s="799"/>
      <c r="Y764" s="799"/>
      <c r="Z764" s="799"/>
      <c r="AA764" s="799"/>
      <c r="AB764" s="799"/>
      <c r="AC764" s="799"/>
      <c r="AD764" s="799"/>
      <c r="AE764" s="799"/>
      <c r="AF764" s="799"/>
      <c r="AG764" s="799"/>
      <c r="AH764" s="799"/>
      <c r="AI764" s="799"/>
      <c r="AJ764" s="799"/>
      <c r="AK764" s="799"/>
      <c r="AL764" s="799"/>
      <c r="AM764" s="799"/>
      <c r="AN764" s="799"/>
      <c r="AO764" s="799"/>
      <c r="AP764" s="799"/>
      <c r="AQ764" s="799"/>
      <c r="AR764" s="799"/>
      <c r="AS764" s="799"/>
      <c r="AT764" s="799"/>
      <c r="AU764" s="799"/>
      <c r="AV764" s="799"/>
      <c r="AW764" s="799"/>
      <c r="AX764" s="799"/>
      <c r="AY764" s="799"/>
      <c r="AZ764" s="799"/>
      <c r="BA764" s="799"/>
      <c r="BB764" s="799"/>
      <c r="BC764" s="799"/>
      <c r="BD764" s="799"/>
      <c r="BE764" s="799"/>
      <c r="BF764" s="799"/>
      <c r="BG764" s="799"/>
    </row>
    <row r="765">
      <c r="H765" s="799"/>
      <c r="I765" s="799"/>
      <c r="J765" s="799"/>
      <c r="K765" s="799"/>
      <c r="L765" s="799"/>
      <c r="M765" s="799"/>
      <c r="N765" s="799"/>
      <c r="O765" s="799"/>
      <c r="P765" s="799"/>
      <c r="Q765" s="799"/>
      <c r="R765" s="799"/>
      <c r="S765" s="799"/>
      <c r="T765" s="799"/>
      <c r="U765" s="799"/>
      <c r="V765" s="799"/>
      <c r="W765" s="799"/>
      <c r="X765" s="799"/>
      <c r="Y765" s="799"/>
      <c r="Z765" s="799"/>
      <c r="AA765" s="799"/>
      <c r="AB765" s="799"/>
      <c r="AC765" s="799"/>
      <c r="AD765" s="799"/>
      <c r="AE765" s="799"/>
      <c r="AF765" s="799"/>
      <c r="AG765" s="799"/>
      <c r="AH765" s="799"/>
      <c r="AI765" s="799"/>
      <c r="AJ765" s="799"/>
      <c r="AK765" s="799"/>
      <c r="AL765" s="799"/>
      <c r="AM765" s="799"/>
      <c r="AN765" s="799"/>
      <c r="AO765" s="799"/>
      <c r="AP765" s="799"/>
      <c r="AQ765" s="799"/>
      <c r="AR765" s="799"/>
      <c r="AS765" s="799"/>
      <c r="AT765" s="799"/>
      <c r="AU765" s="799"/>
      <c r="AV765" s="799"/>
      <c r="AW765" s="799"/>
      <c r="AX765" s="799"/>
      <c r="AY765" s="799"/>
      <c r="AZ765" s="799"/>
      <c r="BA765" s="799"/>
      <c r="BB765" s="799"/>
      <c r="BC765" s="799"/>
      <c r="BD765" s="799"/>
      <c r="BE765" s="799"/>
      <c r="BF765" s="799"/>
      <c r="BG765" s="799"/>
    </row>
    <row r="766">
      <c r="H766" s="799"/>
      <c r="I766" s="799"/>
      <c r="J766" s="799"/>
      <c r="K766" s="799"/>
      <c r="L766" s="799"/>
      <c r="M766" s="799"/>
      <c r="N766" s="799"/>
      <c r="O766" s="799"/>
      <c r="P766" s="799"/>
      <c r="Q766" s="799"/>
      <c r="R766" s="799"/>
      <c r="S766" s="799"/>
      <c r="T766" s="799"/>
      <c r="U766" s="799"/>
      <c r="V766" s="799"/>
      <c r="W766" s="799"/>
      <c r="X766" s="799"/>
      <c r="Y766" s="799"/>
      <c r="Z766" s="799"/>
      <c r="AA766" s="799"/>
      <c r="AB766" s="799"/>
      <c r="AC766" s="799"/>
      <c r="AD766" s="799"/>
      <c r="AE766" s="799"/>
      <c r="AF766" s="799"/>
      <c r="AG766" s="799"/>
      <c r="AH766" s="799"/>
      <c r="AI766" s="799"/>
      <c r="AJ766" s="799"/>
      <c r="AK766" s="799"/>
      <c r="AL766" s="799"/>
      <c r="AM766" s="799"/>
      <c r="AN766" s="799"/>
      <c r="AO766" s="799"/>
      <c r="AP766" s="799"/>
      <c r="AQ766" s="799"/>
      <c r="AR766" s="799"/>
      <c r="AS766" s="799"/>
      <c r="AT766" s="799"/>
      <c r="AU766" s="799"/>
      <c r="AV766" s="799"/>
      <c r="AW766" s="799"/>
      <c r="AX766" s="799"/>
      <c r="AY766" s="799"/>
      <c r="AZ766" s="799"/>
      <c r="BA766" s="799"/>
      <c r="BB766" s="799"/>
      <c r="BC766" s="799"/>
      <c r="BD766" s="799"/>
      <c r="BE766" s="799"/>
      <c r="BF766" s="799"/>
      <c r="BG766" s="799"/>
    </row>
    <row r="767">
      <c r="H767" s="799"/>
      <c r="I767" s="799"/>
      <c r="J767" s="799"/>
      <c r="K767" s="799"/>
      <c r="L767" s="799"/>
      <c r="M767" s="799"/>
      <c r="N767" s="799"/>
      <c r="O767" s="799"/>
      <c r="P767" s="799"/>
      <c r="Q767" s="799"/>
      <c r="R767" s="799"/>
      <c r="S767" s="799"/>
      <c r="T767" s="799"/>
      <c r="U767" s="799"/>
      <c r="V767" s="799"/>
      <c r="W767" s="799"/>
      <c r="X767" s="799"/>
      <c r="Y767" s="799"/>
      <c r="Z767" s="799"/>
      <c r="AA767" s="799"/>
      <c r="AB767" s="799"/>
      <c r="AC767" s="799"/>
      <c r="AD767" s="799"/>
      <c r="AE767" s="799"/>
      <c r="AF767" s="799"/>
      <c r="AG767" s="799"/>
      <c r="AH767" s="799"/>
      <c r="AI767" s="799"/>
      <c r="AJ767" s="799"/>
      <c r="AK767" s="799"/>
      <c r="AL767" s="799"/>
      <c r="AM767" s="799"/>
      <c r="AN767" s="799"/>
      <c r="AO767" s="799"/>
      <c r="AP767" s="799"/>
      <c r="AQ767" s="799"/>
      <c r="AR767" s="799"/>
      <c r="AS767" s="799"/>
      <c r="AT767" s="799"/>
      <c r="AU767" s="799"/>
      <c r="AV767" s="799"/>
      <c r="AW767" s="799"/>
      <c r="AX767" s="799"/>
      <c r="AY767" s="799"/>
      <c r="AZ767" s="799"/>
      <c r="BA767" s="799"/>
      <c r="BB767" s="799"/>
      <c r="BC767" s="799"/>
      <c r="BD767" s="799"/>
      <c r="BE767" s="799"/>
      <c r="BF767" s="799"/>
      <c r="BG767" s="799"/>
    </row>
    <row r="768">
      <c r="H768" s="799"/>
      <c r="I768" s="799"/>
      <c r="J768" s="799"/>
      <c r="K768" s="799"/>
      <c r="L768" s="799"/>
      <c r="M768" s="799"/>
      <c r="N768" s="799"/>
      <c r="O768" s="799"/>
      <c r="P768" s="799"/>
      <c r="Q768" s="799"/>
      <c r="R768" s="799"/>
      <c r="S768" s="799"/>
      <c r="T768" s="799"/>
      <c r="U768" s="799"/>
      <c r="V768" s="799"/>
      <c r="W768" s="799"/>
      <c r="X768" s="799"/>
      <c r="Y768" s="799"/>
      <c r="Z768" s="799"/>
      <c r="AA768" s="799"/>
      <c r="AB768" s="799"/>
      <c r="AC768" s="799"/>
      <c r="AD768" s="799"/>
      <c r="AE768" s="799"/>
      <c r="AF768" s="799"/>
      <c r="AG768" s="799"/>
      <c r="AH768" s="799"/>
      <c r="AI768" s="799"/>
      <c r="AJ768" s="799"/>
      <c r="AK768" s="799"/>
      <c r="AL768" s="799"/>
      <c r="AM768" s="799"/>
      <c r="AN768" s="799"/>
      <c r="AO768" s="799"/>
      <c r="AP768" s="799"/>
      <c r="AQ768" s="799"/>
      <c r="AR768" s="799"/>
      <c r="AS768" s="799"/>
      <c r="AT768" s="799"/>
      <c r="AU768" s="799"/>
      <c r="AV768" s="799"/>
      <c r="AW768" s="799"/>
      <c r="AX768" s="799"/>
      <c r="AY768" s="799"/>
      <c r="AZ768" s="799"/>
      <c r="BA768" s="799"/>
      <c r="BB768" s="799"/>
      <c r="BC768" s="799"/>
      <c r="BD768" s="799"/>
      <c r="BE768" s="799"/>
      <c r="BF768" s="799"/>
      <c r="BG768" s="799"/>
    </row>
    <row r="769">
      <c r="H769" s="799"/>
      <c r="I769" s="799"/>
      <c r="J769" s="799"/>
      <c r="K769" s="799"/>
      <c r="L769" s="799"/>
      <c r="M769" s="799"/>
      <c r="N769" s="799"/>
      <c r="O769" s="799"/>
      <c r="P769" s="799"/>
      <c r="Q769" s="799"/>
      <c r="R769" s="799"/>
      <c r="S769" s="799"/>
      <c r="T769" s="799"/>
      <c r="U769" s="799"/>
      <c r="V769" s="799"/>
      <c r="W769" s="799"/>
      <c r="X769" s="799"/>
      <c r="Y769" s="799"/>
      <c r="Z769" s="799"/>
      <c r="AA769" s="799"/>
      <c r="AB769" s="799"/>
      <c r="AC769" s="799"/>
      <c r="AD769" s="799"/>
      <c r="AE769" s="799"/>
      <c r="AF769" s="799"/>
      <c r="AG769" s="799"/>
      <c r="AH769" s="799"/>
      <c r="AI769" s="799"/>
      <c r="AJ769" s="799"/>
      <c r="AK769" s="799"/>
      <c r="AL769" s="799"/>
      <c r="AM769" s="799"/>
      <c r="AN769" s="799"/>
      <c r="AO769" s="799"/>
      <c r="AP769" s="799"/>
      <c r="AQ769" s="799"/>
      <c r="AR769" s="799"/>
      <c r="AS769" s="799"/>
      <c r="AT769" s="799"/>
      <c r="AU769" s="799"/>
      <c r="AV769" s="799"/>
      <c r="AW769" s="799"/>
      <c r="AX769" s="799"/>
      <c r="AY769" s="799"/>
      <c r="AZ769" s="799"/>
      <c r="BA769" s="799"/>
      <c r="BB769" s="799"/>
      <c r="BC769" s="799"/>
      <c r="BD769" s="799"/>
      <c r="BE769" s="799"/>
      <c r="BF769" s="799"/>
      <c r="BG769" s="799"/>
    </row>
    <row r="770">
      <c r="H770" s="799"/>
      <c r="I770" s="799"/>
      <c r="J770" s="799"/>
      <c r="K770" s="799"/>
      <c r="L770" s="799"/>
      <c r="M770" s="799"/>
      <c r="N770" s="799"/>
      <c r="O770" s="799"/>
      <c r="P770" s="799"/>
      <c r="Q770" s="799"/>
      <c r="R770" s="799"/>
      <c r="S770" s="799"/>
      <c r="T770" s="799"/>
      <c r="U770" s="799"/>
      <c r="V770" s="799"/>
      <c r="W770" s="799"/>
      <c r="X770" s="799"/>
      <c r="Y770" s="799"/>
      <c r="Z770" s="799"/>
      <c r="AA770" s="799"/>
      <c r="AB770" s="799"/>
      <c r="AC770" s="799"/>
      <c r="AD770" s="799"/>
      <c r="AE770" s="799"/>
      <c r="AF770" s="799"/>
      <c r="AG770" s="799"/>
      <c r="AH770" s="799"/>
      <c r="AI770" s="799"/>
      <c r="AJ770" s="799"/>
      <c r="AK770" s="799"/>
      <c r="AL770" s="799"/>
      <c r="AM770" s="799"/>
      <c r="AN770" s="799"/>
      <c r="AO770" s="799"/>
      <c r="AP770" s="799"/>
      <c r="AQ770" s="799"/>
      <c r="AR770" s="799"/>
      <c r="AS770" s="799"/>
      <c r="AT770" s="799"/>
      <c r="AU770" s="799"/>
      <c r="AV770" s="799"/>
      <c r="AW770" s="799"/>
      <c r="AX770" s="799"/>
      <c r="AY770" s="799"/>
      <c r="AZ770" s="799"/>
      <c r="BA770" s="799"/>
      <c r="BB770" s="799"/>
      <c r="BC770" s="799"/>
      <c r="BD770" s="799"/>
      <c r="BE770" s="799"/>
      <c r="BF770" s="799"/>
      <c r="BG770" s="799"/>
    </row>
    <row r="771">
      <c r="H771" s="799"/>
      <c r="I771" s="799"/>
      <c r="J771" s="799"/>
      <c r="K771" s="799"/>
      <c r="L771" s="799"/>
      <c r="M771" s="799"/>
      <c r="N771" s="799"/>
      <c r="O771" s="799"/>
      <c r="P771" s="799"/>
      <c r="Q771" s="799"/>
      <c r="R771" s="799"/>
      <c r="S771" s="799"/>
      <c r="T771" s="799"/>
      <c r="U771" s="799"/>
      <c r="V771" s="799"/>
      <c r="W771" s="799"/>
      <c r="X771" s="799"/>
      <c r="Y771" s="799"/>
      <c r="Z771" s="799"/>
      <c r="AA771" s="799"/>
      <c r="AB771" s="799"/>
      <c r="AC771" s="799"/>
      <c r="AD771" s="799"/>
      <c r="AE771" s="799"/>
      <c r="AF771" s="799"/>
      <c r="AG771" s="799"/>
      <c r="AH771" s="799"/>
      <c r="AI771" s="799"/>
      <c r="AJ771" s="799"/>
      <c r="AK771" s="799"/>
      <c r="AL771" s="799"/>
      <c r="AM771" s="799"/>
      <c r="AN771" s="799"/>
      <c r="AO771" s="799"/>
      <c r="AP771" s="799"/>
      <c r="AQ771" s="799"/>
      <c r="AR771" s="799"/>
      <c r="AS771" s="799"/>
      <c r="AT771" s="799"/>
      <c r="AU771" s="799"/>
      <c r="AV771" s="799"/>
      <c r="AW771" s="799"/>
      <c r="AX771" s="799"/>
      <c r="AY771" s="799"/>
      <c r="AZ771" s="799"/>
      <c r="BA771" s="799"/>
      <c r="BB771" s="799"/>
      <c r="BC771" s="799"/>
      <c r="BD771" s="799"/>
      <c r="BE771" s="799"/>
      <c r="BF771" s="799"/>
      <c r="BG771" s="799"/>
    </row>
    <row r="772">
      <c r="H772" s="799"/>
      <c r="I772" s="799"/>
      <c r="J772" s="799"/>
      <c r="K772" s="799"/>
      <c r="L772" s="799"/>
      <c r="M772" s="799"/>
      <c r="N772" s="799"/>
      <c r="O772" s="799"/>
      <c r="P772" s="799"/>
      <c r="Q772" s="799"/>
      <c r="R772" s="799"/>
      <c r="S772" s="799"/>
      <c r="T772" s="799"/>
      <c r="U772" s="799"/>
      <c r="V772" s="799"/>
      <c r="W772" s="799"/>
      <c r="X772" s="799"/>
      <c r="Y772" s="799"/>
      <c r="Z772" s="799"/>
      <c r="AA772" s="799"/>
      <c r="AB772" s="799"/>
      <c r="AC772" s="799"/>
      <c r="AD772" s="799"/>
      <c r="AE772" s="799"/>
      <c r="AF772" s="799"/>
      <c r="AG772" s="799"/>
      <c r="AH772" s="799"/>
      <c r="AI772" s="799"/>
      <c r="AJ772" s="799"/>
      <c r="AK772" s="799"/>
      <c r="AL772" s="799"/>
      <c r="AM772" s="799"/>
      <c r="AN772" s="799"/>
      <c r="AO772" s="799"/>
      <c r="AP772" s="799"/>
      <c r="AQ772" s="799"/>
      <c r="AR772" s="799"/>
      <c r="AS772" s="799"/>
      <c r="AT772" s="799"/>
      <c r="AU772" s="799"/>
      <c r="AV772" s="799"/>
      <c r="AW772" s="799"/>
      <c r="AX772" s="799"/>
      <c r="AY772" s="799"/>
      <c r="AZ772" s="799"/>
      <c r="BA772" s="799"/>
      <c r="BB772" s="799"/>
      <c r="BC772" s="799"/>
      <c r="BD772" s="799"/>
      <c r="BE772" s="799"/>
      <c r="BF772" s="799"/>
      <c r="BG772" s="799"/>
    </row>
    <row r="773">
      <c r="H773" s="799"/>
      <c r="I773" s="799"/>
      <c r="J773" s="799"/>
      <c r="K773" s="799"/>
      <c r="L773" s="799"/>
      <c r="M773" s="799"/>
      <c r="N773" s="799"/>
      <c r="O773" s="799"/>
      <c r="P773" s="799"/>
      <c r="Q773" s="799"/>
      <c r="R773" s="799"/>
      <c r="S773" s="799"/>
      <c r="T773" s="799"/>
      <c r="U773" s="799"/>
      <c r="V773" s="799"/>
      <c r="W773" s="799"/>
      <c r="X773" s="799"/>
      <c r="Y773" s="799"/>
      <c r="Z773" s="799"/>
      <c r="AA773" s="799"/>
      <c r="AB773" s="799"/>
      <c r="AC773" s="799"/>
      <c r="AD773" s="799"/>
      <c r="AE773" s="799"/>
      <c r="AF773" s="799"/>
      <c r="AG773" s="799"/>
      <c r="AH773" s="799"/>
      <c r="AI773" s="799"/>
      <c r="AJ773" s="799"/>
      <c r="AK773" s="799"/>
      <c r="AL773" s="799"/>
      <c r="AM773" s="799"/>
      <c r="AN773" s="799"/>
      <c r="AO773" s="799"/>
      <c r="AP773" s="799"/>
      <c r="AQ773" s="799"/>
      <c r="AR773" s="799"/>
      <c r="AS773" s="799"/>
      <c r="AT773" s="799"/>
      <c r="AU773" s="799"/>
      <c r="AV773" s="799"/>
      <c r="AW773" s="799"/>
      <c r="AX773" s="799"/>
      <c r="AY773" s="799"/>
      <c r="AZ773" s="799"/>
      <c r="BA773" s="799"/>
      <c r="BB773" s="799"/>
      <c r="BC773" s="799"/>
      <c r="BD773" s="799"/>
      <c r="BE773" s="799"/>
      <c r="BF773" s="799"/>
      <c r="BG773" s="799"/>
    </row>
    <row r="774">
      <c r="H774" s="799"/>
      <c r="I774" s="799"/>
      <c r="J774" s="799"/>
      <c r="K774" s="799"/>
      <c r="L774" s="799"/>
      <c r="M774" s="799"/>
      <c r="N774" s="799"/>
      <c r="O774" s="799"/>
      <c r="P774" s="799"/>
      <c r="Q774" s="799"/>
      <c r="R774" s="799"/>
      <c r="S774" s="799"/>
      <c r="T774" s="799"/>
      <c r="U774" s="799"/>
      <c r="V774" s="799"/>
      <c r="W774" s="799"/>
      <c r="X774" s="799"/>
      <c r="Y774" s="799"/>
      <c r="Z774" s="799"/>
      <c r="AA774" s="799"/>
      <c r="AB774" s="799"/>
      <c r="AC774" s="799"/>
      <c r="AD774" s="799"/>
      <c r="AE774" s="799"/>
      <c r="AF774" s="799"/>
      <c r="AG774" s="799"/>
      <c r="AH774" s="799"/>
      <c r="AI774" s="799"/>
      <c r="AJ774" s="799"/>
      <c r="AK774" s="799"/>
      <c r="AL774" s="799"/>
      <c r="AM774" s="799"/>
      <c r="AN774" s="799"/>
      <c r="AO774" s="799"/>
      <c r="AP774" s="799"/>
      <c r="AQ774" s="799"/>
      <c r="AR774" s="799"/>
      <c r="AS774" s="799"/>
      <c r="AT774" s="799"/>
      <c r="AU774" s="799"/>
      <c r="AV774" s="799"/>
      <c r="AW774" s="799"/>
      <c r="AX774" s="799"/>
      <c r="AY774" s="799"/>
      <c r="AZ774" s="799"/>
      <c r="BA774" s="799"/>
      <c r="BB774" s="799"/>
      <c r="BC774" s="799"/>
      <c r="BD774" s="799"/>
      <c r="BE774" s="799"/>
      <c r="BF774" s="799"/>
      <c r="BG774" s="799"/>
    </row>
    <row r="775">
      <c r="H775" s="799"/>
      <c r="I775" s="799"/>
      <c r="J775" s="799"/>
      <c r="K775" s="799"/>
      <c r="L775" s="799"/>
      <c r="M775" s="799"/>
      <c r="N775" s="799"/>
      <c r="O775" s="799"/>
      <c r="P775" s="799"/>
      <c r="Q775" s="799"/>
      <c r="R775" s="799"/>
      <c r="S775" s="799"/>
      <c r="T775" s="799"/>
      <c r="U775" s="799"/>
      <c r="V775" s="799"/>
      <c r="W775" s="799"/>
      <c r="X775" s="799"/>
      <c r="Y775" s="799"/>
      <c r="Z775" s="799"/>
      <c r="AA775" s="799"/>
      <c r="AB775" s="799"/>
      <c r="AC775" s="799"/>
      <c r="AD775" s="799"/>
      <c r="AE775" s="799"/>
      <c r="AF775" s="799"/>
      <c r="AG775" s="799"/>
      <c r="AH775" s="799"/>
      <c r="AI775" s="799"/>
      <c r="AJ775" s="799"/>
      <c r="AK775" s="799"/>
      <c r="AL775" s="799"/>
      <c r="AM775" s="799"/>
      <c r="AN775" s="799"/>
      <c r="AO775" s="799"/>
      <c r="AP775" s="799"/>
      <c r="AQ775" s="799"/>
      <c r="AR775" s="799"/>
      <c r="AS775" s="799"/>
      <c r="AT775" s="799"/>
      <c r="AU775" s="799"/>
      <c r="AV775" s="799"/>
      <c r="AW775" s="799"/>
      <c r="AX775" s="799"/>
      <c r="AY775" s="799"/>
      <c r="AZ775" s="799"/>
      <c r="BA775" s="799"/>
      <c r="BB775" s="799"/>
      <c r="BC775" s="799"/>
      <c r="BD775" s="799"/>
      <c r="BE775" s="799"/>
      <c r="BF775" s="799"/>
      <c r="BG775" s="799"/>
    </row>
    <row r="776">
      <c r="H776" s="799"/>
      <c r="I776" s="799"/>
      <c r="J776" s="799"/>
      <c r="K776" s="799"/>
      <c r="L776" s="799"/>
      <c r="M776" s="799"/>
      <c r="N776" s="799"/>
      <c r="O776" s="799"/>
      <c r="P776" s="799"/>
      <c r="Q776" s="799"/>
      <c r="R776" s="799"/>
      <c r="S776" s="799"/>
      <c r="T776" s="799"/>
      <c r="U776" s="799"/>
      <c r="V776" s="799"/>
      <c r="W776" s="799"/>
      <c r="X776" s="799"/>
      <c r="Y776" s="799"/>
      <c r="Z776" s="799"/>
      <c r="AA776" s="799"/>
      <c r="AB776" s="799"/>
      <c r="AC776" s="799"/>
      <c r="AD776" s="799"/>
      <c r="AE776" s="799"/>
      <c r="AF776" s="799"/>
      <c r="AG776" s="799"/>
      <c r="AH776" s="799"/>
      <c r="AI776" s="799"/>
      <c r="AJ776" s="799"/>
      <c r="AK776" s="799"/>
      <c r="AL776" s="799"/>
      <c r="AM776" s="799"/>
      <c r="AN776" s="799"/>
      <c r="AO776" s="799"/>
      <c r="AP776" s="799"/>
      <c r="AQ776" s="799"/>
      <c r="AR776" s="799"/>
      <c r="AS776" s="799"/>
      <c r="AT776" s="799"/>
      <c r="AU776" s="799"/>
      <c r="AV776" s="799"/>
      <c r="AW776" s="799"/>
      <c r="AX776" s="799"/>
      <c r="AY776" s="799"/>
      <c r="AZ776" s="799"/>
      <c r="BA776" s="799"/>
      <c r="BB776" s="799"/>
      <c r="BC776" s="799"/>
      <c r="BD776" s="799"/>
      <c r="BE776" s="799"/>
      <c r="BF776" s="799"/>
      <c r="BG776" s="799"/>
    </row>
    <row r="777">
      <c r="H777" s="799"/>
      <c r="I777" s="799"/>
      <c r="J777" s="799"/>
      <c r="K777" s="799"/>
      <c r="L777" s="799"/>
      <c r="M777" s="799"/>
      <c r="N777" s="799"/>
      <c r="O777" s="799"/>
      <c r="P777" s="799"/>
      <c r="Q777" s="799"/>
      <c r="R777" s="799"/>
      <c r="S777" s="799"/>
      <c r="T777" s="799"/>
      <c r="U777" s="799"/>
      <c r="V777" s="799"/>
      <c r="W777" s="799"/>
      <c r="X777" s="799"/>
      <c r="Y777" s="799"/>
      <c r="Z777" s="799"/>
      <c r="AA777" s="799"/>
      <c r="AB777" s="799"/>
      <c r="AC777" s="799"/>
      <c r="AD777" s="799"/>
      <c r="AE777" s="799"/>
      <c r="AF777" s="799"/>
      <c r="AG777" s="799"/>
      <c r="AH777" s="799"/>
      <c r="AI777" s="799"/>
      <c r="AJ777" s="799"/>
      <c r="AK777" s="799"/>
      <c r="AL777" s="799"/>
      <c r="AM777" s="799"/>
      <c r="AN777" s="799"/>
      <c r="AO777" s="799"/>
      <c r="AP777" s="799"/>
      <c r="AQ777" s="799"/>
      <c r="AR777" s="799"/>
      <c r="AS777" s="799"/>
      <c r="AT777" s="799"/>
      <c r="AU777" s="799"/>
      <c r="AV777" s="799"/>
      <c r="AW777" s="799"/>
      <c r="AX777" s="799"/>
      <c r="AY777" s="799"/>
      <c r="AZ777" s="799"/>
      <c r="BA777" s="799"/>
      <c r="BB777" s="799"/>
      <c r="BC777" s="799"/>
      <c r="BD777" s="799"/>
      <c r="BE777" s="799"/>
      <c r="BF777" s="799"/>
      <c r="BG777" s="799"/>
    </row>
    <row r="778">
      <c r="H778" s="799"/>
      <c r="I778" s="799"/>
      <c r="J778" s="799"/>
      <c r="K778" s="799"/>
      <c r="L778" s="799"/>
      <c r="M778" s="799"/>
      <c r="N778" s="799"/>
      <c r="O778" s="799"/>
      <c r="P778" s="799"/>
      <c r="Q778" s="799"/>
      <c r="R778" s="799"/>
      <c r="S778" s="799"/>
      <c r="T778" s="799"/>
      <c r="U778" s="799"/>
      <c r="V778" s="799"/>
      <c r="W778" s="799"/>
      <c r="X778" s="799"/>
      <c r="Y778" s="799"/>
      <c r="Z778" s="799"/>
      <c r="AA778" s="799"/>
      <c r="AB778" s="799"/>
      <c r="AC778" s="799"/>
      <c r="AD778" s="799"/>
      <c r="AE778" s="799"/>
      <c r="AF778" s="799"/>
      <c r="AG778" s="799"/>
      <c r="AH778" s="799"/>
      <c r="AI778" s="799"/>
      <c r="AJ778" s="799"/>
      <c r="AK778" s="799"/>
      <c r="AL778" s="799"/>
      <c r="AM778" s="799"/>
      <c r="AN778" s="799"/>
      <c r="AO778" s="799"/>
      <c r="AP778" s="799"/>
      <c r="AQ778" s="799"/>
      <c r="AR778" s="799"/>
      <c r="AS778" s="799"/>
      <c r="AT778" s="799"/>
      <c r="AU778" s="799"/>
      <c r="AV778" s="799"/>
      <c r="AW778" s="799"/>
      <c r="AX778" s="799"/>
      <c r="AY778" s="799"/>
      <c r="AZ778" s="799"/>
      <c r="BA778" s="799"/>
      <c r="BB778" s="799"/>
      <c r="BC778" s="799"/>
      <c r="BD778" s="799"/>
      <c r="BE778" s="799"/>
      <c r="BF778" s="799"/>
      <c r="BG778" s="799"/>
    </row>
    <row r="779">
      <c r="H779" s="799"/>
      <c r="I779" s="799"/>
      <c r="J779" s="799"/>
      <c r="K779" s="799"/>
      <c r="L779" s="799"/>
      <c r="M779" s="799"/>
      <c r="N779" s="799"/>
      <c r="O779" s="799"/>
      <c r="P779" s="799"/>
      <c r="Q779" s="799"/>
      <c r="R779" s="799"/>
      <c r="S779" s="799"/>
      <c r="T779" s="799"/>
      <c r="U779" s="799"/>
      <c r="V779" s="799"/>
      <c r="W779" s="799"/>
      <c r="X779" s="799"/>
      <c r="Y779" s="799"/>
      <c r="Z779" s="799"/>
      <c r="AA779" s="799"/>
      <c r="AB779" s="799"/>
      <c r="AC779" s="799"/>
      <c r="AD779" s="799"/>
      <c r="AE779" s="799"/>
      <c r="AF779" s="799"/>
      <c r="AG779" s="799"/>
      <c r="AH779" s="799"/>
      <c r="AI779" s="799"/>
      <c r="AJ779" s="799"/>
      <c r="AK779" s="799"/>
      <c r="AL779" s="799"/>
      <c r="AM779" s="799"/>
      <c r="AN779" s="799"/>
      <c r="AO779" s="799"/>
      <c r="AP779" s="799"/>
      <c r="AQ779" s="799"/>
      <c r="AR779" s="799"/>
      <c r="AS779" s="799"/>
      <c r="AT779" s="799"/>
      <c r="AU779" s="799"/>
      <c r="AV779" s="799"/>
      <c r="AW779" s="799"/>
      <c r="AX779" s="799"/>
      <c r="AY779" s="799"/>
      <c r="AZ779" s="799"/>
      <c r="BA779" s="799"/>
      <c r="BB779" s="799"/>
      <c r="BC779" s="799"/>
      <c r="BD779" s="799"/>
      <c r="BE779" s="799"/>
      <c r="BF779" s="799"/>
      <c r="BG779" s="799"/>
    </row>
    <row r="780">
      <c r="H780" s="799"/>
      <c r="I780" s="799"/>
      <c r="J780" s="799"/>
      <c r="K780" s="799"/>
      <c r="L780" s="799"/>
      <c r="M780" s="799"/>
      <c r="N780" s="799"/>
      <c r="O780" s="799"/>
      <c r="P780" s="799"/>
      <c r="Q780" s="799"/>
      <c r="R780" s="799"/>
      <c r="S780" s="799"/>
      <c r="T780" s="799"/>
      <c r="U780" s="799"/>
      <c r="V780" s="799"/>
      <c r="W780" s="799"/>
      <c r="X780" s="799"/>
      <c r="Y780" s="799"/>
      <c r="Z780" s="799"/>
      <c r="AA780" s="799"/>
      <c r="AB780" s="799"/>
      <c r="AC780" s="799"/>
      <c r="AD780" s="799"/>
      <c r="AE780" s="799"/>
      <c r="AF780" s="799"/>
      <c r="AG780" s="799"/>
      <c r="AH780" s="799"/>
      <c r="AI780" s="799"/>
      <c r="AJ780" s="799"/>
      <c r="AK780" s="799"/>
      <c r="AL780" s="799"/>
      <c r="AM780" s="799"/>
      <c r="AN780" s="799"/>
      <c r="AO780" s="799"/>
      <c r="AP780" s="799"/>
      <c r="AQ780" s="799"/>
      <c r="AR780" s="799"/>
      <c r="AS780" s="799"/>
      <c r="AT780" s="799"/>
      <c r="AU780" s="799"/>
      <c r="AV780" s="799"/>
      <c r="AW780" s="799"/>
      <c r="AX780" s="799"/>
      <c r="AY780" s="799"/>
      <c r="AZ780" s="799"/>
      <c r="BA780" s="799"/>
      <c r="BB780" s="799"/>
      <c r="BC780" s="799"/>
      <c r="BD780" s="799"/>
      <c r="BE780" s="799"/>
      <c r="BF780" s="799"/>
      <c r="BG780" s="799"/>
    </row>
    <row r="781">
      <c r="H781" s="799"/>
      <c r="I781" s="799"/>
      <c r="J781" s="799"/>
      <c r="K781" s="799"/>
      <c r="L781" s="799"/>
      <c r="M781" s="799"/>
      <c r="N781" s="799"/>
      <c r="O781" s="799"/>
      <c r="P781" s="799"/>
      <c r="Q781" s="799"/>
      <c r="R781" s="799"/>
      <c r="S781" s="799"/>
      <c r="T781" s="799"/>
      <c r="U781" s="799"/>
      <c r="V781" s="799"/>
      <c r="W781" s="799"/>
      <c r="X781" s="799"/>
      <c r="Y781" s="799"/>
      <c r="Z781" s="799"/>
      <c r="AA781" s="799"/>
      <c r="AB781" s="799"/>
      <c r="AC781" s="799"/>
      <c r="AD781" s="799"/>
      <c r="AE781" s="799"/>
      <c r="AF781" s="799"/>
      <c r="AG781" s="799"/>
      <c r="AH781" s="799"/>
      <c r="AI781" s="799"/>
      <c r="AJ781" s="799"/>
      <c r="AK781" s="799"/>
      <c r="AL781" s="799"/>
      <c r="AM781" s="799"/>
      <c r="AN781" s="799"/>
      <c r="AO781" s="799"/>
      <c r="AP781" s="799"/>
      <c r="AQ781" s="799"/>
      <c r="AR781" s="799"/>
      <c r="AS781" s="799"/>
      <c r="AT781" s="799"/>
      <c r="AU781" s="799"/>
      <c r="AV781" s="799"/>
      <c r="AW781" s="799"/>
      <c r="AX781" s="799"/>
      <c r="AY781" s="799"/>
      <c r="AZ781" s="799"/>
      <c r="BA781" s="799"/>
      <c r="BB781" s="799"/>
      <c r="BC781" s="799"/>
      <c r="BD781" s="799"/>
      <c r="BE781" s="799"/>
      <c r="BF781" s="799"/>
      <c r="BG781" s="799"/>
    </row>
    <row r="782">
      <c r="H782" s="799"/>
      <c r="I782" s="799"/>
      <c r="J782" s="799"/>
      <c r="K782" s="799"/>
      <c r="L782" s="799"/>
      <c r="M782" s="799"/>
      <c r="N782" s="799"/>
      <c r="O782" s="799"/>
      <c r="P782" s="799"/>
      <c r="Q782" s="799"/>
      <c r="R782" s="799"/>
      <c r="S782" s="799"/>
      <c r="T782" s="799"/>
      <c r="U782" s="799"/>
      <c r="V782" s="799"/>
      <c r="W782" s="799"/>
      <c r="X782" s="799"/>
      <c r="Y782" s="799"/>
      <c r="Z782" s="799"/>
      <c r="AA782" s="799"/>
      <c r="AB782" s="799"/>
      <c r="AC782" s="799"/>
      <c r="AD782" s="799"/>
      <c r="AE782" s="799"/>
      <c r="AF782" s="799"/>
      <c r="AG782" s="799"/>
      <c r="AH782" s="799"/>
      <c r="AI782" s="799"/>
      <c r="AJ782" s="799"/>
      <c r="AK782" s="799"/>
      <c r="AL782" s="799"/>
      <c r="AM782" s="799"/>
      <c r="AN782" s="799"/>
      <c r="AO782" s="799"/>
      <c r="AP782" s="799"/>
      <c r="AQ782" s="799"/>
      <c r="AR782" s="799"/>
      <c r="AS782" s="799"/>
      <c r="AT782" s="799"/>
      <c r="AU782" s="799"/>
      <c r="AV782" s="799"/>
      <c r="AW782" s="799"/>
      <c r="AX782" s="799"/>
      <c r="AY782" s="799"/>
      <c r="AZ782" s="799"/>
      <c r="BA782" s="799"/>
      <c r="BB782" s="799"/>
      <c r="BC782" s="799"/>
      <c r="BD782" s="799"/>
      <c r="BE782" s="799"/>
      <c r="BF782" s="799"/>
      <c r="BG782" s="799"/>
    </row>
    <row r="783">
      <c r="H783" s="799"/>
      <c r="I783" s="799"/>
      <c r="J783" s="799"/>
      <c r="K783" s="799"/>
      <c r="L783" s="799"/>
      <c r="M783" s="799"/>
      <c r="N783" s="799"/>
      <c r="O783" s="799"/>
      <c r="P783" s="799"/>
      <c r="Q783" s="799"/>
      <c r="R783" s="799"/>
      <c r="S783" s="799"/>
      <c r="T783" s="799"/>
      <c r="U783" s="799"/>
      <c r="V783" s="799"/>
      <c r="W783" s="799"/>
      <c r="X783" s="799"/>
      <c r="Y783" s="799"/>
      <c r="Z783" s="799"/>
      <c r="AA783" s="799"/>
      <c r="AB783" s="799"/>
      <c r="AC783" s="799"/>
      <c r="AD783" s="799"/>
      <c r="AE783" s="799"/>
      <c r="AF783" s="799"/>
      <c r="AG783" s="799"/>
      <c r="AH783" s="799"/>
      <c r="AI783" s="799"/>
      <c r="AJ783" s="799"/>
      <c r="AK783" s="799"/>
      <c r="AL783" s="799"/>
      <c r="AM783" s="799"/>
      <c r="AN783" s="799"/>
      <c r="AO783" s="799"/>
      <c r="AP783" s="799"/>
      <c r="AQ783" s="799"/>
      <c r="AR783" s="799"/>
      <c r="AS783" s="799"/>
      <c r="AT783" s="799"/>
      <c r="AU783" s="799"/>
      <c r="AV783" s="799"/>
      <c r="AW783" s="799"/>
      <c r="AX783" s="799"/>
      <c r="AY783" s="799"/>
      <c r="AZ783" s="799"/>
      <c r="BA783" s="799"/>
      <c r="BB783" s="799"/>
      <c r="BC783" s="799"/>
      <c r="BD783" s="799"/>
      <c r="BE783" s="799"/>
      <c r="BF783" s="799"/>
      <c r="BG783" s="799"/>
    </row>
    <row r="784">
      <c r="H784" s="799"/>
      <c r="I784" s="799"/>
      <c r="J784" s="799"/>
      <c r="K784" s="799"/>
      <c r="L784" s="799"/>
      <c r="M784" s="799"/>
      <c r="N784" s="799"/>
      <c r="O784" s="799"/>
      <c r="P784" s="799"/>
      <c r="Q784" s="799"/>
      <c r="R784" s="799"/>
      <c r="S784" s="799"/>
      <c r="T784" s="799"/>
      <c r="U784" s="799"/>
      <c r="V784" s="799"/>
      <c r="W784" s="799"/>
      <c r="X784" s="799"/>
      <c r="Y784" s="799"/>
      <c r="Z784" s="799"/>
      <c r="AA784" s="799"/>
      <c r="AB784" s="799"/>
      <c r="AC784" s="799"/>
      <c r="AD784" s="799"/>
      <c r="AE784" s="799"/>
      <c r="AF784" s="799"/>
      <c r="AG784" s="799"/>
      <c r="AH784" s="799"/>
      <c r="AI784" s="799"/>
      <c r="AJ784" s="799"/>
      <c r="AK784" s="799"/>
      <c r="AL784" s="799"/>
      <c r="AM784" s="799"/>
      <c r="AN784" s="799"/>
      <c r="AO784" s="799"/>
      <c r="AP784" s="799"/>
      <c r="AQ784" s="799"/>
      <c r="AR784" s="799"/>
      <c r="AS784" s="799"/>
      <c r="AT784" s="799"/>
      <c r="AU784" s="799"/>
      <c r="AV784" s="799"/>
      <c r="AW784" s="799"/>
      <c r="AX784" s="799"/>
      <c r="AY784" s="799"/>
      <c r="AZ784" s="799"/>
      <c r="BA784" s="799"/>
      <c r="BB784" s="799"/>
      <c r="BC784" s="799"/>
      <c r="BD784" s="799"/>
      <c r="BE784" s="799"/>
      <c r="BF784" s="799"/>
      <c r="BG784" s="799"/>
    </row>
    <row r="785">
      <c r="H785" s="799"/>
      <c r="I785" s="799"/>
      <c r="J785" s="799"/>
      <c r="K785" s="799"/>
      <c r="L785" s="799"/>
      <c r="M785" s="799"/>
      <c r="N785" s="799"/>
      <c r="O785" s="799"/>
      <c r="P785" s="799"/>
      <c r="Q785" s="799"/>
      <c r="R785" s="799"/>
      <c r="S785" s="799"/>
      <c r="T785" s="799"/>
      <c r="U785" s="799"/>
      <c r="V785" s="799"/>
      <c r="W785" s="799"/>
      <c r="X785" s="799"/>
      <c r="Y785" s="799"/>
      <c r="Z785" s="799"/>
      <c r="AA785" s="799"/>
      <c r="AB785" s="799"/>
      <c r="AC785" s="799"/>
      <c r="AD785" s="799"/>
      <c r="AE785" s="799"/>
      <c r="AF785" s="799"/>
      <c r="AG785" s="799"/>
      <c r="AH785" s="799"/>
      <c r="AI785" s="799"/>
      <c r="AJ785" s="799"/>
      <c r="AK785" s="799"/>
      <c r="AL785" s="799"/>
      <c r="AM785" s="799"/>
      <c r="AN785" s="799"/>
      <c r="AO785" s="799"/>
      <c r="AP785" s="799"/>
      <c r="AQ785" s="799"/>
      <c r="AR785" s="799"/>
      <c r="AS785" s="799"/>
      <c r="AT785" s="799"/>
      <c r="AU785" s="799"/>
      <c r="AV785" s="799"/>
      <c r="AW785" s="799"/>
      <c r="AX785" s="799"/>
      <c r="AY785" s="799"/>
      <c r="AZ785" s="799"/>
      <c r="BA785" s="799"/>
      <c r="BB785" s="799"/>
      <c r="BC785" s="799"/>
      <c r="BD785" s="799"/>
      <c r="BE785" s="799"/>
      <c r="BF785" s="799"/>
      <c r="BG785" s="799"/>
    </row>
    <row r="786">
      <c r="H786" s="799"/>
      <c r="I786" s="799"/>
      <c r="J786" s="799"/>
      <c r="K786" s="799"/>
      <c r="L786" s="799"/>
      <c r="M786" s="799"/>
      <c r="N786" s="799"/>
      <c r="O786" s="799"/>
      <c r="P786" s="799"/>
      <c r="Q786" s="799"/>
      <c r="R786" s="799"/>
      <c r="S786" s="799"/>
      <c r="T786" s="799"/>
      <c r="U786" s="799"/>
      <c r="V786" s="799"/>
      <c r="W786" s="799"/>
      <c r="X786" s="799"/>
      <c r="Y786" s="799"/>
      <c r="Z786" s="799"/>
      <c r="AA786" s="799"/>
      <c r="AB786" s="799"/>
      <c r="AC786" s="799"/>
      <c r="AD786" s="799"/>
      <c r="AE786" s="799"/>
      <c r="AF786" s="799"/>
      <c r="AG786" s="799"/>
      <c r="AH786" s="799"/>
      <c r="AI786" s="799"/>
      <c r="AJ786" s="799"/>
      <c r="AK786" s="799"/>
      <c r="AL786" s="799"/>
      <c r="AM786" s="799"/>
      <c r="AN786" s="799"/>
      <c r="AO786" s="799"/>
      <c r="AP786" s="799"/>
      <c r="AQ786" s="799"/>
      <c r="AR786" s="799"/>
      <c r="AS786" s="799"/>
      <c r="AT786" s="799"/>
      <c r="AU786" s="799"/>
      <c r="AV786" s="799"/>
      <c r="AW786" s="799"/>
      <c r="AX786" s="799"/>
      <c r="AY786" s="799"/>
      <c r="AZ786" s="799"/>
      <c r="BA786" s="799"/>
      <c r="BB786" s="799"/>
      <c r="BC786" s="799"/>
      <c r="BD786" s="799"/>
      <c r="BE786" s="799"/>
      <c r="BF786" s="799"/>
      <c r="BG786" s="799"/>
    </row>
    <row r="787">
      <c r="H787" s="799"/>
      <c r="I787" s="799"/>
      <c r="J787" s="799"/>
      <c r="K787" s="799"/>
      <c r="L787" s="799"/>
      <c r="M787" s="799"/>
      <c r="N787" s="799"/>
      <c r="O787" s="799"/>
      <c r="P787" s="799"/>
      <c r="Q787" s="799"/>
      <c r="R787" s="799"/>
      <c r="S787" s="799"/>
      <c r="T787" s="799"/>
      <c r="U787" s="799"/>
      <c r="V787" s="799"/>
      <c r="W787" s="799"/>
      <c r="X787" s="799"/>
      <c r="Y787" s="799"/>
      <c r="Z787" s="799"/>
      <c r="AA787" s="799"/>
      <c r="AB787" s="799"/>
      <c r="AC787" s="799"/>
      <c r="AD787" s="799"/>
      <c r="AE787" s="799"/>
      <c r="AF787" s="799"/>
      <c r="AG787" s="799"/>
      <c r="AH787" s="799"/>
      <c r="AI787" s="799"/>
      <c r="AJ787" s="799"/>
      <c r="AK787" s="799"/>
      <c r="AL787" s="799"/>
      <c r="AM787" s="799"/>
      <c r="AN787" s="799"/>
      <c r="AO787" s="799"/>
      <c r="AP787" s="799"/>
      <c r="AQ787" s="799"/>
      <c r="AR787" s="799"/>
      <c r="AS787" s="799"/>
      <c r="AT787" s="799"/>
      <c r="AU787" s="799"/>
      <c r="AV787" s="799"/>
      <c r="AW787" s="799"/>
      <c r="AX787" s="799"/>
      <c r="AY787" s="799"/>
      <c r="AZ787" s="799"/>
      <c r="BA787" s="799"/>
      <c r="BB787" s="799"/>
      <c r="BC787" s="799"/>
      <c r="BD787" s="799"/>
      <c r="BE787" s="799"/>
      <c r="BF787" s="799"/>
      <c r="BG787" s="799"/>
    </row>
    <row r="788">
      <c r="H788" s="799"/>
      <c r="I788" s="799"/>
      <c r="J788" s="799"/>
      <c r="K788" s="799"/>
      <c r="L788" s="799"/>
      <c r="M788" s="799"/>
      <c r="N788" s="799"/>
      <c r="O788" s="799"/>
      <c r="P788" s="799"/>
      <c r="Q788" s="799"/>
      <c r="R788" s="799"/>
      <c r="S788" s="799"/>
      <c r="T788" s="799"/>
      <c r="U788" s="799"/>
      <c r="V788" s="799"/>
      <c r="W788" s="799"/>
      <c r="X788" s="799"/>
      <c r="Y788" s="799"/>
      <c r="Z788" s="799"/>
      <c r="AA788" s="799"/>
      <c r="AB788" s="799"/>
      <c r="AC788" s="799"/>
      <c r="AD788" s="799"/>
      <c r="AE788" s="799"/>
      <c r="AF788" s="799"/>
      <c r="AG788" s="799"/>
      <c r="AH788" s="799"/>
      <c r="AI788" s="799"/>
      <c r="AJ788" s="799"/>
      <c r="AK788" s="799"/>
      <c r="AL788" s="799"/>
      <c r="AM788" s="799"/>
      <c r="AN788" s="799"/>
      <c r="AO788" s="799"/>
      <c r="AP788" s="799"/>
      <c r="AQ788" s="799"/>
      <c r="AR788" s="799"/>
      <c r="AS788" s="799"/>
      <c r="AT788" s="799"/>
      <c r="AU788" s="799"/>
      <c r="AV788" s="799"/>
      <c r="AW788" s="799"/>
      <c r="AX788" s="799"/>
      <c r="AY788" s="799"/>
      <c r="AZ788" s="799"/>
      <c r="BA788" s="799"/>
      <c r="BB788" s="799"/>
      <c r="BC788" s="799"/>
      <c r="BD788" s="799"/>
      <c r="BE788" s="799"/>
      <c r="BF788" s="799"/>
      <c r="BG788" s="799"/>
    </row>
    <row r="789">
      <c r="H789" s="799"/>
      <c r="I789" s="799"/>
      <c r="J789" s="799"/>
      <c r="K789" s="799"/>
      <c r="L789" s="799"/>
      <c r="M789" s="799"/>
      <c r="N789" s="799"/>
      <c r="O789" s="799"/>
      <c r="P789" s="799"/>
      <c r="Q789" s="799"/>
      <c r="R789" s="799"/>
      <c r="S789" s="799"/>
      <c r="T789" s="799"/>
      <c r="U789" s="799"/>
      <c r="V789" s="799"/>
      <c r="W789" s="799"/>
      <c r="X789" s="799"/>
      <c r="Y789" s="799"/>
      <c r="Z789" s="799"/>
      <c r="AA789" s="799"/>
      <c r="AB789" s="799"/>
      <c r="AC789" s="799"/>
      <c r="AD789" s="799"/>
      <c r="AE789" s="799"/>
      <c r="AF789" s="799"/>
      <c r="AG789" s="799"/>
      <c r="AH789" s="799"/>
      <c r="AI789" s="799"/>
      <c r="AJ789" s="799"/>
      <c r="AK789" s="799"/>
      <c r="AL789" s="799"/>
      <c r="AM789" s="799"/>
      <c r="AN789" s="799"/>
      <c r="AO789" s="799"/>
      <c r="AP789" s="799"/>
      <c r="AQ789" s="799"/>
      <c r="AR789" s="799"/>
      <c r="AS789" s="799"/>
      <c r="AT789" s="799"/>
      <c r="AU789" s="799"/>
      <c r="AV789" s="799"/>
      <c r="AW789" s="799"/>
      <c r="AX789" s="799"/>
      <c r="AY789" s="799"/>
      <c r="AZ789" s="799"/>
      <c r="BA789" s="799"/>
      <c r="BB789" s="799"/>
      <c r="BC789" s="799"/>
      <c r="BD789" s="799"/>
      <c r="BE789" s="799"/>
      <c r="BF789" s="799"/>
      <c r="BG789" s="799"/>
    </row>
    <row r="790">
      <c r="H790" s="799"/>
      <c r="I790" s="799"/>
      <c r="J790" s="799"/>
      <c r="K790" s="799"/>
      <c r="L790" s="799"/>
      <c r="M790" s="799"/>
      <c r="N790" s="799"/>
      <c r="O790" s="799"/>
      <c r="P790" s="799"/>
      <c r="Q790" s="799"/>
      <c r="R790" s="799"/>
      <c r="S790" s="799"/>
      <c r="T790" s="799"/>
      <c r="U790" s="799"/>
      <c r="V790" s="799"/>
      <c r="W790" s="799"/>
      <c r="X790" s="799"/>
      <c r="Y790" s="799"/>
      <c r="Z790" s="799"/>
      <c r="AA790" s="799"/>
      <c r="AB790" s="799"/>
      <c r="AC790" s="799"/>
      <c r="AD790" s="799"/>
      <c r="AE790" s="799"/>
      <c r="AF790" s="799"/>
      <c r="AG790" s="799"/>
      <c r="AH790" s="799"/>
      <c r="AI790" s="799"/>
      <c r="AJ790" s="799"/>
      <c r="AK790" s="799"/>
      <c r="AL790" s="799"/>
      <c r="AM790" s="799"/>
      <c r="AN790" s="799"/>
      <c r="AO790" s="799"/>
      <c r="AP790" s="799"/>
      <c r="AQ790" s="799"/>
      <c r="AR790" s="799"/>
      <c r="AS790" s="799"/>
      <c r="AT790" s="799"/>
      <c r="AU790" s="799"/>
      <c r="AV790" s="799"/>
      <c r="AW790" s="799"/>
      <c r="AX790" s="799"/>
      <c r="AY790" s="799"/>
      <c r="AZ790" s="799"/>
      <c r="BA790" s="799"/>
      <c r="BB790" s="799"/>
      <c r="BC790" s="799"/>
      <c r="BD790" s="799"/>
      <c r="BE790" s="799"/>
      <c r="BF790" s="799"/>
      <c r="BG790" s="799"/>
    </row>
    <row r="791">
      <c r="H791" s="799"/>
      <c r="I791" s="799"/>
      <c r="J791" s="799"/>
      <c r="K791" s="799"/>
      <c r="L791" s="799"/>
      <c r="M791" s="799"/>
      <c r="N791" s="799"/>
      <c r="O791" s="799"/>
      <c r="P791" s="799"/>
      <c r="Q791" s="799"/>
      <c r="R791" s="799"/>
      <c r="S791" s="799"/>
      <c r="T791" s="799"/>
      <c r="U791" s="799"/>
      <c r="V791" s="799"/>
      <c r="W791" s="799"/>
      <c r="X791" s="799"/>
      <c r="Y791" s="799"/>
      <c r="Z791" s="799"/>
      <c r="AA791" s="799"/>
      <c r="AB791" s="799"/>
      <c r="AC791" s="799"/>
      <c r="AD791" s="799"/>
      <c r="AE791" s="799"/>
      <c r="AF791" s="799"/>
      <c r="AG791" s="799"/>
      <c r="AH791" s="799"/>
      <c r="AI791" s="799"/>
      <c r="AJ791" s="799"/>
      <c r="AK791" s="799"/>
      <c r="AL791" s="799"/>
      <c r="AM791" s="799"/>
      <c r="AN791" s="799"/>
      <c r="AO791" s="799"/>
      <c r="AP791" s="799"/>
      <c r="AQ791" s="799"/>
      <c r="AR791" s="799"/>
      <c r="AS791" s="799"/>
      <c r="AT791" s="799"/>
      <c r="AU791" s="799"/>
      <c r="AV791" s="799"/>
      <c r="AW791" s="799"/>
      <c r="AX791" s="799"/>
      <c r="AY791" s="799"/>
      <c r="AZ791" s="799"/>
      <c r="BA791" s="799"/>
      <c r="BB791" s="799"/>
      <c r="BC791" s="799"/>
      <c r="BD791" s="799"/>
      <c r="BE791" s="799"/>
      <c r="BF791" s="799"/>
      <c r="BG791" s="799"/>
    </row>
    <row r="792">
      <c r="H792" s="799"/>
      <c r="I792" s="799"/>
      <c r="J792" s="799"/>
      <c r="K792" s="799"/>
      <c r="L792" s="799"/>
      <c r="M792" s="799"/>
      <c r="N792" s="799"/>
      <c r="O792" s="799"/>
      <c r="P792" s="799"/>
      <c r="Q792" s="799"/>
      <c r="R792" s="799"/>
      <c r="S792" s="799"/>
      <c r="T792" s="799"/>
      <c r="U792" s="799"/>
      <c r="V792" s="799"/>
      <c r="W792" s="799"/>
      <c r="X792" s="799"/>
      <c r="Y792" s="799"/>
      <c r="Z792" s="799"/>
      <c r="AA792" s="799"/>
      <c r="AB792" s="799"/>
      <c r="AC792" s="799"/>
      <c r="AD792" s="799"/>
      <c r="AE792" s="799"/>
      <c r="AF792" s="799"/>
      <c r="AG792" s="799"/>
      <c r="AH792" s="799"/>
      <c r="AI792" s="799"/>
      <c r="AJ792" s="799"/>
      <c r="AK792" s="799"/>
      <c r="AL792" s="799"/>
      <c r="AM792" s="799"/>
      <c r="AN792" s="799"/>
      <c r="AO792" s="799"/>
      <c r="AP792" s="799"/>
      <c r="AQ792" s="799"/>
      <c r="AR792" s="799"/>
      <c r="AS792" s="799"/>
      <c r="AT792" s="799"/>
      <c r="AU792" s="799"/>
      <c r="AV792" s="799"/>
      <c r="AW792" s="799"/>
      <c r="AX792" s="799"/>
      <c r="AY792" s="799"/>
      <c r="AZ792" s="799"/>
      <c r="BA792" s="799"/>
      <c r="BB792" s="799"/>
      <c r="BC792" s="799"/>
      <c r="BD792" s="799"/>
      <c r="BE792" s="799"/>
      <c r="BF792" s="799"/>
      <c r="BG792" s="799"/>
    </row>
    <row r="793">
      <c r="H793" s="799"/>
      <c r="I793" s="799"/>
      <c r="J793" s="799"/>
      <c r="K793" s="799"/>
      <c r="L793" s="799"/>
      <c r="M793" s="799"/>
      <c r="N793" s="799"/>
      <c r="O793" s="799"/>
      <c r="P793" s="799"/>
      <c r="Q793" s="799"/>
      <c r="R793" s="799"/>
      <c r="S793" s="799"/>
      <c r="T793" s="799"/>
      <c r="U793" s="799"/>
      <c r="V793" s="799"/>
      <c r="W793" s="799"/>
      <c r="X793" s="799"/>
      <c r="Y793" s="799"/>
      <c r="Z793" s="799"/>
      <c r="AA793" s="799"/>
      <c r="AB793" s="799"/>
      <c r="AC793" s="799"/>
      <c r="AD793" s="799"/>
      <c r="AE793" s="799"/>
      <c r="AF793" s="799"/>
      <c r="AG793" s="799"/>
      <c r="AH793" s="799"/>
      <c r="AI793" s="799"/>
      <c r="AJ793" s="799"/>
      <c r="AK793" s="799"/>
      <c r="AL793" s="799"/>
      <c r="AM793" s="799"/>
      <c r="AN793" s="799"/>
      <c r="AO793" s="799"/>
      <c r="AP793" s="799"/>
      <c r="AQ793" s="799"/>
      <c r="AR793" s="799"/>
      <c r="AS793" s="799"/>
      <c r="AT793" s="799"/>
      <c r="AU793" s="799"/>
      <c r="AV793" s="799"/>
      <c r="AW793" s="799"/>
      <c r="AX793" s="799"/>
      <c r="AY793" s="799"/>
      <c r="AZ793" s="799"/>
      <c r="BA793" s="799"/>
      <c r="BB793" s="799"/>
      <c r="BC793" s="799"/>
      <c r="BD793" s="799"/>
      <c r="BE793" s="799"/>
      <c r="BF793" s="799"/>
      <c r="BG793" s="799"/>
    </row>
    <row r="794">
      <c r="H794" s="799"/>
      <c r="I794" s="799"/>
      <c r="J794" s="799"/>
      <c r="K794" s="799"/>
      <c r="L794" s="799"/>
      <c r="M794" s="799"/>
      <c r="N794" s="799"/>
      <c r="O794" s="799"/>
      <c r="P794" s="799"/>
      <c r="Q794" s="799"/>
      <c r="R794" s="799"/>
      <c r="S794" s="799"/>
      <c r="T794" s="799"/>
      <c r="U794" s="799"/>
      <c r="V794" s="799"/>
      <c r="W794" s="799"/>
      <c r="X794" s="799"/>
      <c r="Y794" s="799"/>
      <c r="Z794" s="799"/>
      <c r="AA794" s="799"/>
      <c r="AB794" s="799"/>
      <c r="AC794" s="799"/>
      <c r="AD794" s="799"/>
      <c r="AE794" s="799"/>
      <c r="AF794" s="799"/>
      <c r="AG794" s="799"/>
      <c r="AH794" s="799"/>
      <c r="AI794" s="799"/>
      <c r="AJ794" s="799"/>
      <c r="AK794" s="799"/>
      <c r="AL794" s="799"/>
      <c r="AM794" s="799"/>
      <c r="AN794" s="799"/>
      <c r="AO794" s="799"/>
      <c r="AP794" s="799"/>
      <c r="AQ794" s="799"/>
      <c r="AR794" s="799"/>
      <c r="AS794" s="799"/>
      <c r="AT794" s="799"/>
      <c r="AU794" s="799"/>
      <c r="AV794" s="799"/>
      <c r="AW794" s="799"/>
      <c r="AX794" s="799"/>
      <c r="AY794" s="799"/>
      <c r="AZ794" s="799"/>
      <c r="BA794" s="799"/>
      <c r="BB794" s="799"/>
      <c r="BC794" s="799"/>
      <c r="BD794" s="799"/>
      <c r="BE794" s="799"/>
      <c r="BF794" s="799"/>
      <c r="BG794" s="799"/>
    </row>
    <row r="795">
      <c r="H795" s="799"/>
      <c r="I795" s="799"/>
      <c r="J795" s="799"/>
      <c r="K795" s="799"/>
      <c r="L795" s="799"/>
      <c r="M795" s="799"/>
      <c r="N795" s="799"/>
      <c r="O795" s="799"/>
      <c r="P795" s="799"/>
      <c r="Q795" s="799"/>
      <c r="R795" s="799"/>
      <c r="S795" s="799"/>
      <c r="T795" s="799"/>
      <c r="U795" s="799"/>
      <c r="V795" s="799"/>
      <c r="W795" s="799"/>
      <c r="X795" s="799"/>
      <c r="Y795" s="799"/>
      <c r="Z795" s="799"/>
      <c r="AA795" s="799"/>
      <c r="AB795" s="799"/>
      <c r="AC795" s="799"/>
      <c r="AD795" s="799"/>
      <c r="AE795" s="799"/>
      <c r="AF795" s="799"/>
      <c r="AG795" s="799"/>
      <c r="AH795" s="799"/>
      <c r="AI795" s="799"/>
      <c r="AJ795" s="799"/>
      <c r="AK795" s="799"/>
      <c r="AL795" s="799"/>
      <c r="AM795" s="799"/>
      <c r="AN795" s="799"/>
      <c r="AO795" s="799"/>
      <c r="AP795" s="799"/>
      <c r="AQ795" s="799"/>
      <c r="AR795" s="799"/>
      <c r="AS795" s="799"/>
      <c r="AT795" s="799"/>
      <c r="AU795" s="799"/>
      <c r="AV795" s="799"/>
      <c r="AW795" s="799"/>
      <c r="AX795" s="799"/>
      <c r="AY795" s="799"/>
      <c r="AZ795" s="799"/>
      <c r="BA795" s="799"/>
      <c r="BB795" s="799"/>
      <c r="BC795" s="799"/>
      <c r="BD795" s="799"/>
      <c r="BE795" s="799"/>
      <c r="BF795" s="799"/>
      <c r="BG795" s="799"/>
    </row>
    <row r="796">
      <c r="H796" s="799"/>
      <c r="I796" s="799"/>
      <c r="J796" s="799"/>
      <c r="K796" s="799"/>
      <c r="L796" s="799"/>
      <c r="M796" s="799"/>
      <c r="N796" s="799"/>
      <c r="O796" s="799"/>
      <c r="P796" s="799"/>
      <c r="Q796" s="799"/>
      <c r="R796" s="799"/>
      <c r="S796" s="799"/>
      <c r="T796" s="799"/>
      <c r="U796" s="799"/>
      <c r="V796" s="799"/>
      <c r="W796" s="799"/>
      <c r="X796" s="799"/>
      <c r="Y796" s="799"/>
      <c r="Z796" s="799"/>
      <c r="AA796" s="799"/>
      <c r="AB796" s="799"/>
      <c r="AC796" s="799"/>
      <c r="AD796" s="799"/>
      <c r="AE796" s="799"/>
      <c r="AF796" s="799"/>
      <c r="AG796" s="799"/>
      <c r="AH796" s="799"/>
      <c r="AI796" s="799"/>
      <c r="AJ796" s="799"/>
      <c r="AK796" s="799"/>
      <c r="AL796" s="799"/>
      <c r="AM796" s="799"/>
      <c r="AN796" s="799"/>
      <c r="AO796" s="799"/>
      <c r="AP796" s="799"/>
      <c r="AQ796" s="799"/>
      <c r="AR796" s="799"/>
      <c r="AS796" s="799"/>
      <c r="AT796" s="799"/>
      <c r="AU796" s="799"/>
      <c r="AV796" s="799"/>
      <c r="AW796" s="799"/>
      <c r="AX796" s="799"/>
      <c r="AY796" s="799"/>
      <c r="AZ796" s="799"/>
      <c r="BA796" s="799"/>
      <c r="BB796" s="799"/>
      <c r="BC796" s="799"/>
      <c r="BD796" s="799"/>
      <c r="BE796" s="799"/>
      <c r="BF796" s="799"/>
      <c r="BG796" s="799"/>
    </row>
    <row r="797">
      <c r="H797" s="799"/>
      <c r="I797" s="799"/>
      <c r="J797" s="799"/>
      <c r="K797" s="799"/>
      <c r="L797" s="799"/>
      <c r="M797" s="799"/>
      <c r="N797" s="799"/>
      <c r="O797" s="799"/>
      <c r="P797" s="799"/>
      <c r="Q797" s="799"/>
      <c r="R797" s="799"/>
      <c r="S797" s="799"/>
      <c r="T797" s="799"/>
      <c r="U797" s="799"/>
      <c r="V797" s="799"/>
      <c r="W797" s="799"/>
      <c r="X797" s="799"/>
      <c r="Y797" s="799"/>
      <c r="Z797" s="799"/>
      <c r="AA797" s="799"/>
      <c r="AB797" s="799"/>
      <c r="AC797" s="799"/>
      <c r="AD797" s="799"/>
      <c r="AE797" s="799"/>
      <c r="AF797" s="799"/>
      <c r="AG797" s="799"/>
      <c r="AH797" s="799"/>
      <c r="AI797" s="799"/>
      <c r="AJ797" s="799"/>
      <c r="AK797" s="799"/>
      <c r="AL797" s="799"/>
      <c r="AM797" s="799"/>
      <c r="AN797" s="799"/>
      <c r="AO797" s="799"/>
      <c r="AP797" s="799"/>
      <c r="AQ797" s="799"/>
      <c r="AR797" s="799"/>
      <c r="AS797" s="799"/>
      <c r="AT797" s="799"/>
      <c r="AU797" s="799"/>
      <c r="AV797" s="799"/>
      <c r="AW797" s="799"/>
      <c r="AX797" s="799"/>
      <c r="AY797" s="799"/>
      <c r="AZ797" s="799"/>
      <c r="BA797" s="799"/>
      <c r="BB797" s="799"/>
      <c r="BC797" s="799"/>
      <c r="BD797" s="799"/>
      <c r="BE797" s="799"/>
      <c r="BF797" s="799"/>
      <c r="BG797" s="799"/>
    </row>
    <row r="798">
      <c r="H798" s="799"/>
      <c r="I798" s="799"/>
      <c r="J798" s="799"/>
      <c r="K798" s="799"/>
      <c r="L798" s="799"/>
      <c r="M798" s="799"/>
      <c r="N798" s="799"/>
      <c r="O798" s="799"/>
      <c r="P798" s="799"/>
      <c r="Q798" s="799"/>
      <c r="R798" s="799"/>
      <c r="S798" s="799"/>
      <c r="T798" s="799"/>
      <c r="U798" s="799"/>
      <c r="V798" s="799"/>
      <c r="W798" s="799"/>
      <c r="X798" s="799"/>
      <c r="Y798" s="799"/>
      <c r="Z798" s="799"/>
      <c r="AA798" s="799"/>
      <c r="AB798" s="799"/>
      <c r="AC798" s="799"/>
      <c r="AD798" s="799"/>
      <c r="AE798" s="799"/>
      <c r="AF798" s="799"/>
      <c r="AG798" s="799"/>
      <c r="AH798" s="799"/>
      <c r="AI798" s="799"/>
      <c r="AJ798" s="799"/>
      <c r="AK798" s="799"/>
      <c r="AL798" s="799"/>
      <c r="AM798" s="799"/>
      <c r="AN798" s="799"/>
      <c r="AO798" s="799"/>
      <c r="AP798" s="799"/>
      <c r="AQ798" s="799"/>
      <c r="AR798" s="799"/>
      <c r="AS798" s="799"/>
      <c r="AT798" s="799"/>
      <c r="AU798" s="799"/>
      <c r="AV798" s="799"/>
      <c r="AW798" s="799"/>
      <c r="AX798" s="799"/>
      <c r="AY798" s="799"/>
      <c r="AZ798" s="799"/>
      <c r="BA798" s="799"/>
      <c r="BB798" s="799"/>
      <c r="BC798" s="799"/>
      <c r="BD798" s="799"/>
      <c r="BE798" s="799"/>
      <c r="BF798" s="799"/>
      <c r="BG798" s="799"/>
    </row>
    <row r="799">
      <c r="H799" s="799"/>
      <c r="I799" s="799"/>
      <c r="J799" s="799"/>
      <c r="K799" s="799"/>
      <c r="L799" s="799"/>
      <c r="M799" s="799"/>
      <c r="N799" s="799"/>
      <c r="O799" s="799"/>
      <c r="P799" s="799"/>
      <c r="Q799" s="799"/>
      <c r="R799" s="799"/>
      <c r="S799" s="799"/>
      <c r="T799" s="799"/>
      <c r="U799" s="799"/>
      <c r="V799" s="799"/>
      <c r="W799" s="799"/>
      <c r="X799" s="799"/>
      <c r="Y799" s="799"/>
      <c r="Z799" s="799"/>
      <c r="AA799" s="799"/>
      <c r="AB799" s="799"/>
      <c r="AC799" s="799"/>
      <c r="AD799" s="799"/>
      <c r="AE799" s="799"/>
      <c r="AF799" s="799"/>
      <c r="AG799" s="799"/>
      <c r="AH799" s="799"/>
      <c r="AI799" s="799"/>
      <c r="AJ799" s="799"/>
      <c r="AK799" s="799"/>
      <c r="AL799" s="799"/>
      <c r="AM799" s="799"/>
      <c r="AN799" s="799"/>
      <c r="AO799" s="799"/>
      <c r="AP799" s="799"/>
      <c r="AQ799" s="799"/>
      <c r="AR799" s="799"/>
      <c r="AS799" s="799"/>
      <c r="AT799" s="799"/>
      <c r="AU799" s="799"/>
      <c r="AV799" s="799"/>
      <c r="AW799" s="799"/>
      <c r="AX799" s="799"/>
      <c r="AY799" s="799"/>
      <c r="AZ799" s="799"/>
      <c r="BA799" s="799"/>
      <c r="BB799" s="799"/>
      <c r="BC799" s="799"/>
      <c r="BD799" s="799"/>
      <c r="BE799" s="799"/>
      <c r="BF799" s="799"/>
      <c r="BG799" s="799"/>
    </row>
    <row r="800">
      <c r="H800" s="799"/>
      <c r="I800" s="799"/>
      <c r="J800" s="799"/>
      <c r="K800" s="799"/>
      <c r="L800" s="799"/>
      <c r="M800" s="799"/>
      <c r="N800" s="799"/>
      <c r="O800" s="799"/>
      <c r="P800" s="799"/>
      <c r="Q800" s="799"/>
      <c r="R800" s="799"/>
      <c r="S800" s="799"/>
      <c r="T800" s="799"/>
      <c r="U800" s="799"/>
      <c r="V800" s="799"/>
      <c r="W800" s="799"/>
      <c r="X800" s="799"/>
      <c r="Y800" s="799"/>
      <c r="Z800" s="799"/>
      <c r="AA800" s="799"/>
      <c r="AB800" s="799"/>
      <c r="AC800" s="799"/>
      <c r="AD800" s="799"/>
      <c r="AE800" s="799"/>
      <c r="AF800" s="799"/>
      <c r="AG800" s="799"/>
      <c r="AH800" s="799"/>
      <c r="AI800" s="799"/>
      <c r="AJ800" s="799"/>
      <c r="AK800" s="799"/>
      <c r="AL800" s="799"/>
      <c r="AM800" s="799"/>
      <c r="AN800" s="799"/>
      <c r="AO800" s="799"/>
      <c r="AP800" s="799"/>
      <c r="AQ800" s="799"/>
      <c r="AR800" s="799"/>
      <c r="AS800" s="799"/>
      <c r="AT800" s="799"/>
      <c r="AU800" s="799"/>
      <c r="AV800" s="799"/>
      <c r="AW800" s="799"/>
      <c r="AX800" s="799"/>
      <c r="AY800" s="799"/>
      <c r="AZ800" s="799"/>
      <c r="BA800" s="799"/>
      <c r="BB800" s="799"/>
      <c r="BC800" s="799"/>
      <c r="BD800" s="799"/>
      <c r="BE800" s="799"/>
      <c r="BF800" s="799"/>
      <c r="BG800" s="799"/>
    </row>
    <row r="801">
      <c r="H801" s="799"/>
      <c r="I801" s="799"/>
      <c r="J801" s="799"/>
      <c r="K801" s="799"/>
      <c r="L801" s="799"/>
      <c r="M801" s="799"/>
      <c r="N801" s="799"/>
      <c r="O801" s="799"/>
      <c r="P801" s="799"/>
      <c r="Q801" s="799"/>
      <c r="R801" s="799"/>
      <c r="S801" s="799"/>
      <c r="T801" s="799"/>
      <c r="U801" s="799"/>
      <c r="V801" s="799"/>
      <c r="W801" s="799"/>
      <c r="X801" s="799"/>
      <c r="Y801" s="799"/>
      <c r="Z801" s="799"/>
      <c r="AA801" s="799"/>
      <c r="AB801" s="799"/>
      <c r="AC801" s="799"/>
      <c r="AD801" s="799"/>
      <c r="AE801" s="799"/>
      <c r="AF801" s="799"/>
      <c r="AG801" s="799"/>
      <c r="AH801" s="799"/>
      <c r="AI801" s="799"/>
      <c r="AJ801" s="799"/>
      <c r="AK801" s="799"/>
      <c r="AL801" s="799"/>
      <c r="AM801" s="799"/>
      <c r="AN801" s="799"/>
      <c r="AO801" s="799"/>
      <c r="AP801" s="799"/>
      <c r="AQ801" s="799"/>
      <c r="AR801" s="799"/>
      <c r="AS801" s="799"/>
      <c r="AT801" s="799"/>
      <c r="AU801" s="799"/>
      <c r="AV801" s="799"/>
      <c r="AW801" s="799"/>
      <c r="AX801" s="799"/>
      <c r="AY801" s="799"/>
      <c r="AZ801" s="799"/>
      <c r="BA801" s="799"/>
      <c r="BB801" s="799"/>
      <c r="BC801" s="799"/>
      <c r="BD801" s="799"/>
      <c r="BE801" s="799"/>
      <c r="BF801" s="799"/>
      <c r="BG801" s="799"/>
    </row>
    <row r="802">
      <c r="H802" s="799"/>
      <c r="I802" s="799"/>
      <c r="J802" s="799"/>
      <c r="K802" s="799"/>
      <c r="L802" s="799"/>
      <c r="M802" s="799"/>
      <c r="N802" s="799"/>
      <c r="O802" s="799"/>
      <c r="P802" s="799"/>
      <c r="Q802" s="799"/>
      <c r="R802" s="799"/>
      <c r="S802" s="799"/>
      <c r="T802" s="799"/>
      <c r="U802" s="799"/>
      <c r="V802" s="799"/>
      <c r="W802" s="799"/>
      <c r="X802" s="799"/>
      <c r="Y802" s="799"/>
      <c r="Z802" s="799"/>
      <c r="AA802" s="799"/>
      <c r="AB802" s="799"/>
      <c r="AC802" s="799"/>
      <c r="AD802" s="799"/>
      <c r="AE802" s="799"/>
      <c r="AF802" s="799"/>
      <c r="AG802" s="799"/>
      <c r="AH802" s="799"/>
      <c r="AI802" s="799"/>
      <c r="AJ802" s="799"/>
      <c r="AK802" s="799"/>
      <c r="AL802" s="799"/>
      <c r="AM802" s="799"/>
      <c r="AN802" s="799"/>
      <c r="AO802" s="799"/>
      <c r="AP802" s="799"/>
      <c r="AQ802" s="799"/>
      <c r="AR802" s="799"/>
      <c r="AS802" s="799"/>
      <c r="AT802" s="799"/>
      <c r="AU802" s="799"/>
      <c r="AV802" s="799"/>
      <c r="AW802" s="799"/>
      <c r="AX802" s="799"/>
      <c r="AY802" s="799"/>
      <c r="AZ802" s="799"/>
      <c r="BA802" s="799"/>
      <c r="BB802" s="799"/>
      <c r="BC802" s="799"/>
      <c r="BD802" s="799"/>
      <c r="BE802" s="799"/>
      <c r="BF802" s="799"/>
      <c r="BG802" s="799"/>
    </row>
    <row r="803">
      <c r="H803" s="799"/>
      <c r="I803" s="799"/>
      <c r="J803" s="799"/>
      <c r="K803" s="799"/>
      <c r="L803" s="799"/>
      <c r="M803" s="799"/>
      <c r="N803" s="799"/>
      <c r="O803" s="799"/>
      <c r="P803" s="799"/>
      <c r="Q803" s="799"/>
      <c r="R803" s="799"/>
      <c r="S803" s="799"/>
      <c r="T803" s="799"/>
      <c r="U803" s="799"/>
      <c r="V803" s="799"/>
      <c r="W803" s="799"/>
      <c r="X803" s="799"/>
      <c r="Y803" s="799"/>
      <c r="Z803" s="799"/>
      <c r="AA803" s="799"/>
      <c r="AB803" s="799"/>
      <c r="AC803" s="799"/>
      <c r="AD803" s="799"/>
      <c r="AE803" s="799"/>
      <c r="AF803" s="799"/>
      <c r="AG803" s="799"/>
      <c r="AH803" s="799"/>
      <c r="AI803" s="799"/>
      <c r="AJ803" s="799"/>
      <c r="AK803" s="799"/>
      <c r="AL803" s="799"/>
      <c r="AM803" s="799"/>
      <c r="AN803" s="799"/>
      <c r="AO803" s="799"/>
      <c r="AP803" s="799"/>
      <c r="AQ803" s="799"/>
      <c r="AR803" s="799"/>
      <c r="AS803" s="799"/>
      <c r="AT803" s="799"/>
      <c r="AU803" s="799"/>
      <c r="AV803" s="799"/>
      <c r="AW803" s="799"/>
      <c r="AX803" s="799"/>
      <c r="AY803" s="799"/>
      <c r="AZ803" s="799"/>
      <c r="BA803" s="799"/>
      <c r="BB803" s="799"/>
      <c r="BC803" s="799"/>
      <c r="BD803" s="799"/>
      <c r="BE803" s="799"/>
      <c r="BF803" s="799"/>
      <c r="BG803" s="799"/>
    </row>
    <row r="804">
      <c r="H804" s="799"/>
      <c r="I804" s="799"/>
      <c r="J804" s="799"/>
      <c r="K804" s="799"/>
      <c r="L804" s="799"/>
      <c r="M804" s="799"/>
      <c r="N804" s="799"/>
      <c r="O804" s="799"/>
      <c r="P804" s="799"/>
      <c r="Q804" s="799"/>
      <c r="R804" s="799"/>
      <c r="S804" s="799"/>
      <c r="T804" s="799"/>
      <c r="U804" s="799"/>
      <c r="V804" s="799"/>
      <c r="W804" s="799"/>
      <c r="X804" s="799"/>
      <c r="Y804" s="799"/>
      <c r="Z804" s="799"/>
      <c r="AA804" s="799"/>
      <c r="AB804" s="799"/>
      <c r="AC804" s="799"/>
      <c r="AD804" s="799"/>
      <c r="AE804" s="799"/>
      <c r="AF804" s="799"/>
      <c r="AG804" s="799"/>
      <c r="AH804" s="799"/>
      <c r="AI804" s="799"/>
      <c r="AJ804" s="799"/>
      <c r="AK804" s="799"/>
      <c r="AL804" s="799"/>
      <c r="AM804" s="799"/>
      <c r="AN804" s="799"/>
      <c r="AO804" s="799"/>
      <c r="AP804" s="799"/>
      <c r="AQ804" s="799"/>
      <c r="AR804" s="799"/>
      <c r="AS804" s="799"/>
      <c r="AT804" s="799"/>
      <c r="AU804" s="799"/>
      <c r="AV804" s="799"/>
      <c r="AW804" s="799"/>
      <c r="AX804" s="799"/>
      <c r="AY804" s="799"/>
      <c r="AZ804" s="799"/>
      <c r="BA804" s="799"/>
      <c r="BB804" s="799"/>
      <c r="BC804" s="799"/>
      <c r="BD804" s="799"/>
      <c r="BE804" s="799"/>
      <c r="BF804" s="799"/>
      <c r="BG804" s="799"/>
    </row>
    <row r="805">
      <c r="H805" s="799"/>
      <c r="I805" s="799"/>
      <c r="J805" s="799"/>
      <c r="K805" s="799"/>
      <c r="L805" s="799"/>
      <c r="M805" s="799"/>
      <c r="N805" s="799"/>
      <c r="O805" s="799"/>
      <c r="P805" s="799"/>
      <c r="Q805" s="799"/>
      <c r="R805" s="799"/>
      <c r="S805" s="799"/>
      <c r="T805" s="799"/>
      <c r="U805" s="799"/>
      <c r="V805" s="799"/>
      <c r="W805" s="799"/>
      <c r="X805" s="799"/>
      <c r="Y805" s="799"/>
      <c r="Z805" s="799"/>
      <c r="AA805" s="799"/>
      <c r="AB805" s="799"/>
      <c r="AC805" s="799"/>
      <c r="AD805" s="799"/>
      <c r="AE805" s="799"/>
      <c r="AF805" s="799"/>
      <c r="AG805" s="799"/>
      <c r="AH805" s="799"/>
      <c r="AI805" s="799"/>
      <c r="AJ805" s="799"/>
      <c r="AK805" s="799"/>
      <c r="AL805" s="799"/>
      <c r="AM805" s="799"/>
      <c r="AN805" s="799"/>
      <c r="AO805" s="799"/>
      <c r="AP805" s="799"/>
      <c r="AQ805" s="799"/>
      <c r="AR805" s="799"/>
      <c r="AS805" s="799"/>
      <c r="AT805" s="799"/>
      <c r="AU805" s="799"/>
      <c r="AV805" s="799"/>
      <c r="AW805" s="799"/>
      <c r="AX805" s="799"/>
      <c r="AY805" s="799"/>
      <c r="AZ805" s="799"/>
      <c r="BA805" s="799"/>
      <c r="BB805" s="799"/>
      <c r="BC805" s="799"/>
      <c r="BD805" s="799"/>
      <c r="BE805" s="799"/>
      <c r="BF805" s="799"/>
      <c r="BG805" s="799"/>
    </row>
    <row r="806">
      <c r="H806" s="799"/>
      <c r="I806" s="799"/>
      <c r="J806" s="799"/>
      <c r="K806" s="799"/>
      <c r="L806" s="799"/>
      <c r="M806" s="799"/>
      <c r="N806" s="799"/>
      <c r="O806" s="799"/>
      <c r="P806" s="799"/>
      <c r="Q806" s="799"/>
      <c r="R806" s="799"/>
      <c r="S806" s="799"/>
      <c r="T806" s="799"/>
      <c r="U806" s="799"/>
      <c r="V806" s="799"/>
      <c r="W806" s="799"/>
      <c r="X806" s="799"/>
      <c r="Y806" s="799"/>
      <c r="Z806" s="799"/>
      <c r="AA806" s="799"/>
      <c r="AB806" s="799"/>
      <c r="AC806" s="799"/>
      <c r="AD806" s="799"/>
      <c r="AE806" s="799"/>
      <c r="AF806" s="799"/>
      <c r="AG806" s="799"/>
      <c r="AH806" s="799"/>
      <c r="AI806" s="799"/>
      <c r="AJ806" s="799"/>
      <c r="AK806" s="799"/>
      <c r="AL806" s="799"/>
      <c r="AM806" s="799"/>
      <c r="AN806" s="799"/>
      <c r="AO806" s="799"/>
      <c r="AP806" s="799"/>
      <c r="AQ806" s="799"/>
      <c r="AR806" s="799"/>
      <c r="AS806" s="799"/>
      <c r="AT806" s="799"/>
      <c r="AU806" s="799"/>
      <c r="AV806" s="799"/>
      <c r="AW806" s="799"/>
      <c r="AX806" s="799"/>
      <c r="AY806" s="799"/>
      <c r="AZ806" s="799"/>
      <c r="BA806" s="799"/>
      <c r="BB806" s="799"/>
      <c r="BC806" s="799"/>
      <c r="BD806" s="799"/>
      <c r="BE806" s="799"/>
      <c r="BF806" s="799"/>
      <c r="BG806" s="799"/>
    </row>
    <row r="807">
      <c r="H807" s="799"/>
      <c r="I807" s="799"/>
      <c r="J807" s="799"/>
      <c r="K807" s="799"/>
      <c r="L807" s="799"/>
      <c r="M807" s="799"/>
      <c r="N807" s="799"/>
      <c r="O807" s="799"/>
      <c r="P807" s="799"/>
      <c r="Q807" s="799"/>
      <c r="R807" s="799"/>
      <c r="S807" s="799"/>
      <c r="T807" s="799"/>
      <c r="U807" s="799"/>
      <c r="V807" s="799"/>
      <c r="W807" s="799"/>
      <c r="X807" s="799"/>
      <c r="Y807" s="799"/>
      <c r="Z807" s="799"/>
      <c r="AA807" s="799"/>
      <c r="AB807" s="799"/>
      <c r="AC807" s="799"/>
      <c r="AD807" s="799"/>
      <c r="AE807" s="799"/>
      <c r="AF807" s="799"/>
      <c r="AG807" s="799"/>
      <c r="AH807" s="799"/>
      <c r="AI807" s="799"/>
      <c r="AJ807" s="799"/>
      <c r="AK807" s="799"/>
      <c r="AL807" s="799"/>
      <c r="AM807" s="799"/>
      <c r="AN807" s="799"/>
      <c r="AO807" s="799"/>
      <c r="AP807" s="799"/>
      <c r="AQ807" s="799"/>
      <c r="AR807" s="799"/>
      <c r="AS807" s="799"/>
      <c r="AT807" s="799"/>
      <c r="AU807" s="799"/>
      <c r="AV807" s="799"/>
      <c r="AW807" s="799"/>
      <c r="AX807" s="799"/>
      <c r="AY807" s="799"/>
      <c r="AZ807" s="799"/>
      <c r="BA807" s="799"/>
      <c r="BB807" s="799"/>
      <c r="BC807" s="799"/>
      <c r="BD807" s="799"/>
      <c r="BE807" s="799"/>
      <c r="BF807" s="799"/>
      <c r="BG807" s="799"/>
    </row>
    <row r="808">
      <c r="H808" s="799"/>
      <c r="I808" s="799"/>
      <c r="J808" s="799"/>
      <c r="K808" s="799"/>
      <c r="L808" s="799"/>
      <c r="M808" s="799"/>
      <c r="N808" s="799"/>
      <c r="O808" s="799"/>
      <c r="P808" s="799"/>
      <c r="Q808" s="799"/>
      <c r="R808" s="799"/>
      <c r="S808" s="799"/>
      <c r="T808" s="799"/>
      <c r="U808" s="799"/>
      <c r="V808" s="799"/>
      <c r="W808" s="799"/>
      <c r="X808" s="799"/>
      <c r="Y808" s="799"/>
      <c r="Z808" s="799"/>
      <c r="AA808" s="799"/>
      <c r="AB808" s="799"/>
      <c r="AC808" s="799"/>
      <c r="AD808" s="799"/>
      <c r="AE808" s="799"/>
      <c r="AF808" s="799"/>
      <c r="AG808" s="799"/>
      <c r="AH808" s="799"/>
      <c r="AI808" s="799"/>
      <c r="AJ808" s="799"/>
      <c r="AK808" s="799"/>
      <c r="AL808" s="799"/>
      <c r="AM808" s="799"/>
      <c r="AN808" s="799"/>
      <c r="AO808" s="799"/>
      <c r="AP808" s="799"/>
      <c r="AQ808" s="799"/>
      <c r="AR808" s="799"/>
      <c r="AS808" s="799"/>
      <c r="AT808" s="799"/>
      <c r="AU808" s="799"/>
      <c r="AV808" s="799"/>
      <c r="AW808" s="799"/>
      <c r="AX808" s="799"/>
      <c r="AY808" s="799"/>
      <c r="AZ808" s="799"/>
      <c r="BA808" s="799"/>
      <c r="BB808" s="799"/>
      <c r="BC808" s="799"/>
      <c r="BD808" s="799"/>
      <c r="BE808" s="799"/>
      <c r="BF808" s="799"/>
      <c r="BG808" s="799"/>
    </row>
    <row r="809">
      <c r="H809" s="799"/>
      <c r="I809" s="799"/>
      <c r="J809" s="799"/>
      <c r="K809" s="799"/>
      <c r="L809" s="799"/>
      <c r="M809" s="799"/>
      <c r="N809" s="799"/>
      <c r="O809" s="799"/>
      <c r="P809" s="799"/>
      <c r="Q809" s="799"/>
      <c r="R809" s="799"/>
      <c r="S809" s="799"/>
      <c r="T809" s="799"/>
      <c r="U809" s="799"/>
      <c r="V809" s="799"/>
      <c r="W809" s="799"/>
      <c r="X809" s="799"/>
      <c r="Y809" s="799"/>
      <c r="Z809" s="799"/>
      <c r="AA809" s="799"/>
      <c r="AB809" s="799"/>
      <c r="AC809" s="799"/>
      <c r="AD809" s="799"/>
      <c r="AE809" s="799"/>
      <c r="AF809" s="799"/>
      <c r="AG809" s="799"/>
      <c r="AH809" s="799"/>
      <c r="AI809" s="799"/>
      <c r="AJ809" s="799"/>
      <c r="AK809" s="799"/>
      <c r="AL809" s="799"/>
      <c r="AM809" s="799"/>
      <c r="AN809" s="799"/>
      <c r="AO809" s="799"/>
      <c r="AP809" s="799"/>
      <c r="AQ809" s="799"/>
      <c r="AR809" s="799"/>
      <c r="AS809" s="799"/>
      <c r="AT809" s="799"/>
      <c r="AU809" s="799"/>
      <c r="AV809" s="799"/>
      <c r="AW809" s="799"/>
      <c r="AX809" s="799"/>
      <c r="AY809" s="799"/>
      <c r="AZ809" s="799"/>
      <c r="BA809" s="799"/>
      <c r="BB809" s="799"/>
      <c r="BC809" s="799"/>
      <c r="BD809" s="799"/>
      <c r="BE809" s="799"/>
      <c r="BF809" s="799"/>
      <c r="BG809" s="799"/>
    </row>
    <row r="810">
      <c r="H810" s="799"/>
      <c r="I810" s="799"/>
      <c r="J810" s="799"/>
      <c r="K810" s="799"/>
      <c r="L810" s="799"/>
      <c r="M810" s="799"/>
      <c r="N810" s="799"/>
      <c r="O810" s="799"/>
      <c r="P810" s="799"/>
      <c r="Q810" s="799"/>
      <c r="R810" s="799"/>
      <c r="S810" s="799"/>
      <c r="T810" s="799"/>
      <c r="U810" s="799"/>
      <c r="V810" s="799"/>
      <c r="W810" s="799"/>
      <c r="X810" s="799"/>
      <c r="Y810" s="799"/>
      <c r="Z810" s="799"/>
      <c r="AA810" s="799"/>
      <c r="AB810" s="799"/>
      <c r="AC810" s="799"/>
      <c r="AD810" s="799"/>
      <c r="AE810" s="799"/>
      <c r="AF810" s="799"/>
      <c r="AG810" s="799"/>
      <c r="AH810" s="799"/>
      <c r="AI810" s="799"/>
      <c r="AJ810" s="799"/>
      <c r="AK810" s="799"/>
      <c r="AL810" s="799"/>
      <c r="AM810" s="799"/>
      <c r="AN810" s="799"/>
      <c r="AO810" s="799"/>
      <c r="AP810" s="799"/>
      <c r="AQ810" s="799"/>
      <c r="AR810" s="799"/>
      <c r="AS810" s="799"/>
      <c r="AT810" s="799"/>
      <c r="AU810" s="799"/>
      <c r="AV810" s="799"/>
      <c r="AW810" s="799"/>
      <c r="AX810" s="799"/>
      <c r="AY810" s="799"/>
      <c r="AZ810" s="799"/>
      <c r="BA810" s="799"/>
      <c r="BB810" s="799"/>
      <c r="BC810" s="799"/>
      <c r="BD810" s="799"/>
      <c r="BE810" s="799"/>
      <c r="BF810" s="799"/>
      <c r="BG810" s="799"/>
    </row>
    <row r="811">
      <c r="H811" s="799"/>
      <c r="I811" s="799"/>
      <c r="J811" s="799"/>
      <c r="K811" s="799"/>
      <c r="L811" s="799"/>
      <c r="M811" s="799"/>
      <c r="N811" s="799"/>
      <c r="O811" s="799"/>
      <c r="P811" s="799"/>
      <c r="Q811" s="799"/>
      <c r="R811" s="799"/>
      <c r="S811" s="799"/>
      <c r="T811" s="799"/>
      <c r="U811" s="799"/>
      <c r="V811" s="799"/>
      <c r="W811" s="799"/>
      <c r="X811" s="799"/>
      <c r="Y811" s="799"/>
      <c r="Z811" s="799"/>
      <c r="AA811" s="799"/>
      <c r="AB811" s="799"/>
      <c r="AC811" s="799"/>
      <c r="AD811" s="799"/>
      <c r="AE811" s="799"/>
      <c r="AF811" s="799"/>
      <c r="AG811" s="799"/>
      <c r="AH811" s="799"/>
      <c r="AI811" s="799"/>
      <c r="AJ811" s="799"/>
      <c r="AK811" s="799"/>
      <c r="AL811" s="799"/>
      <c r="AM811" s="799"/>
      <c r="AN811" s="799"/>
      <c r="AO811" s="799"/>
      <c r="AP811" s="799"/>
      <c r="AQ811" s="799"/>
      <c r="AR811" s="799"/>
      <c r="AS811" s="799"/>
      <c r="AT811" s="799"/>
      <c r="AU811" s="799"/>
      <c r="AV811" s="799"/>
      <c r="AW811" s="799"/>
      <c r="AX811" s="799"/>
      <c r="AY811" s="799"/>
      <c r="AZ811" s="799"/>
      <c r="BA811" s="799"/>
      <c r="BB811" s="799"/>
      <c r="BC811" s="799"/>
      <c r="BD811" s="799"/>
      <c r="BE811" s="799"/>
      <c r="BF811" s="799"/>
      <c r="BG811" s="799"/>
    </row>
    <row r="812">
      <c r="H812" s="799"/>
      <c r="I812" s="799"/>
      <c r="J812" s="799"/>
      <c r="K812" s="799"/>
      <c r="L812" s="799"/>
      <c r="M812" s="799"/>
      <c r="N812" s="799"/>
      <c r="O812" s="799"/>
      <c r="P812" s="799"/>
      <c r="Q812" s="799"/>
      <c r="R812" s="799"/>
      <c r="S812" s="799"/>
      <c r="T812" s="799"/>
      <c r="U812" s="799"/>
      <c r="V812" s="799"/>
      <c r="W812" s="799"/>
      <c r="X812" s="799"/>
      <c r="Y812" s="799"/>
      <c r="Z812" s="799"/>
      <c r="AA812" s="799"/>
      <c r="AB812" s="799"/>
      <c r="AC812" s="799"/>
      <c r="AD812" s="799"/>
      <c r="AE812" s="799"/>
      <c r="AF812" s="799"/>
      <c r="AG812" s="799"/>
      <c r="AH812" s="799"/>
      <c r="AI812" s="799"/>
      <c r="AJ812" s="799"/>
      <c r="AK812" s="799"/>
      <c r="AL812" s="799"/>
      <c r="AM812" s="799"/>
      <c r="AN812" s="799"/>
      <c r="AO812" s="799"/>
      <c r="AP812" s="799"/>
      <c r="AQ812" s="799"/>
      <c r="AR812" s="799"/>
      <c r="AS812" s="799"/>
      <c r="AT812" s="799"/>
      <c r="AU812" s="799"/>
      <c r="AV812" s="799"/>
      <c r="AW812" s="799"/>
      <c r="AX812" s="799"/>
      <c r="AY812" s="799"/>
      <c r="AZ812" s="799"/>
      <c r="BA812" s="799"/>
      <c r="BB812" s="799"/>
      <c r="BC812" s="799"/>
      <c r="BD812" s="799"/>
      <c r="BE812" s="799"/>
      <c r="BF812" s="799"/>
      <c r="BG812" s="799"/>
    </row>
    <row r="813">
      <c r="H813" s="799"/>
      <c r="I813" s="799"/>
      <c r="J813" s="799"/>
      <c r="K813" s="799"/>
      <c r="L813" s="799"/>
      <c r="M813" s="799"/>
      <c r="N813" s="799"/>
      <c r="O813" s="799"/>
      <c r="P813" s="799"/>
      <c r="Q813" s="799"/>
      <c r="R813" s="799"/>
      <c r="S813" s="799"/>
      <c r="T813" s="799"/>
      <c r="U813" s="799"/>
      <c r="V813" s="799"/>
      <c r="W813" s="799"/>
      <c r="X813" s="799"/>
      <c r="Y813" s="799"/>
      <c r="Z813" s="799"/>
      <c r="AA813" s="799"/>
      <c r="AB813" s="799"/>
      <c r="AC813" s="799"/>
      <c r="AD813" s="799"/>
      <c r="AE813" s="799"/>
      <c r="AF813" s="799"/>
      <c r="AG813" s="799"/>
      <c r="AH813" s="799"/>
      <c r="AI813" s="799"/>
      <c r="AJ813" s="799"/>
      <c r="AK813" s="799"/>
      <c r="AL813" s="799"/>
      <c r="AM813" s="799"/>
      <c r="AN813" s="799"/>
      <c r="AO813" s="799"/>
      <c r="AP813" s="799"/>
      <c r="AQ813" s="799"/>
      <c r="AR813" s="799"/>
      <c r="AS813" s="799"/>
      <c r="AT813" s="799"/>
      <c r="AU813" s="799"/>
      <c r="AV813" s="799"/>
      <c r="AW813" s="799"/>
      <c r="AX813" s="799"/>
      <c r="AY813" s="799"/>
      <c r="AZ813" s="799"/>
      <c r="BA813" s="799"/>
      <c r="BB813" s="799"/>
      <c r="BC813" s="799"/>
      <c r="BD813" s="799"/>
      <c r="BE813" s="799"/>
      <c r="BF813" s="799"/>
      <c r="BG813" s="799"/>
    </row>
    <row r="814">
      <c r="H814" s="799"/>
      <c r="I814" s="799"/>
      <c r="J814" s="799"/>
      <c r="K814" s="799"/>
      <c r="L814" s="799"/>
      <c r="M814" s="799"/>
      <c r="N814" s="799"/>
      <c r="O814" s="799"/>
      <c r="P814" s="799"/>
      <c r="Q814" s="799"/>
      <c r="R814" s="799"/>
      <c r="S814" s="799"/>
      <c r="T814" s="799"/>
      <c r="U814" s="799"/>
      <c r="V814" s="799"/>
      <c r="W814" s="799"/>
      <c r="X814" s="799"/>
      <c r="Y814" s="799"/>
      <c r="Z814" s="799"/>
      <c r="AA814" s="799"/>
      <c r="AB814" s="799"/>
      <c r="AC814" s="799"/>
      <c r="AD814" s="799"/>
      <c r="AE814" s="799"/>
      <c r="AF814" s="799"/>
      <c r="AG814" s="799"/>
      <c r="AH814" s="799"/>
      <c r="AI814" s="799"/>
      <c r="AJ814" s="799"/>
      <c r="AK814" s="799"/>
      <c r="AL814" s="799"/>
      <c r="AM814" s="799"/>
      <c r="AN814" s="799"/>
      <c r="AO814" s="799"/>
      <c r="AP814" s="799"/>
      <c r="AQ814" s="799"/>
      <c r="AR814" s="799"/>
      <c r="AS814" s="799"/>
      <c r="AT814" s="799"/>
      <c r="AU814" s="799"/>
      <c r="AV814" s="799"/>
      <c r="AW814" s="799"/>
      <c r="AX814" s="799"/>
      <c r="AY814" s="799"/>
      <c r="AZ814" s="799"/>
      <c r="BA814" s="799"/>
      <c r="BB814" s="799"/>
      <c r="BC814" s="799"/>
      <c r="BD814" s="799"/>
      <c r="BE814" s="799"/>
      <c r="BF814" s="799"/>
      <c r="BG814" s="799"/>
    </row>
    <row r="815">
      <c r="H815" s="799"/>
      <c r="I815" s="799"/>
      <c r="J815" s="799"/>
      <c r="K815" s="799"/>
      <c r="L815" s="799"/>
      <c r="M815" s="799"/>
      <c r="N815" s="799"/>
      <c r="O815" s="799"/>
      <c r="P815" s="799"/>
      <c r="Q815" s="799"/>
      <c r="R815" s="799"/>
      <c r="S815" s="799"/>
      <c r="T815" s="799"/>
      <c r="U815" s="799"/>
      <c r="V815" s="799"/>
      <c r="W815" s="799"/>
      <c r="X815" s="799"/>
      <c r="Y815" s="799"/>
      <c r="Z815" s="799"/>
      <c r="AA815" s="799"/>
      <c r="AB815" s="799"/>
      <c r="AC815" s="799"/>
      <c r="AD815" s="799"/>
      <c r="AE815" s="799"/>
      <c r="AF815" s="799"/>
      <c r="AG815" s="799"/>
      <c r="AH815" s="799"/>
      <c r="AI815" s="799"/>
      <c r="AJ815" s="799"/>
      <c r="AK815" s="799"/>
      <c r="AL815" s="799"/>
      <c r="AM815" s="799"/>
      <c r="AN815" s="799"/>
      <c r="AO815" s="799"/>
      <c r="AP815" s="799"/>
      <c r="AQ815" s="799"/>
      <c r="AR815" s="799"/>
      <c r="AS815" s="799"/>
      <c r="AT815" s="799"/>
      <c r="AU815" s="799"/>
      <c r="AV815" s="799"/>
      <c r="AW815" s="799"/>
      <c r="AX815" s="799"/>
      <c r="AY815" s="799"/>
      <c r="AZ815" s="799"/>
      <c r="BA815" s="799"/>
      <c r="BB815" s="799"/>
      <c r="BC815" s="799"/>
      <c r="BD815" s="799"/>
      <c r="BE815" s="799"/>
      <c r="BF815" s="799"/>
      <c r="BG815" s="799"/>
    </row>
    <row r="816">
      <c r="H816" s="799"/>
      <c r="I816" s="799"/>
      <c r="J816" s="799"/>
      <c r="K816" s="799"/>
      <c r="L816" s="799"/>
      <c r="M816" s="799"/>
      <c r="N816" s="799"/>
      <c r="O816" s="799"/>
      <c r="P816" s="799"/>
      <c r="Q816" s="799"/>
      <c r="R816" s="799"/>
      <c r="S816" s="799"/>
      <c r="T816" s="799"/>
      <c r="U816" s="799"/>
      <c r="V816" s="799"/>
      <c r="W816" s="799"/>
      <c r="X816" s="799"/>
      <c r="Y816" s="799"/>
      <c r="Z816" s="799"/>
      <c r="AA816" s="799"/>
      <c r="AB816" s="799"/>
      <c r="AC816" s="799"/>
      <c r="AD816" s="799"/>
      <c r="AE816" s="799"/>
      <c r="AF816" s="799"/>
      <c r="AG816" s="799"/>
      <c r="AH816" s="799"/>
      <c r="AI816" s="799"/>
      <c r="AJ816" s="799"/>
      <c r="AK816" s="799"/>
      <c r="AL816" s="799"/>
      <c r="AM816" s="799"/>
      <c r="AN816" s="799"/>
      <c r="AO816" s="799"/>
      <c r="AP816" s="799"/>
      <c r="AQ816" s="799"/>
      <c r="AR816" s="799"/>
      <c r="AS816" s="799"/>
      <c r="AT816" s="799"/>
      <c r="AU816" s="799"/>
      <c r="AV816" s="799"/>
      <c r="AW816" s="799"/>
      <c r="AX816" s="799"/>
      <c r="AY816" s="799"/>
      <c r="AZ816" s="799"/>
      <c r="BA816" s="799"/>
      <c r="BB816" s="799"/>
      <c r="BC816" s="799"/>
      <c r="BD816" s="799"/>
      <c r="BE816" s="799"/>
      <c r="BF816" s="799"/>
      <c r="BG816" s="799"/>
    </row>
    <row r="817">
      <c r="H817" s="799"/>
      <c r="I817" s="799"/>
      <c r="J817" s="799"/>
      <c r="K817" s="799"/>
      <c r="L817" s="799"/>
      <c r="M817" s="799"/>
      <c r="N817" s="799"/>
      <c r="O817" s="799"/>
      <c r="P817" s="799"/>
      <c r="Q817" s="799"/>
      <c r="R817" s="799"/>
      <c r="S817" s="799"/>
      <c r="T817" s="799"/>
      <c r="U817" s="799"/>
      <c r="V817" s="799"/>
      <c r="W817" s="799"/>
      <c r="X817" s="799"/>
      <c r="Y817" s="799"/>
      <c r="Z817" s="799"/>
      <c r="AA817" s="799"/>
      <c r="AB817" s="799"/>
      <c r="AC817" s="799"/>
      <c r="AD817" s="799"/>
      <c r="AE817" s="799"/>
      <c r="AF817" s="799"/>
      <c r="AG817" s="799"/>
      <c r="AH817" s="799"/>
      <c r="AI817" s="799"/>
      <c r="AJ817" s="799"/>
      <c r="AK817" s="799"/>
      <c r="AL817" s="799"/>
      <c r="AM817" s="799"/>
      <c r="AN817" s="799"/>
      <c r="AO817" s="799"/>
      <c r="AP817" s="799"/>
      <c r="AQ817" s="799"/>
      <c r="AR817" s="799"/>
      <c r="AS817" s="799"/>
      <c r="AT817" s="799"/>
      <c r="AU817" s="799"/>
      <c r="AV817" s="799"/>
      <c r="AW817" s="799"/>
      <c r="AX817" s="799"/>
      <c r="AY817" s="799"/>
      <c r="AZ817" s="799"/>
      <c r="BA817" s="799"/>
      <c r="BB817" s="799"/>
      <c r="BC817" s="799"/>
      <c r="BD817" s="799"/>
      <c r="BE817" s="799"/>
      <c r="BF817" s="799"/>
      <c r="BG817" s="799"/>
    </row>
    <row r="818">
      <c r="H818" s="799"/>
      <c r="I818" s="799"/>
      <c r="J818" s="799"/>
      <c r="K818" s="799"/>
      <c r="L818" s="799"/>
      <c r="M818" s="799"/>
      <c r="N818" s="799"/>
      <c r="O818" s="799"/>
      <c r="P818" s="799"/>
      <c r="Q818" s="799"/>
      <c r="R818" s="799"/>
      <c r="S818" s="799"/>
      <c r="T818" s="799"/>
      <c r="U818" s="799"/>
      <c r="V818" s="799"/>
      <c r="W818" s="799"/>
      <c r="X818" s="799"/>
      <c r="Y818" s="799"/>
      <c r="Z818" s="799"/>
      <c r="AA818" s="799"/>
      <c r="AB818" s="799"/>
      <c r="AC818" s="799"/>
      <c r="AD818" s="799"/>
      <c r="AE818" s="799"/>
      <c r="AF818" s="799"/>
      <c r="AG818" s="799"/>
      <c r="AH818" s="799"/>
      <c r="AI818" s="799"/>
      <c r="AJ818" s="799"/>
      <c r="AK818" s="799"/>
      <c r="AL818" s="799"/>
      <c r="AM818" s="799"/>
      <c r="AN818" s="799"/>
      <c r="AO818" s="799"/>
      <c r="AP818" s="799"/>
      <c r="AQ818" s="799"/>
      <c r="AR818" s="799"/>
      <c r="AS818" s="799"/>
      <c r="AT818" s="799"/>
      <c r="AU818" s="799"/>
      <c r="AV818" s="799"/>
      <c r="AW818" s="799"/>
      <c r="AX818" s="799"/>
      <c r="AY818" s="799"/>
      <c r="AZ818" s="799"/>
      <c r="BA818" s="799"/>
      <c r="BB818" s="799"/>
      <c r="BC818" s="799"/>
      <c r="BD818" s="799"/>
      <c r="BE818" s="799"/>
      <c r="BF818" s="799"/>
      <c r="BG818" s="799"/>
    </row>
    <row r="819">
      <c r="H819" s="799"/>
      <c r="I819" s="799"/>
      <c r="J819" s="799"/>
      <c r="K819" s="799"/>
      <c r="L819" s="799"/>
      <c r="M819" s="799"/>
      <c r="N819" s="799"/>
      <c r="O819" s="799"/>
      <c r="P819" s="799"/>
      <c r="Q819" s="799"/>
      <c r="R819" s="799"/>
      <c r="S819" s="799"/>
      <c r="T819" s="799"/>
      <c r="U819" s="799"/>
      <c r="V819" s="799"/>
      <c r="W819" s="799"/>
      <c r="X819" s="799"/>
      <c r="Y819" s="799"/>
      <c r="Z819" s="799"/>
      <c r="AA819" s="799"/>
      <c r="AB819" s="799"/>
      <c r="AC819" s="799"/>
      <c r="AD819" s="799"/>
      <c r="AE819" s="799"/>
      <c r="AF819" s="799"/>
      <c r="AG819" s="799"/>
      <c r="AH819" s="799"/>
      <c r="AI819" s="799"/>
      <c r="AJ819" s="799"/>
      <c r="AK819" s="799"/>
      <c r="AL819" s="799"/>
      <c r="AM819" s="799"/>
      <c r="AN819" s="799"/>
      <c r="AO819" s="799"/>
      <c r="AP819" s="799"/>
      <c r="AQ819" s="799"/>
      <c r="AR819" s="799"/>
      <c r="AS819" s="799"/>
      <c r="AT819" s="799"/>
      <c r="AU819" s="799"/>
      <c r="AV819" s="799"/>
      <c r="AW819" s="799"/>
      <c r="AX819" s="799"/>
      <c r="AY819" s="799"/>
      <c r="AZ819" s="799"/>
      <c r="BA819" s="799"/>
      <c r="BB819" s="799"/>
      <c r="BC819" s="799"/>
      <c r="BD819" s="799"/>
      <c r="BE819" s="799"/>
      <c r="BF819" s="799"/>
      <c r="BG819" s="799"/>
    </row>
    <row r="820">
      <c r="H820" s="799"/>
      <c r="I820" s="799"/>
      <c r="J820" s="799"/>
      <c r="K820" s="799"/>
      <c r="L820" s="799"/>
      <c r="M820" s="799"/>
      <c r="N820" s="799"/>
      <c r="O820" s="799"/>
      <c r="P820" s="799"/>
      <c r="Q820" s="799"/>
      <c r="R820" s="799"/>
      <c r="S820" s="799"/>
      <c r="T820" s="799"/>
      <c r="U820" s="799"/>
      <c r="V820" s="799"/>
      <c r="W820" s="799"/>
      <c r="X820" s="799"/>
      <c r="Y820" s="799"/>
      <c r="Z820" s="799"/>
      <c r="AA820" s="799"/>
      <c r="AB820" s="799"/>
      <c r="AC820" s="799"/>
      <c r="AD820" s="799"/>
      <c r="AE820" s="799"/>
      <c r="AF820" s="799"/>
      <c r="AG820" s="799"/>
      <c r="AH820" s="799"/>
      <c r="AI820" s="799"/>
      <c r="AJ820" s="799"/>
      <c r="AK820" s="799"/>
      <c r="AL820" s="799"/>
      <c r="AM820" s="799"/>
      <c r="AN820" s="799"/>
      <c r="AO820" s="799"/>
      <c r="AP820" s="799"/>
      <c r="AQ820" s="799"/>
      <c r="AR820" s="799"/>
      <c r="AS820" s="799"/>
      <c r="AT820" s="799"/>
      <c r="AU820" s="799"/>
      <c r="AV820" s="799"/>
      <c r="AW820" s="799"/>
      <c r="AX820" s="799"/>
      <c r="AY820" s="799"/>
      <c r="AZ820" s="799"/>
      <c r="BA820" s="799"/>
      <c r="BB820" s="799"/>
      <c r="BC820" s="799"/>
      <c r="BD820" s="799"/>
      <c r="BE820" s="799"/>
      <c r="BF820" s="799"/>
      <c r="BG820" s="799"/>
    </row>
    <row r="821">
      <c r="H821" s="799"/>
      <c r="I821" s="799"/>
      <c r="J821" s="799"/>
      <c r="K821" s="799"/>
      <c r="L821" s="799"/>
      <c r="M821" s="799"/>
      <c r="N821" s="799"/>
      <c r="O821" s="799"/>
      <c r="P821" s="799"/>
      <c r="Q821" s="799"/>
      <c r="R821" s="799"/>
      <c r="S821" s="799"/>
      <c r="T821" s="799"/>
      <c r="U821" s="799"/>
      <c r="V821" s="799"/>
      <c r="W821" s="799"/>
      <c r="X821" s="799"/>
      <c r="Y821" s="799"/>
      <c r="Z821" s="799"/>
      <c r="AA821" s="799"/>
      <c r="AB821" s="799"/>
      <c r="AC821" s="799"/>
      <c r="AD821" s="799"/>
      <c r="AE821" s="799"/>
      <c r="AF821" s="799"/>
      <c r="AG821" s="799"/>
      <c r="AH821" s="799"/>
      <c r="AI821" s="799"/>
      <c r="AJ821" s="799"/>
      <c r="AK821" s="799"/>
      <c r="AL821" s="799"/>
      <c r="AM821" s="799"/>
      <c r="AN821" s="799"/>
      <c r="AO821" s="799"/>
      <c r="AP821" s="799"/>
      <c r="AQ821" s="799"/>
      <c r="AR821" s="799"/>
      <c r="AS821" s="799"/>
      <c r="AT821" s="799"/>
      <c r="AU821" s="799"/>
      <c r="AV821" s="799"/>
      <c r="AW821" s="799"/>
      <c r="AX821" s="799"/>
      <c r="AY821" s="799"/>
      <c r="AZ821" s="799"/>
      <c r="BA821" s="799"/>
      <c r="BB821" s="799"/>
      <c r="BC821" s="799"/>
      <c r="BD821" s="799"/>
      <c r="BE821" s="799"/>
      <c r="BF821" s="799"/>
      <c r="BG821" s="799"/>
    </row>
    <row r="822">
      <c r="H822" s="799"/>
      <c r="I822" s="799"/>
      <c r="J822" s="799"/>
      <c r="K822" s="799"/>
      <c r="L822" s="799"/>
      <c r="M822" s="799"/>
      <c r="N822" s="799"/>
      <c r="O822" s="799"/>
      <c r="P822" s="799"/>
      <c r="Q822" s="799"/>
      <c r="R822" s="799"/>
      <c r="S822" s="799"/>
      <c r="T822" s="799"/>
      <c r="U822" s="799"/>
      <c r="V822" s="799"/>
      <c r="W822" s="799"/>
      <c r="X822" s="799"/>
      <c r="Y822" s="799"/>
      <c r="Z822" s="799"/>
      <c r="AA822" s="799"/>
      <c r="AB822" s="799"/>
      <c r="AC822" s="799"/>
      <c r="AD822" s="799"/>
      <c r="AE822" s="799"/>
      <c r="AF822" s="799"/>
      <c r="AG822" s="799"/>
      <c r="AH822" s="799"/>
      <c r="AI822" s="799"/>
      <c r="AJ822" s="799"/>
      <c r="AK822" s="799"/>
      <c r="AL822" s="799"/>
      <c r="AM822" s="799"/>
      <c r="AN822" s="799"/>
      <c r="AO822" s="799"/>
      <c r="AP822" s="799"/>
      <c r="AQ822" s="799"/>
      <c r="AR822" s="799"/>
      <c r="AS822" s="799"/>
      <c r="AT822" s="799"/>
      <c r="AU822" s="799"/>
      <c r="AV822" s="799"/>
      <c r="AW822" s="799"/>
      <c r="AX822" s="799"/>
      <c r="AY822" s="799"/>
      <c r="AZ822" s="799"/>
      <c r="BA822" s="799"/>
      <c r="BB822" s="799"/>
      <c r="BC822" s="799"/>
      <c r="BD822" s="799"/>
      <c r="BE822" s="799"/>
      <c r="BF822" s="799"/>
      <c r="BG822" s="799"/>
    </row>
    <row r="823">
      <c r="H823" s="799"/>
      <c r="I823" s="799"/>
      <c r="J823" s="799"/>
      <c r="K823" s="799"/>
      <c r="L823" s="799"/>
      <c r="M823" s="799"/>
      <c r="N823" s="799"/>
      <c r="O823" s="799"/>
      <c r="P823" s="799"/>
      <c r="Q823" s="799"/>
      <c r="R823" s="799"/>
      <c r="S823" s="799"/>
      <c r="T823" s="799"/>
      <c r="U823" s="799"/>
      <c r="V823" s="799"/>
      <c r="W823" s="799"/>
      <c r="X823" s="799"/>
      <c r="Y823" s="799"/>
      <c r="Z823" s="799"/>
      <c r="AA823" s="799"/>
      <c r="AB823" s="799"/>
      <c r="AC823" s="799"/>
      <c r="AD823" s="799"/>
      <c r="AE823" s="799"/>
      <c r="AF823" s="799"/>
      <c r="AG823" s="799"/>
      <c r="AH823" s="799"/>
      <c r="AI823" s="799"/>
      <c r="AJ823" s="799"/>
      <c r="AK823" s="799"/>
      <c r="AL823" s="799"/>
      <c r="AM823" s="799"/>
      <c r="AN823" s="799"/>
      <c r="AO823" s="799"/>
      <c r="AP823" s="799"/>
      <c r="AQ823" s="799"/>
      <c r="AR823" s="799"/>
      <c r="AS823" s="799"/>
      <c r="AT823" s="799"/>
      <c r="AU823" s="799"/>
      <c r="AV823" s="799"/>
      <c r="AW823" s="799"/>
      <c r="AX823" s="799"/>
      <c r="AY823" s="799"/>
      <c r="AZ823" s="799"/>
      <c r="BA823" s="799"/>
      <c r="BB823" s="799"/>
      <c r="BC823" s="799"/>
      <c r="BD823" s="799"/>
      <c r="BE823" s="799"/>
      <c r="BF823" s="799"/>
      <c r="BG823" s="799"/>
    </row>
    <row r="824">
      <c r="H824" s="799"/>
      <c r="I824" s="799"/>
      <c r="J824" s="799"/>
      <c r="K824" s="799"/>
      <c r="L824" s="799"/>
      <c r="M824" s="799"/>
      <c r="N824" s="799"/>
      <c r="O824" s="799"/>
      <c r="P824" s="799"/>
      <c r="Q824" s="799"/>
      <c r="R824" s="799"/>
      <c r="S824" s="799"/>
      <c r="T824" s="799"/>
      <c r="U824" s="799"/>
      <c r="V824" s="799"/>
      <c r="W824" s="799"/>
      <c r="X824" s="799"/>
      <c r="Y824" s="799"/>
      <c r="Z824" s="799"/>
      <c r="AA824" s="799"/>
      <c r="AB824" s="799"/>
      <c r="AC824" s="799"/>
      <c r="AD824" s="799"/>
      <c r="AE824" s="799"/>
      <c r="AF824" s="799"/>
      <c r="AG824" s="799"/>
      <c r="AH824" s="799"/>
      <c r="AI824" s="799"/>
      <c r="AJ824" s="799"/>
      <c r="AK824" s="799"/>
      <c r="AL824" s="799"/>
      <c r="AM824" s="799"/>
      <c r="AN824" s="799"/>
      <c r="AO824" s="799"/>
      <c r="AP824" s="799"/>
      <c r="AQ824" s="799"/>
      <c r="AR824" s="799"/>
      <c r="AS824" s="799"/>
      <c r="AT824" s="799"/>
      <c r="AU824" s="799"/>
      <c r="AV824" s="799"/>
      <c r="AW824" s="799"/>
      <c r="AX824" s="799"/>
      <c r="AY824" s="799"/>
      <c r="AZ824" s="799"/>
      <c r="BA824" s="799"/>
      <c r="BB824" s="799"/>
      <c r="BC824" s="799"/>
      <c r="BD824" s="799"/>
      <c r="BE824" s="799"/>
      <c r="BF824" s="799"/>
      <c r="BG824" s="799"/>
    </row>
    <row r="825">
      <c r="H825" s="799"/>
      <c r="I825" s="799"/>
      <c r="J825" s="799"/>
      <c r="K825" s="799"/>
      <c r="L825" s="799"/>
      <c r="M825" s="799"/>
      <c r="N825" s="799"/>
      <c r="O825" s="799"/>
      <c r="P825" s="799"/>
      <c r="Q825" s="799"/>
      <c r="R825" s="799"/>
      <c r="S825" s="799"/>
      <c r="T825" s="799"/>
      <c r="U825" s="799"/>
      <c r="V825" s="799"/>
      <c r="W825" s="799"/>
      <c r="X825" s="799"/>
      <c r="Y825" s="799"/>
      <c r="Z825" s="799"/>
      <c r="AA825" s="799"/>
      <c r="AB825" s="799"/>
      <c r="AC825" s="799"/>
      <c r="AD825" s="799"/>
      <c r="AE825" s="799"/>
      <c r="AF825" s="799"/>
      <c r="AG825" s="799"/>
      <c r="AH825" s="799"/>
      <c r="AI825" s="799"/>
      <c r="AJ825" s="799"/>
      <c r="AK825" s="799"/>
      <c r="AL825" s="799"/>
      <c r="AM825" s="799"/>
      <c r="AN825" s="799"/>
      <c r="AO825" s="799"/>
      <c r="AP825" s="799"/>
      <c r="AQ825" s="799"/>
      <c r="AR825" s="799"/>
      <c r="AS825" s="799"/>
      <c r="AT825" s="799"/>
      <c r="AU825" s="799"/>
      <c r="AV825" s="799"/>
      <c r="AW825" s="799"/>
      <c r="AX825" s="799"/>
      <c r="AY825" s="799"/>
      <c r="AZ825" s="799"/>
      <c r="BA825" s="799"/>
      <c r="BB825" s="799"/>
      <c r="BC825" s="799"/>
      <c r="BD825" s="799"/>
      <c r="BE825" s="799"/>
      <c r="BF825" s="799"/>
      <c r="BG825" s="799"/>
    </row>
    <row r="826">
      <c r="H826" s="799"/>
      <c r="I826" s="799"/>
      <c r="J826" s="799"/>
      <c r="K826" s="799"/>
      <c r="L826" s="799"/>
      <c r="M826" s="799"/>
      <c r="N826" s="799"/>
      <c r="O826" s="799"/>
      <c r="P826" s="799"/>
      <c r="Q826" s="799"/>
      <c r="R826" s="799"/>
      <c r="S826" s="799"/>
      <c r="T826" s="799"/>
      <c r="U826" s="799"/>
      <c r="V826" s="799"/>
      <c r="W826" s="799"/>
      <c r="X826" s="799"/>
      <c r="Y826" s="799"/>
      <c r="Z826" s="799"/>
      <c r="AA826" s="799"/>
      <c r="AB826" s="799"/>
      <c r="AC826" s="799"/>
      <c r="AD826" s="799"/>
      <c r="AE826" s="799"/>
      <c r="AF826" s="799"/>
      <c r="AG826" s="799"/>
      <c r="AH826" s="799"/>
      <c r="AI826" s="799"/>
      <c r="AJ826" s="799"/>
      <c r="AK826" s="799"/>
      <c r="AL826" s="799"/>
      <c r="AM826" s="799"/>
      <c r="AN826" s="799"/>
      <c r="AO826" s="799"/>
      <c r="AP826" s="799"/>
      <c r="AQ826" s="799"/>
      <c r="AR826" s="799"/>
      <c r="AS826" s="799"/>
      <c r="AT826" s="799"/>
      <c r="AU826" s="799"/>
      <c r="AV826" s="799"/>
      <c r="AW826" s="799"/>
      <c r="AX826" s="799"/>
      <c r="AY826" s="799"/>
      <c r="AZ826" s="799"/>
      <c r="BA826" s="799"/>
      <c r="BB826" s="799"/>
      <c r="BC826" s="799"/>
      <c r="BD826" s="799"/>
      <c r="BE826" s="799"/>
      <c r="BF826" s="799"/>
      <c r="BG826" s="799"/>
    </row>
    <row r="827">
      <c r="H827" s="799"/>
      <c r="I827" s="799"/>
      <c r="J827" s="799"/>
      <c r="K827" s="799"/>
      <c r="L827" s="799"/>
      <c r="M827" s="799"/>
      <c r="N827" s="799"/>
      <c r="O827" s="799"/>
      <c r="P827" s="799"/>
      <c r="Q827" s="799"/>
      <c r="R827" s="799"/>
      <c r="S827" s="799"/>
      <c r="T827" s="799"/>
      <c r="U827" s="799"/>
      <c r="V827" s="799"/>
      <c r="W827" s="799"/>
      <c r="X827" s="799"/>
      <c r="Y827" s="799"/>
      <c r="Z827" s="799"/>
      <c r="AA827" s="799"/>
      <c r="AB827" s="799"/>
      <c r="AC827" s="799"/>
      <c r="AD827" s="799"/>
      <c r="AE827" s="799"/>
      <c r="AF827" s="799"/>
      <c r="AG827" s="799"/>
      <c r="AH827" s="799"/>
      <c r="AI827" s="799"/>
      <c r="AJ827" s="799"/>
      <c r="AK827" s="799"/>
      <c r="AL827" s="799"/>
      <c r="AM827" s="799"/>
      <c r="AN827" s="799"/>
      <c r="AO827" s="799"/>
      <c r="AP827" s="799"/>
      <c r="AQ827" s="799"/>
      <c r="AR827" s="799"/>
      <c r="AS827" s="799"/>
      <c r="AT827" s="799"/>
      <c r="AU827" s="799"/>
      <c r="AV827" s="799"/>
      <c r="AW827" s="799"/>
      <c r="AX827" s="799"/>
      <c r="AY827" s="799"/>
      <c r="AZ827" s="799"/>
      <c r="BA827" s="799"/>
      <c r="BB827" s="799"/>
      <c r="BC827" s="799"/>
      <c r="BD827" s="799"/>
      <c r="BE827" s="799"/>
      <c r="BF827" s="799"/>
      <c r="BG827" s="799"/>
    </row>
    <row r="828">
      <c r="H828" s="799"/>
      <c r="I828" s="799"/>
      <c r="J828" s="799"/>
      <c r="K828" s="799"/>
      <c r="L828" s="799"/>
      <c r="M828" s="799"/>
      <c r="N828" s="799"/>
      <c r="O828" s="799"/>
      <c r="P828" s="799"/>
      <c r="Q828" s="799"/>
      <c r="R828" s="799"/>
      <c r="S828" s="799"/>
      <c r="T828" s="799"/>
      <c r="U828" s="799"/>
      <c r="V828" s="799"/>
      <c r="W828" s="799"/>
      <c r="X828" s="799"/>
      <c r="Y828" s="799"/>
      <c r="Z828" s="799"/>
      <c r="AA828" s="799"/>
      <c r="AB828" s="799"/>
      <c r="AC828" s="799"/>
      <c r="AD828" s="799"/>
      <c r="AE828" s="799"/>
      <c r="AF828" s="799"/>
      <c r="AG828" s="799"/>
      <c r="AH828" s="799"/>
      <c r="AI828" s="799"/>
      <c r="AJ828" s="799"/>
      <c r="AK828" s="799"/>
      <c r="AL828" s="799"/>
      <c r="AM828" s="799"/>
      <c r="AN828" s="799"/>
      <c r="AO828" s="799"/>
      <c r="AP828" s="799"/>
      <c r="AQ828" s="799"/>
      <c r="AR828" s="799"/>
      <c r="AS828" s="799"/>
      <c r="AT828" s="799"/>
      <c r="AU828" s="799"/>
      <c r="AV828" s="799"/>
      <c r="AW828" s="799"/>
      <c r="AX828" s="799"/>
      <c r="AY828" s="799"/>
      <c r="AZ828" s="799"/>
      <c r="BA828" s="799"/>
      <c r="BB828" s="799"/>
      <c r="BC828" s="799"/>
      <c r="BD828" s="799"/>
      <c r="BE828" s="799"/>
      <c r="BF828" s="799"/>
      <c r="BG828" s="799"/>
    </row>
    <row r="829">
      <c r="H829" s="799"/>
      <c r="I829" s="799"/>
      <c r="J829" s="799"/>
      <c r="K829" s="799"/>
      <c r="L829" s="799"/>
      <c r="M829" s="799"/>
      <c r="N829" s="799"/>
      <c r="O829" s="799"/>
      <c r="P829" s="799"/>
      <c r="Q829" s="799"/>
      <c r="R829" s="799"/>
      <c r="S829" s="799"/>
      <c r="T829" s="799"/>
      <c r="U829" s="799"/>
      <c r="V829" s="799"/>
      <c r="W829" s="799"/>
      <c r="X829" s="799"/>
      <c r="Y829" s="799"/>
      <c r="Z829" s="799"/>
      <c r="AA829" s="799"/>
      <c r="AB829" s="799"/>
      <c r="AC829" s="799"/>
      <c r="AD829" s="799"/>
      <c r="AE829" s="799"/>
      <c r="AF829" s="799"/>
      <c r="AG829" s="799"/>
      <c r="AH829" s="799"/>
      <c r="AI829" s="799"/>
      <c r="AJ829" s="799"/>
      <c r="AK829" s="799"/>
      <c r="AL829" s="799"/>
      <c r="AM829" s="799"/>
      <c r="AN829" s="799"/>
      <c r="AO829" s="799"/>
      <c r="AP829" s="799"/>
      <c r="AQ829" s="799"/>
      <c r="AR829" s="799"/>
      <c r="AS829" s="799"/>
      <c r="AT829" s="799"/>
      <c r="AU829" s="799"/>
      <c r="AV829" s="799"/>
      <c r="AW829" s="799"/>
      <c r="AX829" s="799"/>
      <c r="AY829" s="799"/>
      <c r="AZ829" s="799"/>
      <c r="BA829" s="799"/>
      <c r="BB829" s="799"/>
      <c r="BC829" s="799"/>
      <c r="BD829" s="799"/>
      <c r="BE829" s="799"/>
      <c r="BF829" s="799"/>
      <c r="BG829" s="799"/>
    </row>
    <row r="830">
      <c r="H830" s="799"/>
      <c r="I830" s="799"/>
      <c r="J830" s="799"/>
      <c r="K830" s="799"/>
      <c r="L830" s="799"/>
      <c r="M830" s="799"/>
      <c r="N830" s="799"/>
      <c r="O830" s="799"/>
      <c r="P830" s="799"/>
      <c r="Q830" s="799"/>
      <c r="R830" s="799"/>
      <c r="S830" s="799"/>
      <c r="T830" s="799"/>
      <c r="U830" s="799"/>
      <c r="V830" s="799"/>
      <c r="W830" s="799"/>
      <c r="X830" s="799"/>
      <c r="Y830" s="799"/>
      <c r="Z830" s="799"/>
      <c r="AA830" s="799"/>
      <c r="AB830" s="799"/>
      <c r="AC830" s="799"/>
      <c r="AD830" s="799"/>
      <c r="AE830" s="799"/>
      <c r="AF830" s="799"/>
      <c r="AG830" s="799"/>
      <c r="AH830" s="799"/>
      <c r="AI830" s="799"/>
      <c r="AJ830" s="799"/>
      <c r="AK830" s="799"/>
      <c r="AL830" s="799"/>
      <c r="AM830" s="799"/>
      <c r="AN830" s="799"/>
      <c r="AO830" s="799"/>
      <c r="AP830" s="799"/>
      <c r="AQ830" s="799"/>
      <c r="AR830" s="799"/>
      <c r="AS830" s="799"/>
      <c r="AT830" s="799"/>
      <c r="AU830" s="799"/>
      <c r="AV830" s="799"/>
      <c r="AW830" s="799"/>
      <c r="AX830" s="799"/>
      <c r="AY830" s="799"/>
      <c r="AZ830" s="799"/>
      <c r="BA830" s="799"/>
      <c r="BB830" s="799"/>
      <c r="BC830" s="799"/>
      <c r="BD830" s="799"/>
      <c r="BE830" s="799"/>
      <c r="BF830" s="799"/>
      <c r="BG830" s="799"/>
    </row>
    <row r="831">
      <c r="H831" s="799"/>
      <c r="I831" s="799"/>
      <c r="J831" s="799"/>
      <c r="K831" s="799"/>
      <c r="L831" s="799"/>
      <c r="M831" s="799"/>
      <c r="N831" s="799"/>
      <c r="O831" s="799"/>
      <c r="P831" s="799"/>
      <c r="Q831" s="799"/>
      <c r="R831" s="799"/>
      <c r="S831" s="799"/>
      <c r="T831" s="799"/>
      <c r="U831" s="799"/>
      <c r="V831" s="799"/>
      <c r="W831" s="799"/>
      <c r="X831" s="799"/>
      <c r="Y831" s="799"/>
      <c r="Z831" s="799"/>
      <c r="AA831" s="799"/>
      <c r="AB831" s="799"/>
      <c r="AC831" s="799"/>
      <c r="AD831" s="799"/>
      <c r="AE831" s="799"/>
      <c r="AF831" s="799"/>
      <c r="AG831" s="799"/>
      <c r="AH831" s="799"/>
      <c r="AI831" s="799"/>
      <c r="AJ831" s="799"/>
      <c r="AK831" s="799"/>
      <c r="AL831" s="799"/>
      <c r="AM831" s="799"/>
      <c r="AN831" s="799"/>
      <c r="AO831" s="799"/>
      <c r="AP831" s="799"/>
      <c r="AQ831" s="799"/>
      <c r="AR831" s="799"/>
      <c r="AS831" s="799"/>
      <c r="AT831" s="799"/>
      <c r="AU831" s="799"/>
      <c r="AV831" s="799"/>
      <c r="AW831" s="799"/>
      <c r="AX831" s="799"/>
      <c r="AY831" s="799"/>
      <c r="AZ831" s="799"/>
      <c r="BA831" s="799"/>
      <c r="BB831" s="799"/>
      <c r="BC831" s="799"/>
      <c r="BD831" s="799"/>
      <c r="BE831" s="799"/>
      <c r="BF831" s="799"/>
      <c r="BG831" s="799"/>
    </row>
    <row r="832">
      <c r="H832" s="799"/>
      <c r="I832" s="799"/>
      <c r="J832" s="799"/>
      <c r="K832" s="799"/>
      <c r="L832" s="799"/>
      <c r="M832" s="799"/>
      <c r="N832" s="799"/>
      <c r="O832" s="799"/>
      <c r="P832" s="799"/>
      <c r="Q832" s="799"/>
      <c r="R832" s="799"/>
      <c r="S832" s="799"/>
      <c r="T832" s="799"/>
      <c r="U832" s="799"/>
      <c r="V832" s="799"/>
      <c r="W832" s="799"/>
      <c r="X832" s="799"/>
      <c r="Y832" s="799"/>
      <c r="Z832" s="799"/>
      <c r="AA832" s="799"/>
      <c r="AB832" s="799"/>
      <c r="AC832" s="799"/>
      <c r="AD832" s="799"/>
      <c r="AE832" s="799"/>
      <c r="AF832" s="799"/>
      <c r="AG832" s="799"/>
      <c r="AH832" s="799"/>
      <c r="AI832" s="799"/>
      <c r="AJ832" s="799"/>
      <c r="AK832" s="799"/>
      <c r="AL832" s="799"/>
      <c r="AM832" s="799"/>
      <c r="AN832" s="799"/>
      <c r="AO832" s="799"/>
      <c r="AP832" s="799"/>
      <c r="AQ832" s="799"/>
      <c r="AR832" s="799"/>
      <c r="AS832" s="799"/>
      <c r="AT832" s="799"/>
      <c r="AU832" s="799"/>
      <c r="AV832" s="799"/>
      <c r="AW832" s="799"/>
      <c r="AX832" s="799"/>
      <c r="AY832" s="799"/>
      <c r="AZ832" s="799"/>
      <c r="BA832" s="799"/>
      <c r="BB832" s="799"/>
      <c r="BC832" s="799"/>
      <c r="BD832" s="799"/>
      <c r="BE832" s="799"/>
      <c r="BF832" s="799"/>
      <c r="BG832" s="799"/>
    </row>
    <row r="833">
      <c r="H833" s="799"/>
      <c r="I833" s="799"/>
      <c r="J833" s="799"/>
      <c r="K833" s="799"/>
      <c r="L833" s="799"/>
      <c r="M833" s="799"/>
      <c r="N833" s="799"/>
      <c r="O833" s="799"/>
      <c r="P833" s="799"/>
      <c r="Q833" s="799"/>
      <c r="R833" s="799"/>
      <c r="S833" s="799"/>
      <c r="T833" s="799"/>
      <c r="U833" s="799"/>
      <c r="V833" s="799"/>
      <c r="W833" s="799"/>
      <c r="X833" s="799"/>
      <c r="Y833" s="799"/>
      <c r="Z833" s="799"/>
      <c r="AA833" s="799"/>
      <c r="AB833" s="799"/>
      <c r="AC833" s="799"/>
      <c r="AD833" s="799"/>
      <c r="AE833" s="799"/>
      <c r="AF833" s="799"/>
      <c r="AG833" s="799"/>
      <c r="AH833" s="799"/>
      <c r="AI833" s="799"/>
      <c r="AJ833" s="799"/>
      <c r="AK833" s="799"/>
      <c r="AL833" s="799"/>
      <c r="AM833" s="799"/>
      <c r="AN833" s="799"/>
      <c r="AO833" s="799"/>
      <c r="AP833" s="799"/>
      <c r="AQ833" s="799"/>
      <c r="AR833" s="799"/>
      <c r="AS833" s="799"/>
      <c r="AT833" s="799"/>
      <c r="AU833" s="799"/>
      <c r="AV833" s="799"/>
      <c r="AW833" s="799"/>
      <c r="AX833" s="799"/>
      <c r="AY833" s="799"/>
      <c r="AZ833" s="799"/>
      <c r="BA833" s="799"/>
      <c r="BB833" s="799"/>
      <c r="BC833" s="799"/>
      <c r="BD833" s="799"/>
      <c r="BE833" s="799"/>
      <c r="BF833" s="799"/>
      <c r="BG833" s="799"/>
    </row>
    <row r="834">
      <c r="H834" s="799"/>
      <c r="I834" s="799"/>
      <c r="J834" s="799"/>
      <c r="K834" s="799"/>
      <c r="L834" s="799"/>
      <c r="M834" s="799"/>
      <c r="N834" s="799"/>
      <c r="O834" s="799"/>
      <c r="P834" s="799"/>
      <c r="Q834" s="799"/>
      <c r="R834" s="799"/>
      <c r="S834" s="799"/>
      <c r="T834" s="799"/>
      <c r="U834" s="799"/>
      <c r="V834" s="799"/>
      <c r="W834" s="799"/>
      <c r="X834" s="799"/>
      <c r="Y834" s="799"/>
      <c r="Z834" s="799"/>
      <c r="AA834" s="799"/>
      <c r="AB834" s="799"/>
      <c r="AC834" s="799"/>
      <c r="AD834" s="799"/>
      <c r="AE834" s="799"/>
      <c r="AF834" s="799"/>
      <c r="AG834" s="799"/>
      <c r="AH834" s="799"/>
      <c r="AI834" s="799"/>
      <c r="AJ834" s="799"/>
      <c r="AK834" s="799"/>
      <c r="AL834" s="799"/>
      <c r="AM834" s="799"/>
      <c r="AN834" s="799"/>
      <c r="AO834" s="799"/>
      <c r="AP834" s="799"/>
      <c r="AQ834" s="799"/>
      <c r="AR834" s="799"/>
      <c r="AS834" s="799"/>
      <c r="AT834" s="799"/>
      <c r="AU834" s="799"/>
      <c r="AV834" s="799"/>
      <c r="AW834" s="799"/>
      <c r="AX834" s="799"/>
      <c r="AY834" s="799"/>
      <c r="AZ834" s="799"/>
      <c r="BA834" s="799"/>
      <c r="BB834" s="799"/>
      <c r="BC834" s="799"/>
      <c r="BD834" s="799"/>
      <c r="BE834" s="799"/>
      <c r="BF834" s="799"/>
      <c r="BG834" s="799"/>
    </row>
    <row r="835">
      <c r="H835" s="799"/>
      <c r="I835" s="799"/>
      <c r="J835" s="799"/>
      <c r="K835" s="799"/>
      <c r="L835" s="799"/>
      <c r="M835" s="799"/>
      <c r="N835" s="799"/>
      <c r="O835" s="799"/>
      <c r="P835" s="799"/>
      <c r="Q835" s="799"/>
      <c r="R835" s="799"/>
      <c r="S835" s="799"/>
      <c r="T835" s="799"/>
      <c r="U835" s="799"/>
      <c r="V835" s="799"/>
      <c r="W835" s="799"/>
      <c r="X835" s="799"/>
      <c r="Y835" s="799"/>
      <c r="Z835" s="799"/>
      <c r="AA835" s="799"/>
      <c r="AB835" s="799"/>
      <c r="AC835" s="799"/>
      <c r="AD835" s="799"/>
      <c r="AE835" s="799"/>
      <c r="AF835" s="799"/>
      <c r="AG835" s="799"/>
      <c r="AH835" s="799"/>
      <c r="AI835" s="799"/>
      <c r="AJ835" s="799"/>
      <c r="AK835" s="799"/>
      <c r="AL835" s="799"/>
      <c r="AM835" s="799"/>
      <c r="AN835" s="799"/>
      <c r="AO835" s="799"/>
      <c r="AP835" s="799"/>
      <c r="AQ835" s="799"/>
      <c r="AR835" s="799"/>
      <c r="AS835" s="799"/>
      <c r="AT835" s="799"/>
      <c r="AU835" s="799"/>
      <c r="AV835" s="799"/>
      <c r="AW835" s="799"/>
      <c r="AX835" s="799"/>
      <c r="AY835" s="799"/>
      <c r="AZ835" s="799"/>
      <c r="BA835" s="799"/>
      <c r="BB835" s="799"/>
      <c r="BC835" s="799"/>
      <c r="BD835" s="799"/>
      <c r="BE835" s="799"/>
      <c r="BF835" s="799"/>
      <c r="BG835" s="799"/>
    </row>
    <row r="836">
      <c r="H836" s="799"/>
      <c r="I836" s="799"/>
      <c r="J836" s="799"/>
      <c r="K836" s="799"/>
      <c r="L836" s="799"/>
      <c r="M836" s="799"/>
      <c r="N836" s="799"/>
      <c r="O836" s="799"/>
      <c r="P836" s="799"/>
      <c r="Q836" s="799"/>
      <c r="R836" s="799"/>
      <c r="S836" s="799"/>
      <c r="T836" s="799"/>
      <c r="U836" s="799"/>
      <c r="V836" s="799"/>
      <c r="W836" s="799"/>
      <c r="X836" s="799"/>
      <c r="Y836" s="799"/>
      <c r="Z836" s="799"/>
      <c r="AA836" s="799"/>
      <c r="AB836" s="799"/>
      <c r="AC836" s="799"/>
      <c r="AD836" s="799"/>
      <c r="AE836" s="799"/>
      <c r="AF836" s="799"/>
      <c r="AG836" s="799"/>
      <c r="AH836" s="799"/>
      <c r="AI836" s="799"/>
      <c r="AJ836" s="799"/>
      <c r="AK836" s="799"/>
      <c r="AL836" s="799"/>
      <c r="AM836" s="799"/>
      <c r="AN836" s="799"/>
      <c r="AO836" s="799"/>
      <c r="AP836" s="799"/>
      <c r="AQ836" s="799"/>
      <c r="AR836" s="799"/>
      <c r="AS836" s="799"/>
      <c r="AT836" s="799"/>
      <c r="AU836" s="799"/>
      <c r="AV836" s="799"/>
      <c r="AW836" s="799"/>
      <c r="AX836" s="799"/>
      <c r="AY836" s="799"/>
      <c r="AZ836" s="799"/>
      <c r="BA836" s="799"/>
      <c r="BB836" s="799"/>
      <c r="BC836" s="799"/>
      <c r="BD836" s="799"/>
      <c r="BE836" s="799"/>
      <c r="BF836" s="799"/>
      <c r="BG836" s="799"/>
    </row>
    <row r="837">
      <c r="H837" s="799"/>
      <c r="I837" s="799"/>
      <c r="J837" s="799"/>
      <c r="K837" s="799"/>
      <c r="L837" s="799"/>
      <c r="M837" s="799"/>
      <c r="N837" s="799"/>
      <c r="O837" s="799"/>
      <c r="P837" s="799"/>
      <c r="Q837" s="799"/>
      <c r="R837" s="799"/>
      <c r="S837" s="799"/>
      <c r="T837" s="799"/>
      <c r="U837" s="799"/>
      <c r="V837" s="799"/>
      <c r="W837" s="799"/>
      <c r="X837" s="799"/>
      <c r="Y837" s="799"/>
      <c r="Z837" s="799"/>
      <c r="AA837" s="799"/>
      <c r="AB837" s="799"/>
      <c r="AC837" s="799"/>
      <c r="AD837" s="799"/>
      <c r="AE837" s="799"/>
      <c r="AF837" s="799"/>
      <c r="AG837" s="799"/>
      <c r="AH837" s="799"/>
      <c r="AI837" s="799"/>
      <c r="AJ837" s="799"/>
      <c r="AK837" s="799"/>
      <c r="AL837" s="799"/>
      <c r="AM837" s="799"/>
      <c r="AN837" s="799"/>
      <c r="AO837" s="799"/>
      <c r="AP837" s="799"/>
      <c r="AQ837" s="799"/>
      <c r="AR837" s="799"/>
      <c r="AS837" s="799"/>
      <c r="AT837" s="799"/>
      <c r="AU837" s="799"/>
      <c r="AV837" s="799"/>
      <c r="AW837" s="799"/>
      <c r="AX837" s="799"/>
      <c r="AY837" s="799"/>
      <c r="AZ837" s="799"/>
      <c r="BA837" s="799"/>
      <c r="BB837" s="799"/>
      <c r="BC837" s="799"/>
      <c r="BD837" s="799"/>
      <c r="BE837" s="799"/>
      <c r="BF837" s="799"/>
      <c r="BG837" s="799"/>
    </row>
    <row r="838">
      <c r="H838" s="799"/>
      <c r="I838" s="799"/>
      <c r="J838" s="799"/>
      <c r="K838" s="799"/>
      <c r="L838" s="799"/>
      <c r="M838" s="799"/>
      <c r="N838" s="799"/>
      <c r="O838" s="799"/>
      <c r="P838" s="799"/>
      <c r="Q838" s="799"/>
      <c r="R838" s="799"/>
      <c r="S838" s="799"/>
      <c r="T838" s="799"/>
      <c r="U838" s="799"/>
      <c r="V838" s="799"/>
      <c r="W838" s="799"/>
      <c r="X838" s="799"/>
      <c r="Y838" s="799"/>
      <c r="Z838" s="799"/>
      <c r="AA838" s="799"/>
      <c r="AB838" s="799"/>
      <c r="AC838" s="799"/>
      <c r="AD838" s="799"/>
      <c r="AE838" s="799"/>
      <c r="AF838" s="799"/>
      <c r="AG838" s="799"/>
      <c r="AH838" s="799"/>
      <c r="AI838" s="799"/>
      <c r="AJ838" s="799"/>
      <c r="AK838" s="799"/>
      <c r="AL838" s="799"/>
      <c r="AM838" s="799"/>
      <c r="AN838" s="799"/>
      <c r="AO838" s="799"/>
      <c r="AP838" s="799"/>
      <c r="AQ838" s="799"/>
      <c r="AR838" s="799"/>
      <c r="AS838" s="799"/>
      <c r="AT838" s="799"/>
      <c r="AU838" s="799"/>
      <c r="AV838" s="799"/>
      <c r="AW838" s="799"/>
      <c r="AX838" s="799"/>
      <c r="AY838" s="799"/>
      <c r="AZ838" s="799"/>
      <c r="BA838" s="799"/>
      <c r="BB838" s="799"/>
      <c r="BC838" s="799"/>
      <c r="BD838" s="799"/>
      <c r="BE838" s="799"/>
      <c r="BF838" s="799"/>
      <c r="BG838" s="799"/>
    </row>
    <row r="839">
      <c r="H839" s="799"/>
      <c r="I839" s="799"/>
      <c r="J839" s="799"/>
      <c r="K839" s="799"/>
      <c r="L839" s="799"/>
      <c r="M839" s="799"/>
      <c r="N839" s="799"/>
      <c r="O839" s="799"/>
      <c r="P839" s="799"/>
      <c r="Q839" s="799"/>
      <c r="R839" s="799"/>
      <c r="S839" s="799"/>
      <c r="T839" s="799"/>
      <c r="U839" s="799"/>
      <c r="V839" s="799"/>
      <c r="W839" s="799"/>
      <c r="X839" s="799"/>
      <c r="Y839" s="799"/>
      <c r="Z839" s="799"/>
      <c r="AA839" s="799"/>
      <c r="AB839" s="799"/>
      <c r="AC839" s="799"/>
      <c r="AD839" s="799"/>
      <c r="AE839" s="799"/>
      <c r="AF839" s="799"/>
      <c r="AG839" s="799"/>
      <c r="AH839" s="799"/>
      <c r="AI839" s="799"/>
      <c r="AJ839" s="799"/>
      <c r="AK839" s="799"/>
      <c r="AL839" s="799"/>
      <c r="AM839" s="799"/>
      <c r="AN839" s="799"/>
      <c r="AO839" s="799"/>
      <c r="AP839" s="799"/>
      <c r="AQ839" s="799"/>
      <c r="AR839" s="799"/>
      <c r="AS839" s="799"/>
      <c r="AT839" s="799"/>
      <c r="AU839" s="799"/>
      <c r="AV839" s="799"/>
      <c r="AW839" s="799"/>
      <c r="AX839" s="799"/>
      <c r="AY839" s="799"/>
      <c r="AZ839" s="799"/>
      <c r="BA839" s="799"/>
      <c r="BB839" s="799"/>
      <c r="BC839" s="799"/>
      <c r="BD839" s="799"/>
      <c r="BE839" s="799"/>
      <c r="BF839" s="799"/>
      <c r="BG839" s="799"/>
    </row>
    <row r="840">
      <c r="H840" s="799"/>
      <c r="I840" s="799"/>
      <c r="J840" s="799"/>
      <c r="K840" s="799"/>
      <c r="L840" s="799"/>
      <c r="M840" s="799"/>
      <c r="N840" s="799"/>
      <c r="O840" s="799"/>
      <c r="P840" s="799"/>
      <c r="Q840" s="799"/>
      <c r="R840" s="799"/>
      <c r="S840" s="799"/>
      <c r="T840" s="799"/>
      <c r="U840" s="799"/>
      <c r="V840" s="799"/>
      <c r="W840" s="799"/>
      <c r="X840" s="799"/>
      <c r="Y840" s="799"/>
      <c r="Z840" s="799"/>
      <c r="AA840" s="799"/>
      <c r="AB840" s="799"/>
      <c r="AC840" s="799"/>
      <c r="AD840" s="799"/>
      <c r="AE840" s="799"/>
      <c r="AF840" s="799"/>
      <c r="AG840" s="799"/>
      <c r="AH840" s="799"/>
      <c r="AI840" s="799"/>
      <c r="AJ840" s="799"/>
      <c r="AK840" s="799"/>
      <c r="AL840" s="799"/>
      <c r="AM840" s="799"/>
      <c r="AN840" s="799"/>
      <c r="AO840" s="799"/>
      <c r="AP840" s="799"/>
      <c r="AQ840" s="799"/>
      <c r="AR840" s="799"/>
      <c r="AS840" s="799"/>
      <c r="AT840" s="799"/>
      <c r="AU840" s="799"/>
      <c r="AV840" s="799"/>
      <c r="AW840" s="799"/>
      <c r="AX840" s="799"/>
      <c r="AY840" s="799"/>
      <c r="AZ840" s="799"/>
      <c r="BA840" s="799"/>
      <c r="BB840" s="799"/>
      <c r="BC840" s="799"/>
      <c r="BD840" s="799"/>
      <c r="BE840" s="799"/>
      <c r="BF840" s="799"/>
      <c r="BG840" s="799"/>
    </row>
    <row r="841">
      <c r="H841" s="799"/>
      <c r="I841" s="799"/>
      <c r="J841" s="799"/>
      <c r="K841" s="799"/>
      <c r="L841" s="799"/>
      <c r="M841" s="799"/>
      <c r="N841" s="799"/>
      <c r="O841" s="799"/>
      <c r="P841" s="799"/>
      <c r="Q841" s="799"/>
      <c r="R841" s="799"/>
      <c r="S841" s="799"/>
      <c r="T841" s="799"/>
      <c r="U841" s="799"/>
      <c r="V841" s="799"/>
      <c r="W841" s="799"/>
      <c r="X841" s="799"/>
      <c r="Y841" s="799"/>
      <c r="Z841" s="799"/>
      <c r="AA841" s="799"/>
      <c r="AB841" s="799"/>
      <c r="AC841" s="799"/>
      <c r="AD841" s="799"/>
      <c r="AE841" s="799"/>
      <c r="AF841" s="799"/>
      <c r="AG841" s="799"/>
      <c r="AH841" s="799"/>
      <c r="AI841" s="799"/>
      <c r="AJ841" s="799"/>
      <c r="AK841" s="799"/>
      <c r="AL841" s="799"/>
      <c r="AM841" s="799"/>
      <c r="AN841" s="799"/>
      <c r="AO841" s="799"/>
      <c r="AP841" s="799"/>
      <c r="AQ841" s="799"/>
      <c r="AR841" s="799"/>
      <c r="AS841" s="799"/>
      <c r="AT841" s="799"/>
      <c r="AU841" s="799"/>
      <c r="AV841" s="799"/>
      <c r="AW841" s="799"/>
      <c r="AX841" s="799"/>
      <c r="AY841" s="799"/>
      <c r="AZ841" s="799"/>
      <c r="BA841" s="799"/>
      <c r="BB841" s="799"/>
      <c r="BC841" s="799"/>
      <c r="BD841" s="799"/>
      <c r="BE841" s="799"/>
      <c r="BF841" s="799"/>
      <c r="BG841" s="799"/>
    </row>
    <row r="842">
      <c r="H842" s="799"/>
      <c r="I842" s="799"/>
      <c r="J842" s="799"/>
      <c r="K842" s="799"/>
      <c r="L842" s="799"/>
      <c r="M842" s="799"/>
      <c r="N842" s="799"/>
      <c r="O842" s="799"/>
      <c r="P842" s="799"/>
      <c r="Q842" s="799"/>
      <c r="R842" s="799"/>
      <c r="S842" s="799"/>
      <c r="T842" s="799"/>
      <c r="U842" s="799"/>
      <c r="V842" s="799"/>
      <c r="W842" s="799"/>
      <c r="X842" s="799"/>
      <c r="Y842" s="799"/>
      <c r="Z842" s="799"/>
      <c r="AA842" s="799"/>
      <c r="AB842" s="799"/>
      <c r="AC842" s="799"/>
      <c r="AD842" s="799"/>
      <c r="AE842" s="799"/>
      <c r="AF842" s="799"/>
      <c r="AG842" s="799"/>
      <c r="AH842" s="799"/>
      <c r="AI842" s="799"/>
      <c r="AJ842" s="799"/>
      <c r="AK842" s="799"/>
      <c r="AL842" s="799"/>
      <c r="AM842" s="799"/>
      <c r="AN842" s="799"/>
      <c r="AO842" s="799"/>
      <c r="AP842" s="799"/>
      <c r="AQ842" s="799"/>
      <c r="AR842" s="799"/>
      <c r="AS842" s="799"/>
      <c r="AT842" s="799"/>
      <c r="AU842" s="799"/>
      <c r="AV842" s="799"/>
      <c r="AW842" s="799"/>
      <c r="AX842" s="799"/>
      <c r="AY842" s="799"/>
      <c r="AZ842" s="799"/>
      <c r="BA842" s="799"/>
      <c r="BB842" s="799"/>
      <c r="BC842" s="799"/>
      <c r="BD842" s="799"/>
      <c r="BE842" s="799"/>
      <c r="BF842" s="799"/>
      <c r="BG842" s="799"/>
    </row>
    <row r="843">
      <c r="H843" s="799"/>
      <c r="I843" s="799"/>
      <c r="J843" s="799"/>
      <c r="K843" s="799"/>
      <c r="L843" s="799"/>
      <c r="M843" s="799"/>
      <c r="N843" s="799"/>
      <c r="O843" s="799"/>
      <c r="P843" s="799"/>
      <c r="Q843" s="799"/>
      <c r="R843" s="799"/>
      <c r="S843" s="799"/>
      <c r="T843" s="799"/>
      <c r="U843" s="799"/>
      <c r="V843" s="799"/>
      <c r="W843" s="799"/>
      <c r="X843" s="799"/>
      <c r="Y843" s="799"/>
      <c r="Z843" s="799"/>
      <c r="AA843" s="799"/>
      <c r="AB843" s="799"/>
      <c r="AC843" s="799"/>
      <c r="AD843" s="799"/>
      <c r="AE843" s="799"/>
      <c r="AF843" s="799"/>
      <c r="AG843" s="799"/>
      <c r="AH843" s="799"/>
      <c r="AI843" s="799"/>
      <c r="AJ843" s="799"/>
      <c r="AK843" s="799"/>
      <c r="AL843" s="799"/>
      <c r="AM843" s="799"/>
      <c r="AN843" s="799"/>
      <c r="AO843" s="799"/>
      <c r="AP843" s="799"/>
      <c r="AQ843" s="799"/>
      <c r="AR843" s="799"/>
      <c r="AS843" s="799"/>
      <c r="AT843" s="799"/>
      <c r="AU843" s="799"/>
      <c r="AV843" s="799"/>
      <c r="AW843" s="799"/>
      <c r="AX843" s="799"/>
      <c r="AY843" s="799"/>
      <c r="AZ843" s="799"/>
      <c r="BA843" s="799"/>
      <c r="BB843" s="799"/>
      <c r="BC843" s="799"/>
      <c r="BD843" s="799"/>
      <c r="BE843" s="799"/>
      <c r="BF843" s="799"/>
      <c r="BG843" s="799"/>
    </row>
    <row r="844">
      <c r="H844" s="799"/>
      <c r="I844" s="799"/>
      <c r="J844" s="799"/>
      <c r="K844" s="799"/>
      <c r="L844" s="799"/>
      <c r="M844" s="799"/>
      <c r="N844" s="799"/>
      <c r="O844" s="799"/>
      <c r="P844" s="799"/>
      <c r="Q844" s="799"/>
      <c r="R844" s="799"/>
      <c r="S844" s="799"/>
      <c r="T844" s="799"/>
      <c r="U844" s="799"/>
      <c r="V844" s="799"/>
      <c r="W844" s="799"/>
      <c r="X844" s="799"/>
      <c r="Y844" s="799"/>
      <c r="Z844" s="799"/>
      <c r="AA844" s="799"/>
      <c r="AB844" s="799"/>
      <c r="AC844" s="799"/>
      <c r="AD844" s="799"/>
      <c r="AE844" s="799"/>
      <c r="AF844" s="799"/>
      <c r="AG844" s="799"/>
      <c r="AH844" s="799"/>
      <c r="AI844" s="799"/>
      <c r="AJ844" s="799"/>
      <c r="AK844" s="799"/>
      <c r="AL844" s="799"/>
      <c r="AM844" s="799"/>
      <c r="AN844" s="799"/>
      <c r="AO844" s="799"/>
      <c r="AP844" s="799"/>
      <c r="AQ844" s="799"/>
      <c r="AR844" s="799"/>
      <c r="AS844" s="799"/>
      <c r="AT844" s="799"/>
      <c r="AU844" s="799"/>
      <c r="AV844" s="799"/>
      <c r="AW844" s="799"/>
      <c r="AX844" s="799"/>
      <c r="AY844" s="799"/>
      <c r="AZ844" s="799"/>
      <c r="BA844" s="799"/>
      <c r="BB844" s="799"/>
      <c r="BC844" s="799"/>
      <c r="BD844" s="799"/>
      <c r="BE844" s="799"/>
      <c r="BF844" s="799"/>
      <c r="BG844" s="799"/>
    </row>
    <row r="845">
      <c r="H845" s="799"/>
      <c r="I845" s="799"/>
      <c r="J845" s="799"/>
      <c r="K845" s="799"/>
      <c r="L845" s="799"/>
      <c r="M845" s="799"/>
      <c r="N845" s="799"/>
      <c r="O845" s="799"/>
      <c r="P845" s="799"/>
      <c r="Q845" s="799"/>
      <c r="R845" s="799"/>
      <c r="S845" s="799"/>
      <c r="T845" s="799"/>
      <c r="U845" s="799"/>
      <c r="V845" s="799"/>
      <c r="W845" s="799"/>
      <c r="X845" s="799"/>
      <c r="Y845" s="799"/>
      <c r="Z845" s="799"/>
      <c r="AA845" s="799"/>
      <c r="AB845" s="799"/>
      <c r="AC845" s="799"/>
      <c r="AD845" s="799"/>
      <c r="AE845" s="799"/>
      <c r="AF845" s="799"/>
      <c r="AG845" s="799"/>
      <c r="AH845" s="799"/>
      <c r="AI845" s="799"/>
      <c r="AJ845" s="799"/>
      <c r="AK845" s="799"/>
      <c r="AL845" s="799"/>
      <c r="AM845" s="799"/>
      <c r="AN845" s="799"/>
      <c r="AO845" s="799"/>
      <c r="AP845" s="799"/>
      <c r="AQ845" s="799"/>
      <c r="AR845" s="799"/>
      <c r="AS845" s="799"/>
      <c r="AT845" s="799"/>
      <c r="AU845" s="799"/>
      <c r="AV845" s="799"/>
      <c r="AW845" s="799"/>
      <c r="AX845" s="799"/>
      <c r="AY845" s="799"/>
      <c r="AZ845" s="799"/>
      <c r="BA845" s="799"/>
      <c r="BB845" s="799"/>
      <c r="BC845" s="799"/>
      <c r="BD845" s="799"/>
      <c r="BE845" s="799"/>
      <c r="BF845" s="799"/>
      <c r="BG845" s="799"/>
    </row>
    <row r="846">
      <c r="H846" s="799"/>
      <c r="I846" s="799"/>
      <c r="J846" s="799"/>
      <c r="K846" s="799"/>
      <c r="L846" s="799"/>
      <c r="M846" s="799"/>
      <c r="N846" s="799"/>
      <c r="O846" s="799"/>
      <c r="P846" s="799"/>
      <c r="Q846" s="799"/>
      <c r="R846" s="799"/>
      <c r="S846" s="799"/>
      <c r="T846" s="799"/>
      <c r="U846" s="799"/>
      <c r="V846" s="799"/>
      <c r="W846" s="799"/>
      <c r="X846" s="799"/>
      <c r="Y846" s="799"/>
      <c r="Z846" s="799"/>
      <c r="AA846" s="799"/>
      <c r="AB846" s="799"/>
      <c r="AC846" s="799"/>
      <c r="AD846" s="799"/>
      <c r="AE846" s="799"/>
      <c r="AF846" s="799"/>
      <c r="AG846" s="799"/>
      <c r="AH846" s="799"/>
      <c r="AI846" s="799"/>
      <c r="AJ846" s="799"/>
      <c r="AK846" s="799"/>
      <c r="AL846" s="799"/>
      <c r="AM846" s="799"/>
      <c r="AN846" s="799"/>
      <c r="AO846" s="799"/>
      <c r="AP846" s="799"/>
      <c r="AQ846" s="799"/>
      <c r="AR846" s="799"/>
      <c r="AS846" s="799"/>
      <c r="AT846" s="799"/>
      <c r="AU846" s="799"/>
      <c r="AV846" s="799"/>
      <c r="AW846" s="799"/>
      <c r="AX846" s="799"/>
      <c r="AY846" s="799"/>
      <c r="AZ846" s="799"/>
      <c r="BA846" s="799"/>
      <c r="BB846" s="799"/>
      <c r="BC846" s="799"/>
      <c r="BD846" s="799"/>
      <c r="BE846" s="799"/>
      <c r="BF846" s="799"/>
      <c r="BG846" s="799"/>
    </row>
    <row r="847">
      <c r="H847" s="799"/>
      <c r="I847" s="799"/>
      <c r="J847" s="799"/>
      <c r="K847" s="799"/>
      <c r="L847" s="799"/>
      <c r="M847" s="799"/>
      <c r="N847" s="799"/>
      <c r="O847" s="799"/>
      <c r="P847" s="799"/>
      <c r="Q847" s="799"/>
      <c r="R847" s="799"/>
      <c r="S847" s="799"/>
      <c r="T847" s="799"/>
      <c r="U847" s="799"/>
      <c r="V847" s="799"/>
      <c r="W847" s="799"/>
      <c r="X847" s="799"/>
      <c r="Y847" s="799"/>
      <c r="Z847" s="799"/>
      <c r="AA847" s="799"/>
      <c r="AB847" s="799"/>
      <c r="AC847" s="799"/>
      <c r="AD847" s="799"/>
      <c r="AE847" s="799"/>
      <c r="AF847" s="799"/>
      <c r="AG847" s="799"/>
      <c r="AH847" s="799"/>
      <c r="AI847" s="799"/>
      <c r="AJ847" s="799"/>
      <c r="AK847" s="799"/>
      <c r="AL847" s="799"/>
      <c r="AM847" s="799"/>
      <c r="AN847" s="799"/>
      <c r="AO847" s="799"/>
      <c r="AP847" s="799"/>
      <c r="AQ847" s="799"/>
      <c r="AR847" s="799"/>
      <c r="AS847" s="799"/>
      <c r="AT847" s="799"/>
      <c r="AU847" s="799"/>
      <c r="AV847" s="799"/>
      <c r="AW847" s="799"/>
      <c r="AX847" s="799"/>
      <c r="AY847" s="799"/>
      <c r="AZ847" s="799"/>
      <c r="BA847" s="799"/>
      <c r="BB847" s="799"/>
      <c r="BC847" s="799"/>
      <c r="BD847" s="799"/>
      <c r="BE847" s="799"/>
      <c r="BF847" s="799"/>
      <c r="BG847" s="799"/>
    </row>
    <row r="848">
      <c r="H848" s="799"/>
      <c r="I848" s="799"/>
      <c r="J848" s="799"/>
      <c r="K848" s="799"/>
      <c r="L848" s="799"/>
      <c r="M848" s="799"/>
      <c r="N848" s="799"/>
      <c r="O848" s="799"/>
      <c r="P848" s="799"/>
      <c r="Q848" s="799"/>
      <c r="R848" s="799"/>
      <c r="S848" s="799"/>
      <c r="T848" s="799"/>
      <c r="U848" s="799"/>
      <c r="V848" s="799"/>
      <c r="W848" s="799"/>
      <c r="X848" s="799"/>
      <c r="Y848" s="799"/>
      <c r="Z848" s="799"/>
      <c r="AA848" s="799"/>
      <c r="AB848" s="799"/>
      <c r="AC848" s="799"/>
      <c r="AD848" s="799"/>
      <c r="AE848" s="799"/>
      <c r="AF848" s="799"/>
      <c r="AG848" s="799"/>
      <c r="AH848" s="799"/>
      <c r="AI848" s="799"/>
      <c r="AJ848" s="799"/>
      <c r="AK848" s="799"/>
      <c r="AL848" s="799"/>
      <c r="AM848" s="799"/>
      <c r="AN848" s="799"/>
      <c r="AO848" s="799"/>
      <c r="AP848" s="799"/>
      <c r="AQ848" s="799"/>
      <c r="AR848" s="799"/>
      <c r="AS848" s="799"/>
      <c r="AT848" s="799"/>
      <c r="AU848" s="799"/>
      <c r="AV848" s="799"/>
      <c r="AW848" s="799"/>
      <c r="AX848" s="799"/>
      <c r="AY848" s="799"/>
      <c r="AZ848" s="799"/>
      <c r="BA848" s="799"/>
      <c r="BB848" s="799"/>
      <c r="BC848" s="799"/>
      <c r="BD848" s="799"/>
      <c r="BE848" s="799"/>
      <c r="BF848" s="799"/>
      <c r="BG848" s="799"/>
    </row>
    <row r="849">
      <c r="H849" s="799"/>
      <c r="I849" s="799"/>
      <c r="J849" s="799"/>
      <c r="K849" s="799"/>
      <c r="L849" s="799"/>
      <c r="M849" s="799"/>
      <c r="N849" s="799"/>
      <c r="O849" s="799"/>
      <c r="P849" s="799"/>
      <c r="Q849" s="799"/>
      <c r="R849" s="799"/>
      <c r="S849" s="799"/>
      <c r="T849" s="799"/>
      <c r="U849" s="799"/>
      <c r="V849" s="799"/>
      <c r="W849" s="799"/>
      <c r="X849" s="799"/>
      <c r="Y849" s="799"/>
      <c r="Z849" s="799"/>
      <c r="AA849" s="799"/>
      <c r="AB849" s="799"/>
      <c r="AC849" s="799"/>
      <c r="AD849" s="799"/>
      <c r="AE849" s="799"/>
      <c r="AF849" s="799"/>
      <c r="AG849" s="799"/>
      <c r="AH849" s="799"/>
      <c r="AI849" s="799"/>
      <c r="AJ849" s="799"/>
      <c r="AK849" s="799"/>
      <c r="AL849" s="799"/>
      <c r="AM849" s="799"/>
      <c r="AN849" s="799"/>
      <c r="AO849" s="799"/>
      <c r="AP849" s="799"/>
      <c r="AQ849" s="799"/>
      <c r="AR849" s="799"/>
      <c r="AS849" s="799"/>
      <c r="AT849" s="799"/>
      <c r="AU849" s="799"/>
      <c r="AV849" s="799"/>
      <c r="AW849" s="799"/>
      <c r="AX849" s="799"/>
      <c r="AY849" s="799"/>
      <c r="AZ849" s="799"/>
      <c r="BA849" s="799"/>
      <c r="BB849" s="799"/>
      <c r="BC849" s="799"/>
      <c r="BD849" s="799"/>
      <c r="BE849" s="799"/>
      <c r="BF849" s="799"/>
      <c r="BG849" s="799"/>
    </row>
    <row r="850">
      <c r="H850" s="799"/>
      <c r="I850" s="799"/>
      <c r="J850" s="799"/>
      <c r="K850" s="799"/>
      <c r="L850" s="799"/>
      <c r="M850" s="799"/>
      <c r="N850" s="799"/>
      <c r="O850" s="799"/>
      <c r="P850" s="799"/>
      <c r="Q850" s="799"/>
      <c r="R850" s="799"/>
      <c r="S850" s="799"/>
      <c r="T850" s="799"/>
      <c r="U850" s="799"/>
      <c r="V850" s="799"/>
      <c r="W850" s="799"/>
      <c r="X850" s="799"/>
      <c r="Y850" s="799"/>
      <c r="Z850" s="799"/>
      <c r="AA850" s="799"/>
      <c r="AB850" s="799"/>
      <c r="AC850" s="799"/>
      <c r="AD850" s="799"/>
      <c r="AE850" s="799"/>
      <c r="AF850" s="799"/>
      <c r="AG850" s="799"/>
      <c r="AH850" s="799"/>
      <c r="AI850" s="799"/>
      <c r="AJ850" s="799"/>
      <c r="AK850" s="799"/>
      <c r="AL850" s="799"/>
      <c r="AM850" s="799"/>
      <c r="AN850" s="799"/>
      <c r="AO850" s="799"/>
      <c r="AP850" s="799"/>
      <c r="AQ850" s="799"/>
      <c r="AR850" s="799"/>
      <c r="AS850" s="799"/>
      <c r="AT850" s="799"/>
      <c r="AU850" s="799"/>
      <c r="AV850" s="799"/>
      <c r="AW850" s="799"/>
      <c r="AX850" s="799"/>
      <c r="AY850" s="799"/>
      <c r="AZ850" s="799"/>
      <c r="BA850" s="799"/>
      <c r="BB850" s="799"/>
      <c r="BC850" s="799"/>
      <c r="BD850" s="799"/>
      <c r="BE850" s="799"/>
      <c r="BF850" s="799"/>
      <c r="BG850" s="799"/>
    </row>
    <row r="851">
      <c r="H851" s="799"/>
      <c r="I851" s="799"/>
      <c r="J851" s="799"/>
      <c r="K851" s="799"/>
      <c r="L851" s="799"/>
      <c r="M851" s="799"/>
      <c r="N851" s="799"/>
      <c r="O851" s="799"/>
      <c r="P851" s="799"/>
      <c r="Q851" s="799"/>
      <c r="R851" s="799"/>
      <c r="S851" s="799"/>
      <c r="T851" s="799"/>
      <c r="U851" s="799"/>
      <c r="V851" s="799"/>
      <c r="W851" s="799"/>
      <c r="X851" s="799"/>
      <c r="Y851" s="799"/>
      <c r="Z851" s="799"/>
      <c r="AA851" s="799"/>
      <c r="AB851" s="799"/>
      <c r="AC851" s="799"/>
      <c r="AD851" s="799"/>
      <c r="AE851" s="799"/>
      <c r="AF851" s="799"/>
      <c r="AG851" s="799"/>
      <c r="AH851" s="799"/>
      <c r="AI851" s="799"/>
      <c r="AJ851" s="799"/>
      <c r="AK851" s="799"/>
      <c r="AL851" s="799"/>
      <c r="AM851" s="799"/>
      <c r="AN851" s="799"/>
      <c r="AO851" s="799"/>
      <c r="AP851" s="799"/>
      <c r="AQ851" s="799"/>
      <c r="AR851" s="799"/>
      <c r="AS851" s="799"/>
      <c r="AT851" s="799"/>
      <c r="AU851" s="799"/>
      <c r="AV851" s="799"/>
      <c r="AW851" s="799"/>
      <c r="AX851" s="799"/>
      <c r="AY851" s="799"/>
      <c r="AZ851" s="799"/>
      <c r="BA851" s="799"/>
      <c r="BB851" s="799"/>
      <c r="BC851" s="799"/>
      <c r="BD851" s="799"/>
      <c r="BE851" s="799"/>
      <c r="BF851" s="799"/>
      <c r="BG851" s="799"/>
    </row>
    <row r="852">
      <c r="H852" s="799"/>
      <c r="I852" s="799"/>
      <c r="J852" s="799"/>
      <c r="K852" s="799"/>
      <c r="L852" s="799"/>
      <c r="M852" s="799"/>
      <c r="N852" s="799"/>
      <c r="O852" s="799"/>
      <c r="P852" s="799"/>
      <c r="Q852" s="799"/>
      <c r="R852" s="799"/>
      <c r="S852" s="799"/>
      <c r="T852" s="799"/>
      <c r="U852" s="799"/>
      <c r="V852" s="799"/>
      <c r="W852" s="799"/>
      <c r="X852" s="799"/>
      <c r="Y852" s="799"/>
      <c r="Z852" s="799"/>
      <c r="AA852" s="799"/>
      <c r="AB852" s="799"/>
      <c r="AC852" s="799"/>
      <c r="AD852" s="799"/>
      <c r="AE852" s="799"/>
      <c r="AF852" s="799"/>
      <c r="AG852" s="799"/>
      <c r="AH852" s="799"/>
      <c r="AI852" s="799"/>
      <c r="AJ852" s="799"/>
      <c r="AK852" s="799"/>
      <c r="AL852" s="799"/>
      <c r="AM852" s="799"/>
      <c r="AN852" s="799"/>
      <c r="AO852" s="799"/>
      <c r="AP852" s="799"/>
      <c r="AQ852" s="799"/>
      <c r="AR852" s="799"/>
      <c r="AS852" s="799"/>
      <c r="AT852" s="799"/>
      <c r="AU852" s="799"/>
      <c r="AV852" s="799"/>
      <c r="AW852" s="799"/>
      <c r="AX852" s="799"/>
      <c r="AY852" s="799"/>
      <c r="AZ852" s="799"/>
      <c r="BA852" s="799"/>
      <c r="BB852" s="799"/>
      <c r="BC852" s="799"/>
      <c r="BD852" s="799"/>
      <c r="BE852" s="799"/>
      <c r="BF852" s="799"/>
      <c r="BG852" s="799"/>
    </row>
    <row r="853">
      <c r="H853" s="799"/>
      <c r="I853" s="799"/>
      <c r="J853" s="799"/>
      <c r="K853" s="799"/>
      <c r="L853" s="799"/>
      <c r="M853" s="799"/>
      <c r="N853" s="799"/>
      <c r="O853" s="799"/>
      <c r="P853" s="799"/>
      <c r="Q853" s="799"/>
      <c r="R853" s="799"/>
      <c r="S853" s="799"/>
      <c r="T853" s="799"/>
      <c r="U853" s="799"/>
      <c r="V853" s="799"/>
      <c r="W853" s="799"/>
      <c r="X853" s="799"/>
      <c r="Y853" s="799"/>
      <c r="Z853" s="799"/>
      <c r="AA853" s="799"/>
      <c r="AB853" s="799"/>
      <c r="AC853" s="799"/>
      <c r="AD853" s="799"/>
      <c r="AE853" s="799"/>
      <c r="AF853" s="799"/>
      <c r="AG853" s="799"/>
      <c r="AH853" s="799"/>
      <c r="AI853" s="799"/>
      <c r="AJ853" s="799"/>
      <c r="AK853" s="799"/>
      <c r="AL853" s="799"/>
      <c r="AM853" s="799"/>
      <c r="AN853" s="799"/>
      <c r="AO853" s="799"/>
      <c r="AP853" s="799"/>
      <c r="AQ853" s="799"/>
      <c r="AR853" s="799"/>
      <c r="AS853" s="799"/>
      <c r="AT853" s="799"/>
      <c r="AU853" s="799"/>
      <c r="AV853" s="799"/>
      <c r="AW853" s="799"/>
      <c r="AX853" s="799"/>
      <c r="AY853" s="799"/>
      <c r="AZ853" s="799"/>
      <c r="BA853" s="799"/>
      <c r="BB853" s="799"/>
      <c r="BC853" s="799"/>
      <c r="BD853" s="799"/>
      <c r="BE853" s="799"/>
      <c r="BF853" s="799"/>
      <c r="BG853" s="799"/>
    </row>
    <row r="854">
      <c r="H854" s="799"/>
      <c r="I854" s="799"/>
      <c r="J854" s="799"/>
      <c r="K854" s="799"/>
      <c r="L854" s="799"/>
      <c r="M854" s="799"/>
      <c r="N854" s="799"/>
      <c r="O854" s="799"/>
      <c r="P854" s="799"/>
      <c r="Q854" s="799"/>
      <c r="R854" s="799"/>
      <c r="S854" s="799"/>
      <c r="T854" s="799"/>
      <c r="U854" s="799"/>
      <c r="V854" s="799"/>
      <c r="W854" s="799"/>
      <c r="X854" s="799"/>
      <c r="Y854" s="799"/>
      <c r="Z854" s="799"/>
      <c r="AA854" s="799"/>
      <c r="AB854" s="799"/>
      <c r="AC854" s="799"/>
      <c r="AD854" s="799"/>
      <c r="AE854" s="799"/>
      <c r="AF854" s="799"/>
      <c r="AG854" s="799"/>
      <c r="AH854" s="799"/>
      <c r="AI854" s="799"/>
      <c r="AJ854" s="799"/>
      <c r="AK854" s="799"/>
      <c r="AL854" s="799"/>
      <c r="AM854" s="799"/>
      <c r="AN854" s="799"/>
      <c r="AO854" s="799"/>
      <c r="AP854" s="799"/>
      <c r="AQ854" s="799"/>
      <c r="AR854" s="799"/>
      <c r="AS854" s="799"/>
      <c r="AT854" s="799"/>
      <c r="AU854" s="799"/>
      <c r="AV854" s="799"/>
      <c r="AW854" s="799"/>
      <c r="AX854" s="799"/>
      <c r="AY854" s="799"/>
      <c r="AZ854" s="799"/>
      <c r="BA854" s="799"/>
      <c r="BB854" s="799"/>
      <c r="BC854" s="799"/>
      <c r="BD854" s="799"/>
      <c r="BE854" s="799"/>
      <c r="BF854" s="799"/>
      <c r="BG854" s="799"/>
    </row>
    <row r="855">
      <c r="H855" s="799"/>
      <c r="I855" s="799"/>
      <c r="J855" s="799"/>
      <c r="K855" s="799"/>
      <c r="L855" s="799"/>
      <c r="M855" s="799"/>
      <c r="N855" s="799"/>
      <c r="O855" s="799"/>
      <c r="P855" s="799"/>
      <c r="Q855" s="799"/>
      <c r="R855" s="799"/>
      <c r="S855" s="799"/>
      <c r="T855" s="799"/>
      <c r="U855" s="799"/>
      <c r="V855" s="799"/>
      <c r="W855" s="799"/>
      <c r="X855" s="799"/>
      <c r="Y855" s="799"/>
      <c r="Z855" s="799"/>
      <c r="AA855" s="799"/>
      <c r="AB855" s="799"/>
      <c r="AC855" s="799"/>
      <c r="AD855" s="799"/>
      <c r="AE855" s="799"/>
      <c r="AF855" s="799"/>
      <c r="AG855" s="799"/>
      <c r="AH855" s="799"/>
      <c r="AI855" s="799"/>
      <c r="AJ855" s="799"/>
      <c r="AK855" s="799"/>
      <c r="AL855" s="799"/>
      <c r="AM855" s="799"/>
      <c r="AN855" s="799"/>
      <c r="AO855" s="799"/>
      <c r="AP855" s="799"/>
      <c r="AQ855" s="799"/>
      <c r="AR855" s="799"/>
      <c r="AS855" s="799"/>
      <c r="AT855" s="799"/>
      <c r="AU855" s="799"/>
      <c r="AV855" s="799"/>
      <c r="AW855" s="799"/>
      <c r="AX855" s="799"/>
      <c r="AY855" s="799"/>
      <c r="AZ855" s="799"/>
      <c r="BA855" s="799"/>
      <c r="BB855" s="799"/>
      <c r="BC855" s="799"/>
      <c r="BD855" s="799"/>
      <c r="BE855" s="799"/>
      <c r="BF855" s="799"/>
      <c r="BG855" s="799"/>
    </row>
    <row r="856">
      <c r="H856" s="799"/>
      <c r="I856" s="799"/>
      <c r="J856" s="799"/>
      <c r="K856" s="799"/>
      <c r="L856" s="799"/>
      <c r="M856" s="799"/>
      <c r="N856" s="799"/>
      <c r="O856" s="799"/>
      <c r="P856" s="799"/>
      <c r="Q856" s="799"/>
      <c r="R856" s="799"/>
      <c r="S856" s="799"/>
      <c r="T856" s="799"/>
      <c r="U856" s="799"/>
      <c r="V856" s="799"/>
      <c r="W856" s="799"/>
      <c r="X856" s="799"/>
      <c r="Y856" s="799"/>
      <c r="Z856" s="799"/>
      <c r="AA856" s="799"/>
      <c r="AB856" s="799"/>
      <c r="AC856" s="799"/>
      <c r="AD856" s="799"/>
      <c r="AE856" s="799"/>
      <c r="AF856" s="799"/>
      <c r="AG856" s="799"/>
      <c r="AH856" s="799"/>
      <c r="AI856" s="799"/>
      <c r="AJ856" s="799"/>
      <c r="AK856" s="799"/>
      <c r="AL856" s="799"/>
      <c r="AM856" s="799"/>
      <c r="AN856" s="799"/>
      <c r="AO856" s="799"/>
      <c r="AP856" s="799"/>
      <c r="AQ856" s="799"/>
      <c r="AR856" s="799"/>
      <c r="AS856" s="799"/>
      <c r="AT856" s="799"/>
      <c r="AU856" s="799"/>
      <c r="AV856" s="799"/>
      <c r="AW856" s="799"/>
      <c r="AX856" s="799"/>
      <c r="AY856" s="799"/>
      <c r="AZ856" s="799"/>
      <c r="BA856" s="799"/>
      <c r="BB856" s="799"/>
      <c r="BC856" s="799"/>
      <c r="BD856" s="799"/>
      <c r="BE856" s="799"/>
      <c r="BF856" s="799"/>
      <c r="BG856" s="799"/>
    </row>
    <row r="857">
      <c r="H857" s="799"/>
      <c r="I857" s="799"/>
      <c r="J857" s="799"/>
      <c r="K857" s="799"/>
      <c r="L857" s="799"/>
      <c r="M857" s="799"/>
      <c r="N857" s="799"/>
      <c r="O857" s="799"/>
      <c r="P857" s="799"/>
      <c r="Q857" s="799"/>
      <c r="R857" s="799"/>
      <c r="S857" s="799"/>
      <c r="T857" s="799"/>
      <c r="U857" s="799"/>
      <c r="V857" s="799"/>
      <c r="W857" s="799"/>
      <c r="X857" s="799"/>
      <c r="Y857" s="799"/>
      <c r="Z857" s="799"/>
      <c r="AA857" s="799"/>
      <c r="AB857" s="799"/>
      <c r="AC857" s="799"/>
      <c r="AD857" s="799"/>
      <c r="AE857" s="799"/>
      <c r="AF857" s="799"/>
      <c r="AG857" s="799"/>
      <c r="AH857" s="799"/>
      <c r="AI857" s="799"/>
      <c r="AJ857" s="799"/>
      <c r="AK857" s="799"/>
      <c r="AL857" s="799"/>
      <c r="AM857" s="799"/>
      <c r="AN857" s="799"/>
      <c r="AO857" s="799"/>
      <c r="AP857" s="799"/>
      <c r="AQ857" s="799"/>
      <c r="AR857" s="799"/>
      <c r="AS857" s="799"/>
      <c r="AT857" s="799"/>
      <c r="AU857" s="799"/>
      <c r="AV857" s="799"/>
      <c r="AW857" s="799"/>
      <c r="AX857" s="799"/>
      <c r="AY857" s="799"/>
      <c r="AZ857" s="799"/>
      <c r="BA857" s="799"/>
      <c r="BB857" s="799"/>
      <c r="BC857" s="799"/>
      <c r="BD857" s="799"/>
      <c r="BE857" s="799"/>
      <c r="BF857" s="799"/>
      <c r="BG857" s="799"/>
    </row>
    <row r="858">
      <c r="H858" s="799"/>
      <c r="I858" s="799"/>
      <c r="J858" s="799"/>
      <c r="K858" s="799"/>
      <c r="L858" s="799"/>
      <c r="M858" s="799"/>
      <c r="N858" s="799"/>
      <c r="O858" s="799"/>
      <c r="P858" s="799"/>
      <c r="Q858" s="799"/>
      <c r="R858" s="799"/>
      <c r="S858" s="799"/>
      <c r="T858" s="799"/>
      <c r="U858" s="799"/>
      <c r="V858" s="799"/>
      <c r="W858" s="799"/>
      <c r="X858" s="799"/>
      <c r="Y858" s="799"/>
      <c r="Z858" s="799"/>
      <c r="AA858" s="799"/>
      <c r="AB858" s="799"/>
      <c r="AC858" s="799"/>
      <c r="AD858" s="799"/>
      <c r="AE858" s="799"/>
      <c r="AF858" s="799"/>
      <c r="AG858" s="799"/>
      <c r="AH858" s="799"/>
      <c r="AI858" s="799"/>
      <c r="AJ858" s="799"/>
      <c r="AK858" s="799"/>
      <c r="AL858" s="799"/>
      <c r="AM858" s="799"/>
      <c r="AN858" s="799"/>
      <c r="AO858" s="799"/>
      <c r="AP858" s="799"/>
      <c r="AQ858" s="799"/>
      <c r="AR858" s="799"/>
      <c r="AS858" s="799"/>
      <c r="AT858" s="799"/>
      <c r="AU858" s="799"/>
      <c r="AV858" s="799"/>
      <c r="AW858" s="799"/>
      <c r="AX858" s="799"/>
      <c r="AY858" s="799"/>
      <c r="AZ858" s="799"/>
      <c r="BA858" s="799"/>
      <c r="BB858" s="799"/>
      <c r="BC858" s="799"/>
      <c r="BD858" s="799"/>
      <c r="BE858" s="799"/>
      <c r="BF858" s="799"/>
      <c r="BG858" s="799"/>
    </row>
    <row r="859">
      <c r="H859" s="799"/>
      <c r="I859" s="799"/>
      <c r="J859" s="799"/>
      <c r="K859" s="799"/>
      <c r="L859" s="799"/>
      <c r="M859" s="799"/>
      <c r="N859" s="799"/>
      <c r="O859" s="799"/>
      <c r="P859" s="799"/>
      <c r="Q859" s="799"/>
      <c r="R859" s="799"/>
      <c r="S859" s="799"/>
      <c r="T859" s="799"/>
      <c r="U859" s="799"/>
      <c r="V859" s="799"/>
      <c r="W859" s="799"/>
      <c r="X859" s="799"/>
      <c r="Y859" s="799"/>
      <c r="Z859" s="799"/>
      <c r="AA859" s="799"/>
      <c r="AB859" s="799"/>
      <c r="AC859" s="799"/>
      <c r="AD859" s="799"/>
      <c r="AE859" s="799"/>
      <c r="AF859" s="799"/>
      <c r="AG859" s="799"/>
      <c r="AH859" s="799"/>
      <c r="AI859" s="799"/>
      <c r="AJ859" s="799"/>
      <c r="AK859" s="799"/>
      <c r="AL859" s="799"/>
      <c r="AM859" s="799"/>
      <c r="AN859" s="799"/>
      <c r="AO859" s="799"/>
      <c r="AP859" s="799"/>
      <c r="AQ859" s="799"/>
      <c r="AR859" s="799"/>
      <c r="AS859" s="799"/>
      <c r="AT859" s="799"/>
      <c r="AU859" s="799"/>
      <c r="AV859" s="799"/>
      <c r="AW859" s="799"/>
      <c r="AX859" s="799"/>
      <c r="AY859" s="799"/>
      <c r="AZ859" s="799"/>
      <c r="BA859" s="799"/>
      <c r="BB859" s="799"/>
      <c r="BC859" s="799"/>
      <c r="BD859" s="799"/>
      <c r="BE859" s="799"/>
      <c r="BF859" s="799"/>
      <c r="BG859" s="799"/>
    </row>
    <row r="860">
      <c r="H860" s="799"/>
      <c r="I860" s="799"/>
      <c r="J860" s="799"/>
      <c r="K860" s="799"/>
      <c r="L860" s="799"/>
      <c r="M860" s="799"/>
      <c r="N860" s="799"/>
      <c r="O860" s="799"/>
      <c r="P860" s="799"/>
      <c r="Q860" s="799"/>
      <c r="R860" s="799"/>
      <c r="S860" s="799"/>
      <c r="T860" s="799"/>
      <c r="U860" s="799"/>
      <c r="V860" s="799"/>
      <c r="W860" s="799"/>
      <c r="X860" s="799"/>
      <c r="Y860" s="799"/>
      <c r="Z860" s="799"/>
      <c r="AA860" s="799"/>
      <c r="AB860" s="799"/>
      <c r="AC860" s="799"/>
      <c r="AD860" s="799"/>
      <c r="AE860" s="799"/>
      <c r="AF860" s="799"/>
      <c r="AG860" s="799"/>
      <c r="AH860" s="799"/>
      <c r="AI860" s="799"/>
      <c r="AJ860" s="799"/>
      <c r="AK860" s="799"/>
      <c r="AL860" s="799"/>
      <c r="AM860" s="799"/>
      <c r="AN860" s="799"/>
      <c r="AO860" s="799"/>
      <c r="AP860" s="799"/>
      <c r="AQ860" s="799"/>
      <c r="AR860" s="799"/>
      <c r="AS860" s="799"/>
      <c r="AT860" s="799"/>
      <c r="AU860" s="799"/>
      <c r="AV860" s="799"/>
      <c r="AW860" s="799"/>
      <c r="AX860" s="799"/>
      <c r="AY860" s="799"/>
      <c r="AZ860" s="799"/>
      <c r="BA860" s="799"/>
      <c r="BB860" s="799"/>
      <c r="BC860" s="799"/>
      <c r="BD860" s="799"/>
      <c r="BE860" s="799"/>
      <c r="BF860" s="799"/>
      <c r="BG860" s="799"/>
    </row>
    <row r="861">
      <c r="H861" s="799"/>
      <c r="I861" s="799"/>
      <c r="J861" s="799"/>
      <c r="K861" s="799"/>
      <c r="L861" s="799"/>
      <c r="M861" s="799"/>
      <c r="N861" s="799"/>
      <c r="O861" s="799"/>
      <c r="P861" s="799"/>
      <c r="Q861" s="799"/>
      <c r="R861" s="799"/>
      <c r="S861" s="799"/>
      <c r="T861" s="799"/>
      <c r="U861" s="799"/>
      <c r="V861" s="799"/>
      <c r="W861" s="799"/>
      <c r="X861" s="799"/>
      <c r="Y861" s="799"/>
      <c r="Z861" s="799"/>
      <c r="AA861" s="799"/>
      <c r="AB861" s="799"/>
      <c r="AC861" s="799"/>
      <c r="AD861" s="799"/>
      <c r="AE861" s="799"/>
      <c r="AF861" s="799"/>
      <c r="AG861" s="799"/>
      <c r="AH861" s="799"/>
      <c r="AI861" s="799"/>
      <c r="AJ861" s="799"/>
      <c r="AK861" s="799"/>
      <c r="AL861" s="799"/>
      <c r="AM861" s="799"/>
      <c r="AN861" s="799"/>
      <c r="AO861" s="799"/>
      <c r="AP861" s="799"/>
      <c r="AQ861" s="799"/>
      <c r="AR861" s="799"/>
      <c r="AS861" s="799"/>
      <c r="AT861" s="799"/>
      <c r="AU861" s="799"/>
      <c r="AV861" s="799"/>
      <c r="AW861" s="799"/>
      <c r="AX861" s="799"/>
      <c r="AY861" s="799"/>
      <c r="AZ861" s="799"/>
      <c r="BA861" s="799"/>
      <c r="BB861" s="799"/>
      <c r="BC861" s="799"/>
      <c r="BD861" s="799"/>
      <c r="BE861" s="799"/>
      <c r="BF861" s="799"/>
      <c r="BG861" s="799"/>
    </row>
    <row r="862">
      <c r="H862" s="799"/>
      <c r="I862" s="799"/>
      <c r="J862" s="799"/>
      <c r="K862" s="799"/>
      <c r="L862" s="799"/>
      <c r="M862" s="799"/>
      <c r="N862" s="799"/>
      <c r="O862" s="799"/>
      <c r="P862" s="799"/>
      <c r="Q862" s="799"/>
      <c r="R862" s="799"/>
      <c r="S862" s="799"/>
      <c r="T862" s="799"/>
      <c r="U862" s="799"/>
      <c r="V862" s="799"/>
      <c r="W862" s="799"/>
      <c r="X862" s="799"/>
      <c r="Y862" s="799"/>
      <c r="Z862" s="799"/>
      <c r="AA862" s="799"/>
      <c r="AB862" s="799"/>
      <c r="AC862" s="799"/>
      <c r="AD862" s="799"/>
      <c r="AE862" s="799"/>
      <c r="AF862" s="799"/>
      <c r="AG862" s="799"/>
      <c r="AH862" s="799"/>
      <c r="AI862" s="799"/>
      <c r="AJ862" s="799"/>
      <c r="AK862" s="799"/>
      <c r="AL862" s="799"/>
      <c r="AM862" s="799"/>
      <c r="AN862" s="799"/>
      <c r="AO862" s="799"/>
      <c r="AP862" s="799"/>
      <c r="AQ862" s="799"/>
      <c r="AR862" s="799"/>
      <c r="AS862" s="799"/>
      <c r="AT862" s="799"/>
      <c r="AU862" s="799"/>
      <c r="AV862" s="799"/>
      <c r="AW862" s="799"/>
      <c r="AX862" s="799"/>
      <c r="AY862" s="799"/>
      <c r="AZ862" s="799"/>
      <c r="BA862" s="799"/>
      <c r="BB862" s="799"/>
      <c r="BC862" s="799"/>
      <c r="BD862" s="799"/>
      <c r="BE862" s="799"/>
      <c r="BF862" s="799"/>
      <c r="BG862" s="799"/>
    </row>
    <row r="863">
      <c r="H863" s="799"/>
      <c r="I863" s="799"/>
      <c r="J863" s="799"/>
      <c r="K863" s="799"/>
      <c r="L863" s="799"/>
      <c r="M863" s="799"/>
      <c r="N863" s="799"/>
      <c r="O863" s="799"/>
      <c r="P863" s="799"/>
      <c r="Q863" s="799"/>
      <c r="R863" s="799"/>
      <c r="S863" s="799"/>
      <c r="T863" s="799"/>
      <c r="U863" s="799"/>
      <c r="V863" s="799"/>
      <c r="W863" s="799"/>
      <c r="X863" s="799"/>
      <c r="Y863" s="799"/>
      <c r="Z863" s="799"/>
      <c r="AA863" s="799"/>
      <c r="AB863" s="799"/>
      <c r="AC863" s="799"/>
      <c r="AD863" s="799"/>
      <c r="AE863" s="799"/>
      <c r="AF863" s="799"/>
      <c r="AG863" s="799"/>
      <c r="AH863" s="799"/>
      <c r="AI863" s="799"/>
      <c r="AJ863" s="799"/>
      <c r="AK863" s="799"/>
      <c r="AL863" s="799"/>
      <c r="AM863" s="799"/>
      <c r="AN863" s="799"/>
      <c r="AO863" s="799"/>
      <c r="AP863" s="799"/>
      <c r="AQ863" s="799"/>
      <c r="AR863" s="799"/>
      <c r="AS863" s="799"/>
      <c r="AT863" s="799"/>
      <c r="AU863" s="799"/>
      <c r="AV863" s="799"/>
      <c r="AW863" s="799"/>
      <c r="AX863" s="799"/>
      <c r="AY863" s="799"/>
      <c r="AZ863" s="799"/>
      <c r="BA863" s="799"/>
      <c r="BB863" s="799"/>
      <c r="BC863" s="799"/>
      <c r="BD863" s="799"/>
      <c r="BE863" s="799"/>
      <c r="BF863" s="799"/>
      <c r="BG863" s="799"/>
    </row>
    <row r="864">
      <c r="H864" s="799"/>
      <c r="I864" s="799"/>
      <c r="J864" s="799"/>
      <c r="K864" s="799"/>
      <c r="L864" s="799"/>
      <c r="M864" s="799"/>
      <c r="N864" s="799"/>
      <c r="O864" s="799"/>
      <c r="P864" s="799"/>
      <c r="Q864" s="799"/>
      <c r="R864" s="799"/>
      <c r="S864" s="799"/>
      <c r="T864" s="799"/>
      <c r="U864" s="799"/>
      <c r="V864" s="799"/>
      <c r="W864" s="799"/>
      <c r="X864" s="799"/>
      <c r="Y864" s="799"/>
      <c r="Z864" s="799"/>
      <c r="AA864" s="799"/>
      <c r="AB864" s="799"/>
      <c r="AC864" s="799"/>
      <c r="AD864" s="799"/>
      <c r="AE864" s="799"/>
      <c r="AF864" s="799"/>
      <c r="AG864" s="799"/>
      <c r="AH864" s="799"/>
      <c r="AI864" s="799"/>
      <c r="AJ864" s="799"/>
      <c r="AK864" s="799"/>
      <c r="AL864" s="799"/>
      <c r="AM864" s="799"/>
      <c r="AN864" s="799"/>
      <c r="AO864" s="799"/>
      <c r="AP864" s="799"/>
      <c r="AQ864" s="799"/>
      <c r="AR864" s="799"/>
      <c r="AS864" s="799"/>
      <c r="AT864" s="799"/>
      <c r="AU864" s="799"/>
      <c r="AV864" s="799"/>
      <c r="AW864" s="799"/>
      <c r="AX864" s="799"/>
      <c r="AY864" s="799"/>
      <c r="AZ864" s="799"/>
      <c r="BA864" s="799"/>
      <c r="BB864" s="799"/>
      <c r="BC864" s="799"/>
      <c r="BD864" s="799"/>
      <c r="BE864" s="799"/>
      <c r="BF864" s="799"/>
      <c r="BG864" s="799"/>
    </row>
    <row r="865">
      <c r="H865" s="799"/>
      <c r="I865" s="799"/>
      <c r="J865" s="799"/>
      <c r="K865" s="799"/>
      <c r="L865" s="799"/>
      <c r="M865" s="799"/>
      <c r="N865" s="799"/>
      <c r="O865" s="799"/>
      <c r="P865" s="799"/>
      <c r="Q865" s="799"/>
      <c r="R865" s="799"/>
      <c r="S865" s="799"/>
      <c r="T865" s="799"/>
      <c r="U865" s="799"/>
      <c r="V865" s="799"/>
      <c r="W865" s="799"/>
      <c r="X865" s="799"/>
      <c r="Y865" s="799"/>
      <c r="Z865" s="799"/>
      <c r="AA865" s="799"/>
      <c r="AB865" s="799"/>
      <c r="AC865" s="799"/>
      <c r="AD865" s="799"/>
      <c r="AE865" s="799"/>
      <c r="AF865" s="799"/>
      <c r="AG865" s="799"/>
      <c r="AH865" s="799"/>
      <c r="AI865" s="799"/>
      <c r="AJ865" s="799"/>
      <c r="AK865" s="799"/>
      <c r="AL865" s="799"/>
      <c r="AM865" s="799"/>
      <c r="AN865" s="799"/>
      <c r="AO865" s="799"/>
      <c r="AP865" s="799"/>
      <c r="AQ865" s="799"/>
      <c r="AR865" s="799"/>
      <c r="AS865" s="799"/>
      <c r="AT865" s="799"/>
      <c r="AU865" s="799"/>
      <c r="AV865" s="799"/>
      <c r="AW865" s="799"/>
      <c r="AX865" s="799"/>
      <c r="AY865" s="799"/>
      <c r="AZ865" s="799"/>
      <c r="BA865" s="799"/>
      <c r="BB865" s="799"/>
      <c r="BC865" s="799"/>
      <c r="BD865" s="799"/>
      <c r="BE865" s="799"/>
      <c r="BF865" s="799"/>
      <c r="BG865" s="799"/>
    </row>
    <row r="866">
      <c r="H866" s="799"/>
      <c r="I866" s="799"/>
      <c r="J866" s="799"/>
      <c r="K866" s="799"/>
      <c r="L866" s="799"/>
      <c r="M866" s="799"/>
      <c r="N866" s="799"/>
      <c r="O866" s="799"/>
      <c r="P866" s="799"/>
      <c r="Q866" s="799"/>
      <c r="R866" s="799"/>
      <c r="S866" s="799"/>
      <c r="T866" s="799"/>
      <c r="U866" s="799"/>
      <c r="V866" s="799"/>
      <c r="W866" s="799"/>
      <c r="X866" s="799"/>
      <c r="Y866" s="799"/>
      <c r="Z866" s="799"/>
      <c r="AA866" s="799"/>
      <c r="AB866" s="799"/>
      <c r="AC866" s="799"/>
      <c r="AD866" s="799"/>
      <c r="AE866" s="799"/>
      <c r="AF866" s="799"/>
      <c r="AG866" s="799"/>
      <c r="AH866" s="799"/>
      <c r="AI866" s="799"/>
      <c r="AJ866" s="799"/>
      <c r="AK866" s="799"/>
      <c r="AL866" s="799"/>
      <c r="AM866" s="799"/>
      <c r="AN866" s="799"/>
      <c r="AO866" s="799"/>
      <c r="AP866" s="799"/>
      <c r="AQ866" s="799"/>
      <c r="AR866" s="799"/>
      <c r="AS866" s="799"/>
      <c r="AT866" s="799"/>
      <c r="AU866" s="799"/>
      <c r="AV866" s="799"/>
      <c r="AW866" s="799"/>
      <c r="AX866" s="799"/>
      <c r="AY866" s="799"/>
      <c r="AZ866" s="799"/>
      <c r="BA866" s="799"/>
      <c r="BB866" s="799"/>
      <c r="BC866" s="799"/>
      <c r="BD866" s="799"/>
      <c r="BE866" s="799"/>
      <c r="BF866" s="799"/>
      <c r="BG866" s="799"/>
    </row>
    <row r="867">
      <c r="H867" s="799"/>
      <c r="I867" s="799"/>
      <c r="J867" s="799"/>
      <c r="K867" s="799"/>
      <c r="L867" s="799"/>
      <c r="M867" s="799"/>
      <c r="N867" s="799"/>
      <c r="O867" s="799"/>
      <c r="P867" s="799"/>
      <c r="Q867" s="799"/>
      <c r="R867" s="799"/>
      <c r="S867" s="799"/>
      <c r="T867" s="799"/>
      <c r="U867" s="799"/>
      <c r="V867" s="799"/>
      <c r="W867" s="799"/>
      <c r="X867" s="799"/>
      <c r="Y867" s="799"/>
      <c r="Z867" s="799"/>
      <c r="AA867" s="799"/>
      <c r="AB867" s="799"/>
      <c r="AC867" s="799"/>
      <c r="AD867" s="799"/>
      <c r="AE867" s="799"/>
      <c r="AF867" s="799"/>
      <c r="AG867" s="799"/>
      <c r="AH867" s="799"/>
      <c r="AI867" s="799"/>
      <c r="AJ867" s="799"/>
      <c r="AK867" s="799"/>
      <c r="AL867" s="799"/>
      <c r="AM867" s="799"/>
      <c r="AN867" s="799"/>
      <c r="AO867" s="799"/>
      <c r="AP867" s="799"/>
      <c r="AQ867" s="799"/>
      <c r="AR867" s="799"/>
      <c r="AS867" s="799"/>
      <c r="AT867" s="799"/>
      <c r="AU867" s="799"/>
      <c r="AV867" s="799"/>
      <c r="AW867" s="799"/>
      <c r="AX867" s="799"/>
      <c r="AY867" s="799"/>
      <c r="AZ867" s="799"/>
      <c r="BA867" s="799"/>
      <c r="BB867" s="799"/>
      <c r="BC867" s="799"/>
      <c r="BD867" s="799"/>
      <c r="BE867" s="799"/>
      <c r="BF867" s="799"/>
      <c r="BG867" s="799"/>
    </row>
    <row r="868">
      <c r="H868" s="799"/>
      <c r="I868" s="799"/>
      <c r="J868" s="799"/>
      <c r="K868" s="799"/>
      <c r="L868" s="799"/>
      <c r="M868" s="799"/>
      <c r="N868" s="799"/>
      <c r="O868" s="799"/>
      <c r="P868" s="799"/>
      <c r="Q868" s="799"/>
      <c r="R868" s="799"/>
      <c r="S868" s="799"/>
      <c r="T868" s="799"/>
      <c r="U868" s="799"/>
      <c r="V868" s="799"/>
      <c r="W868" s="799"/>
      <c r="X868" s="799"/>
      <c r="Y868" s="799"/>
      <c r="Z868" s="799"/>
      <c r="AA868" s="799"/>
      <c r="AB868" s="799"/>
      <c r="AC868" s="799"/>
      <c r="AD868" s="799"/>
      <c r="AE868" s="799"/>
      <c r="AF868" s="799"/>
      <c r="AG868" s="799"/>
      <c r="AH868" s="799"/>
      <c r="AI868" s="799"/>
      <c r="AJ868" s="799"/>
      <c r="AK868" s="799"/>
      <c r="AL868" s="799"/>
      <c r="AM868" s="799"/>
      <c r="AN868" s="799"/>
      <c r="AO868" s="799"/>
      <c r="AP868" s="799"/>
      <c r="AQ868" s="799"/>
      <c r="AR868" s="799"/>
      <c r="AS868" s="799"/>
      <c r="AT868" s="799"/>
      <c r="AU868" s="799"/>
      <c r="AV868" s="799"/>
      <c r="AW868" s="799"/>
      <c r="AX868" s="799"/>
      <c r="AY868" s="799"/>
      <c r="AZ868" s="799"/>
      <c r="BA868" s="799"/>
      <c r="BB868" s="799"/>
      <c r="BC868" s="799"/>
      <c r="BD868" s="799"/>
      <c r="BE868" s="799"/>
      <c r="BF868" s="799"/>
      <c r="BG868" s="799"/>
    </row>
    <row r="869">
      <c r="H869" s="799"/>
      <c r="I869" s="799"/>
      <c r="J869" s="799"/>
      <c r="K869" s="799"/>
      <c r="L869" s="799"/>
      <c r="M869" s="799"/>
      <c r="N869" s="799"/>
      <c r="O869" s="799"/>
      <c r="P869" s="799"/>
      <c r="Q869" s="799"/>
      <c r="R869" s="799"/>
      <c r="S869" s="799"/>
      <c r="T869" s="799"/>
      <c r="U869" s="799"/>
      <c r="V869" s="799"/>
      <c r="W869" s="799"/>
      <c r="X869" s="799"/>
      <c r="Y869" s="799"/>
      <c r="Z869" s="799"/>
      <c r="AA869" s="799"/>
      <c r="AB869" s="799"/>
      <c r="AC869" s="799"/>
      <c r="AD869" s="799"/>
      <c r="AE869" s="799"/>
      <c r="AF869" s="799"/>
      <c r="AG869" s="799"/>
      <c r="AH869" s="799"/>
      <c r="AI869" s="799"/>
      <c r="AJ869" s="799"/>
      <c r="AK869" s="799"/>
      <c r="AL869" s="799"/>
      <c r="AM869" s="799"/>
      <c r="AN869" s="799"/>
      <c r="AO869" s="799"/>
      <c r="AP869" s="799"/>
      <c r="AQ869" s="799"/>
      <c r="AR869" s="799"/>
      <c r="AS869" s="799"/>
      <c r="AT869" s="799"/>
      <c r="AU869" s="799"/>
      <c r="AV869" s="799"/>
      <c r="AW869" s="799"/>
      <c r="AX869" s="799"/>
      <c r="AY869" s="799"/>
      <c r="AZ869" s="799"/>
      <c r="BA869" s="799"/>
      <c r="BB869" s="799"/>
      <c r="BC869" s="799"/>
      <c r="BD869" s="799"/>
      <c r="BE869" s="799"/>
      <c r="BF869" s="799"/>
      <c r="BG869" s="799"/>
    </row>
    <row r="870">
      <c r="H870" s="799"/>
      <c r="I870" s="799"/>
      <c r="J870" s="799"/>
      <c r="K870" s="799"/>
      <c r="L870" s="799"/>
      <c r="M870" s="799"/>
      <c r="N870" s="799"/>
      <c r="O870" s="799"/>
      <c r="P870" s="799"/>
      <c r="Q870" s="799"/>
      <c r="R870" s="799"/>
      <c r="S870" s="799"/>
      <c r="T870" s="799"/>
      <c r="U870" s="799"/>
      <c r="V870" s="799"/>
      <c r="W870" s="799"/>
      <c r="X870" s="799"/>
      <c r="Y870" s="799"/>
      <c r="Z870" s="799"/>
      <c r="AA870" s="799"/>
      <c r="AB870" s="799"/>
      <c r="AC870" s="799"/>
      <c r="AD870" s="799"/>
      <c r="AE870" s="799"/>
      <c r="AF870" s="799"/>
      <c r="AG870" s="799"/>
      <c r="AH870" s="799"/>
      <c r="AI870" s="799"/>
      <c r="AJ870" s="799"/>
      <c r="AK870" s="799"/>
      <c r="AL870" s="799"/>
      <c r="AM870" s="799"/>
      <c r="AN870" s="799"/>
      <c r="AO870" s="799"/>
      <c r="AP870" s="799"/>
      <c r="AQ870" s="799"/>
      <c r="AR870" s="799"/>
      <c r="AS870" s="799"/>
      <c r="AT870" s="799"/>
      <c r="AU870" s="799"/>
      <c r="AV870" s="799"/>
      <c r="AW870" s="799"/>
      <c r="AX870" s="799"/>
      <c r="AY870" s="799"/>
      <c r="AZ870" s="799"/>
      <c r="BA870" s="799"/>
      <c r="BB870" s="799"/>
      <c r="BC870" s="799"/>
      <c r="BD870" s="799"/>
      <c r="BE870" s="799"/>
      <c r="BF870" s="799"/>
      <c r="BG870" s="799"/>
    </row>
    <row r="871">
      <c r="H871" s="799"/>
      <c r="I871" s="799"/>
      <c r="J871" s="799"/>
      <c r="K871" s="799"/>
      <c r="L871" s="799"/>
      <c r="M871" s="799"/>
      <c r="N871" s="799"/>
      <c r="O871" s="799"/>
      <c r="P871" s="799"/>
      <c r="Q871" s="799"/>
      <c r="R871" s="799"/>
      <c r="S871" s="799"/>
      <c r="T871" s="799"/>
      <c r="U871" s="799"/>
      <c r="V871" s="799"/>
      <c r="W871" s="799"/>
      <c r="X871" s="799"/>
      <c r="Y871" s="799"/>
      <c r="Z871" s="799"/>
      <c r="AA871" s="799"/>
      <c r="AB871" s="799"/>
      <c r="AC871" s="799"/>
      <c r="AD871" s="799"/>
      <c r="AE871" s="799"/>
      <c r="AF871" s="799"/>
      <c r="AG871" s="799"/>
      <c r="AH871" s="799"/>
      <c r="AI871" s="799"/>
      <c r="AJ871" s="799"/>
      <c r="AK871" s="799"/>
      <c r="AL871" s="799"/>
      <c r="AM871" s="799"/>
      <c r="AN871" s="799"/>
      <c r="AO871" s="799"/>
      <c r="AP871" s="799"/>
      <c r="AQ871" s="799"/>
      <c r="AR871" s="799"/>
      <c r="AS871" s="799"/>
      <c r="AT871" s="799"/>
      <c r="AU871" s="799"/>
      <c r="AV871" s="799"/>
      <c r="AW871" s="799"/>
      <c r="AX871" s="799"/>
      <c r="AY871" s="799"/>
      <c r="AZ871" s="799"/>
      <c r="BA871" s="799"/>
      <c r="BB871" s="799"/>
      <c r="BC871" s="799"/>
      <c r="BD871" s="799"/>
      <c r="BE871" s="799"/>
      <c r="BF871" s="799"/>
      <c r="BG871" s="799"/>
    </row>
    <row r="872">
      <c r="H872" s="799"/>
      <c r="I872" s="799"/>
      <c r="J872" s="799"/>
      <c r="K872" s="799"/>
      <c r="L872" s="799"/>
      <c r="M872" s="799"/>
      <c r="N872" s="799"/>
      <c r="O872" s="799"/>
      <c r="P872" s="799"/>
      <c r="Q872" s="799"/>
      <c r="R872" s="799"/>
      <c r="S872" s="799"/>
      <c r="T872" s="799"/>
      <c r="U872" s="799"/>
      <c r="V872" s="799"/>
      <c r="W872" s="799"/>
      <c r="X872" s="799"/>
      <c r="Y872" s="799"/>
      <c r="Z872" s="799"/>
      <c r="AA872" s="799"/>
      <c r="AB872" s="799"/>
      <c r="AC872" s="799"/>
      <c r="AD872" s="799"/>
      <c r="AE872" s="799"/>
      <c r="AF872" s="799"/>
      <c r="AG872" s="799"/>
      <c r="AH872" s="799"/>
      <c r="AI872" s="799"/>
      <c r="AJ872" s="799"/>
      <c r="AK872" s="799"/>
      <c r="AL872" s="799"/>
      <c r="AM872" s="799"/>
      <c r="AN872" s="799"/>
      <c r="AO872" s="799"/>
      <c r="AP872" s="799"/>
      <c r="AQ872" s="799"/>
      <c r="AR872" s="799"/>
      <c r="AS872" s="799"/>
      <c r="AT872" s="799"/>
      <c r="AU872" s="799"/>
      <c r="AV872" s="799"/>
      <c r="AW872" s="799"/>
      <c r="AX872" s="799"/>
      <c r="AY872" s="799"/>
      <c r="AZ872" s="799"/>
      <c r="BA872" s="799"/>
      <c r="BB872" s="799"/>
      <c r="BC872" s="799"/>
      <c r="BD872" s="799"/>
      <c r="BE872" s="799"/>
      <c r="BF872" s="799"/>
      <c r="BG872" s="799"/>
    </row>
    <row r="873">
      <c r="H873" s="799"/>
      <c r="I873" s="799"/>
      <c r="J873" s="799"/>
      <c r="K873" s="799"/>
      <c r="L873" s="799"/>
      <c r="M873" s="799"/>
      <c r="N873" s="799"/>
      <c r="O873" s="799"/>
      <c r="P873" s="799"/>
      <c r="Q873" s="799"/>
      <c r="R873" s="799"/>
      <c r="S873" s="799"/>
      <c r="T873" s="799"/>
      <c r="U873" s="799"/>
      <c r="V873" s="799"/>
      <c r="W873" s="799"/>
      <c r="X873" s="799"/>
      <c r="Y873" s="799"/>
      <c r="Z873" s="799"/>
      <c r="AA873" s="799"/>
      <c r="AB873" s="799"/>
      <c r="AC873" s="799"/>
      <c r="AD873" s="799"/>
      <c r="AE873" s="799"/>
      <c r="AF873" s="799"/>
      <c r="AG873" s="799"/>
      <c r="AH873" s="799"/>
      <c r="AI873" s="799"/>
      <c r="AJ873" s="799"/>
      <c r="AK873" s="799"/>
      <c r="AL873" s="799"/>
      <c r="AM873" s="799"/>
      <c r="AN873" s="799"/>
      <c r="AO873" s="799"/>
      <c r="AP873" s="799"/>
      <c r="AQ873" s="799"/>
      <c r="AR873" s="799"/>
      <c r="AS873" s="799"/>
      <c r="AT873" s="799"/>
      <c r="AU873" s="799"/>
      <c r="AV873" s="799"/>
      <c r="AW873" s="799"/>
      <c r="AX873" s="799"/>
      <c r="AY873" s="799"/>
      <c r="AZ873" s="799"/>
      <c r="BA873" s="799"/>
      <c r="BB873" s="799"/>
      <c r="BC873" s="799"/>
      <c r="BD873" s="799"/>
      <c r="BE873" s="799"/>
      <c r="BF873" s="799"/>
      <c r="BG873" s="799"/>
    </row>
    <row r="874">
      <c r="H874" s="799"/>
      <c r="I874" s="799"/>
      <c r="J874" s="799"/>
      <c r="K874" s="799"/>
      <c r="L874" s="799"/>
      <c r="M874" s="799"/>
      <c r="N874" s="799"/>
      <c r="O874" s="799"/>
      <c r="P874" s="799"/>
      <c r="Q874" s="799"/>
      <c r="R874" s="799"/>
      <c r="S874" s="799"/>
      <c r="T874" s="799"/>
      <c r="U874" s="799"/>
      <c r="V874" s="799"/>
      <c r="W874" s="799"/>
      <c r="X874" s="799"/>
      <c r="Y874" s="799"/>
      <c r="Z874" s="799"/>
      <c r="AA874" s="799"/>
      <c r="AB874" s="799"/>
      <c r="AC874" s="799"/>
      <c r="AD874" s="799"/>
      <c r="AE874" s="799"/>
      <c r="AF874" s="799"/>
      <c r="AG874" s="799"/>
      <c r="AH874" s="799"/>
      <c r="AI874" s="799"/>
      <c r="AJ874" s="799"/>
      <c r="AK874" s="799"/>
      <c r="AL874" s="799"/>
      <c r="AM874" s="799"/>
      <c r="AN874" s="799"/>
      <c r="AO874" s="799"/>
      <c r="AP874" s="799"/>
      <c r="AQ874" s="799"/>
      <c r="AR874" s="799"/>
      <c r="AS874" s="799"/>
      <c r="AT874" s="799"/>
      <c r="AU874" s="799"/>
      <c r="AV874" s="799"/>
      <c r="AW874" s="799"/>
      <c r="AX874" s="799"/>
      <c r="AY874" s="799"/>
      <c r="AZ874" s="799"/>
      <c r="BA874" s="799"/>
      <c r="BB874" s="799"/>
      <c r="BC874" s="799"/>
      <c r="BD874" s="799"/>
      <c r="BE874" s="799"/>
      <c r="BF874" s="799"/>
      <c r="BG874" s="799"/>
    </row>
    <row r="875">
      <c r="H875" s="799"/>
      <c r="I875" s="799"/>
      <c r="J875" s="799"/>
      <c r="K875" s="799"/>
      <c r="L875" s="799"/>
      <c r="M875" s="799"/>
      <c r="N875" s="799"/>
      <c r="O875" s="799"/>
      <c r="P875" s="799"/>
      <c r="Q875" s="799"/>
      <c r="R875" s="799"/>
      <c r="S875" s="799"/>
      <c r="T875" s="799"/>
      <c r="U875" s="799"/>
      <c r="V875" s="799"/>
      <c r="W875" s="799"/>
      <c r="X875" s="799"/>
      <c r="Y875" s="799"/>
      <c r="Z875" s="799"/>
      <c r="AA875" s="799"/>
      <c r="AB875" s="799"/>
      <c r="AC875" s="799"/>
      <c r="AD875" s="799"/>
      <c r="AE875" s="799"/>
      <c r="AF875" s="799"/>
      <c r="AG875" s="799"/>
      <c r="AH875" s="799"/>
      <c r="AI875" s="799"/>
      <c r="AJ875" s="799"/>
      <c r="AK875" s="799"/>
      <c r="AL875" s="799"/>
      <c r="AM875" s="799"/>
      <c r="AN875" s="799"/>
      <c r="AO875" s="799"/>
      <c r="AP875" s="799"/>
      <c r="AQ875" s="799"/>
      <c r="AR875" s="799"/>
      <c r="AS875" s="799"/>
      <c r="AT875" s="799"/>
      <c r="AU875" s="799"/>
      <c r="AV875" s="799"/>
      <c r="AW875" s="799"/>
      <c r="AX875" s="799"/>
      <c r="AY875" s="799"/>
      <c r="AZ875" s="799"/>
      <c r="BA875" s="799"/>
      <c r="BB875" s="799"/>
      <c r="BC875" s="799"/>
      <c r="BD875" s="799"/>
      <c r="BE875" s="799"/>
      <c r="BF875" s="799"/>
      <c r="BG875" s="799"/>
    </row>
    <row r="876">
      <c r="H876" s="799"/>
      <c r="I876" s="799"/>
      <c r="J876" s="799"/>
      <c r="K876" s="799"/>
      <c r="L876" s="799"/>
      <c r="M876" s="799"/>
      <c r="N876" s="799"/>
      <c r="O876" s="799"/>
      <c r="P876" s="799"/>
      <c r="Q876" s="799"/>
      <c r="R876" s="799"/>
      <c r="S876" s="799"/>
      <c r="T876" s="799"/>
      <c r="U876" s="799"/>
      <c r="V876" s="799"/>
      <c r="W876" s="799"/>
      <c r="X876" s="799"/>
      <c r="Y876" s="799"/>
      <c r="Z876" s="799"/>
      <c r="AA876" s="799"/>
      <c r="AB876" s="799"/>
      <c r="AC876" s="799"/>
      <c r="AD876" s="799"/>
      <c r="AE876" s="799"/>
      <c r="AF876" s="799"/>
      <c r="AG876" s="799"/>
      <c r="AH876" s="799"/>
      <c r="AI876" s="799"/>
      <c r="AJ876" s="799"/>
      <c r="AK876" s="799"/>
      <c r="AL876" s="799"/>
      <c r="AM876" s="799"/>
      <c r="AN876" s="799"/>
      <c r="AO876" s="799"/>
      <c r="AP876" s="799"/>
      <c r="AQ876" s="799"/>
      <c r="AR876" s="799"/>
      <c r="AS876" s="799"/>
      <c r="AT876" s="799"/>
      <c r="AU876" s="799"/>
      <c r="AV876" s="799"/>
      <c r="AW876" s="799"/>
      <c r="AX876" s="799"/>
      <c r="AY876" s="799"/>
      <c r="AZ876" s="799"/>
      <c r="BA876" s="799"/>
      <c r="BB876" s="799"/>
      <c r="BC876" s="799"/>
      <c r="BD876" s="799"/>
      <c r="BE876" s="799"/>
      <c r="BF876" s="799"/>
      <c r="BG876" s="799"/>
    </row>
    <row r="877">
      <c r="H877" s="799"/>
      <c r="I877" s="799"/>
      <c r="J877" s="799"/>
      <c r="K877" s="799"/>
      <c r="L877" s="799"/>
      <c r="M877" s="799"/>
      <c r="N877" s="799"/>
      <c r="O877" s="799"/>
      <c r="P877" s="799"/>
      <c r="Q877" s="799"/>
      <c r="R877" s="799"/>
      <c r="S877" s="799"/>
      <c r="T877" s="799"/>
      <c r="U877" s="799"/>
      <c r="V877" s="799"/>
      <c r="W877" s="799"/>
      <c r="X877" s="799"/>
      <c r="Y877" s="799"/>
      <c r="Z877" s="799"/>
      <c r="AA877" s="799"/>
      <c r="AB877" s="799"/>
      <c r="AC877" s="799"/>
      <c r="AD877" s="799"/>
      <c r="AE877" s="799"/>
      <c r="AF877" s="799"/>
      <c r="AG877" s="799"/>
      <c r="AH877" s="799"/>
      <c r="AI877" s="799"/>
      <c r="AJ877" s="799"/>
      <c r="AK877" s="799"/>
      <c r="AL877" s="799"/>
      <c r="AM877" s="799"/>
      <c r="AN877" s="799"/>
      <c r="AO877" s="799"/>
      <c r="AP877" s="799"/>
      <c r="AQ877" s="799"/>
      <c r="AR877" s="799"/>
      <c r="AS877" s="799"/>
      <c r="AT877" s="799"/>
      <c r="AU877" s="799"/>
      <c r="AV877" s="799"/>
      <c r="AW877" s="799"/>
      <c r="AX877" s="799"/>
      <c r="AY877" s="799"/>
      <c r="AZ877" s="799"/>
      <c r="BA877" s="799"/>
      <c r="BB877" s="799"/>
      <c r="BC877" s="799"/>
      <c r="BD877" s="799"/>
      <c r="BE877" s="799"/>
      <c r="BF877" s="799"/>
      <c r="BG877" s="799"/>
    </row>
    <row r="878">
      <c r="H878" s="799"/>
      <c r="I878" s="799"/>
      <c r="J878" s="799"/>
      <c r="K878" s="799"/>
      <c r="L878" s="799"/>
      <c r="M878" s="799"/>
      <c r="N878" s="799"/>
      <c r="O878" s="799"/>
      <c r="P878" s="799"/>
      <c r="Q878" s="799"/>
      <c r="R878" s="799"/>
      <c r="S878" s="799"/>
      <c r="T878" s="799"/>
      <c r="U878" s="799"/>
      <c r="V878" s="799"/>
      <c r="W878" s="799"/>
      <c r="X878" s="799"/>
      <c r="Y878" s="799"/>
      <c r="Z878" s="799"/>
      <c r="AA878" s="799"/>
      <c r="AB878" s="799"/>
      <c r="AC878" s="799"/>
      <c r="AD878" s="799"/>
      <c r="AE878" s="799"/>
      <c r="AF878" s="799"/>
      <c r="AG878" s="799"/>
      <c r="AH878" s="799"/>
      <c r="AI878" s="799"/>
      <c r="AJ878" s="799"/>
      <c r="AK878" s="799"/>
      <c r="AL878" s="799"/>
      <c r="AM878" s="799"/>
      <c r="AN878" s="799"/>
      <c r="AO878" s="799"/>
      <c r="AP878" s="799"/>
      <c r="AQ878" s="799"/>
      <c r="AR878" s="799"/>
      <c r="AS878" s="799"/>
      <c r="AT878" s="799"/>
      <c r="AU878" s="799"/>
      <c r="AV878" s="799"/>
      <c r="AW878" s="799"/>
      <c r="AX878" s="799"/>
      <c r="AY878" s="799"/>
      <c r="AZ878" s="799"/>
      <c r="BA878" s="799"/>
      <c r="BB878" s="799"/>
      <c r="BC878" s="799"/>
      <c r="BD878" s="799"/>
      <c r="BE878" s="799"/>
      <c r="BF878" s="799"/>
      <c r="BG878" s="799"/>
    </row>
    <row r="879">
      <c r="H879" s="799"/>
      <c r="I879" s="799"/>
      <c r="J879" s="799"/>
      <c r="K879" s="799"/>
      <c r="L879" s="799"/>
      <c r="M879" s="799"/>
      <c r="N879" s="799"/>
      <c r="O879" s="799"/>
      <c r="P879" s="799"/>
      <c r="Q879" s="799"/>
      <c r="R879" s="799"/>
      <c r="S879" s="799"/>
      <c r="T879" s="799"/>
      <c r="U879" s="799"/>
      <c r="V879" s="799"/>
      <c r="W879" s="799"/>
      <c r="X879" s="799"/>
      <c r="Y879" s="799"/>
      <c r="Z879" s="799"/>
      <c r="AA879" s="799"/>
      <c r="AB879" s="799"/>
      <c r="AC879" s="799"/>
      <c r="AD879" s="799"/>
      <c r="AE879" s="799"/>
      <c r="AF879" s="799"/>
      <c r="AG879" s="799"/>
      <c r="AH879" s="799"/>
      <c r="AI879" s="799"/>
      <c r="AJ879" s="799"/>
      <c r="AK879" s="799"/>
      <c r="AL879" s="799"/>
      <c r="AM879" s="799"/>
      <c r="AN879" s="799"/>
      <c r="AO879" s="799"/>
      <c r="AP879" s="799"/>
      <c r="AQ879" s="799"/>
      <c r="AR879" s="799"/>
      <c r="AS879" s="799"/>
      <c r="AT879" s="799"/>
      <c r="AU879" s="799"/>
      <c r="AV879" s="799"/>
      <c r="AW879" s="799"/>
      <c r="AX879" s="799"/>
      <c r="AY879" s="799"/>
      <c r="AZ879" s="799"/>
      <c r="BA879" s="799"/>
      <c r="BB879" s="799"/>
      <c r="BC879" s="799"/>
      <c r="BD879" s="799"/>
      <c r="BE879" s="799"/>
      <c r="BF879" s="799"/>
      <c r="BG879" s="799"/>
    </row>
    <row r="880">
      <c r="H880" s="799"/>
      <c r="I880" s="799"/>
      <c r="J880" s="799"/>
      <c r="K880" s="799"/>
      <c r="L880" s="799"/>
      <c r="M880" s="799"/>
      <c r="N880" s="799"/>
      <c r="O880" s="799"/>
      <c r="P880" s="799"/>
      <c r="Q880" s="799"/>
      <c r="R880" s="799"/>
      <c r="S880" s="799"/>
      <c r="T880" s="799"/>
      <c r="U880" s="799"/>
      <c r="V880" s="799"/>
      <c r="W880" s="799"/>
      <c r="X880" s="799"/>
      <c r="Y880" s="799"/>
      <c r="Z880" s="799"/>
      <c r="AA880" s="799"/>
      <c r="AB880" s="799"/>
      <c r="AC880" s="799"/>
      <c r="AD880" s="799"/>
      <c r="AE880" s="799"/>
      <c r="AF880" s="799"/>
      <c r="AG880" s="799"/>
      <c r="AH880" s="799"/>
      <c r="AI880" s="799"/>
      <c r="AJ880" s="799"/>
      <c r="AK880" s="799"/>
      <c r="AL880" s="799"/>
      <c r="AM880" s="799"/>
      <c r="AN880" s="799"/>
      <c r="AO880" s="799"/>
      <c r="AP880" s="799"/>
      <c r="AQ880" s="799"/>
      <c r="AR880" s="799"/>
      <c r="AS880" s="799"/>
      <c r="AT880" s="799"/>
      <c r="AU880" s="799"/>
      <c r="AV880" s="799"/>
      <c r="AW880" s="799"/>
      <c r="AX880" s="799"/>
      <c r="AY880" s="799"/>
      <c r="AZ880" s="799"/>
      <c r="BA880" s="799"/>
      <c r="BB880" s="799"/>
      <c r="BC880" s="799"/>
      <c r="BD880" s="799"/>
      <c r="BE880" s="799"/>
      <c r="BF880" s="799"/>
      <c r="BG880" s="799"/>
    </row>
    <row r="881">
      <c r="H881" s="799"/>
      <c r="I881" s="799"/>
      <c r="J881" s="799"/>
      <c r="K881" s="799"/>
      <c r="L881" s="799"/>
      <c r="M881" s="799"/>
      <c r="N881" s="799"/>
      <c r="O881" s="799"/>
      <c r="P881" s="799"/>
      <c r="Q881" s="799"/>
      <c r="R881" s="799"/>
      <c r="S881" s="799"/>
      <c r="T881" s="799"/>
      <c r="U881" s="799"/>
      <c r="V881" s="799"/>
      <c r="W881" s="799"/>
      <c r="X881" s="799"/>
      <c r="Y881" s="799"/>
      <c r="Z881" s="799"/>
      <c r="AA881" s="799"/>
      <c r="AB881" s="799"/>
      <c r="AC881" s="799"/>
      <c r="AD881" s="799"/>
      <c r="AE881" s="799"/>
      <c r="AF881" s="799"/>
      <c r="AG881" s="799"/>
      <c r="AH881" s="799"/>
      <c r="AI881" s="799"/>
      <c r="AJ881" s="799"/>
      <c r="AK881" s="799"/>
      <c r="AL881" s="799"/>
      <c r="AM881" s="799"/>
      <c r="AN881" s="799"/>
      <c r="AO881" s="799"/>
      <c r="AP881" s="799"/>
      <c r="AQ881" s="799"/>
      <c r="AR881" s="799"/>
      <c r="AS881" s="799"/>
      <c r="AT881" s="799"/>
      <c r="AU881" s="799"/>
      <c r="AV881" s="799"/>
      <c r="AW881" s="799"/>
      <c r="AX881" s="799"/>
      <c r="AY881" s="799"/>
      <c r="AZ881" s="799"/>
      <c r="BA881" s="799"/>
      <c r="BB881" s="799"/>
      <c r="BC881" s="799"/>
      <c r="BD881" s="799"/>
      <c r="BE881" s="799"/>
      <c r="BF881" s="799"/>
      <c r="BG881" s="799"/>
    </row>
    <row r="882">
      <c r="H882" s="799"/>
      <c r="I882" s="799"/>
      <c r="J882" s="799"/>
      <c r="K882" s="799"/>
      <c r="L882" s="799"/>
      <c r="M882" s="799"/>
      <c r="N882" s="799"/>
      <c r="O882" s="799"/>
      <c r="P882" s="799"/>
      <c r="Q882" s="799"/>
      <c r="R882" s="799"/>
      <c r="S882" s="799"/>
      <c r="T882" s="799"/>
      <c r="U882" s="799"/>
      <c r="V882" s="799"/>
      <c r="W882" s="799"/>
      <c r="X882" s="799"/>
      <c r="Y882" s="799"/>
      <c r="Z882" s="799"/>
      <c r="AA882" s="799"/>
      <c r="AB882" s="799"/>
      <c r="AC882" s="799"/>
      <c r="AD882" s="799"/>
      <c r="AE882" s="799"/>
      <c r="AF882" s="799"/>
      <c r="AG882" s="799"/>
      <c r="AH882" s="799"/>
      <c r="AI882" s="799"/>
      <c r="AJ882" s="799"/>
      <c r="AK882" s="799"/>
      <c r="AL882" s="799"/>
      <c r="AM882" s="799"/>
      <c r="AN882" s="799"/>
      <c r="AO882" s="799"/>
      <c r="AP882" s="799"/>
      <c r="AQ882" s="799"/>
      <c r="AR882" s="799"/>
      <c r="AS882" s="799"/>
      <c r="AT882" s="799"/>
      <c r="AU882" s="799"/>
      <c r="AV882" s="799"/>
      <c r="AW882" s="799"/>
      <c r="AX882" s="799"/>
      <c r="AY882" s="799"/>
      <c r="AZ882" s="799"/>
      <c r="BA882" s="799"/>
      <c r="BB882" s="799"/>
      <c r="BC882" s="799"/>
      <c r="BD882" s="799"/>
      <c r="BE882" s="799"/>
      <c r="BF882" s="799"/>
      <c r="BG882" s="799"/>
    </row>
    <row r="883">
      <c r="H883" s="799"/>
      <c r="I883" s="799"/>
      <c r="J883" s="799"/>
      <c r="K883" s="799"/>
      <c r="L883" s="799"/>
      <c r="M883" s="799"/>
      <c r="N883" s="799"/>
      <c r="O883" s="799"/>
      <c r="P883" s="799"/>
      <c r="Q883" s="799"/>
      <c r="R883" s="799"/>
      <c r="S883" s="799"/>
      <c r="T883" s="799"/>
      <c r="U883" s="799"/>
      <c r="V883" s="799"/>
      <c r="W883" s="799"/>
      <c r="X883" s="799"/>
      <c r="Y883" s="799"/>
      <c r="Z883" s="799"/>
      <c r="AA883" s="799"/>
      <c r="AB883" s="799"/>
      <c r="AC883" s="799"/>
      <c r="AD883" s="799"/>
      <c r="AE883" s="799"/>
      <c r="AF883" s="799"/>
      <c r="AG883" s="799"/>
      <c r="AH883" s="799"/>
      <c r="AI883" s="799"/>
      <c r="AJ883" s="799"/>
      <c r="AK883" s="799"/>
      <c r="AL883" s="799"/>
      <c r="AM883" s="799"/>
      <c r="AN883" s="799"/>
      <c r="AO883" s="799"/>
      <c r="AP883" s="799"/>
      <c r="AQ883" s="799"/>
      <c r="AR883" s="799"/>
      <c r="AS883" s="799"/>
      <c r="AT883" s="799"/>
      <c r="AU883" s="799"/>
      <c r="AV883" s="799"/>
      <c r="AW883" s="799"/>
      <c r="AX883" s="799"/>
      <c r="AY883" s="799"/>
      <c r="AZ883" s="799"/>
      <c r="BA883" s="799"/>
      <c r="BB883" s="799"/>
      <c r="BC883" s="799"/>
      <c r="BD883" s="799"/>
      <c r="BE883" s="799"/>
      <c r="BF883" s="799"/>
      <c r="BG883" s="799"/>
    </row>
    <row r="884">
      <c r="H884" s="799"/>
      <c r="I884" s="799"/>
      <c r="J884" s="799"/>
      <c r="K884" s="799"/>
      <c r="L884" s="799"/>
      <c r="M884" s="799"/>
      <c r="N884" s="799"/>
      <c r="O884" s="799"/>
      <c r="P884" s="799"/>
      <c r="Q884" s="799"/>
      <c r="R884" s="799"/>
      <c r="S884" s="799"/>
      <c r="T884" s="799"/>
      <c r="U884" s="799"/>
      <c r="V884" s="799"/>
      <c r="W884" s="799"/>
      <c r="X884" s="799"/>
      <c r="Y884" s="799"/>
      <c r="Z884" s="799"/>
      <c r="AA884" s="799"/>
      <c r="AB884" s="799"/>
      <c r="AC884" s="799"/>
      <c r="AD884" s="799"/>
      <c r="AE884" s="799"/>
      <c r="AF884" s="799"/>
      <c r="AG884" s="799"/>
      <c r="AH884" s="799"/>
      <c r="AI884" s="799"/>
      <c r="AJ884" s="799"/>
      <c r="AK884" s="799"/>
      <c r="AL884" s="799"/>
      <c r="AM884" s="799"/>
      <c r="AN884" s="799"/>
      <c r="AO884" s="799"/>
      <c r="AP884" s="799"/>
      <c r="AQ884" s="799"/>
      <c r="AR884" s="799"/>
      <c r="AS884" s="799"/>
      <c r="AT884" s="799"/>
      <c r="AU884" s="799"/>
      <c r="AV884" s="799"/>
      <c r="AW884" s="799"/>
      <c r="AX884" s="799"/>
      <c r="AY884" s="799"/>
      <c r="AZ884" s="799"/>
      <c r="BA884" s="799"/>
      <c r="BB884" s="799"/>
      <c r="BC884" s="799"/>
      <c r="BD884" s="799"/>
      <c r="BE884" s="799"/>
      <c r="BF884" s="799"/>
      <c r="BG884" s="799"/>
    </row>
    <row r="885">
      <c r="H885" s="799"/>
      <c r="I885" s="799"/>
      <c r="J885" s="799"/>
      <c r="K885" s="799"/>
      <c r="L885" s="799"/>
      <c r="M885" s="799"/>
      <c r="N885" s="799"/>
      <c r="O885" s="799"/>
      <c r="P885" s="799"/>
      <c r="Q885" s="799"/>
      <c r="R885" s="799"/>
      <c r="S885" s="799"/>
      <c r="T885" s="799"/>
      <c r="U885" s="799"/>
      <c r="V885" s="799"/>
      <c r="W885" s="799"/>
      <c r="X885" s="799"/>
      <c r="Y885" s="799"/>
      <c r="Z885" s="799"/>
      <c r="AA885" s="799"/>
      <c r="AB885" s="799"/>
      <c r="AC885" s="799"/>
      <c r="AD885" s="799"/>
      <c r="AE885" s="799"/>
      <c r="AF885" s="799"/>
      <c r="AG885" s="799"/>
      <c r="AH885" s="799"/>
      <c r="AI885" s="799"/>
      <c r="AJ885" s="799"/>
      <c r="AK885" s="799"/>
      <c r="AL885" s="799"/>
      <c r="AM885" s="799"/>
      <c r="AN885" s="799"/>
      <c r="AO885" s="799"/>
      <c r="AP885" s="799"/>
      <c r="AQ885" s="799"/>
      <c r="AR885" s="799"/>
      <c r="AS885" s="799"/>
      <c r="AT885" s="799"/>
      <c r="AU885" s="799"/>
      <c r="AV885" s="799"/>
      <c r="AW885" s="799"/>
      <c r="AX885" s="799"/>
      <c r="AY885" s="799"/>
      <c r="AZ885" s="799"/>
      <c r="BA885" s="799"/>
      <c r="BB885" s="799"/>
      <c r="BC885" s="799"/>
      <c r="BD885" s="799"/>
      <c r="BE885" s="799"/>
      <c r="BF885" s="799"/>
      <c r="BG885" s="799"/>
    </row>
    <row r="886">
      <c r="H886" s="799"/>
      <c r="I886" s="799"/>
      <c r="J886" s="799"/>
      <c r="K886" s="799"/>
      <c r="L886" s="799"/>
      <c r="M886" s="799"/>
      <c r="N886" s="799"/>
      <c r="O886" s="799"/>
      <c r="P886" s="799"/>
      <c r="Q886" s="799"/>
      <c r="R886" s="799"/>
      <c r="S886" s="799"/>
      <c r="T886" s="799"/>
      <c r="U886" s="799"/>
      <c r="V886" s="799"/>
      <c r="W886" s="799"/>
      <c r="X886" s="799"/>
      <c r="Y886" s="799"/>
      <c r="Z886" s="799"/>
      <c r="AA886" s="799"/>
      <c r="AB886" s="799"/>
      <c r="AC886" s="799"/>
      <c r="AD886" s="799"/>
      <c r="AE886" s="799"/>
      <c r="AF886" s="799"/>
      <c r="AG886" s="799"/>
      <c r="AH886" s="799"/>
      <c r="AI886" s="799"/>
      <c r="AJ886" s="799"/>
      <c r="AK886" s="799"/>
      <c r="AL886" s="799"/>
      <c r="AM886" s="799"/>
      <c r="AN886" s="799"/>
      <c r="AO886" s="799"/>
      <c r="AP886" s="799"/>
      <c r="AQ886" s="799"/>
      <c r="AR886" s="799"/>
      <c r="AS886" s="799"/>
      <c r="AT886" s="799"/>
      <c r="AU886" s="799"/>
      <c r="AV886" s="799"/>
      <c r="AW886" s="799"/>
      <c r="AX886" s="799"/>
      <c r="AY886" s="799"/>
      <c r="AZ886" s="799"/>
      <c r="BA886" s="799"/>
      <c r="BB886" s="799"/>
      <c r="BC886" s="799"/>
      <c r="BD886" s="799"/>
      <c r="BE886" s="799"/>
      <c r="BF886" s="799"/>
      <c r="BG886" s="799"/>
    </row>
    <row r="887">
      <c r="H887" s="799"/>
      <c r="I887" s="799"/>
      <c r="J887" s="799"/>
      <c r="K887" s="799"/>
      <c r="L887" s="799"/>
      <c r="M887" s="799"/>
      <c r="N887" s="799"/>
      <c r="O887" s="799"/>
      <c r="P887" s="799"/>
      <c r="Q887" s="799"/>
      <c r="R887" s="799"/>
      <c r="S887" s="799"/>
      <c r="T887" s="799"/>
      <c r="U887" s="799"/>
      <c r="V887" s="799"/>
      <c r="W887" s="799"/>
      <c r="X887" s="799"/>
      <c r="Y887" s="799"/>
      <c r="Z887" s="799"/>
      <c r="AA887" s="799"/>
      <c r="AB887" s="799"/>
      <c r="AC887" s="799"/>
      <c r="AD887" s="799"/>
      <c r="AE887" s="799"/>
      <c r="AF887" s="799"/>
      <c r="AG887" s="799"/>
      <c r="AH887" s="799"/>
      <c r="AI887" s="799"/>
      <c r="AJ887" s="799"/>
      <c r="AK887" s="799"/>
      <c r="AL887" s="799"/>
      <c r="AM887" s="799"/>
      <c r="AN887" s="799"/>
      <c r="AO887" s="799"/>
      <c r="AP887" s="799"/>
      <c r="AQ887" s="799"/>
      <c r="AR887" s="799"/>
      <c r="AS887" s="799"/>
      <c r="AT887" s="799"/>
      <c r="AU887" s="799"/>
      <c r="AV887" s="799"/>
      <c r="AW887" s="799"/>
      <c r="AX887" s="799"/>
      <c r="AY887" s="799"/>
      <c r="AZ887" s="799"/>
      <c r="BA887" s="799"/>
      <c r="BB887" s="799"/>
      <c r="BC887" s="799"/>
      <c r="BD887" s="799"/>
      <c r="BE887" s="799"/>
      <c r="BF887" s="799"/>
      <c r="BG887" s="799"/>
    </row>
    <row r="888">
      <c r="H888" s="799"/>
      <c r="I888" s="799"/>
      <c r="J888" s="799"/>
      <c r="K888" s="799"/>
      <c r="L888" s="799"/>
      <c r="M888" s="799"/>
      <c r="N888" s="799"/>
      <c r="O888" s="799"/>
      <c r="P888" s="799"/>
      <c r="Q888" s="799"/>
      <c r="R888" s="799"/>
      <c r="S888" s="799"/>
      <c r="T888" s="799"/>
      <c r="U888" s="799"/>
      <c r="V888" s="799"/>
      <c r="W888" s="799"/>
      <c r="X888" s="799"/>
      <c r="Y888" s="799"/>
      <c r="Z888" s="799"/>
      <c r="AA888" s="799"/>
      <c r="AB888" s="799"/>
      <c r="AC888" s="799"/>
      <c r="AD888" s="799"/>
      <c r="AE888" s="799"/>
      <c r="AF888" s="799"/>
      <c r="AG888" s="799"/>
      <c r="AH888" s="799"/>
      <c r="AI888" s="799"/>
      <c r="AJ888" s="799"/>
      <c r="AK888" s="799"/>
      <c r="AL888" s="799"/>
      <c r="AM888" s="799"/>
      <c r="AN888" s="799"/>
      <c r="AO888" s="799"/>
      <c r="AP888" s="799"/>
      <c r="AQ888" s="799"/>
      <c r="AR888" s="799"/>
      <c r="AS888" s="799"/>
      <c r="AT888" s="799"/>
      <c r="AU888" s="799"/>
      <c r="AV888" s="799"/>
      <c r="AW888" s="799"/>
      <c r="AX888" s="799"/>
      <c r="AY888" s="799"/>
      <c r="AZ888" s="799"/>
      <c r="BA888" s="799"/>
      <c r="BB888" s="799"/>
      <c r="BC888" s="799"/>
      <c r="BD888" s="799"/>
      <c r="BE888" s="799"/>
      <c r="BF888" s="799"/>
      <c r="BG888" s="799"/>
    </row>
    <row r="889">
      <c r="H889" s="799"/>
      <c r="I889" s="799"/>
      <c r="J889" s="799"/>
      <c r="K889" s="799"/>
      <c r="L889" s="799"/>
      <c r="M889" s="799"/>
      <c r="N889" s="799"/>
      <c r="O889" s="799"/>
      <c r="P889" s="799"/>
      <c r="Q889" s="799"/>
      <c r="R889" s="799"/>
      <c r="S889" s="799"/>
      <c r="T889" s="799"/>
      <c r="U889" s="799"/>
      <c r="V889" s="799"/>
      <c r="W889" s="799"/>
      <c r="X889" s="799"/>
      <c r="Y889" s="799"/>
      <c r="Z889" s="799"/>
      <c r="AA889" s="799"/>
      <c r="AB889" s="799"/>
      <c r="AC889" s="799"/>
      <c r="AD889" s="799"/>
      <c r="AE889" s="799"/>
      <c r="AF889" s="799"/>
      <c r="AG889" s="799"/>
      <c r="AH889" s="799"/>
      <c r="AI889" s="799"/>
      <c r="AJ889" s="799"/>
      <c r="AK889" s="799"/>
      <c r="AL889" s="799"/>
      <c r="AM889" s="799"/>
      <c r="AN889" s="799"/>
      <c r="AO889" s="799"/>
      <c r="AP889" s="799"/>
      <c r="AQ889" s="799"/>
      <c r="AR889" s="799"/>
      <c r="AS889" s="799"/>
      <c r="AT889" s="799"/>
      <c r="AU889" s="799"/>
      <c r="AV889" s="799"/>
      <c r="AW889" s="799"/>
      <c r="AX889" s="799"/>
      <c r="AY889" s="799"/>
      <c r="AZ889" s="799"/>
      <c r="BA889" s="799"/>
      <c r="BB889" s="799"/>
      <c r="BC889" s="799"/>
      <c r="BD889" s="799"/>
      <c r="BE889" s="799"/>
      <c r="BF889" s="799"/>
      <c r="BG889" s="799"/>
    </row>
    <row r="890">
      <c r="H890" s="799"/>
      <c r="I890" s="799"/>
      <c r="J890" s="799"/>
      <c r="K890" s="799"/>
      <c r="L890" s="799"/>
      <c r="M890" s="799"/>
      <c r="N890" s="799"/>
      <c r="O890" s="799"/>
      <c r="P890" s="799"/>
      <c r="Q890" s="799"/>
      <c r="R890" s="799"/>
      <c r="S890" s="799"/>
      <c r="T890" s="799"/>
      <c r="U890" s="799"/>
      <c r="V890" s="799"/>
      <c r="W890" s="799"/>
      <c r="X890" s="799"/>
      <c r="Y890" s="799"/>
      <c r="Z890" s="799"/>
      <c r="AA890" s="799"/>
      <c r="AB890" s="799"/>
      <c r="AC890" s="799"/>
      <c r="AD890" s="799"/>
      <c r="AE890" s="799"/>
      <c r="AF890" s="799"/>
      <c r="AG890" s="799"/>
      <c r="AH890" s="799"/>
      <c r="AI890" s="799"/>
      <c r="AJ890" s="799"/>
      <c r="AK890" s="799"/>
      <c r="AL890" s="799"/>
      <c r="AM890" s="799"/>
      <c r="AN890" s="799"/>
      <c r="AO890" s="799"/>
      <c r="AP890" s="799"/>
      <c r="AQ890" s="799"/>
      <c r="AR890" s="799"/>
      <c r="AS890" s="799"/>
      <c r="AT890" s="799"/>
      <c r="AU890" s="799"/>
      <c r="AV890" s="799"/>
      <c r="AW890" s="799"/>
      <c r="AX890" s="799"/>
      <c r="AY890" s="799"/>
      <c r="AZ890" s="799"/>
      <c r="BA890" s="799"/>
      <c r="BB890" s="799"/>
      <c r="BC890" s="799"/>
      <c r="BD890" s="799"/>
      <c r="BE890" s="799"/>
      <c r="BF890" s="799"/>
      <c r="BG890" s="799"/>
    </row>
    <row r="891">
      <c r="H891" s="799"/>
      <c r="I891" s="799"/>
      <c r="J891" s="799"/>
      <c r="K891" s="799"/>
      <c r="L891" s="799"/>
      <c r="M891" s="799"/>
      <c r="N891" s="799"/>
      <c r="O891" s="799"/>
      <c r="P891" s="799"/>
      <c r="Q891" s="799"/>
      <c r="R891" s="799"/>
      <c r="S891" s="799"/>
      <c r="T891" s="799"/>
      <c r="U891" s="799"/>
      <c r="V891" s="799"/>
      <c r="W891" s="799"/>
      <c r="X891" s="799"/>
      <c r="Y891" s="799"/>
      <c r="Z891" s="799"/>
      <c r="AA891" s="799"/>
      <c r="AB891" s="799"/>
      <c r="AC891" s="799"/>
      <c r="AD891" s="799"/>
      <c r="AE891" s="799"/>
      <c r="AF891" s="799"/>
      <c r="AG891" s="799"/>
      <c r="AH891" s="799"/>
      <c r="AI891" s="799"/>
      <c r="AJ891" s="799"/>
      <c r="AK891" s="799"/>
      <c r="AL891" s="799"/>
      <c r="AM891" s="799"/>
      <c r="AN891" s="799"/>
      <c r="AO891" s="799"/>
      <c r="AP891" s="799"/>
      <c r="AQ891" s="799"/>
      <c r="AR891" s="799"/>
      <c r="AS891" s="799"/>
      <c r="AT891" s="799"/>
      <c r="AU891" s="799"/>
      <c r="AV891" s="799"/>
      <c r="AW891" s="799"/>
      <c r="AX891" s="799"/>
      <c r="AY891" s="799"/>
      <c r="AZ891" s="799"/>
      <c r="BA891" s="799"/>
      <c r="BB891" s="799"/>
      <c r="BC891" s="799"/>
      <c r="BD891" s="799"/>
      <c r="BE891" s="799"/>
      <c r="BF891" s="799"/>
      <c r="BG891" s="799"/>
    </row>
    <row r="892">
      <c r="H892" s="799"/>
      <c r="I892" s="799"/>
      <c r="J892" s="799"/>
      <c r="K892" s="799"/>
      <c r="L892" s="799"/>
      <c r="M892" s="799"/>
      <c r="N892" s="799"/>
      <c r="O892" s="799"/>
      <c r="P892" s="799"/>
      <c r="Q892" s="799"/>
      <c r="R892" s="799"/>
      <c r="S892" s="799"/>
      <c r="T892" s="799"/>
      <c r="U892" s="799"/>
      <c r="V892" s="799"/>
      <c r="W892" s="799"/>
      <c r="X892" s="799"/>
      <c r="Y892" s="799"/>
      <c r="Z892" s="799"/>
      <c r="AA892" s="799"/>
      <c r="AB892" s="799"/>
      <c r="AC892" s="799"/>
      <c r="AD892" s="799"/>
      <c r="AE892" s="799"/>
      <c r="AF892" s="799"/>
      <c r="AG892" s="799"/>
      <c r="AH892" s="799"/>
      <c r="AI892" s="799"/>
      <c r="AJ892" s="799"/>
      <c r="AK892" s="799"/>
      <c r="AL892" s="799"/>
      <c r="AM892" s="799"/>
      <c r="AN892" s="799"/>
      <c r="AO892" s="799"/>
      <c r="AP892" s="799"/>
      <c r="AQ892" s="799"/>
      <c r="AR892" s="799"/>
      <c r="AS892" s="799"/>
      <c r="AT892" s="799"/>
      <c r="AU892" s="799"/>
      <c r="AV892" s="799"/>
      <c r="AW892" s="799"/>
      <c r="AX892" s="799"/>
      <c r="AY892" s="799"/>
      <c r="AZ892" s="799"/>
      <c r="BA892" s="799"/>
      <c r="BB892" s="799"/>
      <c r="BC892" s="799"/>
      <c r="BD892" s="799"/>
      <c r="BE892" s="799"/>
      <c r="BF892" s="799"/>
      <c r="BG892" s="799"/>
    </row>
    <row r="893">
      <c r="H893" s="799"/>
      <c r="I893" s="799"/>
      <c r="J893" s="799"/>
      <c r="K893" s="799"/>
      <c r="L893" s="799"/>
      <c r="M893" s="799"/>
      <c r="N893" s="799"/>
      <c r="O893" s="799"/>
      <c r="P893" s="799"/>
      <c r="Q893" s="799"/>
      <c r="R893" s="799"/>
      <c r="S893" s="799"/>
      <c r="T893" s="799"/>
      <c r="U893" s="799"/>
      <c r="V893" s="799"/>
      <c r="W893" s="799"/>
      <c r="X893" s="799"/>
      <c r="Y893" s="799"/>
      <c r="Z893" s="799"/>
      <c r="AA893" s="799"/>
      <c r="AB893" s="799"/>
      <c r="AC893" s="799"/>
      <c r="AD893" s="799"/>
      <c r="AE893" s="799"/>
      <c r="AF893" s="799"/>
      <c r="AG893" s="799"/>
      <c r="AH893" s="799"/>
      <c r="AI893" s="799"/>
      <c r="AJ893" s="799"/>
      <c r="AK893" s="799"/>
      <c r="AL893" s="799"/>
      <c r="AM893" s="799"/>
      <c r="AN893" s="799"/>
      <c r="AO893" s="799"/>
      <c r="AP893" s="799"/>
      <c r="AQ893" s="799"/>
      <c r="AR893" s="799"/>
      <c r="AS893" s="799"/>
      <c r="AT893" s="799"/>
      <c r="AU893" s="799"/>
      <c r="AV893" s="799"/>
      <c r="AW893" s="799"/>
      <c r="AX893" s="799"/>
      <c r="AY893" s="799"/>
      <c r="AZ893" s="799"/>
      <c r="BA893" s="799"/>
      <c r="BB893" s="799"/>
      <c r="BC893" s="799"/>
      <c r="BD893" s="799"/>
      <c r="BE893" s="799"/>
      <c r="BF893" s="799"/>
      <c r="BG893" s="799"/>
    </row>
    <row r="894">
      <c r="H894" s="799"/>
      <c r="I894" s="799"/>
      <c r="J894" s="799"/>
      <c r="K894" s="799"/>
      <c r="L894" s="799"/>
      <c r="M894" s="799"/>
      <c r="N894" s="799"/>
      <c r="O894" s="799"/>
      <c r="P894" s="799"/>
      <c r="Q894" s="799"/>
      <c r="R894" s="799"/>
      <c r="S894" s="799"/>
      <c r="T894" s="799"/>
      <c r="U894" s="799"/>
      <c r="V894" s="799"/>
      <c r="W894" s="799"/>
      <c r="X894" s="799"/>
      <c r="Y894" s="799"/>
      <c r="Z894" s="799"/>
      <c r="AA894" s="799"/>
      <c r="AB894" s="799"/>
      <c r="AC894" s="799"/>
      <c r="AD894" s="799"/>
      <c r="AE894" s="799"/>
      <c r="AF894" s="799"/>
      <c r="AG894" s="799"/>
      <c r="AH894" s="799"/>
      <c r="AI894" s="799"/>
      <c r="AJ894" s="799"/>
      <c r="AK894" s="799"/>
      <c r="AL894" s="799"/>
      <c r="AM894" s="799"/>
      <c r="AN894" s="799"/>
      <c r="AO894" s="799"/>
      <c r="AP894" s="799"/>
      <c r="AQ894" s="799"/>
      <c r="AR894" s="799"/>
      <c r="AS894" s="799"/>
      <c r="AT894" s="799"/>
      <c r="AU894" s="799"/>
      <c r="AV894" s="799"/>
      <c r="AW894" s="799"/>
      <c r="AX894" s="799"/>
      <c r="AY894" s="799"/>
      <c r="AZ894" s="799"/>
      <c r="BA894" s="799"/>
      <c r="BB894" s="799"/>
      <c r="BC894" s="799"/>
      <c r="BD894" s="799"/>
      <c r="BE894" s="799"/>
      <c r="BF894" s="799"/>
      <c r="BG894" s="799"/>
    </row>
    <row r="895">
      <c r="H895" s="799"/>
      <c r="I895" s="799"/>
      <c r="J895" s="799"/>
      <c r="K895" s="799"/>
      <c r="L895" s="799"/>
      <c r="M895" s="799"/>
      <c r="N895" s="799"/>
      <c r="O895" s="799"/>
      <c r="P895" s="799"/>
      <c r="Q895" s="799"/>
      <c r="R895" s="799"/>
      <c r="S895" s="799"/>
      <c r="T895" s="799"/>
      <c r="U895" s="799"/>
      <c r="V895" s="799"/>
      <c r="W895" s="799"/>
      <c r="X895" s="799"/>
      <c r="Y895" s="799"/>
      <c r="Z895" s="799"/>
      <c r="AA895" s="799"/>
      <c r="AB895" s="799"/>
      <c r="AC895" s="799"/>
      <c r="AD895" s="799"/>
      <c r="AE895" s="799"/>
      <c r="AF895" s="799"/>
      <c r="AG895" s="799"/>
      <c r="AH895" s="799"/>
      <c r="AI895" s="799"/>
      <c r="AJ895" s="799"/>
      <c r="AK895" s="799"/>
      <c r="AL895" s="799"/>
      <c r="AM895" s="799"/>
      <c r="AN895" s="799"/>
      <c r="AO895" s="799"/>
      <c r="AP895" s="799"/>
      <c r="AQ895" s="799"/>
      <c r="AR895" s="799"/>
      <c r="AS895" s="799"/>
      <c r="AT895" s="799"/>
      <c r="AU895" s="799"/>
      <c r="AV895" s="799"/>
      <c r="AW895" s="799"/>
      <c r="AX895" s="799"/>
      <c r="AY895" s="799"/>
      <c r="AZ895" s="799"/>
      <c r="BA895" s="799"/>
      <c r="BB895" s="799"/>
      <c r="BC895" s="799"/>
      <c r="BD895" s="799"/>
      <c r="BE895" s="799"/>
      <c r="BF895" s="799"/>
      <c r="BG895" s="799"/>
    </row>
    <row r="896">
      <c r="H896" s="799"/>
      <c r="I896" s="799"/>
      <c r="J896" s="799"/>
      <c r="K896" s="799"/>
      <c r="L896" s="799"/>
      <c r="M896" s="799"/>
      <c r="N896" s="799"/>
      <c r="O896" s="799"/>
      <c r="P896" s="799"/>
      <c r="Q896" s="799"/>
      <c r="R896" s="799"/>
      <c r="S896" s="799"/>
      <c r="T896" s="799"/>
      <c r="U896" s="799"/>
      <c r="V896" s="799"/>
      <c r="W896" s="799"/>
      <c r="X896" s="799"/>
      <c r="Y896" s="799"/>
      <c r="Z896" s="799"/>
      <c r="AA896" s="799"/>
      <c r="AB896" s="799"/>
      <c r="AC896" s="799"/>
      <c r="AD896" s="799"/>
      <c r="AE896" s="799"/>
      <c r="AF896" s="799"/>
      <c r="AG896" s="799"/>
      <c r="AH896" s="799"/>
      <c r="AI896" s="799"/>
      <c r="AJ896" s="799"/>
      <c r="AK896" s="799"/>
      <c r="AL896" s="799"/>
      <c r="AM896" s="799"/>
      <c r="AN896" s="799"/>
      <c r="AO896" s="799"/>
      <c r="AP896" s="799"/>
      <c r="AQ896" s="799"/>
      <c r="AR896" s="799"/>
      <c r="AS896" s="799"/>
      <c r="AT896" s="799"/>
      <c r="AU896" s="799"/>
      <c r="AV896" s="799"/>
      <c r="AW896" s="799"/>
      <c r="AX896" s="799"/>
      <c r="AY896" s="799"/>
      <c r="AZ896" s="799"/>
      <c r="BA896" s="799"/>
      <c r="BB896" s="799"/>
      <c r="BC896" s="799"/>
      <c r="BD896" s="799"/>
      <c r="BE896" s="799"/>
      <c r="BF896" s="799"/>
      <c r="BG896" s="799"/>
    </row>
    <row r="897">
      <c r="H897" s="799"/>
      <c r="I897" s="799"/>
      <c r="J897" s="799"/>
      <c r="K897" s="799"/>
      <c r="L897" s="799"/>
      <c r="M897" s="799"/>
      <c r="N897" s="799"/>
      <c r="O897" s="799"/>
      <c r="P897" s="799"/>
      <c r="Q897" s="799"/>
      <c r="R897" s="799"/>
      <c r="S897" s="799"/>
      <c r="T897" s="799"/>
      <c r="U897" s="799"/>
      <c r="V897" s="799"/>
      <c r="W897" s="799"/>
      <c r="X897" s="799"/>
      <c r="Y897" s="799"/>
      <c r="Z897" s="799"/>
      <c r="AA897" s="799"/>
      <c r="AB897" s="799"/>
      <c r="AC897" s="799"/>
      <c r="AD897" s="799"/>
      <c r="AE897" s="799"/>
      <c r="AF897" s="799"/>
      <c r="AG897" s="799"/>
      <c r="AH897" s="799"/>
      <c r="AI897" s="799"/>
      <c r="AJ897" s="799"/>
      <c r="AK897" s="799"/>
      <c r="AL897" s="799"/>
      <c r="AM897" s="799"/>
      <c r="AN897" s="799"/>
      <c r="AO897" s="799"/>
      <c r="AP897" s="799"/>
      <c r="AQ897" s="799"/>
      <c r="AR897" s="799"/>
      <c r="AS897" s="799"/>
      <c r="AT897" s="799"/>
      <c r="AU897" s="799"/>
      <c r="AV897" s="799"/>
      <c r="AW897" s="799"/>
      <c r="AX897" s="799"/>
      <c r="AY897" s="799"/>
      <c r="AZ897" s="799"/>
      <c r="BA897" s="799"/>
      <c r="BB897" s="799"/>
      <c r="BC897" s="799"/>
      <c r="BD897" s="799"/>
      <c r="BE897" s="799"/>
      <c r="BF897" s="799"/>
      <c r="BG897" s="799"/>
    </row>
    <row r="898">
      <c r="H898" s="799"/>
      <c r="I898" s="799"/>
      <c r="J898" s="799"/>
      <c r="K898" s="799"/>
      <c r="L898" s="799"/>
      <c r="M898" s="799"/>
      <c r="N898" s="799"/>
      <c r="O898" s="799"/>
      <c r="P898" s="799"/>
      <c r="Q898" s="799"/>
      <c r="R898" s="799"/>
      <c r="S898" s="799"/>
      <c r="T898" s="799"/>
      <c r="U898" s="799"/>
      <c r="V898" s="799"/>
      <c r="W898" s="799"/>
      <c r="X898" s="799"/>
      <c r="Y898" s="799"/>
      <c r="Z898" s="799"/>
      <c r="AA898" s="799"/>
      <c r="AB898" s="799"/>
      <c r="AC898" s="799"/>
      <c r="AD898" s="799"/>
      <c r="AE898" s="799"/>
      <c r="AF898" s="799"/>
      <c r="AG898" s="799"/>
      <c r="AH898" s="799"/>
      <c r="AI898" s="799"/>
      <c r="AJ898" s="799"/>
      <c r="AK898" s="799"/>
      <c r="AL898" s="799"/>
      <c r="AM898" s="799"/>
      <c r="AN898" s="799"/>
      <c r="AO898" s="799"/>
      <c r="AP898" s="799"/>
      <c r="AQ898" s="799"/>
      <c r="AR898" s="799"/>
      <c r="AS898" s="799"/>
      <c r="AT898" s="799"/>
      <c r="AU898" s="799"/>
      <c r="AV898" s="799"/>
      <c r="AW898" s="799"/>
      <c r="AX898" s="799"/>
      <c r="AY898" s="799"/>
      <c r="AZ898" s="799"/>
      <c r="BA898" s="799"/>
      <c r="BB898" s="799"/>
      <c r="BC898" s="799"/>
      <c r="BD898" s="799"/>
      <c r="BE898" s="799"/>
      <c r="BF898" s="799"/>
      <c r="BG898" s="799"/>
    </row>
    <row r="899">
      <c r="H899" s="799"/>
      <c r="I899" s="799"/>
      <c r="J899" s="799"/>
      <c r="K899" s="799"/>
      <c r="L899" s="799"/>
      <c r="M899" s="799"/>
      <c r="N899" s="799"/>
      <c r="O899" s="799"/>
      <c r="P899" s="799"/>
      <c r="Q899" s="799"/>
      <c r="R899" s="799"/>
      <c r="S899" s="799"/>
      <c r="T899" s="799"/>
      <c r="U899" s="799"/>
      <c r="V899" s="799"/>
      <c r="W899" s="799"/>
      <c r="X899" s="799"/>
      <c r="Y899" s="799"/>
      <c r="Z899" s="799"/>
      <c r="AA899" s="799"/>
      <c r="AB899" s="799"/>
      <c r="AC899" s="799"/>
      <c r="AD899" s="799"/>
      <c r="AE899" s="799"/>
      <c r="AF899" s="799"/>
      <c r="AG899" s="799"/>
      <c r="AH899" s="799"/>
      <c r="AI899" s="799"/>
      <c r="AJ899" s="799"/>
      <c r="AK899" s="799"/>
      <c r="AL899" s="799"/>
      <c r="AM899" s="799"/>
      <c r="AN899" s="799"/>
      <c r="AO899" s="799"/>
      <c r="AP899" s="799"/>
      <c r="AQ899" s="799"/>
      <c r="AR899" s="799"/>
      <c r="AS899" s="799"/>
      <c r="AT899" s="799"/>
      <c r="AU899" s="799"/>
      <c r="AV899" s="799"/>
      <c r="AW899" s="799"/>
      <c r="AX899" s="799"/>
      <c r="AY899" s="799"/>
      <c r="AZ899" s="799"/>
      <c r="BA899" s="799"/>
      <c r="BB899" s="799"/>
      <c r="BC899" s="799"/>
      <c r="BD899" s="799"/>
      <c r="BE899" s="799"/>
      <c r="BF899" s="799"/>
      <c r="BG899" s="799"/>
    </row>
    <row r="900">
      <c r="H900" s="799"/>
      <c r="I900" s="799"/>
      <c r="J900" s="799"/>
      <c r="K900" s="799"/>
      <c r="L900" s="799"/>
      <c r="M900" s="799"/>
      <c r="N900" s="799"/>
      <c r="O900" s="799"/>
      <c r="P900" s="799"/>
      <c r="Q900" s="799"/>
      <c r="R900" s="799"/>
      <c r="S900" s="799"/>
      <c r="T900" s="799"/>
      <c r="U900" s="799"/>
      <c r="V900" s="799"/>
      <c r="W900" s="799"/>
      <c r="X900" s="799"/>
      <c r="Y900" s="799"/>
      <c r="Z900" s="799"/>
      <c r="AA900" s="799"/>
      <c r="AB900" s="799"/>
      <c r="AC900" s="799"/>
      <c r="AD900" s="799"/>
      <c r="AE900" s="799"/>
      <c r="AF900" s="799"/>
      <c r="AG900" s="799"/>
      <c r="AH900" s="799"/>
      <c r="AI900" s="799"/>
      <c r="AJ900" s="799"/>
      <c r="AK900" s="799"/>
      <c r="AL900" s="799"/>
      <c r="AM900" s="799"/>
      <c r="AN900" s="799"/>
      <c r="AO900" s="799"/>
      <c r="AP900" s="799"/>
      <c r="AQ900" s="799"/>
      <c r="AR900" s="799"/>
      <c r="AS900" s="799"/>
      <c r="AT900" s="799"/>
      <c r="AU900" s="799"/>
      <c r="AV900" s="799"/>
      <c r="AW900" s="799"/>
      <c r="AX900" s="799"/>
      <c r="AY900" s="799"/>
      <c r="AZ900" s="799"/>
      <c r="BA900" s="799"/>
      <c r="BB900" s="799"/>
      <c r="BC900" s="799"/>
      <c r="BD900" s="799"/>
      <c r="BE900" s="799"/>
      <c r="BF900" s="799"/>
      <c r="BG900" s="799"/>
    </row>
    <row r="901">
      <c r="H901" s="799"/>
      <c r="I901" s="799"/>
      <c r="J901" s="799"/>
      <c r="K901" s="799"/>
      <c r="L901" s="799"/>
      <c r="M901" s="799"/>
      <c r="N901" s="799"/>
      <c r="O901" s="799"/>
      <c r="P901" s="799"/>
      <c r="Q901" s="799"/>
      <c r="R901" s="799"/>
      <c r="S901" s="799"/>
      <c r="T901" s="799"/>
      <c r="U901" s="799"/>
      <c r="V901" s="799"/>
      <c r="W901" s="799"/>
      <c r="X901" s="799"/>
      <c r="Y901" s="799"/>
      <c r="Z901" s="799"/>
      <c r="AA901" s="799"/>
      <c r="AB901" s="799"/>
      <c r="AC901" s="799"/>
      <c r="AD901" s="799"/>
      <c r="AE901" s="799"/>
      <c r="AF901" s="799"/>
      <c r="AG901" s="799"/>
      <c r="AH901" s="799"/>
      <c r="AI901" s="799"/>
      <c r="AJ901" s="799"/>
      <c r="AK901" s="799"/>
      <c r="AL901" s="799"/>
      <c r="AM901" s="799"/>
      <c r="AN901" s="799"/>
      <c r="AO901" s="799"/>
      <c r="AP901" s="799"/>
      <c r="AQ901" s="799"/>
      <c r="AR901" s="799"/>
      <c r="AS901" s="799"/>
      <c r="AT901" s="799"/>
      <c r="AU901" s="799"/>
      <c r="AV901" s="799"/>
      <c r="AW901" s="799"/>
      <c r="AX901" s="799"/>
      <c r="AY901" s="799"/>
      <c r="AZ901" s="799"/>
      <c r="BA901" s="799"/>
      <c r="BB901" s="799"/>
      <c r="BC901" s="799"/>
      <c r="BD901" s="799"/>
      <c r="BE901" s="799"/>
      <c r="BF901" s="799"/>
      <c r="BG901" s="799"/>
    </row>
    <row r="902">
      <c r="H902" s="799"/>
      <c r="I902" s="799"/>
      <c r="J902" s="799"/>
      <c r="K902" s="799"/>
      <c r="L902" s="799"/>
      <c r="M902" s="799"/>
      <c r="N902" s="799"/>
      <c r="O902" s="799"/>
      <c r="P902" s="799"/>
      <c r="Q902" s="799"/>
      <c r="R902" s="799"/>
      <c r="S902" s="799"/>
      <c r="T902" s="799"/>
      <c r="U902" s="799"/>
      <c r="V902" s="799"/>
      <c r="W902" s="799"/>
      <c r="X902" s="799"/>
      <c r="Y902" s="799"/>
      <c r="Z902" s="799"/>
      <c r="AA902" s="799"/>
      <c r="AB902" s="799"/>
      <c r="AC902" s="799"/>
      <c r="AD902" s="799"/>
      <c r="AE902" s="799"/>
      <c r="AF902" s="799"/>
      <c r="AG902" s="799"/>
      <c r="AH902" s="799"/>
      <c r="AI902" s="799"/>
      <c r="AJ902" s="799"/>
      <c r="AK902" s="799"/>
      <c r="AL902" s="799"/>
      <c r="AM902" s="799"/>
      <c r="AN902" s="799"/>
      <c r="AO902" s="799"/>
      <c r="AP902" s="799"/>
      <c r="AQ902" s="799"/>
      <c r="AR902" s="799"/>
      <c r="AS902" s="799"/>
      <c r="AT902" s="799"/>
      <c r="AU902" s="799"/>
      <c r="AV902" s="799"/>
      <c r="AW902" s="799"/>
      <c r="AX902" s="799"/>
      <c r="AY902" s="799"/>
      <c r="AZ902" s="799"/>
      <c r="BA902" s="799"/>
      <c r="BB902" s="799"/>
      <c r="BC902" s="799"/>
      <c r="BD902" s="799"/>
      <c r="BE902" s="799"/>
      <c r="BF902" s="799"/>
      <c r="BG902" s="799"/>
    </row>
    <row r="903">
      <c r="H903" s="799"/>
      <c r="I903" s="799"/>
      <c r="J903" s="799"/>
      <c r="K903" s="799"/>
      <c r="L903" s="799"/>
      <c r="M903" s="799"/>
      <c r="N903" s="799"/>
      <c r="O903" s="799"/>
      <c r="P903" s="799"/>
      <c r="Q903" s="799"/>
      <c r="R903" s="799"/>
      <c r="S903" s="799"/>
      <c r="T903" s="799"/>
      <c r="U903" s="799"/>
      <c r="V903" s="799"/>
      <c r="W903" s="799"/>
      <c r="X903" s="799"/>
      <c r="Y903" s="799"/>
      <c r="Z903" s="799"/>
      <c r="AA903" s="799"/>
      <c r="AB903" s="799"/>
      <c r="AC903" s="799"/>
      <c r="AD903" s="799"/>
      <c r="AE903" s="799"/>
      <c r="AF903" s="799"/>
      <c r="AG903" s="799"/>
      <c r="AH903" s="799"/>
      <c r="AI903" s="799"/>
      <c r="AJ903" s="799"/>
      <c r="AK903" s="799"/>
      <c r="AL903" s="799"/>
      <c r="AM903" s="799"/>
      <c r="AN903" s="799"/>
      <c r="AO903" s="799"/>
      <c r="AP903" s="799"/>
      <c r="AQ903" s="799"/>
      <c r="AR903" s="799"/>
      <c r="AS903" s="799"/>
      <c r="AT903" s="799"/>
      <c r="AU903" s="799"/>
      <c r="AV903" s="799"/>
      <c r="AW903" s="799"/>
      <c r="AX903" s="799"/>
      <c r="AY903" s="799"/>
      <c r="AZ903" s="799"/>
      <c r="BA903" s="799"/>
      <c r="BB903" s="799"/>
      <c r="BC903" s="799"/>
      <c r="BD903" s="799"/>
      <c r="BE903" s="799"/>
      <c r="BF903" s="799"/>
      <c r="BG903" s="799"/>
    </row>
    <row r="904">
      <c r="H904" s="799"/>
      <c r="I904" s="799"/>
      <c r="J904" s="799"/>
      <c r="K904" s="799"/>
      <c r="L904" s="799"/>
      <c r="M904" s="799"/>
      <c r="N904" s="799"/>
      <c r="O904" s="799"/>
      <c r="P904" s="799"/>
      <c r="Q904" s="799"/>
      <c r="R904" s="799"/>
      <c r="S904" s="799"/>
      <c r="T904" s="799"/>
      <c r="U904" s="799"/>
      <c r="V904" s="799"/>
      <c r="W904" s="799"/>
      <c r="X904" s="799"/>
      <c r="Y904" s="799"/>
      <c r="Z904" s="799"/>
      <c r="AA904" s="799"/>
      <c r="AB904" s="799"/>
      <c r="AC904" s="799"/>
      <c r="AD904" s="799"/>
      <c r="AE904" s="799"/>
      <c r="AF904" s="799"/>
      <c r="AG904" s="799"/>
      <c r="AH904" s="799"/>
      <c r="AI904" s="799"/>
      <c r="AJ904" s="799"/>
      <c r="AK904" s="799"/>
      <c r="AL904" s="799"/>
      <c r="AM904" s="799"/>
      <c r="AN904" s="799"/>
      <c r="AO904" s="799"/>
      <c r="AP904" s="799"/>
      <c r="AQ904" s="799"/>
      <c r="AR904" s="799"/>
      <c r="AS904" s="799"/>
      <c r="AT904" s="799"/>
      <c r="AU904" s="799"/>
      <c r="AV904" s="799"/>
      <c r="AW904" s="799"/>
      <c r="AX904" s="799"/>
      <c r="AY904" s="799"/>
      <c r="AZ904" s="799"/>
      <c r="BA904" s="799"/>
      <c r="BB904" s="799"/>
      <c r="BC904" s="799"/>
      <c r="BD904" s="799"/>
      <c r="BE904" s="799"/>
      <c r="BF904" s="799"/>
      <c r="BG904" s="799"/>
    </row>
    <row r="905">
      <c r="H905" s="799"/>
      <c r="I905" s="799"/>
      <c r="J905" s="799"/>
      <c r="K905" s="799"/>
      <c r="L905" s="799"/>
      <c r="M905" s="799"/>
      <c r="N905" s="799"/>
      <c r="O905" s="799"/>
      <c r="P905" s="799"/>
      <c r="Q905" s="799"/>
      <c r="R905" s="799"/>
      <c r="S905" s="799"/>
      <c r="T905" s="799"/>
      <c r="U905" s="799"/>
      <c r="V905" s="799"/>
      <c r="W905" s="799"/>
      <c r="X905" s="799"/>
      <c r="Y905" s="799"/>
      <c r="Z905" s="799"/>
      <c r="AA905" s="799"/>
      <c r="AB905" s="799"/>
      <c r="AC905" s="799"/>
      <c r="AD905" s="799"/>
      <c r="AE905" s="799"/>
      <c r="AF905" s="799"/>
      <c r="AG905" s="799"/>
      <c r="AH905" s="799"/>
      <c r="AI905" s="799"/>
      <c r="AJ905" s="799"/>
      <c r="AK905" s="799"/>
      <c r="AL905" s="799"/>
      <c r="AM905" s="799"/>
      <c r="AN905" s="799"/>
      <c r="AO905" s="799"/>
      <c r="AP905" s="799"/>
      <c r="AQ905" s="799"/>
      <c r="AR905" s="799"/>
      <c r="AS905" s="799"/>
      <c r="AT905" s="799"/>
      <c r="AU905" s="799"/>
      <c r="AV905" s="799"/>
      <c r="AW905" s="799"/>
      <c r="AX905" s="799"/>
      <c r="AY905" s="799"/>
      <c r="AZ905" s="799"/>
      <c r="BA905" s="799"/>
      <c r="BB905" s="799"/>
      <c r="BC905" s="799"/>
      <c r="BD905" s="799"/>
      <c r="BE905" s="799"/>
      <c r="BF905" s="799"/>
      <c r="BG905" s="799"/>
    </row>
    <row r="906">
      <c r="H906" s="799"/>
      <c r="I906" s="799"/>
      <c r="J906" s="799"/>
      <c r="K906" s="799"/>
      <c r="L906" s="799"/>
      <c r="M906" s="799"/>
      <c r="N906" s="799"/>
      <c r="O906" s="799"/>
      <c r="P906" s="799"/>
      <c r="Q906" s="799"/>
      <c r="R906" s="799"/>
      <c r="S906" s="799"/>
      <c r="T906" s="799"/>
      <c r="U906" s="799"/>
      <c r="V906" s="799"/>
      <c r="W906" s="799"/>
      <c r="X906" s="799"/>
      <c r="Y906" s="799"/>
      <c r="Z906" s="799"/>
      <c r="AA906" s="799"/>
      <c r="AB906" s="799"/>
      <c r="AC906" s="799"/>
      <c r="AD906" s="799"/>
      <c r="AE906" s="799"/>
      <c r="AF906" s="799"/>
      <c r="AG906" s="799"/>
      <c r="AH906" s="799"/>
      <c r="AI906" s="799"/>
      <c r="AJ906" s="799"/>
      <c r="AK906" s="799"/>
      <c r="AL906" s="799"/>
      <c r="AM906" s="799"/>
      <c r="AN906" s="799"/>
      <c r="AO906" s="799"/>
      <c r="AP906" s="799"/>
      <c r="AQ906" s="799"/>
      <c r="AR906" s="799"/>
      <c r="AS906" s="799"/>
      <c r="AT906" s="799"/>
      <c r="AU906" s="799"/>
      <c r="AV906" s="799"/>
      <c r="AW906" s="799"/>
      <c r="AX906" s="799"/>
      <c r="AY906" s="799"/>
      <c r="AZ906" s="799"/>
      <c r="BA906" s="799"/>
      <c r="BB906" s="799"/>
      <c r="BC906" s="799"/>
      <c r="BD906" s="799"/>
      <c r="BE906" s="799"/>
      <c r="BF906" s="799"/>
      <c r="BG906" s="799"/>
    </row>
    <row r="907">
      <c r="H907" s="799"/>
      <c r="I907" s="799"/>
      <c r="J907" s="799"/>
      <c r="K907" s="799"/>
      <c r="L907" s="799"/>
      <c r="M907" s="799"/>
      <c r="N907" s="799"/>
      <c r="O907" s="799"/>
      <c r="P907" s="799"/>
      <c r="Q907" s="799"/>
      <c r="R907" s="799"/>
      <c r="S907" s="799"/>
      <c r="T907" s="799"/>
      <c r="U907" s="799"/>
      <c r="V907" s="799"/>
      <c r="W907" s="799"/>
      <c r="X907" s="799"/>
      <c r="Y907" s="799"/>
      <c r="Z907" s="799"/>
      <c r="AA907" s="799"/>
      <c r="AB907" s="799"/>
      <c r="AC907" s="799"/>
      <c r="AD907" s="799"/>
      <c r="AE907" s="799"/>
      <c r="AF907" s="799"/>
      <c r="AG907" s="799"/>
      <c r="AH907" s="799"/>
      <c r="AI907" s="799"/>
      <c r="AJ907" s="799"/>
      <c r="AK907" s="799"/>
      <c r="AL907" s="799"/>
      <c r="AM907" s="799"/>
      <c r="AN907" s="799"/>
      <c r="AO907" s="799"/>
      <c r="AP907" s="799"/>
      <c r="AQ907" s="799"/>
      <c r="AR907" s="799"/>
      <c r="AS907" s="799"/>
      <c r="AT907" s="799"/>
      <c r="AU907" s="799"/>
      <c r="AV907" s="799"/>
      <c r="AW907" s="799"/>
      <c r="AX907" s="799"/>
      <c r="AY907" s="799"/>
      <c r="AZ907" s="799"/>
      <c r="BA907" s="799"/>
      <c r="BB907" s="799"/>
      <c r="BC907" s="799"/>
      <c r="BD907" s="799"/>
      <c r="BE907" s="799"/>
      <c r="BF907" s="799"/>
      <c r="BG907" s="799"/>
    </row>
    <row r="908">
      <c r="H908" s="799"/>
      <c r="I908" s="799"/>
      <c r="J908" s="799"/>
      <c r="K908" s="799"/>
      <c r="L908" s="799"/>
      <c r="M908" s="799"/>
      <c r="N908" s="799"/>
      <c r="O908" s="799"/>
      <c r="P908" s="799"/>
      <c r="Q908" s="799"/>
      <c r="R908" s="799"/>
      <c r="S908" s="799"/>
      <c r="T908" s="799"/>
      <c r="U908" s="799"/>
      <c r="V908" s="799"/>
      <c r="W908" s="799"/>
      <c r="X908" s="799"/>
      <c r="Y908" s="799"/>
      <c r="Z908" s="799"/>
      <c r="AA908" s="799"/>
      <c r="AB908" s="799"/>
      <c r="AC908" s="799"/>
      <c r="AD908" s="799"/>
      <c r="AE908" s="799"/>
      <c r="AF908" s="799"/>
      <c r="AG908" s="799"/>
      <c r="AH908" s="799"/>
      <c r="AI908" s="799"/>
      <c r="AJ908" s="799"/>
      <c r="AK908" s="799"/>
      <c r="AL908" s="799"/>
      <c r="AM908" s="799"/>
      <c r="AN908" s="799"/>
      <c r="AO908" s="799"/>
      <c r="AP908" s="799"/>
      <c r="AQ908" s="799"/>
      <c r="AR908" s="799"/>
      <c r="AS908" s="799"/>
      <c r="AT908" s="799"/>
      <c r="AU908" s="799"/>
      <c r="AV908" s="799"/>
      <c r="AW908" s="799"/>
      <c r="AX908" s="799"/>
      <c r="AY908" s="799"/>
      <c r="AZ908" s="799"/>
      <c r="BA908" s="799"/>
      <c r="BB908" s="799"/>
      <c r="BC908" s="799"/>
      <c r="BD908" s="799"/>
      <c r="BE908" s="799"/>
      <c r="BF908" s="799"/>
      <c r="BG908" s="799"/>
    </row>
    <row r="909">
      <c r="H909" s="799"/>
      <c r="I909" s="799"/>
      <c r="J909" s="799"/>
      <c r="K909" s="799"/>
      <c r="L909" s="799"/>
      <c r="M909" s="799"/>
      <c r="N909" s="799"/>
      <c r="O909" s="799"/>
      <c r="P909" s="799"/>
      <c r="Q909" s="799"/>
      <c r="R909" s="799"/>
      <c r="S909" s="799"/>
      <c r="T909" s="799"/>
      <c r="U909" s="799"/>
      <c r="V909" s="799"/>
      <c r="W909" s="799"/>
      <c r="X909" s="799"/>
      <c r="Y909" s="799"/>
      <c r="Z909" s="799"/>
      <c r="AA909" s="799"/>
      <c r="AB909" s="799"/>
      <c r="AC909" s="799"/>
      <c r="AD909" s="799"/>
      <c r="AE909" s="799"/>
      <c r="AF909" s="799"/>
      <c r="AG909" s="799"/>
      <c r="AH909" s="799"/>
      <c r="AI909" s="799"/>
      <c r="AJ909" s="799"/>
      <c r="AK909" s="799"/>
      <c r="AL909" s="799"/>
      <c r="AM909" s="799"/>
      <c r="AN909" s="799"/>
      <c r="AO909" s="799"/>
      <c r="AP909" s="799"/>
      <c r="AQ909" s="799"/>
      <c r="AR909" s="799"/>
      <c r="AS909" s="799"/>
      <c r="AT909" s="799"/>
      <c r="AU909" s="799"/>
      <c r="AV909" s="799"/>
      <c r="AW909" s="799"/>
      <c r="AX909" s="799"/>
      <c r="AY909" s="799"/>
      <c r="AZ909" s="799"/>
      <c r="BA909" s="799"/>
      <c r="BB909" s="799"/>
      <c r="BC909" s="799"/>
      <c r="BD909" s="799"/>
      <c r="BE909" s="799"/>
      <c r="BF909" s="799"/>
      <c r="BG909" s="799"/>
    </row>
    <row r="910">
      <c r="H910" s="799"/>
      <c r="I910" s="799"/>
      <c r="J910" s="799"/>
      <c r="K910" s="799"/>
      <c r="L910" s="799"/>
      <c r="M910" s="799"/>
      <c r="N910" s="799"/>
      <c r="O910" s="799"/>
      <c r="P910" s="799"/>
      <c r="Q910" s="799"/>
      <c r="R910" s="799"/>
      <c r="S910" s="799"/>
      <c r="T910" s="799"/>
      <c r="U910" s="799"/>
      <c r="V910" s="799"/>
      <c r="W910" s="799"/>
      <c r="X910" s="799"/>
      <c r="Y910" s="799"/>
      <c r="Z910" s="799"/>
      <c r="AA910" s="799"/>
      <c r="AB910" s="799"/>
      <c r="AC910" s="799"/>
      <c r="AD910" s="799"/>
      <c r="AE910" s="799"/>
      <c r="AF910" s="799"/>
      <c r="AG910" s="799"/>
      <c r="AH910" s="799"/>
      <c r="AI910" s="799"/>
      <c r="AJ910" s="799"/>
      <c r="AK910" s="799"/>
      <c r="AL910" s="799"/>
      <c r="AM910" s="799"/>
      <c r="AN910" s="799"/>
      <c r="AO910" s="799"/>
      <c r="AP910" s="799"/>
      <c r="AQ910" s="799"/>
      <c r="AR910" s="799"/>
      <c r="AS910" s="799"/>
      <c r="AT910" s="799"/>
      <c r="AU910" s="799"/>
      <c r="AV910" s="799"/>
      <c r="AW910" s="799"/>
      <c r="AX910" s="799"/>
      <c r="AY910" s="799"/>
      <c r="AZ910" s="799"/>
      <c r="BA910" s="799"/>
      <c r="BB910" s="799"/>
      <c r="BC910" s="799"/>
      <c r="BD910" s="799"/>
      <c r="BE910" s="799"/>
      <c r="BF910" s="799"/>
      <c r="BG910" s="799"/>
    </row>
    <row r="911">
      <c r="H911" s="799"/>
      <c r="I911" s="799"/>
      <c r="J911" s="799"/>
      <c r="K911" s="799"/>
      <c r="L911" s="799"/>
      <c r="M911" s="799"/>
      <c r="N911" s="799"/>
      <c r="O911" s="799"/>
      <c r="P911" s="799"/>
      <c r="Q911" s="799"/>
      <c r="R911" s="799"/>
      <c r="S911" s="799"/>
      <c r="T911" s="799"/>
      <c r="U911" s="799"/>
      <c r="V911" s="799"/>
      <c r="W911" s="799"/>
      <c r="X911" s="799"/>
      <c r="Y911" s="799"/>
      <c r="Z911" s="799"/>
      <c r="AA911" s="799"/>
      <c r="AB911" s="799"/>
      <c r="AC911" s="799"/>
      <c r="AD911" s="799"/>
      <c r="AE911" s="799"/>
      <c r="AF911" s="799"/>
      <c r="AG911" s="799"/>
      <c r="AH911" s="799"/>
      <c r="AI911" s="799"/>
      <c r="AJ911" s="799"/>
      <c r="AK911" s="799"/>
      <c r="AL911" s="799"/>
      <c r="AM911" s="799"/>
      <c r="AN911" s="799"/>
      <c r="AO911" s="799"/>
      <c r="AP911" s="799"/>
      <c r="AQ911" s="799"/>
      <c r="AR911" s="799"/>
      <c r="AS911" s="799"/>
      <c r="AT911" s="799"/>
      <c r="AU911" s="799"/>
      <c r="AV911" s="799"/>
      <c r="AW911" s="799"/>
      <c r="AX911" s="799"/>
      <c r="AY911" s="799"/>
      <c r="AZ911" s="799"/>
      <c r="BA911" s="799"/>
      <c r="BB911" s="799"/>
      <c r="BC911" s="799"/>
      <c r="BD911" s="799"/>
      <c r="BE911" s="799"/>
      <c r="BF911" s="799"/>
      <c r="BG911" s="799"/>
    </row>
    <row r="912">
      <c r="H912" s="799"/>
      <c r="I912" s="799"/>
      <c r="J912" s="799"/>
      <c r="K912" s="799"/>
      <c r="L912" s="799"/>
      <c r="M912" s="799"/>
      <c r="N912" s="799"/>
      <c r="O912" s="799"/>
      <c r="P912" s="799"/>
      <c r="Q912" s="799"/>
      <c r="R912" s="799"/>
      <c r="S912" s="799"/>
      <c r="T912" s="799"/>
      <c r="U912" s="799"/>
      <c r="V912" s="799"/>
      <c r="W912" s="799"/>
      <c r="X912" s="799"/>
      <c r="Y912" s="799"/>
      <c r="Z912" s="799"/>
      <c r="AA912" s="799"/>
      <c r="AB912" s="799"/>
      <c r="AC912" s="799"/>
      <c r="AD912" s="799"/>
      <c r="AE912" s="799"/>
      <c r="AF912" s="799"/>
      <c r="AG912" s="799"/>
      <c r="AH912" s="799"/>
      <c r="AI912" s="799"/>
      <c r="AJ912" s="799"/>
      <c r="AK912" s="799"/>
      <c r="AL912" s="799"/>
      <c r="AM912" s="799"/>
      <c r="AN912" s="799"/>
      <c r="AO912" s="799"/>
      <c r="AP912" s="799"/>
      <c r="AQ912" s="799"/>
      <c r="AR912" s="799"/>
      <c r="AS912" s="799"/>
      <c r="AT912" s="799"/>
      <c r="AU912" s="799"/>
      <c r="AV912" s="799"/>
      <c r="AW912" s="799"/>
      <c r="AX912" s="799"/>
      <c r="AY912" s="799"/>
      <c r="AZ912" s="799"/>
      <c r="BA912" s="799"/>
      <c r="BB912" s="799"/>
      <c r="BC912" s="799"/>
      <c r="BD912" s="799"/>
      <c r="BE912" s="799"/>
      <c r="BF912" s="799"/>
      <c r="BG912" s="799"/>
    </row>
    <row r="913">
      <c r="H913" s="799"/>
      <c r="I913" s="799"/>
      <c r="J913" s="799"/>
      <c r="K913" s="799"/>
      <c r="L913" s="799"/>
      <c r="M913" s="799"/>
      <c r="N913" s="799"/>
      <c r="O913" s="799"/>
      <c r="P913" s="799"/>
      <c r="Q913" s="799"/>
      <c r="R913" s="799"/>
      <c r="S913" s="799"/>
      <c r="T913" s="799"/>
      <c r="U913" s="799"/>
      <c r="V913" s="799"/>
      <c r="W913" s="799"/>
      <c r="X913" s="799"/>
      <c r="Y913" s="799"/>
      <c r="Z913" s="799"/>
      <c r="AA913" s="799"/>
      <c r="AB913" s="799"/>
      <c r="AC913" s="799"/>
      <c r="AD913" s="799"/>
      <c r="AE913" s="799"/>
      <c r="AF913" s="799"/>
      <c r="AG913" s="799"/>
      <c r="AH913" s="799"/>
      <c r="AI913" s="799"/>
      <c r="AJ913" s="799"/>
      <c r="AK913" s="799"/>
      <c r="AL913" s="799"/>
      <c r="AM913" s="799"/>
      <c r="AN913" s="799"/>
      <c r="AO913" s="799"/>
      <c r="AP913" s="799"/>
      <c r="AQ913" s="799"/>
      <c r="AR913" s="799"/>
      <c r="AS913" s="799"/>
      <c r="AT913" s="799"/>
      <c r="AU913" s="799"/>
      <c r="AV913" s="799"/>
      <c r="AW913" s="799"/>
      <c r="AX913" s="799"/>
      <c r="AY913" s="799"/>
      <c r="AZ913" s="799"/>
      <c r="BA913" s="799"/>
      <c r="BB913" s="799"/>
      <c r="BC913" s="799"/>
      <c r="BD913" s="799"/>
      <c r="BE913" s="799"/>
      <c r="BF913" s="799"/>
      <c r="BG913" s="799"/>
    </row>
    <row r="914">
      <c r="H914" s="799"/>
      <c r="I914" s="799"/>
      <c r="J914" s="799"/>
      <c r="K914" s="799"/>
      <c r="L914" s="799"/>
      <c r="M914" s="799"/>
      <c r="N914" s="799"/>
      <c r="O914" s="799"/>
      <c r="P914" s="799"/>
      <c r="Q914" s="799"/>
      <c r="R914" s="799"/>
      <c r="S914" s="799"/>
      <c r="T914" s="799"/>
      <c r="U914" s="799"/>
      <c r="V914" s="799"/>
      <c r="W914" s="799"/>
      <c r="X914" s="799"/>
      <c r="Y914" s="799"/>
      <c r="Z914" s="799"/>
      <c r="AA914" s="799"/>
      <c r="AB914" s="799"/>
      <c r="AC914" s="799"/>
      <c r="AD914" s="799"/>
      <c r="AE914" s="799"/>
      <c r="AF914" s="799"/>
      <c r="AG914" s="799"/>
      <c r="AH914" s="799"/>
      <c r="AI914" s="799"/>
      <c r="AJ914" s="799"/>
      <c r="AK914" s="799"/>
      <c r="AL914" s="799"/>
      <c r="AM914" s="799"/>
      <c r="AN914" s="799"/>
      <c r="AO914" s="799"/>
      <c r="AP914" s="799"/>
      <c r="AQ914" s="799"/>
      <c r="AR914" s="799"/>
      <c r="AS914" s="799"/>
      <c r="AT914" s="799"/>
      <c r="AU914" s="799"/>
      <c r="AV914" s="799"/>
      <c r="AW914" s="799"/>
      <c r="AX914" s="799"/>
      <c r="AY914" s="799"/>
      <c r="AZ914" s="799"/>
      <c r="BA914" s="799"/>
      <c r="BB914" s="799"/>
      <c r="BC914" s="799"/>
      <c r="BD914" s="799"/>
      <c r="BE914" s="799"/>
      <c r="BF914" s="799"/>
      <c r="BG914" s="799"/>
    </row>
    <row r="915">
      <c r="H915" s="799"/>
      <c r="I915" s="799"/>
      <c r="J915" s="799"/>
      <c r="K915" s="799"/>
      <c r="L915" s="799"/>
      <c r="M915" s="799"/>
      <c r="N915" s="799"/>
      <c r="O915" s="799"/>
      <c r="P915" s="799"/>
      <c r="Q915" s="799"/>
      <c r="R915" s="799"/>
      <c r="S915" s="799"/>
      <c r="T915" s="799"/>
      <c r="U915" s="799"/>
      <c r="V915" s="799"/>
      <c r="W915" s="799"/>
      <c r="X915" s="799"/>
      <c r="Y915" s="799"/>
      <c r="Z915" s="799"/>
      <c r="AA915" s="799"/>
      <c r="AB915" s="799"/>
      <c r="AC915" s="799"/>
      <c r="AD915" s="799"/>
      <c r="AE915" s="799"/>
      <c r="AF915" s="799"/>
      <c r="AG915" s="799"/>
      <c r="AH915" s="799"/>
      <c r="AI915" s="799"/>
      <c r="AJ915" s="799"/>
      <c r="AK915" s="799"/>
      <c r="AL915" s="799"/>
      <c r="AM915" s="799"/>
      <c r="AN915" s="799"/>
      <c r="AO915" s="799"/>
      <c r="AP915" s="799"/>
      <c r="AQ915" s="799"/>
      <c r="AR915" s="799"/>
      <c r="AS915" s="799"/>
      <c r="AT915" s="799"/>
      <c r="AU915" s="799"/>
      <c r="AV915" s="799"/>
      <c r="AW915" s="799"/>
      <c r="AX915" s="799"/>
      <c r="AY915" s="799"/>
      <c r="AZ915" s="799"/>
      <c r="BA915" s="799"/>
      <c r="BB915" s="799"/>
      <c r="BC915" s="799"/>
      <c r="BD915" s="799"/>
      <c r="BE915" s="799"/>
      <c r="BF915" s="799"/>
      <c r="BG915" s="799"/>
    </row>
    <row r="916">
      <c r="H916" s="799"/>
      <c r="I916" s="799"/>
      <c r="J916" s="799"/>
      <c r="K916" s="799"/>
      <c r="L916" s="799"/>
      <c r="M916" s="799"/>
      <c r="N916" s="799"/>
      <c r="O916" s="799"/>
      <c r="P916" s="799"/>
      <c r="Q916" s="799"/>
      <c r="R916" s="799"/>
      <c r="S916" s="799"/>
      <c r="T916" s="799"/>
      <c r="U916" s="799"/>
      <c r="V916" s="799"/>
      <c r="W916" s="799"/>
      <c r="X916" s="799"/>
      <c r="Y916" s="799"/>
      <c r="Z916" s="799"/>
      <c r="AA916" s="799"/>
      <c r="AB916" s="799"/>
      <c r="AC916" s="799"/>
      <c r="AD916" s="799"/>
      <c r="AE916" s="799"/>
      <c r="AF916" s="799"/>
      <c r="AG916" s="799"/>
      <c r="AH916" s="799"/>
      <c r="AI916" s="799"/>
      <c r="AJ916" s="799"/>
      <c r="AK916" s="799"/>
      <c r="AL916" s="799"/>
      <c r="AM916" s="799"/>
      <c r="AN916" s="799"/>
      <c r="AO916" s="799"/>
      <c r="AP916" s="799"/>
      <c r="AQ916" s="799"/>
      <c r="AR916" s="799"/>
      <c r="AS916" s="799"/>
      <c r="AT916" s="799"/>
      <c r="AU916" s="799"/>
      <c r="AV916" s="799"/>
      <c r="AW916" s="799"/>
      <c r="AX916" s="799"/>
      <c r="AY916" s="799"/>
      <c r="AZ916" s="799"/>
      <c r="BA916" s="799"/>
      <c r="BB916" s="799"/>
      <c r="BC916" s="799"/>
      <c r="BD916" s="799"/>
      <c r="BE916" s="799"/>
      <c r="BF916" s="799"/>
      <c r="BG916" s="799"/>
    </row>
    <row r="917">
      <c r="H917" s="799"/>
      <c r="I917" s="799"/>
      <c r="J917" s="799"/>
      <c r="K917" s="799"/>
      <c r="L917" s="799"/>
      <c r="M917" s="799"/>
      <c r="N917" s="799"/>
      <c r="O917" s="799"/>
      <c r="P917" s="799"/>
      <c r="Q917" s="799"/>
      <c r="R917" s="799"/>
      <c r="S917" s="799"/>
      <c r="T917" s="799"/>
      <c r="U917" s="799"/>
      <c r="V917" s="799"/>
      <c r="W917" s="799"/>
      <c r="X917" s="799"/>
      <c r="Y917" s="799"/>
      <c r="Z917" s="799"/>
      <c r="AA917" s="799"/>
      <c r="AB917" s="799"/>
      <c r="AC917" s="799"/>
      <c r="AD917" s="799"/>
      <c r="AE917" s="799"/>
      <c r="AF917" s="799"/>
      <c r="AG917" s="799"/>
      <c r="AH917" s="799"/>
      <c r="AI917" s="799"/>
      <c r="AJ917" s="799"/>
      <c r="AK917" s="799"/>
      <c r="AL917" s="799"/>
      <c r="AM917" s="799"/>
      <c r="AN917" s="799"/>
      <c r="AO917" s="799"/>
      <c r="AP917" s="799"/>
      <c r="AQ917" s="799"/>
      <c r="AR917" s="799"/>
      <c r="AS917" s="799"/>
      <c r="AT917" s="799"/>
      <c r="AU917" s="799"/>
      <c r="AV917" s="799"/>
      <c r="AW917" s="799"/>
      <c r="AX917" s="799"/>
      <c r="AY917" s="799"/>
      <c r="AZ917" s="799"/>
      <c r="BA917" s="799"/>
      <c r="BB917" s="799"/>
      <c r="BC917" s="799"/>
      <c r="BD917" s="799"/>
      <c r="BE917" s="799"/>
      <c r="BF917" s="799"/>
      <c r="BG917" s="799"/>
    </row>
    <row r="918">
      <c r="H918" s="799"/>
      <c r="I918" s="799"/>
      <c r="J918" s="799"/>
      <c r="K918" s="799"/>
      <c r="L918" s="799"/>
      <c r="M918" s="799"/>
      <c r="N918" s="799"/>
      <c r="O918" s="799"/>
      <c r="P918" s="799"/>
      <c r="Q918" s="799"/>
      <c r="R918" s="799"/>
      <c r="S918" s="799"/>
      <c r="T918" s="799"/>
      <c r="U918" s="799"/>
      <c r="V918" s="799"/>
      <c r="W918" s="799"/>
      <c r="X918" s="799"/>
      <c r="Y918" s="799"/>
      <c r="Z918" s="799"/>
      <c r="AA918" s="799"/>
      <c r="AB918" s="799"/>
      <c r="AC918" s="799"/>
      <c r="AD918" s="799"/>
      <c r="AE918" s="799"/>
      <c r="AF918" s="799"/>
      <c r="AG918" s="799"/>
      <c r="AH918" s="799"/>
      <c r="AI918" s="799"/>
      <c r="AJ918" s="799"/>
      <c r="AK918" s="799"/>
      <c r="AL918" s="799"/>
      <c r="AM918" s="799"/>
      <c r="AN918" s="799"/>
      <c r="AO918" s="799"/>
      <c r="AP918" s="799"/>
      <c r="AQ918" s="799"/>
      <c r="AR918" s="799"/>
      <c r="AS918" s="799"/>
      <c r="AT918" s="799"/>
      <c r="AU918" s="799"/>
      <c r="AV918" s="799"/>
      <c r="AW918" s="799"/>
      <c r="AX918" s="799"/>
      <c r="AY918" s="799"/>
      <c r="AZ918" s="799"/>
      <c r="BA918" s="799"/>
      <c r="BB918" s="799"/>
      <c r="BC918" s="799"/>
      <c r="BD918" s="799"/>
      <c r="BE918" s="799"/>
      <c r="BF918" s="799"/>
      <c r="BG918" s="799"/>
    </row>
    <row r="919">
      <c r="H919" s="799"/>
      <c r="I919" s="799"/>
      <c r="J919" s="799"/>
      <c r="K919" s="799"/>
      <c r="L919" s="799"/>
      <c r="M919" s="799"/>
      <c r="N919" s="799"/>
      <c r="O919" s="799"/>
      <c r="P919" s="799"/>
      <c r="Q919" s="799"/>
      <c r="R919" s="799"/>
      <c r="S919" s="799"/>
      <c r="T919" s="799"/>
      <c r="U919" s="799"/>
      <c r="V919" s="799"/>
      <c r="W919" s="799"/>
      <c r="X919" s="799"/>
      <c r="Y919" s="799"/>
      <c r="Z919" s="799"/>
      <c r="AA919" s="799"/>
      <c r="AB919" s="799"/>
      <c r="AC919" s="799"/>
      <c r="AD919" s="799"/>
      <c r="AE919" s="799"/>
      <c r="AF919" s="799"/>
      <c r="AG919" s="799"/>
      <c r="AH919" s="799"/>
      <c r="AI919" s="799"/>
      <c r="AJ919" s="799"/>
      <c r="AK919" s="799"/>
      <c r="AL919" s="799"/>
      <c r="AM919" s="799"/>
      <c r="AN919" s="799"/>
      <c r="AO919" s="799"/>
      <c r="AP919" s="799"/>
      <c r="AQ919" s="799"/>
      <c r="AR919" s="799"/>
      <c r="AS919" s="799"/>
      <c r="AT919" s="799"/>
      <c r="AU919" s="799"/>
      <c r="AV919" s="799"/>
      <c r="AW919" s="799"/>
      <c r="AX919" s="799"/>
      <c r="AY919" s="799"/>
      <c r="AZ919" s="799"/>
      <c r="BA919" s="799"/>
      <c r="BB919" s="799"/>
      <c r="BC919" s="799"/>
      <c r="BD919" s="799"/>
      <c r="BE919" s="799"/>
      <c r="BF919" s="799"/>
      <c r="BG919" s="799"/>
    </row>
    <row r="920">
      <c r="H920" s="799"/>
      <c r="I920" s="799"/>
      <c r="J920" s="799"/>
      <c r="K920" s="799"/>
      <c r="L920" s="799"/>
      <c r="M920" s="799"/>
      <c r="N920" s="799"/>
      <c r="O920" s="799"/>
      <c r="P920" s="799"/>
      <c r="Q920" s="799"/>
      <c r="R920" s="799"/>
      <c r="S920" s="799"/>
      <c r="T920" s="799"/>
      <c r="U920" s="799"/>
      <c r="V920" s="799"/>
      <c r="W920" s="799"/>
      <c r="X920" s="799"/>
      <c r="Y920" s="799"/>
      <c r="Z920" s="799"/>
      <c r="AA920" s="799"/>
      <c r="AB920" s="799"/>
      <c r="AC920" s="799"/>
      <c r="AD920" s="799"/>
      <c r="AE920" s="799"/>
      <c r="AF920" s="799"/>
      <c r="AG920" s="799"/>
      <c r="AH920" s="799"/>
      <c r="AI920" s="799"/>
      <c r="AJ920" s="799"/>
      <c r="AK920" s="799"/>
      <c r="AL920" s="799"/>
      <c r="AM920" s="799"/>
      <c r="AN920" s="799"/>
      <c r="AO920" s="799"/>
      <c r="AP920" s="799"/>
      <c r="AQ920" s="799"/>
      <c r="AR920" s="799"/>
      <c r="AS920" s="799"/>
      <c r="AT920" s="799"/>
      <c r="AU920" s="799"/>
      <c r="AV920" s="799"/>
      <c r="AW920" s="799"/>
      <c r="AX920" s="799"/>
      <c r="AY920" s="799"/>
      <c r="AZ920" s="799"/>
      <c r="BA920" s="799"/>
      <c r="BB920" s="799"/>
      <c r="BC920" s="799"/>
      <c r="BD920" s="799"/>
      <c r="BE920" s="799"/>
      <c r="BF920" s="799"/>
      <c r="BG920" s="799"/>
    </row>
    <row r="921">
      <c r="H921" s="799"/>
      <c r="I921" s="799"/>
      <c r="J921" s="799"/>
      <c r="K921" s="799"/>
      <c r="L921" s="799"/>
      <c r="M921" s="799"/>
      <c r="N921" s="799"/>
      <c r="O921" s="799"/>
      <c r="P921" s="799"/>
      <c r="Q921" s="799"/>
      <c r="R921" s="799"/>
      <c r="S921" s="799"/>
      <c r="T921" s="799"/>
      <c r="U921" s="799"/>
      <c r="V921" s="799"/>
      <c r="W921" s="799"/>
      <c r="X921" s="799"/>
      <c r="Y921" s="799"/>
      <c r="Z921" s="799"/>
      <c r="AA921" s="799"/>
      <c r="AB921" s="799"/>
      <c r="AC921" s="799"/>
      <c r="AD921" s="799"/>
      <c r="AE921" s="799"/>
      <c r="AF921" s="799"/>
      <c r="AG921" s="799"/>
      <c r="AH921" s="799"/>
      <c r="AI921" s="799"/>
      <c r="AJ921" s="799"/>
      <c r="AK921" s="799"/>
      <c r="AL921" s="799"/>
      <c r="AM921" s="799"/>
      <c r="AN921" s="799"/>
      <c r="AO921" s="799"/>
      <c r="AP921" s="799"/>
      <c r="AQ921" s="799"/>
      <c r="AR921" s="799"/>
      <c r="AS921" s="799"/>
      <c r="AT921" s="799"/>
      <c r="AU921" s="799"/>
      <c r="AV921" s="799"/>
      <c r="AW921" s="799"/>
      <c r="AX921" s="799"/>
      <c r="AY921" s="799"/>
      <c r="AZ921" s="799"/>
      <c r="BA921" s="799"/>
      <c r="BB921" s="799"/>
      <c r="BC921" s="799"/>
      <c r="BD921" s="799"/>
      <c r="BE921" s="799"/>
      <c r="BF921" s="799"/>
      <c r="BG921" s="799"/>
    </row>
    <row r="922">
      <c r="H922" s="799"/>
      <c r="I922" s="799"/>
      <c r="J922" s="799"/>
      <c r="K922" s="799"/>
      <c r="L922" s="799"/>
      <c r="M922" s="799"/>
      <c r="N922" s="799"/>
      <c r="O922" s="799"/>
      <c r="P922" s="799"/>
      <c r="Q922" s="799"/>
      <c r="R922" s="799"/>
      <c r="S922" s="799"/>
      <c r="T922" s="799"/>
      <c r="U922" s="799"/>
      <c r="V922" s="799"/>
      <c r="W922" s="799"/>
      <c r="X922" s="799"/>
      <c r="Y922" s="799"/>
      <c r="Z922" s="799"/>
      <c r="AA922" s="799"/>
      <c r="AB922" s="799"/>
      <c r="AC922" s="799"/>
      <c r="AD922" s="799"/>
      <c r="AE922" s="799"/>
      <c r="AF922" s="799"/>
      <c r="AG922" s="799"/>
      <c r="AH922" s="799"/>
      <c r="AI922" s="799"/>
      <c r="AJ922" s="799"/>
      <c r="AK922" s="799"/>
      <c r="AL922" s="799"/>
      <c r="AM922" s="799"/>
      <c r="AN922" s="799"/>
      <c r="AO922" s="799"/>
      <c r="AP922" s="799"/>
      <c r="AQ922" s="799"/>
      <c r="AR922" s="799"/>
      <c r="AS922" s="799"/>
      <c r="AT922" s="799"/>
      <c r="AU922" s="799"/>
      <c r="AV922" s="799"/>
      <c r="AW922" s="799"/>
      <c r="AX922" s="799"/>
      <c r="AY922" s="799"/>
      <c r="AZ922" s="799"/>
      <c r="BA922" s="799"/>
      <c r="BB922" s="799"/>
      <c r="BC922" s="799"/>
      <c r="BD922" s="799"/>
      <c r="BE922" s="799"/>
      <c r="BF922" s="799"/>
      <c r="BG922" s="799"/>
    </row>
    <row r="923">
      <c r="H923" s="799"/>
      <c r="I923" s="799"/>
      <c r="J923" s="799"/>
      <c r="K923" s="799"/>
      <c r="L923" s="799"/>
      <c r="M923" s="799"/>
      <c r="N923" s="799"/>
      <c r="O923" s="799"/>
      <c r="P923" s="799"/>
      <c r="Q923" s="799"/>
      <c r="R923" s="799"/>
      <c r="S923" s="799"/>
      <c r="T923" s="799"/>
      <c r="U923" s="799"/>
      <c r="V923" s="799"/>
      <c r="W923" s="799"/>
      <c r="X923" s="799"/>
      <c r="Y923" s="799"/>
      <c r="Z923" s="799"/>
      <c r="AA923" s="799"/>
      <c r="AB923" s="799"/>
      <c r="AC923" s="799"/>
      <c r="AD923" s="799"/>
      <c r="AE923" s="799"/>
      <c r="AF923" s="799"/>
      <c r="AG923" s="799"/>
      <c r="AH923" s="799"/>
      <c r="AI923" s="799"/>
      <c r="AJ923" s="799"/>
      <c r="AK923" s="799"/>
      <c r="AL923" s="799"/>
      <c r="AM923" s="799"/>
      <c r="AN923" s="799"/>
      <c r="AO923" s="799"/>
      <c r="AP923" s="799"/>
      <c r="AQ923" s="799"/>
      <c r="AR923" s="799"/>
      <c r="AS923" s="799"/>
      <c r="AT923" s="799"/>
      <c r="AU923" s="799"/>
      <c r="AV923" s="799"/>
      <c r="AW923" s="799"/>
      <c r="AX923" s="799"/>
      <c r="AY923" s="799"/>
      <c r="AZ923" s="799"/>
      <c r="BA923" s="799"/>
      <c r="BB923" s="799"/>
      <c r="BC923" s="799"/>
      <c r="BD923" s="799"/>
      <c r="BE923" s="799"/>
      <c r="BF923" s="799"/>
      <c r="BG923" s="799"/>
    </row>
    <row r="924">
      <c r="H924" s="799"/>
      <c r="I924" s="799"/>
      <c r="J924" s="799"/>
      <c r="K924" s="799"/>
      <c r="L924" s="799"/>
      <c r="M924" s="799"/>
      <c r="N924" s="799"/>
      <c r="O924" s="799"/>
      <c r="P924" s="799"/>
      <c r="Q924" s="799"/>
      <c r="R924" s="799"/>
      <c r="S924" s="799"/>
      <c r="T924" s="799"/>
      <c r="U924" s="799"/>
      <c r="V924" s="799"/>
      <c r="W924" s="799"/>
      <c r="X924" s="799"/>
      <c r="Y924" s="799"/>
      <c r="Z924" s="799"/>
      <c r="AA924" s="799"/>
      <c r="AB924" s="799"/>
      <c r="AC924" s="799"/>
      <c r="AD924" s="799"/>
      <c r="AE924" s="799"/>
      <c r="AF924" s="799"/>
      <c r="AG924" s="799"/>
      <c r="AH924" s="799"/>
      <c r="AI924" s="799"/>
      <c r="AJ924" s="799"/>
      <c r="AK924" s="799"/>
      <c r="AL924" s="799"/>
      <c r="AM924" s="799"/>
      <c r="AN924" s="799"/>
      <c r="AO924" s="799"/>
      <c r="AP924" s="799"/>
      <c r="AQ924" s="799"/>
      <c r="AR924" s="799"/>
      <c r="AS924" s="799"/>
      <c r="AT924" s="799"/>
      <c r="AU924" s="799"/>
      <c r="AV924" s="799"/>
      <c r="AW924" s="799"/>
      <c r="AX924" s="799"/>
      <c r="AY924" s="799"/>
      <c r="AZ924" s="799"/>
      <c r="BA924" s="799"/>
      <c r="BB924" s="799"/>
      <c r="BC924" s="799"/>
      <c r="BD924" s="799"/>
      <c r="BE924" s="799"/>
      <c r="BF924" s="799"/>
      <c r="BG924" s="799"/>
    </row>
    <row r="925">
      <c r="H925" s="799"/>
      <c r="I925" s="799"/>
      <c r="J925" s="799"/>
      <c r="K925" s="799"/>
      <c r="L925" s="799"/>
      <c r="M925" s="799"/>
      <c r="N925" s="799"/>
      <c r="O925" s="799"/>
      <c r="P925" s="799"/>
      <c r="Q925" s="799"/>
      <c r="R925" s="799"/>
      <c r="S925" s="799"/>
      <c r="T925" s="799"/>
      <c r="U925" s="799"/>
      <c r="V925" s="799"/>
      <c r="W925" s="799"/>
      <c r="X925" s="799"/>
      <c r="Y925" s="799"/>
      <c r="Z925" s="799"/>
      <c r="AA925" s="799"/>
      <c r="AB925" s="799"/>
      <c r="AC925" s="799"/>
      <c r="AD925" s="799"/>
      <c r="AE925" s="799"/>
      <c r="AF925" s="799"/>
      <c r="AG925" s="799"/>
      <c r="AH925" s="799"/>
      <c r="AI925" s="799"/>
      <c r="AJ925" s="799"/>
      <c r="AK925" s="799"/>
      <c r="AL925" s="799"/>
      <c r="AM925" s="799"/>
      <c r="AN925" s="799"/>
      <c r="AO925" s="799"/>
      <c r="AP925" s="799"/>
      <c r="AQ925" s="799"/>
      <c r="AR925" s="799"/>
      <c r="AS925" s="799"/>
      <c r="AT925" s="799"/>
      <c r="AU925" s="799"/>
      <c r="AV925" s="799"/>
      <c r="AW925" s="799"/>
      <c r="AX925" s="799"/>
      <c r="AY925" s="799"/>
      <c r="AZ925" s="799"/>
      <c r="BA925" s="799"/>
      <c r="BB925" s="799"/>
      <c r="BC925" s="799"/>
      <c r="BD925" s="799"/>
      <c r="BE925" s="799"/>
      <c r="BF925" s="799"/>
      <c r="BG925" s="799"/>
    </row>
    <row r="926">
      <c r="H926" s="799"/>
      <c r="I926" s="799"/>
      <c r="J926" s="799"/>
      <c r="K926" s="799"/>
      <c r="L926" s="799"/>
      <c r="M926" s="799"/>
      <c r="N926" s="799"/>
      <c r="O926" s="799"/>
      <c r="P926" s="799"/>
      <c r="Q926" s="799"/>
      <c r="R926" s="799"/>
      <c r="S926" s="799"/>
      <c r="T926" s="799"/>
      <c r="U926" s="799"/>
      <c r="V926" s="799"/>
      <c r="W926" s="799"/>
      <c r="X926" s="799"/>
      <c r="Y926" s="799"/>
      <c r="Z926" s="799"/>
      <c r="AA926" s="799"/>
      <c r="AB926" s="799"/>
      <c r="AC926" s="799"/>
      <c r="AD926" s="799"/>
      <c r="AE926" s="799"/>
      <c r="AF926" s="799"/>
      <c r="AG926" s="799"/>
      <c r="AH926" s="799"/>
      <c r="AI926" s="799"/>
      <c r="AJ926" s="799"/>
      <c r="AK926" s="799"/>
      <c r="AL926" s="799"/>
      <c r="AM926" s="799"/>
      <c r="AN926" s="799"/>
      <c r="AO926" s="799"/>
      <c r="AP926" s="799"/>
      <c r="AQ926" s="799"/>
      <c r="AR926" s="799"/>
      <c r="AS926" s="799"/>
      <c r="AT926" s="799"/>
      <c r="AU926" s="799"/>
      <c r="AV926" s="799"/>
      <c r="AW926" s="799"/>
      <c r="AX926" s="799"/>
      <c r="AY926" s="799"/>
      <c r="AZ926" s="799"/>
      <c r="BA926" s="799"/>
      <c r="BB926" s="799"/>
      <c r="BC926" s="799"/>
      <c r="BD926" s="799"/>
      <c r="BE926" s="799"/>
      <c r="BF926" s="799"/>
      <c r="BG926" s="799"/>
    </row>
    <row r="927">
      <c r="H927" s="799"/>
      <c r="I927" s="799"/>
      <c r="J927" s="799"/>
      <c r="K927" s="799"/>
      <c r="L927" s="799"/>
      <c r="M927" s="799"/>
      <c r="N927" s="799"/>
      <c r="O927" s="799"/>
      <c r="P927" s="799"/>
      <c r="Q927" s="799"/>
      <c r="R927" s="799"/>
      <c r="S927" s="799"/>
      <c r="T927" s="799"/>
      <c r="U927" s="799"/>
      <c r="V927" s="799"/>
      <c r="W927" s="799"/>
      <c r="X927" s="799"/>
      <c r="Y927" s="799"/>
      <c r="Z927" s="799"/>
      <c r="AA927" s="799"/>
      <c r="AB927" s="799"/>
      <c r="AC927" s="799"/>
      <c r="AD927" s="799"/>
      <c r="AE927" s="799"/>
      <c r="AF927" s="799"/>
      <c r="AG927" s="799"/>
      <c r="AH927" s="799"/>
      <c r="AI927" s="799"/>
      <c r="AJ927" s="799"/>
      <c r="AK927" s="799"/>
      <c r="AL927" s="799"/>
      <c r="AM927" s="799"/>
      <c r="AN927" s="799"/>
      <c r="AO927" s="799"/>
      <c r="AP927" s="799"/>
      <c r="AQ927" s="799"/>
      <c r="AR927" s="799"/>
      <c r="AS927" s="799"/>
      <c r="AT927" s="799"/>
      <c r="AU927" s="799"/>
      <c r="AV927" s="799"/>
      <c r="AW927" s="799"/>
      <c r="AX927" s="799"/>
      <c r="AY927" s="799"/>
      <c r="AZ927" s="799"/>
      <c r="BA927" s="799"/>
      <c r="BB927" s="799"/>
      <c r="BC927" s="799"/>
      <c r="BD927" s="799"/>
      <c r="BE927" s="799"/>
      <c r="BF927" s="799"/>
      <c r="BG927" s="799"/>
    </row>
    <row r="928">
      <c r="H928" s="799"/>
      <c r="I928" s="799"/>
      <c r="J928" s="799"/>
      <c r="K928" s="799"/>
      <c r="L928" s="799"/>
      <c r="M928" s="799"/>
      <c r="N928" s="799"/>
      <c r="O928" s="799"/>
      <c r="P928" s="799"/>
      <c r="Q928" s="799"/>
      <c r="R928" s="799"/>
      <c r="S928" s="799"/>
      <c r="T928" s="799"/>
      <c r="U928" s="799"/>
      <c r="V928" s="799"/>
      <c r="W928" s="799"/>
      <c r="X928" s="799"/>
      <c r="Y928" s="799"/>
      <c r="Z928" s="799"/>
      <c r="AA928" s="799"/>
      <c r="AB928" s="799"/>
      <c r="AC928" s="799"/>
      <c r="AD928" s="799"/>
      <c r="AE928" s="799"/>
      <c r="AF928" s="799"/>
      <c r="AG928" s="799"/>
      <c r="AH928" s="799"/>
      <c r="AI928" s="799"/>
      <c r="AJ928" s="799"/>
      <c r="AK928" s="799"/>
      <c r="AL928" s="799"/>
      <c r="AM928" s="799"/>
      <c r="AN928" s="799"/>
      <c r="AO928" s="799"/>
      <c r="AP928" s="799"/>
      <c r="AQ928" s="799"/>
      <c r="AR928" s="799"/>
      <c r="AS928" s="799"/>
      <c r="AT928" s="799"/>
      <c r="AU928" s="799"/>
      <c r="AV928" s="799"/>
      <c r="AW928" s="799"/>
      <c r="AX928" s="799"/>
      <c r="AY928" s="799"/>
      <c r="AZ928" s="799"/>
      <c r="BA928" s="799"/>
      <c r="BB928" s="799"/>
      <c r="BC928" s="799"/>
      <c r="BD928" s="799"/>
      <c r="BE928" s="799"/>
      <c r="BF928" s="799"/>
      <c r="BG928" s="799"/>
    </row>
    <row r="929">
      <c r="H929" s="799"/>
      <c r="I929" s="799"/>
      <c r="J929" s="799"/>
      <c r="K929" s="799"/>
      <c r="L929" s="799"/>
      <c r="M929" s="799"/>
      <c r="N929" s="799"/>
      <c r="O929" s="799"/>
      <c r="P929" s="799"/>
      <c r="Q929" s="799"/>
      <c r="R929" s="799"/>
      <c r="S929" s="799"/>
      <c r="T929" s="799"/>
      <c r="U929" s="799"/>
      <c r="V929" s="799"/>
      <c r="W929" s="799"/>
      <c r="X929" s="799"/>
      <c r="Y929" s="799"/>
      <c r="Z929" s="799"/>
      <c r="AA929" s="799"/>
      <c r="AB929" s="799"/>
      <c r="AC929" s="799"/>
      <c r="AD929" s="799"/>
      <c r="AE929" s="799"/>
      <c r="AF929" s="799"/>
      <c r="AG929" s="799"/>
      <c r="AH929" s="799"/>
      <c r="AI929" s="799"/>
      <c r="AJ929" s="799"/>
      <c r="AK929" s="799"/>
      <c r="AL929" s="799"/>
      <c r="AM929" s="799"/>
      <c r="AN929" s="799"/>
      <c r="AO929" s="799"/>
      <c r="AP929" s="799"/>
      <c r="AQ929" s="799"/>
      <c r="AR929" s="799"/>
      <c r="AS929" s="799"/>
      <c r="AT929" s="799"/>
      <c r="AU929" s="799"/>
      <c r="AV929" s="799"/>
      <c r="AW929" s="799"/>
      <c r="AX929" s="799"/>
      <c r="AY929" s="799"/>
      <c r="AZ929" s="799"/>
      <c r="BA929" s="799"/>
      <c r="BB929" s="799"/>
      <c r="BC929" s="799"/>
      <c r="BD929" s="799"/>
      <c r="BE929" s="799"/>
      <c r="BF929" s="799"/>
      <c r="BG929" s="799"/>
    </row>
    <row r="930">
      <c r="H930" s="799"/>
      <c r="I930" s="799"/>
      <c r="J930" s="799"/>
      <c r="K930" s="799"/>
      <c r="L930" s="799"/>
      <c r="M930" s="799"/>
      <c r="N930" s="799"/>
      <c r="O930" s="799"/>
      <c r="P930" s="799"/>
      <c r="Q930" s="799"/>
      <c r="R930" s="799"/>
      <c r="S930" s="799"/>
      <c r="T930" s="799"/>
      <c r="U930" s="799"/>
      <c r="V930" s="799"/>
      <c r="W930" s="799"/>
      <c r="X930" s="799"/>
      <c r="Y930" s="799"/>
      <c r="Z930" s="799"/>
      <c r="AA930" s="799"/>
      <c r="AB930" s="799"/>
      <c r="AC930" s="799"/>
      <c r="AD930" s="799"/>
      <c r="AE930" s="799"/>
      <c r="AF930" s="799"/>
      <c r="AG930" s="799"/>
      <c r="AH930" s="799"/>
      <c r="AI930" s="799"/>
      <c r="AJ930" s="799"/>
      <c r="AK930" s="799"/>
      <c r="AL930" s="799"/>
      <c r="AM930" s="799"/>
      <c r="AN930" s="799"/>
      <c r="AO930" s="799"/>
      <c r="AP930" s="799"/>
      <c r="AQ930" s="799"/>
      <c r="AR930" s="799"/>
      <c r="AS930" s="799"/>
      <c r="AT930" s="799"/>
      <c r="AU930" s="799"/>
      <c r="AV930" s="799"/>
      <c r="AW930" s="799"/>
      <c r="AX930" s="799"/>
      <c r="AY930" s="799"/>
      <c r="AZ930" s="799"/>
      <c r="BA930" s="799"/>
      <c r="BB930" s="799"/>
      <c r="BC930" s="799"/>
      <c r="BD930" s="799"/>
      <c r="BE930" s="799"/>
      <c r="BF930" s="799"/>
      <c r="BG930" s="799"/>
    </row>
    <row r="931">
      <c r="H931" s="799"/>
      <c r="I931" s="799"/>
      <c r="J931" s="799"/>
      <c r="K931" s="799"/>
      <c r="L931" s="799"/>
      <c r="M931" s="799"/>
      <c r="N931" s="799"/>
      <c r="O931" s="799"/>
      <c r="P931" s="799"/>
      <c r="Q931" s="799"/>
      <c r="R931" s="799"/>
      <c r="S931" s="799"/>
      <c r="T931" s="799"/>
      <c r="U931" s="799"/>
      <c r="V931" s="799"/>
      <c r="W931" s="799"/>
      <c r="X931" s="799"/>
      <c r="Y931" s="799"/>
      <c r="Z931" s="799"/>
      <c r="AA931" s="799"/>
      <c r="AB931" s="799"/>
      <c r="AC931" s="799"/>
      <c r="AD931" s="799"/>
      <c r="AE931" s="799"/>
      <c r="AF931" s="799"/>
      <c r="AG931" s="799"/>
      <c r="AH931" s="799"/>
      <c r="AI931" s="799"/>
      <c r="AJ931" s="799"/>
      <c r="AK931" s="799"/>
      <c r="AL931" s="799"/>
      <c r="AM931" s="799"/>
      <c r="AN931" s="799"/>
      <c r="AO931" s="799"/>
      <c r="AP931" s="799"/>
      <c r="AQ931" s="799"/>
      <c r="AR931" s="799"/>
      <c r="AS931" s="799"/>
      <c r="AT931" s="799"/>
      <c r="AU931" s="799"/>
      <c r="AV931" s="799"/>
      <c r="AW931" s="799"/>
      <c r="AX931" s="799"/>
      <c r="AY931" s="799"/>
      <c r="AZ931" s="799"/>
      <c r="BA931" s="799"/>
      <c r="BB931" s="799"/>
      <c r="BC931" s="799"/>
      <c r="BD931" s="799"/>
      <c r="BE931" s="799"/>
      <c r="BF931" s="799"/>
      <c r="BG931" s="799"/>
    </row>
    <row r="932">
      <c r="H932" s="799"/>
      <c r="I932" s="799"/>
      <c r="J932" s="799"/>
      <c r="K932" s="799"/>
      <c r="L932" s="799"/>
      <c r="M932" s="799"/>
      <c r="N932" s="799"/>
      <c r="O932" s="799"/>
      <c r="P932" s="799"/>
      <c r="Q932" s="799"/>
      <c r="R932" s="799"/>
      <c r="S932" s="799"/>
      <c r="T932" s="799"/>
      <c r="U932" s="799"/>
      <c r="V932" s="799"/>
      <c r="W932" s="799"/>
      <c r="X932" s="799"/>
      <c r="Y932" s="799"/>
      <c r="Z932" s="799"/>
      <c r="AA932" s="799"/>
      <c r="AB932" s="799"/>
      <c r="AC932" s="799"/>
      <c r="AD932" s="799"/>
      <c r="AE932" s="799"/>
      <c r="AF932" s="799"/>
      <c r="AG932" s="799"/>
      <c r="AH932" s="799"/>
      <c r="AI932" s="799"/>
      <c r="AJ932" s="799"/>
      <c r="AK932" s="799"/>
      <c r="AL932" s="799"/>
      <c r="AM932" s="799"/>
      <c r="AN932" s="799"/>
      <c r="AO932" s="799"/>
      <c r="AP932" s="799"/>
      <c r="AQ932" s="799"/>
      <c r="AR932" s="799"/>
      <c r="AS932" s="799"/>
      <c r="AT932" s="799"/>
      <c r="AU932" s="799"/>
      <c r="AV932" s="799"/>
      <c r="AW932" s="799"/>
      <c r="AX932" s="799"/>
      <c r="AY932" s="799"/>
      <c r="AZ932" s="799"/>
      <c r="BA932" s="799"/>
      <c r="BB932" s="799"/>
      <c r="BC932" s="799"/>
      <c r="BD932" s="799"/>
      <c r="BE932" s="799"/>
      <c r="BF932" s="799"/>
      <c r="BG932" s="799"/>
    </row>
    <row r="933">
      <c r="H933" s="799"/>
      <c r="I933" s="799"/>
      <c r="J933" s="799"/>
      <c r="K933" s="799"/>
      <c r="L933" s="799"/>
      <c r="M933" s="799"/>
      <c r="N933" s="799"/>
      <c r="O933" s="799"/>
      <c r="P933" s="799"/>
      <c r="Q933" s="799"/>
      <c r="R933" s="799"/>
      <c r="S933" s="799"/>
      <c r="T933" s="799"/>
      <c r="U933" s="799"/>
      <c r="V933" s="799"/>
      <c r="W933" s="799"/>
      <c r="X933" s="799"/>
      <c r="Y933" s="799"/>
      <c r="Z933" s="799"/>
      <c r="AA933" s="799"/>
      <c r="AB933" s="799"/>
      <c r="AC933" s="799"/>
      <c r="AD933" s="799"/>
      <c r="AE933" s="799"/>
      <c r="AF933" s="799"/>
      <c r="AG933" s="799"/>
      <c r="AH933" s="799"/>
      <c r="AI933" s="799"/>
      <c r="AJ933" s="799"/>
      <c r="AK933" s="799"/>
      <c r="AL933" s="799"/>
      <c r="AM933" s="799"/>
      <c r="AN933" s="799"/>
      <c r="AO933" s="799"/>
      <c r="AP933" s="799"/>
      <c r="AQ933" s="799"/>
      <c r="AR933" s="799"/>
      <c r="AS933" s="799"/>
      <c r="AT933" s="799"/>
      <c r="AU933" s="799"/>
      <c r="AV933" s="799"/>
      <c r="AW933" s="799"/>
      <c r="AX933" s="799"/>
      <c r="AY933" s="799"/>
      <c r="AZ933" s="799"/>
      <c r="BA933" s="799"/>
      <c r="BB933" s="799"/>
      <c r="BC933" s="799"/>
      <c r="BD933" s="799"/>
      <c r="BE933" s="799"/>
      <c r="BF933" s="799"/>
      <c r="BG933" s="799"/>
    </row>
    <row r="934">
      <c r="H934" s="799"/>
      <c r="I934" s="799"/>
      <c r="J934" s="799"/>
      <c r="K934" s="799"/>
      <c r="L934" s="799"/>
      <c r="M934" s="799"/>
      <c r="N934" s="799"/>
      <c r="O934" s="799"/>
      <c r="P934" s="799"/>
      <c r="Q934" s="799"/>
      <c r="R934" s="799"/>
      <c r="S934" s="799"/>
      <c r="T934" s="799"/>
      <c r="U934" s="799"/>
      <c r="V934" s="799"/>
      <c r="W934" s="799"/>
      <c r="X934" s="799"/>
      <c r="Y934" s="799"/>
      <c r="Z934" s="799"/>
      <c r="AA934" s="799"/>
      <c r="AB934" s="799"/>
      <c r="AC934" s="799"/>
      <c r="AD934" s="799"/>
      <c r="AE934" s="799"/>
      <c r="AF934" s="799"/>
      <c r="AG934" s="799"/>
      <c r="AH934" s="799"/>
      <c r="AI934" s="799"/>
      <c r="AJ934" s="799"/>
      <c r="AK934" s="799"/>
      <c r="AL934" s="799"/>
      <c r="AM934" s="799"/>
      <c r="AN934" s="799"/>
      <c r="AO934" s="799"/>
      <c r="AP934" s="799"/>
      <c r="AQ934" s="799"/>
      <c r="AR934" s="799"/>
      <c r="AS934" s="799"/>
      <c r="AT934" s="799"/>
      <c r="AU934" s="799"/>
      <c r="AV934" s="799"/>
      <c r="AW934" s="799"/>
      <c r="AX934" s="799"/>
      <c r="AY934" s="799"/>
      <c r="AZ934" s="799"/>
      <c r="BA934" s="799"/>
      <c r="BB934" s="799"/>
      <c r="BC934" s="799"/>
      <c r="BD934" s="799"/>
      <c r="BE934" s="799"/>
      <c r="BF934" s="799"/>
      <c r="BG934" s="799"/>
    </row>
    <row r="935">
      <c r="H935" s="799"/>
      <c r="I935" s="799"/>
      <c r="J935" s="799"/>
      <c r="K935" s="799"/>
      <c r="L935" s="799"/>
      <c r="M935" s="799"/>
      <c r="N935" s="799"/>
      <c r="O935" s="799"/>
      <c r="P935" s="799"/>
      <c r="Q935" s="799"/>
      <c r="R935" s="799"/>
      <c r="S935" s="799"/>
      <c r="T935" s="799"/>
      <c r="U935" s="799"/>
      <c r="V935" s="799"/>
      <c r="W935" s="799"/>
      <c r="X935" s="799"/>
      <c r="Y935" s="799"/>
      <c r="Z935" s="799"/>
      <c r="AA935" s="799"/>
      <c r="AB935" s="799"/>
      <c r="AC935" s="799"/>
      <c r="AD935" s="799"/>
      <c r="AE935" s="799"/>
      <c r="AF935" s="799"/>
      <c r="AG935" s="799"/>
      <c r="AH935" s="799"/>
      <c r="AI935" s="799"/>
      <c r="AJ935" s="799"/>
      <c r="AK935" s="799"/>
      <c r="AL935" s="799"/>
      <c r="AM935" s="799"/>
      <c r="AN935" s="799"/>
      <c r="AO935" s="799"/>
      <c r="AP935" s="799"/>
      <c r="AQ935" s="799"/>
      <c r="AR935" s="799"/>
      <c r="AS935" s="799"/>
      <c r="AT935" s="799"/>
      <c r="AU935" s="799"/>
      <c r="AV935" s="799"/>
      <c r="AW935" s="799"/>
      <c r="AX935" s="799"/>
      <c r="AY935" s="799"/>
      <c r="AZ935" s="799"/>
      <c r="BA935" s="799"/>
      <c r="BB935" s="799"/>
      <c r="BC935" s="799"/>
      <c r="BD935" s="799"/>
      <c r="BE935" s="799"/>
      <c r="BF935" s="799"/>
      <c r="BG935" s="799"/>
    </row>
    <row r="936">
      <c r="H936" s="799"/>
      <c r="I936" s="799"/>
      <c r="J936" s="799"/>
      <c r="K936" s="799"/>
      <c r="L936" s="799"/>
      <c r="M936" s="799"/>
      <c r="N936" s="799"/>
      <c r="O936" s="799"/>
      <c r="P936" s="799"/>
      <c r="Q936" s="799"/>
      <c r="R936" s="799"/>
      <c r="S936" s="799"/>
      <c r="T936" s="799"/>
      <c r="U936" s="799"/>
      <c r="V936" s="799"/>
      <c r="W936" s="799"/>
      <c r="X936" s="799"/>
      <c r="Y936" s="799"/>
      <c r="Z936" s="799"/>
      <c r="AA936" s="799"/>
      <c r="AB936" s="799"/>
      <c r="AC936" s="799"/>
      <c r="AD936" s="799"/>
      <c r="AE936" s="799"/>
      <c r="AF936" s="799"/>
      <c r="AG936" s="799"/>
      <c r="AH936" s="799"/>
      <c r="AI936" s="799"/>
      <c r="AJ936" s="799"/>
      <c r="AK936" s="799"/>
      <c r="AL936" s="799"/>
      <c r="AM936" s="799"/>
      <c r="AN936" s="799"/>
      <c r="AO936" s="799"/>
      <c r="AP936" s="799"/>
      <c r="AQ936" s="799"/>
      <c r="AR936" s="799"/>
      <c r="AS936" s="799"/>
      <c r="AT936" s="799"/>
      <c r="AU936" s="799"/>
      <c r="AV936" s="799"/>
      <c r="AW936" s="799"/>
      <c r="AX936" s="799"/>
      <c r="AY936" s="799"/>
      <c r="AZ936" s="799"/>
      <c r="BA936" s="799"/>
      <c r="BB936" s="799"/>
      <c r="BC936" s="799"/>
      <c r="BD936" s="799"/>
      <c r="BE936" s="799"/>
      <c r="BF936" s="799"/>
      <c r="BG936" s="799"/>
    </row>
    <row r="937">
      <c r="H937" s="799"/>
      <c r="I937" s="799"/>
      <c r="J937" s="799"/>
      <c r="K937" s="799"/>
      <c r="L937" s="799"/>
      <c r="M937" s="799"/>
      <c r="N937" s="799"/>
      <c r="O937" s="799"/>
      <c r="P937" s="799"/>
      <c r="Q937" s="799"/>
      <c r="R937" s="799"/>
      <c r="S937" s="799"/>
      <c r="T937" s="799"/>
      <c r="U937" s="799"/>
      <c r="V937" s="799"/>
      <c r="W937" s="799"/>
      <c r="X937" s="799"/>
      <c r="Y937" s="799"/>
      <c r="Z937" s="799"/>
      <c r="AA937" s="799"/>
      <c r="AB937" s="799"/>
      <c r="AC937" s="799"/>
      <c r="AD937" s="799"/>
      <c r="AE937" s="799"/>
      <c r="AF937" s="799"/>
      <c r="AG937" s="799"/>
      <c r="AH937" s="799"/>
      <c r="AI937" s="799"/>
      <c r="AJ937" s="799"/>
      <c r="AK937" s="799"/>
      <c r="AL937" s="799"/>
      <c r="AM937" s="799"/>
      <c r="AN937" s="799"/>
      <c r="AO937" s="799"/>
      <c r="AP937" s="799"/>
      <c r="AQ937" s="799"/>
      <c r="AR937" s="799"/>
      <c r="AS937" s="799"/>
      <c r="AT937" s="799"/>
      <c r="AU937" s="799"/>
      <c r="AV937" s="799"/>
      <c r="AW937" s="799"/>
      <c r="AX937" s="799"/>
      <c r="AY937" s="799"/>
      <c r="AZ937" s="799"/>
      <c r="BA937" s="799"/>
      <c r="BB937" s="799"/>
      <c r="BC937" s="799"/>
      <c r="BD937" s="799"/>
      <c r="BE937" s="799"/>
      <c r="BF937" s="799"/>
      <c r="BG937" s="799"/>
    </row>
    <row r="938">
      <c r="H938" s="799"/>
      <c r="I938" s="799"/>
      <c r="J938" s="799"/>
      <c r="K938" s="799"/>
      <c r="L938" s="799"/>
      <c r="M938" s="799"/>
      <c r="N938" s="799"/>
      <c r="O938" s="799"/>
      <c r="P938" s="799"/>
      <c r="Q938" s="799"/>
      <c r="R938" s="799"/>
      <c r="S938" s="799"/>
      <c r="T938" s="799"/>
      <c r="U938" s="799"/>
      <c r="V938" s="799"/>
      <c r="W938" s="799"/>
      <c r="X938" s="799"/>
      <c r="Y938" s="799"/>
      <c r="Z938" s="799"/>
      <c r="AA938" s="799"/>
      <c r="AB938" s="799"/>
      <c r="AC938" s="799"/>
      <c r="AD938" s="799"/>
      <c r="AE938" s="799"/>
      <c r="AF938" s="799"/>
      <c r="AG938" s="799"/>
      <c r="AH938" s="799"/>
      <c r="AI938" s="799"/>
      <c r="AJ938" s="799"/>
      <c r="AK938" s="799"/>
      <c r="AL938" s="799"/>
      <c r="AM938" s="799"/>
      <c r="AN938" s="799"/>
      <c r="AO938" s="799"/>
      <c r="AP938" s="799"/>
      <c r="AQ938" s="799"/>
      <c r="AR938" s="799"/>
      <c r="AS938" s="799"/>
      <c r="AT938" s="799"/>
      <c r="AU938" s="799"/>
      <c r="AV938" s="799"/>
      <c r="AW938" s="799"/>
      <c r="AX938" s="799"/>
      <c r="AY938" s="799"/>
      <c r="AZ938" s="799"/>
      <c r="BA938" s="799"/>
      <c r="BB938" s="799"/>
      <c r="BC938" s="799"/>
      <c r="BD938" s="799"/>
      <c r="BE938" s="799"/>
      <c r="BF938" s="799"/>
      <c r="BG938" s="799"/>
    </row>
    <row r="939">
      <c r="H939" s="799"/>
      <c r="I939" s="799"/>
      <c r="J939" s="799"/>
      <c r="K939" s="799"/>
      <c r="L939" s="799"/>
      <c r="M939" s="799"/>
      <c r="N939" s="799"/>
      <c r="O939" s="799"/>
      <c r="P939" s="799"/>
      <c r="Q939" s="799"/>
      <c r="R939" s="799"/>
      <c r="S939" s="799"/>
      <c r="T939" s="799"/>
      <c r="U939" s="799"/>
      <c r="V939" s="799"/>
      <c r="W939" s="799"/>
      <c r="X939" s="799"/>
      <c r="Y939" s="799"/>
      <c r="Z939" s="799"/>
      <c r="AA939" s="799"/>
      <c r="AB939" s="799"/>
      <c r="AC939" s="799"/>
      <c r="AD939" s="799"/>
      <c r="AE939" s="799"/>
      <c r="AF939" s="799"/>
      <c r="AG939" s="799"/>
      <c r="AH939" s="799"/>
      <c r="AI939" s="799"/>
      <c r="AJ939" s="799"/>
      <c r="AK939" s="799"/>
      <c r="AL939" s="799"/>
      <c r="AM939" s="799"/>
      <c r="AN939" s="799"/>
      <c r="AO939" s="799"/>
      <c r="AP939" s="799"/>
      <c r="AQ939" s="799"/>
      <c r="AR939" s="799"/>
      <c r="AS939" s="799"/>
      <c r="AT939" s="799"/>
      <c r="AU939" s="799"/>
      <c r="AV939" s="799"/>
      <c r="AW939" s="799"/>
      <c r="AX939" s="799"/>
      <c r="AY939" s="799"/>
      <c r="AZ939" s="799"/>
      <c r="BA939" s="799"/>
      <c r="BB939" s="799"/>
      <c r="BC939" s="799"/>
      <c r="BD939" s="799"/>
      <c r="BE939" s="799"/>
      <c r="BF939" s="799"/>
      <c r="BG939" s="799"/>
    </row>
    <row r="940">
      <c r="H940" s="799"/>
      <c r="I940" s="799"/>
      <c r="J940" s="799"/>
      <c r="K940" s="799"/>
      <c r="L940" s="799"/>
      <c r="M940" s="799"/>
      <c r="N940" s="799"/>
      <c r="O940" s="799"/>
      <c r="P940" s="799"/>
      <c r="Q940" s="799"/>
      <c r="R940" s="799"/>
      <c r="S940" s="799"/>
      <c r="T940" s="799"/>
      <c r="U940" s="799"/>
      <c r="V940" s="799"/>
      <c r="W940" s="799"/>
      <c r="X940" s="799"/>
      <c r="Y940" s="799"/>
      <c r="Z940" s="799"/>
      <c r="AA940" s="799"/>
      <c r="AB940" s="799"/>
      <c r="AC940" s="799"/>
      <c r="AD940" s="799"/>
      <c r="AE940" s="799"/>
      <c r="AF940" s="799"/>
      <c r="AG940" s="799"/>
      <c r="AH940" s="799"/>
      <c r="AI940" s="799"/>
      <c r="AJ940" s="799"/>
      <c r="AK940" s="799"/>
      <c r="AL940" s="799"/>
      <c r="AM940" s="799"/>
      <c r="AN940" s="799"/>
      <c r="AO940" s="799"/>
      <c r="AP940" s="799"/>
      <c r="AQ940" s="799"/>
      <c r="AR940" s="799"/>
      <c r="AS940" s="799"/>
      <c r="AT940" s="799"/>
      <c r="AU940" s="799"/>
      <c r="AV940" s="799"/>
      <c r="AW940" s="799"/>
      <c r="AX940" s="799"/>
      <c r="AY940" s="799"/>
      <c r="AZ940" s="799"/>
      <c r="BA940" s="799"/>
      <c r="BB940" s="799"/>
      <c r="BC940" s="799"/>
      <c r="BD940" s="799"/>
      <c r="BE940" s="799"/>
      <c r="BF940" s="799"/>
      <c r="BG940" s="799"/>
    </row>
    <row r="941">
      <c r="H941" s="799"/>
      <c r="I941" s="799"/>
      <c r="J941" s="799"/>
      <c r="K941" s="799"/>
      <c r="L941" s="799"/>
      <c r="M941" s="799"/>
      <c r="N941" s="799"/>
      <c r="O941" s="799"/>
      <c r="P941" s="799"/>
      <c r="Q941" s="799"/>
      <c r="R941" s="799"/>
      <c r="S941" s="799"/>
      <c r="T941" s="799"/>
      <c r="U941" s="799"/>
      <c r="V941" s="799"/>
      <c r="W941" s="799"/>
      <c r="X941" s="799"/>
      <c r="Y941" s="799"/>
      <c r="Z941" s="799"/>
      <c r="AA941" s="799"/>
      <c r="AB941" s="799"/>
      <c r="AC941" s="799"/>
      <c r="AD941" s="799"/>
      <c r="AE941" s="799"/>
      <c r="AF941" s="799"/>
      <c r="AG941" s="799"/>
      <c r="AH941" s="799"/>
      <c r="AI941" s="799"/>
      <c r="AJ941" s="799"/>
      <c r="AK941" s="799"/>
      <c r="AL941" s="799"/>
      <c r="AM941" s="799"/>
      <c r="AN941" s="799"/>
      <c r="AO941" s="799"/>
      <c r="AP941" s="799"/>
      <c r="AQ941" s="799"/>
      <c r="AR941" s="799"/>
      <c r="AS941" s="799"/>
      <c r="AT941" s="799"/>
      <c r="AU941" s="799"/>
      <c r="AV941" s="799"/>
      <c r="AW941" s="799"/>
      <c r="AX941" s="799"/>
      <c r="AY941" s="799"/>
      <c r="AZ941" s="799"/>
      <c r="BA941" s="799"/>
      <c r="BB941" s="799"/>
      <c r="BC941" s="799"/>
      <c r="BD941" s="799"/>
      <c r="BE941" s="799"/>
      <c r="BF941" s="799"/>
      <c r="BG941" s="799"/>
    </row>
    <row r="942">
      <c r="H942" s="799"/>
      <c r="I942" s="799"/>
      <c r="J942" s="799"/>
      <c r="K942" s="799"/>
      <c r="L942" s="799"/>
      <c r="M942" s="799"/>
      <c r="N942" s="799"/>
      <c r="O942" s="799"/>
      <c r="P942" s="799"/>
      <c r="Q942" s="799"/>
      <c r="R942" s="799"/>
      <c r="S942" s="799"/>
      <c r="T942" s="799"/>
      <c r="U942" s="799"/>
      <c r="V942" s="799"/>
      <c r="W942" s="799"/>
      <c r="X942" s="799"/>
      <c r="Y942" s="799"/>
      <c r="Z942" s="799"/>
      <c r="AA942" s="799"/>
      <c r="AB942" s="799"/>
      <c r="AC942" s="799"/>
      <c r="AD942" s="799"/>
      <c r="AE942" s="799"/>
      <c r="AF942" s="799"/>
      <c r="AG942" s="799"/>
      <c r="AH942" s="799"/>
      <c r="AI942" s="799"/>
      <c r="AJ942" s="799"/>
      <c r="AK942" s="799"/>
      <c r="AL942" s="799"/>
      <c r="AM942" s="799"/>
      <c r="AN942" s="799"/>
      <c r="AO942" s="799"/>
      <c r="AP942" s="799"/>
      <c r="AQ942" s="799"/>
      <c r="AR942" s="799"/>
      <c r="AS942" s="799"/>
      <c r="AT942" s="799"/>
      <c r="AU942" s="799"/>
      <c r="AV942" s="799"/>
      <c r="AW942" s="799"/>
      <c r="AX942" s="799"/>
      <c r="AY942" s="799"/>
      <c r="AZ942" s="799"/>
      <c r="BA942" s="799"/>
      <c r="BB942" s="799"/>
      <c r="BC942" s="799"/>
      <c r="BD942" s="799"/>
      <c r="BE942" s="799"/>
      <c r="BF942" s="799"/>
      <c r="BG942" s="799"/>
    </row>
    <row r="943">
      <c r="H943" s="799"/>
      <c r="I943" s="799"/>
      <c r="J943" s="799"/>
      <c r="K943" s="799"/>
      <c r="L943" s="799"/>
      <c r="M943" s="799"/>
      <c r="N943" s="799"/>
      <c r="O943" s="799"/>
      <c r="P943" s="799"/>
      <c r="Q943" s="799"/>
      <c r="R943" s="799"/>
      <c r="S943" s="799"/>
      <c r="T943" s="799"/>
      <c r="U943" s="799"/>
      <c r="V943" s="799"/>
      <c r="W943" s="799"/>
      <c r="X943" s="799"/>
      <c r="Y943" s="799"/>
      <c r="Z943" s="799"/>
      <c r="AA943" s="799"/>
      <c r="AB943" s="799"/>
      <c r="AC943" s="799"/>
      <c r="AD943" s="799"/>
      <c r="AE943" s="799"/>
      <c r="AF943" s="799"/>
      <c r="AG943" s="799"/>
      <c r="AH943" s="799"/>
      <c r="AI943" s="799"/>
      <c r="AJ943" s="799"/>
      <c r="AK943" s="799"/>
      <c r="AL943" s="799"/>
      <c r="AM943" s="799"/>
      <c r="AN943" s="799"/>
      <c r="AO943" s="799"/>
      <c r="AP943" s="799"/>
      <c r="AQ943" s="799"/>
      <c r="AR943" s="799"/>
      <c r="AS943" s="799"/>
      <c r="AT943" s="799"/>
      <c r="AU943" s="799"/>
      <c r="AV943" s="799"/>
      <c r="AW943" s="799"/>
      <c r="AX943" s="799"/>
      <c r="AY943" s="799"/>
      <c r="AZ943" s="799"/>
      <c r="BA943" s="799"/>
      <c r="BB943" s="799"/>
      <c r="BC943" s="799"/>
      <c r="BD943" s="799"/>
      <c r="BE943" s="799"/>
      <c r="BF943" s="799"/>
      <c r="BG943" s="799"/>
    </row>
    <row r="944">
      <c r="H944" s="799"/>
      <c r="I944" s="799"/>
      <c r="J944" s="799"/>
      <c r="K944" s="799"/>
      <c r="L944" s="799"/>
      <c r="M944" s="799"/>
      <c r="N944" s="799"/>
      <c r="O944" s="799"/>
      <c r="P944" s="799"/>
      <c r="Q944" s="799"/>
      <c r="R944" s="799"/>
      <c r="S944" s="799"/>
      <c r="T944" s="799"/>
      <c r="U944" s="799"/>
      <c r="V944" s="799"/>
      <c r="W944" s="799"/>
      <c r="X944" s="799"/>
      <c r="Y944" s="799"/>
      <c r="Z944" s="799"/>
      <c r="AA944" s="799"/>
      <c r="AB944" s="799"/>
      <c r="AC944" s="799"/>
      <c r="AD944" s="799"/>
      <c r="AE944" s="799"/>
      <c r="AF944" s="799"/>
      <c r="AG944" s="799"/>
      <c r="AH944" s="799"/>
      <c r="AI944" s="799"/>
      <c r="AJ944" s="799"/>
      <c r="AK944" s="799"/>
      <c r="AL944" s="799"/>
      <c r="AM944" s="799"/>
      <c r="AN944" s="799"/>
      <c r="AO944" s="799"/>
      <c r="AP944" s="799"/>
      <c r="AQ944" s="799"/>
      <c r="AR944" s="799"/>
      <c r="AS944" s="799"/>
      <c r="AT944" s="799"/>
      <c r="AU944" s="799"/>
      <c r="AV944" s="799"/>
      <c r="AW944" s="799"/>
      <c r="AX944" s="799"/>
      <c r="AY944" s="799"/>
      <c r="AZ944" s="799"/>
      <c r="BA944" s="799"/>
      <c r="BB944" s="799"/>
      <c r="BC944" s="799"/>
      <c r="BD944" s="799"/>
      <c r="BE944" s="799"/>
      <c r="BF944" s="799"/>
      <c r="BG944" s="799"/>
    </row>
    <row r="945">
      <c r="H945" s="799"/>
      <c r="I945" s="799"/>
      <c r="J945" s="799"/>
      <c r="K945" s="799"/>
      <c r="L945" s="799"/>
      <c r="M945" s="799"/>
      <c r="N945" s="799"/>
      <c r="O945" s="799"/>
      <c r="P945" s="799"/>
      <c r="Q945" s="799"/>
      <c r="R945" s="799"/>
      <c r="S945" s="799"/>
      <c r="T945" s="799"/>
      <c r="U945" s="799"/>
      <c r="V945" s="799"/>
      <c r="W945" s="799"/>
      <c r="X945" s="799"/>
      <c r="Y945" s="799"/>
      <c r="Z945" s="799"/>
      <c r="AA945" s="799"/>
      <c r="AB945" s="799"/>
      <c r="AC945" s="799"/>
      <c r="AD945" s="799"/>
      <c r="AE945" s="799"/>
      <c r="AF945" s="799"/>
      <c r="AG945" s="799"/>
      <c r="AH945" s="799"/>
      <c r="AI945" s="799"/>
      <c r="AJ945" s="799"/>
      <c r="AK945" s="799"/>
      <c r="AL945" s="799"/>
      <c r="AM945" s="799"/>
      <c r="AN945" s="799"/>
      <c r="AO945" s="799"/>
      <c r="AP945" s="799"/>
      <c r="AQ945" s="799"/>
      <c r="AR945" s="799"/>
      <c r="AS945" s="799"/>
      <c r="AT945" s="799"/>
      <c r="AU945" s="799"/>
      <c r="AV945" s="799"/>
      <c r="AW945" s="799"/>
      <c r="AX945" s="799"/>
      <c r="AY945" s="799"/>
      <c r="AZ945" s="799"/>
      <c r="BA945" s="799"/>
      <c r="BB945" s="799"/>
      <c r="BC945" s="799"/>
      <c r="BD945" s="799"/>
      <c r="BE945" s="799"/>
      <c r="BF945" s="799"/>
      <c r="BG945" s="799"/>
    </row>
    <row r="946">
      <c r="H946" s="799"/>
      <c r="I946" s="799"/>
      <c r="J946" s="799"/>
      <c r="K946" s="799"/>
      <c r="L946" s="799"/>
      <c r="M946" s="799"/>
      <c r="N946" s="799"/>
      <c r="O946" s="799"/>
      <c r="P946" s="799"/>
      <c r="Q946" s="799"/>
      <c r="R946" s="799"/>
      <c r="S946" s="799"/>
      <c r="T946" s="799"/>
      <c r="U946" s="799"/>
      <c r="V946" s="799"/>
      <c r="W946" s="799"/>
      <c r="X946" s="799"/>
      <c r="Y946" s="799"/>
      <c r="Z946" s="799"/>
      <c r="AA946" s="799"/>
      <c r="AB946" s="799"/>
      <c r="AC946" s="799"/>
      <c r="AD946" s="799"/>
      <c r="AE946" s="799"/>
      <c r="AF946" s="799"/>
      <c r="AG946" s="799"/>
      <c r="AH946" s="799"/>
      <c r="AI946" s="799"/>
      <c r="AJ946" s="799"/>
      <c r="AK946" s="799"/>
      <c r="AL946" s="799"/>
      <c r="AM946" s="799"/>
      <c r="AN946" s="799"/>
      <c r="AO946" s="799"/>
      <c r="AP946" s="799"/>
      <c r="AQ946" s="799"/>
      <c r="AR946" s="799"/>
      <c r="AS946" s="799"/>
      <c r="AT946" s="799"/>
      <c r="AU946" s="799"/>
      <c r="AV946" s="799"/>
      <c r="AW946" s="799"/>
      <c r="AX946" s="799"/>
      <c r="AY946" s="799"/>
      <c r="AZ946" s="799"/>
      <c r="BA946" s="799"/>
      <c r="BB946" s="799"/>
      <c r="BC946" s="799"/>
      <c r="BD946" s="799"/>
      <c r="BE946" s="799"/>
      <c r="BF946" s="799"/>
      <c r="BG946" s="799"/>
    </row>
    <row r="947">
      <c r="H947" s="799"/>
      <c r="I947" s="799"/>
      <c r="J947" s="799"/>
      <c r="K947" s="799"/>
      <c r="L947" s="799"/>
      <c r="M947" s="799"/>
      <c r="N947" s="799"/>
      <c r="O947" s="799"/>
      <c r="P947" s="799"/>
      <c r="Q947" s="799"/>
      <c r="R947" s="799"/>
      <c r="S947" s="799"/>
      <c r="T947" s="799"/>
      <c r="U947" s="799"/>
      <c r="V947" s="799"/>
      <c r="W947" s="799"/>
      <c r="X947" s="799"/>
      <c r="Y947" s="799"/>
      <c r="Z947" s="799"/>
      <c r="AA947" s="799"/>
      <c r="AB947" s="799"/>
      <c r="AC947" s="799"/>
      <c r="AD947" s="799"/>
      <c r="AE947" s="799"/>
      <c r="AF947" s="799"/>
      <c r="AG947" s="799"/>
      <c r="AH947" s="799"/>
      <c r="AI947" s="799"/>
      <c r="AJ947" s="799"/>
      <c r="AK947" s="799"/>
      <c r="AL947" s="799"/>
      <c r="AM947" s="799"/>
      <c r="AN947" s="799"/>
      <c r="AO947" s="799"/>
      <c r="AP947" s="799"/>
      <c r="AQ947" s="799"/>
      <c r="AR947" s="799"/>
      <c r="AS947" s="799"/>
      <c r="AT947" s="799"/>
      <c r="AU947" s="799"/>
      <c r="AV947" s="799"/>
      <c r="AW947" s="799"/>
      <c r="AX947" s="799"/>
      <c r="AY947" s="799"/>
      <c r="AZ947" s="799"/>
      <c r="BA947" s="799"/>
      <c r="BB947" s="799"/>
      <c r="BC947" s="799"/>
      <c r="BD947" s="799"/>
      <c r="BE947" s="799"/>
      <c r="BF947" s="799"/>
      <c r="BG947" s="799"/>
    </row>
    <row r="948">
      <c r="H948" s="799"/>
      <c r="I948" s="799"/>
      <c r="J948" s="799"/>
      <c r="K948" s="799"/>
      <c r="L948" s="799"/>
      <c r="M948" s="799"/>
      <c r="N948" s="799"/>
      <c r="O948" s="799"/>
      <c r="P948" s="799"/>
      <c r="Q948" s="799"/>
      <c r="R948" s="799"/>
      <c r="S948" s="799"/>
      <c r="T948" s="799"/>
      <c r="U948" s="799"/>
      <c r="V948" s="799"/>
      <c r="W948" s="799"/>
      <c r="X948" s="799"/>
      <c r="Y948" s="799"/>
      <c r="Z948" s="799"/>
      <c r="AA948" s="799"/>
      <c r="AB948" s="799"/>
      <c r="AC948" s="799"/>
      <c r="AD948" s="799"/>
      <c r="AE948" s="799"/>
      <c r="AF948" s="799"/>
      <c r="AG948" s="799"/>
      <c r="AH948" s="799"/>
      <c r="AI948" s="799"/>
      <c r="AJ948" s="799"/>
      <c r="AK948" s="799"/>
      <c r="AL948" s="799"/>
      <c r="AM948" s="799"/>
      <c r="AN948" s="799"/>
      <c r="AO948" s="799"/>
      <c r="AP948" s="799"/>
      <c r="AQ948" s="799"/>
      <c r="AR948" s="799"/>
      <c r="AS948" s="799"/>
      <c r="AT948" s="799"/>
      <c r="AU948" s="799"/>
      <c r="AV948" s="799"/>
      <c r="AW948" s="799"/>
      <c r="AX948" s="799"/>
      <c r="AY948" s="799"/>
      <c r="AZ948" s="799"/>
      <c r="BA948" s="799"/>
      <c r="BB948" s="799"/>
      <c r="BC948" s="799"/>
      <c r="BD948" s="799"/>
      <c r="BE948" s="799"/>
      <c r="BF948" s="799"/>
      <c r="BG948" s="799"/>
    </row>
    <row r="949">
      <c r="H949" s="799"/>
      <c r="I949" s="799"/>
      <c r="J949" s="799"/>
      <c r="K949" s="799"/>
      <c r="L949" s="799"/>
      <c r="M949" s="799"/>
      <c r="N949" s="799"/>
      <c r="O949" s="799"/>
      <c r="P949" s="799"/>
      <c r="Q949" s="799"/>
      <c r="R949" s="799"/>
      <c r="S949" s="799"/>
      <c r="T949" s="799"/>
      <c r="U949" s="799"/>
      <c r="V949" s="799"/>
      <c r="W949" s="799"/>
      <c r="X949" s="799"/>
      <c r="Y949" s="799"/>
      <c r="Z949" s="799"/>
      <c r="AA949" s="799"/>
      <c r="AB949" s="799"/>
      <c r="AC949" s="799"/>
      <c r="AD949" s="799"/>
      <c r="AE949" s="799"/>
      <c r="AF949" s="799"/>
      <c r="AG949" s="799"/>
      <c r="AH949" s="799"/>
      <c r="AI949" s="799"/>
      <c r="AJ949" s="799"/>
      <c r="AK949" s="799"/>
      <c r="AL949" s="799"/>
      <c r="AM949" s="799"/>
      <c r="AN949" s="799"/>
      <c r="AO949" s="799"/>
      <c r="AP949" s="799"/>
      <c r="AQ949" s="799"/>
      <c r="AR949" s="799"/>
      <c r="AS949" s="799"/>
      <c r="AT949" s="799"/>
      <c r="AU949" s="799"/>
      <c r="AV949" s="799"/>
      <c r="AW949" s="799"/>
      <c r="AX949" s="799"/>
      <c r="AY949" s="799"/>
      <c r="AZ949" s="799"/>
      <c r="BA949" s="799"/>
      <c r="BB949" s="799"/>
      <c r="BC949" s="799"/>
      <c r="BD949" s="799"/>
      <c r="BE949" s="799"/>
      <c r="BF949" s="799"/>
      <c r="BG949" s="799"/>
    </row>
    <row r="950">
      <c r="H950" s="799"/>
      <c r="I950" s="799"/>
      <c r="J950" s="799"/>
      <c r="K950" s="799"/>
      <c r="L950" s="799"/>
      <c r="M950" s="799"/>
      <c r="N950" s="799"/>
      <c r="O950" s="799"/>
      <c r="P950" s="799"/>
      <c r="Q950" s="799"/>
      <c r="R950" s="799"/>
      <c r="S950" s="799"/>
      <c r="T950" s="799"/>
      <c r="U950" s="799"/>
      <c r="V950" s="799"/>
      <c r="W950" s="799"/>
      <c r="X950" s="799"/>
      <c r="Y950" s="799"/>
      <c r="Z950" s="799"/>
      <c r="AA950" s="799"/>
      <c r="AB950" s="799"/>
      <c r="AC950" s="799"/>
      <c r="AD950" s="799"/>
      <c r="AE950" s="799"/>
      <c r="AF950" s="799"/>
      <c r="AG950" s="799"/>
      <c r="AH950" s="799"/>
      <c r="AI950" s="799"/>
      <c r="AJ950" s="799"/>
      <c r="AK950" s="799"/>
      <c r="AL950" s="799"/>
      <c r="AM950" s="799"/>
      <c r="AN950" s="799"/>
      <c r="AO950" s="799"/>
      <c r="AP950" s="799"/>
      <c r="AQ950" s="799"/>
      <c r="AR950" s="799"/>
      <c r="AS950" s="799"/>
      <c r="AT950" s="799"/>
      <c r="AU950" s="799"/>
      <c r="AV950" s="799"/>
      <c r="AW950" s="799"/>
      <c r="AX950" s="799"/>
      <c r="AY950" s="799"/>
      <c r="AZ950" s="799"/>
      <c r="BA950" s="799"/>
      <c r="BB950" s="799"/>
      <c r="BC950" s="799"/>
      <c r="BD950" s="799"/>
      <c r="BE950" s="799"/>
      <c r="BF950" s="799"/>
      <c r="BG950" s="799"/>
    </row>
    <row r="951">
      <c r="H951" s="799"/>
      <c r="I951" s="799"/>
      <c r="J951" s="799"/>
      <c r="K951" s="799"/>
      <c r="L951" s="799"/>
      <c r="M951" s="799"/>
      <c r="N951" s="799"/>
      <c r="O951" s="799"/>
      <c r="P951" s="799"/>
      <c r="Q951" s="799"/>
      <c r="R951" s="799"/>
      <c r="S951" s="799"/>
      <c r="T951" s="799"/>
      <c r="U951" s="799"/>
      <c r="V951" s="799"/>
      <c r="W951" s="799"/>
      <c r="X951" s="799"/>
      <c r="Y951" s="799"/>
      <c r="Z951" s="799"/>
      <c r="AA951" s="799"/>
      <c r="AB951" s="799"/>
      <c r="AC951" s="799"/>
      <c r="AD951" s="799"/>
      <c r="AE951" s="799"/>
      <c r="AF951" s="799"/>
      <c r="AG951" s="799"/>
      <c r="AH951" s="799"/>
      <c r="AI951" s="799"/>
      <c r="AJ951" s="799"/>
      <c r="AK951" s="799"/>
      <c r="AL951" s="799"/>
      <c r="AM951" s="799"/>
      <c r="AN951" s="799"/>
      <c r="AO951" s="799"/>
      <c r="AP951" s="799"/>
      <c r="AQ951" s="799"/>
      <c r="AR951" s="799"/>
      <c r="AS951" s="799"/>
      <c r="AT951" s="799"/>
      <c r="AU951" s="799"/>
      <c r="AV951" s="799"/>
      <c r="AW951" s="799"/>
      <c r="AX951" s="799"/>
      <c r="AY951" s="799"/>
      <c r="AZ951" s="799"/>
      <c r="BA951" s="799"/>
      <c r="BB951" s="799"/>
      <c r="BC951" s="799"/>
      <c r="BD951" s="799"/>
      <c r="BE951" s="799"/>
      <c r="BF951" s="799"/>
      <c r="BG951" s="799"/>
    </row>
    <row r="952">
      <c r="H952" s="799"/>
      <c r="I952" s="799"/>
      <c r="J952" s="799"/>
      <c r="K952" s="799"/>
      <c r="L952" s="799"/>
      <c r="M952" s="799"/>
      <c r="N952" s="799"/>
      <c r="O952" s="799"/>
      <c r="P952" s="799"/>
      <c r="Q952" s="799"/>
      <c r="R952" s="799"/>
      <c r="S952" s="799"/>
      <c r="T952" s="799"/>
      <c r="U952" s="799"/>
      <c r="V952" s="799"/>
      <c r="W952" s="799"/>
      <c r="X952" s="799"/>
      <c r="Y952" s="799"/>
      <c r="Z952" s="799"/>
      <c r="AA952" s="799"/>
      <c r="AB952" s="799"/>
      <c r="AC952" s="799"/>
      <c r="AD952" s="799"/>
      <c r="AE952" s="799"/>
      <c r="AF952" s="799"/>
      <c r="AG952" s="799"/>
      <c r="AH952" s="799"/>
      <c r="AI952" s="799"/>
      <c r="AJ952" s="799"/>
      <c r="AK952" s="799"/>
      <c r="AL952" s="799"/>
      <c r="AM952" s="799"/>
      <c r="AN952" s="799"/>
      <c r="AO952" s="799"/>
      <c r="AP952" s="799"/>
      <c r="AQ952" s="799"/>
      <c r="AR952" s="799"/>
      <c r="AS952" s="799"/>
      <c r="AT952" s="799"/>
      <c r="AU952" s="799"/>
      <c r="AV952" s="799"/>
      <c r="AW952" s="799"/>
      <c r="AX952" s="799"/>
      <c r="AY952" s="799"/>
      <c r="AZ952" s="799"/>
      <c r="BA952" s="799"/>
      <c r="BB952" s="799"/>
      <c r="BC952" s="799"/>
      <c r="BD952" s="799"/>
      <c r="BE952" s="799"/>
      <c r="BF952" s="799"/>
      <c r="BG952" s="799"/>
    </row>
    <row r="953">
      <c r="H953" s="799"/>
      <c r="I953" s="799"/>
      <c r="J953" s="799"/>
      <c r="K953" s="799"/>
      <c r="L953" s="799"/>
      <c r="M953" s="799"/>
      <c r="N953" s="799"/>
      <c r="O953" s="799"/>
      <c r="P953" s="799"/>
      <c r="Q953" s="799"/>
      <c r="R953" s="799"/>
      <c r="S953" s="799"/>
      <c r="T953" s="799"/>
      <c r="U953" s="799"/>
      <c r="V953" s="799"/>
      <c r="W953" s="799"/>
      <c r="X953" s="799"/>
      <c r="Y953" s="799"/>
      <c r="Z953" s="799"/>
      <c r="AA953" s="799"/>
      <c r="AB953" s="799"/>
      <c r="AC953" s="799"/>
      <c r="AD953" s="799"/>
      <c r="AE953" s="799"/>
      <c r="AF953" s="799"/>
      <c r="AG953" s="799"/>
      <c r="AH953" s="799"/>
      <c r="AI953" s="799"/>
      <c r="AJ953" s="799"/>
      <c r="AK953" s="799"/>
      <c r="AL953" s="799"/>
      <c r="AM953" s="799"/>
      <c r="AN953" s="799"/>
      <c r="AO953" s="799"/>
      <c r="AP953" s="799"/>
      <c r="AQ953" s="799"/>
      <c r="AR953" s="799"/>
      <c r="AS953" s="799"/>
      <c r="AT953" s="799"/>
      <c r="AU953" s="799"/>
      <c r="AV953" s="799"/>
      <c r="AW953" s="799"/>
      <c r="AX953" s="799"/>
      <c r="AY953" s="799"/>
      <c r="AZ953" s="799"/>
      <c r="BA953" s="799"/>
      <c r="BB953" s="799"/>
      <c r="BC953" s="799"/>
      <c r="BD953" s="799"/>
      <c r="BE953" s="799"/>
      <c r="BF953" s="799"/>
      <c r="BG953" s="799"/>
    </row>
    <row r="954">
      <c r="H954" s="799"/>
      <c r="I954" s="799"/>
      <c r="J954" s="799"/>
      <c r="K954" s="799"/>
      <c r="L954" s="799"/>
      <c r="M954" s="799"/>
      <c r="N954" s="799"/>
      <c r="O954" s="799"/>
      <c r="P954" s="799"/>
      <c r="Q954" s="799"/>
      <c r="R954" s="799"/>
      <c r="S954" s="799"/>
      <c r="T954" s="799"/>
      <c r="U954" s="799"/>
      <c r="V954" s="799"/>
      <c r="W954" s="799"/>
      <c r="X954" s="799"/>
      <c r="Y954" s="799"/>
      <c r="Z954" s="799"/>
      <c r="AA954" s="799"/>
      <c r="AB954" s="799"/>
      <c r="AC954" s="799"/>
      <c r="AD954" s="799"/>
      <c r="AE954" s="799"/>
      <c r="AF954" s="799"/>
      <c r="AG954" s="799"/>
      <c r="AH954" s="799"/>
      <c r="AI954" s="799"/>
      <c r="AJ954" s="799"/>
      <c r="AK954" s="799"/>
      <c r="AL954" s="799"/>
      <c r="AM954" s="799"/>
      <c r="AN954" s="799"/>
      <c r="AO954" s="799"/>
      <c r="AP954" s="799"/>
      <c r="AQ954" s="799"/>
      <c r="AR954" s="799"/>
      <c r="AS954" s="799"/>
      <c r="AT954" s="799"/>
      <c r="AU954" s="799"/>
      <c r="AV954" s="799"/>
      <c r="AW954" s="799"/>
      <c r="AX954" s="799"/>
      <c r="AY954" s="799"/>
      <c r="AZ954" s="799"/>
      <c r="BA954" s="799"/>
      <c r="BB954" s="799"/>
      <c r="BC954" s="799"/>
      <c r="BD954" s="799"/>
      <c r="BE954" s="799"/>
      <c r="BF954" s="799"/>
      <c r="BG954" s="799"/>
    </row>
    <row r="955">
      <c r="H955" s="799"/>
      <c r="I955" s="799"/>
      <c r="J955" s="799"/>
      <c r="K955" s="799"/>
      <c r="L955" s="799"/>
      <c r="M955" s="799"/>
      <c r="N955" s="799"/>
      <c r="O955" s="799"/>
      <c r="P955" s="799"/>
      <c r="Q955" s="799"/>
      <c r="R955" s="799"/>
      <c r="S955" s="799"/>
      <c r="T955" s="799"/>
      <c r="U955" s="799"/>
      <c r="V955" s="799"/>
      <c r="W955" s="799"/>
      <c r="X955" s="799"/>
      <c r="Y955" s="799"/>
      <c r="Z955" s="799"/>
      <c r="AA955" s="799"/>
      <c r="AB955" s="799"/>
      <c r="AC955" s="799"/>
      <c r="AD955" s="799"/>
      <c r="AE955" s="799"/>
      <c r="AF955" s="799"/>
      <c r="AG955" s="799"/>
      <c r="AH955" s="799"/>
      <c r="AI955" s="799"/>
      <c r="AJ955" s="799"/>
      <c r="AK955" s="799"/>
      <c r="AL955" s="799"/>
      <c r="AM955" s="799"/>
      <c r="AN955" s="799"/>
      <c r="AO955" s="799"/>
      <c r="AP955" s="799"/>
      <c r="AQ955" s="799"/>
      <c r="AR955" s="799"/>
      <c r="AS955" s="799"/>
      <c r="AT955" s="799"/>
      <c r="AU955" s="799"/>
      <c r="AV955" s="799"/>
      <c r="AW955" s="799"/>
      <c r="AX955" s="799"/>
      <c r="AY955" s="799"/>
      <c r="AZ955" s="799"/>
      <c r="BA955" s="799"/>
      <c r="BB955" s="799"/>
      <c r="BC955" s="799"/>
      <c r="BD955" s="799"/>
      <c r="BE955" s="799"/>
      <c r="BF955" s="799"/>
      <c r="BG955" s="799"/>
    </row>
    <row r="956">
      <c r="H956" s="799"/>
      <c r="I956" s="799"/>
      <c r="J956" s="799"/>
      <c r="K956" s="799"/>
      <c r="L956" s="799"/>
      <c r="M956" s="799"/>
      <c r="N956" s="799"/>
      <c r="O956" s="799"/>
      <c r="P956" s="799"/>
      <c r="Q956" s="799"/>
      <c r="R956" s="799"/>
      <c r="S956" s="799"/>
      <c r="T956" s="799"/>
      <c r="U956" s="799"/>
      <c r="V956" s="799"/>
      <c r="W956" s="799"/>
      <c r="X956" s="799"/>
      <c r="Y956" s="799"/>
      <c r="Z956" s="799"/>
      <c r="AA956" s="799"/>
      <c r="AB956" s="799"/>
      <c r="AC956" s="799"/>
      <c r="AD956" s="799"/>
      <c r="AE956" s="799"/>
      <c r="AF956" s="799"/>
      <c r="AG956" s="799"/>
      <c r="AH956" s="799"/>
      <c r="AI956" s="799"/>
      <c r="AJ956" s="799"/>
      <c r="AK956" s="799"/>
      <c r="AL956" s="799"/>
      <c r="AM956" s="799"/>
      <c r="AN956" s="799"/>
      <c r="AO956" s="799"/>
      <c r="AP956" s="799"/>
      <c r="AQ956" s="799"/>
      <c r="AR956" s="799"/>
      <c r="AS956" s="799"/>
      <c r="AT956" s="799"/>
      <c r="AU956" s="799"/>
      <c r="AV956" s="799"/>
      <c r="AW956" s="799"/>
      <c r="AX956" s="799"/>
      <c r="AY956" s="799"/>
      <c r="AZ956" s="799"/>
      <c r="BA956" s="799"/>
      <c r="BB956" s="799"/>
      <c r="BC956" s="799"/>
      <c r="BD956" s="799"/>
      <c r="BE956" s="799"/>
      <c r="BF956" s="799"/>
      <c r="BG956" s="799"/>
    </row>
    <row r="957">
      <c r="H957" s="799"/>
      <c r="I957" s="799"/>
      <c r="J957" s="799"/>
      <c r="K957" s="799"/>
      <c r="L957" s="799"/>
      <c r="M957" s="799"/>
      <c r="N957" s="799"/>
      <c r="O957" s="799"/>
      <c r="P957" s="799"/>
      <c r="Q957" s="799"/>
      <c r="R957" s="799"/>
      <c r="S957" s="799"/>
      <c r="T957" s="799"/>
      <c r="U957" s="799"/>
      <c r="V957" s="799"/>
      <c r="W957" s="799"/>
      <c r="X957" s="799"/>
      <c r="Y957" s="799"/>
      <c r="Z957" s="799"/>
      <c r="AA957" s="799"/>
      <c r="AB957" s="799"/>
      <c r="AC957" s="799"/>
      <c r="AD957" s="799"/>
      <c r="AE957" s="799"/>
      <c r="AF957" s="799"/>
      <c r="AG957" s="799"/>
      <c r="AH957" s="799"/>
      <c r="AI957" s="799"/>
      <c r="AJ957" s="799"/>
      <c r="AK957" s="799"/>
      <c r="AL957" s="799"/>
      <c r="AM957" s="799"/>
      <c r="AN957" s="799"/>
      <c r="AO957" s="799"/>
      <c r="AP957" s="799"/>
      <c r="AQ957" s="799"/>
      <c r="AR957" s="799"/>
      <c r="AS957" s="799"/>
      <c r="AT957" s="799"/>
      <c r="AU957" s="799"/>
      <c r="AV957" s="799"/>
      <c r="AW957" s="799"/>
      <c r="AX957" s="799"/>
      <c r="AY957" s="799"/>
      <c r="AZ957" s="799"/>
      <c r="BA957" s="799"/>
      <c r="BB957" s="799"/>
      <c r="BC957" s="799"/>
      <c r="BD957" s="799"/>
      <c r="BE957" s="799"/>
      <c r="BF957" s="799"/>
      <c r="BG957" s="799"/>
    </row>
    <row r="958">
      <c r="H958" s="799"/>
      <c r="I958" s="799"/>
      <c r="J958" s="799"/>
      <c r="K958" s="799"/>
      <c r="L958" s="799"/>
      <c r="M958" s="799"/>
      <c r="N958" s="799"/>
      <c r="O958" s="799"/>
      <c r="P958" s="799"/>
      <c r="Q958" s="799"/>
      <c r="R958" s="799"/>
      <c r="S958" s="799"/>
      <c r="T958" s="799"/>
      <c r="U958" s="799"/>
      <c r="V958" s="799"/>
      <c r="W958" s="799"/>
      <c r="X958" s="799"/>
      <c r="Y958" s="799"/>
      <c r="Z958" s="799"/>
      <c r="AA958" s="799"/>
      <c r="AB958" s="799"/>
      <c r="AC958" s="799"/>
      <c r="AD958" s="799"/>
      <c r="AE958" s="799"/>
      <c r="AF958" s="799"/>
      <c r="AG958" s="799"/>
      <c r="AH958" s="799"/>
      <c r="AI958" s="799"/>
      <c r="AJ958" s="799"/>
      <c r="AK958" s="799"/>
      <c r="AL958" s="799"/>
      <c r="AM958" s="799"/>
      <c r="AN958" s="799"/>
      <c r="AO958" s="799"/>
      <c r="AP958" s="799"/>
      <c r="AQ958" s="799"/>
      <c r="AR958" s="799"/>
      <c r="AS958" s="799"/>
      <c r="AT958" s="799"/>
      <c r="AU958" s="799"/>
      <c r="AV958" s="799"/>
      <c r="AW958" s="799"/>
      <c r="AX958" s="799"/>
      <c r="AY958" s="799"/>
      <c r="AZ958" s="799"/>
      <c r="BA958" s="799"/>
      <c r="BB958" s="799"/>
      <c r="BC958" s="799"/>
      <c r="BD958" s="799"/>
      <c r="BE958" s="799"/>
      <c r="BF958" s="799"/>
      <c r="BG958" s="799"/>
    </row>
    <row r="959">
      <c r="H959" s="799"/>
      <c r="I959" s="799"/>
      <c r="J959" s="799"/>
      <c r="K959" s="799"/>
      <c r="L959" s="799"/>
      <c r="M959" s="799"/>
      <c r="N959" s="799"/>
      <c r="O959" s="799"/>
      <c r="P959" s="799"/>
      <c r="Q959" s="799"/>
      <c r="R959" s="799"/>
      <c r="S959" s="799"/>
      <c r="T959" s="799"/>
      <c r="U959" s="799"/>
      <c r="V959" s="799"/>
      <c r="W959" s="799"/>
      <c r="X959" s="799"/>
      <c r="Y959" s="799"/>
      <c r="Z959" s="799"/>
      <c r="AA959" s="799"/>
      <c r="AB959" s="799"/>
      <c r="AC959" s="799"/>
      <c r="AD959" s="799"/>
      <c r="AE959" s="799"/>
      <c r="AF959" s="799"/>
      <c r="AG959" s="799"/>
      <c r="AH959" s="799"/>
      <c r="AI959" s="799"/>
      <c r="AJ959" s="799"/>
      <c r="AK959" s="799"/>
      <c r="AL959" s="799"/>
      <c r="AM959" s="799"/>
      <c r="AN959" s="799"/>
      <c r="AO959" s="799"/>
      <c r="AP959" s="799"/>
      <c r="AQ959" s="799"/>
      <c r="AR959" s="799"/>
      <c r="AS959" s="799"/>
      <c r="AT959" s="799"/>
      <c r="AU959" s="799"/>
      <c r="AV959" s="799"/>
      <c r="AW959" s="799"/>
      <c r="AX959" s="799"/>
      <c r="AY959" s="799"/>
      <c r="AZ959" s="799"/>
      <c r="BA959" s="799"/>
      <c r="BB959" s="799"/>
      <c r="BC959" s="799"/>
      <c r="BD959" s="799"/>
      <c r="BE959" s="799"/>
      <c r="BF959" s="799"/>
      <c r="BG959" s="799"/>
    </row>
    <row r="960">
      <c r="H960" s="799"/>
      <c r="I960" s="799"/>
      <c r="J960" s="799"/>
      <c r="K960" s="799"/>
      <c r="L960" s="799"/>
      <c r="M960" s="799"/>
      <c r="N960" s="799"/>
      <c r="O960" s="799"/>
      <c r="P960" s="799"/>
      <c r="Q960" s="799"/>
      <c r="R960" s="799"/>
      <c r="S960" s="799"/>
      <c r="T960" s="799"/>
      <c r="U960" s="799"/>
      <c r="V960" s="799"/>
      <c r="W960" s="799"/>
      <c r="X960" s="799"/>
      <c r="Y960" s="799"/>
      <c r="Z960" s="799"/>
      <c r="AA960" s="799"/>
      <c r="AB960" s="799"/>
      <c r="AC960" s="799"/>
      <c r="AD960" s="799"/>
      <c r="AE960" s="799"/>
      <c r="AF960" s="799"/>
      <c r="AG960" s="799"/>
      <c r="AH960" s="799"/>
      <c r="AI960" s="799"/>
      <c r="AJ960" s="799"/>
      <c r="AK960" s="799"/>
      <c r="AL960" s="799"/>
      <c r="AM960" s="799"/>
      <c r="AN960" s="799"/>
      <c r="AO960" s="799"/>
      <c r="AP960" s="799"/>
      <c r="AQ960" s="799"/>
      <c r="AR960" s="799"/>
      <c r="AS960" s="799"/>
      <c r="AT960" s="799"/>
      <c r="AU960" s="799"/>
      <c r="AV960" s="799"/>
      <c r="AW960" s="799"/>
      <c r="AX960" s="799"/>
      <c r="AY960" s="799"/>
      <c r="AZ960" s="799"/>
      <c r="BA960" s="799"/>
      <c r="BB960" s="799"/>
      <c r="BC960" s="799"/>
      <c r="BD960" s="799"/>
      <c r="BE960" s="799"/>
      <c r="BF960" s="799"/>
      <c r="BG960" s="799"/>
    </row>
    <row r="961">
      <c r="H961" s="799"/>
      <c r="I961" s="799"/>
      <c r="J961" s="799"/>
      <c r="K961" s="799"/>
      <c r="L961" s="799"/>
      <c r="M961" s="799"/>
      <c r="N961" s="799"/>
      <c r="O961" s="799"/>
      <c r="P961" s="799"/>
      <c r="Q961" s="799"/>
      <c r="R961" s="799"/>
      <c r="S961" s="799"/>
      <c r="T961" s="799"/>
      <c r="U961" s="799"/>
      <c r="V961" s="799"/>
      <c r="W961" s="799"/>
      <c r="X961" s="799"/>
      <c r="Y961" s="799"/>
      <c r="Z961" s="799"/>
      <c r="AA961" s="799"/>
      <c r="AB961" s="799"/>
      <c r="AC961" s="799"/>
      <c r="AD961" s="799"/>
      <c r="AE961" s="799"/>
      <c r="AF961" s="799"/>
      <c r="AG961" s="799"/>
      <c r="AH961" s="799"/>
      <c r="AI961" s="799"/>
      <c r="AJ961" s="799"/>
      <c r="AK961" s="799"/>
      <c r="AL961" s="799"/>
      <c r="AM961" s="799"/>
      <c r="AN961" s="799"/>
      <c r="AO961" s="799"/>
      <c r="AP961" s="799"/>
      <c r="AQ961" s="799"/>
      <c r="AR961" s="799"/>
      <c r="AS961" s="799"/>
      <c r="AT961" s="799"/>
      <c r="AU961" s="799"/>
      <c r="AV961" s="799"/>
      <c r="AW961" s="799"/>
      <c r="AX961" s="799"/>
      <c r="AY961" s="799"/>
      <c r="AZ961" s="799"/>
      <c r="BA961" s="799"/>
      <c r="BB961" s="799"/>
      <c r="BC961" s="799"/>
      <c r="BD961" s="799"/>
      <c r="BE961" s="799"/>
      <c r="BF961" s="799"/>
      <c r="BG961" s="799"/>
    </row>
    <row r="962">
      <c r="H962" s="799"/>
      <c r="I962" s="799"/>
      <c r="J962" s="799"/>
      <c r="K962" s="799"/>
      <c r="L962" s="799"/>
      <c r="M962" s="799"/>
      <c r="N962" s="799"/>
      <c r="O962" s="799"/>
      <c r="P962" s="799"/>
      <c r="Q962" s="799"/>
      <c r="R962" s="799"/>
      <c r="S962" s="799"/>
      <c r="T962" s="799"/>
      <c r="U962" s="799"/>
      <c r="V962" s="799"/>
      <c r="W962" s="799"/>
      <c r="X962" s="799"/>
      <c r="Y962" s="799"/>
      <c r="Z962" s="799"/>
      <c r="AA962" s="799"/>
      <c r="AB962" s="799"/>
      <c r="AC962" s="799"/>
      <c r="AD962" s="799"/>
      <c r="AE962" s="799"/>
      <c r="AF962" s="799"/>
      <c r="AG962" s="799"/>
      <c r="AH962" s="799"/>
      <c r="AI962" s="799"/>
      <c r="AJ962" s="799"/>
      <c r="AK962" s="799"/>
      <c r="AL962" s="799"/>
      <c r="AM962" s="799"/>
      <c r="AN962" s="799"/>
      <c r="AO962" s="799"/>
      <c r="AP962" s="799"/>
      <c r="AQ962" s="799"/>
      <c r="AR962" s="799"/>
      <c r="AS962" s="799"/>
      <c r="AT962" s="799"/>
      <c r="AU962" s="799"/>
      <c r="AV962" s="799"/>
      <c r="AW962" s="799"/>
      <c r="AX962" s="799"/>
      <c r="AY962" s="799"/>
      <c r="AZ962" s="799"/>
      <c r="BA962" s="799"/>
      <c r="BB962" s="799"/>
      <c r="BC962" s="799"/>
      <c r="BD962" s="799"/>
      <c r="BE962" s="799"/>
      <c r="BF962" s="799"/>
      <c r="BG962" s="799"/>
    </row>
    <row r="963">
      <c r="H963" s="799"/>
      <c r="I963" s="799"/>
      <c r="J963" s="799"/>
      <c r="K963" s="799"/>
      <c r="L963" s="799"/>
      <c r="M963" s="799"/>
      <c r="N963" s="799"/>
      <c r="O963" s="799"/>
      <c r="P963" s="799"/>
      <c r="Q963" s="799"/>
      <c r="R963" s="799"/>
      <c r="S963" s="799"/>
      <c r="T963" s="799"/>
      <c r="U963" s="799"/>
      <c r="V963" s="799"/>
      <c r="W963" s="799"/>
      <c r="X963" s="799"/>
      <c r="Y963" s="799"/>
      <c r="Z963" s="799"/>
      <c r="AA963" s="799"/>
      <c r="AB963" s="799"/>
      <c r="AC963" s="799"/>
      <c r="AD963" s="799"/>
      <c r="AE963" s="799"/>
      <c r="AF963" s="799"/>
      <c r="AG963" s="799"/>
      <c r="AH963" s="799"/>
      <c r="AI963" s="799"/>
      <c r="AJ963" s="799"/>
      <c r="AK963" s="799"/>
      <c r="AL963" s="799"/>
      <c r="AM963" s="799"/>
      <c r="AN963" s="799"/>
      <c r="AO963" s="799"/>
      <c r="AP963" s="799"/>
      <c r="AQ963" s="799"/>
      <c r="AR963" s="799"/>
      <c r="AS963" s="799"/>
      <c r="AT963" s="799"/>
      <c r="AU963" s="799"/>
      <c r="AV963" s="799"/>
      <c r="AW963" s="799"/>
      <c r="AX963" s="799"/>
      <c r="AY963" s="799"/>
      <c r="AZ963" s="799"/>
      <c r="BA963" s="799"/>
      <c r="BB963" s="799"/>
      <c r="BC963" s="799"/>
      <c r="BD963" s="799"/>
      <c r="BE963" s="799"/>
      <c r="BF963" s="799"/>
      <c r="BG963" s="799"/>
    </row>
    <row r="964">
      <c r="H964" s="799"/>
      <c r="I964" s="799"/>
      <c r="J964" s="799"/>
      <c r="K964" s="799"/>
      <c r="L964" s="799"/>
      <c r="M964" s="799"/>
      <c r="N964" s="799"/>
      <c r="O964" s="799"/>
      <c r="P964" s="799"/>
      <c r="Q964" s="799"/>
      <c r="R964" s="799"/>
      <c r="S964" s="799"/>
      <c r="T964" s="799"/>
      <c r="U964" s="799"/>
      <c r="V964" s="799"/>
      <c r="W964" s="799"/>
      <c r="X964" s="799"/>
      <c r="Y964" s="799"/>
      <c r="Z964" s="799"/>
      <c r="AA964" s="799"/>
      <c r="AB964" s="799"/>
      <c r="AC964" s="799"/>
      <c r="AD964" s="799"/>
      <c r="AE964" s="799"/>
      <c r="AF964" s="799"/>
      <c r="AG964" s="799"/>
      <c r="AH964" s="799"/>
      <c r="AI964" s="799"/>
      <c r="AJ964" s="799"/>
      <c r="AK964" s="799"/>
      <c r="AL964" s="799"/>
      <c r="AM964" s="799"/>
      <c r="AN964" s="799"/>
      <c r="AO964" s="799"/>
      <c r="AP964" s="799"/>
      <c r="AQ964" s="799"/>
      <c r="AR964" s="799"/>
      <c r="AS964" s="799"/>
      <c r="AT964" s="799"/>
      <c r="AU964" s="799"/>
      <c r="AV964" s="799"/>
      <c r="AW964" s="799"/>
      <c r="AX964" s="799"/>
      <c r="AY964" s="799"/>
      <c r="AZ964" s="799"/>
      <c r="BA964" s="799"/>
      <c r="BB964" s="799"/>
      <c r="BC964" s="799"/>
      <c r="BD964" s="799"/>
      <c r="BE964" s="799"/>
      <c r="BF964" s="799"/>
      <c r="BG964" s="799"/>
    </row>
    <row r="965">
      <c r="H965" s="799"/>
      <c r="I965" s="799"/>
      <c r="J965" s="799"/>
      <c r="K965" s="799"/>
      <c r="L965" s="799"/>
      <c r="M965" s="799"/>
      <c r="N965" s="799"/>
      <c r="O965" s="799"/>
      <c r="P965" s="799"/>
      <c r="Q965" s="799"/>
      <c r="R965" s="799"/>
      <c r="S965" s="799"/>
      <c r="T965" s="799"/>
      <c r="U965" s="799"/>
      <c r="V965" s="799"/>
      <c r="W965" s="799"/>
      <c r="X965" s="799"/>
      <c r="Y965" s="799"/>
      <c r="Z965" s="799"/>
      <c r="AA965" s="799"/>
      <c r="AB965" s="799"/>
      <c r="AC965" s="799"/>
      <c r="AD965" s="799"/>
      <c r="AE965" s="799"/>
      <c r="AF965" s="799"/>
      <c r="AG965" s="799"/>
      <c r="AH965" s="799"/>
      <c r="AI965" s="799"/>
      <c r="AJ965" s="799"/>
      <c r="AK965" s="799"/>
      <c r="AL965" s="799"/>
      <c r="AM965" s="799"/>
      <c r="AN965" s="799"/>
      <c r="AO965" s="799"/>
      <c r="AP965" s="799"/>
      <c r="AQ965" s="799"/>
      <c r="AR965" s="799"/>
      <c r="AS965" s="799"/>
      <c r="AT965" s="799"/>
      <c r="AU965" s="799"/>
      <c r="AV965" s="799"/>
      <c r="AW965" s="799"/>
      <c r="AX965" s="799"/>
      <c r="AY965" s="799"/>
      <c r="AZ965" s="799"/>
      <c r="BA965" s="799"/>
      <c r="BB965" s="799"/>
      <c r="BC965" s="799"/>
      <c r="BD965" s="799"/>
      <c r="BE965" s="799"/>
      <c r="BF965" s="799"/>
      <c r="BG965" s="799"/>
    </row>
    <row r="966">
      <c r="H966" s="799"/>
      <c r="I966" s="799"/>
      <c r="J966" s="799"/>
      <c r="K966" s="799"/>
      <c r="L966" s="799"/>
      <c r="M966" s="799"/>
      <c r="N966" s="799"/>
      <c r="O966" s="799"/>
      <c r="P966" s="799"/>
      <c r="Q966" s="799"/>
      <c r="R966" s="799"/>
      <c r="S966" s="799"/>
      <c r="T966" s="799"/>
      <c r="U966" s="799"/>
      <c r="V966" s="799"/>
      <c r="W966" s="799"/>
      <c r="X966" s="799"/>
      <c r="Y966" s="799"/>
      <c r="Z966" s="799"/>
      <c r="AA966" s="799"/>
      <c r="AB966" s="799"/>
      <c r="AC966" s="799"/>
      <c r="AD966" s="799"/>
      <c r="AE966" s="799"/>
      <c r="AF966" s="799"/>
      <c r="AG966" s="799"/>
      <c r="AH966" s="799"/>
      <c r="AI966" s="799"/>
      <c r="AJ966" s="799"/>
      <c r="AK966" s="799"/>
      <c r="AL966" s="799"/>
      <c r="AM966" s="799"/>
      <c r="AN966" s="799"/>
      <c r="AO966" s="799"/>
      <c r="AP966" s="799"/>
      <c r="AQ966" s="799"/>
      <c r="AR966" s="799"/>
      <c r="AS966" s="799"/>
      <c r="AT966" s="799"/>
      <c r="AU966" s="799"/>
      <c r="AV966" s="799"/>
      <c r="AW966" s="799"/>
      <c r="AX966" s="799"/>
      <c r="AY966" s="799"/>
      <c r="AZ966" s="799"/>
      <c r="BA966" s="799"/>
      <c r="BB966" s="799"/>
      <c r="BC966" s="799"/>
      <c r="BD966" s="799"/>
      <c r="BE966" s="799"/>
      <c r="BF966" s="799"/>
      <c r="BG966" s="799"/>
    </row>
    <row r="967">
      <c r="H967" s="799"/>
      <c r="I967" s="799"/>
      <c r="J967" s="799"/>
      <c r="K967" s="799"/>
      <c r="L967" s="799"/>
      <c r="M967" s="799"/>
      <c r="N967" s="799"/>
      <c r="O967" s="799"/>
      <c r="P967" s="799"/>
      <c r="Q967" s="799"/>
      <c r="R967" s="799"/>
      <c r="S967" s="799"/>
      <c r="T967" s="799"/>
      <c r="U967" s="799"/>
      <c r="V967" s="799"/>
      <c r="W967" s="799"/>
      <c r="X967" s="799"/>
      <c r="Y967" s="799"/>
      <c r="Z967" s="799"/>
      <c r="AA967" s="799"/>
      <c r="AB967" s="799"/>
      <c r="AC967" s="799"/>
      <c r="AD967" s="799"/>
      <c r="AE967" s="799"/>
      <c r="AF967" s="799"/>
      <c r="AG967" s="799"/>
      <c r="AH967" s="799"/>
      <c r="AI967" s="799"/>
      <c r="AJ967" s="799"/>
      <c r="AK967" s="799"/>
      <c r="AL967" s="799"/>
      <c r="AM967" s="799"/>
      <c r="AN967" s="799"/>
      <c r="AO967" s="799"/>
      <c r="AP967" s="799"/>
      <c r="AQ967" s="799"/>
      <c r="AR967" s="799"/>
      <c r="AS967" s="799"/>
      <c r="AT967" s="799"/>
      <c r="AU967" s="799"/>
      <c r="AV967" s="799"/>
      <c r="AW967" s="799"/>
      <c r="AX967" s="799"/>
      <c r="AY967" s="799"/>
      <c r="AZ967" s="799"/>
      <c r="BA967" s="799"/>
      <c r="BB967" s="799"/>
      <c r="BC967" s="799"/>
      <c r="BD967" s="799"/>
      <c r="BE967" s="799"/>
      <c r="BF967" s="799"/>
      <c r="BG967" s="799"/>
    </row>
    <row r="968">
      <c r="H968" s="799"/>
      <c r="I968" s="799"/>
      <c r="J968" s="799"/>
      <c r="K968" s="799"/>
      <c r="L968" s="799"/>
      <c r="M968" s="799"/>
      <c r="N968" s="799"/>
      <c r="O968" s="799"/>
      <c r="P968" s="799"/>
      <c r="Q968" s="799"/>
      <c r="R968" s="799"/>
      <c r="S968" s="799"/>
      <c r="T968" s="799"/>
      <c r="U968" s="799"/>
      <c r="V968" s="799"/>
      <c r="W968" s="799"/>
      <c r="X968" s="799"/>
      <c r="Y968" s="799"/>
      <c r="Z968" s="799"/>
      <c r="AA968" s="799"/>
      <c r="AB968" s="799"/>
      <c r="AC968" s="799"/>
      <c r="AD968" s="799"/>
      <c r="AE968" s="799"/>
      <c r="AF968" s="799"/>
      <c r="AG968" s="799"/>
      <c r="AH968" s="799"/>
      <c r="AI968" s="799"/>
      <c r="AJ968" s="799"/>
      <c r="AK968" s="799"/>
      <c r="AL968" s="799"/>
      <c r="AM968" s="799"/>
      <c r="AN968" s="799"/>
      <c r="AO968" s="799"/>
      <c r="AP968" s="799"/>
      <c r="AQ968" s="799"/>
      <c r="AR968" s="799"/>
      <c r="AS968" s="799"/>
      <c r="AT968" s="799"/>
      <c r="AU968" s="799"/>
      <c r="AV968" s="799"/>
      <c r="AW968" s="799"/>
      <c r="AX968" s="799"/>
      <c r="AY968" s="799"/>
      <c r="AZ968" s="799"/>
      <c r="BA968" s="799"/>
      <c r="BB968" s="799"/>
      <c r="BC968" s="799"/>
      <c r="BD968" s="799"/>
      <c r="BE968" s="799"/>
      <c r="BF968" s="799"/>
      <c r="BG968" s="799"/>
    </row>
    <row r="969">
      <c r="H969" s="799"/>
      <c r="I969" s="799"/>
      <c r="J969" s="799"/>
      <c r="K969" s="799"/>
      <c r="L969" s="799"/>
      <c r="M969" s="799"/>
      <c r="N969" s="799"/>
      <c r="O969" s="799"/>
      <c r="P969" s="799"/>
      <c r="Q969" s="799"/>
      <c r="R969" s="799"/>
      <c r="S969" s="799"/>
      <c r="T969" s="799"/>
      <c r="U969" s="799"/>
      <c r="V969" s="799"/>
      <c r="W969" s="799"/>
      <c r="X969" s="799"/>
      <c r="Y969" s="799"/>
      <c r="Z969" s="799"/>
      <c r="AA969" s="799"/>
      <c r="AB969" s="799"/>
      <c r="AC969" s="799"/>
      <c r="AD969" s="799"/>
      <c r="AE969" s="799"/>
      <c r="AF969" s="799"/>
      <c r="AG969" s="799"/>
      <c r="AH969" s="799"/>
      <c r="AI969" s="799"/>
      <c r="AJ969" s="799"/>
      <c r="AK969" s="799"/>
      <c r="AL969" s="799"/>
      <c r="AM969" s="799"/>
      <c r="AN969" s="799"/>
      <c r="AO969" s="799"/>
      <c r="AP969" s="799"/>
      <c r="AQ969" s="799"/>
      <c r="AR969" s="799"/>
      <c r="AS969" s="799"/>
      <c r="AT969" s="799"/>
      <c r="AU969" s="799"/>
      <c r="AV969" s="799"/>
      <c r="AW969" s="799"/>
      <c r="AX969" s="799"/>
      <c r="AY969" s="799"/>
      <c r="AZ969" s="799"/>
      <c r="BA969" s="799"/>
      <c r="BB969" s="799"/>
      <c r="BC969" s="799"/>
      <c r="BD969" s="799"/>
      <c r="BE969" s="799"/>
      <c r="BF969" s="799"/>
      <c r="BG969" s="799"/>
    </row>
    <row r="970">
      <c r="H970" s="799"/>
      <c r="I970" s="799"/>
      <c r="J970" s="799"/>
      <c r="K970" s="799"/>
      <c r="L970" s="799"/>
      <c r="M970" s="799"/>
      <c r="N970" s="799"/>
      <c r="O970" s="799"/>
      <c r="P970" s="799"/>
      <c r="Q970" s="799"/>
      <c r="R970" s="799"/>
      <c r="S970" s="799"/>
      <c r="T970" s="799"/>
      <c r="U970" s="799"/>
      <c r="V970" s="799"/>
      <c r="W970" s="799"/>
      <c r="X970" s="799"/>
      <c r="Y970" s="799"/>
      <c r="Z970" s="799"/>
      <c r="AA970" s="799"/>
      <c r="AB970" s="799"/>
      <c r="AC970" s="799"/>
      <c r="AD970" s="799"/>
      <c r="AE970" s="799"/>
      <c r="AF970" s="799"/>
      <c r="AG970" s="799"/>
      <c r="AH970" s="799"/>
      <c r="AI970" s="799"/>
      <c r="AJ970" s="799"/>
      <c r="AK970" s="799"/>
      <c r="AL970" s="799"/>
      <c r="AM970" s="799"/>
      <c r="AN970" s="799"/>
      <c r="AO970" s="799"/>
      <c r="AP970" s="799"/>
      <c r="AQ970" s="799"/>
      <c r="AR970" s="799"/>
      <c r="AS970" s="799"/>
      <c r="AT970" s="799"/>
      <c r="AU970" s="799"/>
      <c r="AV970" s="799"/>
      <c r="AW970" s="799"/>
      <c r="AX970" s="799"/>
      <c r="AY970" s="799"/>
      <c r="AZ970" s="799"/>
      <c r="BA970" s="799"/>
      <c r="BB970" s="799"/>
      <c r="BC970" s="799"/>
      <c r="BD970" s="799"/>
      <c r="BE970" s="799"/>
      <c r="BF970" s="799"/>
      <c r="BG970" s="799"/>
    </row>
    <row r="971">
      <c r="H971" s="799"/>
      <c r="I971" s="799"/>
      <c r="J971" s="799"/>
      <c r="K971" s="799"/>
      <c r="L971" s="799"/>
      <c r="M971" s="799"/>
      <c r="N971" s="799"/>
      <c r="O971" s="799"/>
      <c r="P971" s="799"/>
      <c r="Q971" s="799"/>
      <c r="R971" s="799"/>
      <c r="S971" s="799"/>
      <c r="T971" s="799"/>
      <c r="U971" s="799"/>
      <c r="V971" s="799"/>
      <c r="W971" s="799"/>
      <c r="X971" s="799"/>
      <c r="Y971" s="799"/>
      <c r="Z971" s="799"/>
      <c r="AA971" s="799"/>
      <c r="AB971" s="799"/>
      <c r="AC971" s="799"/>
      <c r="AD971" s="799"/>
      <c r="AE971" s="799"/>
      <c r="AF971" s="799"/>
      <c r="AG971" s="799"/>
      <c r="AH971" s="799"/>
      <c r="AI971" s="799"/>
      <c r="AJ971" s="799"/>
      <c r="AK971" s="799"/>
      <c r="AL971" s="799"/>
      <c r="AM971" s="799"/>
      <c r="AN971" s="799"/>
      <c r="AO971" s="799"/>
      <c r="AP971" s="799"/>
      <c r="AQ971" s="799"/>
      <c r="AR971" s="799"/>
      <c r="AS971" s="799"/>
      <c r="AT971" s="799"/>
      <c r="AU971" s="799"/>
      <c r="AV971" s="799"/>
      <c r="AW971" s="799"/>
      <c r="AX971" s="799"/>
      <c r="AY971" s="799"/>
      <c r="AZ971" s="799"/>
      <c r="BA971" s="799"/>
      <c r="BB971" s="799"/>
      <c r="BC971" s="799"/>
      <c r="BD971" s="799"/>
      <c r="BE971" s="799"/>
      <c r="BF971" s="799"/>
      <c r="BG971" s="799"/>
    </row>
    <row r="972">
      <c r="H972" s="799"/>
      <c r="I972" s="799"/>
      <c r="J972" s="799"/>
      <c r="K972" s="799"/>
      <c r="L972" s="799"/>
      <c r="M972" s="799"/>
      <c r="N972" s="799"/>
      <c r="O972" s="799"/>
      <c r="P972" s="799"/>
      <c r="Q972" s="799"/>
      <c r="R972" s="799"/>
      <c r="S972" s="799"/>
      <c r="T972" s="799"/>
      <c r="U972" s="799"/>
      <c r="V972" s="799"/>
      <c r="W972" s="799"/>
      <c r="X972" s="799"/>
      <c r="Y972" s="799"/>
      <c r="Z972" s="799"/>
      <c r="AA972" s="799"/>
      <c r="AB972" s="799"/>
      <c r="AC972" s="799"/>
      <c r="AD972" s="799"/>
      <c r="AE972" s="799"/>
      <c r="AF972" s="799"/>
      <c r="AG972" s="799"/>
      <c r="AH972" s="799"/>
      <c r="AI972" s="799"/>
      <c r="AJ972" s="799"/>
      <c r="AK972" s="799"/>
      <c r="AL972" s="799"/>
      <c r="AM972" s="799"/>
      <c r="AN972" s="799"/>
      <c r="AO972" s="799"/>
      <c r="AP972" s="799"/>
      <c r="AQ972" s="799"/>
      <c r="AR972" s="799"/>
      <c r="AS972" s="799"/>
      <c r="AT972" s="799"/>
      <c r="AU972" s="799"/>
      <c r="AV972" s="799"/>
      <c r="AW972" s="799"/>
      <c r="AX972" s="799"/>
      <c r="AY972" s="799"/>
      <c r="AZ972" s="799"/>
      <c r="BA972" s="799"/>
      <c r="BB972" s="799"/>
      <c r="BC972" s="799"/>
      <c r="BD972" s="799"/>
      <c r="BE972" s="799"/>
      <c r="BF972" s="799"/>
      <c r="BG972" s="799"/>
    </row>
    <row r="973">
      <c r="H973" s="799"/>
      <c r="I973" s="799"/>
      <c r="J973" s="799"/>
      <c r="K973" s="799"/>
      <c r="L973" s="799"/>
      <c r="M973" s="799"/>
      <c r="N973" s="799"/>
      <c r="O973" s="799"/>
      <c r="P973" s="799"/>
      <c r="Q973" s="799"/>
      <c r="R973" s="799"/>
      <c r="S973" s="799"/>
      <c r="T973" s="799"/>
      <c r="U973" s="799"/>
      <c r="V973" s="799"/>
      <c r="W973" s="799"/>
      <c r="X973" s="799"/>
      <c r="Y973" s="799"/>
      <c r="Z973" s="799"/>
      <c r="AA973" s="799"/>
      <c r="AB973" s="799"/>
      <c r="AC973" s="799"/>
      <c r="AD973" s="799"/>
      <c r="AE973" s="799"/>
      <c r="AF973" s="799"/>
      <c r="AG973" s="799"/>
      <c r="AH973" s="799"/>
      <c r="AI973" s="799"/>
      <c r="AJ973" s="799"/>
      <c r="AK973" s="799"/>
      <c r="AL973" s="799"/>
      <c r="AM973" s="799"/>
      <c r="AN973" s="799"/>
      <c r="AO973" s="799"/>
      <c r="AP973" s="799"/>
      <c r="AQ973" s="799"/>
      <c r="AR973" s="799"/>
      <c r="AS973" s="799"/>
      <c r="AT973" s="799"/>
      <c r="AU973" s="799"/>
      <c r="AV973" s="799"/>
      <c r="AW973" s="799"/>
      <c r="AX973" s="799"/>
      <c r="AY973" s="799"/>
      <c r="AZ973" s="799"/>
      <c r="BA973" s="799"/>
      <c r="BB973" s="799"/>
      <c r="BC973" s="799"/>
      <c r="BD973" s="799"/>
      <c r="BE973" s="799"/>
      <c r="BF973" s="799"/>
      <c r="BG973" s="799"/>
    </row>
    <row r="974">
      <c r="H974" s="799"/>
      <c r="I974" s="799"/>
      <c r="J974" s="799"/>
      <c r="K974" s="799"/>
      <c r="L974" s="799"/>
      <c r="M974" s="799"/>
      <c r="N974" s="799"/>
      <c r="O974" s="799"/>
      <c r="P974" s="799"/>
      <c r="Q974" s="799"/>
      <c r="R974" s="799"/>
      <c r="S974" s="799"/>
      <c r="T974" s="799"/>
      <c r="U974" s="799"/>
      <c r="V974" s="799"/>
      <c r="W974" s="799"/>
      <c r="X974" s="799"/>
      <c r="Y974" s="799"/>
      <c r="Z974" s="799"/>
      <c r="AA974" s="799"/>
      <c r="AB974" s="799"/>
      <c r="AC974" s="799"/>
      <c r="AD974" s="799"/>
      <c r="AE974" s="799"/>
      <c r="AF974" s="799"/>
      <c r="AG974" s="799"/>
      <c r="AH974" s="799"/>
      <c r="AI974" s="799"/>
      <c r="AJ974" s="799"/>
      <c r="AK974" s="799"/>
      <c r="AL974" s="799"/>
      <c r="AM974" s="799"/>
      <c r="AN974" s="799"/>
      <c r="AO974" s="799"/>
      <c r="AP974" s="799"/>
      <c r="AQ974" s="799"/>
      <c r="AR974" s="799"/>
      <c r="AS974" s="799"/>
      <c r="AT974" s="799"/>
      <c r="AU974" s="799"/>
      <c r="AV974" s="799"/>
      <c r="AW974" s="799"/>
      <c r="AX974" s="799"/>
      <c r="AY974" s="799"/>
      <c r="AZ974" s="799"/>
      <c r="BA974" s="799"/>
      <c r="BB974" s="799"/>
      <c r="BC974" s="799"/>
      <c r="BD974" s="799"/>
      <c r="BE974" s="799"/>
      <c r="BF974" s="799"/>
      <c r="BG974" s="799"/>
    </row>
    <row r="975">
      <c r="H975" s="799"/>
      <c r="I975" s="799"/>
      <c r="J975" s="799"/>
      <c r="K975" s="799"/>
      <c r="L975" s="799"/>
      <c r="M975" s="799"/>
      <c r="N975" s="799"/>
      <c r="O975" s="799"/>
      <c r="P975" s="799"/>
      <c r="Q975" s="799"/>
      <c r="R975" s="799"/>
      <c r="S975" s="799"/>
      <c r="T975" s="799"/>
      <c r="U975" s="799"/>
      <c r="V975" s="799"/>
      <c r="W975" s="799"/>
      <c r="X975" s="799"/>
      <c r="Y975" s="799"/>
      <c r="Z975" s="799"/>
      <c r="AA975" s="799"/>
      <c r="AB975" s="799"/>
      <c r="AC975" s="799"/>
      <c r="AD975" s="799"/>
      <c r="AE975" s="799"/>
      <c r="AF975" s="799"/>
      <c r="AG975" s="799"/>
      <c r="AH975" s="799"/>
      <c r="AI975" s="799"/>
      <c r="AJ975" s="799"/>
      <c r="AK975" s="799"/>
      <c r="AL975" s="799"/>
      <c r="AM975" s="799"/>
      <c r="AN975" s="799"/>
      <c r="AO975" s="799"/>
      <c r="AP975" s="799"/>
      <c r="AQ975" s="799"/>
      <c r="AR975" s="799"/>
      <c r="AS975" s="799"/>
      <c r="AT975" s="799"/>
      <c r="AU975" s="799"/>
      <c r="AV975" s="799"/>
      <c r="AW975" s="799"/>
      <c r="AX975" s="799"/>
      <c r="AY975" s="799"/>
      <c r="AZ975" s="799"/>
      <c r="BA975" s="799"/>
      <c r="BB975" s="799"/>
      <c r="BC975" s="799"/>
      <c r="BD975" s="799"/>
      <c r="BE975" s="799"/>
      <c r="BF975" s="799"/>
      <c r="BG975" s="799"/>
    </row>
    <row r="976">
      <c r="H976" s="799"/>
      <c r="I976" s="799"/>
      <c r="J976" s="799"/>
      <c r="K976" s="799"/>
      <c r="L976" s="799"/>
      <c r="M976" s="799"/>
      <c r="N976" s="799"/>
      <c r="O976" s="799"/>
      <c r="P976" s="799"/>
      <c r="Q976" s="799"/>
      <c r="R976" s="799"/>
      <c r="S976" s="799"/>
      <c r="T976" s="799"/>
      <c r="U976" s="799"/>
      <c r="V976" s="799"/>
      <c r="W976" s="799"/>
      <c r="X976" s="799"/>
      <c r="Y976" s="799"/>
      <c r="Z976" s="799"/>
      <c r="AA976" s="799"/>
      <c r="AB976" s="799"/>
      <c r="AC976" s="799"/>
      <c r="AD976" s="799"/>
      <c r="AE976" s="799"/>
      <c r="AF976" s="799"/>
      <c r="AG976" s="799"/>
      <c r="AH976" s="799"/>
      <c r="AI976" s="799"/>
      <c r="AJ976" s="799"/>
      <c r="AK976" s="799"/>
      <c r="AL976" s="799"/>
      <c r="AM976" s="799"/>
      <c r="AN976" s="799"/>
      <c r="AO976" s="799"/>
      <c r="AP976" s="799"/>
      <c r="AQ976" s="799"/>
      <c r="AR976" s="799"/>
      <c r="AS976" s="799"/>
      <c r="AT976" s="799"/>
      <c r="AU976" s="799"/>
      <c r="AV976" s="799"/>
      <c r="AW976" s="799"/>
      <c r="AX976" s="799"/>
      <c r="AY976" s="799"/>
      <c r="AZ976" s="799"/>
      <c r="BA976" s="799"/>
      <c r="BB976" s="799"/>
      <c r="BC976" s="799"/>
      <c r="BD976" s="799"/>
      <c r="BE976" s="799"/>
      <c r="BF976" s="799"/>
      <c r="BG976" s="799"/>
    </row>
    <row r="977">
      <c r="H977" s="799"/>
      <c r="I977" s="799"/>
      <c r="J977" s="799"/>
      <c r="K977" s="799"/>
      <c r="L977" s="799"/>
      <c r="M977" s="799"/>
      <c r="N977" s="799"/>
      <c r="O977" s="799"/>
      <c r="P977" s="799"/>
      <c r="Q977" s="799"/>
      <c r="R977" s="799"/>
      <c r="S977" s="799"/>
      <c r="T977" s="799"/>
      <c r="U977" s="799"/>
      <c r="V977" s="799"/>
      <c r="W977" s="799"/>
      <c r="X977" s="799"/>
      <c r="Y977" s="799"/>
      <c r="Z977" s="799"/>
      <c r="AA977" s="799"/>
      <c r="AB977" s="799"/>
      <c r="AC977" s="799"/>
      <c r="AD977" s="799"/>
      <c r="AE977" s="799"/>
      <c r="AF977" s="799"/>
      <c r="AG977" s="799"/>
      <c r="AH977" s="799"/>
      <c r="AI977" s="799"/>
      <c r="AJ977" s="799"/>
      <c r="AK977" s="799"/>
      <c r="AL977" s="799"/>
      <c r="AM977" s="799"/>
      <c r="AN977" s="799"/>
      <c r="AO977" s="799"/>
      <c r="AP977" s="799"/>
      <c r="AQ977" s="799"/>
      <c r="AR977" s="799"/>
      <c r="AS977" s="799"/>
      <c r="AT977" s="799"/>
      <c r="AU977" s="799"/>
      <c r="AV977" s="799"/>
      <c r="AW977" s="799"/>
      <c r="AX977" s="799"/>
      <c r="AY977" s="799"/>
      <c r="AZ977" s="799"/>
      <c r="BA977" s="799"/>
      <c r="BB977" s="799"/>
      <c r="BC977" s="799"/>
      <c r="BD977" s="799"/>
      <c r="BE977" s="799"/>
      <c r="BF977" s="799"/>
      <c r="BG977" s="799"/>
    </row>
    <row r="978">
      <c r="H978" s="799"/>
      <c r="I978" s="799"/>
      <c r="J978" s="799"/>
      <c r="K978" s="799"/>
      <c r="L978" s="799"/>
      <c r="M978" s="799"/>
      <c r="N978" s="799"/>
      <c r="O978" s="799"/>
      <c r="P978" s="799"/>
      <c r="Q978" s="799"/>
      <c r="R978" s="799"/>
      <c r="S978" s="799"/>
      <c r="T978" s="799"/>
      <c r="U978" s="799"/>
      <c r="V978" s="799"/>
      <c r="W978" s="799"/>
      <c r="X978" s="799"/>
      <c r="Y978" s="799"/>
      <c r="Z978" s="799"/>
      <c r="AA978" s="799"/>
      <c r="AB978" s="799"/>
      <c r="AC978" s="799"/>
      <c r="AD978" s="799"/>
      <c r="AE978" s="799"/>
      <c r="AF978" s="799"/>
      <c r="AG978" s="799"/>
      <c r="AH978" s="799"/>
      <c r="AI978" s="799"/>
      <c r="AJ978" s="799"/>
      <c r="AK978" s="799"/>
      <c r="AL978" s="799"/>
      <c r="AM978" s="799"/>
      <c r="AN978" s="799"/>
      <c r="AO978" s="799"/>
      <c r="AP978" s="799"/>
      <c r="AQ978" s="799"/>
      <c r="AR978" s="799"/>
      <c r="AS978" s="799"/>
      <c r="AT978" s="799"/>
      <c r="AU978" s="799"/>
      <c r="AV978" s="799"/>
      <c r="AW978" s="799"/>
      <c r="AX978" s="799"/>
      <c r="AY978" s="799"/>
      <c r="AZ978" s="799"/>
      <c r="BA978" s="799"/>
      <c r="BB978" s="799"/>
      <c r="BC978" s="799"/>
      <c r="BD978" s="799"/>
      <c r="BE978" s="799"/>
      <c r="BF978" s="799"/>
      <c r="BG978" s="799"/>
    </row>
    <row r="979">
      <c r="H979" s="799"/>
      <c r="I979" s="799"/>
      <c r="J979" s="799"/>
      <c r="K979" s="799"/>
      <c r="L979" s="799"/>
      <c r="M979" s="799"/>
      <c r="N979" s="799"/>
      <c r="O979" s="799"/>
      <c r="P979" s="799"/>
      <c r="Q979" s="799"/>
      <c r="R979" s="799"/>
      <c r="S979" s="799"/>
      <c r="T979" s="799"/>
      <c r="U979" s="799"/>
      <c r="V979" s="799"/>
      <c r="W979" s="799"/>
      <c r="X979" s="799"/>
      <c r="Y979" s="799"/>
      <c r="Z979" s="799"/>
      <c r="AA979" s="799"/>
      <c r="AB979" s="799"/>
      <c r="AC979" s="799"/>
      <c r="AD979" s="799"/>
      <c r="AE979" s="799"/>
      <c r="AF979" s="799"/>
      <c r="AG979" s="799"/>
      <c r="AH979" s="799"/>
      <c r="AI979" s="799"/>
      <c r="AJ979" s="799"/>
      <c r="AK979" s="799"/>
      <c r="AL979" s="799"/>
      <c r="AM979" s="799"/>
      <c r="AN979" s="799"/>
      <c r="AO979" s="799"/>
      <c r="AP979" s="799"/>
      <c r="AQ979" s="799"/>
      <c r="AR979" s="799"/>
      <c r="AS979" s="799"/>
      <c r="AT979" s="799"/>
      <c r="AU979" s="799"/>
      <c r="AV979" s="799"/>
      <c r="AW979" s="799"/>
      <c r="AX979" s="799"/>
      <c r="AY979" s="799"/>
      <c r="AZ979" s="799"/>
      <c r="BA979" s="799"/>
      <c r="BB979" s="799"/>
      <c r="BC979" s="799"/>
      <c r="BD979" s="799"/>
      <c r="BE979" s="799"/>
      <c r="BF979" s="799"/>
      <c r="BG979" s="799"/>
    </row>
    <row r="980">
      <c r="H980" s="799"/>
      <c r="I980" s="799"/>
      <c r="J980" s="799"/>
      <c r="K980" s="799"/>
      <c r="L980" s="799"/>
      <c r="M980" s="799"/>
      <c r="N980" s="799"/>
      <c r="O980" s="799"/>
      <c r="P980" s="799"/>
      <c r="Q980" s="799"/>
      <c r="R980" s="799"/>
      <c r="S980" s="799"/>
      <c r="T980" s="799"/>
      <c r="U980" s="799"/>
      <c r="V980" s="799"/>
      <c r="W980" s="799"/>
      <c r="X980" s="799"/>
      <c r="Y980" s="799"/>
      <c r="Z980" s="799"/>
      <c r="AA980" s="799"/>
      <c r="AB980" s="799"/>
      <c r="AC980" s="799"/>
      <c r="AD980" s="799"/>
      <c r="AE980" s="799"/>
      <c r="AF980" s="799"/>
      <c r="AG980" s="799"/>
      <c r="AH980" s="799"/>
      <c r="AI980" s="799"/>
      <c r="AJ980" s="799"/>
      <c r="AK980" s="799"/>
      <c r="AL980" s="799"/>
      <c r="AM980" s="799"/>
      <c r="AN980" s="799"/>
      <c r="AO980" s="799"/>
      <c r="AP980" s="799"/>
      <c r="AQ980" s="799"/>
      <c r="AR980" s="799"/>
      <c r="AS980" s="799"/>
      <c r="AT980" s="799"/>
      <c r="AU980" s="799"/>
      <c r="AV980" s="799"/>
      <c r="AW980" s="799"/>
      <c r="AX980" s="799"/>
      <c r="AY980" s="799"/>
      <c r="AZ980" s="799"/>
      <c r="BA980" s="799"/>
      <c r="BB980" s="799"/>
      <c r="BC980" s="799"/>
      <c r="BD980" s="799"/>
      <c r="BE980" s="799"/>
      <c r="BF980" s="799"/>
      <c r="BG980" s="799"/>
    </row>
    <row r="981">
      <c r="H981" s="799"/>
      <c r="I981" s="799"/>
      <c r="J981" s="799"/>
      <c r="K981" s="799"/>
      <c r="L981" s="799"/>
      <c r="M981" s="799"/>
      <c r="N981" s="799"/>
      <c r="O981" s="799"/>
      <c r="P981" s="799"/>
      <c r="Q981" s="799"/>
      <c r="R981" s="799"/>
      <c r="S981" s="799"/>
      <c r="T981" s="799"/>
      <c r="U981" s="799"/>
      <c r="V981" s="799"/>
      <c r="W981" s="799"/>
      <c r="X981" s="799"/>
      <c r="Y981" s="799"/>
      <c r="Z981" s="799"/>
      <c r="AA981" s="799"/>
      <c r="AB981" s="799"/>
      <c r="AC981" s="799"/>
      <c r="AD981" s="799"/>
      <c r="AE981" s="799"/>
      <c r="AF981" s="799"/>
      <c r="AG981" s="799"/>
      <c r="AH981" s="799"/>
      <c r="AI981" s="799"/>
      <c r="AJ981" s="799"/>
      <c r="AK981" s="799"/>
      <c r="AL981" s="799"/>
      <c r="AM981" s="799"/>
      <c r="AN981" s="799"/>
      <c r="AO981" s="799"/>
      <c r="AP981" s="799"/>
      <c r="AQ981" s="799"/>
      <c r="AR981" s="799"/>
      <c r="AS981" s="799"/>
      <c r="AT981" s="799"/>
      <c r="AU981" s="799"/>
      <c r="AV981" s="799"/>
      <c r="AW981" s="799"/>
      <c r="AX981" s="799"/>
      <c r="AY981" s="799"/>
      <c r="AZ981" s="799"/>
      <c r="BA981" s="799"/>
      <c r="BB981" s="799"/>
      <c r="BC981" s="799"/>
      <c r="BD981" s="799"/>
      <c r="BE981" s="799"/>
      <c r="BF981" s="799"/>
      <c r="BG981" s="799"/>
    </row>
    <row r="982">
      <c r="H982" s="799"/>
      <c r="I982" s="799"/>
      <c r="J982" s="799"/>
      <c r="K982" s="799"/>
      <c r="L982" s="799"/>
      <c r="M982" s="799"/>
      <c r="N982" s="799"/>
      <c r="O982" s="799"/>
      <c r="P982" s="799"/>
      <c r="Q982" s="799"/>
      <c r="R982" s="799"/>
      <c r="S982" s="799"/>
      <c r="T982" s="799"/>
      <c r="U982" s="799"/>
      <c r="V982" s="799"/>
      <c r="W982" s="799"/>
      <c r="X982" s="799"/>
      <c r="Y982" s="799"/>
      <c r="Z982" s="799"/>
      <c r="AA982" s="799"/>
      <c r="AB982" s="799"/>
      <c r="AC982" s="799"/>
      <c r="AD982" s="799"/>
      <c r="AE982" s="799"/>
      <c r="AF982" s="799"/>
      <c r="AG982" s="799"/>
      <c r="AH982" s="799"/>
      <c r="AI982" s="799"/>
      <c r="AJ982" s="799"/>
      <c r="AK982" s="799"/>
      <c r="AL982" s="799"/>
      <c r="AM982" s="799"/>
      <c r="AN982" s="799"/>
      <c r="AO982" s="799"/>
      <c r="AP982" s="799"/>
      <c r="AQ982" s="799"/>
      <c r="AR982" s="799"/>
      <c r="AS982" s="799"/>
      <c r="AT982" s="799"/>
      <c r="AU982" s="799"/>
      <c r="AV982" s="799"/>
      <c r="AW982" s="799"/>
      <c r="AX982" s="799"/>
      <c r="AY982" s="799"/>
      <c r="AZ982" s="799"/>
      <c r="BA982" s="799"/>
      <c r="BB982" s="799"/>
      <c r="BC982" s="799"/>
      <c r="BD982" s="799"/>
      <c r="BE982" s="799"/>
      <c r="BF982" s="799"/>
      <c r="BG982" s="799"/>
    </row>
    <row r="983">
      <c r="H983" s="799"/>
      <c r="I983" s="799"/>
      <c r="J983" s="799"/>
      <c r="K983" s="799"/>
      <c r="L983" s="799"/>
      <c r="M983" s="799"/>
      <c r="N983" s="799"/>
      <c r="O983" s="799"/>
      <c r="P983" s="799"/>
      <c r="Q983" s="799"/>
      <c r="R983" s="799"/>
      <c r="S983" s="799"/>
      <c r="T983" s="799"/>
      <c r="U983" s="799"/>
      <c r="V983" s="799"/>
      <c r="W983" s="799"/>
      <c r="X983" s="799"/>
      <c r="Y983" s="799"/>
      <c r="Z983" s="799"/>
      <c r="AA983" s="799"/>
      <c r="AB983" s="799"/>
      <c r="AC983" s="799"/>
      <c r="AD983" s="799"/>
      <c r="AE983" s="799"/>
      <c r="AF983" s="799"/>
      <c r="AG983" s="799"/>
      <c r="AH983" s="799"/>
      <c r="AI983" s="799"/>
      <c r="AJ983" s="799"/>
      <c r="AK983" s="799"/>
      <c r="AL983" s="799"/>
      <c r="AM983" s="799"/>
      <c r="AN983" s="799"/>
      <c r="AO983" s="799"/>
      <c r="AP983" s="799"/>
      <c r="AQ983" s="799"/>
      <c r="AR983" s="799"/>
      <c r="AS983" s="799"/>
      <c r="AT983" s="799"/>
      <c r="AU983" s="799"/>
      <c r="AV983" s="799"/>
      <c r="AW983" s="799"/>
      <c r="AX983" s="799"/>
      <c r="AY983" s="799"/>
      <c r="AZ983" s="799"/>
      <c r="BA983" s="799"/>
      <c r="BB983" s="799"/>
      <c r="BC983" s="799"/>
      <c r="BD983" s="799"/>
      <c r="BE983" s="799"/>
      <c r="BF983" s="799"/>
      <c r="BG983" s="799"/>
    </row>
    <row r="984">
      <c r="H984" s="799"/>
      <c r="I984" s="799"/>
      <c r="J984" s="799"/>
      <c r="K984" s="799"/>
      <c r="L984" s="799"/>
      <c r="M984" s="799"/>
      <c r="N984" s="799"/>
      <c r="O984" s="799"/>
      <c r="P984" s="799"/>
      <c r="Q984" s="799"/>
      <c r="R984" s="799"/>
      <c r="S984" s="799"/>
      <c r="T984" s="799"/>
      <c r="U984" s="799"/>
      <c r="V984" s="799"/>
      <c r="W984" s="799"/>
      <c r="X984" s="799"/>
      <c r="Y984" s="799"/>
      <c r="Z984" s="799"/>
      <c r="AA984" s="799"/>
      <c r="AB984" s="799"/>
      <c r="AC984" s="799"/>
      <c r="AD984" s="799"/>
      <c r="AE984" s="799"/>
      <c r="AF984" s="799"/>
      <c r="AG984" s="799"/>
      <c r="AH984" s="799"/>
      <c r="AI984" s="799"/>
      <c r="AJ984" s="799"/>
      <c r="AK984" s="799"/>
      <c r="AL984" s="799"/>
      <c r="AM984" s="799"/>
      <c r="AN984" s="799"/>
      <c r="AO984" s="799"/>
      <c r="AP984" s="799"/>
      <c r="AQ984" s="799"/>
      <c r="AR984" s="799"/>
      <c r="AS984" s="799"/>
      <c r="AT984" s="799"/>
      <c r="AU984" s="799"/>
      <c r="AV984" s="799"/>
      <c r="AW984" s="799"/>
      <c r="AX984" s="799"/>
      <c r="AY984" s="799"/>
      <c r="AZ984" s="799"/>
      <c r="BA984" s="799"/>
      <c r="BB984" s="799"/>
      <c r="BC984" s="799"/>
      <c r="BD984" s="799"/>
      <c r="BE984" s="799"/>
      <c r="BF984" s="799"/>
      <c r="BG984" s="799"/>
    </row>
    <row r="985">
      <c r="H985" s="799"/>
      <c r="I985" s="799"/>
      <c r="J985" s="799"/>
      <c r="K985" s="799"/>
      <c r="L985" s="799"/>
      <c r="M985" s="799"/>
      <c r="N985" s="799"/>
      <c r="O985" s="799"/>
      <c r="P985" s="799"/>
      <c r="Q985" s="799"/>
      <c r="R985" s="799"/>
      <c r="S985" s="799"/>
      <c r="T985" s="799"/>
      <c r="U985" s="799"/>
      <c r="V985" s="799"/>
      <c r="W985" s="799"/>
      <c r="X985" s="799"/>
      <c r="Y985" s="799"/>
      <c r="Z985" s="799"/>
      <c r="AA985" s="799"/>
      <c r="AB985" s="799"/>
      <c r="AC985" s="799"/>
      <c r="AD985" s="799"/>
      <c r="AE985" s="799"/>
      <c r="AF985" s="799"/>
      <c r="AG985" s="799"/>
      <c r="AH985" s="799"/>
      <c r="AI985" s="799"/>
      <c r="AJ985" s="799"/>
      <c r="AK985" s="799"/>
      <c r="AL985" s="799"/>
      <c r="AM985" s="799"/>
      <c r="AN985" s="799"/>
      <c r="AO985" s="799"/>
      <c r="AP985" s="799"/>
      <c r="AQ985" s="799"/>
      <c r="AR985" s="799"/>
      <c r="AS985" s="799"/>
      <c r="AT985" s="799"/>
      <c r="AU985" s="799"/>
      <c r="AV985" s="799"/>
      <c r="AW985" s="799"/>
      <c r="AX985" s="799"/>
      <c r="AY985" s="799"/>
      <c r="AZ985" s="799"/>
      <c r="BA985" s="799"/>
      <c r="BB985" s="799"/>
      <c r="BC985" s="799"/>
      <c r="BD985" s="799"/>
      <c r="BE985" s="799"/>
      <c r="BF985" s="799"/>
      <c r="BG985" s="799"/>
    </row>
    <row r="986">
      <c r="H986" s="799"/>
      <c r="I986" s="799"/>
      <c r="J986" s="799"/>
      <c r="K986" s="799"/>
      <c r="L986" s="799"/>
      <c r="M986" s="799"/>
      <c r="N986" s="799"/>
      <c r="O986" s="799"/>
      <c r="P986" s="799"/>
      <c r="Q986" s="799"/>
      <c r="R986" s="799"/>
      <c r="S986" s="799"/>
      <c r="T986" s="799"/>
      <c r="U986" s="799"/>
      <c r="V986" s="799"/>
      <c r="W986" s="799"/>
      <c r="X986" s="799"/>
      <c r="Y986" s="799"/>
      <c r="Z986" s="799"/>
      <c r="AA986" s="799"/>
      <c r="AB986" s="799"/>
      <c r="AC986" s="799"/>
      <c r="AD986" s="799"/>
      <c r="AE986" s="799"/>
      <c r="AF986" s="799"/>
      <c r="AG986" s="799"/>
      <c r="AH986" s="799"/>
      <c r="AI986" s="799"/>
      <c r="AJ986" s="799"/>
      <c r="AK986" s="799"/>
      <c r="AL986" s="799"/>
      <c r="AM986" s="799"/>
      <c r="AN986" s="799"/>
      <c r="AO986" s="799"/>
      <c r="AP986" s="799"/>
      <c r="AQ986" s="799"/>
      <c r="AR986" s="799"/>
      <c r="AS986" s="799"/>
      <c r="AT986" s="799"/>
      <c r="AU986" s="799"/>
      <c r="AV986" s="799"/>
      <c r="AW986" s="799"/>
      <c r="AX986" s="799"/>
      <c r="AY986" s="799"/>
      <c r="AZ986" s="799"/>
      <c r="BA986" s="799"/>
      <c r="BB986" s="799"/>
      <c r="BC986" s="799"/>
      <c r="BD986" s="799"/>
      <c r="BE986" s="799"/>
      <c r="BF986" s="799"/>
      <c r="BG986" s="799"/>
    </row>
    <row r="987">
      <c r="H987" s="799"/>
      <c r="I987" s="799"/>
      <c r="J987" s="799"/>
      <c r="K987" s="799"/>
      <c r="L987" s="799"/>
      <c r="M987" s="799"/>
      <c r="N987" s="799"/>
      <c r="O987" s="799"/>
      <c r="P987" s="799"/>
      <c r="Q987" s="799"/>
      <c r="R987" s="799"/>
      <c r="S987" s="799"/>
      <c r="T987" s="799"/>
      <c r="U987" s="799"/>
      <c r="V987" s="799"/>
      <c r="W987" s="799"/>
      <c r="X987" s="799"/>
      <c r="Y987" s="799"/>
      <c r="Z987" s="799"/>
      <c r="AA987" s="799"/>
      <c r="AB987" s="799"/>
      <c r="AC987" s="799"/>
      <c r="AD987" s="799"/>
      <c r="AE987" s="799"/>
      <c r="AF987" s="799"/>
      <c r="AG987" s="799"/>
      <c r="AH987" s="799"/>
      <c r="AI987" s="799"/>
      <c r="AJ987" s="799"/>
      <c r="AK987" s="799"/>
      <c r="AL987" s="799"/>
      <c r="AM987" s="799"/>
      <c r="AN987" s="799"/>
      <c r="AO987" s="799"/>
      <c r="AP987" s="799"/>
      <c r="AQ987" s="799"/>
      <c r="AR987" s="799"/>
      <c r="AS987" s="799"/>
      <c r="AT987" s="799"/>
      <c r="AU987" s="799"/>
      <c r="AV987" s="799"/>
      <c r="AW987" s="799"/>
      <c r="AX987" s="799"/>
      <c r="AY987" s="799"/>
      <c r="AZ987" s="799"/>
      <c r="BA987" s="799"/>
      <c r="BB987" s="799"/>
      <c r="BC987" s="799"/>
      <c r="BD987" s="799"/>
      <c r="BE987" s="799"/>
      <c r="BF987" s="799"/>
      <c r="BG987" s="799"/>
    </row>
    <row r="988">
      <c r="H988" s="799"/>
      <c r="I988" s="799"/>
      <c r="J988" s="799"/>
      <c r="K988" s="799"/>
      <c r="L988" s="799"/>
      <c r="M988" s="799"/>
      <c r="N988" s="799"/>
      <c r="O988" s="799"/>
      <c r="P988" s="799"/>
      <c r="Q988" s="799"/>
      <c r="R988" s="799"/>
      <c r="S988" s="799"/>
      <c r="T988" s="799"/>
      <c r="U988" s="799"/>
      <c r="V988" s="799"/>
      <c r="W988" s="799"/>
      <c r="X988" s="799"/>
      <c r="Y988" s="799"/>
      <c r="Z988" s="799"/>
      <c r="AA988" s="799"/>
      <c r="AB988" s="799"/>
      <c r="AC988" s="799"/>
      <c r="AD988" s="799"/>
      <c r="AE988" s="799"/>
      <c r="AF988" s="799"/>
      <c r="AG988" s="799"/>
      <c r="AH988" s="799"/>
      <c r="AI988" s="799"/>
      <c r="AJ988" s="799"/>
      <c r="AK988" s="799"/>
      <c r="AL988" s="799"/>
      <c r="AM988" s="799"/>
      <c r="AN988" s="799"/>
      <c r="AO988" s="799"/>
      <c r="AP988" s="799"/>
      <c r="AQ988" s="799"/>
      <c r="AR988" s="799"/>
      <c r="AS988" s="799"/>
      <c r="AT988" s="799"/>
      <c r="AU988" s="799"/>
      <c r="AV988" s="799"/>
      <c r="AW988" s="799"/>
      <c r="AX988" s="799"/>
      <c r="AY988" s="799"/>
      <c r="AZ988" s="799"/>
      <c r="BA988" s="799"/>
      <c r="BB988" s="799"/>
      <c r="BC988" s="799"/>
      <c r="BD988" s="799"/>
      <c r="BE988" s="799"/>
      <c r="BF988" s="799"/>
      <c r="BG988" s="799"/>
    </row>
    <row r="989">
      <c r="H989" s="799"/>
      <c r="I989" s="799"/>
      <c r="J989" s="799"/>
      <c r="K989" s="799"/>
      <c r="L989" s="799"/>
      <c r="M989" s="799"/>
      <c r="N989" s="799"/>
      <c r="O989" s="799"/>
      <c r="P989" s="799"/>
      <c r="Q989" s="799"/>
      <c r="R989" s="799"/>
      <c r="S989" s="799"/>
      <c r="T989" s="799"/>
      <c r="U989" s="799"/>
      <c r="V989" s="799"/>
      <c r="W989" s="799"/>
      <c r="X989" s="799"/>
      <c r="Y989" s="799"/>
      <c r="Z989" s="799"/>
      <c r="AA989" s="799"/>
      <c r="AB989" s="799"/>
      <c r="AC989" s="799"/>
      <c r="AD989" s="799"/>
      <c r="AE989" s="799"/>
      <c r="AF989" s="799"/>
      <c r="AG989" s="799"/>
      <c r="AH989" s="799"/>
      <c r="AI989" s="799"/>
      <c r="AJ989" s="799"/>
      <c r="AK989" s="799"/>
      <c r="AL989" s="799"/>
      <c r="AM989" s="799"/>
      <c r="AN989" s="799"/>
      <c r="AO989" s="799"/>
      <c r="AP989" s="799"/>
      <c r="AQ989" s="799"/>
      <c r="AR989" s="799"/>
      <c r="AS989" s="799"/>
      <c r="AT989" s="799"/>
      <c r="AU989" s="799"/>
      <c r="AV989" s="799"/>
      <c r="AW989" s="799"/>
      <c r="AX989" s="799"/>
      <c r="AY989" s="799"/>
      <c r="AZ989" s="799"/>
      <c r="BA989" s="799"/>
      <c r="BB989" s="799"/>
      <c r="BC989" s="799"/>
      <c r="BD989" s="799"/>
      <c r="BE989" s="799"/>
      <c r="BF989" s="799"/>
      <c r="BG989" s="799"/>
    </row>
    <row r="990">
      <c r="H990" s="799"/>
      <c r="I990" s="799"/>
      <c r="J990" s="799"/>
      <c r="K990" s="799"/>
      <c r="L990" s="799"/>
      <c r="M990" s="799"/>
      <c r="N990" s="799"/>
      <c r="O990" s="799"/>
      <c r="P990" s="799"/>
      <c r="Q990" s="799"/>
      <c r="R990" s="799"/>
      <c r="S990" s="799"/>
      <c r="T990" s="799"/>
      <c r="U990" s="799"/>
      <c r="V990" s="799"/>
      <c r="W990" s="799"/>
      <c r="X990" s="799"/>
      <c r="Y990" s="799"/>
      <c r="Z990" s="799"/>
      <c r="AA990" s="799"/>
      <c r="AB990" s="799"/>
      <c r="AC990" s="799"/>
      <c r="AD990" s="799"/>
      <c r="AE990" s="799"/>
      <c r="AF990" s="799"/>
      <c r="AG990" s="799"/>
      <c r="AH990" s="799"/>
      <c r="AI990" s="799"/>
      <c r="AJ990" s="799"/>
      <c r="AK990" s="799"/>
      <c r="AL990" s="799"/>
      <c r="AM990" s="799"/>
      <c r="AN990" s="799"/>
      <c r="AO990" s="799"/>
      <c r="AP990" s="799"/>
      <c r="AQ990" s="799"/>
      <c r="AR990" s="799"/>
      <c r="AS990" s="799"/>
      <c r="AT990" s="799"/>
      <c r="AU990" s="799"/>
      <c r="AV990" s="799"/>
      <c r="AW990" s="799"/>
      <c r="AX990" s="799"/>
      <c r="AY990" s="799"/>
      <c r="AZ990" s="799"/>
      <c r="BA990" s="799"/>
      <c r="BB990" s="799"/>
      <c r="BC990" s="799"/>
      <c r="BD990" s="799"/>
      <c r="BE990" s="799"/>
      <c r="BF990" s="799"/>
      <c r="BG990" s="799"/>
    </row>
    <row r="991">
      <c r="H991" s="799"/>
      <c r="I991" s="799"/>
      <c r="J991" s="799"/>
      <c r="K991" s="799"/>
      <c r="L991" s="799"/>
      <c r="M991" s="799"/>
      <c r="N991" s="799"/>
      <c r="O991" s="799"/>
      <c r="P991" s="799"/>
      <c r="Q991" s="799"/>
      <c r="R991" s="799"/>
      <c r="S991" s="799"/>
      <c r="T991" s="799"/>
      <c r="U991" s="799"/>
      <c r="V991" s="799"/>
      <c r="W991" s="799"/>
      <c r="X991" s="799"/>
      <c r="Y991" s="799"/>
      <c r="Z991" s="799"/>
      <c r="AA991" s="799"/>
      <c r="AB991" s="799"/>
      <c r="AC991" s="799"/>
      <c r="AD991" s="799"/>
      <c r="AE991" s="799"/>
      <c r="AF991" s="799"/>
      <c r="AG991" s="799"/>
      <c r="AH991" s="799"/>
      <c r="AI991" s="799"/>
      <c r="AJ991" s="799"/>
      <c r="AK991" s="799"/>
      <c r="AL991" s="799"/>
      <c r="AM991" s="799"/>
      <c r="AN991" s="799"/>
      <c r="AO991" s="799"/>
      <c r="AP991" s="799"/>
      <c r="AQ991" s="799"/>
      <c r="AR991" s="799"/>
      <c r="AS991" s="799"/>
      <c r="AT991" s="799"/>
      <c r="AU991" s="799"/>
      <c r="AV991" s="799"/>
      <c r="AW991" s="799"/>
      <c r="AX991" s="799"/>
      <c r="AY991" s="799"/>
      <c r="AZ991" s="799"/>
      <c r="BA991" s="799"/>
      <c r="BB991" s="799"/>
      <c r="BC991" s="799"/>
      <c r="BD991" s="799"/>
      <c r="BE991" s="799"/>
      <c r="BF991" s="799"/>
      <c r="BG991" s="799"/>
    </row>
    <row r="992">
      <c r="H992" s="799"/>
      <c r="I992" s="799"/>
      <c r="J992" s="799"/>
      <c r="K992" s="799"/>
      <c r="L992" s="799"/>
      <c r="M992" s="799"/>
      <c r="N992" s="799"/>
      <c r="O992" s="799"/>
      <c r="P992" s="799"/>
      <c r="Q992" s="799"/>
      <c r="R992" s="799"/>
      <c r="S992" s="799"/>
      <c r="T992" s="799"/>
      <c r="U992" s="799"/>
      <c r="V992" s="799"/>
      <c r="W992" s="799"/>
      <c r="X992" s="799"/>
      <c r="Y992" s="799"/>
      <c r="Z992" s="799"/>
      <c r="AA992" s="799"/>
      <c r="AB992" s="799"/>
      <c r="AC992" s="799"/>
      <c r="AD992" s="799"/>
      <c r="AE992" s="799"/>
      <c r="AF992" s="799"/>
      <c r="AG992" s="799"/>
      <c r="AH992" s="799"/>
      <c r="AI992" s="799"/>
      <c r="AJ992" s="799"/>
      <c r="AK992" s="799"/>
      <c r="AL992" s="799"/>
      <c r="AM992" s="799"/>
      <c r="AN992" s="799"/>
      <c r="AO992" s="799"/>
      <c r="AP992" s="799"/>
      <c r="AQ992" s="799"/>
      <c r="AR992" s="799"/>
      <c r="AS992" s="799"/>
      <c r="AT992" s="799"/>
      <c r="AU992" s="799"/>
      <c r="AV992" s="799"/>
      <c r="AW992" s="799"/>
      <c r="AX992" s="799"/>
      <c r="AY992" s="799"/>
      <c r="AZ992" s="799"/>
      <c r="BA992" s="799"/>
      <c r="BB992" s="799"/>
      <c r="BC992" s="799"/>
      <c r="BD992" s="799"/>
      <c r="BE992" s="799"/>
      <c r="BF992" s="799"/>
      <c r="BG992" s="799"/>
    </row>
    <row r="993">
      <c r="H993" s="799"/>
      <c r="I993" s="799"/>
      <c r="J993" s="799"/>
      <c r="K993" s="799"/>
      <c r="L993" s="799"/>
    </row>
    <row r="994">
      <c r="H994" s="799"/>
      <c r="I994" s="799"/>
      <c r="J994" s="799"/>
      <c r="K994" s="799"/>
      <c r="L994" s="799"/>
    </row>
    <row r="995">
      <c r="H995" s="799"/>
      <c r="I995" s="799"/>
      <c r="J995" s="799"/>
      <c r="K995" s="799"/>
      <c r="L995" s="799"/>
    </row>
    <row r="996">
      <c r="H996" s="799"/>
      <c r="I996" s="799"/>
      <c r="J996" s="799"/>
      <c r="K996" s="799"/>
      <c r="L996" s="799"/>
    </row>
    <row r="997">
      <c r="H997" s="799"/>
      <c r="I997" s="799"/>
      <c r="J997" s="799"/>
      <c r="K997" s="799"/>
      <c r="L997" s="799"/>
    </row>
    <row r="998">
      <c r="H998" s="799"/>
      <c r="I998" s="799"/>
      <c r="J998" s="799"/>
      <c r="K998" s="799"/>
      <c r="L998" s="799"/>
    </row>
    <row r="999">
      <c r="H999" s="799"/>
      <c r="I999" s="799"/>
      <c r="J999" s="799"/>
      <c r="K999" s="799"/>
      <c r="L999" s="799"/>
    </row>
    <row r="1000">
      <c r="H1000" s="799"/>
      <c r="I1000" s="799"/>
      <c r="J1000" s="799"/>
      <c r="K1000" s="799"/>
      <c r="L1000" s="799"/>
    </row>
  </sheetData>
  <mergeCells count="124">
    <mergeCell ref="Z11:Z12"/>
    <mergeCell ref="Z13:Z14"/>
    <mergeCell ref="Z8:Z9"/>
    <mergeCell ref="Z16:Z17"/>
    <mergeCell ref="Z1:Z2"/>
    <mergeCell ref="AB1:AC1"/>
    <mergeCell ref="Z3:Z4"/>
    <mergeCell ref="V6:V9"/>
    <mergeCell ref="Z6:Z7"/>
    <mergeCell ref="V11:V14"/>
    <mergeCell ref="V16:V19"/>
    <mergeCell ref="Z18:Z19"/>
    <mergeCell ref="K12:K13"/>
    <mergeCell ref="K14:K17"/>
    <mergeCell ref="L14:L17"/>
    <mergeCell ref="H10:H11"/>
    <mergeCell ref="I10:I11"/>
    <mergeCell ref="K10:K11"/>
    <mergeCell ref="L10:L11"/>
    <mergeCell ref="L12:L13"/>
    <mergeCell ref="H13:H14"/>
    <mergeCell ref="I13:I14"/>
    <mergeCell ref="C17:D18"/>
    <mergeCell ref="E17:F18"/>
    <mergeCell ref="A13:B15"/>
    <mergeCell ref="C13:D15"/>
    <mergeCell ref="E13:F15"/>
    <mergeCell ref="A16:B16"/>
    <mergeCell ref="C16:D16"/>
    <mergeCell ref="E16:F16"/>
    <mergeCell ref="A17:B18"/>
    <mergeCell ref="C25:D26"/>
    <mergeCell ref="E25:F26"/>
    <mergeCell ref="A21:B21"/>
    <mergeCell ref="C21:D21"/>
    <mergeCell ref="E21:F21"/>
    <mergeCell ref="A22:B23"/>
    <mergeCell ref="C22:D23"/>
    <mergeCell ref="E22:F23"/>
    <mergeCell ref="A25:B26"/>
    <mergeCell ref="A39:D39"/>
    <mergeCell ref="A40:D40"/>
    <mergeCell ref="E40:F40"/>
    <mergeCell ref="A41:D41"/>
    <mergeCell ref="E41:F41"/>
    <mergeCell ref="A42:D42"/>
    <mergeCell ref="E42:F42"/>
    <mergeCell ref="A46:G46"/>
    <mergeCell ref="A27:F34"/>
    <mergeCell ref="A35:F36"/>
    <mergeCell ref="A37:D37"/>
    <mergeCell ref="E37:F37"/>
    <mergeCell ref="A38:D38"/>
    <mergeCell ref="E38:F38"/>
    <mergeCell ref="E39:F39"/>
    <mergeCell ref="H23:M24"/>
    <mergeCell ref="A24:B24"/>
    <mergeCell ref="C24:D24"/>
    <mergeCell ref="E24:F24"/>
    <mergeCell ref="A19:F20"/>
    <mergeCell ref="H19:H20"/>
    <mergeCell ref="I19:I20"/>
    <mergeCell ref="P21:T21"/>
    <mergeCell ref="P22:S22"/>
    <mergeCell ref="P23:S23"/>
    <mergeCell ref="P24:S24"/>
    <mergeCell ref="N23:N25"/>
    <mergeCell ref="J25:K25"/>
    <mergeCell ref="P25:S25"/>
    <mergeCell ref="J26:K26"/>
    <mergeCell ref="N26:N27"/>
    <mergeCell ref="P26:S26"/>
    <mergeCell ref="P27:S27"/>
    <mergeCell ref="P30:R31"/>
    <mergeCell ref="S30:T31"/>
    <mergeCell ref="H33:I33"/>
    <mergeCell ref="H34:I34"/>
    <mergeCell ref="H35:I35"/>
    <mergeCell ref="J27:K27"/>
    <mergeCell ref="J28:K28"/>
    <mergeCell ref="N28:N29"/>
    <mergeCell ref="J29:K29"/>
    <mergeCell ref="L30:L31"/>
    <mergeCell ref="M30:M31"/>
    <mergeCell ref="N30:N31"/>
    <mergeCell ref="A1:B1"/>
    <mergeCell ref="C1:D1"/>
    <mergeCell ref="E1:F1"/>
    <mergeCell ref="N1:P1"/>
    <mergeCell ref="R1:T1"/>
    <mergeCell ref="V1:V4"/>
    <mergeCell ref="E2:F3"/>
    <mergeCell ref="A4:F4"/>
    <mergeCell ref="H7:H8"/>
    <mergeCell ref="I7:I8"/>
    <mergeCell ref="K7:K8"/>
    <mergeCell ref="L7:L8"/>
    <mergeCell ref="H1:L1"/>
    <mergeCell ref="H2:I2"/>
    <mergeCell ref="K2:L2"/>
    <mergeCell ref="H4:H5"/>
    <mergeCell ref="I4:I5"/>
    <mergeCell ref="K4:K5"/>
    <mergeCell ref="L4:L5"/>
    <mergeCell ref="A2:B3"/>
    <mergeCell ref="C2:D3"/>
    <mergeCell ref="A5:B6"/>
    <mergeCell ref="C5:D6"/>
    <mergeCell ref="E5:F6"/>
    <mergeCell ref="C7:D7"/>
    <mergeCell ref="E7:F7"/>
    <mergeCell ref="A7:B7"/>
    <mergeCell ref="A8:B9"/>
    <mergeCell ref="C8:D9"/>
    <mergeCell ref="E8:F9"/>
    <mergeCell ref="A10:B12"/>
    <mergeCell ref="C10:D12"/>
    <mergeCell ref="E10:F12"/>
    <mergeCell ref="H16:H17"/>
    <mergeCell ref="I16:I17"/>
    <mergeCell ref="N16:N17"/>
    <mergeCell ref="P28:S28"/>
    <mergeCell ref="P29:R29"/>
    <mergeCell ref="S29:T29"/>
  </mergeCells>
  <conditionalFormatting sqref="X19">
    <cfRule type="expression" dxfId="26" priority="1">
      <formula>X20&lt;&gt;1</formula>
    </cfRule>
  </conditionalFormatting>
  <conditionalFormatting sqref="X9">
    <cfRule type="expression" dxfId="26" priority="2">
      <formula>X20&lt;&gt;1</formula>
    </cfRule>
  </conditionalFormatting>
  <conditionalFormatting sqref="X14">
    <cfRule type="expression" dxfId="26" priority="3">
      <formula>X20&lt;&gt;1</formula>
    </cfRule>
  </conditionalFormatting>
  <conditionalFormatting sqref="Z3 Z8 Z13 Z18">
    <cfRule type="cellIs" dxfId="27" priority="4" operator="greaterThan">
      <formula>0</formula>
    </cfRule>
  </conditionalFormatting>
  <conditionalFormatting sqref="Z3 Z8 Z13 Z18">
    <cfRule type="cellIs" dxfId="28" priority="5" operator="lessThan">
      <formula>0</formula>
    </cfRule>
  </conditionalFormatting>
  <conditionalFormatting sqref="E13 L14 N30 S30">
    <cfRule type="cellIs" dxfId="12" priority="6" operator="lessThan">
      <formula>0</formula>
    </cfRule>
  </conditionalFormatting>
  <conditionalFormatting sqref="E13 L14 N30 S30">
    <cfRule type="cellIs" dxfId="21" priority="7" operator="greaterThan">
      <formula>0</formula>
    </cfRule>
  </conditionalFormatting>
  <conditionalFormatting sqref="E13 L14 N30 S30">
    <cfRule type="cellIs" dxfId="29" priority="8" operator="lessThan">
      <formula>0</formula>
    </cfRule>
  </conditionalFormatting>
  <conditionalFormatting sqref="E13 L14 N30 S30">
    <cfRule type="cellIs" dxfId="30" priority="9" operator="greaterThan">
      <formula>0</formula>
    </cfRule>
  </conditionalFormatting>
  <conditionalFormatting sqref="A22 C22:D23 E22 A25 E25">
    <cfRule type="cellIs" dxfId="30" priority="10" operator="lessThan">
      <formula>0</formula>
    </cfRule>
  </conditionalFormatting>
  <dataValidations>
    <dataValidation type="list" allowBlank="1" sqref="A17">
      <formula1>"Simple Avg.,Value Stocks,Growth"</formula1>
    </dataValidation>
  </dataValidations>
  <hyperlinks>
    <hyperlink r:id="rId1" ref="V25"/>
    <hyperlink r:id="rId2" ref="V28"/>
    <hyperlink r:id="rId3" ref="H34"/>
    <hyperlink r:id="rId4" ref="H35"/>
    <hyperlink r:id="rId5" ref="I46"/>
    <hyperlink r:id="rId6" ref="Q49"/>
    <hyperlink r:id="rId7" ref="AD49"/>
    <hyperlink r:id="rId8" ref="AK53"/>
    <hyperlink r:id="rId9" ref="AL53"/>
    <hyperlink r:id="rId10" ref="AK54"/>
    <hyperlink r:id="rId11" ref="AL54"/>
    <hyperlink r:id="rId12" ref="AK55"/>
    <hyperlink r:id="rId13" ref="AL55"/>
    <hyperlink r:id="rId14" ref="AK56"/>
    <hyperlink r:id="rId15" ref="AL56"/>
    <hyperlink r:id="rId16" ref="AK57"/>
    <hyperlink r:id="rId17" ref="AL57"/>
    <hyperlink r:id="rId18" ref="BA61"/>
    <hyperlink r:id="rId19" ref="BB61"/>
    <hyperlink r:id="rId20" ref="BA62"/>
    <hyperlink r:id="rId21" ref="BB62"/>
    <hyperlink r:id="rId22" ref="BA63"/>
    <hyperlink r:id="rId23" ref="BB63"/>
    <hyperlink r:id="rId24" ref="BA64"/>
    <hyperlink r:id="rId25" ref="BB64"/>
    <hyperlink r:id="rId26" ref="BA65"/>
    <hyperlink r:id="rId27" ref="BB65"/>
    <hyperlink r:id="rId28" ref="AM69"/>
    <hyperlink r:id="rId29" ref="AN69"/>
    <hyperlink r:id="rId30" ref="AM70"/>
    <hyperlink r:id="rId31" ref="AN70"/>
    <hyperlink r:id="rId32" ref="AM71"/>
    <hyperlink r:id="rId33" ref="AN71"/>
    <hyperlink r:id="rId34" ref="AM72"/>
    <hyperlink r:id="rId35" ref="AN72"/>
    <hyperlink r:id="rId36" ref="AM73"/>
    <hyperlink r:id="rId37" ref="AN73"/>
  </hyperlinks>
  <drawing r:id="rId38"/>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BC9D"/>
    <outlinePr summaryBelow="0" summaryRight="0"/>
  </sheetPr>
  <sheetViews>
    <sheetView workbookViewId="0"/>
  </sheetViews>
  <sheetFormatPr customHeight="1" defaultColWidth="12.63" defaultRowHeight="15.75"/>
  <cols>
    <col customWidth="1" min="4" max="4" width="14.13"/>
    <col customWidth="1" min="6" max="6" width="11.63"/>
    <col customWidth="1" min="7" max="7" width="6.13"/>
    <col customWidth="1" min="8" max="8" width="32.38"/>
    <col customWidth="1" min="9" max="9" width="29.13"/>
    <col customWidth="1" min="10" max="10" width="5.13"/>
    <col customWidth="1" min="11" max="11" width="26.25"/>
    <col customWidth="1" min="12" max="12" width="21.75"/>
    <col customWidth="1" min="13" max="13" width="13.38"/>
    <col customWidth="1" min="14" max="14" width="23.25"/>
    <col customWidth="1" min="15" max="15" width="17.13"/>
    <col customWidth="1" min="16" max="16" width="13.13"/>
    <col customWidth="1" min="17" max="17" width="10.0"/>
    <col customWidth="1" min="19" max="19" width="18.88"/>
    <col customWidth="1" min="20" max="20" width="32.25"/>
    <col customWidth="1" min="21" max="22" width="14.0"/>
    <col customWidth="1" min="23" max="23" width="22.88"/>
    <col customWidth="1" min="24" max="24" width="12.0"/>
    <col customWidth="1" min="25" max="25" width="6.38"/>
    <col customWidth="1" min="26" max="26" width="14.0"/>
    <col customWidth="1" min="27" max="27" width="7.88"/>
    <col customWidth="1" min="28" max="28" width="14.0"/>
    <col customWidth="1" min="29" max="29" width="12.38"/>
    <col customWidth="1" min="30" max="59" width="14.0"/>
  </cols>
  <sheetData>
    <row r="1">
      <c r="A1" s="553" t="s">
        <v>71</v>
      </c>
      <c r="B1" s="13"/>
      <c r="C1" s="554" t="s">
        <v>72</v>
      </c>
      <c r="D1" s="13"/>
      <c r="E1" s="554" t="s">
        <v>86</v>
      </c>
      <c r="F1" s="14"/>
      <c r="H1" s="555" t="s">
        <v>652</v>
      </c>
      <c r="I1" s="5"/>
      <c r="J1" s="5"/>
      <c r="K1" s="5"/>
      <c r="L1" s="6"/>
      <c r="N1" s="556" t="s">
        <v>653</v>
      </c>
      <c r="Q1" s="557"/>
      <c r="R1" s="558" t="s">
        <v>654</v>
      </c>
      <c r="V1" s="559" t="s">
        <v>77</v>
      </c>
      <c r="W1" s="1149" t="s">
        <v>71</v>
      </c>
      <c r="X1" s="1150" t="s">
        <v>107</v>
      </c>
      <c r="Y1" s="562"/>
      <c r="Z1" s="1151">
        <v>276.67583908435904</v>
      </c>
      <c r="AA1" s="564"/>
      <c r="AB1" s="556" t="s">
        <v>655</v>
      </c>
      <c r="AD1" s="565"/>
      <c r="AE1" s="565"/>
      <c r="AF1" s="565"/>
      <c r="AG1" s="565"/>
      <c r="AH1" s="565"/>
      <c r="AI1" s="565"/>
      <c r="AJ1" s="565"/>
      <c r="AK1" s="565"/>
      <c r="AL1" s="565"/>
      <c r="AM1" s="565"/>
      <c r="AP1" s="566"/>
      <c r="AQ1" s="566"/>
      <c r="AR1" s="566"/>
      <c r="AS1" s="566"/>
      <c r="AT1" s="566"/>
      <c r="AU1" s="566"/>
      <c r="AV1" s="566"/>
      <c r="AW1" s="566"/>
      <c r="AX1" s="566"/>
      <c r="AY1" s="566"/>
      <c r="AZ1" s="566"/>
      <c r="BA1" s="566"/>
      <c r="BB1" s="566"/>
      <c r="BC1" s="566"/>
      <c r="BD1" s="566"/>
      <c r="BE1" s="566"/>
      <c r="BF1" s="566"/>
      <c r="BG1" s="566"/>
    </row>
    <row r="2">
      <c r="A2" s="567" t="s">
        <v>107</v>
      </c>
      <c r="C2" s="568" t="s">
        <v>1243</v>
      </c>
      <c r="E2" s="568" t="s">
        <v>530</v>
      </c>
      <c r="F2" s="17"/>
      <c r="H2" s="1152" t="s">
        <v>656</v>
      </c>
      <c r="I2" s="14"/>
      <c r="J2" s="570"/>
      <c r="K2" s="1153" t="s">
        <v>77</v>
      </c>
      <c r="L2" s="6"/>
      <c r="N2" s="572" t="s">
        <v>625</v>
      </c>
      <c r="O2" s="572" t="s">
        <v>657</v>
      </c>
      <c r="P2" s="573" t="s">
        <v>658</v>
      </c>
      <c r="Q2" s="557"/>
      <c r="R2" s="572" t="s">
        <v>625</v>
      </c>
      <c r="S2" s="572" t="s">
        <v>659</v>
      </c>
      <c r="T2" s="574" t="s">
        <v>660</v>
      </c>
      <c r="V2" s="34"/>
      <c r="W2" s="575" t="s">
        <v>661</v>
      </c>
      <c r="X2" s="1154">
        <v>125.01</v>
      </c>
      <c r="Y2" s="577"/>
      <c r="Z2" s="17"/>
      <c r="AA2" s="564"/>
      <c r="AB2" s="565"/>
      <c r="AC2" s="565"/>
      <c r="AD2" s="565"/>
      <c r="AE2" s="565"/>
      <c r="AF2" s="565"/>
      <c r="AG2" s="565"/>
      <c r="AH2" s="565"/>
      <c r="AI2" s="565"/>
      <c r="AJ2" s="565"/>
      <c r="AK2" s="565"/>
      <c r="AL2" s="565"/>
      <c r="AM2" s="565"/>
      <c r="AP2" s="574"/>
      <c r="AQ2" s="574"/>
      <c r="AR2" s="574"/>
      <c r="AS2" s="574"/>
      <c r="AT2" s="574"/>
      <c r="AU2" s="574"/>
      <c r="AV2" s="574"/>
      <c r="AW2" s="574"/>
      <c r="AX2" s="574"/>
      <c r="AY2" s="574"/>
      <c r="AZ2" s="574"/>
      <c r="BA2" s="574"/>
      <c r="BB2" s="574"/>
      <c r="BC2" s="574"/>
      <c r="BD2" s="574"/>
      <c r="BE2" s="574"/>
      <c r="BF2" s="574"/>
      <c r="BG2" s="574"/>
    </row>
    <row r="3" ht="20.25" customHeight="1">
      <c r="A3" s="29"/>
      <c r="B3" s="30"/>
      <c r="C3" s="30"/>
      <c r="D3" s="30"/>
      <c r="E3" s="30"/>
      <c r="F3" s="31"/>
      <c r="H3" s="1155" t="s">
        <v>629</v>
      </c>
      <c r="I3" s="1156" t="s">
        <v>662</v>
      </c>
      <c r="J3" s="570"/>
      <c r="K3" s="1157" t="s">
        <v>663</v>
      </c>
      <c r="L3" s="712" t="s">
        <v>664</v>
      </c>
      <c r="N3" s="572">
        <v>2024.0</v>
      </c>
      <c r="O3" s="582">
        <v>3.815E9</v>
      </c>
      <c r="P3" s="1158">
        <v>3.5264900662251657</v>
      </c>
      <c r="Q3" s="570"/>
      <c r="R3" s="584">
        <v>1.0</v>
      </c>
      <c r="S3" s="1159">
        <v>4.374796260700638E9</v>
      </c>
      <c r="T3" s="1159">
        <v>4.10699984912297E9</v>
      </c>
      <c r="V3" s="34"/>
      <c r="W3" s="586" t="s">
        <v>665</v>
      </c>
      <c r="X3" s="1160">
        <v>8.242170130497824</v>
      </c>
      <c r="Y3" s="588"/>
      <c r="Z3" s="1161">
        <v>1.213229654302528</v>
      </c>
      <c r="AA3" s="590"/>
      <c r="AB3" s="590"/>
      <c r="AC3" s="590"/>
      <c r="AD3" s="590"/>
      <c r="AE3" s="590"/>
      <c r="AF3" s="590"/>
      <c r="AG3" s="590"/>
      <c r="AH3" s="590"/>
      <c r="AI3" s="590"/>
      <c r="AJ3" s="590"/>
      <c r="AK3" s="590"/>
      <c r="AL3" s="590"/>
      <c r="AM3" s="590"/>
      <c r="AP3" s="585"/>
      <c r="AQ3" s="585"/>
      <c r="AR3" s="585"/>
      <c r="AS3" s="585"/>
      <c r="AT3" s="585"/>
      <c r="AU3" s="585"/>
      <c r="AV3" s="585"/>
      <c r="AW3" s="585"/>
      <c r="AX3" s="585"/>
      <c r="AY3" s="585"/>
      <c r="AZ3" s="585"/>
      <c r="BA3" s="585"/>
      <c r="BB3" s="585"/>
      <c r="BC3" s="585"/>
      <c r="BD3" s="585"/>
      <c r="BE3" s="585"/>
      <c r="BF3" s="585"/>
      <c r="BG3" s="585"/>
    </row>
    <row r="4">
      <c r="A4" s="591" t="s">
        <v>77</v>
      </c>
      <c r="B4" s="30"/>
      <c r="C4" s="30"/>
      <c r="D4" s="30"/>
      <c r="E4" s="30"/>
      <c r="F4" s="31"/>
      <c r="H4" s="592">
        <v>1.25</v>
      </c>
      <c r="I4" s="593">
        <v>5.707E9</v>
      </c>
      <c r="J4" s="570"/>
      <c r="K4" s="594">
        <v>3.805E9</v>
      </c>
      <c r="L4" s="593">
        <v>1.9646E10</v>
      </c>
      <c r="N4" s="572">
        <v>2023.0</v>
      </c>
      <c r="O4" s="582">
        <v>-1.51E9</v>
      </c>
      <c r="P4" s="1158">
        <v>-1.2971855933871286</v>
      </c>
      <c r="Q4" s="570"/>
      <c r="R4" s="584">
        <v>2.0</v>
      </c>
      <c r="S4" s="1159">
        <v>5.016734553772027E9</v>
      </c>
      <c r="T4" s="1159">
        <v>4.421349347495701E9</v>
      </c>
      <c r="V4" s="29"/>
      <c r="W4" s="595" t="s">
        <v>666</v>
      </c>
      <c r="X4" s="596">
        <v>0.09314982135572919</v>
      </c>
      <c r="Y4" s="597"/>
      <c r="Z4" s="31"/>
      <c r="AA4" s="590"/>
      <c r="AB4" s="590"/>
      <c r="AC4" s="590"/>
      <c r="AD4" s="590"/>
      <c r="AE4" s="590"/>
      <c r="AF4" s="590"/>
      <c r="AG4" s="590"/>
      <c r="AH4" s="590"/>
      <c r="AI4" s="590"/>
      <c r="AJ4" s="590"/>
      <c r="AK4" s="590"/>
      <c r="AL4" s="590"/>
      <c r="AM4" s="590"/>
      <c r="AP4" s="585"/>
      <c r="AQ4" s="585"/>
      <c r="AR4" s="585"/>
      <c r="AS4" s="585"/>
      <c r="AT4" s="585"/>
      <c r="AU4" s="585"/>
      <c r="AV4" s="585"/>
      <c r="AW4" s="585"/>
      <c r="AX4" s="585"/>
      <c r="AY4" s="585"/>
      <c r="AZ4" s="585"/>
      <c r="BA4" s="585"/>
      <c r="BB4" s="585"/>
      <c r="BC4" s="585"/>
      <c r="BD4" s="585"/>
      <c r="BE4" s="585"/>
      <c r="BF4" s="585"/>
      <c r="BG4" s="585"/>
    </row>
    <row r="5">
      <c r="A5" s="598" t="s">
        <v>667</v>
      </c>
      <c r="B5" s="13"/>
      <c r="C5" s="599" t="s">
        <v>668</v>
      </c>
      <c r="D5" s="13"/>
      <c r="E5" s="599" t="s">
        <v>669</v>
      </c>
      <c r="F5" s="14"/>
      <c r="H5" s="34"/>
      <c r="I5" s="17"/>
      <c r="J5" s="570"/>
      <c r="K5" s="29"/>
      <c r="L5" s="31"/>
      <c r="N5" s="572">
        <v>2022.0</v>
      </c>
      <c r="O5" s="582">
        <v>5.081E9</v>
      </c>
      <c r="P5" s="1158">
        <v>-0.35487557135601827</v>
      </c>
      <c r="Q5" s="570"/>
      <c r="R5" s="584">
        <v>3.0</v>
      </c>
      <c r="S5" s="1159">
        <v>5.752868038471703E9</v>
      </c>
      <c r="T5" s="1159">
        <v>4.75975913580204E9</v>
      </c>
      <c r="V5" s="600"/>
      <c r="W5" s="600"/>
      <c r="X5" s="601"/>
      <c r="Y5" s="590"/>
      <c r="Z5" s="1162">
        <v>133.64950321045154</v>
      </c>
      <c r="AA5" s="590"/>
      <c r="AB5" s="590"/>
      <c r="AC5" s="590"/>
      <c r="AD5" s="590"/>
      <c r="AE5" s="590"/>
      <c r="AF5" s="590"/>
      <c r="AG5" s="590"/>
      <c r="AH5" s="590"/>
      <c r="AI5" s="590"/>
      <c r="AJ5" s="590"/>
      <c r="AK5" s="590"/>
      <c r="AL5" s="590"/>
      <c r="AM5" s="1163" t="s">
        <v>670</v>
      </c>
      <c r="AP5" s="585"/>
      <c r="AQ5" s="585"/>
      <c r="AR5" s="585"/>
      <c r="AS5" s="585"/>
      <c r="AT5" s="585"/>
      <c r="AU5" s="585"/>
      <c r="AV5" s="585"/>
      <c r="AW5" s="585"/>
      <c r="AX5" s="585"/>
      <c r="AY5" s="585"/>
      <c r="AZ5" s="585"/>
      <c r="BA5" s="585"/>
      <c r="BB5" s="585"/>
      <c r="BC5" s="585"/>
      <c r="BD5" s="585"/>
      <c r="BE5" s="585"/>
      <c r="BF5" s="585"/>
      <c r="BG5" s="585"/>
    </row>
    <row r="6">
      <c r="A6" s="34"/>
      <c r="F6" s="17"/>
      <c r="H6" s="1157" t="s">
        <v>671</v>
      </c>
      <c r="I6" s="712" t="s">
        <v>672</v>
      </c>
      <c r="J6" s="570"/>
      <c r="K6" s="1157" t="s">
        <v>673</v>
      </c>
      <c r="L6" s="712" t="s">
        <v>674</v>
      </c>
      <c r="N6" s="572">
        <v>2021.0</v>
      </c>
      <c r="O6" s="582">
        <v>7.876E9</v>
      </c>
      <c r="P6" s="1158">
        <v>0.9256723716381418</v>
      </c>
      <c r="Q6" s="570"/>
      <c r="R6" s="584">
        <v>4.0</v>
      </c>
      <c r="S6" s="1159">
        <v>6.597018501444356E9</v>
      </c>
      <c r="T6" s="1159">
        <v>5.124070787051287E9</v>
      </c>
      <c r="V6" s="604" t="s">
        <v>675</v>
      </c>
      <c r="W6" s="605" t="s">
        <v>676</v>
      </c>
      <c r="X6" s="606">
        <v>0.14673558602900072</v>
      </c>
      <c r="Y6" s="607"/>
      <c r="Z6" s="1164">
        <v>267.2990064209031</v>
      </c>
      <c r="AA6" s="607"/>
      <c r="AB6" s="605" t="s">
        <v>625</v>
      </c>
      <c r="AC6" s="1165">
        <v>1.0</v>
      </c>
      <c r="AD6" s="1165">
        <v>2.0</v>
      </c>
      <c r="AE6" s="1165">
        <v>3.0</v>
      </c>
      <c r="AF6" s="1165">
        <v>4.0</v>
      </c>
      <c r="AG6" s="1165">
        <v>5.0</v>
      </c>
      <c r="AH6" s="1165">
        <v>6.0</v>
      </c>
      <c r="AI6" s="1165">
        <v>7.0</v>
      </c>
      <c r="AJ6" s="1165">
        <v>8.0</v>
      </c>
      <c r="AK6" s="1165">
        <v>9.0</v>
      </c>
      <c r="AL6" s="1165">
        <v>10.0</v>
      </c>
      <c r="AM6" s="1166">
        <v>10.0</v>
      </c>
      <c r="AP6" s="585"/>
      <c r="AQ6" s="585"/>
      <c r="AR6" s="585"/>
      <c r="AS6" s="585"/>
      <c r="AT6" s="585"/>
      <c r="AU6" s="585"/>
      <c r="AV6" s="585"/>
      <c r="AW6" s="585"/>
      <c r="AX6" s="585"/>
      <c r="AY6" s="585"/>
      <c r="AZ6" s="585"/>
      <c r="BA6" s="585"/>
      <c r="BB6" s="585"/>
      <c r="BC6" s="585"/>
      <c r="BD6" s="585"/>
      <c r="BE6" s="585"/>
      <c r="BF6" s="585"/>
      <c r="BG6" s="585"/>
    </row>
    <row r="7">
      <c r="A7" s="611" t="s">
        <v>677</v>
      </c>
      <c r="B7" s="30"/>
      <c r="C7" s="611" t="s">
        <v>678</v>
      </c>
      <c r="D7" s="30"/>
      <c r="E7" s="611" t="s">
        <v>679</v>
      </c>
      <c r="F7" s="31"/>
      <c r="H7" s="612">
        <v>11.368525896414342</v>
      </c>
      <c r="I7" s="1167">
        <v>0.02555227527232007</v>
      </c>
      <c r="J7" s="570"/>
      <c r="K7" s="614">
        <v>4.6286353467561525E8</v>
      </c>
      <c r="L7" s="1168">
        <v>9.709422768553781E10</v>
      </c>
      <c r="N7" s="572">
        <v>2020.0</v>
      </c>
      <c r="O7" s="582">
        <v>4.09E9</v>
      </c>
      <c r="P7" s="1158">
        <v>0.6646316646316647</v>
      </c>
      <c r="Q7" s="570"/>
      <c r="R7" s="584">
        <v>5.0</v>
      </c>
      <c r="S7" s="1159">
        <v>7.565035877297954E9</v>
      </c>
      <c r="T7" s="1159">
        <v>5.516266828129765E9</v>
      </c>
      <c r="V7" s="616"/>
      <c r="W7" s="617" t="s">
        <v>680</v>
      </c>
      <c r="X7" s="618">
        <v>0.10271491022030049</v>
      </c>
      <c r="Y7" s="619"/>
      <c r="AA7" s="619"/>
      <c r="AB7" s="620"/>
      <c r="AC7" s="620"/>
      <c r="AD7" s="620"/>
      <c r="AE7" s="620"/>
      <c r="AF7" s="620"/>
      <c r="AG7" s="620"/>
      <c r="AH7" s="620"/>
      <c r="AI7" s="620"/>
      <c r="AJ7" s="620"/>
      <c r="AK7" s="620"/>
      <c r="AL7" s="620"/>
      <c r="AM7" s="621"/>
      <c r="AP7" s="585"/>
      <c r="AQ7" s="585"/>
      <c r="AR7" s="585"/>
      <c r="AS7" s="585"/>
      <c r="AT7" s="585"/>
      <c r="AU7" s="585"/>
      <c r="AV7" s="585"/>
      <c r="AW7" s="585"/>
      <c r="AX7" s="585"/>
      <c r="AY7" s="585"/>
      <c r="AZ7" s="585"/>
      <c r="BA7" s="585"/>
      <c r="BB7" s="585"/>
      <c r="BC7" s="585"/>
      <c r="BD7" s="585"/>
      <c r="BE7" s="585"/>
      <c r="BF7" s="585"/>
      <c r="BG7" s="585"/>
    </row>
    <row r="8">
      <c r="A8" s="622">
        <v>209.76858277155824</v>
      </c>
      <c r="C8" s="623">
        <v>295.236</v>
      </c>
      <c r="E8" s="623">
        <v>121.67111111111112</v>
      </c>
      <c r="F8" s="17"/>
      <c r="H8" s="34"/>
      <c r="I8" s="17"/>
      <c r="J8" s="570"/>
      <c r="K8" s="29"/>
      <c r="L8" s="31"/>
      <c r="N8" s="572">
        <v>2019.0</v>
      </c>
      <c r="O8" s="624">
        <v>2.457E9</v>
      </c>
      <c r="P8" s="1158">
        <v>-0.44031890660592254</v>
      </c>
      <c r="Q8" s="625">
        <v>2457.0</v>
      </c>
      <c r="R8" s="584">
        <v>6.0</v>
      </c>
      <c r="S8" s="1159">
        <v>8.675095850083685E9</v>
      </c>
      <c r="T8" s="1159">
        <v>5.938481528401307E9</v>
      </c>
      <c r="V8" s="616"/>
      <c r="W8" s="617" t="s">
        <v>681</v>
      </c>
      <c r="X8" s="1170">
        <v>15.167122010432154</v>
      </c>
      <c r="Y8" s="619"/>
      <c r="Z8" s="1171">
        <v>1.1382209936877297</v>
      </c>
      <c r="AA8" s="619"/>
      <c r="AB8" s="617" t="s">
        <v>665</v>
      </c>
      <c r="AC8" s="1172">
        <v>9.451589794747147</v>
      </c>
      <c r="AD8" s="1172">
        <v>10.838474362185092</v>
      </c>
      <c r="AE8" s="1172">
        <v>12.428864249380622</v>
      </c>
      <c r="AF8" s="1172">
        <v>14.252620928688383</v>
      </c>
      <c r="AG8" s="1172">
        <v>16.343987613108673</v>
      </c>
      <c r="AH8" s="1172">
        <v>18.02275883343083</v>
      </c>
      <c r="AI8" s="1172">
        <v>19.873964888928807</v>
      </c>
      <c r="AJ8" s="1172">
        <v>21.915317408216534</v>
      </c>
      <c r="AK8" s="1172">
        <v>24.166347268250885</v>
      </c>
      <c r="AL8" s="1172">
        <v>26.648591458261876</v>
      </c>
      <c r="AM8" s="1173">
        <v>404.182438053618</v>
      </c>
      <c r="AP8" s="585"/>
      <c r="AQ8" s="585"/>
      <c r="AR8" s="585"/>
      <c r="AS8" s="585"/>
      <c r="AT8" s="585"/>
      <c r="AU8" s="585"/>
      <c r="AV8" s="585"/>
      <c r="AW8" s="585"/>
      <c r="AX8" s="585"/>
      <c r="AY8" s="585"/>
      <c r="AZ8" s="585"/>
      <c r="BA8" s="585"/>
      <c r="BB8" s="585"/>
      <c r="BC8" s="585"/>
      <c r="BD8" s="585"/>
      <c r="BE8" s="585"/>
      <c r="BF8" s="585"/>
      <c r="BG8" s="585"/>
    </row>
    <row r="9">
      <c r="F9" s="17"/>
      <c r="H9" s="1157" t="s">
        <v>682</v>
      </c>
      <c r="I9" s="712" t="s">
        <v>683</v>
      </c>
      <c r="J9" s="570"/>
      <c r="K9" s="631" t="s">
        <v>684</v>
      </c>
      <c r="L9" s="632" t="s">
        <v>685</v>
      </c>
      <c r="N9" s="572">
        <v>2018.0</v>
      </c>
      <c r="O9" s="624">
        <v>4.39E9</v>
      </c>
      <c r="P9" s="1158">
        <v>0.12882489071740807</v>
      </c>
      <c r="Q9" s="625">
        <v>4390.0</v>
      </c>
      <c r="R9" s="584">
        <v>7.0</v>
      </c>
      <c r="S9" s="1159">
        <v>9.948041123503466E9</v>
      </c>
      <c r="T9" s="1159">
        <v>6.393012514066504E9</v>
      </c>
      <c r="V9" s="633"/>
      <c r="W9" s="634" t="s">
        <v>686</v>
      </c>
      <c r="X9" s="635">
        <v>0.5</v>
      </c>
      <c r="Y9" s="636"/>
      <c r="Z9" s="30"/>
      <c r="AA9" s="636"/>
      <c r="AB9" s="634" t="s">
        <v>687</v>
      </c>
      <c r="AC9" s="1174">
        <v>8.646197996012335</v>
      </c>
      <c r="AD9" s="1174">
        <v>9.070031145029573</v>
      </c>
      <c r="AE9" s="1174">
        <v>9.51464042458288</v>
      </c>
      <c r="AF9" s="1174">
        <v>9.98104427223679</v>
      </c>
      <c r="AG9" s="1174">
        <v>10.470311048955715</v>
      </c>
      <c r="AH9" s="1174">
        <v>10.561926538128787</v>
      </c>
      <c r="AI9" s="1174">
        <v>10.654343665172712</v>
      </c>
      <c r="AJ9" s="1174">
        <v>10.747569444439337</v>
      </c>
      <c r="AK9" s="1174">
        <v>10.841610951656271</v>
      </c>
      <c r="AL9" s="1174">
        <v>10.936475324463917</v>
      </c>
      <c r="AM9" s="1175">
        <v>165.8748556102248</v>
      </c>
      <c r="AP9" s="585"/>
      <c r="AQ9" s="585"/>
      <c r="AR9" s="585"/>
      <c r="AS9" s="585"/>
      <c r="AT9" s="585"/>
      <c r="AU9" s="585"/>
      <c r="AV9" s="585"/>
      <c r="AW9" s="585"/>
      <c r="AX9" s="585"/>
      <c r="AY9" s="585"/>
      <c r="AZ9" s="585"/>
      <c r="BA9" s="585"/>
      <c r="BB9" s="585"/>
      <c r="BC9" s="585"/>
      <c r="BD9" s="585"/>
      <c r="BE9" s="585"/>
      <c r="BF9" s="585"/>
      <c r="BG9" s="585"/>
    </row>
    <row r="10">
      <c r="A10" s="598" t="s">
        <v>688</v>
      </c>
      <c r="B10" s="13"/>
      <c r="C10" s="640" t="s">
        <v>77</v>
      </c>
      <c r="D10" s="13"/>
      <c r="E10" s="641" t="s">
        <v>689</v>
      </c>
      <c r="F10" s="14"/>
      <c r="H10" s="1176">
        <v>0.113125</v>
      </c>
      <c r="I10" s="1177">
        <v>0.020186297465132855</v>
      </c>
      <c r="J10" s="570"/>
      <c r="K10" s="644">
        <v>0.20962226575571533</v>
      </c>
      <c r="L10" s="1178">
        <v>0.14673558602900072</v>
      </c>
      <c r="N10" s="572">
        <v>2017.0</v>
      </c>
      <c r="O10" s="624">
        <v>3.889E9</v>
      </c>
      <c r="P10" s="1158">
        <v>-0.11733999092147072</v>
      </c>
      <c r="Q10" s="625">
        <v>3889.0</v>
      </c>
      <c r="R10" s="584">
        <v>8.0</v>
      </c>
      <c r="S10" s="1159">
        <v>1.1407772767601345E10</v>
      </c>
      <c r="T10" s="1159">
        <v>6.882333271484243E9</v>
      </c>
      <c r="V10" s="646"/>
      <c r="W10" s="647"/>
      <c r="X10" s="648"/>
      <c r="Y10" s="648"/>
      <c r="Z10" s="1162">
        <v>98.09669828822652</v>
      </c>
      <c r="AA10" s="648"/>
      <c r="AB10" s="647"/>
      <c r="AC10" s="647"/>
      <c r="AD10" s="647"/>
      <c r="AE10" s="647"/>
      <c r="AF10" s="647"/>
      <c r="AG10" s="647"/>
      <c r="AH10" s="647"/>
      <c r="AI10" s="647"/>
      <c r="AJ10" s="647"/>
      <c r="AK10" s="647"/>
      <c r="AL10" s="647"/>
      <c r="AM10" s="649"/>
      <c r="AP10" s="585"/>
      <c r="AQ10" s="585"/>
      <c r="AR10" s="585"/>
      <c r="AS10" s="585"/>
      <c r="AT10" s="585"/>
      <c r="AU10" s="585"/>
      <c r="AV10" s="585"/>
      <c r="AW10" s="585"/>
      <c r="AX10" s="585"/>
      <c r="AY10" s="585"/>
      <c r="AZ10" s="585"/>
      <c r="BA10" s="585"/>
      <c r="BB10" s="585"/>
      <c r="BC10" s="585"/>
      <c r="BD10" s="585"/>
      <c r="BE10" s="585"/>
      <c r="BF10" s="585"/>
      <c r="BG10" s="585"/>
    </row>
    <row r="11">
      <c r="A11" s="34"/>
      <c r="F11" s="17"/>
      <c r="H11" s="29"/>
      <c r="I11" s="31"/>
      <c r="J11" s="570"/>
      <c r="K11" s="34"/>
      <c r="L11" s="17"/>
      <c r="N11" s="572">
        <v>2016.0</v>
      </c>
      <c r="O11" s="624">
        <v>4.406E9</v>
      </c>
      <c r="P11" s="1158">
        <v>0.6607614021862043</v>
      </c>
      <c r="Q11" s="625">
        <v>4406.0</v>
      </c>
      <c r="R11" s="584">
        <v>9.0</v>
      </c>
      <c r="S11" s="1159">
        <v>1.3081698989941004E10</v>
      </c>
      <c r="T11" s="1159">
        <v>7.409106607496666E9</v>
      </c>
      <c r="V11" s="650" t="s">
        <v>690</v>
      </c>
      <c r="W11" s="651" t="s">
        <v>676</v>
      </c>
      <c r="X11" s="652">
        <v>0.1834194825362509</v>
      </c>
      <c r="Y11" s="653"/>
      <c r="Z11" s="1179">
        <v>392.3867931529061</v>
      </c>
      <c r="AA11" s="653"/>
      <c r="AB11" s="655"/>
      <c r="AC11" s="655"/>
      <c r="AD11" s="655"/>
      <c r="AE11" s="655"/>
      <c r="AF11" s="655"/>
      <c r="AG11" s="655"/>
      <c r="AH11" s="655"/>
      <c r="AI11" s="655"/>
      <c r="AJ11" s="655"/>
      <c r="AK11" s="655"/>
      <c r="AL11" s="655"/>
      <c r="AM11" s="656"/>
      <c r="AP11" s="585"/>
      <c r="AQ11" s="585"/>
      <c r="AR11" s="585"/>
      <c r="AS11" s="585"/>
      <c r="AT11" s="585"/>
      <c r="AU11" s="585"/>
      <c r="AV11" s="585"/>
      <c r="AW11" s="585"/>
      <c r="AX11" s="585"/>
      <c r="AY11" s="585"/>
      <c r="AZ11" s="585"/>
      <c r="BA11" s="585"/>
      <c r="BB11" s="585"/>
      <c r="BC11" s="585"/>
      <c r="BD11" s="585"/>
      <c r="BE11" s="585"/>
      <c r="BF11" s="585"/>
      <c r="BG11" s="585"/>
    </row>
    <row r="12">
      <c r="A12" s="29"/>
      <c r="B12" s="30"/>
      <c r="C12" s="30"/>
      <c r="D12" s="30"/>
      <c r="E12" s="30"/>
      <c r="F12" s="31"/>
      <c r="H12" s="1157" t="s">
        <v>691</v>
      </c>
      <c r="I12" s="712" t="s">
        <v>692</v>
      </c>
      <c r="J12" s="570"/>
      <c r="K12" s="657" t="s">
        <v>77</v>
      </c>
      <c r="L12" s="658" t="s">
        <v>689</v>
      </c>
      <c r="N12" s="572">
        <v>2015.0</v>
      </c>
      <c r="O12" s="624">
        <v>2.653E9</v>
      </c>
      <c r="P12" s="583"/>
      <c r="Q12" s="625">
        <v>2653.0</v>
      </c>
      <c r="R12" s="584" t="s">
        <v>693</v>
      </c>
      <c r="S12" s="1159">
        <v>1.1014644034732129E11</v>
      </c>
      <c r="T12" s="1159">
        <v>6.238384781648733E10</v>
      </c>
      <c r="V12" s="659"/>
      <c r="W12" s="660" t="s">
        <v>680</v>
      </c>
      <c r="X12" s="661">
        <v>0.12839363777537563</v>
      </c>
      <c r="Y12" s="662"/>
      <c r="AA12" s="662"/>
      <c r="AB12" s="663"/>
      <c r="AC12" s="663"/>
      <c r="AD12" s="663"/>
      <c r="AE12" s="663"/>
      <c r="AF12" s="663"/>
      <c r="AG12" s="663"/>
      <c r="AH12" s="663"/>
      <c r="AI12" s="663"/>
      <c r="AJ12" s="663"/>
      <c r="AK12" s="663"/>
      <c r="AL12" s="663"/>
      <c r="AM12" s="664"/>
      <c r="AP12" s="585"/>
      <c r="AQ12" s="585"/>
      <c r="AR12" s="585"/>
      <c r="AS12" s="585"/>
      <c r="AT12" s="585"/>
      <c r="AU12" s="585"/>
      <c r="AV12" s="585"/>
      <c r="AW12" s="585"/>
      <c r="AX12" s="585"/>
      <c r="AY12" s="585"/>
      <c r="AZ12" s="585"/>
      <c r="BA12" s="585"/>
      <c r="BB12" s="585"/>
      <c r="BC12" s="585"/>
      <c r="BD12" s="585"/>
      <c r="BE12" s="585"/>
      <c r="BF12" s="585"/>
      <c r="BG12" s="585"/>
    </row>
    <row r="13">
      <c r="A13" s="665">
        <v>0.7</v>
      </c>
      <c r="B13" s="13"/>
      <c r="C13" s="1180">
        <v>226.59906077404605</v>
      </c>
      <c r="D13" s="13"/>
      <c r="E13" s="1181">
        <v>-0.4483207495522053</v>
      </c>
      <c r="F13" s="14"/>
      <c r="H13" s="1182">
        <v>5.786257046979867E10</v>
      </c>
      <c r="I13" s="1168">
        <v>1.5841E10</v>
      </c>
      <c r="K13" s="34"/>
      <c r="L13" s="17"/>
      <c r="N13" s="572"/>
      <c r="O13" s="669"/>
      <c r="P13" s="570"/>
      <c r="Q13" s="583"/>
      <c r="R13" s="670" t="s">
        <v>0</v>
      </c>
      <c r="S13" s="670"/>
      <c r="T13" s="786">
        <v>1.1293522768553781E11</v>
      </c>
      <c r="V13" s="659"/>
      <c r="W13" s="660" t="s">
        <v>681</v>
      </c>
      <c r="X13" s="672">
        <v>18.958902513040194</v>
      </c>
      <c r="Y13" s="662"/>
      <c r="Z13" s="1183">
        <v>2.1388432377642275</v>
      </c>
      <c r="AA13" s="662"/>
      <c r="AB13" s="660" t="s">
        <v>665</v>
      </c>
      <c r="AC13" s="1184">
        <v>9.75394471080948</v>
      </c>
      <c r="AD13" s="1184">
        <v>11.543008202353356</v>
      </c>
      <c r="AE13" s="1184">
        <v>13.66022079374071</v>
      </c>
      <c r="AF13" s="1184">
        <v>16.165771423059567</v>
      </c>
      <c r="AG13" s="1184">
        <v>19.130888852276467</v>
      </c>
      <c r="AH13" s="1184">
        <v>21.587173265896624</v>
      </c>
      <c r="AI13" s="1184">
        <v>24.358828970792427</v>
      </c>
      <c r="AJ13" s="1184">
        <v>27.486347634300675</v>
      </c>
      <c r="AK13" s="1184">
        <v>31.01541979622713</v>
      </c>
      <c r="AL13" s="1184">
        <v>34.997602370995125</v>
      </c>
      <c r="AM13" s="1185">
        <v>663.5161315418409</v>
      </c>
      <c r="AP13" s="677"/>
      <c r="AQ13" s="677"/>
      <c r="AR13" s="677"/>
      <c r="AS13" s="677"/>
      <c r="AT13" s="677"/>
      <c r="AU13" s="677"/>
      <c r="AV13" s="677"/>
      <c r="AW13" s="677"/>
      <c r="AX13" s="677"/>
      <c r="AY13" s="677"/>
      <c r="AZ13" s="677"/>
      <c r="BA13" s="677"/>
      <c r="BB13" s="677"/>
      <c r="BC13" s="677"/>
      <c r="BD13" s="677"/>
      <c r="BE13" s="677"/>
      <c r="BF13" s="677"/>
      <c r="BG13" s="677"/>
    </row>
    <row r="14" ht="19.5" customHeight="1">
      <c r="A14" s="34"/>
      <c r="F14" s="17"/>
      <c r="H14" s="34"/>
      <c r="I14" s="17"/>
      <c r="K14" s="678">
        <v>209.76858277155824</v>
      </c>
      <c r="L14" s="1186">
        <v>-0.6780144210187844</v>
      </c>
      <c r="V14" s="680"/>
      <c r="W14" s="681" t="s">
        <v>686</v>
      </c>
      <c r="X14" s="682">
        <v>0.25</v>
      </c>
      <c r="Y14" s="683"/>
      <c r="Z14" s="684"/>
      <c r="AA14" s="683"/>
      <c r="AB14" s="1187" t="s">
        <v>687</v>
      </c>
      <c r="AC14" s="1188">
        <v>8.922788551264269</v>
      </c>
      <c r="AD14" s="1188">
        <v>9.65961079060666</v>
      </c>
      <c r="AE14" s="1188">
        <v>10.457278023559555</v>
      </c>
      <c r="AF14" s="1188">
        <v>11.320814682136252</v>
      </c>
      <c r="AG14" s="1188">
        <v>12.255660103760636</v>
      </c>
      <c r="AH14" s="1188">
        <v>12.65079005425803</v>
      </c>
      <c r="AI14" s="1188">
        <v>13.058659235156583</v>
      </c>
      <c r="AJ14" s="1188">
        <v>13.479678367007871</v>
      </c>
      <c r="AK14" s="1188">
        <v>13.914271412244355</v>
      </c>
      <c r="AL14" s="1188">
        <v>14.362876002105686</v>
      </c>
      <c r="AM14" s="1189">
        <v>272.30436593080617</v>
      </c>
    </row>
    <row r="15" ht="15.75" customHeight="1">
      <c r="A15" s="29"/>
      <c r="B15" s="30"/>
      <c r="C15" s="30"/>
      <c r="D15" s="30"/>
      <c r="E15" s="30"/>
      <c r="F15" s="31"/>
      <c r="H15" s="1157" t="s">
        <v>694</v>
      </c>
      <c r="I15" s="712" t="s">
        <v>695</v>
      </c>
      <c r="J15" s="570"/>
      <c r="K15" s="34"/>
      <c r="L15" s="17"/>
      <c r="N15" s="631" t="s">
        <v>684</v>
      </c>
      <c r="V15" s="688"/>
      <c r="W15" s="689"/>
      <c r="X15" s="690"/>
      <c r="Y15" s="690"/>
      <c r="Z15" s="1162">
        <v>44.92963758568101</v>
      </c>
      <c r="AA15" s="690"/>
      <c r="AB15" s="689"/>
      <c r="AC15" s="689"/>
      <c r="AD15" s="689"/>
      <c r="AE15" s="689"/>
      <c r="AF15" s="689"/>
      <c r="AG15" s="689"/>
      <c r="AH15" s="689"/>
      <c r="AI15" s="689"/>
      <c r="AJ15" s="689"/>
      <c r="AK15" s="689"/>
      <c r="AL15" s="689"/>
      <c r="AM15" s="691"/>
    </row>
    <row r="16">
      <c r="A16" s="692" t="s">
        <v>87</v>
      </c>
      <c r="B16" s="13"/>
      <c r="C16" s="693" t="s">
        <v>696</v>
      </c>
      <c r="D16" s="13"/>
      <c r="E16" s="693" t="s">
        <v>697</v>
      </c>
      <c r="F16" s="14"/>
      <c r="H16" s="1176">
        <v>0.785071470770997</v>
      </c>
      <c r="I16" s="1177">
        <v>0.2149285292290029</v>
      </c>
      <c r="J16" s="570"/>
      <c r="K16" s="34"/>
      <c r="L16" s="17"/>
      <c r="N16" s="644">
        <v>0.4107400370142272</v>
      </c>
      <c r="V16" s="695" t="s">
        <v>699</v>
      </c>
      <c r="W16" s="696" t="s">
        <v>676</v>
      </c>
      <c r="X16" s="697">
        <v>0.11005168952175054</v>
      </c>
      <c r="Y16" s="698"/>
      <c r="Z16" s="1190">
        <v>179.71855034272403</v>
      </c>
      <c r="AA16" s="698"/>
      <c r="AB16" s="700"/>
      <c r="AC16" s="700"/>
      <c r="AD16" s="700"/>
      <c r="AE16" s="700"/>
      <c r="AF16" s="700"/>
      <c r="AG16" s="700"/>
      <c r="AH16" s="700"/>
      <c r="AI16" s="700"/>
      <c r="AJ16" s="700"/>
      <c r="AK16" s="700"/>
      <c r="AL16" s="700"/>
      <c r="AM16" s="701"/>
      <c r="AP16" s="702"/>
      <c r="AQ16" s="702"/>
      <c r="AR16" s="702"/>
      <c r="AS16" s="702"/>
      <c r="AT16" s="702"/>
      <c r="AU16" s="702"/>
      <c r="AV16" s="702"/>
      <c r="AW16" s="702"/>
      <c r="AX16" s="702"/>
      <c r="AY16" s="702"/>
      <c r="AZ16" s="702"/>
      <c r="BA16" s="702"/>
      <c r="BB16" s="702"/>
      <c r="BC16" s="702"/>
      <c r="BD16" s="702"/>
      <c r="BE16" s="702"/>
      <c r="BF16" s="702"/>
      <c r="BG16" s="702"/>
    </row>
    <row r="17" ht="18.0" customHeight="1">
      <c r="A17" s="703" t="s">
        <v>103</v>
      </c>
      <c r="C17" s="622">
        <v>226.59906077404605</v>
      </c>
      <c r="E17" s="622">
        <v>191.3600721098672</v>
      </c>
      <c r="H17" s="29"/>
      <c r="I17" s="31"/>
      <c r="J17" s="570"/>
      <c r="K17" s="29"/>
      <c r="L17" s="31"/>
      <c r="N17" s="34"/>
      <c r="V17" s="659"/>
      <c r="W17" s="706" t="s">
        <v>680</v>
      </c>
      <c r="X17" s="707">
        <v>0.07703618266522537</v>
      </c>
      <c r="Y17" s="708"/>
      <c r="AA17" s="708"/>
      <c r="AB17" s="709"/>
      <c r="AC17" s="709"/>
      <c r="AD17" s="709"/>
      <c r="AE17" s="709"/>
      <c r="AF17" s="709"/>
      <c r="AG17" s="709"/>
      <c r="AH17" s="709"/>
      <c r="AI17" s="709"/>
      <c r="AJ17" s="709"/>
      <c r="AK17" s="709"/>
      <c r="AL17" s="709"/>
      <c r="AM17" s="710"/>
      <c r="AP17" s="711"/>
      <c r="AQ17" s="711"/>
      <c r="AR17" s="711"/>
      <c r="AS17" s="711"/>
      <c r="AT17" s="711"/>
      <c r="AU17" s="711"/>
      <c r="AV17" s="711"/>
      <c r="AW17" s="711"/>
      <c r="AX17" s="711"/>
      <c r="AY17" s="711"/>
      <c r="AZ17" s="711"/>
      <c r="BA17" s="711"/>
      <c r="BB17" s="711"/>
      <c r="BC17" s="711"/>
      <c r="BD17" s="711"/>
      <c r="BE17" s="711"/>
      <c r="BF17" s="711"/>
      <c r="BG17" s="711"/>
    </row>
    <row r="18" ht="21.75" customHeight="1">
      <c r="H18" s="1157" t="s">
        <v>656</v>
      </c>
      <c r="I18" s="712" t="s">
        <v>701</v>
      </c>
      <c r="J18" s="570"/>
      <c r="K18" s="1191">
        <v>196.2101907854454</v>
      </c>
      <c r="L18" s="714" t="s">
        <v>702</v>
      </c>
      <c r="V18" s="659"/>
      <c r="W18" s="706" t="s">
        <v>681</v>
      </c>
      <c r="X18" s="717">
        <v>11.375341507824116</v>
      </c>
      <c r="Y18" s="718"/>
      <c r="Z18" s="1192">
        <v>0.43763339207042656</v>
      </c>
      <c r="AA18" s="718"/>
      <c r="AB18" s="1193" t="s">
        <v>665</v>
      </c>
      <c r="AC18" s="1194">
        <v>9.149234878684815</v>
      </c>
      <c r="AD18" s="1194">
        <v>10.156123634915406</v>
      </c>
      <c r="AE18" s="1194">
        <v>11.27382219992963</v>
      </c>
      <c r="AF18" s="1194">
        <v>12.514525380399704</v>
      </c>
      <c r="AG18" s="1194">
        <v>13.891770042075517</v>
      </c>
      <c r="AH18" s="1194">
        <v>14.961938976580152</v>
      </c>
      <c r="AI18" s="1194">
        <v>16.114549640605933</v>
      </c>
      <c r="AJ18" s="1194">
        <v>17.35595303028749</v>
      </c>
      <c r="AK18" s="1194">
        <v>18.69298939825779</v>
      </c>
      <c r="AL18" s="1194">
        <v>20.133025944101096</v>
      </c>
      <c r="AM18" s="1195">
        <v>229.020045700033</v>
      </c>
      <c r="AP18" s="723"/>
      <c r="AQ18" s="723"/>
      <c r="AR18" s="723"/>
      <c r="AS18" s="723"/>
      <c r="AT18" s="723"/>
      <c r="AU18" s="723"/>
      <c r="AV18" s="723"/>
      <c r="AW18" s="723"/>
      <c r="AX18" s="723"/>
      <c r="AY18" s="723"/>
      <c r="AZ18" s="723"/>
      <c r="BA18" s="723"/>
      <c r="BB18" s="723"/>
      <c r="BC18" s="723"/>
      <c r="BD18" s="723"/>
      <c r="BE18" s="723"/>
      <c r="BF18" s="723"/>
      <c r="BG18" s="723"/>
    </row>
    <row r="19" ht="19.5" customHeight="1">
      <c r="A19" s="724" t="s">
        <v>703</v>
      </c>
      <c r="H19" s="1176">
        <v>0.09314982135572919</v>
      </c>
      <c r="I19" s="725">
        <v>0.06520487494901044</v>
      </c>
      <c r="J19" s="570"/>
      <c r="V19" s="680"/>
      <c r="W19" s="727" t="s">
        <v>686</v>
      </c>
      <c r="X19" s="728">
        <v>0.25</v>
      </c>
      <c r="Y19" s="729"/>
      <c r="Z19" s="684"/>
      <c r="AA19" s="729"/>
      <c r="AB19" s="1196" t="s">
        <v>687</v>
      </c>
      <c r="AC19" s="1197">
        <v>8.369607440760403</v>
      </c>
      <c r="AD19" s="1197">
        <v>8.499015138407593</v>
      </c>
      <c r="AE19" s="1197">
        <v>8.630423688822239</v>
      </c>
      <c r="AF19" s="1197">
        <v>8.763864028431382</v>
      </c>
      <c r="AG19" s="1197">
        <v>8.899367571989371</v>
      </c>
      <c r="AH19" s="1197">
        <v>8.768185925313366</v>
      </c>
      <c r="AI19" s="1197">
        <v>8.638937969350263</v>
      </c>
      <c r="AJ19" s="1197">
        <v>8.511595200419336</v>
      </c>
      <c r="AK19" s="1197">
        <v>8.386129535000038</v>
      </c>
      <c r="AL19" s="1197">
        <v>8.262513303538586</v>
      </c>
      <c r="AM19" s="1198">
        <v>93.98891054069144</v>
      </c>
      <c r="AP19" s="733"/>
      <c r="AQ19" s="733"/>
      <c r="AR19" s="733"/>
      <c r="AS19" s="733"/>
      <c r="AT19" s="733"/>
      <c r="AU19" s="733"/>
      <c r="AV19" s="733"/>
      <c r="AW19" s="733"/>
      <c r="AX19" s="733"/>
      <c r="AY19" s="733"/>
      <c r="AZ19" s="733"/>
      <c r="BA19" s="733"/>
      <c r="BB19" s="733"/>
      <c r="BC19" s="733"/>
      <c r="BD19" s="733"/>
      <c r="BE19" s="733"/>
      <c r="BF19" s="733"/>
      <c r="BG19" s="733"/>
    </row>
    <row r="20">
      <c r="A20" s="34"/>
      <c r="H20" s="29"/>
      <c r="I20" s="31"/>
      <c r="J20" s="570"/>
      <c r="K20" s="1199" t="s">
        <v>705</v>
      </c>
      <c r="L20" s="1200" t="s">
        <v>706</v>
      </c>
      <c r="V20" s="739"/>
      <c r="W20" s="739"/>
      <c r="X20" s="1201">
        <v>1.0</v>
      </c>
      <c r="Y20" s="739"/>
      <c r="Z20" s="739"/>
      <c r="AA20" s="739"/>
      <c r="AB20" s="739"/>
      <c r="AC20" s="739"/>
      <c r="AD20" s="739"/>
      <c r="AE20" s="739"/>
      <c r="AF20" s="739"/>
      <c r="AG20" s="739"/>
      <c r="AH20" s="739"/>
      <c r="AI20" s="739"/>
      <c r="AJ20" s="739"/>
      <c r="AK20" s="739"/>
      <c r="AL20" s="739"/>
      <c r="AM20" s="739"/>
      <c r="AP20" s="733"/>
      <c r="AQ20" s="733"/>
      <c r="AR20" s="733"/>
      <c r="AS20" s="733"/>
      <c r="AT20" s="733"/>
      <c r="AU20" s="733"/>
      <c r="AV20" s="733"/>
      <c r="AW20" s="733"/>
      <c r="AX20" s="733"/>
      <c r="AY20" s="733"/>
      <c r="AZ20" s="733"/>
      <c r="BA20" s="733"/>
      <c r="BB20" s="733"/>
      <c r="BC20" s="733"/>
      <c r="BD20" s="733"/>
      <c r="BE20" s="733"/>
      <c r="BF20" s="733"/>
      <c r="BG20" s="733"/>
    </row>
    <row r="21" ht="24.0" customHeight="1">
      <c r="A21" s="740" t="s">
        <v>76</v>
      </c>
      <c r="B21" s="13"/>
      <c r="C21" s="741" t="s">
        <v>708</v>
      </c>
      <c r="D21" s="13"/>
      <c r="E21" s="741" t="s">
        <v>709</v>
      </c>
      <c r="F21" s="14"/>
      <c r="H21" s="742"/>
      <c r="I21" s="570"/>
      <c r="J21" s="570"/>
      <c r="P21" s="694" t="s">
        <v>698</v>
      </c>
      <c r="U21" s="702"/>
      <c r="V21" s="702"/>
      <c r="W21" s="702"/>
      <c r="X21" s="733"/>
      <c r="Y21" s="733"/>
      <c r="Z21" s="733"/>
      <c r="AA21" s="733"/>
      <c r="AB21" s="733"/>
      <c r="AC21" s="733"/>
      <c r="AD21" s="733"/>
      <c r="AE21" s="733"/>
      <c r="AF21" s="733"/>
      <c r="AG21" s="733"/>
      <c r="AH21" s="733"/>
      <c r="AI21" s="733"/>
      <c r="AJ21" s="733"/>
      <c r="AK21" s="733"/>
      <c r="AL21" s="733"/>
      <c r="AM21" s="733"/>
      <c r="AN21" s="733"/>
      <c r="AO21" s="733"/>
      <c r="AP21" s="733"/>
      <c r="AQ21" s="733"/>
      <c r="AR21" s="733"/>
      <c r="AS21" s="733"/>
      <c r="AT21" s="733"/>
      <c r="AU21" s="733"/>
      <c r="AV21" s="733"/>
      <c r="AW21" s="733"/>
      <c r="AX21" s="733"/>
      <c r="AY21" s="733"/>
      <c r="AZ21" s="733"/>
      <c r="BA21" s="733"/>
      <c r="BB21" s="733"/>
      <c r="BC21" s="733"/>
      <c r="BD21" s="733"/>
      <c r="BE21" s="733"/>
      <c r="BF21" s="733"/>
      <c r="BG21" s="733"/>
    </row>
    <row r="22">
      <c r="A22" s="1202">
        <v>125.01</v>
      </c>
      <c r="C22" s="1203">
        <v>3.42</v>
      </c>
      <c r="E22" s="1203">
        <v>13.25</v>
      </c>
      <c r="F22" s="17"/>
      <c r="H22" s="570"/>
      <c r="I22" s="570"/>
      <c r="J22" s="570"/>
      <c r="P22" s="704" t="s">
        <v>700</v>
      </c>
      <c r="Q22" s="13"/>
      <c r="R22" s="13"/>
      <c r="S22" s="13"/>
      <c r="T22" s="1204" t="s">
        <v>107</v>
      </c>
      <c r="U22" s="711"/>
      <c r="V22" s="711"/>
      <c r="W22" s="711"/>
      <c r="X22" s="733"/>
      <c r="Y22" s="733"/>
      <c r="Z22" s="733"/>
      <c r="AA22" s="733"/>
      <c r="AB22" s="733"/>
      <c r="AC22" s="733"/>
      <c r="AD22" s="733"/>
      <c r="AE22" s="733"/>
      <c r="AF22" s="733"/>
      <c r="AG22" s="733"/>
      <c r="AH22" s="733"/>
      <c r="AI22" s="733"/>
      <c r="AJ22" s="733"/>
      <c r="AK22" s="733"/>
      <c r="AL22" s="733"/>
      <c r="AM22" s="733"/>
      <c r="AN22" s="733"/>
      <c r="AO22" s="733"/>
      <c r="AP22" s="733"/>
      <c r="AQ22" s="733"/>
      <c r="AR22" s="733"/>
      <c r="AS22" s="733"/>
      <c r="AT22" s="733"/>
      <c r="AU22" s="733"/>
      <c r="AV22" s="733"/>
      <c r="AW22" s="733"/>
      <c r="AX22" s="733"/>
      <c r="AY22" s="733"/>
      <c r="AZ22" s="733"/>
      <c r="BA22" s="733"/>
      <c r="BB22" s="733"/>
      <c r="BC22" s="733"/>
      <c r="BD22" s="733"/>
      <c r="BE22" s="733"/>
      <c r="BF22" s="733"/>
      <c r="BG22" s="733"/>
    </row>
    <row r="23">
      <c r="A23" s="34"/>
      <c r="F23" s="17"/>
      <c r="H23" s="239" t="s">
        <v>718</v>
      </c>
      <c r="I23" s="13"/>
      <c r="J23" s="13"/>
      <c r="K23" s="13"/>
      <c r="L23" s="13"/>
      <c r="M23" s="14"/>
      <c r="N23" s="756" t="s">
        <v>77</v>
      </c>
      <c r="P23" s="715" t="s">
        <v>301</v>
      </c>
      <c r="T23" s="726">
        <v>9.44</v>
      </c>
      <c r="U23" s="723"/>
      <c r="V23" s="723"/>
      <c r="W23" s="723"/>
      <c r="X23" s="733"/>
      <c r="Y23" s="733"/>
      <c r="Z23" s="733"/>
      <c r="AA23" s="733"/>
      <c r="AB23" s="733"/>
      <c r="AC23" s="733"/>
      <c r="AD23" s="733"/>
      <c r="AE23" s="733"/>
      <c r="AF23" s="733"/>
      <c r="AG23" s="733"/>
      <c r="AH23" s="733"/>
      <c r="AI23" s="733"/>
      <c r="AJ23" s="733"/>
      <c r="AK23" s="733"/>
      <c r="AL23" s="733"/>
      <c r="AM23" s="733"/>
      <c r="AN23" s="733"/>
      <c r="AO23" s="733"/>
      <c r="AP23" s="733"/>
      <c r="AQ23" s="733"/>
      <c r="AR23" s="733"/>
      <c r="AS23" s="733"/>
      <c r="AT23" s="733"/>
      <c r="AU23" s="733"/>
      <c r="AV23" s="733"/>
      <c r="AW23" s="733"/>
      <c r="AX23" s="733"/>
      <c r="AY23" s="733"/>
      <c r="AZ23" s="733"/>
      <c r="BA23" s="733"/>
      <c r="BB23" s="733"/>
      <c r="BC23" s="733"/>
      <c r="BD23" s="733"/>
      <c r="BE23" s="733"/>
      <c r="BF23" s="733"/>
      <c r="BG23" s="733"/>
    </row>
    <row r="24">
      <c r="A24" s="768" t="s">
        <v>724</v>
      </c>
      <c r="C24" s="255" t="s">
        <v>83</v>
      </c>
      <c r="E24" s="255" t="s">
        <v>725</v>
      </c>
      <c r="F24" s="17"/>
      <c r="H24" s="29"/>
      <c r="I24" s="30"/>
      <c r="J24" s="30"/>
      <c r="K24" s="30"/>
      <c r="L24" s="30"/>
      <c r="M24" s="31"/>
      <c r="N24" s="769"/>
      <c r="P24" s="715" t="s">
        <v>971</v>
      </c>
      <c r="T24" s="726">
        <v>7.0</v>
      </c>
      <c r="U24" s="733"/>
      <c r="V24" s="733"/>
      <c r="W24" s="733"/>
      <c r="X24" s="779"/>
      <c r="Y24" s="779"/>
      <c r="Z24" s="779"/>
      <c r="AA24" s="779"/>
      <c r="AB24" s="779"/>
      <c r="AC24" s="779"/>
      <c r="AD24" s="779"/>
      <c r="AE24" s="779"/>
      <c r="AF24" s="779"/>
      <c r="AG24" s="779"/>
      <c r="AH24" s="779"/>
      <c r="AI24" s="779"/>
      <c r="AJ24" s="779"/>
      <c r="AK24" s="779"/>
      <c r="AL24" s="779"/>
      <c r="AM24" s="779"/>
      <c r="AN24" s="779"/>
      <c r="AO24" s="779"/>
      <c r="AP24" s="779"/>
      <c r="AQ24" s="779"/>
      <c r="AR24" s="779"/>
      <c r="AS24" s="779"/>
      <c r="AT24" s="779"/>
      <c r="AU24" s="779"/>
      <c r="AV24" s="779"/>
      <c r="AW24" s="779"/>
      <c r="AX24" s="779"/>
      <c r="AY24" s="779"/>
      <c r="AZ24" s="779"/>
      <c r="BA24" s="779"/>
      <c r="BB24" s="779"/>
      <c r="BC24" s="779"/>
      <c r="BD24" s="779"/>
      <c r="BE24" s="779"/>
      <c r="BF24" s="779"/>
      <c r="BG24" s="779"/>
    </row>
    <row r="25">
      <c r="A25" s="1202">
        <v>120.21</v>
      </c>
      <c r="C25" s="780"/>
      <c r="E25" s="1205">
        <v>181.86</v>
      </c>
      <c r="F25" s="17"/>
      <c r="H25" s="782" t="s">
        <v>71</v>
      </c>
      <c r="I25" s="783" t="s">
        <v>730</v>
      </c>
      <c r="J25" s="783" t="s">
        <v>76</v>
      </c>
      <c r="L25" s="783" t="s">
        <v>301</v>
      </c>
      <c r="M25" s="783" t="s">
        <v>300</v>
      </c>
      <c r="N25" s="87"/>
      <c r="P25" s="715" t="s">
        <v>707</v>
      </c>
      <c r="T25" s="736">
        <v>7.5</v>
      </c>
      <c r="U25" s="733"/>
      <c r="V25" s="1206" t="s">
        <v>972</v>
      </c>
      <c r="W25" s="733"/>
      <c r="X25" s="767"/>
      <c r="Y25" s="767"/>
      <c r="Z25" s="767"/>
      <c r="AA25" s="767"/>
      <c r="AB25" s="767"/>
      <c r="AC25" s="767"/>
      <c r="AD25" s="767"/>
      <c r="AE25" s="767"/>
      <c r="AF25" s="767"/>
      <c r="AG25" s="767"/>
      <c r="AH25" s="767"/>
      <c r="AI25" s="767"/>
      <c r="AJ25" s="767"/>
      <c r="AK25" s="767"/>
      <c r="AL25" s="767"/>
      <c r="AM25" s="767"/>
      <c r="AN25" s="767"/>
      <c r="AO25" s="767"/>
      <c r="AP25" s="767"/>
      <c r="AQ25" s="767"/>
      <c r="AR25" s="767"/>
      <c r="AS25" s="767"/>
      <c r="AT25" s="767"/>
      <c r="AU25" s="767"/>
      <c r="AV25" s="767"/>
      <c r="AW25" s="767"/>
      <c r="AX25" s="767"/>
      <c r="AY25" s="767"/>
      <c r="AZ25" s="767"/>
      <c r="BA25" s="767"/>
      <c r="BB25" s="767"/>
      <c r="BC25" s="767"/>
      <c r="BD25" s="767"/>
      <c r="BE25" s="767"/>
      <c r="BF25" s="767"/>
      <c r="BG25" s="767"/>
    </row>
    <row r="26">
      <c r="A26" s="29"/>
      <c r="B26" s="30"/>
      <c r="C26" s="30"/>
      <c r="D26" s="30"/>
      <c r="E26" s="30"/>
      <c r="F26" s="31"/>
      <c r="H26" s="794" t="s">
        <v>1244</v>
      </c>
      <c r="I26" s="1207" t="s">
        <v>1245</v>
      </c>
      <c r="J26" s="1208">
        <v>90.44</v>
      </c>
      <c r="L26" s="1208">
        <v>1.92</v>
      </c>
      <c r="M26" s="1209">
        <v>47.05</v>
      </c>
      <c r="N26" s="798">
        <v>295.236</v>
      </c>
      <c r="P26" s="715" t="s">
        <v>710</v>
      </c>
      <c r="T26" s="726">
        <v>1.0</v>
      </c>
      <c r="U26" s="733"/>
      <c r="V26" s="733" t="s">
        <v>974</v>
      </c>
      <c r="W26" s="733"/>
      <c r="X26" s="767"/>
      <c r="Y26" s="767"/>
      <c r="Z26" s="767"/>
      <c r="AA26" s="767"/>
      <c r="AB26" s="767"/>
      <c r="AC26" s="767"/>
      <c r="AD26" s="767"/>
      <c r="AE26" s="767"/>
      <c r="AF26" s="767"/>
      <c r="AG26" s="767"/>
      <c r="AH26" s="767"/>
      <c r="AI26" s="767"/>
      <c r="AJ26" s="767"/>
      <c r="AK26" s="767"/>
      <c r="AL26" s="767"/>
      <c r="AM26" s="767"/>
      <c r="AN26" s="767"/>
      <c r="AO26" s="767"/>
      <c r="AP26" s="767"/>
      <c r="AQ26" s="767"/>
      <c r="AR26" s="767"/>
      <c r="AS26" s="767"/>
      <c r="AT26" s="767"/>
      <c r="AU26" s="767"/>
      <c r="AV26" s="767"/>
      <c r="AW26" s="767"/>
      <c r="AX26" s="767"/>
      <c r="AY26" s="767"/>
      <c r="AZ26" s="767"/>
      <c r="BA26" s="767"/>
      <c r="BB26" s="767"/>
      <c r="BC26" s="767"/>
      <c r="BD26" s="767"/>
      <c r="BE26" s="767"/>
      <c r="BF26" s="767"/>
      <c r="BG26" s="767"/>
    </row>
    <row r="27">
      <c r="A27" s="804"/>
      <c r="F27" s="17"/>
      <c r="H27" s="794" t="s">
        <v>1246</v>
      </c>
      <c r="I27" s="1207" t="s">
        <v>1247</v>
      </c>
      <c r="J27" s="1208">
        <v>58.01</v>
      </c>
      <c r="L27" s="1208">
        <v>3.94</v>
      </c>
      <c r="M27" s="1209">
        <v>14.74</v>
      </c>
      <c r="N27" s="769"/>
      <c r="P27" s="747" t="s">
        <v>711</v>
      </c>
      <c r="T27" s="726">
        <v>4.4</v>
      </c>
      <c r="U27" s="799"/>
      <c r="V27" s="733"/>
      <c r="W27" s="733"/>
    </row>
    <row r="28">
      <c r="A28" s="34"/>
      <c r="F28" s="17"/>
      <c r="H28" s="794" t="s">
        <v>314</v>
      </c>
      <c r="I28" s="1207" t="s">
        <v>1248</v>
      </c>
      <c r="J28" s="1208">
        <v>964.01</v>
      </c>
      <c r="L28" s="1208">
        <v>16.56</v>
      </c>
      <c r="M28" s="1209">
        <v>58.2</v>
      </c>
      <c r="N28" s="756" t="s">
        <v>689</v>
      </c>
      <c r="P28" s="747" t="s">
        <v>719</v>
      </c>
      <c r="T28" s="757">
        <v>4.95</v>
      </c>
      <c r="U28" s="733"/>
      <c r="V28" s="1206" t="s">
        <v>977</v>
      </c>
      <c r="W28" s="733"/>
    </row>
    <row r="29">
      <c r="A29" s="34"/>
      <c r="F29" s="17"/>
      <c r="H29" s="811" t="s">
        <v>419</v>
      </c>
      <c r="I29" s="1207" t="s">
        <v>1249</v>
      </c>
      <c r="J29" s="1208">
        <v>59.22</v>
      </c>
      <c r="L29" s="1208">
        <v>3.82</v>
      </c>
      <c r="M29" s="1209">
        <v>15.5</v>
      </c>
      <c r="N29" s="87"/>
      <c r="P29" s="770" t="s">
        <v>77</v>
      </c>
      <c r="Q29" s="13"/>
      <c r="R29" s="14"/>
      <c r="S29" s="771" t="s">
        <v>689</v>
      </c>
      <c r="T29" s="14"/>
      <c r="U29" s="779"/>
      <c r="V29" s="779"/>
      <c r="W29" s="779"/>
    </row>
    <row r="30">
      <c r="A30" s="34"/>
      <c r="F30" s="17"/>
      <c r="H30" s="817" t="s">
        <v>749</v>
      </c>
      <c r="I30" s="1210">
        <v>33.8725</v>
      </c>
      <c r="J30" s="819" t="s">
        <v>750</v>
      </c>
      <c r="K30" s="1210">
        <v>319.7564</v>
      </c>
      <c r="L30" s="817" t="s">
        <v>751</v>
      </c>
      <c r="M30" s="1211">
        <v>9.44</v>
      </c>
      <c r="N30" s="1186">
        <v>-1.3616990640748738</v>
      </c>
      <c r="P30" s="1212">
        <v>121.67111111111112</v>
      </c>
      <c r="R30" s="17"/>
      <c r="S30" s="1181">
        <v>0.026708974393159654</v>
      </c>
      <c r="T30" s="14"/>
      <c r="U30" s="767"/>
      <c r="V30" s="767"/>
      <c r="W30" s="767"/>
    </row>
    <row r="31">
      <c r="A31" s="34"/>
      <c r="F31" s="17"/>
      <c r="H31" s="825" t="s">
        <v>754</v>
      </c>
      <c r="I31" s="826">
        <v>31.275</v>
      </c>
      <c r="J31" s="827" t="s">
        <v>755</v>
      </c>
      <c r="K31" s="1213">
        <v>295.236</v>
      </c>
      <c r="L31" s="29"/>
      <c r="M31" s="87"/>
      <c r="N31" s="31"/>
      <c r="P31" s="29"/>
      <c r="Q31" s="30"/>
      <c r="R31" s="31"/>
      <c r="S31" s="30"/>
      <c r="T31" s="31"/>
      <c r="U31" s="767"/>
      <c r="V31" s="767"/>
      <c r="W31" s="767"/>
    </row>
    <row r="32">
      <c r="A32" s="34"/>
      <c r="F32" s="17"/>
      <c r="N32" s="799"/>
    </row>
    <row r="33">
      <c r="A33" s="34"/>
      <c r="F33" s="17"/>
      <c r="H33" s="1214" t="s">
        <v>980</v>
      </c>
      <c r="J33" s="799"/>
      <c r="M33" s="743"/>
      <c r="N33" s="799"/>
      <c r="O33" s="799"/>
    </row>
    <row r="34">
      <c r="A34" s="29"/>
      <c r="B34" s="30"/>
      <c r="C34" s="30"/>
      <c r="D34" s="30"/>
      <c r="E34" s="30"/>
      <c r="F34" s="31"/>
      <c r="H34" s="1215" t="s">
        <v>981</v>
      </c>
      <c r="J34" s="799"/>
      <c r="K34" s="111"/>
      <c r="N34" s="799"/>
      <c r="O34" s="799"/>
      <c r="P34" s="1216" t="s">
        <v>740</v>
      </c>
      <c r="Q34" s="806"/>
      <c r="R34" s="806"/>
      <c r="S34" s="807"/>
      <c r="T34" s="808"/>
    </row>
    <row r="35">
      <c r="A35" s="239" t="s">
        <v>771</v>
      </c>
      <c r="B35" s="13"/>
      <c r="C35" s="13"/>
      <c r="D35" s="13"/>
      <c r="E35" s="13"/>
      <c r="F35" s="14"/>
      <c r="H35" s="1215" t="s">
        <v>982</v>
      </c>
      <c r="J35" s="799"/>
      <c r="N35" s="799"/>
      <c r="O35" s="799"/>
      <c r="P35" s="1217" t="s">
        <v>744</v>
      </c>
      <c r="Q35" s="269"/>
      <c r="R35" s="269"/>
      <c r="S35" s="813"/>
      <c r="T35" s="814"/>
    </row>
    <row r="36">
      <c r="A36" s="34"/>
      <c r="F36" s="17"/>
      <c r="H36" s="799"/>
      <c r="I36" s="799"/>
      <c r="J36" s="799"/>
      <c r="K36" s="488"/>
      <c r="L36" s="488"/>
      <c r="M36" s="488"/>
      <c r="O36" s="799"/>
      <c r="P36" s="1217" t="s">
        <v>752</v>
      </c>
      <c r="Q36" s="269"/>
      <c r="R36" s="269"/>
      <c r="S36" s="813"/>
      <c r="T36" s="814"/>
    </row>
    <row r="37">
      <c r="A37" s="768" t="s">
        <v>780</v>
      </c>
      <c r="E37" s="255" t="s">
        <v>661</v>
      </c>
      <c r="H37" s="799"/>
      <c r="I37" s="799"/>
      <c r="J37" s="799"/>
      <c r="M37" s="743"/>
      <c r="N37" s="799"/>
      <c r="O37" s="799"/>
      <c r="P37" s="1217" t="s">
        <v>756</v>
      </c>
      <c r="Q37" s="269"/>
      <c r="R37" s="269"/>
      <c r="S37" s="813"/>
      <c r="T37" s="814"/>
    </row>
    <row r="38">
      <c r="A38" s="859" t="s">
        <v>785</v>
      </c>
      <c r="E38" s="860"/>
      <c r="I38" s="799"/>
      <c r="J38" s="799"/>
      <c r="M38" s="743"/>
      <c r="N38" s="799"/>
      <c r="O38" s="799"/>
      <c r="P38" s="1218" t="s">
        <v>760</v>
      </c>
      <c r="Q38" s="269"/>
      <c r="R38" s="269"/>
      <c r="S38" s="813"/>
      <c r="T38" s="814"/>
    </row>
    <row r="39">
      <c r="A39" s="859" t="s">
        <v>792</v>
      </c>
      <c r="E39" s="864"/>
      <c r="H39" s="799"/>
      <c r="I39" s="799"/>
      <c r="J39" s="799"/>
      <c r="K39" s="744"/>
      <c r="L39" s="799"/>
      <c r="M39" s="799"/>
      <c r="N39" s="799"/>
      <c r="O39" s="799"/>
      <c r="P39" s="1218" t="s">
        <v>764</v>
      </c>
      <c r="Q39" s="269"/>
      <c r="R39" s="269"/>
      <c r="S39" s="813"/>
      <c r="T39" s="814"/>
    </row>
    <row r="40">
      <c r="A40" s="870" t="s">
        <v>798</v>
      </c>
      <c r="E40" s="864"/>
      <c r="H40" s="799"/>
      <c r="I40" s="799"/>
      <c r="J40" s="799"/>
      <c r="K40" s="799"/>
      <c r="L40" s="799"/>
      <c r="M40" s="799"/>
      <c r="N40" s="799"/>
      <c r="O40" s="799"/>
      <c r="P40" s="1219" t="s">
        <v>768</v>
      </c>
      <c r="Q40" s="269"/>
      <c r="R40" s="269"/>
      <c r="S40" s="813"/>
      <c r="T40" s="814"/>
    </row>
    <row r="41">
      <c r="A41" s="870"/>
      <c r="E41" s="864"/>
      <c r="H41" s="799"/>
      <c r="I41" s="799"/>
      <c r="J41" s="799"/>
      <c r="L41" s="799"/>
      <c r="M41" s="799"/>
      <c r="N41" s="799"/>
      <c r="O41" s="799"/>
      <c r="P41" s="1218" t="s">
        <v>772</v>
      </c>
      <c r="Q41" s="269"/>
      <c r="R41" s="269"/>
      <c r="S41" s="813"/>
      <c r="T41" s="814"/>
    </row>
    <row r="42">
      <c r="A42" s="255" t="s">
        <v>803</v>
      </c>
      <c r="E42" s="786" t="e">
        <v>#DIV/0!</v>
      </c>
      <c r="H42" s="799"/>
      <c r="I42" s="799"/>
      <c r="J42" s="799"/>
      <c r="K42" s="799"/>
      <c r="L42" s="799"/>
      <c r="M42" s="799"/>
      <c r="N42" s="799"/>
      <c r="O42" s="799"/>
      <c r="P42" s="1218" t="s">
        <v>776</v>
      </c>
      <c r="Q42" s="269"/>
      <c r="R42" s="269"/>
      <c r="S42" s="269"/>
      <c r="T42" s="814"/>
    </row>
    <row r="43">
      <c r="H43" s="799"/>
      <c r="I43" s="799"/>
      <c r="J43" s="799"/>
      <c r="K43" s="799"/>
      <c r="L43" s="799"/>
      <c r="M43" s="799"/>
      <c r="N43" s="799"/>
      <c r="O43" s="799"/>
      <c r="P43" s="1218" t="s">
        <v>781</v>
      </c>
      <c r="Q43" s="269"/>
      <c r="R43" s="269"/>
      <c r="S43" s="269"/>
      <c r="T43" s="814"/>
    </row>
    <row r="44">
      <c r="H44" s="799"/>
      <c r="I44" s="799"/>
      <c r="J44" s="799"/>
      <c r="K44" s="799"/>
      <c r="L44" s="799"/>
      <c r="M44" s="799"/>
      <c r="N44" s="799"/>
      <c r="O44" s="799"/>
      <c r="P44" s="861" t="s">
        <v>787</v>
      </c>
      <c r="Q44" s="862"/>
      <c r="R44" s="862"/>
      <c r="S44" s="862"/>
      <c r="T44" s="863"/>
    </row>
    <row r="45" ht="17.25" customHeight="1">
      <c r="H45" s="799"/>
      <c r="I45" s="799"/>
      <c r="J45" s="799"/>
      <c r="K45" s="799"/>
      <c r="L45" s="799"/>
      <c r="M45" s="799"/>
      <c r="N45" s="799"/>
      <c r="O45" s="799"/>
    </row>
    <row r="46">
      <c r="A46" s="910" t="s">
        <v>826</v>
      </c>
      <c r="H46" s="911" t="s">
        <v>827</v>
      </c>
      <c r="I46" s="912" t="s">
        <v>828</v>
      </c>
      <c r="J46" s="913"/>
      <c r="K46" s="913"/>
      <c r="L46" s="799"/>
      <c r="M46" s="799"/>
      <c r="N46" s="799"/>
      <c r="O46" s="799"/>
    </row>
    <row r="47">
      <c r="A47" s="1220" t="s">
        <v>983</v>
      </c>
      <c r="B47" s="1221"/>
      <c r="C47" s="1221"/>
      <c r="D47" s="1221"/>
      <c r="E47" s="1221"/>
      <c r="F47" s="1221"/>
      <c r="G47" s="1221"/>
      <c r="H47" s="1222"/>
      <c r="I47" s="1223"/>
      <c r="J47" s="913"/>
      <c r="K47" s="913"/>
      <c r="L47" s="913"/>
      <c r="M47" s="913"/>
      <c r="N47" s="913"/>
      <c r="O47" s="913"/>
      <c r="P47" s="480"/>
      <c r="Q47" s="480"/>
      <c r="R47" s="480"/>
      <c r="S47" s="480"/>
      <c r="T47" s="480"/>
      <c r="U47" s="480"/>
      <c r="V47" s="480"/>
      <c r="W47" s="480"/>
      <c r="X47" s="480"/>
      <c r="Y47" s="480"/>
      <c r="Z47" s="480"/>
      <c r="AA47" s="480"/>
      <c r="AB47" s="480"/>
      <c r="AC47" s="480"/>
      <c r="AD47" s="480"/>
      <c r="AE47" s="480"/>
      <c r="AF47" s="480"/>
      <c r="AG47" s="480"/>
      <c r="AH47" s="480"/>
      <c r="AI47" s="480"/>
      <c r="AJ47" s="480"/>
      <c r="AK47" s="480"/>
      <c r="AL47" s="480"/>
      <c r="AM47" s="480"/>
      <c r="AN47" s="480"/>
      <c r="AO47" s="480"/>
      <c r="AP47" s="480"/>
      <c r="AQ47" s="480"/>
      <c r="AR47" s="480"/>
      <c r="AS47" s="480"/>
      <c r="AT47" s="480"/>
      <c r="AU47" s="480"/>
      <c r="AV47" s="480"/>
      <c r="AW47" s="480"/>
      <c r="AX47" s="480"/>
      <c r="AY47" s="480"/>
      <c r="AZ47" s="480"/>
      <c r="BA47" s="480"/>
      <c r="BB47" s="480"/>
      <c r="BC47" s="480"/>
      <c r="BD47" s="480"/>
      <c r="BE47" s="480"/>
      <c r="BF47" s="480"/>
      <c r="BG47" s="480"/>
    </row>
    <row r="48">
      <c r="A48" s="1224" t="s">
        <v>984</v>
      </c>
      <c r="B48" s="1224" t="s">
        <v>985</v>
      </c>
      <c r="C48" s="1225" t="s">
        <v>986</v>
      </c>
      <c r="D48" s="1224" t="s">
        <v>987</v>
      </c>
      <c r="E48" s="1224" t="s">
        <v>988</v>
      </c>
      <c r="F48" s="1224" t="s">
        <v>989</v>
      </c>
      <c r="G48" s="1224" t="s">
        <v>990</v>
      </c>
      <c r="H48" s="1226" t="s">
        <v>991</v>
      </c>
      <c r="I48" s="1227" t="s">
        <v>992</v>
      </c>
      <c r="J48" s="1226" t="s">
        <v>993</v>
      </c>
      <c r="K48" s="1226" t="s">
        <v>994</v>
      </c>
      <c r="L48" s="1226" t="s">
        <v>995</v>
      </c>
      <c r="M48" s="1226" t="s">
        <v>996</v>
      </c>
      <c r="N48" s="1226" t="s">
        <v>997</v>
      </c>
      <c r="O48" s="1226" t="s">
        <v>998</v>
      </c>
      <c r="P48" s="1228" t="s">
        <v>999</v>
      </c>
      <c r="Q48" s="1228" t="s">
        <v>1000</v>
      </c>
      <c r="R48" s="1228" t="s">
        <v>1001</v>
      </c>
      <c r="S48" s="1228" t="s">
        <v>1002</v>
      </c>
      <c r="T48" s="1229" t="s">
        <v>1003</v>
      </c>
      <c r="U48" s="1228" t="s">
        <v>1004</v>
      </c>
      <c r="V48" s="1228" t="s">
        <v>1005</v>
      </c>
      <c r="W48" s="1228" t="s">
        <v>1006</v>
      </c>
      <c r="X48" s="1228" t="s">
        <v>1007</v>
      </c>
      <c r="Y48" s="1228" t="s">
        <v>1008</v>
      </c>
      <c r="Z48" s="1228" t="s">
        <v>1009</v>
      </c>
      <c r="AA48" s="1228" t="s">
        <v>1010</v>
      </c>
      <c r="AB48" s="1228" t="s">
        <v>1011</v>
      </c>
      <c r="AC48" s="1229" t="s">
        <v>1012</v>
      </c>
      <c r="AD48" s="1228" t="s">
        <v>1013</v>
      </c>
      <c r="AE48" s="1228" t="s">
        <v>1014</v>
      </c>
      <c r="AF48" s="1228" t="s">
        <v>1015</v>
      </c>
      <c r="AG48" s="1228" t="s">
        <v>1016</v>
      </c>
      <c r="AH48" s="1228" t="s">
        <v>1017</v>
      </c>
      <c r="AI48" s="1228" t="s">
        <v>1018</v>
      </c>
      <c r="AJ48" s="1228" t="s">
        <v>1019</v>
      </c>
      <c r="AK48" s="1230"/>
      <c r="AL48" s="1230"/>
      <c r="AM48" s="1230"/>
      <c r="AN48" s="1230"/>
      <c r="AO48" s="1230"/>
      <c r="AP48" s="1230"/>
      <c r="AQ48" s="1230"/>
      <c r="AR48" s="1230"/>
      <c r="AS48" s="1230"/>
      <c r="AT48" s="1230"/>
      <c r="AU48" s="1230"/>
      <c r="AV48" s="1230"/>
      <c r="AW48" s="1230"/>
      <c r="AX48" s="1230"/>
      <c r="AY48" s="1230"/>
      <c r="AZ48" s="1230"/>
      <c r="BA48" s="1230"/>
      <c r="BB48" s="1230"/>
      <c r="BC48" s="1230"/>
      <c r="BD48" s="1230"/>
      <c r="BE48" s="1230"/>
      <c r="BF48" s="1230"/>
      <c r="BG48" s="1230"/>
    </row>
    <row r="49">
      <c r="A49" s="1224" t="s">
        <v>107</v>
      </c>
      <c r="B49" s="1224">
        <v>125.01</v>
      </c>
      <c r="C49" s="1225">
        <v>1.242</v>
      </c>
      <c r="D49" s="1224">
        <v>5077501.0</v>
      </c>
      <c r="E49" s="1224">
        <v>5.758898175E10</v>
      </c>
      <c r="F49" s="1224">
        <v>4.48</v>
      </c>
      <c r="G49" s="1224" t="s">
        <v>1250</v>
      </c>
      <c r="H49" s="1226">
        <v>3.42</v>
      </c>
      <c r="I49" s="1227" t="s">
        <v>1243</v>
      </c>
      <c r="J49" s="1226" t="s">
        <v>1021</v>
      </c>
      <c r="K49" s="1226">
        <v>27419.0</v>
      </c>
      <c r="L49" s="1226" t="s">
        <v>1251</v>
      </c>
      <c r="M49" s="1248">
        <v>8.7612E110</v>
      </c>
      <c r="N49" s="1226" t="s">
        <v>1222</v>
      </c>
      <c r="O49" s="1226" t="s">
        <v>1223</v>
      </c>
      <c r="P49" s="1228" t="s">
        <v>1252</v>
      </c>
      <c r="Q49" s="1231" t="s">
        <v>1253</v>
      </c>
      <c r="R49" s="1228" t="s">
        <v>1254</v>
      </c>
      <c r="S49" s="1228" t="s">
        <v>1255</v>
      </c>
      <c r="T49" s="1229" t="s">
        <v>530</v>
      </c>
      <c r="U49" s="1228" t="s">
        <v>1029</v>
      </c>
      <c r="V49" s="1228">
        <v>415000.0</v>
      </c>
      <c r="W49" s="1228" t="s">
        <v>1256</v>
      </c>
      <c r="X49" s="1228" t="s">
        <v>1257</v>
      </c>
      <c r="Y49" s="1228" t="s">
        <v>1258</v>
      </c>
      <c r="Z49" s="1228" t="s">
        <v>1259</v>
      </c>
      <c r="AA49" s="1228">
        <v>55403.0</v>
      </c>
      <c r="AB49" s="1232">
        <v>-71.20019</v>
      </c>
      <c r="AC49" s="1233">
        <v>196.2101907854454</v>
      </c>
      <c r="AD49" s="1231" t="s">
        <v>1260</v>
      </c>
      <c r="AE49" s="1234">
        <v>24763.0</v>
      </c>
      <c r="AF49" s="1228" t="b">
        <v>0</v>
      </c>
      <c r="AG49" s="1228" t="b">
        <v>0</v>
      </c>
      <c r="AH49" s="1228" t="b">
        <v>1</v>
      </c>
      <c r="AI49" s="1228" t="b">
        <v>0</v>
      </c>
      <c r="AJ49" s="1228" t="b">
        <v>0</v>
      </c>
      <c r="AK49" s="1230"/>
      <c r="AL49" s="1230"/>
      <c r="AM49" s="1230"/>
      <c r="AN49" s="1230"/>
      <c r="AO49" s="1230"/>
      <c r="AP49" s="1230"/>
      <c r="AQ49" s="1230"/>
      <c r="AR49" s="1230"/>
      <c r="AS49" s="1230"/>
      <c r="AT49" s="1230"/>
      <c r="AU49" s="1230"/>
      <c r="AV49" s="1230"/>
      <c r="AW49" s="1230"/>
      <c r="AX49" s="1230"/>
      <c r="AY49" s="1230"/>
      <c r="AZ49" s="1230"/>
      <c r="BA49" s="1230"/>
      <c r="BB49" s="1230"/>
      <c r="BC49" s="1230"/>
      <c r="BD49" s="1230"/>
      <c r="BE49" s="1230"/>
      <c r="BF49" s="1230"/>
      <c r="BG49" s="1230"/>
    </row>
    <row r="50">
      <c r="A50" s="1221"/>
      <c r="B50" s="1221"/>
      <c r="C50" s="1221"/>
      <c r="D50" s="1221"/>
      <c r="E50" s="1221"/>
      <c r="F50" s="1221"/>
      <c r="G50" s="1221"/>
      <c r="H50" s="1222"/>
      <c r="I50" s="1223"/>
      <c r="J50" s="913"/>
      <c r="K50" s="913"/>
      <c r="L50" s="913"/>
      <c r="M50" s="913"/>
      <c r="N50" s="913"/>
      <c r="O50" s="913"/>
      <c r="P50" s="480"/>
      <c r="Q50" s="480"/>
      <c r="R50" s="480"/>
      <c r="S50" s="480"/>
      <c r="T50" s="480"/>
      <c r="U50" s="480"/>
      <c r="V50" s="480"/>
      <c r="W50" s="480"/>
      <c r="X50" s="480"/>
      <c r="Y50" s="480"/>
      <c r="Z50" s="480"/>
      <c r="AA50" s="480"/>
      <c r="AB50" s="480"/>
      <c r="AC50" s="480"/>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c r="BE50" s="480"/>
      <c r="BF50" s="480"/>
      <c r="BG50" s="480"/>
    </row>
    <row r="51">
      <c r="A51" s="1220" t="s">
        <v>1036</v>
      </c>
      <c r="B51" s="480"/>
      <c r="C51" s="480"/>
      <c r="D51" s="480"/>
      <c r="E51" s="480"/>
      <c r="F51" s="480"/>
      <c r="G51" s="480"/>
      <c r="H51" s="913"/>
      <c r="I51" s="913"/>
      <c r="J51" s="913"/>
      <c r="K51" s="913"/>
      <c r="L51" s="913"/>
      <c r="M51" s="913"/>
      <c r="N51" s="913"/>
      <c r="O51" s="913"/>
      <c r="P51" s="913"/>
      <c r="Q51" s="913"/>
      <c r="R51" s="913"/>
      <c r="S51" s="913"/>
      <c r="T51" s="913"/>
      <c r="U51" s="913"/>
      <c r="V51" s="913"/>
      <c r="W51" s="913"/>
      <c r="X51" s="913"/>
      <c r="Y51" s="913"/>
      <c r="Z51" s="913"/>
      <c r="AA51" s="913"/>
      <c r="AB51" s="913"/>
      <c r="AC51" s="913"/>
      <c r="AD51" s="913"/>
      <c r="AE51" s="913"/>
      <c r="AF51" s="913"/>
      <c r="AG51" s="913"/>
      <c r="AH51" s="913"/>
      <c r="AI51" s="913"/>
      <c r="AJ51" s="913"/>
      <c r="AK51" s="913"/>
      <c r="AL51" s="913"/>
      <c r="AM51" s="913"/>
      <c r="AN51" s="913"/>
      <c r="AO51" s="913"/>
      <c r="AP51" s="913"/>
      <c r="AQ51" s="913"/>
      <c r="AR51" s="913"/>
      <c r="AS51" s="913"/>
      <c r="AT51" s="913"/>
      <c r="AU51" s="913"/>
      <c r="AV51" s="913"/>
      <c r="AW51" s="913"/>
      <c r="AX51" s="913"/>
      <c r="AY51" s="913"/>
      <c r="AZ51" s="913"/>
      <c r="BA51" s="913"/>
      <c r="BB51" s="913"/>
      <c r="BC51" s="913"/>
      <c r="BD51" s="913"/>
      <c r="BE51" s="913"/>
      <c r="BF51" s="913"/>
      <c r="BG51" s="913"/>
    </row>
    <row r="52">
      <c r="A52" s="1235" t="s">
        <v>1037</v>
      </c>
      <c r="B52" s="1220" t="s">
        <v>984</v>
      </c>
      <c r="C52" s="1220" t="s">
        <v>1038</v>
      </c>
      <c r="D52" s="1220" t="s">
        <v>994</v>
      </c>
      <c r="E52" s="1220" t="s">
        <v>1039</v>
      </c>
      <c r="F52" s="1220" t="s">
        <v>1040</v>
      </c>
      <c r="G52" s="1220" t="s">
        <v>1041</v>
      </c>
      <c r="H52" s="1236" t="s">
        <v>1042</v>
      </c>
      <c r="I52" s="1236" t="s">
        <v>1043</v>
      </c>
      <c r="J52" s="1236" t="s">
        <v>1044</v>
      </c>
      <c r="K52" s="1236" t="s">
        <v>1045</v>
      </c>
      <c r="L52" s="1236" t="s">
        <v>1046</v>
      </c>
      <c r="M52" s="1236" t="s">
        <v>1047</v>
      </c>
      <c r="N52" s="1236" t="s">
        <v>1048</v>
      </c>
      <c r="O52" s="1236" t="s">
        <v>1049</v>
      </c>
      <c r="P52" s="1236" t="s">
        <v>1050</v>
      </c>
      <c r="Q52" s="1236" t="s">
        <v>1051</v>
      </c>
      <c r="R52" s="1236" t="s">
        <v>1052</v>
      </c>
      <c r="S52" s="1236" t="s">
        <v>1053</v>
      </c>
      <c r="T52" s="1236" t="s">
        <v>1054</v>
      </c>
      <c r="U52" s="1236" t="s">
        <v>1055</v>
      </c>
      <c r="V52" s="1236" t="s">
        <v>1056</v>
      </c>
      <c r="W52" s="1236" t="s">
        <v>1057</v>
      </c>
      <c r="X52" s="1236" t="s">
        <v>1058</v>
      </c>
      <c r="Y52" s="1237" t="s">
        <v>1059</v>
      </c>
      <c r="Z52" s="1236" t="s">
        <v>1060</v>
      </c>
      <c r="AA52" s="1236" t="s">
        <v>1061</v>
      </c>
      <c r="AB52" s="1236" t="s">
        <v>1062</v>
      </c>
      <c r="AC52" s="1236" t="s">
        <v>1063</v>
      </c>
      <c r="AD52" s="1236" t="s">
        <v>1064</v>
      </c>
      <c r="AE52" s="1236" t="s">
        <v>1065</v>
      </c>
      <c r="AF52" s="1236" t="s">
        <v>1066</v>
      </c>
      <c r="AG52" s="1236" t="s">
        <v>1067</v>
      </c>
      <c r="AH52" s="1237" t="s">
        <v>1068</v>
      </c>
      <c r="AI52" s="1236" t="s">
        <v>1069</v>
      </c>
      <c r="AJ52" s="1236" t="s">
        <v>1070</v>
      </c>
      <c r="AK52" s="1236" t="s">
        <v>1071</v>
      </c>
      <c r="AL52" s="1236" t="s">
        <v>1072</v>
      </c>
      <c r="AM52" s="913"/>
      <c r="AN52" s="913"/>
      <c r="AO52" s="913"/>
      <c r="AP52" s="913"/>
      <c r="AQ52" s="913"/>
      <c r="AR52" s="913"/>
      <c r="AS52" s="913"/>
      <c r="AT52" s="913"/>
      <c r="AU52" s="913"/>
      <c r="AV52" s="913"/>
      <c r="AW52" s="913"/>
      <c r="AX52" s="913"/>
      <c r="AY52" s="913"/>
      <c r="AZ52" s="913"/>
      <c r="BA52" s="913"/>
      <c r="BB52" s="913"/>
      <c r="BC52" s="913"/>
      <c r="BD52" s="913"/>
      <c r="BE52" s="913"/>
      <c r="BF52" s="913"/>
      <c r="BG52" s="913"/>
    </row>
    <row r="53">
      <c r="A53" s="1238">
        <v>45325.0</v>
      </c>
      <c r="B53" s="1220" t="s">
        <v>107</v>
      </c>
      <c r="C53" s="1220" t="s">
        <v>1021</v>
      </c>
      <c r="D53" s="1220">
        <v>27419.0</v>
      </c>
      <c r="E53" s="1238">
        <v>45364.0</v>
      </c>
      <c r="F53" s="1239">
        <v>45364.711701388886</v>
      </c>
      <c r="G53" s="1220">
        <v>2023.0</v>
      </c>
      <c r="H53" s="1236" t="s">
        <v>1073</v>
      </c>
      <c r="I53" s="1240">
        <v>1.07412E11</v>
      </c>
      <c r="J53" s="1240">
        <v>7.7736E10</v>
      </c>
      <c r="K53" s="1240">
        <v>2.9676E10</v>
      </c>
      <c r="L53" s="1240">
        <v>0.2762819797</v>
      </c>
      <c r="M53" s="1240">
        <v>0.0</v>
      </c>
      <c r="N53" s="1240">
        <v>1.9961E10</v>
      </c>
      <c r="O53" s="1240">
        <v>1.4E9</v>
      </c>
      <c r="P53" s="1240">
        <v>2.1361E10</v>
      </c>
      <c r="Q53" s="1240">
        <v>0.0</v>
      </c>
      <c r="R53" s="1240">
        <v>2.3969E10</v>
      </c>
      <c r="S53" s="1240">
        <v>1.01705E11</v>
      </c>
      <c r="T53" s="1240">
        <v>0.0</v>
      </c>
      <c r="U53" s="1240">
        <v>5.02E8</v>
      </c>
      <c r="V53" s="1240">
        <v>2.801E9</v>
      </c>
      <c r="W53" s="1240">
        <v>8.701E9</v>
      </c>
      <c r="X53" s="1240">
        <v>0.0810058466</v>
      </c>
      <c r="Y53" s="1241">
        <v>5.707E9</v>
      </c>
      <c r="Z53" s="1240">
        <v>0.0531318661</v>
      </c>
      <c r="AA53" s="1240">
        <v>-4.1E8</v>
      </c>
      <c r="AB53" s="1240">
        <v>5.297E9</v>
      </c>
      <c r="AC53" s="1240">
        <v>0.0493147879</v>
      </c>
      <c r="AD53" s="1240">
        <v>1.159E9</v>
      </c>
      <c r="AE53" s="1240">
        <v>4.138E9</v>
      </c>
      <c r="AF53" s="1240">
        <v>0.0385245596</v>
      </c>
      <c r="AG53" s="1240">
        <v>8.97</v>
      </c>
      <c r="AH53" s="1241">
        <v>8.94</v>
      </c>
      <c r="AI53" s="1240">
        <v>4.615E8</v>
      </c>
      <c r="AJ53" s="1240">
        <v>4.628E8</v>
      </c>
      <c r="AK53" s="1242" t="s">
        <v>1261</v>
      </c>
      <c r="AL53" s="1242" t="s">
        <v>1262</v>
      </c>
      <c r="AM53" s="913"/>
      <c r="AN53" s="913"/>
      <c r="AO53" s="913"/>
      <c r="AP53" s="913"/>
      <c r="AQ53" s="913"/>
      <c r="AR53" s="913"/>
      <c r="AS53" s="913"/>
      <c r="AT53" s="913"/>
      <c r="AU53" s="913"/>
      <c r="AV53" s="913"/>
      <c r="AW53" s="913"/>
      <c r="AX53" s="913"/>
      <c r="AY53" s="913"/>
      <c r="AZ53" s="913"/>
      <c r="BA53" s="913"/>
      <c r="BB53" s="913"/>
      <c r="BC53" s="913"/>
      <c r="BD53" s="913"/>
      <c r="BE53" s="913"/>
      <c r="BF53" s="913"/>
      <c r="BG53" s="913"/>
    </row>
    <row r="54">
      <c r="A54" s="1238">
        <v>44954.0</v>
      </c>
      <c r="B54" s="1220" t="s">
        <v>107</v>
      </c>
      <c r="C54" s="1220" t="s">
        <v>1021</v>
      </c>
      <c r="D54" s="1220">
        <v>27419.0</v>
      </c>
      <c r="E54" s="1238">
        <v>44993.0</v>
      </c>
      <c r="F54" s="1239">
        <v>44993.669652777775</v>
      </c>
      <c r="G54" s="1220">
        <v>2022.0</v>
      </c>
      <c r="H54" s="1236" t="s">
        <v>1073</v>
      </c>
      <c r="I54" s="1240">
        <v>1.0912E11</v>
      </c>
      <c r="J54" s="1240">
        <v>8.2229E10</v>
      </c>
      <c r="K54" s="1240">
        <v>2.6891E10</v>
      </c>
      <c r="L54" s="1240">
        <v>0.2464351173</v>
      </c>
      <c r="M54" s="1240">
        <v>0.0</v>
      </c>
      <c r="N54" s="1240">
        <v>1.9158E10</v>
      </c>
      <c r="O54" s="1240">
        <v>1.5E9</v>
      </c>
      <c r="P54" s="1240">
        <v>2.0658E10</v>
      </c>
      <c r="Q54" s="1240">
        <v>2.385E9</v>
      </c>
      <c r="R54" s="1240">
        <v>2.3043E10</v>
      </c>
      <c r="S54" s="1240">
        <v>1.05272E11</v>
      </c>
      <c r="T54" s="1240">
        <v>4.78E8</v>
      </c>
      <c r="U54" s="1240">
        <v>4.78E8</v>
      </c>
      <c r="V54" s="1240">
        <v>2.7E9</v>
      </c>
      <c r="W54" s="1240">
        <v>6.66E9</v>
      </c>
      <c r="X54" s="1240">
        <v>0.0604472141</v>
      </c>
      <c r="Y54" s="1240">
        <v>3.848E9</v>
      </c>
      <c r="Z54" s="1240">
        <v>0.0352639296</v>
      </c>
      <c r="AA54" s="1240">
        <v>-4.3E8</v>
      </c>
      <c r="AB54" s="1240">
        <v>3.418E9</v>
      </c>
      <c r="AC54" s="1240">
        <v>0.0313233138</v>
      </c>
      <c r="AD54" s="1240">
        <v>6.38E8</v>
      </c>
      <c r="AE54" s="1240">
        <v>2.78E9</v>
      </c>
      <c r="AF54" s="1240">
        <v>0.0254765396</v>
      </c>
      <c r="AG54" s="1240">
        <v>6.02</v>
      </c>
      <c r="AH54" s="1240">
        <v>5.98</v>
      </c>
      <c r="AI54" s="1240">
        <v>4.621E8</v>
      </c>
      <c r="AJ54" s="1240">
        <v>4.647E8</v>
      </c>
      <c r="AK54" s="1242" t="s">
        <v>1263</v>
      </c>
      <c r="AL54" s="1242" t="s">
        <v>1264</v>
      </c>
      <c r="AM54" s="913"/>
      <c r="AN54" s="913"/>
      <c r="AO54" s="913"/>
      <c r="AP54" s="913"/>
      <c r="AQ54" s="913"/>
      <c r="AR54" s="913"/>
      <c r="AS54" s="913"/>
      <c r="AT54" s="913"/>
      <c r="AU54" s="913"/>
      <c r="AV54" s="913"/>
      <c r="AW54" s="913"/>
      <c r="AX54" s="913"/>
      <c r="AY54" s="913"/>
      <c r="AZ54" s="913"/>
      <c r="BA54" s="913"/>
      <c r="BB54" s="913"/>
      <c r="BC54" s="913"/>
      <c r="BD54" s="913"/>
      <c r="BE54" s="913"/>
      <c r="BF54" s="913"/>
      <c r="BG54" s="913"/>
    </row>
    <row r="55">
      <c r="A55" s="1238">
        <v>44590.0</v>
      </c>
      <c r="B55" s="1220" t="s">
        <v>107</v>
      </c>
      <c r="C55" s="1220" t="s">
        <v>1021</v>
      </c>
      <c r="D55" s="1220">
        <v>27419.0</v>
      </c>
      <c r="E55" s="1238">
        <v>44629.0</v>
      </c>
      <c r="F55" s="1239">
        <v>44629.69215277778</v>
      </c>
      <c r="G55" s="1220">
        <v>2021.0</v>
      </c>
      <c r="H55" s="1236" t="s">
        <v>1073</v>
      </c>
      <c r="I55" s="1240">
        <v>1.06005E11</v>
      </c>
      <c r="J55" s="1240">
        <v>7.4963E10</v>
      </c>
      <c r="K55" s="1240">
        <v>3.1042E10</v>
      </c>
      <c r="L55" s="1240">
        <v>0.2928352436</v>
      </c>
      <c r="M55" s="1240">
        <v>0.0</v>
      </c>
      <c r="N55" s="1240">
        <v>1.8252E10</v>
      </c>
      <c r="O55" s="1240">
        <v>1.5E9</v>
      </c>
      <c r="P55" s="1240">
        <v>1.9752E10</v>
      </c>
      <c r="Q55" s="1240">
        <v>2.344E9</v>
      </c>
      <c r="R55" s="1240">
        <v>2.2096E10</v>
      </c>
      <c r="S55" s="1240">
        <v>9.7059E10</v>
      </c>
      <c r="T55" s="1240">
        <v>4.21E8</v>
      </c>
      <c r="U55" s="1240">
        <v>4.21E8</v>
      </c>
      <c r="V55" s="1240">
        <v>2.642E9</v>
      </c>
      <c r="W55" s="1240">
        <v>1.197E10</v>
      </c>
      <c r="X55" s="1240">
        <v>0.1129192019</v>
      </c>
      <c r="Y55" s="1240">
        <v>8.946E9</v>
      </c>
      <c r="Z55" s="1240">
        <v>0.0843922456</v>
      </c>
      <c r="AA55" s="1240">
        <v>-3.9E7</v>
      </c>
      <c r="AB55" s="1240">
        <v>8.907E9</v>
      </c>
      <c r="AC55" s="1240">
        <v>0.0840243385</v>
      </c>
      <c r="AD55" s="1240">
        <v>1.961E9</v>
      </c>
      <c r="AE55" s="1240">
        <v>6.946E9</v>
      </c>
      <c r="AF55" s="1240">
        <v>0.0655252111</v>
      </c>
      <c r="AG55" s="1240">
        <v>14.23</v>
      </c>
      <c r="AH55" s="1240">
        <v>14.1</v>
      </c>
      <c r="AI55" s="1240">
        <v>4.881E8</v>
      </c>
      <c r="AJ55" s="1240">
        <v>4.927E8</v>
      </c>
      <c r="AK55" s="1242" t="s">
        <v>1265</v>
      </c>
      <c r="AL55" s="1242" t="s">
        <v>1266</v>
      </c>
      <c r="AM55" s="913"/>
      <c r="AN55" s="913"/>
      <c r="AO55" s="913"/>
      <c r="AP55" s="913"/>
      <c r="AQ55" s="913"/>
      <c r="AR55" s="913"/>
      <c r="AS55" s="913"/>
      <c r="AT55" s="913"/>
      <c r="AU55" s="913"/>
      <c r="AV55" s="913"/>
      <c r="AW55" s="913"/>
      <c r="AX55" s="913"/>
      <c r="AY55" s="913"/>
      <c r="AZ55" s="913"/>
      <c r="BA55" s="913"/>
      <c r="BB55" s="913"/>
      <c r="BC55" s="913"/>
      <c r="BD55" s="913"/>
      <c r="BE55" s="913"/>
      <c r="BF55" s="913"/>
      <c r="BG55" s="913"/>
    </row>
    <row r="56">
      <c r="A56" s="1238">
        <v>44226.0</v>
      </c>
      <c r="B56" s="1220" t="s">
        <v>107</v>
      </c>
      <c r="C56" s="1220" t="s">
        <v>1021</v>
      </c>
      <c r="D56" s="1220">
        <v>27419.0</v>
      </c>
      <c r="E56" s="1238">
        <v>44265.0</v>
      </c>
      <c r="F56" s="1239">
        <v>44265.617476851854</v>
      </c>
      <c r="G56" s="1220">
        <v>2020.0</v>
      </c>
      <c r="H56" s="1236" t="s">
        <v>1073</v>
      </c>
      <c r="I56" s="1240">
        <v>9.3561E10</v>
      </c>
      <c r="J56" s="1240">
        <v>6.6177E10</v>
      </c>
      <c r="K56" s="1240">
        <v>2.7384E10</v>
      </c>
      <c r="L56" s="1240">
        <v>0.2926860551</v>
      </c>
      <c r="M56" s="1240">
        <v>0.0</v>
      </c>
      <c r="N56" s="1240">
        <v>1.7115E10</v>
      </c>
      <c r="O56" s="1240">
        <v>1.5E9</v>
      </c>
      <c r="P56" s="1240">
        <v>1.8615E10</v>
      </c>
      <c r="Q56" s="1240">
        <v>2.23E9</v>
      </c>
      <c r="R56" s="1240">
        <v>2.0845E10</v>
      </c>
      <c r="S56" s="1240">
        <v>8.7022E10</v>
      </c>
      <c r="T56" s="1240">
        <v>4.65E8</v>
      </c>
      <c r="U56" s="1240">
        <v>9.77E8</v>
      </c>
      <c r="V56" s="1240">
        <v>2.485E9</v>
      </c>
      <c r="W56" s="1240">
        <v>9.093E9</v>
      </c>
      <c r="X56" s="1240">
        <v>0.0962794327</v>
      </c>
      <c r="Y56" s="1240">
        <v>6.539E9</v>
      </c>
      <c r="Z56" s="1240">
        <v>0.069890232</v>
      </c>
      <c r="AA56" s="1240">
        <v>-9.93E8</v>
      </c>
      <c r="AB56" s="1240">
        <v>5.546E9</v>
      </c>
      <c r="AC56" s="1240">
        <v>0.0592768354</v>
      </c>
      <c r="AD56" s="1240">
        <v>1.178E9</v>
      </c>
      <c r="AE56" s="1240">
        <v>4.368E9</v>
      </c>
      <c r="AF56" s="1240">
        <v>0.0466861192</v>
      </c>
      <c r="AG56" s="1240">
        <v>8.73</v>
      </c>
      <c r="AH56" s="1240">
        <v>8.64</v>
      </c>
      <c r="AI56" s="1240">
        <v>5.006E8</v>
      </c>
      <c r="AJ56" s="1240">
        <v>5.054E8</v>
      </c>
      <c r="AK56" s="1242" t="s">
        <v>1267</v>
      </c>
      <c r="AL56" s="1242" t="s">
        <v>1268</v>
      </c>
      <c r="AM56" s="913"/>
      <c r="AN56" s="913"/>
      <c r="AO56" s="913"/>
      <c r="AP56" s="913"/>
      <c r="AQ56" s="913"/>
      <c r="AR56" s="913"/>
      <c r="AS56" s="913"/>
      <c r="AT56" s="913"/>
      <c r="AU56" s="913"/>
      <c r="AV56" s="913"/>
      <c r="AW56" s="913"/>
      <c r="AX56" s="913"/>
      <c r="AY56" s="913"/>
      <c r="AZ56" s="913"/>
      <c r="BA56" s="913"/>
      <c r="BB56" s="913"/>
      <c r="BC56" s="913"/>
      <c r="BD56" s="913"/>
      <c r="BE56" s="913"/>
      <c r="BF56" s="913"/>
      <c r="BG56" s="913"/>
    </row>
    <row r="57">
      <c r="A57" s="1238">
        <v>43862.0</v>
      </c>
      <c r="B57" s="1220" t="s">
        <v>107</v>
      </c>
      <c r="C57" s="1220" t="s">
        <v>1021</v>
      </c>
      <c r="D57" s="1220">
        <v>27419.0</v>
      </c>
      <c r="E57" s="1238">
        <v>43901.0</v>
      </c>
      <c r="F57" s="1239">
        <v>43901.67668981481</v>
      </c>
      <c r="G57" s="1220">
        <v>2019.0</v>
      </c>
      <c r="H57" s="1236" t="s">
        <v>1073</v>
      </c>
      <c r="I57" s="1240">
        <v>7.8112E10</v>
      </c>
      <c r="J57" s="1240">
        <v>5.4864E10</v>
      </c>
      <c r="K57" s="1240">
        <v>2.3248E10</v>
      </c>
      <c r="L57" s="1240">
        <v>0.2976239246</v>
      </c>
      <c r="M57" s="1240">
        <v>0.0</v>
      </c>
      <c r="N57" s="1240">
        <v>1.4633E10</v>
      </c>
      <c r="O57" s="1240">
        <v>1.6E9</v>
      </c>
      <c r="P57" s="1240">
        <v>1.6233E10</v>
      </c>
      <c r="Q57" s="1240">
        <v>2.357E9</v>
      </c>
      <c r="R57" s="1240">
        <v>1.859E10</v>
      </c>
      <c r="S57" s="1240">
        <v>7.3454E10</v>
      </c>
      <c r="T57" s="1240">
        <v>4.67E8</v>
      </c>
      <c r="U57" s="1240">
        <v>4.77E8</v>
      </c>
      <c r="V57" s="1240">
        <v>2.604E9</v>
      </c>
      <c r="W57" s="1240">
        <v>7.332E9</v>
      </c>
      <c r="X57" s="1240">
        <v>0.0930842892</v>
      </c>
      <c r="Y57" s="1240">
        <v>4.658E9</v>
      </c>
      <c r="Z57" s="1240">
        <v>0.0596323228</v>
      </c>
      <c r="AA57" s="1240">
        <v>-4.68E8</v>
      </c>
      <c r="AB57" s="1240">
        <v>4.19E9</v>
      </c>
      <c r="AC57" s="1240">
        <v>0.0536409259</v>
      </c>
      <c r="AD57" s="1240">
        <v>9.21E8</v>
      </c>
      <c r="AE57" s="1240">
        <v>3.281E9</v>
      </c>
      <c r="AF57" s="1240">
        <v>0.0420037894</v>
      </c>
      <c r="AG57" s="1240">
        <v>6.42</v>
      </c>
      <c r="AH57" s="1240">
        <v>6.36</v>
      </c>
      <c r="AI57" s="1240">
        <v>5.109E8</v>
      </c>
      <c r="AJ57" s="1240">
        <v>5.156E8</v>
      </c>
      <c r="AK57" s="1242" t="s">
        <v>1269</v>
      </c>
      <c r="AL57" s="1242" t="s">
        <v>1270</v>
      </c>
      <c r="AM57" s="913"/>
      <c r="AN57" s="913"/>
      <c r="AO57" s="913"/>
      <c r="AP57" s="913"/>
      <c r="AQ57" s="913"/>
      <c r="AR57" s="913"/>
      <c r="AS57" s="913"/>
      <c r="AT57" s="913"/>
      <c r="AU57" s="913"/>
      <c r="AV57" s="913"/>
      <c r="AW57" s="913"/>
      <c r="AX57" s="913"/>
      <c r="AY57" s="913"/>
      <c r="AZ57" s="913"/>
      <c r="BA57" s="913"/>
      <c r="BB57" s="913"/>
      <c r="BC57" s="913"/>
      <c r="BD57" s="913"/>
      <c r="BE57" s="913"/>
      <c r="BF57" s="913"/>
      <c r="BG57" s="913"/>
    </row>
    <row r="58">
      <c r="A58" s="480"/>
      <c r="B58" s="480"/>
      <c r="C58" s="480"/>
      <c r="D58" s="480"/>
      <c r="E58" s="480"/>
      <c r="F58" s="480"/>
      <c r="G58" s="480"/>
      <c r="H58" s="913"/>
      <c r="I58" s="913"/>
      <c r="J58" s="913"/>
      <c r="K58" s="913"/>
      <c r="L58" s="913"/>
      <c r="M58" s="913"/>
      <c r="N58" s="913"/>
      <c r="O58" s="913"/>
      <c r="P58" s="913"/>
      <c r="Q58" s="913"/>
      <c r="R58" s="913"/>
      <c r="S58" s="913"/>
      <c r="T58" s="913"/>
      <c r="U58" s="913"/>
      <c r="V58" s="913"/>
      <c r="W58" s="913"/>
      <c r="X58" s="913"/>
      <c r="Y58" s="913"/>
      <c r="Z58" s="913"/>
      <c r="AA58" s="913"/>
      <c r="AB58" s="913"/>
      <c r="AC58" s="913"/>
      <c r="AD58" s="913"/>
      <c r="AE58" s="913"/>
      <c r="AF58" s="913"/>
      <c r="AG58" s="913"/>
      <c r="AH58" s="913"/>
      <c r="AI58" s="913"/>
      <c r="AJ58" s="913"/>
      <c r="AK58" s="913"/>
      <c r="AL58" s="913"/>
      <c r="AM58" s="913"/>
      <c r="AN58" s="913"/>
      <c r="AO58" s="913"/>
      <c r="AP58" s="913"/>
      <c r="AQ58" s="913"/>
      <c r="AR58" s="913"/>
      <c r="AS58" s="913"/>
      <c r="AT58" s="913"/>
      <c r="AU58" s="913"/>
      <c r="AV58" s="913"/>
      <c r="AW58" s="913"/>
      <c r="AX58" s="913"/>
      <c r="AY58" s="913"/>
      <c r="AZ58" s="913"/>
      <c r="BA58" s="913"/>
      <c r="BB58" s="913"/>
      <c r="BC58" s="913"/>
      <c r="BD58" s="913"/>
      <c r="BE58" s="913"/>
      <c r="BF58" s="913"/>
      <c r="BG58" s="913"/>
    </row>
    <row r="59">
      <c r="A59" s="1220" t="s">
        <v>1084</v>
      </c>
      <c r="B59" s="480"/>
      <c r="C59" s="480"/>
      <c r="D59" s="480"/>
      <c r="E59" s="480"/>
      <c r="F59" s="480"/>
      <c r="G59" s="480"/>
      <c r="H59" s="913"/>
      <c r="I59" s="913"/>
      <c r="J59" s="913"/>
      <c r="K59" s="913"/>
      <c r="L59" s="913"/>
      <c r="M59" s="913"/>
      <c r="N59" s="913"/>
      <c r="O59" s="913"/>
      <c r="P59" s="913"/>
      <c r="Q59" s="913"/>
      <c r="R59" s="913"/>
      <c r="S59" s="913"/>
      <c r="T59" s="913"/>
      <c r="U59" s="913"/>
      <c r="V59" s="913"/>
      <c r="W59" s="913"/>
      <c r="X59" s="913"/>
      <c r="Y59" s="913"/>
      <c r="Z59" s="913"/>
      <c r="AA59" s="913"/>
      <c r="AB59" s="913"/>
      <c r="AC59" s="913"/>
      <c r="AD59" s="913"/>
      <c r="AE59" s="913"/>
      <c r="AF59" s="913"/>
      <c r="AG59" s="913"/>
      <c r="AH59" s="913"/>
      <c r="AI59" s="913"/>
      <c r="AJ59" s="913"/>
      <c r="AK59" s="913"/>
      <c r="AL59" s="913"/>
      <c r="AM59" s="913"/>
      <c r="AN59" s="913"/>
      <c r="AO59" s="913"/>
      <c r="AP59" s="913"/>
      <c r="AQ59" s="913"/>
      <c r="AR59" s="913"/>
      <c r="AS59" s="913"/>
      <c r="AT59" s="913"/>
      <c r="AU59" s="913"/>
      <c r="AV59" s="913"/>
      <c r="AW59" s="913"/>
      <c r="AX59" s="913"/>
      <c r="AY59" s="913"/>
      <c r="AZ59" s="913"/>
      <c r="BA59" s="913"/>
      <c r="BB59" s="913"/>
      <c r="BC59" s="913"/>
      <c r="BD59" s="913"/>
      <c r="BE59" s="913"/>
      <c r="BF59" s="913"/>
      <c r="BG59" s="913"/>
    </row>
    <row r="60">
      <c r="A60" s="1243" t="s">
        <v>1037</v>
      </c>
      <c r="B60" s="1220" t="s">
        <v>984</v>
      </c>
      <c r="C60" s="1220" t="s">
        <v>1038</v>
      </c>
      <c r="D60" s="1220" t="s">
        <v>994</v>
      </c>
      <c r="E60" s="1220" t="s">
        <v>1039</v>
      </c>
      <c r="F60" s="1220" t="s">
        <v>1040</v>
      </c>
      <c r="G60" s="1220" t="s">
        <v>1041</v>
      </c>
      <c r="H60" s="1236" t="s">
        <v>1042</v>
      </c>
      <c r="I60" s="1237" t="s">
        <v>1085</v>
      </c>
      <c r="J60" s="1236" t="s">
        <v>1086</v>
      </c>
      <c r="K60" s="1236" t="s">
        <v>1087</v>
      </c>
      <c r="L60" s="1236" t="s">
        <v>1088</v>
      </c>
      <c r="M60" s="1236" t="s">
        <v>1089</v>
      </c>
      <c r="N60" s="1236" t="s">
        <v>1090</v>
      </c>
      <c r="O60" s="1236" t="s">
        <v>1091</v>
      </c>
      <c r="P60" s="1236" t="s">
        <v>1092</v>
      </c>
      <c r="Q60" s="1236" t="s">
        <v>1093</v>
      </c>
      <c r="R60" s="1236" t="s">
        <v>1094</v>
      </c>
      <c r="S60" s="1236" t="s">
        <v>1095</v>
      </c>
      <c r="T60" s="1236" t="s">
        <v>1096</v>
      </c>
      <c r="U60" s="1236" t="s">
        <v>1097</v>
      </c>
      <c r="V60" s="1236" t="s">
        <v>1098</v>
      </c>
      <c r="W60" s="1236" t="s">
        <v>1099</v>
      </c>
      <c r="X60" s="1236" t="s">
        <v>1100</v>
      </c>
      <c r="Y60" s="1236" t="s">
        <v>1101</v>
      </c>
      <c r="Z60" s="1236" t="s">
        <v>1102</v>
      </c>
      <c r="AA60" s="1236" t="s">
        <v>1103</v>
      </c>
      <c r="AB60" s="1236" t="s">
        <v>1104</v>
      </c>
      <c r="AC60" s="1236" t="s">
        <v>1105</v>
      </c>
      <c r="AD60" s="1236" t="s">
        <v>1106</v>
      </c>
      <c r="AE60" s="1236" t="s">
        <v>1107</v>
      </c>
      <c r="AF60" s="1236" t="s">
        <v>1108</v>
      </c>
      <c r="AG60" s="1236" t="s">
        <v>1109</v>
      </c>
      <c r="AH60" s="1236" t="s">
        <v>1110</v>
      </c>
      <c r="AI60" s="1236" t="s">
        <v>1111</v>
      </c>
      <c r="AJ60" s="1236" t="s">
        <v>1112</v>
      </c>
      <c r="AK60" s="1236" t="s">
        <v>1113</v>
      </c>
      <c r="AL60" s="1236" t="s">
        <v>1114</v>
      </c>
      <c r="AM60" s="1236" t="s">
        <v>1115</v>
      </c>
      <c r="AN60" s="1236" t="s">
        <v>1116</v>
      </c>
      <c r="AO60" s="1236" t="s">
        <v>1117</v>
      </c>
      <c r="AP60" s="1236" t="s">
        <v>1118</v>
      </c>
      <c r="AQ60" s="1236" t="s">
        <v>1119</v>
      </c>
      <c r="AR60" s="1236" t="s">
        <v>1120</v>
      </c>
      <c r="AS60" s="1236" t="s">
        <v>1121</v>
      </c>
      <c r="AT60" s="1236" t="s">
        <v>1122</v>
      </c>
      <c r="AU60" s="1236" t="s">
        <v>1123</v>
      </c>
      <c r="AV60" s="1236" t="s">
        <v>1124</v>
      </c>
      <c r="AW60" s="1236" t="s">
        <v>1125</v>
      </c>
      <c r="AX60" s="1236" t="s">
        <v>1126</v>
      </c>
      <c r="AY60" s="1237" t="s">
        <v>1127</v>
      </c>
      <c r="AZ60" s="1236" t="s">
        <v>1128</v>
      </c>
      <c r="BA60" s="1236" t="s">
        <v>1071</v>
      </c>
      <c r="BB60" s="1236" t="s">
        <v>1072</v>
      </c>
      <c r="BC60" s="913"/>
      <c r="BD60" s="913"/>
      <c r="BE60" s="913"/>
      <c r="BF60" s="913"/>
      <c r="BG60" s="913"/>
    </row>
    <row r="61">
      <c r="A61" s="1238">
        <v>45325.0</v>
      </c>
      <c r="B61" s="1220" t="s">
        <v>107</v>
      </c>
      <c r="C61" s="1220" t="s">
        <v>1021</v>
      </c>
      <c r="D61" s="1220">
        <v>27419.0</v>
      </c>
      <c r="E61" s="1238">
        <v>45364.0</v>
      </c>
      <c r="F61" s="1239">
        <v>45364.711701388886</v>
      </c>
      <c r="G61" s="1220">
        <v>2023.0</v>
      </c>
      <c r="H61" s="1236" t="s">
        <v>1073</v>
      </c>
      <c r="I61" s="1241">
        <v>3.805E9</v>
      </c>
      <c r="J61" s="1240">
        <v>0.0</v>
      </c>
      <c r="K61" s="1240">
        <v>3.805E9</v>
      </c>
      <c r="L61" s="1240">
        <v>8.91E8</v>
      </c>
      <c r="M61" s="1240">
        <v>1.1886E10</v>
      </c>
      <c r="N61" s="1240">
        <v>9.16E8</v>
      </c>
      <c r="O61" s="1240">
        <v>1.7498E10</v>
      </c>
      <c r="P61" s="1240">
        <v>3.6458E10</v>
      </c>
      <c r="Q61" s="1240">
        <v>6.31E8</v>
      </c>
      <c r="R61" s="1240">
        <v>8000000.0</v>
      </c>
      <c r="S61" s="1240">
        <v>6.39E8</v>
      </c>
      <c r="T61" s="1240">
        <v>0.0</v>
      </c>
      <c r="U61" s="1240">
        <v>0.0</v>
      </c>
      <c r="V61" s="1240">
        <v>7.61E8</v>
      </c>
      <c r="W61" s="1240">
        <v>3.7858E10</v>
      </c>
      <c r="X61" s="1240">
        <v>0.0</v>
      </c>
      <c r="Y61" s="1240">
        <v>5.5356E10</v>
      </c>
      <c r="Z61" s="1240">
        <v>1.2098E10</v>
      </c>
      <c r="AA61" s="1240">
        <v>1.445E9</v>
      </c>
      <c r="AB61" s="1240">
        <v>8.27E8</v>
      </c>
      <c r="AC61" s="1240">
        <v>0.0</v>
      </c>
      <c r="AD61" s="1240">
        <v>4.934E9</v>
      </c>
      <c r="AE61" s="1240">
        <v>1.9304E10</v>
      </c>
      <c r="AF61" s="1240">
        <v>1.6307E10</v>
      </c>
      <c r="AG61" s="1240">
        <v>4.19E8</v>
      </c>
      <c r="AH61" s="1240">
        <v>2.48E9</v>
      </c>
      <c r="AI61" s="1240">
        <v>3.414E9</v>
      </c>
      <c r="AJ61" s="1240">
        <v>2.262E10</v>
      </c>
      <c r="AK61" s="1240">
        <v>0.0</v>
      </c>
      <c r="AL61" s="1240">
        <v>3.608E9</v>
      </c>
      <c r="AM61" s="1240">
        <v>4.1924E10</v>
      </c>
      <c r="AN61" s="1240">
        <v>0.0</v>
      </c>
      <c r="AO61" s="1240">
        <v>3.8E7</v>
      </c>
      <c r="AP61" s="1240">
        <v>7.093E9</v>
      </c>
      <c r="AQ61" s="1240">
        <v>-4.6E8</v>
      </c>
      <c r="AR61" s="1240">
        <v>6.761E9</v>
      </c>
      <c r="AS61" s="1240">
        <v>1.3432E10</v>
      </c>
      <c r="AT61" s="1240">
        <v>1.3432E10</v>
      </c>
      <c r="AU61" s="1240">
        <v>5.5356E10</v>
      </c>
      <c r="AV61" s="1240">
        <v>0.0</v>
      </c>
      <c r="AW61" s="1240">
        <v>5.5356E10</v>
      </c>
      <c r="AX61" s="1240">
        <v>3.38E9</v>
      </c>
      <c r="AY61" s="1241">
        <v>1.9646E10</v>
      </c>
      <c r="AZ61" s="1240">
        <v>1.5841E10</v>
      </c>
      <c r="BA61" s="1242" t="s">
        <v>1261</v>
      </c>
      <c r="BB61" s="1242" t="s">
        <v>1262</v>
      </c>
      <c r="BC61" s="913"/>
      <c r="BD61" s="913"/>
      <c r="BE61" s="913"/>
      <c r="BF61" s="913"/>
      <c r="BG61" s="913"/>
    </row>
    <row r="62">
      <c r="A62" s="1238">
        <v>44954.0</v>
      </c>
      <c r="B62" s="1220" t="s">
        <v>107</v>
      </c>
      <c r="C62" s="1220" t="s">
        <v>1021</v>
      </c>
      <c r="D62" s="1220">
        <v>27419.0</v>
      </c>
      <c r="E62" s="1238">
        <v>44993.0</v>
      </c>
      <c r="F62" s="1239">
        <v>44993.669652777775</v>
      </c>
      <c r="G62" s="1220">
        <v>2022.0</v>
      </c>
      <c r="H62" s="1236" t="s">
        <v>1073</v>
      </c>
      <c r="I62" s="1240">
        <v>2.229E9</v>
      </c>
      <c r="J62" s="1240">
        <v>1.343E9</v>
      </c>
      <c r="K62" s="1240">
        <v>2.229E9</v>
      </c>
      <c r="L62" s="1240">
        <v>1.169E9</v>
      </c>
      <c r="M62" s="1240">
        <v>1.3499E10</v>
      </c>
      <c r="N62" s="1240">
        <v>9.49E8</v>
      </c>
      <c r="O62" s="1240">
        <v>1.7846E10</v>
      </c>
      <c r="P62" s="1240">
        <v>3.4169E10</v>
      </c>
      <c r="Q62" s="1240">
        <v>6.31E8</v>
      </c>
      <c r="R62" s="1240">
        <v>6.45E8</v>
      </c>
      <c r="S62" s="1240">
        <v>6.45E8</v>
      </c>
      <c r="T62" s="1240">
        <v>4.4E8</v>
      </c>
      <c r="U62" s="1240">
        <v>2.196E9</v>
      </c>
      <c r="V62" s="1240">
        <v>-1.961E9</v>
      </c>
      <c r="W62" s="1240">
        <v>3.5489E10</v>
      </c>
      <c r="X62" s="1240">
        <v>0.0</v>
      </c>
      <c r="Y62" s="1240">
        <v>5.3335E10</v>
      </c>
      <c r="Z62" s="1240">
        <v>1.3487E10</v>
      </c>
      <c r="AA62" s="1240">
        <v>4.26E8</v>
      </c>
      <c r="AB62" s="1240">
        <v>7.72E8</v>
      </c>
      <c r="AC62" s="1240">
        <v>1.24E9</v>
      </c>
      <c r="AD62" s="1240">
        <v>4.815E9</v>
      </c>
      <c r="AE62" s="1240">
        <v>1.95E10</v>
      </c>
      <c r="AF62" s="1240">
        <v>1.8647E10</v>
      </c>
      <c r="AG62" s="1240">
        <v>4.49E8</v>
      </c>
      <c r="AH62" s="1240">
        <v>2.196E9</v>
      </c>
      <c r="AI62" s="1240">
        <v>1.311E9</v>
      </c>
      <c r="AJ62" s="1240">
        <v>2.2603E10</v>
      </c>
      <c r="AK62" s="1240">
        <v>0.0</v>
      </c>
      <c r="AL62" s="1240">
        <v>2.934E9</v>
      </c>
      <c r="AM62" s="1240">
        <v>4.2103E10</v>
      </c>
      <c r="AN62" s="1240">
        <v>0.0</v>
      </c>
      <c r="AO62" s="1240">
        <v>3.8E7</v>
      </c>
      <c r="AP62" s="1240">
        <v>5.005E9</v>
      </c>
      <c r="AQ62" s="1240">
        <v>-4.19E8</v>
      </c>
      <c r="AR62" s="1240">
        <v>6.608E9</v>
      </c>
      <c r="AS62" s="1240">
        <v>1.1232E10</v>
      </c>
      <c r="AT62" s="1240">
        <v>1.1232E10</v>
      </c>
      <c r="AU62" s="1240">
        <v>5.3335E10</v>
      </c>
      <c r="AV62" s="1240">
        <v>0.0</v>
      </c>
      <c r="AW62" s="1240">
        <v>5.3335E10</v>
      </c>
      <c r="AX62" s="1240">
        <v>1.783E9</v>
      </c>
      <c r="AY62" s="1240">
        <v>1.8777E10</v>
      </c>
      <c r="AZ62" s="1240">
        <v>1.6548E10</v>
      </c>
      <c r="BA62" s="1242" t="s">
        <v>1263</v>
      </c>
      <c r="BB62" s="1242" t="s">
        <v>1264</v>
      </c>
      <c r="BC62" s="913"/>
      <c r="BD62" s="913"/>
      <c r="BE62" s="913"/>
      <c r="BF62" s="913"/>
      <c r="BG62" s="913"/>
    </row>
    <row r="63">
      <c r="A63" s="1238">
        <v>44590.0</v>
      </c>
      <c r="B63" s="1220" t="s">
        <v>107</v>
      </c>
      <c r="C63" s="1220" t="s">
        <v>1021</v>
      </c>
      <c r="D63" s="1220">
        <v>27419.0</v>
      </c>
      <c r="E63" s="1238">
        <v>44629.0</v>
      </c>
      <c r="F63" s="1239">
        <v>44629.69215277778</v>
      </c>
      <c r="G63" s="1220">
        <v>2021.0</v>
      </c>
      <c r="H63" s="1236" t="s">
        <v>1073</v>
      </c>
      <c r="I63" s="1240">
        <v>5.911E9</v>
      </c>
      <c r="J63" s="1240">
        <v>1.7E7</v>
      </c>
      <c r="K63" s="1240">
        <v>5.928E9</v>
      </c>
      <c r="L63" s="1240">
        <v>1.353E9</v>
      </c>
      <c r="M63" s="1240">
        <v>1.3902E10</v>
      </c>
      <c r="N63" s="1240">
        <v>4.07E8</v>
      </c>
      <c r="O63" s="1240">
        <v>2.1573E10</v>
      </c>
      <c r="P63" s="1240">
        <v>3.0737E10</v>
      </c>
      <c r="Q63" s="1240">
        <v>6.31E8</v>
      </c>
      <c r="R63" s="1240">
        <v>2.5E7</v>
      </c>
      <c r="S63" s="1240">
        <v>6.56E8</v>
      </c>
      <c r="T63" s="1240">
        <v>4.7E8</v>
      </c>
      <c r="U63" s="1240">
        <v>1.566E9</v>
      </c>
      <c r="V63" s="1240">
        <v>-1.191E9</v>
      </c>
      <c r="W63" s="1240">
        <v>3.2238E10</v>
      </c>
      <c r="X63" s="1240">
        <v>0.0</v>
      </c>
      <c r="Y63" s="1240">
        <v>5.3811E10</v>
      </c>
      <c r="Z63" s="1240">
        <v>1.5478E10</v>
      </c>
      <c r="AA63" s="1240">
        <v>4.25E8</v>
      </c>
      <c r="AB63" s="1240">
        <v>1.042E9</v>
      </c>
      <c r="AC63" s="1240">
        <v>1.202E9</v>
      </c>
      <c r="AD63" s="1240">
        <v>4.802E9</v>
      </c>
      <c r="AE63" s="1240">
        <v>2.1747E10</v>
      </c>
      <c r="AF63" s="1240">
        <v>1.6042E10</v>
      </c>
      <c r="AG63" s="1240">
        <v>4.79E8</v>
      </c>
      <c r="AH63" s="1240">
        <v>1.566E9</v>
      </c>
      <c r="AI63" s="1240">
        <v>1.15E9</v>
      </c>
      <c r="AJ63" s="1240">
        <v>1.9237E10</v>
      </c>
      <c r="AK63" s="1240">
        <v>0.0</v>
      </c>
      <c r="AL63" s="1240">
        <v>2.747E9</v>
      </c>
      <c r="AM63" s="1240">
        <v>4.0984E10</v>
      </c>
      <c r="AN63" s="1240">
        <v>0.0</v>
      </c>
      <c r="AO63" s="1240">
        <v>3.9E7</v>
      </c>
      <c r="AP63" s="1240">
        <v>6.92E9</v>
      </c>
      <c r="AQ63" s="1240">
        <v>-5.53E8</v>
      </c>
      <c r="AR63" s="1240">
        <v>6.421E9</v>
      </c>
      <c r="AS63" s="1240">
        <v>1.2827E10</v>
      </c>
      <c r="AT63" s="1240">
        <v>1.2827E10</v>
      </c>
      <c r="AU63" s="1240">
        <v>5.3811E10</v>
      </c>
      <c r="AV63" s="1240">
        <v>0.0</v>
      </c>
      <c r="AW63" s="1240">
        <v>5.3811E10</v>
      </c>
      <c r="AX63" s="1240">
        <v>5.455E9</v>
      </c>
      <c r="AY63" s="1240">
        <v>1.6213E10</v>
      </c>
      <c r="AZ63" s="1240">
        <v>1.0302E10</v>
      </c>
      <c r="BA63" s="1242" t="s">
        <v>1265</v>
      </c>
      <c r="BB63" s="1242" t="s">
        <v>1266</v>
      </c>
      <c r="BC63" s="913"/>
      <c r="BD63" s="913"/>
      <c r="BE63" s="913"/>
      <c r="BF63" s="913"/>
      <c r="BG63" s="913"/>
    </row>
    <row r="64">
      <c r="A64" s="1238">
        <v>44226.0</v>
      </c>
      <c r="B64" s="1220" t="s">
        <v>107</v>
      </c>
      <c r="C64" s="1220" t="s">
        <v>1021</v>
      </c>
      <c r="D64" s="1220">
        <v>27419.0</v>
      </c>
      <c r="E64" s="1238">
        <v>44265.0</v>
      </c>
      <c r="F64" s="1239">
        <v>44265.617476851854</v>
      </c>
      <c r="G64" s="1220">
        <v>2020.0</v>
      </c>
      <c r="H64" s="1236" t="s">
        <v>1073</v>
      </c>
      <c r="I64" s="1240">
        <v>8.511E9</v>
      </c>
      <c r="J64" s="1240">
        <v>7.644E9</v>
      </c>
      <c r="K64" s="1240">
        <v>8.511E9</v>
      </c>
      <c r="L64" s="1240">
        <v>6.31E8</v>
      </c>
      <c r="M64" s="1240">
        <v>1.0653E10</v>
      </c>
      <c r="N64" s="1240">
        <v>9.61E8</v>
      </c>
      <c r="O64" s="1240">
        <v>2.0756E10</v>
      </c>
      <c r="P64" s="1240">
        <v>2.9106E10</v>
      </c>
      <c r="Q64" s="1240">
        <v>6.31E8</v>
      </c>
      <c r="R64" s="1240">
        <v>3.7E7</v>
      </c>
      <c r="S64" s="1240">
        <v>6.68E8</v>
      </c>
      <c r="T64" s="1240">
        <v>4.5E8</v>
      </c>
      <c r="U64" s="1240">
        <v>-1.118E9</v>
      </c>
      <c r="V64" s="1240">
        <v>1.386E9</v>
      </c>
      <c r="W64" s="1240">
        <v>3.0492E10</v>
      </c>
      <c r="X64" s="1240">
        <v>0.0</v>
      </c>
      <c r="Y64" s="1240">
        <v>5.1248E10</v>
      </c>
      <c r="Z64" s="1240">
        <v>1.2859E10</v>
      </c>
      <c r="AA64" s="1240">
        <v>1.355E9</v>
      </c>
      <c r="AB64" s="1240">
        <v>1.576E9</v>
      </c>
      <c r="AC64" s="1240">
        <v>5.088E9</v>
      </c>
      <c r="AD64" s="1240">
        <v>4.335E9</v>
      </c>
      <c r="AE64" s="1240">
        <v>2.0125E10</v>
      </c>
      <c r="AF64" s="1240">
        <v>1.3754E10</v>
      </c>
      <c r="AG64" s="1240">
        <v>5.09E8</v>
      </c>
      <c r="AH64" s="1240">
        <v>9.9E8</v>
      </c>
      <c r="AI64" s="1240">
        <v>1.43E9</v>
      </c>
      <c r="AJ64" s="1240">
        <v>1.6683E10</v>
      </c>
      <c r="AK64" s="1240">
        <v>0.0</v>
      </c>
      <c r="AL64" s="1240">
        <v>2.429E9</v>
      </c>
      <c r="AM64" s="1240">
        <v>3.6808E10</v>
      </c>
      <c r="AN64" s="1240">
        <v>0.0</v>
      </c>
      <c r="AO64" s="1240">
        <v>4.2E7</v>
      </c>
      <c r="AP64" s="1240">
        <v>8.825E9</v>
      </c>
      <c r="AQ64" s="1240">
        <v>-7.56E8</v>
      </c>
      <c r="AR64" s="1240">
        <v>6.329E9</v>
      </c>
      <c r="AS64" s="1240">
        <v>1.444E10</v>
      </c>
      <c r="AT64" s="1240">
        <v>1.444E10</v>
      </c>
      <c r="AU64" s="1240">
        <v>5.1248E10</v>
      </c>
      <c r="AV64" s="1240">
        <v>0.0</v>
      </c>
      <c r="AW64" s="1240">
        <v>5.1248E10</v>
      </c>
      <c r="AX64" s="1240">
        <v>8.094E9</v>
      </c>
      <c r="AY64" s="1240">
        <v>1.4898E10</v>
      </c>
      <c r="AZ64" s="1240">
        <v>6.387E9</v>
      </c>
      <c r="BA64" s="1242" t="s">
        <v>1267</v>
      </c>
      <c r="BB64" s="1242" t="s">
        <v>1268</v>
      </c>
      <c r="BC64" s="913"/>
      <c r="BD64" s="913"/>
      <c r="BE64" s="913"/>
      <c r="BF64" s="913"/>
      <c r="BG64" s="913"/>
    </row>
    <row r="65">
      <c r="A65" s="1238">
        <v>43862.0</v>
      </c>
      <c r="B65" s="1220" t="s">
        <v>107</v>
      </c>
      <c r="C65" s="1220" t="s">
        <v>1021</v>
      </c>
      <c r="D65" s="1220">
        <v>27419.0</v>
      </c>
      <c r="E65" s="1238">
        <v>43901.0</v>
      </c>
      <c r="F65" s="1239">
        <v>43901.67668981481</v>
      </c>
      <c r="G65" s="1220">
        <v>2019.0</v>
      </c>
      <c r="H65" s="1236" t="s">
        <v>1073</v>
      </c>
      <c r="I65" s="1240">
        <v>2.577E9</v>
      </c>
      <c r="J65" s="1240">
        <v>3.9E7</v>
      </c>
      <c r="K65" s="1240">
        <v>2.616E9</v>
      </c>
      <c r="L65" s="1240">
        <v>9.62E8</v>
      </c>
      <c r="M65" s="1240">
        <v>8.992E9</v>
      </c>
      <c r="N65" s="1240">
        <v>3.71E8</v>
      </c>
      <c r="O65" s="1240">
        <v>1.2902E10</v>
      </c>
      <c r="P65" s="1240">
        <v>2.8519E10</v>
      </c>
      <c r="Q65" s="1240">
        <v>6.33E8</v>
      </c>
      <c r="R65" s="1240">
        <v>6.86E8</v>
      </c>
      <c r="S65" s="1240">
        <v>6.86E8</v>
      </c>
      <c r="T65" s="1240">
        <v>4.18E8</v>
      </c>
      <c r="U65" s="1240">
        <v>-1.104E9</v>
      </c>
      <c r="V65" s="1240">
        <v>1.358E9</v>
      </c>
      <c r="W65" s="1240">
        <v>2.9877E10</v>
      </c>
      <c r="X65" s="1240">
        <v>0.0</v>
      </c>
      <c r="Y65" s="1240">
        <v>4.2779E10</v>
      </c>
      <c r="Z65" s="1240">
        <v>9.92E9</v>
      </c>
      <c r="AA65" s="1240">
        <v>3.61E8</v>
      </c>
      <c r="AB65" s="1240">
        <v>6.01E8</v>
      </c>
      <c r="AC65" s="1240">
        <v>3.451E9</v>
      </c>
      <c r="AD65" s="1240">
        <v>3.605E9</v>
      </c>
      <c r="AE65" s="1240">
        <v>1.4487E10</v>
      </c>
      <c r="AF65" s="1240">
        <v>1.3613E10</v>
      </c>
      <c r="AG65" s="1240">
        <v>5.39E8</v>
      </c>
      <c r="AH65" s="1240">
        <v>1.122E9</v>
      </c>
      <c r="AI65" s="1240">
        <v>1.185E9</v>
      </c>
      <c r="AJ65" s="1240">
        <v>1.6459E10</v>
      </c>
      <c r="AK65" s="1240">
        <v>0.0</v>
      </c>
      <c r="AL65" s="1240">
        <v>2.475E9</v>
      </c>
      <c r="AM65" s="1240">
        <v>3.0946E10</v>
      </c>
      <c r="AN65" s="1240">
        <v>0.0</v>
      </c>
      <c r="AO65" s="1240">
        <v>4.2E7</v>
      </c>
      <c r="AP65" s="1240">
        <v>6.433E9</v>
      </c>
      <c r="AQ65" s="1240">
        <v>-8.68E8</v>
      </c>
      <c r="AR65" s="1240">
        <v>6.226E9</v>
      </c>
      <c r="AS65" s="1240">
        <v>1.1833E10</v>
      </c>
      <c r="AT65" s="1240">
        <v>1.1833E10</v>
      </c>
      <c r="AU65" s="1240">
        <v>4.2779E10</v>
      </c>
      <c r="AV65" s="1240">
        <v>0.0</v>
      </c>
      <c r="AW65" s="1240">
        <v>4.2779E10</v>
      </c>
      <c r="AX65" s="1240">
        <v>2.228E9</v>
      </c>
      <c r="AY65" s="1240">
        <v>1.3774E10</v>
      </c>
      <c r="AZ65" s="1240">
        <v>1.1197E10</v>
      </c>
      <c r="BA65" s="1242" t="s">
        <v>1269</v>
      </c>
      <c r="BB65" s="1242" t="s">
        <v>1270</v>
      </c>
      <c r="BC65" s="913"/>
      <c r="BD65" s="913"/>
      <c r="BE65" s="913"/>
      <c r="BF65" s="913"/>
      <c r="BG65" s="913"/>
    </row>
    <row r="66">
      <c r="A66" s="480"/>
      <c r="B66" s="480"/>
      <c r="C66" s="480"/>
      <c r="D66" s="480"/>
      <c r="E66" s="480"/>
      <c r="F66" s="480"/>
      <c r="G66" s="480"/>
      <c r="H66" s="913"/>
      <c r="I66" s="913"/>
      <c r="J66" s="913"/>
      <c r="K66" s="913"/>
      <c r="L66" s="913"/>
      <c r="M66" s="913"/>
      <c r="N66" s="913"/>
      <c r="O66" s="913"/>
      <c r="P66" s="913"/>
      <c r="Q66" s="913"/>
      <c r="R66" s="913"/>
      <c r="S66" s="913"/>
      <c r="T66" s="913"/>
      <c r="U66" s="913"/>
      <c r="V66" s="913"/>
      <c r="W66" s="913"/>
      <c r="X66" s="913"/>
      <c r="Y66" s="913"/>
      <c r="Z66" s="913"/>
      <c r="AA66" s="913"/>
      <c r="AB66" s="913"/>
      <c r="AC66" s="913"/>
      <c r="AD66" s="913"/>
      <c r="AE66" s="913"/>
      <c r="AF66" s="913"/>
      <c r="AG66" s="913"/>
      <c r="AH66" s="913"/>
      <c r="AI66" s="913"/>
      <c r="AJ66" s="913"/>
      <c r="AK66" s="913"/>
      <c r="AL66" s="913"/>
      <c r="AM66" s="913"/>
      <c r="AN66" s="913"/>
      <c r="AO66" s="913"/>
      <c r="AP66" s="913"/>
      <c r="AQ66" s="913"/>
      <c r="AR66" s="913"/>
      <c r="AS66" s="913"/>
      <c r="AT66" s="913"/>
      <c r="AU66" s="913"/>
      <c r="AV66" s="913"/>
      <c r="AW66" s="913"/>
      <c r="AX66" s="913"/>
      <c r="AY66" s="913"/>
      <c r="AZ66" s="913"/>
      <c r="BA66" s="913"/>
      <c r="BB66" s="913"/>
      <c r="BC66" s="913"/>
      <c r="BD66" s="913"/>
      <c r="BE66" s="913"/>
      <c r="BF66" s="913"/>
      <c r="BG66" s="913"/>
    </row>
    <row r="67">
      <c r="A67" s="1220" t="s">
        <v>1129</v>
      </c>
      <c r="B67" s="480"/>
      <c r="C67" s="480"/>
      <c r="D67" s="480"/>
      <c r="E67" s="480"/>
      <c r="F67" s="480"/>
      <c r="G67" s="480"/>
      <c r="H67" s="913"/>
      <c r="I67" s="913"/>
      <c r="J67" s="913"/>
      <c r="K67" s="913"/>
      <c r="L67" s="913"/>
      <c r="M67" s="913"/>
      <c r="N67" s="913"/>
      <c r="O67" s="913"/>
      <c r="P67" s="913"/>
      <c r="Q67" s="913"/>
      <c r="R67" s="913"/>
      <c r="S67" s="913"/>
      <c r="T67" s="913"/>
      <c r="U67" s="913"/>
      <c r="V67" s="913"/>
      <c r="W67" s="913"/>
      <c r="X67" s="913"/>
      <c r="Y67" s="913"/>
      <c r="Z67" s="913"/>
      <c r="AA67" s="913"/>
      <c r="AB67" s="913"/>
      <c r="AC67" s="913"/>
      <c r="AD67" s="913"/>
      <c r="AE67" s="913"/>
      <c r="AF67" s="913"/>
      <c r="AG67" s="913"/>
      <c r="AH67" s="913"/>
      <c r="AI67" s="913"/>
      <c r="AJ67" s="913"/>
      <c r="AK67" s="913"/>
      <c r="AL67" s="913"/>
      <c r="AM67" s="913"/>
      <c r="AN67" s="913"/>
      <c r="AO67" s="913"/>
      <c r="AP67" s="913"/>
      <c r="AQ67" s="913"/>
      <c r="AR67" s="913"/>
      <c r="AS67" s="913"/>
      <c r="AT67" s="913"/>
      <c r="AU67" s="913"/>
      <c r="AV67" s="913"/>
      <c r="AW67" s="913"/>
      <c r="AX67" s="913"/>
      <c r="AY67" s="913"/>
      <c r="AZ67" s="913"/>
      <c r="BA67" s="913"/>
      <c r="BB67" s="913"/>
      <c r="BC67" s="913"/>
      <c r="BD67" s="913"/>
      <c r="BE67" s="913"/>
      <c r="BF67" s="913"/>
      <c r="BG67" s="913"/>
    </row>
    <row r="68">
      <c r="A68" s="1243" t="s">
        <v>1037</v>
      </c>
      <c r="B68" s="1220" t="s">
        <v>984</v>
      </c>
      <c r="C68" s="1220" t="s">
        <v>1038</v>
      </c>
      <c r="D68" s="1220" t="s">
        <v>994</v>
      </c>
      <c r="E68" s="1220" t="s">
        <v>1039</v>
      </c>
      <c r="F68" s="1220" t="s">
        <v>1040</v>
      </c>
      <c r="G68" s="1220" t="s">
        <v>1041</v>
      </c>
      <c r="H68" s="1236" t="s">
        <v>1042</v>
      </c>
      <c r="I68" s="1237" t="s">
        <v>1065</v>
      </c>
      <c r="J68" s="1236" t="s">
        <v>1056</v>
      </c>
      <c r="K68" s="1236" t="s">
        <v>1130</v>
      </c>
      <c r="L68" s="1236" t="s">
        <v>1131</v>
      </c>
      <c r="M68" s="1236" t="s">
        <v>1132</v>
      </c>
      <c r="N68" s="1236" t="s">
        <v>1133</v>
      </c>
      <c r="O68" s="1236" t="s">
        <v>1089</v>
      </c>
      <c r="P68" s="1236" t="s">
        <v>1134</v>
      </c>
      <c r="Q68" s="1236" t="s">
        <v>1135</v>
      </c>
      <c r="R68" s="1236" t="s">
        <v>1136</v>
      </c>
      <c r="S68" s="1236" t="s">
        <v>1137</v>
      </c>
      <c r="T68" s="1236" t="s">
        <v>1138</v>
      </c>
      <c r="U68" s="1236" t="s">
        <v>1139</v>
      </c>
      <c r="V68" s="1236" t="s">
        <v>1140</v>
      </c>
      <c r="W68" s="1236" t="s">
        <v>1141</v>
      </c>
      <c r="X68" s="1236" t="s">
        <v>1142</v>
      </c>
      <c r="Y68" s="1236" t="s">
        <v>1143</v>
      </c>
      <c r="Z68" s="1236" t="s">
        <v>1144</v>
      </c>
      <c r="AA68" s="1236" t="s">
        <v>1145</v>
      </c>
      <c r="AB68" s="1236" t="s">
        <v>1146</v>
      </c>
      <c r="AC68" s="1236" t="s">
        <v>1147</v>
      </c>
      <c r="AD68" s="1236" t="s">
        <v>1148</v>
      </c>
      <c r="AE68" s="1236" t="s">
        <v>1149</v>
      </c>
      <c r="AF68" s="1236" t="s">
        <v>1150</v>
      </c>
      <c r="AG68" s="1236" t="s">
        <v>1151</v>
      </c>
      <c r="AH68" s="1236" t="s">
        <v>1152</v>
      </c>
      <c r="AI68" s="1236" t="s">
        <v>1153</v>
      </c>
      <c r="AJ68" s="1236" t="s">
        <v>1154</v>
      </c>
      <c r="AK68" s="1236" t="s">
        <v>1155</v>
      </c>
      <c r="AL68" s="1237" t="s">
        <v>1156</v>
      </c>
      <c r="AM68" s="1236" t="s">
        <v>1071</v>
      </c>
      <c r="AN68" s="1236" t="s">
        <v>1072</v>
      </c>
      <c r="AO68" s="913"/>
      <c r="AP68" s="913"/>
      <c r="AQ68" s="913"/>
      <c r="AR68" s="913"/>
      <c r="AS68" s="913"/>
      <c r="AT68" s="913"/>
      <c r="AU68" s="913"/>
      <c r="AV68" s="913"/>
      <c r="AW68" s="913"/>
      <c r="AX68" s="913"/>
      <c r="AY68" s="913"/>
      <c r="AZ68" s="913"/>
      <c r="BA68" s="913"/>
      <c r="BB68" s="913"/>
      <c r="BC68" s="913"/>
      <c r="BD68" s="913"/>
      <c r="BE68" s="913"/>
      <c r="BF68" s="913"/>
      <c r="BG68" s="913"/>
    </row>
    <row r="69">
      <c r="A69" s="1238">
        <v>45325.0</v>
      </c>
      <c r="B69" s="1220" t="s">
        <v>107</v>
      </c>
      <c r="C69" s="1220" t="s">
        <v>1021</v>
      </c>
      <c r="D69" s="1220">
        <v>27419.0</v>
      </c>
      <c r="E69" s="1238">
        <v>45364.0</v>
      </c>
      <c r="F69" s="1239">
        <v>45364.711701388886</v>
      </c>
      <c r="G69" s="1220">
        <v>2023.0</v>
      </c>
      <c r="H69" s="1236" t="s">
        <v>1073</v>
      </c>
      <c r="I69" s="1241">
        <v>4.138E9</v>
      </c>
      <c r="J69" s="1240">
        <v>2.801E9</v>
      </c>
      <c r="K69" s="1240">
        <v>2.98E8</v>
      </c>
      <c r="L69" s="1240">
        <v>2.51E8</v>
      </c>
      <c r="M69" s="1240">
        <v>1.039E9</v>
      </c>
      <c r="N69" s="1240">
        <v>0.0</v>
      </c>
      <c r="O69" s="1240">
        <v>1.613E9</v>
      </c>
      <c r="P69" s="1240">
        <v>-1.216E9</v>
      </c>
      <c r="Q69" s="1240">
        <v>6.42E8</v>
      </c>
      <c r="R69" s="1240">
        <v>9.4E7</v>
      </c>
      <c r="S69" s="1240">
        <v>8.621E9</v>
      </c>
      <c r="T69" s="1240">
        <v>-4.806E9</v>
      </c>
      <c r="U69" s="1240">
        <v>0.0</v>
      </c>
      <c r="V69" s="1240">
        <v>0.0</v>
      </c>
      <c r="W69" s="1240">
        <v>0.0</v>
      </c>
      <c r="X69" s="1240">
        <v>4.6E7</v>
      </c>
      <c r="Y69" s="1240">
        <v>-4.76E9</v>
      </c>
      <c r="Z69" s="1240">
        <v>-1.47E8</v>
      </c>
      <c r="AA69" s="1240">
        <v>0.0</v>
      </c>
      <c r="AB69" s="1240">
        <v>-1.27E8</v>
      </c>
      <c r="AC69" s="1240">
        <v>-2.011E9</v>
      </c>
      <c r="AD69" s="1240">
        <v>-1.27E8</v>
      </c>
      <c r="AE69" s="1240">
        <v>-2.285E9</v>
      </c>
      <c r="AF69" s="1240">
        <v>0.0</v>
      </c>
      <c r="AG69" s="1240">
        <v>1.576E9</v>
      </c>
      <c r="AH69" s="1240">
        <v>3.805E9</v>
      </c>
      <c r="AI69" s="1240">
        <v>2.229E9</v>
      </c>
      <c r="AJ69" s="1240">
        <v>8.621E9</v>
      </c>
      <c r="AK69" s="1240">
        <v>-4.806E9</v>
      </c>
      <c r="AL69" s="1241">
        <v>3.815E9</v>
      </c>
      <c r="AM69" s="1242" t="s">
        <v>1261</v>
      </c>
      <c r="AN69" s="1242" t="s">
        <v>1262</v>
      </c>
      <c r="AO69" s="913"/>
      <c r="AP69" s="913"/>
      <c r="AQ69" s="913"/>
      <c r="AR69" s="913"/>
      <c r="AS69" s="913"/>
      <c r="AT69" s="913"/>
      <c r="AU69" s="913"/>
      <c r="AV69" s="913"/>
      <c r="AW69" s="913"/>
      <c r="AX69" s="913"/>
      <c r="AY69" s="913"/>
      <c r="AZ69" s="913"/>
      <c r="BA69" s="913"/>
      <c r="BB69" s="913"/>
      <c r="BC69" s="913"/>
      <c r="BD69" s="913"/>
      <c r="BE69" s="913"/>
      <c r="BF69" s="913"/>
      <c r="BG69" s="913"/>
    </row>
    <row r="70">
      <c r="A70" s="1238">
        <v>44954.0</v>
      </c>
      <c r="B70" s="1220" t="s">
        <v>107</v>
      </c>
      <c r="C70" s="1220" t="s">
        <v>1021</v>
      </c>
      <c r="D70" s="1220">
        <v>27419.0</v>
      </c>
      <c r="E70" s="1238">
        <v>44993.0</v>
      </c>
      <c r="F70" s="1239">
        <v>44993.669652777775</v>
      </c>
      <c r="G70" s="1220">
        <v>2022.0</v>
      </c>
      <c r="H70" s="1236" t="s">
        <v>1073</v>
      </c>
      <c r="I70" s="1240">
        <v>2.78E9</v>
      </c>
      <c r="J70" s="1240">
        <v>2.7E9</v>
      </c>
      <c r="K70" s="1240">
        <v>5.82E8</v>
      </c>
      <c r="L70" s="1240">
        <v>2.2E8</v>
      </c>
      <c r="M70" s="1240">
        <v>-2.436E9</v>
      </c>
      <c r="N70" s="1240">
        <v>0.0</v>
      </c>
      <c r="O70" s="1240">
        <v>4.03E8</v>
      </c>
      <c r="P70" s="1240">
        <v>-2.237E9</v>
      </c>
      <c r="Q70" s="1240">
        <v>-6.02E8</v>
      </c>
      <c r="R70" s="1240">
        <v>1.72E8</v>
      </c>
      <c r="S70" s="1240">
        <v>4.018E9</v>
      </c>
      <c r="T70" s="1240">
        <v>-5.528E9</v>
      </c>
      <c r="U70" s="1240">
        <v>8000000.0</v>
      </c>
      <c r="V70" s="1240">
        <v>-2.4E7</v>
      </c>
      <c r="W70" s="1240">
        <v>1.6E7</v>
      </c>
      <c r="X70" s="1240">
        <v>2.4E7</v>
      </c>
      <c r="Y70" s="1240">
        <v>-5.504E9</v>
      </c>
      <c r="Z70" s="1240">
        <v>2.462E9</v>
      </c>
      <c r="AA70" s="1240">
        <v>0.0</v>
      </c>
      <c r="AB70" s="1240">
        <v>-2.826E9</v>
      </c>
      <c r="AC70" s="1240">
        <v>-1.836E9</v>
      </c>
      <c r="AD70" s="1240">
        <v>-1.76E8</v>
      </c>
      <c r="AE70" s="1240">
        <v>-2.196E9</v>
      </c>
      <c r="AF70" s="1240">
        <v>0.0</v>
      </c>
      <c r="AG70" s="1240">
        <v>-3.682E9</v>
      </c>
      <c r="AH70" s="1240">
        <v>2.229E9</v>
      </c>
      <c r="AI70" s="1240">
        <v>5.911E9</v>
      </c>
      <c r="AJ70" s="1240">
        <v>4.018E9</v>
      </c>
      <c r="AK70" s="1240">
        <v>-5.528E9</v>
      </c>
      <c r="AL70" s="1241">
        <v>-1.51E9</v>
      </c>
      <c r="AM70" s="1242" t="s">
        <v>1263</v>
      </c>
      <c r="AN70" s="1242" t="s">
        <v>1264</v>
      </c>
      <c r="AO70" s="913"/>
      <c r="AP70" s="913"/>
      <c r="AQ70" s="913"/>
      <c r="AR70" s="913"/>
      <c r="AS70" s="913"/>
      <c r="AT70" s="913"/>
      <c r="AU70" s="913"/>
      <c r="AV70" s="913"/>
      <c r="AW70" s="913"/>
      <c r="AX70" s="913"/>
      <c r="AY70" s="913"/>
      <c r="AZ70" s="913"/>
      <c r="BA70" s="913"/>
      <c r="BB70" s="913"/>
      <c r="BC70" s="913"/>
      <c r="BD70" s="913"/>
      <c r="BE70" s="913"/>
      <c r="BF70" s="913"/>
      <c r="BG70" s="913"/>
    </row>
    <row r="71">
      <c r="A71" s="1238">
        <v>44590.0</v>
      </c>
      <c r="B71" s="1220" t="s">
        <v>107</v>
      </c>
      <c r="C71" s="1220" t="s">
        <v>1021</v>
      </c>
      <c r="D71" s="1220">
        <v>27419.0</v>
      </c>
      <c r="E71" s="1238">
        <v>44629.0</v>
      </c>
      <c r="F71" s="1239">
        <v>44629.69215277778</v>
      </c>
      <c r="G71" s="1220">
        <v>2021.0</v>
      </c>
      <c r="H71" s="1236" t="s">
        <v>1073</v>
      </c>
      <c r="I71" s="1240">
        <v>6.946E9</v>
      </c>
      <c r="J71" s="1240">
        <v>2.642E9</v>
      </c>
      <c r="K71" s="1240">
        <v>5.22E8</v>
      </c>
      <c r="L71" s="1240">
        <v>2.28E8</v>
      </c>
      <c r="M71" s="1240">
        <v>-1.445E9</v>
      </c>
      <c r="N71" s="1240">
        <v>0.0</v>
      </c>
      <c r="O71" s="1240">
        <v>-3.249E9</v>
      </c>
      <c r="P71" s="1240">
        <v>2.628E9</v>
      </c>
      <c r="Q71" s="1240">
        <v>-8.24E8</v>
      </c>
      <c r="R71" s="1240">
        <v>-2.68E8</v>
      </c>
      <c r="S71" s="1240">
        <v>8.625E9</v>
      </c>
      <c r="T71" s="1240">
        <v>-3.544E9</v>
      </c>
      <c r="U71" s="1240">
        <v>3.56E8</v>
      </c>
      <c r="V71" s="1240">
        <v>-7000000.0</v>
      </c>
      <c r="W71" s="1240">
        <v>7000000.0</v>
      </c>
      <c r="X71" s="1240">
        <v>3.4E7</v>
      </c>
      <c r="Y71" s="1240">
        <v>-3.154E9</v>
      </c>
      <c r="Z71" s="1240">
        <v>8.25E8</v>
      </c>
      <c r="AA71" s="1240">
        <v>0.0</v>
      </c>
      <c r="AB71" s="1240">
        <v>-7.356E9</v>
      </c>
      <c r="AC71" s="1240">
        <v>-1.548E9</v>
      </c>
      <c r="AD71" s="1240">
        <v>-1.6E8</v>
      </c>
      <c r="AE71" s="1240">
        <v>-8.071E9</v>
      </c>
      <c r="AF71" s="1240">
        <v>0.0</v>
      </c>
      <c r="AG71" s="1240">
        <v>-2.6E9</v>
      </c>
      <c r="AH71" s="1240">
        <v>5.911E9</v>
      </c>
      <c r="AI71" s="1240">
        <v>8.511E9</v>
      </c>
      <c r="AJ71" s="1240">
        <v>8.625E9</v>
      </c>
      <c r="AK71" s="1240">
        <v>-3.544E9</v>
      </c>
      <c r="AL71" s="1241">
        <v>5.081E9</v>
      </c>
      <c r="AM71" s="1242" t="s">
        <v>1265</v>
      </c>
      <c r="AN71" s="1242" t="s">
        <v>1266</v>
      </c>
      <c r="AO71" s="913"/>
      <c r="AP71" s="913"/>
      <c r="AQ71" s="913"/>
      <c r="AR71" s="913"/>
      <c r="AS71" s="913"/>
      <c r="AT71" s="913"/>
      <c r="AU71" s="913"/>
      <c r="AV71" s="913"/>
      <c r="AW71" s="913"/>
      <c r="AX71" s="913"/>
      <c r="AY71" s="913"/>
      <c r="AZ71" s="913"/>
      <c r="BA71" s="913"/>
      <c r="BB71" s="913"/>
      <c r="BC71" s="913"/>
      <c r="BD71" s="913"/>
      <c r="BE71" s="913"/>
      <c r="BF71" s="913"/>
      <c r="BG71" s="913"/>
    </row>
    <row r="72">
      <c r="A72" s="1238">
        <v>44226.0</v>
      </c>
      <c r="B72" s="1220" t="s">
        <v>107</v>
      </c>
      <c r="C72" s="1220" t="s">
        <v>1021</v>
      </c>
      <c r="D72" s="1220">
        <v>27419.0</v>
      </c>
      <c r="E72" s="1238">
        <v>44265.0</v>
      </c>
      <c r="F72" s="1239">
        <v>44265.617476851854</v>
      </c>
      <c r="G72" s="1220">
        <v>2020.0</v>
      </c>
      <c r="H72" s="1236" t="s">
        <v>1073</v>
      </c>
      <c r="I72" s="1240">
        <v>4.368E9</v>
      </c>
      <c r="J72" s="1240">
        <v>2.485E9</v>
      </c>
      <c r="K72" s="1240">
        <v>-1.84E8</v>
      </c>
      <c r="L72" s="1240">
        <v>2.0E8</v>
      </c>
      <c r="M72" s="1240">
        <v>3.058E9</v>
      </c>
      <c r="N72" s="1240">
        <v>0.0</v>
      </c>
      <c r="O72" s="1240">
        <v>-1.661E9</v>
      </c>
      <c r="P72" s="1240">
        <v>2.925E9</v>
      </c>
      <c r="Q72" s="1240">
        <v>1.794E9</v>
      </c>
      <c r="R72" s="1240">
        <v>5.98E8</v>
      </c>
      <c r="S72" s="1240">
        <v>1.0525E10</v>
      </c>
      <c r="T72" s="1240">
        <v>-2.649E9</v>
      </c>
      <c r="U72" s="1240">
        <v>4.2E7</v>
      </c>
      <c r="V72" s="1240">
        <v>-5.8E7</v>
      </c>
      <c r="W72" s="1240">
        <v>1.6E7</v>
      </c>
      <c r="X72" s="1240">
        <v>5.8E7</v>
      </c>
      <c r="Y72" s="1240">
        <v>-2.591E9</v>
      </c>
      <c r="Z72" s="1240">
        <v>6.5E7</v>
      </c>
      <c r="AA72" s="1240">
        <v>0.0</v>
      </c>
      <c r="AB72" s="1240">
        <v>-7.45E8</v>
      </c>
      <c r="AC72" s="1240">
        <v>-1.343E9</v>
      </c>
      <c r="AD72" s="1240">
        <v>2.3E7</v>
      </c>
      <c r="AE72" s="1240">
        <v>-2.0E9</v>
      </c>
      <c r="AF72" s="1240">
        <v>0.0</v>
      </c>
      <c r="AG72" s="1240">
        <v>5.934E9</v>
      </c>
      <c r="AH72" s="1240">
        <v>8.511E9</v>
      </c>
      <c r="AI72" s="1240">
        <v>2.577E9</v>
      </c>
      <c r="AJ72" s="1240">
        <v>1.0525E10</v>
      </c>
      <c r="AK72" s="1240">
        <v>-2.649E9</v>
      </c>
      <c r="AL72" s="1241">
        <v>7.876E9</v>
      </c>
      <c r="AM72" s="1242" t="s">
        <v>1267</v>
      </c>
      <c r="AN72" s="1242" t="s">
        <v>1268</v>
      </c>
      <c r="AO72" s="913"/>
      <c r="AP72" s="913"/>
      <c r="AQ72" s="913"/>
      <c r="AR72" s="913"/>
      <c r="AS72" s="913"/>
      <c r="AT72" s="913"/>
      <c r="AU72" s="913"/>
      <c r="AV72" s="913"/>
      <c r="AW72" s="913"/>
      <c r="AX72" s="913"/>
      <c r="AY72" s="913"/>
      <c r="AZ72" s="913"/>
      <c r="BA72" s="913"/>
      <c r="BB72" s="913"/>
      <c r="BC72" s="913"/>
      <c r="BD72" s="913"/>
      <c r="BE72" s="913"/>
      <c r="BF72" s="913"/>
      <c r="BG72" s="913"/>
    </row>
    <row r="73">
      <c r="A73" s="1238">
        <v>43862.0</v>
      </c>
      <c r="B73" s="1220" t="s">
        <v>107</v>
      </c>
      <c r="C73" s="1220" t="s">
        <v>1021</v>
      </c>
      <c r="D73" s="1220">
        <v>27419.0</v>
      </c>
      <c r="E73" s="1238">
        <v>43901.0</v>
      </c>
      <c r="F73" s="1239">
        <v>43901.67668981481</v>
      </c>
      <c r="G73" s="1220">
        <v>2019.0</v>
      </c>
      <c r="H73" s="1236" t="s">
        <v>1073</v>
      </c>
      <c r="I73" s="1240">
        <v>3.281E9</v>
      </c>
      <c r="J73" s="1240">
        <v>2.604E9</v>
      </c>
      <c r="K73" s="1240">
        <v>1.78E8</v>
      </c>
      <c r="L73" s="1240">
        <v>1.47E8</v>
      </c>
      <c r="M73" s="1240">
        <v>8.62E8</v>
      </c>
      <c r="N73" s="1240">
        <v>0.0</v>
      </c>
      <c r="O73" s="1240">
        <v>5.05E8</v>
      </c>
      <c r="P73" s="1240">
        <v>1.4E8</v>
      </c>
      <c r="Q73" s="1240">
        <v>2.17E8</v>
      </c>
      <c r="R73" s="1240">
        <v>4.5E7</v>
      </c>
      <c r="S73" s="1240">
        <v>7.117E9</v>
      </c>
      <c r="T73" s="1240">
        <v>-3.027E9</v>
      </c>
      <c r="U73" s="1240">
        <v>6.3E7</v>
      </c>
      <c r="V73" s="1240">
        <v>-8.3E7</v>
      </c>
      <c r="W73" s="1240">
        <v>2.0E7</v>
      </c>
      <c r="X73" s="1240">
        <v>8.3E7</v>
      </c>
      <c r="Y73" s="1240">
        <v>-2.944E9</v>
      </c>
      <c r="Z73" s="1240">
        <v>-3.3E8</v>
      </c>
      <c r="AA73" s="1240">
        <v>0.0</v>
      </c>
      <c r="AB73" s="1240">
        <v>-1.565E9</v>
      </c>
      <c r="AC73" s="1240">
        <v>-1.33E9</v>
      </c>
      <c r="AD73" s="1240">
        <v>7.3E7</v>
      </c>
      <c r="AE73" s="1240">
        <v>-3.152E9</v>
      </c>
      <c r="AF73" s="1240">
        <v>0.0</v>
      </c>
      <c r="AG73" s="1240">
        <v>1.021E9</v>
      </c>
      <c r="AH73" s="1240">
        <v>2.577E9</v>
      </c>
      <c r="AI73" s="1240">
        <v>1.556E9</v>
      </c>
      <c r="AJ73" s="1240">
        <v>7.117E9</v>
      </c>
      <c r="AK73" s="1240">
        <v>-3.027E9</v>
      </c>
      <c r="AL73" s="1241">
        <v>4.09E9</v>
      </c>
      <c r="AM73" s="1242" t="s">
        <v>1269</v>
      </c>
      <c r="AN73" s="1242" t="s">
        <v>1270</v>
      </c>
      <c r="AO73" s="913"/>
      <c r="AP73" s="913"/>
      <c r="AQ73" s="913"/>
      <c r="AR73" s="913"/>
      <c r="AS73" s="913"/>
      <c r="AT73" s="913"/>
      <c r="AU73" s="913"/>
      <c r="AV73" s="913"/>
      <c r="AW73" s="913"/>
      <c r="AX73" s="913"/>
      <c r="AY73" s="913"/>
      <c r="AZ73" s="913"/>
      <c r="BA73" s="913"/>
      <c r="BB73" s="913"/>
      <c r="BC73" s="913"/>
      <c r="BD73" s="913"/>
      <c r="BE73" s="913"/>
      <c r="BF73" s="913"/>
      <c r="BG73" s="913"/>
    </row>
    <row r="74">
      <c r="A74" s="480"/>
      <c r="B74" s="480"/>
      <c r="C74" s="480"/>
      <c r="D74" s="480"/>
      <c r="E74" s="480"/>
      <c r="F74" s="480"/>
      <c r="G74" s="480"/>
      <c r="H74" s="913"/>
      <c r="I74" s="913"/>
      <c r="J74" s="913"/>
      <c r="K74" s="913"/>
      <c r="L74" s="913"/>
      <c r="M74" s="913"/>
      <c r="N74" s="913"/>
      <c r="O74" s="913"/>
      <c r="P74" s="913"/>
      <c r="Q74" s="913"/>
      <c r="R74" s="913"/>
      <c r="S74" s="913"/>
      <c r="T74" s="913"/>
      <c r="U74" s="913"/>
      <c r="V74" s="913"/>
      <c r="W74" s="913"/>
      <c r="X74" s="913"/>
      <c r="Y74" s="913"/>
      <c r="Z74" s="913"/>
      <c r="AA74" s="913"/>
      <c r="AB74" s="913"/>
      <c r="AC74" s="913"/>
      <c r="AD74" s="913"/>
      <c r="AE74" s="913"/>
      <c r="AF74" s="913"/>
      <c r="AG74" s="913"/>
      <c r="AH74" s="913"/>
      <c r="AI74" s="913"/>
      <c r="AJ74" s="913"/>
      <c r="AK74" s="913"/>
      <c r="AL74" s="913"/>
      <c r="AM74" s="913"/>
      <c r="AN74" s="913"/>
      <c r="AO74" s="913"/>
      <c r="AP74" s="913"/>
      <c r="AQ74" s="913"/>
      <c r="AR74" s="913"/>
      <c r="AS74" s="913"/>
      <c r="AT74" s="913"/>
      <c r="AU74" s="913"/>
      <c r="AV74" s="913"/>
      <c r="AW74" s="913"/>
      <c r="AX74" s="913"/>
      <c r="AY74" s="913"/>
      <c r="AZ74" s="913"/>
      <c r="BA74" s="913"/>
      <c r="BB74" s="913"/>
      <c r="BC74" s="913"/>
      <c r="BD74" s="913"/>
      <c r="BE74" s="913"/>
      <c r="BF74" s="913"/>
      <c r="BG74" s="913"/>
    </row>
    <row r="75">
      <c r="A75" s="1220" t="s">
        <v>1157</v>
      </c>
      <c r="B75" s="480"/>
      <c r="C75" s="480"/>
      <c r="D75" s="480"/>
      <c r="E75" s="480"/>
      <c r="F75" s="480"/>
      <c r="G75" s="480"/>
      <c r="H75" s="913"/>
      <c r="I75" s="913"/>
      <c r="J75" s="913"/>
      <c r="K75" s="913"/>
      <c r="L75" s="913"/>
      <c r="M75" s="913"/>
      <c r="N75" s="913"/>
      <c r="O75" s="913"/>
      <c r="P75" s="913"/>
      <c r="Q75" s="913"/>
      <c r="R75" s="913"/>
      <c r="S75" s="913"/>
      <c r="T75" s="913"/>
      <c r="U75" s="913"/>
      <c r="V75" s="913"/>
      <c r="W75" s="913"/>
      <c r="X75" s="913"/>
      <c r="Y75" s="913"/>
      <c r="Z75" s="913"/>
      <c r="AA75" s="913"/>
      <c r="AB75" s="913"/>
      <c r="AC75" s="913"/>
      <c r="AD75" s="913"/>
      <c r="AE75" s="913"/>
      <c r="AF75" s="913"/>
      <c r="AG75" s="913"/>
      <c r="AH75" s="913"/>
      <c r="AI75" s="913"/>
      <c r="AJ75" s="913"/>
      <c r="AK75" s="913"/>
      <c r="AL75" s="913"/>
      <c r="AM75" s="913"/>
      <c r="AN75" s="913"/>
      <c r="AO75" s="913"/>
      <c r="AP75" s="913"/>
      <c r="AQ75" s="913"/>
      <c r="AR75" s="913"/>
      <c r="AS75" s="913"/>
      <c r="AT75" s="913"/>
      <c r="AU75" s="913"/>
      <c r="AV75" s="913"/>
      <c r="AW75" s="913"/>
      <c r="AX75" s="913"/>
      <c r="AY75" s="913"/>
      <c r="AZ75" s="913"/>
      <c r="BA75" s="913"/>
      <c r="BB75" s="913"/>
      <c r="BC75" s="913"/>
      <c r="BD75" s="913"/>
      <c r="BE75" s="913"/>
      <c r="BF75" s="913"/>
      <c r="BG75" s="913"/>
    </row>
    <row r="76">
      <c r="A76" s="1220" t="s">
        <v>984</v>
      </c>
      <c r="B76" s="1220" t="s">
        <v>1037</v>
      </c>
      <c r="C76" s="1220" t="s">
        <v>1041</v>
      </c>
      <c r="D76" s="1220" t="s">
        <v>1042</v>
      </c>
      <c r="E76" s="1220" t="s">
        <v>1158</v>
      </c>
      <c r="F76" s="1220" t="s">
        <v>1159</v>
      </c>
      <c r="G76" s="1220" t="s">
        <v>1160</v>
      </c>
      <c r="H76" s="1236" t="s">
        <v>1161</v>
      </c>
      <c r="I76" s="1236" t="s">
        <v>1162</v>
      </c>
      <c r="J76" s="1236" t="s">
        <v>1163</v>
      </c>
      <c r="K76" s="1236" t="s">
        <v>1164</v>
      </c>
      <c r="L76" s="1236" t="s">
        <v>1165</v>
      </c>
      <c r="M76" s="1236" t="s">
        <v>1166</v>
      </c>
      <c r="N76" s="1236" t="s">
        <v>1167</v>
      </c>
      <c r="O76" s="1236" t="s">
        <v>1168</v>
      </c>
      <c r="P76" s="1236" t="s">
        <v>1169</v>
      </c>
      <c r="Q76" s="1236" t="s">
        <v>1170</v>
      </c>
      <c r="R76" s="1236" t="s">
        <v>1171</v>
      </c>
      <c r="S76" s="1236" t="s">
        <v>1172</v>
      </c>
      <c r="T76" s="1236" t="s">
        <v>1173</v>
      </c>
      <c r="U76" s="1236" t="s">
        <v>1174</v>
      </c>
      <c r="V76" s="1236" t="s">
        <v>1175</v>
      </c>
      <c r="W76" s="1236" t="s">
        <v>1176</v>
      </c>
      <c r="X76" s="1236" t="s">
        <v>1177</v>
      </c>
      <c r="Y76" s="1236" t="s">
        <v>1178</v>
      </c>
      <c r="Z76" s="1236" t="s">
        <v>1179</v>
      </c>
      <c r="AA76" s="1236" t="s">
        <v>1180</v>
      </c>
      <c r="AB76" s="1237" t="s">
        <v>1181</v>
      </c>
      <c r="AC76" s="1236" t="s">
        <v>1182</v>
      </c>
      <c r="AD76" s="1236" t="s">
        <v>1183</v>
      </c>
      <c r="AE76" s="1236" t="s">
        <v>1184</v>
      </c>
      <c r="AF76" s="1236" t="s">
        <v>1185</v>
      </c>
      <c r="AG76" s="1236" t="s">
        <v>1186</v>
      </c>
      <c r="AH76" s="1236" t="s">
        <v>1187</v>
      </c>
      <c r="AI76" s="1236" t="s">
        <v>1188</v>
      </c>
      <c r="AJ76" s="1236" t="s">
        <v>1189</v>
      </c>
      <c r="AK76" s="1236" t="s">
        <v>1190</v>
      </c>
      <c r="AL76" s="1236" t="s">
        <v>1191</v>
      </c>
      <c r="AM76" s="1236" t="s">
        <v>1192</v>
      </c>
      <c r="AN76" s="1236" t="s">
        <v>1193</v>
      </c>
      <c r="AO76" s="1236" t="s">
        <v>1194</v>
      </c>
      <c r="AP76" s="1236" t="s">
        <v>1195</v>
      </c>
      <c r="AQ76" s="1236" t="s">
        <v>1196</v>
      </c>
      <c r="AR76" s="1236" t="s">
        <v>1197</v>
      </c>
      <c r="AS76" s="1236" t="s">
        <v>1198</v>
      </c>
      <c r="AT76" s="1236" t="s">
        <v>1199</v>
      </c>
      <c r="AU76" s="1236" t="s">
        <v>1200</v>
      </c>
      <c r="AV76" s="1236" t="s">
        <v>1201</v>
      </c>
      <c r="AW76" s="1236" t="s">
        <v>1202</v>
      </c>
      <c r="AX76" s="1236" t="s">
        <v>1203</v>
      </c>
      <c r="AY76" s="1236" t="s">
        <v>1204</v>
      </c>
      <c r="AZ76" s="1236" t="s">
        <v>1205</v>
      </c>
      <c r="BA76" s="1236" t="s">
        <v>1206</v>
      </c>
      <c r="BB76" s="1236" t="s">
        <v>1207</v>
      </c>
      <c r="BC76" s="1236" t="s">
        <v>1208</v>
      </c>
      <c r="BD76" s="1236" t="s">
        <v>1209</v>
      </c>
      <c r="BE76" s="1236" t="s">
        <v>1210</v>
      </c>
      <c r="BF76" s="1236" t="s">
        <v>1211</v>
      </c>
      <c r="BG76" s="913"/>
    </row>
    <row r="77">
      <c r="A77" s="1220" t="s">
        <v>107</v>
      </c>
      <c r="B77" s="1238">
        <v>45325.0</v>
      </c>
      <c r="C77" s="1220">
        <v>2023.0</v>
      </c>
      <c r="D77" s="1220" t="s">
        <v>1073</v>
      </c>
      <c r="E77" s="1244">
        <v>0.9064442602569416</v>
      </c>
      <c r="F77" s="1244">
        <v>0.29071694985495233</v>
      </c>
      <c r="G77" s="1244">
        <v>0.19710940737670948</v>
      </c>
      <c r="H77" s="1240">
        <v>3.0277343313596243</v>
      </c>
      <c r="I77" s="1240">
        <v>55.809277554800865</v>
      </c>
      <c r="J77" s="1240">
        <v>58.83701188616049</v>
      </c>
      <c r="K77" s="1240">
        <v>56.80469795204281</v>
      </c>
      <c r="L77" s="1240">
        <v>2.0323139341176812</v>
      </c>
      <c r="M77" s="1240">
        <v>0.2762819796670763</v>
      </c>
      <c r="N77" s="1240">
        <v>0.05313186608572599</v>
      </c>
      <c r="O77" s="1240">
        <v>0.0493147879194131</v>
      </c>
      <c r="P77" s="1240">
        <v>0.03852455963951886</v>
      </c>
      <c r="Q77" s="1240">
        <v>0.2188030960921276</v>
      </c>
      <c r="R77" s="1240">
        <v>0.07475251101958234</v>
      </c>
      <c r="S77" s="1240">
        <v>0.30807027992852887</v>
      </c>
      <c r="T77" s="1240">
        <v>0.1582991234882947</v>
      </c>
      <c r="U77" s="1240">
        <v>0.7811969039078723</v>
      </c>
      <c r="V77" s="1240">
        <v>0.9281584019625022</v>
      </c>
      <c r="W77" s="1240">
        <v>0.05313186608572599</v>
      </c>
      <c r="X77" s="1240">
        <v>0.2555097911698822</v>
      </c>
      <c r="Y77" s="1240">
        <v>1.0530077427039906</v>
      </c>
      <c r="Z77" s="1240">
        <v>0.49236583522297805</v>
      </c>
      <c r="AA77" s="1240">
        <v>0.5129097766173484</v>
      </c>
      <c r="AB77" s="1241">
        <v>11.368525896414342</v>
      </c>
      <c r="AC77" s="1240">
        <v>0.6095164027149321</v>
      </c>
      <c r="AD77" s="1240">
        <v>4.1212030970815965</v>
      </c>
      <c r="AE77" s="1240">
        <v>120.55218855218855</v>
      </c>
      <c r="AF77" s="1240">
        <v>6.4255248801454785</v>
      </c>
      <c r="AG77" s="1240">
        <v>6.540131246845028</v>
      </c>
      <c r="AH77" s="1240">
        <v>2.946184650831093</v>
      </c>
      <c r="AI77" s="1240">
        <v>1.9403858660307827</v>
      </c>
      <c r="AJ77" s="1240">
        <v>18.680390032502707</v>
      </c>
      <c r="AK77" s="1240">
        <v>8.266522210184181</v>
      </c>
      <c r="AL77" s="1240">
        <v>8.244853737811484</v>
      </c>
      <c r="AM77" s="1240">
        <v>0.485983566940551</v>
      </c>
      <c r="AN77" s="1240">
        <v>0.08026105090678881</v>
      </c>
      <c r="AO77" s="1240">
        <v>0.44252406913351117</v>
      </c>
      <c r="AP77" s="1240">
        <v>0.6095164027149321</v>
      </c>
      <c r="AQ77" s="1240">
        <v>7.724910394265233</v>
      </c>
      <c r="AR77" s="1240">
        <v>1.793799417394923</v>
      </c>
      <c r="AS77" s="1240">
        <v>1.2646325363062931</v>
      </c>
      <c r="AT77" s="1240">
        <v>0.485983566940551</v>
      </c>
      <c r="AU77" s="1240">
        <v>4.998781640857653</v>
      </c>
      <c r="AV77" s="1240">
        <v>4.998781640857653</v>
      </c>
      <c r="AW77" s="1240">
        <v>0.6251036662570291</v>
      </c>
      <c r="AX77" s="1240">
        <v>16.226108023199615</v>
      </c>
      <c r="AY77" s="1240">
        <v>17.599904325032767</v>
      </c>
      <c r="AZ77" s="1240">
        <v>7.788381278273983</v>
      </c>
      <c r="BA77" s="1240">
        <v>7.788381278273983</v>
      </c>
      <c r="BB77" s="1240">
        <v>0.3311226111852936</v>
      </c>
      <c r="BC77" s="1240">
        <v>0.6251036662570291</v>
      </c>
      <c r="BD77" s="1240">
        <v>0.02995071684754631</v>
      </c>
      <c r="BE77" s="1240">
        <v>9.537367543960464</v>
      </c>
      <c r="BF77" s="1240">
        <v>4.998781640857653</v>
      </c>
      <c r="BG77" s="913"/>
    </row>
    <row r="78">
      <c r="A78" s="1220" t="s">
        <v>107</v>
      </c>
      <c r="B78" s="1238">
        <v>44954.0</v>
      </c>
      <c r="C78" s="1220">
        <v>2022.0</v>
      </c>
      <c r="D78" s="1220" t="s">
        <v>1073</v>
      </c>
      <c r="E78" s="1244">
        <v>0.9151794871794872</v>
      </c>
      <c r="F78" s="1244">
        <v>0.22292307692307692</v>
      </c>
      <c r="G78" s="1244">
        <v>0.1143076923076923</v>
      </c>
      <c r="H78" s="1240">
        <v>3.9102364369501466</v>
      </c>
      <c r="I78" s="1240">
        <v>59.91967554025952</v>
      </c>
      <c r="J78" s="1240">
        <v>63.82991197720966</v>
      </c>
      <c r="K78" s="1240">
        <v>59.866409660825255</v>
      </c>
      <c r="L78" s="1240">
        <v>3.9635023163844068</v>
      </c>
      <c r="M78" s="1240">
        <v>0.24643511730205278</v>
      </c>
      <c r="N78" s="1240">
        <v>0.03526392961876833</v>
      </c>
      <c r="O78" s="1240">
        <v>0.031323313782991205</v>
      </c>
      <c r="P78" s="1240">
        <v>0.025476539589442817</v>
      </c>
      <c r="Q78" s="1240">
        <v>0.18665886483323582</v>
      </c>
      <c r="R78" s="1240">
        <v>0.05212337114465173</v>
      </c>
      <c r="S78" s="1240">
        <v>0.2475071225071225</v>
      </c>
      <c r="T78" s="1240">
        <v>0.11372838776414955</v>
      </c>
      <c r="U78" s="1240">
        <v>0.8133411351667642</v>
      </c>
      <c r="V78" s="1240">
        <v>0.8882536382536382</v>
      </c>
      <c r="W78" s="1240">
        <v>0.03526392961876833</v>
      </c>
      <c r="X78" s="1240">
        <v>0.30259679385019217</v>
      </c>
      <c r="Y78" s="1240">
        <v>1.4368767806267806</v>
      </c>
      <c r="Z78" s="1240">
        <v>0.5876803347894718</v>
      </c>
      <c r="AA78" s="1240">
        <v>0.5896386686639143</v>
      </c>
      <c r="AB78" s="1240">
        <v>8.05020920502092</v>
      </c>
      <c r="AC78" s="1240">
        <v>0.2489621413966169</v>
      </c>
      <c r="AD78" s="1240">
        <v>4.748486467236467</v>
      </c>
      <c r="AE78" s="1240">
        <v>93.34473909324208</v>
      </c>
      <c r="AF78" s="1240">
        <v>6.096908133758434</v>
      </c>
      <c r="AG78" s="1240">
        <v>6.091488258389511</v>
      </c>
      <c r="AH78" s="1240">
        <v>3.193538002282771</v>
      </c>
      <c r="AI78" s="1240">
        <v>2.0459360644979845</v>
      </c>
      <c r="AJ78" s="1240">
        <v>8.695087643367236</v>
      </c>
      <c r="AK78" s="1240">
        <v>-3.2676909759792254</v>
      </c>
      <c r="AL78" s="1240">
        <v>7.729928586885955</v>
      </c>
      <c r="AM78" s="1240">
        <v>0.660431654676259</v>
      </c>
      <c r="AN78" s="1240">
        <v>0.036821847507331376</v>
      </c>
      <c r="AO78" s="1240">
        <v>-0.3758088601294176</v>
      </c>
      <c r="AP78" s="1240">
        <v>0.2489621413966169</v>
      </c>
      <c r="AQ78" s="1240">
        <v>30.907692307692308</v>
      </c>
      <c r="AR78" s="1240">
        <v>0.7268451519536903</v>
      </c>
      <c r="AS78" s="1240">
        <v>0.5456273764258555</v>
      </c>
      <c r="AT78" s="1240">
        <v>0.660431654676259</v>
      </c>
      <c r="AU78" s="1240">
        <v>6.932734241452991</v>
      </c>
      <c r="AV78" s="1240">
        <v>6.932734241452991</v>
      </c>
      <c r="AW78" s="1240">
        <v>0.7136040230938416</v>
      </c>
      <c r="AX78" s="1240">
        <v>28.010241366906474</v>
      </c>
      <c r="AY78" s="1240">
        <v>-51.5685238410596</v>
      </c>
      <c r="AZ78" s="1240">
        <v>19.379908163265306</v>
      </c>
      <c r="BA78" s="1240">
        <v>19.379908163265306</v>
      </c>
      <c r="BB78" s="1240">
        <v>-0.48548810554333627</v>
      </c>
      <c r="BC78" s="1240">
        <v>0.7136040230938416</v>
      </c>
      <c r="BD78" s="1240">
        <v>0.023578220766656638</v>
      </c>
      <c r="BE78" s="1240">
        <v>14.176647297297297</v>
      </c>
      <c r="BF78" s="1240">
        <v>6.932734241452991</v>
      </c>
      <c r="BG78" s="913"/>
    </row>
    <row r="79">
      <c r="A79" s="1220" t="s">
        <v>107</v>
      </c>
      <c r="B79" s="1238">
        <v>44590.0</v>
      </c>
      <c r="C79" s="1220">
        <v>2021.0</v>
      </c>
      <c r="D79" s="1220" t="s">
        <v>1073</v>
      </c>
      <c r="E79" s="1244">
        <v>0.9919988963995033</v>
      </c>
      <c r="F79" s="1244">
        <v>0.35273830873223894</v>
      </c>
      <c r="G79" s="1244">
        <v>0.2718076056467559</v>
      </c>
      <c r="H79" s="1240">
        <v>4.658695344559219</v>
      </c>
      <c r="I79" s="1240">
        <v>67.68979363152488</v>
      </c>
      <c r="J79" s="1240">
        <v>72.3484889760841</v>
      </c>
      <c r="K79" s="1240">
        <v>75.36344596667689</v>
      </c>
      <c r="L79" s="1240">
        <v>-3.0149569905927933</v>
      </c>
      <c r="M79" s="1240">
        <v>0.29283524362058394</v>
      </c>
      <c r="N79" s="1240">
        <v>0.08439224564879015</v>
      </c>
      <c r="O79" s="1240">
        <v>0.08402433847460025</v>
      </c>
      <c r="P79" s="1240">
        <v>0.0655252110749493</v>
      </c>
      <c r="Q79" s="1240">
        <v>0.220163916021107</v>
      </c>
      <c r="R79" s="1240">
        <v>0.12908141458066194</v>
      </c>
      <c r="S79" s="1240">
        <v>0.541513993919077</v>
      </c>
      <c r="T79" s="1240">
        <v>0.2790044910179641</v>
      </c>
      <c r="U79" s="1240">
        <v>0.779836083978893</v>
      </c>
      <c r="V79" s="1240">
        <v>0.9956405097250167</v>
      </c>
      <c r="W79" s="1240">
        <v>0.08439224564879015</v>
      </c>
      <c r="X79" s="1240">
        <v>0.25496645667242757</v>
      </c>
      <c r="Y79" s="1240">
        <v>1.0696187729009121</v>
      </c>
      <c r="Z79" s="1240">
        <v>0.5136866848650288</v>
      </c>
      <c r="AA79" s="1240">
        <v>0.5168192262779222</v>
      </c>
      <c r="AB79" s="1240">
        <v>21.24940617577197</v>
      </c>
      <c r="AC79" s="1240">
        <v>0.6286443148688047</v>
      </c>
      <c r="AD79" s="1240">
        <v>4.195135261557652</v>
      </c>
      <c r="AE79" s="1240">
        <v>78.34811529933481</v>
      </c>
      <c r="AF79" s="1240">
        <v>4.843196795451608</v>
      </c>
      <c r="AG79" s="1240">
        <v>5.392245720040282</v>
      </c>
      <c r="AH79" s="1240">
        <v>3.4487750919087743</v>
      </c>
      <c r="AI79" s="1240">
        <v>1.9699503818921782</v>
      </c>
      <c r="AJ79" s="1240">
        <v>17.670559311616472</v>
      </c>
      <c r="AK79" s="1240">
        <v>10.409752099979512</v>
      </c>
      <c r="AL79" s="1240">
        <v>12.145052243392747</v>
      </c>
      <c r="AM79" s="1240">
        <v>0.22286207889432766</v>
      </c>
      <c r="AN79" s="1240">
        <v>0.08136408659968869</v>
      </c>
      <c r="AO79" s="1240">
        <v>0.5891014492753623</v>
      </c>
      <c r="AP79" s="1240">
        <v>0.6286443148688047</v>
      </c>
      <c r="AQ79" s="1240">
        <v>50.43859649122807</v>
      </c>
      <c r="AR79" s="1240">
        <v>2.4336907449209932</v>
      </c>
      <c r="AS79" s="1240">
        <v>1.6938334642576591</v>
      </c>
      <c r="AT79" s="1240">
        <v>0.22286207889432766</v>
      </c>
      <c r="AU79" s="1240">
        <v>8.282897559834723</v>
      </c>
      <c r="AV79" s="1240">
        <v>8.282897559834723</v>
      </c>
      <c r="AW79" s="1240">
        <v>1.0022614687986415</v>
      </c>
      <c r="AX79" s="1240">
        <v>15.295814425568672</v>
      </c>
      <c r="AY79" s="1240">
        <v>20.91020015744932</v>
      </c>
      <c r="AZ79" s="1240">
        <v>12.318229217391304</v>
      </c>
      <c r="BA79" s="1240">
        <v>12.318229217391304</v>
      </c>
      <c r="BB79" s="1240">
        <v>0.24278629079129913</v>
      </c>
      <c r="BC79" s="1240">
        <v>1.0022614687986415</v>
      </c>
      <c r="BD79" s="1240">
        <v>0.014570134854786724</v>
      </c>
      <c r="BE79" s="1240">
        <v>9.736568671679198</v>
      </c>
      <c r="BF79" s="1240">
        <v>8.282897559834723</v>
      </c>
      <c r="BG79" s="913"/>
    </row>
    <row r="80">
      <c r="A80" s="1220" t="s">
        <v>107</v>
      </c>
      <c r="B80" s="1238">
        <v>44226.0</v>
      </c>
      <c r="C80" s="1220">
        <v>2020.0</v>
      </c>
      <c r="D80" s="1220" t="s">
        <v>1073</v>
      </c>
      <c r="E80" s="1244">
        <v>1.0313540372670806</v>
      </c>
      <c r="F80" s="1244">
        <v>0.5020124223602485</v>
      </c>
      <c r="G80" s="1244">
        <v>0.42290683229813664</v>
      </c>
      <c r="H80" s="1240">
        <v>2.461656031893631</v>
      </c>
      <c r="I80" s="1240">
        <v>58.7567432793871</v>
      </c>
      <c r="J80" s="1240">
        <v>61.218399311280734</v>
      </c>
      <c r="K80" s="1240">
        <v>70.92396149719691</v>
      </c>
      <c r="L80" s="1240">
        <v>-9.705562185916179</v>
      </c>
      <c r="M80" s="1240">
        <v>0.29268605508705553</v>
      </c>
      <c r="N80" s="1240">
        <v>0.06989023204112825</v>
      </c>
      <c r="O80" s="1240">
        <v>0.059276835433567404</v>
      </c>
      <c r="P80" s="1240">
        <v>0.04668611921634014</v>
      </c>
      <c r="Q80" s="1240">
        <v>0.2124053371799495</v>
      </c>
      <c r="R80" s="1240">
        <v>0.08523259444270996</v>
      </c>
      <c r="S80" s="1240">
        <v>0.30249307479224374</v>
      </c>
      <c r="T80" s="1240">
        <v>0.21010185393438935</v>
      </c>
      <c r="U80" s="1240">
        <v>0.7875946628200505</v>
      </c>
      <c r="V80" s="1240">
        <v>0.8481419177244227</v>
      </c>
      <c r="W80" s="1240">
        <v>0.06989023204112825</v>
      </c>
      <c r="X80" s="1240">
        <v>0.24742428972837965</v>
      </c>
      <c r="Y80" s="1240">
        <v>0.8781163434903048</v>
      </c>
      <c r="Z80" s="1240">
        <v>0.4441022482291346</v>
      </c>
      <c r="AA80" s="1240">
        <v>0.46755162241887904</v>
      </c>
      <c r="AB80" s="1240">
        <v>6.69293756397134</v>
      </c>
      <c r="AC80" s="1240">
        <v>0.8300473186119873</v>
      </c>
      <c r="AD80" s="1240">
        <v>3.5490304709141274</v>
      </c>
      <c r="AE80" s="1240">
        <v>148.2741679873217</v>
      </c>
      <c r="AF80" s="1240">
        <v>5.146356637374601</v>
      </c>
      <c r="AG80" s="1240">
        <v>6.2120529428330045</v>
      </c>
      <c r="AH80" s="1240">
        <v>3.214491857349</v>
      </c>
      <c r="AI80" s="1240">
        <v>1.8256517327505464</v>
      </c>
      <c r="AJ80" s="1240">
        <v>21.024770275669198</v>
      </c>
      <c r="AK80" s="1240">
        <v>15.733120255693168</v>
      </c>
      <c r="AL80" s="1240">
        <v>32.27127447063524</v>
      </c>
      <c r="AM80" s="1240">
        <v>0.30746336996337</v>
      </c>
      <c r="AN80" s="1240">
        <v>0.11249345346885989</v>
      </c>
      <c r="AO80" s="1240">
        <v>0.7483135391923991</v>
      </c>
      <c r="AP80" s="1240">
        <v>0.8300473186119873</v>
      </c>
      <c r="AQ80" s="1240">
        <v>9.200174825174825</v>
      </c>
      <c r="AR80" s="1240">
        <v>3.9731974329935826</v>
      </c>
      <c r="AS80" s="1240">
        <v>2.6365230460921842</v>
      </c>
      <c r="AT80" s="1240">
        <v>0.30746336996337</v>
      </c>
      <c r="AU80" s="1240">
        <v>6.280727285318559</v>
      </c>
      <c r="AV80" s="1240">
        <v>6.280727285318559</v>
      </c>
      <c r="AW80" s="1240">
        <v>0.96935370506942</v>
      </c>
      <c r="AX80" s="1240">
        <v>20.76321016483516</v>
      </c>
      <c r="AY80" s="1240">
        <v>11.515198324022347</v>
      </c>
      <c r="AZ80" s="1240">
        <v>8.616978812351544</v>
      </c>
      <c r="BA80" s="1240">
        <v>8.616978812351544</v>
      </c>
      <c r="BB80" s="1240">
        <v>0.5770554513343796</v>
      </c>
      <c r="BC80" s="1240">
        <v>0.96935370506942</v>
      </c>
      <c r="BD80" s="1240">
        <v>0.01480808446875396</v>
      </c>
      <c r="BE80" s="1240">
        <v>10.676421643022104</v>
      </c>
      <c r="BF80" s="1240">
        <v>6.280727285318559</v>
      </c>
      <c r="BG80" s="913"/>
    </row>
    <row r="81">
      <c r="A81" s="1220" t="s">
        <v>107</v>
      </c>
      <c r="B81" s="1238">
        <v>43862.0</v>
      </c>
      <c r="C81" s="1220">
        <v>2019.0</v>
      </c>
      <c r="D81" s="1220" t="s">
        <v>1073</v>
      </c>
      <c r="E81" s="1244">
        <v>0.8905915648512459</v>
      </c>
      <c r="F81" s="1244">
        <v>0.2698971491682198</v>
      </c>
      <c r="G81" s="1244">
        <v>0.17788361979705944</v>
      </c>
      <c r="H81" s="1240">
        <v>4.495212003277345</v>
      </c>
      <c r="I81" s="1240">
        <v>59.82210557013707</v>
      </c>
      <c r="J81" s="1240">
        <v>64.31731757341441</v>
      </c>
      <c r="K81" s="1240">
        <v>65.99591717701954</v>
      </c>
      <c r="L81" s="1240">
        <v>-1.6785996036051216</v>
      </c>
      <c r="M81" s="1240">
        <v>0.29762392462105697</v>
      </c>
      <c r="N81" s="1240">
        <v>0.059632322818517</v>
      </c>
      <c r="O81" s="1240">
        <v>0.05364092585006145</v>
      </c>
      <c r="P81" s="1240">
        <v>0.042003789430561246</v>
      </c>
      <c r="Q81" s="1240">
        <v>0.2198090692124105</v>
      </c>
      <c r="R81" s="1240">
        <v>0.07669650996984502</v>
      </c>
      <c r="S81" s="1240">
        <v>0.2772754162089073</v>
      </c>
      <c r="T81" s="1240">
        <v>0.16464018096988547</v>
      </c>
      <c r="U81" s="1240">
        <v>0.783054892601432</v>
      </c>
      <c r="V81" s="1240">
        <v>0.8995276942893946</v>
      </c>
      <c r="W81" s="1240">
        <v>0.059632322818517</v>
      </c>
      <c r="X81" s="1240">
        <v>0.2688001122045864</v>
      </c>
      <c r="Y81" s="1240">
        <v>0.9717738527845855</v>
      </c>
      <c r="Z81" s="1240">
        <v>0.4893185447326399</v>
      </c>
      <c r="AA81" s="1240">
        <v>0.4928424481398937</v>
      </c>
      <c r="AB81" s="1240">
        <v>9.765199161425576</v>
      </c>
      <c r="AC81" s="1240">
        <v>0.6189233846421428</v>
      </c>
      <c r="AD81" s="1240">
        <v>3.6152285979886756</v>
      </c>
      <c r="AE81" s="1240">
        <v>81.1975051975052</v>
      </c>
      <c r="AF81" s="1240">
        <v>5.530645161290322</v>
      </c>
      <c r="AG81" s="1240">
        <v>6.101423487544484</v>
      </c>
      <c r="AH81" s="1240">
        <v>2.73894596584733</v>
      </c>
      <c r="AI81" s="1240">
        <v>1.8259426354052222</v>
      </c>
      <c r="AJ81" s="1240">
        <v>13.93031904482286</v>
      </c>
      <c r="AK81" s="1240">
        <v>8.005480524564494</v>
      </c>
      <c r="AL81" s="1240">
        <v>5.120375807398708</v>
      </c>
      <c r="AM81" s="1240">
        <v>0.40536421822615054</v>
      </c>
      <c r="AN81" s="1240">
        <v>0.0911127611634576</v>
      </c>
      <c r="AO81" s="1240">
        <v>0.5746803428410847</v>
      </c>
      <c r="AP81" s="1240">
        <v>0.6189233846421428</v>
      </c>
      <c r="AQ81" s="1240">
        <v>44.20496894409938</v>
      </c>
      <c r="AR81" s="1240">
        <v>2.351172778328378</v>
      </c>
      <c r="AS81" s="1240">
        <v>1.6334633922423687</v>
      </c>
      <c r="AT81" s="1240">
        <v>0.40536421822615054</v>
      </c>
      <c r="AU81" s="1240">
        <v>4.781295191413842</v>
      </c>
      <c r="AV81" s="1240">
        <v>4.781295191413842</v>
      </c>
      <c r="AW81" s="1240">
        <v>0.7243069694797214</v>
      </c>
      <c r="AX81" s="1240">
        <v>17.24384821700701</v>
      </c>
      <c r="AY81" s="1240">
        <v>13.83302347188264</v>
      </c>
      <c r="AZ81" s="1240">
        <v>7.949566671350288</v>
      </c>
      <c r="BA81" s="1240">
        <v>7.949566671350288</v>
      </c>
      <c r="BB81" s="1240">
        <v>1.1148348382158009</v>
      </c>
      <c r="BC81" s="1240">
        <v>0.7243069694797214</v>
      </c>
      <c r="BD81" s="1240">
        <v>0.02350775842635601</v>
      </c>
      <c r="BE81" s="1240">
        <v>9.243598745226405</v>
      </c>
      <c r="BF81" s="1240">
        <v>4.781295191413842</v>
      </c>
      <c r="BG81" s="913"/>
    </row>
    <row r="82">
      <c r="H82" s="799"/>
      <c r="I82" s="799"/>
      <c r="J82" s="799"/>
      <c r="K82" s="799"/>
      <c r="L82" s="799"/>
      <c r="M82" s="799"/>
      <c r="N82" s="799"/>
      <c r="O82" s="799"/>
      <c r="P82" s="799"/>
      <c r="Q82" s="799"/>
      <c r="R82" s="799"/>
      <c r="S82" s="799"/>
      <c r="T82" s="799"/>
      <c r="U82" s="799"/>
      <c r="V82" s="799"/>
      <c r="W82" s="799"/>
      <c r="X82" s="799"/>
      <c r="Y82" s="799"/>
      <c r="Z82" s="799"/>
      <c r="AA82" s="799"/>
      <c r="AB82" s="799"/>
      <c r="AC82" s="799"/>
      <c r="AD82" s="799"/>
      <c r="AE82" s="799"/>
      <c r="AF82" s="799"/>
      <c r="AG82" s="799"/>
      <c r="AH82" s="799"/>
      <c r="AI82" s="799"/>
      <c r="AJ82" s="799"/>
      <c r="AK82" s="799"/>
      <c r="AL82" s="799"/>
      <c r="AM82" s="799"/>
      <c r="AN82" s="799"/>
      <c r="AO82" s="799"/>
      <c r="AP82" s="799"/>
      <c r="AQ82" s="799"/>
      <c r="AR82" s="799"/>
      <c r="AS82" s="799"/>
      <c r="AT82" s="799"/>
      <c r="AU82" s="799"/>
      <c r="AV82" s="799"/>
      <c r="AW82" s="799"/>
      <c r="AX82" s="799"/>
      <c r="AY82" s="799"/>
      <c r="AZ82" s="799"/>
      <c r="BA82" s="799"/>
      <c r="BB82" s="799"/>
      <c r="BC82" s="799"/>
      <c r="BD82" s="799"/>
      <c r="BE82" s="799"/>
      <c r="BF82" s="799"/>
      <c r="BG82" s="799"/>
    </row>
    <row r="83">
      <c r="H83" s="799"/>
      <c r="I83" s="799"/>
      <c r="J83" s="799"/>
      <c r="K83" s="799"/>
      <c r="L83" s="799"/>
      <c r="M83" s="799"/>
      <c r="N83" s="799"/>
      <c r="O83" s="799"/>
      <c r="P83" s="799"/>
      <c r="Q83" s="799"/>
      <c r="R83" s="799"/>
      <c r="S83" s="799"/>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799"/>
      <c r="AR83" s="799"/>
      <c r="AS83" s="799"/>
      <c r="AT83" s="799"/>
      <c r="AU83" s="799"/>
      <c r="AV83" s="799"/>
      <c r="AW83" s="799"/>
      <c r="AX83" s="799"/>
      <c r="AY83" s="799"/>
      <c r="AZ83" s="799"/>
      <c r="BA83" s="799"/>
      <c r="BB83" s="799"/>
      <c r="BC83" s="799"/>
      <c r="BD83" s="799"/>
      <c r="BE83" s="799"/>
      <c r="BF83" s="799"/>
      <c r="BG83" s="799"/>
    </row>
    <row r="84">
      <c r="H84" s="799"/>
      <c r="I84" s="799"/>
      <c r="J84" s="799"/>
      <c r="K84" s="799"/>
      <c r="L84" s="799"/>
      <c r="M84" s="799"/>
      <c r="N84" s="799"/>
      <c r="O84" s="799"/>
      <c r="P84" s="799"/>
      <c r="Q84" s="799"/>
      <c r="R84" s="799"/>
      <c r="S84" s="799"/>
      <c r="T84" s="799"/>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799"/>
      <c r="AR84" s="799"/>
      <c r="AS84" s="799"/>
      <c r="AT84" s="799"/>
      <c r="AU84" s="799"/>
      <c r="AV84" s="799"/>
      <c r="AW84" s="799"/>
      <c r="AX84" s="799"/>
      <c r="AY84" s="799"/>
      <c r="AZ84" s="799"/>
      <c r="BA84" s="799"/>
      <c r="BB84" s="799"/>
      <c r="BC84" s="799"/>
      <c r="BD84" s="799"/>
      <c r="BE84" s="799"/>
      <c r="BF84" s="799"/>
      <c r="BG84" s="799"/>
    </row>
    <row r="85">
      <c r="H85" s="799"/>
      <c r="I85" s="799"/>
      <c r="J85" s="799"/>
      <c r="K85" s="799"/>
      <c r="L85" s="799"/>
      <c r="M85" s="799"/>
      <c r="N85" s="799"/>
      <c r="O85" s="799"/>
      <c r="P85" s="799"/>
      <c r="Q85" s="799"/>
      <c r="R85" s="799"/>
      <c r="S85" s="799"/>
      <c r="T85" s="799"/>
      <c r="U85" s="799"/>
      <c r="V85" s="799"/>
      <c r="W85" s="799"/>
      <c r="X85" s="799"/>
      <c r="Y85" s="799"/>
      <c r="Z85" s="799"/>
      <c r="AA85" s="799"/>
      <c r="AB85" s="799"/>
      <c r="AC85" s="799"/>
      <c r="AD85" s="799"/>
      <c r="AE85" s="799"/>
      <c r="AF85" s="1245"/>
      <c r="AG85" s="799"/>
      <c r="AH85" s="799"/>
      <c r="AI85" s="799"/>
      <c r="AJ85" s="799"/>
      <c r="AK85" s="799"/>
      <c r="AL85" s="799"/>
      <c r="AM85" s="799"/>
      <c r="AN85" s="799"/>
      <c r="AO85" s="799"/>
      <c r="AP85" s="799"/>
      <c r="AQ85" s="799"/>
      <c r="AR85" s="799"/>
      <c r="AS85" s="799"/>
      <c r="AT85" s="799"/>
      <c r="AU85" s="799"/>
      <c r="AV85" s="799"/>
      <c r="AW85" s="799"/>
      <c r="AX85" s="799"/>
      <c r="AY85" s="799"/>
      <c r="AZ85" s="799"/>
      <c r="BA85" s="799"/>
      <c r="BB85" s="799"/>
      <c r="BC85" s="799"/>
      <c r="BD85" s="799"/>
      <c r="BE85" s="799"/>
      <c r="BF85" s="799"/>
      <c r="BG85" s="799"/>
    </row>
    <row r="86">
      <c r="A86" s="1246"/>
      <c r="H86" s="799"/>
      <c r="I86" s="799"/>
      <c r="J86" s="799"/>
      <c r="K86" s="799"/>
      <c r="L86" s="799"/>
      <c r="M86" s="799"/>
      <c r="N86" s="799"/>
      <c r="O86" s="799"/>
      <c r="P86" s="799"/>
      <c r="Q86" s="799"/>
      <c r="R86" s="799"/>
      <c r="S86" s="799"/>
      <c r="T86" s="799"/>
      <c r="U86" s="799"/>
      <c r="V86" s="799"/>
      <c r="W86" s="799"/>
      <c r="X86" s="799"/>
      <c r="Y86" s="799"/>
      <c r="Z86" s="799"/>
      <c r="AA86" s="799"/>
      <c r="AB86" s="799"/>
      <c r="AC86" s="799"/>
      <c r="AD86" s="799"/>
      <c r="AE86" s="799"/>
      <c r="AF86" s="799"/>
      <c r="AG86" s="799"/>
      <c r="AH86" s="799"/>
      <c r="AI86" s="799"/>
      <c r="AJ86" s="799"/>
      <c r="AK86" s="799"/>
      <c r="AL86" s="799"/>
      <c r="AM86" s="799"/>
      <c r="AN86" s="799"/>
      <c r="AO86" s="799"/>
      <c r="AP86" s="799"/>
      <c r="AQ86" s="799"/>
      <c r="AR86" s="799"/>
      <c r="AS86" s="799"/>
      <c r="AT86" s="799"/>
      <c r="AU86" s="799"/>
      <c r="AV86" s="799"/>
      <c r="AW86" s="799"/>
      <c r="AX86" s="799"/>
      <c r="AY86" s="799"/>
      <c r="AZ86" s="799"/>
      <c r="BA86" s="799"/>
      <c r="BB86" s="799"/>
      <c r="BC86" s="799"/>
      <c r="BD86" s="799"/>
      <c r="BE86" s="799"/>
      <c r="BF86" s="799"/>
      <c r="BG86" s="799"/>
    </row>
    <row r="87">
      <c r="H87" s="799"/>
      <c r="I87" s="799"/>
      <c r="J87" s="799"/>
      <c r="K87" s="799"/>
      <c r="L87" s="799"/>
      <c r="M87" s="799"/>
      <c r="N87" s="799"/>
      <c r="O87" s="799"/>
      <c r="P87" s="799"/>
      <c r="Q87" s="799"/>
      <c r="R87" s="799"/>
      <c r="S87" s="799"/>
      <c r="T87" s="799"/>
      <c r="U87" s="799"/>
      <c r="V87" s="799"/>
      <c r="W87" s="799"/>
      <c r="X87" s="799"/>
      <c r="Y87" s="799"/>
      <c r="Z87" s="799"/>
      <c r="AA87" s="799"/>
      <c r="AB87" s="799"/>
      <c r="AC87" s="799"/>
      <c r="AD87" s="799"/>
      <c r="AE87" s="799"/>
      <c r="AF87" s="799"/>
      <c r="AG87" s="799"/>
      <c r="AH87" s="799"/>
      <c r="AI87" s="799"/>
      <c r="AJ87" s="799"/>
      <c r="AK87" s="799"/>
      <c r="AL87" s="799"/>
      <c r="AM87" s="799"/>
      <c r="AN87" s="799"/>
      <c r="AO87" s="799"/>
      <c r="AP87" s="799"/>
      <c r="AQ87" s="799"/>
      <c r="AR87" s="799"/>
      <c r="AS87" s="799"/>
      <c r="AT87" s="799"/>
      <c r="AU87" s="799"/>
      <c r="AV87" s="799"/>
      <c r="AW87" s="799"/>
      <c r="AX87" s="799"/>
      <c r="AY87" s="799"/>
      <c r="AZ87" s="799"/>
      <c r="BA87" s="799"/>
      <c r="BB87" s="799"/>
      <c r="BC87" s="799"/>
      <c r="BD87" s="799"/>
      <c r="BE87" s="799"/>
      <c r="BF87" s="799"/>
      <c r="BG87" s="799"/>
    </row>
    <row r="88">
      <c r="H88" s="799"/>
      <c r="I88" s="799"/>
      <c r="J88" s="799"/>
      <c r="K88" s="799"/>
      <c r="L88" s="799"/>
      <c r="M88" s="799"/>
      <c r="N88" s="799"/>
      <c r="O88" s="799"/>
      <c r="P88" s="799"/>
      <c r="Q88" s="799"/>
      <c r="R88" s="799"/>
      <c r="S88" s="799"/>
      <c r="T88" s="799"/>
      <c r="U88" s="799"/>
      <c r="V88" s="799"/>
      <c r="W88" s="799"/>
      <c r="X88" s="799"/>
      <c r="Y88" s="799"/>
      <c r="Z88" s="799"/>
      <c r="AA88" s="799"/>
      <c r="AB88" s="799"/>
      <c r="AC88" s="799"/>
      <c r="AD88" s="799"/>
      <c r="AE88" s="799"/>
      <c r="AF88" s="799"/>
      <c r="AG88" s="799"/>
      <c r="AH88" s="799"/>
      <c r="AI88" s="799"/>
      <c r="AJ88" s="799"/>
      <c r="AK88" s="799"/>
      <c r="AL88" s="799"/>
      <c r="AM88" s="799"/>
      <c r="AN88" s="799"/>
      <c r="AO88" s="799"/>
      <c r="AP88" s="799"/>
      <c r="AQ88" s="799"/>
      <c r="AR88" s="799"/>
      <c r="AS88" s="799"/>
      <c r="AT88" s="799"/>
      <c r="AU88" s="799"/>
      <c r="AV88" s="799"/>
      <c r="AW88" s="799"/>
      <c r="AX88" s="799"/>
      <c r="AY88" s="799"/>
      <c r="AZ88" s="799"/>
      <c r="BA88" s="799"/>
      <c r="BB88" s="799"/>
      <c r="BC88" s="799"/>
      <c r="BD88" s="799"/>
      <c r="BE88" s="799"/>
      <c r="BF88" s="799"/>
      <c r="BG88" s="799"/>
    </row>
    <row r="89">
      <c r="H89" s="799"/>
      <c r="I89" s="799"/>
      <c r="J89" s="799"/>
      <c r="K89" s="799"/>
      <c r="L89" s="799"/>
      <c r="M89" s="799"/>
      <c r="N89" s="799"/>
      <c r="O89" s="799"/>
      <c r="P89" s="799"/>
      <c r="Q89" s="799"/>
      <c r="R89" s="799"/>
      <c r="S89" s="799"/>
      <c r="T89" s="799"/>
      <c r="U89" s="799"/>
      <c r="V89" s="799"/>
      <c r="W89" s="799"/>
      <c r="X89" s="799"/>
      <c r="Y89" s="799"/>
      <c r="Z89" s="799"/>
      <c r="AA89" s="799"/>
      <c r="AB89" s="799"/>
      <c r="AC89" s="799"/>
      <c r="AD89" s="799"/>
      <c r="AE89" s="799"/>
      <c r="AF89" s="799"/>
      <c r="AG89" s="799"/>
      <c r="AH89" s="799"/>
      <c r="AI89" s="799"/>
      <c r="AJ89" s="799"/>
      <c r="AK89" s="799"/>
      <c r="AL89" s="799"/>
      <c r="AM89" s="799"/>
      <c r="AN89" s="799"/>
      <c r="AO89" s="799"/>
      <c r="AP89" s="799"/>
      <c r="AQ89" s="799"/>
      <c r="AR89" s="799"/>
      <c r="AS89" s="799"/>
      <c r="AT89" s="799"/>
      <c r="AU89" s="799"/>
      <c r="AV89" s="799"/>
      <c r="AW89" s="799"/>
      <c r="AX89" s="799"/>
      <c r="AY89" s="799"/>
      <c r="AZ89" s="799"/>
      <c r="BA89" s="799"/>
      <c r="BB89" s="799"/>
      <c r="BC89" s="799"/>
      <c r="BD89" s="799"/>
      <c r="BE89" s="799"/>
      <c r="BF89" s="799"/>
      <c r="BG89" s="799"/>
    </row>
    <row r="90">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799"/>
      <c r="AQ90" s="799"/>
      <c r="AR90" s="799"/>
      <c r="AS90" s="799"/>
      <c r="AT90" s="799"/>
      <c r="AU90" s="799"/>
      <c r="AV90" s="799"/>
      <c r="AW90" s="799"/>
      <c r="AX90" s="799"/>
      <c r="AY90" s="799"/>
      <c r="AZ90" s="799"/>
      <c r="BA90" s="799"/>
      <c r="BB90" s="799"/>
      <c r="BC90" s="799"/>
      <c r="BD90" s="799"/>
      <c r="BE90" s="799"/>
      <c r="BF90" s="799"/>
      <c r="BG90" s="799"/>
    </row>
    <row r="91">
      <c r="H91" s="799"/>
      <c r="I91" s="799"/>
      <c r="J91" s="799"/>
      <c r="K91" s="799"/>
      <c r="L91" s="799"/>
      <c r="M91" s="799"/>
      <c r="N91" s="799"/>
      <c r="O91" s="799"/>
      <c r="P91" s="799"/>
      <c r="Q91" s="799"/>
      <c r="R91" s="799"/>
      <c r="S91" s="799"/>
      <c r="T91" s="799"/>
      <c r="U91" s="799"/>
      <c r="V91" s="799"/>
      <c r="W91" s="799"/>
      <c r="X91" s="799"/>
      <c r="Y91" s="799"/>
      <c r="Z91" s="799"/>
      <c r="AA91" s="799"/>
      <c r="AB91" s="799"/>
      <c r="AC91" s="799"/>
      <c r="AD91" s="799"/>
      <c r="AE91" s="799"/>
      <c r="AF91" s="799"/>
      <c r="AG91" s="799"/>
      <c r="AH91" s="799"/>
      <c r="AI91" s="799"/>
      <c r="AJ91" s="799"/>
      <c r="AK91" s="799"/>
      <c r="AL91" s="799"/>
      <c r="AM91" s="799"/>
      <c r="AN91" s="799"/>
      <c r="AO91" s="799"/>
      <c r="AP91" s="799"/>
      <c r="AQ91" s="799"/>
      <c r="AR91" s="799"/>
      <c r="AS91" s="799"/>
      <c r="AT91" s="799"/>
      <c r="AU91" s="799"/>
      <c r="AV91" s="799"/>
      <c r="AW91" s="799"/>
      <c r="AX91" s="799"/>
      <c r="AY91" s="799"/>
      <c r="AZ91" s="799"/>
      <c r="BA91" s="799"/>
      <c r="BB91" s="799"/>
      <c r="BC91" s="799"/>
      <c r="BD91" s="799"/>
      <c r="BE91" s="799"/>
      <c r="BF91" s="799"/>
      <c r="BG91" s="799"/>
    </row>
    <row r="92">
      <c r="H92" s="799"/>
      <c r="I92" s="799"/>
      <c r="J92" s="799"/>
      <c r="K92" s="799"/>
      <c r="L92" s="799"/>
      <c r="M92" s="799"/>
      <c r="N92" s="799"/>
      <c r="O92" s="799"/>
      <c r="P92" s="799"/>
      <c r="Q92" s="799"/>
      <c r="R92" s="799"/>
      <c r="S92" s="799"/>
      <c r="T92" s="799"/>
      <c r="U92" s="799"/>
      <c r="V92" s="799"/>
      <c r="W92" s="799"/>
      <c r="X92" s="799"/>
      <c r="Y92" s="799"/>
      <c r="Z92" s="799"/>
      <c r="AA92" s="799"/>
      <c r="AB92" s="799"/>
      <c r="AC92" s="799"/>
      <c r="AD92" s="799"/>
      <c r="AE92" s="799"/>
      <c r="AF92" s="799"/>
      <c r="AG92" s="799"/>
      <c r="AH92" s="799"/>
      <c r="AI92" s="799"/>
      <c r="AJ92" s="799"/>
      <c r="AK92" s="799"/>
      <c r="AL92" s="799"/>
      <c r="AM92" s="799"/>
      <c r="AN92" s="799"/>
      <c r="AO92" s="799"/>
      <c r="AP92" s="799"/>
      <c r="AQ92" s="799"/>
      <c r="AR92" s="799"/>
      <c r="AS92" s="799"/>
      <c r="AT92" s="799"/>
      <c r="AU92" s="799"/>
      <c r="AV92" s="799"/>
      <c r="AW92" s="799"/>
      <c r="AX92" s="799"/>
      <c r="AY92" s="799"/>
      <c r="AZ92" s="799"/>
      <c r="BA92" s="799"/>
      <c r="BB92" s="799"/>
      <c r="BC92" s="799"/>
      <c r="BD92" s="799"/>
      <c r="BE92" s="799"/>
      <c r="BF92" s="799"/>
      <c r="BG92" s="799"/>
    </row>
    <row r="93">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c r="AY93" s="799"/>
      <c r="AZ93" s="799"/>
      <c r="BA93" s="799"/>
      <c r="BB93" s="799"/>
      <c r="BC93" s="799"/>
      <c r="BD93" s="799"/>
      <c r="BE93" s="799"/>
      <c r="BF93" s="799"/>
      <c r="BG93" s="799"/>
    </row>
    <row r="94">
      <c r="H94" s="799"/>
      <c r="I94" s="799"/>
      <c r="J94" s="799"/>
      <c r="K94" s="799"/>
      <c r="L94" s="799"/>
      <c r="M94" s="799"/>
      <c r="N94" s="799"/>
      <c r="O94" s="799"/>
      <c r="P94" s="799"/>
      <c r="Q94" s="799"/>
      <c r="R94" s="799"/>
      <c r="S94" s="799"/>
      <c r="T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799"/>
      <c r="AY94" s="799"/>
      <c r="AZ94" s="799"/>
      <c r="BA94" s="799"/>
      <c r="BB94" s="799"/>
      <c r="BC94" s="799"/>
      <c r="BD94" s="799"/>
      <c r="BE94" s="799"/>
      <c r="BF94" s="799"/>
      <c r="BG94" s="799"/>
    </row>
    <row r="95">
      <c r="H95" s="799"/>
      <c r="I95" s="799"/>
      <c r="J95" s="799"/>
      <c r="K95" s="799"/>
      <c r="L95" s="799"/>
      <c r="M95" s="799"/>
      <c r="N95" s="799"/>
      <c r="O95" s="799"/>
      <c r="P95" s="799"/>
      <c r="Q95" s="799"/>
      <c r="R95" s="799"/>
      <c r="S95" s="799"/>
      <c r="T95" s="799"/>
      <c r="U95" s="799"/>
      <c r="V95" s="799"/>
      <c r="W95" s="799"/>
      <c r="X95" s="799"/>
      <c r="Y95" s="799"/>
      <c r="Z95" s="799"/>
      <c r="AA95" s="799"/>
      <c r="AB95" s="799"/>
      <c r="AC95" s="799"/>
      <c r="AD95" s="799"/>
      <c r="AE95" s="799"/>
      <c r="AF95" s="799"/>
      <c r="AG95" s="799"/>
      <c r="AH95" s="799"/>
      <c r="AI95" s="799"/>
      <c r="AJ95" s="799"/>
      <c r="AK95" s="799"/>
      <c r="AL95" s="799"/>
      <c r="AM95" s="799"/>
      <c r="AN95" s="799"/>
      <c r="AO95" s="799"/>
      <c r="AP95" s="799"/>
      <c r="AQ95" s="799"/>
      <c r="AR95" s="799"/>
      <c r="AS95" s="799"/>
      <c r="AT95" s="799"/>
      <c r="AU95" s="799"/>
      <c r="AV95" s="799"/>
      <c r="AW95" s="799"/>
      <c r="AX95" s="799"/>
      <c r="AY95" s="799"/>
      <c r="AZ95" s="799"/>
      <c r="BA95" s="799"/>
      <c r="BB95" s="799"/>
      <c r="BC95" s="799"/>
      <c r="BD95" s="799"/>
      <c r="BE95" s="799"/>
      <c r="BF95" s="799"/>
      <c r="BG95" s="799"/>
    </row>
    <row r="96">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row>
    <row r="97">
      <c r="H97" s="799"/>
      <c r="I97" s="799"/>
      <c r="J97" s="799"/>
      <c r="K97" s="799"/>
      <c r="L97" s="799"/>
      <c r="M97" s="799"/>
      <c r="N97" s="799"/>
      <c r="O97" s="799"/>
      <c r="P97" s="799"/>
      <c r="Q97" s="799"/>
      <c r="R97" s="799"/>
      <c r="S97" s="799"/>
      <c r="T97" s="799"/>
      <c r="U97" s="799"/>
      <c r="V97" s="799"/>
      <c r="W97" s="799"/>
      <c r="X97" s="799"/>
      <c r="Y97" s="799"/>
      <c r="Z97" s="799"/>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799"/>
      <c r="AX97" s="799"/>
      <c r="AY97" s="799"/>
      <c r="AZ97" s="799"/>
      <c r="BA97" s="799"/>
      <c r="BB97" s="799"/>
      <c r="BC97" s="799"/>
      <c r="BD97" s="799"/>
      <c r="BE97" s="799"/>
      <c r="BF97" s="799"/>
      <c r="BG97" s="799"/>
    </row>
    <row r="98">
      <c r="H98" s="799"/>
      <c r="I98" s="799"/>
      <c r="J98" s="799"/>
      <c r="K98" s="799"/>
      <c r="L98" s="799"/>
      <c r="M98" s="799"/>
      <c r="N98" s="799"/>
      <c r="O98" s="799"/>
      <c r="P98" s="799"/>
      <c r="Q98" s="799"/>
      <c r="R98" s="799"/>
      <c r="S98" s="799"/>
      <c r="T98" s="799"/>
      <c r="U98" s="799"/>
      <c r="V98" s="799"/>
      <c r="W98" s="799"/>
      <c r="X98" s="799"/>
      <c r="Y98" s="799"/>
      <c r="Z98" s="799"/>
      <c r="AA98" s="799"/>
      <c r="AB98" s="799"/>
      <c r="AC98" s="799"/>
      <c r="AD98" s="799"/>
      <c r="AE98" s="799"/>
      <c r="AF98" s="799"/>
      <c r="AG98" s="799"/>
      <c r="AH98" s="799"/>
      <c r="AI98" s="799"/>
      <c r="AJ98" s="799"/>
      <c r="AK98" s="799"/>
      <c r="AL98" s="799"/>
      <c r="AM98" s="799"/>
      <c r="AN98" s="799"/>
      <c r="AO98" s="799"/>
      <c r="AP98" s="799"/>
      <c r="AQ98" s="799"/>
      <c r="AR98" s="799"/>
      <c r="AS98" s="799"/>
      <c r="AT98" s="799"/>
      <c r="AU98" s="799"/>
      <c r="AV98" s="799"/>
      <c r="AW98" s="799"/>
      <c r="AX98" s="799"/>
      <c r="AY98" s="799"/>
      <c r="AZ98" s="799"/>
      <c r="BA98" s="799"/>
      <c r="BB98" s="799"/>
      <c r="BC98" s="799"/>
      <c r="BD98" s="799"/>
      <c r="BE98" s="799"/>
      <c r="BF98" s="799"/>
      <c r="BG98" s="799"/>
    </row>
    <row r="99">
      <c r="H99" s="799"/>
      <c r="I99" s="799"/>
      <c r="J99" s="799"/>
      <c r="K99" s="799"/>
      <c r="L99" s="799"/>
      <c r="M99" s="799"/>
      <c r="N99" s="799"/>
      <c r="O99" s="799"/>
      <c r="P99" s="799"/>
      <c r="Q99" s="799"/>
      <c r="R99" s="799"/>
      <c r="S99" s="799"/>
      <c r="T99" s="799"/>
      <c r="U99" s="799"/>
      <c r="V99" s="799"/>
      <c r="W99" s="799"/>
      <c r="X99" s="799"/>
      <c r="Y99" s="799"/>
      <c r="Z99" s="799"/>
      <c r="AA99" s="799"/>
      <c r="AB99" s="799"/>
      <c r="AC99" s="799"/>
      <c r="AD99" s="799"/>
      <c r="AE99" s="799"/>
      <c r="AF99" s="799"/>
      <c r="AG99" s="799"/>
      <c r="AH99" s="799"/>
      <c r="AI99" s="799"/>
      <c r="AJ99" s="799"/>
      <c r="AK99" s="799"/>
      <c r="AL99" s="799"/>
      <c r="AM99" s="799"/>
      <c r="AN99" s="799"/>
      <c r="AO99" s="799"/>
      <c r="AP99" s="799"/>
      <c r="AQ99" s="799"/>
      <c r="AR99" s="799"/>
      <c r="AS99" s="799"/>
      <c r="AT99" s="799"/>
      <c r="AU99" s="799"/>
      <c r="AV99" s="799"/>
      <c r="AW99" s="799"/>
      <c r="AX99" s="799"/>
      <c r="AY99" s="799"/>
      <c r="AZ99" s="799"/>
      <c r="BA99" s="799"/>
      <c r="BB99" s="799"/>
      <c r="BC99" s="799"/>
      <c r="BD99" s="799"/>
      <c r="BE99" s="799"/>
      <c r="BF99" s="799"/>
      <c r="BG99" s="799"/>
    </row>
    <row r="100">
      <c r="H100" s="799"/>
      <c r="I100" s="799"/>
      <c r="J100" s="799"/>
      <c r="K100" s="799"/>
      <c r="L100" s="799"/>
      <c r="M100" s="799"/>
      <c r="N100" s="799"/>
      <c r="O100" s="799"/>
      <c r="P100" s="799"/>
      <c r="Q100" s="799"/>
      <c r="R100" s="799"/>
      <c r="S100" s="799"/>
      <c r="T100" s="799"/>
      <c r="U100" s="799"/>
      <c r="V100" s="799"/>
      <c r="W100" s="799"/>
      <c r="X100" s="799"/>
      <c r="Y100" s="799"/>
      <c r="Z100" s="799"/>
      <c r="AA100" s="799"/>
      <c r="AB100" s="799"/>
      <c r="AC100" s="799"/>
      <c r="AD100" s="799"/>
      <c r="AE100" s="799"/>
      <c r="AF100" s="799"/>
      <c r="AG100" s="799"/>
      <c r="AH100" s="799"/>
      <c r="AI100" s="799"/>
      <c r="AJ100" s="799"/>
      <c r="AK100" s="799"/>
      <c r="AL100" s="799"/>
      <c r="AM100" s="799"/>
      <c r="AN100" s="799"/>
      <c r="AO100" s="799"/>
      <c r="AP100" s="799"/>
      <c r="AQ100" s="799"/>
      <c r="AR100" s="799"/>
      <c r="AS100" s="799"/>
      <c r="AT100" s="799"/>
      <c r="AU100" s="799"/>
      <c r="AV100" s="799"/>
      <c r="AW100" s="799"/>
      <c r="AX100" s="799"/>
      <c r="AY100" s="799"/>
      <c r="AZ100" s="799"/>
      <c r="BA100" s="799"/>
      <c r="BB100" s="799"/>
      <c r="BC100" s="799"/>
      <c r="BD100" s="799"/>
      <c r="BE100" s="799"/>
      <c r="BF100" s="799"/>
      <c r="BG100" s="799"/>
    </row>
    <row r="101">
      <c r="H101" s="799"/>
      <c r="I101" s="799"/>
      <c r="J101" s="799"/>
      <c r="K101" s="799"/>
      <c r="L101" s="799"/>
      <c r="M101" s="799"/>
      <c r="N101" s="799"/>
      <c r="O101" s="799"/>
      <c r="P101" s="799"/>
      <c r="Q101" s="799"/>
      <c r="R101" s="799"/>
      <c r="S101" s="799"/>
      <c r="T101" s="799"/>
      <c r="U101" s="799"/>
      <c r="V101" s="799"/>
      <c r="W101" s="799"/>
      <c r="X101" s="799"/>
      <c r="Y101" s="799"/>
      <c r="Z101" s="799"/>
      <c r="AA101" s="799"/>
      <c r="AB101" s="799"/>
      <c r="AC101" s="799"/>
      <c r="AD101" s="799"/>
      <c r="AE101" s="799"/>
      <c r="AF101" s="799"/>
      <c r="AG101" s="799"/>
      <c r="AH101" s="799"/>
      <c r="AI101" s="799"/>
      <c r="AJ101" s="799"/>
      <c r="AK101" s="799"/>
      <c r="AL101" s="799"/>
      <c r="AM101" s="799"/>
      <c r="AN101" s="799"/>
      <c r="AO101" s="799"/>
      <c r="AP101" s="799"/>
      <c r="AQ101" s="799"/>
      <c r="AR101" s="799"/>
      <c r="AS101" s="799"/>
      <c r="AT101" s="799"/>
      <c r="AU101" s="799"/>
      <c r="AV101" s="799"/>
      <c r="AW101" s="799"/>
      <c r="AX101" s="799"/>
      <c r="AY101" s="799"/>
      <c r="AZ101" s="799"/>
      <c r="BA101" s="799"/>
      <c r="BB101" s="799"/>
      <c r="BC101" s="799"/>
      <c r="BD101" s="799"/>
      <c r="BE101" s="799"/>
      <c r="BF101" s="799"/>
      <c r="BG101" s="799"/>
    </row>
    <row r="102">
      <c r="H102" s="799"/>
      <c r="I102" s="799"/>
      <c r="J102" s="799"/>
      <c r="K102" s="799"/>
      <c r="L102" s="799"/>
      <c r="M102" s="799"/>
      <c r="N102" s="799"/>
      <c r="O102" s="799"/>
      <c r="P102" s="799"/>
      <c r="Q102" s="799"/>
      <c r="R102" s="799"/>
      <c r="S102" s="799"/>
      <c r="T102" s="799"/>
      <c r="U102" s="799"/>
      <c r="V102" s="799"/>
      <c r="W102" s="799"/>
      <c r="X102" s="799"/>
      <c r="Y102" s="799"/>
      <c r="Z102" s="799"/>
      <c r="AA102" s="799"/>
      <c r="AB102" s="799"/>
      <c r="AC102" s="799"/>
      <c r="AD102" s="799"/>
      <c r="AE102" s="799"/>
      <c r="AF102" s="799"/>
      <c r="AG102" s="799"/>
      <c r="AH102" s="799"/>
      <c r="AI102" s="799"/>
      <c r="AJ102" s="799"/>
      <c r="AK102" s="799"/>
      <c r="AL102" s="799"/>
      <c r="AM102" s="799"/>
      <c r="AN102" s="799"/>
      <c r="AO102" s="799"/>
      <c r="AP102" s="799"/>
      <c r="AQ102" s="799"/>
      <c r="AR102" s="799"/>
      <c r="AS102" s="799"/>
      <c r="AT102" s="799"/>
      <c r="AU102" s="799"/>
      <c r="AV102" s="799"/>
      <c r="AW102" s="799"/>
      <c r="AX102" s="799"/>
      <c r="AY102" s="799"/>
      <c r="AZ102" s="799"/>
      <c r="BA102" s="799"/>
      <c r="BB102" s="799"/>
      <c r="BC102" s="799"/>
      <c r="BD102" s="799"/>
      <c r="BE102" s="799"/>
      <c r="BF102" s="799"/>
      <c r="BG102" s="799"/>
    </row>
    <row r="103">
      <c r="H103" s="799"/>
      <c r="I103" s="799"/>
      <c r="J103" s="799"/>
      <c r="K103" s="799"/>
      <c r="L103" s="799"/>
      <c r="M103" s="799"/>
      <c r="N103" s="799"/>
      <c r="O103" s="799"/>
      <c r="P103" s="799"/>
      <c r="Q103" s="799"/>
      <c r="R103" s="799"/>
      <c r="S103" s="799"/>
      <c r="T103" s="799"/>
      <c r="U103" s="799"/>
      <c r="V103" s="799"/>
      <c r="W103" s="799"/>
      <c r="X103" s="799"/>
      <c r="Y103" s="799"/>
      <c r="Z103" s="799"/>
      <c r="AA103" s="799"/>
      <c r="AB103" s="799"/>
      <c r="AC103" s="799"/>
      <c r="AD103" s="799"/>
      <c r="AE103" s="799"/>
      <c r="AF103" s="799"/>
      <c r="AG103" s="799"/>
      <c r="AH103" s="799"/>
      <c r="AI103" s="799"/>
      <c r="AJ103" s="799"/>
      <c r="AK103" s="799"/>
      <c r="AL103" s="799"/>
      <c r="AM103" s="799"/>
      <c r="AN103" s="799"/>
      <c r="AO103" s="799"/>
      <c r="AP103" s="799"/>
      <c r="AQ103" s="799"/>
      <c r="AR103" s="799"/>
      <c r="AS103" s="799"/>
      <c r="AT103" s="799"/>
      <c r="AU103" s="799"/>
      <c r="AV103" s="799"/>
      <c r="AW103" s="799"/>
      <c r="AX103" s="799"/>
      <c r="AY103" s="799"/>
      <c r="AZ103" s="799"/>
      <c r="BA103" s="799"/>
      <c r="BB103" s="799"/>
      <c r="BC103" s="799"/>
      <c r="BD103" s="799"/>
      <c r="BE103" s="799"/>
      <c r="BF103" s="799"/>
      <c r="BG103" s="799"/>
    </row>
    <row r="104">
      <c r="H104" s="799"/>
      <c r="I104" s="799"/>
      <c r="J104" s="799"/>
      <c r="K104" s="799"/>
      <c r="L104" s="799"/>
      <c r="M104" s="799"/>
      <c r="N104" s="799"/>
      <c r="O104" s="799"/>
      <c r="P104" s="799"/>
      <c r="Q104" s="799"/>
      <c r="R104" s="799"/>
      <c r="S104" s="799"/>
      <c r="T104" s="799"/>
      <c r="U104" s="799"/>
      <c r="V104" s="799"/>
      <c r="W104" s="799"/>
      <c r="X104" s="799"/>
      <c r="Y104" s="799"/>
      <c r="Z104" s="799"/>
      <c r="AA104" s="799"/>
      <c r="AB104" s="799"/>
      <c r="AC104" s="799"/>
      <c r="AD104" s="799"/>
      <c r="AE104" s="799"/>
      <c r="AF104" s="799"/>
      <c r="AG104" s="799"/>
      <c r="AH104" s="799"/>
      <c r="AI104" s="799"/>
      <c r="AJ104" s="799"/>
      <c r="AK104" s="799"/>
      <c r="AL104" s="799"/>
      <c r="AM104" s="799"/>
      <c r="AN104" s="799"/>
      <c r="AO104" s="799"/>
      <c r="AP104" s="799"/>
      <c r="AQ104" s="799"/>
      <c r="AR104" s="799"/>
      <c r="AS104" s="799"/>
      <c r="AT104" s="799"/>
      <c r="AU104" s="799"/>
      <c r="AV104" s="799"/>
      <c r="AW104" s="799"/>
      <c r="AX104" s="799"/>
      <c r="AY104" s="799"/>
      <c r="AZ104" s="799"/>
      <c r="BA104" s="799"/>
      <c r="BB104" s="799"/>
      <c r="BC104" s="799"/>
      <c r="BD104" s="799"/>
      <c r="BE104" s="799"/>
      <c r="BF104" s="799"/>
      <c r="BG104" s="799"/>
    </row>
    <row r="105">
      <c r="H105" s="799"/>
      <c r="I105" s="799"/>
      <c r="J105" s="799"/>
      <c r="K105" s="799"/>
      <c r="L105" s="799"/>
      <c r="M105" s="799"/>
      <c r="N105" s="799"/>
      <c r="O105" s="799"/>
      <c r="P105" s="799"/>
      <c r="Q105" s="799"/>
      <c r="R105" s="799"/>
      <c r="S105" s="799"/>
      <c r="T105" s="799"/>
      <c r="U105" s="799"/>
      <c r="V105" s="799"/>
      <c r="W105" s="799"/>
      <c r="X105" s="799"/>
      <c r="Y105" s="799"/>
      <c r="Z105" s="799"/>
      <c r="AA105" s="799"/>
      <c r="AB105" s="799"/>
      <c r="AC105" s="799"/>
      <c r="AD105" s="799"/>
      <c r="AE105" s="799"/>
      <c r="AF105" s="799"/>
      <c r="AG105" s="799"/>
      <c r="AH105" s="799"/>
      <c r="AI105" s="799"/>
      <c r="AJ105" s="799"/>
      <c r="AK105" s="799"/>
      <c r="AL105" s="799"/>
      <c r="AM105" s="799"/>
      <c r="AN105" s="799"/>
      <c r="AO105" s="799"/>
      <c r="AP105" s="799"/>
      <c r="AQ105" s="799"/>
      <c r="AR105" s="799"/>
      <c r="AS105" s="799"/>
      <c r="AT105" s="799"/>
      <c r="AU105" s="799"/>
      <c r="AV105" s="799"/>
      <c r="AW105" s="799"/>
      <c r="AX105" s="799"/>
      <c r="AY105" s="799"/>
      <c r="AZ105" s="799"/>
      <c r="BA105" s="799"/>
      <c r="BB105" s="799"/>
      <c r="BC105" s="799"/>
      <c r="BD105" s="799"/>
      <c r="BE105" s="799"/>
      <c r="BF105" s="799"/>
      <c r="BG105" s="799"/>
    </row>
    <row r="106">
      <c r="H106" s="799"/>
      <c r="I106" s="799"/>
      <c r="J106" s="799"/>
      <c r="K106" s="799"/>
      <c r="L106" s="799"/>
      <c r="M106" s="799"/>
      <c r="N106" s="799"/>
      <c r="O106" s="799"/>
      <c r="P106" s="799"/>
      <c r="Q106" s="799"/>
      <c r="R106" s="799"/>
      <c r="S106" s="799"/>
      <c r="T106" s="799"/>
      <c r="U106" s="799"/>
      <c r="V106" s="799"/>
      <c r="W106" s="799"/>
      <c r="X106" s="799"/>
      <c r="Y106" s="799"/>
      <c r="Z106" s="799"/>
      <c r="AA106" s="799"/>
      <c r="AB106" s="799"/>
      <c r="AC106" s="799"/>
      <c r="AD106" s="799"/>
      <c r="AE106" s="799"/>
      <c r="AF106" s="799"/>
      <c r="AG106" s="799"/>
      <c r="AH106" s="799"/>
      <c r="AI106" s="799"/>
      <c r="AJ106" s="799"/>
      <c r="AK106" s="799"/>
      <c r="AL106" s="799"/>
      <c r="AM106" s="799"/>
      <c r="AN106" s="799"/>
      <c r="AO106" s="799"/>
      <c r="AP106" s="799"/>
      <c r="AQ106" s="799"/>
      <c r="AR106" s="799"/>
      <c r="AS106" s="799"/>
      <c r="AT106" s="799"/>
      <c r="AU106" s="799"/>
      <c r="AV106" s="799"/>
      <c r="AW106" s="799"/>
      <c r="AX106" s="799"/>
      <c r="AY106" s="799"/>
      <c r="AZ106" s="799"/>
      <c r="BA106" s="799"/>
      <c r="BB106" s="799"/>
      <c r="BC106" s="799"/>
      <c r="BD106" s="799"/>
      <c r="BE106" s="799"/>
      <c r="BF106" s="799"/>
      <c r="BG106" s="799"/>
    </row>
    <row r="107">
      <c r="H107" s="799"/>
      <c r="I107" s="799"/>
      <c r="J107" s="799"/>
      <c r="K107" s="799"/>
      <c r="L107" s="799"/>
      <c r="M107" s="799"/>
      <c r="N107" s="799"/>
      <c r="O107" s="799"/>
      <c r="P107" s="799"/>
      <c r="Q107" s="799"/>
      <c r="R107" s="799"/>
      <c r="S107" s="799"/>
      <c r="T107" s="799"/>
      <c r="U107" s="799"/>
      <c r="V107" s="799"/>
      <c r="W107" s="799"/>
      <c r="X107" s="799"/>
      <c r="Y107" s="799"/>
      <c r="Z107" s="799"/>
      <c r="AA107" s="799"/>
      <c r="AB107" s="799"/>
      <c r="AC107" s="799"/>
      <c r="AD107" s="799"/>
      <c r="AE107" s="799"/>
      <c r="AF107" s="799"/>
      <c r="AG107" s="799"/>
      <c r="AH107" s="799"/>
      <c r="AI107" s="799"/>
      <c r="AJ107" s="799"/>
      <c r="AK107" s="799"/>
      <c r="AL107" s="799"/>
      <c r="AM107" s="799"/>
      <c r="AN107" s="799"/>
      <c r="AO107" s="799"/>
      <c r="AP107" s="799"/>
      <c r="AQ107" s="799"/>
      <c r="AR107" s="799"/>
      <c r="AS107" s="799"/>
      <c r="AT107" s="799"/>
      <c r="AU107" s="799"/>
      <c r="AV107" s="799"/>
      <c r="AW107" s="799"/>
      <c r="AX107" s="799"/>
      <c r="AY107" s="799"/>
      <c r="AZ107" s="799"/>
      <c r="BA107" s="799"/>
      <c r="BB107" s="799"/>
      <c r="BC107" s="799"/>
      <c r="BD107" s="799"/>
      <c r="BE107" s="799"/>
      <c r="BF107" s="799"/>
      <c r="BG107" s="799"/>
    </row>
    <row r="108">
      <c r="H108" s="799"/>
      <c r="I108" s="799"/>
      <c r="J108" s="799"/>
      <c r="K108" s="799"/>
      <c r="L108" s="799"/>
      <c r="M108" s="799"/>
      <c r="N108" s="799"/>
      <c r="O108" s="799"/>
      <c r="P108" s="799"/>
      <c r="Q108" s="799"/>
      <c r="R108" s="799"/>
      <c r="S108" s="799"/>
      <c r="T108" s="799"/>
      <c r="U108" s="799"/>
      <c r="V108" s="799"/>
      <c r="W108" s="799"/>
      <c r="X108" s="799"/>
      <c r="Y108" s="799"/>
      <c r="Z108" s="799"/>
      <c r="AA108" s="799"/>
      <c r="AB108" s="799"/>
      <c r="AC108" s="799"/>
      <c r="AD108" s="799"/>
      <c r="AE108" s="799"/>
      <c r="AF108" s="799"/>
      <c r="AG108" s="799"/>
      <c r="AH108" s="799"/>
      <c r="AI108" s="799"/>
      <c r="AJ108" s="799"/>
      <c r="AK108" s="799"/>
      <c r="AL108" s="799"/>
      <c r="AM108" s="799"/>
      <c r="AN108" s="799"/>
      <c r="AO108" s="799"/>
      <c r="AP108" s="799"/>
      <c r="AQ108" s="799"/>
      <c r="AR108" s="799"/>
      <c r="AS108" s="799"/>
      <c r="AT108" s="799"/>
      <c r="AU108" s="799"/>
      <c r="AV108" s="799"/>
      <c r="AW108" s="799"/>
      <c r="AX108" s="799"/>
      <c r="AY108" s="799"/>
      <c r="AZ108" s="799"/>
      <c r="BA108" s="799"/>
      <c r="BB108" s="799"/>
      <c r="BC108" s="799"/>
      <c r="BD108" s="799"/>
      <c r="BE108" s="799"/>
      <c r="BF108" s="799"/>
      <c r="BG108" s="799"/>
    </row>
    <row r="109">
      <c r="H109" s="799"/>
      <c r="I109" s="799"/>
      <c r="J109" s="799"/>
      <c r="K109" s="799"/>
      <c r="L109" s="799"/>
      <c r="M109" s="799"/>
      <c r="N109" s="799"/>
      <c r="O109" s="799"/>
      <c r="P109" s="799"/>
      <c r="Q109" s="799"/>
      <c r="R109" s="799"/>
      <c r="S109" s="799"/>
      <c r="T109" s="799"/>
      <c r="U109" s="799"/>
      <c r="V109" s="799"/>
      <c r="W109" s="799"/>
      <c r="X109" s="799"/>
      <c r="Y109" s="799"/>
      <c r="Z109" s="799"/>
      <c r="AA109" s="799"/>
      <c r="AB109" s="799"/>
      <c r="AC109" s="799"/>
      <c r="AD109" s="799"/>
      <c r="AE109" s="799"/>
      <c r="AF109" s="799"/>
      <c r="AG109" s="799"/>
      <c r="AH109" s="799"/>
      <c r="AI109" s="799"/>
      <c r="AJ109" s="799"/>
      <c r="AK109" s="799"/>
      <c r="AL109" s="799"/>
      <c r="AM109" s="799"/>
      <c r="AN109" s="799"/>
      <c r="AO109" s="799"/>
      <c r="AP109" s="799"/>
      <c r="AQ109" s="799"/>
      <c r="AR109" s="799"/>
      <c r="AS109" s="799"/>
      <c r="AT109" s="799"/>
      <c r="AU109" s="799"/>
      <c r="AV109" s="799"/>
      <c r="AW109" s="799"/>
      <c r="AX109" s="799"/>
      <c r="AY109" s="799"/>
      <c r="AZ109" s="799"/>
      <c r="BA109" s="799"/>
      <c r="BB109" s="799"/>
      <c r="BC109" s="799"/>
      <c r="BD109" s="799"/>
      <c r="BE109" s="799"/>
      <c r="BF109" s="799"/>
      <c r="BG109" s="799"/>
    </row>
    <row r="110">
      <c r="H110" s="799"/>
      <c r="I110" s="799"/>
      <c r="J110" s="799"/>
      <c r="K110" s="799"/>
      <c r="L110" s="799"/>
      <c r="M110" s="799"/>
      <c r="N110" s="799"/>
      <c r="O110" s="799"/>
      <c r="P110" s="799"/>
      <c r="Q110" s="799"/>
      <c r="R110" s="799"/>
      <c r="S110" s="799"/>
      <c r="T110" s="799"/>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c r="AP110" s="799"/>
      <c r="AQ110" s="799"/>
      <c r="AR110" s="799"/>
      <c r="AS110" s="799"/>
      <c r="AT110" s="799"/>
      <c r="AU110" s="799"/>
      <c r="AV110" s="799"/>
      <c r="AW110" s="799"/>
      <c r="AX110" s="799"/>
      <c r="AY110" s="799"/>
      <c r="AZ110" s="799"/>
      <c r="BA110" s="799"/>
      <c r="BB110" s="799"/>
      <c r="BC110" s="799"/>
      <c r="BD110" s="799"/>
      <c r="BE110" s="799"/>
      <c r="BF110" s="799"/>
      <c r="BG110" s="799"/>
    </row>
    <row r="111">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row>
    <row r="112">
      <c r="H112" s="799"/>
      <c r="I112" s="799"/>
      <c r="J112" s="799"/>
      <c r="K112" s="799"/>
      <c r="L112" s="799"/>
      <c r="M112" s="799"/>
      <c r="N112" s="799"/>
      <c r="O112" s="799"/>
      <c r="P112" s="799"/>
      <c r="Q112" s="799"/>
      <c r="R112" s="799"/>
      <c r="S112" s="799"/>
      <c r="T112" s="799"/>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c r="AP112" s="799"/>
      <c r="AQ112" s="799"/>
      <c r="AR112" s="799"/>
      <c r="AS112" s="799"/>
      <c r="AT112" s="799"/>
      <c r="AU112" s="799"/>
      <c r="AV112" s="799"/>
      <c r="AW112" s="799"/>
      <c r="AX112" s="799"/>
      <c r="AY112" s="799"/>
      <c r="AZ112" s="799"/>
      <c r="BA112" s="799"/>
      <c r="BB112" s="799"/>
      <c r="BC112" s="799"/>
      <c r="BD112" s="799"/>
      <c r="BE112" s="799"/>
      <c r="BF112" s="799"/>
      <c r="BG112" s="799"/>
    </row>
    <row r="113">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row>
    <row r="114">
      <c r="H114" s="799"/>
      <c r="I114" s="799"/>
      <c r="J114" s="799"/>
      <c r="K114" s="799"/>
      <c r="L114" s="799"/>
      <c r="M114" s="799"/>
      <c r="N114" s="799"/>
      <c r="O114" s="799"/>
      <c r="P114" s="799"/>
      <c r="Q114" s="799"/>
      <c r="R114" s="799"/>
      <c r="S114" s="799"/>
      <c r="T114" s="799"/>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c r="AP114" s="799"/>
      <c r="AQ114" s="799"/>
      <c r="AR114" s="799"/>
      <c r="AS114" s="799"/>
      <c r="AT114" s="799"/>
      <c r="AU114" s="799"/>
      <c r="AV114" s="799"/>
      <c r="AW114" s="799"/>
      <c r="AX114" s="799"/>
      <c r="AY114" s="799"/>
      <c r="AZ114" s="799"/>
      <c r="BA114" s="799"/>
      <c r="BB114" s="799"/>
      <c r="BC114" s="799"/>
      <c r="BD114" s="799"/>
      <c r="BE114" s="799"/>
      <c r="BF114" s="799"/>
      <c r="BG114" s="799"/>
    </row>
    <row r="115">
      <c r="H115" s="799"/>
      <c r="I115" s="799"/>
      <c r="J115" s="799"/>
      <c r="K115" s="799"/>
      <c r="L115" s="799"/>
      <c r="M115" s="799"/>
      <c r="N115" s="799"/>
      <c r="O115" s="799"/>
      <c r="P115" s="799"/>
      <c r="Q115" s="799"/>
      <c r="R115" s="799"/>
      <c r="S115" s="799"/>
      <c r="T115" s="799"/>
      <c r="U115" s="799"/>
      <c r="V115" s="799"/>
      <c r="W115" s="799"/>
      <c r="X115" s="799"/>
      <c r="Y115" s="799"/>
      <c r="Z115" s="799"/>
      <c r="AA115" s="799"/>
      <c r="AB115" s="799"/>
      <c r="AC115" s="799"/>
      <c r="AD115" s="799"/>
      <c r="AE115" s="799"/>
      <c r="AF115" s="799"/>
      <c r="AG115" s="799"/>
      <c r="AH115" s="799"/>
      <c r="AI115" s="799"/>
      <c r="AJ115" s="799"/>
      <c r="AK115" s="799"/>
      <c r="AL115" s="799"/>
      <c r="AM115" s="799"/>
      <c r="AN115" s="799"/>
      <c r="AO115" s="799"/>
      <c r="AP115" s="799"/>
      <c r="AQ115" s="799"/>
      <c r="AR115" s="799"/>
      <c r="AS115" s="799"/>
      <c r="AT115" s="799"/>
      <c r="AU115" s="799"/>
      <c r="AV115" s="799"/>
      <c r="AW115" s="799"/>
      <c r="AX115" s="799"/>
      <c r="AY115" s="799"/>
      <c r="AZ115" s="799"/>
      <c r="BA115" s="799"/>
      <c r="BB115" s="799"/>
      <c r="BC115" s="799"/>
      <c r="BD115" s="799"/>
      <c r="BE115" s="799"/>
      <c r="BF115" s="799"/>
      <c r="BG115" s="799"/>
    </row>
    <row r="116">
      <c r="H116" s="799"/>
      <c r="I116" s="799"/>
      <c r="J116" s="799"/>
      <c r="K116" s="799"/>
      <c r="L116" s="799"/>
      <c r="M116" s="799"/>
      <c r="N116" s="799"/>
      <c r="O116" s="799"/>
      <c r="P116" s="799"/>
      <c r="Q116" s="799"/>
      <c r="R116" s="799"/>
      <c r="S116" s="799"/>
      <c r="T116" s="799"/>
      <c r="U116" s="799"/>
      <c r="V116" s="799"/>
      <c r="W116" s="799"/>
      <c r="X116" s="799"/>
      <c r="Y116" s="799"/>
      <c r="Z116" s="799"/>
      <c r="AA116" s="799"/>
      <c r="AB116" s="799"/>
      <c r="AC116" s="799"/>
      <c r="AD116" s="799"/>
      <c r="AE116" s="799"/>
      <c r="AF116" s="799"/>
      <c r="AG116" s="799"/>
      <c r="AH116" s="799"/>
      <c r="AI116" s="799"/>
      <c r="AJ116" s="799"/>
      <c r="AK116" s="799"/>
      <c r="AL116" s="799"/>
      <c r="AM116" s="799"/>
      <c r="AN116" s="799"/>
      <c r="AO116" s="799"/>
      <c r="AP116" s="799"/>
      <c r="AQ116" s="799"/>
      <c r="AR116" s="799"/>
      <c r="AS116" s="799"/>
      <c r="AT116" s="799"/>
      <c r="AU116" s="799"/>
      <c r="AV116" s="799"/>
      <c r="AW116" s="799"/>
      <c r="AX116" s="799"/>
      <c r="AY116" s="799"/>
      <c r="AZ116" s="799"/>
      <c r="BA116" s="799"/>
      <c r="BB116" s="799"/>
      <c r="BC116" s="799"/>
      <c r="BD116" s="799"/>
      <c r="BE116" s="799"/>
      <c r="BF116" s="799"/>
      <c r="BG116" s="799"/>
    </row>
    <row r="117">
      <c r="H117" s="799"/>
      <c r="I117" s="799"/>
      <c r="J117" s="799"/>
      <c r="K117" s="799"/>
      <c r="L117" s="799"/>
      <c r="M117" s="799"/>
      <c r="N117" s="799"/>
      <c r="O117" s="799"/>
      <c r="P117" s="799"/>
      <c r="Q117" s="799"/>
      <c r="R117" s="799"/>
      <c r="S117" s="799"/>
      <c r="T117" s="799"/>
      <c r="U117" s="799"/>
      <c r="V117" s="799"/>
      <c r="W117" s="799"/>
      <c r="X117" s="799"/>
      <c r="Y117" s="799"/>
      <c r="Z117" s="799"/>
      <c r="AA117" s="799"/>
      <c r="AB117" s="799"/>
      <c r="AC117" s="799"/>
      <c r="AD117" s="799"/>
      <c r="AE117" s="799"/>
      <c r="AF117" s="799"/>
      <c r="AG117" s="799"/>
      <c r="AH117" s="799"/>
      <c r="AI117" s="799"/>
      <c r="AJ117" s="799"/>
      <c r="AK117" s="799"/>
      <c r="AL117" s="799"/>
      <c r="AM117" s="799"/>
      <c r="AN117" s="799"/>
      <c r="AO117" s="799"/>
      <c r="AP117" s="799"/>
      <c r="AQ117" s="799"/>
      <c r="AR117" s="799"/>
      <c r="AS117" s="799"/>
      <c r="AT117" s="799"/>
      <c r="AU117" s="799"/>
      <c r="AV117" s="799"/>
      <c r="AW117" s="799"/>
      <c r="AX117" s="799"/>
      <c r="AY117" s="799"/>
      <c r="AZ117" s="799"/>
      <c r="BA117" s="799"/>
      <c r="BB117" s="799"/>
      <c r="BC117" s="799"/>
      <c r="BD117" s="799"/>
      <c r="BE117" s="799"/>
      <c r="BF117" s="799"/>
      <c r="BG117" s="799"/>
    </row>
    <row r="118">
      <c r="H118" s="799"/>
      <c r="I118" s="799"/>
      <c r="J118" s="799"/>
      <c r="K118" s="799"/>
      <c r="L118" s="799"/>
      <c r="M118" s="799"/>
      <c r="N118" s="799"/>
      <c r="O118" s="799"/>
      <c r="P118" s="799"/>
      <c r="Q118" s="799"/>
      <c r="R118" s="799"/>
      <c r="S118" s="799"/>
      <c r="T118" s="799"/>
      <c r="U118" s="799"/>
      <c r="V118" s="799"/>
      <c r="W118" s="799"/>
      <c r="X118" s="799"/>
      <c r="Y118" s="799"/>
      <c r="Z118" s="799"/>
      <c r="AA118" s="799"/>
      <c r="AB118" s="799"/>
      <c r="AC118" s="799"/>
      <c r="AD118" s="799"/>
      <c r="AE118" s="799"/>
      <c r="AF118" s="799"/>
      <c r="AG118" s="799"/>
      <c r="AH118" s="799"/>
      <c r="AI118" s="799"/>
      <c r="AJ118" s="799"/>
      <c r="AK118" s="799"/>
      <c r="AL118" s="799"/>
      <c r="AM118" s="799"/>
      <c r="AN118" s="799"/>
      <c r="AO118" s="799"/>
      <c r="AP118" s="799"/>
      <c r="AQ118" s="799"/>
      <c r="AR118" s="799"/>
      <c r="AS118" s="799"/>
      <c r="AT118" s="799"/>
      <c r="AU118" s="799"/>
      <c r="AV118" s="799"/>
      <c r="AW118" s="799"/>
      <c r="AX118" s="799"/>
      <c r="AY118" s="799"/>
      <c r="AZ118" s="799"/>
      <c r="BA118" s="799"/>
      <c r="BB118" s="799"/>
      <c r="BC118" s="799"/>
      <c r="BD118" s="799"/>
      <c r="BE118" s="799"/>
      <c r="BF118" s="799"/>
      <c r="BG118" s="799"/>
    </row>
    <row r="119">
      <c r="H119" s="799"/>
      <c r="I119" s="799"/>
      <c r="J119" s="799"/>
      <c r="K119" s="799"/>
      <c r="L119" s="799"/>
      <c r="M119" s="799"/>
      <c r="N119" s="799"/>
      <c r="O119" s="799"/>
      <c r="P119" s="799"/>
      <c r="Q119" s="799"/>
      <c r="R119" s="799"/>
      <c r="S119" s="799"/>
      <c r="T119" s="799"/>
      <c r="U119" s="799"/>
      <c r="V119" s="799"/>
      <c r="W119" s="799"/>
      <c r="X119" s="799"/>
      <c r="Y119" s="799"/>
      <c r="Z119" s="799"/>
      <c r="AA119" s="799"/>
      <c r="AB119" s="799"/>
      <c r="AC119" s="799"/>
      <c r="AD119" s="799"/>
      <c r="AE119" s="799"/>
      <c r="AF119" s="799"/>
      <c r="AG119" s="799"/>
      <c r="AH119" s="799"/>
      <c r="AI119" s="799"/>
      <c r="AJ119" s="799"/>
      <c r="AK119" s="799"/>
      <c r="AL119" s="799"/>
      <c r="AM119" s="799"/>
      <c r="AN119" s="799"/>
      <c r="AO119" s="799"/>
      <c r="AP119" s="799"/>
      <c r="AQ119" s="799"/>
      <c r="AR119" s="799"/>
      <c r="AS119" s="799"/>
      <c r="AT119" s="799"/>
      <c r="AU119" s="799"/>
      <c r="AV119" s="799"/>
      <c r="AW119" s="799"/>
      <c r="AX119" s="799"/>
      <c r="AY119" s="799"/>
      <c r="AZ119" s="799"/>
      <c r="BA119" s="799"/>
      <c r="BB119" s="799"/>
      <c r="BC119" s="799"/>
      <c r="BD119" s="799"/>
      <c r="BE119" s="799"/>
      <c r="BF119" s="799"/>
      <c r="BG119" s="799"/>
    </row>
    <row r="120">
      <c r="H120" s="799"/>
      <c r="I120" s="799"/>
      <c r="J120" s="799"/>
      <c r="K120" s="799"/>
      <c r="L120" s="799"/>
      <c r="M120" s="799"/>
      <c r="N120" s="799"/>
      <c r="O120" s="799"/>
      <c r="P120" s="799"/>
      <c r="Q120" s="799"/>
      <c r="R120" s="799"/>
      <c r="S120" s="799"/>
      <c r="T120" s="799"/>
      <c r="U120" s="799"/>
      <c r="V120" s="799"/>
      <c r="W120" s="799"/>
      <c r="X120" s="799"/>
      <c r="Y120" s="799"/>
      <c r="Z120" s="799"/>
      <c r="AA120" s="799"/>
      <c r="AB120" s="799"/>
      <c r="AC120" s="799"/>
      <c r="AD120" s="799"/>
      <c r="AE120" s="799"/>
      <c r="AF120" s="799"/>
      <c r="AG120" s="799"/>
      <c r="AH120" s="799"/>
      <c r="AI120" s="799"/>
      <c r="AJ120" s="799"/>
      <c r="AK120" s="799"/>
      <c r="AL120" s="799"/>
      <c r="AM120" s="799"/>
      <c r="AN120" s="799"/>
      <c r="AO120" s="799"/>
      <c r="AP120" s="799"/>
      <c r="AQ120" s="799"/>
      <c r="AR120" s="799"/>
      <c r="AS120" s="799"/>
      <c r="AT120" s="799"/>
      <c r="AU120" s="799"/>
      <c r="AV120" s="799"/>
      <c r="AW120" s="799"/>
      <c r="AX120" s="799"/>
      <c r="AY120" s="799"/>
      <c r="AZ120" s="799"/>
      <c r="BA120" s="799"/>
      <c r="BB120" s="799"/>
      <c r="BC120" s="799"/>
      <c r="BD120" s="799"/>
      <c r="BE120" s="799"/>
      <c r="BF120" s="799"/>
      <c r="BG120" s="799"/>
    </row>
    <row r="121">
      <c r="H121" s="799"/>
      <c r="I121" s="799"/>
      <c r="J121" s="799"/>
      <c r="K121" s="799"/>
      <c r="L121" s="799"/>
      <c r="M121" s="799"/>
      <c r="N121" s="799"/>
      <c r="O121" s="799"/>
      <c r="P121" s="799"/>
      <c r="Q121" s="799"/>
      <c r="R121" s="799"/>
      <c r="S121" s="799"/>
      <c r="T121" s="799"/>
      <c r="U121" s="799"/>
      <c r="V121" s="799"/>
      <c r="W121" s="799"/>
      <c r="X121" s="799"/>
      <c r="Y121" s="799"/>
      <c r="Z121" s="799"/>
      <c r="AA121" s="799"/>
      <c r="AB121" s="799"/>
      <c r="AC121" s="799"/>
      <c r="AD121" s="799"/>
      <c r="AE121" s="799"/>
      <c r="AF121" s="799"/>
      <c r="AG121" s="799"/>
      <c r="AH121" s="799"/>
      <c r="AI121" s="799"/>
      <c r="AJ121" s="799"/>
      <c r="AK121" s="799"/>
      <c r="AL121" s="799"/>
      <c r="AM121" s="799"/>
      <c r="AN121" s="799"/>
      <c r="AO121" s="799"/>
      <c r="AP121" s="799"/>
      <c r="AQ121" s="799"/>
      <c r="AR121" s="799"/>
      <c r="AS121" s="799"/>
      <c r="AT121" s="799"/>
      <c r="AU121" s="799"/>
      <c r="AV121" s="799"/>
      <c r="AW121" s="799"/>
      <c r="AX121" s="799"/>
      <c r="AY121" s="799"/>
      <c r="AZ121" s="799"/>
      <c r="BA121" s="799"/>
      <c r="BB121" s="799"/>
      <c r="BC121" s="799"/>
      <c r="BD121" s="799"/>
      <c r="BE121" s="799"/>
      <c r="BF121" s="799"/>
      <c r="BG121" s="799"/>
    </row>
    <row r="122">
      <c r="H122" s="799"/>
      <c r="I122" s="799"/>
      <c r="J122" s="799"/>
      <c r="K122" s="799"/>
      <c r="L122" s="799"/>
      <c r="M122" s="799"/>
      <c r="N122" s="799"/>
      <c r="O122" s="799"/>
      <c r="P122" s="799"/>
      <c r="Q122" s="799"/>
      <c r="R122" s="799"/>
      <c r="S122" s="799"/>
      <c r="T122" s="799"/>
      <c r="U122" s="799"/>
      <c r="V122" s="799"/>
      <c r="W122" s="799"/>
      <c r="X122" s="799"/>
      <c r="Y122" s="799"/>
      <c r="Z122" s="799"/>
      <c r="AA122" s="799"/>
      <c r="AB122" s="799"/>
      <c r="AC122" s="799"/>
      <c r="AD122" s="799"/>
      <c r="AE122" s="799"/>
      <c r="AF122" s="799"/>
      <c r="AG122" s="799"/>
      <c r="AH122" s="799"/>
      <c r="AI122" s="799"/>
      <c r="AJ122" s="799"/>
      <c r="AK122" s="799"/>
      <c r="AL122" s="799"/>
      <c r="AM122" s="799"/>
      <c r="AN122" s="799"/>
      <c r="AO122" s="799"/>
      <c r="AP122" s="799"/>
      <c r="AQ122" s="799"/>
      <c r="AR122" s="799"/>
      <c r="AS122" s="799"/>
      <c r="AT122" s="799"/>
      <c r="AU122" s="799"/>
      <c r="AV122" s="799"/>
      <c r="AW122" s="799"/>
      <c r="AX122" s="799"/>
      <c r="AY122" s="799"/>
      <c r="AZ122" s="799"/>
      <c r="BA122" s="799"/>
      <c r="BB122" s="799"/>
      <c r="BC122" s="799"/>
      <c r="BD122" s="799"/>
      <c r="BE122" s="799"/>
      <c r="BF122" s="799"/>
      <c r="BG122" s="799"/>
    </row>
    <row r="123">
      <c r="H123" s="799"/>
      <c r="I123" s="799"/>
      <c r="J123" s="799"/>
      <c r="K123" s="799"/>
      <c r="L123" s="799"/>
      <c r="M123" s="799"/>
      <c r="N123" s="799"/>
      <c r="O123" s="799"/>
      <c r="P123" s="799"/>
      <c r="Q123" s="799"/>
      <c r="R123" s="799"/>
      <c r="S123" s="799"/>
      <c r="T123" s="799"/>
      <c r="U123" s="799"/>
      <c r="V123" s="799"/>
      <c r="W123" s="799"/>
      <c r="X123" s="799"/>
      <c r="Y123" s="799"/>
      <c r="Z123" s="799"/>
      <c r="AA123" s="799"/>
      <c r="AB123" s="799"/>
      <c r="AC123" s="799"/>
      <c r="AD123" s="799"/>
      <c r="AE123" s="799"/>
      <c r="AF123" s="799"/>
      <c r="AG123" s="799"/>
      <c r="AH123" s="799"/>
      <c r="AI123" s="799"/>
      <c r="AJ123" s="799"/>
      <c r="AK123" s="799"/>
      <c r="AL123" s="799"/>
      <c r="AM123" s="799"/>
      <c r="AN123" s="799"/>
      <c r="AO123" s="799"/>
      <c r="AP123" s="799"/>
      <c r="AQ123" s="799"/>
      <c r="AR123" s="799"/>
      <c r="AS123" s="799"/>
      <c r="AT123" s="799"/>
      <c r="AU123" s="799"/>
      <c r="AV123" s="799"/>
      <c r="AW123" s="799"/>
      <c r="AX123" s="799"/>
      <c r="AY123" s="799"/>
      <c r="AZ123" s="799"/>
      <c r="BA123" s="799"/>
      <c r="BB123" s="799"/>
      <c r="BC123" s="799"/>
      <c r="BD123" s="799"/>
      <c r="BE123" s="799"/>
      <c r="BF123" s="799"/>
      <c r="BG123" s="799"/>
    </row>
    <row r="124">
      <c r="H124" s="799"/>
      <c r="I124" s="799"/>
      <c r="J124" s="799"/>
      <c r="K124" s="799"/>
      <c r="L124" s="799"/>
      <c r="M124" s="799"/>
      <c r="N124" s="799"/>
      <c r="O124" s="799"/>
      <c r="P124" s="799"/>
      <c r="Q124" s="799"/>
      <c r="R124" s="799"/>
      <c r="S124" s="799"/>
      <c r="T124" s="799"/>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799"/>
      <c r="BF124" s="799"/>
      <c r="BG124" s="799"/>
    </row>
    <row r="125">
      <c r="H125" s="799"/>
      <c r="I125" s="799"/>
      <c r="J125" s="799"/>
      <c r="K125" s="799"/>
      <c r="L125" s="799"/>
      <c r="M125" s="799"/>
      <c r="N125" s="799"/>
      <c r="O125" s="799"/>
      <c r="P125" s="799"/>
      <c r="Q125" s="799"/>
      <c r="R125" s="799"/>
      <c r="S125" s="799"/>
      <c r="T125" s="799"/>
      <c r="U125" s="799"/>
      <c r="V125" s="799"/>
      <c r="W125" s="799"/>
      <c r="X125" s="799"/>
      <c r="Y125" s="799"/>
      <c r="Z125" s="799"/>
      <c r="AA125" s="799"/>
      <c r="AB125" s="799"/>
      <c r="AC125" s="799"/>
      <c r="AD125" s="799"/>
      <c r="AE125" s="799"/>
      <c r="AF125" s="799"/>
      <c r="AG125" s="799"/>
      <c r="AH125" s="799"/>
      <c r="AI125" s="799"/>
      <c r="AJ125" s="799"/>
      <c r="AK125" s="799"/>
      <c r="AL125" s="799"/>
      <c r="AM125" s="799"/>
      <c r="AN125" s="799"/>
      <c r="AO125" s="799"/>
      <c r="AP125" s="799"/>
      <c r="AQ125" s="799"/>
      <c r="AR125" s="799"/>
      <c r="AS125" s="799"/>
      <c r="AT125" s="799"/>
      <c r="AU125" s="799"/>
      <c r="AV125" s="799"/>
      <c r="AW125" s="799"/>
      <c r="AX125" s="799"/>
      <c r="AY125" s="799"/>
      <c r="AZ125" s="799"/>
      <c r="BA125" s="799"/>
      <c r="BB125" s="799"/>
      <c r="BC125" s="799"/>
      <c r="BD125" s="799"/>
      <c r="BE125" s="799"/>
      <c r="BF125" s="799"/>
      <c r="BG125" s="799"/>
    </row>
    <row r="126">
      <c r="H126" s="799"/>
      <c r="I126" s="799"/>
      <c r="J126" s="799"/>
      <c r="K126" s="799"/>
      <c r="L126" s="799"/>
      <c r="M126" s="799"/>
      <c r="N126" s="799"/>
      <c r="O126" s="799"/>
      <c r="P126" s="799"/>
      <c r="Q126" s="799"/>
      <c r="R126" s="799"/>
      <c r="S126" s="799"/>
      <c r="T126" s="799"/>
      <c r="U126" s="799"/>
      <c r="V126" s="799"/>
      <c r="W126" s="799"/>
      <c r="X126" s="799"/>
      <c r="Y126" s="799"/>
      <c r="Z126" s="799"/>
      <c r="AA126" s="799"/>
      <c r="AB126" s="799"/>
      <c r="AC126" s="799"/>
      <c r="AD126" s="799"/>
      <c r="AE126" s="799"/>
      <c r="AF126" s="799"/>
      <c r="AG126" s="799"/>
      <c r="AH126" s="799"/>
      <c r="AI126" s="799"/>
      <c r="AJ126" s="799"/>
      <c r="AK126" s="799"/>
      <c r="AL126" s="799"/>
      <c r="AM126" s="799"/>
      <c r="AN126" s="799"/>
      <c r="AO126" s="799"/>
      <c r="AP126" s="799"/>
      <c r="AQ126" s="799"/>
      <c r="AR126" s="799"/>
      <c r="AS126" s="799"/>
      <c r="AT126" s="799"/>
      <c r="AU126" s="799"/>
      <c r="AV126" s="799"/>
      <c r="AW126" s="799"/>
      <c r="AX126" s="799"/>
      <c r="AY126" s="799"/>
      <c r="AZ126" s="799"/>
      <c r="BA126" s="799"/>
      <c r="BB126" s="799"/>
      <c r="BC126" s="799"/>
      <c r="BD126" s="799"/>
      <c r="BE126" s="799"/>
      <c r="BF126" s="799"/>
      <c r="BG126" s="799"/>
    </row>
    <row r="127">
      <c r="H127" s="799"/>
      <c r="I127" s="799"/>
      <c r="J127" s="799"/>
      <c r="K127" s="799"/>
      <c r="L127" s="799"/>
      <c r="M127" s="799"/>
      <c r="N127" s="799"/>
      <c r="O127" s="799"/>
      <c r="P127" s="799"/>
      <c r="Q127" s="799"/>
      <c r="R127" s="799"/>
      <c r="S127" s="799"/>
      <c r="T127" s="799"/>
      <c r="U127" s="799"/>
      <c r="V127" s="799"/>
      <c r="W127" s="799"/>
      <c r="X127" s="799"/>
      <c r="Y127" s="799"/>
      <c r="Z127" s="799"/>
      <c r="AA127" s="799"/>
      <c r="AB127" s="799"/>
      <c r="AC127" s="799"/>
      <c r="AD127" s="799"/>
      <c r="AE127" s="799"/>
      <c r="AF127" s="799"/>
      <c r="AG127" s="799"/>
      <c r="AH127" s="799"/>
      <c r="AI127" s="799"/>
      <c r="AJ127" s="799"/>
      <c r="AK127" s="799"/>
      <c r="AL127" s="799"/>
      <c r="AM127" s="799"/>
      <c r="AN127" s="799"/>
      <c r="AO127" s="799"/>
      <c r="AP127" s="799"/>
      <c r="AQ127" s="799"/>
      <c r="AR127" s="799"/>
      <c r="AS127" s="799"/>
      <c r="AT127" s="799"/>
      <c r="AU127" s="799"/>
      <c r="AV127" s="799"/>
      <c r="AW127" s="799"/>
      <c r="AX127" s="799"/>
      <c r="AY127" s="799"/>
      <c r="AZ127" s="799"/>
      <c r="BA127" s="799"/>
      <c r="BB127" s="799"/>
      <c r="BC127" s="799"/>
      <c r="BD127" s="799"/>
      <c r="BE127" s="799"/>
      <c r="BF127" s="799"/>
      <c r="BG127" s="799"/>
    </row>
    <row r="128">
      <c r="H128" s="799"/>
      <c r="I128" s="799"/>
      <c r="J128" s="799"/>
      <c r="K128" s="799"/>
      <c r="L128" s="799"/>
      <c r="M128" s="799"/>
      <c r="N128" s="799"/>
      <c r="O128" s="799"/>
      <c r="P128" s="799"/>
      <c r="Q128" s="799"/>
      <c r="R128" s="799"/>
      <c r="S128" s="799"/>
      <c r="T128" s="799"/>
      <c r="U128" s="799"/>
      <c r="V128" s="799"/>
      <c r="W128" s="799"/>
      <c r="X128" s="799"/>
      <c r="Y128" s="799"/>
      <c r="Z128" s="799"/>
      <c r="AA128" s="799"/>
      <c r="AB128" s="799"/>
      <c r="AC128" s="799"/>
      <c r="AD128" s="799"/>
      <c r="AE128" s="799"/>
      <c r="AF128" s="799"/>
      <c r="AG128" s="799"/>
      <c r="AH128" s="799"/>
      <c r="AI128" s="799"/>
      <c r="AJ128" s="799"/>
      <c r="AK128" s="799"/>
      <c r="AL128" s="799"/>
      <c r="AM128" s="799"/>
      <c r="AN128" s="799"/>
      <c r="AO128" s="799"/>
      <c r="AP128" s="799"/>
      <c r="AQ128" s="799"/>
      <c r="AR128" s="799"/>
      <c r="AS128" s="799"/>
      <c r="AT128" s="799"/>
      <c r="AU128" s="799"/>
      <c r="AV128" s="799"/>
      <c r="AW128" s="799"/>
      <c r="AX128" s="799"/>
      <c r="AY128" s="799"/>
      <c r="AZ128" s="799"/>
      <c r="BA128" s="799"/>
      <c r="BB128" s="799"/>
      <c r="BC128" s="799"/>
      <c r="BD128" s="799"/>
      <c r="BE128" s="799"/>
      <c r="BF128" s="799"/>
      <c r="BG128" s="799"/>
    </row>
    <row r="12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799"/>
      <c r="AE129" s="799"/>
      <c r="AF129" s="799"/>
      <c r="AG129" s="799"/>
      <c r="AH129" s="799"/>
      <c r="AI129" s="799"/>
      <c r="AJ129" s="799"/>
      <c r="AK129" s="799"/>
      <c r="AL129" s="799"/>
      <c r="AM129" s="799"/>
      <c r="AN129" s="799"/>
      <c r="AO129" s="799"/>
      <c r="AP129" s="799"/>
      <c r="AQ129" s="799"/>
      <c r="AR129" s="799"/>
      <c r="AS129" s="799"/>
      <c r="AT129" s="799"/>
      <c r="AU129" s="799"/>
      <c r="AV129" s="799"/>
      <c r="AW129" s="799"/>
      <c r="AX129" s="799"/>
      <c r="AY129" s="799"/>
      <c r="AZ129" s="799"/>
      <c r="BA129" s="799"/>
      <c r="BB129" s="799"/>
      <c r="BC129" s="799"/>
      <c r="BD129" s="799"/>
      <c r="BE129" s="799"/>
      <c r="BF129" s="799"/>
      <c r="BG129" s="799"/>
    </row>
    <row r="130">
      <c r="H130" s="799"/>
      <c r="I130" s="799"/>
      <c r="J130" s="799"/>
      <c r="K130" s="799"/>
      <c r="L130" s="799"/>
      <c r="M130" s="799"/>
      <c r="N130" s="799"/>
      <c r="O130" s="799"/>
      <c r="P130" s="799"/>
      <c r="Q130" s="799"/>
      <c r="R130" s="799"/>
      <c r="S130" s="799"/>
      <c r="T130" s="799"/>
      <c r="U130" s="799"/>
      <c r="V130" s="799"/>
      <c r="W130" s="799"/>
      <c r="X130" s="799"/>
      <c r="Y130" s="799"/>
      <c r="Z130" s="799"/>
      <c r="AA130" s="799"/>
      <c r="AB130" s="799"/>
      <c r="AC130" s="799"/>
      <c r="AD130" s="799"/>
      <c r="AE130" s="799"/>
      <c r="AF130" s="799"/>
      <c r="AG130" s="799"/>
      <c r="AH130" s="799"/>
      <c r="AI130" s="799"/>
      <c r="AJ130" s="799"/>
      <c r="AK130" s="799"/>
      <c r="AL130" s="799"/>
      <c r="AM130" s="799"/>
      <c r="AN130" s="799"/>
      <c r="AO130" s="799"/>
      <c r="AP130" s="799"/>
      <c r="AQ130" s="799"/>
      <c r="AR130" s="799"/>
      <c r="AS130" s="799"/>
      <c r="AT130" s="799"/>
      <c r="AU130" s="799"/>
      <c r="AV130" s="799"/>
      <c r="AW130" s="799"/>
      <c r="AX130" s="799"/>
      <c r="AY130" s="799"/>
      <c r="AZ130" s="799"/>
      <c r="BA130" s="799"/>
      <c r="BB130" s="799"/>
      <c r="BC130" s="799"/>
      <c r="BD130" s="799"/>
      <c r="BE130" s="799"/>
      <c r="BF130" s="799"/>
      <c r="BG130" s="799"/>
    </row>
    <row r="131">
      <c r="H131" s="799"/>
      <c r="I131" s="799"/>
      <c r="J131" s="799"/>
      <c r="K131" s="799"/>
      <c r="L131" s="799"/>
      <c r="M131" s="799"/>
      <c r="N131" s="799"/>
      <c r="O131" s="799"/>
      <c r="P131" s="799"/>
      <c r="Q131" s="799"/>
      <c r="R131" s="799"/>
      <c r="S131" s="799"/>
      <c r="T131" s="799"/>
      <c r="U131" s="799"/>
      <c r="V131" s="799"/>
      <c r="W131" s="799"/>
      <c r="X131" s="799"/>
      <c r="Y131" s="799"/>
      <c r="Z131" s="799"/>
      <c r="AA131" s="799"/>
      <c r="AB131" s="799"/>
      <c r="AC131" s="799"/>
      <c r="AD131" s="799"/>
      <c r="AE131" s="799"/>
      <c r="AF131" s="799"/>
      <c r="AG131" s="799"/>
      <c r="AH131" s="799"/>
      <c r="AI131" s="799"/>
      <c r="AJ131" s="799"/>
      <c r="AK131" s="799"/>
      <c r="AL131" s="799"/>
      <c r="AM131" s="799"/>
      <c r="AN131" s="799"/>
      <c r="AO131" s="799"/>
      <c r="AP131" s="799"/>
      <c r="AQ131" s="799"/>
      <c r="AR131" s="799"/>
      <c r="AS131" s="799"/>
      <c r="AT131" s="799"/>
      <c r="AU131" s="799"/>
      <c r="AV131" s="799"/>
      <c r="AW131" s="799"/>
      <c r="AX131" s="799"/>
      <c r="AY131" s="799"/>
      <c r="AZ131" s="799"/>
      <c r="BA131" s="799"/>
      <c r="BB131" s="799"/>
      <c r="BC131" s="799"/>
      <c r="BD131" s="799"/>
      <c r="BE131" s="799"/>
      <c r="BF131" s="799"/>
      <c r="BG131" s="799"/>
    </row>
    <row r="132">
      <c r="H132" s="799"/>
      <c r="I132" s="799"/>
      <c r="J132" s="799"/>
      <c r="K132" s="799"/>
      <c r="L132" s="799"/>
      <c r="M132" s="799"/>
      <c r="N132" s="799"/>
      <c r="O132" s="799"/>
      <c r="P132" s="799"/>
      <c r="Q132" s="799"/>
      <c r="R132" s="799"/>
      <c r="S132" s="799"/>
      <c r="T132" s="799"/>
      <c r="U132" s="799"/>
      <c r="V132" s="799"/>
      <c r="W132" s="799"/>
      <c r="X132" s="799"/>
      <c r="Y132" s="799"/>
      <c r="Z132" s="799"/>
      <c r="AA132" s="799"/>
      <c r="AB132" s="799"/>
      <c r="AC132" s="799"/>
      <c r="AD132" s="799"/>
      <c r="AE132" s="799"/>
      <c r="AF132" s="799"/>
      <c r="AG132" s="799"/>
      <c r="AH132" s="799"/>
      <c r="AI132" s="799"/>
      <c r="AJ132" s="799"/>
      <c r="AK132" s="799"/>
      <c r="AL132" s="799"/>
      <c r="AM132" s="799"/>
      <c r="AN132" s="799"/>
      <c r="AO132" s="799"/>
      <c r="AP132" s="799"/>
      <c r="AQ132" s="799"/>
      <c r="AR132" s="799"/>
      <c r="AS132" s="799"/>
      <c r="AT132" s="799"/>
      <c r="AU132" s="799"/>
      <c r="AV132" s="799"/>
      <c r="AW132" s="799"/>
      <c r="AX132" s="799"/>
      <c r="AY132" s="799"/>
      <c r="AZ132" s="799"/>
      <c r="BA132" s="799"/>
      <c r="BB132" s="799"/>
      <c r="BC132" s="799"/>
      <c r="BD132" s="799"/>
      <c r="BE132" s="799"/>
      <c r="BF132" s="799"/>
      <c r="BG132" s="799"/>
    </row>
    <row r="133">
      <c r="H133" s="799"/>
      <c r="I133" s="799"/>
      <c r="J133" s="799"/>
      <c r="K133" s="799"/>
      <c r="L133" s="799"/>
      <c r="M133" s="799"/>
      <c r="N133" s="799"/>
      <c r="O133" s="799"/>
      <c r="P133" s="799"/>
      <c r="Q133" s="799"/>
      <c r="R133" s="799"/>
      <c r="S133" s="799"/>
      <c r="T133" s="799"/>
      <c r="U133" s="799"/>
      <c r="V133" s="799"/>
      <c r="W133" s="799"/>
      <c r="X133" s="799"/>
      <c r="Y133" s="799"/>
      <c r="Z133" s="799"/>
      <c r="AA133" s="799"/>
      <c r="AB133" s="799"/>
      <c r="AC133" s="799"/>
      <c r="AD133" s="799"/>
      <c r="AE133" s="799"/>
      <c r="AF133" s="799"/>
      <c r="AG133" s="799"/>
      <c r="AH133" s="799"/>
      <c r="AI133" s="799"/>
      <c r="AJ133" s="799"/>
      <c r="AK133" s="799"/>
      <c r="AL133" s="799"/>
      <c r="AM133" s="799"/>
      <c r="AN133" s="799"/>
      <c r="AO133" s="799"/>
      <c r="AP133" s="799"/>
      <c r="AQ133" s="799"/>
      <c r="AR133" s="799"/>
      <c r="AS133" s="799"/>
      <c r="AT133" s="799"/>
      <c r="AU133" s="799"/>
      <c r="AV133" s="799"/>
      <c r="AW133" s="799"/>
      <c r="AX133" s="799"/>
      <c r="AY133" s="799"/>
      <c r="AZ133" s="799"/>
      <c r="BA133" s="799"/>
      <c r="BB133" s="799"/>
      <c r="BC133" s="799"/>
      <c r="BD133" s="799"/>
      <c r="BE133" s="799"/>
      <c r="BF133" s="799"/>
      <c r="BG133" s="799"/>
    </row>
    <row r="134">
      <c r="H134" s="799"/>
      <c r="I134" s="799"/>
      <c r="J134" s="799"/>
      <c r="K134" s="799"/>
      <c r="L134" s="799"/>
      <c r="M134" s="799"/>
      <c r="N134" s="799"/>
      <c r="O134" s="799"/>
      <c r="P134" s="799"/>
      <c r="Q134" s="799"/>
      <c r="R134" s="799"/>
      <c r="S134" s="799"/>
      <c r="T134" s="799"/>
      <c r="U134" s="799"/>
      <c r="V134" s="799"/>
      <c r="W134" s="799"/>
      <c r="X134" s="799"/>
      <c r="Y134" s="799"/>
      <c r="Z134" s="799"/>
      <c r="AA134" s="799"/>
      <c r="AB134" s="799"/>
      <c r="AC134" s="799"/>
      <c r="AD134" s="799"/>
      <c r="AE134" s="799"/>
      <c r="AF134" s="799"/>
      <c r="AG134" s="799"/>
      <c r="AH134" s="799"/>
      <c r="AI134" s="799"/>
      <c r="AJ134" s="799"/>
      <c r="AK134" s="799"/>
      <c r="AL134" s="799"/>
      <c r="AM134" s="799"/>
      <c r="AN134" s="799"/>
      <c r="AO134" s="799"/>
      <c r="AP134" s="799"/>
      <c r="AQ134" s="799"/>
      <c r="AR134" s="799"/>
      <c r="AS134" s="799"/>
      <c r="AT134" s="799"/>
      <c r="AU134" s="799"/>
      <c r="AV134" s="799"/>
      <c r="AW134" s="799"/>
      <c r="AX134" s="799"/>
      <c r="AY134" s="799"/>
      <c r="AZ134" s="799"/>
      <c r="BA134" s="799"/>
      <c r="BB134" s="799"/>
      <c r="BC134" s="799"/>
      <c r="BD134" s="799"/>
      <c r="BE134" s="799"/>
      <c r="BF134" s="799"/>
      <c r="BG134" s="799"/>
    </row>
    <row r="135">
      <c r="H135" s="799"/>
      <c r="I135" s="799"/>
      <c r="J135" s="799"/>
      <c r="K135" s="799"/>
      <c r="L135" s="799"/>
      <c r="M135" s="799"/>
      <c r="N135" s="799"/>
      <c r="O135" s="799"/>
      <c r="P135" s="799"/>
      <c r="Q135" s="799"/>
      <c r="R135" s="799"/>
      <c r="S135" s="799"/>
      <c r="T135" s="799"/>
      <c r="U135" s="799"/>
      <c r="V135" s="799"/>
      <c r="W135" s="799"/>
      <c r="X135" s="799"/>
      <c r="Y135" s="799"/>
      <c r="Z135" s="799"/>
      <c r="AA135" s="799"/>
      <c r="AB135" s="799"/>
      <c r="AC135" s="799"/>
      <c r="AD135" s="799"/>
      <c r="AE135" s="799"/>
      <c r="AF135" s="799"/>
      <c r="AG135" s="799"/>
      <c r="AH135" s="799"/>
      <c r="AI135" s="799"/>
      <c r="AJ135" s="799"/>
      <c r="AK135" s="799"/>
      <c r="AL135" s="799"/>
      <c r="AM135" s="799"/>
      <c r="AN135" s="799"/>
      <c r="AO135" s="799"/>
      <c r="AP135" s="799"/>
      <c r="AQ135" s="799"/>
      <c r="AR135" s="799"/>
      <c r="AS135" s="799"/>
      <c r="AT135" s="799"/>
      <c r="AU135" s="799"/>
      <c r="AV135" s="799"/>
      <c r="AW135" s="799"/>
      <c r="AX135" s="799"/>
      <c r="AY135" s="799"/>
      <c r="AZ135" s="799"/>
      <c r="BA135" s="799"/>
      <c r="BB135" s="799"/>
      <c r="BC135" s="799"/>
      <c r="BD135" s="799"/>
      <c r="BE135" s="799"/>
      <c r="BF135" s="799"/>
      <c r="BG135" s="799"/>
    </row>
    <row r="136">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row>
    <row r="137">
      <c r="H137" s="799"/>
      <c r="I137" s="799"/>
      <c r="J137" s="799"/>
      <c r="K137" s="799"/>
      <c r="L137" s="799"/>
      <c r="M137" s="799"/>
      <c r="N137" s="799"/>
      <c r="O137" s="799"/>
      <c r="P137" s="799"/>
      <c r="Q137" s="799"/>
      <c r="R137" s="799"/>
      <c r="S137" s="799"/>
      <c r="T137" s="799"/>
      <c r="U137" s="799"/>
      <c r="V137" s="799"/>
      <c r="W137" s="799"/>
      <c r="X137" s="799"/>
      <c r="Y137" s="799"/>
      <c r="Z137" s="799"/>
      <c r="AA137" s="799"/>
      <c r="AB137" s="799"/>
      <c r="AC137" s="799"/>
      <c r="AD137" s="799"/>
      <c r="AE137" s="799"/>
      <c r="AF137" s="799"/>
      <c r="AG137" s="799"/>
      <c r="AH137" s="799"/>
      <c r="AI137" s="799"/>
      <c r="AJ137" s="799"/>
      <c r="AK137" s="799"/>
      <c r="AL137" s="799"/>
      <c r="AM137" s="799"/>
      <c r="AN137" s="799"/>
      <c r="AO137" s="799"/>
      <c r="AP137" s="799"/>
      <c r="AQ137" s="799"/>
      <c r="AR137" s="799"/>
      <c r="AS137" s="799"/>
      <c r="AT137" s="799"/>
      <c r="AU137" s="799"/>
      <c r="AV137" s="799"/>
      <c r="AW137" s="799"/>
      <c r="AX137" s="799"/>
      <c r="AY137" s="799"/>
      <c r="AZ137" s="799"/>
      <c r="BA137" s="799"/>
      <c r="BB137" s="799"/>
      <c r="BC137" s="799"/>
      <c r="BD137" s="799"/>
      <c r="BE137" s="799"/>
      <c r="BF137" s="799"/>
      <c r="BG137" s="799"/>
    </row>
    <row r="138">
      <c r="H138" s="799"/>
      <c r="I138" s="799"/>
      <c r="J138" s="799"/>
      <c r="K138" s="799"/>
      <c r="L138" s="799"/>
      <c r="M138" s="799"/>
      <c r="N138" s="799"/>
      <c r="O138" s="799"/>
      <c r="P138" s="799"/>
      <c r="Q138" s="799"/>
      <c r="R138" s="799"/>
      <c r="S138" s="799"/>
      <c r="T138" s="799"/>
      <c r="U138" s="799"/>
      <c r="V138" s="799"/>
      <c r="W138" s="799"/>
      <c r="X138" s="799"/>
      <c r="Y138" s="799"/>
      <c r="Z138" s="799"/>
      <c r="AA138" s="799"/>
      <c r="AB138" s="799"/>
      <c r="AC138" s="799"/>
      <c r="AD138" s="799"/>
      <c r="AE138" s="799"/>
      <c r="AF138" s="799"/>
      <c r="AG138" s="799"/>
      <c r="AH138" s="799"/>
      <c r="AI138" s="799"/>
      <c r="AJ138" s="799"/>
      <c r="AK138" s="799"/>
      <c r="AL138" s="799"/>
      <c r="AM138" s="799"/>
      <c r="AN138" s="799"/>
      <c r="AO138" s="799"/>
      <c r="AP138" s="799"/>
      <c r="AQ138" s="799"/>
      <c r="AR138" s="799"/>
      <c r="AS138" s="799"/>
      <c r="AT138" s="799"/>
      <c r="AU138" s="799"/>
      <c r="AV138" s="799"/>
      <c r="AW138" s="799"/>
      <c r="AX138" s="799"/>
      <c r="AY138" s="799"/>
      <c r="AZ138" s="799"/>
      <c r="BA138" s="799"/>
      <c r="BB138" s="799"/>
      <c r="BC138" s="799"/>
      <c r="BD138" s="799"/>
      <c r="BE138" s="799"/>
      <c r="BF138" s="799"/>
      <c r="BG138" s="799"/>
    </row>
    <row r="139">
      <c r="H139" s="799"/>
      <c r="I139" s="799"/>
      <c r="J139" s="799"/>
      <c r="K139" s="799"/>
      <c r="L139" s="799"/>
      <c r="M139" s="799"/>
      <c r="N139" s="799"/>
      <c r="O139" s="799"/>
      <c r="P139" s="799"/>
      <c r="Q139" s="799"/>
      <c r="R139" s="799"/>
      <c r="S139" s="799"/>
      <c r="T139" s="799"/>
      <c r="U139" s="799"/>
      <c r="V139" s="799"/>
      <c r="W139" s="799"/>
      <c r="X139" s="799"/>
      <c r="Y139" s="799"/>
      <c r="Z139" s="799"/>
      <c r="AA139" s="799"/>
      <c r="AB139" s="799"/>
      <c r="AC139" s="799"/>
      <c r="AD139" s="799"/>
      <c r="AE139" s="799"/>
      <c r="AF139" s="799"/>
      <c r="AG139" s="799"/>
      <c r="AH139" s="799"/>
      <c r="AI139" s="799"/>
      <c r="AJ139" s="799"/>
      <c r="AK139" s="799"/>
      <c r="AL139" s="799"/>
      <c r="AM139" s="799"/>
      <c r="AN139" s="799"/>
      <c r="AO139" s="799"/>
      <c r="AP139" s="799"/>
      <c r="AQ139" s="799"/>
      <c r="AR139" s="799"/>
      <c r="AS139" s="799"/>
      <c r="AT139" s="799"/>
      <c r="AU139" s="799"/>
      <c r="AV139" s="799"/>
      <c r="AW139" s="799"/>
      <c r="AX139" s="799"/>
      <c r="AY139" s="799"/>
      <c r="AZ139" s="799"/>
      <c r="BA139" s="799"/>
      <c r="BB139" s="799"/>
      <c r="BC139" s="799"/>
      <c r="BD139" s="799"/>
      <c r="BE139" s="799"/>
      <c r="BF139" s="799"/>
      <c r="BG139" s="799"/>
    </row>
    <row r="140">
      <c r="H140" s="799"/>
      <c r="I140" s="799"/>
      <c r="J140" s="799"/>
      <c r="K140" s="799"/>
      <c r="L140" s="799"/>
      <c r="M140" s="799"/>
      <c r="N140" s="799"/>
      <c r="O140" s="799"/>
      <c r="P140" s="799"/>
      <c r="Q140" s="799"/>
      <c r="R140" s="799"/>
      <c r="S140" s="799"/>
      <c r="T140" s="799"/>
      <c r="U140" s="799"/>
      <c r="V140" s="799"/>
      <c r="W140" s="799"/>
      <c r="X140" s="799"/>
      <c r="Y140" s="799"/>
      <c r="Z140" s="799"/>
      <c r="AA140" s="799"/>
      <c r="AB140" s="799"/>
      <c r="AC140" s="799"/>
      <c r="AD140" s="799"/>
      <c r="AE140" s="799"/>
      <c r="AF140" s="799"/>
      <c r="AG140" s="799"/>
      <c r="AH140" s="799"/>
      <c r="AI140" s="799"/>
      <c r="AJ140" s="799"/>
      <c r="AK140" s="799"/>
      <c r="AL140" s="799"/>
      <c r="AM140" s="799"/>
      <c r="AN140" s="799"/>
      <c r="AO140" s="799"/>
      <c r="AP140" s="799"/>
      <c r="AQ140" s="799"/>
      <c r="AR140" s="799"/>
      <c r="AS140" s="799"/>
      <c r="AT140" s="799"/>
      <c r="AU140" s="799"/>
      <c r="AV140" s="799"/>
      <c r="AW140" s="799"/>
      <c r="AX140" s="799"/>
      <c r="AY140" s="799"/>
      <c r="AZ140" s="799"/>
      <c r="BA140" s="799"/>
      <c r="BB140" s="799"/>
      <c r="BC140" s="799"/>
      <c r="BD140" s="799"/>
      <c r="BE140" s="799"/>
      <c r="BF140" s="799"/>
      <c r="BG140" s="799"/>
    </row>
    <row r="141">
      <c r="H141" s="799"/>
      <c r="I141" s="799"/>
      <c r="J141" s="799"/>
      <c r="K141" s="799"/>
      <c r="L141" s="799"/>
      <c r="M141" s="799"/>
      <c r="N141" s="799"/>
      <c r="O141" s="799"/>
      <c r="P141" s="799"/>
      <c r="Q141" s="799"/>
      <c r="R141" s="799"/>
      <c r="S141" s="799"/>
      <c r="T141" s="799"/>
      <c r="U141" s="799"/>
      <c r="V141" s="799"/>
      <c r="W141" s="799"/>
      <c r="X141" s="799"/>
      <c r="Y141" s="799"/>
      <c r="Z141" s="799"/>
      <c r="AA141" s="799"/>
      <c r="AB141" s="799"/>
      <c r="AC141" s="799"/>
      <c r="AD141" s="799"/>
      <c r="AE141" s="799"/>
      <c r="AF141" s="799"/>
      <c r="AG141" s="799"/>
      <c r="AH141" s="799"/>
      <c r="AI141" s="799"/>
      <c r="AJ141" s="799"/>
      <c r="AK141" s="799"/>
      <c r="AL141" s="799"/>
      <c r="AM141" s="799"/>
      <c r="AN141" s="799"/>
      <c r="AO141" s="799"/>
      <c r="AP141" s="799"/>
      <c r="AQ141" s="799"/>
      <c r="AR141" s="799"/>
      <c r="AS141" s="799"/>
      <c r="AT141" s="799"/>
      <c r="AU141" s="799"/>
      <c r="AV141" s="799"/>
      <c r="AW141" s="799"/>
      <c r="AX141" s="799"/>
      <c r="AY141" s="799"/>
      <c r="AZ141" s="799"/>
      <c r="BA141" s="799"/>
      <c r="BB141" s="799"/>
      <c r="BC141" s="799"/>
      <c r="BD141" s="799"/>
      <c r="BE141" s="799"/>
      <c r="BF141" s="799"/>
      <c r="BG141" s="799"/>
    </row>
    <row r="142">
      <c r="H142" s="799"/>
      <c r="I142" s="799"/>
      <c r="J142" s="799"/>
      <c r="K142" s="799"/>
      <c r="L142" s="799"/>
      <c r="M142" s="799"/>
      <c r="N142" s="799"/>
      <c r="O142" s="799"/>
      <c r="P142" s="799"/>
      <c r="Q142" s="799"/>
      <c r="R142" s="799"/>
      <c r="S142" s="799"/>
      <c r="T142" s="799"/>
      <c r="U142" s="799"/>
      <c r="V142" s="799"/>
      <c r="W142" s="799"/>
      <c r="X142" s="799"/>
      <c r="Y142" s="799"/>
      <c r="Z142" s="799"/>
      <c r="AA142" s="799"/>
      <c r="AB142" s="799"/>
      <c r="AC142" s="799"/>
      <c r="AD142" s="799"/>
      <c r="AE142" s="799"/>
      <c r="AF142" s="799"/>
      <c r="AG142" s="799"/>
      <c r="AH142" s="799"/>
      <c r="AI142" s="799"/>
      <c r="AJ142" s="799"/>
      <c r="AK142" s="799"/>
      <c r="AL142" s="799"/>
      <c r="AM142" s="799"/>
      <c r="AN142" s="799"/>
      <c r="AO142" s="799"/>
      <c r="AP142" s="799"/>
      <c r="AQ142" s="799"/>
      <c r="AR142" s="799"/>
      <c r="AS142" s="799"/>
      <c r="AT142" s="799"/>
      <c r="AU142" s="799"/>
      <c r="AV142" s="799"/>
      <c r="AW142" s="799"/>
      <c r="AX142" s="799"/>
      <c r="AY142" s="799"/>
      <c r="AZ142" s="799"/>
      <c r="BA142" s="799"/>
      <c r="BB142" s="799"/>
      <c r="BC142" s="799"/>
      <c r="BD142" s="799"/>
      <c r="BE142" s="799"/>
      <c r="BF142" s="799"/>
      <c r="BG142" s="799"/>
    </row>
    <row r="143">
      <c r="H143" s="799"/>
      <c r="I143" s="799"/>
      <c r="J143" s="799"/>
      <c r="K143" s="799"/>
      <c r="L143" s="799"/>
      <c r="M143" s="799"/>
      <c r="N143" s="799"/>
      <c r="O143" s="799"/>
      <c r="P143" s="799"/>
      <c r="Q143" s="799"/>
      <c r="R143" s="799"/>
      <c r="S143" s="799"/>
      <c r="T143" s="799"/>
      <c r="U143" s="799"/>
      <c r="V143" s="799"/>
      <c r="W143" s="799"/>
      <c r="X143" s="799"/>
      <c r="Y143" s="799"/>
      <c r="Z143" s="799"/>
      <c r="AA143" s="799"/>
      <c r="AB143" s="799"/>
      <c r="AC143" s="799"/>
      <c r="AD143" s="799"/>
      <c r="AE143" s="799"/>
      <c r="AF143" s="799"/>
      <c r="AG143" s="799"/>
      <c r="AH143" s="799"/>
      <c r="AI143" s="799"/>
      <c r="AJ143" s="799"/>
      <c r="AK143" s="799"/>
      <c r="AL143" s="799"/>
      <c r="AM143" s="799"/>
      <c r="AN143" s="799"/>
      <c r="AO143" s="799"/>
      <c r="AP143" s="799"/>
      <c r="AQ143" s="799"/>
      <c r="AR143" s="799"/>
      <c r="AS143" s="799"/>
      <c r="AT143" s="799"/>
      <c r="AU143" s="799"/>
      <c r="AV143" s="799"/>
      <c r="AW143" s="799"/>
      <c r="AX143" s="799"/>
      <c r="AY143" s="799"/>
      <c r="AZ143" s="799"/>
      <c r="BA143" s="799"/>
      <c r="BB143" s="799"/>
      <c r="BC143" s="799"/>
      <c r="BD143" s="799"/>
      <c r="BE143" s="799"/>
      <c r="BF143" s="799"/>
      <c r="BG143" s="799"/>
    </row>
    <row r="144">
      <c r="H144" s="799"/>
      <c r="I144" s="799"/>
      <c r="J144" s="799"/>
      <c r="K144" s="799"/>
      <c r="L144" s="799"/>
      <c r="M144" s="799"/>
      <c r="N144" s="799"/>
      <c r="O144" s="799"/>
      <c r="P144" s="799"/>
      <c r="Q144" s="799"/>
      <c r="R144" s="799"/>
      <c r="S144" s="799"/>
      <c r="T144" s="799"/>
      <c r="U144" s="799"/>
      <c r="V144" s="799"/>
      <c r="W144" s="799"/>
      <c r="X144" s="799"/>
      <c r="Y144" s="799"/>
      <c r="Z144" s="799"/>
      <c r="AA144" s="799"/>
      <c r="AB144" s="799"/>
      <c r="AC144" s="799"/>
      <c r="AD144" s="799"/>
      <c r="AE144" s="799"/>
      <c r="AF144" s="799"/>
      <c r="AG144" s="799"/>
      <c r="AH144" s="799"/>
      <c r="AI144" s="799"/>
      <c r="AJ144" s="799"/>
      <c r="AK144" s="799"/>
      <c r="AL144" s="799"/>
      <c r="AM144" s="799"/>
      <c r="AN144" s="799"/>
      <c r="AO144" s="799"/>
      <c r="AP144" s="799"/>
      <c r="AQ144" s="799"/>
      <c r="AR144" s="799"/>
      <c r="AS144" s="799"/>
      <c r="AT144" s="799"/>
      <c r="AU144" s="799"/>
      <c r="AV144" s="799"/>
      <c r="AW144" s="799"/>
      <c r="AX144" s="799"/>
      <c r="AY144" s="799"/>
      <c r="AZ144" s="799"/>
      <c r="BA144" s="799"/>
      <c r="BB144" s="799"/>
      <c r="BC144" s="799"/>
      <c r="BD144" s="799"/>
      <c r="BE144" s="799"/>
      <c r="BF144" s="799"/>
      <c r="BG144" s="799"/>
    </row>
    <row r="145">
      <c r="H145" s="799"/>
      <c r="I145" s="799"/>
      <c r="J145" s="799"/>
      <c r="K145" s="799"/>
      <c r="L145" s="799"/>
      <c r="M145" s="799"/>
      <c r="N145" s="799"/>
      <c r="O145" s="799"/>
      <c r="P145" s="799"/>
      <c r="Q145" s="799"/>
      <c r="R145" s="799"/>
      <c r="S145" s="799"/>
      <c r="T145" s="799"/>
      <c r="U145" s="799"/>
      <c r="V145" s="799"/>
      <c r="W145" s="799"/>
      <c r="X145" s="799"/>
      <c r="Y145" s="799"/>
      <c r="Z145" s="799"/>
      <c r="AA145" s="799"/>
      <c r="AB145" s="799"/>
      <c r="AC145" s="799"/>
      <c r="AD145" s="799"/>
      <c r="AE145" s="799"/>
      <c r="AF145" s="799"/>
      <c r="AG145" s="799"/>
      <c r="AH145" s="799"/>
      <c r="AI145" s="799"/>
      <c r="AJ145" s="799"/>
      <c r="AK145" s="799"/>
      <c r="AL145" s="799"/>
      <c r="AM145" s="799"/>
      <c r="AN145" s="799"/>
      <c r="AO145" s="799"/>
      <c r="AP145" s="799"/>
      <c r="AQ145" s="799"/>
      <c r="AR145" s="799"/>
      <c r="AS145" s="799"/>
      <c r="AT145" s="799"/>
      <c r="AU145" s="799"/>
      <c r="AV145" s="799"/>
      <c r="AW145" s="799"/>
      <c r="AX145" s="799"/>
      <c r="AY145" s="799"/>
      <c r="AZ145" s="799"/>
      <c r="BA145" s="799"/>
      <c r="BB145" s="799"/>
      <c r="BC145" s="799"/>
      <c r="BD145" s="799"/>
      <c r="BE145" s="799"/>
      <c r="BF145" s="799"/>
      <c r="BG145" s="799"/>
    </row>
    <row r="146">
      <c r="H146" s="799"/>
      <c r="I146" s="799"/>
      <c r="J146" s="799"/>
      <c r="K146" s="799"/>
      <c r="L146" s="799"/>
      <c r="M146" s="799"/>
      <c r="N146" s="799"/>
      <c r="O146" s="799"/>
      <c r="P146" s="799"/>
      <c r="Q146" s="799"/>
      <c r="R146" s="799"/>
      <c r="S146" s="799"/>
      <c r="T146" s="799"/>
      <c r="U146" s="799"/>
      <c r="V146" s="799"/>
      <c r="W146" s="799"/>
      <c r="X146" s="799"/>
      <c r="Y146" s="799"/>
      <c r="Z146" s="799"/>
      <c r="AA146" s="799"/>
      <c r="AB146" s="799"/>
      <c r="AC146" s="799"/>
      <c r="AD146" s="799"/>
      <c r="AE146" s="799"/>
      <c r="AF146" s="799"/>
      <c r="AG146" s="799"/>
      <c r="AH146" s="799"/>
      <c r="AI146" s="799"/>
      <c r="AJ146" s="799"/>
      <c r="AK146" s="799"/>
      <c r="AL146" s="799"/>
      <c r="AM146" s="799"/>
      <c r="AN146" s="799"/>
      <c r="AO146" s="799"/>
      <c r="AP146" s="799"/>
      <c r="AQ146" s="799"/>
      <c r="AR146" s="799"/>
      <c r="AS146" s="799"/>
      <c r="AT146" s="799"/>
      <c r="AU146" s="799"/>
      <c r="AV146" s="799"/>
      <c r="AW146" s="799"/>
      <c r="AX146" s="799"/>
      <c r="AY146" s="799"/>
      <c r="AZ146" s="799"/>
      <c r="BA146" s="799"/>
      <c r="BB146" s="799"/>
      <c r="BC146" s="799"/>
      <c r="BD146" s="799"/>
      <c r="BE146" s="799"/>
      <c r="BF146" s="799"/>
      <c r="BG146" s="799"/>
    </row>
    <row r="147">
      <c r="H147" s="799"/>
      <c r="I147" s="799"/>
      <c r="J147" s="799"/>
      <c r="K147" s="799"/>
      <c r="L147" s="799"/>
      <c r="M147" s="799"/>
      <c r="N147" s="799"/>
      <c r="O147" s="799"/>
      <c r="P147" s="799"/>
      <c r="Q147" s="799"/>
      <c r="R147" s="799"/>
      <c r="S147" s="799"/>
      <c r="T147" s="799"/>
      <c r="U147" s="799"/>
      <c r="V147" s="799"/>
      <c r="W147" s="799"/>
      <c r="X147" s="799"/>
      <c r="Y147" s="799"/>
      <c r="Z147" s="799"/>
      <c r="AA147" s="799"/>
      <c r="AB147" s="799"/>
      <c r="AC147" s="799"/>
      <c r="AD147" s="799"/>
      <c r="AE147" s="799"/>
      <c r="AF147" s="799"/>
      <c r="AG147" s="799"/>
      <c r="AH147" s="799"/>
      <c r="AI147" s="799"/>
      <c r="AJ147" s="799"/>
      <c r="AK147" s="799"/>
      <c r="AL147" s="799"/>
      <c r="AM147" s="799"/>
      <c r="AN147" s="799"/>
      <c r="AO147" s="799"/>
      <c r="AP147" s="799"/>
      <c r="AQ147" s="799"/>
      <c r="AR147" s="799"/>
      <c r="AS147" s="799"/>
      <c r="AT147" s="799"/>
      <c r="AU147" s="799"/>
      <c r="AV147" s="799"/>
      <c r="AW147" s="799"/>
      <c r="AX147" s="799"/>
      <c r="AY147" s="799"/>
      <c r="AZ147" s="799"/>
      <c r="BA147" s="799"/>
      <c r="BB147" s="799"/>
      <c r="BC147" s="799"/>
      <c r="BD147" s="799"/>
      <c r="BE147" s="799"/>
      <c r="BF147" s="799"/>
      <c r="BG147" s="799"/>
    </row>
    <row r="148">
      <c r="H148" s="799"/>
      <c r="I148" s="799"/>
      <c r="J148" s="799"/>
      <c r="K148" s="799"/>
      <c r="L148" s="799"/>
      <c r="M148" s="799"/>
      <c r="N148" s="799"/>
      <c r="O148" s="799"/>
      <c r="P148" s="799"/>
      <c r="Q148" s="799"/>
      <c r="R148" s="799"/>
      <c r="S148" s="799"/>
      <c r="T148" s="799"/>
      <c r="U148" s="799"/>
      <c r="V148" s="799"/>
      <c r="W148" s="799"/>
      <c r="X148" s="799"/>
      <c r="Y148" s="799"/>
      <c r="Z148" s="799"/>
      <c r="AA148" s="799"/>
      <c r="AB148" s="799"/>
      <c r="AC148" s="799"/>
      <c r="AD148" s="799"/>
      <c r="AE148" s="799"/>
      <c r="AF148" s="799"/>
      <c r="AG148" s="799"/>
      <c r="AH148" s="799"/>
      <c r="AI148" s="799"/>
      <c r="AJ148" s="799"/>
      <c r="AK148" s="799"/>
      <c r="AL148" s="799"/>
      <c r="AM148" s="799"/>
      <c r="AN148" s="799"/>
      <c r="AO148" s="799"/>
      <c r="AP148" s="799"/>
      <c r="AQ148" s="799"/>
      <c r="AR148" s="799"/>
      <c r="AS148" s="799"/>
      <c r="AT148" s="799"/>
      <c r="AU148" s="799"/>
      <c r="AV148" s="799"/>
      <c r="AW148" s="799"/>
      <c r="AX148" s="799"/>
      <c r="AY148" s="799"/>
      <c r="AZ148" s="799"/>
      <c r="BA148" s="799"/>
      <c r="BB148" s="799"/>
      <c r="BC148" s="799"/>
      <c r="BD148" s="799"/>
      <c r="BE148" s="799"/>
      <c r="BF148" s="799"/>
      <c r="BG148" s="799"/>
    </row>
    <row r="149">
      <c r="H149" s="799"/>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799"/>
      <c r="AL149" s="799"/>
      <c r="AM149" s="799"/>
      <c r="AN149" s="799"/>
      <c r="AO149" s="799"/>
      <c r="AP149" s="799"/>
      <c r="AQ149" s="799"/>
      <c r="AR149" s="799"/>
      <c r="AS149" s="799"/>
      <c r="AT149" s="799"/>
      <c r="AU149" s="799"/>
      <c r="AV149" s="799"/>
      <c r="AW149" s="799"/>
      <c r="AX149" s="799"/>
      <c r="AY149" s="799"/>
      <c r="AZ149" s="799"/>
      <c r="BA149" s="799"/>
      <c r="BB149" s="799"/>
      <c r="BC149" s="799"/>
      <c r="BD149" s="799"/>
      <c r="BE149" s="799"/>
      <c r="BF149" s="799"/>
      <c r="BG149" s="799"/>
    </row>
    <row r="150">
      <c r="H150" s="799"/>
      <c r="I150" s="799"/>
      <c r="J150" s="799"/>
      <c r="K150" s="799"/>
      <c r="L150" s="799"/>
      <c r="M150" s="799"/>
      <c r="N150" s="799"/>
      <c r="O150" s="799"/>
      <c r="P150" s="799"/>
      <c r="Q150" s="799"/>
      <c r="R150" s="799"/>
      <c r="S150" s="799"/>
      <c r="T150" s="799"/>
      <c r="U150" s="799"/>
      <c r="V150" s="799"/>
      <c r="W150" s="799"/>
      <c r="X150" s="799"/>
      <c r="Y150" s="799"/>
      <c r="Z150" s="799"/>
      <c r="AA150" s="799"/>
      <c r="AB150" s="799"/>
      <c r="AC150" s="799"/>
      <c r="AD150" s="799"/>
      <c r="AE150" s="799"/>
      <c r="AF150" s="799"/>
      <c r="AG150" s="799"/>
      <c r="AH150" s="799"/>
      <c r="AI150" s="799"/>
      <c r="AJ150" s="799"/>
      <c r="AK150" s="799"/>
      <c r="AL150" s="799"/>
      <c r="AM150" s="799"/>
      <c r="AN150" s="799"/>
      <c r="AO150" s="799"/>
      <c r="AP150" s="799"/>
      <c r="AQ150" s="799"/>
      <c r="AR150" s="799"/>
      <c r="AS150" s="799"/>
      <c r="AT150" s="799"/>
      <c r="AU150" s="799"/>
      <c r="AV150" s="799"/>
      <c r="AW150" s="799"/>
      <c r="AX150" s="799"/>
      <c r="AY150" s="799"/>
      <c r="AZ150" s="799"/>
      <c r="BA150" s="799"/>
      <c r="BB150" s="799"/>
      <c r="BC150" s="799"/>
      <c r="BD150" s="799"/>
      <c r="BE150" s="799"/>
      <c r="BF150" s="799"/>
      <c r="BG150" s="799"/>
    </row>
    <row r="151">
      <c r="H151" s="799"/>
      <c r="I151" s="799"/>
      <c r="J151" s="799"/>
      <c r="K151" s="799"/>
      <c r="L151" s="799"/>
      <c r="M151" s="799"/>
      <c r="N151" s="799"/>
      <c r="O151" s="799"/>
      <c r="P151" s="799"/>
      <c r="Q151" s="799"/>
      <c r="R151" s="799"/>
      <c r="S151" s="799"/>
      <c r="T151" s="799"/>
      <c r="U151" s="799"/>
      <c r="V151" s="799"/>
      <c r="W151" s="799"/>
      <c r="X151" s="799"/>
      <c r="Y151" s="799"/>
      <c r="Z151" s="799"/>
      <c r="AA151" s="799"/>
      <c r="AB151" s="799"/>
      <c r="AC151" s="799"/>
      <c r="AD151" s="799"/>
      <c r="AE151" s="799"/>
      <c r="AF151" s="799"/>
      <c r="AG151" s="799"/>
      <c r="AH151" s="799"/>
      <c r="AI151" s="799"/>
      <c r="AJ151" s="799"/>
      <c r="AK151" s="799"/>
      <c r="AL151" s="799"/>
      <c r="AM151" s="799"/>
      <c r="AN151" s="799"/>
      <c r="AO151" s="799"/>
      <c r="AP151" s="799"/>
      <c r="AQ151" s="799"/>
      <c r="AR151" s="799"/>
      <c r="AS151" s="799"/>
      <c r="AT151" s="799"/>
      <c r="AU151" s="799"/>
      <c r="AV151" s="799"/>
      <c r="AW151" s="799"/>
      <c r="AX151" s="799"/>
      <c r="AY151" s="799"/>
      <c r="AZ151" s="799"/>
      <c r="BA151" s="799"/>
      <c r="BB151" s="799"/>
      <c r="BC151" s="799"/>
      <c r="BD151" s="799"/>
      <c r="BE151" s="799"/>
      <c r="BF151" s="799"/>
      <c r="BG151" s="799"/>
    </row>
    <row r="152">
      <c r="H152" s="799"/>
      <c r="I152" s="799"/>
      <c r="J152" s="799"/>
      <c r="K152" s="799"/>
      <c r="L152" s="799"/>
      <c r="M152" s="799"/>
      <c r="N152" s="799"/>
      <c r="O152" s="799"/>
      <c r="P152" s="799"/>
      <c r="Q152" s="799"/>
      <c r="R152" s="799"/>
      <c r="S152" s="799"/>
      <c r="T152" s="799"/>
      <c r="U152" s="799"/>
      <c r="V152" s="799"/>
      <c r="W152" s="799"/>
      <c r="X152" s="799"/>
      <c r="Y152" s="799"/>
      <c r="Z152" s="799"/>
      <c r="AA152" s="799"/>
      <c r="AB152" s="799"/>
      <c r="AC152" s="799"/>
      <c r="AD152" s="799"/>
      <c r="AE152" s="799"/>
      <c r="AF152" s="799"/>
      <c r="AG152" s="799"/>
      <c r="AH152" s="799"/>
      <c r="AI152" s="799"/>
      <c r="AJ152" s="799"/>
      <c r="AK152" s="799"/>
      <c r="AL152" s="799"/>
      <c r="AM152" s="799"/>
      <c r="AN152" s="799"/>
      <c r="AO152" s="799"/>
      <c r="AP152" s="799"/>
      <c r="AQ152" s="799"/>
      <c r="AR152" s="799"/>
      <c r="AS152" s="799"/>
      <c r="AT152" s="799"/>
      <c r="AU152" s="799"/>
      <c r="AV152" s="799"/>
      <c r="AW152" s="799"/>
      <c r="AX152" s="799"/>
      <c r="AY152" s="799"/>
      <c r="AZ152" s="799"/>
      <c r="BA152" s="799"/>
      <c r="BB152" s="799"/>
      <c r="BC152" s="799"/>
      <c r="BD152" s="799"/>
      <c r="BE152" s="799"/>
      <c r="BF152" s="799"/>
      <c r="BG152" s="799"/>
    </row>
    <row r="153">
      <c r="H153" s="799"/>
      <c r="I153" s="799"/>
      <c r="J153" s="799"/>
      <c r="K153" s="799"/>
      <c r="L153" s="799"/>
      <c r="M153" s="799"/>
      <c r="N153" s="799"/>
      <c r="O153" s="799"/>
      <c r="P153" s="799"/>
      <c r="Q153" s="799"/>
      <c r="R153" s="799"/>
      <c r="S153" s="799"/>
      <c r="T153" s="799"/>
      <c r="U153" s="799"/>
      <c r="V153" s="799"/>
      <c r="W153" s="799"/>
      <c r="X153" s="799"/>
      <c r="Y153" s="799"/>
      <c r="Z153" s="799"/>
      <c r="AA153" s="799"/>
      <c r="AB153" s="799"/>
      <c r="AC153" s="799"/>
      <c r="AD153" s="799"/>
      <c r="AE153" s="799"/>
      <c r="AF153" s="799"/>
      <c r="AG153" s="799"/>
      <c r="AH153" s="799"/>
      <c r="AI153" s="799"/>
      <c r="AJ153" s="799"/>
      <c r="AK153" s="799"/>
      <c r="AL153" s="799"/>
      <c r="AM153" s="799"/>
      <c r="AN153" s="799"/>
      <c r="AO153" s="799"/>
      <c r="AP153" s="799"/>
      <c r="AQ153" s="799"/>
      <c r="AR153" s="799"/>
      <c r="AS153" s="799"/>
      <c r="AT153" s="799"/>
      <c r="AU153" s="799"/>
      <c r="AV153" s="799"/>
      <c r="AW153" s="799"/>
      <c r="AX153" s="799"/>
      <c r="AY153" s="799"/>
      <c r="AZ153" s="799"/>
      <c r="BA153" s="799"/>
      <c r="BB153" s="799"/>
      <c r="BC153" s="799"/>
      <c r="BD153" s="799"/>
      <c r="BE153" s="799"/>
      <c r="BF153" s="799"/>
      <c r="BG153" s="799"/>
    </row>
    <row r="154">
      <c r="H154" s="799"/>
      <c r="I154" s="799"/>
      <c r="J154" s="799"/>
      <c r="K154" s="799"/>
      <c r="L154" s="799"/>
      <c r="M154" s="799"/>
      <c r="N154" s="799"/>
      <c r="O154" s="799"/>
      <c r="P154" s="799"/>
      <c r="Q154" s="799"/>
      <c r="R154" s="799"/>
      <c r="S154" s="799"/>
      <c r="T154" s="799"/>
      <c r="U154" s="799"/>
      <c r="V154" s="799"/>
      <c r="W154" s="799"/>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row>
    <row r="155">
      <c r="H155" s="799"/>
      <c r="I155" s="799"/>
      <c r="J155" s="799"/>
      <c r="K155" s="799"/>
      <c r="L155" s="799"/>
      <c r="M155" s="799"/>
      <c r="N155" s="799"/>
      <c r="O155" s="799"/>
      <c r="P155" s="799"/>
      <c r="Q155" s="799"/>
      <c r="R155" s="799"/>
      <c r="S155" s="799"/>
      <c r="T155" s="799"/>
      <c r="U155" s="799"/>
      <c r="V155" s="799"/>
      <c r="W155" s="799"/>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row>
    <row r="156">
      <c r="H156" s="799"/>
      <c r="I156" s="799"/>
      <c r="J156" s="799"/>
      <c r="K156" s="799"/>
      <c r="L156" s="799"/>
      <c r="M156" s="799"/>
      <c r="N156" s="799"/>
      <c r="O156" s="799"/>
      <c r="P156" s="799"/>
      <c r="Q156" s="799"/>
      <c r="R156" s="799"/>
      <c r="S156" s="799"/>
      <c r="T156" s="799"/>
      <c r="U156" s="799"/>
      <c r="V156" s="799"/>
      <c r="W156" s="799"/>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row>
    <row r="157">
      <c r="H157" s="799"/>
      <c r="I157" s="799"/>
      <c r="J157" s="799"/>
      <c r="K157" s="799"/>
      <c r="L157" s="799"/>
      <c r="M157" s="799"/>
      <c r="N157" s="799"/>
      <c r="O157" s="799"/>
      <c r="P157" s="799"/>
      <c r="Q157" s="799"/>
      <c r="R157" s="799"/>
      <c r="S157" s="799"/>
      <c r="T157" s="799"/>
      <c r="U157" s="799"/>
      <c r="V157" s="799"/>
      <c r="W157" s="799"/>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row>
    <row r="158">
      <c r="H158" s="799"/>
      <c r="I158" s="799"/>
      <c r="J158" s="799"/>
      <c r="K158" s="799"/>
      <c r="L158" s="799"/>
      <c r="M158" s="799"/>
      <c r="N158" s="799"/>
      <c r="O158" s="799"/>
      <c r="P158" s="799"/>
      <c r="Q158" s="799"/>
      <c r="R158" s="799"/>
      <c r="S158" s="799"/>
      <c r="T158" s="799"/>
      <c r="U158" s="799"/>
      <c r="V158" s="799"/>
      <c r="W158" s="799"/>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row>
    <row r="159">
      <c r="H159" s="799"/>
      <c r="I159" s="799"/>
      <c r="J159" s="799"/>
      <c r="K159" s="799"/>
      <c r="L159" s="799"/>
      <c r="M159" s="799"/>
      <c r="N159" s="799"/>
      <c r="O159" s="799"/>
      <c r="P159" s="799"/>
      <c r="Q159" s="799"/>
      <c r="R159" s="799"/>
      <c r="S159" s="799"/>
      <c r="T159" s="799"/>
      <c r="U159" s="799"/>
      <c r="V159" s="799"/>
      <c r="W159" s="799"/>
      <c r="X159" s="799"/>
      <c r="Y159" s="799"/>
      <c r="Z159" s="799"/>
      <c r="AA159" s="799"/>
      <c r="AB159" s="799"/>
      <c r="AC159" s="799"/>
      <c r="AD159" s="799"/>
      <c r="AE159" s="799"/>
      <c r="AF159" s="799"/>
      <c r="AG159" s="799"/>
      <c r="AH159" s="799"/>
      <c r="AI159" s="799"/>
      <c r="AJ159" s="799"/>
      <c r="AK159" s="799"/>
      <c r="AL159" s="799"/>
      <c r="AM159" s="799"/>
      <c r="AN159" s="799"/>
      <c r="AO159" s="799"/>
      <c r="AP159" s="799"/>
      <c r="AQ159" s="799"/>
      <c r="AR159" s="799"/>
      <c r="AS159" s="799"/>
      <c r="AT159" s="799"/>
      <c r="AU159" s="799"/>
      <c r="AV159" s="799"/>
      <c r="AW159" s="799"/>
      <c r="AX159" s="799"/>
      <c r="AY159" s="799"/>
      <c r="AZ159" s="799"/>
      <c r="BA159" s="799"/>
      <c r="BB159" s="799"/>
      <c r="BC159" s="799"/>
      <c r="BD159" s="799"/>
      <c r="BE159" s="799"/>
      <c r="BF159" s="799"/>
      <c r="BG159" s="799"/>
    </row>
    <row r="160">
      <c r="H160" s="799"/>
      <c r="I160" s="799"/>
      <c r="J160" s="799"/>
      <c r="K160" s="799"/>
      <c r="L160" s="799"/>
      <c r="M160" s="799"/>
      <c r="N160" s="799"/>
      <c r="O160" s="799"/>
      <c r="P160" s="799"/>
      <c r="Q160" s="799"/>
      <c r="R160" s="799"/>
      <c r="S160" s="799"/>
      <c r="T160" s="799"/>
      <c r="U160" s="799"/>
      <c r="V160" s="799"/>
      <c r="W160" s="799"/>
      <c r="X160" s="799"/>
      <c r="Y160" s="799"/>
      <c r="Z160" s="799"/>
      <c r="AA160" s="799"/>
      <c r="AB160" s="799"/>
      <c r="AC160" s="799"/>
      <c r="AD160" s="799"/>
      <c r="AE160" s="799"/>
      <c r="AF160" s="799"/>
      <c r="AG160" s="799"/>
      <c r="AH160" s="799"/>
      <c r="AI160" s="799"/>
      <c r="AJ160" s="799"/>
      <c r="AK160" s="799"/>
      <c r="AL160" s="799"/>
      <c r="AM160" s="799"/>
      <c r="AN160" s="799"/>
      <c r="AO160" s="799"/>
      <c r="AP160" s="799"/>
      <c r="AQ160" s="799"/>
      <c r="AR160" s="799"/>
      <c r="AS160" s="799"/>
      <c r="AT160" s="799"/>
      <c r="AU160" s="799"/>
      <c r="AV160" s="799"/>
      <c r="AW160" s="799"/>
      <c r="AX160" s="799"/>
      <c r="AY160" s="799"/>
      <c r="AZ160" s="799"/>
      <c r="BA160" s="799"/>
      <c r="BB160" s="799"/>
      <c r="BC160" s="799"/>
      <c r="BD160" s="799"/>
      <c r="BE160" s="799"/>
      <c r="BF160" s="799"/>
      <c r="BG160" s="799"/>
    </row>
    <row r="161">
      <c r="H161" s="799"/>
      <c r="I161" s="799"/>
      <c r="J161" s="799"/>
      <c r="K161" s="799"/>
      <c r="L161" s="799"/>
      <c r="M161" s="799"/>
      <c r="N161" s="799"/>
      <c r="O161" s="799"/>
      <c r="P161" s="799"/>
      <c r="Q161" s="799"/>
      <c r="R161" s="799"/>
      <c r="S161" s="799"/>
      <c r="T161" s="799"/>
      <c r="U161" s="799"/>
      <c r="V161" s="799"/>
      <c r="W161" s="799"/>
      <c r="X161" s="799"/>
      <c r="Y161" s="799"/>
      <c r="Z161" s="799"/>
      <c r="AA161" s="799"/>
      <c r="AB161" s="799"/>
      <c r="AC161" s="799"/>
      <c r="AD161" s="799"/>
      <c r="AE161" s="799"/>
      <c r="AF161" s="799"/>
      <c r="AG161" s="799"/>
      <c r="AH161" s="799"/>
      <c r="AI161" s="799"/>
      <c r="AJ161" s="799"/>
      <c r="AK161" s="799"/>
      <c r="AL161" s="799"/>
      <c r="AM161" s="799"/>
      <c r="AN161" s="799"/>
      <c r="AO161" s="799"/>
      <c r="AP161" s="799"/>
      <c r="AQ161" s="799"/>
      <c r="AR161" s="799"/>
      <c r="AS161" s="799"/>
      <c r="AT161" s="799"/>
      <c r="AU161" s="799"/>
      <c r="AV161" s="799"/>
      <c r="AW161" s="799"/>
      <c r="AX161" s="799"/>
      <c r="AY161" s="799"/>
      <c r="AZ161" s="799"/>
      <c r="BA161" s="799"/>
      <c r="BB161" s="799"/>
      <c r="BC161" s="799"/>
      <c r="BD161" s="799"/>
      <c r="BE161" s="799"/>
      <c r="BF161" s="799"/>
      <c r="BG161" s="799"/>
    </row>
    <row r="162">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row>
    <row r="163">
      <c r="H163" s="799"/>
      <c r="I163" s="799"/>
      <c r="J163" s="799"/>
      <c r="K163" s="799"/>
      <c r="L163" s="799"/>
      <c r="M163" s="799"/>
      <c r="N163" s="799"/>
      <c r="O163" s="799"/>
      <c r="P163" s="799"/>
      <c r="Q163" s="799"/>
      <c r="R163" s="799"/>
      <c r="S163" s="799"/>
      <c r="T163" s="799"/>
      <c r="U163" s="799"/>
      <c r="V163" s="799"/>
      <c r="W163" s="799"/>
      <c r="X163" s="799"/>
      <c r="Y163" s="799"/>
      <c r="Z163" s="799"/>
      <c r="AA163" s="799"/>
      <c r="AB163" s="799"/>
      <c r="AC163" s="799"/>
      <c r="AD163" s="799"/>
      <c r="AE163" s="799"/>
      <c r="AF163" s="799"/>
      <c r="AG163" s="799"/>
      <c r="AH163" s="799"/>
      <c r="AI163" s="799"/>
      <c r="AJ163" s="799"/>
      <c r="AK163" s="799"/>
      <c r="AL163" s="799"/>
      <c r="AM163" s="799"/>
      <c r="AN163" s="799"/>
      <c r="AO163" s="799"/>
      <c r="AP163" s="799"/>
      <c r="AQ163" s="799"/>
      <c r="AR163" s="799"/>
      <c r="AS163" s="799"/>
      <c r="AT163" s="799"/>
      <c r="AU163" s="799"/>
      <c r="AV163" s="799"/>
      <c r="AW163" s="799"/>
      <c r="AX163" s="799"/>
      <c r="AY163" s="799"/>
      <c r="AZ163" s="799"/>
      <c r="BA163" s="799"/>
      <c r="BB163" s="799"/>
      <c r="BC163" s="799"/>
      <c r="BD163" s="799"/>
      <c r="BE163" s="799"/>
      <c r="BF163" s="799"/>
      <c r="BG163" s="799"/>
    </row>
    <row r="164">
      <c r="H164" s="799"/>
      <c r="I164" s="799"/>
      <c r="J164" s="799"/>
      <c r="K164" s="799"/>
      <c r="L164" s="799"/>
      <c r="M164" s="799"/>
      <c r="N164" s="799"/>
      <c r="O164" s="799"/>
      <c r="P164" s="799"/>
      <c r="Q164" s="799"/>
      <c r="R164" s="799"/>
      <c r="S164" s="799"/>
      <c r="T164" s="799"/>
      <c r="U164" s="799"/>
      <c r="V164" s="799"/>
      <c r="W164" s="799"/>
      <c r="X164" s="799"/>
      <c r="Y164" s="799"/>
      <c r="Z164" s="799"/>
      <c r="AA164" s="799"/>
      <c r="AB164" s="799"/>
      <c r="AC164" s="799"/>
      <c r="AD164" s="799"/>
      <c r="AE164" s="799"/>
      <c r="AF164" s="799"/>
      <c r="AG164" s="799"/>
      <c r="AH164" s="799"/>
      <c r="AI164" s="799"/>
      <c r="AJ164" s="799"/>
      <c r="AK164" s="799"/>
      <c r="AL164" s="799"/>
      <c r="AM164" s="799"/>
      <c r="AN164" s="799"/>
      <c r="AO164" s="799"/>
      <c r="AP164" s="799"/>
      <c r="AQ164" s="799"/>
      <c r="AR164" s="799"/>
      <c r="AS164" s="799"/>
      <c r="AT164" s="799"/>
      <c r="AU164" s="799"/>
      <c r="AV164" s="799"/>
      <c r="AW164" s="799"/>
      <c r="AX164" s="799"/>
      <c r="AY164" s="799"/>
      <c r="AZ164" s="799"/>
      <c r="BA164" s="799"/>
      <c r="BB164" s="799"/>
      <c r="BC164" s="799"/>
      <c r="BD164" s="799"/>
      <c r="BE164" s="799"/>
      <c r="BF164" s="799"/>
      <c r="BG164" s="799"/>
    </row>
    <row r="165">
      <c r="H165" s="799"/>
      <c r="I165" s="799"/>
      <c r="J165" s="799"/>
      <c r="K165" s="799"/>
      <c r="L165" s="799"/>
      <c r="M165" s="799"/>
      <c r="N165" s="799"/>
      <c r="O165" s="799"/>
      <c r="P165" s="799"/>
      <c r="Q165" s="799"/>
      <c r="R165" s="799"/>
      <c r="S165" s="799"/>
      <c r="T165" s="799"/>
      <c r="U165" s="799"/>
      <c r="V165" s="799"/>
      <c r="W165" s="799"/>
      <c r="X165" s="799"/>
      <c r="Y165" s="799"/>
      <c r="Z165" s="799"/>
      <c r="AA165" s="799"/>
      <c r="AB165" s="799"/>
      <c r="AC165" s="799"/>
      <c r="AD165" s="799"/>
      <c r="AE165" s="799"/>
      <c r="AF165" s="799"/>
      <c r="AG165" s="799"/>
      <c r="AH165" s="799"/>
      <c r="AI165" s="799"/>
      <c r="AJ165" s="799"/>
      <c r="AK165" s="799"/>
      <c r="AL165" s="799"/>
      <c r="AM165" s="799"/>
      <c r="AN165" s="799"/>
      <c r="AO165" s="799"/>
      <c r="AP165" s="799"/>
      <c r="AQ165" s="799"/>
      <c r="AR165" s="799"/>
      <c r="AS165" s="799"/>
      <c r="AT165" s="799"/>
      <c r="AU165" s="799"/>
      <c r="AV165" s="799"/>
      <c r="AW165" s="799"/>
      <c r="AX165" s="799"/>
      <c r="AY165" s="799"/>
      <c r="AZ165" s="799"/>
      <c r="BA165" s="799"/>
      <c r="BB165" s="799"/>
      <c r="BC165" s="799"/>
      <c r="BD165" s="799"/>
      <c r="BE165" s="799"/>
      <c r="BF165" s="799"/>
      <c r="BG165" s="799"/>
    </row>
    <row r="166">
      <c r="H166" s="799"/>
      <c r="I166" s="799"/>
      <c r="J166" s="799"/>
      <c r="K166" s="799"/>
      <c r="L166" s="799"/>
      <c r="M166" s="799"/>
      <c r="N166" s="799"/>
      <c r="O166" s="799"/>
      <c r="P166" s="799"/>
      <c r="Q166" s="799"/>
      <c r="R166" s="799"/>
      <c r="S166" s="799"/>
      <c r="T166" s="799"/>
      <c r="U166" s="799"/>
      <c r="V166" s="799"/>
      <c r="W166" s="799"/>
      <c r="X166" s="799"/>
      <c r="Y166" s="799"/>
      <c r="Z166" s="799"/>
      <c r="AA166" s="799"/>
      <c r="AB166" s="799"/>
      <c r="AC166" s="799"/>
      <c r="AD166" s="799"/>
      <c r="AE166" s="799"/>
      <c r="AF166" s="799"/>
      <c r="AG166" s="799"/>
      <c r="AH166" s="799"/>
      <c r="AI166" s="799"/>
      <c r="AJ166" s="799"/>
      <c r="AK166" s="799"/>
      <c r="AL166" s="799"/>
      <c r="AM166" s="799"/>
      <c r="AN166" s="799"/>
      <c r="AO166" s="799"/>
      <c r="AP166" s="799"/>
      <c r="AQ166" s="799"/>
      <c r="AR166" s="799"/>
      <c r="AS166" s="799"/>
      <c r="AT166" s="799"/>
      <c r="AU166" s="799"/>
      <c r="AV166" s="799"/>
      <c r="AW166" s="799"/>
      <c r="AX166" s="799"/>
      <c r="AY166" s="799"/>
      <c r="AZ166" s="799"/>
      <c r="BA166" s="799"/>
      <c r="BB166" s="799"/>
      <c r="BC166" s="799"/>
      <c r="BD166" s="799"/>
      <c r="BE166" s="799"/>
      <c r="BF166" s="799"/>
      <c r="BG166" s="799"/>
    </row>
    <row r="167">
      <c r="H167" s="799"/>
      <c r="I167" s="799"/>
      <c r="J167" s="799"/>
      <c r="K167" s="799"/>
      <c r="L167" s="799"/>
      <c r="M167" s="799"/>
      <c r="N167" s="799"/>
      <c r="O167" s="799"/>
      <c r="P167" s="799"/>
      <c r="Q167" s="799"/>
      <c r="R167" s="799"/>
      <c r="S167" s="799"/>
      <c r="T167" s="799"/>
      <c r="U167" s="799"/>
      <c r="V167" s="799"/>
      <c r="W167" s="799"/>
      <c r="X167" s="799"/>
      <c r="Y167" s="799"/>
      <c r="Z167" s="799"/>
      <c r="AA167" s="799"/>
      <c r="AB167" s="799"/>
      <c r="AC167" s="799"/>
      <c r="AD167" s="799"/>
      <c r="AE167" s="799"/>
      <c r="AF167" s="799"/>
      <c r="AG167" s="799"/>
      <c r="AH167" s="799"/>
      <c r="AI167" s="799"/>
      <c r="AJ167" s="799"/>
      <c r="AK167" s="799"/>
      <c r="AL167" s="799"/>
      <c r="AM167" s="799"/>
      <c r="AN167" s="799"/>
      <c r="AO167" s="799"/>
      <c r="AP167" s="799"/>
      <c r="AQ167" s="799"/>
      <c r="AR167" s="799"/>
      <c r="AS167" s="799"/>
      <c r="AT167" s="799"/>
      <c r="AU167" s="799"/>
      <c r="AV167" s="799"/>
      <c r="AW167" s="799"/>
      <c r="AX167" s="799"/>
      <c r="AY167" s="799"/>
      <c r="AZ167" s="799"/>
      <c r="BA167" s="799"/>
      <c r="BB167" s="799"/>
      <c r="BC167" s="799"/>
      <c r="BD167" s="799"/>
      <c r="BE167" s="799"/>
      <c r="BF167" s="799"/>
      <c r="BG167" s="799"/>
    </row>
    <row r="168">
      <c r="H168" s="799"/>
      <c r="I168" s="799"/>
      <c r="J168" s="799"/>
      <c r="K168" s="799"/>
      <c r="L168" s="799"/>
      <c r="M168" s="799"/>
      <c r="N168" s="799"/>
      <c r="O168" s="799"/>
      <c r="P168" s="799"/>
      <c r="Q168" s="799"/>
      <c r="R168" s="799"/>
      <c r="S168" s="799"/>
      <c r="T168" s="799"/>
      <c r="U168" s="799"/>
      <c r="V168" s="799"/>
      <c r="W168" s="799"/>
      <c r="X168" s="799"/>
      <c r="Y168" s="799"/>
      <c r="Z168" s="799"/>
      <c r="AA168" s="799"/>
      <c r="AB168" s="799"/>
      <c r="AC168" s="799"/>
      <c r="AD168" s="799"/>
      <c r="AE168" s="799"/>
      <c r="AF168" s="799"/>
      <c r="AG168" s="799"/>
      <c r="AH168" s="799"/>
      <c r="AI168" s="799"/>
      <c r="AJ168" s="799"/>
      <c r="AK168" s="799"/>
      <c r="AL168" s="799"/>
      <c r="AM168" s="799"/>
      <c r="AN168" s="799"/>
      <c r="AO168" s="799"/>
      <c r="AP168" s="799"/>
      <c r="AQ168" s="799"/>
      <c r="AR168" s="799"/>
      <c r="AS168" s="799"/>
      <c r="AT168" s="799"/>
      <c r="AU168" s="799"/>
      <c r="AV168" s="799"/>
      <c r="AW168" s="799"/>
      <c r="AX168" s="799"/>
      <c r="AY168" s="799"/>
      <c r="AZ168" s="799"/>
      <c r="BA168" s="799"/>
      <c r="BB168" s="799"/>
      <c r="BC168" s="799"/>
      <c r="BD168" s="799"/>
      <c r="BE168" s="799"/>
      <c r="BF168" s="799"/>
      <c r="BG168" s="799"/>
    </row>
    <row r="169">
      <c r="H169" s="799"/>
      <c r="I169" s="799"/>
      <c r="J169" s="799"/>
      <c r="K169" s="799"/>
      <c r="L169" s="799"/>
      <c r="M169" s="799"/>
      <c r="N169" s="799"/>
      <c r="O169" s="799"/>
      <c r="P169" s="799"/>
      <c r="Q169" s="799"/>
      <c r="R169" s="799"/>
      <c r="S169" s="799"/>
      <c r="T169" s="799"/>
      <c r="U169" s="799"/>
      <c r="V169" s="799"/>
      <c r="W169" s="799"/>
      <c r="X169" s="799"/>
      <c r="Y169" s="799"/>
      <c r="Z169" s="799"/>
      <c r="AA169" s="799"/>
      <c r="AB169" s="799"/>
      <c r="AC169" s="799"/>
      <c r="AD169" s="799"/>
      <c r="AE169" s="799"/>
      <c r="AF169" s="799"/>
      <c r="AG169" s="799"/>
      <c r="AH169" s="799"/>
      <c r="AI169" s="799"/>
      <c r="AJ169" s="799"/>
      <c r="AK169" s="799"/>
      <c r="AL169" s="799"/>
      <c r="AM169" s="799"/>
      <c r="AN169" s="799"/>
      <c r="AO169" s="799"/>
      <c r="AP169" s="799"/>
      <c r="AQ169" s="799"/>
      <c r="AR169" s="799"/>
      <c r="AS169" s="799"/>
      <c r="AT169" s="799"/>
      <c r="AU169" s="799"/>
      <c r="AV169" s="799"/>
      <c r="AW169" s="799"/>
      <c r="AX169" s="799"/>
      <c r="AY169" s="799"/>
      <c r="AZ169" s="799"/>
      <c r="BA169" s="799"/>
      <c r="BB169" s="799"/>
      <c r="BC169" s="799"/>
      <c r="BD169" s="799"/>
      <c r="BE169" s="799"/>
      <c r="BF169" s="799"/>
      <c r="BG169" s="799"/>
    </row>
    <row r="170">
      <c r="H170" s="799"/>
      <c r="I170" s="799"/>
      <c r="J170" s="799"/>
      <c r="K170" s="799"/>
      <c r="L170" s="799"/>
      <c r="M170" s="799"/>
      <c r="N170" s="799"/>
      <c r="O170" s="799"/>
      <c r="P170" s="799"/>
      <c r="Q170" s="799"/>
      <c r="R170" s="799"/>
      <c r="S170" s="799"/>
      <c r="T170" s="799"/>
      <c r="U170" s="799"/>
      <c r="V170" s="799"/>
      <c r="W170" s="799"/>
      <c r="X170" s="799"/>
      <c r="Y170" s="799"/>
      <c r="Z170" s="799"/>
      <c r="AA170" s="799"/>
      <c r="AB170" s="799"/>
      <c r="AC170" s="799"/>
      <c r="AD170" s="799"/>
      <c r="AE170" s="799"/>
      <c r="AF170" s="799"/>
      <c r="AG170" s="799"/>
      <c r="AH170" s="799"/>
      <c r="AI170" s="799"/>
      <c r="AJ170" s="799"/>
      <c r="AK170" s="799"/>
      <c r="AL170" s="799"/>
      <c r="AM170" s="799"/>
      <c r="AN170" s="799"/>
      <c r="AO170" s="799"/>
      <c r="AP170" s="799"/>
      <c r="AQ170" s="799"/>
      <c r="AR170" s="799"/>
      <c r="AS170" s="799"/>
      <c r="AT170" s="799"/>
      <c r="AU170" s="799"/>
      <c r="AV170" s="799"/>
      <c r="AW170" s="799"/>
      <c r="AX170" s="799"/>
      <c r="AY170" s="799"/>
      <c r="AZ170" s="799"/>
      <c r="BA170" s="799"/>
      <c r="BB170" s="799"/>
      <c r="BC170" s="799"/>
      <c r="BD170" s="799"/>
      <c r="BE170" s="799"/>
      <c r="BF170" s="799"/>
      <c r="BG170" s="799"/>
    </row>
    <row r="171">
      <c r="H171" s="799"/>
      <c r="I171" s="799"/>
      <c r="J171" s="799"/>
      <c r="K171" s="799"/>
      <c r="L171" s="799"/>
      <c r="M171" s="799"/>
      <c r="N171" s="799"/>
      <c r="O171" s="799"/>
      <c r="P171" s="799"/>
      <c r="Q171" s="799"/>
      <c r="R171" s="799"/>
      <c r="S171" s="799"/>
      <c r="T171" s="799"/>
      <c r="U171" s="799"/>
      <c r="V171" s="799"/>
      <c r="W171" s="799"/>
      <c r="X171" s="799"/>
      <c r="Y171" s="799"/>
      <c r="Z171" s="799"/>
      <c r="AA171" s="799"/>
      <c r="AB171" s="799"/>
      <c r="AC171" s="799"/>
      <c r="AD171" s="799"/>
      <c r="AE171" s="799"/>
      <c r="AF171" s="799"/>
      <c r="AG171" s="799"/>
      <c r="AH171" s="799"/>
      <c r="AI171" s="799"/>
      <c r="AJ171" s="799"/>
      <c r="AK171" s="799"/>
      <c r="AL171" s="799"/>
      <c r="AM171" s="799"/>
      <c r="AN171" s="799"/>
      <c r="AO171" s="799"/>
      <c r="AP171" s="799"/>
      <c r="AQ171" s="799"/>
      <c r="AR171" s="799"/>
      <c r="AS171" s="799"/>
      <c r="AT171" s="799"/>
      <c r="AU171" s="799"/>
      <c r="AV171" s="799"/>
      <c r="AW171" s="799"/>
      <c r="AX171" s="799"/>
      <c r="AY171" s="799"/>
      <c r="AZ171" s="799"/>
      <c r="BA171" s="799"/>
      <c r="BB171" s="799"/>
      <c r="BC171" s="799"/>
      <c r="BD171" s="799"/>
      <c r="BE171" s="799"/>
      <c r="BF171" s="799"/>
      <c r="BG171" s="799"/>
    </row>
    <row r="172">
      <c r="H172" s="799"/>
      <c r="I172" s="799"/>
      <c r="J172" s="799"/>
      <c r="K172" s="799"/>
      <c r="L172" s="799"/>
      <c r="M172" s="799"/>
      <c r="N172" s="799"/>
      <c r="O172" s="799"/>
      <c r="P172" s="799"/>
      <c r="Q172" s="799"/>
      <c r="R172" s="799"/>
      <c r="S172" s="799"/>
      <c r="T172" s="799"/>
      <c r="U172" s="799"/>
      <c r="V172" s="799"/>
      <c r="W172" s="799"/>
      <c r="X172" s="799"/>
      <c r="Y172" s="799"/>
      <c r="Z172" s="799"/>
      <c r="AA172" s="799"/>
      <c r="AB172" s="799"/>
      <c r="AC172" s="799"/>
      <c r="AD172" s="799"/>
      <c r="AE172" s="799"/>
      <c r="AF172" s="799"/>
      <c r="AG172" s="799"/>
      <c r="AH172" s="799"/>
      <c r="AI172" s="799"/>
      <c r="AJ172" s="799"/>
      <c r="AK172" s="799"/>
      <c r="AL172" s="799"/>
      <c r="AM172" s="799"/>
      <c r="AN172" s="799"/>
      <c r="AO172" s="799"/>
      <c r="AP172" s="799"/>
      <c r="AQ172" s="799"/>
      <c r="AR172" s="799"/>
      <c r="AS172" s="799"/>
      <c r="AT172" s="799"/>
      <c r="AU172" s="799"/>
      <c r="AV172" s="799"/>
      <c r="AW172" s="799"/>
      <c r="AX172" s="799"/>
      <c r="AY172" s="799"/>
      <c r="AZ172" s="799"/>
      <c r="BA172" s="799"/>
      <c r="BB172" s="799"/>
      <c r="BC172" s="799"/>
      <c r="BD172" s="799"/>
      <c r="BE172" s="799"/>
      <c r="BF172" s="799"/>
      <c r="BG172" s="799"/>
    </row>
    <row r="173">
      <c r="H173" s="799"/>
      <c r="I173" s="799"/>
      <c r="J173" s="799"/>
      <c r="K173" s="799"/>
      <c r="L173" s="799"/>
      <c r="M173" s="799"/>
      <c r="N173" s="799"/>
      <c r="O173" s="799"/>
      <c r="P173" s="799"/>
      <c r="Q173" s="799"/>
      <c r="R173" s="799"/>
      <c r="S173" s="799"/>
      <c r="T173" s="799"/>
      <c r="U173" s="799"/>
      <c r="V173" s="799"/>
      <c r="W173" s="799"/>
      <c r="X173" s="799"/>
      <c r="Y173" s="799"/>
      <c r="Z173" s="799"/>
      <c r="AA173" s="799"/>
      <c r="AB173" s="799"/>
      <c r="AC173" s="799"/>
      <c r="AD173" s="799"/>
      <c r="AE173" s="799"/>
      <c r="AF173" s="799"/>
      <c r="AG173" s="799"/>
      <c r="AH173" s="799"/>
      <c r="AI173" s="799"/>
      <c r="AJ173" s="799"/>
      <c r="AK173" s="799"/>
      <c r="AL173" s="799"/>
      <c r="AM173" s="799"/>
      <c r="AN173" s="799"/>
      <c r="AO173" s="799"/>
      <c r="AP173" s="799"/>
      <c r="AQ173" s="799"/>
      <c r="AR173" s="799"/>
      <c r="AS173" s="799"/>
      <c r="AT173" s="799"/>
      <c r="AU173" s="799"/>
      <c r="AV173" s="799"/>
      <c r="AW173" s="799"/>
      <c r="AX173" s="799"/>
      <c r="AY173" s="799"/>
      <c r="AZ173" s="799"/>
      <c r="BA173" s="799"/>
      <c r="BB173" s="799"/>
      <c r="BC173" s="799"/>
      <c r="BD173" s="799"/>
      <c r="BE173" s="799"/>
      <c r="BF173" s="799"/>
      <c r="BG173" s="799"/>
    </row>
    <row r="174">
      <c r="H174" s="799"/>
      <c r="I174" s="799"/>
      <c r="J174" s="799"/>
      <c r="K174" s="799"/>
      <c r="L174" s="799"/>
      <c r="M174" s="799"/>
      <c r="N174" s="799"/>
      <c r="O174" s="799"/>
      <c r="P174" s="799"/>
      <c r="Q174" s="799"/>
      <c r="R174" s="799"/>
      <c r="S174" s="799"/>
      <c r="T174" s="799"/>
      <c r="U174" s="799"/>
      <c r="V174" s="799"/>
      <c r="W174" s="799"/>
      <c r="X174" s="799"/>
      <c r="Y174" s="799"/>
      <c r="Z174" s="799"/>
      <c r="AA174" s="799"/>
      <c r="AB174" s="799"/>
      <c r="AC174" s="799"/>
      <c r="AD174" s="799"/>
      <c r="AE174" s="799"/>
      <c r="AF174" s="799"/>
      <c r="AG174" s="799"/>
      <c r="AH174" s="799"/>
      <c r="AI174" s="799"/>
      <c r="AJ174" s="799"/>
      <c r="AK174" s="799"/>
      <c r="AL174" s="799"/>
      <c r="AM174" s="799"/>
      <c r="AN174" s="799"/>
      <c r="AO174" s="799"/>
      <c r="AP174" s="799"/>
      <c r="AQ174" s="799"/>
      <c r="AR174" s="799"/>
      <c r="AS174" s="799"/>
      <c r="AT174" s="799"/>
      <c r="AU174" s="799"/>
      <c r="AV174" s="799"/>
      <c r="AW174" s="799"/>
      <c r="AX174" s="799"/>
      <c r="AY174" s="799"/>
      <c r="AZ174" s="799"/>
      <c r="BA174" s="799"/>
      <c r="BB174" s="799"/>
      <c r="BC174" s="799"/>
      <c r="BD174" s="799"/>
      <c r="BE174" s="799"/>
      <c r="BF174" s="799"/>
      <c r="BG174" s="799"/>
    </row>
    <row r="175">
      <c r="H175" s="799"/>
      <c r="I175" s="799"/>
      <c r="J175" s="799"/>
      <c r="K175" s="799"/>
      <c r="L175" s="799"/>
      <c r="M175" s="799"/>
      <c r="N175" s="799"/>
      <c r="O175" s="799"/>
      <c r="P175" s="799"/>
      <c r="Q175" s="799"/>
      <c r="R175" s="799"/>
      <c r="S175" s="799"/>
      <c r="T175" s="799"/>
      <c r="U175" s="799"/>
      <c r="V175" s="799"/>
      <c r="W175" s="799"/>
      <c r="X175" s="799"/>
      <c r="Y175" s="799"/>
      <c r="Z175" s="799"/>
      <c r="AA175" s="799"/>
      <c r="AB175" s="799"/>
      <c r="AC175" s="799"/>
      <c r="AD175" s="799"/>
      <c r="AE175" s="799"/>
      <c r="AF175" s="799"/>
      <c r="AG175" s="799"/>
      <c r="AH175" s="799"/>
      <c r="AI175" s="799"/>
      <c r="AJ175" s="799"/>
      <c r="AK175" s="799"/>
      <c r="AL175" s="799"/>
      <c r="AM175" s="799"/>
      <c r="AN175" s="799"/>
      <c r="AO175" s="799"/>
      <c r="AP175" s="799"/>
      <c r="AQ175" s="799"/>
      <c r="AR175" s="799"/>
      <c r="AS175" s="799"/>
      <c r="AT175" s="799"/>
      <c r="AU175" s="799"/>
      <c r="AV175" s="799"/>
      <c r="AW175" s="799"/>
      <c r="AX175" s="799"/>
      <c r="AY175" s="799"/>
      <c r="AZ175" s="799"/>
      <c r="BA175" s="799"/>
      <c r="BB175" s="799"/>
      <c r="BC175" s="799"/>
      <c r="BD175" s="799"/>
      <c r="BE175" s="799"/>
      <c r="BF175" s="799"/>
      <c r="BG175" s="799"/>
    </row>
    <row r="176">
      <c r="H176" s="799"/>
      <c r="I176" s="799"/>
      <c r="J176" s="799"/>
      <c r="K176" s="799"/>
      <c r="L176" s="799"/>
      <c r="M176" s="799"/>
      <c r="N176" s="799"/>
      <c r="O176" s="799"/>
      <c r="P176" s="799"/>
      <c r="Q176" s="799"/>
      <c r="R176" s="799"/>
      <c r="S176" s="799"/>
      <c r="T176" s="799"/>
      <c r="U176" s="799"/>
      <c r="V176" s="799"/>
      <c r="W176" s="799"/>
      <c r="X176" s="799"/>
      <c r="Y176" s="799"/>
      <c r="Z176" s="799"/>
      <c r="AA176" s="799"/>
      <c r="AB176" s="799"/>
      <c r="AC176" s="799"/>
      <c r="AD176" s="799"/>
      <c r="AE176" s="799"/>
      <c r="AF176" s="799"/>
      <c r="AG176" s="799"/>
      <c r="AH176" s="799"/>
      <c r="AI176" s="799"/>
      <c r="AJ176" s="799"/>
      <c r="AK176" s="799"/>
      <c r="AL176" s="799"/>
      <c r="AM176" s="799"/>
      <c r="AN176" s="799"/>
      <c r="AO176" s="799"/>
      <c r="AP176" s="799"/>
      <c r="AQ176" s="799"/>
      <c r="AR176" s="799"/>
      <c r="AS176" s="799"/>
      <c r="AT176" s="799"/>
      <c r="AU176" s="799"/>
      <c r="AV176" s="799"/>
      <c r="AW176" s="799"/>
      <c r="AX176" s="799"/>
      <c r="AY176" s="799"/>
      <c r="AZ176" s="799"/>
      <c r="BA176" s="799"/>
      <c r="BB176" s="799"/>
      <c r="BC176" s="799"/>
      <c r="BD176" s="799"/>
      <c r="BE176" s="799"/>
      <c r="BF176" s="799"/>
      <c r="BG176" s="799"/>
    </row>
    <row r="177">
      <c r="H177" s="799"/>
      <c r="I177" s="799"/>
      <c r="J177" s="799"/>
      <c r="K177" s="799"/>
      <c r="L177" s="799"/>
      <c r="M177" s="799"/>
      <c r="N177" s="799"/>
      <c r="O177" s="799"/>
      <c r="P177" s="799"/>
      <c r="Q177" s="799"/>
      <c r="R177" s="799"/>
      <c r="S177" s="799"/>
      <c r="T177" s="799"/>
      <c r="U177" s="799"/>
      <c r="V177" s="799"/>
      <c r="W177" s="799"/>
      <c r="X177" s="799"/>
      <c r="Y177" s="799"/>
      <c r="Z177" s="799"/>
      <c r="AA177" s="799"/>
      <c r="AB177" s="799"/>
      <c r="AC177" s="799"/>
      <c r="AD177" s="799"/>
      <c r="AE177" s="799"/>
      <c r="AF177" s="799"/>
      <c r="AG177" s="799"/>
      <c r="AH177" s="799"/>
      <c r="AI177" s="799"/>
      <c r="AJ177" s="799"/>
      <c r="AK177" s="799"/>
      <c r="AL177" s="799"/>
      <c r="AM177" s="799"/>
      <c r="AN177" s="799"/>
      <c r="AO177" s="799"/>
      <c r="AP177" s="799"/>
      <c r="AQ177" s="799"/>
      <c r="AR177" s="799"/>
      <c r="AS177" s="799"/>
      <c r="AT177" s="799"/>
      <c r="AU177" s="799"/>
      <c r="AV177" s="799"/>
      <c r="AW177" s="799"/>
      <c r="AX177" s="799"/>
      <c r="AY177" s="799"/>
      <c r="AZ177" s="799"/>
      <c r="BA177" s="799"/>
      <c r="BB177" s="799"/>
      <c r="BC177" s="799"/>
      <c r="BD177" s="799"/>
      <c r="BE177" s="799"/>
      <c r="BF177" s="799"/>
      <c r="BG177" s="799"/>
    </row>
    <row r="178">
      <c r="H178" s="799"/>
      <c r="I178" s="799"/>
      <c r="J178" s="799"/>
      <c r="K178" s="799"/>
      <c r="L178" s="799"/>
      <c r="M178" s="799"/>
      <c r="N178" s="799"/>
      <c r="O178" s="799"/>
      <c r="P178" s="799"/>
      <c r="Q178" s="799"/>
      <c r="R178" s="799"/>
      <c r="S178" s="799"/>
      <c r="T178" s="799"/>
      <c r="U178" s="799"/>
      <c r="V178" s="799"/>
      <c r="W178" s="799"/>
      <c r="X178" s="799"/>
      <c r="Y178" s="799"/>
      <c r="Z178" s="799"/>
      <c r="AA178" s="799"/>
      <c r="AB178" s="799"/>
      <c r="AC178" s="799"/>
      <c r="AD178" s="799"/>
      <c r="AE178" s="799"/>
      <c r="AF178" s="799"/>
      <c r="AG178" s="799"/>
      <c r="AH178" s="799"/>
      <c r="AI178" s="799"/>
      <c r="AJ178" s="799"/>
      <c r="AK178" s="799"/>
      <c r="AL178" s="799"/>
      <c r="AM178" s="799"/>
      <c r="AN178" s="799"/>
      <c r="AO178" s="799"/>
      <c r="AP178" s="799"/>
      <c r="AQ178" s="799"/>
      <c r="AR178" s="799"/>
      <c r="AS178" s="799"/>
      <c r="AT178" s="799"/>
      <c r="AU178" s="799"/>
      <c r="AV178" s="799"/>
      <c r="AW178" s="799"/>
      <c r="AX178" s="799"/>
      <c r="AY178" s="799"/>
      <c r="AZ178" s="799"/>
      <c r="BA178" s="799"/>
      <c r="BB178" s="799"/>
      <c r="BC178" s="799"/>
      <c r="BD178" s="799"/>
      <c r="BE178" s="799"/>
      <c r="BF178" s="799"/>
      <c r="BG178" s="799"/>
    </row>
    <row r="179">
      <c r="H179" s="799"/>
      <c r="I179" s="799"/>
      <c r="J179" s="799"/>
      <c r="K179" s="799"/>
      <c r="L179" s="799"/>
      <c r="M179" s="799"/>
      <c r="N179" s="799"/>
      <c r="O179" s="799"/>
      <c r="P179" s="799"/>
      <c r="Q179" s="799"/>
      <c r="R179" s="799"/>
      <c r="S179" s="799"/>
      <c r="T179" s="799"/>
      <c r="U179" s="799"/>
      <c r="V179" s="799"/>
      <c r="W179" s="799"/>
      <c r="X179" s="799"/>
      <c r="Y179" s="799"/>
      <c r="Z179" s="799"/>
      <c r="AA179" s="799"/>
      <c r="AB179" s="799"/>
      <c r="AC179" s="799"/>
      <c r="AD179" s="799"/>
      <c r="AE179" s="799"/>
      <c r="AF179" s="799"/>
      <c r="AG179" s="799"/>
      <c r="AH179" s="799"/>
      <c r="AI179" s="799"/>
      <c r="AJ179" s="799"/>
      <c r="AK179" s="799"/>
      <c r="AL179" s="799"/>
      <c r="AM179" s="799"/>
      <c r="AN179" s="799"/>
      <c r="AO179" s="799"/>
      <c r="AP179" s="799"/>
      <c r="AQ179" s="799"/>
      <c r="AR179" s="799"/>
      <c r="AS179" s="799"/>
      <c r="AT179" s="799"/>
      <c r="AU179" s="799"/>
      <c r="AV179" s="799"/>
      <c r="AW179" s="799"/>
      <c r="AX179" s="799"/>
      <c r="AY179" s="799"/>
      <c r="AZ179" s="799"/>
      <c r="BA179" s="799"/>
      <c r="BB179" s="799"/>
      <c r="BC179" s="799"/>
      <c r="BD179" s="799"/>
      <c r="BE179" s="799"/>
      <c r="BF179" s="799"/>
      <c r="BG179" s="799"/>
    </row>
    <row r="180">
      <c r="H180" s="799"/>
      <c r="I180" s="799"/>
      <c r="J180" s="799"/>
      <c r="K180" s="799"/>
      <c r="L180" s="799"/>
      <c r="M180" s="799"/>
      <c r="N180" s="799"/>
      <c r="O180" s="799"/>
      <c r="P180" s="799"/>
      <c r="Q180" s="799"/>
      <c r="R180" s="799"/>
      <c r="S180" s="799"/>
      <c r="T180" s="799"/>
      <c r="U180" s="799"/>
      <c r="V180" s="799"/>
      <c r="W180" s="799"/>
      <c r="X180" s="799"/>
      <c r="Y180" s="799"/>
      <c r="Z180" s="799"/>
      <c r="AA180" s="799"/>
      <c r="AB180" s="799"/>
      <c r="AC180" s="799"/>
      <c r="AD180" s="799"/>
      <c r="AE180" s="799"/>
      <c r="AF180" s="799"/>
      <c r="AG180" s="799"/>
      <c r="AH180" s="799"/>
      <c r="AI180" s="799"/>
      <c r="AJ180" s="799"/>
      <c r="AK180" s="799"/>
      <c r="AL180" s="799"/>
      <c r="AM180" s="799"/>
      <c r="AN180" s="799"/>
      <c r="AO180" s="799"/>
      <c r="AP180" s="799"/>
      <c r="AQ180" s="799"/>
      <c r="AR180" s="799"/>
      <c r="AS180" s="799"/>
      <c r="AT180" s="799"/>
      <c r="AU180" s="799"/>
      <c r="AV180" s="799"/>
      <c r="AW180" s="799"/>
      <c r="AX180" s="799"/>
      <c r="AY180" s="799"/>
      <c r="AZ180" s="799"/>
      <c r="BA180" s="799"/>
      <c r="BB180" s="799"/>
      <c r="BC180" s="799"/>
      <c r="BD180" s="799"/>
      <c r="BE180" s="799"/>
      <c r="BF180" s="799"/>
      <c r="BG180" s="799"/>
    </row>
    <row r="181">
      <c r="H181" s="799"/>
      <c r="I181" s="799"/>
      <c r="J181" s="799"/>
      <c r="K181" s="799"/>
      <c r="L181" s="799"/>
      <c r="M181" s="799"/>
      <c r="N181" s="799"/>
      <c r="O181" s="799"/>
      <c r="P181" s="799"/>
      <c r="Q181" s="799"/>
      <c r="R181" s="799"/>
      <c r="S181" s="799"/>
      <c r="T181" s="799"/>
      <c r="U181" s="799"/>
      <c r="V181" s="799"/>
      <c r="W181" s="799"/>
      <c r="X181" s="799"/>
      <c r="Y181" s="799"/>
      <c r="Z181" s="799"/>
      <c r="AA181" s="799"/>
      <c r="AB181" s="799"/>
      <c r="AC181" s="799"/>
      <c r="AD181" s="799"/>
      <c r="AE181" s="799"/>
      <c r="AF181" s="799"/>
      <c r="AG181" s="799"/>
      <c r="AH181" s="799"/>
      <c r="AI181" s="799"/>
      <c r="AJ181" s="799"/>
      <c r="AK181" s="799"/>
      <c r="AL181" s="799"/>
      <c r="AM181" s="799"/>
      <c r="AN181" s="799"/>
      <c r="AO181" s="799"/>
      <c r="AP181" s="799"/>
      <c r="AQ181" s="799"/>
      <c r="AR181" s="799"/>
      <c r="AS181" s="799"/>
      <c r="AT181" s="799"/>
      <c r="AU181" s="799"/>
      <c r="AV181" s="799"/>
      <c r="AW181" s="799"/>
      <c r="AX181" s="799"/>
      <c r="AY181" s="799"/>
      <c r="AZ181" s="799"/>
      <c r="BA181" s="799"/>
      <c r="BB181" s="799"/>
      <c r="BC181" s="799"/>
      <c r="BD181" s="799"/>
      <c r="BE181" s="799"/>
      <c r="BF181" s="799"/>
      <c r="BG181" s="799"/>
    </row>
    <row r="182">
      <c r="H182" s="799"/>
      <c r="I182" s="799"/>
      <c r="J182" s="799"/>
      <c r="K182" s="799"/>
      <c r="L182" s="799"/>
      <c r="M182" s="799"/>
      <c r="N182" s="799"/>
      <c r="O182" s="799"/>
      <c r="P182" s="799"/>
      <c r="Q182" s="799"/>
      <c r="R182" s="799"/>
      <c r="S182" s="799"/>
      <c r="T182" s="799"/>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99"/>
      <c r="AU182" s="799"/>
      <c r="AV182" s="799"/>
      <c r="AW182" s="799"/>
      <c r="AX182" s="799"/>
      <c r="AY182" s="799"/>
      <c r="AZ182" s="799"/>
      <c r="BA182" s="799"/>
      <c r="BB182" s="799"/>
      <c r="BC182" s="799"/>
      <c r="BD182" s="799"/>
      <c r="BE182" s="799"/>
      <c r="BF182" s="799"/>
      <c r="BG182" s="799"/>
    </row>
    <row r="183">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99"/>
      <c r="AU183" s="799"/>
      <c r="AV183" s="799"/>
      <c r="AW183" s="799"/>
      <c r="AX183" s="799"/>
      <c r="AY183" s="799"/>
      <c r="AZ183" s="799"/>
      <c r="BA183" s="799"/>
      <c r="BB183" s="799"/>
      <c r="BC183" s="799"/>
      <c r="BD183" s="799"/>
      <c r="BE183" s="799"/>
      <c r="BF183" s="799"/>
      <c r="BG183" s="799"/>
    </row>
    <row r="184">
      <c r="H184" s="799"/>
      <c r="I184" s="799"/>
      <c r="J184" s="799"/>
      <c r="K184" s="799"/>
      <c r="L184" s="799"/>
      <c r="M184" s="799"/>
      <c r="N184" s="799"/>
      <c r="O184" s="799"/>
      <c r="P184" s="799"/>
      <c r="Q184" s="799"/>
      <c r="R184" s="799"/>
      <c r="S184" s="799"/>
      <c r="T184" s="799"/>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99"/>
      <c r="AU184" s="799"/>
      <c r="AV184" s="799"/>
      <c r="AW184" s="799"/>
      <c r="AX184" s="799"/>
      <c r="AY184" s="799"/>
      <c r="AZ184" s="799"/>
      <c r="BA184" s="799"/>
      <c r="BB184" s="799"/>
      <c r="BC184" s="799"/>
      <c r="BD184" s="799"/>
      <c r="BE184" s="799"/>
      <c r="BF184" s="799"/>
      <c r="BG184" s="799"/>
    </row>
    <row r="185">
      <c r="H185" s="799"/>
      <c r="I185" s="799"/>
      <c r="J185" s="799"/>
      <c r="K185" s="799"/>
      <c r="L185" s="799"/>
      <c r="M185" s="799"/>
      <c r="N185" s="799"/>
      <c r="O185" s="799"/>
      <c r="P185" s="799"/>
      <c r="Q185" s="799"/>
      <c r="R185" s="799"/>
      <c r="S185" s="799"/>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99"/>
      <c r="AU185" s="799"/>
      <c r="AV185" s="799"/>
      <c r="AW185" s="799"/>
      <c r="AX185" s="799"/>
      <c r="AY185" s="799"/>
      <c r="AZ185" s="799"/>
      <c r="BA185" s="799"/>
      <c r="BB185" s="799"/>
      <c r="BC185" s="799"/>
      <c r="BD185" s="799"/>
      <c r="BE185" s="799"/>
      <c r="BF185" s="799"/>
      <c r="BG185" s="799"/>
    </row>
    <row r="186">
      <c r="H186" s="799"/>
      <c r="I186" s="799"/>
      <c r="J186" s="799"/>
      <c r="K186" s="799"/>
      <c r="L186" s="799"/>
      <c r="M186" s="799"/>
      <c r="N186" s="799"/>
      <c r="O186" s="799"/>
      <c r="P186" s="799"/>
      <c r="Q186" s="799"/>
      <c r="R186" s="799"/>
      <c r="S186" s="799"/>
      <c r="T186" s="799"/>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99"/>
      <c r="AU186" s="799"/>
      <c r="AV186" s="799"/>
      <c r="AW186" s="799"/>
      <c r="AX186" s="799"/>
      <c r="AY186" s="799"/>
      <c r="AZ186" s="799"/>
      <c r="BA186" s="799"/>
      <c r="BB186" s="799"/>
      <c r="BC186" s="799"/>
      <c r="BD186" s="799"/>
      <c r="BE186" s="799"/>
      <c r="BF186" s="799"/>
      <c r="BG186" s="799"/>
    </row>
    <row r="187">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row>
    <row r="188">
      <c r="H188" s="799"/>
      <c r="I188" s="799"/>
      <c r="J188" s="799"/>
      <c r="K188" s="799"/>
      <c r="L188" s="799"/>
      <c r="M188" s="799"/>
      <c r="N188" s="799"/>
      <c r="O188" s="799"/>
      <c r="P188" s="799"/>
      <c r="Q188" s="799"/>
      <c r="R188" s="799"/>
      <c r="S188" s="799"/>
      <c r="T188" s="799"/>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99"/>
      <c r="AU188" s="799"/>
      <c r="AV188" s="799"/>
      <c r="AW188" s="799"/>
      <c r="AX188" s="799"/>
      <c r="AY188" s="799"/>
      <c r="AZ188" s="799"/>
      <c r="BA188" s="799"/>
      <c r="BB188" s="799"/>
      <c r="BC188" s="799"/>
      <c r="BD188" s="799"/>
      <c r="BE188" s="799"/>
      <c r="BF188" s="799"/>
      <c r="BG188" s="799"/>
    </row>
    <row r="18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99"/>
      <c r="AU189" s="799"/>
      <c r="AV189" s="799"/>
      <c r="AW189" s="799"/>
      <c r="AX189" s="799"/>
      <c r="AY189" s="799"/>
      <c r="AZ189" s="799"/>
      <c r="BA189" s="799"/>
      <c r="BB189" s="799"/>
      <c r="BC189" s="799"/>
      <c r="BD189" s="799"/>
      <c r="BE189" s="799"/>
      <c r="BF189" s="799"/>
      <c r="BG189" s="799"/>
    </row>
    <row r="190">
      <c r="H190" s="799"/>
      <c r="I190" s="799"/>
      <c r="J190" s="799"/>
      <c r="K190" s="799"/>
      <c r="L190" s="799"/>
      <c r="M190" s="799"/>
      <c r="N190" s="799"/>
      <c r="O190" s="799"/>
      <c r="P190" s="799"/>
      <c r="Q190" s="799"/>
      <c r="R190" s="799"/>
      <c r="S190" s="799"/>
      <c r="T190" s="799"/>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99"/>
      <c r="AU190" s="799"/>
      <c r="AV190" s="799"/>
      <c r="AW190" s="799"/>
      <c r="AX190" s="799"/>
      <c r="AY190" s="799"/>
      <c r="AZ190" s="799"/>
      <c r="BA190" s="799"/>
      <c r="BB190" s="799"/>
      <c r="BC190" s="799"/>
      <c r="BD190" s="799"/>
      <c r="BE190" s="799"/>
      <c r="BF190" s="799"/>
      <c r="BG190" s="799"/>
    </row>
    <row r="191">
      <c r="H191" s="799"/>
      <c r="I191" s="799"/>
      <c r="J191" s="799"/>
      <c r="K191" s="799"/>
      <c r="L191" s="799"/>
      <c r="M191" s="799"/>
      <c r="N191" s="799"/>
      <c r="O191" s="799"/>
      <c r="P191" s="799"/>
      <c r="Q191" s="799"/>
      <c r="R191" s="799"/>
      <c r="S191" s="799"/>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99"/>
      <c r="AU191" s="799"/>
      <c r="AV191" s="799"/>
      <c r="AW191" s="799"/>
      <c r="AX191" s="799"/>
      <c r="AY191" s="799"/>
      <c r="AZ191" s="799"/>
      <c r="BA191" s="799"/>
      <c r="BB191" s="799"/>
      <c r="BC191" s="799"/>
      <c r="BD191" s="799"/>
      <c r="BE191" s="799"/>
      <c r="BF191" s="799"/>
      <c r="BG191" s="799"/>
    </row>
    <row r="192">
      <c r="H192" s="799"/>
      <c r="I192" s="799"/>
      <c r="J192" s="799"/>
      <c r="K192" s="799"/>
      <c r="L192" s="799"/>
      <c r="M192" s="799"/>
      <c r="N192" s="799"/>
      <c r="O192" s="799"/>
      <c r="P192" s="799"/>
      <c r="Q192" s="799"/>
      <c r="R192" s="799"/>
      <c r="S192" s="799"/>
      <c r="T192" s="799"/>
      <c r="U192" s="799"/>
      <c r="V192" s="799"/>
      <c r="W192" s="799"/>
      <c r="X192" s="799"/>
      <c r="Y192" s="799"/>
      <c r="Z192" s="799"/>
      <c r="AA192" s="799"/>
      <c r="AB192" s="799"/>
      <c r="AC192" s="799"/>
      <c r="AD192" s="799"/>
      <c r="AE192" s="799"/>
      <c r="AF192" s="799"/>
      <c r="AG192" s="799"/>
      <c r="AH192" s="799"/>
      <c r="AI192" s="799"/>
      <c r="AJ192" s="799"/>
      <c r="AK192" s="799"/>
      <c r="AL192" s="799"/>
      <c r="AM192" s="799"/>
      <c r="AN192" s="799"/>
      <c r="AO192" s="799"/>
      <c r="AP192" s="799"/>
      <c r="AQ192" s="799"/>
      <c r="AR192" s="799"/>
      <c r="AS192" s="799"/>
      <c r="AT192" s="799"/>
      <c r="AU192" s="799"/>
      <c r="AV192" s="799"/>
      <c r="AW192" s="799"/>
      <c r="AX192" s="799"/>
      <c r="AY192" s="799"/>
      <c r="AZ192" s="799"/>
      <c r="BA192" s="799"/>
      <c r="BB192" s="799"/>
      <c r="BC192" s="799"/>
      <c r="BD192" s="799"/>
      <c r="BE192" s="799"/>
      <c r="BF192" s="799"/>
      <c r="BG192" s="799"/>
    </row>
    <row r="193">
      <c r="H193" s="799"/>
      <c r="I193" s="799"/>
      <c r="J193" s="799"/>
      <c r="K193" s="799"/>
      <c r="L193" s="799"/>
      <c r="M193" s="799"/>
      <c r="N193" s="799"/>
      <c r="O193" s="799"/>
      <c r="P193" s="799"/>
      <c r="Q193" s="799"/>
      <c r="R193" s="799"/>
      <c r="S193" s="799"/>
      <c r="T193" s="799"/>
      <c r="U193" s="799"/>
      <c r="V193" s="799"/>
      <c r="W193" s="799"/>
      <c r="X193" s="799"/>
      <c r="Y193" s="799"/>
      <c r="Z193" s="799"/>
      <c r="AA193" s="799"/>
      <c r="AB193" s="799"/>
      <c r="AC193" s="799"/>
      <c r="AD193" s="799"/>
      <c r="AE193" s="799"/>
      <c r="AF193" s="799"/>
      <c r="AG193" s="799"/>
      <c r="AH193" s="799"/>
      <c r="AI193" s="799"/>
      <c r="AJ193" s="799"/>
      <c r="AK193" s="799"/>
      <c r="AL193" s="799"/>
      <c r="AM193" s="799"/>
      <c r="AN193" s="799"/>
      <c r="AO193" s="799"/>
      <c r="AP193" s="799"/>
      <c r="AQ193" s="799"/>
      <c r="AR193" s="799"/>
      <c r="AS193" s="799"/>
      <c r="AT193" s="799"/>
      <c r="AU193" s="799"/>
      <c r="AV193" s="799"/>
      <c r="AW193" s="799"/>
      <c r="AX193" s="799"/>
      <c r="AY193" s="799"/>
      <c r="AZ193" s="799"/>
      <c r="BA193" s="799"/>
      <c r="BB193" s="799"/>
      <c r="BC193" s="799"/>
      <c r="BD193" s="799"/>
      <c r="BE193" s="799"/>
      <c r="BF193" s="799"/>
      <c r="BG193" s="799"/>
    </row>
    <row r="194">
      <c r="H194" s="799"/>
      <c r="I194" s="799"/>
      <c r="J194" s="799"/>
      <c r="K194" s="799"/>
      <c r="L194" s="799"/>
      <c r="M194" s="799"/>
      <c r="N194" s="799"/>
      <c r="O194" s="799"/>
      <c r="P194" s="799"/>
      <c r="Q194" s="799"/>
      <c r="R194" s="799"/>
      <c r="S194" s="799"/>
      <c r="T194" s="799"/>
      <c r="U194" s="799"/>
      <c r="V194" s="799"/>
      <c r="W194" s="799"/>
      <c r="X194" s="799"/>
      <c r="Y194" s="799"/>
      <c r="Z194" s="799"/>
      <c r="AA194" s="799"/>
      <c r="AB194" s="799"/>
      <c r="AC194" s="799"/>
      <c r="AD194" s="799"/>
      <c r="AE194" s="799"/>
      <c r="AF194" s="799"/>
      <c r="AG194" s="799"/>
      <c r="AH194" s="799"/>
      <c r="AI194" s="799"/>
      <c r="AJ194" s="799"/>
      <c r="AK194" s="799"/>
      <c r="AL194" s="799"/>
      <c r="AM194" s="799"/>
      <c r="AN194" s="799"/>
      <c r="AO194" s="799"/>
      <c r="AP194" s="799"/>
      <c r="AQ194" s="799"/>
      <c r="AR194" s="799"/>
      <c r="AS194" s="799"/>
      <c r="AT194" s="799"/>
      <c r="AU194" s="799"/>
      <c r="AV194" s="799"/>
      <c r="AW194" s="799"/>
      <c r="AX194" s="799"/>
      <c r="AY194" s="799"/>
      <c r="AZ194" s="799"/>
      <c r="BA194" s="799"/>
      <c r="BB194" s="799"/>
      <c r="BC194" s="799"/>
      <c r="BD194" s="799"/>
      <c r="BE194" s="799"/>
      <c r="BF194" s="799"/>
      <c r="BG194" s="799"/>
    </row>
    <row r="195">
      <c r="H195" s="799"/>
      <c r="I195" s="799"/>
      <c r="J195" s="799"/>
      <c r="K195" s="799"/>
      <c r="L195" s="799"/>
      <c r="M195" s="799"/>
      <c r="N195" s="799"/>
      <c r="O195" s="799"/>
      <c r="P195" s="799"/>
      <c r="Q195" s="799"/>
      <c r="R195" s="799"/>
      <c r="S195" s="799"/>
      <c r="T195" s="799"/>
      <c r="U195" s="799"/>
      <c r="V195" s="799"/>
      <c r="W195" s="799"/>
      <c r="X195" s="799"/>
      <c r="Y195" s="799"/>
      <c r="Z195" s="799"/>
      <c r="AA195" s="799"/>
      <c r="AB195" s="799"/>
      <c r="AC195" s="799"/>
      <c r="AD195" s="799"/>
      <c r="AE195" s="799"/>
      <c r="AF195" s="799"/>
      <c r="AG195" s="799"/>
      <c r="AH195" s="799"/>
      <c r="AI195" s="799"/>
      <c r="AJ195" s="799"/>
      <c r="AK195" s="799"/>
      <c r="AL195" s="799"/>
      <c r="AM195" s="799"/>
      <c r="AN195" s="799"/>
      <c r="AO195" s="799"/>
      <c r="AP195" s="799"/>
      <c r="AQ195" s="799"/>
      <c r="AR195" s="799"/>
      <c r="AS195" s="799"/>
      <c r="AT195" s="799"/>
      <c r="AU195" s="799"/>
      <c r="AV195" s="799"/>
      <c r="AW195" s="799"/>
      <c r="AX195" s="799"/>
      <c r="AY195" s="799"/>
      <c r="AZ195" s="799"/>
      <c r="BA195" s="799"/>
      <c r="BB195" s="799"/>
      <c r="BC195" s="799"/>
      <c r="BD195" s="799"/>
      <c r="BE195" s="799"/>
      <c r="BF195" s="799"/>
      <c r="BG195" s="799"/>
    </row>
    <row r="196">
      <c r="H196" s="799"/>
      <c r="I196" s="799"/>
      <c r="J196" s="799"/>
      <c r="K196" s="799"/>
      <c r="L196" s="799"/>
      <c r="M196" s="799"/>
      <c r="N196" s="799"/>
      <c r="O196" s="799"/>
      <c r="P196" s="799"/>
      <c r="Q196" s="799"/>
      <c r="R196" s="799"/>
      <c r="S196" s="799"/>
      <c r="T196" s="799"/>
      <c r="U196" s="799"/>
      <c r="V196" s="799"/>
      <c r="W196" s="799"/>
      <c r="X196" s="799"/>
      <c r="Y196" s="799"/>
      <c r="Z196" s="799"/>
      <c r="AA196" s="799"/>
      <c r="AB196" s="799"/>
      <c r="AC196" s="799"/>
      <c r="AD196" s="799"/>
      <c r="AE196" s="799"/>
      <c r="AF196" s="799"/>
      <c r="AG196" s="799"/>
      <c r="AH196" s="799"/>
      <c r="AI196" s="799"/>
      <c r="AJ196" s="799"/>
      <c r="AK196" s="799"/>
      <c r="AL196" s="799"/>
      <c r="AM196" s="799"/>
      <c r="AN196" s="799"/>
      <c r="AO196" s="799"/>
      <c r="AP196" s="799"/>
      <c r="AQ196" s="799"/>
      <c r="AR196" s="799"/>
      <c r="AS196" s="799"/>
      <c r="AT196" s="799"/>
      <c r="AU196" s="799"/>
      <c r="AV196" s="799"/>
      <c r="AW196" s="799"/>
      <c r="AX196" s="799"/>
      <c r="AY196" s="799"/>
      <c r="AZ196" s="799"/>
      <c r="BA196" s="799"/>
      <c r="BB196" s="799"/>
      <c r="BC196" s="799"/>
      <c r="BD196" s="799"/>
      <c r="BE196" s="799"/>
      <c r="BF196" s="799"/>
      <c r="BG196" s="799"/>
    </row>
    <row r="197">
      <c r="H197" s="799"/>
      <c r="I197" s="799"/>
      <c r="J197" s="799"/>
      <c r="K197" s="799"/>
      <c r="L197" s="799"/>
      <c r="M197" s="799"/>
      <c r="N197" s="799"/>
      <c r="O197" s="799"/>
      <c r="P197" s="799"/>
      <c r="Q197" s="799"/>
      <c r="R197" s="799"/>
      <c r="S197" s="799"/>
      <c r="T197" s="799"/>
      <c r="U197" s="799"/>
      <c r="V197" s="799"/>
      <c r="W197" s="799"/>
      <c r="X197" s="799"/>
      <c r="Y197" s="799"/>
      <c r="Z197" s="799"/>
      <c r="AA197" s="799"/>
      <c r="AB197" s="799"/>
      <c r="AC197" s="799"/>
      <c r="AD197" s="799"/>
      <c r="AE197" s="799"/>
      <c r="AF197" s="799"/>
      <c r="AG197" s="799"/>
      <c r="AH197" s="799"/>
      <c r="AI197" s="799"/>
      <c r="AJ197" s="799"/>
      <c r="AK197" s="799"/>
      <c r="AL197" s="799"/>
      <c r="AM197" s="799"/>
      <c r="AN197" s="799"/>
      <c r="AO197" s="799"/>
      <c r="AP197" s="799"/>
      <c r="AQ197" s="799"/>
      <c r="AR197" s="799"/>
      <c r="AS197" s="799"/>
      <c r="AT197" s="799"/>
      <c r="AU197" s="799"/>
      <c r="AV197" s="799"/>
      <c r="AW197" s="799"/>
      <c r="AX197" s="799"/>
      <c r="AY197" s="799"/>
      <c r="AZ197" s="799"/>
      <c r="BA197" s="799"/>
      <c r="BB197" s="799"/>
      <c r="BC197" s="799"/>
      <c r="BD197" s="799"/>
      <c r="BE197" s="799"/>
      <c r="BF197" s="799"/>
      <c r="BG197" s="799"/>
    </row>
    <row r="198">
      <c r="H198" s="799"/>
      <c r="I198" s="799"/>
      <c r="J198" s="799"/>
      <c r="K198" s="799"/>
      <c r="L198" s="799"/>
      <c r="M198" s="799"/>
      <c r="N198" s="799"/>
      <c r="O198" s="799"/>
      <c r="P198" s="799"/>
      <c r="Q198" s="799"/>
      <c r="R198" s="799"/>
      <c r="S198" s="799"/>
      <c r="T198" s="799"/>
      <c r="U198" s="799"/>
      <c r="V198" s="799"/>
      <c r="W198" s="799"/>
      <c r="X198" s="799"/>
      <c r="Y198" s="799"/>
      <c r="Z198" s="799"/>
      <c r="AA198" s="799"/>
      <c r="AB198" s="799"/>
      <c r="AC198" s="799"/>
      <c r="AD198" s="799"/>
      <c r="AE198" s="799"/>
      <c r="AF198" s="799"/>
      <c r="AG198" s="799"/>
      <c r="AH198" s="799"/>
      <c r="AI198" s="799"/>
      <c r="AJ198" s="799"/>
      <c r="AK198" s="799"/>
      <c r="AL198" s="799"/>
      <c r="AM198" s="799"/>
      <c r="AN198" s="799"/>
      <c r="AO198" s="799"/>
      <c r="AP198" s="799"/>
      <c r="AQ198" s="799"/>
      <c r="AR198" s="799"/>
      <c r="AS198" s="799"/>
      <c r="AT198" s="799"/>
      <c r="AU198" s="799"/>
      <c r="AV198" s="799"/>
      <c r="AW198" s="799"/>
      <c r="AX198" s="799"/>
      <c r="AY198" s="799"/>
      <c r="AZ198" s="799"/>
      <c r="BA198" s="799"/>
      <c r="BB198" s="799"/>
      <c r="BC198" s="799"/>
      <c r="BD198" s="799"/>
      <c r="BE198" s="799"/>
      <c r="BF198" s="799"/>
      <c r="BG198" s="799"/>
    </row>
    <row r="199">
      <c r="H199" s="799"/>
      <c r="I199" s="799"/>
      <c r="J199" s="799"/>
      <c r="K199" s="799"/>
      <c r="L199" s="799"/>
      <c r="M199" s="799"/>
      <c r="N199" s="799"/>
      <c r="O199" s="799"/>
      <c r="P199" s="799"/>
      <c r="Q199" s="799"/>
      <c r="R199" s="799"/>
      <c r="S199" s="799"/>
      <c r="T199" s="799"/>
      <c r="U199" s="799"/>
      <c r="V199" s="799"/>
      <c r="W199" s="799"/>
      <c r="X199" s="799"/>
      <c r="Y199" s="799"/>
      <c r="Z199" s="799"/>
      <c r="AA199" s="799"/>
      <c r="AB199" s="799"/>
      <c r="AC199" s="799"/>
      <c r="AD199" s="799"/>
      <c r="AE199" s="799"/>
      <c r="AF199" s="799"/>
      <c r="AG199" s="799"/>
      <c r="AH199" s="799"/>
      <c r="AI199" s="799"/>
      <c r="AJ199" s="799"/>
      <c r="AK199" s="799"/>
      <c r="AL199" s="799"/>
      <c r="AM199" s="799"/>
      <c r="AN199" s="799"/>
      <c r="AO199" s="799"/>
      <c r="AP199" s="799"/>
      <c r="AQ199" s="799"/>
      <c r="AR199" s="799"/>
      <c r="AS199" s="799"/>
      <c r="AT199" s="799"/>
      <c r="AU199" s="799"/>
      <c r="AV199" s="799"/>
      <c r="AW199" s="799"/>
      <c r="AX199" s="799"/>
      <c r="AY199" s="799"/>
      <c r="AZ199" s="799"/>
      <c r="BA199" s="799"/>
      <c r="BB199" s="799"/>
      <c r="BC199" s="799"/>
      <c r="BD199" s="799"/>
      <c r="BE199" s="799"/>
      <c r="BF199" s="799"/>
      <c r="BG199" s="799"/>
    </row>
    <row r="200">
      <c r="H200" s="799"/>
      <c r="I200" s="799"/>
      <c r="J200" s="799"/>
      <c r="K200" s="799"/>
      <c r="L200" s="799"/>
      <c r="M200" s="799"/>
      <c r="N200" s="799"/>
      <c r="O200" s="799"/>
      <c r="P200" s="799"/>
      <c r="Q200" s="799"/>
      <c r="R200" s="799"/>
      <c r="S200" s="799"/>
      <c r="T200" s="799"/>
      <c r="U200" s="799"/>
      <c r="V200" s="799"/>
      <c r="W200" s="799"/>
      <c r="X200" s="799"/>
      <c r="Y200" s="799"/>
      <c r="Z200" s="799"/>
      <c r="AA200" s="799"/>
      <c r="AB200" s="799"/>
      <c r="AC200" s="799"/>
      <c r="AD200" s="799"/>
      <c r="AE200" s="799"/>
      <c r="AF200" s="799"/>
      <c r="AG200" s="799"/>
      <c r="AH200" s="799"/>
      <c r="AI200" s="799"/>
      <c r="AJ200" s="799"/>
      <c r="AK200" s="799"/>
      <c r="AL200" s="799"/>
      <c r="AM200" s="799"/>
      <c r="AN200" s="799"/>
      <c r="AO200" s="799"/>
      <c r="AP200" s="799"/>
      <c r="AQ200" s="799"/>
      <c r="AR200" s="799"/>
      <c r="AS200" s="799"/>
      <c r="AT200" s="799"/>
      <c r="AU200" s="799"/>
      <c r="AV200" s="799"/>
      <c r="AW200" s="799"/>
      <c r="AX200" s="799"/>
      <c r="AY200" s="799"/>
      <c r="AZ200" s="799"/>
      <c r="BA200" s="799"/>
      <c r="BB200" s="799"/>
      <c r="BC200" s="799"/>
      <c r="BD200" s="799"/>
      <c r="BE200" s="799"/>
      <c r="BF200" s="799"/>
      <c r="BG200" s="799"/>
    </row>
    <row r="201">
      <c r="H201" s="799"/>
      <c r="I201" s="799"/>
      <c r="J201" s="799"/>
      <c r="K201" s="799"/>
      <c r="L201" s="799"/>
      <c r="M201" s="799"/>
      <c r="N201" s="799"/>
      <c r="O201" s="799"/>
      <c r="P201" s="799"/>
      <c r="Q201" s="799"/>
      <c r="R201" s="799"/>
      <c r="S201" s="799"/>
      <c r="T201" s="799"/>
      <c r="U201" s="799"/>
      <c r="V201" s="799"/>
      <c r="W201" s="799"/>
      <c r="X201" s="799"/>
      <c r="Y201" s="799"/>
      <c r="Z201" s="799"/>
      <c r="AA201" s="799"/>
      <c r="AB201" s="799"/>
      <c r="AC201" s="799"/>
      <c r="AD201" s="799"/>
      <c r="AE201" s="799"/>
      <c r="AF201" s="799"/>
      <c r="AG201" s="799"/>
      <c r="AH201" s="799"/>
      <c r="AI201" s="799"/>
      <c r="AJ201" s="799"/>
      <c r="AK201" s="799"/>
      <c r="AL201" s="799"/>
      <c r="AM201" s="799"/>
      <c r="AN201" s="799"/>
      <c r="AO201" s="799"/>
      <c r="AP201" s="799"/>
      <c r="AQ201" s="799"/>
      <c r="AR201" s="799"/>
      <c r="AS201" s="799"/>
      <c r="AT201" s="799"/>
      <c r="AU201" s="799"/>
      <c r="AV201" s="799"/>
      <c r="AW201" s="799"/>
      <c r="AX201" s="799"/>
      <c r="AY201" s="799"/>
      <c r="AZ201" s="799"/>
      <c r="BA201" s="799"/>
      <c r="BB201" s="799"/>
      <c r="BC201" s="799"/>
      <c r="BD201" s="799"/>
      <c r="BE201" s="799"/>
      <c r="BF201" s="799"/>
      <c r="BG201" s="799"/>
    </row>
    <row r="202">
      <c r="H202" s="799"/>
      <c r="I202" s="799"/>
      <c r="J202" s="799"/>
      <c r="K202" s="799"/>
      <c r="L202" s="799"/>
      <c r="M202" s="799"/>
      <c r="N202" s="799"/>
      <c r="O202" s="799"/>
      <c r="P202" s="799"/>
      <c r="Q202" s="799"/>
      <c r="R202" s="799"/>
      <c r="S202" s="799"/>
      <c r="T202" s="799"/>
      <c r="U202" s="799"/>
      <c r="V202" s="799"/>
      <c r="W202" s="799"/>
      <c r="X202" s="799"/>
      <c r="Y202" s="799"/>
      <c r="Z202" s="799"/>
      <c r="AA202" s="799"/>
      <c r="AB202" s="799"/>
      <c r="AC202" s="799"/>
      <c r="AD202" s="799"/>
      <c r="AE202" s="799"/>
      <c r="AF202" s="799"/>
      <c r="AG202" s="799"/>
      <c r="AH202" s="799"/>
      <c r="AI202" s="799"/>
      <c r="AJ202" s="799"/>
      <c r="AK202" s="799"/>
      <c r="AL202" s="799"/>
      <c r="AM202" s="799"/>
      <c r="AN202" s="799"/>
      <c r="AO202" s="799"/>
      <c r="AP202" s="799"/>
      <c r="AQ202" s="799"/>
      <c r="AR202" s="799"/>
      <c r="AS202" s="799"/>
      <c r="AT202" s="799"/>
      <c r="AU202" s="799"/>
      <c r="AV202" s="799"/>
      <c r="AW202" s="799"/>
      <c r="AX202" s="799"/>
      <c r="AY202" s="799"/>
      <c r="AZ202" s="799"/>
      <c r="BA202" s="799"/>
      <c r="BB202" s="799"/>
      <c r="BC202" s="799"/>
      <c r="BD202" s="799"/>
      <c r="BE202" s="799"/>
      <c r="BF202" s="799"/>
      <c r="BG202" s="799"/>
    </row>
    <row r="203">
      <c r="H203" s="799"/>
      <c r="I203" s="799"/>
      <c r="J203" s="799"/>
      <c r="K203" s="799"/>
      <c r="L203" s="799"/>
      <c r="M203" s="799"/>
      <c r="N203" s="799"/>
      <c r="O203" s="799"/>
      <c r="P203" s="799"/>
      <c r="Q203" s="799"/>
      <c r="R203" s="799"/>
      <c r="S203" s="799"/>
      <c r="T203" s="799"/>
      <c r="U203" s="799"/>
      <c r="V203" s="799"/>
      <c r="W203" s="799"/>
      <c r="X203" s="799"/>
      <c r="Y203" s="799"/>
      <c r="Z203" s="799"/>
      <c r="AA203" s="799"/>
      <c r="AB203" s="799"/>
      <c r="AC203" s="799"/>
      <c r="AD203" s="799"/>
      <c r="AE203" s="799"/>
      <c r="AF203" s="799"/>
      <c r="AG203" s="799"/>
      <c r="AH203" s="799"/>
      <c r="AI203" s="799"/>
      <c r="AJ203" s="799"/>
      <c r="AK203" s="799"/>
      <c r="AL203" s="799"/>
      <c r="AM203" s="799"/>
      <c r="AN203" s="799"/>
      <c r="AO203" s="799"/>
      <c r="AP203" s="799"/>
      <c r="AQ203" s="799"/>
      <c r="AR203" s="799"/>
      <c r="AS203" s="799"/>
      <c r="AT203" s="799"/>
      <c r="AU203" s="799"/>
      <c r="AV203" s="799"/>
      <c r="AW203" s="799"/>
      <c r="AX203" s="799"/>
      <c r="AY203" s="799"/>
      <c r="AZ203" s="799"/>
      <c r="BA203" s="799"/>
      <c r="BB203" s="799"/>
      <c r="BC203" s="799"/>
      <c r="BD203" s="799"/>
      <c r="BE203" s="799"/>
      <c r="BF203" s="799"/>
      <c r="BG203" s="799"/>
    </row>
    <row r="204">
      <c r="H204" s="799"/>
      <c r="I204" s="799"/>
      <c r="J204" s="799"/>
      <c r="K204" s="799"/>
      <c r="L204" s="799"/>
      <c r="M204" s="799"/>
      <c r="N204" s="799"/>
      <c r="O204" s="799"/>
      <c r="P204" s="799"/>
      <c r="Q204" s="799"/>
      <c r="R204" s="799"/>
      <c r="S204" s="799"/>
      <c r="T204" s="799"/>
      <c r="U204" s="799"/>
      <c r="V204" s="799"/>
      <c r="W204" s="799"/>
      <c r="X204" s="799"/>
      <c r="Y204" s="799"/>
      <c r="Z204" s="799"/>
      <c r="AA204" s="799"/>
      <c r="AB204" s="799"/>
      <c r="AC204" s="799"/>
      <c r="AD204" s="799"/>
      <c r="AE204" s="799"/>
      <c r="AF204" s="799"/>
      <c r="AG204" s="799"/>
      <c r="AH204" s="799"/>
      <c r="AI204" s="799"/>
      <c r="AJ204" s="799"/>
      <c r="AK204" s="799"/>
      <c r="AL204" s="799"/>
      <c r="AM204" s="799"/>
      <c r="AN204" s="799"/>
      <c r="AO204" s="799"/>
      <c r="AP204" s="799"/>
      <c r="AQ204" s="799"/>
      <c r="AR204" s="799"/>
      <c r="AS204" s="799"/>
      <c r="AT204" s="799"/>
      <c r="AU204" s="799"/>
      <c r="AV204" s="799"/>
      <c r="AW204" s="799"/>
      <c r="AX204" s="799"/>
      <c r="AY204" s="799"/>
      <c r="AZ204" s="799"/>
      <c r="BA204" s="799"/>
      <c r="BB204" s="799"/>
      <c r="BC204" s="799"/>
      <c r="BD204" s="799"/>
      <c r="BE204" s="799"/>
      <c r="BF204" s="799"/>
      <c r="BG204" s="799"/>
    </row>
    <row r="205">
      <c r="H205" s="799"/>
      <c r="I205" s="799"/>
      <c r="J205" s="799"/>
      <c r="K205" s="799"/>
      <c r="L205" s="799"/>
      <c r="M205" s="799"/>
      <c r="N205" s="799"/>
      <c r="O205" s="799"/>
      <c r="P205" s="799"/>
      <c r="Q205" s="799"/>
      <c r="R205" s="799"/>
      <c r="S205" s="799"/>
      <c r="T205" s="799"/>
      <c r="U205" s="799"/>
      <c r="V205" s="799"/>
      <c r="W205" s="799"/>
      <c r="X205" s="799"/>
      <c r="Y205" s="799"/>
      <c r="Z205" s="799"/>
      <c r="AA205" s="799"/>
      <c r="AB205" s="799"/>
      <c r="AC205" s="799"/>
      <c r="AD205" s="799"/>
      <c r="AE205" s="799"/>
      <c r="AF205" s="799"/>
      <c r="AG205" s="799"/>
      <c r="AH205" s="799"/>
      <c r="AI205" s="799"/>
      <c r="AJ205" s="799"/>
      <c r="AK205" s="799"/>
      <c r="AL205" s="799"/>
      <c r="AM205" s="799"/>
      <c r="AN205" s="799"/>
      <c r="AO205" s="799"/>
      <c r="AP205" s="799"/>
      <c r="AQ205" s="799"/>
      <c r="AR205" s="799"/>
      <c r="AS205" s="799"/>
      <c r="AT205" s="799"/>
      <c r="AU205" s="799"/>
      <c r="AV205" s="799"/>
      <c r="AW205" s="799"/>
      <c r="AX205" s="799"/>
      <c r="AY205" s="799"/>
      <c r="AZ205" s="799"/>
      <c r="BA205" s="799"/>
      <c r="BB205" s="799"/>
      <c r="BC205" s="799"/>
      <c r="BD205" s="799"/>
      <c r="BE205" s="799"/>
      <c r="BF205" s="799"/>
      <c r="BG205" s="799"/>
    </row>
    <row r="206">
      <c r="H206" s="799"/>
      <c r="I206" s="799"/>
      <c r="J206" s="799"/>
      <c r="K206" s="799"/>
      <c r="L206" s="799"/>
      <c r="M206" s="799"/>
      <c r="N206" s="799"/>
      <c r="O206" s="799"/>
      <c r="P206" s="799"/>
      <c r="Q206" s="799"/>
      <c r="R206" s="799"/>
      <c r="S206" s="799"/>
      <c r="T206" s="799"/>
      <c r="U206" s="799"/>
      <c r="V206" s="799"/>
      <c r="W206" s="799"/>
      <c r="X206" s="799"/>
      <c r="Y206" s="799"/>
      <c r="Z206" s="799"/>
      <c r="AA206" s="799"/>
      <c r="AB206" s="799"/>
      <c r="AC206" s="799"/>
      <c r="AD206" s="799"/>
      <c r="AE206" s="799"/>
      <c r="AF206" s="799"/>
      <c r="AG206" s="799"/>
      <c r="AH206" s="799"/>
      <c r="AI206" s="799"/>
      <c r="AJ206" s="799"/>
      <c r="AK206" s="799"/>
      <c r="AL206" s="799"/>
      <c r="AM206" s="799"/>
      <c r="AN206" s="799"/>
      <c r="AO206" s="799"/>
      <c r="AP206" s="799"/>
      <c r="AQ206" s="799"/>
      <c r="AR206" s="799"/>
      <c r="AS206" s="799"/>
      <c r="AT206" s="799"/>
      <c r="AU206" s="799"/>
      <c r="AV206" s="799"/>
      <c r="AW206" s="799"/>
      <c r="AX206" s="799"/>
      <c r="AY206" s="799"/>
      <c r="AZ206" s="799"/>
      <c r="BA206" s="799"/>
      <c r="BB206" s="799"/>
      <c r="BC206" s="799"/>
      <c r="BD206" s="799"/>
      <c r="BE206" s="799"/>
      <c r="BF206" s="799"/>
      <c r="BG206" s="799"/>
    </row>
    <row r="207">
      <c r="H207" s="799"/>
      <c r="I207" s="799"/>
      <c r="J207" s="799"/>
      <c r="K207" s="799"/>
      <c r="L207" s="799"/>
      <c r="M207" s="799"/>
      <c r="N207" s="799"/>
      <c r="O207" s="799"/>
      <c r="P207" s="799"/>
      <c r="Q207" s="799"/>
      <c r="R207" s="799"/>
      <c r="S207" s="799"/>
      <c r="T207" s="799"/>
      <c r="U207" s="799"/>
      <c r="V207" s="799"/>
      <c r="W207" s="799"/>
      <c r="X207" s="799"/>
      <c r="Y207" s="799"/>
      <c r="Z207" s="799"/>
      <c r="AA207" s="799"/>
      <c r="AB207" s="799"/>
      <c r="AC207" s="799"/>
      <c r="AD207" s="799"/>
      <c r="AE207" s="799"/>
      <c r="AF207" s="799"/>
      <c r="AG207" s="799"/>
      <c r="AH207" s="799"/>
      <c r="AI207" s="799"/>
      <c r="AJ207" s="799"/>
      <c r="AK207" s="799"/>
      <c r="AL207" s="799"/>
      <c r="AM207" s="799"/>
      <c r="AN207" s="799"/>
      <c r="AO207" s="799"/>
      <c r="AP207" s="799"/>
      <c r="AQ207" s="799"/>
      <c r="AR207" s="799"/>
      <c r="AS207" s="799"/>
      <c r="AT207" s="799"/>
      <c r="AU207" s="799"/>
      <c r="AV207" s="799"/>
      <c r="AW207" s="799"/>
      <c r="AX207" s="799"/>
      <c r="AY207" s="799"/>
      <c r="AZ207" s="799"/>
      <c r="BA207" s="799"/>
      <c r="BB207" s="799"/>
      <c r="BC207" s="799"/>
      <c r="BD207" s="799"/>
      <c r="BE207" s="799"/>
      <c r="BF207" s="799"/>
      <c r="BG207" s="799"/>
    </row>
    <row r="208">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c r="AE208" s="799"/>
      <c r="AF208" s="799"/>
      <c r="AG208" s="799"/>
      <c r="AH208" s="799"/>
      <c r="AI208" s="799"/>
      <c r="AJ208" s="799"/>
      <c r="AK208" s="799"/>
      <c r="AL208" s="799"/>
      <c r="AM208" s="799"/>
      <c r="AN208" s="799"/>
      <c r="AO208" s="799"/>
      <c r="AP208" s="799"/>
      <c r="AQ208" s="799"/>
      <c r="AR208" s="799"/>
      <c r="AS208" s="799"/>
      <c r="AT208" s="799"/>
      <c r="AU208" s="799"/>
      <c r="AV208" s="799"/>
      <c r="AW208" s="799"/>
      <c r="AX208" s="799"/>
      <c r="AY208" s="799"/>
      <c r="AZ208" s="799"/>
      <c r="BA208" s="799"/>
      <c r="BB208" s="799"/>
      <c r="BC208" s="799"/>
      <c r="BD208" s="799"/>
      <c r="BE208" s="799"/>
      <c r="BF208" s="799"/>
      <c r="BG208" s="799"/>
    </row>
    <row r="209">
      <c r="H209" s="799"/>
      <c r="I209" s="799"/>
      <c r="J209" s="799"/>
      <c r="K209" s="799"/>
      <c r="L209" s="799"/>
      <c r="M209" s="799"/>
      <c r="N209" s="799"/>
      <c r="O209" s="799"/>
      <c r="P209" s="799"/>
      <c r="Q209" s="799"/>
      <c r="R209" s="799"/>
      <c r="S209" s="799"/>
      <c r="T209" s="799"/>
      <c r="U209" s="799"/>
      <c r="V209" s="799"/>
      <c r="W209" s="799"/>
      <c r="X209" s="799"/>
      <c r="Y209" s="799"/>
      <c r="Z209" s="799"/>
      <c r="AA209" s="799"/>
      <c r="AB209" s="799"/>
      <c r="AC209" s="799"/>
      <c r="AD209" s="799"/>
      <c r="AE209" s="799"/>
      <c r="AF209" s="799"/>
      <c r="AG209" s="799"/>
      <c r="AH209" s="799"/>
      <c r="AI209" s="799"/>
      <c r="AJ209" s="799"/>
      <c r="AK209" s="799"/>
      <c r="AL209" s="799"/>
      <c r="AM209" s="799"/>
      <c r="AN209" s="799"/>
      <c r="AO209" s="799"/>
      <c r="AP209" s="799"/>
      <c r="AQ209" s="799"/>
      <c r="AR209" s="799"/>
      <c r="AS209" s="799"/>
      <c r="AT209" s="799"/>
      <c r="AU209" s="799"/>
      <c r="AV209" s="799"/>
      <c r="AW209" s="799"/>
      <c r="AX209" s="799"/>
      <c r="AY209" s="799"/>
      <c r="AZ209" s="799"/>
      <c r="BA209" s="799"/>
      <c r="BB209" s="799"/>
      <c r="BC209" s="799"/>
      <c r="BD209" s="799"/>
      <c r="BE209" s="799"/>
      <c r="BF209" s="799"/>
      <c r="BG209" s="799"/>
    </row>
    <row r="210">
      <c r="H210" s="799"/>
      <c r="I210" s="799"/>
      <c r="J210" s="799"/>
      <c r="K210" s="799"/>
      <c r="L210" s="799"/>
      <c r="M210" s="799"/>
      <c r="N210" s="799"/>
      <c r="O210" s="799"/>
      <c r="P210" s="799"/>
      <c r="Q210" s="799"/>
      <c r="R210" s="799"/>
      <c r="S210" s="799"/>
      <c r="T210" s="799"/>
      <c r="U210" s="799"/>
      <c r="V210" s="799"/>
      <c r="W210" s="799"/>
      <c r="X210" s="799"/>
      <c r="Y210" s="799"/>
      <c r="Z210" s="799"/>
      <c r="AA210" s="799"/>
      <c r="AB210" s="799"/>
      <c r="AC210" s="799"/>
      <c r="AD210" s="799"/>
      <c r="AE210" s="799"/>
      <c r="AF210" s="799"/>
      <c r="AG210" s="799"/>
      <c r="AH210" s="799"/>
      <c r="AI210" s="799"/>
      <c r="AJ210" s="799"/>
      <c r="AK210" s="799"/>
      <c r="AL210" s="799"/>
      <c r="AM210" s="799"/>
      <c r="AN210" s="799"/>
      <c r="AO210" s="799"/>
      <c r="AP210" s="799"/>
      <c r="AQ210" s="799"/>
      <c r="AR210" s="799"/>
      <c r="AS210" s="799"/>
      <c r="AT210" s="799"/>
      <c r="AU210" s="799"/>
      <c r="AV210" s="799"/>
      <c r="AW210" s="799"/>
      <c r="AX210" s="799"/>
      <c r="AY210" s="799"/>
      <c r="AZ210" s="799"/>
      <c r="BA210" s="799"/>
      <c r="BB210" s="799"/>
      <c r="BC210" s="799"/>
      <c r="BD210" s="799"/>
      <c r="BE210" s="799"/>
      <c r="BF210" s="799"/>
      <c r="BG210" s="799"/>
    </row>
    <row r="211">
      <c r="H211" s="799"/>
      <c r="I211" s="799"/>
      <c r="J211" s="799"/>
      <c r="K211" s="799"/>
      <c r="L211" s="799"/>
      <c r="M211" s="799"/>
      <c r="N211" s="799"/>
      <c r="O211" s="799"/>
      <c r="P211" s="799"/>
      <c r="Q211" s="799"/>
      <c r="R211" s="799"/>
      <c r="S211" s="799"/>
      <c r="T211" s="799"/>
      <c r="U211" s="799"/>
      <c r="V211" s="799"/>
      <c r="W211" s="799"/>
      <c r="X211" s="799"/>
      <c r="Y211" s="799"/>
      <c r="Z211" s="799"/>
      <c r="AA211" s="799"/>
      <c r="AB211" s="799"/>
      <c r="AC211" s="799"/>
      <c r="AD211" s="799"/>
      <c r="AE211" s="799"/>
      <c r="AF211" s="799"/>
      <c r="AG211" s="799"/>
      <c r="AH211" s="799"/>
      <c r="AI211" s="799"/>
      <c r="AJ211" s="799"/>
      <c r="AK211" s="799"/>
      <c r="AL211" s="799"/>
      <c r="AM211" s="799"/>
      <c r="AN211" s="799"/>
      <c r="AO211" s="799"/>
      <c r="AP211" s="799"/>
      <c r="AQ211" s="799"/>
      <c r="AR211" s="799"/>
      <c r="AS211" s="799"/>
      <c r="AT211" s="799"/>
      <c r="AU211" s="799"/>
      <c r="AV211" s="799"/>
      <c r="AW211" s="799"/>
      <c r="AX211" s="799"/>
      <c r="AY211" s="799"/>
      <c r="AZ211" s="799"/>
      <c r="BA211" s="799"/>
      <c r="BB211" s="799"/>
      <c r="BC211" s="799"/>
      <c r="BD211" s="799"/>
      <c r="BE211" s="799"/>
      <c r="BF211" s="799"/>
      <c r="BG211" s="799"/>
    </row>
    <row r="212">
      <c r="H212" s="799"/>
      <c r="I212" s="799"/>
      <c r="J212" s="799"/>
      <c r="K212" s="799"/>
      <c r="L212" s="799"/>
      <c r="M212" s="799"/>
      <c r="N212" s="799"/>
      <c r="O212" s="799"/>
      <c r="P212" s="799"/>
      <c r="Q212" s="799"/>
      <c r="R212" s="799"/>
      <c r="S212" s="799"/>
      <c r="T212" s="799"/>
      <c r="U212" s="799"/>
      <c r="V212" s="799"/>
      <c r="W212" s="799"/>
      <c r="X212" s="799"/>
      <c r="Y212" s="799"/>
      <c r="Z212" s="799"/>
      <c r="AA212" s="799"/>
      <c r="AB212" s="799"/>
      <c r="AC212" s="799"/>
      <c r="AD212" s="799"/>
      <c r="AE212" s="799"/>
      <c r="AF212" s="799"/>
      <c r="AG212" s="799"/>
      <c r="AH212" s="799"/>
      <c r="AI212" s="799"/>
      <c r="AJ212" s="799"/>
      <c r="AK212" s="799"/>
      <c r="AL212" s="799"/>
      <c r="AM212" s="799"/>
      <c r="AN212" s="799"/>
      <c r="AO212" s="799"/>
      <c r="AP212" s="799"/>
      <c r="AQ212" s="799"/>
      <c r="AR212" s="799"/>
      <c r="AS212" s="799"/>
      <c r="AT212" s="799"/>
      <c r="AU212" s="799"/>
      <c r="AV212" s="799"/>
      <c r="AW212" s="799"/>
      <c r="AX212" s="799"/>
      <c r="AY212" s="799"/>
      <c r="AZ212" s="799"/>
      <c r="BA212" s="799"/>
      <c r="BB212" s="799"/>
      <c r="BC212" s="799"/>
      <c r="BD212" s="799"/>
      <c r="BE212" s="799"/>
      <c r="BF212" s="799"/>
      <c r="BG212" s="799"/>
    </row>
    <row r="213">
      <c r="H213" s="799"/>
      <c r="I213" s="799"/>
      <c r="J213" s="799"/>
      <c r="K213" s="799"/>
      <c r="L213" s="799"/>
      <c r="M213" s="799"/>
      <c r="N213" s="799"/>
      <c r="O213" s="799"/>
      <c r="P213" s="799"/>
      <c r="Q213" s="799"/>
      <c r="R213" s="799"/>
      <c r="S213" s="799"/>
      <c r="T213" s="799"/>
      <c r="U213" s="799"/>
      <c r="V213" s="799"/>
      <c r="W213" s="799"/>
      <c r="X213" s="799"/>
      <c r="Y213" s="799"/>
      <c r="Z213" s="799"/>
      <c r="AA213" s="799"/>
      <c r="AB213" s="799"/>
      <c r="AC213" s="799"/>
      <c r="AD213" s="799"/>
      <c r="AE213" s="799"/>
      <c r="AF213" s="799"/>
      <c r="AG213" s="799"/>
      <c r="AH213" s="799"/>
      <c r="AI213" s="799"/>
      <c r="AJ213" s="799"/>
      <c r="AK213" s="799"/>
      <c r="AL213" s="799"/>
      <c r="AM213" s="799"/>
      <c r="AN213" s="799"/>
      <c r="AO213" s="799"/>
      <c r="AP213" s="799"/>
      <c r="AQ213" s="799"/>
      <c r="AR213" s="799"/>
      <c r="AS213" s="799"/>
      <c r="AT213" s="799"/>
      <c r="AU213" s="799"/>
      <c r="AV213" s="799"/>
      <c r="AW213" s="799"/>
      <c r="AX213" s="799"/>
      <c r="AY213" s="799"/>
      <c r="AZ213" s="799"/>
      <c r="BA213" s="799"/>
      <c r="BB213" s="799"/>
      <c r="BC213" s="799"/>
      <c r="BD213" s="799"/>
      <c r="BE213" s="799"/>
      <c r="BF213" s="799"/>
      <c r="BG213" s="799"/>
    </row>
    <row r="214">
      <c r="H214" s="799"/>
      <c r="I214" s="799"/>
      <c r="J214" s="799"/>
      <c r="K214" s="799"/>
      <c r="L214" s="799"/>
      <c r="M214" s="799"/>
      <c r="N214" s="799"/>
      <c r="O214" s="799"/>
      <c r="P214" s="799"/>
      <c r="Q214" s="799"/>
      <c r="R214" s="799"/>
      <c r="S214" s="799"/>
      <c r="T214" s="799"/>
      <c r="U214" s="799"/>
      <c r="V214" s="799"/>
      <c r="W214" s="799"/>
      <c r="X214" s="799"/>
      <c r="Y214" s="799"/>
      <c r="Z214" s="799"/>
      <c r="AA214" s="799"/>
      <c r="AB214" s="799"/>
      <c r="AC214" s="799"/>
      <c r="AD214" s="799"/>
      <c r="AE214" s="799"/>
      <c r="AF214" s="799"/>
      <c r="AG214" s="799"/>
      <c r="AH214" s="799"/>
      <c r="AI214" s="799"/>
      <c r="AJ214" s="799"/>
      <c r="AK214" s="799"/>
      <c r="AL214" s="799"/>
      <c r="AM214" s="799"/>
      <c r="AN214" s="799"/>
      <c r="AO214" s="799"/>
      <c r="AP214" s="799"/>
      <c r="AQ214" s="799"/>
      <c r="AR214" s="799"/>
      <c r="AS214" s="799"/>
      <c r="AT214" s="799"/>
      <c r="AU214" s="799"/>
      <c r="AV214" s="799"/>
      <c r="AW214" s="799"/>
      <c r="AX214" s="799"/>
      <c r="AY214" s="799"/>
      <c r="AZ214" s="799"/>
      <c r="BA214" s="799"/>
      <c r="BB214" s="799"/>
      <c r="BC214" s="799"/>
      <c r="BD214" s="799"/>
      <c r="BE214" s="799"/>
      <c r="BF214" s="799"/>
      <c r="BG214" s="799"/>
    </row>
    <row r="215">
      <c r="H215" s="799"/>
      <c r="I215" s="799"/>
      <c r="J215" s="799"/>
      <c r="K215" s="799"/>
      <c r="L215" s="799"/>
      <c r="M215" s="799"/>
      <c r="N215" s="799"/>
      <c r="O215" s="799"/>
      <c r="P215" s="799"/>
      <c r="Q215" s="799"/>
      <c r="R215" s="799"/>
      <c r="S215" s="799"/>
      <c r="T215" s="799"/>
      <c r="U215" s="799"/>
      <c r="V215" s="799"/>
      <c r="W215" s="799"/>
      <c r="X215" s="799"/>
      <c r="Y215" s="799"/>
      <c r="Z215" s="799"/>
      <c r="AA215" s="799"/>
      <c r="AB215" s="799"/>
      <c r="AC215" s="799"/>
      <c r="AD215" s="799"/>
      <c r="AE215" s="799"/>
      <c r="AF215" s="799"/>
      <c r="AG215" s="799"/>
      <c r="AH215" s="799"/>
      <c r="AI215" s="799"/>
      <c r="AJ215" s="799"/>
      <c r="AK215" s="799"/>
      <c r="AL215" s="799"/>
      <c r="AM215" s="799"/>
      <c r="AN215" s="799"/>
      <c r="AO215" s="799"/>
      <c r="AP215" s="799"/>
      <c r="AQ215" s="799"/>
      <c r="AR215" s="799"/>
      <c r="AS215" s="799"/>
      <c r="AT215" s="799"/>
      <c r="AU215" s="799"/>
      <c r="AV215" s="799"/>
      <c r="AW215" s="799"/>
      <c r="AX215" s="799"/>
      <c r="AY215" s="799"/>
      <c r="AZ215" s="799"/>
      <c r="BA215" s="799"/>
      <c r="BB215" s="799"/>
      <c r="BC215" s="799"/>
      <c r="BD215" s="799"/>
      <c r="BE215" s="799"/>
      <c r="BF215" s="799"/>
      <c r="BG215" s="799"/>
    </row>
    <row r="216">
      <c r="H216" s="799"/>
      <c r="I216" s="799"/>
      <c r="J216" s="799"/>
      <c r="K216" s="799"/>
      <c r="L216" s="799"/>
      <c r="M216" s="799"/>
      <c r="N216" s="799"/>
      <c r="O216" s="799"/>
      <c r="P216" s="799"/>
      <c r="Q216" s="799"/>
      <c r="R216" s="799"/>
      <c r="S216" s="799"/>
      <c r="T216" s="799"/>
      <c r="U216" s="799"/>
      <c r="V216" s="799"/>
      <c r="W216" s="799"/>
      <c r="X216" s="799"/>
      <c r="Y216" s="799"/>
      <c r="Z216" s="799"/>
      <c r="AA216" s="799"/>
      <c r="AB216" s="799"/>
      <c r="AC216" s="799"/>
      <c r="AD216" s="799"/>
      <c r="AE216" s="799"/>
      <c r="AF216" s="799"/>
      <c r="AG216" s="799"/>
      <c r="AH216" s="799"/>
      <c r="AI216" s="799"/>
      <c r="AJ216" s="799"/>
      <c r="AK216" s="799"/>
      <c r="AL216" s="799"/>
      <c r="AM216" s="799"/>
      <c r="AN216" s="799"/>
      <c r="AO216" s="799"/>
      <c r="AP216" s="799"/>
      <c r="AQ216" s="799"/>
      <c r="AR216" s="799"/>
      <c r="AS216" s="799"/>
      <c r="AT216" s="799"/>
      <c r="AU216" s="799"/>
      <c r="AV216" s="799"/>
      <c r="AW216" s="799"/>
      <c r="AX216" s="799"/>
      <c r="AY216" s="799"/>
      <c r="AZ216" s="799"/>
      <c r="BA216" s="799"/>
      <c r="BB216" s="799"/>
      <c r="BC216" s="799"/>
      <c r="BD216" s="799"/>
      <c r="BE216" s="799"/>
      <c r="BF216" s="799"/>
      <c r="BG216" s="799"/>
    </row>
    <row r="217">
      <c r="H217" s="799"/>
      <c r="I217" s="799"/>
      <c r="J217" s="799"/>
      <c r="K217" s="799"/>
      <c r="L217" s="799"/>
      <c r="M217" s="799"/>
      <c r="N217" s="799"/>
      <c r="O217" s="799"/>
      <c r="P217" s="799"/>
      <c r="Q217" s="799"/>
      <c r="R217" s="799"/>
      <c r="S217" s="799"/>
      <c r="T217" s="799"/>
      <c r="U217" s="799"/>
      <c r="V217" s="799"/>
      <c r="W217" s="799"/>
      <c r="X217" s="799"/>
      <c r="Y217" s="799"/>
      <c r="Z217" s="799"/>
      <c r="AA217" s="799"/>
      <c r="AB217" s="799"/>
      <c r="AC217" s="799"/>
      <c r="AD217" s="799"/>
      <c r="AE217" s="799"/>
      <c r="AF217" s="799"/>
      <c r="AG217" s="799"/>
      <c r="AH217" s="799"/>
      <c r="AI217" s="799"/>
      <c r="AJ217" s="799"/>
      <c r="AK217" s="799"/>
      <c r="AL217" s="799"/>
      <c r="AM217" s="799"/>
      <c r="AN217" s="799"/>
      <c r="AO217" s="799"/>
      <c r="AP217" s="799"/>
      <c r="AQ217" s="799"/>
      <c r="AR217" s="799"/>
      <c r="AS217" s="799"/>
      <c r="AT217" s="799"/>
      <c r="AU217" s="799"/>
      <c r="AV217" s="799"/>
      <c r="AW217" s="799"/>
      <c r="AX217" s="799"/>
      <c r="AY217" s="799"/>
      <c r="AZ217" s="799"/>
      <c r="BA217" s="799"/>
      <c r="BB217" s="799"/>
      <c r="BC217" s="799"/>
      <c r="BD217" s="799"/>
      <c r="BE217" s="799"/>
      <c r="BF217" s="799"/>
      <c r="BG217" s="799"/>
    </row>
    <row r="218">
      <c r="H218" s="799"/>
      <c r="I218" s="799"/>
      <c r="J218" s="799"/>
      <c r="K218" s="799"/>
      <c r="L218" s="799"/>
      <c r="M218" s="799"/>
      <c r="N218" s="799"/>
      <c r="O218" s="799"/>
      <c r="P218" s="799"/>
      <c r="Q218" s="799"/>
      <c r="R218" s="799"/>
      <c r="S218" s="799"/>
      <c r="T218" s="799"/>
      <c r="U218" s="799"/>
      <c r="V218" s="799"/>
      <c r="W218" s="799"/>
      <c r="X218" s="799"/>
      <c r="Y218" s="799"/>
      <c r="Z218" s="799"/>
      <c r="AA218" s="799"/>
      <c r="AB218" s="799"/>
      <c r="AC218" s="799"/>
      <c r="AD218" s="799"/>
      <c r="AE218" s="799"/>
      <c r="AF218" s="799"/>
      <c r="AG218" s="799"/>
      <c r="AH218" s="799"/>
      <c r="AI218" s="799"/>
      <c r="AJ218" s="799"/>
      <c r="AK218" s="799"/>
      <c r="AL218" s="799"/>
      <c r="AM218" s="799"/>
      <c r="AN218" s="799"/>
      <c r="AO218" s="799"/>
      <c r="AP218" s="799"/>
      <c r="AQ218" s="799"/>
      <c r="AR218" s="799"/>
      <c r="AS218" s="799"/>
      <c r="AT218" s="799"/>
      <c r="AU218" s="799"/>
      <c r="AV218" s="799"/>
      <c r="AW218" s="799"/>
      <c r="AX218" s="799"/>
      <c r="AY218" s="799"/>
      <c r="AZ218" s="799"/>
      <c r="BA218" s="799"/>
      <c r="BB218" s="799"/>
      <c r="BC218" s="799"/>
      <c r="BD218" s="799"/>
      <c r="BE218" s="799"/>
      <c r="BF218" s="799"/>
      <c r="BG218" s="799"/>
    </row>
    <row r="219">
      <c r="H219" s="799"/>
      <c r="I219" s="799"/>
      <c r="J219" s="799"/>
      <c r="K219" s="799"/>
      <c r="L219" s="799"/>
      <c r="M219" s="799"/>
      <c r="N219" s="799"/>
      <c r="O219" s="799"/>
      <c r="P219" s="799"/>
      <c r="Q219" s="799"/>
      <c r="R219" s="799"/>
      <c r="S219" s="799"/>
      <c r="T219" s="799"/>
      <c r="U219" s="799"/>
      <c r="V219" s="799"/>
      <c r="W219" s="799"/>
      <c r="X219" s="799"/>
      <c r="Y219" s="799"/>
      <c r="Z219" s="799"/>
      <c r="AA219" s="799"/>
      <c r="AB219" s="799"/>
      <c r="AC219" s="799"/>
      <c r="AD219" s="799"/>
      <c r="AE219" s="799"/>
      <c r="AF219" s="799"/>
      <c r="AG219" s="799"/>
      <c r="AH219" s="799"/>
      <c r="AI219" s="799"/>
      <c r="AJ219" s="799"/>
      <c r="AK219" s="799"/>
      <c r="AL219" s="799"/>
      <c r="AM219" s="799"/>
      <c r="AN219" s="799"/>
      <c r="AO219" s="799"/>
      <c r="AP219" s="799"/>
      <c r="AQ219" s="799"/>
      <c r="AR219" s="799"/>
      <c r="AS219" s="799"/>
      <c r="AT219" s="799"/>
      <c r="AU219" s="799"/>
      <c r="AV219" s="799"/>
      <c r="AW219" s="799"/>
      <c r="AX219" s="799"/>
      <c r="AY219" s="799"/>
      <c r="AZ219" s="799"/>
      <c r="BA219" s="799"/>
      <c r="BB219" s="799"/>
      <c r="BC219" s="799"/>
      <c r="BD219" s="799"/>
      <c r="BE219" s="799"/>
      <c r="BF219" s="799"/>
      <c r="BG219" s="799"/>
    </row>
    <row r="220">
      <c r="H220" s="799"/>
      <c r="I220" s="799"/>
      <c r="J220" s="799"/>
      <c r="K220" s="799"/>
      <c r="L220" s="799"/>
      <c r="M220" s="799"/>
      <c r="N220" s="799"/>
      <c r="O220" s="799"/>
      <c r="P220" s="799"/>
      <c r="Q220" s="799"/>
      <c r="R220" s="799"/>
      <c r="S220" s="799"/>
      <c r="T220" s="799"/>
      <c r="U220" s="799"/>
      <c r="V220" s="799"/>
      <c r="W220" s="799"/>
      <c r="X220" s="799"/>
      <c r="Y220" s="799"/>
      <c r="Z220" s="799"/>
      <c r="AA220" s="799"/>
      <c r="AB220" s="799"/>
      <c r="AC220" s="799"/>
      <c r="AD220" s="799"/>
      <c r="AE220" s="799"/>
      <c r="AF220" s="799"/>
      <c r="AG220" s="799"/>
      <c r="AH220" s="799"/>
      <c r="AI220" s="799"/>
      <c r="AJ220" s="799"/>
      <c r="AK220" s="799"/>
      <c r="AL220" s="799"/>
      <c r="AM220" s="799"/>
      <c r="AN220" s="799"/>
      <c r="AO220" s="799"/>
      <c r="AP220" s="799"/>
      <c r="AQ220" s="799"/>
      <c r="AR220" s="799"/>
      <c r="AS220" s="799"/>
      <c r="AT220" s="799"/>
      <c r="AU220" s="799"/>
      <c r="AV220" s="799"/>
      <c r="AW220" s="799"/>
      <c r="AX220" s="799"/>
      <c r="AY220" s="799"/>
      <c r="AZ220" s="799"/>
      <c r="BA220" s="799"/>
      <c r="BB220" s="799"/>
      <c r="BC220" s="799"/>
      <c r="BD220" s="799"/>
      <c r="BE220" s="799"/>
      <c r="BF220" s="799"/>
      <c r="BG220" s="799"/>
    </row>
    <row r="221">
      <c r="H221" s="799"/>
      <c r="I221" s="799"/>
      <c r="J221" s="799"/>
      <c r="K221" s="799"/>
      <c r="L221" s="799"/>
      <c r="M221" s="799"/>
      <c r="N221" s="799"/>
      <c r="O221" s="799"/>
      <c r="P221" s="799"/>
      <c r="Q221" s="799"/>
      <c r="R221" s="799"/>
      <c r="S221" s="799"/>
      <c r="T221" s="799"/>
      <c r="U221" s="799"/>
      <c r="V221" s="799"/>
      <c r="W221" s="799"/>
      <c r="X221" s="799"/>
      <c r="Y221" s="799"/>
      <c r="Z221" s="799"/>
      <c r="AA221" s="799"/>
      <c r="AB221" s="799"/>
      <c r="AC221" s="799"/>
      <c r="AD221" s="799"/>
      <c r="AE221" s="799"/>
      <c r="AF221" s="799"/>
      <c r="AG221" s="799"/>
      <c r="AH221" s="799"/>
      <c r="AI221" s="799"/>
      <c r="AJ221" s="799"/>
      <c r="AK221" s="799"/>
      <c r="AL221" s="799"/>
      <c r="AM221" s="799"/>
      <c r="AN221" s="799"/>
      <c r="AO221" s="799"/>
      <c r="AP221" s="799"/>
      <c r="AQ221" s="799"/>
      <c r="AR221" s="799"/>
      <c r="AS221" s="799"/>
      <c r="AT221" s="799"/>
      <c r="AU221" s="799"/>
      <c r="AV221" s="799"/>
      <c r="AW221" s="799"/>
      <c r="AX221" s="799"/>
      <c r="AY221" s="799"/>
      <c r="AZ221" s="799"/>
      <c r="BA221" s="799"/>
      <c r="BB221" s="799"/>
      <c r="BC221" s="799"/>
      <c r="BD221" s="799"/>
      <c r="BE221" s="799"/>
      <c r="BF221" s="799"/>
      <c r="BG221" s="799"/>
    </row>
    <row r="222">
      <c r="H222" s="799"/>
      <c r="I222" s="799"/>
      <c r="J222" s="799"/>
      <c r="K222" s="799"/>
      <c r="L222" s="799"/>
      <c r="M222" s="799"/>
      <c r="N222" s="799"/>
      <c r="O222" s="799"/>
      <c r="P222" s="799"/>
      <c r="Q222" s="799"/>
      <c r="R222" s="799"/>
      <c r="S222" s="799"/>
      <c r="T222" s="799"/>
      <c r="U222" s="799"/>
      <c r="V222" s="799"/>
      <c r="W222" s="799"/>
      <c r="X222" s="799"/>
      <c r="Y222" s="799"/>
      <c r="Z222" s="799"/>
      <c r="AA222" s="799"/>
      <c r="AB222" s="799"/>
      <c r="AC222" s="799"/>
      <c r="AD222" s="799"/>
      <c r="AE222" s="799"/>
      <c r="AF222" s="799"/>
      <c r="AG222" s="799"/>
      <c r="AH222" s="799"/>
      <c r="AI222" s="799"/>
      <c r="AJ222" s="799"/>
      <c r="AK222" s="799"/>
      <c r="AL222" s="799"/>
      <c r="AM222" s="799"/>
      <c r="AN222" s="799"/>
      <c r="AO222" s="799"/>
      <c r="AP222" s="799"/>
      <c r="AQ222" s="799"/>
      <c r="AR222" s="799"/>
      <c r="AS222" s="799"/>
      <c r="AT222" s="799"/>
      <c r="AU222" s="799"/>
      <c r="AV222" s="799"/>
      <c r="AW222" s="799"/>
      <c r="AX222" s="799"/>
      <c r="AY222" s="799"/>
      <c r="AZ222" s="799"/>
      <c r="BA222" s="799"/>
      <c r="BB222" s="799"/>
      <c r="BC222" s="799"/>
      <c r="BD222" s="799"/>
      <c r="BE222" s="799"/>
      <c r="BF222" s="799"/>
      <c r="BG222" s="799"/>
    </row>
    <row r="223">
      <c r="H223" s="799"/>
      <c r="I223" s="799"/>
      <c r="J223" s="799"/>
      <c r="K223" s="799"/>
      <c r="L223" s="799"/>
      <c r="M223" s="799"/>
      <c r="N223" s="799"/>
      <c r="O223" s="799"/>
      <c r="P223" s="799"/>
      <c r="Q223" s="799"/>
      <c r="R223" s="799"/>
      <c r="S223" s="799"/>
      <c r="T223" s="799"/>
      <c r="U223" s="799"/>
      <c r="V223" s="799"/>
      <c r="W223" s="799"/>
      <c r="X223" s="799"/>
      <c r="Y223" s="799"/>
      <c r="Z223" s="799"/>
      <c r="AA223" s="799"/>
      <c r="AB223" s="799"/>
      <c r="AC223" s="799"/>
      <c r="AD223" s="799"/>
      <c r="AE223" s="799"/>
      <c r="AF223" s="799"/>
      <c r="AG223" s="799"/>
      <c r="AH223" s="799"/>
      <c r="AI223" s="799"/>
      <c r="AJ223" s="799"/>
      <c r="AK223" s="799"/>
      <c r="AL223" s="799"/>
      <c r="AM223" s="799"/>
      <c r="AN223" s="799"/>
      <c r="AO223" s="799"/>
      <c r="AP223" s="799"/>
      <c r="AQ223" s="799"/>
      <c r="AR223" s="799"/>
      <c r="AS223" s="799"/>
      <c r="AT223" s="799"/>
      <c r="AU223" s="799"/>
      <c r="AV223" s="799"/>
      <c r="AW223" s="799"/>
      <c r="AX223" s="799"/>
      <c r="AY223" s="799"/>
      <c r="AZ223" s="799"/>
      <c r="BA223" s="799"/>
      <c r="BB223" s="799"/>
      <c r="BC223" s="799"/>
      <c r="BD223" s="799"/>
      <c r="BE223" s="799"/>
      <c r="BF223" s="799"/>
      <c r="BG223" s="799"/>
    </row>
    <row r="224">
      <c r="H224" s="799"/>
      <c r="I224" s="799"/>
      <c r="J224" s="799"/>
      <c r="K224" s="799"/>
      <c r="L224" s="799"/>
      <c r="M224" s="799"/>
      <c r="N224" s="799"/>
      <c r="O224" s="799"/>
      <c r="P224" s="799"/>
      <c r="Q224" s="799"/>
      <c r="R224" s="799"/>
      <c r="S224" s="799"/>
      <c r="T224" s="799"/>
      <c r="U224" s="799"/>
      <c r="V224" s="799"/>
      <c r="W224" s="799"/>
      <c r="X224" s="799"/>
      <c r="Y224" s="799"/>
      <c r="Z224" s="799"/>
      <c r="AA224" s="799"/>
      <c r="AB224" s="799"/>
      <c r="AC224" s="799"/>
      <c r="AD224" s="799"/>
      <c r="AE224" s="799"/>
      <c r="AF224" s="799"/>
      <c r="AG224" s="799"/>
      <c r="AH224" s="799"/>
      <c r="AI224" s="799"/>
      <c r="AJ224" s="799"/>
      <c r="AK224" s="799"/>
      <c r="AL224" s="799"/>
      <c r="AM224" s="799"/>
      <c r="AN224" s="799"/>
      <c r="AO224" s="799"/>
      <c r="AP224" s="799"/>
      <c r="AQ224" s="799"/>
      <c r="AR224" s="799"/>
      <c r="AS224" s="799"/>
      <c r="AT224" s="799"/>
      <c r="AU224" s="799"/>
      <c r="AV224" s="799"/>
      <c r="AW224" s="799"/>
      <c r="AX224" s="799"/>
      <c r="AY224" s="799"/>
      <c r="AZ224" s="799"/>
      <c r="BA224" s="799"/>
      <c r="BB224" s="799"/>
      <c r="BC224" s="799"/>
      <c r="BD224" s="799"/>
      <c r="BE224" s="799"/>
      <c r="BF224" s="799"/>
      <c r="BG224" s="799"/>
    </row>
    <row r="225">
      <c r="H225" s="799"/>
      <c r="I225" s="799"/>
      <c r="J225" s="799"/>
      <c r="K225" s="799"/>
      <c r="L225" s="799"/>
      <c r="M225" s="799"/>
      <c r="N225" s="799"/>
      <c r="O225" s="799"/>
      <c r="P225" s="799"/>
      <c r="Q225" s="799"/>
      <c r="R225" s="799"/>
      <c r="S225" s="799"/>
      <c r="T225" s="799"/>
      <c r="U225" s="799"/>
      <c r="V225" s="799"/>
      <c r="W225" s="799"/>
      <c r="X225" s="799"/>
      <c r="Y225" s="799"/>
      <c r="Z225" s="799"/>
      <c r="AA225" s="799"/>
      <c r="AB225" s="799"/>
      <c r="AC225" s="799"/>
      <c r="AD225" s="799"/>
      <c r="AE225" s="799"/>
      <c r="AF225" s="799"/>
      <c r="AG225" s="799"/>
      <c r="AH225" s="799"/>
      <c r="AI225" s="799"/>
      <c r="AJ225" s="799"/>
      <c r="AK225" s="799"/>
      <c r="AL225" s="799"/>
      <c r="AM225" s="799"/>
      <c r="AN225" s="799"/>
      <c r="AO225" s="799"/>
      <c r="AP225" s="799"/>
      <c r="AQ225" s="799"/>
      <c r="AR225" s="799"/>
      <c r="AS225" s="799"/>
      <c r="AT225" s="799"/>
      <c r="AU225" s="799"/>
      <c r="AV225" s="799"/>
      <c r="AW225" s="799"/>
      <c r="AX225" s="799"/>
      <c r="AY225" s="799"/>
      <c r="AZ225" s="799"/>
      <c r="BA225" s="799"/>
      <c r="BB225" s="799"/>
      <c r="BC225" s="799"/>
      <c r="BD225" s="799"/>
      <c r="BE225" s="799"/>
      <c r="BF225" s="799"/>
      <c r="BG225" s="799"/>
    </row>
    <row r="226">
      <c r="H226" s="799"/>
      <c r="I226" s="799"/>
      <c r="J226" s="799"/>
      <c r="K226" s="799"/>
      <c r="L226" s="799"/>
      <c r="M226" s="799"/>
      <c r="N226" s="799"/>
      <c r="O226" s="799"/>
      <c r="P226" s="799"/>
      <c r="Q226" s="799"/>
      <c r="R226" s="799"/>
      <c r="S226" s="799"/>
      <c r="T226" s="799"/>
      <c r="U226" s="799"/>
      <c r="V226" s="799"/>
      <c r="W226" s="799"/>
      <c r="X226" s="799"/>
      <c r="Y226" s="799"/>
      <c r="Z226" s="799"/>
      <c r="AA226" s="799"/>
      <c r="AB226" s="799"/>
      <c r="AC226" s="799"/>
      <c r="AD226" s="799"/>
      <c r="AE226" s="799"/>
      <c r="AF226" s="799"/>
      <c r="AG226" s="799"/>
      <c r="AH226" s="799"/>
      <c r="AI226" s="799"/>
      <c r="AJ226" s="799"/>
      <c r="AK226" s="799"/>
      <c r="AL226" s="799"/>
      <c r="AM226" s="799"/>
      <c r="AN226" s="799"/>
      <c r="AO226" s="799"/>
      <c r="AP226" s="799"/>
      <c r="AQ226" s="799"/>
      <c r="AR226" s="799"/>
      <c r="AS226" s="799"/>
      <c r="AT226" s="799"/>
      <c r="AU226" s="799"/>
      <c r="AV226" s="799"/>
      <c r="AW226" s="799"/>
      <c r="AX226" s="799"/>
      <c r="AY226" s="799"/>
      <c r="AZ226" s="799"/>
      <c r="BA226" s="799"/>
      <c r="BB226" s="799"/>
      <c r="BC226" s="799"/>
      <c r="BD226" s="799"/>
      <c r="BE226" s="799"/>
      <c r="BF226" s="799"/>
      <c r="BG226" s="799"/>
    </row>
    <row r="227">
      <c r="H227" s="799"/>
      <c r="I227" s="799"/>
      <c r="J227" s="799"/>
      <c r="K227" s="799"/>
      <c r="L227" s="799"/>
      <c r="M227" s="799"/>
      <c r="N227" s="799"/>
      <c r="O227" s="799"/>
      <c r="P227" s="799"/>
      <c r="Q227" s="799"/>
      <c r="R227" s="799"/>
      <c r="S227" s="799"/>
      <c r="T227" s="799"/>
      <c r="U227" s="799"/>
      <c r="V227" s="799"/>
      <c r="W227" s="799"/>
      <c r="X227" s="799"/>
      <c r="Y227" s="799"/>
      <c r="Z227" s="799"/>
      <c r="AA227" s="799"/>
      <c r="AB227" s="799"/>
      <c r="AC227" s="799"/>
      <c r="AD227" s="799"/>
      <c r="AE227" s="799"/>
      <c r="AF227" s="799"/>
      <c r="AG227" s="799"/>
      <c r="AH227" s="799"/>
      <c r="AI227" s="799"/>
      <c r="AJ227" s="799"/>
      <c r="AK227" s="799"/>
      <c r="AL227" s="799"/>
      <c r="AM227" s="799"/>
      <c r="AN227" s="799"/>
      <c r="AO227" s="799"/>
      <c r="AP227" s="799"/>
      <c r="AQ227" s="799"/>
      <c r="AR227" s="799"/>
      <c r="AS227" s="799"/>
      <c r="AT227" s="799"/>
      <c r="AU227" s="799"/>
      <c r="AV227" s="799"/>
      <c r="AW227" s="799"/>
      <c r="AX227" s="799"/>
      <c r="AY227" s="799"/>
      <c r="AZ227" s="799"/>
      <c r="BA227" s="799"/>
      <c r="BB227" s="799"/>
      <c r="BC227" s="799"/>
      <c r="BD227" s="799"/>
      <c r="BE227" s="799"/>
      <c r="BF227" s="799"/>
      <c r="BG227" s="799"/>
    </row>
    <row r="228">
      <c r="H228" s="799"/>
      <c r="I228" s="799"/>
      <c r="J228" s="799"/>
      <c r="K228" s="799"/>
      <c r="L228" s="799"/>
      <c r="M228" s="799"/>
      <c r="N228" s="799"/>
      <c r="O228" s="799"/>
      <c r="P228" s="799"/>
      <c r="Q228" s="799"/>
      <c r="R228" s="799"/>
      <c r="S228" s="799"/>
      <c r="T228" s="799"/>
      <c r="U228" s="799"/>
      <c r="V228" s="799"/>
      <c r="W228" s="799"/>
      <c r="X228" s="799"/>
      <c r="Y228" s="799"/>
      <c r="Z228" s="799"/>
      <c r="AA228" s="799"/>
      <c r="AB228" s="799"/>
      <c r="AC228" s="799"/>
      <c r="AD228" s="799"/>
      <c r="AE228" s="799"/>
      <c r="AF228" s="799"/>
      <c r="AG228" s="799"/>
      <c r="AH228" s="799"/>
      <c r="AI228" s="799"/>
      <c r="AJ228" s="799"/>
      <c r="AK228" s="799"/>
      <c r="AL228" s="799"/>
      <c r="AM228" s="799"/>
      <c r="AN228" s="799"/>
      <c r="AO228" s="799"/>
      <c r="AP228" s="799"/>
      <c r="AQ228" s="799"/>
      <c r="AR228" s="799"/>
      <c r="AS228" s="799"/>
      <c r="AT228" s="799"/>
      <c r="AU228" s="799"/>
      <c r="AV228" s="799"/>
      <c r="AW228" s="799"/>
      <c r="AX228" s="799"/>
      <c r="AY228" s="799"/>
      <c r="AZ228" s="799"/>
      <c r="BA228" s="799"/>
      <c r="BB228" s="799"/>
      <c r="BC228" s="799"/>
      <c r="BD228" s="799"/>
      <c r="BE228" s="799"/>
      <c r="BF228" s="799"/>
      <c r="BG228" s="799"/>
    </row>
    <row r="229">
      <c r="H229" s="799"/>
      <c r="I229" s="799"/>
      <c r="J229" s="799"/>
      <c r="K229" s="799"/>
      <c r="L229" s="799"/>
      <c r="M229" s="799"/>
      <c r="N229" s="799"/>
      <c r="O229" s="799"/>
      <c r="P229" s="799"/>
      <c r="Q229" s="799"/>
      <c r="R229" s="799"/>
      <c r="S229" s="799"/>
      <c r="T229" s="799"/>
      <c r="U229" s="799"/>
      <c r="V229" s="799"/>
      <c r="W229" s="799"/>
      <c r="X229" s="799"/>
      <c r="Y229" s="799"/>
      <c r="Z229" s="799"/>
      <c r="AA229" s="799"/>
      <c r="AB229" s="799"/>
      <c r="AC229" s="799"/>
      <c r="AD229" s="799"/>
      <c r="AE229" s="799"/>
      <c r="AF229" s="799"/>
      <c r="AG229" s="799"/>
      <c r="AH229" s="799"/>
      <c r="AI229" s="799"/>
      <c r="AJ229" s="799"/>
      <c r="AK229" s="799"/>
      <c r="AL229" s="799"/>
      <c r="AM229" s="799"/>
      <c r="AN229" s="799"/>
      <c r="AO229" s="799"/>
      <c r="AP229" s="799"/>
      <c r="AQ229" s="799"/>
      <c r="AR229" s="799"/>
      <c r="AS229" s="799"/>
      <c r="AT229" s="799"/>
      <c r="AU229" s="799"/>
      <c r="AV229" s="799"/>
      <c r="AW229" s="799"/>
      <c r="AX229" s="799"/>
      <c r="AY229" s="799"/>
      <c r="AZ229" s="799"/>
      <c r="BA229" s="799"/>
      <c r="BB229" s="799"/>
      <c r="BC229" s="799"/>
      <c r="BD229" s="799"/>
      <c r="BE229" s="799"/>
      <c r="BF229" s="799"/>
      <c r="BG229" s="799"/>
    </row>
    <row r="230">
      <c r="H230" s="799"/>
      <c r="I230" s="799"/>
      <c r="J230" s="799"/>
      <c r="K230" s="799"/>
      <c r="L230" s="799"/>
      <c r="M230" s="799"/>
      <c r="N230" s="799"/>
      <c r="O230" s="799"/>
      <c r="P230" s="799"/>
      <c r="Q230" s="799"/>
      <c r="R230" s="799"/>
      <c r="S230" s="799"/>
      <c r="T230" s="799"/>
      <c r="U230" s="799"/>
      <c r="V230" s="799"/>
      <c r="W230" s="799"/>
      <c r="X230" s="799"/>
      <c r="Y230" s="799"/>
      <c r="Z230" s="799"/>
      <c r="AA230" s="799"/>
      <c r="AB230" s="799"/>
      <c r="AC230" s="799"/>
      <c r="AD230" s="799"/>
      <c r="AE230" s="799"/>
      <c r="AF230" s="799"/>
      <c r="AG230" s="799"/>
      <c r="AH230" s="799"/>
      <c r="AI230" s="799"/>
      <c r="AJ230" s="799"/>
      <c r="AK230" s="799"/>
      <c r="AL230" s="799"/>
      <c r="AM230" s="799"/>
      <c r="AN230" s="799"/>
      <c r="AO230" s="799"/>
      <c r="AP230" s="799"/>
      <c r="AQ230" s="799"/>
      <c r="AR230" s="799"/>
      <c r="AS230" s="799"/>
      <c r="AT230" s="799"/>
      <c r="AU230" s="799"/>
      <c r="AV230" s="799"/>
      <c r="AW230" s="799"/>
      <c r="AX230" s="799"/>
      <c r="AY230" s="799"/>
      <c r="AZ230" s="799"/>
      <c r="BA230" s="799"/>
      <c r="BB230" s="799"/>
      <c r="BC230" s="799"/>
      <c r="BD230" s="799"/>
      <c r="BE230" s="799"/>
      <c r="BF230" s="799"/>
      <c r="BG230" s="799"/>
    </row>
    <row r="231">
      <c r="H231" s="799"/>
      <c r="I231" s="799"/>
      <c r="J231" s="799"/>
      <c r="K231" s="799"/>
      <c r="L231" s="799"/>
      <c r="M231" s="799"/>
      <c r="N231" s="799"/>
      <c r="O231" s="799"/>
      <c r="P231" s="799"/>
      <c r="Q231" s="799"/>
      <c r="R231" s="799"/>
      <c r="S231" s="799"/>
      <c r="T231" s="799"/>
      <c r="U231" s="799"/>
      <c r="V231" s="799"/>
      <c r="W231" s="799"/>
      <c r="X231" s="799"/>
      <c r="Y231" s="799"/>
      <c r="Z231" s="799"/>
      <c r="AA231" s="799"/>
      <c r="AB231" s="799"/>
      <c r="AC231" s="799"/>
      <c r="AD231" s="799"/>
      <c r="AE231" s="799"/>
      <c r="AF231" s="799"/>
      <c r="AG231" s="799"/>
      <c r="AH231" s="799"/>
      <c r="AI231" s="799"/>
      <c r="AJ231" s="799"/>
      <c r="AK231" s="799"/>
      <c r="AL231" s="799"/>
      <c r="AM231" s="799"/>
      <c r="AN231" s="799"/>
      <c r="AO231" s="799"/>
      <c r="AP231" s="799"/>
      <c r="AQ231" s="799"/>
      <c r="AR231" s="799"/>
      <c r="AS231" s="799"/>
      <c r="AT231" s="799"/>
      <c r="AU231" s="799"/>
      <c r="AV231" s="799"/>
      <c r="AW231" s="799"/>
      <c r="AX231" s="799"/>
      <c r="AY231" s="799"/>
      <c r="AZ231" s="799"/>
      <c r="BA231" s="799"/>
      <c r="BB231" s="799"/>
      <c r="BC231" s="799"/>
      <c r="BD231" s="799"/>
      <c r="BE231" s="799"/>
      <c r="BF231" s="799"/>
      <c r="BG231" s="799"/>
    </row>
    <row r="232">
      <c r="H232" s="799"/>
      <c r="I232" s="799"/>
      <c r="J232" s="799"/>
      <c r="K232" s="799"/>
      <c r="L232" s="799"/>
      <c r="M232" s="799"/>
      <c r="N232" s="799"/>
      <c r="O232" s="799"/>
      <c r="P232" s="799"/>
      <c r="Q232" s="799"/>
      <c r="R232" s="799"/>
      <c r="S232" s="799"/>
      <c r="T232" s="799"/>
      <c r="U232" s="799"/>
      <c r="V232" s="799"/>
      <c r="W232" s="799"/>
      <c r="X232" s="799"/>
      <c r="Y232" s="799"/>
      <c r="Z232" s="799"/>
      <c r="AA232" s="799"/>
      <c r="AB232" s="799"/>
      <c r="AC232" s="799"/>
      <c r="AD232" s="799"/>
      <c r="AE232" s="799"/>
      <c r="AF232" s="799"/>
      <c r="AG232" s="799"/>
      <c r="AH232" s="799"/>
      <c r="AI232" s="799"/>
      <c r="AJ232" s="799"/>
      <c r="AK232" s="799"/>
      <c r="AL232" s="799"/>
      <c r="AM232" s="799"/>
      <c r="AN232" s="799"/>
      <c r="AO232" s="799"/>
      <c r="AP232" s="799"/>
      <c r="AQ232" s="799"/>
      <c r="AR232" s="799"/>
      <c r="AS232" s="799"/>
      <c r="AT232" s="799"/>
      <c r="AU232" s="799"/>
      <c r="AV232" s="799"/>
      <c r="AW232" s="799"/>
      <c r="AX232" s="799"/>
      <c r="AY232" s="799"/>
      <c r="AZ232" s="799"/>
      <c r="BA232" s="799"/>
      <c r="BB232" s="799"/>
      <c r="BC232" s="799"/>
      <c r="BD232" s="799"/>
      <c r="BE232" s="799"/>
      <c r="BF232" s="799"/>
      <c r="BG232" s="799"/>
    </row>
    <row r="233">
      <c r="H233" s="799"/>
      <c r="I233" s="799"/>
      <c r="J233" s="799"/>
      <c r="K233" s="799"/>
      <c r="L233" s="799"/>
      <c r="M233" s="799"/>
      <c r="N233" s="799"/>
      <c r="O233" s="799"/>
      <c r="P233" s="799"/>
      <c r="Q233" s="799"/>
      <c r="R233" s="799"/>
      <c r="S233" s="799"/>
      <c r="T233" s="799"/>
      <c r="U233" s="799"/>
      <c r="V233" s="799"/>
      <c r="W233" s="799"/>
      <c r="X233" s="799"/>
      <c r="Y233" s="799"/>
      <c r="Z233" s="799"/>
      <c r="AA233" s="799"/>
      <c r="AB233" s="799"/>
      <c r="AC233" s="799"/>
      <c r="AD233" s="799"/>
      <c r="AE233" s="799"/>
      <c r="AF233" s="799"/>
      <c r="AG233" s="799"/>
      <c r="AH233" s="799"/>
      <c r="AI233" s="799"/>
      <c r="AJ233" s="799"/>
      <c r="AK233" s="799"/>
      <c r="AL233" s="799"/>
      <c r="AM233" s="799"/>
      <c r="AN233" s="799"/>
      <c r="AO233" s="799"/>
      <c r="AP233" s="799"/>
      <c r="AQ233" s="799"/>
      <c r="AR233" s="799"/>
      <c r="AS233" s="799"/>
      <c r="AT233" s="799"/>
      <c r="AU233" s="799"/>
      <c r="AV233" s="799"/>
      <c r="AW233" s="799"/>
      <c r="AX233" s="799"/>
      <c r="AY233" s="799"/>
      <c r="AZ233" s="799"/>
      <c r="BA233" s="799"/>
      <c r="BB233" s="799"/>
      <c r="BC233" s="799"/>
      <c r="BD233" s="799"/>
      <c r="BE233" s="799"/>
      <c r="BF233" s="799"/>
      <c r="BG233" s="799"/>
    </row>
    <row r="234">
      <c r="H234" s="799"/>
      <c r="I234" s="799"/>
      <c r="J234" s="799"/>
      <c r="K234" s="799"/>
      <c r="L234" s="799"/>
      <c r="M234" s="799"/>
      <c r="N234" s="799"/>
      <c r="O234" s="799"/>
      <c r="P234" s="799"/>
      <c r="Q234" s="799"/>
      <c r="R234" s="799"/>
      <c r="S234" s="799"/>
      <c r="T234" s="799"/>
      <c r="U234" s="799"/>
      <c r="V234" s="799"/>
      <c r="W234" s="799"/>
      <c r="X234" s="799"/>
      <c r="Y234" s="799"/>
      <c r="Z234" s="799"/>
      <c r="AA234" s="799"/>
      <c r="AB234" s="799"/>
      <c r="AC234" s="799"/>
      <c r="AD234" s="799"/>
      <c r="AE234" s="799"/>
      <c r="AF234" s="799"/>
      <c r="AG234" s="799"/>
      <c r="AH234" s="799"/>
      <c r="AI234" s="799"/>
      <c r="AJ234" s="799"/>
      <c r="AK234" s="799"/>
      <c r="AL234" s="799"/>
      <c r="AM234" s="799"/>
      <c r="AN234" s="799"/>
      <c r="AO234" s="799"/>
      <c r="AP234" s="799"/>
      <c r="AQ234" s="799"/>
      <c r="AR234" s="799"/>
      <c r="AS234" s="799"/>
      <c r="AT234" s="799"/>
      <c r="AU234" s="799"/>
      <c r="AV234" s="799"/>
      <c r="AW234" s="799"/>
      <c r="AX234" s="799"/>
      <c r="AY234" s="799"/>
      <c r="AZ234" s="799"/>
      <c r="BA234" s="799"/>
      <c r="BB234" s="799"/>
      <c r="BC234" s="799"/>
      <c r="BD234" s="799"/>
      <c r="BE234" s="799"/>
      <c r="BF234" s="799"/>
      <c r="BG234" s="799"/>
    </row>
    <row r="235">
      <c r="H235" s="799"/>
      <c r="I235" s="799"/>
      <c r="J235" s="799"/>
      <c r="K235" s="799"/>
      <c r="L235" s="799"/>
      <c r="M235" s="799"/>
      <c r="N235" s="799"/>
      <c r="O235" s="799"/>
      <c r="P235" s="799"/>
      <c r="Q235" s="799"/>
      <c r="R235" s="799"/>
      <c r="S235" s="799"/>
      <c r="T235" s="799"/>
      <c r="U235" s="799"/>
      <c r="V235" s="799"/>
      <c r="W235" s="799"/>
      <c r="X235" s="799"/>
      <c r="Y235" s="799"/>
      <c r="Z235" s="799"/>
      <c r="AA235" s="799"/>
      <c r="AB235" s="799"/>
      <c r="AC235" s="799"/>
      <c r="AD235" s="799"/>
      <c r="AE235" s="799"/>
      <c r="AF235" s="799"/>
      <c r="AG235" s="799"/>
      <c r="AH235" s="799"/>
      <c r="AI235" s="799"/>
      <c r="AJ235" s="799"/>
      <c r="AK235" s="799"/>
      <c r="AL235" s="799"/>
      <c r="AM235" s="799"/>
      <c r="AN235" s="799"/>
      <c r="AO235" s="799"/>
      <c r="AP235" s="799"/>
      <c r="AQ235" s="799"/>
      <c r="AR235" s="799"/>
      <c r="AS235" s="799"/>
      <c r="AT235" s="799"/>
      <c r="AU235" s="799"/>
      <c r="AV235" s="799"/>
      <c r="AW235" s="799"/>
      <c r="AX235" s="799"/>
      <c r="AY235" s="799"/>
      <c r="AZ235" s="799"/>
      <c r="BA235" s="799"/>
      <c r="BB235" s="799"/>
      <c r="BC235" s="799"/>
      <c r="BD235" s="799"/>
      <c r="BE235" s="799"/>
      <c r="BF235" s="799"/>
      <c r="BG235" s="799"/>
    </row>
    <row r="236">
      <c r="H236" s="799"/>
      <c r="I236" s="799"/>
      <c r="J236" s="799"/>
      <c r="K236" s="799"/>
      <c r="L236" s="799"/>
      <c r="M236" s="799"/>
      <c r="N236" s="799"/>
      <c r="O236" s="799"/>
      <c r="P236" s="799"/>
      <c r="Q236" s="799"/>
      <c r="R236" s="799"/>
      <c r="S236" s="799"/>
      <c r="T236" s="799"/>
      <c r="U236" s="799"/>
      <c r="V236" s="799"/>
      <c r="W236" s="799"/>
      <c r="X236" s="799"/>
      <c r="Y236" s="799"/>
      <c r="Z236" s="799"/>
      <c r="AA236" s="799"/>
      <c r="AB236" s="799"/>
      <c r="AC236" s="799"/>
      <c r="AD236" s="799"/>
      <c r="AE236" s="799"/>
      <c r="AF236" s="799"/>
      <c r="AG236" s="799"/>
      <c r="AH236" s="799"/>
      <c r="AI236" s="799"/>
      <c r="AJ236" s="799"/>
      <c r="AK236" s="799"/>
      <c r="AL236" s="799"/>
      <c r="AM236" s="799"/>
      <c r="AN236" s="799"/>
      <c r="AO236" s="799"/>
      <c r="AP236" s="799"/>
      <c r="AQ236" s="799"/>
      <c r="AR236" s="799"/>
      <c r="AS236" s="799"/>
      <c r="AT236" s="799"/>
      <c r="AU236" s="799"/>
      <c r="AV236" s="799"/>
      <c r="AW236" s="799"/>
      <c r="AX236" s="799"/>
      <c r="AY236" s="799"/>
      <c r="AZ236" s="799"/>
      <c r="BA236" s="799"/>
      <c r="BB236" s="799"/>
      <c r="BC236" s="799"/>
      <c r="BD236" s="799"/>
      <c r="BE236" s="799"/>
      <c r="BF236" s="799"/>
      <c r="BG236" s="799"/>
    </row>
    <row r="237">
      <c r="H237" s="799"/>
      <c r="I237" s="799"/>
      <c r="J237" s="799"/>
      <c r="K237" s="799"/>
      <c r="L237" s="799"/>
      <c r="M237" s="799"/>
      <c r="N237" s="799"/>
      <c r="O237" s="799"/>
      <c r="P237" s="799"/>
      <c r="Q237" s="799"/>
      <c r="R237" s="799"/>
      <c r="S237" s="799"/>
      <c r="T237" s="799"/>
      <c r="U237" s="799"/>
      <c r="V237" s="799"/>
      <c r="W237" s="799"/>
      <c r="X237" s="799"/>
      <c r="Y237" s="799"/>
      <c r="Z237" s="799"/>
      <c r="AA237" s="799"/>
      <c r="AB237" s="799"/>
      <c r="AC237" s="799"/>
      <c r="AD237" s="799"/>
      <c r="AE237" s="799"/>
      <c r="AF237" s="799"/>
      <c r="AG237" s="799"/>
      <c r="AH237" s="799"/>
      <c r="AI237" s="799"/>
      <c r="AJ237" s="799"/>
      <c r="AK237" s="799"/>
      <c r="AL237" s="799"/>
      <c r="AM237" s="799"/>
      <c r="AN237" s="799"/>
      <c r="AO237" s="799"/>
      <c r="AP237" s="799"/>
      <c r="AQ237" s="799"/>
      <c r="AR237" s="799"/>
      <c r="AS237" s="799"/>
      <c r="AT237" s="799"/>
      <c r="AU237" s="799"/>
      <c r="AV237" s="799"/>
      <c r="AW237" s="799"/>
      <c r="AX237" s="799"/>
      <c r="AY237" s="799"/>
      <c r="AZ237" s="799"/>
      <c r="BA237" s="799"/>
      <c r="BB237" s="799"/>
      <c r="BC237" s="799"/>
      <c r="BD237" s="799"/>
      <c r="BE237" s="799"/>
      <c r="BF237" s="799"/>
      <c r="BG237" s="799"/>
    </row>
    <row r="238">
      <c r="H238" s="799"/>
      <c r="I238" s="799"/>
      <c r="J238" s="799"/>
      <c r="K238" s="799"/>
      <c r="L238" s="799"/>
      <c r="M238" s="799"/>
      <c r="N238" s="799"/>
      <c r="O238" s="799"/>
      <c r="P238" s="799"/>
      <c r="Q238" s="799"/>
      <c r="R238" s="799"/>
      <c r="S238" s="799"/>
      <c r="T238" s="799"/>
      <c r="U238" s="799"/>
      <c r="V238" s="799"/>
      <c r="W238" s="799"/>
      <c r="X238" s="799"/>
      <c r="Y238" s="799"/>
      <c r="Z238" s="799"/>
      <c r="AA238" s="799"/>
      <c r="AB238" s="799"/>
      <c r="AC238" s="799"/>
      <c r="AD238" s="799"/>
      <c r="AE238" s="799"/>
      <c r="AF238" s="799"/>
      <c r="AG238" s="799"/>
      <c r="AH238" s="799"/>
      <c r="AI238" s="799"/>
      <c r="AJ238" s="799"/>
      <c r="AK238" s="799"/>
      <c r="AL238" s="799"/>
      <c r="AM238" s="799"/>
      <c r="AN238" s="799"/>
      <c r="AO238" s="799"/>
      <c r="AP238" s="799"/>
      <c r="AQ238" s="799"/>
      <c r="AR238" s="799"/>
      <c r="AS238" s="799"/>
      <c r="AT238" s="799"/>
      <c r="AU238" s="799"/>
      <c r="AV238" s="799"/>
      <c r="AW238" s="799"/>
      <c r="AX238" s="799"/>
      <c r="AY238" s="799"/>
      <c r="AZ238" s="799"/>
      <c r="BA238" s="799"/>
      <c r="BB238" s="799"/>
      <c r="BC238" s="799"/>
      <c r="BD238" s="799"/>
      <c r="BE238" s="799"/>
      <c r="BF238" s="799"/>
      <c r="BG238" s="799"/>
    </row>
    <row r="239">
      <c r="H239" s="799"/>
      <c r="I239" s="799"/>
      <c r="J239" s="799"/>
      <c r="K239" s="799"/>
      <c r="L239" s="799"/>
      <c r="M239" s="799"/>
      <c r="N239" s="799"/>
      <c r="O239" s="799"/>
      <c r="P239" s="799"/>
      <c r="Q239" s="799"/>
      <c r="R239" s="799"/>
      <c r="S239" s="799"/>
      <c r="T239" s="799"/>
      <c r="U239" s="799"/>
      <c r="V239" s="799"/>
      <c r="W239" s="799"/>
      <c r="X239" s="799"/>
      <c r="Y239" s="799"/>
      <c r="Z239" s="799"/>
      <c r="AA239" s="799"/>
      <c r="AB239" s="799"/>
      <c r="AC239" s="799"/>
      <c r="AD239" s="799"/>
      <c r="AE239" s="799"/>
      <c r="AF239" s="799"/>
      <c r="AG239" s="799"/>
      <c r="AH239" s="799"/>
      <c r="AI239" s="799"/>
      <c r="AJ239" s="799"/>
      <c r="AK239" s="799"/>
      <c r="AL239" s="799"/>
      <c r="AM239" s="799"/>
      <c r="AN239" s="799"/>
      <c r="AO239" s="799"/>
      <c r="AP239" s="799"/>
      <c r="AQ239" s="799"/>
      <c r="AR239" s="799"/>
      <c r="AS239" s="799"/>
      <c r="AT239" s="799"/>
      <c r="AU239" s="799"/>
      <c r="AV239" s="799"/>
      <c r="AW239" s="799"/>
      <c r="AX239" s="799"/>
      <c r="AY239" s="799"/>
      <c r="AZ239" s="799"/>
      <c r="BA239" s="799"/>
      <c r="BB239" s="799"/>
      <c r="BC239" s="799"/>
      <c r="BD239" s="799"/>
      <c r="BE239" s="799"/>
      <c r="BF239" s="799"/>
      <c r="BG239" s="799"/>
    </row>
    <row r="240">
      <c r="H240" s="799"/>
      <c r="I240" s="799"/>
      <c r="J240" s="799"/>
      <c r="K240" s="799"/>
      <c r="L240" s="799"/>
      <c r="M240" s="799"/>
      <c r="N240" s="799"/>
      <c r="O240" s="799"/>
      <c r="P240" s="799"/>
      <c r="Q240" s="799"/>
      <c r="R240" s="799"/>
      <c r="S240" s="799"/>
      <c r="T240" s="799"/>
      <c r="U240" s="799"/>
      <c r="V240" s="799"/>
      <c r="W240" s="799"/>
      <c r="X240" s="799"/>
      <c r="Y240" s="799"/>
      <c r="Z240" s="799"/>
      <c r="AA240" s="799"/>
      <c r="AB240" s="799"/>
      <c r="AC240" s="799"/>
      <c r="AD240" s="799"/>
      <c r="AE240" s="799"/>
      <c r="AF240" s="799"/>
      <c r="AG240" s="799"/>
      <c r="AH240" s="799"/>
      <c r="AI240" s="799"/>
      <c r="AJ240" s="799"/>
      <c r="AK240" s="799"/>
      <c r="AL240" s="799"/>
      <c r="AM240" s="799"/>
      <c r="AN240" s="799"/>
      <c r="AO240" s="799"/>
      <c r="AP240" s="799"/>
      <c r="AQ240" s="799"/>
      <c r="AR240" s="799"/>
      <c r="AS240" s="799"/>
      <c r="AT240" s="799"/>
      <c r="AU240" s="799"/>
      <c r="AV240" s="799"/>
      <c r="AW240" s="799"/>
      <c r="AX240" s="799"/>
      <c r="AY240" s="799"/>
      <c r="AZ240" s="799"/>
      <c r="BA240" s="799"/>
      <c r="BB240" s="799"/>
      <c r="BC240" s="799"/>
      <c r="BD240" s="799"/>
      <c r="BE240" s="799"/>
      <c r="BF240" s="799"/>
      <c r="BG240" s="799"/>
    </row>
    <row r="241">
      <c r="H241" s="799"/>
      <c r="I241" s="799"/>
      <c r="J241" s="799"/>
      <c r="K241" s="799"/>
      <c r="L241" s="799"/>
      <c r="M241" s="799"/>
      <c r="N241" s="799"/>
      <c r="O241" s="799"/>
      <c r="P241" s="799"/>
      <c r="Q241" s="799"/>
      <c r="R241" s="799"/>
      <c r="S241" s="799"/>
      <c r="T241" s="799"/>
      <c r="U241" s="799"/>
      <c r="V241" s="799"/>
      <c r="W241" s="799"/>
      <c r="X241" s="799"/>
      <c r="Y241" s="799"/>
      <c r="Z241" s="799"/>
      <c r="AA241" s="799"/>
      <c r="AB241" s="799"/>
      <c r="AC241" s="799"/>
      <c r="AD241" s="799"/>
      <c r="AE241" s="799"/>
      <c r="AF241" s="799"/>
      <c r="AG241" s="799"/>
      <c r="AH241" s="799"/>
      <c r="AI241" s="799"/>
      <c r="AJ241" s="799"/>
      <c r="AK241" s="799"/>
      <c r="AL241" s="799"/>
      <c r="AM241" s="799"/>
      <c r="AN241" s="799"/>
      <c r="AO241" s="799"/>
      <c r="AP241" s="799"/>
      <c r="AQ241" s="799"/>
      <c r="AR241" s="799"/>
      <c r="AS241" s="799"/>
      <c r="AT241" s="799"/>
      <c r="AU241" s="799"/>
      <c r="AV241" s="799"/>
      <c r="AW241" s="799"/>
      <c r="AX241" s="799"/>
      <c r="AY241" s="799"/>
      <c r="AZ241" s="799"/>
      <c r="BA241" s="799"/>
      <c r="BB241" s="799"/>
      <c r="BC241" s="799"/>
      <c r="BD241" s="799"/>
      <c r="BE241" s="799"/>
      <c r="BF241" s="799"/>
      <c r="BG241" s="799"/>
    </row>
    <row r="242">
      <c r="H242" s="799"/>
      <c r="I242" s="799"/>
      <c r="J242" s="799"/>
      <c r="K242" s="799"/>
      <c r="L242" s="799"/>
      <c r="M242" s="799"/>
      <c r="N242" s="799"/>
      <c r="O242" s="799"/>
      <c r="P242" s="799"/>
      <c r="Q242" s="799"/>
      <c r="R242" s="799"/>
      <c r="S242" s="799"/>
      <c r="T242" s="799"/>
      <c r="U242" s="799"/>
      <c r="V242" s="799"/>
      <c r="W242" s="799"/>
      <c r="X242" s="799"/>
      <c r="Y242" s="799"/>
      <c r="Z242" s="799"/>
      <c r="AA242" s="799"/>
      <c r="AB242" s="799"/>
      <c r="AC242" s="799"/>
      <c r="AD242" s="799"/>
      <c r="AE242" s="799"/>
      <c r="AF242" s="799"/>
      <c r="AG242" s="799"/>
      <c r="AH242" s="799"/>
      <c r="AI242" s="799"/>
      <c r="AJ242" s="799"/>
      <c r="AK242" s="799"/>
      <c r="AL242" s="799"/>
      <c r="AM242" s="799"/>
      <c r="AN242" s="799"/>
      <c r="AO242" s="799"/>
      <c r="AP242" s="799"/>
      <c r="AQ242" s="799"/>
      <c r="AR242" s="799"/>
      <c r="AS242" s="799"/>
      <c r="AT242" s="799"/>
      <c r="AU242" s="799"/>
      <c r="AV242" s="799"/>
      <c r="AW242" s="799"/>
      <c r="AX242" s="799"/>
      <c r="AY242" s="799"/>
      <c r="AZ242" s="799"/>
      <c r="BA242" s="799"/>
      <c r="BB242" s="799"/>
      <c r="BC242" s="799"/>
      <c r="BD242" s="799"/>
      <c r="BE242" s="799"/>
      <c r="BF242" s="799"/>
      <c r="BG242" s="799"/>
    </row>
    <row r="243">
      <c r="H243" s="799"/>
      <c r="I243" s="799"/>
      <c r="J243" s="799"/>
      <c r="K243" s="799"/>
      <c r="L243" s="799"/>
      <c r="M243" s="799"/>
      <c r="N243" s="799"/>
      <c r="O243" s="799"/>
      <c r="P243" s="799"/>
      <c r="Q243" s="799"/>
      <c r="R243" s="799"/>
      <c r="S243" s="799"/>
      <c r="T243" s="799"/>
      <c r="U243" s="799"/>
      <c r="V243" s="799"/>
      <c r="W243" s="799"/>
      <c r="X243" s="799"/>
      <c r="Y243" s="799"/>
      <c r="Z243" s="799"/>
      <c r="AA243" s="799"/>
      <c r="AB243" s="799"/>
      <c r="AC243" s="799"/>
      <c r="AD243" s="799"/>
      <c r="AE243" s="799"/>
      <c r="AF243" s="799"/>
      <c r="AG243" s="799"/>
      <c r="AH243" s="799"/>
      <c r="AI243" s="799"/>
      <c r="AJ243" s="799"/>
      <c r="AK243" s="799"/>
      <c r="AL243" s="799"/>
      <c r="AM243" s="799"/>
      <c r="AN243" s="799"/>
      <c r="AO243" s="799"/>
      <c r="AP243" s="799"/>
      <c r="AQ243" s="799"/>
      <c r="AR243" s="799"/>
      <c r="AS243" s="799"/>
      <c r="AT243" s="799"/>
      <c r="AU243" s="799"/>
      <c r="AV243" s="799"/>
      <c r="AW243" s="799"/>
      <c r="AX243" s="799"/>
      <c r="AY243" s="799"/>
      <c r="AZ243" s="799"/>
      <c r="BA243" s="799"/>
      <c r="BB243" s="799"/>
      <c r="BC243" s="799"/>
      <c r="BD243" s="799"/>
      <c r="BE243" s="799"/>
      <c r="BF243" s="799"/>
      <c r="BG243" s="799"/>
    </row>
    <row r="244">
      <c r="H244" s="799"/>
      <c r="I244" s="799"/>
      <c r="J244" s="799"/>
      <c r="K244" s="799"/>
      <c r="L244" s="799"/>
      <c r="M244" s="799"/>
      <c r="N244" s="799"/>
      <c r="O244" s="799"/>
      <c r="P244" s="799"/>
      <c r="Q244" s="799"/>
      <c r="R244" s="799"/>
      <c r="S244" s="799"/>
      <c r="T244" s="799"/>
      <c r="U244" s="799"/>
      <c r="V244" s="799"/>
      <c r="W244" s="799"/>
      <c r="X244" s="799"/>
      <c r="Y244" s="799"/>
      <c r="Z244" s="799"/>
      <c r="AA244" s="799"/>
      <c r="AB244" s="799"/>
      <c r="AC244" s="799"/>
      <c r="AD244" s="799"/>
      <c r="AE244" s="799"/>
      <c r="AF244" s="799"/>
      <c r="AG244" s="799"/>
      <c r="AH244" s="799"/>
      <c r="AI244" s="799"/>
      <c r="AJ244" s="799"/>
      <c r="AK244" s="799"/>
      <c r="AL244" s="799"/>
      <c r="AM244" s="799"/>
      <c r="AN244" s="799"/>
      <c r="AO244" s="799"/>
      <c r="AP244" s="799"/>
      <c r="AQ244" s="799"/>
      <c r="AR244" s="799"/>
      <c r="AS244" s="799"/>
      <c r="AT244" s="799"/>
      <c r="AU244" s="799"/>
      <c r="AV244" s="799"/>
      <c r="AW244" s="799"/>
      <c r="AX244" s="799"/>
      <c r="AY244" s="799"/>
      <c r="AZ244" s="799"/>
      <c r="BA244" s="799"/>
      <c r="BB244" s="799"/>
      <c r="BC244" s="799"/>
      <c r="BD244" s="799"/>
      <c r="BE244" s="799"/>
      <c r="BF244" s="799"/>
      <c r="BG244" s="799"/>
    </row>
    <row r="245">
      <c r="H245" s="799"/>
      <c r="I245" s="799"/>
      <c r="J245" s="799"/>
      <c r="K245" s="799"/>
      <c r="L245" s="799"/>
      <c r="M245" s="799"/>
      <c r="N245" s="799"/>
      <c r="O245" s="799"/>
      <c r="P245" s="799"/>
      <c r="Q245" s="799"/>
      <c r="R245" s="799"/>
      <c r="S245" s="799"/>
      <c r="T245" s="799"/>
      <c r="U245" s="799"/>
      <c r="V245" s="799"/>
      <c r="W245" s="799"/>
      <c r="X245" s="799"/>
      <c r="Y245" s="799"/>
      <c r="Z245" s="799"/>
      <c r="AA245" s="799"/>
      <c r="AB245" s="799"/>
      <c r="AC245" s="799"/>
      <c r="AD245" s="799"/>
      <c r="AE245" s="799"/>
      <c r="AF245" s="799"/>
      <c r="AG245" s="799"/>
      <c r="AH245" s="799"/>
      <c r="AI245" s="799"/>
      <c r="AJ245" s="799"/>
      <c r="AK245" s="799"/>
      <c r="AL245" s="799"/>
      <c r="AM245" s="799"/>
      <c r="AN245" s="799"/>
      <c r="AO245" s="799"/>
      <c r="AP245" s="799"/>
      <c r="AQ245" s="799"/>
      <c r="AR245" s="799"/>
      <c r="AS245" s="799"/>
      <c r="AT245" s="799"/>
      <c r="AU245" s="799"/>
      <c r="AV245" s="799"/>
      <c r="AW245" s="799"/>
      <c r="AX245" s="799"/>
      <c r="AY245" s="799"/>
      <c r="AZ245" s="799"/>
      <c r="BA245" s="799"/>
      <c r="BB245" s="799"/>
      <c r="BC245" s="799"/>
      <c r="BD245" s="799"/>
      <c r="BE245" s="799"/>
      <c r="BF245" s="799"/>
      <c r="BG245" s="799"/>
    </row>
    <row r="246">
      <c r="H246" s="799"/>
      <c r="I246" s="799"/>
      <c r="J246" s="799"/>
      <c r="K246" s="799"/>
      <c r="L246" s="799"/>
      <c r="M246" s="799"/>
      <c r="N246" s="799"/>
      <c r="O246" s="799"/>
      <c r="P246" s="799"/>
      <c r="Q246" s="799"/>
      <c r="R246" s="799"/>
      <c r="S246" s="799"/>
      <c r="T246" s="799"/>
      <c r="U246" s="799"/>
      <c r="V246" s="799"/>
      <c r="W246" s="799"/>
      <c r="X246" s="799"/>
      <c r="Y246" s="799"/>
      <c r="Z246" s="799"/>
      <c r="AA246" s="799"/>
      <c r="AB246" s="799"/>
      <c r="AC246" s="799"/>
      <c r="AD246" s="799"/>
      <c r="AE246" s="799"/>
      <c r="AF246" s="799"/>
      <c r="AG246" s="799"/>
      <c r="AH246" s="799"/>
      <c r="AI246" s="799"/>
      <c r="AJ246" s="799"/>
      <c r="AK246" s="799"/>
      <c r="AL246" s="799"/>
      <c r="AM246" s="799"/>
      <c r="AN246" s="799"/>
      <c r="AO246" s="799"/>
      <c r="AP246" s="799"/>
      <c r="AQ246" s="799"/>
      <c r="AR246" s="799"/>
      <c r="AS246" s="799"/>
      <c r="AT246" s="799"/>
      <c r="AU246" s="799"/>
      <c r="AV246" s="799"/>
      <c r="AW246" s="799"/>
      <c r="AX246" s="799"/>
      <c r="AY246" s="799"/>
      <c r="AZ246" s="799"/>
      <c r="BA246" s="799"/>
      <c r="BB246" s="799"/>
      <c r="BC246" s="799"/>
      <c r="BD246" s="799"/>
      <c r="BE246" s="799"/>
      <c r="BF246" s="799"/>
      <c r="BG246" s="799"/>
    </row>
    <row r="247">
      <c r="H247" s="799"/>
      <c r="I247" s="799"/>
      <c r="J247" s="799"/>
      <c r="K247" s="799"/>
      <c r="L247" s="799"/>
      <c r="M247" s="799"/>
      <c r="N247" s="799"/>
      <c r="O247" s="799"/>
      <c r="P247" s="799"/>
      <c r="Q247" s="799"/>
      <c r="R247" s="799"/>
      <c r="S247" s="799"/>
      <c r="T247" s="799"/>
      <c r="U247" s="799"/>
      <c r="V247" s="799"/>
      <c r="W247" s="799"/>
      <c r="X247" s="799"/>
      <c r="Y247" s="799"/>
      <c r="Z247" s="799"/>
      <c r="AA247" s="799"/>
      <c r="AB247" s="799"/>
      <c r="AC247" s="799"/>
      <c r="AD247" s="799"/>
      <c r="AE247" s="799"/>
      <c r="AF247" s="799"/>
      <c r="AG247" s="799"/>
      <c r="AH247" s="799"/>
      <c r="AI247" s="799"/>
      <c r="AJ247" s="799"/>
      <c r="AK247" s="799"/>
      <c r="AL247" s="799"/>
      <c r="AM247" s="799"/>
      <c r="AN247" s="799"/>
      <c r="AO247" s="799"/>
      <c r="AP247" s="799"/>
      <c r="AQ247" s="799"/>
      <c r="AR247" s="799"/>
      <c r="AS247" s="799"/>
      <c r="AT247" s="799"/>
      <c r="AU247" s="799"/>
      <c r="AV247" s="799"/>
      <c r="AW247" s="799"/>
      <c r="AX247" s="799"/>
      <c r="AY247" s="799"/>
      <c r="AZ247" s="799"/>
      <c r="BA247" s="799"/>
      <c r="BB247" s="799"/>
      <c r="BC247" s="799"/>
      <c r="BD247" s="799"/>
      <c r="BE247" s="799"/>
      <c r="BF247" s="799"/>
      <c r="BG247" s="799"/>
    </row>
    <row r="248">
      <c r="H248" s="799"/>
      <c r="I248" s="799"/>
      <c r="J248" s="799"/>
      <c r="K248" s="799"/>
      <c r="L248" s="799"/>
      <c r="M248" s="799"/>
      <c r="N248" s="799"/>
      <c r="O248" s="799"/>
      <c r="P248" s="799"/>
      <c r="Q248" s="799"/>
      <c r="R248" s="799"/>
      <c r="S248" s="799"/>
      <c r="T248" s="799"/>
      <c r="U248" s="799"/>
      <c r="V248" s="799"/>
      <c r="W248" s="799"/>
      <c r="X248" s="799"/>
      <c r="Y248" s="799"/>
      <c r="Z248" s="799"/>
      <c r="AA248" s="799"/>
      <c r="AB248" s="799"/>
      <c r="AC248" s="799"/>
      <c r="AD248" s="799"/>
      <c r="AE248" s="799"/>
      <c r="AF248" s="799"/>
      <c r="AG248" s="799"/>
      <c r="AH248" s="799"/>
      <c r="AI248" s="799"/>
      <c r="AJ248" s="799"/>
      <c r="AK248" s="799"/>
      <c r="AL248" s="799"/>
      <c r="AM248" s="799"/>
      <c r="AN248" s="799"/>
      <c r="AO248" s="799"/>
      <c r="AP248" s="799"/>
      <c r="AQ248" s="799"/>
      <c r="AR248" s="799"/>
      <c r="AS248" s="799"/>
      <c r="AT248" s="799"/>
      <c r="AU248" s="799"/>
      <c r="AV248" s="799"/>
      <c r="AW248" s="799"/>
      <c r="AX248" s="799"/>
      <c r="AY248" s="799"/>
      <c r="AZ248" s="799"/>
      <c r="BA248" s="799"/>
      <c r="BB248" s="799"/>
      <c r="BC248" s="799"/>
      <c r="BD248" s="799"/>
      <c r="BE248" s="799"/>
      <c r="BF248" s="799"/>
      <c r="BG248" s="799"/>
    </row>
    <row r="249">
      <c r="H249" s="799"/>
      <c r="I249" s="799"/>
      <c r="J249" s="799"/>
      <c r="K249" s="799"/>
      <c r="L249" s="799"/>
      <c r="M249" s="799"/>
      <c r="N249" s="799"/>
      <c r="O249" s="799"/>
      <c r="P249" s="799"/>
      <c r="Q249" s="799"/>
      <c r="R249" s="799"/>
      <c r="S249" s="799"/>
      <c r="T249" s="799"/>
      <c r="U249" s="799"/>
      <c r="V249" s="799"/>
      <c r="W249" s="799"/>
      <c r="X249" s="799"/>
      <c r="Y249" s="799"/>
      <c r="Z249" s="799"/>
      <c r="AA249" s="799"/>
      <c r="AB249" s="799"/>
      <c r="AC249" s="799"/>
      <c r="AD249" s="799"/>
      <c r="AE249" s="799"/>
      <c r="AF249" s="799"/>
      <c r="AG249" s="799"/>
      <c r="AH249" s="799"/>
      <c r="AI249" s="799"/>
      <c r="AJ249" s="799"/>
      <c r="AK249" s="799"/>
      <c r="AL249" s="799"/>
      <c r="AM249" s="799"/>
      <c r="AN249" s="799"/>
      <c r="AO249" s="799"/>
      <c r="AP249" s="799"/>
      <c r="AQ249" s="799"/>
      <c r="AR249" s="799"/>
      <c r="AS249" s="799"/>
      <c r="AT249" s="799"/>
      <c r="AU249" s="799"/>
      <c r="AV249" s="799"/>
      <c r="AW249" s="799"/>
      <c r="AX249" s="799"/>
      <c r="AY249" s="799"/>
      <c r="AZ249" s="799"/>
      <c r="BA249" s="799"/>
      <c r="BB249" s="799"/>
      <c r="BC249" s="799"/>
      <c r="BD249" s="799"/>
      <c r="BE249" s="799"/>
      <c r="BF249" s="799"/>
      <c r="BG249" s="799"/>
    </row>
    <row r="250">
      <c r="H250" s="799"/>
      <c r="I250" s="799"/>
      <c r="J250" s="799"/>
      <c r="K250" s="799"/>
      <c r="L250" s="799"/>
      <c r="M250" s="799"/>
      <c r="N250" s="799"/>
      <c r="O250" s="799"/>
      <c r="P250" s="799"/>
      <c r="Q250" s="799"/>
      <c r="R250" s="799"/>
      <c r="S250" s="799"/>
      <c r="T250" s="799"/>
      <c r="U250" s="799"/>
      <c r="V250" s="799"/>
      <c r="W250" s="799"/>
      <c r="X250" s="799"/>
      <c r="Y250" s="799"/>
      <c r="Z250" s="799"/>
      <c r="AA250" s="799"/>
      <c r="AB250" s="799"/>
      <c r="AC250" s="799"/>
      <c r="AD250" s="799"/>
      <c r="AE250" s="799"/>
      <c r="AF250" s="799"/>
      <c r="AG250" s="799"/>
      <c r="AH250" s="799"/>
      <c r="AI250" s="799"/>
      <c r="AJ250" s="799"/>
      <c r="AK250" s="799"/>
      <c r="AL250" s="799"/>
      <c r="AM250" s="799"/>
      <c r="AN250" s="799"/>
      <c r="AO250" s="799"/>
      <c r="AP250" s="799"/>
      <c r="AQ250" s="799"/>
      <c r="AR250" s="799"/>
      <c r="AS250" s="799"/>
      <c r="AT250" s="799"/>
      <c r="AU250" s="799"/>
      <c r="AV250" s="799"/>
      <c r="AW250" s="799"/>
      <c r="AX250" s="799"/>
      <c r="AY250" s="799"/>
      <c r="AZ250" s="799"/>
      <c r="BA250" s="799"/>
      <c r="BB250" s="799"/>
      <c r="BC250" s="799"/>
      <c r="BD250" s="799"/>
      <c r="BE250" s="799"/>
      <c r="BF250" s="799"/>
      <c r="BG250" s="799"/>
    </row>
    <row r="251">
      <c r="H251" s="799"/>
      <c r="I251" s="799"/>
      <c r="J251" s="799"/>
      <c r="K251" s="799"/>
      <c r="L251" s="799"/>
      <c r="M251" s="799"/>
      <c r="N251" s="799"/>
      <c r="O251" s="799"/>
      <c r="P251" s="799"/>
      <c r="Q251" s="799"/>
      <c r="R251" s="799"/>
      <c r="S251" s="799"/>
      <c r="T251" s="799"/>
      <c r="U251" s="799"/>
      <c r="V251" s="799"/>
      <c r="W251" s="799"/>
      <c r="X251" s="799"/>
      <c r="Y251" s="799"/>
      <c r="Z251" s="799"/>
      <c r="AA251" s="799"/>
      <c r="AB251" s="799"/>
      <c r="AC251" s="799"/>
      <c r="AD251" s="799"/>
      <c r="AE251" s="799"/>
      <c r="AF251" s="799"/>
      <c r="AG251" s="799"/>
      <c r="AH251" s="799"/>
      <c r="AI251" s="799"/>
      <c r="AJ251" s="799"/>
      <c r="AK251" s="799"/>
      <c r="AL251" s="799"/>
      <c r="AM251" s="799"/>
      <c r="AN251" s="799"/>
      <c r="AO251" s="799"/>
      <c r="AP251" s="799"/>
      <c r="AQ251" s="799"/>
      <c r="AR251" s="799"/>
      <c r="AS251" s="799"/>
      <c r="AT251" s="799"/>
      <c r="AU251" s="799"/>
      <c r="AV251" s="799"/>
      <c r="AW251" s="799"/>
      <c r="AX251" s="799"/>
      <c r="AY251" s="799"/>
      <c r="AZ251" s="799"/>
      <c r="BA251" s="799"/>
      <c r="BB251" s="799"/>
      <c r="BC251" s="799"/>
      <c r="BD251" s="799"/>
      <c r="BE251" s="799"/>
      <c r="BF251" s="799"/>
      <c r="BG251" s="799"/>
    </row>
    <row r="252">
      <c r="H252" s="799"/>
      <c r="I252" s="799"/>
      <c r="J252" s="799"/>
      <c r="K252" s="799"/>
      <c r="L252" s="799"/>
      <c r="M252" s="799"/>
      <c r="N252" s="799"/>
      <c r="O252" s="799"/>
      <c r="P252" s="799"/>
      <c r="Q252" s="799"/>
      <c r="R252" s="799"/>
      <c r="S252" s="799"/>
      <c r="T252" s="799"/>
      <c r="U252" s="799"/>
      <c r="V252" s="799"/>
      <c r="W252" s="799"/>
      <c r="X252" s="799"/>
      <c r="Y252" s="799"/>
      <c r="Z252" s="799"/>
      <c r="AA252" s="799"/>
      <c r="AB252" s="799"/>
      <c r="AC252" s="799"/>
      <c r="AD252" s="799"/>
      <c r="AE252" s="799"/>
      <c r="AF252" s="799"/>
      <c r="AG252" s="799"/>
      <c r="AH252" s="799"/>
      <c r="AI252" s="799"/>
      <c r="AJ252" s="799"/>
      <c r="AK252" s="799"/>
      <c r="AL252" s="799"/>
      <c r="AM252" s="799"/>
      <c r="AN252" s="799"/>
      <c r="AO252" s="799"/>
      <c r="AP252" s="799"/>
      <c r="AQ252" s="799"/>
      <c r="AR252" s="799"/>
      <c r="AS252" s="799"/>
      <c r="AT252" s="799"/>
      <c r="AU252" s="799"/>
      <c r="AV252" s="799"/>
      <c r="AW252" s="799"/>
      <c r="AX252" s="799"/>
      <c r="AY252" s="799"/>
      <c r="AZ252" s="799"/>
      <c r="BA252" s="799"/>
      <c r="BB252" s="799"/>
      <c r="BC252" s="799"/>
      <c r="BD252" s="799"/>
      <c r="BE252" s="799"/>
      <c r="BF252" s="799"/>
      <c r="BG252" s="799"/>
    </row>
    <row r="253">
      <c r="H253" s="799"/>
      <c r="I253" s="799"/>
      <c r="J253" s="799"/>
      <c r="K253" s="799"/>
      <c r="L253" s="799"/>
      <c r="M253" s="799"/>
      <c r="N253" s="799"/>
      <c r="O253" s="799"/>
      <c r="P253" s="799"/>
      <c r="Q253" s="799"/>
      <c r="R253" s="799"/>
      <c r="S253" s="799"/>
      <c r="T253" s="799"/>
      <c r="U253" s="799"/>
      <c r="V253" s="799"/>
      <c r="W253" s="799"/>
      <c r="X253" s="799"/>
      <c r="Y253" s="799"/>
      <c r="Z253" s="799"/>
      <c r="AA253" s="799"/>
      <c r="AB253" s="799"/>
      <c r="AC253" s="799"/>
      <c r="AD253" s="799"/>
      <c r="AE253" s="799"/>
      <c r="AF253" s="799"/>
      <c r="AG253" s="799"/>
      <c r="AH253" s="799"/>
      <c r="AI253" s="799"/>
      <c r="AJ253" s="799"/>
      <c r="AK253" s="799"/>
      <c r="AL253" s="799"/>
      <c r="AM253" s="799"/>
      <c r="AN253" s="799"/>
      <c r="AO253" s="799"/>
      <c r="AP253" s="799"/>
      <c r="AQ253" s="799"/>
      <c r="AR253" s="799"/>
      <c r="AS253" s="799"/>
      <c r="AT253" s="799"/>
      <c r="AU253" s="799"/>
      <c r="AV253" s="799"/>
      <c r="AW253" s="799"/>
      <c r="AX253" s="799"/>
      <c r="AY253" s="799"/>
      <c r="AZ253" s="799"/>
      <c r="BA253" s="799"/>
      <c r="BB253" s="799"/>
      <c r="BC253" s="799"/>
      <c r="BD253" s="799"/>
      <c r="BE253" s="799"/>
      <c r="BF253" s="799"/>
      <c r="BG253" s="799"/>
    </row>
    <row r="254">
      <c r="H254" s="799"/>
      <c r="I254" s="799"/>
      <c r="J254" s="799"/>
      <c r="K254" s="799"/>
      <c r="L254" s="799"/>
      <c r="M254" s="799"/>
      <c r="N254" s="799"/>
      <c r="O254" s="799"/>
      <c r="P254" s="799"/>
      <c r="Q254" s="799"/>
      <c r="R254" s="799"/>
      <c r="S254" s="799"/>
      <c r="T254" s="799"/>
      <c r="U254" s="799"/>
      <c r="V254" s="799"/>
      <c r="W254" s="799"/>
      <c r="X254" s="799"/>
      <c r="Y254" s="799"/>
      <c r="Z254" s="799"/>
      <c r="AA254" s="799"/>
      <c r="AB254" s="799"/>
      <c r="AC254" s="799"/>
      <c r="AD254" s="799"/>
      <c r="AE254" s="799"/>
      <c r="AF254" s="799"/>
      <c r="AG254" s="799"/>
      <c r="AH254" s="799"/>
      <c r="AI254" s="799"/>
      <c r="AJ254" s="799"/>
      <c r="AK254" s="799"/>
      <c r="AL254" s="799"/>
      <c r="AM254" s="799"/>
      <c r="AN254" s="799"/>
      <c r="AO254" s="799"/>
      <c r="AP254" s="799"/>
      <c r="AQ254" s="799"/>
      <c r="AR254" s="799"/>
      <c r="AS254" s="799"/>
      <c r="AT254" s="799"/>
      <c r="AU254" s="799"/>
      <c r="AV254" s="799"/>
      <c r="AW254" s="799"/>
      <c r="AX254" s="799"/>
      <c r="AY254" s="799"/>
      <c r="AZ254" s="799"/>
      <c r="BA254" s="799"/>
      <c r="BB254" s="799"/>
      <c r="BC254" s="799"/>
      <c r="BD254" s="799"/>
      <c r="BE254" s="799"/>
      <c r="BF254" s="799"/>
      <c r="BG254" s="799"/>
    </row>
    <row r="255">
      <c r="H255" s="799"/>
      <c r="I255" s="799"/>
      <c r="J255" s="799"/>
      <c r="K255" s="799"/>
      <c r="L255" s="799"/>
      <c r="M255" s="799"/>
      <c r="N255" s="799"/>
      <c r="O255" s="799"/>
      <c r="P255" s="799"/>
      <c r="Q255" s="799"/>
      <c r="R255" s="799"/>
      <c r="S255" s="799"/>
      <c r="T255" s="799"/>
      <c r="U255" s="799"/>
      <c r="V255" s="799"/>
      <c r="W255" s="799"/>
      <c r="X255" s="799"/>
      <c r="Y255" s="799"/>
      <c r="Z255" s="799"/>
      <c r="AA255" s="799"/>
      <c r="AB255" s="799"/>
      <c r="AC255" s="799"/>
      <c r="AD255" s="799"/>
      <c r="AE255" s="799"/>
      <c r="AF255" s="799"/>
      <c r="AG255" s="799"/>
      <c r="AH255" s="799"/>
      <c r="AI255" s="799"/>
      <c r="AJ255" s="799"/>
      <c r="AK255" s="799"/>
      <c r="AL255" s="799"/>
      <c r="AM255" s="799"/>
      <c r="AN255" s="799"/>
      <c r="AO255" s="799"/>
      <c r="AP255" s="799"/>
      <c r="AQ255" s="799"/>
      <c r="AR255" s="799"/>
      <c r="AS255" s="799"/>
      <c r="AT255" s="799"/>
      <c r="AU255" s="799"/>
      <c r="AV255" s="799"/>
      <c r="AW255" s="799"/>
      <c r="AX255" s="799"/>
      <c r="AY255" s="799"/>
      <c r="AZ255" s="799"/>
      <c r="BA255" s="799"/>
      <c r="BB255" s="799"/>
      <c r="BC255" s="799"/>
      <c r="BD255" s="799"/>
      <c r="BE255" s="799"/>
      <c r="BF255" s="799"/>
      <c r="BG255" s="799"/>
    </row>
    <row r="256">
      <c r="H256" s="799"/>
      <c r="I256" s="799"/>
      <c r="J256" s="799"/>
      <c r="K256" s="799"/>
      <c r="L256" s="799"/>
      <c r="M256" s="799"/>
      <c r="N256" s="799"/>
      <c r="O256" s="799"/>
      <c r="P256" s="799"/>
      <c r="Q256" s="799"/>
      <c r="R256" s="799"/>
      <c r="S256" s="799"/>
      <c r="T256" s="799"/>
      <c r="U256" s="799"/>
      <c r="V256" s="799"/>
      <c r="W256" s="799"/>
      <c r="X256" s="799"/>
      <c r="Y256" s="799"/>
      <c r="Z256" s="799"/>
      <c r="AA256" s="799"/>
      <c r="AB256" s="799"/>
      <c r="AC256" s="799"/>
      <c r="AD256" s="799"/>
      <c r="AE256" s="799"/>
      <c r="AF256" s="799"/>
      <c r="AG256" s="799"/>
      <c r="AH256" s="799"/>
      <c r="AI256" s="799"/>
      <c r="AJ256" s="799"/>
      <c r="AK256" s="799"/>
      <c r="AL256" s="799"/>
      <c r="AM256" s="799"/>
      <c r="AN256" s="799"/>
      <c r="AO256" s="799"/>
      <c r="AP256" s="799"/>
      <c r="AQ256" s="799"/>
      <c r="AR256" s="799"/>
      <c r="AS256" s="799"/>
      <c r="AT256" s="799"/>
      <c r="AU256" s="799"/>
      <c r="AV256" s="799"/>
      <c r="AW256" s="799"/>
      <c r="AX256" s="799"/>
      <c r="AY256" s="799"/>
      <c r="AZ256" s="799"/>
      <c r="BA256" s="799"/>
      <c r="BB256" s="799"/>
      <c r="BC256" s="799"/>
      <c r="BD256" s="799"/>
      <c r="BE256" s="799"/>
      <c r="BF256" s="799"/>
      <c r="BG256" s="799"/>
    </row>
    <row r="257">
      <c r="H257" s="799"/>
      <c r="I257" s="799"/>
      <c r="J257" s="799"/>
      <c r="K257" s="799"/>
      <c r="L257" s="799"/>
      <c r="M257" s="799"/>
      <c r="N257" s="799"/>
      <c r="O257" s="799"/>
      <c r="P257" s="799"/>
      <c r="Q257" s="799"/>
      <c r="R257" s="799"/>
      <c r="S257" s="799"/>
      <c r="T257" s="799"/>
      <c r="U257" s="799"/>
      <c r="V257" s="799"/>
      <c r="W257" s="799"/>
      <c r="X257" s="799"/>
      <c r="Y257" s="799"/>
      <c r="Z257" s="799"/>
      <c r="AA257" s="799"/>
      <c r="AB257" s="799"/>
      <c r="AC257" s="799"/>
      <c r="AD257" s="799"/>
      <c r="AE257" s="799"/>
      <c r="AF257" s="799"/>
      <c r="AG257" s="799"/>
      <c r="AH257" s="799"/>
      <c r="AI257" s="799"/>
      <c r="AJ257" s="799"/>
      <c r="AK257" s="799"/>
      <c r="AL257" s="799"/>
      <c r="AM257" s="799"/>
      <c r="AN257" s="799"/>
      <c r="AO257" s="799"/>
      <c r="AP257" s="799"/>
      <c r="AQ257" s="799"/>
      <c r="AR257" s="799"/>
      <c r="AS257" s="799"/>
      <c r="AT257" s="799"/>
      <c r="AU257" s="799"/>
      <c r="AV257" s="799"/>
      <c r="AW257" s="799"/>
      <c r="AX257" s="799"/>
      <c r="AY257" s="799"/>
      <c r="AZ257" s="799"/>
      <c r="BA257" s="799"/>
      <c r="BB257" s="799"/>
      <c r="BC257" s="799"/>
      <c r="BD257" s="799"/>
      <c r="BE257" s="799"/>
      <c r="BF257" s="799"/>
      <c r="BG257" s="799"/>
    </row>
    <row r="258">
      <c r="H258" s="799"/>
      <c r="I258" s="799"/>
      <c r="J258" s="799"/>
      <c r="K258" s="799"/>
      <c r="L258" s="799"/>
      <c r="M258" s="799"/>
      <c r="N258" s="799"/>
      <c r="O258" s="799"/>
      <c r="P258" s="799"/>
      <c r="Q258" s="799"/>
      <c r="R258" s="799"/>
      <c r="S258" s="799"/>
      <c r="T258" s="799"/>
      <c r="U258" s="799"/>
      <c r="V258" s="799"/>
      <c r="W258" s="799"/>
      <c r="X258" s="799"/>
      <c r="Y258" s="799"/>
      <c r="Z258" s="799"/>
      <c r="AA258" s="799"/>
      <c r="AB258" s="799"/>
      <c r="AC258" s="799"/>
      <c r="AD258" s="799"/>
      <c r="AE258" s="799"/>
      <c r="AF258" s="799"/>
      <c r="AG258" s="799"/>
      <c r="AH258" s="799"/>
      <c r="AI258" s="799"/>
      <c r="AJ258" s="799"/>
      <c r="AK258" s="799"/>
      <c r="AL258" s="799"/>
      <c r="AM258" s="799"/>
      <c r="AN258" s="799"/>
      <c r="AO258" s="799"/>
      <c r="AP258" s="799"/>
      <c r="AQ258" s="799"/>
      <c r="AR258" s="799"/>
      <c r="AS258" s="799"/>
      <c r="AT258" s="799"/>
      <c r="AU258" s="799"/>
      <c r="AV258" s="799"/>
      <c r="AW258" s="799"/>
      <c r="AX258" s="799"/>
      <c r="AY258" s="799"/>
      <c r="AZ258" s="799"/>
      <c r="BA258" s="799"/>
      <c r="BB258" s="799"/>
      <c r="BC258" s="799"/>
      <c r="BD258" s="799"/>
      <c r="BE258" s="799"/>
      <c r="BF258" s="799"/>
      <c r="BG258" s="799"/>
    </row>
    <row r="259">
      <c r="H259" s="799"/>
      <c r="I259" s="799"/>
      <c r="J259" s="799"/>
      <c r="K259" s="799"/>
      <c r="L259" s="799"/>
      <c r="M259" s="799"/>
      <c r="N259" s="799"/>
      <c r="O259" s="799"/>
      <c r="P259" s="799"/>
      <c r="Q259" s="799"/>
      <c r="R259" s="799"/>
      <c r="S259" s="799"/>
      <c r="T259" s="799"/>
      <c r="U259" s="799"/>
      <c r="V259" s="799"/>
      <c r="W259" s="799"/>
      <c r="X259" s="799"/>
      <c r="Y259" s="799"/>
      <c r="Z259" s="799"/>
      <c r="AA259" s="799"/>
      <c r="AB259" s="799"/>
      <c r="AC259" s="799"/>
      <c r="AD259" s="799"/>
      <c r="AE259" s="799"/>
      <c r="AF259" s="799"/>
      <c r="AG259" s="799"/>
      <c r="AH259" s="799"/>
      <c r="AI259" s="799"/>
      <c r="AJ259" s="799"/>
      <c r="AK259" s="799"/>
      <c r="AL259" s="799"/>
      <c r="AM259" s="799"/>
      <c r="AN259" s="799"/>
      <c r="AO259" s="799"/>
      <c r="AP259" s="799"/>
      <c r="AQ259" s="799"/>
      <c r="AR259" s="799"/>
      <c r="AS259" s="799"/>
      <c r="AT259" s="799"/>
      <c r="AU259" s="799"/>
      <c r="AV259" s="799"/>
      <c r="AW259" s="799"/>
      <c r="AX259" s="799"/>
      <c r="AY259" s="799"/>
      <c r="AZ259" s="799"/>
      <c r="BA259" s="799"/>
      <c r="BB259" s="799"/>
      <c r="BC259" s="799"/>
      <c r="BD259" s="799"/>
      <c r="BE259" s="799"/>
      <c r="BF259" s="799"/>
      <c r="BG259" s="799"/>
    </row>
    <row r="260">
      <c r="H260" s="799"/>
      <c r="I260" s="799"/>
      <c r="J260" s="799"/>
      <c r="K260" s="799"/>
      <c r="L260" s="799"/>
      <c r="M260" s="799"/>
      <c r="N260" s="799"/>
      <c r="O260" s="799"/>
      <c r="P260" s="799"/>
      <c r="Q260" s="799"/>
      <c r="R260" s="799"/>
      <c r="S260" s="799"/>
      <c r="T260" s="799"/>
      <c r="U260" s="799"/>
      <c r="V260" s="799"/>
      <c r="W260" s="799"/>
      <c r="X260" s="799"/>
      <c r="Y260" s="799"/>
      <c r="Z260" s="799"/>
      <c r="AA260" s="799"/>
      <c r="AB260" s="799"/>
      <c r="AC260" s="799"/>
      <c r="AD260" s="799"/>
      <c r="AE260" s="799"/>
      <c r="AF260" s="799"/>
      <c r="AG260" s="799"/>
      <c r="AH260" s="799"/>
      <c r="AI260" s="799"/>
      <c r="AJ260" s="799"/>
      <c r="AK260" s="799"/>
      <c r="AL260" s="799"/>
      <c r="AM260" s="799"/>
      <c r="AN260" s="799"/>
      <c r="AO260" s="799"/>
      <c r="AP260" s="799"/>
      <c r="AQ260" s="799"/>
      <c r="AR260" s="799"/>
      <c r="AS260" s="799"/>
      <c r="AT260" s="799"/>
      <c r="AU260" s="799"/>
      <c r="AV260" s="799"/>
      <c r="AW260" s="799"/>
      <c r="AX260" s="799"/>
      <c r="AY260" s="799"/>
      <c r="AZ260" s="799"/>
      <c r="BA260" s="799"/>
      <c r="BB260" s="799"/>
      <c r="BC260" s="799"/>
      <c r="BD260" s="799"/>
      <c r="BE260" s="799"/>
      <c r="BF260" s="799"/>
      <c r="BG260" s="799"/>
    </row>
    <row r="261">
      <c r="H261" s="799"/>
      <c r="I261" s="799"/>
      <c r="J261" s="799"/>
      <c r="K261" s="799"/>
      <c r="L261" s="799"/>
      <c r="M261" s="799"/>
      <c r="N261" s="799"/>
      <c r="O261" s="799"/>
      <c r="P261" s="799"/>
      <c r="Q261" s="799"/>
      <c r="R261" s="799"/>
      <c r="S261" s="799"/>
      <c r="T261" s="799"/>
      <c r="U261" s="799"/>
      <c r="V261" s="799"/>
      <c r="W261" s="799"/>
      <c r="X261" s="799"/>
      <c r="Y261" s="799"/>
      <c r="Z261" s="799"/>
      <c r="AA261" s="799"/>
      <c r="AB261" s="799"/>
      <c r="AC261" s="799"/>
      <c r="AD261" s="799"/>
      <c r="AE261" s="799"/>
      <c r="AF261" s="799"/>
      <c r="AG261" s="799"/>
      <c r="AH261" s="799"/>
      <c r="AI261" s="799"/>
      <c r="AJ261" s="799"/>
      <c r="AK261" s="799"/>
      <c r="AL261" s="799"/>
      <c r="AM261" s="799"/>
      <c r="AN261" s="799"/>
      <c r="AO261" s="799"/>
      <c r="AP261" s="799"/>
      <c r="AQ261" s="799"/>
      <c r="AR261" s="799"/>
      <c r="AS261" s="799"/>
      <c r="AT261" s="799"/>
      <c r="AU261" s="799"/>
      <c r="AV261" s="799"/>
      <c r="AW261" s="799"/>
      <c r="AX261" s="799"/>
      <c r="AY261" s="799"/>
      <c r="AZ261" s="799"/>
      <c r="BA261" s="799"/>
      <c r="BB261" s="799"/>
      <c r="BC261" s="799"/>
      <c r="BD261" s="799"/>
      <c r="BE261" s="799"/>
      <c r="BF261" s="799"/>
      <c r="BG261" s="799"/>
    </row>
    <row r="262">
      <c r="H262" s="799"/>
      <c r="I262" s="799"/>
      <c r="J262" s="799"/>
      <c r="K262" s="799"/>
      <c r="L262" s="799"/>
      <c r="M262" s="799"/>
      <c r="N262" s="799"/>
      <c r="O262" s="799"/>
      <c r="P262" s="799"/>
      <c r="Q262" s="799"/>
      <c r="R262" s="799"/>
      <c r="S262" s="799"/>
      <c r="T262" s="799"/>
      <c r="U262" s="799"/>
      <c r="V262" s="799"/>
      <c r="W262" s="799"/>
      <c r="X262" s="799"/>
      <c r="Y262" s="799"/>
      <c r="Z262" s="799"/>
      <c r="AA262" s="799"/>
      <c r="AB262" s="799"/>
      <c r="AC262" s="799"/>
      <c r="AD262" s="799"/>
      <c r="AE262" s="799"/>
      <c r="AF262" s="799"/>
      <c r="AG262" s="799"/>
      <c r="AH262" s="799"/>
      <c r="AI262" s="799"/>
      <c r="AJ262" s="799"/>
      <c r="AK262" s="799"/>
      <c r="AL262" s="799"/>
      <c r="AM262" s="799"/>
      <c r="AN262" s="799"/>
      <c r="AO262" s="799"/>
      <c r="AP262" s="799"/>
      <c r="AQ262" s="799"/>
      <c r="AR262" s="799"/>
      <c r="AS262" s="799"/>
      <c r="AT262" s="799"/>
      <c r="AU262" s="799"/>
      <c r="AV262" s="799"/>
      <c r="AW262" s="799"/>
      <c r="AX262" s="799"/>
      <c r="AY262" s="799"/>
      <c r="AZ262" s="799"/>
      <c r="BA262" s="799"/>
      <c r="BB262" s="799"/>
      <c r="BC262" s="799"/>
      <c r="BD262" s="799"/>
      <c r="BE262" s="799"/>
      <c r="BF262" s="799"/>
      <c r="BG262" s="799"/>
    </row>
    <row r="263">
      <c r="H263" s="799"/>
      <c r="I263" s="799"/>
      <c r="J263" s="799"/>
      <c r="K263" s="799"/>
      <c r="L263" s="799"/>
      <c r="M263" s="799"/>
      <c r="N263" s="799"/>
      <c r="O263" s="799"/>
      <c r="P263" s="799"/>
      <c r="Q263" s="799"/>
      <c r="R263" s="799"/>
      <c r="S263" s="799"/>
      <c r="T263" s="799"/>
      <c r="U263" s="799"/>
      <c r="V263" s="799"/>
      <c r="W263" s="799"/>
      <c r="X263" s="799"/>
      <c r="Y263" s="799"/>
      <c r="Z263" s="799"/>
      <c r="AA263" s="799"/>
      <c r="AB263" s="799"/>
      <c r="AC263" s="799"/>
      <c r="AD263" s="799"/>
      <c r="AE263" s="799"/>
      <c r="AF263" s="799"/>
      <c r="AG263" s="799"/>
      <c r="AH263" s="799"/>
      <c r="AI263" s="799"/>
      <c r="AJ263" s="799"/>
      <c r="AK263" s="799"/>
      <c r="AL263" s="799"/>
      <c r="AM263" s="799"/>
      <c r="AN263" s="799"/>
      <c r="AO263" s="799"/>
      <c r="AP263" s="799"/>
      <c r="AQ263" s="799"/>
      <c r="AR263" s="799"/>
      <c r="AS263" s="799"/>
      <c r="AT263" s="799"/>
      <c r="AU263" s="799"/>
      <c r="AV263" s="799"/>
      <c r="AW263" s="799"/>
      <c r="AX263" s="799"/>
      <c r="AY263" s="799"/>
      <c r="AZ263" s="799"/>
      <c r="BA263" s="799"/>
      <c r="BB263" s="799"/>
      <c r="BC263" s="799"/>
      <c r="BD263" s="799"/>
      <c r="BE263" s="799"/>
      <c r="BF263" s="799"/>
      <c r="BG263" s="799"/>
    </row>
    <row r="264">
      <c r="H264" s="799"/>
      <c r="I264" s="799"/>
      <c r="J264" s="799"/>
      <c r="K264" s="799"/>
      <c r="L264" s="799"/>
      <c r="M264" s="799"/>
      <c r="N264" s="799"/>
      <c r="O264" s="799"/>
      <c r="P264" s="799"/>
      <c r="Q264" s="799"/>
      <c r="R264" s="799"/>
      <c r="S264" s="799"/>
      <c r="T264" s="799"/>
      <c r="U264" s="799"/>
      <c r="V264" s="799"/>
      <c r="W264" s="799"/>
      <c r="X264" s="799"/>
      <c r="Y264" s="799"/>
      <c r="Z264" s="799"/>
      <c r="AA264" s="799"/>
      <c r="AB264" s="799"/>
      <c r="AC264" s="799"/>
      <c r="AD264" s="799"/>
      <c r="AE264" s="799"/>
      <c r="AF264" s="799"/>
      <c r="AG264" s="799"/>
      <c r="AH264" s="799"/>
      <c r="AI264" s="799"/>
      <c r="AJ264" s="799"/>
      <c r="AK264" s="799"/>
      <c r="AL264" s="799"/>
      <c r="AM264" s="799"/>
      <c r="AN264" s="799"/>
      <c r="AO264" s="799"/>
      <c r="AP264" s="799"/>
      <c r="AQ264" s="799"/>
      <c r="AR264" s="799"/>
      <c r="AS264" s="799"/>
      <c r="AT264" s="799"/>
      <c r="AU264" s="799"/>
      <c r="AV264" s="799"/>
      <c r="AW264" s="799"/>
      <c r="AX264" s="799"/>
      <c r="AY264" s="799"/>
      <c r="AZ264" s="799"/>
      <c r="BA264" s="799"/>
      <c r="BB264" s="799"/>
      <c r="BC264" s="799"/>
      <c r="BD264" s="799"/>
      <c r="BE264" s="799"/>
      <c r="BF264" s="799"/>
      <c r="BG264" s="799"/>
    </row>
    <row r="265">
      <c r="H265" s="799"/>
      <c r="I265" s="799"/>
      <c r="J265" s="799"/>
      <c r="K265" s="799"/>
      <c r="L265" s="799"/>
      <c r="M265" s="799"/>
      <c r="N265" s="799"/>
      <c r="O265" s="799"/>
      <c r="P265" s="799"/>
      <c r="Q265" s="799"/>
      <c r="R265" s="799"/>
      <c r="S265" s="799"/>
      <c r="T265" s="799"/>
      <c r="U265" s="799"/>
      <c r="V265" s="799"/>
      <c r="W265" s="799"/>
      <c r="X265" s="799"/>
      <c r="Y265" s="799"/>
      <c r="Z265" s="799"/>
      <c r="AA265" s="799"/>
      <c r="AB265" s="799"/>
      <c r="AC265" s="799"/>
      <c r="AD265" s="799"/>
      <c r="AE265" s="799"/>
      <c r="AF265" s="799"/>
      <c r="AG265" s="799"/>
      <c r="AH265" s="799"/>
      <c r="AI265" s="799"/>
      <c r="AJ265" s="799"/>
      <c r="AK265" s="799"/>
      <c r="AL265" s="799"/>
      <c r="AM265" s="799"/>
      <c r="AN265" s="799"/>
      <c r="AO265" s="799"/>
      <c r="AP265" s="799"/>
      <c r="AQ265" s="799"/>
      <c r="AR265" s="799"/>
      <c r="AS265" s="799"/>
      <c r="AT265" s="799"/>
      <c r="AU265" s="799"/>
      <c r="AV265" s="799"/>
      <c r="AW265" s="799"/>
      <c r="AX265" s="799"/>
      <c r="AY265" s="799"/>
      <c r="AZ265" s="799"/>
      <c r="BA265" s="799"/>
      <c r="BB265" s="799"/>
      <c r="BC265" s="799"/>
      <c r="BD265" s="799"/>
      <c r="BE265" s="799"/>
      <c r="BF265" s="799"/>
      <c r="BG265" s="799"/>
    </row>
    <row r="266">
      <c r="H266" s="799"/>
      <c r="I266" s="799"/>
      <c r="J266" s="799"/>
      <c r="K266" s="799"/>
      <c r="L266" s="799"/>
      <c r="M266" s="799"/>
      <c r="N266" s="799"/>
      <c r="O266" s="799"/>
      <c r="P266" s="799"/>
      <c r="Q266" s="799"/>
      <c r="R266" s="799"/>
      <c r="S266" s="799"/>
      <c r="T266" s="799"/>
      <c r="U266" s="799"/>
      <c r="V266" s="799"/>
      <c r="W266" s="799"/>
      <c r="X266" s="799"/>
      <c r="Y266" s="799"/>
      <c r="Z266" s="799"/>
      <c r="AA266" s="799"/>
      <c r="AB266" s="799"/>
      <c r="AC266" s="799"/>
      <c r="AD266" s="799"/>
      <c r="AE266" s="799"/>
      <c r="AF266" s="799"/>
      <c r="AG266" s="799"/>
      <c r="AH266" s="799"/>
      <c r="AI266" s="799"/>
      <c r="AJ266" s="799"/>
      <c r="AK266" s="799"/>
      <c r="AL266" s="799"/>
      <c r="AM266" s="799"/>
      <c r="AN266" s="799"/>
      <c r="AO266" s="799"/>
      <c r="AP266" s="799"/>
      <c r="AQ266" s="799"/>
      <c r="AR266" s="799"/>
      <c r="AS266" s="799"/>
      <c r="AT266" s="799"/>
      <c r="AU266" s="799"/>
      <c r="AV266" s="799"/>
      <c r="AW266" s="799"/>
      <c r="AX266" s="799"/>
      <c r="AY266" s="799"/>
      <c r="AZ266" s="799"/>
      <c r="BA266" s="799"/>
      <c r="BB266" s="799"/>
      <c r="BC266" s="799"/>
      <c r="BD266" s="799"/>
      <c r="BE266" s="799"/>
      <c r="BF266" s="799"/>
      <c r="BG266" s="799"/>
    </row>
    <row r="267">
      <c r="H267" s="799"/>
      <c r="I267" s="799"/>
      <c r="J267" s="799"/>
      <c r="K267" s="799"/>
      <c r="L267" s="799"/>
      <c r="M267" s="799"/>
      <c r="N267" s="799"/>
      <c r="O267" s="799"/>
      <c r="P267" s="799"/>
      <c r="Q267" s="799"/>
      <c r="R267" s="799"/>
      <c r="S267" s="799"/>
      <c r="T267" s="799"/>
      <c r="U267" s="799"/>
      <c r="V267" s="799"/>
      <c r="W267" s="799"/>
      <c r="X267" s="799"/>
      <c r="Y267" s="799"/>
      <c r="Z267" s="799"/>
      <c r="AA267" s="799"/>
      <c r="AB267" s="799"/>
      <c r="AC267" s="799"/>
      <c r="AD267" s="799"/>
      <c r="AE267" s="799"/>
      <c r="AF267" s="799"/>
      <c r="AG267" s="799"/>
      <c r="AH267" s="799"/>
      <c r="AI267" s="799"/>
      <c r="AJ267" s="799"/>
      <c r="AK267" s="799"/>
      <c r="AL267" s="799"/>
      <c r="AM267" s="799"/>
      <c r="AN267" s="799"/>
      <c r="AO267" s="799"/>
      <c r="AP267" s="799"/>
      <c r="AQ267" s="799"/>
      <c r="AR267" s="799"/>
      <c r="AS267" s="799"/>
      <c r="AT267" s="799"/>
      <c r="AU267" s="799"/>
      <c r="AV267" s="799"/>
      <c r="AW267" s="799"/>
      <c r="AX267" s="799"/>
      <c r="AY267" s="799"/>
      <c r="AZ267" s="799"/>
      <c r="BA267" s="799"/>
      <c r="BB267" s="799"/>
      <c r="BC267" s="799"/>
      <c r="BD267" s="799"/>
      <c r="BE267" s="799"/>
      <c r="BF267" s="799"/>
      <c r="BG267" s="799"/>
    </row>
    <row r="268">
      <c r="H268" s="799"/>
      <c r="I268" s="799"/>
      <c r="J268" s="799"/>
      <c r="K268" s="799"/>
      <c r="L268" s="799"/>
      <c r="M268" s="799"/>
      <c r="N268" s="799"/>
      <c r="O268" s="799"/>
      <c r="P268" s="799"/>
      <c r="Q268" s="799"/>
      <c r="R268" s="799"/>
      <c r="S268" s="799"/>
      <c r="T268" s="799"/>
      <c r="U268" s="799"/>
      <c r="V268" s="799"/>
      <c r="W268" s="799"/>
      <c r="X268" s="799"/>
      <c r="Y268" s="799"/>
      <c r="Z268" s="799"/>
      <c r="AA268" s="799"/>
      <c r="AB268" s="799"/>
      <c r="AC268" s="799"/>
      <c r="AD268" s="799"/>
      <c r="AE268" s="799"/>
      <c r="AF268" s="799"/>
      <c r="AG268" s="799"/>
      <c r="AH268" s="799"/>
      <c r="AI268" s="799"/>
      <c r="AJ268" s="799"/>
      <c r="AK268" s="799"/>
      <c r="AL268" s="799"/>
      <c r="AM268" s="799"/>
      <c r="AN268" s="799"/>
      <c r="AO268" s="799"/>
      <c r="AP268" s="799"/>
      <c r="AQ268" s="799"/>
      <c r="AR268" s="799"/>
      <c r="AS268" s="799"/>
      <c r="AT268" s="799"/>
      <c r="AU268" s="799"/>
      <c r="AV268" s="799"/>
      <c r="AW268" s="799"/>
      <c r="AX268" s="799"/>
      <c r="AY268" s="799"/>
      <c r="AZ268" s="799"/>
      <c r="BA268" s="799"/>
      <c r="BB268" s="799"/>
      <c r="BC268" s="799"/>
      <c r="BD268" s="799"/>
      <c r="BE268" s="799"/>
      <c r="BF268" s="799"/>
      <c r="BG268" s="799"/>
    </row>
    <row r="269">
      <c r="H269" s="799"/>
      <c r="I269" s="799"/>
      <c r="J269" s="799"/>
      <c r="K269" s="799"/>
      <c r="L269" s="799"/>
      <c r="M269" s="799"/>
      <c r="N269" s="799"/>
      <c r="O269" s="799"/>
      <c r="P269" s="799"/>
      <c r="Q269" s="799"/>
      <c r="R269" s="799"/>
      <c r="S269" s="799"/>
      <c r="T269" s="799"/>
      <c r="U269" s="799"/>
      <c r="V269" s="799"/>
      <c r="W269" s="799"/>
      <c r="X269" s="799"/>
      <c r="Y269" s="799"/>
      <c r="Z269" s="799"/>
      <c r="AA269" s="799"/>
      <c r="AB269" s="799"/>
      <c r="AC269" s="799"/>
      <c r="AD269" s="799"/>
      <c r="AE269" s="799"/>
      <c r="AF269" s="799"/>
      <c r="AG269" s="799"/>
      <c r="AH269" s="799"/>
      <c r="AI269" s="799"/>
      <c r="AJ269" s="799"/>
      <c r="AK269" s="799"/>
      <c r="AL269" s="799"/>
      <c r="AM269" s="799"/>
      <c r="AN269" s="799"/>
      <c r="AO269" s="799"/>
      <c r="AP269" s="799"/>
      <c r="AQ269" s="799"/>
      <c r="AR269" s="799"/>
      <c r="AS269" s="799"/>
      <c r="AT269" s="799"/>
      <c r="AU269" s="799"/>
      <c r="AV269" s="799"/>
      <c r="AW269" s="799"/>
      <c r="AX269" s="799"/>
      <c r="AY269" s="799"/>
      <c r="AZ269" s="799"/>
      <c r="BA269" s="799"/>
      <c r="BB269" s="799"/>
      <c r="BC269" s="799"/>
      <c r="BD269" s="799"/>
      <c r="BE269" s="799"/>
      <c r="BF269" s="799"/>
      <c r="BG269" s="799"/>
    </row>
    <row r="270">
      <c r="H270" s="799"/>
      <c r="I270" s="799"/>
      <c r="J270" s="799"/>
      <c r="K270" s="799"/>
      <c r="L270" s="799"/>
      <c r="M270" s="799"/>
      <c r="N270" s="799"/>
      <c r="O270" s="799"/>
      <c r="P270" s="799"/>
      <c r="Q270" s="799"/>
      <c r="R270" s="799"/>
      <c r="S270" s="799"/>
      <c r="T270" s="799"/>
      <c r="U270" s="799"/>
      <c r="V270" s="799"/>
      <c r="W270" s="799"/>
      <c r="X270" s="799"/>
      <c r="Y270" s="799"/>
      <c r="Z270" s="799"/>
      <c r="AA270" s="799"/>
      <c r="AB270" s="799"/>
      <c r="AC270" s="799"/>
      <c r="AD270" s="799"/>
      <c r="AE270" s="799"/>
      <c r="AF270" s="799"/>
      <c r="AG270" s="799"/>
      <c r="AH270" s="799"/>
      <c r="AI270" s="799"/>
      <c r="AJ270" s="799"/>
      <c r="AK270" s="799"/>
      <c r="AL270" s="799"/>
      <c r="AM270" s="799"/>
      <c r="AN270" s="799"/>
      <c r="AO270" s="799"/>
      <c r="AP270" s="799"/>
      <c r="AQ270" s="799"/>
      <c r="AR270" s="799"/>
      <c r="AS270" s="799"/>
      <c r="AT270" s="799"/>
      <c r="AU270" s="799"/>
      <c r="AV270" s="799"/>
      <c r="AW270" s="799"/>
      <c r="AX270" s="799"/>
      <c r="AY270" s="799"/>
      <c r="AZ270" s="799"/>
      <c r="BA270" s="799"/>
      <c r="BB270" s="799"/>
      <c r="BC270" s="799"/>
      <c r="BD270" s="799"/>
      <c r="BE270" s="799"/>
      <c r="BF270" s="799"/>
      <c r="BG270" s="799"/>
    </row>
    <row r="271">
      <c r="H271" s="799"/>
      <c r="I271" s="799"/>
      <c r="J271" s="799"/>
      <c r="K271" s="799"/>
      <c r="L271" s="799"/>
      <c r="M271" s="799"/>
      <c r="N271" s="799"/>
      <c r="O271" s="799"/>
      <c r="P271" s="799"/>
      <c r="Q271" s="799"/>
      <c r="R271" s="799"/>
      <c r="S271" s="799"/>
      <c r="T271" s="799"/>
      <c r="U271" s="799"/>
      <c r="V271" s="799"/>
      <c r="W271" s="799"/>
      <c r="X271" s="799"/>
      <c r="Y271" s="799"/>
      <c r="Z271" s="799"/>
      <c r="AA271" s="799"/>
      <c r="AB271" s="799"/>
      <c r="AC271" s="799"/>
      <c r="AD271" s="799"/>
      <c r="AE271" s="799"/>
      <c r="AF271" s="799"/>
      <c r="AG271" s="799"/>
      <c r="AH271" s="799"/>
      <c r="AI271" s="799"/>
      <c r="AJ271" s="799"/>
      <c r="AK271" s="799"/>
      <c r="AL271" s="799"/>
      <c r="AM271" s="799"/>
      <c r="AN271" s="799"/>
      <c r="AO271" s="799"/>
      <c r="AP271" s="799"/>
      <c r="AQ271" s="799"/>
      <c r="AR271" s="799"/>
      <c r="AS271" s="799"/>
      <c r="AT271" s="799"/>
      <c r="AU271" s="799"/>
      <c r="AV271" s="799"/>
      <c r="AW271" s="799"/>
      <c r="AX271" s="799"/>
      <c r="AY271" s="799"/>
      <c r="AZ271" s="799"/>
      <c r="BA271" s="799"/>
      <c r="BB271" s="799"/>
      <c r="BC271" s="799"/>
      <c r="BD271" s="799"/>
      <c r="BE271" s="799"/>
      <c r="BF271" s="799"/>
      <c r="BG271" s="799"/>
    </row>
    <row r="272">
      <c r="H272" s="799"/>
      <c r="I272" s="799"/>
      <c r="J272" s="799"/>
      <c r="K272" s="799"/>
      <c r="L272" s="799"/>
      <c r="M272" s="799"/>
      <c r="N272" s="799"/>
      <c r="O272" s="799"/>
      <c r="P272" s="799"/>
      <c r="Q272" s="799"/>
      <c r="R272" s="799"/>
      <c r="S272" s="799"/>
      <c r="T272" s="799"/>
      <c r="U272" s="799"/>
      <c r="V272" s="799"/>
      <c r="W272" s="799"/>
      <c r="X272" s="799"/>
      <c r="Y272" s="799"/>
      <c r="Z272" s="799"/>
      <c r="AA272" s="799"/>
      <c r="AB272" s="799"/>
      <c r="AC272" s="799"/>
      <c r="AD272" s="799"/>
      <c r="AE272" s="799"/>
      <c r="AF272" s="799"/>
      <c r="AG272" s="799"/>
      <c r="AH272" s="799"/>
      <c r="AI272" s="799"/>
      <c r="AJ272" s="799"/>
      <c r="AK272" s="799"/>
      <c r="AL272" s="799"/>
      <c r="AM272" s="799"/>
      <c r="AN272" s="799"/>
      <c r="AO272" s="799"/>
      <c r="AP272" s="799"/>
      <c r="AQ272" s="799"/>
      <c r="AR272" s="799"/>
      <c r="AS272" s="799"/>
      <c r="AT272" s="799"/>
      <c r="AU272" s="799"/>
      <c r="AV272" s="799"/>
      <c r="AW272" s="799"/>
      <c r="AX272" s="799"/>
      <c r="AY272" s="799"/>
      <c r="AZ272" s="799"/>
      <c r="BA272" s="799"/>
      <c r="BB272" s="799"/>
      <c r="BC272" s="799"/>
      <c r="BD272" s="799"/>
      <c r="BE272" s="799"/>
      <c r="BF272" s="799"/>
      <c r="BG272" s="799"/>
    </row>
    <row r="273">
      <c r="H273" s="799"/>
      <c r="I273" s="799"/>
      <c r="J273" s="799"/>
      <c r="K273" s="799"/>
      <c r="L273" s="799"/>
      <c r="M273" s="799"/>
      <c r="N273" s="799"/>
      <c r="O273" s="799"/>
      <c r="P273" s="799"/>
      <c r="Q273" s="799"/>
      <c r="R273" s="799"/>
      <c r="S273" s="799"/>
      <c r="T273" s="799"/>
      <c r="U273" s="799"/>
      <c r="V273" s="799"/>
      <c r="W273" s="799"/>
      <c r="X273" s="799"/>
      <c r="Y273" s="799"/>
      <c r="Z273" s="799"/>
      <c r="AA273" s="799"/>
      <c r="AB273" s="799"/>
      <c r="AC273" s="799"/>
      <c r="AD273" s="799"/>
      <c r="AE273" s="799"/>
      <c r="AF273" s="799"/>
      <c r="AG273" s="799"/>
      <c r="AH273" s="799"/>
      <c r="AI273" s="799"/>
      <c r="AJ273" s="799"/>
      <c r="AK273" s="799"/>
      <c r="AL273" s="799"/>
      <c r="AM273" s="799"/>
      <c r="AN273" s="799"/>
      <c r="AO273" s="799"/>
      <c r="AP273" s="799"/>
      <c r="AQ273" s="799"/>
      <c r="AR273" s="799"/>
      <c r="AS273" s="799"/>
      <c r="AT273" s="799"/>
      <c r="AU273" s="799"/>
      <c r="AV273" s="799"/>
      <c r="AW273" s="799"/>
      <c r="AX273" s="799"/>
      <c r="AY273" s="799"/>
      <c r="AZ273" s="799"/>
      <c r="BA273" s="799"/>
      <c r="BB273" s="799"/>
      <c r="BC273" s="799"/>
      <c r="BD273" s="799"/>
      <c r="BE273" s="799"/>
      <c r="BF273" s="799"/>
      <c r="BG273" s="799"/>
    </row>
    <row r="274">
      <c r="H274" s="799"/>
      <c r="I274" s="799"/>
      <c r="J274" s="799"/>
      <c r="K274" s="799"/>
      <c r="L274" s="799"/>
      <c r="M274" s="799"/>
      <c r="N274" s="799"/>
      <c r="O274" s="799"/>
      <c r="P274" s="799"/>
      <c r="Q274" s="799"/>
      <c r="R274" s="799"/>
      <c r="S274" s="799"/>
      <c r="T274" s="799"/>
      <c r="U274" s="799"/>
      <c r="V274" s="799"/>
      <c r="W274" s="799"/>
      <c r="X274" s="799"/>
      <c r="Y274" s="799"/>
      <c r="Z274" s="799"/>
      <c r="AA274" s="799"/>
      <c r="AB274" s="799"/>
      <c r="AC274" s="799"/>
      <c r="AD274" s="799"/>
      <c r="AE274" s="799"/>
      <c r="AF274" s="799"/>
      <c r="AG274" s="799"/>
      <c r="AH274" s="799"/>
      <c r="AI274" s="799"/>
      <c r="AJ274" s="799"/>
      <c r="AK274" s="799"/>
      <c r="AL274" s="799"/>
      <c r="AM274" s="799"/>
      <c r="AN274" s="799"/>
      <c r="AO274" s="799"/>
      <c r="AP274" s="799"/>
      <c r="AQ274" s="799"/>
      <c r="AR274" s="799"/>
      <c r="AS274" s="799"/>
      <c r="AT274" s="799"/>
      <c r="AU274" s="799"/>
      <c r="AV274" s="799"/>
      <c r="AW274" s="799"/>
      <c r="AX274" s="799"/>
      <c r="AY274" s="799"/>
      <c r="AZ274" s="799"/>
      <c r="BA274" s="799"/>
      <c r="BB274" s="799"/>
      <c r="BC274" s="799"/>
      <c r="BD274" s="799"/>
      <c r="BE274" s="799"/>
      <c r="BF274" s="799"/>
      <c r="BG274" s="799"/>
    </row>
    <row r="275">
      <c r="H275" s="799"/>
      <c r="I275" s="799"/>
      <c r="J275" s="799"/>
      <c r="K275" s="799"/>
      <c r="L275" s="799"/>
      <c r="M275" s="799"/>
      <c r="N275" s="799"/>
      <c r="O275" s="799"/>
      <c r="P275" s="799"/>
      <c r="Q275" s="799"/>
      <c r="R275" s="799"/>
      <c r="S275" s="799"/>
      <c r="T275" s="799"/>
      <c r="U275" s="799"/>
      <c r="V275" s="799"/>
      <c r="W275" s="799"/>
      <c r="X275" s="799"/>
      <c r="Y275" s="799"/>
      <c r="Z275" s="799"/>
      <c r="AA275" s="799"/>
      <c r="AB275" s="799"/>
      <c r="AC275" s="799"/>
      <c r="AD275" s="799"/>
      <c r="AE275" s="799"/>
      <c r="AF275" s="799"/>
      <c r="AG275" s="799"/>
      <c r="AH275" s="799"/>
      <c r="AI275" s="799"/>
      <c r="AJ275" s="799"/>
      <c r="AK275" s="799"/>
      <c r="AL275" s="799"/>
      <c r="AM275" s="799"/>
      <c r="AN275" s="799"/>
      <c r="AO275" s="799"/>
      <c r="AP275" s="799"/>
      <c r="AQ275" s="799"/>
      <c r="AR275" s="799"/>
      <c r="AS275" s="799"/>
      <c r="AT275" s="799"/>
      <c r="AU275" s="799"/>
      <c r="AV275" s="799"/>
      <c r="AW275" s="799"/>
      <c r="AX275" s="799"/>
      <c r="AY275" s="799"/>
      <c r="AZ275" s="799"/>
      <c r="BA275" s="799"/>
      <c r="BB275" s="799"/>
      <c r="BC275" s="799"/>
      <c r="BD275" s="799"/>
      <c r="BE275" s="799"/>
      <c r="BF275" s="799"/>
      <c r="BG275" s="799"/>
    </row>
    <row r="276">
      <c r="H276" s="799"/>
      <c r="I276" s="799"/>
      <c r="J276" s="799"/>
      <c r="K276" s="799"/>
      <c r="L276" s="799"/>
      <c r="M276" s="799"/>
      <c r="N276" s="799"/>
      <c r="O276" s="799"/>
      <c r="P276" s="799"/>
      <c r="Q276" s="799"/>
      <c r="R276" s="799"/>
      <c r="S276" s="799"/>
      <c r="T276" s="799"/>
      <c r="U276" s="799"/>
      <c r="V276" s="799"/>
      <c r="W276" s="799"/>
      <c r="X276" s="799"/>
      <c r="Y276" s="799"/>
      <c r="Z276" s="799"/>
      <c r="AA276" s="799"/>
      <c r="AB276" s="799"/>
      <c r="AC276" s="799"/>
      <c r="AD276" s="799"/>
      <c r="AE276" s="799"/>
      <c r="AF276" s="799"/>
      <c r="AG276" s="799"/>
      <c r="AH276" s="799"/>
      <c r="AI276" s="799"/>
      <c r="AJ276" s="799"/>
      <c r="AK276" s="799"/>
      <c r="AL276" s="799"/>
      <c r="AM276" s="799"/>
      <c r="AN276" s="799"/>
      <c r="AO276" s="799"/>
      <c r="AP276" s="799"/>
      <c r="AQ276" s="799"/>
      <c r="AR276" s="799"/>
      <c r="AS276" s="799"/>
      <c r="AT276" s="799"/>
      <c r="AU276" s="799"/>
      <c r="AV276" s="799"/>
      <c r="AW276" s="799"/>
      <c r="AX276" s="799"/>
      <c r="AY276" s="799"/>
      <c r="AZ276" s="799"/>
      <c r="BA276" s="799"/>
      <c r="BB276" s="799"/>
      <c r="BC276" s="799"/>
      <c r="BD276" s="799"/>
      <c r="BE276" s="799"/>
      <c r="BF276" s="799"/>
      <c r="BG276" s="799"/>
    </row>
    <row r="277">
      <c r="H277" s="799"/>
      <c r="I277" s="799"/>
      <c r="J277" s="799"/>
      <c r="K277" s="799"/>
      <c r="L277" s="799"/>
      <c r="M277" s="799"/>
      <c r="N277" s="799"/>
      <c r="O277" s="799"/>
      <c r="P277" s="799"/>
      <c r="Q277" s="799"/>
      <c r="R277" s="799"/>
      <c r="S277" s="799"/>
      <c r="T277" s="799"/>
      <c r="U277" s="799"/>
      <c r="V277" s="799"/>
      <c r="W277" s="799"/>
      <c r="X277" s="799"/>
      <c r="Y277" s="799"/>
      <c r="Z277" s="799"/>
      <c r="AA277" s="799"/>
      <c r="AB277" s="799"/>
      <c r="AC277" s="799"/>
      <c r="AD277" s="799"/>
      <c r="AE277" s="799"/>
      <c r="AF277" s="799"/>
      <c r="AG277" s="799"/>
      <c r="AH277" s="799"/>
      <c r="AI277" s="799"/>
      <c r="AJ277" s="799"/>
      <c r="AK277" s="799"/>
      <c r="AL277" s="799"/>
      <c r="AM277" s="799"/>
      <c r="AN277" s="799"/>
      <c r="AO277" s="799"/>
      <c r="AP277" s="799"/>
      <c r="AQ277" s="799"/>
      <c r="AR277" s="799"/>
      <c r="AS277" s="799"/>
      <c r="AT277" s="799"/>
      <c r="AU277" s="799"/>
      <c r="AV277" s="799"/>
      <c r="AW277" s="799"/>
      <c r="AX277" s="799"/>
      <c r="AY277" s="799"/>
      <c r="AZ277" s="799"/>
      <c r="BA277" s="799"/>
      <c r="BB277" s="799"/>
      <c r="BC277" s="799"/>
      <c r="BD277" s="799"/>
      <c r="BE277" s="799"/>
      <c r="BF277" s="799"/>
      <c r="BG277" s="799"/>
    </row>
    <row r="278">
      <c r="H278" s="799"/>
      <c r="I278" s="799"/>
      <c r="J278" s="799"/>
      <c r="K278" s="799"/>
      <c r="L278" s="799"/>
      <c r="M278" s="799"/>
      <c r="N278" s="799"/>
      <c r="O278" s="799"/>
      <c r="P278" s="799"/>
      <c r="Q278" s="799"/>
      <c r="R278" s="799"/>
      <c r="S278" s="799"/>
      <c r="T278" s="799"/>
      <c r="U278" s="799"/>
      <c r="V278" s="799"/>
      <c r="W278" s="799"/>
      <c r="X278" s="799"/>
      <c r="Y278" s="799"/>
      <c r="Z278" s="799"/>
      <c r="AA278" s="799"/>
      <c r="AB278" s="799"/>
      <c r="AC278" s="799"/>
      <c r="AD278" s="799"/>
      <c r="AE278" s="799"/>
      <c r="AF278" s="799"/>
      <c r="AG278" s="799"/>
      <c r="AH278" s="799"/>
      <c r="AI278" s="799"/>
      <c r="AJ278" s="799"/>
      <c r="AK278" s="799"/>
      <c r="AL278" s="799"/>
      <c r="AM278" s="799"/>
      <c r="AN278" s="799"/>
      <c r="AO278" s="799"/>
      <c r="AP278" s="799"/>
      <c r="AQ278" s="799"/>
      <c r="AR278" s="799"/>
      <c r="AS278" s="799"/>
      <c r="AT278" s="799"/>
      <c r="AU278" s="799"/>
      <c r="AV278" s="799"/>
      <c r="AW278" s="799"/>
      <c r="AX278" s="799"/>
      <c r="AY278" s="799"/>
      <c r="AZ278" s="799"/>
      <c r="BA278" s="799"/>
      <c r="BB278" s="799"/>
      <c r="BC278" s="799"/>
      <c r="BD278" s="799"/>
      <c r="BE278" s="799"/>
      <c r="BF278" s="799"/>
      <c r="BG278" s="799"/>
    </row>
    <row r="279">
      <c r="H279" s="799"/>
      <c r="I279" s="799"/>
      <c r="J279" s="799"/>
      <c r="K279" s="799"/>
      <c r="L279" s="799"/>
      <c r="M279" s="799"/>
      <c r="N279" s="799"/>
      <c r="O279" s="799"/>
      <c r="P279" s="799"/>
      <c r="Q279" s="799"/>
      <c r="R279" s="799"/>
      <c r="S279" s="799"/>
      <c r="T279" s="799"/>
      <c r="U279" s="799"/>
      <c r="V279" s="799"/>
      <c r="W279" s="799"/>
      <c r="X279" s="799"/>
      <c r="Y279" s="799"/>
      <c r="Z279" s="799"/>
      <c r="AA279" s="799"/>
      <c r="AB279" s="799"/>
      <c r="AC279" s="799"/>
      <c r="AD279" s="799"/>
      <c r="AE279" s="799"/>
      <c r="AF279" s="799"/>
      <c r="AG279" s="799"/>
      <c r="AH279" s="799"/>
      <c r="AI279" s="799"/>
      <c r="AJ279" s="799"/>
      <c r="AK279" s="799"/>
      <c r="AL279" s="799"/>
      <c r="AM279" s="799"/>
      <c r="AN279" s="799"/>
      <c r="AO279" s="799"/>
      <c r="AP279" s="799"/>
      <c r="AQ279" s="799"/>
      <c r="AR279" s="799"/>
      <c r="AS279" s="799"/>
      <c r="AT279" s="799"/>
      <c r="AU279" s="799"/>
      <c r="AV279" s="799"/>
      <c r="AW279" s="799"/>
      <c r="AX279" s="799"/>
      <c r="AY279" s="799"/>
      <c r="AZ279" s="799"/>
      <c r="BA279" s="799"/>
      <c r="BB279" s="799"/>
      <c r="BC279" s="799"/>
      <c r="BD279" s="799"/>
      <c r="BE279" s="799"/>
      <c r="BF279" s="799"/>
      <c r="BG279" s="799"/>
    </row>
    <row r="280">
      <c r="H280" s="799"/>
      <c r="I280" s="799"/>
      <c r="J280" s="799"/>
      <c r="K280" s="799"/>
      <c r="L280" s="799"/>
      <c r="M280" s="799"/>
      <c r="N280" s="799"/>
      <c r="O280" s="799"/>
      <c r="P280" s="799"/>
      <c r="Q280" s="799"/>
      <c r="R280" s="799"/>
      <c r="S280" s="799"/>
      <c r="T280" s="799"/>
      <c r="U280" s="799"/>
      <c r="V280" s="799"/>
      <c r="W280" s="799"/>
      <c r="X280" s="799"/>
      <c r="Y280" s="799"/>
      <c r="Z280" s="799"/>
      <c r="AA280" s="799"/>
      <c r="AB280" s="799"/>
      <c r="AC280" s="799"/>
      <c r="AD280" s="799"/>
      <c r="AE280" s="799"/>
      <c r="AF280" s="799"/>
      <c r="AG280" s="799"/>
      <c r="AH280" s="799"/>
      <c r="AI280" s="799"/>
      <c r="AJ280" s="799"/>
      <c r="AK280" s="799"/>
      <c r="AL280" s="799"/>
      <c r="AM280" s="799"/>
      <c r="AN280" s="799"/>
      <c r="AO280" s="799"/>
      <c r="AP280" s="799"/>
      <c r="AQ280" s="799"/>
      <c r="AR280" s="799"/>
      <c r="AS280" s="799"/>
      <c r="AT280" s="799"/>
      <c r="AU280" s="799"/>
      <c r="AV280" s="799"/>
      <c r="AW280" s="799"/>
      <c r="AX280" s="799"/>
      <c r="AY280" s="799"/>
      <c r="AZ280" s="799"/>
      <c r="BA280" s="799"/>
      <c r="BB280" s="799"/>
      <c r="BC280" s="799"/>
      <c r="BD280" s="799"/>
      <c r="BE280" s="799"/>
      <c r="BF280" s="799"/>
      <c r="BG280" s="799"/>
    </row>
    <row r="281">
      <c r="H281" s="799"/>
      <c r="I281" s="799"/>
      <c r="J281" s="799"/>
      <c r="K281" s="799"/>
      <c r="L281" s="799"/>
      <c r="M281" s="799"/>
      <c r="N281" s="799"/>
      <c r="O281" s="799"/>
      <c r="P281" s="799"/>
      <c r="Q281" s="799"/>
      <c r="R281" s="799"/>
      <c r="S281" s="799"/>
      <c r="T281" s="799"/>
      <c r="U281" s="799"/>
      <c r="V281" s="799"/>
      <c r="W281" s="799"/>
      <c r="X281" s="799"/>
      <c r="Y281" s="799"/>
      <c r="Z281" s="799"/>
      <c r="AA281" s="799"/>
      <c r="AB281" s="799"/>
      <c r="AC281" s="799"/>
      <c r="AD281" s="799"/>
      <c r="AE281" s="799"/>
      <c r="AF281" s="799"/>
      <c r="AG281" s="799"/>
      <c r="AH281" s="799"/>
      <c r="AI281" s="799"/>
      <c r="AJ281" s="799"/>
      <c r="AK281" s="799"/>
      <c r="AL281" s="799"/>
      <c r="AM281" s="799"/>
      <c r="AN281" s="799"/>
      <c r="AO281" s="799"/>
      <c r="AP281" s="799"/>
      <c r="AQ281" s="799"/>
      <c r="AR281" s="799"/>
      <c r="AS281" s="799"/>
      <c r="AT281" s="799"/>
      <c r="AU281" s="799"/>
      <c r="AV281" s="799"/>
      <c r="AW281" s="799"/>
      <c r="AX281" s="799"/>
      <c r="AY281" s="799"/>
      <c r="AZ281" s="799"/>
      <c r="BA281" s="799"/>
      <c r="BB281" s="799"/>
      <c r="BC281" s="799"/>
      <c r="BD281" s="799"/>
      <c r="BE281" s="799"/>
      <c r="BF281" s="799"/>
      <c r="BG281" s="799"/>
    </row>
    <row r="282">
      <c r="H282" s="799"/>
      <c r="I282" s="799"/>
      <c r="J282" s="799"/>
      <c r="K282" s="799"/>
      <c r="L282" s="799"/>
      <c r="M282" s="799"/>
      <c r="N282" s="799"/>
      <c r="O282" s="799"/>
      <c r="P282" s="799"/>
      <c r="Q282" s="799"/>
      <c r="R282" s="799"/>
      <c r="S282" s="799"/>
      <c r="T282" s="799"/>
      <c r="U282" s="799"/>
      <c r="V282" s="799"/>
      <c r="W282" s="799"/>
      <c r="X282" s="799"/>
      <c r="Y282" s="799"/>
      <c r="Z282" s="799"/>
      <c r="AA282" s="799"/>
      <c r="AB282" s="799"/>
      <c r="AC282" s="799"/>
      <c r="AD282" s="799"/>
      <c r="AE282" s="799"/>
      <c r="AF282" s="799"/>
      <c r="AG282" s="799"/>
      <c r="AH282" s="799"/>
      <c r="AI282" s="799"/>
      <c r="AJ282" s="799"/>
      <c r="AK282" s="799"/>
      <c r="AL282" s="799"/>
      <c r="AM282" s="799"/>
      <c r="AN282" s="799"/>
      <c r="AO282" s="799"/>
      <c r="AP282" s="799"/>
      <c r="AQ282" s="799"/>
      <c r="AR282" s="799"/>
      <c r="AS282" s="799"/>
      <c r="AT282" s="799"/>
      <c r="AU282" s="799"/>
      <c r="AV282" s="799"/>
      <c r="AW282" s="799"/>
      <c r="AX282" s="799"/>
      <c r="AY282" s="799"/>
      <c r="AZ282" s="799"/>
      <c r="BA282" s="799"/>
      <c r="BB282" s="799"/>
      <c r="BC282" s="799"/>
      <c r="BD282" s="799"/>
      <c r="BE282" s="799"/>
      <c r="BF282" s="799"/>
      <c r="BG282" s="799"/>
    </row>
    <row r="283">
      <c r="H283" s="799"/>
      <c r="I283" s="799"/>
      <c r="J283" s="799"/>
      <c r="K283" s="799"/>
      <c r="L283" s="799"/>
      <c r="M283" s="799"/>
      <c r="N283" s="799"/>
      <c r="O283" s="799"/>
      <c r="P283" s="799"/>
      <c r="Q283" s="799"/>
      <c r="R283" s="799"/>
      <c r="S283" s="799"/>
      <c r="T283" s="799"/>
      <c r="U283" s="799"/>
      <c r="V283" s="799"/>
      <c r="W283" s="799"/>
      <c r="X283" s="799"/>
      <c r="Y283" s="799"/>
      <c r="Z283" s="799"/>
      <c r="AA283" s="799"/>
      <c r="AB283" s="799"/>
      <c r="AC283" s="799"/>
      <c r="AD283" s="799"/>
      <c r="AE283" s="799"/>
      <c r="AF283" s="799"/>
      <c r="AG283" s="799"/>
      <c r="AH283" s="799"/>
      <c r="AI283" s="799"/>
      <c r="AJ283" s="799"/>
      <c r="AK283" s="799"/>
      <c r="AL283" s="799"/>
      <c r="AM283" s="799"/>
      <c r="AN283" s="799"/>
      <c r="AO283" s="799"/>
      <c r="AP283" s="799"/>
      <c r="AQ283" s="799"/>
      <c r="AR283" s="799"/>
      <c r="AS283" s="799"/>
      <c r="AT283" s="799"/>
      <c r="AU283" s="799"/>
      <c r="AV283" s="799"/>
      <c r="AW283" s="799"/>
      <c r="AX283" s="799"/>
      <c r="AY283" s="799"/>
      <c r="AZ283" s="799"/>
      <c r="BA283" s="799"/>
      <c r="BB283" s="799"/>
      <c r="BC283" s="799"/>
      <c r="BD283" s="799"/>
      <c r="BE283" s="799"/>
      <c r="BF283" s="799"/>
      <c r="BG283" s="799"/>
    </row>
    <row r="284">
      <c r="H284" s="799"/>
      <c r="I284" s="799"/>
      <c r="J284" s="799"/>
      <c r="K284" s="799"/>
      <c r="L284" s="799"/>
      <c r="M284" s="799"/>
      <c r="N284" s="799"/>
      <c r="O284" s="799"/>
      <c r="P284" s="799"/>
      <c r="Q284" s="799"/>
      <c r="R284" s="799"/>
      <c r="S284" s="799"/>
      <c r="T284" s="799"/>
      <c r="U284" s="799"/>
      <c r="V284" s="799"/>
      <c r="W284" s="799"/>
      <c r="X284" s="799"/>
      <c r="Y284" s="799"/>
      <c r="Z284" s="799"/>
      <c r="AA284" s="799"/>
      <c r="AB284" s="799"/>
      <c r="AC284" s="799"/>
      <c r="AD284" s="799"/>
      <c r="AE284" s="799"/>
      <c r="AF284" s="799"/>
      <c r="AG284" s="799"/>
      <c r="AH284" s="799"/>
      <c r="AI284" s="799"/>
      <c r="AJ284" s="799"/>
      <c r="AK284" s="799"/>
      <c r="AL284" s="799"/>
      <c r="AM284" s="799"/>
      <c r="AN284" s="799"/>
      <c r="AO284" s="799"/>
      <c r="AP284" s="799"/>
      <c r="AQ284" s="799"/>
      <c r="AR284" s="799"/>
      <c r="AS284" s="799"/>
      <c r="AT284" s="799"/>
      <c r="AU284" s="799"/>
      <c r="AV284" s="799"/>
      <c r="AW284" s="799"/>
      <c r="AX284" s="799"/>
      <c r="AY284" s="799"/>
      <c r="AZ284" s="799"/>
      <c r="BA284" s="799"/>
      <c r="BB284" s="799"/>
      <c r="BC284" s="799"/>
      <c r="BD284" s="799"/>
      <c r="BE284" s="799"/>
      <c r="BF284" s="799"/>
      <c r="BG284" s="799"/>
    </row>
    <row r="285">
      <c r="H285" s="799"/>
      <c r="I285" s="799"/>
      <c r="J285" s="799"/>
      <c r="K285" s="799"/>
      <c r="L285" s="799"/>
      <c r="M285" s="799"/>
      <c r="N285" s="799"/>
      <c r="O285" s="799"/>
      <c r="P285" s="799"/>
      <c r="Q285" s="799"/>
      <c r="R285" s="799"/>
      <c r="S285" s="799"/>
      <c r="T285" s="799"/>
      <c r="U285" s="799"/>
      <c r="V285" s="799"/>
      <c r="W285" s="799"/>
      <c r="X285" s="799"/>
      <c r="Y285" s="799"/>
      <c r="Z285" s="799"/>
      <c r="AA285" s="799"/>
      <c r="AB285" s="799"/>
      <c r="AC285" s="799"/>
      <c r="AD285" s="799"/>
      <c r="AE285" s="799"/>
      <c r="AF285" s="799"/>
      <c r="AG285" s="799"/>
      <c r="AH285" s="799"/>
      <c r="AI285" s="799"/>
      <c r="AJ285" s="799"/>
      <c r="AK285" s="799"/>
      <c r="AL285" s="799"/>
      <c r="AM285" s="799"/>
      <c r="AN285" s="799"/>
      <c r="AO285" s="799"/>
      <c r="AP285" s="799"/>
      <c r="AQ285" s="799"/>
      <c r="AR285" s="799"/>
      <c r="AS285" s="799"/>
      <c r="AT285" s="799"/>
      <c r="AU285" s="799"/>
      <c r="AV285" s="799"/>
      <c r="AW285" s="799"/>
      <c r="AX285" s="799"/>
      <c r="AY285" s="799"/>
      <c r="AZ285" s="799"/>
      <c r="BA285" s="799"/>
      <c r="BB285" s="799"/>
      <c r="BC285" s="799"/>
      <c r="BD285" s="799"/>
      <c r="BE285" s="799"/>
      <c r="BF285" s="799"/>
      <c r="BG285" s="799"/>
    </row>
    <row r="286">
      <c r="H286" s="799"/>
      <c r="I286" s="799"/>
      <c r="J286" s="799"/>
      <c r="K286" s="799"/>
      <c r="L286" s="799"/>
      <c r="M286" s="799"/>
      <c r="N286" s="799"/>
      <c r="O286" s="799"/>
      <c r="P286" s="799"/>
      <c r="Q286" s="799"/>
      <c r="R286" s="799"/>
      <c r="S286" s="799"/>
      <c r="T286" s="799"/>
      <c r="U286" s="799"/>
      <c r="V286" s="799"/>
      <c r="W286" s="799"/>
      <c r="X286" s="799"/>
      <c r="Y286" s="799"/>
      <c r="Z286" s="799"/>
      <c r="AA286" s="799"/>
      <c r="AB286" s="799"/>
      <c r="AC286" s="799"/>
      <c r="AD286" s="799"/>
      <c r="AE286" s="799"/>
      <c r="AF286" s="799"/>
      <c r="AG286" s="799"/>
      <c r="AH286" s="799"/>
      <c r="AI286" s="799"/>
      <c r="AJ286" s="799"/>
      <c r="AK286" s="799"/>
      <c r="AL286" s="799"/>
      <c r="AM286" s="799"/>
      <c r="AN286" s="799"/>
      <c r="AO286" s="799"/>
      <c r="AP286" s="799"/>
      <c r="AQ286" s="799"/>
      <c r="AR286" s="799"/>
      <c r="AS286" s="799"/>
      <c r="AT286" s="799"/>
      <c r="AU286" s="799"/>
      <c r="AV286" s="799"/>
      <c r="AW286" s="799"/>
      <c r="AX286" s="799"/>
      <c r="AY286" s="799"/>
      <c r="AZ286" s="799"/>
      <c r="BA286" s="799"/>
      <c r="BB286" s="799"/>
      <c r="BC286" s="799"/>
      <c r="BD286" s="799"/>
      <c r="BE286" s="799"/>
      <c r="BF286" s="799"/>
      <c r="BG286" s="799"/>
    </row>
    <row r="287">
      <c r="H287" s="799"/>
      <c r="I287" s="799"/>
      <c r="J287" s="799"/>
      <c r="K287" s="799"/>
      <c r="L287" s="799"/>
      <c r="M287" s="799"/>
      <c r="N287" s="799"/>
      <c r="O287" s="799"/>
      <c r="P287" s="799"/>
      <c r="Q287" s="799"/>
      <c r="R287" s="799"/>
      <c r="S287" s="799"/>
      <c r="T287" s="799"/>
      <c r="U287" s="799"/>
      <c r="V287" s="799"/>
      <c r="W287" s="799"/>
      <c r="X287" s="799"/>
      <c r="Y287" s="799"/>
      <c r="Z287" s="799"/>
      <c r="AA287" s="799"/>
      <c r="AB287" s="799"/>
      <c r="AC287" s="799"/>
      <c r="AD287" s="799"/>
      <c r="AE287" s="799"/>
      <c r="AF287" s="799"/>
      <c r="AG287" s="799"/>
      <c r="AH287" s="799"/>
      <c r="AI287" s="799"/>
      <c r="AJ287" s="799"/>
      <c r="AK287" s="799"/>
      <c r="AL287" s="799"/>
      <c r="AM287" s="799"/>
      <c r="AN287" s="799"/>
      <c r="AO287" s="799"/>
      <c r="AP287" s="799"/>
      <c r="AQ287" s="799"/>
      <c r="AR287" s="799"/>
      <c r="AS287" s="799"/>
      <c r="AT287" s="799"/>
      <c r="AU287" s="799"/>
      <c r="AV287" s="799"/>
      <c r="AW287" s="799"/>
      <c r="AX287" s="799"/>
      <c r="AY287" s="799"/>
      <c r="AZ287" s="799"/>
      <c r="BA287" s="799"/>
      <c r="BB287" s="799"/>
      <c r="BC287" s="799"/>
      <c r="BD287" s="799"/>
      <c r="BE287" s="799"/>
      <c r="BF287" s="799"/>
      <c r="BG287" s="799"/>
    </row>
    <row r="288">
      <c r="H288" s="799"/>
      <c r="I288" s="799"/>
      <c r="J288" s="799"/>
      <c r="K288" s="799"/>
      <c r="L288" s="799"/>
      <c r="M288" s="799"/>
      <c r="N288" s="799"/>
      <c r="O288" s="799"/>
      <c r="P288" s="799"/>
      <c r="Q288" s="799"/>
      <c r="R288" s="799"/>
      <c r="S288" s="799"/>
      <c r="T288" s="799"/>
      <c r="U288" s="799"/>
      <c r="V288" s="799"/>
      <c r="W288" s="799"/>
      <c r="X288" s="799"/>
      <c r="Y288" s="799"/>
      <c r="Z288" s="799"/>
      <c r="AA288" s="799"/>
      <c r="AB288" s="799"/>
      <c r="AC288" s="799"/>
      <c r="AD288" s="799"/>
      <c r="AE288" s="799"/>
      <c r="AF288" s="799"/>
      <c r="AG288" s="799"/>
      <c r="AH288" s="799"/>
      <c r="AI288" s="799"/>
      <c r="AJ288" s="799"/>
      <c r="AK288" s="799"/>
      <c r="AL288" s="799"/>
      <c r="AM288" s="799"/>
      <c r="AN288" s="799"/>
      <c r="AO288" s="799"/>
      <c r="AP288" s="799"/>
      <c r="AQ288" s="799"/>
      <c r="AR288" s="799"/>
      <c r="AS288" s="799"/>
      <c r="AT288" s="799"/>
      <c r="AU288" s="799"/>
      <c r="AV288" s="799"/>
      <c r="AW288" s="799"/>
      <c r="AX288" s="799"/>
      <c r="AY288" s="799"/>
      <c r="AZ288" s="799"/>
      <c r="BA288" s="799"/>
      <c r="BB288" s="799"/>
      <c r="BC288" s="799"/>
      <c r="BD288" s="799"/>
      <c r="BE288" s="799"/>
      <c r="BF288" s="799"/>
      <c r="BG288" s="799"/>
    </row>
    <row r="289">
      <c r="H289" s="799"/>
      <c r="I289" s="799"/>
      <c r="J289" s="799"/>
      <c r="K289" s="799"/>
      <c r="L289" s="799"/>
      <c r="M289" s="799"/>
      <c r="N289" s="799"/>
      <c r="O289" s="799"/>
      <c r="P289" s="799"/>
      <c r="Q289" s="799"/>
      <c r="R289" s="799"/>
      <c r="S289" s="799"/>
      <c r="T289" s="799"/>
      <c r="U289" s="799"/>
      <c r="V289" s="799"/>
      <c r="W289" s="799"/>
      <c r="X289" s="799"/>
      <c r="Y289" s="799"/>
      <c r="Z289" s="799"/>
      <c r="AA289" s="799"/>
      <c r="AB289" s="799"/>
      <c r="AC289" s="799"/>
      <c r="AD289" s="799"/>
      <c r="AE289" s="799"/>
      <c r="AF289" s="799"/>
      <c r="AG289" s="799"/>
      <c r="AH289" s="799"/>
      <c r="AI289" s="799"/>
      <c r="AJ289" s="799"/>
      <c r="AK289" s="799"/>
      <c r="AL289" s="799"/>
      <c r="AM289" s="799"/>
      <c r="AN289" s="799"/>
      <c r="AO289" s="799"/>
      <c r="AP289" s="799"/>
      <c r="AQ289" s="799"/>
      <c r="AR289" s="799"/>
      <c r="AS289" s="799"/>
      <c r="AT289" s="799"/>
      <c r="AU289" s="799"/>
      <c r="AV289" s="799"/>
      <c r="AW289" s="799"/>
      <c r="AX289" s="799"/>
      <c r="AY289" s="799"/>
      <c r="AZ289" s="799"/>
      <c r="BA289" s="799"/>
      <c r="BB289" s="799"/>
      <c r="BC289" s="799"/>
      <c r="BD289" s="799"/>
      <c r="BE289" s="799"/>
      <c r="BF289" s="799"/>
      <c r="BG289" s="799"/>
    </row>
    <row r="290">
      <c r="H290" s="799"/>
      <c r="I290" s="799"/>
      <c r="J290" s="799"/>
      <c r="K290" s="799"/>
      <c r="L290" s="799"/>
      <c r="M290" s="799"/>
      <c r="N290" s="799"/>
      <c r="O290" s="799"/>
      <c r="P290" s="799"/>
      <c r="Q290" s="799"/>
      <c r="R290" s="799"/>
      <c r="S290" s="799"/>
      <c r="T290" s="799"/>
      <c r="U290" s="799"/>
      <c r="V290" s="799"/>
      <c r="W290" s="799"/>
      <c r="X290" s="799"/>
      <c r="Y290" s="799"/>
      <c r="Z290" s="799"/>
      <c r="AA290" s="799"/>
      <c r="AB290" s="799"/>
      <c r="AC290" s="799"/>
      <c r="AD290" s="799"/>
      <c r="AE290" s="799"/>
      <c r="AF290" s="799"/>
      <c r="AG290" s="799"/>
      <c r="AH290" s="799"/>
      <c r="AI290" s="799"/>
      <c r="AJ290" s="799"/>
      <c r="AK290" s="799"/>
      <c r="AL290" s="799"/>
      <c r="AM290" s="799"/>
      <c r="AN290" s="799"/>
      <c r="AO290" s="799"/>
      <c r="AP290" s="799"/>
      <c r="AQ290" s="799"/>
      <c r="AR290" s="799"/>
      <c r="AS290" s="799"/>
      <c r="AT290" s="799"/>
      <c r="AU290" s="799"/>
      <c r="AV290" s="799"/>
      <c r="AW290" s="799"/>
      <c r="AX290" s="799"/>
      <c r="AY290" s="799"/>
      <c r="AZ290" s="799"/>
      <c r="BA290" s="799"/>
      <c r="BB290" s="799"/>
      <c r="BC290" s="799"/>
      <c r="BD290" s="799"/>
      <c r="BE290" s="799"/>
      <c r="BF290" s="799"/>
      <c r="BG290" s="799"/>
    </row>
    <row r="291">
      <c r="H291" s="799"/>
      <c r="I291" s="799"/>
      <c r="J291" s="799"/>
      <c r="K291" s="799"/>
      <c r="L291" s="799"/>
      <c r="M291" s="799"/>
      <c r="N291" s="799"/>
      <c r="O291" s="799"/>
      <c r="P291" s="799"/>
      <c r="Q291" s="799"/>
      <c r="R291" s="799"/>
      <c r="S291" s="799"/>
      <c r="T291" s="799"/>
      <c r="U291" s="799"/>
      <c r="V291" s="799"/>
      <c r="W291" s="799"/>
      <c r="X291" s="799"/>
      <c r="Y291" s="799"/>
      <c r="Z291" s="799"/>
      <c r="AA291" s="799"/>
      <c r="AB291" s="799"/>
      <c r="AC291" s="799"/>
      <c r="AD291" s="799"/>
      <c r="AE291" s="799"/>
      <c r="AF291" s="799"/>
      <c r="AG291" s="799"/>
      <c r="AH291" s="799"/>
      <c r="AI291" s="799"/>
      <c r="AJ291" s="799"/>
      <c r="AK291" s="799"/>
      <c r="AL291" s="799"/>
      <c r="AM291" s="799"/>
      <c r="AN291" s="799"/>
      <c r="AO291" s="799"/>
      <c r="AP291" s="799"/>
      <c r="AQ291" s="799"/>
      <c r="AR291" s="799"/>
      <c r="AS291" s="799"/>
      <c r="AT291" s="799"/>
      <c r="AU291" s="799"/>
      <c r="AV291" s="799"/>
      <c r="AW291" s="799"/>
      <c r="AX291" s="799"/>
      <c r="AY291" s="799"/>
      <c r="AZ291" s="799"/>
      <c r="BA291" s="799"/>
      <c r="BB291" s="799"/>
      <c r="BC291" s="799"/>
      <c r="BD291" s="799"/>
      <c r="BE291" s="799"/>
      <c r="BF291" s="799"/>
      <c r="BG291" s="799"/>
    </row>
    <row r="292">
      <c r="H292" s="799"/>
      <c r="I292" s="799"/>
      <c r="J292" s="799"/>
      <c r="K292" s="799"/>
      <c r="L292" s="799"/>
      <c r="M292" s="799"/>
      <c r="N292" s="799"/>
      <c r="O292" s="799"/>
      <c r="P292" s="799"/>
      <c r="Q292" s="799"/>
      <c r="R292" s="799"/>
      <c r="S292" s="799"/>
      <c r="T292" s="799"/>
      <c r="U292" s="799"/>
      <c r="V292" s="799"/>
      <c r="W292" s="799"/>
      <c r="X292" s="799"/>
      <c r="Y292" s="799"/>
      <c r="Z292" s="799"/>
      <c r="AA292" s="799"/>
      <c r="AB292" s="799"/>
      <c r="AC292" s="799"/>
      <c r="AD292" s="799"/>
      <c r="AE292" s="799"/>
      <c r="AF292" s="799"/>
      <c r="AG292" s="799"/>
      <c r="AH292" s="799"/>
      <c r="AI292" s="799"/>
      <c r="AJ292" s="799"/>
      <c r="AK292" s="799"/>
      <c r="AL292" s="799"/>
      <c r="AM292" s="799"/>
      <c r="AN292" s="799"/>
      <c r="AO292" s="799"/>
      <c r="AP292" s="799"/>
      <c r="AQ292" s="799"/>
      <c r="AR292" s="799"/>
      <c r="AS292" s="799"/>
      <c r="AT292" s="799"/>
      <c r="AU292" s="799"/>
      <c r="AV292" s="799"/>
      <c r="AW292" s="799"/>
      <c r="AX292" s="799"/>
      <c r="AY292" s="799"/>
      <c r="AZ292" s="799"/>
      <c r="BA292" s="799"/>
      <c r="BB292" s="799"/>
      <c r="BC292" s="799"/>
      <c r="BD292" s="799"/>
      <c r="BE292" s="799"/>
      <c r="BF292" s="799"/>
      <c r="BG292" s="799"/>
    </row>
    <row r="293">
      <c r="H293" s="799"/>
      <c r="I293" s="799"/>
      <c r="J293" s="799"/>
      <c r="K293" s="799"/>
      <c r="L293" s="799"/>
      <c r="M293" s="799"/>
      <c r="N293" s="799"/>
      <c r="O293" s="799"/>
      <c r="P293" s="799"/>
      <c r="Q293" s="799"/>
      <c r="R293" s="799"/>
      <c r="S293" s="799"/>
      <c r="T293" s="799"/>
      <c r="U293" s="799"/>
      <c r="V293" s="799"/>
      <c r="W293" s="799"/>
      <c r="X293" s="799"/>
      <c r="Y293" s="799"/>
      <c r="Z293" s="799"/>
      <c r="AA293" s="799"/>
      <c r="AB293" s="799"/>
      <c r="AC293" s="799"/>
      <c r="AD293" s="799"/>
      <c r="AE293" s="799"/>
      <c r="AF293" s="799"/>
      <c r="AG293" s="799"/>
      <c r="AH293" s="799"/>
      <c r="AI293" s="799"/>
      <c r="AJ293" s="799"/>
      <c r="AK293" s="799"/>
      <c r="AL293" s="799"/>
      <c r="AM293" s="799"/>
      <c r="AN293" s="799"/>
      <c r="AO293" s="799"/>
      <c r="AP293" s="799"/>
      <c r="AQ293" s="799"/>
      <c r="AR293" s="799"/>
      <c r="AS293" s="799"/>
      <c r="AT293" s="799"/>
      <c r="AU293" s="799"/>
      <c r="AV293" s="799"/>
      <c r="AW293" s="799"/>
      <c r="AX293" s="799"/>
      <c r="AY293" s="799"/>
      <c r="AZ293" s="799"/>
      <c r="BA293" s="799"/>
      <c r="BB293" s="799"/>
      <c r="BC293" s="799"/>
      <c r="BD293" s="799"/>
      <c r="BE293" s="799"/>
      <c r="BF293" s="799"/>
      <c r="BG293" s="799"/>
    </row>
    <row r="294">
      <c r="H294" s="799"/>
      <c r="I294" s="799"/>
      <c r="J294" s="799"/>
      <c r="K294" s="799"/>
      <c r="L294" s="799"/>
      <c r="M294" s="799"/>
      <c r="N294" s="799"/>
      <c r="O294" s="799"/>
      <c r="P294" s="799"/>
      <c r="Q294" s="799"/>
      <c r="R294" s="799"/>
      <c r="S294" s="799"/>
      <c r="T294" s="799"/>
      <c r="U294" s="799"/>
      <c r="V294" s="799"/>
      <c r="W294" s="799"/>
      <c r="X294" s="799"/>
      <c r="Y294" s="799"/>
      <c r="Z294" s="799"/>
      <c r="AA294" s="799"/>
      <c r="AB294" s="799"/>
      <c r="AC294" s="799"/>
      <c r="AD294" s="799"/>
      <c r="AE294" s="799"/>
      <c r="AF294" s="799"/>
      <c r="AG294" s="799"/>
      <c r="AH294" s="799"/>
      <c r="AI294" s="799"/>
      <c r="AJ294" s="799"/>
      <c r="AK294" s="799"/>
      <c r="AL294" s="799"/>
      <c r="AM294" s="799"/>
      <c r="AN294" s="799"/>
      <c r="AO294" s="799"/>
      <c r="AP294" s="799"/>
      <c r="AQ294" s="799"/>
      <c r="AR294" s="799"/>
      <c r="AS294" s="799"/>
      <c r="AT294" s="799"/>
      <c r="AU294" s="799"/>
      <c r="AV294" s="799"/>
      <c r="AW294" s="799"/>
      <c r="AX294" s="799"/>
      <c r="AY294" s="799"/>
      <c r="AZ294" s="799"/>
      <c r="BA294" s="799"/>
      <c r="BB294" s="799"/>
      <c r="BC294" s="799"/>
      <c r="BD294" s="799"/>
      <c r="BE294" s="799"/>
      <c r="BF294" s="799"/>
      <c r="BG294" s="799"/>
    </row>
    <row r="295">
      <c r="H295" s="799"/>
      <c r="I295" s="799"/>
      <c r="J295" s="799"/>
      <c r="K295" s="799"/>
      <c r="L295" s="799"/>
      <c r="M295" s="799"/>
      <c r="N295" s="799"/>
      <c r="O295" s="799"/>
      <c r="P295" s="799"/>
      <c r="Q295" s="799"/>
      <c r="R295" s="799"/>
      <c r="S295" s="799"/>
      <c r="T295" s="799"/>
      <c r="U295" s="799"/>
      <c r="V295" s="799"/>
      <c r="W295" s="799"/>
      <c r="X295" s="799"/>
      <c r="Y295" s="799"/>
      <c r="Z295" s="799"/>
      <c r="AA295" s="799"/>
      <c r="AB295" s="799"/>
      <c r="AC295" s="799"/>
      <c r="AD295" s="799"/>
      <c r="AE295" s="799"/>
      <c r="AF295" s="799"/>
      <c r="AG295" s="799"/>
      <c r="AH295" s="799"/>
      <c r="AI295" s="799"/>
      <c r="AJ295" s="799"/>
      <c r="AK295" s="799"/>
      <c r="AL295" s="799"/>
      <c r="AM295" s="799"/>
      <c r="AN295" s="799"/>
      <c r="AO295" s="799"/>
      <c r="AP295" s="799"/>
      <c r="AQ295" s="799"/>
      <c r="AR295" s="799"/>
      <c r="AS295" s="799"/>
      <c r="AT295" s="799"/>
      <c r="AU295" s="799"/>
      <c r="AV295" s="799"/>
      <c r="AW295" s="799"/>
      <c r="AX295" s="799"/>
      <c r="AY295" s="799"/>
      <c r="AZ295" s="799"/>
      <c r="BA295" s="799"/>
      <c r="BB295" s="799"/>
      <c r="BC295" s="799"/>
      <c r="BD295" s="799"/>
      <c r="BE295" s="799"/>
      <c r="BF295" s="799"/>
      <c r="BG295" s="799"/>
    </row>
    <row r="296">
      <c r="H296" s="799"/>
      <c r="I296" s="799"/>
      <c r="J296" s="799"/>
      <c r="K296" s="799"/>
      <c r="L296" s="799"/>
      <c r="M296" s="799"/>
      <c r="N296" s="799"/>
      <c r="O296" s="799"/>
      <c r="P296" s="799"/>
      <c r="Q296" s="799"/>
      <c r="R296" s="799"/>
      <c r="S296" s="799"/>
      <c r="T296" s="799"/>
      <c r="U296" s="799"/>
      <c r="V296" s="799"/>
      <c r="W296" s="799"/>
      <c r="X296" s="799"/>
      <c r="Y296" s="799"/>
      <c r="Z296" s="799"/>
      <c r="AA296" s="799"/>
      <c r="AB296" s="799"/>
      <c r="AC296" s="799"/>
      <c r="AD296" s="799"/>
      <c r="AE296" s="799"/>
      <c r="AF296" s="799"/>
      <c r="AG296" s="799"/>
      <c r="AH296" s="799"/>
      <c r="AI296" s="799"/>
      <c r="AJ296" s="799"/>
      <c r="AK296" s="799"/>
      <c r="AL296" s="799"/>
      <c r="AM296" s="799"/>
      <c r="AN296" s="799"/>
      <c r="AO296" s="799"/>
      <c r="AP296" s="799"/>
      <c r="AQ296" s="799"/>
      <c r="AR296" s="799"/>
      <c r="AS296" s="799"/>
      <c r="AT296" s="799"/>
      <c r="AU296" s="799"/>
      <c r="AV296" s="799"/>
      <c r="AW296" s="799"/>
      <c r="AX296" s="799"/>
      <c r="AY296" s="799"/>
      <c r="AZ296" s="799"/>
      <c r="BA296" s="799"/>
      <c r="BB296" s="799"/>
      <c r="BC296" s="799"/>
      <c r="BD296" s="799"/>
      <c r="BE296" s="799"/>
      <c r="BF296" s="799"/>
      <c r="BG296" s="799"/>
    </row>
    <row r="297">
      <c r="H297" s="799"/>
      <c r="I297" s="799"/>
      <c r="J297" s="799"/>
      <c r="K297" s="799"/>
      <c r="L297" s="799"/>
      <c r="M297" s="799"/>
      <c r="N297" s="799"/>
      <c r="O297" s="799"/>
      <c r="P297" s="799"/>
      <c r="Q297" s="799"/>
      <c r="R297" s="799"/>
      <c r="S297" s="799"/>
      <c r="T297" s="799"/>
      <c r="U297" s="799"/>
      <c r="V297" s="799"/>
      <c r="W297" s="799"/>
      <c r="X297" s="799"/>
      <c r="Y297" s="799"/>
      <c r="Z297" s="799"/>
      <c r="AA297" s="799"/>
      <c r="AB297" s="799"/>
      <c r="AC297" s="799"/>
      <c r="AD297" s="799"/>
      <c r="AE297" s="799"/>
      <c r="AF297" s="799"/>
      <c r="AG297" s="799"/>
      <c r="AH297" s="799"/>
      <c r="AI297" s="799"/>
      <c r="AJ297" s="799"/>
      <c r="AK297" s="799"/>
      <c r="AL297" s="799"/>
      <c r="AM297" s="799"/>
      <c r="AN297" s="799"/>
      <c r="AO297" s="799"/>
      <c r="AP297" s="799"/>
      <c r="AQ297" s="799"/>
      <c r="AR297" s="799"/>
      <c r="AS297" s="799"/>
      <c r="AT297" s="799"/>
      <c r="AU297" s="799"/>
      <c r="AV297" s="799"/>
      <c r="AW297" s="799"/>
      <c r="AX297" s="799"/>
      <c r="AY297" s="799"/>
      <c r="AZ297" s="799"/>
      <c r="BA297" s="799"/>
      <c r="BB297" s="799"/>
      <c r="BC297" s="799"/>
      <c r="BD297" s="799"/>
      <c r="BE297" s="799"/>
      <c r="BF297" s="799"/>
      <c r="BG297" s="799"/>
    </row>
    <row r="298">
      <c r="H298" s="799"/>
      <c r="I298" s="799"/>
      <c r="J298" s="799"/>
      <c r="K298" s="799"/>
      <c r="L298" s="799"/>
      <c r="M298" s="799"/>
      <c r="N298" s="799"/>
      <c r="O298" s="799"/>
      <c r="P298" s="799"/>
      <c r="Q298" s="799"/>
      <c r="R298" s="799"/>
      <c r="S298" s="799"/>
      <c r="T298" s="799"/>
      <c r="U298" s="799"/>
      <c r="V298" s="799"/>
      <c r="W298" s="799"/>
      <c r="X298" s="799"/>
      <c r="Y298" s="799"/>
      <c r="Z298" s="799"/>
      <c r="AA298" s="799"/>
      <c r="AB298" s="799"/>
      <c r="AC298" s="799"/>
      <c r="AD298" s="799"/>
      <c r="AE298" s="799"/>
      <c r="AF298" s="799"/>
      <c r="AG298" s="799"/>
      <c r="AH298" s="799"/>
      <c r="AI298" s="799"/>
      <c r="AJ298" s="799"/>
      <c r="AK298" s="799"/>
      <c r="AL298" s="799"/>
      <c r="AM298" s="799"/>
      <c r="AN298" s="799"/>
      <c r="AO298" s="799"/>
      <c r="AP298" s="799"/>
      <c r="AQ298" s="799"/>
      <c r="AR298" s="799"/>
      <c r="AS298" s="799"/>
      <c r="AT298" s="799"/>
      <c r="AU298" s="799"/>
      <c r="AV298" s="799"/>
      <c r="AW298" s="799"/>
      <c r="AX298" s="799"/>
      <c r="AY298" s="799"/>
      <c r="AZ298" s="799"/>
      <c r="BA298" s="799"/>
      <c r="BB298" s="799"/>
      <c r="BC298" s="799"/>
      <c r="BD298" s="799"/>
      <c r="BE298" s="799"/>
      <c r="BF298" s="799"/>
      <c r="BG298" s="799"/>
    </row>
    <row r="299">
      <c r="H299" s="799"/>
      <c r="I299" s="799"/>
      <c r="J299" s="799"/>
      <c r="K299" s="799"/>
      <c r="L299" s="799"/>
      <c r="M299" s="799"/>
      <c r="N299" s="799"/>
      <c r="O299" s="799"/>
      <c r="P299" s="799"/>
      <c r="Q299" s="799"/>
      <c r="R299" s="799"/>
      <c r="S299" s="799"/>
      <c r="T299" s="799"/>
      <c r="U299" s="799"/>
      <c r="V299" s="799"/>
      <c r="W299" s="799"/>
      <c r="X299" s="799"/>
      <c r="Y299" s="799"/>
      <c r="Z299" s="799"/>
      <c r="AA299" s="799"/>
      <c r="AB299" s="799"/>
      <c r="AC299" s="799"/>
      <c r="AD299" s="799"/>
      <c r="AE299" s="799"/>
      <c r="AF299" s="799"/>
      <c r="AG299" s="799"/>
      <c r="AH299" s="799"/>
      <c r="AI299" s="799"/>
      <c r="AJ299" s="799"/>
      <c r="AK299" s="799"/>
      <c r="AL299" s="799"/>
      <c r="AM299" s="799"/>
      <c r="AN299" s="799"/>
      <c r="AO299" s="799"/>
      <c r="AP299" s="799"/>
      <c r="AQ299" s="799"/>
      <c r="AR299" s="799"/>
      <c r="AS299" s="799"/>
      <c r="AT299" s="799"/>
      <c r="AU299" s="799"/>
      <c r="AV299" s="799"/>
      <c r="AW299" s="799"/>
      <c r="AX299" s="799"/>
      <c r="AY299" s="799"/>
      <c r="AZ299" s="799"/>
      <c r="BA299" s="799"/>
      <c r="BB299" s="799"/>
      <c r="BC299" s="799"/>
      <c r="BD299" s="799"/>
      <c r="BE299" s="799"/>
      <c r="BF299" s="799"/>
      <c r="BG299" s="799"/>
    </row>
    <row r="300">
      <c r="H300" s="799"/>
      <c r="I300" s="799"/>
      <c r="J300" s="799"/>
      <c r="K300" s="799"/>
      <c r="L300" s="799"/>
      <c r="M300" s="799"/>
      <c r="N300" s="799"/>
      <c r="O300" s="799"/>
      <c r="P300" s="799"/>
      <c r="Q300" s="799"/>
      <c r="R300" s="799"/>
      <c r="S300" s="799"/>
      <c r="T300" s="799"/>
      <c r="U300" s="799"/>
      <c r="V300" s="799"/>
      <c r="W300" s="799"/>
      <c r="X300" s="799"/>
      <c r="Y300" s="799"/>
      <c r="Z300" s="799"/>
      <c r="AA300" s="799"/>
      <c r="AB300" s="799"/>
      <c r="AC300" s="799"/>
      <c r="AD300" s="799"/>
      <c r="AE300" s="799"/>
      <c r="AF300" s="799"/>
      <c r="AG300" s="799"/>
      <c r="AH300" s="799"/>
      <c r="AI300" s="799"/>
      <c r="AJ300" s="799"/>
      <c r="AK300" s="799"/>
      <c r="AL300" s="799"/>
      <c r="AM300" s="799"/>
      <c r="AN300" s="799"/>
      <c r="AO300" s="799"/>
      <c r="AP300" s="799"/>
      <c r="AQ300" s="799"/>
      <c r="AR300" s="799"/>
      <c r="AS300" s="799"/>
      <c r="AT300" s="799"/>
      <c r="AU300" s="799"/>
      <c r="AV300" s="799"/>
      <c r="AW300" s="799"/>
      <c r="AX300" s="799"/>
      <c r="AY300" s="799"/>
      <c r="AZ300" s="799"/>
      <c r="BA300" s="799"/>
      <c r="BB300" s="799"/>
      <c r="BC300" s="799"/>
      <c r="BD300" s="799"/>
      <c r="BE300" s="799"/>
      <c r="BF300" s="799"/>
      <c r="BG300" s="799"/>
    </row>
    <row r="301">
      <c r="H301" s="799"/>
      <c r="I301" s="799"/>
      <c r="J301" s="799"/>
      <c r="K301" s="799"/>
      <c r="L301" s="799"/>
      <c r="M301" s="799"/>
      <c r="N301" s="799"/>
      <c r="O301" s="799"/>
      <c r="P301" s="799"/>
      <c r="Q301" s="799"/>
      <c r="R301" s="799"/>
      <c r="S301" s="799"/>
      <c r="T301" s="799"/>
      <c r="U301" s="799"/>
      <c r="V301" s="799"/>
      <c r="W301" s="799"/>
      <c r="X301" s="799"/>
      <c r="Y301" s="799"/>
      <c r="Z301" s="799"/>
      <c r="AA301" s="799"/>
      <c r="AB301" s="799"/>
      <c r="AC301" s="799"/>
      <c r="AD301" s="799"/>
      <c r="AE301" s="799"/>
      <c r="AF301" s="799"/>
      <c r="AG301" s="799"/>
      <c r="AH301" s="799"/>
      <c r="AI301" s="799"/>
      <c r="AJ301" s="799"/>
      <c r="AK301" s="799"/>
      <c r="AL301" s="799"/>
      <c r="AM301" s="799"/>
      <c r="AN301" s="799"/>
      <c r="AO301" s="799"/>
      <c r="AP301" s="799"/>
      <c r="AQ301" s="799"/>
      <c r="AR301" s="799"/>
      <c r="AS301" s="799"/>
      <c r="AT301" s="799"/>
      <c r="AU301" s="799"/>
      <c r="AV301" s="799"/>
      <c r="AW301" s="799"/>
      <c r="AX301" s="799"/>
      <c r="AY301" s="799"/>
      <c r="AZ301" s="799"/>
      <c r="BA301" s="799"/>
      <c r="BB301" s="799"/>
      <c r="BC301" s="799"/>
      <c r="BD301" s="799"/>
      <c r="BE301" s="799"/>
      <c r="BF301" s="799"/>
      <c r="BG301" s="799"/>
    </row>
    <row r="302">
      <c r="H302" s="799"/>
      <c r="I302" s="799"/>
      <c r="J302" s="799"/>
      <c r="K302" s="799"/>
      <c r="L302" s="799"/>
      <c r="M302" s="799"/>
      <c r="N302" s="799"/>
      <c r="O302" s="799"/>
      <c r="P302" s="799"/>
      <c r="Q302" s="799"/>
      <c r="R302" s="799"/>
      <c r="S302" s="799"/>
      <c r="T302" s="799"/>
      <c r="U302" s="799"/>
      <c r="V302" s="799"/>
      <c r="W302" s="799"/>
      <c r="X302" s="799"/>
      <c r="Y302" s="799"/>
      <c r="Z302" s="799"/>
      <c r="AA302" s="799"/>
      <c r="AB302" s="799"/>
      <c r="AC302" s="799"/>
      <c r="AD302" s="799"/>
      <c r="AE302" s="799"/>
      <c r="AF302" s="799"/>
      <c r="AG302" s="799"/>
      <c r="AH302" s="799"/>
      <c r="AI302" s="799"/>
      <c r="AJ302" s="799"/>
      <c r="AK302" s="799"/>
      <c r="AL302" s="799"/>
      <c r="AM302" s="799"/>
      <c r="AN302" s="799"/>
      <c r="AO302" s="799"/>
      <c r="AP302" s="799"/>
      <c r="AQ302" s="799"/>
      <c r="AR302" s="799"/>
      <c r="AS302" s="799"/>
      <c r="AT302" s="799"/>
      <c r="AU302" s="799"/>
      <c r="AV302" s="799"/>
      <c r="AW302" s="799"/>
      <c r="AX302" s="799"/>
      <c r="AY302" s="799"/>
      <c r="AZ302" s="799"/>
      <c r="BA302" s="799"/>
      <c r="BB302" s="799"/>
      <c r="BC302" s="799"/>
      <c r="BD302" s="799"/>
      <c r="BE302" s="799"/>
      <c r="BF302" s="799"/>
      <c r="BG302" s="799"/>
    </row>
    <row r="303">
      <c r="H303" s="799"/>
      <c r="I303" s="799"/>
      <c r="J303" s="799"/>
      <c r="K303" s="799"/>
      <c r="L303" s="799"/>
      <c r="M303" s="799"/>
      <c r="N303" s="799"/>
      <c r="O303" s="799"/>
      <c r="P303" s="799"/>
      <c r="Q303" s="799"/>
      <c r="R303" s="799"/>
      <c r="S303" s="799"/>
      <c r="T303" s="799"/>
      <c r="U303" s="799"/>
      <c r="V303" s="799"/>
      <c r="W303" s="799"/>
      <c r="X303" s="799"/>
      <c r="Y303" s="799"/>
      <c r="Z303" s="799"/>
      <c r="AA303" s="799"/>
      <c r="AB303" s="799"/>
      <c r="AC303" s="799"/>
      <c r="AD303" s="799"/>
      <c r="AE303" s="799"/>
      <c r="AF303" s="799"/>
      <c r="AG303" s="799"/>
      <c r="AH303" s="799"/>
      <c r="AI303" s="799"/>
      <c r="AJ303" s="799"/>
      <c r="AK303" s="799"/>
      <c r="AL303" s="799"/>
      <c r="AM303" s="799"/>
      <c r="AN303" s="799"/>
      <c r="AO303" s="799"/>
      <c r="AP303" s="799"/>
      <c r="AQ303" s="799"/>
      <c r="AR303" s="799"/>
      <c r="AS303" s="799"/>
      <c r="AT303" s="799"/>
      <c r="AU303" s="799"/>
      <c r="AV303" s="799"/>
      <c r="AW303" s="799"/>
      <c r="AX303" s="799"/>
      <c r="AY303" s="799"/>
      <c r="AZ303" s="799"/>
      <c r="BA303" s="799"/>
      <c r="BB303" s="799"/>
      <c r="BC303" s="799"/>
      <c r="BD303" s="799"/>
      <c r="BE303" s="799"/>
      <c r="BF303" s="799"/>
      <c r="BG303" s="799"/>
    </row>
    <row r="304">
      <c r="H304" s="799"/>
      <c r="I304" s="799"/>
      <c r="J304" s="799"/>
      <c r="K304" s="799"/>
      <c r="L304" s="799"/>
      <c r="M304" s="799"/>
      <c r="N304" s="799"/>
      <c r="O304" s="799"/>
      <c r="P304" s="799"/>
      <c r="Q304" s="799"/>
      <c r="R304" s="799"/>
      <c r="S304" s="799"/>
      <c r="T304" s="799"/>
      <c r="U304" s="799"/>
      <c r="V304" s="799"/>
      <c r="W304" s="799"/>
      <c r="X304" s="799"/>
      <c r="Y304" s="799"/>
      <c r="Z304" s="799"/>
      <c r="AA304" s="799"/>
      <c r="AB304" s="799"/>
      <c r="AC304" s="799"/>
      <c r="AD304" s="799"/>
      <c r="AE304" s="799"/>
      <c r="AF304" s="799"/>
      <c r="AG304" s="799"/>
      <c r="AH304" s="799"/>
      <c r="AI304" s="799"/>
      <c r="AJ304" s="799"/>
      <c r="AK304" s="799"/>
      <c r="AL304" s="799"/>
      <c r="AM304" s="799"/>
      <c r="AN304" s="799"/>
      <c r="AO304" s="799"/>
      <c r="AP304" s="799"/>
      <c r="AQ304" s="799"/>
      <c r="AR304" s="799"/>
      <c r="AS304" s="799"/>
      <c r="AT304" s="799"/>
      <c r="AU304" s="799"/>
      <c r="AV304" s="799"/>
      <c r="AW304" s="799"/>
      <c r="AX304" s="799"/>
      <c r="AY304" s="799"/>
      <c r="AZ304" s="799"/>
      <c r="BA304" s="799"/>
      <c r="BB304" s="799"/>
      <c r="BC304" s="799"/>
      <c r="BD304" s="799"/>
      <c r="BE304" s="799"/>
      <c r="BF304" s="799"/>
      <c r="BG304" s="799"/>
    </row>
    <row r="305">
      <c r="H305" s="799"/>
      <c r="I305" s="799"/>
      <c r="J305" s="799"/>
      <c r="K305" s="799"/>
      <c r="L305" s="799"/>
      <c r="M305" s="799"/>
      <c r="N305" s="799"/>
      <c r="O305" s="799"/>
      <c r="P305" s="799"/>
      <c r="Q305" s="799"/>
      <c r="R305" s="799"/>
      <c r="S305" s="799"/>
      <c r="T305" s="799"/>
      <c r="U305" s="799"/>
      <c r="V305" s="799"/>
      <c r="W305" s="799"/>
      <c r="X305" s="799"/>
      <c r="Y305" s="799"/>
      <c r="Z305" s="799"/>
      <c r="AA305" s="799"/>
      <c r="AB305" s="799"/>
      <c r="AC305" s="799"/>
      <c r="AD305" s="799"/>
      <c r="AE305" s="799"/>
      <c r="AF305" s="799"/>
      <c r="AG305" s="799"/>
      <c r="AH305" s="799"/>
      <c r="AI305" s="799"/>
      <c r="AJ305" s="799"/>
      <c r="AK305" s="799"/>
      <c r="AL305" s="799"/>
      <c r="AM305" s="799"/>
      <c r="AN305" s="799"/>
      <c r="AO305" s="799"/>
      <c r="AP305" s="799"/>
      <c r="AQ305" s="799"/>
      <c r="AR305" s="799"/>
      <c r="AS305" s="799"/>
      <c r="AT305" s="799"/>
      <c r="AU305" s="799"/>
      <c r="AV305" s="799"/>
      <c r="AW305" s="799"/>
      <c r="AX305" s="799"/>
      <c r="AY305" s="799"/>
      <c r="AZ305" s="799"/>
      <c r="BA305" s="799"/>
      <c r="BB305" s="799"/>
      <c r="BC305" s="799"/>
      <c r="BD305" s="799"/>
      <c r="BE305" s="799"/>
      <c r="BF305" s="799"/>
      <c r="BG305" s="799"/>
    </row>
    <row r="306">
      <c r="H306" s="799"/>
      <c r="I306" s="799"/>
      <c r="J306" s="799"/>
      <c r="K306" s="799"/>
      <c r="L306" s="799"/>
      <c r="M306" s="799"/>
      <c r="N306" s="799"/>
      <c r="O306" s="799"/>
      <c r="P306" s="799"/>
      <c r="Q306" s="799"/>
      <c r="R306" s="799"/>
      <c r="S306" s="799"/>
      <c r="T306" s="799"/>
      <c r="U306" s="799"/>
      <c r="V306" s="799"/>
      <c r="W306" s="799"/>
      <c r="X306" s="799"/>
      <c r="Y306" s="799"/>
      <c r="Z306" s="799"/>
      <c r="AA306" s="799"/>
      <c r="AB306" s="799"/>
      <c r="AC306" s="799"/>
      <c r="AD306" s="799"/>
      <c r="AE306" s="799"/>
      <c r="AF306" s="799"/>
      <c r="AG306" s="799"/>
      <c r="AH306" s="799"/>
      <c r="AI306" s="799"/>
      <c r="AJ306" s="799"/>
      <c r="AK306" s="799"/>
      <c r="AL306" s="799"/>
      <c r="AM306" s="799"/>
      <c r="AN306" s="799"/>
      <c r="AO306" s="799"/>
      <c r="AP306" s="799"/>
      <c r="AQ306" s="799"/>
      <c r="AR306" s="799"/>
      <c r="AS306" s="799"/>
      <c r="AT306" s="799"/>
      <c r="AU306" s="799"/>
      <c r="AV306" s="799"/>
      <c r="AW306" s="799"/>
      <c r="AX306" s="799"/>
      <c r="AY306" s="799"/>
      <c r="AZ306" s="799"/>
      <c r="BA306" s="799"/>
      <c r="BB306" s="799"/>
      <c r="BC306" s="799"/>
      <c r="BD306" s="799"/>
      <c r="BE306" s="799"/>
      <c r="BF306" s="799"/>
      <c r="BG306" s="799"/>
    </row>
    <row r="307">
      <c r="H307" s="799"/>
      <c r="I307" s="799"/>
      <c r="J307" s="799"/>
      <c r="K307" s="799"/>
      <c r="L307" s="799"/>
      <c r="M307" s="799"/>
      <c r="N307" s="799"/>
      <c r="O307" s="799"/>
      <c r="P307" s="799"/>
      <c r="Q307" s="799"/>
      <c r="R307" s="799"/>
      <c r="S307" s="799"/>
      <c r="T307" s="799"/>
      <c r="U307" s="799"/>
      <c r="V307" s="799"/>
      <c r="W307" s="799"/>
      <c r="X307" s="799"/>
      <c r="Y307" s="799"/>
      <c r="Z307" s="799"/>
      <c r="AA307" s="799"/>
      <c r="AB307" s="799"/>
      <c r="AC307" s="799"/>
      <c r="AD307" s="799"/>
      <c r="AE307" s="799"/>
      <c r="AF307" s="799"/>
      <c r="AG307" s="799"/>
      <c r="AH307" s="799"/>
      <c r="AI307" s="799"/>
      <c r="AJ307" s="799"/>
      <c r="AK307" s="799"/>
      <c r="AL307" s="799"/>
      <c r="AM307" s="799"/>
      <c r="AN307" s="799"/>
      <c r="AO307" s="799"/>
      <c r="AP307" s="799"/>
      <c r="AQ307" s="799"/>
      <c r="AR307" s="799"/>
      <c r="AS307" s="799"/>
      <c r="AT307" s="799"/>
      <c r="AU307" s="799"/>
      <c r="AV307" s="799"/>
      <c r="AW307" s="799"/>
      <c r="AX307" s="799"/>
      <c r="AY307" s="799"/>
      <c r="AZ307" s="799"/>
      <c r="BA307" s="799"/>
      <c r="BB307" s="799"/>
      <c r="BC307" s="799"/>
      <c r="BD307" s="799"/>
      <c r="BE307" s="799"/>
      <c r="BF307" s="799"/>
      <c r="BG307" s="799"/>
    </row>
    <row r="308">
      <c r="H308" s="799"/>
      <c r="I308" s="799"/>
      <c r="J308" s="799"/>
      <c r="K308" s="799"/>
      <c r="L308" s="799"/>
      <c r="M308" s="799"/>
      <c r="N308" s="799"/>
      <c r="O308" s="799"/>
      <c r="P308" s="799"/>
      <c r="Q308" s="799"/>
      <c r="R308" s="799"/>
      <c r="S308" s="799"/>
      <c r="T308" s="799"/>
      <c r="U308" s="799"/>
      <c r="V308" s="799"/>
      <c r="W308" s="799"/>
      <c r="X308" s="799"/>
      <c r="Y308" s="799"/>
      <c r="Z308" s="799"/>
      <c r="AA308" s="799"/>
      <c r="AB308" s="799"/>
      <c r="AC308" s="799"/>
      <c r="AD308" s="799"/>
      <c r="AE308" s="799"/>
      <c r="AF308" s="799"/>
      <c r="AG308" s="799"/>
      <c r="AH308" s="799"/>
      <c r="AI308" s="799"/>
      <c r="AJ308" s="799"/>
      <c r="AK308" s="799"/>
      <c r="AL308" s="799"/>
      <c r="AM308" s="799"/>
      <c r="AN308" s="799"/>
      <c r="AO308" s="799"/>
      <c r="AP308" s="799"/>
      <c r="AQ308" s="799"/>
      <c r="AR308" s="799"/>
      <c r="AS308" s="799"/>
      <c r="AT308" s="799"/>
      <c r="AU308" s="799"/>
      <c r="AV308" s="799"/>
      <c r="AW308" s="799"/>
      <c r="AX308" s="799"/>
      <c r="AY308" s="799"/>
      <c r="AZ308" s="799"/>
      <c r="BA308" s="799"/>
      <c r="BB308" s="799"/>
      <c r="BC308" s="799"/>
      <c r="BD308" s="799"/>
      <c r="BE308" s="799"/>
      <c r="BF308" s="799"/>
      <c r="BG308" s="799"/>
    </row>
    <row r="309">
      <c r="H309" s="799"/>
      <c r="I309" s="799"/>
      <c r="J309" s="799"/>
      <c r="K309" s="799"/>
      <c r="L309" s="799"/>
      <c r="M309" s="799"/>
      <c r="N309" s="799"/>
      <c r="O309" s="799"/>
      <c r="P309" s="799"/>
      <c r="Q309" s="799"/>
      <c r="R309" s="799"/>
      <c r="S309" s="799"/>
      <c r="T309" s="799"/>
      <c r="U309" s="799"/>
      <c r="V309" s="799"/>
      <c r="W309" s="799"/>
      <c r="X309" s="799"/>
      <c r="Y309" s="799"/>
      <c r="Z309" s="799"/>
      <c r="AA309" s="799"/>
      <c r="AB309" s="799"/>
      <c r="AC309" s="799"/>
      <c r="AD309" s="799"/>
      <c r="AE309" s="799"/>
      <c r="AF309" s="799"/>
      <c r="AG309" s="799"/>
      <c r="AH309" s="799"/>
      <c r="AI309" s="799"/>
      <c r="AJ309" s="799"/>
      <c r="AK309" s="799"/>
      <c r="AL309" s="799"/>
      <c r="AM309" s="799"/>
      <c r="AN309" s="799"/>
      <c r="AO309" s="799"/>
      <c r="AP309" s="799"/>
      <c r="AQ309" s="799"/>
      <c r="AR309" s="799"/>
      <c r="AS309" s="799"/>
      <c r="AT309" s="799"/>
      <c r="AU309" s="799"/>
      <c r="AV309" s="799"/>
      <c r="AW309" s="799"/>
      <c r="AX309" s="799"/>
      <c r="AY309" s="799"/>
      <c r="AZ309" s="799"/>
      <c r="BA309" s="799"/>
      <c r="BB309" s="799"/>
      <c r="BC309" s="799"/>
      <c r="BD309" s="799"/>
      <c r="BE309" s="799"/>
      <c r="BF309" s="799"/>
      <c r="BG309" s="799"/>
    </row>
    <row r="310">
      <c r="H310" s="799"/>
      <c r="I310" s="799"/>
      <c r="J310" s="799"/>
      <c r="K310" s="799"/>
      <c r="L310" s="799"/>
      <c r="M310" s="799"/>
      <c r="N310" s="799"/>
      <c r="O310" s="799"/>
      <c r="P310" s="799"/>
      <c r="Q310" s="799"/>
      <c r="R310" s="799"/>
      <c r="S310" s="799"/>
      <c r="T310" s="799"/>
      <c r="U310" s="799"/>
      <c r="V310" s="799"/>
      <c r="W310" s="799"/>
      <c r="X310" s="799"/>
      <c r="Y310" s="799"/>
      <c r="Z310" s="799"/>
      <c r="AA310" s="799"/>
      <c r="AB310" s="799"/>
      <c r="AC310" s="799"/>
      <c r="AD310" s="799"/>
      <c r="AE310" s="799"/>
      <c r="AF310" s="799"/>
      <c r="AG310" s="799"/>
      <c r="AH310" s="799"/>
      <c r="AI310" s="799"/>
      <c r="AJ310" s="799"/>
      <c r="AK310" s="799"/>
      <c r="AL310" s="799"/>
      <c r="AM310" s="799"/>
      <c r="AN310" s="799"/>
      <c r="AO310" s="799"/>
      <c r="AP310" s="799"/>
      <c r="AQ310" s="799"/>
      <c r="AR310" s="799"/>
      <c r="AS310" s="799"/>
      <c r="AT310" s="799"/>
      <c r="AU310" s="799"/>
      <c r="AV310" s="799"/>
      <c r="AW310" s="799"/>
      <c r="AX310" s="799"/>
      <c r="AY310" s="799"/>
      <c r="AZ310" s="799"/>
      <c r="BA310" s="799"/>
      <c r="BB310" s="799"/>
      <c r="BC310" s="799"/>
      <c r="BD310" s="799"/>
      <c r="BE310" s="799"/>
      <c r="BF310" s="799"/>
      <c r="BG310" s="799"/>
    </row>
    <row r="311">
      <c r="H311" s="799"/>
      <c r="I311" s="799"/>
      <c r="J311" s="799"/>
      <c r="K311" s="799"/>
      <c r="L311" s="799"/>
      <c r="M311" s="799"/>
      <c r="N311" s="799"/>
      <c r="O311" s="799"/>
      <c r="P311" s="799"/>
      <c r="Q311" s="799"/>
      <c r="R311" s="799"/>
      <c r="S311" s="799"/>
      <c r="T311" s="799"/>
      <c r="U311" s="799"/>
      <c r="V311" s="799"/>
      <c r="W311" s="799"/>
      <c r="X311" s="799"/>
      <c r="Y311" s="799"/>
      <c r="Z311" s="799"/>
      <c r="AA311" s="799"/>
      <c r="AB311" s="799"/>
      <c r="AC311" s="799"/>
      <c r="AD311" s="799"/>
      <c r="AE311" s="799"/>
      <c r="AF311" s="799"/>
      <c r="AG311" s="799"/>
      <c r="AH311" s="799"/>
      <c r="AI311" s="799"/>
      <c r="AJ311" s="799"/>
      <c r="AK311" s="799"/>
      <c r="AL311" s="799"/>
      <c r="AM311" s="799"/>
      <c r="AN311" s="799"/>
      <c r="AO311" s="799"/>
      <c r="AP311" s="799"/>
      <c r="AQ311" s="799"/>
      <c r="AR311" s="799"/>
      <c r="AS311" s="799"/>
      <c r="AT311" s="799"/>
      <c r="AU311" s="799"/>
      <c r="AV311" s="799"/>
      <c r="AW311" s="799"/>
      <c r="AX311" s="799"/>
      <c r="AY311" s="799"/>
      <c r="AZ311" s="799"/>
      <c r="BA311" s="799"/>
      <c r="BB311" s="799"/>
      <c r="BC311" s="799"/>
      <c r="BD311" s="799"/>
      <c r="BE311" s="799"/>
      <c r="BF311" s="799"/>
      <c r="BG311" s="799"/>
    </row>
    <row r="312">
      <c r="H312" s="799"/>
      <c r="I312" s="799"/>
      <c r="J312" s="799"/>
      <c r="K312" s="799"/>
      <c r="L312" s="799"/>
      <c r="M312" s="799"/>
      <c r="N312" s="799"/>
      <c r="O312" s="799"/>
      <c r="P312" s="799"/>
      <c r="Q312" s="799"/>
      <c r="R312" s="799"/>
      <c r="S312" s="799"/>
      <c r="T312" s="799"/>
      <c r="U312" s="799"/>
      <c r="V312" s="799"/>
      <c r="W312" s="799"/>
      <c r="X312" s="799"/>
      <c r="Y312" s="799"/>
      <c r="Z312" s="799"/>
      <c r="AA312" s="799"/>
      <c r="AB312" s="799"/>
      <c r="AC312" s="799"/>
      <c r="AD312" s="799"/>
      <c r="AE312" s="799"/>
      <c r="AF312" s="799"/>
      <c r="AG312" s="799"/>
      <c r="AH312" s="799"/>
      <c r="AI312" s="799"/>
      <c r="AJ312" s="799"/>
      <c r="AK312" s="799"/>
      <c r="AL312" s="799"/>
      <c r="AM312" s="799"/>
      <c r="AN312" s="799"/>
      <c r="AO312" s="799"/>
      <c r="AP312" s="799"/>
      <c r="AQ312" s="799"/>
      <c r="AR312" s="799"/>
      <c r="AS312" s="799"/>
      <c r="AT312" s="799"/>
      <c r="AU312" s="799"/>
      <c r="AV312" s="799"/>
      <c r="AW312" s="799"/>
      <c r="AX312" s="799"/>
      <c r="AY312" s="799"/>
      <c r="AZ312" s="799"/>
      <c r="BA312" s="799"/>
      <c r="BB312" s="799"/>
      <c r="BC312" s="799"/>
      <c r="BD312" s="799"/>
      <c r="BE312" s="799"/>
      <c r="BF312" s="799"/>
      <c r="BG312" s="799"/>
    </row>
    <row r="313">
      <c r="H313" s="799"/>
      <c r="I313" s="799"/>
      <c r="J313" s="799"/>
      <c r="K313" s="799"/>
      <c r="L313" s="799"/>
      <c r="M313" s="799"/>
      <c r="N313" s="799"/>
      <c r="O313" s="799"/>
      <c r="P313" s="799"/>
      <c r="Q313" s="799"/>
      <c r="R313" s="799"/>
      <c r="S313" s="799"/>
      <c r="T313" s="799"/>
      <c r="U313" s="799"/>
      <c r="V313" s="799"/>
      <c r="W313" s="799"/>
      <c r="X313" s="799"/>
      <c r="Y313" s="799"/>
      <c r="Z313" s="799"/>
      <c r="AA313" s="799"/>
      <c r="AB313" s="799"/>
      <c r="AC313" s="799"/>
      <c r="AD313" s="799"/>
      <c r="AE313" s="799"/>
      <c r="AF313" s="799"/>
      <c r="AG313" s="799"/>
      <c r="AH313" s="799"/>
      <c r="AI313" s="799"/>
      <c r="AJ313" s="799"/>
      <c r="AK313" s="799"/>
      <c r="AL313" s="799"/>
      <c r="AM313" s="799"/>
      <c r="AN313" s="799"/>
      <c r="AO313" s="799"/>
      <c r="AP313" s="799"/>
      <c r="AQ313" s="799"/>
      <c r="AR313" s="799"/>
      <c r="AS313" s="799"/>
      <c r="AT313" s="799"/>
      <c r="AU313" s="799"/>
      <c r="AV313" s="799"/>
      <c r="AW313" s="799"/>
      <c r="AX313" s="799"/>
      <c r="AY313" s="799"/>
      <c r="AZ313" s="799"/>
      <c r="BA313" s="799"/>
      <c r="BB313" s="799"/>
      <c r="BC313" s="799"/>
      <c r="BD313" s="799"/>
      <c r="BE313" s="799"/>
      <c r="BF313" s="799"/>
      <c r="BG313" s="799"/>
    </row>
    <row r="314">
      <c r="H314" s="799"/>
      <c r="I314" s="799"/>
      <c r="J314" s="799"/>
      <c r="K314" s="799"/>
      <c r="L314" s="799"/>
      <c r="M314" s="799"/>
      <c r="N314" s="799"/>
      <c r="O314" s="799"/>
      <c r="P314" s="799"/>
      <c r="Q314" s="799"/>
      <c r="R314" s="799"/>
      <c r="S314" s="799"/>
      <c r="T314" s="799"/>
      <c r="U314" s="799"/>
      <c r="V314" s="799"/>
      <c r="W314" s="799"/>
      <c r="X314" s="799"/>
      <c r="Y314" s="799"/>
      <c r="Z314" s="799"/>
      <c r="AA314" s="799"/>
      <c r="AB314" s="799"/>
      <c r="AC314" s="799"/>
      <c r="AD314" s="799"/>
      <c r="AE314" s="799"/>
      <c r="AF314" s="799"/>
      <c r="AG314" s="799"/>
      <c r="AH314" s="799"/>
      <c r="AI314" s="799"/>
      <c r="AJ314" s="799"/>
      <c r="AK314" s="799"/>
      <c r="AL314" s="799"/>
      <c r="AM314" s="799"/>
      <c r="AN314" s="799"/>
      <c r="AO314" s="799"/>
      <c r="AP314" s="799"/>
      <c r="AQ314" s="799"/>
      <c r="AR314" s="799"/>
      <c r="AS314" s="799"/>
      <c r="AT314" s="799"/>
      <c r="AU314" s="799"/>
      <c r="AV314" s="799"/>
      <c r="AW314" s="799"/>
      <c r="AX314" s="799"/>
      <c r="AY314" s="799"/>
      <c r="AZ314" s="799"/>
      <c r="BA314" s="799"/>
      <c r="BB314" s="799"/>
      <c r="BC314" s="799"/>
      <c r="BD314" s="799"/>
      <c r="BE314" s="799"/>
      <c r="BF314" s="799"/>
      <c r="BG314" s="799"/>
    </row>
    <row r="315">
      <c r="H315" s="799"/>
      <c r="I315" s="799"/>
      <c r="J315" s="799"/>
      <c r="K315" s="799"/>
      <c r="L315" s="799"/>
      <c r="M315" s="799"/>
      <c r="N315" s="799"/>
      <c r="O315" s="799"/>
      <c r="P315" s="799"/>
      <c r="Q315" s="799"/>
      <c r="R315" s="799"/>
      <c r="S315" s="799"/>
      <c r="T315" s="799"/>
      <c r="U315" s="799"/>
      <c r="V315" s="799"/>
      <c r="W315" s="799"/>
      <c r="X315" s="799"/>
      <c r="Y315" s="799"/>
      <c r="Z315" s="799"/>
      <c r="AA315" s="799"/>
      <c r="AB315" s="799"/>
      <c r="AC315" s="799"/>
      <c r="AD315" s="799"/>
      <c r="AE315" s="799"/>
      <c r="AF315" s="799"/>
      <c r="AG315" s="799"/>
      <c r="AH315" s="799"/>
      <c r="AI315" s="799"/>
      <c r="AJ315" s="799"/>
      <c r="AK315" s="799"/>
      <c r="AL315" s="799"/>
      <c r="AM315" s="799"/>
      <c r="AN315" s="799"/>
      <c r="AO315" s="799"/>
      <c r="AP315" s="799"/>
      <c r="AQ315" s="799"/>
      <c r="AR315" s="799"/>
      <c r="AS315" s="799"/>
      <c r="AT315" s="799"/>
      <c r="AU315" s="799"/>
      <c r="AV315" s="799"/>
      <c r="AW315" s="799"/>
      <c r="AX315" s="799"/>
      <c r="AY315" s="799"/>
      <c r="AZ315" s="799"/>
      <c r="BA315" s="799"/>
      <c r="BB315" s="799"/>
      <c r="BC315" s="799"/>
      <c r="BD315" s="799"/>
      <c r="BE315" s="799"/>
      <c r="BF315" s="799"/>
      <c r="BG315" s="799"/>
    </row>
    <row r="316">
      <c r="H316" s="799"/>
      <c r="I316" s="799"/>
      <c r="J316" s="799"/>
      <c r="K316" s="799"/>
      <c r="L316" s="799"/>
      <c r="M316" s="799"/>
      <c r="N316" s="799"/>
      <c r="O316" s="799"/>
      <c r="P316" s="799"/>
      <c r="Q316" s="799"/>
      <c r="R316" s="799"/>
      <c r="S316" s="799"/>
      <c r="T316" s="799"/>
      <c r="U316" s="799"/>
      <c r="V316" s="799"/>
      <c r="W316" s="799"/>
      <c r="X316" s="799"/>
      <c r="Y316" s="799"/>
      <c r="Z316" s="799"/>
      <c r="AA316" s="799"/>
      <c r="AB316" s="799"/>
      <c r="AC316" s="799"/>
      <c r="AD316" s="799"/>
      <c r="AE316" s="799"/>
      <c r="AF316" s="799"/>
      <c r="AG316" s="799"/>
      <c r="AH316" s="799"/>
      <c r="AI316" s="799"/>
      <c r="AJ316" s="799"/>
      <c r="AK316" s="799"/>
      <c r="AL316" s="799"/>
      <c r="AM316" s="799"/>
      <c r="AN316" s="799"/>
      <c r="AO316" s="799"/>
      <c r="AP316" s="799"/>
      <c r="AQ316" s="799"/>
      <c r="AR316" s="799"/>
      <c r="AS316" s="799"/>
      <c r="AT316" s="799"/>
      <c r="AU316" s="799"/>
      <c r="AV316" s="799"/>
      <c r="AW316" s="799"/>
      <c r="AX316" s="799"/>
      <c r="AY316" s="799"/>
      <c r="AZ316" s="799"/>
      <c r="BA316" s="799"/>
      <c r="BB316" s="799"/>
      <c r="BC316" s="799"/>
      <c r="BD316" s="799"/>
      <c r="BE316" s="799"/>
      <c r="BF316" s="799"/>
      <c r="BG316" s="799"/>
    </row>
    <row r="317">
      <c r="H317" s="799"/>
      <c r="I317" s="799"/>
      <c r="J317" s="799"/>
      <c r="K317" s="799"/>
      <c r="L317" s="799"/>
      <c r="M317" s="799"/>
      <c r="N317" s="799"/>
      <c r="O317" s="799"/>
      <c r="P317" s="799"/>
      <c r="Q317" s="799"/>
      <c r="R317" s="799"/>
      <c r="S317" s="799"/>
      <c r="T317" s="799"/>
      <c r="U317" s="799"/>
      <c r="V317" s="799"/>
      <c r="W317" s="799"/>
      <c r="X317" s="799"/>
      <c r="Y317" s="799"/>
      <c r="Z317" s="799"/>
      <c r="AA317" s="799"/>
      <c r="AB317" s="799"/>
      <c r="AC317" s="799"/>
      <c r="AD317" s="799"/>
      <c r="AE317" s="799"/>
      <c r="AF317" s="799"/>
      <c r="AG317" s="799"/>
      <c r="AH317" s="799"/>
      <c r="AI317" s="799"/>
      <c r="AJ317" s="799"/>
      <c r="AK317" s="799"/>
      <c r="AL317" s="799"/>
      <c r="AM317" s="799"/>
      <c r="AN317" s="799"/>
      <c r="AO317" s="799"/>
      <c r="AP317" s="799"/>
      <c r="AQ317" s="799"/>
      <c r="AR317" s="799"/>
      <c r="AS317" s="799"/>
      <c r="AT317" s="799"/>
      <c r="AU317" s="799"/>
      <c r="AV317" s="799"/>
      <c r="AW317" s="799"/>
      <c r="AX317" s="799"/>
      <c r="AY317" s="799"/>
      <c r="AZ317" s="799"/>
      <c r="BA317" s="799"/>
      <c r="BB317" s="799"/>
      <c r="BC317" s="799"/>
      <c r="BD317" s="799"/>
      <c r="BE317" s="799"/>
      <c r="BF317" s="799"/>
      <c r="BG317" s="799"/>
    </row>
    <row r="318">
      <c r="H318" s="799"/>
      <c r="I318" s="799"/>
      <c r="J318" s="799"/>
      <c r="K318" s="799"/>
      <c r="L318" s="799"/>
      <c r="M318" s="799"/>
      <c r="N318" s="799"/>
      <c r="O318" s="799"/>
      <c r="P318" s="799"/>
      <c r="Q318" s="799"/>
      <c r="R318" s="799"/>
      <c r="S318" s="799"/>
      <c r="T318" s="799"/>
      <c r="U318" s="799"/>
      <c r="V318" s="799"/>
      <c r="W318" s="799"/>
      <c r="X318" s="799"/>
      <c r="Y318" s="799"/>
      <c r="Z318" s="799"/>
      <c r="AA318" s="799"/>
      <c r="AB318" s="799"/>
      <c r="AC318" s="799"/>
      <c r="AD318" s="799"/>
      <c r="AE318" s="799"/>
      <c r="AF318" s="799"/>
      <c r="AG318" s="799"/>
      <c r="AH318" s="799"/>
      <c r="AI318" s="799"/>
      <c r="AJ318" s="799"/>
      <c r="AK318" s="799"/>
      <c r="AL318" s="799"/>
      <c r="AM318" s="799"/>
      <c r="AN318" s="799"/>
      <c r="AO318" s="799"/>
      <c r="AP318" s="799"/>
      <c r="AQ318" s="799"/>
      <c r="AR318" s="799"/>
      <c r="AS318" s="799"/>
      <c r="AT318" s="799"/>
      <c r="AU318" s="799"/>
      <c r="AV318" s="799"/>
      <c r="AW318" s="799"/>
      <c r="AX318" s="799"/>
      <c r="AY318" s="799"/>
      <c r="AZ318" s="799"/>
      <c r="BA318" s="799"/>
      <c r="BB318" s="799"/>
      <c r="BC318" s="799"/>
      <c r="BD318" s="799"/>
      <c r="BE318" s="799"/>
      <c r="BF318" s="799"/>
      <c r="BG318" s="799"/>
    </row>
    <row r="319">
      <c r="H319" s="799"/>
      <c r="I319" s="799"/>
      <c r="J319" s="799"/>
      <c r="K319" s="799"/>
      <c r="L319" s="799"/>
      <c r="M319" s="799"/>
      <c r="N319" s="799"/>
      <c r="O319" s="799"/>
      <c r="P319" s="799"/>
      <c r="Q319" s="799"/>
      <c r="R319" s="799"/>
      <c r="S319" s="799"/>
      <c r="T319" s="799"/>
      <c r="U319" s="799"/>
      <c r="V319" s="799"/>
      <c r="W319" s="799"/>
      <c r="X319" s="799"/>
      <c r="Y319" s="799"/>
      <c r="Z319" s="799"/>
      <c r="AA319" s="799"/>
      <c r="AB319" s="799"/>
      <c r="AC319" s="799"/>
      <c r="AD319" s="799"/>
      <c r="AE319" s="799"/>
      <c r="AF319" s="799"/>
      <c r="AG319" s="799"/>
      <c r="AH319" s="799"/>
      <c r="AI319" s="799"/>
      <c r="AJ319" s="799"/>
      <c r="AK319" s="799"/>
      <c r="AL319" s="799"/>
      <c r="AM319" s="799"/>
      <c r="AN319" s="799"/>
      <c r="AO319" s="799"/>
      <c r="AP319" s="799"/>
      <c r="AQ319" s="799"/>
      <c r="AR319" s="799"/>
      <c r="AS319" s="799"/>
      <c r="AT319" s="799"/>
      <c r="AU319" s="799"/>
      <c r="AV319" s="799"/>
      <c r="AW319" s="799"/>
      <c r="AX319" s="799"/>
      <c r="AY319" s="799"/>
      <c r="AZ319" s="799"/>
      <c r="BA319" s="799"/>
      <c r="BB319" s="799"/>
      <c r="BC319" s="799"/>
      <c r="BD319" s="799"/>
      <c r="BE319" s="799"/>
      <c r="BF319" s="799"/>
      <c r="BG319" s="799"/>
    </row>
    <row r="320">
      <c r="H320" s="799"/>
      <c r="I320" s="799"/>
      <c r="J320" s="799"/>
      <c r="K320" s="799"/>
      <c r="L320" s="799"/>
      <c r="M320" s="799"/>
      <c r="N320" s="799"/>
      <c r="O320" s="799"/>
      <c r="P320" s="799"/>
      <c r="Q320" s="799"/>
      <c r="R320" s="799"/>
      <c r="S320" s="799"/>
      <c r="T320" s="799"/>
      <c r="U320" s="799"/>
      <c r="V320" s="799"/>
      <c r="W320" s="799"/>
      <c r="X320" s="799"/>
      <c r="Y320" s="799"/>
      <c r="Z320" s="799"/>
      <c r="AA320" s="799"/>
      <c r="AB320" s="799"/>
      <c r="AC320" s="799"/>
      <c r="AD320" s="799"/>
      <c r="AE320" s="799"/>
      <c r="AF320" s="799"/>
      <c r="AG320" s="799"/>
      <c r="AH320" s="799"/>
      <c r="AI320" s="799"/>
      <c r="AJ320" s="799"/>
      <c r="AK320" s="799"/>
      <c r="AL320" s="799"/>
      <c r="AM320" s="799"/>
      <c r="AN320" s="799"/>
      <c r="AO320" s="799"/>
      <c r="AP320" s="799"/>
      <c r="AQ320" s="799"/>
      <c r="AR320" s="799"/>
      <c r="AS320" s="799"/>
      <c r="AT320" s="799"/>
      <c r="AU320" s="799"/>
      <c r="AV320" s="799"/>
      <c r="AW320" s="799"/>
      <c r="AX320" s="799"/>
      <c r="AY320" s="799"/>
      <c r="AZ320" s="799"/>
      <c r="BA320" s="799"/>
      <c r="BB320" s="799"/>
      <c r="BC320" s="799"/>
      <c r="BD320" s="799"/>
      <c r="BE320" s="799"/>
      <c r="BF320" s="799"/>
      <c r="BG320" s="799"/>
    </row>
    <row r="321">
      <c r="H321" s="799"/>
      <c r="I321" s="799"/>
      <c r="J321" s="799"/>
      <c r="K321" s="799"/>
      <c r="L321" s="799"/>
      <c r="M321" s="799"/>
      <c r="N321" s="799"/>
      <c r="O321" s="799"/>
      <c r="P321" s="799"/>
      <c r="Q321" s="799"/>
      <c r="R321" s="799"/>
      <c r="S321" s="799"/>
      <c r="T321" s="799"/>
      <c r="U321" s="799"/>
      <c r="V321" s="799"/>
      <c r="W321" s="799"/>
      <c r="X321" s="799"/>
      <c r="Y321" s="799"/>
      <c r="Z321" s="799"/>
      <c r="AA321" s="799"/>
      <c r="AB321" s="799"/>
      <c r="AC321" s="799"/>
      <c r="AD321" s="799"/>
      <c r="AE321" s="799"/>
      <c r="AF321" s="799"/>
      <c r="AG321" s="799"/>
      <c r="AH321" s="799"/>
      <c r="AI321" s="799"/>
      <c r="AJ321" s="799"/>
      <c r="AK321" s="799"/>
      <c r="AL321" s="799"/>
      <c r="AM321" s="799"/>
      <c r="AN321" s="799"/>
      <c r="AO321" s="799"/>
      <c r="AP321" s="799"/>
      <c r="AQ321" s="799"/>
      <c r="AR321" s="799"/>
      <c r="AS321" s="799"/>
      <c r="AT321" s="799"/>
      <c r="AU321" s="799"/>
      <c r="AV321" s="799"/>
      <c r="AW321" s="799"/>
      <c r="AX321" s="799"/>
      <c r="AY321" s="799"/>
      <c r="AZ321" s="799"/>
      <c r="BA321" s="799"/>
      <c r="BB321" s="799"/>
      <c r="BC321" s="799"/>
      <c r="BD321" s="799"/>
      <c r="BE321" s="799"/>
      <c r="BF321" s="799"/>
      <c r="BG321" s="799"/>
    </row>
    <row r="322">
      <c r="H322" s="799"/>
      <c r="I322" s="799"/>
      <c r="J322" s="799"/>
      <c r="K322" s="799"/>
      <c r="L322" s="799"/>
      <c r="M322" s="799"/>
      <c r="N322" s="799"/>
      <c r="O322" s="799"/>
      <c r="P322" s="799"/>
      <c r="Q322" s="799"/>
      <c r="R322" s="799"/>
      <c r="S322" s="799"/>
      <c r="T322" s="799"/>
      <c r="U322" s="799"/>
      <c r="V322" s="799"/>
      <c r="W322" s="799"/>
      <c r="X322" s="799"/>
      <c r="Y322" s="799"/>
      <c r="Z322" s="799"/>
      <c r="AA322" s="799"/>
      <c r="AB322" s="799"/>
      <c r="AC322" s="799"/>
      <c r="AD322" s="799"/>
      <c r="AE322" s="799"/>
      <c r="AF322" s="799"/>
      <c r="AG322" s="799"/>
      <c r="AH322" s="799"/>
      <c r="AI322" s="799"/>
      <c r="AJ322" s="799"/>
      <c r="AK322" s="799"/>
      <c r="AL322" s="799"/>
      <c r="AM322" s="799"/>
      <c r="AN322" s="799"/>
      <c r="AO322" s="799"/>
      <c r="AP322" s="799"/>
      <c r="AQ322" s="799"/>
      <c r="AR322" s="799"/>
      <c r="AS322" s="799"/>
      <c r="AT322" s="799"/>
      <c r="AU322" s="799"/>
      <c r="AV322" s="799"/>
      <c r="AW322" s="799"/>
      <c r="AX322" s="799"/>
      <c r="AY322" s="799"/>
      <c r="AZ322" s="799"/>
      <c r="BA322" s="799"/>
      <c r="BB322" s="799"/>
      <c r="BC322" s="799"/>
      <c r="BD322" s="799"/>
      <c r="BE322" s="799"/>
      <c r="BF322" s="799"/>
      <c r="BG322" s="799"/>
    </row>
    <row r="323">
      <c r="H323" s="799"/>
      <c r="I323" s="799"/>
      <c r="J323" s="799"/>
      <c r="K323" s="799"/>
      <c r="L323" s="799"/>
      <c r="M323" s="799"/>
      <c r="N323" s="799"/>
      <c r="O323" s="799"/>
      <c r="P323" s="799"/>
      <c r="Q323" s="799"/>
      <c r="R323" s="799"/>
      <c r="S323" s="799"/>
      <c r="T323" s="799"/>
      <c r="U323" s="799"/>
      <c r="V323" s="799"/>
      <c r="W323" s="799"/>
      <c r="X323" s="799"/>
      <c r="Y323" s="799"/>
      <c r="Z323" s="799"/>
      <c r="AA323" s="799"/>
      <c r="AB323" s="799"/>
      <c r="AC323" s="799"/>
      <c r="AD323" s="799"/>
      <c r="AE323" s="799"/>
      <c r="AF323" s="799"/>
      <c r="AG323" s="799"/>
      <c r="AH323" s="799"/>
      <c r="AI323" s="799"/>
      <c r="AJ323" s="799"/>
      <c r="AK323" s="799"/>
      <c r="AL323" s="799"/>
      <c r="AM323" s="799"/>
      <c r="AN323" s="799"/>
      <c r="AO323" s="799"/>
      <c r="AP323" s="799"/>
      <c r="AQ323" s="799"/>
      <c r="AR323" s="799"/>
      <c r="AS323" s="799"/>
      <c r="AT323" s="799"/>
      <c r="AU323" s="799"/>
      <c r="AV323" s="799"/>
      <c r="AW323" s="799"/>
      <c r="AX323" s="799"/>
      <c r="AY323" s="799"/>
      <c r="AZ323" s="799"/>
      <c r="BA323" s="799"/>
      <c r="BB323" s="799"/>
      <c r="BC323" s="799"/>
      <c r="BD323" s="799"/>
      <c r="BE323" s="799"/>
      <c r="BF323" s="799"/>
      <c r="BG323" s="799"/>
    </row>
    <row r="324">
      <c r="H324" s="799"/>
      <c r="I324" s="799"/>
      <c r="J324" s="799"/>
      <c r="K324" s="799"/>
      <c r="L324" s="799"/>
      <c r="M324" s="799"/>
      <c r="N324" s="799"/>
      <c r="O324" s="799"/>
      <c r="P324" s="799"/>
      <c r="Q324" s="799"/>
      <c r="R324" s="799"/>
      <c r="S324" s="799"/>
      <c r="T324" s="799"/>
      <c r="U324" s="799"/>
      <c r="V324" s="799"/>
      <c r="W324" s="799"/>
      <c r="X324" s="799"/>
      <c r="Y324" s="799"/>
      <c r="Z324" s="799"/>
      <c r="AA324" s="799"/>
      <c r="AB324" s="799"/>
      <c r="AC324" s="799"/>
      <c r="AD324" s="799"/>
      <c r="AE324" s="799"/>
      <c r="AF324" s="799"/>
      <c r="AG324" s="799"/>
      <c r="AH324" s="799"/>
      <c r="AI324" s="799"/>
      <c r="AJ324" s="799"/>
      <c r="AK324" s="799"/>
      <c r="AL324" s="799"/>
      <c r="AM324" s="799"/>
      <c r="AN324" s="799"/>
      <c r="AO324" s="799"/>
      <c r="AP324" s="799"/>
      <c r="AQ324" s="799"/>
      <c r="AR324" s="799"/>
      <c r="AS324" s="799"/>
      <c r="AT324" s="799"/>
      <c r="AU324" s="799"/>
      <c r="AV324" s="799"/>
      <c r="AW324" s="799"/>
      <c r="AX324" s="799"/>
      <c r="AY324" s="799"/>
      <c r="AZ324" s="799"/>
      <c r="BA324" s="799"/>
      <c r="BB324" s="799"/>
      <c r="BC324" s="799"/>
      <c r="BD324" s="799"/>
      <c r="BE324" s="799"/>
      <c r="BF324" s="799"/>
      <c r="BG324" s="799"/>
    </row>
    <row r="325">
      <c r="H325" s="799"/>
      <c r="I325" s="799"/>
      <c r="J325" s="799"/>
      <c r="K325" s="799"/>
      <c r="L325" s="799"/>
      <c r="M325" s="799"/>
      <c r="N325" s="799"/>
      <c r="O325" s="799"/>
      <c r="P325" s="799"/>
      <c r="Q325" s="799"/>
      <c r="R325" s="799"/>
      <c r="S325" s="799"/>
      <c r="T325" s="799"/>
      <c r="U325" s="799"/>
      <c r="V325" s="799"/>
      <c r="W325" s="799"/>
      <c r="X325" s="799"/>
      <c r="Y325" s="799"/>
      <c r="Z325" s="799"/>
      <c r="AA325" s="799"/>
      <c r="AB325" s="799"/>
      <c r="AC325" s="799"/>
      <c r="AD325" s="799"/>
      <c r="AE325" s="799"/>
      <c r="AF325" s="799"/>
      <c r="AG325" s="799"/>
      <c r="AH325" s="799"/>
      <c r="AI325" s="799"/>
      <c r="AJ325" s="799"/>
      <c r="AK325" s="799"/>
      <c r="AL325" s="799"/>
      <c r="AM325" s="799"/>
      <c r="AN325" s="799"/>
      <c r="AO325" s="799"/>
      <c r="AP325" s="799"/>
      <c r="AQ325" s="799"/>
      <c r="AR325" s="799"/>
      <c r="AS325" s="799"/>
      <c r="AT325" s="799"/>
      <c r="AU325" s="799"/>
      <c r="AV325" s="799"/>
      <c r="AW325" s="799"/>
      <c r="AX325" s="799"/>
      <c r="AY325" s="799"/>
      <c r="AZ325" s="799"/>
      <c r="BA325" s="799"/>
      <c r="BB325" s="799"/>
      <c r="BC325" s="799"/>
      <c r="BD325" s="799"/>
      <c r="BE325" s="799"/>
      <c r="BF325" s="799"/>
      <c r="BG325" s="799"/>
    </row>
    <row r="326">
      <c r="H326" s="799"/>
      <c r="I326" s="799"/>
      <c r="J326" s="799"/>
      <c r="K326" s="799"/>
      <c r="L326" s="799"/>
      <c r="M326" s="799"/>
      <c r="N326" s="799"/>
      <c r="O326" s="799"/>
      <c r="P326" s="799"/>
      <c r="Q326" s="799"/>
      <c r="R326" s="799"/>
      <c r="S326" s="799"/>
      <c r="T326" s="799"/>
      <c r="U326" s="799"/>
      <c r="V326" s="799"/>
      <c r="W326" s="799"/>
      <c r="X326" s="799"/>
      <c r="Y326" s="799"/>
      <c r="Z326" s="799"/>
      <c r="AA326" s="799"/>
      <c r="AB326" s="799"/>
      <c r="AC326" s="799"/>
      <c r="AD326" s="799"/>
      <c r="AE326" s="799"/>
      <c r="AF326" s="799"/>
      <c r="AG326" s="799"/>
      <c r="AH326" s="799"/>
      <c r="AI326" s="799"/>
      <c r="AJ326" s="799"/>
      <c r="AK326" s="799"/>
      <c r="AL326" s="799"/>
      <c r="AM326" s="799"/>
      <c r="AN326" s="799"/>
      <c r="AO326" s="799"/>
      <c r="AP326" s="799"/>
      <c r="AQ326" s="799"/>
      <c r="AR326" s="799"/>
      <c r="AS326" s="799"/>
      <c r="AT326" s="799"/>
      <c r="AU326" s="799"/>
      <c r="AV326" s="799"/>
      <c r="AW326" s="799"/>
      <c r="AX326" s="799"/>
      <c r="AY326" s="799"/>
      <c r="AZ326" s="799"/>
      <c r="BA326" s="799"/>
      <c r="BB326" s="799"/>
      <c r="BC326" s="799"/>
      <c r="BD326" s="799"/>
      <c r="BE326" s="799"/>
      <c r="BF326" s="799"/>
      <c r="BG326" s="799"/>
    </row>
    <row r="327">
      <c r="H327" s="799"/>
      <c r="I327" s="799"/>
      <c r="J327" s="799"/>
      <c r="K327" s="799"/>
      <c r="L327" s="799"/>
      <c r="M327" s="799"/>
      <c r="N327" s="799"/>
      <c r="O327" s="799"/>
      <c r="P327" s="799"/>
      <c r="Q327" s="799"/>
      <c r="R327" s="799"/>
      <c r="S327" s="799"/>
      <c r="T327" s="799"/>
      <c r="U327" s="799"/>
      <c r="V327" s="799"/>
      <c r="W327" s="799"/>
      <c r="X327" s="799"/>
      <c r="Y327" s="799"/>
      <c r="Z327" s="799"/>
      <c r="AA327" s="799"/>
      <c r="AB327" s="799"/>
      <c r="AC327" s="799"/>
      <c r="AD327" s="799"/>
      <c r="AE327" s="799"/>
      <c r="AF327" s="799"/>
      <c r="AG327" s="799"/>
      <c r="AH327" s="799"/>
      <c r="AI327" s="799"/>
      <c r="AJ327" s="799"/>
      <c r="AK327" s="799"/>
      <c r="AL327" s="799"/>
      <c r="AM327" s="799"/>
      <c r="AN327" s="799"/>
      <c r="AO327" s="799"/>
      <c r="AP327" s="799"/>
      <c r="AQ327" s="799"/>
      <c r="AR327" s="799"/>
      <c r="AS327" s="799"/>
      <c r="AT327" s="799"/>
      <c r="AU327" s="799"/>
      <c r="AV327" s="799"/>
      <c r="AW327" s="799"/>
      <c r="AX327" s="799"/>
      <c r="AY327" s="799"/>
      <c r="AZ327" s="799"/>
      <c r="BA327" s="799"/>
      <c r="BB327" s="799"/>
      <c r="BC327" s="799"/>
      <c r="BD327" s="799"/>
      <c r="BE327" s="799"/>
      <c r="BF327" s="799"/>
      <c r="BG327" s="799"/>
    </row>
    <row r="328">
      <c r="H328" s="799"/>
      <c r="I328" s="799"/>
      <c r="J328" s="799"/>
      <c r="K328" s="799"/>
      <c r="L328" s="799"/>
      <c r="M328" s="799"/>
      <c r="N328" s="799"/>
      <c r="O328" s="799"/>
      <c r="P328" s="799"/>
      <c r="Q328" s="799"/>
      <c r="R328" s="799"/>
      <c r="S328" s="799"/>
      <c r="T328" s="799"/>
      <c r="U328" s="799"/>
      <c r="V328" s="799"/>
      <c r="W328" s="799"/>
      <c r="X328" s="799"/>
      <c r="Y328" s="799"/>
      <c r="Z328" s="799"/>
      <c r="AA328" s="799"/>
      <c r="AB328" s="799"/>
      <c r="AC328" s="799"/>
      <c r="AD328" s="799"/>
      <c r="AE328" s="799"/>
      <c r="AF328" s="799"/>
      <c r="AG328" s="799"/>
      <c r="AH328" s="799"/>
      <c r="AI328" s="799"/>
      <c r="AJ328" s="799"/>
      <c r="AK328" s="799"/>
      <c r="AL328" s="799"/>
      <c r="AM328" s="799"/>
      <c r="AN328" s="799"/>
      <c r="AO328" s="799"/>
      <c r="AP328" s="799"/>
      <c r="AQ328" s="799"/>
      <c r="AR328" s="799"/>
      <c r="AS328" s="799"/>
      <c r="AT328" s="799"/>
      <c r="AU328" s="799"/>
      <c r="AV328" s="799"/>
      <c r="AW328" s="799"/>
      <c r="AX328" s="799"/>
      <c r="AY328" s="799"/>
      <c r="AZ328" s="799"/>
      <c r="BA328" s="799"/>
      <c r="BB328" s="799"/>
      <c r="BC328" s="799"/>
      <c r="BD328" s="799"/>
      <c r="BE328" s="799"/>
      <c r="BF328" s="799"/>
      <c r="BG328" s="799"/>
    </row>
    <row r="329">
      <c r="H329" s="799"/>
      <c r="I329" s="799"/>
      <c r="J329" s="799"/>
      <c r="K329" s="799"/>
      <c r="L329" s="799"/>
      <c r="M329" s="799"/>
      <c r="N329" s="799"/>
      <c r="O329" s="799"/>
      <c r="P329" s="799"/>
      <c r="Q329" s="799"/>
      <c r="R329" s="799"/>
      <c r="S329" s="799"/>
      <c r="T329" s="799"/>
      <c r="U329" s="799"/>
      <c r="V329" s="799"/>
      <c r="W329" s="799"/>
      <c r="X329" s="799"/>
      <c r="Y329" s="799"/>
      <c r="Z329" s="799"/>
      <c r="AA329" s="799"/>
      <c r="AB329" s="799"/>
      <c r="AC329" s="799"/>
      <c r="AD329" s="799"/>
      <c r="AE329" s="799"/>
      <c r="AF329" s="799"/>
      <c r="AG329" s="799"/>
      <c r="AH329" s="799"/>
      <c r="AI329" s="799"/>
      <c r="AJ329" s="799"/>
      <c r="AK329" s="799"/>
      <c r="AL329" s="799"/>
      <c r="AM329" s="799"/>
      <c r="AN329" s="799"/>
      <c r="AO329" s="799"/>
      <c r="AP329" s="799"/>
      <c r="AQ329" s="799"/>
      <c r="AR329" s="799"/>
      <c r="AS329" s="799"/>
      <c r="AT329" s="799"/>
      <c r="AU329" s="799"/>
      <c r="AV329" s="799"/>
      <c r="AW329" s="799"/>
      <c r="AX329" s="799"/>
      <c r="AY329" s="799"/>
      <c r="AZ329" s="799"/>
      <c r="BA329" s="799"/>
      <c r="BB329" s="799"/>
      <c r="BC329" s="799"/>
      <c r="BD329" s="799"/>
      <c r="BE329" s="799"/>
      <c r="BF329" s="799"/>
      <c r="BG329" s="799"/>
    </row>
    <row r="330">
      <c r="H330" s="799"/>
      <c r="I330" s="799"/>
      <c r="J330" s="799"/>
      <c r="K330" s="799"/>
      <c r="L330" s="799"/>
      <c r="M330" s="799"/>
      <c r="N330" s="799"/>
      <c r="O330" s="799"/>
      <c r="P330" s="799"/>
      <c r="Q330" s="799"/>
      <c r="R330" s="799"/>
      <c r="S330" s="799"/>
      <c r="T330" s="799"/>
      <c r="U330" s="799"/>
      <c r="V330" s="799"/>
      <c r="W330" s="799"/>
      <c r="X330" s="799"/>
      <c r="Y330" s="799"/>
      <c r="Z330" s="799"/>
      <c r="AA330" s="799"/>
      <c r="AB330" s="799"/>
      <c r="AC330" s="799"/>
      <c r="AD330" s="799"/>
      <c r="AE330" s="799"/>
      <c r="AF330" s="799"/>
      <c r="AG330" s="799"/>
      <c r="AH330" s="799"/>
      <c r="AI330" s="799"/>
      <c r="AJ330" s="799"/>
      <c r="AK330" s="799"/>
      <c r="AL330" s="799"/>
      <c r="AM330" s="799"/>
      <c r="AN330" s="799"/>
      <c r="AO330" s="799"/>
      <c r="AP330" s="799"/>
      <c r="AQ330" s="799"/>
      <c r="AR330" s="799"/>
      <c r="AS330" s="799"/>
      <c r="AT330" s="799"/>
      <c r="AU330" s="799"/>
      <c r="AV330" s="799"/>
      <c r="AW330" s="799"/>
      <c r="AX330" s="799"/>
      <c r="AY330" s="799"/>
      <c r="AZ330" s="799"/>
      <c r="BA330" s="799"/>
      <c r="BB330" s="799"/>
      <c r="BC330" s="799"/>
      <c r="BD330" s="799"/>
      <c r="BE330" s="799"/>
      <c r="BF330" s="799"/>
      <c r="BG330" s="799"/>
    </row>
    <row r="331">
      <c r="H331" s="799"/>
      <c r="I331" s="799"/>
      <c r="J331" s="799"/>
      <c r="K331" s="799"/>
      <c r="L331" s="799"/>
      <c r="M331" s="799"/>
      <c r="N331" s="799"/>
      <c r="O331" s="799"/>
      <c r="P331" s="799"/>
      <c r="Q331" s="799"/>
      <c r="R331" s="799"/>
      <c r="S331" s="799"/>
      <c r="T331" s="799"/>
      <c r="U331" s="799"/>
      <c r="V331" s="799"/>
      <c r="W331" s="799"/>
      <c r="X331" s="799"/>
      <c r="Y331" s="799"/>
      <c r="Z331" s="799"/>
      <c r="AA331" s="799"/>
      <c r="AB331" s="799"/>
      <c r="AC331" s="799"/>
      <c r="AD331" s="799"/>
      <c r="AE331" s="799"/>
      <c r="AF331" s="799"/>
      <c r="AG331" s="799"/>
      <c r="AH331" s="799"/>
      <c r="AI331" s="799"/>
      <c r="AJ331" s="799"/>
      <c r="AK331" s="799"/>
      <c r="AL331" s="799"/>
      <c r="AM331" s="799"/>
      <c r="AN331" s="799"/>
      <c r="AO331" s="799"/>
      <c r="AP331" s="799"/>
      <c r="AQ331" s="799"/>
      <c r="AR331" s="799"/>
      <c r="AS331" s="799"/>
      <c r="AT331" s="799"/>
      <c r="AU331" s="799"/>
      <c r="AV331" s="799"/>
      <c r="AW331" s="799"/>
      <c r="AX331" s="799"/>
      <c r="AY331" s="799"/>
      <c r="AZ331" s="799"/>
      <c r="BA331" s="799"/>
      <c r="BB331" s="799"/>
      <c r="BC331" s="799"/>
      <c r="BD331" s="799"/>
      <c r="BE331" s="799"/>
      <c r="BF331" s="799"/>
      <c r="BG331" s="799"/>
    </row>
    <row r="332">
      <c r="H332" s="799"/>
      <c r="I332" s="799"/>
      <c r="J332" s="799"/>
      <c r="K332" s="799"/>
      <c r="L332" s="799"/>
      <c r="M332" s="799"/>
      <c r="N332" s="799"/>
      <c r="O332" s="799"/>
      <c r="P332" s="799"/>
      <c r="Q332" s="799"/>
      <c r="R332" s="799"/>
      <c r="S332" s="799"/>
      <c r="T332" s="799"/>
      <c r="U332" s="799"/>
      <c r="V332" s="799"/>
      <c r="W332" s="799"/>
      <c r="X332" s="799"/>
      <c r="Y332" s="799"/>
      <c r="Z332" s="799"/>
      <c r="AA332" s="799"/>
      <c r="AB332" s="799"/>
      <c r="AC332" s="799"/>
      <c r="AD332" s="799"/>
      <c r="AE332" s="799"/>
      <c r="AF332" s="799"/>
      <c r="AG332" s="799"/>
      <c r="AH332" s="799"/>
      <c r="AI332" s="799"/>
      <c r="AJ332" s="799"/>
      <c r="AK332" s="799"/>
      <c r="AL332" s="799"/>
      <c r="AM332" s="799"/>
      <c r="AN332" s="799"/>
      <c r="AO332" s="799"/>
      <c r="AP332" s="799"/>
      <c r="AQ332" s="799"/>
      <c r="AR332" s="799"/>
      <c r="AS332" s="799"/>
      <c r="AT332" s="799"/>
      <c r="AU332" s="799"/>
      <c r="AV332" s="799"/>
      <c r="AW332" s="799"/>
      <c r="AX332" s="799"/>
      <c r="AY332" s="799"/>
      <c r="AZ332" s="799"/>
      <c r="BA332" s="799"/>
      <c r="BB332" s="799"/>
      <c r="BC332" s="799"/>
      <c r="BD332" s="799"/>
      <c r="BE332" s="799"/>
      <c r="BF332" s="799"/>
      <c r="BG332" s="799"/>
    </row>
    <row r="333">
      <c r="H333" s="799"/>
      <c r="I333" s="799"/>
      <c r="J333" s="799"/>
      <c r="K333" s="799"/>
      <c r="L333" s="799"/>
      <c r="M333" s="799"/>
      <c r="N333" s="799"/>
      <c r="O333" s="799"/>
      <c r="P333" s="799"/>
      <c r="Q333" s="799"/>
      <c r="R333" s="799"/>
      <c r="S333" s="799"/>
      <c r="T333" s="799"/>
      <c r="U333" s="799"/>
      <c r="V333" s="799"/>
      <c r="W333" s="799"/>
      <c r="X333" s="799"/>
      <c r="Y333" s="799"/>
      <c r="Z333" s="799"/>
      <c r="AA333" s="799"/>
      <c r="AB333" s="799"/>
      <c r="AC333" s="799"/>
      <c r="AD333" s="799"/>
      <c r="AE333" s="799"/>
      <c r="AF333" s="799"/>
      <c r="AG333" s="799"/>
      <c r="AH333" s="799"/>
      <c r="AI333" s="799"/>
      <c r="AJ333" s="799"/>
      <c r="AK333" s="799"/>
      <c r="AL333" s="799"/>
      <c r="AM333" s="799"/>
      <c r="AN333" s="799"/>
      <c r="AO333" s="799"/>
      <c r="AP333" s="799"/>
      <c r="AQ333" s="799"/>
      <c r="AR333" s="799"/>
      <c r="AS333" s="799"/>
      <c r="AT333" s="799"/>
      <c r="AU333" s="799"/>
      <c r="AV333" s="799"/>
      <c r="AW333" s="799"/>
      <c r="AX333" s="799"/>
      <c r="AY333" s="799"/>
      <c r="AZ333" s="799"/>
      <c r="BA333" s="799"/>
      <c r="BB333" s="799"/>
      <c r="BC333" s="799"/>
      <c r="BD333" s="799"/>
      <c r="BE333" s="799"/>
      <c r="BF333" s="799"/>
      <c r="BG333" s="799"/>
    </row>
    <row r="334">
      <c r="H334" s="799"/>
      <c r="I334" s="799"/>
      <c r="J334" s="799"/>
      <c r="K334" s="799"/>
      <c r="L334" s="799"/>
      <c r="M334" s="799"/>
      <c r="N334" s="799"/>
      <c r="O334" s="799"/>
      <c r="P334" s="799"/>
      <c r="Q334" s="799"/>
      <c r="R334" s="799"/>
      <c r="S334" s="799"/>
      <c r="T334" s="799"/>
      <c r="U334" s="799"/>
      <c r="V334" s="799"/>
      <c r="W334" s="799"/>
      <c r="X334" s="799"/>
      <c r="Y334" s="799"/>
      <c r="Z334" s="799"/>
      <c r="AA334" s="799"/>
      <c r="AB334" s="799"/>
      <c r="AC334" s="799"/>
      <c r="AD334" s="799"/>
      <c r="AE334" s="799"/>
      <c r="AF334" s="799"/>
      <c r="AG334" s="799"/>
      <c r="AH334" s="799"/>
      <c r="AI334" s="799"/>
      <c r="AJ334" s="799"/>
      <c r="AK334" s="799"/>
      <c r="AL334" s="799"/>
      <c r="AM334" s="799"/>
      <c r="AN334" s="799"/>
      <c r="AO334" s="799"/>
      <c r="AP334" s="799"/>
      <c r="AQ334" s="799"/>
      <c r="AR334" s="799"/>
      <c r="AS334" s="799"/>
      <c r="AT334" s="799"/>
      <c r="AU334" s="799"/>
      <c r="AV334" s="799"/>
      <c r="AW334" s="799"/>
      <c r="AX334" s="799"/>
      <c r="AY334" s="799"/>
      <c r="AZ334" s="799"/>
      <c r="BA334" s="799"/>
      <c r="BB334" s="799"/>
      <c r="BC334" s="799"/>
      <c r="BD334" s="799"/>
      <c r="BE334" s="799"/>
      <c r="BF334" s="799"/>
      <c r="BG334" s="799"/>
    </row>
    <row r="335">
      <c r="H335" s="799"/>
      <c r="I335" s="799"/>
      <c r="J335" s="799"/>
      <c r="K335" s="799"/>
      <c r="L335" s="799"/>
      <c r="M335" s="799"/>
      <c r="N335" s="799"/>
      <c r="O335" s="799"/>
      <c r="P335" s="799"/>
      <c r="Q335" s="799"/>
      <c r="R335" s="799"/>
      <c r="S335" s="799"/>
      <c r="T335" s="799"/>
      <c r="U335" s="799"/>
      <c r="V335" s="799"/>
      <c r="W335" s="799"/>
      <c r="X335" s="799"/>
      <c r="Y335" s="799"/>
      <c r="Z335" s="799"/>
      <c r="AA335" s="799"/>
      <c r="AB335" s="799"/>
      <c r="AC335" s="799"/>
      <c r="AD335" s="799"/>
      <c r="AE335" s="799"/>
      <c r="AF335" s="799"/>
      <c r="AG335" s="799"/>
      <c r="AH335" s="799"/>
      <c r="AI335" s="799"/>
      <c r="AJ335" s="799"/>
      <c r="AK335" s="799"/>
      <c r="AL335" s="799"/>
      <c r="AM335" s="799"/>
      <c r="AN335" s="799"/>
      <c r="AO335" s="799"/>
      <c r="AP335" s="799"/>
      <c r="AQ335" s="799"/>
      <c r="AR335" s="799"/>
      <c r="AS335" s="799"/>
      <c r="AT335" s="799"/>
      <c r="AU335" s="799"/>
      <c r="AV335" s="799"/>
      <c r="AW335" s="799"/>
      <c r="AX335" s="799"/>
      <c r="AY335" s="799"/>
      <c r="AZ335" s="799"/>
      <c r="BA335" s="799"/>
      <c r="BB335" s="799"/>
      <c r="BC335" s="799"/>
      <c r="BD335" s="799"/>
      <c r="BE335" s="799"/>
      <c r="BF335" s="799"/>
      <c r="BG335" s="799"/>
    </row>
    <row r="336">
      <c r="H336" s="799"/>
      <c r="I336" s="799"/>
      <c r="J336" s="799"/>
      <c r="K336" s="799"/>
      <c r="L336" s="799"/>
      <c r="M336" s="799"/>
      <c r="N336" s="799"/>
      <c r="O336" s="799"/>
      <c r="P336" s="799"/>
      <c r="Q336" s="799"/>
      <c r="R336" s="799"/>
      <c r="S336" s="799"/>
      <c r="T336" s="799"/>
      <c r="U336" s="799"/>
      <c r="V336" s="799"/>
      <c r="W336" s="799"/>
      <c r="X336" s="799"/>
      <c r="Y336" s="799"/>
      <c r="Z336" s="799"/>
      <c r="AA336" s="799"/>
      <c r="AB336" s="799"/>
      <c r="AC336" s="799"/>
      <c r="AD336" s="799"/>
      <c r="AE336" s="799"/>
      <c r="AF336" s="799"/>
      <c r="AG336" s="799"/>
      <c r="AH336" s="799"/>
      <c r="AI336" s="799"/>
      <c r="AJ336" s="799"/>
      <c r="AK336" s="799"/>
      <c r="AL336" s="799"/>
      <c r="AM336" s="799"/>
      <c r="AN336" s="799"/>
      <c r="AO336" s="799"/>
      <c r="AP336" s="799"/>
      <c r="AQ336" s="799"/>
      <c r="AR336" s="799"/>
      <c r="AS336" s="799"/>
      <c r="AT336" s="799"/>
      <c r="AU336" s="799"/>
      <c r="AV336" s="799"/>
      <c r="AW336" s="799"/>
      <c r="AX336" s="799"/>
      <c r="AY336" s="799"/>
      <c r="AZ336" s="799"/>
      <c r="BA336" s="799"/>
      <c r="BB336" s="799"/>
      <c r="BC336" s="799"/>
      <c r="BD336" s="799"/>
      <c r="BE336" s="799"/>
      <c r="BF336" s="799"/>
      <c r="BG336" s="799"/>
    </row>
    <row r="337">
      <c r="H337" s="799"/>
      <c r="I337" s="799"/>
      <c r="J337" s="799"/>
      <c r="K337" s="799"/>
      <c r="L337" s="799"/>
      <c r="M337" s="799"/>
      <c r="N337" s="799"/>
      <c r="O337" s="799"/>
      <c r="P337" s="799"/>
      <c r="Q337" s="799"/>
      <c r="R337" s="799"/>
      <c r="S337" s="799"/>
      <c r="T337" s="799"/>
      <c r="U337" s="799"/>
      <c r="V337" s="799"/>
      <c r="W337" s="799"/>
      <c r="X337" s="799"/>
      <c r="Y337" s="799"/>
      <c r="Z337" s="799"/>
      <c r="AA337" s="799"/>
      <c r="AB337" s="799"/>
      <c r="AC337" s="799"/>
      <c r="AD337" s="799"/>
      <c r="AE337" s="799"/>
      <c r="AF337" s="799"/>
      <c r="AG337" s="799"/>
      <c r="AH337" s="799"/>
      <c r="AI337" s="799"/>
      <c r="AJ337" s="799"/>
      <c r="AK337" s="799"/>
      <c r="AL337" s="799"/>
      <c r="AM337" s="799"/>
      <c r="AN337" s="799"/>
      <c r="AO337" s="799"/>
      <c r="AP337" s="799"/>
      <c r="AQ337" s="799"/>
      <c r="AR337" s="799"/>
      <c r="AS337" s="799"/>
      <c r="AT337" s="799"/>
      <c r="AU337" s="799"/>
      <c r="AV337" s="799"/>
      <c r="AW337" s="799"/>
      <c r="AX337" s="799"/>
      <c r="AY337" s="799"/>
      <c r="AZ337" s="799"/>
      <c r="BA337" s="799"/>
      <c r="BB337" s="799"/>
      <c r="BC337" s="799"/>
      <c r="BD337" s="799"/>
      <c r="BE337" s="799"/>
      <c r="BF337" s="799"/>
      <c r="BG337" s="799"/>
    </row>
    <row r="338">
      <c r="H338" s="799"/>
      <c r="I338" s="799"/>
      <c r="J338" s="799"/>
      <c r="K338" s="799"/>
      <c r="L338" s="799"/>
      <c r="M338" s="799"/>
      <c r="N338" s="799"/>
      <c r="O338" s="799"/>
      <c r="P338" s="799"/>
      <c r="Q338" s="799"/>
      <c r="R338" s="799"/>
      <c r="S338" s="799"/>
      <c r="T338" s="799"/>
      <c r="U338" s="799"/>
      <c r="V338" s="799"/>
      <c r="W338" s="799"/>
      <c r="X338" s="799"/>
      <c r="Y338" s="799"/>
      <c r="Z338" s="799"/>
      <c r="AA338" s="799"/>
      <c r="AB338" s="799"/>
      <c r="AC338" s="799"/>
      <c r="AD338" s="799"/>
      <c r="AE338" s="799"/>
      <c r="AF338" s="799"/>
      <c r="AG338" s="799"/>
      <c r="AH338" s="799"/>
      <c r="AI338" s="799"/>
      <c r="AJ338" s="799"/>
      <c r="AK338" s="799"/>
      <c r="AL338" s="799"/>
      <c r="AM338" s="799"/>
      <c r="AN338" s="799"/>
      <c r="AO338" s="799"/>
      <c r="AP338" s="799"/>
      <c r="AQ338" s="799"/>
      <c r="AR338" s="799"/>
      <c r="AS338" s="799"/>
      <c r="AT338" s="799"/>
      <c r="AU338" s="799"/>
      <c r="AV338" s="799"/>
      <c r="AW338" s="799"/>
      <c r="AX338" s="799"/>
      <c r="AY338" s="799"/>
      <c r="AZ338" s="799"/>
      <c r="BA338" s="799"/>
      <c r="BB338" s="799"/>
      <c r="BC338" s="799"/>
      <c r="BD338" s="799"/>
      <c r="BE338" s="799"/>
      <c r="BF338" s="799"/>
      <c r="BG338" s="799"/>
    </row>
    <row r="339">
      <c r="H339" s="799"/>
      <c r="I339" s="799"/>
      <c r="J339" s="799"/>
      <c r="K339" s="799"/>
      <c r="L339" s="799"/>
      <c r="M339" s="799"/>
      <c r="N339" s="799"/>
      <c r="O339" s="799"/>
      <c r="P339" s="799"/>
      <c r="Q339" s="799"/>
      <c r="R339" s="799"/>
      <c r="S339" s="799"/>
      <c r="T339" s="799"/>
      <c r="U339" s="799"/>
      <c r="V339" s="799"/>
      <c r="W339" s="799"/>
      <c r="X339" s="799"/>
      <c r="Y339" s="799"/>
      <c r="Z339" s="799"/>
      <c r="AA339" s="799"/>
      <c r="AB339" s="799"/>
      <c r="AC339" s="799"/>
      <c r="AD339" s="799"/>
      <c r="AE339" s="799"/>
      <c r="AF339" s="799"/>
      <c r="AG339" s="799"/>
      <c r="AH339" s="799"/>
      <c r="AI339" s="799"/>
      <c r="AJ339" s="799"/>
      <c r="AK339" s="799"/>
      <c r="AL339" s="799"/>
      <c r="AM339" s="799"/>
      <c r="AN339" s="799"/>
      <c r="AO339" s="799"/>
      <c r="AP339" s="799"/>
      <c r="AQ339" s="799"/>
      <c r="AR339" s="799"/>
      <c r="AS339" s="799"/>
      <c r="AT339" s="799"/>
      <c r="AU339" s="799"/>
      <c r="AV339" s="799"/>
      <c r="AW339" s="799"/>
      <c r="AX339" s="799"/>
      <c r="AY339" s="799"/>
      <c r="AZ339" s="799"/>
      <c r="BA339" s="799"/>
      <c r="BB339" s="799"/>
      <c r="BC339" s="799"/>
      <c r="BD339" s="799"/>
      <c r="BE339" s="799"/>
      <c r="BF339" s="799"/>
      <c r="BG339" s="799"/>
    </row>
    <row r="340">
      <c r="H340" s="799"/>
      <c r="I340" s="799"/>
      <c r="J340" s="799"/>
      <c r="K340" s="799"/>
      <c r="L340" s="799"/>
      <c r="M340" s="799"/>
      <c r="N340" s="799"/>
      <c r="O340" s="799"/>
      <c r="P340" s="799"/>
      <c r="Q340" s="799"/>
      <c r="R340" s="799"/>
      <c r="S340" s="799"/>
      <c r="T340" s="799"/>
      <c r="U340" s="799"/>
      <c r="V340" s="799"/>
      <c r="W340" s="799"/>
      <c r="X340" s="799"/>
      <c r="Y340" s="799"/>
      <c r="Z340" s="799"/>
      <c r="AA340" s="799"/>
      <c r="AB340" s="799"/>
      <c r="AC340" s="799"/>
      <c r="AD340" s="799"/>
      <c r="AE340" s="799"/>
      <c r="AF340" s="799"/>
      <c r="AG340" s="799"/>
      <c r="AH340" s="799"/>
      <c r="AI340" s="799"/>
      <c r="AJ340" s="799"/>
      <c r="AK340" s="799"/>
      <c r="AL340" s="799"/>
      <c r="AM340" s="799"/>
      <c r="AN340" s="799"/>
      <c r="AO340" s="799"/>
      <c r="AP340" s="799"/>
      <c r="AQ340" s="799"/>
      <c r="AR340" s="799"/>
      <c r="AS340" s="799"/>
      <c r="AT340" s="799"/>
      <c r="AU340" s="799"/>
      <c r="AV340" s="799"/>
      <c r="AW340" s="799"/>
      <c r="AX340" s="799"/>
      <c r="AY340" s="799"/>
      <c r="AZ340" s="799"/>
      <c r="BA340" s="799"/>
      <c r="BB340" s="799"/>
      <c r="BC340" s="799"/>
      <c r="BD340" s="799"/>
      <c r="BE340" s="799"/>
      <c r="BF340" s="799"/>
      <c r="BG340" s="799"/>
    </row>
    <row r="341">
      <c r="H341" s="799"/>
      <c r="I341" s="799"/>
      <c r="J341" s="799"/>
      <c r="K341" s="799"/>
      <c r="L341" s="799"/>
      <c r="M341" s="799"/>
      <c r="N341" s="799"/>
      <c r="O341" s="799"/>
      <c r="P341" s="799"/>
      <c r="Q341" s="799"/>
      <c r="R341" s="799"/>
      <c r="S341" s="799"/>
      <c r="T341" s="799"/>
      <c r="U341" s="799"/>
      <c r="V341" s="799"/>
      <c r="W341" s="799"/>
      <c r="X341" s="799"/>
      <c r="Y341" s="799"/>
      <c r="Z341" s="799"/>
      <c r="AA341" s="799"/>
      <c r="AB341" s="799"/>
      <c r="AC341" s="799"/>
      <c r="AD341" s="799"/>
      <c r="AE341" s="799"/>
      <c r="AF341" s="799"/>
      <c r="AG341" s="799"/>
      <c r="AH341" s="799"/>
      <c r="AI341" s="799"/>
      <c r="AJ341" s="799"/>
      <c r="AK341" s="799"/>
      <c r="AL341" s="799"/>
      <c r="AM341" s="799"/>
      <c r="AN341" s="799"/>
      <c r="AO341" s="799"/>
      <c r="AP341" s="799"/>
      <c r="AQ341" s="799"/>
      <c r="AR341" s="799"/>
      <c r="AS341" s="799"/>
      <c r="AT341" s="799"/>
      <c r="AU341" s="799"/>
      <c r="AV341" s="799"/>
      <c r="AW341" s="799"/>
      <c r="AX341" s="799"/>
      <c r="AY341" s="799"/>
      <c r="AZ341" s="799"/>
      <c r="BA341" s="799"/>
      <c r="BB341" s="799"/>
      <c r="BC341" s="799"/>
      <c r="BD341" s="799"/>
      <c r="BE341" s="799"/>
      <c r="BF341" s="799"/>
      <c r="BG341" s="799"/>
    </row>
    <row r="342">
      <c r="H342" s="799"/>
      <c r="I342" s="799"/>
      <c r="J342" s="799"/>
      <c r="K342" s="799"/>
      <c r="L342" s="799"/>
      <c r="M342" s="799"/>
      <c r="N342" s="799"/>
      <c r="O342" s="799"/>
      <c r="P342" s="799"/>
      <c r="Q342" s="799"/>
      <c r="R342" s="799"/>
      <c r="S342" s="799"/>
      <c r="T342" s="799"/>
      <c r="U342" s="799"/>
      <c r="V342" s="799"/>
      <c r="W342" s="799"/>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c r="AV342" s="799"/>
      <c r="AW342" s="799"/>
      <c r="AX342" s="799"/>
      <c r="AY342" s="799"/>
      <c r="AZ342" s="799"/>
      <c r="BA342" s="799"/>
      <c r="BB342" s="799"/>
      <c r="BC342" s="799"/>
      <c r="BD342" s="799"/>
      <c r="BE342" s="799"/>
      <c r="BF342" s="799"/>
      <c r="BG342" s="799"/>
    </row>
    <row r="343">
      <c r="H343" s="799"/>
      <c r="I343" s="799"/>
      <c r="J343" s="799"/>
      <c r="K343" s="799"/>
      <c r="L343" s="799"/>
      <c r="M343" s="799"/>
      <c r="N343" s="799"/>
      <c r="O343" s="799"/>
      <c r="P343" s="799"/>
      <c r="Q343" s="799"/>
      <c r="R343" s="799"/>
      <c r="S343" s="799"/>
      <c r="T343" s="799"/>
      <c r="U343" s="799"/>
      <c r="V343" s="799"/>
      <c r="W343" s="799"/>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c r="AV343" s="799"/>
      <c r="AW343" s="799"/>
      <c r="AX343" s="799"/>
      <c r="AY343" s="799"/>
      <c r="AZ343" s="799"/>
      <c r="BA343" s="799"/>
      <c r="BB343" s="799"/>
      <c r="BC343" s="799"/>
      <c r="BD343" s="799"/>
      <c r="BE343" s="799"/>
      <c r="BF343" s="799"/>
      <c r="BG343" s="799"/>
    </row>
    <row r="344">
      <c r="H344" s="799"/>
      <c r="I344" s="799"/>
      <c r="J344" s="799"/>
      <c r="K344" s="799"/>
      <c r="L344" s="799"/>
      <c r="M344" s="799"/>
      <c r="N344" s="799"/>
      <c r="O344" s="799"/>
      <c r="P344" s="799"/>
      <c r="Q344" s="799"/>
      <c r="R344" s="799"/>
      <c r="S344" s="799"/>
      <c r="T344" s="799"/>
      <c r="U344" s="799"/>
      <c r="V344" s="799"/>
      <c r="W344" s="799"/>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c r="AV344" s="799"/>
      <c r="AW344" s="799"/>
      <c r="AX344" s="799"/>
      <c r="AY344" s="799"/>
      <c r="AZ344" s="799"/>
      <c r="BA344" s="799"/>
      <c r="BB344" s="799"/>
      <c r="BC344" s="799"/>
      <c r="BD344" s="799"/>
      <c r="BE344" s="799"/>
      <c r="BF344" s="799"/>
      <c r="BG344" s="799"/>
    </row>
    <row r="345">
      <c r="H345" s="799"/>
      <c r="I345" s="799"/>
      <c r="J345" s="799"/>
      <c r="K345" s="799"/>
      <c r="L345" s="799"/>
      <c r="M345" s="799"/>
      <c r="N345" s="799"/>
      <c r="O345" s="799"/>
      <c r="P345" s="799"/>
      <c r="Q345" s="799"/>
      <c r="R345" s="799"/>
      <c r="S345" s="799"/>
      <c r="T345" s="799"/>
      <c r="U345" s="799"/>
      <c r="V345" s="799"/>
      <c r="W345" s="799"/>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c r="AV345" s="799"/>
      <c r="AW345" s="799"/>
      <c r="AX345" s="799"/>
      <c r="AY345" s="799"/>
      <c r="AZ345" s="799"/>
      <c r="BA345" s="799"/>
      <c r="BB345" s="799"/>
      <c r="BC345" s="799"/>
      <c r="BD345" s="799"/>
      <c r="BE345" s="799"/>
      <c r="BF345" s="799"/>
      <c r="BG345" s="799"/>
    </row>
    <row r="346">
      <c r="H346" s="799"/>
      <c r="I346" s="799"/>
      <c r="J346" s="799"/>
      <c r="K346" s="799"/>
      <c r="L346" s="799"/>
      <c r="M346" s="799"/>
      <c r="N346" s="799"/>
      <c r="O346" s="799"/>
      <c r="P346" s="799"/>
      <c r="Q346" s="799"/>
      <c r="R346" s="799"/>
      <c r="S346" s="799"/>
      <c r="T346" s="799"/>
      <c r="U346" s="799"/>
      <c r="V346" s="799"/>
      <c r="W346" s="799"/>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799"/>
      <c r="AX346" s="799"/>
      <c r="AY346" s="799"/>
      <c r="AZ346" s="799"/>
      <c r="BA346" s="799"/>
      <c r="BB346" s="799"/>
      <c r="BC346" s="799"/>
      <c r="BD346" s="799"/>
      <c r="BE346" s="799"/>
      <c r="BF346" s="799"/>
      <c r="BG346" s="799"/>
    </row>
    <row r="347">
      <c r="H347" s="799"/>
      <c r="I347" s="799"/>
      <c r="J347" s="799"/>
      <c r="K347" s="799"/>
      <c r="L347" s="799"/>
      <c r="M347" s="799"/>
      <c r="N347" s="799"/>
      <c r="O347" s="799"/>
      <c r="P347" s="799"/>
      <c r="Q347" s="799"/>
      <c r="R347" s="799"/>
      <c r="S347" s="799"/>
      <c r="T347" s="799"/>
      <c r="U347" s="799"/>
      <c r="V347" s="799"/>
      <c r="W347" s="799"/>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799"/>
      <c r="AX347" s="799"/>
      <c r="AY347" s="799"/>
      <c r="AZ347" s="799"/>
      <c r="BA347" s="799"/>
      <c r="BB347" s="799"/>
      <c r="BC347" s="799"/>
      <c r="BD347" s="799"/>
      <c r="BE347" s="799"/>
      <c r="BF347" s="799"/>
      <c r="BG347" s="799"/>
    </row>
    <row r="348">
      <c r="H348" s="799"/>
      <c r="I348" s="799"/>
      <c r="J348" s="799"/>
      <c r="K348" s="799"/>
      <c r="L348" s="799"/>
      <c r="M348" s="799"/>
      <c r="N348" s="799"/>
      <c r="O348" s="799"/>
      <c r="P348" s="799"/>
      <c r="Q348" s="799"/>
      <c r="R348" s="799"/>
      <c r="S348" s="799"/>
      <c r="T348" s="799"/>
      <c r="U348" s="799"/>
      <c r="V348" s="799"/>
      <c r="W348" s="799"/>
      <c r="X348" s="799"/>
      <c r="Y348" s="799"/>
      <c r="Z348" s="799"/>
      <c r="AA348" s="799"/>
      <c r="AB348" s="799"/>
      <c r="AC348" s="799"/>
      <c r="AD348" s="799"/>
      <c r="AE348" s="799"/>
      <c r="AF348" s="799"/>
      <c r="AG348" s="799"/>
      <c r="AH348" s="799"/>
      <c r="AI348" s="799"/>
      <c r="AJ348" s="799"/>
      <c r="AK348" s="799"/>
      <c r="AL348" s="799"/>
      <c r="AM348" s="799"/>
      <c r="AN348" s="799"/>
      <c r="AO348" s="799"/>
      <c r="AP348" s="799"/>
      <c r="AQ348" s="799"/>
      <c r="AR348" s="799"/>
      <c r="AS348" s="799"/>
      <c r="AT348" s="799"/>
      <c r="AU348" s="799"/>
      <c r="AV348" s="799"/>
      <c r="AW348" s="799"/>
      <c r="AX348" s="799"/>
      <c r="AY348" s="799"/>
      <c r="AZ348" s="799"/>
      <c r="BA348" s="799"/>
      <c r="BB348" s="799"/>
      <c r="BC348" s="799"/>
      <c r="BD348" s="799"/>
      <c r="BE348" s="799"/>
      <c r="BF348" s="799"/>
      <c r="BG348" s="799"/>
    </row>
    <row r="349">
      <c r="H349" s="799"/>
      <c r="I349" s="799"/>
      <c r="J349" s="799"/>
      <c r="K349" s="799"/>
      <c r="L349" s="799"/>
      <c r="M349" s="799"/>
      <c r="N349" s="799"/>
      <c r="O349" s="799"/>
      <c r="P349" s="799"/>
      <c r="Q349" s="799"/>
      <c r="R349" s="799"/>
      <c r="S349" s="799"/>
      <c r="T349" s="799"/>
      <c r="U349" s="799"/>
      <c r="V349" s="799"/>
      <c r="W349" s="799"/>
      <c r="X349" s="799"/>
      <c r="Y349" s="799"/>
      <c r="Z349" s="799"/>
      <c r="AA349" s="799"/>
      <c r="AB349" s="799"/>
      <c r="AC349" s="799"/>
      <c r="AD349" s="799"/>
      <c r="AE349" s="799"/>
      <c r="AF349" s="799"/>
      <c r="AG349" s="799"/>
      <c r="AH349" s="799"/>
      <c r="AI349" s="799"/>
      <c r="AJ349" s="799"/>
      <c r="AK349" s="799"/>
      <c r="AL349" s="799"/>
      <c r="AM349" s="799"/>
      <c r="AN349" s="799"/>
      <c r="AO349" s="799"/>
      <c r="AP349" s="799"/>
      <c r="AQ349" s="799"/>
      <c r="AR349" s="799"/>
      <c r="AS349" s="799"/>
      <c r="AT349" s="799"/>
      <c r="AU349" s="799"/>
      <c r="AV349" s="799"/>
      <c r="AW349" s="799"/>
      <c r="AX349" s="799"/>
      <c r="AY349" s="799"/>
      <c r="AZ349" s="799"/>
      <c r="BA349" s="799"/>
      <c r="BB349" s="799"/>
      <c r="BC349" s="799"/>
      <c r="BD349" s="799"/>
      <c r="BE349" s="799"/>
      <c r="BF349" s="799"/>
      <c r="BG349" s="799"/>
    </row>
    <row r="350">
      <c r="H350" s="799"/>
      <c r="I350" s="799"/>
      <c r="J350" s="799"/>
      <c r="K350" s="799"/>
      <c r="L350" s="799"/>
      <c r="M350" s="799"/>
      <c r="N350" s="799"/>
      <c r="O350" s="799"/>
      <c r="P350" s="799"/>
      <c r="Q350" s="799"/>
      <c r="R350" s="799"/>
      <c r="S350" s="799"/>
      <c r="T350" s="799"/>
      <c r="U350" s="799"/>
      <c r="V350" s="799"/>
      <c r="W350" s="799"/>
      <c r="X350" s="799"/>
      <c r="Y350" s="799"/>
      <c r="Z350" s="799"/>
      <c r="AA350" s="799"/>
      <c r="AB350" s="799"/>
      <c r="AC350" s="799"/>
      <c r="AD350" s="799"/>
      <c r="AE350" s="799"/>
      <c r="AF350" s="799"/>
      <c r="AG350" s="799"/>
      <c r="AH350" s="799"/>
      <c r="AI350" s="799"/>
      <c r="AJ350" s="799"/>
      <c r="AK350" s="799"/>
      <c r="AL350" s="799"/>
      <c r="AM350" s="799"/>
      <c r="AN350" s="799"/>
      <c r="AO350" s="799"/>
      <c r="AP350" s="799"/>
      <c r="AQ350" s="799"/>
      <c r="AR350" s="799"/>
      <c r="AS350" s="799"/>
      <c r="AT350" s="799"/>
      <c r="AU350" s="799"/>
      <c r="AV350" s="799"/>
      <c r="AW350" s="799"/>
      <c r="AX350" s="799"/>
      <c r="AY350" s="799"/>
      <c r="AZ350" s="799"/>
      <c r="BA350" s="799"/>
      <c r="BB350" s="799"/>
      <c r="BC350" s="799"/>
      <c r="BD350" s="799"/>
      <c r="BE350" s="799"/>
      <c r="BF350" s="799"/>
      <c r="BG350" s="799"/>
    </row>
    <row r="351">
      <c r="H351" s="799"/>
      <c r="I351" s="799"/>
      <c r="J351" s="799"/>
      <c r="K351" s="799"/>
      <c r="L351" s="799"/>
      <c r="M351" s="799"/>
      <c r="N351" s="799"/>
      <c r="O351" s="799"/>
      <c r="P351" s="799"/>
      <c r="Q351" s="799"/>
      <c r="R351" s="799"/>
      <c r="S351" s="799"/>
      <c r="T351" s="799"/>
      <c r="U351" s="799"/>
      <c r="V351" s="799"/>
      <c r="W351" s="799"/>
      <c r="X351" s="799"/>
      <c r="Y351" s="799"/>
      <c r="Z351" s="799"/>
      <c r="AA351" s="799"/>
      <c r="AB351" s="799"/>
      <c r="AC351" s="799"/>
      <c r="AD351" s="799"/>
      <c r="AE351" s="799"/>
      <c r="AF351" s="799"/>
      <c r="AG351" s="799"/>
      <c r="AH351" s="799"/>
      <c r="AI351" s="799"/>
      <c r="AJ351" s="799"/>
      <c r="AK351" s="799"/>
      <c r="AL351" s="799"/>
      <c r="AM351" s="799"/>
      <c r="AN351" s="799"/>
      <c r="AO351" s="799"/>
      <c r="AP351" s="799"/>
      <c r="AQ351" s="799"/>
      <c r="AR351" s="799"/>
      <c r="AS351" s="799"/>
      <c r="AT351" s="799"/>
      <c r="AU351" s="799"/>
      <c r="AV351" s="799"/>
      <c r="AW351" s="799"/>
      <c r="AX351" s="799"/>
      <c r="AY351" s="799"/>
      <c r="AZ351" s="799"/>
      <c r="BA351" s="799"/>
      <c r="BB351" s="799"/>
      <c r="BC351" s="799"/>
      <c r="BD351" s="799"/>
      <c r="BE351" s="799"/>
      <c r="BF351" s="799"/>
      <c r="BG351" s="799"/>
    </row>
    <row r="352">
      <c r="H352" s="799"/>
      <c r="I352" s="799"/>
      <c r="J352" s="799"/>
      <c r="K352" s="799"/>
      <c r="L352" s="799"/>
      <c r="M352" s="799"/>
      <c r="N352" s="799"/>
      <c r="O352" s="799"/>
      <c r="P352" s="799"/>
      <c r="Q352" s="799"/>
      <c r="R352" s="799"/>
      <c r="S352" s="799"/>
      <c r="T352" s="799"/>
      <c r="U352" s="799"/>
      <c r="V352" s="799"/>
      <c r="W352" s="799"/>
      <c r="X352" s="799"/>
      <c r="Y352" s="799"/>
      <c r="Z352" s="799"/>
      <c r="AA352" s="799"/>
      <c r="AB352" s="799"/>
      <c r="AC352" s="799"/>
      <c r="AD352" s="799"/>
      <c r="AE352" s="799"/>
      <c r="AF352" s="799"/>
      <c r="AG352" s="799"/>
      <c r="AH352" s="799"/>
      <c r="AI352" s="799"/>
      <c r="AJ352" s="799"/>
      <c r="AK352" s="799"/>
      <c r="AL352" s="799"/>
      <c r="AM352" s="799"/>
      <c r="AN352" s="799"/>
      <c r="AO352" s="799"/>
      <c r="AP352" s="799"/>
      <c r="AQ352" s="799"/>
      <c r="AR352" s="799"/>
      <c r="AS352" s="799"/>
      <c r="AT352" s="799"/>
      <c r="AU352" s="799"/>
      <c r="AV352" s="799"/>
      <c r="AW352" s="799"/>
      <c r="AX352" s="799"/>
      <c r="AY352" s="799"/>
      <c r="AZ352" s="799"/>
      <c r="BA352" s="799"/>
      <c r="BB352" s="799"/>
      <c r="BC352" s="799"/>
      <c r="BD352" s="799"/>
      <c r="BE352" s="799"/>
      <c r="BF352" s="799"/>
      <c r="BG352" s="799"/>
    </row>
    <row r="353">
      <c r="H353" s="799"/>
      <c r="I353" s="799"/>
      <c r="J353" s="799"/>
      <c r="K353" s="799"/>
      <c r="L353" s="799"/>
      <c r="M353" s="799"/>
      <c r="N353" s="799"/>
      <c r="O353" s="799"/>
      <c r="P353" s="799"/>
      <c r="Q353" s="799"/>
      <c r="R353" s="799"/>
      <c r="S353" s="799"/>
      <c r="T353" s="799"/>
      <c r="U353" s="799"/>
      <c r="V353" s="799"/>
      <c r="W353" s="799"/>
      <c r="X353" s="799"/>
      <c r="Y353" s="799"/>
      <c r="Z353" s="799"/>
      <c r="AA353" s="799"/>
      <c r="AB353" s="799"/>
      <c r="AC353" s="799"/>
      <c r="AD353" s="799"/>
      <c r="AE353" s="799"/>
      <c r="AF353" s="799"/>
      <c r="AG353" s="799"/>
      <c r="AH353" s="799"/>
      <c r="AI353" s="799"/>
      <c r="AJ353" s="799"/>
      <c r="AK353" s="799"/>
      <c r="AL353" s="799"/>
      <c r="AM353" s="799"/>
      <c r="AN353" s="799"/>
      <c r="AO353" s="799"/>
      <c r="AP353" s="799"/>
      <c r="AQ353" s="799"/>
      <c r="AR353" s="799"/>
      <c r="AS353" s="799"/>
      <c r="AT353" s="799"/>
      <c r="AU353" s="799"/>
      <c r="AV353" s="799"/>
      <c r="AW353" s="799"/>
      <c r="AX353" s="799"/>
      <c r="AY353" s="799"/>
      <c r="AZ353" s="799"/>
      <c r="BA353" s="799"/>
      <c r="BB353" s="799"/>
      <c r="BC353" s="799"/>
      <c r="BD353" s="799"/>
      <c r="BE353" s="799"/>
      <c r="BF353" s="799"/>
      <c r="BG353" s="799"/>
    </row>
    <row r="354">
      <c r="H354" s="799"/>
      <c r="I354" s="799"/>
      <c r="J354" s="799"/>
      <c r="K354" s="799"/>
      <c r="L354" s="799"/>
      <c r="M354" s="799"/>
      <c r="N354" s="799"/>
      <c r="O354" s="799"/>
      <c r="P354" s="799"/>
      <c r="Q354" s="799"/>
      <c r="R354" s="799"/>
      <c r="S354" s="799"/>
      <c r="T354" s="799"/>
      <c r="U354" s="799"/>
      <c r="V354" s="799"/>
      <c r="W354" s="799"/>
      <c r="X354" s="799"/>
      <c r="Y354" s="799"/>
      <c r="Z354" s="799"/>
      <c r="AA354" s="799"/>
      <c r="AB354" s="799"/>
      <c r="AC354" s="799"/>
      <c r="AD354" s="799"/>
      <c r="AE354" s="799"/>
      <c r="AF354" s="799"/>
      <c r="AG354" s="799"/>
      <c r="AH354" s="799"/>
      <c r="AI354" s="799"/>
      <c r="AJ354" s="799"/>
      <c r="AK354" s="799"/>
      <c r="AL354" s="799"/>
      <c r="AM354" s="799"/>
      <c r="AN354" s="799"/>
      <c r="AO354" s="799"/>
      <c r="AP354" s="799"/>
      <c r="AQ354" s="799"/>
      <c r="AR354" s="799"/>
      <c r="AS354" s="799"/>
      <c r="AT354" s="799"/>
      <c r="AU354" s="799"/>
      <c r="AV354" s="799"/>
      <c r="AW354" s="799"/>
      <c r="AX354" s="799"/>
      <c r="AY354" s="799"/>
      <c r="AZ354" s="799"/>
      <c r="BA354" s="799"/>
      <c r="BB354" s="799"/>
      <c r="BC354" s="799"/>
      <c r="BD354" s="799"/>
      <c r="BE354" s="799"/>
      <c r="BF354" s="799"/>
      <c r="BG354" s="799"/>
    </row>
    <row r="355">
      <c r="H355" s="799"/>
      <c r="I355" s="799"/>
      <c r="J355" s="799"/>
      <c r="K355" s="799"/>
      <c r="L355" s="799"/>
      <c r="M355" s="799"/>
      <c r="N355" s="799"/>
      <c r="O355" s="799"/>
      <c r="P355" s="799"/>
      <c r="Q355" s="799"/>
      <c r="R355" s="799"/>
      <c r="S355" s="799"/>
      <c r="T355" s="799"/>
      <c r="U355" s="799"/>
      <c r="V355" s="799"/>
      <c r="W355" s="799"/>
      <c r="X355" s="799"/>
      <c r="Y355" s="799"/>
      <c r="Z355" s="799"/>
      <c r="AA355" s="799"/>
      <c r="AB355" s="799"/>
      <c r="AC355" s="799"/>
      <c r="AD355" s="799"/>
      <c r="AE355" s="799"/>
      <c r="AF355" s="799"/>
      <c r="AG355" s="799"/>
      <c r="AH355" s="799"/>
      <c r="AI355" s="799"/>
      <c r="AJ355" s="799"/>
      <c r="AK355" s="799"/>
      <c r="AL355" s="799"/>
      <c r="AM355" s="799"/>
      <c r="AN355" s="799"/>
      <c r="AO355" s="799"/>
      <c r="AP355" s="799"/>
      <c r="AQ355" s="799"/>
      <c r="AR355" s="799"/>
      <c r="AS355" s="799"/>
      <c r="AT355" s="799"/>
      <c r="AU355" s="799"/>
      <c r="AV355" s="799"/>
      <c r="AW355" s="799"/>
      <c r="AX355" s="799"/>
      <c r="AY355" s="799"/>
      <c r="AZ355" s="799"/>
      <c r="BA355" s="799"/>
      <c r="BB355" s="799"/>
      <c r="BC355" s="799"/>
      <c r="BD355" s="799"/>
      <c r="BE355" s="799"/>
      <c r="BF355" s="799"/>
      <c r="BG355" s="799"/>
    </row>
    <row r="356">
      <c r="H356" s="799"/>
      <c r="I356" s="799"/>
      <c r="J356" s="799"/>
      <c r="K356" s="799"/>
      <c r="L356" s="799"/>
      <c r="M356" s="799"/>
      <c r="N356" s="799"/>
      <c r="O356" s="799"/>
      <c r="P356" s="799"/>
      <c r="Q356" s="799"/>
      <c r="R356" s="799"/>
      <c r="S356" s="799"/>
      <c r="T356" s="799"/>
      <c r="U356" s="799"/>
      <c r="V356" s="799"/>
      <c r="W356" s="799"/>
      <c r="X356" s="799"/>
      <c r="Y356" s="799"/>
      <c r="Z356" s="799"/>
      <c r="AA356" s="799"/>
      <c r="AB356" s="799"/>
      <c r="AC356" s="799"/>
      <c r="AD356" s="799"/>
      <c r="AE356" s="799"/>
      <c r="AF356" s="799"/>
      <c r="AG356" s="799"/>
      <c r="AH356" s="799"/>
      <c r="AI356" s="799"/>
      <c r="AJ356" s="799"/>
      <c r="AK356" s="799"/>
      <c r="AL356" s="799"/>
      <c r="AM356" s="799"/>
      <c r="AN356" s="799"/>
      <c r="AO356" s="799"/>
      <c r="AP356" s="799"/>
      <c r="AQ356" s="799"/>
      <c r="AR356" s="799"/>
      <c r="AS356" s="799"/>
      <c r="AT356" s="799"/>
      <c r="AU356" s="799"/>
      <c r="AV356" s="799"/>
      <c r="AW356" s="799"/>
      <c r="AX356" s="799"/>
      <c r="AY356" s="799"/>
      <c r="AZ356" s="799"/>
      <c r="BA356" s="799"/>
      <c r="BB356" s="799"/>
      <c r="BC356" s="799"/>
      <c r="BD356" s="799"/>
      <c r="BE356" s="799"/>
      <c r="BF356" s="799"/>
      <c r="BG356" s="799"/>
    </row>
    <row r="357">
      <c r="H357" s="799"/>
      <c r="I357" s="799"/>
      <c r="J357" s="799"/>
      <c r="K357" s="799"/>
      <c r="L357" s="799"/>
      <c r="M357" s="799"/>
      <c r="N357" s="799"/>
      <c r="O357" s="799"/>
      <c r="P357" s="799"/>
      <c r="Q357" s="799"/>
      <c r="R357" s="799"/>
      <c r="S357" s="799"/>
      <c r="T357" s="799"/>
      <c r="U357" s="799"/>
      <c r="V357" s="799"/>
      <c r="W357" s="799"/>
      <c r="X357" s="799"/>
      <c r="Y357" s="799"/>
      <c r="Z357" s="799"/>
      <c r="AA357" s="799"/>
      <c r="AB357" s="799"/>
      <c r="AC357" s="799"/>
      <c r="AD357" s="799"/>
      <c r="AE357" s="799"/>
      <c r="AF357" s="799"/>
      <c r="AG357" s="799"/>
      <c r="AH357" s="799"/>
      <c r="AI357" s="799"/>
      <c r="AJ357" s="799"/>
      <c r="AK357" s="799"/>
      <c r="AL357" s="799"/>
      <c r="AM357" s="799"/>
      <c r="AN357" s="799"/>
      <c r="AO357" s="799"/>
      <c r="AP357" s="799"/>
      <c r="AQ357" s="799"/>
      <c r="AR357" s="799"/>
      <c r="AS357" s="799"/>
      <c r="AT357" s="799"/>
      <c r="AU357" s="799"/>
      <c r="AV357" s="799"/>
      <c r="AW357" s="799"/>
      <c r="AX357" s="799"/>
      <c r="AY357" s="799"/>
      <c r="AZ357" s="799"/>
      <c r="BA357" s="799"/>
      <c r="BB357" s="799"/>
      <c r="BC357" s="799"/>
      <c r="BD357" s="799"/>
      <c r="BE357" s="799"/>
      <c r="BF357" s="799"/>
      <c r="BG357" s="799"/>
    </row>
    <row r="358">
      <c r="H358" s="799"/>
      <c r="I358" s="799"/>
      <c r="J358" s="799"/>
      <c r="K358" s="799"/>
      <c r="L358" s="799"/>
      <c r="M358" s="799"/>
      <c r="N358" s="799"/>
      <c r="O358" s="799"/>
      <c r="P358" s="799"/>
      <c r="Q358" s="799"/>
      <c r="R358" s="799"/>
      <c r="S358" s="799"/>
      <c r="T358" s="799"/>
      <c r="U358" s="799"/>
      <c r="V358" s="799"/>
      <c r="W358" s="799"/>
      <c r="X358" s="799"/>
      <c r="Y358" s="799"/>
      <c r="Z358" s="799"/>
      <c r="AA358" s="799"/>
      <c r="AB358" s="799"/>
      <c r="AC358" s="799"/>
      <c r="AD358" s="799"/>
      <c r="AE358" s="799"/>
      <c r="AF358" s="799"/>
      <c r="AG358" s="799"/>
      <c r="AH358" s="799"/>
      <c r="AI358" s="799"/>
      <c r="AJ358" s="799"/>
      <c r="AK358" s="799"/>
      <c r="AL358" s="799"/>
      <c r="AM358" s="799"/>
      <c r="AN358" s="799"/>
      <c r="AO358" s="799"/>
      <c r="AP358" s="799"/>
      <c r="AQ358" s="799"/>
      <c r="AR358" s="799"/>
      <c r="AS358" s="799"/>
      <c r="AT358" s="799"/>
      <c r="AU358" s="799"/>
      <c r="AV358" s="799"/>
      <c r="AW358" s="799"/>
      <c r="AX358" s="799"/>
      <c r="AY358" s="799"/>
      <c r="AZ358" s="799"/>
      <c r="BA358" s="799"/>
      <c r="BB358" s="799"/>
      <c r="BC358" s="799"/>
      <c r="BD358" s="799"/>
      <c r="BE358" s="799"/>
      <c r="BF358" s="799"/>
      <c r="BG358" s="799"/>
    </row>
    <row r="359">
      <c r="H359" s="799"/>
      <c r="I359" s="799"/>
      <c r="J359" s="799"/>
      <c r="K359" s="799"/>
      <c r="L359" s="799"/>
      <c r="M359" s="799"/>
      <c r="N359" s="799"/>
      <c r="O359" s="799"/>
      <c r="P359" s="799"/>
      <c r="Q359" s="799"/>
      <c r="R359" s="799"/>
      <c r="S359" s="799"/>
      <c r="T359" s="799"/>
      <c r="U359" s="799"/>
      <c r="V359" s="799"/>
      <c r="W359" s="799"/>
      <c r="X359" s="799"/>
      <c r="Y359" s="799"/>
      <c r="Z359" s="799"/>
      <c r="AA359" s="799"/>
      <c r="AB359" s="799"/>
      <c r="AC359" s="799"/>
      <c r="AD359" s="799"/>
      <c r="AE359" s="799"/>
      <c r="AF359" s="799"/>
      <c r="AG359" s="799"/>
      <c r="AH359" s="799"/>
      <c r="AI359" s="799"/>
      <c r="AJ359" s="799"/>
      <c r="AK359" s="799"/>
      <c r="AL359" s="799"/>
      <c r="AM359" s="799"/>
      <c r="AN359" s="799"/>
      <c r="AO359" s="799"/>
      <c r="AP359" s="799"/>
      <c r="AQ359" s="799"/>
      <c r="AR359" s="799"/>
      <c r="AS359" s="799"/>
      <c r="AT359" s="799"/>
      <c r="AU359" s="799"/>
      <c r="AV359" s="799"/>
      <c r="AW359" s="799"/>
      <c r="AX359" s="799"/>
      <c r="AY359" s="799"/>
      <c r="AZ359" s="799"/>
      <c r="BA359" s="799"/>
      <c r="BB359" s="799"/>
      <c r="BC359" s="799"/>
      <c r="BD359" s="799"/>
      <c r="BE359" s="799"/>
      <c r="BF359" s="799"/>
      <c r="BG359" s="799"/>
    </row>
    <row r="360">
      <c r="H360" s="799"/>
      <c r="I360" s="799"/>
      <c r="J360" s="799"/>
      <c r="K360" s="799"/>
      <c r="L360" s="799"/>
      <c r="M360" s="799"/>
      <c r="N360" s="799"/>
      <c r="O360" s="799"/>
      <c r="P360" s="799"/>
      <c r="Q360" s="799"/>
      <c r="R360" s="799"/>
      <c r="S360" s="799"/>
      <c r="T360" s="799"/>
      <c r="U360" s="799"/>
      <c r="V360" s="799"/>
      <c r="W360" s="799"/>
      <c r="X360" s="799"/>
      <c r="Y360" s="799"/>
      <c r="Z360" s="799"/>
      <c r="AA360" s="799"/>
      <c r="AB360" s="799"/>
      <c r="AC360" s="799"/>
      <c r="AD360" s="799"/>
      <c r="AE360" s="799"/>
      <c r="AF360" s="799"/>
      <c r="AG360" s="799"/>
      <c r="AH360" s="799"/>
      <c r="AI360" s="799"/>
      <c r="AJ360" s="799"/>
      <c r="AK360" s="799"/>
      <c r="AL360" s="799"/>
      <c r="AM360" s="799"/>
      <c r="AN360" s="799"/>
      <c r="AO360" s="799"/>
      <c r="AP360" s="799"/>
      <c r="AQ360" s="799"/>
      <c r="AR360" s="799"/>
      <c r="AS360" s="799"/>
      <c r="AT360" s="799"/>
      <c r="AU360" s="799"/>
      <c r="AV360" s="799"/>
      <c r="AW360" s="799"/>
      <c r="AX360" s="799"/>
      <c r="AY360" s="799"/>
      <c r="AZ360" s="799"/>
      <c r="BA360" s="799"/>
      <c r="BB360" s="799"/>
      <c r="BC360" s="799"/>
      <c r="BD360" s="799"/>
      <c r="BE360" s="799"/>
      <c r="BF360" s="799"/>
      <c r="BG360" s="799"/>
    </row>
    <row r="361">
      <c r="H361" s="799"/>
      <c r="I361" s="799"/>
      <c r="J361" s="799"/>
      <c r="K361" s="799"/>
      <c r="L361" s="799"/>
      <c r="M361" s="799"/>
      <c r="N361" s="799"/>
      <c r="O361" s="799"/>
      <c r="P361" s="799"/>
      <c r="Q361" s="799"/>
      <c r="R361" s="799"/>
      <c r="S361" s="799"/>
      <c r="T361" s="799"/>
      <c r="U361" s="799"/>
      <c r="V361" s="799"/>
      <c r="W361" s="799"/>
      <c r="X361" s="799"/>
      <c r="Y361" s="799"/>
      <c r="Z361" s="799"/>
      <c r="AA361" s="799"/>
      <c r="AB361" s="799"/>
      <c r="AC361" s="799"/>
      <c r="AD361" s="799"/>
      <c r="AE361" s="799"/>
      <c r="AF361" s="799"/>
      <c r="AG361" s="799"/>
      <c r="AH361" s="799"/>
      <c r="AI361" s="799"/>
      <c r="AJ361" s="799"/>
      <c r="AK361" s="799"/>
      <c r="AL361" s="799"/>
      <c r="AM361" s="799"/>
      <c r="AN361" s="799"/>
      <c r="AO361" s="799"/>
      <c r="AP361" s="799"/>
      <c r="AQ361" s="799"/>
      <c r="AR361" s="799"/>
      <c r="AS361" s="799"/>
      <c r="AT361" s="799"/>
      <c r="AU361" s="799"/>
      <c r="AV361" s="799"/>
      <c r="AW361" s="799"/>
      <c r="AX361" s="799"/>
      <c r="AY361" s="799"/>
      <c r="AZ361" s="799"/>
      <c r="BA361" s="799"/>
      <c r="BB361" s="799"/>
      <c r="BC361" s="799"/>
      <c r="BD361" s="799"/>
      <c r="BE361" s="799"/>
      <c r="BF361" s="799"/>
      <c r="BG361" s="799"/>
    </row>
    <row r="362">
      <c r="H362" s="799"/>
      <c r="I362" s="799"/>
      <c r="J362" s="799"/>
      <c r="K362" s="799"/>
      <c r="L362" s="799"/>
      <c r="M362" s="799"/>
      <c r="N362" s="799"/>
      <c r="O362" s="799"/>
      <c r="P362" s="799"/>
      <c r="Q362" s="799"/>
      <c r="R362" s="799"/>
      <c r="S362" s="799"/>
      <c r="T362" s="799"/>
      <c r="U362" s="799"/>
      <c r="V362" s="799"/>
      <c r="W362" s="799"/>
      <c r="X362" s="799"/>
      <c r="Y362" s="799"/>
      <c r="Z362" s="799"/>
      <c r="AA362" s="799"/>
      <c r="AB362" s="799"/>
      <c r="AC362" s="799"/>
      <c r="AD362" s="799"/>
      <c r="AE362" s="799"/>
      <c r="AF362" s="799"/>
      <c r="AG362" s="799"/>
      <c r="AH362" s="799"/>
      <c r="AI362" s="799"/>
      <c r="AJ362" s="799"/>
      <c r="AK362" s="799"/>
      <c r="AL362" s="799"/>
      <c r="AM362" s="799"/>
      <c r="AN362" s="799"/>
      <c r="AO362" s="799"/>
      <c r="AP362" s="799"/>
      <c r="AQ362" s="799"/>
      <c r="AR362" s="799"/>
      <c r="AS362" s="799"/>
      <c r="AT362" s="799"/>
      <c r="AU362" s="799"/>
      <c r="AV362" s="799"/>
      <c r="AW362" s="799"/>
      <c r="AX362" s="799"/>
      <c r="AY362" s="799"/>
      <c r="AZ362" s="799"/>
      <c r="BA362" s="799"/>
      <c r="BB362" s="799"/>
      <c r="BC362" s="799"/>
      <c r="BD362" s="799"/>
      <c r="BE362" s="799"/>
      <c r="BF362" s="799"/>
      <c r="BG362" s="799"/>
    </row>
    <row r="363">
      <c r="H363" s="799"/>
      <c r="I363" s="799"/>
      <c r="J363" s="799"/>
      <c r="K363" s="799"/>
      <c r="L363" s="799"/>
      <c r="M363" s="799"/>
      <c r="N363" s="799"/>
      <c r="O363" s="799"/>
      <c r="P363" s="799"/>
      <c r="Q363" s="799"/>
      <c r="R363" s="799"/>
      <c r="S363" s="799"/>
      <c r="T363" s="799"/>
      <c r="U363" s="799"/>
      <c r="V363" s="799"/>
      <c r="W363" s="799"/>
      <c r="X363" s="799"/>
      <c r="Y363" s="799"/>
      <c r="Z363" s="799"/>
      <c r="AA363" s="799"/>
      <c r="AB363" s="799"/>
      <c r="AC363" s="799"/>
      <c r="AD363" s="799"/>
      <c r="AE363" s="799"/>
      <c r="AF363" s="799"/>
      <c r="AG363" s="799"/>
      <c r="AH363" s="799"/>
      <c r="AI363" s="799"/>
      <c r="AJ363" s="799"/>
      <c r="AK363" s="799"/>
      <c r="AL363" s="799"/>
      <c r="AM363" s="799"/>
      <c r="AN363" s="799"/>
      <c r="AO363" s="799"/>
      <c r="AP363" s="799"/>
      <c r="AQ363" s="799"/>
      <c r="AR363" s="799"/>
      <c r="AS363" s="799"/>
      <c r="AT363" s="799"/>
      <c r="AU363" s="799"/>
      <c r="AV363" s="799"/>
      <c r="AW363" s="799"/>
      <c r="AX363" s="799"/>
      <c r="AY363" s="799"/>
      <c r="AZ363" s="799"/>
      <c r="BA363" s="799"/>
      <c r="BB363" s="799"/>
      <c r="BC363" s="799"/>
      <c r="BD363" s="799"/>
      <c r="BE363" s="799"/>
      <c r="BF363" s="799"/>
      <c r="BG363" s="799"/>
    </row>
    <row r="364">
      <c r="H364" s="799"/>
      <c r="I364" s="799"/>
      <c r="J364" s="799"/>
      <c r="K364" s="799"/>
      <c r="L364" s="799"/>
      <c r="M364" s="799"/>
      <c r="N364" s="799"/>
      <c r="O364" s="799"/>
      <c r="P364" s="799"/>
      <c r="Q364" s="799"/>
      <c r="R364" s="799"/>
      <c r="S364" s="799"/>
      <c r="T364" s="799"/>
      <c r="U364" s="799"/>
      <c r="V364" s="799"/>
      <c r="W364" s="799"/>
      <c r="X364" s="799"/>
      <c r="Y364" s="799"/>
      <c r="Z364" s="799"/>
      <c r="AA364" s="799"/>
      <c r="AB364" s="799"/>
      <c r="AC364" s="799"/>
      <c r="AD364" s="799"/>
      <c r="AE364" s="799"/>
      <c r="AF364" s="799"/>
      <c r="AG364" s="799"/>
      <c r="AH364" s="799"/>
      <c r="AI364" s="799"/>
      <c r="AJ364" s="799"/>
      <c r="AK364" s="799"/>
      <c r="AL364" s="799"/>
      <c r="AM364" s="799"/>
      <c r="AN364" s="799"/>
      <c r="AO364" s="799"/>
      <c r="AP364" s="799"/>
      <c r="AQ364" s="799"/>
      <c r="AR364" s="799"/>
      <c r="AS364" s="799"/>
      <c r="AT364" s="799"/>
      <c r="AU364" s="799"/>
      <c r="AV364" s="799"/>
      <c r="AW364" s="799"/>
      <c r="AX364" s="799"/>
      <c r="AY364" s="799"/>
      <c r="AZ364" s="799"/>
      <c r="BA364" s="799"/>
      <c r="BB364" s="799"/>
      <c r="BC364" s="799"/>
      <c r="BD364" s="799"/>
      <c r="BE364" s="799"/>
      <c r="BF364" s="799"/>
      <c r="BG364" s="799"/>
    </row>
    <row r="365">
      <c r="H365" s="799"/>
      <c r="I365" s="799"/>
      <c r="J365" s="799"/>
      <c r="K365" s="799"/>
      <c r="L365" s="799"/>
      <c r="M365" s="799"/>
      <c r="N365" s="799"/>
      <c r="O365" s="799"/>
      <c r="P365" s="799"/>
      <c r="Q365" s="799"/>
      <c r="R365" s="799"/>
      <c r="S365" s="799"/>
      <c r="T365" s="799"/>
      <c r="U365" s="799"/>
      <c r="V365" s="799"/>
      <c r="W365" s="799"/>
      <c r="X365" s="799"/>
      <c r="Y365" s="799"/>
      <c r="Z365" s="799"/>
      <c r="AA365" s="799"/>
      <c r="AB365" s="799"/>
      <c r="AC365" s="799"/>
      <c r="AD365" s="799"/>
      <c r="AE365" s="799"/>
      <c r="AF365" s="799"/>
      <c r="AG365" s="799"/>
      <c r="AH365" s="799"/>
      <c r="AI365" s="799"/>
      <c r="AJ365" s="799"/>
      <c r="AK365" s="799"/>
      <c r="AL365" s="799"/>
      <c r="AM365" s="799"/>
      <c r="AN365" s="799"/>
      <c r="AO365" s="799"/>
      <c r="AP365" s="799"/>
      <c r="AQ365" s="799"/>
      <c r="AR365" s="799"/>
      <c r="AS365" s="799"/>
      <c r="AT365" s="799"/>
      <c r="AU365" s="799"/>
      <c r="AV365" s="799"/>
      <c r="AW365" s="799"/>
      <c r="AX365" s="799"/>
      <c r="AY365" s="799"/>
      <c r="AZ365" s="799"/>
      <c r="BA365" s="799"/>
      <c r="BB365" s="799"/>
      <c r="BC365" s="799"/>
      <c r="BD365" s="799"/>
      <c r="BE365" s="799"/>
      <c r="BF365" s="799"/>
      <c r="BG365" s="799"/>
    </row>
    <row r="366">
      <c r="H366" s="799"/>
      <c r="I366" s="799"/>
      <c r="J366" s="799"/>
      <c r="K366" s="799"/>
      <c r="L366" s="799"/>
      <c r="M366" s="799"/>
      <c r="N366" s="799"/>
      <c r="O366" s="799"/>
      <c r="P366" s="799"/>
      <c r="Q366" s="799"/>
      <c r="R366" s="799"/>
      <c r="S366" s="799"/>
      <c r="T366" s="799"/>
      <c r="U366" s="799"/>
      <c r="V366" s="799"/>
      <c r="W366" s="799"/>
      <c r="X366" s="799"/>
      <c r="Y366" s="799"/>
      <c r="Z366" s="799"/>
      <c r="AA366" s="799"/>
      <c r="AB366" s="799"/>
      <c r="AC366" s="799"/>
      <c r="AD366" s="799"/>
      <c r="AE366" s="799"/>
      <c r="AF366" s="799"/>
      <c r="AG366" s="799"/>
      <c r="AH366" s="799"/>
      <c r="AI366" s="799"/>
      <c r="AJ366" s="799"/>
      <c r="AK366" s="799"/>
      <c r="AL366" s="799"/>
      <c r="AM366" s="799"/>
      <c r="AN366" s="799"/>
      <c r="AO366" s="799"/>
      <c r="AP366" s="799"/>
      <c r="AQ366" s="799"/>
      <c r="AR366" s="799"/>
      <c r="AS366" s="799"/>
      <c r="AT366" s="799"/>
      <c r="AU366" s="799"/>
      <c r="AV366" s="799"/>
      <c r="AW366" s="799"/>
      <c r="AX366" s="799"/>
      <c r="AY366" s="799"/>
      <c r="AZ366" s="799"/>
      <c r="BA366" s="799"/>
      <c r="BB366" s="799"/>
      <c r="BC366" s="799"/>
      <c r="BD366" s="799"/>
      <c r="BE366" s="799"/>
      <c r="BF366" s="799"/>
      <c r="BG366" s="799"/>
    </row>
    <row r="367">
      <c r="H367" s="799"/>
      <c r="I367" s="799"/>
      <c r="J367" s="799"/>
      <c r="K367" s="799"/>
      <c r="L367" s="799"/>
      <c r="M367" s="799"/>
      <c r="N367" s="799"/>
      <c r="O367" s="799"/>
      <c r="P367" s="799"/>
      <c r="Q367" s="799"/>
      <c r="R367" s="799"/>
      <c r="S367" s="799"/>
      <c r="T367" s="799"/>
      <c r="U367" s="799"/>
      <c r="V367" s="799"/>
      <c r="W367" s="799"/>
      <c r="X367" s="799"/>
      <c r="Y367" s="799"/>
      <c r="Z367" s="799"/>
      <c r="AA367" s="799"/>
      <c r="AB367" s="799"/>
      <c r="AC367" s="799"/>
      <c r="AD367" s="799"/>
      <c r="AE367" s="799"/>
      <c r="AF367" s="799"/>
      <c r="AG367" s="799"/>
      <c r="AH367" s="799"/>
      <c r="AI367" s="799"/>
      <c r="AJ367" s="799"/>
      <c r="AK367" s="799"/>
      <c r="AL367" s="799"/>
      <c r="AM367" s="799"/>
      <c r="AN367" s="799"/>
      <c r="AO367" s="799"/>
      <c r="AP367" s="799"/>
      <c r="AQ367" s="799"/>
      <c r="AR367" s="799"/>
      <c r="AS367" s="799"/>
      <c r="AT367" s="799"/>
      <c r="AU367" s="799"/>
      <c r="AV367" s="799"/>
      <c r="AW367" s="799"/>
      <c r="AX367" s="799"/>
      <c r="AY367" s="799"/>
      <c r="AZ367" s="799"/>
      <c r="BA367" s="799"/>
      <c r="BB367" s="799"/>
      <c r="BC367" s="799"/>
      <c r="BD367" s="799"/>
      <c r="BE367" s="799"/>
      <c r="BF367" s="799"/>
      <c r="BG367" s="799"/>
    </row>
    <row r="368">
      <c r="H368" s="799"/>
      <c r="I368" s="799"/>
      <c r="J368" s="799"/>
      <c r="K368" s="799"/>
      <c r="L368" s="799"/>
      <c r="M368" s="799"/>
      <c r="N368" s="799"/>
      <c r="O368" s="799"/>
      <c r="P368" s="799"/>
      <c r="Q368" s="799"/>
      <c r="R368" s="799"/>
      <c r="S368" s="799"/>
      <c r="T368" s="799"/>
      <c r="U368" s="799"/>
      <c r="V368" s="799"/>
      <c r="W368" s="799"/>
      <c r="X368" s="799"/>
      <c r="Y368" s="799"/>
      <c r="Z368" s="799"/>
      <c r="AA368" s="799"/>
      <c r="AB368" s="799"/>
      <c r="AC368" s="799"/>
      <c r="AD368" s="799"/>
      <c r="AE368" s="799"/>
      <c r="AF368" s="799"/>
      <c r="AG368" s="799"/>
      <c r="AH368" s="799"/>
      <c r="AI368" s="799"/>
      <c r="AJ368" s="799"/>
      <c r="AK368" s="799"/>
      <c r="AL368" s="799"/>
      <c r="AM368" s="799"/>
      <c r="AN368" s="799"/>
      <c r="AO368" s="799"/>
      <c r="AP368" s="799"/>
      <c r="AQ368" s="799"/>
      <c r="AR368" s="799"/>
      <c r="AS368" s="799"/>
      <c r="AT368" s="799"/>
      <c r="AU368" s="799"/>
      <c r="AV368" s="799"/>
      <c r="AW368" s="799"/>
      <c r="AX368" s="799"/>
      <c r="AY368" s="799"/>
      <c r="AZ368" s="799"/>
      <c r="BA368" s="799"/>
      <c r="BB368" s="799"/>
      <c r="BC368" s="799"/>
      <c r="BD368" s="799"/>
      <c r="BE368" s="799"/>
      <c r="BF368" s="799"/>
      <c r="BG368" s="799"/>
    </row>
    <row r="369">
      <c r="H369" s="799"/>
      <c r="I369" s="799"/>
      <c r="J369" s="799"/>
      <c r="K369" s="799"/>
      <c r="L369" s="799"/>
      <c r="M369" s="799"/>
      <c r="N369" s="799"/>
      <c r="O369" s="799"/>
      <c r="P369" s="799"/>
      <c r="Q369" s="799"/>
      <c r="R369" s="799"/>
      <c r="S369" s="799"/>
      <c r="T369" s="799"/>
      <c r="U369" s="799"/>
      <c r="V369" s="799"/>
      <c r="W369" s="799"/>
      <c r="X369" s="799"/>
      <c r="Y369" s="799"/>
      <c r="Z369" s="799"/>
      <c r="AA369" s="799"/>
      <c r="AB369" s="799"/>
      <c r="AC369" s="799"/>
      <c r="AD369" s="799"/>
      <c r="AE369" s="799"/>
      <c r="AF369" s="799"/>
      <c r="AG369" s="799"/>
      <c r="AH369" s="799"/>
      <c r="AI369" s="799"/>
      <c r="AJ369" s="799"/>
      <c r="AK369" s="799"/>
      <c r="AL369" s="799"/>
      <c r="AM369" s="799"/>
      <c r="AN369" s="799"/>
      <c r="AO369" s="799"/>
      <c r="AP369" s="799"/>
      <c r="AQ369" s="799"/>
      <c r="AR369" s="799"/>
      <c r="AS369" s="799"/>
      <c r="AT369" s="799"/>
      <c r="AU369" s="799"/>
      <c r="AV369" s="799"/>
      <c r="AW369" s="799"/>
      <c r="AX369" s="799"/>
      <c r="AY369" s="799"/>
      <c r="AZ369" s="799"/>
      <c r="BA369" s="799"/>
      <c r="BB369" s="799"/>
      <c r="BC369" s="799"/>
      <c r="BD369" s="799"/>
      <c r="BE369" s="799"/>
      <c r="BF369" s="799"/>
      <c r="BG369" s="799"/>
    </row>
    <row r="370">
      <c r="H370" s="799"/>
      <c r="I370" s="799"/>
      <c r="J370" s="799"/>
      <c r="K370" s="799"/>
      <c r="L370" s="799"/>
      <c r="M370" s="799"/>
      <c r="N370" s="799"/>
      <c r="O370" s="799"/>
      <c r="P370" s="799"/>
      <c r="Q370" s="799"/>
      <c r="R370" s="799"/>
      <c r="S370" s="799"/>
      <c r="T370" s="799"/>
      <c r="U370" s="799"/>
      <c r="V370" s="799"/>
      <c r="W370" s="799"/>
      <c r="X370" s="799"/>
      <c r="Y370" s="799"/>
      <c r="Z370" s="799"/>
      <c r="AA370" s="799"/>
      <c r="AB370" s="799"/>
      <c r="AC370" s="799"/>
      <c r="AD370" s="799"/>
      <c r="AE370" s="799"/>
      <c r="AF370" s="799"/>
      <c r="AG370" s="799"/>
      <c r="AH370" s="799"/>
      <c r="AI370" s="799"/>
      <c r="AJ370" s="799"/>
      <c r="AK370" s="799"/>
      <c r="AL370" s="799"/>
      <c r="AM370" s="799"/>
      <c r="AN370" s="799"/>
      <c r="AO370" s="799"/>
      <c r="AP370" s="799"/>
      <c r="AQ370" s="799"/>
      <c r="AR370" s="799"/>
      <c r="AS370" s="799"/>
      <c r="AT370" s="799"/>
      <c r="AU370" s="799"/>
      <c r="AV370" s="799"/>
      <c r="AW370" s="799"/>
      <c r="AX370" s="799"/>
      <c r="AY370" s="799"/>
      <c r="AZ370" s="799"/>
      <c r="BA370" s="799"/>
      <c r="BB370" s="799"/>
      <c r="BC370" s="799"/>
      <c r="BD370" s="799"/>
      <c r="BE370" s="799"/>
      <c r="BF370" s="799"/>
      <c r="BG370" s="799"/>
    </row>
    <row r="371">
      <c r="H371" s="799"/>
      <c r="I371" s="799"/>
      <c r="J371" s="799"/>
      <c r="K371" s="799"/>
      <c r="L371" s="799"/>
      <c r="M371" s="799"/>
      <c r="N371" s="799"/>
      <c r="O371" s="799"/>
      <c r="P371" s="799"/>
      <c r="Q371" s="799"/>
      <c r="R371" s="799"/>
      <c r="S371" s="799"/>
      <c r="T371" s="799"/>
      <c r="U371" s="799"/>
      <c r="V371" s="799"/>
      <c r="W371" s="799"/>
      <c r="X371" s="799"/>
      <c r="Y371" s="799"/>
      <c r="Z371" s="799"/>
      <c r="AA371" s="799"/>
      <c r="AB371" s="799"/>
      <c r="AC371" s="799"/>
      <c r="AD371" s="799"/>
      <c r="AE371" s="799"/>
      <c r="AF371" s="799"/>
      <c r="AG371" s="799"/>
      <c r="AH371" s="799"/>
      <c r="AI371" s="799"/>
      <c r="AJ371" s="799"/>
      <c r="AK371" s="799"/>
      <c r="AL371" s="799"/>
      <c r="AM371" s="799"/>
      <c r="AN371" s="799"/>
      <c r="AO371" s="799"/>
      <c r="AP371" s="799"/>
      <c r="AQ371" s="799"/>
      <c r="AR371" s="799"/>
      <c r="AS371" s="799"/>
      <c r="AT371" s="799"/>
      <c r="AU371" s="799"/>
      <c r="AV371" s="799"/>
      <c r="AW371" s="799"/>
      <c r="AX371" s="799"/>
      <c r="AY371" s="799"/>
      <c r="AZ371" s="799"/>
      <c r="BA371" s="799"/>
      <c r="BB371" s="799"/>
      <c r="BC371" s="799"/>
      <c r="BD371" s="799"/>
      <c r="BE371" s="799"/>
      <c r="BF371" s="799"/>
      <c r="BG371" s="799"/>
    </row>
    <row r="372">
      <c r="H372" s="799"/>
      <c r="I372" s="799"/>
      <c r="J372" s="799"/>
      <c r="K372" s="799"/>
      <c r="L372" s="799"/>
      <c r="M372" s="799"/>
      <c r="N372" s="799"/>
      <c r="O372" s="799"/>
      <c r="P372" s="799"/>
      <c r="Q372" s="799"/>
      <c r="R372" s="799"/>
      <c r="S372" s="799"/>
      <c r="T372" s="799"/>
      <c r="U372" s="799"/>
      <c r="V372" s="799"/>
      <c r="W372" s="799"/>
      <c r="X372" s="799"/>
      <c r="Y372" s="799"/>
      <c r="Z372" s="799"/>
      <c r="AA372" s="799"/>
      <c r="AB372" s="799"/>
      <c r="AC372" s="799"/>
      <c r="AD372" s="799"/>
      <c r="AE372" s="799"/>
      <c r="AF372" s="799"/>
      <c r="AG372" s="799"/>
      <c r="AH372" s="799"/>
      <c r="AI372" s="799"/>
      <c r="AJ372" s="799"/>
      <c r="AK372" s="799"/>
      <c r="AL372" s="799"/>
      <c r="AM372" s="799"/>
      <c r="AN372" s="799"/>
      <c r="AO372" s="799"/>
      <c r="AP372" s="799"/>
      <c r="AQ372" s="799"/>
      <c r="AR372" s="799"/>
      <c r="AS372" s="799"/>
      <c r="AT372" s="799"/>
      <c r="AU372" s="799"/>
      <c r="AV372" s="799"/>
      <c r="AW372" s="799"/>
      <c r="AX372" s="799"/>
      <c r="AY372" s="799"/>
      <c r="AZ372" s="799"/>
      <c r="BA372" s="799"/>
      <c r="BB372" s="799"/>
      <c r="BC372" s="799"/>
      <c r="BD372" s="799"/>
      <c r="BE372" s="799"/>
      <c r="BF372" s="799"/>
      <c r="BG372" s="799"/>
    </row>
    <row r="373">
      <c r="H373" s="799"/>
      <c r="I373" s="799"/>
      <c r="J373" s="799"/>
      <c r="K373" s="799"/>
      <c r="L373" s="799"/>
      <c r="M373" s="799"/>
      <c r="N373" s="799"/>
      <c r="O373" s="799"/>
      <c r="P373" s="799"/>
      <c r="Q373" s="799"/>
      <c r="R373" s="799"/>
      <c r="S373" s="799"/>
      <c r="T373" s="799"/>
      <c r="U373" s="799"/>
      <c r="V373" s="799"/>
      <c r="W373" s="799"/>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799"/>
      <c r="AX373" s="799"/>
      <c r="AY373" s="799"/>
      <c r="AZ373" s="799"/>
      <c r="BA373" s="799"/>
      <c r="BB373" s="799"/>
      <c r="BC373" s="799"/>
      <c r="BD373" s="799"/>
      <c r="BE373" s="799"/>
      <c r="BF373" s="799"/>
      <c r="BG373" s="799"/>
    </row>
    <row r="374">
      <c r="H374" s="799"/>
      <c r="I374" s="799"/>
      <c r="J374" s="799"/>
      <c r="K374" s="799"/>
      <c r="L374" s="799"/>
      <c r="M374" s="799"/>
      <c r="N374" s="799"/>
      <c r="O374" s="799"/>
      <c r="P374" s="799"/>
      <c r="Q374" s="799"/>
      <c r="R374" s="799"/>
      <c r="S374" s="799"/>
      <c r="T374" s="799"/>
      <c r="U374" s="799"/>
      <c r="V374" s="799"/>
      <c r="W374" s="799"/>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799"/>
      <c r="AX374" s="799"/>
      <c r="AY374" s="799"/>
      <c r="AZ374" s="799"/>
      <c r="BA374" s="799"/>
      <c r="BB374" s="799"/>
      <c r="BC374" s="799"/>
      <c r="BD374" s="799"/>
      <c r="BE374" s="799"/>
      <c r="BF374" s="799"/>
      <c r="BG374" s="799"/>
    </row>
    <row r="375">
      <c r="H375" s="799"/>
      <c r="I375" s="799"/>
      <c r="J375" s="799"/>
      <c r="K375" s="799"/>
      <c r="L375" s="799"/>
      <c r="M375" s="799"/>
      <c r="N375" s="799"/>
      <c r="O375" s="799"/>
      <c r="P375" s="799"/>
      <c r="Q375" s="799"/>
      <c r="R375" s="799"/>
      <c r="S375" s="799"/>
      <c r="T375" s="799"/>
      <c r="U375" s="799"/>
      <c r="V375" s="799"/>
      <c r="W375" s="799"/>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799"/>
      <c r="AX375" s="799"/>
      <c r="AY375" s="799"/>
      <c r="AZ375" s="799"/>
      <c r="BA375" s="799"/>
      <c r="BB375" s="799"/>
      <c r="BC375" s="799"/>
      <c r="BD375" s="799"/>
      <c r="BE375" s="799"/>
      <c r="BF375" s="799"/>
      <c r="BG375" s="799"/>
    </row>
    <row r="376">
      <c r="H376" s="799"/>
      <c r="I376" s="799"/>
      <c r="J376" s="799"/>
      <c r="K376" s="799"/>
      <c r="L376" s="799"/>
      <c r="M376" s="799"/>
      <c r="N376" s="799"/>
      <c r="O376" s="799"/>
      <c r="P376" s="799"/>
      <c r="Q376" s="799"/>
      <c r="R376" s="799"/>
      <c r="S376" s="799"/>
      <c r="T376" s="799"/>
      <c r="U376" s="799"/>
      <c r="V376" s="799"/>
      <c r="W376" s="799"/>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799"/>
      <c r="AX376" s="799"/>
      <c r="AY376" s="799"/>
      <c r="AZ376" s="799"/>
      <c r="BA376" s="799"/>
      <c r="BB376" s="799"/>
      <c r="BC376" s="799"/>
      <c r="BD376" s="799"/>
      <c r="BE376" s="799"/>
      <c r="BF376" s="799"/>
      <c r="BG376" s="799"/>
    </row>
    <row r="377">
      <c r="H377" s="799"/>
      <c r="I377" s="799"/>
      <c r="J377" s="799"/>
      <c r="K377" s="799"/>
      <c r="L377" s="799"/>
      <c r="M377" s="799"/>
      <c r="N377" s="799"/>
      <c r="O377" s="799"/>
      <c r="P377" s="799"/>
      <c r="Q377" s="799"/>
      <c r="R377" s="799"/>
      <c r="S377" s="799"/>
      <c r="T377" s="799"/>
      <c r="U377" s="799"/>
      <c r="V377" s="799"/>
      <c r="W377" s="799"/>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799"/>
      <c r="AX377" s="799"/>
      <c r="AY377" s="799"/>
      <c r="AZ377" s="799"/>
      <c r="BA377" s="799"/>
      <c r="BB377" s="799"/>
      <c r="BC377" s="799"/>
      <c r="BD377" s="799"/>
      <c r="BE377" s="799"/>
      <c r="BF377" s="799"/>
      <c r="BG377" s="799"/>
    </row>
    <row r="378">
      <c r="H378" s="799"/>
      <c r="I378" s="799"/>
      <c r="J378" s="799"/>
      <c r="K378" s="799"/>
      <c r="L378" s="799"/>
      <c r="M378" s="799"/>
      <c r="N378" s="799"/>
      <c r="O378" s="799"/>
      <c r="P378" s="799"/>
      <c r="Q378" s="799"/>
      <c r="R378" s="799"/>
      <c r="S378" s="799"/>
      <c r="T378" s="799"/>
      <c r="U378" s="799"/>
      <c r="V378" s="799"/>
      <c r="W378" s="799"/>
      <c r="X378" s="799"/>
      <c r="Y378" s="799"/>
      <c r="Z378" s="799"/>
      <c r="AA378" s="799"/>
      <c r="AB378" s="799"/>
      <c r="AC378" s="799"/>
      <c r="AD378" s="799"/>
      <c r="AE378" s="799"/>
      <c r="AF378" s="799"/>
      <c r="AG378" s="799"/>
      <c r="AH378" s="799"/>
      <c r="AI378" s="799"/>
      <c r="AJ378" s="799"/>
      <c r="AK378" s="799"/>
      <c r="AL378" s="799"/>
      <c r="AM378" s="799"/>
      <c r="AN378" s="799"/>
      <c r="AO378" s="799"/>
      <c r="AP378" s="799"/>
      <c r="AQ378" s="799"/>
      <c r="AR378" s="799"/>
      <c r="AS378" s="799"/>
      <c r="AT378" s="799"/>
      <c r="AU378" s="799"/>
      <c r="AV378" s="799"/>
      <c r="AW378" s="799"/>
      <c r="AX378" s="799"/>
      <c r="AY378" s="799"/>
      <c r="AZ378" s="799"/>
      <c r="BA378" s="799"/>
      <c r="BB378" s="799"/>
      <c r="BC378" s="799"/>
      <c r="BD378" s="799"/>
      <c r="BE378" s="799"/>
      <c r="BF378" s="799"/>
      <c r="BG378" s="799"/>
    </row>
    <row r="379">
      <c r="H379" s="799"/>
      <c r="I379" s="799"/>
      <c r="J379" s="799"/>
      <c r="K379" s="799"/>
      <c r="L379" s="799"/>
      <c r="M379" s="799"/>
      <c r="N379" s="799"/>
      <c r="O379" s="799"/>
      <c r="P379" s="799"/>
      <c r="Q379" s="799"/>
      <c r="R379" s="799"/>
      <c r="S379" s="799"/>
      <c r="T379" s="799"/>
      <c r="U379" s="799"/>
      <c r="V379" s="799"/>
      <c r="W379" s="799"/>
      <c r="X379" s="799"/>
      <c r="Y379" s="799"/>
      <c r="Z379" s="799"/>
      <c r="AA379" s="799"/>
      <c r="AB379" s="799"/>
      <c r="AC379" s="799"/>
      <c r="AD379" s="799"/>
      <c r="AE379" s="799"/>
      <c r="AF379" s="799"/>
      <c r="AG379" s="799"/>
      <c r="AH379" s="799"/>
      <c r="AI379" s="799"/>
      <c r="AJ379" s="799"/>
      <c r="AK379" s="799"/>
      <c r="AL379" s="799"/>
      <c r="AM379" s="799"/>
      <c r="AN379" s="799"/>
      <c r="AO379" s="799"/>
      <c r="AP379" s="799"/>
      <c r="AQ379" s="799"/>
      <c r="AR379" s="799"/>
      <c r="AS379" s="799"/>
      <c r="AT379" s="799"/>
      <c r="AU379" s="799"/>
      <c r="AV379" s="799"/>
      <c r="AW379" s="799"/>
      <c r="AX379" s="799"/>
      <c r="AY379" s="799"/>
      <c r="AZ379" s="799"/>
      <c r="BA379" s="799"/>
      <c r="BB379" s="799"/>
      <c r="BC379" s="799"/>
      <c r="BD379" s="799"/>
      <c r="BE379" s="799"/>
      <c r="BF379" s="799"/>
      <c r="BG379" s="799"/>
    </row>
    <row r="380">
      <c r="H380" s="799"/>
      <c r="I380" s="799"/>
      <c r="J380" s="799"/>
      <c r="K380" s="799"/>
      <c r="L380" s="799"/>
      <c r="M380" s="799"/>
      <c r="N380" s="799"/>
      <c r="O380" s="799"/>
      <c r="P380" s="799"/>
      <c r="Q380" s="799"/>
      <c r="R380" s="799"/>
      <c r="S380" s="799"/>
      <c r="T380" s="799"/>
      <c r="U380" s="799"/>
      <c r="V380" s="799"/>
      <c r="W380" s="799"/>
      <c r="X380" s="799"/>
      <c r="Y380" s="799"/>
      <c r="Z380" s="799"/>
      <c r="AA380" s="799"/>
      <c r="AB380" s="799"/>
      <c r="AC380" s="799"/>
      <c r="AD380" s="799"/>
      <c r="AE380" s="799"/>
      <c r="AF380" s="799"/>
      <c r="AG380" s="799"/>
      <c r="AH380" s="799"/>
      <c r="AI380" s="799"/>
      <c r="AJ380" s="799"/>
      <c r="AK380" s="799"/>
      <c r="AL380" s="799"/>
      <c r="AM380" s="799"/>
      <c r="AN380" s="799"/>
      <c r="AO380" s="799"/>
      <c r="AP380" s="799"/>
      <c r="AQ380" s="799"/>
      <c r="AR380" s="799"/>
      <c r="AS380" s="799"/>
      <c r="AT380" s="799"/>
      <c r="AU380" s="799"/>
      <c r="AV380" s="799"/>
      <c r="AW380" s="799"/>
      <c r="AX380" s="799"/>
      <c r="AY380" s="799"/>
      <c r="AZ380" s="799"/>
      <c r="BA380" s="799"/>
      <c r="BB380" s="799"/>
      <c r="BC380" s="799"/>
      <c r="BD380" s="799"/>
      <c r="BE380" s="799"/>
      <c r="BF380" s="799"/>
      <c r="BG380" s="799"/>
    </row>
    <row r="381">
      <c r="H381" s="799"/>
      <c r="I381" s="799"/>
      <c r="J381" s="799"/>
      <c r="K381" s="799"/>
      <c r="L381" s="799"/>
      <c r="M381" s="799"/>
      <c r="N381" s="799"/>
      <c r="O381" s="799"/>
      <c r="P381" s="799"/>
      <c r="Q381" s="799"/>
      <c r="R381" s="799"/>
      <c r="S381" s="799"/>
      <c r="T381" s="799"/>
      <c r="U381" s="799"/>
      <c r="V381" s="799"/>
      <c r="W381" s="799"/>
      <c r="X381" s="799"/>
      <c r="Y381" s="799"/>
      <c r="Z381" s="799"/>
      <c r="AA381" s="799"/>
      <c r="AB381" s="799"/>
      <c r="AC381" s="799"/>
      <c r="AD381" s="799"/>
      <c r="AE381" s="799"/>
      <c r="AF381" s="799"/>
      <c r="AG381" s="799"/>
      <c r="AH381" s="799"/>
      <c r="AI381" s="799"/>
      <c r="AJ381" s="799"/>
      <c r="AK381" s="799"/>
      <c r="AL381" s="799"/>
      <c r="AM381" s="799"/>
      <c r="AN381" s="799"/>
      <c r="AO381" s="799"/>
      <c r="AP381" s="799"/>
      <c r="AQ381" s="799"/>
      <c r="AR381" s="799"/>
      <c r="AS381" s="799"/>
      <c r="AT381" s="799"/>
      <c r="AU381" s="799"/>
      <c r="AV381" s="799"/>
      <c r="AW381" s="799"/>
      <c r="AX381" s="799"/>
      <c r="AY381" s="799"/>
      <c r="AZ381" s="799"/>
      <c r="BA381" s="799"/>
      <c r="BB381" s="799"/>
      <c r="BC381" s="799"/>
      <c r="BD381" s="799"/>
      <c r="BE381" s="799"/>
      <c r="BF381" s="799"/>
      <c r="BG381" s="799"/>
    </row>
    <row r="382">
      <c r="H382" s="799"/>
      <c r="I382" s="799"/>
      <c r="J382" s="799"/>
      <c r="K382" s="799"/>
      <c r="L382" s="799"/>
      <c r="M382" s="799"/>
      <c r="N382" s="799"/>
      <c r="O382" s="799"/>
      <c r="P382" s="799"/>
      <c r="Q382" s="799"/>
      <c r="R382" s="799"/>
      <c r="S382" s="799"/>
      <c r="T382" s="799"/>
      <c r="U382" s="799"/>
      <c r="V382" s="799"/>
      <c r="W382" s="799"/>
      <c r="X382" s="799"/>
      <c r="Y382" s="799"/>
      <c r="Z382" s="799"/>
      <c r="AA382" s="799"/>
      <c r="AB382" s="799"/>
      <c r="AC382" s="799"/>
      <c r="AD382" s="799"/>
      <c r="AE382" s="799"/>
      <c r="AF382" s="799"/>
      <c r="AG382" s="799"/>
      <c r="AH382" s="799"/>
      <c r="AI382" s="799"/>
      <c r="AJ382" s="799"/>
      <c r="AK382" s="799"/>
      <c r="AL382" s="799"/>
      <c r="AM382" s="799"/>
      <c r="AN382" s="799"/>
      <c r="AO382" s="799"/>
      <c r="AP382" s="799"/>
      <c r="AQ382" s="799"/>
      <c r="AR382" s="799"/>
      <c r="AS382" s="799"/>
      <c r="AT382" s="799"/>
      <c r="AU382" s="799"/>
      <c r="AV382" s="799"/>
      <c r="AW382" s="799"/>
      <c r="AX382" s="799"/>
      <c r="AY382" s="799"/>
      <c r="AZ382" s="799"/>
      <c r="BA382" s="799"/>
      <c r="BB382" s="799"/>
      <c r="BC382" s="799"/>
      <c r="BD382" s="799"/>
      <c r="BE382" s="799"/>
      <c r="BF382" s="799"/>
      <c r="BG382" s="799"/>
    </row>
    <row r="383">
      <c r="H383" s="799"/>
      <c r="I383" s="799"/>
      <c r="J383" s="799"/>
      <c r="K383" s="799"/>
      <c r="L383" s="799"/>
      <c r="M383" s="799"/>
      <c r="N383" s="799"/>
      <c r="O383" s="799"/>
      <c r="P383" s="799"/>
      <c r="Q383" s="799"/>
      <c r="R383" s="799"/>
      <c r="S383" s="799"/>
      <c r="T383" s="799"/>
      <c r="U383" s="799"/>
      <c r="V383" s="799"/>
      <c r="W383" s="799"/>
      <c r="X383" s="799"/>
      <c r="Y383" s="799"/>
      <c r="Z383" s="799"/>
      <c r="AA383" s="799"/>
      <c r="AB383" s="799"/>
      <c r="AC383" s="799"/>
      <c r="AD383" s="799"/>
      <c r="AE383" s="799"/>
      <c r="AF383" s="799"/>
      <c r="AG383" s="799"/>
      <c r="AH383" s="799"/>
      <c r="AI383" s="799"/>
      <c r="AJ383" s="799"/>
      <c r="AK383" s="799"/>
      <c r="AL383" s="799"/>
      <c r="AM383" s="799"/>
      <c r="AN383" s="799"/>
      <c r="AO383" s="799"/>
      <c r="AP383" s="799"/>
      <c r="AQ383" s="799"/>
      <c r="AR383" s="799"/>
      <c r="AS383" s="799"/>
      <c r="AT383" s="799"/>
      <c r="AU383" s="799"/>
      <c r="AV383" s="799"/>
      <c r="AW383" s="799"/>
      <c r="AX383" s="799"/>
      <c r="AY383" s="799"/>
      <c r="AZ383" s="799"/>
      <c r="BA383" s="799"/>
      <c r="BB383" s="799"/>
      <c r="BC383" s="799"/>
      <c r="BD383" s="799"/>
      <c r="BE383" s="799"/>
      <c r="BF383" s="799"/>
      <c r="BG383" s="799"/>
    </row>
    <row r="384">
      <c r="H384" s="799"/>
      <c r="I384" s="799"/>
      <c r="J384" s="799"/>
      <c r="K384" s="799"/>
      <c r="L384" s="799"/>
      <c r="M384" s="799"/>
      <c r="N384" s="799"/>
      <c r="O384" s="799"/>
      <c r="P384" s="799"/>
      <c r="Q384" s="799"/>
      <c r="R384" s="799"/>
      <c r="S384" s="799"/>
      <c r="T384" s="799"/>
      <c r="U384" s="799"/>
      <c r="V384" s="799"/>
      <c r="W384" s="799"/>
      <c r="X384" s="799"/>
      <c r="Y384" s="799"/>
      <c r="Z384" s="799"/>
      <c r="AA384" s="799"/>
      <c r="AB384" s="799"/>
      <c r="AC384" s="799"/>
      <c r="AD384" s="799"/>
      <c r="AE384" s="799"/>
      <c r="AF384" s="799"/>
      <c r="AG384" s="799"/>
      <c r="AH384" s="799"/>
      <c r="AI384" s="799"/>
      <c r="AJ384" s="799"/>
      <c r="AK384" s="799"/>
      <c r="AL384" s="799"/>
      <c r="AM384" s="799"/>
      <c r="AN384" s="799"/>
      <c r="AO384" s="799"/>
      <c r="AP384" s="799"/>
      <c r="AQ384" s="799"/>
      <c r="AR384" s="799"/>
      <c r="AS384" s="799"/>
      <c r="AT384" s="799"/>
      <c r="AU384" s="799"/>
      <c r="AV384" s="799"/>
      <c r="AW384" s="799"/>
      <c r="AX384" s="799"/>
      <c r="AY384" s="799"/>
      <c r="AZ384" s="799"/>
      <c r="BA384" s="799"/>
      <c r="BB384" s="799"/>
      <c r="BC384" s="799"/>
      <c r="BD384" s="799"/>
      <c r="BE384" s="799"/>
      <c r="BF384" s="799"/>
      <c r="BG384" s="799"/>
    </row>
    <row r="385">
      <c r="H385" s="799"/>
      <c r="I385" s="799"/>
      <c r="J385" s="799"/>
      <c r="K385" s="799"/>
      <c r="L385" s="799"/>
      <c r="M385" s="799"/>
      <c r="N385" s="799"/>
      <c r="O385" s="799"/>
      <c r="P385" s="799"/>
      <c r="Q385" s="799"/>
      <c r="R385" s="799"/>
      <c r="S385" s="799"/>
      <c r="T385" s="799"/>
      <c r="U385" s="799"/>
      <c r="V385" s="799"/>
      <c r="W385" s="799"/>
      <c r="X385" s="799"/>
      <c r="Y385" s="799"/>
      <c r="Z385" s="799"/>
      <c r="AA385" s="799"/>
      <c r="AB385" s="799"/>
      <c r="AC385" s="799"/>
      <c r="AD385" s="799"/>
      <c r="AE385" s="799"/>
      <c r="AF385" s="799"/>
      <c r="AG385" s="799"/>
      <c r="AH385" s="799"/>
      <c r="AI385" s="799"/>
      <c r="AJ385" s="799"/>
      <c r="AK385" s="799"/>
      <c r="AL385" s="799"/>
      <c r="AM385" s="799"/>
      <c r="AN385" s="799"/>
      <c r="AO385" s="799"/>
      <c r="AP385" s="799"/>
      <c r="AQ385" s="799"/>
      <c r="AR385" s="799"/>
      <c r="AS385" s="799"/>
      <c r="AT385" s="799"/>
      <c r="AU385" s="799"/>
      <c r="AV385" s="799"/>
      <c r="AW385" s="799"/>
      <c r="AX385" s="799"/>
      <c r="AY385" s="799"/>
      <c r="AZ385" s="799"/>
      <c r="BA385" s="799"/>
      <c r="BB385" s="799"/>
      <c r="BC385" s="799"/>
      <c r="BD385" s="799"/>
      <c r="BE385" s="799"/>
      <c r="BF385" s="799"/>
      <c r="BG385" s="799"/>
    </row>
    <row r="386">
      <c r="H386" s="799"/>
      <c r="I386" s="799"/>
      <c r="J386" s="799"/>
      <c r="K386" s="799"/>
      <c r="L386" s="799"/>
      <c r="M386" s="799"/>
      <c r="N386" s="799"/>
      <c r="O386" s="799"/>
      <c r="P386" s="799"/>
      <c r="Q386" s="799"/>
      <c r="R386" s="799"/>
      <c r="S386" s="799"/>
      <c r="T386" s="799"/>
      <c r="U386" s="799"/>
      <c r="V386" s="799"/>
      <c r="W386" s="799"/>
      <c r="X386" s="799"/>
      <c r="Y386" s="799"/>
      <c r="Z386" s="799"/>
      <c r="AA386" s="799"/>
      <c r="AB386" s="799"/>
      <c r="AC386" s="799"/>
      <c r="AD386" s="799"/>
      <c r="AE386" s="799"/>
      <c r="AF386" s="799"/>
      <c r="AG386" s="799"/>
      <c r="AH386" s="799"/>
      <c r="AI386" s="799"/>
      <c r="AJ386" s="799"/>
      <c r="AK386" s="799"/>
      <c r="AL386" s="799"/>
      <c r="AM386" s="799"/>
      <c r="AN386" s="799"/>
      <c r="AO386" s="799"/>
      <c r="AP386" s="799"/>
      <c r="AQ386" s="799"/>
      <c r="AR386" s="799"/>
      <c r="AS386" s="799"/>
      <c r="AT386" s="799"/>
      <c r="AU386" s="799"/>
      <c r="AV386" s="799"/>
      <c r="AW386" s="799"/>
      <c r="AX386" s="799"/>
      <c r="AY386" s="799"/>
      <c r="AZ386" s="799"/>
      <c r="BA386" s="799"/>
      <c r="BB386" s="799"/>
      <c r="BC386" s="799"/>
      <c r="BD386" s="799"/>
      <c r="BE386" s="799"/>
      <c r="BF386" s="799"/>
      <c r="BG386" s="799"/>
    </row>
    <row r="387">
      <c r="H387" s="799"/>
      <c r="I387" s="799"/>
      <c r="J387" s="799"/>
      <c r="K387" s="799"/>
      <c r="L387" s="799"/>
      <c r="M387" s="799"/>
      <c r="N387" s="799"/>
      <c r="O387" s="799"/>
      <c r="P387" s="799"/>
      <c r="Q387" s="799"/>
      <c r="R387" s="799"/>
      <c r="S387" s="799"/>
      <c r="T387" s="799"/>
      <c r="U387" s="799"/>
      <c r="V387" s="799"/>
      <c r="W387" s="799"/>
      <c r="X387" s="799"/>
      <c r="Y387" s="799"/>
      <c r="Z387" s="799"/>
      <c r="AA387" s="799"/>
      <c r="AB387" s="799"/>
      <c r="AC387" s="799"/>
      <c r="AD387" s="799"/>
      <c r="AE387" s="799"/>
      <c r="AF387" s="799"/>
      <c r="AG387" s="799"/>
      <c r="AH387" s="799"/>
      <c r="AI387" s="799"/>
      <c r="AJ387" s="799"/>
      <c r="AK387" s="799"/>
      <c r="AL387" s="799"/>
      <c r="AM387" s="799"/>
      <c r="AN387" s="799"/>
      <c r="AO387" s="799"/>
      <c r="AP387" s="799"/>
      <c r="AQ387" s="799"/>
      <c r="AR387" s="799"/>
      <c r="AS387" s="799"/>
      <c r="AT387" s="799"/>
      <c r="AU387" s="799"/>
      <c r="AV387" s="799"/>
      <c r="AW387" s="799"/>
      <c r="AX387" s="799"/>
      <c r="AY387" s="799"/>
      <c r="AZ387" s="799"/>
      <c r="BA387" s="799"/>
      <c r="BB387" s="799"/>
      <c r="BC387" s="799"/>
      <c r="BD387" s="799"/>
      <c r="BE387" s="799"/>
      <c r="BF387" s="799"/>
      <c r="BG387" s="799"/>
    </row>
    <row r="388">
      <c r="H388" s="799"/>
      <c r="I388" s="799"/>
      <c r="J388" s="799"/>
      <c r="K388" s="799"/>
      <c r="L388" s="799"/>
      <c r="M388" s="799"/>
      <c r="N388" s="799"/>
      <c r="O388" s="799"/>
      <c r="P388" s="799"/>
      <c r="Q388" s="799"/>
      <c r="R388" s="799"/>
      <c r="S388" s="799"/>
      <c r="T388" s="799"/>
      <c r="U388" s="799"/>
      <c r="V388" s="799"/>
      <c r="W388" s="799"/>
      <c r="X388" s="799"/>
      <c r="Y388" s="799"/>
      <c r="Z388" s="799"/>
      <c r="AA388" s="799"/>
      <c r="AB388" s="799"/>
      <c r="AC388" s="799"/>
      <c r="AD388" s="799"/>
      <c r="AE388" s="799"/>
      <c r="AF388" s="799"/>
      <c r="AG388" s="799"/>
      <c r="AH388" s="799"/>
      <c r="AI388" s="799"/>
      <c r="AJ388" s="799"/>
      <c r="AK388" s="799"/>
      <c r="AL388" s="799"/>
      <c r="AM388" s="799"/>
      <c r="AN388" s="799"/>
      <c r="AO388" s="799"/>
      <c r="AP388" s="799"/>
      <c r="AQ388" s="799"/>
      <c r="AR388" s="799"/>
      <c r="AS388" s="799"/>
      <c r="AT388" s="799"/>
      <c r="AU388" s="799"/>
      <c r="AV388" s="799"/>
      <c r="AW388" s="799"/>
      <c r="AX388" s="799"/>
      <c r="AY388" s="799"/>
      <c r="AZ388" s="799"/>
      <c r="BA388" s="799"/>
      <c r="BB388" s="799"/>
      <c r="BC388" s="799"/>
      <c r="BD388" s="799"/>
      <c r="BE388" s="799"/>
      <c r="BF388" s="799"/>
      <c r="BG388" s="799"/>
    </row>
    <row r="389">
      <c r="H389" s="799"/>
      <c r="I389" s="799"/>
      <c r="J389" s="799"/>
      <c r="K389" s="799"/>
      <c r="L389" s="799"/>
      <c r="M389" s="799"/>
      <c r="N389" s="799"/>
      <c r="O389" s="799"/>
      <c r="P389" s="799"/>
      <c r="Q389" s="799"/>
      <c r="R389" s="799"/>
      <c r="S389" s="799"/>
      <c r="T389" s="799"/>
      <c r="U389" s="799"/>
      <c r="V389" s="799"/>
      <c r="W389" s="799"/>
      <c r="X389" s="799"/>
      <c r="Y389" s="799"/>
      <c r="Z389" s="799"/>
      <c r="AA389" s="799"/>
      <c r="AB389" s="799"/>
      <c r="AC389" s="799"/>
      <c r="AD389" s="799"/>
      <c r="AE389" s="799"/>
      <c r="AF389" s="799"/>
      <c r="AG389" s="799"/>
      <c r="AH389" s="799"/>
      <c r="AI389" s="799"/>
      <c r="AJ389" s="799"/>
      <c r="AK389" s="799"/>
      <c r="AL389" s="799"/>
      <c r="AM389" s="799"/>
      <c r="AN389" s="799"/>
      <c r="AO389" s="799"/>
      <c r="AP389" s="799"/>
      <c r="AQ389" s="799"/>
      <c r="AR389" s="799"/>
      <c r="AS389" s="799"/>
      <c r="AT389" s="799"/>
      <c r="AU389" s="799"/>
      <c r="AV389" s="799"/>
      <c r="AW389" s="799"/>
      <c r="AX389" s="799"/>
      <c r="AY389" s="799"/>
      <c r="AZ389" s="799"/>
      <c r="BA389" s="799"/>
      <c r="BB389" s="799"/>
      <c r="BC389" s="799"/>
      <c r="BD389" s="799"/>
      <c r="BE389" s="799"/>
      <c r="BF389" s="799"/>
      <c r="BG389" s="799"/>
    </row>
    <row r="390">
      <c r="H390" s="799"/>
      <c r="I390" s="799"/>
      <c r="J390" s="799"/>
      <c r="K390" s="799"/>
      <c r="L390" s="799"/>
      <c r="M390" s="799"/>
      <c r="N390" s="799"/>
      <c r="O390" s="799"/>
      <c r="P390" s="799"/>
      <c r="Q390" s="799"/>
      <c r="R390" s="799"/>
      <c r="S390" s="799"/>
      <c r="T390" s="799"/>
      <c r="U390" s="799"/>
      <c r="V390" s="799"/>
      <c r="W390" s="799"/>
      <c r="X390" s="799"/>
      <c r="Y390" s="799"/>
      <c r="Z390" s="799"/>
      <c r="AA390" s="799"/>
      <c r="AB390" s="799"/>
      <c r="AC390" s="799"/>
      <c r="AD390" s="799"/>
      <c r="AE390" s="799"/>
      <c r="AF390" s="799"/>
      <c r="AG390" s="799"/>
      <c r="AH390" s="799"/>
      <c r="AI390" s="799"/>
      <c r="AJ390" s="799"/>
      <c r="AK390" s="799"/>
      <c r="AL390" s="799"/>
      <c r="AM390" s="799"/>
      <c r="AN390" s="799"/>
      <c r="AO390" s="799"/>
      <c r="AP390" s="799"/>
      <c r="AQ390" s="799"/>
      <c r="AR390" s="799"/>
      <c r="AS390" s="799"/>
      <c r="AT390" s="799"/>
      <c r="AU390" s="799"/>
      <c r="AV390" s="799"/>
      <c r="AW390" s="799"/>
      <c r="AX390" s="799"/>
      <c r="AY390" s="799"/>
      <c r="AZ390" s="799"/>
      <c r="BA390" s="799"/>
      <c r="BB390" s="799"/>
      <c r="BC390" s="799"/>
      <c r="BD390" s="799"/>
      <c r="BE390" s="799"/>
      <c r="BF390" s="799"/>
      <c r="BG390" s="799"/>
    </row>
    <row r="391">
      <c r="H391" s="799"/>
      <c r="I391" s="799"/>
      <c r="J391" s="799"/>
      <c r="K391" s="799"/>
      <c r="L391" s="799"/>
      <c r="M391" s="799"/>
      <c r="N391" s="799"/>
      <c r="O391" s="799"/>
      <c r="P391" s="799"/>
      <c r="Q391" s="799"/>
      <c r="R391" s="799"/>
      <c r="S391" s="799"/>
      <c r="T391" s="799"/>
      <c r="U391" s="799"/>
      <c r="V391" s="799"/>
      <c r="W391" s="799"/>
      <c r="X391" s="799"/>
      <c r="Y391" s="799"/>
      <c r="Z391" s="799"/>
      <c r="AA391" s="799"/>
      <c r="AB391" s="799"/>
      <c r="AC391" s="799"/>
      <c r="AD391" s="799"/>
      <c r="AE391" s="799"/>
      <c r="AF391" s="799"/>
      <c r="AG391" s="799"/>
      <c r="AH391" s="799"/>
      <c r="AI391" s="799"/>
      <c r="AJ391" s="799"/>
      <c r="AK391" s="799"/>
      <c r="AL391" s="799"/>
      <c r="AM391" s="799"/>
      <c r="AN391" s="799"/>
      <c r="AO391" s="799"/>
      <c r="AP391" s="799"/>
      <c r="AQ391" s="799"/>
      <c r="AR391" s="799"/>
      <c r="AS391" s="799"/>
      <c r="AT391" s="799"/>
      <c r="AU391" s="799"/>
      <c r="AV391" s="799"/>
      <c r="AW391" s="799"/>
      <c r="AX391" s="799"/>
      <c r="AY391" s="799"/>
      <c r="AZ391" s="799"/>
      <c r="BA391" s="799"/>
      <c r="BB391" s="799"/>
      <c r="BC391" s="799"/>
      <c r="BD391" s="799"/>
      <c r="BE391" s="799"/>
      <c r="BF391" s="799"/>
      <c r="BG391" s="799"/>
    </row>
    <row r="392">
      <c r="H392" s="799"/>
      <c r="I392" s="799"/>
      <c r="J392" s="799"/>
      <c r="K392" s="799"/>
      <c r="L392" s="799"/>
      <c r="M392" s="799"/>
      <c r="N392" s="799"/>
      <c r="O392" s="799"/>
      <c r="P392" s="799"/>
      <c r="Q392" s="799"/>
      <c r="R392" s="799"/>
      <c r="S392" s="799"/>
      <c r="T392" s="799"/>
      <c r="U392" s="799"/>
      <c r="V392" s="799"/>
      <c r="W392" s="799"/>
      <c r="X392" s="799"/>
      <c r="Y392" s="799"/>
      <c r="Z392" s="799"/>
      <c r="AA392" s="799"/>
      <c r="AB392" s="799"/>
      <c r="AC392" s="799"/>
      <c r="AD392" s="799"/>
      <c r="AE392" s="799"/>
      <c r="AF392" s="799"/>
      <c r="AG392" s="799"/>
      <c r="AH392" s="799"/>
      <c r="AI392" s="799"/>
      <c r="AJ392" s="799"/>
      <c r="AK392" s="799"/>
      <c r="AL392" s="799"/>
      <c r="AM392" s="799"/>
      <c r="AN392" s="799"/>
      <c r="AO392" s="799"/>
      <c r="AP392" s="799"/>
      <c r="AQ392" s="799"/>
      <c r="AR392" s="799"/>
      <c r="AS392" s="799"/>
      <c r="AT392" s="799"/>
      <c r="AU392" s="799"/>
      <c r="AV392" s="799"/>
      <c r="AW392" s="799"/>
      <c r="AX392" s="799"/>
      <c r="AY392" s="799"/>
      <c r="AZ392" s="799"/>
      <c r="BA392" s="799"/>
      <c r="BB392" s="799"/>
      <c r="BC392" s="799"/>
      <c r="BD392" s="799"/>
      <c r="BE392" s="799"/>
      <c r="BF392" s="799"/>
      <c r="BG392" s="799"/>
    </row>
    <row r="393">
      <c r="H393" s="799"/>
      <c r="I393" s="799"/>
      <c r="J393" s="799"/>
      <c r="K393" s="799"/>
      <c r="L393" s="799"/>
      <c r="M393" s="799"/>
      <c r="N393" s="799"/>
      <c r="O393" s="799"/>
      <c r="P393" s="799"/>
      <c r="Q393" s="799"/>
      <c r="R393" s="799"/>
      <c r="S393" s="799"/>
      <c r="T393" s="799"/>
      <c r="U393" s="799"/>
      <c r="V393" s="799"/>
      <c r="W393" s="799"/>
      <c r="X393" s="799"/>
      <c r="Y393" s="799"/>
      <c r="Z393" s="799"/>
      <c r="AA393" s="799"/>
      <c r="AB393" s="799"/>
      <c r="AC393" s="799"/>
      <c r="AD393" s="799"/>
      <c r="AE393" s="799"/>
      <c r="AF393" s="799"/>
      <c r="AG393" s="799"/>
      <c r="AH393" s="799"/>
      <c r="AI393" s="799"/>
      <c r="AJ393" s="799"/>
      <c r="AK393" s="799"/>
      <c r="AL393" s="799"/>
      <c r="AM393" s="799"/>
      <c r="AN393" s="799"/>
      <c r="AO393" s="799"/>
      <c r="AP393" s="799"/>
      <c r="AQ393" s="799"/>
      <c r="AR393" s="799"/>
      <c r="AS393" s="799"/>
      <c r="AT393" s="799"/>
      <c r="AU393" s="799"/>
      <c r="AV393" s="799"/>
      <c r="AW393" s="799"/>
      <c r="AX393" s="799"/>
      <c r="AY393" s="799"/>
      <c r="AZ393" s="799"/>
      <c r="BA393" s="799"/>
      <c r="BB393" s="799"/>
      <c r="BC393" s="799"/>
      <c r="BD393" s="799"/>
      <c r="BE393" s="799"/>
      <c r="BF393" s="799"/>
      <c r="BG393" s="799"/>
    </row>
    <row r="394">
      <c r="H394" s="799"/>
      <c r="I394" s="799"/>
      <c r="J394" s="799"/>
      <c r="K394" s="799"/>
      <c r="L394" s="799"/>
      <c r="M394" s="799"/>
      <c r="N394" s="799"/>
      <c r="O394" s="799"/>
      <c r="P394" s="799"/>
      <c r="Q394" s="799"/>
      <c r="R394" s="799"/>
      <c r="S394" s="799"/>
      <c r="T394" s="799"/>
      <c r="U394" s="799"/>
      <c r="V394" s="799"/>
      <c r="W394" s="799"/>
      <c r="X394" s="799"/>
      <c r="Y394" s="799"/>
      <c r="Z394" s="799"/>
      <c r="AA394" s="799"/>
      <c r="AB394" s="799"/>
      <c r="AC394" s="799"/>
      <c r="AD394" s="799"/>
      <c r="AE394" s="799"/>
      <c r="AF394" s="799"/>
      <c r="AG394" s="799"/>
      <c r="AH394" s="799"/>
      <c r="AI394" s="799"/>
      <c r="AJ394" s="799"/>
      <c r="AK394" s="799"/>
      <c r="AL394" s="799"/>
      <c r="AM394" s="799"/>
      <c r="AN394" s="799"/>
      <c r="AO394" s="799"/>
      <c r="AP394" s="799"/>
      <c r="AQ394" s="799"/>
      <c r="AR394" s="799"/>
      <c r="AS394" s="799"/>
      <c r="AT394" s="799"/>
      <c r="AU394" s="799"/>
      <c r="AV394" s="799"/>
      <c r="AW394" s="799"/>
      <c r="AX394" s="799"/>
      <c r="AY394" s="799"/>
      <c r="AZ394" s="799"/>
      <c r="BA394" s="799"/>
      <c r="BB394" s="799"/>
      <c r="BC394" s="799"/>
      <c r="BD394" s="799"/>
      <c r="BE394" s="799"/>
      <c r="BF394" s="799"/>
      <c r="BG394" s="799"/>
    </row>
    <row r="395">
      <c r="H395" s="799"/>
      <c r="I395" s="799"/>
      <c r="J395" s="799"/>
      <c r="K395" s="799"/>
      <c r="L395" s="799"/>
      <c r="M395" s="799"/>
      <c r="N395" s="799"/>
      <c r="O395" s="799"/>
      <c r="P395" s="799"/>
      <c r="Q395" s="799"/>
      <c r="R395" s="799"/>
      <c r="S395" s="799"/>
      <c r="T395" s="799"/>
      <c r="U395" s="799"/>
      <c r="V395" s="799"/>
      <c r="W395" s="799"/>
      <c r="X395" s="799"/>
      <c r="Y395" s="799"/>
      <c r="Z395" s="799"/>
      <c r="AA395" s="799"/>
      <c r="AB395" s="799"/>
      <c r="AC395" s="799"/>
      <c r="AD395" s="799"/>
      <c r="AE395" s="799"/>
      <c r="AF395" s="799"/>
      <c r="AG395" s="799"/>
      <c r="AH395" s="799"/>
      <c r="AI395" s="799"/>
      <c r="AJ395" s="799"/>
      <c r="AK395" s="799"/>
      <c r="AL395" s="799"/>
      <c r="AM395" s="799"/>
      <c r="AN395" s="799"/>
      <c r="AO395" s="799"/>
      <c r="AP395" s="799"/>
      <c r="AQ395" s="799"/>
      <c r="AR395" s="799"/>
      <c r="AS395" s="799"/>
      <c r="AT395" s="799"/>
      <c r="AU395" s="799"/>
      <c r="AV395" s="799"/>
      <c r="AW395" s="799"/>
      <c r="AX395" s="799"/>
      <c r="AY395" s="799"/>
      <c r="AZ395" s="799"/>
      <c r="BA395" s="799"/>
      <c r="BB395" s="799"/>
      <c r="BC395" s="799"/>
      <c r="BD395" s="799"/>
      <c r="BE395" s="799"/>
      <c r="BF395" s="799"/>
      <c r="BG395" s="799"/>
    </row>
    <row r="396">
      <c r="H396" s="799"/>
      <c r="I396" s="799"/>
      <c r="J396" s="799"/>
      <c r="K396" s="799"/>
      <c r="L396" s="799"/>
      <c r="M396" s="799"/>
      <c r="N396" s="799"/>
      <c r="O396" s="799"/>
      <c r="P396" s="799"/>
      <c r="Q396" s="799"/>
      <c r="R396" s="799"/>
      <c r="S396" s="799"/>
      <c r="T396" s="799"/>
      <c r="U396" s="799"/>
      <c r="V396" s="799"/>
      <c r="W396" s="799"/>
      <c r="X396" s="799"/>
      <c r="Y396" s="799"/>
      <c r="Z396" s="799"/>
      <c r="AA396" s="799"/>
      <c r="AB396" s="799"/>
      <c r="AC396" s="799"/>
      <c r="AD396" s="799"/>
      <c r="AE396" s="799"/>
      <c r="AF396" s="799"/>
      <c r="AG396" s="799"/>
      <c r="AH396" s="799"/>
      <c r="AI396" s="799"/>
      <c r="AJ396" s="799"/>
      <c r="AK396" s="799"/>
      <c r="AL396" s="799"/>
      <c r="AM396" s="799"/>
      <c r="AN396" s="799"/>
      <c r="AO396" s="799"/>
      <c r="AP396" s="799"/>
      <c r="AQ396" s="799"/>
      <c r="AR396" s="799"/>
      <c r="AS396" s="799"/>
      <c r="AT396" s="799"/>
      <c r="AU396" s="799"/>
      <c r="AV396" s="799"/>
      <c r="AW396" s="799"/>
      <c r="AX396" s="799"/>
      <c r="AY396" s="799"/>
      <c r="AZ396" s="799"/>
      <c r="BA396" s="799"/>
      <c r="BB396" s="799"/>
      <c r="BC396" s="799"/>
      <c r="BD396" s="799"/>
      <c r="BE396" s="799"/>
      <c r="BF396" s="799"/>
      <c r="BG396" s="799"/>
    </row>
    <row r="397">
      <c r="H397" s="799"/>
      <c r="I397" s="799"/>
      <c r="J397" s="799"/>
      <c r="K397" s="799"/>
      <c r="L397" s="799"/>
      <c r="M397" s="799"/>
      <c r="N397" s="799"/>
      <c r="O397" s="799"/>
      <c r="P397" s="799"/>
      <c r="Q397" s="799"/>
      <c r="R397" s="799"/>
      <c r="S397" s="799"/>
      <c r="T397" s="799"/>
      <c r="U397" s="799"/>
      <c r="V397" s="799"/>
      <c r="W397" s="799"/>
      <c r="X397" s="799"/>
      <c r="Y397" s="799"/>
      <c r="Z397" s="799"/>
      <c r="AA397" s="799"/>
      <c r="AB397" s="799"/>
      <c r="AC397" s="799"/>
      <c r="AD397" s="799"/>
      <c r="AE397" s="799"/>
      <c r="AF397" s="799"/>
      <c r="AG397" s="799"/>
      <c r="AH397" s="799"/>
      <c r="AI397" s="799"/>
      <c r="AJ397" s="799"/>
      <c r="AK397" s="799"/>
      <c r="AL397" s="799"/>
      <c r="AM397" s="799"/>
      <c r="AN397" s="799"/>
      <c r="AO397" s="799"/>
      <c r="AP397" s="799"/>
      <c r="AQ397" s="799"/>
      <c r="AR397" s="799"/>
      <c r="AS397" s="799"/>
      <c r="AT397" s="799"/>
      <c r="AU397" s="799"/>
      <c r="AV397" s="799"/>
      <c r="AW397" s="799"/>
      <c r="AX397" s="799"/>
      <c r="AY397" s="799"/>
      <c r="AZ397" s="799"/>
      <c r="BA397" s="799"/>
      <c r="BB397" s="799"/>
      <c r="BC397" s="799"/>
      <c r="BD397" s="799"/>
      <c r="BE397" s="799"/>
      <c r="BF397" s="799"/>
      <c r="BG397" s="799"/>
    </row>
    <row r="398">
      <c r="H398" s="799"/>
      <c r="I398" s="799"/>
      <c r="J398" s="799"/>
      <c r="K398" s="799"/>
      <c r="L398" s="799"/>
      <c r="M398" s="799"/>
      <c r="N398" s="799"/>
      <c r="O398" s="799"/>
      <c r="P398" s="799"/>
      <c r="Q398" s="799"/>
      <c r="R398" s="799"/>
      <c r="S398" s="799"/>
      <c r="T398" s="799"/>
      <c r="U398" s="799"/>
      <c r="V398" s="799"/>
      <c r="W398" s="799"/>
      <c r="X398" s="799"/>
      <c r="Y398" s="799"/>
      <c r="Z398" s="799"/>
      <c r="AA398" s="799"/>
      <c r="AB398" s="799"/>
      <c r="AC398" s="799"/>
      <c r="AD398" s="799"/>
      <c r="AE398" s="799"/>
      <c r="AF398" s="799"/>
      <c r="AG398" s="799"/>
      <c r="AH398" s="799"/>
      <c r="AI398" s="799"/>
      <c r="AJ398" s="799"/>
      <c r="AK398" s="799"/>
      <c r="AL398" s="799"/>
      <c r="AM398" s="799"/>
      <c r="AN398" s="799"/>
      <c r="AO398" s="799"/>
      <c r="AP398" s="799"/>
      <c r="AQ398" s="799"/>
      <c r="AR398" s="799"/>
      <c r="AS398" s="799"/>
      <c r="AT398" s="799"/>
      <c r="AU398" s="799"/>
      <c r="AV398" s="799"/>
      <c r="AW398" s="799"/>
      <c r="AX398" s="799"/>
      <c r="AY398" s="799"/>
      <c r="AZ398" s="799"/>
      <c r="BA398" s="799"/>
      <c r="BB398" s="799"/>
      <c r="BC398" s="799"/>
      <c r="BD398" s="799"/>
      <c r="BE398" s="799"/>
      <c r="BF398" s="799"/>
      <c r="BG398" s="799"/>
    </row>
    <row r="399">
      <c r="H399" s="799"/>
      <c r="I399" s="799"/>
      <c r="J399" s="799"/>
      <c r="K399" s="799"/>
      <c r="L399" s="799"/>
      <c r="M399" s="799"/>
      <c r="N399" s="799"/>
      <c r="O399" s="799"/>
      <c r="P399" s="799"/>
      <c r="Q399" s="799"/>
      <c r="R399" s="799"/>
      <c r="S399" s="799"/>
      <c r="T399" s="799"/>
      <c r="U399" s="799"/>
      <c r="V399" s="799"/>
      <c r="W399" s="799"/>
      <c r="X399" s="799"/>
      <c r="Y399" s="799"/>
      <c r="Z399" s="799"/>
      <c r="AA399" s="799"/>
      <c r="AB399" s="799"/>
      <c r="AC399" s="799"/>
      <c r="AD399" s="799"/>
      <c r="AE399" s="799"/>
      <c r="AF399" s="799"/>
      <c r="AG399" s="799"/>
      <c r="AH399" s="799"/>
      <c r="AI399" s="799"/>
      <c r="AJ399" s="799"/>
      <c r="AK399" s="799"/>
      <c r="AL399" s="799"/>
      <c r="AM399" s="799"/>
      <c r="AN399" s="799"/>
      <c r="AO399" s="799"/>
      <c r="AP399" s="799"/>
      <c r="AQ399" s="799"/>
      <c r="AR399" s="799"/>
      <c r="AS399" s="799"/>
      <c r="AT399" s="799"/>
      <c r="AU399" s="799"/>
      <c r="AV399" s="799"/>
      <c r="AW399" s="799"/>
      <c r="AX399" s="799"/>
      <c r="AY399" s="799"/>
      <c r="AZ399" s="799"/>
      <c r="BA399" s="799"/>
      <c r="BB399" s="799"/>
      <c r="BC399" s="799"/>
      <c r="BD399" s="799"/>
      <c r="BE399" s="799"/>
      <c r="BF399" s="799"/>
      <c r="BG399" s="799"/>
    </row>
    <row r="400">
      <c r="H400" s="799"/>
      <c r="I400" s="799"/>
      <c r="J400" s="799"/>
      <c r="K400" s="799"/>
      <c r="L400" s="799"/>
      <c r="M400" s="799"/>
      <c r="N400" s="799"/>
      <c r="O400" s="799"/>
      <c r="P400" s="799"/>
      <c r="Q400" s="799"/>
      <c r="R400" s="799"/>
      <c r="S400" s="799"/>
      <c r="T400" s="799"/>
      <c r="U400" s="799"/>
      <c r="V400" s="799"/>
      <c r="W400" s="799"/>
      <c r="X400" s="799"/>
      <c r="Y400" s="799"/>
      <c r="Z400" s="799"/>
      <c r="AA400" s="799"/>
      <c r="AB400" s="799"/>
      <c r="AC400" s="799"/>
      <c r="AD400" s="799"/>
      <c r="AE400" s="799"/>
      <c r="AF400" s="799"/>
      <c r="AG400" s="799"/>
      <c r="AH400" s="799"/>
      <c r="AI400" s="799"/>
      <c r="AJ400" s="799"/>
      <c r="AK400" s="799"/>
      <c r="AL400" s="799"/>
      <c r="AM400" s="799"/>
      <c r="AN400" s="799"/>
      <c r="AO400" s="799"/>
      <c r="AP400" s="799"/>
      <c r="AQ400" s="799"/>
      <c r="AR400" s="799"/>
      <c r="AS400" s="799"/>
      <c r="AT400" s="799"/>
      <c r="AU400" s="799"/>
      <c r="AV400" s="799"/>
      <c r="AW400" s="799"/>
      <c r="AX400" s="799"/>
      <c r="AY400" s="799"/>
      <c r="AZ400" s="799"/>
      <c r="BA400" s="799"/>
      <c r="BB400" s="799"/>
      <c r="BC400" s="799"/>
      <c r="BD400" s="799"/>
      <c r="BE400" s="799"/>
      <c r="BF400" s="799"/>
      <c r="BG400" s="799"/>
    </row>
    <row r="401">
      <c r="H401" s="799"/>
      <c r="I401" s="799"/>
      <c r="J401" s="799"/>
      <c r="K401" s="799"/>
      <c r="L401" s="799"/>
      <c r="M401" s="799"/>
      <c r="N401" s="799"/>
      <c r="O401" s="799"/>
      <c r="P401" s="799"/>
      <c r="Q401" s="799"/>
      <c r="R401" s="799"/>
      <c r="S401" s="799"/>
      <c r="T401" s="799"/>
      <c r="U401" s="799"/>
      <c r="V401" s="799"/>
      <c r="W401" s="799"/>
      <c r="X401" s="799"/>
      <c r="Y401" s="799"/>
      <c r="Z401" s="799"/>
      <c r="AA401" s="799"/>
      <c r="AB401" s="799"/>
      <c r="AC401" s="799"/>
      <c r="AD401" s="799"/>
      <c r="AE401" s="799"/>
      <c r="AF401" s="799"/>
      <c r="AG401" s="799"/>
      <c r="AH401" s="799"/>
      <c r="AI401" s="799"/>
      <c r="AJ401" s="799"/>
      <c r="AK401" s="799"/>
      <c r="AL401" s="799"/>
      <c r="AM401" s="799"/>
      <c r="AN401" s="799"/>
      <c r="AO401" s="799"/>
      <c r="AP401" s="799"/>
      <c r="AQ401" s="799"/>
      <c r="AR401" s="799"/>
      <c r="AS401" s="799"/>
      <c r="AT401" s="799"/>
      <c r="AU401" s="799"/>
      <c r="AV401" s="799"/>
      <c r="AW401" s="799"/>
      <c r="AX401" s="799"/>
      <c r="AY401" s="799"/>
      <c r="AZ401" s="799"/>
      <c r="BA401" s="799"/>
      <c r="BB401" s="799"/>
      <c r="BC401" s="799"/>
      <c r="BD401" s="799"/>
      <c r="BE401" s="799"/>
      <c r="BF401" s="799"/>
      <c r="BG401" s="799"/>
    </row>
    <row r="402">
      <c r="H402" s="799"/>
      <c r="I402" s="799"/>
      <c r="J402" s="799"/>
      <c r="K402" s="799"/>
      <c r="L402" s="799"/>
      <c r="M402" s="799"/>
      <c r="N402" s="799"/>
      <c r="O402" s="799"/>
      <c r="P402" s="799"/>
      <c r="Q402" s="799"/>
      <c r="R402" s="799"/>
      <c r="S402" s="799"/>
      <c r="T402" s="799"/>
      <c r="U402" s="799"/>
      <c r="V402" s="799"/>
      <c r="W402" s="799"/>
      <c r="X402" s="799"/>
      <c r="Y402" s="799"/>
      <c r="Z402" s="799"/>
      <c r="AA402" s="799"/>
      <c r="AB402" s="799"/>
      <c r="AC402" s="799"/>
      <c r="AD402" s="799"/>
      <c r="AE402" s="799"/>
      <c r="AF402" s="799"/>
      <c r="AG402" s="799"/>
      <c r="AH402" s="799"/>
      <c r="AI402" s="799"/>
      <c r="AJ402" s="799"/>
      <c r="AK402" s="799"/>
      <c r="AL402" s="799"/>
      <c r="AM402" s="799"/>
      <c r="AN402" s="799"/>
      <c r="AO402" s="799"/>
      <c r="AP402" s="799"/>
      <c r="AQ402" s="799"/>
      <c r="AR402" s="799"/>
      <c r="AS402" s="799"/>
      <c r="AT402" s="799"/>
      <c r="AU402" s="799"/>
      <c r="AV402" s="799"/>
      <c r="AW402" s="799"/>
      <c r="AX402" s="799"/>
      <c r="AY402" s="799"/>
      <c r="AZ402" s="799"/>
      <c r="BA402" s="799"/>
      <c r="BB402" s="799"/>
      <c r="BC402" s="799"/>
      <c r="BD402" s="799"/>
      <c r="BE402" s="799"/>
      <c r="BF402" s="799"/>
      <c r="BG402" s="799"/>
    </row>
    <row r="403">
      <c r="H403" s="799"/>
      <c r="I403" s="799"/>
      <c r="J403" s="799"/>
      <c r="K403" s="799"/>
      <c r="L403" s="799"/>
      <c r="M403" s="799"/>
      <c r="N403" s="799"/>
      <c r="O403" s="799"/>
      <c r="P403" s="799"/>
      <c r="Q403" s="799"/>
      <c r="R403" s="799"/>
      <c r="S403" s="799"/>
      <c r="T403" s="799"/>
      <c r="U403" s="799"/>
      <c r="V403" s="799"/>
      <c r="W403" s="799"/>
      <c r="X403" s="799"/>
      <c r="Y403" s="799"/>
      <c r="Z403" s="799"/>
      <c r="AA403" s="799"/>
      <c r="AB403" s="799"/>
      <c r="AC403" s="799"/>
      <c r="AD403" s="799"/>
      <c r="AE403" s="799"/>
      <c r="AF403" s="799"/>
      <c r="AG403" s="799"/>
      <c r="AH403" s="799"/>
      <c r="AI403" s="799"/>
      <c r="AJ403" s="799"/>
      <c r="AK403" s="799"/>
      <c r="AL403" s="799"/>
      <c r="AM403" s="799"/>
      <c r="AN403" s="799"/>
      <c r="AO403" s="799"/>
      <c r="AP403" s="799"/>
      <c r="AQ403" s="799"/>
      <c r="AR403" s="799"/>
      <c r="AS403" s="799"/>
      <c r="AT403" s="799"/>
      <c r="AU403" s="799"/>
      <c r="AV403" s="799"/>
      <c r="AW403" s="799"/>
      <c r="AX403" s="799"/>
      <c r="AY403" s="799"/>
      <c r="AZ403" s="799"/>
      <c r="BA403" s="799"/>
      <c r="BB403" s="799"/>
      <c r="BC403" s="799"/>
      <c r="BD403" s="799"/>
      <c r="BE403" s="799"/>
      <c r="BF403" s="799"/>
      <c r="BG403" s="799"/>
    </row>
    <row r="404">
      <c r="H404" s="799"/>
      <c r="I404" s="799"/>
      <c r="J404" s="799"/>
      <c r="K404" s="799"/>
      <c r="L404" s="799"/>
      <c r="M404" s="799"/>
      <c r="N404" s="799"/>
      <c r="O404" s="799"/>
      <c r="P404" s="799"/>
      <c r="Q404" s="799"/>
      <c r="R404" s="799"/>
      <c r="S404" s="799"/>
      <c r="T404" s="799"/>
      <c r="U404" s="799"/>
      <c r="V404" s="799"/>
      <c r="W404" s="799"/>
      <c r="X404" s="799"/>
      <c r="Y404" s="799"/>
      <c r="Z404" s="799"/>
      <c r="AA404" s="799"/>
      <c r="AB404" s="799"/>
      <c r="AC404" s="799"/>
      <c r="AD404" s="799"/>
      <c r="AE404" s="799"/>
      <c r="AF404" s="799"/>
      <c r="AG404" s="799"/>
      <c r="AH404" s="799"/>
      <c r="AI404" s="799"/>
      <c r="AJ404" s="799"/>
      <c r="AK404" s="799"/>
      <c r="AL404" s="799"/>
      <c r="AM404" s="799"/>
      <c r="AN404" s="799"/>
      <c r="AO404" s="799"/>
      <c r="AP404" s="799"/>
      <c r="AQ404" s="799"/>
      <c r="AR404" s="799"/>
      <c r="AS404" s="799"/>
      <c r="AT404" s="799"/>
      <c r="AU404" s="799"/>
      <c r="AV404" s="799"/>
      <c r="AW404" s="799"/>
      <c r="AX404" s="799"/>
      <c r="AY404" s="799"/>
      <c r="AZ404" s="799"/>
      <c r="BA404" s="799"/>
      <c r="BB404" s="799"/>
      <c r="BC404" s="799"/>
      <c r="BD404" s="799"/>
      <c r="BE404" s="799"/>
      <c r="BF404" s="799"/>
      <c r="BG404" s="799"/>
    </row>
    <row r="405">
      <c r="H405" s="799"/>
      <c r="I405" s="799"/>
      <c r="J405" s="799"/>
      <c r="K405" s="799"/>
      <c r="L405" s="799"/>
      <c r="M405" s="799"/>
      <c r="N405" s="799"/>
      <c r="O405" s="799"/>
      <c r="P405" s="799"/>
      <c r="Q405" s="799"/>
      <c r="R405" s="799"/>
      <c r="S405" s="799"/>
      <c r="T405" s="799"/>
      <c r="U405" s="799"/>
      <c r="V405" s="799"/>
      <c r="W405" s="799"/>
      <c r="X405" s="799"/>
      <c r="Y405" s="799"/>
      <c r="Z405" s="799"/>
      <c r="AA405" s="799"/>
      <c r="AB405" s="799"/>
      <c r="AC405" s="799"/>
      <c r="AD405" s="799"/>
      <c r="AE405" s="799"/>
      <c r="AF405" s="799"/>
      <c r="AG405" s="799"/>
      <c r="AH405" s="799"/>
      <c r="AI405" s="799"/>
      <c r="AJ405" s="799"/>
      <c r="AK405" s="799"/>
      <c r="AL405" s="799"/>
      <c r="AM405" s="799"/>
      <c r="AN405" s="799"/>
      <c r="AO405" s="799"/>
      <c r="AP405" s="799"/>
      <c r="AQ405" s="799"/>
      <c r="AR405" s="799"/>
      <c r="AS405" s="799"/>
      <c r="AT405" s="799"/>
      <c r="AU405" s="799"/>
      <c r="AV405" s="799"/>
      <c r="AW405" s="799"/>
      <c r="AX405" s="799"/>
      <c r="AY405" s="799"/>
      <c r="AZ405" s="799"/>
      <c r="BA405" s="799"/>
      <c r="BB405" s="799"/>
      <c r="BC405" s="799"/>
      <c r="BD405" s="799"/>
      <c r="BE405" s="799"/>
      <c r="BF405" s="799"/>
      <c r="BG405" s="799"/>
    </row>
    <row r="406">
      <c r="H406" s="799"/>
      <c r="I406" s="799"/>
      <c r="J406" s="799"/>
      <c r="K406" s="799"/>
      <c r="L406" s="799"/>
      <c r="M406" s="799"/>
      <c r="N406" s="799"/>
      <c r="O406" s="799"/>
      <c r="P406" s="799"/>
      <c r="Q406" s="799"/>
      <c r="R406" s="799"/>
      <c r="S406" s="799"/>
      <c r="T406" s="799"/>
      <c r="U406" s="799"/>
      <c r="V406" s="799"/>
      <c r="W406" s="799"/>
      <c r="X406" s="799"/>
      <c r="Y406" s="799"/>
      <c r="Z406" s="799"/>
      <c r="AA406" s="799"/>
      <c r="AB406" s="799"/>
      <c r="AC406" s="799"/>
      <c r="AD406" s="799"/>
      <c r="AE406" s="799"/>
      <c r="AF406" s="799"/>
      <c r="AG406" s="799"/>
      <c r="AH406" s="799"/>
      <c r="AI406" s="799"/>
      <c r="AJ406" s="799"/>
      <c r="AK406" s="799"/>
      <c r="AL406" s="799"/>
      <c r="AM406" s="799"/>
      <c r="AN406" s="799"/>
      <c r="AO406" s="799"/>
      <c r="AP406" s="799"/>
      <c r="AQ406" s="799"/>
      <c r="AR406" s="799"/>
      <c r="AS406" s="799"/>
      <c r="AT406" s="799"/>
      <c r="AU406" s="799"/>
      <c r="AV406" s="799"/>
      <c r="AW406" s="799"/>
      <c r="AX406" s="799"/>
      <c r="AY406" s="799"/>
      <c r="AZ406" s="799"/>
      <c r="BA406" s="799"/>
      <c r="BB406" s="799"/>
      <c r="BC406" s="799"/>
      <c r="BD406" s="799"/>
      <c r="BE406" s="799"/>
      <c r="BF406" s="799"/>
      <c r="BG406" s="799"/>
    </row>
    <row r="407">
      <c r="H407" s="799"/>
      <c r="I407" s="799"/>
      <c r="J407" s="799"/>
      <c r="K407" s="799"/>
      <c r="L407" s="799"/>
      <c r="M407" s="799"/>
      <c r="N407" s="799"/>
      <c r="O407" s="799"/>
      <c r="P407" s="799"/>
      <c r="Q407" s="799"/>
      <c r="R407" s="799"/>
      <c r="S407" s="799"/>
      <c r="T407" s="799"/>
      <c r="U407" s="799"/>
      <c r="V407" s="799"/>
      <c r="W407" s="799"/>
      <c r="X407" s="799"/>
      <c r="Y407" s="799"/>
      <c r="Z407" s="799"/>
      <c r="AA407" s="799"/>
      <c r="AB407" s="799"/>
      <c r="AC407" s="799"/>
      <c r="AD407" s="799"/>
      <c r="AE407" s="799"/>
      <c r="AF407" s="799"/>
      <c r="AG407" s="799"/>
      <c r="AH407" s="799"/>
      <c r="AI407" s="799"/>
      <c r="AJ407" s="799"/>
      <c r="AK407" s="799"/>
      <c r="AL407" s="799"/>
      <c r="AM407" s="799"/>
      <c r="AN407" s="799"/>
      <c r="AO407" s="799"/>
      <c r="AP407" s="799"/>
      <c r="AQ407" s="799"/>
      <c r="AR407" s="799"/>
      <c r="AS407" s="799"/>
      <c r="AT407" s="799"/>
      <c r="AU407" s="799"/>
      <c r="AV407" s="799"/>
      <c r="AW407" s="799"/>
      <c r="AX407" s="799"/>
      <c r="AY407" s="799"/>
      <c r="AZ407" s="799"/>
      <c r="BA407" s="799"/>
      <c r="BB407" s="799"/>
      <c r="BC407" s="799"/>
      <c r="BD407" s="799"/>
      <c r="BE407" s="799"/>
      <c r="BF407" s="799"/>
      <c r="BG407" s="799"/>
    </row>
    <row r="408">
      <c r="H408" s="799"/>
      <c r="I408" s="799"/>
      <c r="J408" s="799"/>
      <c r="K408" s="799"/>
      <c r="L408" s="799"/>
      <c r="M408" s="799"/>
      <c r="N408" s="799"/>
      <c r="O408" s="799"/>
      <c r="P408" s="799"/>
      <c r="Q408" s="799"/>
      <c r="R408" s="799"/>
      <c r="S408" s="799"/>
      <c r="T408" s="799"/>
      <c r="U408" s="799"/>
      <c r="V408" s="799"/>
      <c r="W408" s="799"/>
      <c r="X408" s="799"/>
      <c r="Y408" s="799"/>
      <c r="Z408" s="799"/>
      <c r="AA408" s="799"/>
      <c r="AB408" s="799"/>
      <c r="AC408" s="799"/>
      <c r="AD408" s="799"/>
      <c r="AE408" s="799"/>
      <c r="AF408" s="799"/>
      <c r="AG408" s="799"/>
      <c r="AH408" s="799"/>
      <c r="AI408" s="799"/>
      <c r="AJ408" s="799"/>
      <c r="AK408" s="799"/>
      <c r="AL408" s="799"/>
      <c r="AM408" s="799"/>
      <c r="AN408" s="799"/>
      <c r="AO408" s="799"/>
      <c r="AP408" s="799"/>
      <c r="AQ408" s="799"/>
      <c r="AR408" s="799"/>
      <c r="AS408" s="799"/>
      <c r="AT408" s="799"/>
      <c r="AU408" s="799"/>
      <c r="AV408" s="799"/>
      <c r="AW408" s="799"/>
      <c r="AX408" s="799"/>
      <c r="AY408" s="799"/>
      <c r="AZ408" s="799"/>
      <c r="BA408" s="799"/>
      <c r="BB408" s="799"/>
      <c r="BC408" s="799"/>
      <c r="BD408" s="799"/>
      <c r="BE408" s="799"/>
      <c r="BF408" s="799"/>
      <c r="BG408" s="799"/>
    </row>
    <row r="409">
      <c r="H409" s="799"/>
      <c r="I409" s="799"/>
      <c r="J409" s="799"/>
      <c r="K409" s="799"/>
      <c r="L409" s="799"/>
      <c r="M409" s="799"/>
      <c r="N409" s="799"/>
      <c r="O409" s="799"/>
      <c r="P409" s="799"/>
      <c r="Q409" s="799"/>
      <c r="R409" s="799"/>
      <c r="S409" s="799"/>
      <c r="T409" s="799"/>
      <c r="U409" s="799"/>
      <c r="V409" s="799"/>
      <c r="W409" s="799"/>
      <c r="X409" s="799"/>
      <c r="Y409" s="799"/>
      <c r="Z409" s="799"/>
      <c r="AA409" s="799"/>
      <c r="AB409" s="799"/>
      <c r="AC409" s="799"/>
      <c r="AD409" s="799"/>
      <c r="AE409" s="799"/>
      <c r="AF409" s="799"/>
      <c r="AG409" s="799"/>
      <c r="AH409" s="799"/>
      <c r="AI409" s="799"/>
      <c r="AJ409" s="799"/>
      <c r="AK409" s="799"/>
      <c r="AL409" s="799"/>
      <c r="AM409" s="799"/>
      <c r="AN409" s="799"/>
      <c r="AO409" s="799"/>
      <c r="AP409" s="799"/>
      <c r="AQ409" s="799"/>
      <c r="AR409" s="799"/>
      <c r="AS409" s="799"/>
      <c r="AT409" s="799"/>
      <c r="AU409" s="799"/>
      <c r="AV409" s="799"/>
      <c r="AW409" s="799"/>
      <c r="AX409" s="799"/>
      <c r="AY409" s="799"/>
      <c r="AZ409" s="799"/>
      <c r="BA409" s="799"/>
      <c r="BB409" s="799"/>
      <c r="BC409" s="799"/>
      <c r="BD409" s="799"/>
      <c r="BE409" s="799"/>
      <c r="BF409" s="799"/>
      <c r="BG409" s="799"/>
    </row>
    <row r="410">
      <c r="H410" s="799"/>
      <c r="I410" s="799"/>
      <c r="J410" s="799"/>
      <c r="K410" s="799"/>
      <c r="L410" s="799"/>
      <c r="M410" s="799"/>
      <c r="N410" s="799"/>
      <c r="O410" s="799"/>
      <c r="P410" s="799"/>
      <c r="Q410" s="799"/>
      <c r="R410" s="799"/>
      <c r="S410" s="799"/>
      <c r="T410" s="799"/>
      <c r="U410" s="799"/>
      <c r="V410" s="799"/>
      <c r="W410" s="799"/>
      <c r="X410" s="799"/>
      <c r="Y410" s="799"/>
      <c r="Z410" s="799"/>
      <c r="AA410" s="799"/>
      <c r="AB410" s="799"/>
      <c r="AC410" s="799"/>
      <c r="AD410" s="799"/>
      <c r="AE410" s="799"/>
      <c r="AF410" s="799"/>
      <c r="AG410" s="799"/>
      <c r="AH410" s="799"/>
      <c r="AI410" s="799"/>
      <c r="AJ410" s="799"/>
      <c r="AK410" s="799"/>
      <c r="AL410" s="799"/>
      <c r="AM410" s="799"/>
      <c r="AN410" s="799"/>
      <c r="AO410" s="799"/>
      <c r="AP410" s="799"/>
      <c r="AQ410" s="799"/>
      <c r="AR410" s="799"/>
      <c r="AS410" s="799"/>
      <c r="AT410" s="799"/>
      <c r="AU410" s="799"/>
      <c r="AV410" s="799"/>
      <c r="AW410" s="799"/>
      <c r="AX410" s="799"/>
      <c r="AY410" s="799"/>
      <c r="AZ410" s="799"/>
      <c r="BA410" s="799"/>
      <c r="BB410" s="799"/>
      <c r="BC410" s="799"/>
      <c r="BD410" s="799"/>
      <c r="BE410" s="799"/>
      <c r="BF410" s="799"/>
      <c r="BG410" s="799"/>
    </row>
    <row r="411">
      <c r="H411" s="799"/>
      <c r="I411" s="799"/>
      <c r="J411" s="799"/>
      <c r="K411" s="799"/>
      <c r="L411" s="799"/>
      <c r="M411" s="799"/>
      <c r="N411" s="799"/>
      <c r="O411" s="799"/>
      <c r="P411" s="799"/>
      <c r="Q411" s="799"/>
      <c r="R411" s="799"/>
      <c r="S411" s="799"/>
      <c r="T411" s="799"/>
      <c r="U411" s="799"/>
      <c r="V411" s="799"/>
      <c r="W411" s="799"/>
      <c r="X411" s="799"/>
      <c r="Y411" s="799"/>
      <c r="Z411" s="799"/>
      <c r="AA411" s="799"/>
      <c r="AB411" s="799"/>
      <c r="AC411" s="799"/>
      <c r="AD411" s="799"/>
      <c r="AE411" s="799"/>
      <c r="AF411" s="799"/>
      <c r="AG411" s="799"/>
      <c r="AH411" s="799"/>
      <c r="AI411" s="799"/>
      <c r="AJ411" s="799"/>
      <c r="AK411" s="799"/>
      <c r="AL411" s="799"/>
      <c r="AM411" s="799"/>
      <c r="AN411" s="799"/>
      <c r="AO411" s="799"/>
      <c r="AP411" s="799"/>
      <c r="AQ411" s="799"/>
      <c r="AR411" s="799"/>
      <c r="AS411" s="799"/>
      <c r="AT411" s="799"/>
      <c r="AU411" s="799"/>
      <c r="AV411" s="799"/>
      <c r="AW411" s="799"/>
      <c r="AX411" s="799"/>
      <c r="AY411" s="799"/>
      <c r="AZ411" s="799"/>
      <c r="BA411" s="799"/>
      <c r="BB411" s="799"/>
      <c r="BC411" s="799"/>
      <c r="BD411" s="799"/>
      <c r="BE411" s="799"/>
      <c r="BF411" s="799"/>
      <c r="BG411" s="799"/>
    </row>
    <row r="412">
      <c r="H412" s="799"/>
      <c r="I412" s="799"/>
      <c r="J412" s="799"/>
      <c r="K412" s="799"/>
      <c r="L412" s="799"/>
      <c r="M412" s="799"/>
      <c r="N412" s="799"/>
      <c r="O412" s="799"/>
      <c r="P412" s="799"/>
      <c r="Q412" s="799"/>
      <c r="R412" s="799"/>
      <c r="S412" s="799"/>
      <c r="T412" s="799"/>
      <c r="U412" s="799"/>
      <c r="V412" s="799"/>
      <c r="W412" s="799"/>
      <c r="X412" s="799"/>
      <c r="Y412" s="799"/>
      <c r="Z412" s="799"/>
      <c r="AA412" s="799"/>
      <c r="AB412" s="799"/>
      <c r="AC412" s="799"/>
      <c r="AD412" s="799"/>
      <c r="AE412" s="799"/>
      <c r="AF412" s="799"/>
      <c r="AG412" s="799"/>
      <c r="AH412" s="799"/>
      <c r="AI412" s="799"/>
      <c r="AJ412" s="799"/>
      <c r="AK412" s="799"/>
      <c r="AL412" s="799"/>
      <c r="AM412" s="799"/>
      <c r="AN412" s="799"/>
      <c r="AO412" s="799"/>
      <c r="AP412" s="799"/>
      <c r="AQ412" s="799"/>
      <c r="AR412" s="799"/>
      <c r="AS412" s="799"/>
      <c r="AT412" s="799"/>
      <c r="AU412" s="799"/>
      <c r="AV412" s="799"/>
      <c r="AW412" s="799"/>
      <c r="AX412" s="799"/>
      <c r="AY412" s="799"/>
      <c r="AZ412" s="799"/>
      <c r="BA412" s="799"/>
      <c r="BB412" s="799"/>
      <c r="BC412" s="799"/>
      <c r="BD412" s="799"/>
      <c r="BE412" s="799"/>
      <c r="BF412" s="799"/>
      <c r="BG412" s="799"/>
    </row>
    <row r="413">
      <c r="H413" s="799"/>
      <c r="I413" s="799"/>
      <c r="J413" s="799"/>
      <c r="K413" s="799"/>
      <c r="L413" s="799"/>
      <c r="M413" s="799"/>
      <c r="N413" s="799"/>
      <c r="O413" s="799"/>
      <c r="P413" s="799"/>
      <c r="Q413" s="799"/>
      <c r="R413" s="799"/>
      <c r="S413" s="799"/>
      <c r="T413" s="799"/>
      <c r="U413" s="799"/>
      <c r="V413" s="799"/>
      <c r="W413" s="799"/>
      <c r="X413" s="799"/>
      <c r="Y413" s="799"/>
      <c r="Z413" s="799"/>
      <c r="AA413" s="799"/>
      <c r="AB413" s="799"/>
      <c r="AC413" s="799"/>
      <c r="AD413" s="799"/>
      <c r="AE413" s="799"/>
      <c r="AF413" s="799"/>
      <c r="AG413" s="799"/>
      <c r="AH413" s="799"/>
      <c r="AI413" s="799"/>
      <c r="AJ413" s="799"/>
      <c r="AK413" s="799"/>
      <c r="AL413" s="799"/>
      <c r="AM413" s="799"/>
      <c r="AN413" s="799"/>
      <c r="AO413" s="799"/>
      <c r="AP413" s="799"/>
      <c r="AQ413" s="799"/>
      <c r="AR413" s="799"/>
      <c r="AS413" s="799"/>
      <c r="AT413" s="799"/>
      <c r="AU413" s="799"/>
      <c r="AV413" s="799"/>
      <c r="AW413" s="799"/>
      <c r="AX413" s="799"/>
      <c r="AY413" s="799"/>
      <c r="AZ413" s="799"/>
      <c r="BA413" s="799"/>
      <c r="BB413" s="799"/>
      <c r="BC413" s="799"/>
      <c r="BD413" s="799"/>
      <c r="BE413" s="799"/>
      <c r="BF413" s="799"/>
      <c r="BG413" s="799"/>
    </row>
    <row r="414">
      <c r="H414" s="799"/>
      <c r="I414" s="799"/>
      <c r="J414" s="799"/>
      <c r="K414" s="799"/>
      <c r="L414" s="799"/>
      <c r="M414" s="799"/>
      <c r="N414" s="799"/>
      <c r="O414" s="799"/>
      <c r="P414" s="799"/>
      <c r="Q414" s="799"/>
      <c r="R414" s="799"/>
      <c r="S414" s="799"/>
      <c r="T414" s="799"/>
      <c r="U414" s="799"/>
      <c r="V414" s="799"/>
      <c r="W414" s="799"/>
      <c r="X414" s="799"/>
      <c r="Y414" s="799"/>
      <c r="Z414" s="799"/>
      <c r="AA414" s="799"/>
      <c r="AB414" s="799"/>
      <c r="AC414" s="799"/>
      <c r="AD414" s="799"/>
      <c r="AE414" s="799"/>
      <c r="AF414" s="799"/>
      <c r="AG414" s="799"/>
      <c r="AH414" s="799"/>
      <c r="AI414" s="799"/>
      <c r="AJ414" s="799"/>
      <c r="AK414" s="799"/>
      <c r="AL414" s="799"/>
      <c r="AM414" s="799"/>
      <c r="AN414" s="799"/>
      <c r="AO414" s="799"/>
      <c r="AP414" s="799"/>
      <c r="AQ414" s="799"/>
      <c r="AR414" s="799"/>
      <c r="AS414" s="799"/>
      <c r="AT414" s="799"/>
      <c r="AU414" s="799"/>
      <c r="AV414" s="799"/>
      <c r="AW414" s="799"/>
      <c r="AX414" s="799"/>
      <c r="AY414" s="799"/>
      <c r="AZ414" s="799"/>
      <c r="BA414" s="799"/>
      <c r="BB414" s="799"/>
      <c r="BC414" s="799"/>
      <c r="BD414" s="799"/>
      <c r="BE414" s="799"/>
      <c r="BF414" s="799"/>
      <c r="BG414" s="799"/>
    </row>
    <row r="415">
      <c r="H415" s="799"/>
      <c r="I415" s="799"/>
      <c r="J415" s="799"/>
      <c r="K415" s="799"/>
      <c r="L415" s="799"/>
      <c r="M415" s="799"/>
      <c r="N415" s="799"/>
      <c r="O415" s="799"/>
      <c r="P415" s="799"/>
      <c r="Q415" s="799"/>
      <c r="R415" s="799"/>
      <c r="S415" s="799"/>
      <c r="T415" s="799"/>
      <c r="U415" s="799"/>
      <c r="V415" s="799"/>
      <c r="W415" s="799"/>
      <c r="X415" s="799"/>
      <c r="Y415" s="799"/>
      <c r="Z415" s="799"/>
      <c r="AA415" s="799"/>
      <c r="AB415" s="799"/>
      <c r="AC415" s="799"/>
      <c r="AD415" s="799"/>
      <c r="AE415" s="799"/>
      <c r="AF415" s="799"/>
      <c r="AG415" s="799"/>
      <c r="AH415" s="799"/>
      <c r="AI415" s="799"/>
      <c r="AJ415" s="799"/>
      <c r="AK415" s="799"/>
      <c r="AL415" s="799"/>
      <c r="AM415" s="799"/>
      <c r="AN415" s="799"/>
      <c r="AO415" s="799"/>
      <c r="AP415" s="799"/>
      <c r="AQ415" s="799"/>
      <c r="AR415" s="799"/>
      <c r="AS415" s="799"/>
      <c r="AT415" s="799"/>
      <c r="AU415" s="799"/>
      <c r="AV415" s="799"/>
      <c r="AW415" s="799"/>
      <c r="AX415" s="799"/>
      <c r="AY415" s="799"/>
      <c r="AZ415" s="799"/>
      <c r="BA415" s="799"/>
      <c r="BB415" s="799"/>
      <c r="BC415" s="799"/>
      <c r="BD415" s="799"/>
      <c r="BE415" s="799"/>
      <c r="BF415" s="799"/>
      <c r="BG415" s="799"/>
    </row>
    <row r="416">
      <c r="H416" s="799"/>
      <c r="I416" s="799"/>
      <c r="J416" s="799"/>
      <c r="K416" s="799"/>
      <c r="L416" s="799"/>
      <c r="M416" s="799"/>
      <c r="N416" s="799"/>
      <c r="O416" s="799"/>
      <c r="P416" s="799"/>
      <c r="Q416" s="799"/>
      <c r="R416" s="799"/>
      <c r="S416" s="799"/>
      <c r="T416" s="799"/>
      <c r="U416" s="799"/>
      <c r="V416" s="799"/>
      <c r="W416" s="799"/>
      <c r="X416" s="799"/>
      <c r="Y416" s="799"/>
      <c r="Z416" s="799"/>
      <c r="AA416" s="799"/>
      <c r="AB416" s="799"/>
      <c r="AC416" s="799"/>
      <c r="AD416" s="799"/>
      <c r="AE416" s="799"/>
      <c r="AF416" s="799"/>
      <c r="AG416" s="799"/>
      <c r="AH416" s="799"/>
      <c r="AI416" s="799"/>
      <c r="AJ416" s="799"/>
      <c r="AK416" s="799"/>
      <c r="AL416" s="799"/>
      <c r="AM416" s="799"/>
      <c r="AN416" s="799"/>
      <c r="AO416" s="799"/>
      <c r="AP416" s="799"/>
      <c r="AQ416" s="799"/>
      <c r="AR416" s="799"/>
      <c r="AS416" s="799"/>
      <c r="AT416" s="799"/>
      <c r="AU416" s="799"/>
      <c r="AV416" s="799"/>
      <c r="AW416" s="799"/>
      <c r="AX416" s="799"/>
      <c r="AY416" s="799"/>
      <c r="AZ416" s="799"/>
      <c r="BA416" s="799"/>
      <c r="BB416" s="799"/>
      <c r="BC416" s="799"/>
      <c r="BD416" s="799"/>
      <c r="BE416" s="799"/>
      <c r="BF416" s="799"/>
      <c r="BG416" s="799"/>
    </row>
    <row r="417">
      <c r="H417" s="799"/>
      <c r="I417" s="799"/>
      <c r="J417" s="799"/>
      <c r="K417" s="799"/>
      <c r="L417" s="799"/>
      <c r="M417" s="799"/>
      <c r="N417" s="799"/>
      <c r="O417" s="799"/>
      <c r="P417" s="799"/>
      <c r="Q417" s="799"/>
      <c r="R417" s="799"/>
      <c r="S417" s="799"/>
      <c r="T417" s="799"/>
      <c r="U417" s="799"/>
      <c r="V417" s="799"/>
      <c r="W417" s="799"/>
      <c r="X417" s="799"/>
      <c r="Y417" s="799"/>
      <c r="Z417" s="799"/>
      <c r="AA417" s="799"/>
      <c r="AB417" s="799"/>
      <c r="AC417" s="799"/>
      <c r="AD417" s="799"/>
      <c r="AE417" s="799"/>
      <c r="AF417" s="799"/>
      <c r="AG417" s="799"/>
      <c r="AH417" s="799"/>
      <c r="AI417" s="799"/>
      <c r="AJ417" s="799"/>
      <c r="AK417" s="799"/>
      <c r="AL417" s="799"/>
      <c r="AM417" s="799"/>
      <c r="AN417" s="799"/>
      <c r="AO417" s="799"/>
      <c r="AP417" s="799"/>
      <c r="AQ417" s="799"/>
      <c r="AR417" s="799"/>
      <c r="AS417" s="799"/>
      <c r="AT417" s="799"/>
      <c r="AU417" s="799"/>
      <c r="AV417" s="799"/>
      <c r="AW417" s="799"/>
      <c r="AX417" s="799"/>
      <c r="AY417" s="799"/>
      <c r="AZ417" s="799"/>
      <c r="BA417" s="799"/>
      <c r="BB417" s="799"/>
      <c r="BC417" s="799"/>
      <c r="BD417" s="799"/>
      <c r="BE417" s="799"/>
      <c r="BF417" s="799"/>
      <c r="BG417" s="799"/>
    </row>
    <row r="418">
      <c r="H418" s="799"/>
      <c r="I418" s="799"/>
      <c r="J418" s="799"/>
      <c r="K418" s="799"/>
      <c r="L418" s="799"/>
      <c r="M418" s="799"/>
      <c r="N418" s="799"/>
      <c r="O418" s="799"/>
      <c r="P418" s="799"/>
      <c r="Q418" s="799"/>
      <c r="R418" s="799"/>
      <c r="S418" s="799"/>
      <c r="T418" s="799"/>
      <c r="U418" s="799"/>
      <c r="V418" s="799"/>
      <c r="W418" s="799"/>
      <c r="X418" s="799"/>
      <c r="Y418" s="799"/>
      <c r="Z418" s="799"/>
      <c r="AA418" s="799"/>
      <c r="AB418" s="799"/>
      <c r="AC418" s="799"/>
      <c r="AD418" s="799"/>
      <c r="AE418" s="799"/>
      <c r="AF418" s="799"/>
      <c r="AG418" s="799"/>
      <c r="AH418" s="799"/>
      <c r="AI418" s="799"/>
      <c r="AJ418" s="799"/>
      <c r="AK418" s="799"/>
      <c r="AL418" s="799"/>
      <c r="AM418" s="799"/>
      <c r="AN418" s="799"/>
      <c r="AO418" s="799"/>
      <c r="AP418" s="799"/>
      <c r="AQ418" s="799"/>
      <c r="AR418" s="799"/>
      <c r="AS418" s="799"/>
      <c r="AT418" s="799"/>
      <c r="AU418" s="799"/>
      <c r="AV418" s="799"/>
      <c r="AW418" s="799"/>
      <c r="AX418" s="799"/>
      <c r="AY418" s="799"/>
      <c r="AZ418" s="799"/>
      <c r="BA418" s="799"/>
      <c r="BB418" s="799"/>
      <c r="BC418" s="799"/>
      <c r="BD418" s="799"/>
      <c r="BE418" s="799"/>
      <c r="BF418" s="799"/>
      <c r="BG418" s="799"/>
    </row>
    <row r="419">
      <c r="H419" s="799"/>
      <c r="I419" s="799"/>
      <c r="J419" s="799"/>
      <c r="K419" s="799"/>
      <c r="L419" s="799"/>
      <c r="M419" s="799"/>
      <c r="N419" s="799"/>
      <c r="O419" s="799"/>
      <c r="P419" s="799"/>
      <c r="Q419" s="799"/>
      <c r="R419" s="799"/>
      <c r="S419" s="799"/>
      <c r="T419" s="799"/>
      <c r="U419" s="799"/>
      <c r="V419" s="799"/>
      <c r="W419" s="799"/>
      <c r="X419" s="799"/>
      <c r="Y419" s="799"/>
      <c r="Z419" s="799"/>
      <c r="AA419" s="799"/>
      <c r="AB419" s="799"/>
      <c r="AC419" s="799"/>
      <c r="AD419" s="799"/>
      <c r="AE419" s="799"/>
      <c r="AF419" s="799"/>
      <c r="AG419" s="799"/>
      <c r="AH419" s="799"/>
      <c r="AI419" s="799"/>
      <c r="AJ419" s="799"/>
      <c r="AK419" s="799"/>
      <c r="AL419" s="799"/>
      <c r="AM419" s="799"/>
      <c r="AN419" s="799"/>
      <c r="AO419" s="799"/>
      <c r="AP419" s="799"/>
      <c r="AQ419" s="799"/>
      <c r="AR419" s="799"/>
      <c r="AS419" s="799"/>
      <c r="AT419" s="799"/>
      <c r="AU419" s="799"/>
      <c r="AV419" s="799"/>
      <c r="AW419" s="799"/>
      <c r="AX419" s="799"/>
      <c r="AY419" s="799"/>
      <c r="AZ419" s="799"/>
      <c r="BA419" s="799"/>
      <c r="BB419" s="799"/>
      <c r="BC419" s="799"/>
      <c r="BD419" s="799"/>
      <c r="BE419" s="799"/>
      <c r="BF419" s="799"/>
      <c r="BG419" s="799"/>
    </row>
    <row r="420">
      <c r="H420" s="799"/>
      <c r="I420" s="799"/>
      <c r="J420" s="799"/>
      <c r="K420" s="799"/>
      <c r="L420" s="799"/>
      <c r="M420" s="799"/>
      <c r="N420" s="799"/>
      <c r="O420" s="799"/>
      <c r="P420" s="799"/>
      <c r="Q420" s="799"/>
      <c r="R420" s="799"/>
      <c r="S420" s="799"/>
      <c r="T420" s="799"/>
      <c r="U420" s="799"/>
      <c r="V420" s="799"/>
      <c r="W420" s="799"/>
      <c r="X420" s="799"/>
      <c r="Y420" s="799"/>
      <c r="Z420" s="799"/>
      <c r="AA420" s="799"/>
      <c r="AB420" s="799"/>
      <c r="AC420" s="799"/>
      <c r="AD420" s="799"/>
      <c r="AE420" s="799"/>
      <c r="AF420" s="799"/>
      <c r="AG420" s="799"/>
      <c r="AH420" s="799"/>
      <c r="AI420" s="799"/>
      <c r="AJ420" s="799"/>
      <c r="AK420" s="799"/>
      <c r="AL420" s="799"/>
      <c r="AM420" s="799"/>
      <c r="AN420" s="799"/>
      <c r="AO420" s="799"/>
      <c r="AP420" s="799"/>
      <c r="AQ420" s="799"/>
      <c r="AR420" s="799"/>
      <c r="AS420" s="799"/>
      <c r="AT420" s="799"/>
      <c r="AU420" s="799"/>
      <c r="AV420" s="799"/>
      <c r="AW420" s="799"/>
      <c r="AX420" s="799"/>
      <c r="AY420" s="799"/>
      <c r="AZ420" s="799"/>
      <c r="BA420" s="799"/>
      <c r="BB420" s="799"/>
      <c r="BC420" s="799"/>
      <c r="BD420" s="799"/>
      <c r="BE420" s="799"/>
      <c r="BF420" s="799"/>
      <c r="BG420" s="799"/>
    </row>
    <row r="421">
      <c r="H421" s="799"/>
      <c r="I421" s="799"/>
      <c r="J421" s="799"/>
      <c r="K421" s="799"/>
      <c r="L421" s="799"/>
      <c r="M421" s="799"/>
      <c r="N421" s="799"/>
      <c r="O421" s="799"/>
      <c r="P421" s="799"/>
      <c r="Q421" s="799"/>
      <c r="R421" s="799"/>
      <c r="S421" s="799"/>
      <c r="T421" s="799"/>
      <c r="U421" s="799"/>
      <c r="V421" s="799"/>
      <c r="W421" s="799"/>
      <c r="X421" s="799"/>
      <c r="Y421" s="799"/>
      <c r="Z421" s="799"/>
      <c r="AA421" s="799"/>
      <c r="AB421" s="799"/>
      <c r="AC421" s="799"/>
      <c r="AD421" s="799"/>
      <c r="AE421" s="799"/>
      <c r="AF421" s="799"/>
      <c r="AG421" s="799"/>
      <c r="AH421" s="799"/>
      <c r="AI421" s="799"/>
      <c r="AJ421" s="799"/>
      <c r="AK421" s="799"/>
      <c r="AL421" s="799"/>
      <c r="AM421" s="799"/>
      <c r="AN421" s="799"/>
      <c r="AO421" s="799"/>
      <c r="AP421" s="799"/>
      <c r="AQ421" s="799"/>
      <c r="AR421" s="799"/>
      <c r="AS421" s="799"/>
      <c r="AT421" s="799"/>
      <c r="AU421" s="799"/>
      <c r="AV421" s="799"/>
      <c r="AW421" s="799"/>
      <c r="AX421" s="799"/>
      <c r="AY421" s="799"/>
      <c r="AZ421" s="799"/>
      <c r="BA421" s="799"/>
      <c r="BB421" s="799"/>
      <c r="BC421" s="799"/>
      <c r="BD421" s="799"/>
      <c r="BE421" s="799"/>
      <c r="BF421" s="799"/>
      <c r="BG421" s="799"/>
    </row>
    <row r="422">
      <c r="H422" s="799"/>
      <c r="I422" s="799"/>
      <c r="J422" s="799"/>
      <c r="K422" s="799"/>
      <c r="L422" s="799"/>
      <c r="M422" s="799"/>
      <c r="N422" s="799"/>
      <c r="O422" s="799"/>
      <c r="P422" s="799"/>
      <c r="Q422" s="799"/>
      <c r="R422" s="799"/>
      <c r="S422" s="799"/>
      <c r="T422" s="799"/>
      <c r="U422" s="799"/>
      <c r="V422" s="799"/>
      <c r="W422" s="799"/>
      <c r="X422" s="799"/>
      <c r="Y422" s="799"/>
      <c r="Z422" s="799"/>
      <c r="AA422" s="799"/>
      <c r="AB422" s="799"/>
      <c r="AC422" s="799"/>
      <c r="AD422" s="799"/>
      <c r="AE422" s="799"/>
      <c r="AF422" s="799"/>
      <c r="AG422" s="799"/>
      <c r="AH422" s="799"/>
      <c r="AI422" s="799"/>
      <c r="AJ422" s="799"/>
      <c r="AK422" s="799"/>
      <c r="AL422" s="799"/>
      <c r="AM422" s="799"/>
      <c r="AN422" s="799"/>
      <c r="AO422" s="799"/>
      <c r="AP422" s="799"/>
      <c r="AQ422" s="799"/>
      <c r="AR422" s="799"/>
      <c r="AS422" s="799"/>
      <c r="AT422" s="799"/>
      <c r="AU422" s="799"/>
      <c r="AV422" s="799"/>
      <c r="AW422" s="799"/>
      <c r="AX422" s="799"/>
      <c r="AY422" s="799"/>
      <c r="AZ422" s="799"/>
      <c r="BA422" s="799"/>
      <c r="BB422" s="799"/>
      <c r="BC422" s="799"/>
      <c r="BD422" s="799"/>
      <c r="BE422" s="799"/>
      <c r="BF422" s="799"/>
      <c r="BG422" s="799"/>
    </row>
    <row r="423">
      <c r="H423" s="799"/>
      <c r="I423" s="799"/>
      <c r="J423" s="799"/>
      <c r="K423" s="799"/>
      <c r="L423" s="799"/>
      <c r="M423" s="799"/>
      <c r="N423" s="799"/>
      <c r="O423" s="799"/>
      <c r="P423" s="799"/>
      <c r="Q423" s="799"/>
      <c r="R423" s="799"/>
      <c r="S423" s="799"/>
      <c r="T423" s="799"/>
      <c r="U423" s="799"/>
      <c r="V423" s="799"/>
      <c r="W423" s="799"/>
      <c r="X423" s="799"/>
      <c r="Y423" s="799"/>
      <c r="Z423" s="799"/>
      <c r="AA423" s="799"/>
      <c r="AB423" s="799"/>
      <c r="AC423" s="799"/>
      <c r="AD423" s="799"/>
      <c r="AE423" s="799"/>
      <c r="AF423" s="799"/>
      <c r="AG423" s="799"/>
      <c r="AH423" s="799"/>
      <c r="AI423" s="799"/>
      <c r="AJ423" s="799"/>
      <c r="AK423" s="799"/>
      <c r="AL423" s="799"/>
      <c r="AM423" s="799"/>
      <c r="AN423" s="799"/>
      <c r="AO423" s="799"/>
      <c r="AP423" s="799"/>
      <c r="AQ423" s="799"/>
      <c r="AR423" s="799"/>
      <c r="AS423" s="799"/>
      <c r="AT423" s="799"/>
      <c r="AU423" s="799"/>
      <c r="AV423" s="799"/>
      <c r="AW423" s="799"/>
      <c r="AX423" s="799"/>
      <c r="AY423" s="799"/>
      <c r="AZ423" s="799"/>
      <c r="BA423" s="799"/>
      <c r="BB423" s="799"/>
      <c r="BC423" s="799"/>
      <c r="BD423" s="799"/>
      <c r="BE423" s="799"/>
      <c r="BF423" s="799"/>
      <c r="BG423" s="799"/>
    </row>
    <row r="424">
      <c r="H424" s="799"/>
      <c r="I424" s="799"/>
      <c r="J424" s="799"/>
      <c r="K424" s="799"/>
      <c r="L424" s="799"/>
      <c r="M424" s="799"/>
      <c r="N424" s="799"/>
      <c r="O424" s="799"/>
      <c r="P424" s="799"/>
      <c r="Q424" s="799"/>
      <c r="R424" s="799"/>
      <c r="S424" s="799"/>
      <c r="T424" s="799"/>
      <c r="U424" s="799"/>
      <c r="V424" s="799"/>
      <c r="W424" s="799"/>
      <c r="X424" s="799"/>
      <c r="Y424" s="799"/>
      <c r="Z424" s="799"/>
      <c r="AA424" s="799"/>
      <c r="AB424" s="799"/>
      <c r="AC424" s="799"/>
      <c r="AD424" s="799"/>
      <c r="AE424" s="799"/>
      <c r="AF424" s="799"/>
      <c r="AG424" s="799"/>
      <c r="AH424" s="799"/>
      <c r="AI424" s="799"/>
      <c r="AJ424" s="799"/>
      <c r="AK424" s="799"/>
      <c r="AL424" s="799"/>
      <c r="AM424" s="799"/>
      <c r="AN424" s="799"/>
      <c r="AO424" s="799"/>
      <c r="AP424" s="799"/>
      <c r="AQ424" s="799"/>
      <c r="AR424" s="799"/>
      <c r="AS424" s="799"/>
      <c r="AT424" s="799"/>
      <c r="AU424" s="799"/>
      <c r="AV424" s="799"/>
      <c r="AW424" s="799"/>
      <c r="AX424" s="799"/>
      <c r="AY424" s="799"/>
      <c r="AZ424" s="799"/>
      <c r="BA424" s="799"/>
      <c r="BB424" s="799"/>
      <c r="BC424" s="799"/>
      <c r="BD424" s="799"/>
      <c r="BE424" s="799"/>
      <c r="BF424" s="799"/>
      <c r="BG424" s="799"/>
    </row>
    <row r="425">
      <c r="H425" s="799"/>
      <c r="I425" s="799"/>
      <c r="J425" s="799"/>
      <c r="K425" s="799"/>
      <c r="L425" s="799"/>
      <c r="M425" s="799"/>
      <c r="N425" s="799"/>
      <c r="O425" s="799"/>
      <c r="P425" s="799"/>
      <c r="Q425" s="799"/>
      <c r="R425" s="799"/>
      <c r="S425" s="799"/>
      <c r="T425" s="799"/>
      <c r="U425" s="799"/>
      <c r="V425" s="799"/>
      <c r="W425" s="799"/>
      <c r="X425" s="799"/>
      <c r="Y425" s="799"/>
      <c r="Z425" s="799"/>
      <c r="AA425" s="799"/>
      <c r="AB425" s="799"/>
      <c r="AC425" s="799"/>
      <c r="AD425" s="799"/>
      <c r="AE425" s="799"/>
      <c r="AF425" s="799"/>
      <c r="AG425" s="799"/>
      <c r="AH425" s="799"/>
      <c r="AI425" s="799"/>
      <c r="AJ425" s="799"/>
      <c r="AK425" s="799"/>
      <c r="AL425" s="799"/>
      <c r="AM425" s="799"/>
      <c r="AN425" s="799"/>
      <c r="AO425" s="799"/>
      <c r="AP425" s="799"/>
      <c r="AQ425" s="799"/>
      <c r="AR425" s="799"/>
      <c r="AS425" s="799"/>
      <c r="AT425" s="799"/>
      <c r="AU425" s="799"/>
      <c r="AV425" s="799"/>
      <c r="AW425" s="799"/>
      <c r="AX425" s="799"/>
      <c r="AY425" s="799"/>
      <c r="AZ425" s="799"/>
      <c r="BA425" s="799"/>
      <c r="BB425" s="799"/>
      <c r="BC425" s="799"/>
      <c r="BD425" s="799"/>
      <c r="BE425" s="799"/>
      <c r="BF425" s="799"/>
      <c r="BG425" s="799"/>
    </row>
    <row r="426">
      <c r="H426" s="799"/>
      <c r="I426" s="799"/>
      <c r="J426" s="799"/>
      <c r="K426" s="799"/>
      <c r="L426" s="799"/>
      <c r="M426" s="799"/>
      <c r="N426" s="799"/>
      <c r="O426" s="799"/>
      <c r="P426" s="799"/>
      <c r="Q426" s="799"/>
      <c r="R426" s="799"/>
      <c r="S426" s="799"/>
      <c r="T426" s="799"/>
      <c r="U426" s="799"/>
      <c r="V426" s="799"/>
      <c r="W426" s="799"/>
      <c r="X426" s="799"/>
      <c r="Y426" s="799"/>
      <c r="Z426" s="799"/>
      <c r="AA426" s="799"/>
      <c r="AB426" s="799"/>
      <c r="AC426" s="799"/>
      <c r="AD426" s="799"/>
      <c r="AE426" s="799"/>
      <c r="AF426" s="799"/>
      <c r="AG426" s="799"/>
      <c r="AH426" s="799"/>
      <c r="AI426" s="799"/>
      <c r="AJ426" s="799"/>
      <c r="AK426" s="799"/>
      <c r="AL426" s="799"/>
      <c r="AM426" s="799"/>
      <c r="AN426" s="799"/>
      <c r="AO426" s="799"/>
      <c r="AP426" s="799"/>
      <c r="AQ426" s="799"/>
      <c r="AR426" s="799"/>
      <c r="AS426" s="799"/>
      <c r="AT426" s="799"/>
      <c r="AU426" s="799"/>
      <c r="AV426" s="799"/>
      <c r="AW426" s="799"/>
      <c r="AX426" s="799"/>
      <c r="AY426" s="799"/>
      <c r="AZ426" s="799"/>
      <c r="BA426" s="799"/>
      <c r="BB426" s="799"/>
      <c r="BC426" s="799"/>
      <c r="BD426" s="799"/>
      <c r="BE426" s="799"/>
      <c r="BF426" s="799"/>
      <c r="BG426" s="799"/>
    </row>
    <row r="427">
      <c r="H427" s="799"/>
      <c r="I427" s="799"/>
      <c r="J427" s="799"/>
      <c r="K427" s="799"/>
      <c r="L427" s="799"/>
      <c r="M427" s="799"/>
      <c r="N427" s="799"/>
      <c r="O427" s="799"/>
      <c r="P427" s="799"/>
      <c r="Q427" s="799"/>
      <c r="R427" s="799"/>
      <c r="S427" s="799"/>
      <c r="T427" s="799"/>
      <c r="U427" s="799"/>
      <c r="V427" s="799"/>
      <c r="W427" s="799"/>
      <c r="X427" s="799"/>
      <c r="Y427" s="799"/>
      <c r="Z427" s="799"/>
      <c r="AA427" s="799"/>
      <c r="AB427" s="799"/>
      <c r="AC427" s="799"/>
      <c r="AD427" s="799"/>
      <c r="AE427" s="799"/>
      <c r="AF427" s="799"/>
      <c r="AG427" s="799"/>
      <c r="AH427" s="799"/>
      <c r="AI427" s="799"/>
      <c r="AJ427" s="799"/>
      <c r="AK427" s="799"/>
      <c r="AL427" s="799"/>
      <c r="AM427" s="799"/>
      <c r="AN427" s="799"/>
      <c r="AO427" s="799"/>
      <c r="AP427" s="799"/>
      <c r="AQ427" s="799"/>
      <c r="AR427" s="799"/>
      <c r="AS427" s="799"/>
      <c r="AT427" s="799"/>
      <c r="AU427" s="799"/>
      <c r="AV427" s="799"/>
      <c r="AW427" s="799"/>
      <c r="AX427" s="799"/>
      <c r="AY427" s="799"/>
      <c r="AZ427" s="799"/>
      <c r="BA427" s="799"/>
      <c r="BB427" s="799"/>
      <c r="BC427" s="799"/>
      <c r="BD427" s="799"/>
      <c r="BE427" s="799"/>
      <c r="BF427" s="799"/>
      <c r="BG427" s="799"/>
    </row>
    <row r="428">
      <c r="H428" s="799"/>
      <c r="I428" s="799"/>
      <c r="J428" s="799"/>
      <c r="K428" s="799"/>
      <c r="L428" s="799"/>
      <c r="M428" s="799"/>
      <c r="N428" s="799"/>
      <c r="O428" s="799"/>
      <c r="P428" s="799"/>
      <c r="Q428" s="799"/>
      <c r="R428" s="799"/>
      <c r="S428" s="799"/>
      <c r="T428" s="799"/>
      <c r="U428" s="799"/>
      <c r="V428" s="799"/>
      <c r="W428" s="799"/>
      <c r="X428" s="799"/>
      <c r="Y428" s="799"/>
      <c r="Z428" s="799"/>
      <c r="AA428" s="799"/>
      <c r="AB428" s="799"/>
      <c r="AC428" s="799"/>
      <c r="AD428" s="799"/>
      <c r="AE428" s="799"/>
      <c r="AF428" s="799"/>
      <c r="AG428" s="799"/>
      <c r="AH428" s="799"/>
      <c r="AI428" s="799"/>
      <c r="AJ428" s="799"/>
      <c r="AK428" s="799"/>
      <c r="AL428" s="799"/>
      <c r="AM428" s="799"/>
      <c r="AN428" s="799"/>
      <c r="AO428" s="799"/>
      <c r="AP428" s="799"/>
      <c r="AQ428" s="799"/>
      <c r="AR428" s="799"/>
      <c r="AS428" s="799"/>
      <c r="AT428" s="799"/>
      <c r="AU428" s="799"/>
      <c r="AV428" s="799"/>
      <c r="AW428" s="799"/>
      <c r="AX428" s="799"/>
      <c r="AY428" s="799"/>
      <c r="AZ428" s="799"/>
      <c r="BA428" s="799"/>
      <c r="BB428" s="799"/>
      <c r="BC428" s="799"/>
      <c r="BD428" s="799"/>
      <c r="BE428" s="799"/>
      <c r="BF428" s="799"/>
      <c r="BG428" s="799"/>
    </row>
    <row r="429">
      <c r="H429" s="799"/>
      <c r="I429" s="799"/>
      <c r="J429" s="799"/>
      <c r="K429" s="799"/>
      <c r="L429" s="799"/>
      <c r="M429" s="799"/>
      <c r="N429" s="799"/>
      <c r="O429" s="799"/>
      <c r="P429" s="799"/>
      <c r="Q429" s="799"/>
      <c r="R429" s="799"/>
      <c r="S429" s="799"/>
      <c r="T429" s="799"/>
      <c r="U429" s="799"/>
      <c r="V429" s="799"/>
      <c r="W429" s="799"/>
      <c r="X429" s="799"/>
      <c r="Y429" s="799"/>
      <c r="Z429" s="799"/>
      <c r="AA429" s="799"/>
      <c r="AB429" s="799"/>
      <c r="AC429" s="799"/>
      <c r="AD429" s="799"/>
      <c r="AE429" s="799"/>
      <c r="AF429" s="799"/>
      <c r="AG429" s="799"/>
      <c r="AH429" s="799"/>
      <c r="AI429" s="799"/>
      <c r="AJ429" s="799"/>
      <c r="AK429" s="799"/>
      <c r="AL429" s="799"/>
      <c r="AM429" s="799"/>
      <c r="AN429" s="799"/>
      <c r="AO429" s="799"/>
      <c r="AP429" s="799"/>
      <c r="AQ429" s="799"/>
      <c r="AR429" s="799"/>
      <c r="AS429" s="799"/>
      <c r="AT429" s="799"/>
      <c r="AU429" s="799"/>
      <c r="AV429" s="799"/>
      <c r="AW429" s="799"/>
      <c r="AX429" s="799"/>
      <c r="AY429" s="799"/>
      <c r="AZ429" s="799"/>
      <c r="BA429" s="799"/>
      <c r="BB429" s="799"/>
      <c r="BC429" s="799"/>
      <c r="BD429" s="799"/>
      <c r="BE429" s="799"/>
      <c r="BF429" s="799"/>
      <c r="BG429" s="799"/>
    </row>
    <row r="430">
      <c r="H430" s="799"/>
      <c r="I430" s="799"/>
      <c r="J430" s="799"/>
      <c r="K430" s="799"/>
      <c r="L430" s="799"/>
      <c r="M430" s="799"/>
      <c r="N430" s="799"/>
      <c r="O430" s="799"/>
      <c r="P430" s="799"/>
      <c r="Q430" s="799"/>
      <c r="R430" s="799"/>
      <c r="S430" s="799"/>
      <c r="T430" s="799"/>
      <c r="U430" s="799"/>
      <c r="V430" s="799"/>
      <c r="W430" s="799"/>
      <c r="X430" s="799"/>
      <c r="Y430" s="799"/>
      <c r="Z430" s="799"/>
      <c r="AA430" s="799"/>
      <c r="AB430" s="799"/>
      <c r="AC430" s="799"/>
      <c r="AD430" s="799"/>
      <c r="AE430" s="799"/>
      <c r="AF430" s="799"/>
      <c r="AG430" s="799"/>
      <c r="AH430" s="799"/>
      <c r="AI430" s="799"/>
      <c r="AJ430" s="799"/>
      <c r="AK430" s="799"/>
      <c r="AL430" s="799"/>
      <c r="AM430" s="799"/>
      <c r="AN430" s="799"/>
      <c r="AO430" s="799"/>
      <c r="AP430" s="799"/>
      <c r="AQ430" s="799"/>
      <c r="AR430" s="799"/>
      <c r="AS430" s="799"/>
      <c r="AT430" s="799"/>
      <c r="AU430" s="799"/>
      <c r="AV430" s="799"/>
      <c r="AW430" s="799"/>
      <c r="AX430" s="799"/>
      <c r="AY430" s="799"/>
      <c r="AZ430" s="799"/>
      <c r="BA430" s="799"/>
      <c r="BB430" s="799"/>
      <c r="BC430" s="799"/>
      <c r="BD430" s="799"/>
      <c r="BE430" s="799"/>
      <c r="BF430" s="799"/>
      <c r="BG430" s="799"/>
    </row>
    <row r="431">
      <c r="H431" s="799"/>
      <c r="I431" s="799"/>
      <c r="J431" s="799"/>
      <c r="K431" s="799"/>
      <c r="L431" s="799"/>
      <c r="M431" s="799"/>
      <c r="N431" s="799"/>
      <c r="O431" s="799"/>
      <c r="P431" s="799"/>
      <c r="Q431" s="799"/>
      <c r="R431" s="799"/>
      <c r="S431" s="799"/>
      <c r="T431" s="799"/>
      <c r="U431" s="799"/>
      <c r="V431" s="799"/>
      <c r="W431" s="799"/>
      <c r="X431" s="799"/>
      <c r="Y431" s="799"/>
      <c r="Z431" s="799"/>
      <c r="AA431" s="799"/>
      <c r="AB431" s="799"/>
      <c r="AC431" s="799"/>
      <c r="AD431" s="799"/>
      <c r="AE431" s="799"/>
      <c r="AF431" s="799"/>
      <c r="AG431" s="799"/>
      <c r="AH431" s="799"/>
      <c r="AI431" s="799"/>
      <c r="AJ431" s="799"/>
      <c r="AK431" s="799"/>
      <c r="AL431" s="799"/>
      <c r="AM431" s="799"/>
      <c r="AN431" s="799"/>
      <c r="AO431" s="799"/>
      <c r="AP431" s="799"/>
      <c r="AQ431" s="799"/>
      <c r="AR431" s="799"/>
      <c r="AS431" s="799"/>
      <c r="AT431" s="799"/>
      <c r="AU431" s="799"/>
      <c r="AV431" s="799"/>
      <c r="AW431" s="799"/>
      <c r="AX431" s="799"/>
      <c r="AY431" s="799"/>
      <c r="AZ431" s="799"/>
      <c r="BA431" s="799"/>
      <c r="BB431" s="799"/>
      <c r="BC431" s="799"/>
      <c r="BD431" s="799"/>
      <c r="BE431" s="799"/>
      <c r="BF431" s="799"/>
      <c r="BG431" s="799"/>
    </row>
    <row r="432">
      <c r="H432" s="799"/>
      <c r="I432" s="799"/>
      <c r="J432" s="799"/>
      <c r="K432" s="799"/>
      <c r="L432" s="799"/>
      <c r="M432" s="799"/>
      <c r="N432" s="799"/>
      <c r="O432" s="799"/>
      <c r="P432" s="799"/>
      <c r="Q432" s="799"/>
      <c r="R432" s="799"/>
      <c r="S432" s="799"/>
      <c r="T432" s="799"/>
      <c r="U432" s="799"/>
      <c r="V432" s="799"/>
      <c r="W432" s="799"/>
      <c r="X432" s="799"/>
      <c r="Y432" s="799"/>
      <c r="Z432" s="799"/>
      <c r="AA432" s="799"/>
      <c r="AB432" s="799"/>
      <c r="AC432" s="799"/>
      <c r="AD432" s="799"/>
      <c r="AE432" s="799"/>
      <c r="AF432" s="799"/>
      <c r="AG432" s="799"/>
      <c r="AH432" s="799"/>
      <c r="AI432" s="799"/>
      <c r="AJ432" s="799"/>
      <c r="AK432" s="799"/>
      <c r="AL432" s="799"/>
      <c r="AM432" s="799"/>
      <c r="AN432" s="799"/>
      <c r="AO432" s="799"/>
      <c r="AP432" s="799"/>
      <c r="AQ432" s="799"/>
      <c r="AR432" s="799"/>
      <c r="AS432" s="799"/>
      <c r="AT432" s="799"/>
      <c r="AU432" s="799"/>
      <c r="AV432" s="799"/>
      <c r="AW432" s="799"/>
      <c r="AX432" s="799"/>
      <c r="AY432" s="799"/>
      <c r="AZ432" s="799"/>
      <c r="BA432" s="799"/>
      <c r="BB432" s="799"/>
      <c r="BC432" s="799"/>
      <c r="BD432" s="799"/>
      <c r="BE432" s="799"/>
      <c r="BF432" s="799"/>
      <c r="BG432" s="799"/>
    </row>
    <row r="433">
      <c r="H433" s="799"/>
      <c r="I433" s="799"/>
      <c r="J433" s="799"/>
      <c r="K433" s="799"/>
      <c r="L433" s="799"/>
      <c r="M433" s="799"/>
      <c r="N433" s="799"/>
      <c r="O433" s="799"/>
      <c r="P433" s="799"/>
      <c r="Q433" s="799"/>
      <c r="R433" s="799"/>
      <c r="S433" s="799"/>
      <c r="T433" s="799"/>
      <c r="U433" s="799"/>
      <c r="V433" s="799"/>
      <c r="W433" s="799"/>
      <c r="X433" s="799"/>
      <c r="Y433" s="799"/>
      <c r="Z433" s="799"/>
      <c r="AA433" s="799"/>
      <c r="AB433" s="799"/>
      <c r="AC433" s="799"/>
      <c r="AD433" s="799"/>
      <c r="AE433" s="799"/>
      <c r="AF433" s="799"/>
      <c r="AG433" s="799"/>
      <c r="AH433" s="799"/>
      <c r="AI433" s="799"/>
      <c r="AJ433" s="799"/>
      <c r="AK433" s="799"/>
      <c r="AL433" s="799"/>
      <c r="AM433" s="799"/>
      <c r="AN433" s="799"/>
      <c r="AO433" s="799"/>
      <c r="AP433" s="799"/>
      <c r="AQ433" s="799"/>
      <c r="AR433" s="799"/>
      <c r="AS433" s="799"/>
      <c r="AT433" s="799"/>
      <c r="AU433" s="799"/>
      <c r="AV433" s="799"/>
      <c r="AW433" s="799"/>
      <c r="AX433" s="799"/>
      <c r="AY433" s="799"/>
      <c r="AZ433" s="799"/>
      <c r="BA433" s="799"/>
      <c r="BB433" s="799"/>
      <c r="BC433" s="799"/>
      <c r="BD433" s="799"/>
      <c r="BE433" s="799"/>
      <c r="BF433" s="799"/>
      <c r="BG433" s="799"/>
    </row>
    <row r="434">
      <c r="H434" s="799"/>
      <c r="I434" s="799"/>
      <c r="J434" s="799"/>
      <c r="K434" s="799"/>
      <c r="L434" s="799"/>
      <c r="M434" s="799"/>
      <c r="N434" s="799"/>
      <c r="O434" s="799"/>
      <c r="P434" s="799"/>
      <c r="Q434" s="799"/>
      <c r="R434" s="799"/>
      <c r="S434" s="799"/>
      <c r="T434" s="799"/>
      <c r="U434" s="799"/>
      <c r="V434" s="799"/>
      <c r="W434" s="799"/>
      <c r="X434" s="799"/>
      <c r="Y434" s="799"/>
      <c r="Z434" s="799"/>
      <c r="AA434" s="799"/>
      <c r="AB434" s="799"/>
      <c r="AC434" s="799"/>
      <c r="AD434" s="799"/>
      <c r="AE434" s="799"/>
      <c r="AF434" s="799"/>
      <c r="AG434" s="799"/>
      <c r="AH434" s="799"/>
      <c r="AI434" s="799"/>
      <c r="AJ434" s="799"/>
      <c r="AK434" s="799"/>
      <c r="AL434" s="799"/>
      <c r="AM434" s="799"/>
      <c r="AN434" s="799"/>
      <c r="AO434" s="799"/>
      <c r="AP434" s="799"/>
      <c r="AQ434" s="799"/>
      <c r="AR434" s="799"/>
      <c r="AS434" s="799"/>
      <c r="AT434" s="799"/>
      <c r="AU434" s="799"/>
      <c r="AV434" s="799"/>
      <c r="AW434" s="799"/>
      <c r="AX434" s="799"/>
      <c r="AY434" s="799"/>
      <c r="AZ434" s="799"/>
      <c r="BA434" s="799"/>
      <c r="BB434" s="799"/>
      <c r="BC434" s="799"/>
      <c r="BD434" s="799"/>
      <c r="BE434" s="799"/>
      <c r="BF434" s="799"/>
      <c r="BG434" s="799"/>
    </row>
    <row r="435">
      <c r="H435" s="799"/>
      <c r="I435" s="799"/>
      <c r="J435" s="799"/>
      <c r="K435" s="799"/>
      <c r="L435" s="799"/>
      <c r="M435" s="799"/>
      <c r="N435" s="799"/>
      <c r="O435" s="799"/>
      <c r="P435" s="799"/>
      <c r="Q435" s="799"/>
      <c r="R435" s="799"/>
      <c r="S435" s="799"/>
      <c r="T435" s="799"/>
      <c r="U435" s="799"/>
      <c r="V435" s="799"/>
      <c r="W435" s="799"/>
      <c r="X435" s="799"/>
      <c r="Y435" s="799"/>
      <c r="Z435" s="799"/>
      <c r="AA435" s="799"/>
      <c r="AB435" s="799"/>
      <c r="AC435" s="799"/>
      <c r="AD435" s="799"/>
      <c r="AE435" s="799"/>
      <c r="AF435" s="799"/>
      <c r="AG435" s="799"/>
      <c r="AH435" s="799"/>
      <c r="AI435" s="799"/>
      <c r="AJ435" s="799"/>
      <c r="AK435" s="799"/>
      <c r="AL435" s="799"/>
      <c r="AM435" s="799"/>
      <c r="AN435" s="799"/>
      <c r="AO435" s="799"/>
      <c r="AP435" s="799"/>
      <c r="AQ435" s="799"/>
      <c r="AR435" s="799"/>
      <c r="AS435" s="799"/>
      <c r="AT435" s="799"/>
      <c r="AU435" s="799"/>
      <c r="AV435" s="799"/>
      <c r="AW435" s="799"/>
      <c r="AX435" s="799"/>
      <c r="AY435" s="799"/>
      <c r="AZ435" s="799"/>
      <c r="BA435" s="799"/>
      <c r="BB435" s="799"/>
      <c r="BC435" s="799"/>
      <c r="BD435" s="799"/>
      <c r="BE435" s="799"/>
      <c r="BF435" s="799"/>
      <c r="BG435" s="799"/>
    </row>
    <row r="436">
      <c r="H436" s="799"/>
      <c r="I436" s="799"/>
      <c r="J436" s="799"/>
      <c r="K436" s="799"/>
      <c r="L436" s="799"/>
      <c r="M436" s="799"/>
      <c r="N436" s="799"/>
      <c r="O436" s="799"/>
      <c r="P436" s="799"/>
      <c r="Q436" s="799"/>
      <c r="R436" s="799"/>
      <c r="S436" s="799"/>
      <c r="T436" s="799"/>
      <c r="U436" s="799"/>
      <c r="V436" s="799"/>
      <c r="W436" s="799"/>
      <c r="X436" s="799"/>
      <c r="Y436" s="799"/>
      <c r="Z436" s="799"/>
      <c r="AA436" s="799"/>
      <c r="AB436" s="799"/>
      <c r="AC436" s="799"/>
      <c r="AD436" s="799"/>
      <c r="AE436" s="799"/>
      <c r="AF436" s="799"/>
      <c r="AG436" s="799"/>
      <c r="AH436" s="799"/>
      <c r="AI436" s="799"/>
      <c r="AJ436" s="799"/>
      <c r="AK436" s="799"/>
      <c r="AL436" s="799"/>
      <c r="AM436" s="799"/>
      <c r="AN436" s="799"/>
      <c r="AO436" s="799"/>
      <c r="AP436" s="799"/>
      <c r="AQ436" s="799"/>
      <c r="AR436" s="799"/>
      <c r="AS436" s="799"/>
      <c r="AT436" s="799"/>
      <c r="AU436" s="799"/>
      <c r="AV436" s="799"/>
      <c r="AW436" s="799"/>
      <c r="AX436" s="799"/>
      <c r="AY436" s="799"/>
      <c r="AZ436" s="799"/>
      <c r="BA436" s="799"/>
      <c r="BB436" s="799"/>
      <c r="BC436" s="799"/>
      <c r="BD436" s="799"/>
      <c r="BE436" s="799"/>
      <c r="BF436" s="799"/>
      <c r="BG436" s="799"/>
    </row>
    <row r="437">
      <c r="H437" s="799"/>
      <c r="I437" s="799"/>
      <c r="J437" s="799"/>
      <c r="K437" s="799"/>
      <c r="L437" s="799"/>
      <c r="M437" s="799"/>
      <c r="N437" s="799"/>
      <c r="O437" s="799"/>
      <c r="P437" s="799"/>
      <c r="Q437" s="799"/>
      <c r="R437" s="799"/>
      <c r="S437" s="799"/>
      <c r="T437" s="799"/>
      <c r="U437" s="799"/>
      <c r="V437" s="799"/>
      <c r="W437" s="799"/>
      <c r="X437" s="799"/>
      <c r="Y437" s="799"/>
      <c r="Z437" s="799"/>
      <c r="AA437" s="799"/>
      <c r="AB437" s="799"/>
      <c r="AC437" s="799"/>
      <c r="AD437" s="799"/>
      <c r="AE437" s="799"/>
      <c r="AF437" s="799"/>
      <c r="AG437" s="799"/>
      <c r="AH437" s="799"/>
      <c r="AI437" s="799"/>
      <c r="AJ437" s="799"/>
      <c r="AK437" s="799"/>
      <c r="AL437" s="799"/>
      <c r="AM437" s="799"/>
      <c r="AN437" s="799"/>
      <c r="AO437" s="799"/>
      <c r="AP437" s="799"/>
      <c r="AQ437" s="799"/>
      <c r="AR437" s="799"/>
      <c r="AS437" s="799"/>
      <c r="AT437" s="799"/>
      <c r="AU437" s="799"/>
      <c r="AV437" s="799"/>
      <c r="AW437" s="799"/>
      <c r="AX437" s="799"/>
      <c r="AY437" s="799"/>
      <c r="AZ437" s="799"/>
      <c r="BA437" s="799"/>
      <c r="BB437" s="799"/>
      <c r="BC437" s="799"/>
      <c r="BD437" s="799"/>
      <c r="BE437" s="799"/>
      <c r="BF437" s="799"/>
      <c r="BG437" s="799"/>
    </row>
    <row r="438">
      <c r="H438" s="799"/>
      <c r="I438" s="799"/>
      <c r="J438" s="799"/>
      <c r="K438" s="799"/>
      <c r="L438" s="799"/>
      <c r="M438" s="799"/>
      <c r="N438" s="799"/>
      <c r="O438" s="799"/>
      <c r="P438" s="799"/>
      <c r="Q438" s="799"/>
      <c r="R438" s="799"/>
      <c r="S438" s="799"/>
      <c r="T438" s="799"/>
      <c r="U438" s="799"/>
      <c r="V438" s="799"/>
      <c r="W438" s="799"/>
      <c r="X438" s="799"/>
      <c r="Y438" s="799"/>
      <c r="Z438" s="799"/>
      <c r="AA438" s="799"/>
      <c r="AB438" s="799"/>
      <c r="AC438" s="799"/>
      <c r="AD438" s="799"/>
      <c r="AE438" s="799"/>
      <c r="AF438" s="799"/>
      <c r="AG438" s="799"/>
      <c r="AH438" s="799"/>
      <c r="AI438" s="799"/>
      <c r="AJ438" s="799"/>
      <c r="AK438" s="799"/>
      <c r="AL438" s="799"/>
      <c r="AM438" s="799"/>
      <c r="AN438" s="799"/>
      <c r="AO438" s="799"/>
      <c r="AP438" s="799"/>
      <c r="AQ438" s="799"/>
      <c r="AR438" s="799"/>
      <c r="AS438" s="799"/>
      <c r="AT438" s="799"/>
      <c r="AU438" s="799"/>
      <c r="AV438" s="799"/>
      <c r="AW438" s="799"/>
      <c r="AX438" s="799"/>
      <c r="AY438" s="799"/>
      <c r="AZ438" s="799"/>
      <c r="BA438" s="799"/>
      <c r="BB438" s="799"/>
      <c r="BC438" s="799"/>
      <c r="BD438" s="799"/>
      <c r="BE438" s="799"/>
      <c r="BF438" s="799"/>
      <c r="BG438" s="799"/>
    </row>
    <row r="439">
      <c r="H439" s="799"/>
      <c r="I439" s="799"/>
      <c r="J439" s="799"/>
      <c r="K439" s="799"/>
      <c r="L439" s="799"/>
      <c r="M439" s="799"/>
      <c r="N439" s="799"/>
      <c r="O439" s="799"/>
      <c r="P439" s="799"/>
      <c r="Q439" s="799"/>
      <c r="R439" s="799"/>
      <c r="S439" s="799"/>
      <c r="T439" s="799"/>
      <c r="U439" s="799"/>
      <c r="V439" s="799"/>
      <c r="W439" s="799"/>
      <c r="X439" s="799"/>
      <c r="Y439" s="799"/>
      <c r="Z439" s="799"/>
      <c r="AA439" s="799"/>
      <c r="AB439" s="799"/>
      <c r="AC439" s="799"/>
      <c r="AD439" s="799"/>
      <c r="AE439" s="799"/>
      <c r="AF439" s="799"/>
      <c r="AG439" s="799"/>
      <c r="AH439" s="799"/>
      <c r="AI439" s="799"/>
      <c r="AJ439" s="799"/>
      <c r="AK439" s="799"/>
      <c r="AL439" s="799"/>
      <c r="AM439" s="799"/>
      <c r="AN439" s="799"/>
      <c r="AO439" s="799"/>
      <c r="AP439" s="799"/>
      <c r="AQ439" s="799"/>
      <c r="AR439" s="799"/>
      <c r="AS439" s="799"/>
      <c r="AT439" s="799"/>
      <c r="AU439" s="799"/>
      <c r="AV439" s="799"/>
      <c r="AW439" s="799"/>
      <c r="AX439" s="799"/>
      <c r="AY439" s="799"/>
      <c r="AZ439" s="799"/>
      <c r="BA439" s="799"/>
      <c r="BB439" s="799"/>
      <c r="BC439" s="799"/>
      <c r="BD439" s="799"/>
      <c r="BE439" s="799"/>
      <c r="BF439" s="799"/>
      <c r="BG439" s="799"/>
    </row>
    <row r="440">
      <c r="H440" s="799"/>
      <c r="I440" s="799"/>
      <c r="J440" s="799"/>
      <c r="K440" s="799"/>
      <c r="L440" s="799"/>
      <c r="M440" s="799"/>
      <c r="N440" s="799"/>
      <c r="O440" s="799"/>
      <c r="P440" s="799"/>
      <c r="Q440" s="799"/>
      <c r="R440" s="799"/>
      <c r="S440" s="799"/>
      <c r="T440" s="799"/>
      <c r="U440" s="799"/>
      <c r="V440" s="799"/>
      <c r="W440" s="799"/>
      <c r="X440" s="799"/>
      <c r="Y440" s="799"/>
      <c r="Z440" s="799"/>
      <c r="AA440" s="799"/>
      <c r="AB440" s="799"/>
      <c r="AC440" s="799"/>
      <c r="AD440" s="799"/>
      <c r="AE440" s="799"/>
      <c r="AF440" s="799"/>
      <c r="AG440" s="799"/>
      <c r="AH440" s="799"/>
      <c r="AI440" s="799"/>
      <c r="AJ440" s="799"/>
      <c r="AK440" s="799"/>
      <c r="AL440" s="799"/>
      <c r="AM440" s="799"/>
      <c r="AN440" s="799"/>
      <c r="AO440" s="799"/>
      <c r="AP440" s="799"/>
      <c r="AQ440" s="799"/>
      <c r="AR440" s="799"/>
      <c r="AS440" s="799"/>
      <c r="AT440" s="799"/>
      <c r="AU440" s="799"/>
      <c r="AV440" s="799"/>
      <c r="AW440" s="799"/>
      <c r="AX440" s="799"/>
      <c r="AY440" s="799"/>
      <c r="AZ440" s="799"/>
      <c r="BA440" s="799"/>
      <c r="BB440" s="799"/>
      <c r="BC440" s="799"/>
      <c r="BD440" s="799"/>
      <c r="BE440" s="799"/>
      <c r="BF440" s="799"/>
      <c r="BG440" s="799"/>
    </row>
    <row r="441">
      <c r="H441" s="799"/>
      <c r="I441" s="799"/>
      <c r="J441" s="799"/>
      <c r="K441" s="799"/>
      <c r="L441" s="799"/>
      <c r="M441" s="799"/>
      <c r="N441" s="799"/>
      <c r="O441" s="799"/>
      <c r="P441" s="799"/>
      <c r="Q441" s="799"/>
      <c r="R441" s="799"/>
      <c r="S441" s="799"/>
      <c r="T441" s="799"/>
      <c r="U441" s="799"/>
      <c r="V441" s="799"/>
      <c r="W441" s="799"/>
      <c r="X441" s="799"/>
      <c r="Y441" s="799"/>
      <c r="Z441" s="799"/>
      <c r="AA441" s="799"/>
      <c r="AB441" s="799"/>
      <c r="AC441" s="799"/>
      <c r="AD441" s="799"/>
      <c r="AE441" s="799"/>
      <c r="AF441" s="799"/>
      <c r="AG441" s="799"/>
      <c r="AH441" s="799"/>
      <c r="AI441" s="799"/>
      <c r="AJ441" s="799"/>
      <c r="AK441" s="799"/>
      <c r="AL441" s="799"/>
      <c r="AM441" s="799"/>
      <c r="AN441" s="799"/>
      <c r="AO441" s="799"/>
      <c r="AP441" s="799"/>
      <c r="AQ441" s="799"/>
      <c r="AR441" s="799"/>
      <c r="AS441" s="799"/>
      <c r="AT441" s="799"/>
      <c r="AU441" s="799"/>
      <c r="AV441" s="799"/>
      <c r="AW441" s="799"/>
      <c r="AX441" s="799"/>
      <c r="AY441" s="799"/>
      <c r="AZ441" s="799"/>
      <c r="BA441" s="799"/>
      <c r="BB441" s="799"/>
      <c r="BC441" s="799"/>
      <c r="BD441" s="799"/>
      <c r="BE441" s="799"/>
      <c r="BF441" s="799"/>
      <c r="BG441" s="799"/>
    </row>
    <row r="442">
      <c r="H442" s="799"/>
      <c r="I442" s="799"/>
      <c r="J442" s="799"/>
      <c r="K442" s="799"/>
      <c r="L442" s="799"/>
      <c r="M442" s="799"/>
      <c r="N442" s="799"/>
      <c r="O442" s="799"/>
      <c r="P442" s="799"/>
      <c r="Q442" s="799"/>
      <c r="R442" s="799"/>
      <c r="S442" s="799"/>
      <c r="T442" s="799"/>
      <c r="U442" s="799"/>
      <c r="V442" s="799"/>
      <c r="W442" s="799"/>
      <c r="X442" s="799"/>
      <c r="Y442" s="799"/>
      <c r="Z442" s="799"/>
      <c r="AA442" s="799"/>
      <c r="AB442" s="799"/>
      <c r="AC442" s="799"/>
      <c r="AD442" s="799"/>
      <c r="AE442" s="799"/>
      <c r="AF442" s="799"/>
      <c r="AG442" s="799"/>
      <c r="AH442" s="799"/>
      <c r="AI442" s="799"/>
      <c r="AJ442" s="799"/>
      <c r="AK442" s="799"/>
      <c r="AL442" s="799"/>
      <c r="AM442" s="799"/>
      <c r="AN442" s="799"/>
      <c r="AO442" s="799"/>
      <c r="AP442" s="799"/>
      <c r="AQ442" s="799"/>
      <c r="AR442" s="799"/>
      <c r="AS442" s="799"/>
      <c r="AT442" s="799"/>
      <c r="AU442" s="799"/>
      <c r="AV442" s="799"/>
      <c r="AW442" s="799"/>
      <c r="AX442" s="799"/>
      <c r="AY442" s="799"/>
      <c r="AZ442" s="799"/>
      <c r="BA442" s="799"/>
      <c r="BB442" s="799"/>
      <c r="BC442" s="799"/>
      <c r="BD442" s="799"/>
      <c r="BE442" s="799"/>
      <c r="BF442" s="799"/>
      <c r="BG442" s="799"/>
    </row>
    <row r="443">
      <c r="H443" s="799"/>
      <c r="I443" s="799"/>
      <c r="J443" s="799"/>
      <c r="K443" s="799"/>
      <c r="L443" s="799"/>
      <c r="M443" s="799"/>
      <c r="N443" s="799"/>
      <c r="O443" s="799"/>
      <c r="P443" s="799"/>
      <c r="Q443" s="799"/>
      <c r="R443" s="799"/>
      <c r="S443" s="799"/>
      <c r="T443" s="799"/>
      <c r="U443" s="799"/>
      <c r="V443" s="799"/>
      <c r="W443" s="799"/>
      <c r="X443" s="799"/>
      <c r="Y443" s="799"/>
      <c r="Z443" s="799"/>
      <c r="AA443" s="799"/>
      <c r="AB443" s="799"/>
      <c r="AC443" s="799"/>
      <c r="AD443" s="799"/>
      <c r="AE443" s="799"/>
      <c r="AF443" s="799"/>
      <c r="AG443" s="799"/>
      <c r="AH443" s="799"/>
      <c r="AI443" s="799"/>
      <c r="AJ443" s="799"/>
      <c r="AK443" s="799"/>
      <c r="AL443" s="799"/>
      <c r="AM443" s="799"/>
      <c r="AN443" s="799"/>
      <c r="AO443" s="799"/>
      <c r="AP443" s="799"/>
      <c r="AQ443" s="799"/>
      <c r="AR443" s="799"/>
      <c r="AS443" s="799"/>
      <c r="AT443" s="799"/>
      <c r="AU443" s="799"/>
      <c r="AV443" s="799"/>
      <c r="AW443" s="799"/>
      <c r="AX443" s="799"/>
      <c r="AY443" s="799"/>
      <c r="AZ443" s="799"/>
      <c r="BA443" s="799"/>
      <c r="BB443" s="799"/>
      <c r="BC443" s="799"/>
      <c r="BD443" s="799"/>
      <c r="BE443" s="799"/>
      <c r="BF443" s="799"/>
      <c r="BG443" s="799"/>
    </row>
    <row r="444">
      <c r="H444" s="799"/>
      <c r="I444" s="799"/>
      <c r="J444" s="799"/>
      <c r="K444" s="799"/>
      <c r="L444" s="799"/>
      <c r="M444" s="799"/>
      <c r="N444" s="799"/>
      <c r="O444" s="799"/>
      <c r="P444" s="799"/>
      <c r="Q444" s="799"/>
      <c r="R444" s="799"/>
      <c r="S444" s="799"/>
      <c r="T444" s="799"/>
      <c r="U444" s="799"/>
      <c r="V444" s="799"/>
      <c r="W444" s="799"/>
      <c r="X444" s="799"/>
      <c r="Y444" s="799"/>
      <c r="Z444" s="799"/>
      <c r="AA444" s="799"/>
      <c r="AB444" s="799"/>
      <c r="AC444" s="799"/>
      <c r="AD444" s="799"/>
      <c r="AE444" s="799"/>
      <c r="AF444" s="799"/>
      <c r="AG444" s="799"/>
      <c r="AH444" s="799"/>
      <c r="AI444" s="799"/>
      <c r="AJ444" s="799"/>
      <c r="AK444" s="799"/>
      <c r="AL444" s="799"/>
      <c r="AM444" s="799"/>
      <c r="AN444" s="799"/>
      <c r="AO444" s="799"/>
      <c r="AP444" s="799"/>
      <c r="AQ444" s="799"/>
      <c r="AR444" s="799"/>
      <c r="AS444" s="799"/>
      <c r="AT444" s="799"/>
      <c r="AU444" s="799"/>
      <c r="AV444" s="799"/>
      <c r="AW444" s="799"/>
      <c r="AX444" s="799"/>
      <c r="AY444" s="799"/>
      <c r="AZ444" s="799"/>
      <c r="BA444" s="799"/>
      <c r="BB444" s="799"/>
      <c r="BC444" s="799"/>
      <c r="BD444" s="799"/>
      <c r="BE444" s="799"/>
      <c r="BF444" s="799"/>
      <c r="BG444" s="799"/>
    </row>
    <row r="445">
      <c r="H445" s="799"/>
      <c r="I445" s="799"/>
      <c r="J445" s="799"/>
      <c r="K445" s="799"/>
      <c r="L445" s="799"/>
      <c r="M445" s="799"/>
      <c r="N445" s="799"/>
      <c r="O445" s="799"/>
      <c r="P445" s="799"/>
      <c r="Q445" s="799"/>
      <c r="R445" s="799"/>
      <c r="S445" s="799"/>
      <c r="T445" s="799"/>
      <c r="U445" s="799"/>
      <c r="V445" s="799"/>
      <c r="W445" s="799"/>
      <c r="X445" s="799"/>
      <c r="Y445" s="799"/>
      <c r="Z445" s="799"/>
      <c r="AA445" s="799"/>
      <c r="AB445" s="799"/>
      <c r="AC445" s="799"/>
      <c r="AD445" s="799"/>
      <c r="AE445" s="799"/>
      <c r="AF445" s="799"/>
      <c r="AG445" s="799"/>
      <c r="AH445" s="799"/>
      <c r="AI445" s="799"/>
      <c r="AJ445" s="799"/>
      <c r="AK445" s="799"/>
      <c r="AL445" s="799"/>
      <c r="AM445" s="799"/>
      <c r="AN445" s="799"/>
      <c r="AO445" s="799"/>
      <c r="AP445" s="799"/>
      <c r="AQ445" s="799"/>
      <c r="AR445" s="799"/>
      <c r="AS445" s="799"/>
      <c r="AT445" s="799"/>
      <c r="AU445" s="799"/>
      <c r="AV445" s="799"/>
      <c r="AW445" s="799"/>
      <c r="AX445" s="799"/>
      <c r="AY445" s="799"/>
      <c r="AZ445" s="799"/>
      <c r="BA445" s="799"/>
      <c r="BB445" s="799"/>
      <c r="BC445" s="799"/>
      <c r="BD445" s="799"/>
      <c r="BE445" s="799"/>
      <c r="BF445" s="799"/>
      <c r="BG445" s="799"/>
    </row>
    <row r="446">
      <c r="H446" s="799"/>
      <c r="I446" s="799"/>
      <c r="J446" s="799"/>
      <c r="K446" s="799"/>
      <c r="L446" s="799"/>
      <c r="M446" s="799"/>
      <c r="N446" s="799"/>
      <c r="O446" s="799"/>
      <c r="P446" s="799"/>
      <c r="Q446" s="799"/>
      <c r="R446" s="799"/>
      <c r="S446" s="799"/>
      <c r="T446" s="799"/>
      <c r="U446" s="799"/>
      <c r="V446" s="799"/>
      <c r="W446" s="799"/>
      <c r="X446" s="799"/>
      <c r="Y446" s="799"/>
      <c r="Z446" s="799"/>
      <c r="AA446" s="799"/>
      <c r="AB446" s="799"/>
      <c r="AC446" s="799"/>
      <c r="AD446" s="799"/>
      <c r="AE446" s="799"/>
      <c r="AF446" s="799"/>
      <c r="AG446" s="799"/>
      <c r="AH446" s="799"/>
      <c r="AI446" s="799"/>
      <c r="AJ446" s="799"/>
      <c r="AK446" s="799"/>
      <c r="AL446" s="799"/>
      <c r="AM446" s="799"/>
      <c r="AN446" s="799"/>
      <c r="AO446" s="799"/>
      <c r="AP446" s="799"/>
      <c r="AQ446" s="799"/>
      <c r="AR446" s="799"/>
      <c r="AS446" s="799"/>
      <c r="AT446" s="799"/>
      <c r="AU446" s="799"/>
      <c r="AV446" s="799"/>
      <c r="AW446" s="799"/>
      <c r="AX446" s="799"/>
      <c r="AY446" s="799"/>
      <c r="AZ446" s="799"/>
      <c r="BA446" s="799"/>
      <c r="BB446" s="799"/>
      <c r="BC446" s="799"/>
      <c r="BD446" s="799"/>
      <c r="BE446" s="799"/>
      <c r="BF446" s="799"/>
      <c r="BG446" s="799"/>
    </row>
    <row r="447">
      <c r="H447" s="799"/>
      <c r="I447" s="799"/>
      <c r="J447" s="799"/>
      <c r="K447" s="799"/>
      <c r="L447" s="799"/>
      <c r="M447" s="799"/>
      <c r="N447" s="799"/>
      <c r="O447" s="799"/>
      <c r="P447" s="799"/>
      <c r="Q447" s="799"/>
      <c r="R447" s="799"/>
      <c r="S447" s="799"/>
      <c r="T447" s="799"/>
      <c r="U447" s="799"/>
      <c r="V447" s="799"/>
      <c r="W447" s="799"/>
      <c r="X447" s="799"/>
      <c r="Y447" s="799"/>
      <c r="Z447" s="799"/>
      <c r="AA447" s="799"/>
      <c r="AB447" s="799"/>
      <c r="AC447" s="799"/>
      <c r="AD447" s="799"/>
      <c r="AE447" s="799"/>
      <c r="AF447" s="799"/>
      <c r="AG447" s="799"/>
      <c r="AH447" s="799"/>
      <c r="AI447" s="799"/>
      <c r="AJ447" s="799"/>
      <c r="AK447" s="799"/>
      <c r="AL447" s="799"/>
      <c r="AM447" s="799"/>
      <c r="AN447" s="799"/>
      <c r="AO447" s="799"/>
      <c r="AP447" s="799"/>
      <c r="AQ447" s="799"/>
      <c r="AR447" s="799"/>
      <c r="AS447" s="799"/>
      <c r="AT447" s="799"/>
      <c r="AU447" s="799"/>
      <c r="AV447" s="799"/>
      <c r="AW447" s="799"/>
      <c r="AX447" s="799"/>
      <c r="AY447" s="799"/>
      <c r="AZ447" s="799"/>
      <c r="BA447" s="799"/>
      <c r="BB447" s="799"/>
      <c r="BC447" s="799"/>
      <c r="BD447" s="799"/>
      <c r="BE447" s="799"/>
      <c r="BF447" s="799"/>
      <c r="BG447" s="799"/>
    </row>
    <row r="448">
      <c r="H448" s="799"/>
      <c r="I448" s="799"/>
      <c r="J448" s="799"/>
      <c r="K448" s="799"/>
      <c r="L448" s="799"/>
      <c r="M448" s="799"/>
      <c r="N448" s="799"/>
      <c r="O448" s="799"/>
      <c r="P448" s="799"/>
      <c r="Q448" s="799"/>
      <c r="R448" s="799"/>
      <c r="S448" s="799"/>
      <c r="T448" s="799"/>
      <c r="U448" s="799"/>
      <c r="V448" s="799"/>
      <c r="W448" s="799"/>
      <c r="X448" s="799"/>
      <c r="Y448" s="799"/>
      <c r="Z448" s="799"/>
      <c r="AA448" s="799"/>
      <c r="AB448" s="799"/>
      <c r="AC448" s="799"/>
      <c r="AD448" s="799"/>
      <c r="AE448" s="799"/>
      <c r="AF448" s="799"/>
      <c r="AG448" s="799"/>
      <c r="AH448" s="799"/>
      <c r="AI448" s="799"/>
      <c r="AJ448" s="799"/>
      <c r="AK448" s="799"/>
      <c r="AL448" s="799"/>
      <c r="AM448" s="799"/>
      <c r="AN448" s="799"/>
      <c r="AO448" s="799"/>
      <c r="AP448" s="799"/>
      <c r="AQ448" s="799"/>
      <c r="AR448" s="799"/>
      <c r="AS448" s="799"/>
      <c r="AT448" s="799"/>
      <c r="AU448" s="799"/>
      <c r="AV448" s="799"/>
      <c r="AW448" s="799"/>
      <c r="AX448" s="799"/>
      <c r="AY448" s="799"/>
      <c r="AZ448" s="799"/>
      <c r="BA448" s="799"/>
      <c r="BB448" s="799"/>
      <c r="BC448" s="799"/>
      <c r="BD448" s="799"/>
      <c r="BE448" s="799"/>
      <c r="BF448" s="799"/>
      <c r="BG448" s="799"/>
    </row>
    <row r="449">
      <c r="H449" s="799"/>
      <c r="I449" s="799"/>
      <c r="J449" s="799"/>
      <c r="K449" s="799"/>
      <c r="L449" s="799"/>
      <c r="M449" s="799"/>
      <c r="N449" s="799"/>
      <c r="O449" s="799"/>
      <c r="P449" s="799"/>
      <c r="Q449" s="799"/>
      <c r="R449" s="799"/>
      <c r="S449" s="799"/>
      <c r="T449" s="799"/>
      <c r="U449" s="799"/>
      <c r="V449" s="799"/>
      <c r="W449" s="799"/>
      <c r="X449" s="799"/>
      <c r="Y449" s="799"/>
      <c r="Z449" s="799"/>
      <c r="AA449" s="799"/>
      <c r="AB449" s="799"/>
      <c r="AC449" s="799"/>
      <c r="AD449" s="799"/>
      <c r="AE449" s="799"/>
      <c r="AF449" s="799"/>
      <c r="AG449" s="799"/>
      <c r="AH449" s="799"/>
      <c r="AI449" s="799"/>
      <c r="AJ449" s="799"/>
      <c r="AK449" s="799"/>
      <c r="AL449" s="799"/>
      <c r="AM449" s="799"/>
      <c r="AN449" s="799"/>
      <c r="AO449" s="799"/>
      <c r="AP449" s="799"/>
      <c r="AQ449" s="799"/>
      <c r="AR449" s="799"/>
      <c r="AS449" s="799"/>
      <c r="AT449" s="799"/>
      <c r="AU449" s="799"/>
      <c r="AV449" s="799"/>
      <c r="AW449" s="799"/>
      <c r="AX449" s="799"/>
      <c r="AY449" s="799"/>
      <c r="AZ449" s="799"/>
      <c r="BA449" s="799"/>
      <c r="BB449" s="799"/>
      <c r="BC449" s="799"/>
      <c r="BD449" s="799"/>
      <c r="BE449" s="799"/>
      <c r="BF449" s="799"/>
      <c r="BG449" s="799"/>
    </row>
    <row r="450">
      <c r="H450" s="799"/>
      <c r="I450" s="799"/>
      <c r="J450" s="799"/>
      <c r="K450" s="799"/>
      <c r="L450" s="799"/>
      <c r="M450" s="799"/>
      <c r="N450" s="799"/>
      <c r="O450" s="799"/>
      <c r="P450" s="799"/>
      <c r="Q450" s="799"/>
      <c r="R450" s="799"/>
      <c r="S450" s="799"/>
      <c r="T450" s="799"/>
      <c r="U450" s="799"/>
      <c r="V450" s="799"/>
      <c r="W450" s="799"/>
      <c r="X450" s="799"/>
      <c r="Y450" s="799"/>
      <c r="Z450" s="799"/>
      <c r="AA450" s="799"/>
      <c r="AB450" s="799"/>
      <c r="AC450" s="799"/>
      <c r="AD450" s="799"/>
      <c r="AE450" s="799"/>
      <c r="AF450" s="799"/>
      <c r="AG450" s="799"/>
      <c r="AH450" s="799"/>
      <c r="AI450" s="799"/>
      <c r="AJ450" s="799"/>
      <c r="AK450" s="799"/>
      <c r="AL450" s="799"/>
      <c r="AM450" s="799"/>
      <c r="AN450" s="799"/>
      <c r="AO450" s="799"/>
      <c r="AP450" s="799"/>
      <c r="AQ450" s="799"/>
      <c r="AR450" s="799"/>
      <c r="AS450" s="799"/>
      <c r="AT450" s="799"/>
      <c r="AU450" s="799"/>
      <c r="AV450" s="799"/>
      <c r="AW450" s="799"/>
      <c r="AX450" s="799"/>
      <c r="AY450" s="799"/>
      <c r="AZ450" s="799"/>
      <c r="BA450" s="799"/>
      <c r="BB450" s="799"/>
      <c r="BC450" s="799"/>
      <c r="BD450" s="799"/>
      <c r="BE450" s="799"/>
      <c r="BF450" s="799"/>
      <c r="BG450" s="799"/>
    </row>
    <row r="451">
      <c r="H451" s="799"/>
      <c r="I451" s="799"/>
      <c r="J451" s="799"/>
      <c r="K451" s="799"/>
      <c r="L451" s="799"/>
      <c r="M451" s="799"/>
      <c r="N451" s="799"/>
      <c r="O451" s="799"/>
      <c r="P451" s="799"/>
      <c r="Q451" s="799"/>
      <c r="R451" s="799"/>
      <c r="S451" s="799"/>
      <c r="T451" s="799"/>
      <c r="U451" s="799"/>
      <c r="V451" s="799"/>
      <c r="W451" s="799"/>
      <c r="X451" s="799"/>
      <c r="Y451" s="799"/>
      <c r="Z451" s="799"/>
      <c r="AA451" s="799"/>
      <c r="AB451" s="799"/>
      <c r="AC451" s="799"/>
      <c r="AD451" s="799"/>
      <c r="AE451" s="799"/>
      <c r="AF451" s="799"/>
      <c r="AG451" s="799"/>
      <c r="AH451" s="799"/>
      <c r="AI451" s="799"/>
      <c r="AJ451" s="799"/>
      <c r="AK451" s="799"/>
      <c r="AL451" s="799"/>
      <c r="AM451" s="799"/>
      <c r="AN451" s="799"/>
      <c r="AO451" s="799"/>
      <c r="AP451" s="799"/>
      <c r="AQ451" s="799"/>
      <c r="AR451" s="799"/>
      <c r="AS451" s="799"/>
      <c r="AT451" s="799"/>
      <c r="AU451" s="799"/>
      <c r="AV451" s="799"/>
      <c r="AW451" s="799"/>
      <c r="AX451" s="799"/>
      <c r="AY451" s="799"/>
      <c r="AZ451" s="799"/>
      <c r="BA451" s="799"/>
      <c r="BB451" s="799"/>
      <c r="BC451" s="799"/>
      <c r="BD451" s="799"/>
      <c r="BE451" s="799"/>
      <c r="BF451" s="799"/>
      <c r="BG451" s="799"/>
    </row>
    <row r="452">
      <c r="H452" s="799"/>
      <c r="I452" s="799"/>
      <c r="J452" s="799"/>
      <c r="K452" s="799"/>
      <c r="L452" s="799"/>
      <c r="M452" s="799"/>
      <c r="N452" s="799"/>
      <c r="O452" s="799"/>
      <c r="P452" s="799"/>
      <c r="Q452" s="799"/>
      <c r="R452" s="799"/>
      <c r="S452" s="799"/>
      <c r="T452" s="799"/>
      <c r="U452" s="799"/>
      <c r="V452" s="799"/>
      <c r="W452" s="799"/>
      <c r="X452" s="799"/>
      <c r="Y452" s="799"/>
      <c r="Z452" s="799"/>
      <c r="AA452" s="799"/>
      <c r="AB452" s="799"/>
      <c r="AC452" s="799"/>
      <c r="AD452" s="799"/>
      <c r="AE452" s="799"/>
      <c r="AF452" s="799"/>
      <c r="AG452" s="799"/>
      <c r="AH452" s="799"/>
      <c r="AI452" s="799"/>
      <c r="AJ452" s="799"/>
      <c r="AK452" s="799"/>
      <c r="AL452" s="799"/>
      <c r="AM452" s="799"/>
      <c r="AN452" s="799"/>
      <c r="AO452" s="799"/>
      <c r="AP452" s="799"/>
      <c r="AQ452" s="799"/>
      <c r="AR452" s="799"/>
      <c r="AS452" s="799"/>
      <c r="AT452" s="799"/>
      <c r="AU452" s="799"/>
      <c r="AV452" s="799"/>
      <c r="AW452" s="799"/>
      <c r="AX452" s="799"/>
      <c r="AY452" s="799"/>
      <c r="AZ452" s="799"/>
      <c r="BA452" s="799"/>
      <c r="BB452" s="799"/>
      <c r="BC452" s="799"/>
      <c r="BD452" s="799"/>
      <c r="BE452" s="799"/>
      <c r="BF452" s="799"/>
      <c r="BG452" s="799"/>
    </row>
    <row r="453">
      <c r="H453" s="799"/>
      <c r="I453" s="799"/>
      <c r="J453" s="799"/>
      <c r="K453" s="799"/>
      <c r="L453" s="799"/>
      <c r="M453" s="799"/>
      <c r="N453" s="799"/>
      <c r="O453" s="799"/>
      <c r="P453" s="799"/>
      <c r="Q453" s="799"/>
      <c r="R453" s="799"/>
      <c r="S453" s="799"/>
      <c r="T453" s="799"/>
      <c r="U453" s="799"/>
      <c r="V453" s="799"/>
      <c r="W453" s="799"/>
      <c r="X453" s="799"/>
      <c r="Y453" s="799"/>
      <c r="Z453" s="799"/>
      <c r="AA453" s="799"/>
      <c r="AB453" s="799"/>
      <c r="AC453" s="799"/>
      <c r="AD453" s="799"/>
      <c r="AE453" s="799"/>
      <c r="AF453" s="799"/>
      <c r="AG453" s="799"/>
      <c r="AH453" s="799"/>
      <c r="AI453" s="799"/>
      <c r="AJ453" s="799"/>
      <c r="AK453" s="799"/>
      <c r="AL453" s="799"/>
      <c r="AM453" s="799"/>
      <c r="AN453" s="799"/>
      <c r="AO453" s="799"/>
      <c r="AP453" s="799"/>
      <c r="AQ453" s="799"/>
      <c r="AR453" s="799"/>
      <c r="AS453" s="799"/>
      <c r="AT453" s="799"/>
      <c r="AU453" s="799"/>
      <c r="AV453" s="799"/>
      <c r="AW453" s="799"/>
      <c r="AX453" s="799"/>
      <c r="AY453" s="799"/>
      <c r="AZ453" s="799"/>
      <c r="BA453" s="799"/>
      <c r="BB453" s="799"/>
      <c r="BC453" s="799"/>
      <c r="BD453" s="799"/>
      <c r="BE453" s="799"/>
      <c r="BF453" s="799"/>
      <c r="BG453" s="799"/>
    </row>
    <row r="454">
      <c r="H454" s="799"/>
      <c r="I454" s="799"/>
      <c r="J454" s="799"/>
      <c r="K454" s="799"/>
      <c r="L454" s="799"/>
      <c r="M454" s="799"/>
      <c r="N454" s="799"/>
      <c r="O454" s="799"/>
      <c r="P454" s="799"/>
      <c r="Q454" s="799"/>
      <c r="R454" s="799"/>
      <c r="S454" s="799"/>
      <c r="T454" s="799"/>
      <c r="U454" s="799"/>
      <c r="V454" s="799"/>
      <c r="W454" s="799"/>
      <c r="X454" s="799"/>
      <c r="Y454" s="799"/>
      <c r="Z454" s="799"/>
      <c r="AA454" s="799"/>
      <c r="AB454" s="799"/>
      <c r="AC454" s="799"/>
      <c r="AD454" s="799"/>
      <c r="AE454" s="799"/>
      <c r="AF454" s="799"/>
      <c r="AG454" s="799"/>
      <c r="AH454" s="799"/>
      <c r="AI454" s="799"/>
      <c r="AJ454" s="799"/>
      <c r="AK454" s="799"/>
      <c r="AL454" s="799"/>
      <c r="AM454" s="799"/>
      <c r="AN454" s="799"/>
      <c r="AO454" s="799"/>
      <c r="AP454" s="799"/>
      <c r="AQ454" s="799"/>
      <c r="AR454" s="799"/>
      <c r="AS454" s="799"/>
      <c r="AT454" s="799"/>
      <c r="AU454" s="799"/>
      <c r="AV454" s="799"/>
      <c r="AW454" s="799"/>
      <c r="AX454" s="799"/>
      <c r="AY454" s="799"/>
      <c r="AZ454" s="799"/>
      <c r="BA454" s="799"/>
      <c r="BB454" s="799"/>
      <c r="BC454" s="799"/>
      <c r="BD454" s="799"/>
      <c r="BE454" s="799"/>
      <c r="BF454" s="799"/>
      <c r="BG454" s="799"/>
    </row>
    <row r="455">
      <c r="H455" s="799"/>
      <c r="I455" s="799"/>
      <c r="J455" s="799"/>
      <c r="K455" s="799"/>
      <c r="L455" s="799"/>
      <c r="M455" s="799"/>
      <c r="N455" s="799"/>
      <c r="O455" s="799"/>
      <c r="P455" s="799"/>
      <c r="Q455" s="799"/>
      <c r="R455" s="799"/>
      <c r="S455" s="799"/>
      <c r="T455" s="799"/>
      <c r="U455" s="799"/>
      <c r="V455" s="799"/>
      <c r="W455" s="799"/>
      <c r="X455" s="799"/>
      <c r="Y455" s="799"/>
      <c r="Z455" s="799"/>
      <c r="AA455" s="799"/>
      <c r="AB455" s="799"/>
      <c r="AC455" s="799"/>
      <c r="AD455" s="799"/>
      <c r="AE455" s="799"/>
      <c r="AF455" s="799"/>
      <c r="AG455" s="799"/>
      <c r="AH455" s="799"/>
      <c r="AI455" s="799"/>
      <c r="AJ455" s="799"/>
      <c r="AK455" s="799"/>
      <c r="AL455" s="799"/>
      <c r="AM455" s="799"/>
      <c r="AN455" s="799"/>
      <c r="AO455" s="799"/>
      <c r="AP455" s="799"/>
      <c r="AQ455" s="799"/>
      <c r="AR455" s="799"/>
      <c r="AS455" s="799"/>
      <c r="AT455" s="799"/>
      <c r="AU455" s="799"/>
      <c r="AV455" s="799"/>
      <c r="AW455" s="799"/>
      <c r="AX455" s="799"/>
      <c r="AY455" s="799"/>
      <c r="AZ455" s="799"/>
      <c r="BA455" s="799"/>
      <c r="BB455" s="799"/>
      <c r="BC455" s="799"/>
      <c r="BD455" s="799"/>
      <c r="BE455" s="799"/>
      <c r="BF455" s="799"/>
      <c r="BG455" s="799"/>
    </row>
    <row r="456">
      <c r="H456" s="799"/>
      <c r="I456" s="799"/>
      <c r="J456" s="799"/>
      <c r="K456" s="799"/>
      <c r="L456" s="799"/>
      <c r="M456" s="799"/>
      <c r="N456" s="799"/>
      <c r="O456" s="799"/>
      <c r="P456" s="799"/>
      <c r="Q456" s="799"/>
      <c r="R456" s="799"/>
      <c r="S456" s="799"/>
      <c r="T456" s="799"/>
      <c r="U456" s="799"/>
      <c r="V456" s="799"/>
      <c r="W456" s="799"/>
      <c r="X456" s="799"/>
      <c r="Y456" s="799"/>
      <c r="Z456" s="799"/>
      <c r="AA456" s="799"/>
      <c r="AB456" s="799"/>
      <c r="AC456" s="799"/>
      <c r="AD456" s="799"/>
      <c r="AE456" s="799"/>
      <c r="AF456" s="799"/>
      <c r="AG456" s="799"/>
      <c r="AH456" s="799"/>
      <c r="AI456" s="799"/>
      <c r="AJ456" s="799"/>
      <c r="AK456" s="799"/>
      <c r="AL456" s="799"/>
      <c r="AM456" s="799"/>
      <c r="AN456" s="799"/>
      <c r="AO456" s="799"/>
      <c r="AP456" s="799"/>
      <c r="AQ456" s="799"/>
      <c r="AR456" s="799"/>
      <c r="AS456" s="799"/>
      <c r="AT456" s="799"/>
      <c r="AU456" s="799"/>
      <c r="AV456" s="799"/>
      <c r="AW456" s="799"/>
      <c r="AX456" s="799"/>
      <c r="AY456" s="799"/>
      <c r="AZ456" s="799"/>
      <c r="BA456" s="799"/>
      <c r="BB456" s="799"/>
      <c r="BC456" s="799"/>
      <c r="BD456" s="799"/>
      <c r="BE456" s="799"/>
      <c r="BF456" s="799"/>
      <c r="BG456" s="799"/>
    </row>
    <row r="457">
      <c r="H457" s="799"/>
      <c r="I457" s="799"/>
      <c r="J457" s="799"/>
      <c r="K457" s="799"/>
      <c r="L457" s="799"/>
      <c r="M457" s="799"/>
      <c r="N457" s="799"/>
      <c r="O457" s="799"/>
      <c r="P457" s="799"/>
      <c r="Q457" s="799"/>
      <c r="R457" s="799"/>
      <c r="S457" s="799"/>
      <c r="T457" s="799"/>
      <c r="U457" s="799"/>
      <c r="V457" s="799"/>
      <c r="W457" s="799"/>
      <c r="X457" s="799"/>
      <c r="Y457" s="799"/>
      <c r="Z457" s="799"/>
      <c r="AA457" s="799"/>
      <c r="AB457" s="799"/>
      <c r="AC457" s="799"/>
      <c r="AD457" s="799"/>
      <c r="AE457" s="799"/>
      <c r="AF457" s="799"/>
      <c r="AG457" s="799"/>
      <c r="AH457" s="799"/>
      <c r="AI457" s="799"/>
      <c r="AJ457" s="799"/>
      <c r="AK457" s="799"/>
      <c r="AL457" s="799"/>
      <c r="AM457" s="799"/>
      <c r="AN457" s="799"/>
      <c r="AO457" s="799"/>
      <c r="AP457" s="799"/>
      <c r="AQ457" s="799"/>
      <c r="AR457" s="799"/>
      <c r="AS457" s="799"/>
      <c r="AT457" s="799"/>
      <c r="AU457" s="799"/>
      <c r="AV457" s="799"/>
      <c r="AW457" s="799"/>
      <c r="AX457" s="799"/>
      <c r="AY457" s="799"/>
      <c r="AZ457" s="799"/>
      <c r="BA457" s="799"/>
      <c r="BB457" s="799"/>
      <c r="BC457" s="799"/>
      <c r="BD457" s="799"/>
      <c r="BE457" s="799"/>
      <c r="BF457" s="799"/>
      <c r="BG457" s="799"/>
    </row>
    <row r="458">
      <c r="H458" s="799"/>
      <c r="I458" s="799"/>
      <c r="J458" s="799"/>
      <c r="K458" s="799"/>
      <c r="L458" s="799"/>
      <c r="M458" s="799"/>
      <c r="N458" s="799"/>
      <c r="O458" s="799"/>
      <c r="P458" s="799"/>
      <c r="Q458" s="799"/>
      <c r="R458" s="799"/>
      <c r="S458" s="799"/>
      <c r="T458" s="799"/>
      <c r="U458" s="799"/>
      <c r="V458" s="799"/>
      <c r="W458" s="799"/>
      <c r="X458" s="799"/>
      <c r="Y458" s="799"/>
      <c r="Z458" s="799"/>
      <c r="AA458" s="799"/>
      <c r="AB458" s="799"/>
      <c r="AC458" s="799"/>
      <c r="AD458" s="799"/>
      <c r="AE458" s="799"/>
      <c r="AF458" s="799"/>
      <c r="AG458" s="799"/>
      <c r="AH458" s="799"/>
      <c r="AI458" s="799"/>
      <c r="AJ458" s="799"/>
      <c r="AK458" s="799"/>
      <c r="AL458" s="799"/>
      <c r="AM458" s="799"/>
      <c r="AN458" s="799"/>
      <c r="AO458" s="799"/>
      <c r="AP458" s="799"/>
      <c r="AQ458" s="799"/>
      <c r="AR458" s="799"/>
      <c r="AS458" s="799"/>
      <c r="AT458" s="799"/>
      <c r="AU458" s="799"/>
      <c r="AV458" s="799"/>
      <c r="AW458" s="799"/>
      <c r="AX458" s="799"/>
      <c r="AY458" s="799"/>
      <c r="AZ458" s="799"/>
      <c r="BA458" s="799"/>
      <c r="BB458" s="799"/>
      <c r="BC458" s="799"/>
      <c r="BD458" s="799"/>
      <c r="BE458" s="799"/>
      <c r="BF458" s="799"/>
      <c r="BG458" s="799"/>
    </row>
    <row r="459">
      <c r="H459" s="799"/>
      <c r="I459" s="799"/>
      <c r="J459" s="799"/>
      <c r="K459" s="799"/>
      <c r="L459" s="799"/>
      <c r="M459" s="799"/>
      <c r="N459" s="799"/>
      <c r="O459" s="799"/>
      <c r="P459" s="799"/>
      <c r="Q459" s="799"/>
      <c r="R459" s="799"/>
      <c r="S459" s="799"/>
      <c r="T459" s="799"/>
      <c r="U459" s="799"/>
      <c r="V459" s="799"/>
      <c r="W459" s="799"/>
      <c r="X459" s="799"/>
      <c r="Y459" s="799"/>
      <c r="Z459" s="799"/>
      <c r="AA459" s="799"/>
      <c r="AB459" s="799"/>
      <c r="AC459" s="799"/>
      <c r="AD459" s="799"/>
      <c r="AE459" s="799"/>
      <c r="AF459" s="799"/>
      <c r="AG459" s="799"/>
      <c r="AH459" s="799"/>
      <c r="AI459" s="799"/>
      <c r="AJ459" s="799"/>
      <c r="AK459" s="799"/>
      <c r="AL459" s="799"/>
      <c r="AM459" s="799"/>
      <c r="AN459" s="799"/>
      <c r="AO459" s="799"/>
      <c r="AP459" s="799"/>
      <c r="AQ459" s="799"/>
      <c r="AR459" s="799"/>
      <c r="AS459" s="799"/>
      <c r="AT459" s="799"/>
      <c r="AU459" s="799"/>
      <c r="AV459" s="799"/>
      <c r="AW459" s="799"/>
      <c r="AX459" s="799"/>
      <c r="AY459" s="799"/>
      <c r="AZ459" s="799"/>
      <c r="BA459" s="799"/>
      <c r="BB459" s="799"/>
      <c r="BC459" s="799"/>
      <c r="BD459" s="799"/>
      <c r="BE459" s="799"/>
      <c r="BF459" s="799"/>
      <c r="BG459" s="799"/>
    </row>
    <row r="460">
      <c r="H460" s="799"/>
      <c r="I460" s="799"/>
      <c r="J460" s="799"/>
      <c r="K460" s="799"/>
      <c r="L460" s="799"/>
      <c r="M460" s="799"/>
      <c r="N460" s="799"/>
      <c r="O460" s="799"/>
      <c r="P460" s="799"/>
      <c r="Q460" s="799"/>
      <c r="R460" s="799"/>
      <c r="S460" s="799"/>
      <c r="T460" s="799"/>
      <c r="U460" s="799"/>
      <c r="V460" s="799"/>
      <c r="W460" s="799"/>
      <c r="X460" s="799"/>
      <c r="Y460" s="799"/>
      <c r="Z460" s="799"/>
      <c r="AA460" s="799"/>
      <c r="AB460" s="799"/>
      <c r="AC460" s="799"/>
      <c r="AD460" s="799"/>
      <c r="AE460" s="799"/>
      <c r="AF460" s="799"/>
      <c r="AG460" s="799"/>
      <c r="AH460" s="799"/>
      <c r="AI460" s="799"/>
      <c r="AJ460" s="799"/>
      <c r="AK460" s="799"/>
      <c r="AL460" s="799"/>
      <c r="AM460" s="799"/>
      <c r="AN460" s="799"/>
      <c r="AO460" s="799"/>
      <c r="AP460" s="799"/>
      <c r="AQ460" s="799"/>
      <c r="AR460" s="799"/>
      <c r="AS460" s="799"/>
      <c r="AT460" s="799"/>
      <c r="AU460" s="799"/>
      <c r="AV460" s="799"/>
      <c r="AW460" s="799"/>
      <c r="AX460" s="799"/>
      <c r="AY460" s="799"/>
      <c r="AZ460" s="799"/>
      <c r="BA460" s="799"/>
      <c r="BB460" s="799"/>
      <c r="BC460" s="799"/>
      <c r="BD460" s="799"/>
      <c r="BE460" s="799"/>
      <c r="BF460" s="799"/>
      <c r="BG460" s="799"/>
    </row>
    <row r="461">
      <c r="H461" s="799"/>
      <c r="I461" s="799"/>
      <c r="J461" s="799"/>
      <c r="K461" s="799"/>
      <c r="L461" s="799"/>
      <c r="M461" s="799"/>
      <c r="N461" s="799"/>
      <c r="O461" s="799"/>
      <c r="P461" s="799"/>
      <c r="Q461" s="799"/>
      <c r="R461" s="799"/>
      <c r="S461" s="799"/>
      <c r="T461" s="799"/>
      <c r="U461" s="799"/>
      <c r="V461" s="799"/>
      <c r="W461" s="799"/>
      <c r="X461" s="799"/>
      <c r="Y461" s="799"/>
      <c r="Z461" s="799"/>
      <c r="AA461" s="799"/>
      <c r="AB461" s="799"/>
      <c r="AC461" s="799"/>
      <c r="AD461" s="799"/>
      <c r="AE461" s="799"/>
      <c r="AF461" s="799"/>
      <c r="AG461" s="799"/>
      <c r="AH461" s="799"/>
      <c r="AI461" s="799"/>
      <c r="AJ461" s="799"/>
      <c r="AK461" s="799"/>
      <c r="AL461" s="799"/>
      <c r="AM461" s="799"/>
      <c r="AN461" s="799"/>
      <c r="AO461" s="799"/>
      <c r="AP461" s="799"/>
      <c r="AQ461" s="799"/>
      <c r="AR461" s="799"/>
      <c r="AS461" s="799"/>
      <c r="AT461" s="799"/>
      <c r="AU461" s="799"/>
      <c r="AV461" s="799"/>
      <c r="AW461" s="799"/>
      <c r="AX461" s="799"/>
      <c r="AY461" s="799"/>
      <c r="AZ461" s="799"/>
      <c r="BA461" s="799"/>
      <c r="BB461" s="799"/>
      <c r="BC461" s="799"/>
      <c r="BD461" s="799"/>
      <c r="BE461" s="799"/>
      <c r="BF461" s="799"/>
      <c r="BG461" s="799"/>
    </row>
    <row r="462">
      <c r="H462" s="799"/>
      <c r="I462" s="799"/>
      <c r="J462" s="799"/>
      <c r="K462" s="799"/>
      <c r="L462" s="799"/>
      <c r="M462" s="799"/>
      <c r="N462" s="799"/>
      <c r="O462" s="799"/>
      <c r="P462" s="799"/>
      <c r="Q462" s="799"/>
      <c r="R462" s="799"/>
      <c r="S462" s="799"/>
      <c r="T462" s="799"/>
      <c r="U462" s="799"/>
      <c r="V462" s="799"/>
      <c r="W462" s="799"/>
      <c r="X462" s="799"/>
      <c r="Y462" s="799"/>
      <c r="Z462" s="799"/>
      <c r="AA462" s="799"/>
      <c r="AB462" s="799"/>
      <c r="AC462" s="799"/>
      <c r="AD462" s="799"/>
      <c r="AE462" s="799"/>
      <c r="AF462" s="799"/>
      <c r="AG462" s="799"/>
      <c r="AH462" s="799"/>
      <c r="AI462" s="799"/>
      <c r="AJ462" s="799"/>
      <c r="AK462" s="799"/>
      <c r="AL462" s="799"/>
      <c r="AM462" s="799"/>
      <c r="AN462" s="799"/>
      <c r="AO462" s="799"/>
      <c r="AP462" s="799"/>
      <c r="AQ462" s="799"/>
      <c r="AR462" s="799"/>
      <c r="AS462" s="799"/>
      <c r="AT462" s="799"/>
      <c r="AU462" s="799"/>
      <c r="AV462" s="799"/>
      <c r="AW462" s="799"/>
      <c r="AX462" s="799"/>
      <c r="AY462" s="799"/>
      <c r="AZ462" s="799"/>
      <c r="BA462" s="799"/>
      <c r="BB462" s="799"/>
      <c r="BC462" s="799"/>
      <c r="BD462" s="799"/>
      <c r="BE462" s="799"/>
      <c r="BF462" s="799"/>
      <c r="BG462" s="799"/>
    </row>
    <row r="463">
      <c r="H463" s="799"/>
      <c r="I463" s="799"/>
      <c r="J463" s="799"/>
      <c r="K463" s="799"/>
      <c r="L463" s="799"/>
      <c r="M463" s="799"/>
      <c r="N463" s="799"/>
      <c r="O463" s="799"/>
      <c r="P463" s="799"/>
      <c r="Q463" s="799"/>
      <c r="R463" s="799"/>
      <c r="S463" s="799"/>
      <c r="T463" s="799"/>
      <c r="U463" s="799"/>
      <c r="V463" s="799"/>
      <c r="W463" s="799"/>
      <c r="X463" s="799"/>
      <c r="Y463" s="799"/>
      <c r="Z463" s="799"/>
      <c r="AA463" s="799"/>
      <c r="AB463" s="799"/>
      <c r="AC463" s="799"/>
      <c r="AD463" s="799"/>
      <c r="AE463" s="799"/>
      <c r="AF463" s="799"/>
      <c r="AG463" s="799"/>
      <c r="AH463" s="799"/>
      <c r="AI463" s="799"/>
      <c r="AJ463" s="799"/>
      <c r="AK463" s="799"/>
      <c r="AL463" s="799"/>
      <c r="AM463" s="799"/>
      <c r="AN463" s="799"/>
      <c r="AO463" s="799"/>
      <c r="AP463" s="799"/>
      <c r="AQ463" s="799"/>
      <c r="AR463" s="799"/>
      <c r="AS463" s="799"/>
      <c r="AT463" s="799"/>
      <c r="AU463" s="799"/>
      <c r="AV463" s="799"/>
      <c r="AW463" s="799"/>
      <c r="AX463" s="799"/>
      <c r="AY463" s="799"/>
      <c r="AZ463" s="799"/>
      <c r="BA463" s="799"/>
      <c r="BB463" s="799"/>
      <c r="BC463" s="799"/>
      <c r="BD463" s="799"/>
      <c r="BE463" s="799"/>
      <c r="BF463" s="799"/>
      <c r="BG463" s="799"/>
    </row>
    <row r="464">
      <c r="H464" s="799"/>
      <c r="I464" s="799"/>
      <c r="J464" s="799"/>
      <c r="K464" s="799"/>
      <c r="L464" s="799"/>
      <c r="M464" s="799"/>
      <c r="N464" s="799"/>
      <c r="O464" s="799"/>
      <c r="P464" s="799"/>
      <c r="Q464" s="799"/>
      <c r="R464" s="799"/>
      <c r="S464" s="799"/>
      <c r="T464" s="799"/>
      <c r="U464" s="799"/>
      <c r="V464" s="799"/>
      <c r="W464" s="799"/>
      <c r="X464" s="799"/>
      <c r="Y464" s="799"/>
      <c r="Z464" s="799"/>
      <c r="AA464" s="799"/>
      <c r="AB464" s="799"/>
      <c r="AC464" s="799"/>
      <c r="AD464" s="799"/>
      <c r="AE464" s="799"/>
      <c r="AF464" s="799"/>
      <c r="AG464" s="799"/>
      <c r="AH464" s="799"/>
      <c r="AI464" s="799"/>
      <c r="AJ464" s="799"/>
      <c r="AK464" s="799"/>
      <c r="AL464" s="799"/>
      <c r="AM464" s="799"/>
      <c r="AN464" s="799"/>
      <c r="AO464" s="799"/>
      <c r="AP464" s="799"/>
      <c r="AQ464" s="799"/>
      <c r="AR464" s="799"/>
      <c r="AS464" s="799"/>
      <c r="AT464" s="799"/>
      <c r="AU464" s="799"/>
      <c r="AV464" s="799"/>
      <c r="AW464" s="799"/>
      <c r="AX464" s="799"/>
      <c r="AY464" s="799"/>
      <c r="AZ464" s="799"/>
      <c r="BA464" s="799"/>
      <c r="BB464" s="799"/>
      <c r="BC464" s="799"/>
      <c r="BD464" s="799"/>
      <c r="BE464" s="799"/>
      <c r="BF464" s="799"/>
      <c r="BG464" s="799"/>
    </row>
    <row r="465">
      <c r="H465" s="799"/>
      <c r="I465" s="799"/>
      <c r="J465" s="799"/>
      <c r="K465" s="799"/>
      <c r="L465" s="799"/>
      <c r="M465" s="799"/>
      <c r="N465" s="799"/>
      <c r="O465" s="799"/>
      <c r="P465" s="799"/>
      <c r="Q465" s="799"/>
      <c r="R465" s="799"/>
      <c r="S465" s="799"/>
      <c r="T465" s="799"/>
      <c r="U465" s="799"/>
      <c r="V465" s="799"/>
      <c r="W465" s="799"/>
      <c r="X465" s="799"/>
      <c r="Y465" s="799"/>
      <c r="Z465" s="799"/>
      <c r="AA465" s="799"/>
      <c r="AB465" s="799"/>
      <c r="AC465" s="799"/>
      <c r="AD465" s="799"/>
      <c r="AE465" s="799"/>
      <c r="AF465" s="799"/>
      <c r="AG465" s="799"/>
      <c r="AH465" s="799"/>
      <c r="AI465" s="799"/>
      <c r="AJ465" s="799"/>
      <c r="AK465" s="799"/>
      <c r="AL465" s="799"/>
      <c r="AM465" s="799"/>
      <c r="AN465" s="799"/>
      <c r="AO465" s="799"/>
      <c r="AP465" s="799"/>
      <c r="AQ465" s="799"/>
      <c r="AR465" s="799"/>
      <c r="AS465" s="799"/>
      <c r="AT465" s="799"/>
      <c r="AU465" s="799"/>
      <c r="AV465" s="799"/>
      <c r="AW465" s="799"/>
      <c r="AX465" s="799"/>
      <c r="AY465" s="799"/>
      <c r="AZ465" s="799"/>
      <c r="BA465" s="799"/>
      <c r="BB465" s="799"/>
      <c r="BC465" s="799"/>
      <c r="BD465" s="799"/>
      <c r="BE465" s="799"/>
      <c r="BF465" s="799"/>
      <c r="BG465" s="799"/>
    </row>
    <row r="466">
      <c r="H466" s="799"/>
      <c r="I466" s="799"/>
      <c r="J466" s="799"/>
      <c r="K466" s="799"/>
      <c r="L466" s="799"/>
      <c r="M466" s="799"/>
      <c r="N466" s="799"/>
      <c r="O466" s="799"/>
      <c r="P466" s="799"/>
      <c r="Q466" s="799"/>
      <c r="R466" s="799"/>
      <c r="S466" s="799"/>
      <c r="T466" s="799"/>
      <c r="U466" s="799"/>
      <c r="V466" s="799"/>
      <c r="W466" s="799"/>
      <c r="X466" s="799"/>
      <c r="Y466" s="799"/>
      <c r="Z466" s="799"/>
      <c r="AA466" s="799"/>
      <c r="AB466" s="799"/>
      <c r="AC466" s="799"/>
      <c r="AD466" s="799"/>
      <c r="AE466" s="799"/>
      <c r="AF466" s="799"/>
      <c r="AG466" s="799"/>
      <c r="AH466" s="799"/>
      <c r="AI466" s="799"/>
      <c r="AJ466" s="799"/>
      <c r="AK466" s="799"/>
      <c r="AL466" s="799"/>
      <c r="AM466" s="799"/>
      <c r="AN466" s="799"/>
      <c r="AO466" s="799"/>
      <c r="AP466" s="799"/>
      <c r="AQ466" s="799"/>
      <c r="AR466" s="799"/>
      <c r="AS466" s="799"/>
      <c r="AT466" s="799"/>
      <c r="AU466" s="799"/>
      <c r="AV466" s="799"/>
      <c r="AW466" s="799"/>
      <c r="AX466" s="799"/>
      <c r="AY466" s="799"/>
      <c r="AZ466" s="799"/>
      <c r="BA466" s="799"/>
      <c r="BB466" s="799"/>
      <c r="BC466" s="799"/>
      <c r="BD466" s="799"/>
      <c r="BE466" s="799"/>
      <c r="BF466" s="799"/>
      <c r="BG466" s="799"/>
    </row>
    <row r="467">
      <c r="H467" s="799"/>
      <c r="I467" s="799"/>
      <c r="J467" s="799"/>
      <c r="K467" s="799"/>
      <c r="L467" s="799"/>
      <c r="M467" s="799"/>
      <c r="N467" s="799"/>
      <c r="O467" s="799"/>
      <c r="P467" s="799"/>
      <c r="Q467" s="799"/>
      <c r="R467" s="799"/>
      <c r="S467" s="799"/>
      <c r="T467" s="799"/>
      <c r="U467" s="799"/>
      <c r="V467" s="799"/>
      <c r="W467" s="799"/>
      <c r="X467" s="799"/>
      <c r="Y467" s="799"/>
      <c r="Z467" s="799"/>
      <c r="AA467" s="799"/>
      <c r="AB467" s="799"/>
      <c r="AC467" s="799"/>
      <c r="AD467" s="799"/>
      <c r="AE467" s="799"/>
      <c r="AF467" s="799"/>
      <c r="AG467" s="799"/>
      <c r="AH467" s="799"/>
      <c r="AI467" s="799"/>
      <c r="AJ467" s="799"/>
      <c r="AK467" s="799"/>
      <c r="AL467" s="799"/>
      <c r="AM467" s="799"/>
      <c r="AN467" s="799"/>
      <c r="AO467" s="799"/>
      <c r="AP467" s="799"/>
      <c r="AQ467" s="799"/>
      <c r="AR467" s="799"/>
      <c r="AS467" s="799"/>
      <c r="AT467" s="799"/>
      <c r="AU467" s="799"/>
      <c r="AV467" s="799"/>
      <c r="AW467" s="799"/>
      <c r="AX467" s="799"/>
      <c r="AY467" s="799"/>
      <c r="AZ467" s="799"/>
      <c r="BA467" s="799"/>
      <c r="BB467" s="799"/>
      <c r="BC467" s="799"/>
      <c r="BD467" s="799"/>
      <c r="BE467" s="799"/>
      <c r="BF467" s="799"/>
      <c r="BG467" s="799"/>
    </row>
    <row r="468">
      <c r="H468" s="799"/>
      <c r="I468" s="799"/>
      <c r="J468" s="799"/>
      <c r="K468" s="799"/>
      <c r="L468" s="799"/>
      <c r="M468" s="799"/>
      <c r="N468" s="799"/>
      <c r="O468" s="799"/>
      <c r="P468" s="799"/>
      <c r="Q468" s="799"/>
      <c r="R468" s="799"/>
      <c r="S468" s="799"/>
      <c r="T468" s="799"/>
      <c r="U468" s="799"/>
      <c r="V468" s="799"/>
      <c r="W468" s="799"/>
      <c r="X468" s="799"/>
      <c r="Y468" s="799"/>
      <c r="Z468" s="799"/>
      <c r="AA468" s="799"/>
      <c r="AB468" s="799"/>
      <c r="AC468" s="799"/>
      <c r="AD468" s="799"/>
      <c r="AE468" s="799"/>
      <c r="AF468" s="799"/>
      <c r="AG468" s="799"/>
      <c r="AH468" s="799"/>
      <c r="AI468" s="799"/>
      <c r="AJ468" s="799"/>
      <c r="AK468" s="799"/>
      <c r="AL468" s="799"/>
      <c r="AM468" s="799"/>
      <c r="AN468" s="799"/>
      <c r="AO468" s="799"/>
      <c r="AP468" s="799"/>
      <c r="AQ468" s="799"/>
      <c r="AR468" s="799"/>
      <c r="AS468" s="799"/>
      <c r="AT468" s="799"/>
      <c r="AU468" s="799"/>
      <c r="AV468" s="799"/>
      <c r="AW468" s="799"/>
      <c r="AX468" s="799"/>
      <c r="AY468" s="799"/>
      <c r="AZ468" s="799"/>
      <c r="BA468" s="799"/>
      <c r="BB468" s="799"/>
      <c r="BC468" s="799"/>
      <c r="BD468" s="799"/>
      <c r="BE468" s="799"/>
      <c r="BF468" s="799"/>
      <c r="BG468" s="799"/>
    </row>
    <row r="469">
      <c r="H469" s="799"/>
      <c r="I469" s="799"/>
      <c r="J469" s="799"/>
      <c r="K469" s="799"/>
      <c r="L469" s="799"/>
      <c r="M469" s="799"/>
      <c r="N469" s="799"/>
      <c r="O469" s="799"/>
      <c r="P469" s="799"/>
      <c r="Q469" s="799"/>
      <c r="R469" s="799"/>
      <c r="S469" s="799"/>
      <c r="T469" s="799"/>
      <c r="U469" s="799"/>
      <c r="V469" s="799"/>
      <c r="W469" s="799"/>
      <c r="X469" s="799"/>
      <c r="Y469" s="799"/>
      <c r="Z469" s="799"/>
      <c r="AA469" s="799"/>
      <c r="AB469" s="799"/>
      <c r="AC469" s="799"/>
      <c r="AD469" s="799"/>
      <c r="AE469" s="799"/>
      <c r="AF469" s="799"/>
      <c r="AG469" s="799"/>
      <c r="AH469" s="799"/>
      <c r="AI469" s="799"/>
      <c r="AJ469" s="799"/>
      <c r="AK469" s="799"/>
      <c r="AL469" s="799"/>
      <c r="AM469" s="799"/>
      <c r="AN469" s="799"/>
      <c r="AO469" s="799"/>
      <c r="AP469" s="799"/>
      <c r="AQ469" s="799"/>
      <c r="AR469" s="799"/>
      <c r="AS469" s="799"/>
      <c r="AT469" s="799"/>
      <c r="AU469" s="799"/>
      <c r="AV469" s="799"/>
      <c r="AW469" s="799"/>
      <c r="AX469" s="799"/>
      <c r="AY469" s="799"/>
      <c r="AZ469" s="799"/>
      <c r="BA469" s="799"/>
      <c r="BB469" s="799"/>
      <c r="BC469" s="799"/>
      <c r="BD469" s="799"/>
      <c r="BE469" s="799"/>
      <c r="BF469" s="799"/>
      <c r="BG469" s="799"/>
    </row>
    <row r="470">
      <c r="H470" s="799"/>
      <c r="I470" s="799"/>
      <c r="J470" s="799"/>
      <c r="K470" s="799"/>
      <c r="L470" s="799"/>
      <c r="M470" s="799"/>
      <c r="N470" s="799"/>
      <c r="O470" s="799"/>
      <c r="P470" s="799"/>
      <c r="Q470" s="799"/>
      <c r="R470" s="799"/>
      <c r="S470" s="799"/>
      <c r="T470" s="799"/>
      <c r="U470" s="799"/>
      <c r="V470" s="799"/>
      <c r="W470" s="799"/>
      <c r="X470" s="799"/>
      <c r="Y470" s="799"/>
      <c r="Z470" s="799"/>
      <c r="AA470" s="799"/>
      <c r="AB470" s="799"/>
      <c r="AC470" s="799"/>
      <c r="AD470" s="799"/>
      <c r="AE470" s="799"/>
      <c r="AF470" s="799"/>
      <c r="AG470" s="799"/>
      <c r="AH470" s="799"/>
      <c r="AI470" s="799"/>
      <c r="AJ470" s="799"/>
      <c r="AK470" s="799"/>
      <c r="AL470" s="799"/>
      <c r="AM470" s="799"/>
      <c r="AN470" s="799"/>
      <c r="AO470" s="799"/>
      <c r="AP470" s="799"/>
      <c r="AQ470" s="799"/>
      <c r="AR470" s="799"/>
      <c r="AS470" s="799"/>
      <c r="AT470" s="799"/>
      <c r="AU470" s="799"/>
      <c r="AV470" s="799"/>
      <c r="AW470" s="799"/>
      <c r="AX470" s="799"/>
      <c r="AY470" s="799"/>
      <c r="AZ470" s="799"/>
      <c r="BA470" s="799"/>
      <c r="BB470" s="799"/>
      <c r="BC470" s="799"/>
      <c r="BD470" s="799"/>
      <c r="BE470" s="799"/>
      <c r="BF470" s="799"/>
      <c r="BG470" s="799"/>
    </row>
    <row r="471">
      <c r="H471" s="799"/>
      <c r="I471" s="799"/>
      <c r="J471" s="799"/>
      <c r="K471" s="799"/>
      <c r="L471" s="799"/>
      <c r="M471" s="799"/>
      <c r="N471" s="799"/>
      <c r="O471" s="799"/>
      <c r="P471" s="799"/>
      <c r="Q471" s="799"/>
      <c r="R471" s="799"/>
      <c r="S471" s="799"/>
      <c r="T471" s="799"/>
      <c r="U471" s="799"/>
      <c r="V471" s="799"/>
      <c r="W471" s="799"/>
      <c r="X471" s="799"/>
      <c r="Y471" s="799"/>
      <c r="Z471" s="799"/>
      <c r="AA471" s="799"/>
      <c r="AB471" s="799"/>
      <c r="AC471" s="799"/>
      <c r="AD471" s="799"/>
      <c r="AE471" s="799"/>
      <c r="AF471" s="799"/>
      <c r="AG471" s="799"/>
      <c r="AH471" s="799"/>
      <c r="AI471" s="799"/>
      <c r="AJ471" s="799"/>
      <c r="AK471" s="799"/>
      <c r="AL471" s="799"/>
      <c r="AM471" s="799"/>
      <c r="AN471" s="799"/>
      <c r="AO471" s="799"/>
      <c r="AP471" s="799"/>
      <c r="AQ471" s="799"/>
      <c r="AR471" s="799"/>
      <c r="AS471" s="799"/>
      <c r="AT471" s="799"/>
      <c r="AU471" s="799"/>
      <c r="AV471" s="799"/>
      <c r="AW471" s="799"/>
      <c r="AX471" s="799"/>
      <c r="AY471" s="799"/>
      <c r="AZ471" s="799"/>
      <c r="BA471" s="799"/>
      <c r="BB471" s="799"/>
      <c r="BC471" s="799"/>
      <c r="BD471" s="799"/>
      <c r="BE471" s="799"/>
      <c r="BF471" s="799"/>
      <c r="BG471" s="799"/>
    </row>
    <row r="472">
      <c r="H472" s="799"/>
      <c r="I472" s="799"/>
      <c r="J472" s="799"/>
      <c r="K472" s="799"/>
      <c r="L472" s="799"/>
      <c r="M472" s="799"/>
      <c r="N472" s="799"/>
      <c r="O472" s="799"/>
      <c r="P472" s="799"/>
      <c r="Q472" s="799"/>
      <c r="R472" s="799"/>
      <c r="S472" s="799"/>
      <c r="T472" s="799"/>
      <c r="U472" s="799"/>
      <c r="V472" s="799"/>
      <c r="W472" s="799"/>
      <c r="X472" s="799"/>
      <c r="Y472" s="799"/>
      <c r="Z472" s="799"/>
      <c r="AA472" s="799"/>
      <c r="AB472" s="799"/>
      <c r="AC472" s="799"/>
      <c r="AD472" s="799"/>
      <c r="AE472" s="799"/>
      <c r="AF472" s="799"/>
      <c r="AG472" s="799"/>
      <c r="AH472" s="799"/>
      <c r="AI472" s="799"/>
      <c r="AJ472" s="799"/>
      <c r="AK472" s="799"/>
      <c r="AL472" s="799"/>
      <c r="AM472" s="799"/>
      <c r="AN472" s="799"/>
      <c r="AO472" s="799"/>
      <c r="AP472" s="799"/>
      <c r="AQ472" s="799"/>
      <c r="AR472" s="799"/>
      <c r="AS472" s="799"/>
      <c r="AT472" s="799"/>
      <c r="AU472" s="799"/>
      <c r="AV472" s="799"/>
      <c r="AW472" s="799"/>
      <c r="AX472" s="799"/>
      <c r="AY472" s="799"/>
      <c r="AZ472" s="799"/>
      <c r="BA472" s="799"/>
      <c r="BB472" s="799"/>
      <c r="BC472" s="799"/>
      <c r="BD472" s="799"/>
      <c r="BE472" s="799"/>
      <c r="BF472" s="799"/>
      <c r="BG472" s="799"/>
    </row>
    <row r="473">
      <c r="H473" s="799"/>
      <c r="I473" s="799"/>
      <c r="J473" s="799"/>
      <c r="K473" s="799"/>
      <c r="L473" s="799"/>
      <c r="M473" s="799"/>
      <c r="N473" s="799"/>
      <c r="O473" s="799"/>
      <c r="P473" s="799"/>
      <c r="Q473" s="799"/>
      <c r="R473" s="799"/>
      <c r="S473" s="799"/>
      <c r="T473" s="799"/>
      <c r="U473" s="799"/>
      <c r="V473" s="799"/>
      <c r="W473" s="799"/>
      <c r="X473" s="799"/>
      <c r="Y473" s="799"/>
      <c r="Z473" s="799"/>
      <c r="AA473" s="799"/>
      <c r="AB473" s="799"/>
      <c r="AC473" s="799"/>
      <c r="AD473" s="799"/>
      <c r="AE473" s="799"/>
      <c r="AF473" s="799"/>
      <c r="AG473" s="799"/>
      <c r="AH473" s="799"/>
      <c r="AI473" s="799"/>
      <c r="AJ473" s="799"/>
      <c r="AK473" s="799"/>
      <c r="AL473" s="799"/>
      <c r="AM473" s="799"/>
      <c r="AN473" s="799"/>
      <c r="AO473" s="799"/>
      <c r="AP473" s="799"/>
      <c r="AQ473" s="799"/>
      <c r="AR473" s="799"/>
      <c r="AS473" s="799"/>
      <c r="AT473" s="799"/>
      <c r="AU473" s="799"/>
      <c r="AV473" s="799"/>
      <c r="AW473" s="799"/>
      <c r="AX473" s="799"/>
      <c r="AY473" s="799"/>
      <c r="AZ473" s="799"/>
      <c r="BA473" s="799"/>
      <c r="BB473" s="799"/>
      <c r="BC473" s="799"/>
      <c r="BD473" s="799"/>
      <c r="BE473" s="799"/>
      <c r="BF473" s="799"/>
      <c r="BG473" s="799"/>
    </row>
    <row r="474">
      <c r="H474" s="799"/>
      <c r="I474" s="799"/>
      <c r="J474" s="799"/>
      <c r="K474" s="799"/>
      <c r="L474" s="799"/>
      <c r="M474" s="799"/>
      <c r="N474" s="799"/>
      <c r="O474" s="799"/>
      <c r="P474" s="799"/>
      <c r="Q474" s="799"/>
      <c r="R474" s="799"/>
      <c r="S474" s="799"/>
      <c r="T474" s="799"/>
      <c r="U474" s="799"/>
      <c r="V474" s="799"/>
      <c r="W474" s="799"/>
      <c r="X474" s="799"/>
      <c r="Y474" s="799"/>
      <c r="Z474" s="799"/>
      <c r="AA474" s="799"/>
      <c r="AB474" s="799"/>
      <c r="AC474" s="799"/>
      <c r="AD474" s="799"/>
      <c r="AE474" s="799"/>
      <c r="AF474" s="799"/>
      <c r="AG474" s="799"/>
      <c r="AH474" s="799"/>
      <c r="AI474" s="799"/>
      <c r="AJ474" s="799"/>
      <c r="AK474" s="799"/>
      <c r="AL474" s="799"/>
      <c r="AM474" s="799"/>
      <c r="AN474" s="799"/>
      <c r="AO474" s="799"/>
      <c r="AP474" s="799"/>
      <c r="AQ474" s="799"/>
      <c r="AR474" s="799"/>
      <c r="AS474" s="799"/>
      <c r="AT474" s="799"/>
      <c r="AU474" s="799"/>
      <c r="AV474" s="799"/>
      <c r="AW474" s="799"/>
      <c r="AX474" s="799"/>
      <c r="AY474" s="799"/>
      <c r="AZ474" s="799"/>
      <c r="BA474" s="799"/>
      <c r="BB474" s="799"/>
      <c r="BC474" s="799"/>
      <c r="BD474" s="799"/>
      <c r="BE474" s="799"/>
      <c r="BF474" s="799"/>
      <c r="BG474" s="799"/>
    </row>
    <row r="475">
      <c r="H475" s="799"/>
      <c r="I475" s="799"/>
      <c r="J475" s="799"/>
      <c r="K475" s="799"/>
      <c r="L475" s="799"/>
      <c r="M475" s="799"/>
      <c r="N475" s="799"/>
      <c r="O475" s="799"/>
      <c r="P475" s="799"/>
      <c r="Q475" s="799"/>
      <c r="R475" s="799"/>
      <c r="S475" s="799"/>
      <c r="T475" s="799"/>
      <c r="U475" s="799"/>
      <c r="V475" s="799"/>
      <c r="W475" s="799"/>
      <c r="X475" s="799"/>
      <c r="Y475" s="799"/>
      <c r="Z475" s="799"/>
      <c r="AA475" s="799"/>
      <c r="AB475" s="799"/>
      <c r="AC475" s="799"/>
      <c r="AD475" s="799"/>
      <c r="AE475" s="799"/>
      <c r="AF475" s="799"/>
      <c r="AG475" s="799"/>
      <c r="AH475" s="799"/>
      <c r="AI475" s="799"/>
      <c r="AJ475" s="799"/>
      <c r="AK475" s="799"/>
      <c r="AL475" s="799"/>
      <c r="AM475" s="799"/>
      <c r="AN475" s="799"/>
      <c r="AO475" s="799"/>
      <c r="AP475" s="799"/>
      <c r="AQ475" s="799"/>
      <c r="AR475" s="799"/>
      <c r="AS475" s="799"/>
      <c r="AT475" s="799"/>
      <c r="AU475" s="799"/>
      <c r="AV475" s="799"/>
      <c r="AW475" s="799"/>
      <c r="AX475" s="799"/>
      <c r="AY475" s="799"/>
      <c r="AZ475" s="799"/>
      <c r="BA475" s="799"/>
      <c r="BB475" s="799"/>
      <c r="BC475" s="799"/>
      <c r="BD475" s="799"/>
      <c r="BE475" s="799"/>
      <c r="BF475" s="799"/>
      <c r="BG475" s="799"/>
    </row>
    <row r="476">
      <c r="H476" s="799"/>
      <c r="I476" s="799"/>
      <c r="J476" s="799"/>
      <c r="K476" s="799"/>
      <c r="L476" s="799"/>
      <c r="M476" s="799"/>
      <c r="N476" s="799"/>
      <c r="O476" s="799"/>
      <c r="P476" s="799"/>
      <c r="Q476" s="799"/>
      <c r="R476" s="799"/>
      <c r="S476" s="799"/>
      <c r="T476" s="799"/>
      <c r="U476" s="799"/>
      <c r="V476" s="799"/>
      <c r="W476" s="799"/>
      <c r="X476" s="799"/>
      <c r="Y476" s="799"/>
      <c r="Z476" s="799"/>
      <c r="AA476" s="799"/>
      <c r="AB476" s="799"/>
      <c r="AC476" s="799"/>
      <c r="AD476" s="799"/>
      <c r="AE476" s="799"/>
      <c r="AF476" s="799"/>
      <c r="AG476" s="799"/>
      <c r="AH476" s="799"/>
      <c r="AI476" s="799"/>
      <c r="AJ476" s="799"/>
      <c r="AK476" s="799"/>
      <c r="AL476" s="799"/>
      <c r="AM476" s="799"/>
      <c r="AN476" s="799"/>
      <c r="AO476" s="799"/>
      <c r="AP476" s="799"/>
      <c r="AQ476" s="799"/>
      <c r="AR476" s="799"/>
      <c r="AS476" s="799"/>
      <c r="AT476" s="799"/>
      <c r="AU476" s="799"/>
      <c r="AV476" s="799"/>
      <c r="AW476" s="799"/>
      <c r="AX476" s="799"/>
      <c r="AY476" s="799"/>
      <c r="AZ476" s="799"/>
      <c r="BA476" s="799"/>
      <c r="BB476" s="799"/>
      <c r="BC476" s="799"/>
      <c r="BD476" s="799"/>
      <c r="BE476" s="799"/>
      <c r="BF476" s="799"/>
      <c r="BG476" s="799"/>
    </row>
    <row r="477">
      <c r="H477" s="799"/>
      <c r="I477" s="799"/>
      <c r="J477" s="799"/>
      <c r="K477" s="799"/>
      <c r="L477" s="799"/>
      <c r="M477" s="799"/>
      <c r="N477" s="799"/>
      <c r="O477" s="799"/>
      <c r="P477" s="799"/>
      <c r="Q477" s="799"/>
      <c r="R477" s="799"/>
      <c r="S477" s="799"/>
      <c r="T477" s="799"/>
      <c r="U477" s="799"/>
      <c r="V477" s="799"/>
      <c r="W477" s="799"/>
      <c r="X477" s="799"/>
      <c r="Y477" s="799"/>
      <c r="Z477" s="799"/>
      <c r="AA477" s="799"/>
      <c r="AB477" s="799"/>
      <c r="AC477" s="799"/>
      <c r="AD477" s="799"/>
      <c r="AE477" s="799"/>
      <c r="AF477" s="799"/>
      <c r="AG477" s="799"/>
      <c r="AH477" s="799"/>
      <c r="AI477" s="799"/>
      <c r="AJ477" s="799"/>
      <c r="AK477" s="799"/>
      <c r="AL477" s="799"/>
      <c r="AM477" s="799"/>
      <c r="AN477" s="799"/>
      <c r="AO477" s="799"/>
      <c r="AP477" s="799"/>
      <c r="AQ477" s="799"/>
      <c r="AR477" s="799"/>
      <c r="AS477" s="799"/>
      <c r="AT477" s="799"/>
      <c r="AU477" s="799"/>
      <c r="AV477" s="799"/>
      <c r="AW477" s="799"/>
      <c r="AX477" s="799"/>
      <c r="AY477" s="799"/>
      <c r="AZ477" s="799"/>
      <c r="BA477" s="799"/>
      <c r="BB477" s="799"/>
      <c r="BC477" s="799"/>
      <c r="BD477" s="799"/>
      <c r="BE477" s="799"/>
      <c r="BF477" s="799"/>
      <c r="BG477" s="799"/>
    </row>
    <row r="478">
      <c r="H478" s="799"/>
      <c r="I478" s="799"/>
      <c r="J478" s="799"/>
      <c r="K478" s="799"/>
      <c r="L478" s="799"/>
      <c r="M478" s="799"/>
      <c r="N478" s="799"/>
      <c r="O478" s="799"/>
      <c r="P478" s="799"/>
      <c r="Q478" s="799"/>
      <c r="R478" s="799"/>
      <c r="S478" s="799"/>
      <c r="T478" s="799"/>
      <c r="U478" s="799"/>
      <c r="V478" s="799"/>
      <c r="W478" s="799"/>
      <c r="X478" s="799"/>
      <c r="Y478" s="799"/>
      <c r="Z478" s="799"/>
      <c r="AA478" s="799"/>
      <c r="AB478" s="799"/>
      <c r="AC478" s="799"/>
      <c r="AD478" s="799"/>
      <c r="AE478" s="799"/>
      <c r="AF478" s="799"/>
      <c r="AG478" s="799"/>
      <c r="AH478" s="799"/>
      <c r="AI478" s="799"/>
      <c r="AJ478" s="799"/>
      <c r="AK478" s="799"/>
      <c r="AL478" s="799"/>
      <c r="AM478" s="799"/>
      <c r="AN478" s="799"/>
      <c r="AO478" s="799"/>
      <c r="AP478" s="799"/>
      <c r="AQ478" s="799"/>
      <c r="AR478" s="799"/>
      <c r="AS478" s="799"/>
      <c r="AT478" s="799"/>
      <c r="AU478" s="799"/>
      <c r="AV478" s="799"/>
      <c r="AW478" s="799"/>
      <c r="AX478" s="799"/>
      <c r="AY478" s="799"/>
      <c r="AZ478" s="799"/>
      <c r="BA478" s="799"/>
      <c r="BB478" s="799"/>
      <c r="BC478" s="799"/>
      <c r="BD478" s="799"/>
      <c r="BE478" s="799"/>
      <c r="BF478" s="799"/>
      <c r="BG478" s="799"/>
    </row>
    <row r="479">
      <c r="H479" s="799"/>
      <c r="I479" s="799"/>
      <c r="J479" s="799"/>
      <c r="K479" s="799"/>
      <c r="L479" s="799"/>
      <c r="M479" s="799"/>
      <c r="N479" s="799"/>
      <c r="O479" s="799"/>
      <c r="P479" s="799"/>
      <c r="Q479" s="799"/>
      <c r="R479" s="799"/>
      <c r="S479" s="799"/>
      <c r="T479" s="799"/>
      <c r="U479" s="799"/>
      <c r="V479" s="799"/>
      <c r="W479" s="799"/>
      <c r="X479" s="799"/>
      <c r="Y479" s="799"/>
      <c r="Z479" s="799"/>
      <c r="AA479" s="799"/>
      <c r="AB479" s="799"/>
      <c r="AC479" s="799"/>
      <c r="AD479" s="799"/>
      <c r="AE479" s="799"/>
      <c r="AF479" s="799"/>
      <c r="AG479" s="799"/>
      <c r="AH479" s="799"/>
      <c r="AI479" s="799"/>
      <c r="AJ479" s="799"/>
      <c r="AK479" s="799"/>
      <c r="AL479" s="799"/>
      <c r="AM479" s="799"/>
      <c r="AN479" s="799"/>
      <c r="AO479" s="799"/>
      <c r="AP479" s="799"/>
      <c r="AQ479" s="799"/>
      <c r="AR479" s="799"/>
      <c r="AS479" s="799"/>
      <c r="AT479" s="799"/>
      <c r="AU479" s="799"/>
      <c r="AV479" s="799"/>
      <c r="AW479" s="799"/>
      <c r="AX479" s="799"/>
      <c r="AY479" s="799"/>
      <c r="AZ479" s="799"/>
      <c r="BA479" s="799"/>
      <c r="BB479" s="799"/>
      <c r="BC479" s="799"/>
      <c r="BD479" s="799"/>
      <c r="BE479" s="799"/>
      <c r="BF479" s="799"/>
      <c r="BG479" s="799"/>
    </row>
    <row r="480">
      <c r="H480" s="799"/>
      <c r="I480" s="799"/>
      <c r="J480" s="799"/>
      <c r="K480" s="799"/>
      <c r="L480" s="799"/>
      <c r="M480" s="799"/>
      <c r="N480" s="799"/>
      <c r="O480" s="799"/>
      <c r="P480" s="799"/>
      <c r="Q480" s="799"/>
      <c r="R480" s="799"/>
      <c r="S480" s="799"/>
      <c r="T480" s="799"/>
      <c r="U480" s="799"/>
      <c r="V480" s="799"/>
      <c r="W480" s="799"/>
      <c r="X480" s="799"/>
      <c r="Y480" s="799"/>
      <c r="Z480" s="799"/>
      <c r="AA480" s="799"/>
      <c r="AB480" s="799"/>
      <c r="AC480" s="799"/>
      <c r="AD480" s="799"/>
      <c r="AE480" s="799"/>
      <c r="AF480" s="799"/>
      <c r="AG480" s="799"/>
      <c r="AH480" s="799"/>
      <c r="AI480" s="799"/>
      <c r="AJ480" s="799"/>
      <c r="AK480" s="799"/>
      <c r="AL480" s="799"/>
      <c r="AM480" s="799"/>
      <c r="AN480" s="799"/>
      <c r="AO480" s="799"/>
      <c r="AP480" s="799"/>
      <c r="AQ480" s="799"/>
      <c r="AR480" s="799"/>
      <c r="AS480" s="799"/>
      <c r="AT480" s="799"/>
      <c r="AU480" s="799"/>
      <c r="AV480" s="799"/>
      <c r="AW480" s="799"/>
      <c r="AX480" s="799"/>
      <c r="AY480" s="799"/>
      <c r="AZ480" s="799"/>
      <c r="BA480" s="799"/>
      <c r="BB480" s="799"/>
      <c r="BC480" s="799"/>
      <c r="BD480" s="799"/>
      <c r="BE480" s="799"/>
      <c r="BF480" s="799"/>
      <c r="BG480" s="799"/>
    </row>
    <row r="481">
      <c r="H481" s="799"/>
      <c r="I481" s="799"/>
      <c r="J481" s="799"/>
      <c r="K481" s="799"/>
      <c r="L481" s="799"/>
      <c r="M481" s="799"/>
      <c r="N481" s="799"/>
      <c r="O481" s="799"/>
      <c r="P481" s="799"/>
      <c r="Q481" s="799"/>
      <c r="R481" s="799"/>
      <c r="S481" s="799"/>
      <c r="T481" s="799"/>
      <c r="U481" s="799"/>
      <c r="V481" s="799"/>
      <c r="W481" s="799"/>
      <c r="X481" s="799"/>
      <c r="Y481" s="799"/>
      <c r="Z481" s="799"/>
      <c r="AA481" s="799"/>
      <c r="AB481" s="799"/>
      <c r="AC481" s="799"/>
      <c r="AD481" s="799"/>
      <c r="AE481" s="799"/>
      <c r="AF481" s="799"/>
      <c r="AG481" s="799"/>
      <c r="AH481" s="799"/>
      <c r="AI481" s="799"/>
      <c r="AJ481" s="799"/>
      <c r="AK481" s="799"/>
      <c r="AL481" s="799"/>
      <c r="AM481" s="799"/>
      <c r="AN481" s="799"/>
      <c r="AO481" s="799"/>
      <c r="AP481" s="799"/>
      <c r="AQ481" s="799"/>
      <c r="AR481" s="799"/>
      <c r="AS481" s="799"/>
      <c r="AT481" s="799"/>
      <c r="AU481" s="799"/>
      <c r="AV481" s="799"/>
      <c r="AW481" s="799"/>
      <c r="AX481" s="799"/>
      <c r="AY481" s="799"/>
      <c r="AZ481" s="799"/>
      <c r="BA481" s="799"/>
      <c r="BB481" s="799"/>
      <c r="BC481" s="799"/>
      <c r="BD481" s="799"/>
      <c r="BE481" s="799"/>
      <c r="BF481" s="799"/>
      <c r="BG481" s="799"/>
    </row>
    <row r="482">
      <c r="H482" s="799"/>
      <c r="I482" s="799"/>
      <c r="J482" s="799"/>
      <c r="K482" s="799"/>
      <c r="L482" s="799"/>
      <c r="M482" s="799"/>
      <c r="N482" s="799"/>
      <c r="O482" s="799"/>
      <c r="P482" s="799"/>
      <c r="Q482" s="799"/>
      <c r="R482" s="799"/>
      <c r="S482" s="799"/>
      <c r="T482" s="799"/>
      <c r="U482" s="799"/>
      <c r="V482" s="799"/>
      <c r="W482" s="799"/>
      <c r="X482" s="799"/>
      <c r="Y482" s="799"/>
      <c r="Z482" s="799"/>
      <c r="AA482" s="799"/>
      <c r="AB482" s="799"/>
      <c r="AC482" s="799"/>
      <c r="AD482" s="799"/>
      <c r="AE482" s="799"/>
      <c r="AF482" s="799"/>
      <c r="AG482" s="799"/>
      <c r="AH482" s="799"/>
      <c r="AI482" s="799"/>
      <c r="AJ482" s="799"/>
      <c r="AK482" s="799"/>
      <c r="AL482" s="799"/>
      <c r="AM482" s="799"/>
      <c r="AN482" s="799"/>
      <c r="AO482" s="799"/>
      <c r="AP482" s="799"/>
      <c r="AQ482" s="799"/>
      <c r="AR482" s="799"/>
      <c r="AS482" s="799"/>
      <c r="AT482" s="799"/>
      <c r="AU482" s="799"/>
      <c r="AV482" s="799"/>
      <c r="AW482" s="799"/>
      <c r="AX482" s="799"/>
      <c r="AY482" s="799"/>
      <c r="AZ482" s="799"/>
      <c r="BA482" s="799"/>
      <c r="BB482" s="799"/>
      <c r="BC482" s="799"/>
      <c r="BD482" s="799"/>
      <c r="BE482" s="799"/>
      <c r="BF482" s="799"/>
      <c r="BG482" s="799"/>
    </row>
    <row r="483">
      <c r="H483" s="799"/>
      <c r="I483" s="799"/>
      <c r="J483" s="799"/>
      <c r="K483" s="799"/>
      <c r="L483" s="799"/>
      <c r="M483" s="799"/>
      <c r="N483" s="799"/>
      <c r="O483" s="799"/>
      <c r="P483" s="799"/>
      <c r="Q483" s="799"/>
      <c r="R483" s="799"/>
      <c r="S483" s="799"/>
      <c r="T483" s="799"/>
      <c r="U483" s="799"/>
      <c r="V483" s="799"/>
      <c r="W483" s="799"/>
      <c r="X483" s="799"/>
      <c r="Y483" s="799"/>
      <c r="Z483" s="799"/>
      <c r="AA483" s="799"/>
      <c r="AB483" s="799"/>
      <c r="AC483" s="799"/>
      <c r="AD483" s="799"/>
      <c r="AE483" s="799"/>
      <c r="AF483" s="799"/>
      <c r="AG483" s="799"/>
      <c r="AH483" s="799"/>
      <c r="AI483" s="799"/>
      <c r="AJ483" s="799"/>
      <c r="AK483" s="799"/>
      <c r="AL483" s="799"/>
      <c r="AM483" s="799"/>
      <c r="AN483" s="799"/>
      <c r="AO483" s="799"/>
      <c r="AP483" s="799"/>
      <c r="AQ483" s="799"/>
      <c r="AR483" s="799"/>
      <c r="AS483" s="799"/>
      <c r="AT483" s="799"/>
      <c r="AU483" s="799"/>
      <c r="AV483" s="799"/>
      <c r="AW483" s="799"/>
      <c r="AX483" s="799"/>
      <c r="AY483" s="799"/>
      <c r="AZ483" s="799"/>
      <c r="BA483" s="799"/>
      <c r="BB483" s="799"/>
      <c r="BC483" s="799"/>
      <c r="BD483" s="799"/>
      <c r="BE483" s="799"/>
      <c r="BF483" s="799"/>
      <c r="BG483" s="799"/>
    </row>
    <row r="484">
      <c r="H484" s="799"/>
      <c r="I484" s="799"/>
      <c r="J484" s="799"/>
      <c r="K484" s="799"/>
      <c r="L484" s="799"/>
      <c r="M484" s="799"/>
      <c r="N484" s="799"/>
      <c r="O484" s="799"/>
      <c r="P484" s="799"/>
      <c r="Q484" s="799"/>
      <c r="R484" s="799"/>
      <c r="S484" s="799"/>
      <c r="T484" s="799"/>
      <c r="U484" s="799"/>
      <c r="V484" s="799"/>
      <c r="W484" s="799"/>
      <c r="X484" s="799"/>
      <c r="Y484" s="799"/>
      <c r="Z484" s="799"/>
      <c r="AA484" s="799"/>
      <c r="AB484" s="799"/>
      <c r="AC484" s="799"/>
      <c r="AD484" s="799"/>
      <c r="AE484" s="799"/>
      <c r="AF484" s="799"/>
      <c r="AG484" s="799"/>
      <c r="AH484" s="799"/>
      <c r="AI484" s="799"/>
      <c r="AJ484" s="799"/>
      <c r="AK484" s="799"/>
      <c r="AL484" s="799"/>
      <c r="AM484" s="799"/>
      <c r="AN484" s="799"/>
      <c r="AO484" s="799"/>
      <c r="AP484" s="799"/>
      <c r="AQ484" s="799"/>
      <c r="AR484" s="799"/>
      <c r="AS484" s="799"/>
      <c r="AT484" s="799"/>
      <c r="AU484" s="799"/>
      <c r="AV484" s="799"/>
      <c r="AW484" s="799"/>
      <c r="AX484" s="799"/>
      <c r="AY484" s="799"/>
      <c r="AZ484" s="799"/>
      <c r="BA484" s="799"/>
      <c r="BB484" s="799"/>
      <c r="BC484" s="799"/>
      <c r="BD484" s="799"/>
      <c r="BE484" s="799"/>
      <c r="BF484" s="799"/>
      <c r="BG484" s="799"/>
    </row>
    <row r="485">
      <c r="H485" s="799"/>
      <c r="I485" s="799"/>
      <c r="J485" s="799"/>
      <c r="K485" s="799"/>
      <c r="L485" s="799"/>
      <c r="M485" s="799"/>
      <c r="N485" s="799"/>
      <c r="O485" s="799"/>
      <c r="P485" s="799"/>
      <c r="Q485" s="799"/>
      <c r="R485" s="799"/>
      <c r="S485" s="799"/>
      <c r="T485" s="799"/>
      <c r="U485" s="799"/>
      <c r="V485" s="799"/>
      <c r="W485" s="799"/>
      <c r="X485" s="799"/>
      <c r="Y485" s="799"/>
      <c r="Z485" s="799"/>
      <c r="AA485" s="799"/>
      <c r="AB485" s="799"/>
      <c r="AC485" s="799"/>
      <c r="AD485" s="799"/>
      <c r="AE485" s="799"/>
      <c r="AF485" s="799"/>
      <c r="AG485" s="799"/>
      <c r="AH485" s="799"/>
      <c r="AI485" s="799"/>
      <c r="AJ485" s="799"/>
      <c r="AK485" s="799"/>
      <c r="AL485" s="799"/>
      <c r="AM485" s="799"/>
      <c r="AN485" s="799"/>
      <c r="AO485" s="799"/>
      <c r="AP485" s="799"/>
      <c r="AQ485" s="799"/>
      <c r="AR485" s="799"/>
      <c r="AS485" s="799"/>
      <c r="AT485" s="799"/>
      <c r="AU485" s="799"/>
      <c r="AV485" s="799"/>
      <c r="AW485" s="799"/>
      <c r="AX485" s="799"/>
      <c r="AY485" s="799"/>
      <c r="AZ485" s="799"/>
      <c r="BA485" s="799"/>
      <c r="BB485" s="799"/>
      <c r="BC485" s="799"/>
      <c r="BD485" s="799"/>
      <c r="BE485" s="799"/>
      <c r="BF485" s="799"/>
      <c r="BG485" s="799"/>
    </row>
    <row r="486">
      <c r="H486" s="799"/>
      <c r="I486" s="799"/>
      <c r="J486" s="799"/>
      <c r="K486" s="799"/>
      <c r="L486" s="799"/>
      <c r="M486" s="799"/>
      <c r="N486" s="799"/>
      <c r="O486" s="799"/>
      <c r="P486" s="799"/>
      <c r="Q486" s="799"/>
      <c r="R486" s="799"/>
      <c r="S486" s="799"/>
      <c r="T486" s="799"/>
      <c r="U486" s="799"/>
      <c r="V486" s="799"/>
      <c r="W486" s="799"/>
      <c r="X486" s="799"/>
      <c r="Y486" s="799"/>
      <c r="Z486" s="799"/>
      <c r="AA486" s="799"/>
      <c r="AB486" s="799"/>
      <c r="AC486" s="799"/>
      <c r="AD486" s="799"/>
      <c r="AE486" s="799"/>
      <c r="AF486" s="799"/>
      <c r="AG486" s="799"/>
      <c r="AH486" s="799"/>
      <c r="AI486" s="799"/>
      <c r="AJ486" s="799"/>
      <c r="AK486" s="799"/>
      <c r="AL486" s="799"/>
      <c r="AM486" s="799"/>
      <c r="AN486" s="799"/>
      <c r="AO486" s="799"/>
      <c r="AP486" s="799"/>
      <c r="AQ486" s="799"/>
      <c r="AR486" s="799"/>
      <c r="AS486" s="799"/>
      <c r="AT486" s="799"/>
      <c r="AU486" s="799"/>
      <c r="AV486" s="799"/>
      <c r="AW486" s="799"/>
      <c r="AX486" s="799"/>
      <c r="AY486" s="799"/>
      <c r="AZ486" s="799"/>
      <c r="BA486" s="799"/>
      <c r="BB486" s="799"/>
      <c r="BC486" s="799"/>
      <c r="BD486" s="799"/>
      <c r="BE486" s="799"/>
      <c r="BF486" s="799"/>
      <c r="BG486" s="799"/>
    </row>
    <row r="487">
      <c r="H487" s="799"/>
      <c r="I487" s="799"/>
      <c r="J487" s="799"/>
      <c r="K487" s="799"/>
      <c r="L487" s="799"/>
      <c r="M487" s="799"/>
      <c r="N487" s="799"/>
      <c r="O487" s="799"/>
      <c r="P487" s="799"/>
      <c r="Q487" s="799"/>
      <c r="R487" s="799"/>
      <c r="S487" s="799"/>
      <c r="T487" s="799"/>
      <c r="U487" s="799"/>
      <c r="V487" s="799"/>
      <c r="W487" s="799"/>
      <c r="X487" s="799"/>
      <c r="Y487" s="799"/>
      <c r="Z487" s="799"/>
      <c r="AA487" s="799"/>
      <c r="AB487" s="799"/>
      <c r="AC487" s="799"/>
      <c r="AD487" s="799"/>
      <c r="AE487" s="799"/>
      <c r="AF487" s="799"/>
      <c r="AG487" s="799"/>
      <c r="AH487" s="799"/>
      <c r="AI487" s="799"/>
      <c r="AJ487" s="799"/>
      <c r="AK487" s="799"/>
      <c r="AL487" s="799"/>
      <c r="AM487" s="799"/>
      <c r="AN487" s="799"/>
      <c r="AO487" s="799"/>
      <c r="AP487" s="799"/>
      <c r="AQ487" s="799"/>
      <c r="AR487" s="799"/>
      <c r="AS487" s="799"/>
      <c r="AT487" s="799"/>
      <c r="AU487" s="799"/>
      <c r="AV487" s="799"/>
      <c r="AW487" s="799"/>
      <c r="AX487" s="799"/>
      <c r="AY487" s="799"/>
      <c r="AZ487" s="799"/>
      <c r="BA487" s="799"/>
      <c r="BB487" s="799"/>
      <c r="BC487" s="799"/>
      <c r="BD487" s="799"/>
      <c r="BE487" s="799"/>
      <c r="BF487" s="799"/>
      <c r="BG487" s="799"/>
    </row>
    <row r="488">
      <c r="H488" s="799"/>
      <c r="I488" s="799"/>
      <c r="J488" s="799"/>
      <c r="K488" s="799"/>
      <c r="L488" s="799"/>
      <c r="M488" s="799"/>
      <c r="N488" s="799"/>
      <c r="O488" s="799"/>
      <c r="P488" s="799"/>
      <c r="Q488" s="799"/>
      <c r="R488" s="799"/>
      <c r="S488" s="799"/>
      <c r="T488" s="799"/>
      <c r="U488" s="799"/>
      <c r="V488" s="799"/>
      <c r="W488" s="799"/>
      <c r="X488" s="799"/>
      <c r="Y488" s="799"/>
      <c r="Z488" s="799"/>
      <c r="AA488" s="799"/>
      <c r="AB488" s="799"/>
      <c r="AC488" s="799"/>
      <c r="AD488" s="799"/>
      <c r="AE488" s="799"/>
      <c r="AF488" s="799"/>
      <c r="AG488" s="799"/>
      <c r="AH488" s="799"/>
      <c r="AI488" s="799"/>
      <c r="AJ488" s="799"/>
      <c r="AK488" s="799"/>
      <c r="AL488" s="799"/>
      <c r="AM488" s="799"/>
      <c r="AN488" s="799"/>
      <c r="AO488" s="799"/>
      <c r="AP488" s="799"/>
      <c r="AQ488" s="799"/>
      <c r="AR488" s="799"/>
      <c r="AS488" s="799"/>
      <c r="AT488" s="799"/>
      <c r="AU488" s="799"/>
      <c r="AV488" s="799"/>
      <c r="AW488" s="799"/>
      <c r="AX488" s="799"/>
      <c r="AY488" s="799"/>
      <c r="AZ488" s="799"/>
      <c r="BA488" s="799"/>
      <c r="BB488" s="799"/>
      <c r="BC488" s="799"/>
      <c r="BD488" s="799"/>
      <c r="BE488" s="799"/>
      <c r="BF488" s="799"/>
      <c r="BG488" s="799"/>
    </row>
    <row r="489">
      <c r="H489" s="799"/>
      <c r="I489" s="799"/>
      <c r="J489" s="799"/>
      <c r="K489" s="799"/>
      <c r="L489" s="799"/>
      <c r="M489" s="799"/>
      <c r="N489" s="799"/>
      <c r="O489" s="799"/>
      <c r="P489" s="799"/>
      <c r="Q489" s="799"/>
      <c r="R489" s="799"/>
      <c r="S489" s="799"/>
      <c r="T489" s="799"/>
      <c r="U489" s="799"/>
      <c r="V489" s="799"/>
      <c r="W489" s="799"/>
      <c r="X489" s="799"/>
      <c r="Y489" s="799"/>
      <c r="Z489" s="799"/>
      <c r="AA489" s="799"/>
      <c r="AB489" s="799"/>
      <c r="AC489" s="799"/>
      <c r="AD489" s="799"/>
      <c r="AE489" s="799"/>
      <c r="AF489" s="799"/>
      <c r="AG489" s="799"/>
      <c r="AH489" s="799"/>
      <c r="AI489" s="799"/>
      <c r="AJ489" s="799"/>
      <c r="AK489" s="799"/>
      <c r="AL489" s="799"/>
      <c r="AM489" s="799"/>
      <c r="AN489" s="799"/>
      <c r="AO489" s="799"/>
      <c r="AP489" s="799"/>
      <c r="AQ489" s="799"/>
      <c r="AR489" s="799"/>
      <c r="AS489" s="799"/>
      <c r="AT489" s="799"/>
      <c r="AU489" s="799"/>
      <c r="AV489" s="799"/>
      <c r="AW489" s="799"/>
      <c r="AX489" s="799"/>
      <c r="AY489" s="799"/>
      <c r="AZ489" s="799"/>
      <c r="BA489" s="799"/>
      <c r="BB489" s="799"/>
      <c r="BC489" s="799"/>
      <c r="BD489" s="799"/>
      <c r="BE489" s="799"/>
      <c r="BF489" s="799"/>
      <c r="BG489" s="799"/>
    </row>
    <row r="490">
      <c r="H490" s="799"/>
      <c r="I490" s="799"/>
      <c r="J490" s="799"/>
      <c r="K490" s="799"/>
      <c r="L490" s="799"/>
      <c r="M490" s="799"/>
      <c r="N490" s="799"/>
      <c r="O490" s="799"/>
      <c r="P490" s="799"/>
      <c r="Q490" s="799"/>
      <c r="R490" s="799"/>
      <c r="S490" s="799"/>
      <c r="T490" s="799"/>
      <c r="U490" s="799"/>
      <c r="V490" s="799"/>
      <c r="W490" s="799"/>
      <c r="X490" s="799"/>
      <c r="Y490" s="799"/>
      <c r="Z490" s="799"/>
      <c r="AA490" s="799"/>
      <c r="AB490" s="799"/>
      <c r="AC490" s="799"/>
      <c r="AD490" s="799"/>
      <c r="AE490" s="799"/>
      <c r="AF490" s="799"/>
      <c r="AG490" s="799"/>
      <c r="AH490" s="799"/>
      <c r="AI490" s="799"/>
      <c r="AJ490" s="799"/>
      <c r="AK490" s="799"/>
      <c r="AL490" s="799"/>
      <c r="AM490" s="799"/>
      <c r="AN490" s="799"/>
      <c r="AO490" s="799"/>
      <c r="AP490" s="799"/>
      <c r="AQ490" s="799"/>
      <c r="AR490" s="799"/>
      <c r="AS490" s="799"/>
      <c r="AT490" s="799"/>
      <c r="AU490" s="799"/>
      <c r="AV490" s="799"/>
      <c r="AW490" s="799"/>
      <c r="AX490" s="799"/>
      <c r="AY490" s="799"/>
      <c r="AZ490" s="799"/>
      <c r="BA490" s="799"/>
      <c r="BB490" s="799"/>
      <c r="BC490" s="799"/>
      <c r="BD490" s="799"/>
      <c r="BE490" s="799"/>
      <c r="BF490" s="799"/>
      <c r="BG490" s="799"/>
    </row>
    <row r="491">
      <c r="H491" s="799"/>
      <c r="I491" s="799"/>
      <c r="J491" s="799"/>
      <c r="K491" s="799"/>
      <c r="L491" s="799"/>
      <c r="M491" s="799"/>
      <c r="N491" s="799"/>
      <c r="O491" s="799"/>
      <c r="P491" s="799"/>
      <c r="Q491" s="799"/>
      <c r="R491" s="799"/>
      <c r="S491" s="799"/>
      <c r="T491" s="799"/>
      <c r="U491" s="799"/>
      <c r="V491" s="799"/>
      <c r="W491" s="799"/>
      <c r="X491" s="799"/>
      <c r="Y491" s="799"/>
      <c r="Z491" s="799"/>
      <c r="AA491" s="799"/>
      <c r="AB491" s="799"/>
      <c r="AC491" s="799"/>
      <c r="AD491" s="799"/>
      <c r="AE491" s="799"/>
      <c r="AF491" s="799"/>
      <c r="AG491" s="799"/>
      <c r="AH491" s="799"/>
      <c r="AI491" s="799"/>
      <c r="AJ491" s="799"/>
      <c r="AK491" s="799"/>
      <c r="AL491" s="799"/>
      <c r="AM491" s="799"/>
      <c r="AN491" s="799"/>
      <c r="AO491" s="799"/>
      <c r="AP491" s="799"/>
      <c r="AQ491" s="799"/>
      <c r="AR491" s="799"/>
      <c r="AS491" s="799"/>
      <c r="AT491" s="799"/>
      <c r="AU491" s="799"/>
      <c r="AV491" s="799"/>
      <c r="AW491" s="799"/>
      <c r="AX491" s="799"/>
      <c r="AY491" s="799"/>
      <c r="AZ491" s="799"/>
      <c r="BA491" s="799"/>
      <c r="BB491" s="799"/>
      <c r="BC491" s="799"/>
      <c r="BD491" s="799"/>
      <c r="BE491" s="799"/>
      <c r="BF491" s="799"/>
      <c r="BG491" s="799"/>
    </row>
    <row r="492">
      <c r="H492" s="799"/>
      <c r="I492" s="799"/>
      <c r="J492" s="799"/>
      <c r="K492" s="799"/>
      <c r="L492" s="799"/>
      <c r="M492" s="799"/>
      <c r="N492" s="799"/>
      <c r="O492" s="799"/>
      <c r="P492" s="799"/>
      <c r="Q492" s="799"/>
      <c r="R492" s="799"/>
      <c r="S492" s="799"/>
      <c r="T492" s="799"/>
      <c r="U492" s="799"/>
      <c r="V492" s="799"/>
      <c r="W492" s="799"/>
      <c r="X492" s="799"/>
      <c r="Y492" s="799"/>
      <c r="Z492" s="799"/>
      <c r="AA492" s="799"/>
      <c r="AB492" s="799"/>
      <c r="AC492" s="799"/>
      <c r="AD492" s="799"/>
      <c r="AE492" s="799"/>
      <c r="AF492" s="799"/>
      <c r="AG492" s="799"/>
      <c r="AH492" s="799"/>
      <c r="AI492" s="799"/>
      <c r="AJ492" s="799"/>
      <c r="AK492" s="799"/>
      <c r="AL492" s="799"/>
      <c r="AM492" s="799"/>
      <c r="AN492" s="799"/>
      <c r="AO492" s="799"/>
      <c r="AP492" s="799"/>
      <c r="AQ492" s="799"/>
      <c r="AR492" s="799"/>
      <c r="AS492" s="799"/>
      <c r="AT492" s="799"/>
      <c r="AU492" s="799"/>
      <c r="AV492" s="799"/>
      <c r="AW492" s="799"/>
      <c r="AX492" s="799"/>
      <c r="AY492" s="799"/>
      <c r="AZ492" s="799"/>
      <c r="BA492" s="799"/>
      <c r="BB492" s="799"/>
      <c r="BC492" s="799"/>
      <c r="BD492" s="799"/>
      <c r="BE492" s="799"/>
      <c r="BF492" s="799"/>
      <c r="BG492" s="799"/>
    </row>
    <row r="493">
      <c r="H493" s="799"/>
      <c r="I493" s="799"/>
      <c r="J493" s="799"/>
      <c r="K493" s="799"/>
      <c r="L493" s="799"/>
      <c r="M493" s="799"/>
      <c r="N493" s="799"/>
      <c r="O493" s="799"/>
      <c r="P493" s="799"/>
      <c r="Q493" s="799"/>
      <c r="R493" s="799"/>
      <c r="S493" s="799"/>
      <c r="T493" s="799"/>
      <c r="U493" s="799"/>
      <c r="V493" s="799"/>
      <c r="W493" s="799"/>
      <c r="X493" s="799"/>
      <c r="Y493" s="799"/>
      <c r="Z493" s="799"/>
      <c r="AA493" s="799"/>
      <c r="AB493" s="799"/>
      <c r="AC493" s="799"/>
      <c r="AD493" s="799"/>
      <c r="AE493" s="799"/>
      <c r="AF493" s="799"/>
      <c r="AG493" s="799"/>
      <c r="AH493" s="799"/>
      <c r="AI493" s="799"/>
      <c r="AJ493" s="799"/>
      <c r="AK493" s="799"/>
      <c r="AL493" s="799"/>
      <c r="AM493" s="799"/>
      <c r="AN493" s="799"/>
      <c r="AO493" s="799"/>
      <c r="AP493" s="799"/>
      <c r="AQ493" s="799"/>
      <c r="AR493" s="799"/>
      <c r="AS493" s="799"/>
      <c r="AT493" s="799"/>
      <c r="AU493" s="799"/>
      <c r="AV493" s="799"/>
      <c r="AW493" s="799"/>
      <c r="AX493" s="799"/>
      <c r="AY493" s="799"/>
      <c r="AZ493" s="799"/>
      <c r="BA493" s="799"/>
      <c r="BB493" s="799"/>
      <c r="BC493" s="799"/>
      <c r="BD493" s="799"/>
      <c r="BE493" s="799"/>
      <c r="BF493" s="799"/>
      <c r="BG493" s="799"/>
    </row>
    <row r="494">
      <c r="H494" s="799"/>
      <c r="I494" s="799"/>
      <c r="J494" s="799"/>
      <c r="K494" s="799"/>
      <c r="L494" s="799"/>
      <c r="M494" s="799"/>
      <c r="N494" s="799"/>
      <c r="O494" s="799"/>
      <c r="P494" s="799"/>
      <c r="Q494" s="799"/>
      <c r="R494" s="799"/>
      <c r="S494" s="799"/>
      <c r="T494" s="799"/>
      <c r="U494" s="799"/>
      <c r="V494" s="799"/>
      <c r="W494" s="799"/>
      <c r="X494" s="799"/>
      <c r="Y494" s="799"/>
      <c r="Z494" s="799"/>
      <c r="AA494" s="799"/>
      <c r="AB494" s="799"/>
      <c r="AC494" s="799"/>
      <c r="AD494" s="799"/>
      <c r="AE494" s="799"/>
      <c r="AF494" s="799"/>
      <c r="AG494" s="799"/>
      <c r="AH494" s="799"/>
      <c r="AI494" s="799"/>
      <c r="AJ494" s="799"/>
      <c r="AK494" s="799"/>
      <c r="AL494" s="799"/>
      <c r="AM494" s="799"/>
      <c r="AN494" s="799"/>
      <c r="AO494" s="799"/>
      <c r="AP494" s="799"/>
      <c r="AQ494" s="799"/>
      <c r="AR494" s="799"/>
      <c r="AS494" s="799"/>
      <c r="AT494" s="799"/>
      <c r="AU494" s="799"/>
      <c r="AV494" s="799"/>
      <c r="AW494" s="799"/>
      <c r="AX494" s="799"/>
      <c r="AY494" s="799"/>
      <c r="AZ494" s="799"/>
      <c r="BA494" s="799"/>
      <c r="BB494" s="799"/>
      <c r="BC494" s="799"/>
      <c r="BD494" s="799"/>
      <c r="BE494" s="799"/>
      <c r="BF494" s="799"/>
      <c r="BG494" s="799"/>
    </row>
    <row r="495">
      <c r="H495" s="799"/>
      <c r="I495" s="799"/>
      <c r="J495" s="799"/>
      <c r="K495" s="799"/>
      <c r="L495" s="799"/>
      <c r="M495" s="799"/>
      <c r="N495" s="799"/>
      <c r="O495" s="799"/>
      <c r="P495" s="799"/>
      <c r="Q495" s="799"/>
      <c r="R495" s="799"/>
      <c r="S495" s="799"/>
      <c r="T495" s="799"/>
      <c r="U495" s="799"/>
      <c r="V495" s="799"/>
      <c r="W495" s="799"/>
      <c r="X495" s="799"/>
      <c r="Y495" s="799"/>
      <c r="Z495" s="799"/>
      <c r="AA495" s="799"/>
      <c r="AB495" s="799"/>
      <c r="AC495" s="799"/>
      <c r="AD495" s="799"/>
      <c r="AE495" s="799"/>
      <c r="AF495" s="799"/>
      <c r="AG495" s="799"/>
      <c r="AH495" s="799"/>
      <c r="AI495" s="799"/>
      <c r="AJ495" s="799"/>
      <c r="AK495" s="799"/>
      <c r="AL495" s="799"/>
      <c r="AM495" s="799"/>
      <c r="AN495" s="799"/>
      <c r="AO495" s="799"/>
      <c r="AP495" s="799"/>
      <c r="AQ495" s="799"/>
      <c r="AR495" s="799"/>
      <c r="AS495" s="799"/>
      <c r="AT495" s="799"/>
      <c r="AU495" s="799"/>
      <c r="AV495" s="799"/>
      <c r="AW495" s="799"/>
      <c r="AX495" s="799"/>
      <c r="AY495" s="799"/>
      <c r="AZ495" s="799"/>
      <c r="BA495" s="799"/>
      <c r="BB495" s="799"/>
      <c r="BC495" s="799"/>
      <c r="BD495" s="799"/>
      <c r="BE495" s="799"/>
      <c r="BF495" s="799"/>
      <c r="BG495" s="799"/>
    </row>
    <row r="496">
      <c r="H496" s="799"/>
      <c r="I496" s="799"/>
      <c r="J496" s="799"/>
      <c r="K496" s="799"/>
      <c r="L496" s="799"/>
      <c r="M496" s="799"/>
      <c r="N496" s="799"/>
      <c r="O496" s="799"/>
      <c r="P496" s="799"/>
      <c r="Q496" s="799"/>
      <c r="R496" s="799"/>
      <c r="S496" s="799"/>
      <c r="T496" s="799"/>
      <c r="U496" s="799"/>
      <c r="V496" s="799"/>
      <c r="W496" s="799"/>
      <c r="X496" s="799"/>
      <c r="Y496" s="799"/>
      <c r="Z496" s="799"/>
      <c r="AA496" s="799"/>
      <c r="AB496" s="799"/>
      <c r="AC496" s="799"/>
      <c r="AD496" s="799"/>
      <c r="AE496" s="799"/>
      <c r="AF496" s="799"/>
      <c r="AG496" s="799"/>
      <c r="AH496" s="799"/>
      <c r="AI496" s="799"/>
      <c r="AJ496" s="799"/>
      <c r="AK496" s="799"/>
      <c r="AL496" s="799"/>
      <c r="AM496" s="799"/>
      <c r="AN496" s="799"/>
      <c r="AO496" s="799"/>
      <c r="AP496" s="799"/>
      <c r="AQ496" s="799"/>
      <c r="AR496" s="799"/>
      <c r="AS496" s="799"/>
      <c r="AT496" s="799"/>
      <c r="AU496" s="799"/>
      <c r="AV496" s="799"/>
      <c r="AW496" s="799"/>
      <c r="AX496" s="799"/>
      <c r="AY496" s="799"/>
      <c r="AZ496" s="799"/>
      <c r="BA496" s="799"/>
      <c r="BB496" s="799"/>
      <c r="BC496" s="799"/>
      <c r="BD496" s="799"/>
      <c r="BE496" s="799"/>
      <c r="BF496" s="799"/>
      <c r="BG496" s="799"/>
    </row>
    <row r="497">
      <c r="H497" s="799"/>
      <c r="I497" s="799"/>
      <c r="J497" s="799"/>
      <c r="K497" s="799"/>
      <c r="L497" s="799"/>
      <c r="M497" s="799"/>
      <c r="N497" s="799"/>
      <c r="O497" s="799"/>
      <c r="P497" s="799"/>
      <c r="Q497" s="799"/>
      <c r="R497" s="799"/>
      <c r="S497" s="799"/>
      <c r="T497" s="799"/>
      <c r="U497" s="799"/>
      <c r="V497" s="799"/>
      <c r="W497" s="799"/>
      <c r="X497" s="799"/>
      <c r="Y497" s="799"/>
      <c r="Z497" s="799"/>
      <c r="AA497" s="799"/>
      <c r="AB497" s="799"/>
      <c r="AC497" s="799"/>
      <c r="AD497" s="799"/>
      <c r="AE497" s="799"/>
      <c r="AF497" s="799"/>
      <c r="AG497" s="799"/>
      <c r="AH497" s="799"/>
      <c r="AI497" s="799"/>
      <c r="AJ497" s="799"/>
      <c r="AK497" s="799"/>
      <c r="AL497" s="799"/>
      <c r="AM497" s="799"/>
      <c r="AN497" s="799"/>
      <c r="AO497" s="799"/>
      <c r="AP497" s="799"/>
      <c r="AQ497" s="799"/>
      <c r="AR497" s="799"/>
      <c r="AS497" s="799"/>
      <c r="AT497" s="799"/>
      <c r="AU497" s="799"/>
      <c r="AV497" s="799"/>
      <c r="AW497" s="799"/>
      <c r="AX497" s="799"/>
      <c r="AY497" s="799"/>
      <c r="AZ497" s="799"/>
      <c r="BA497" s="799"/>
      <c r="BB497" s="799"/>
      <c r="BC497" s="799"/>
      <c r="BD497" s="799"/>
      <c r="BE497" s="799"/>
      <c r="BF497" s="799"/>
      <c r="BG497" s="799"/>
    </row>
    <row r="498">
      <c r="H498" s="799"/>
      <c r="I498" s="799"/>
      <c r="J498" s="799"/>
      <c r="K498" s="799"/>
      <c r="L498" s="799"/>
      <c r="M498" s="799"/>
      <c r="N498" s="799"/>
      <c r="O498" s="799"/>
      <c r="P498" s="799"/>
      <c r="Q498" s="799"/>
      <c r="R498" s="799"/>
      <c r="S498" s="799"/>
      <c r="T498" s="799"/>
      <c r="U498" s="799"/>
      <c r="V498" s="799"/>
      <c r="W498" s="799"/>
      <c r="X498" s="799"/>
      <c r="Y498" s="799"/>
      <c r="Z498" s="799"/>
      <c r="AA498" s="799"/>
      <c r="AB498" s="799"/>
      <c r="AC498" s="799"/>
      <c r="AD498" s="799"/>
      <c r="AE498" s="799"/>
      <c r="AF498" s="799"/>
      <c r="AG498" s="799"/>
      <c r="AH498" s="799"/>
      <c r="AI498" s="799"/>
      <c r="AJ498" s="799"/>
      <c r="AK498" s="799"/>
      <c r="AL498" s="799"/>
      <c r="AM498" s="799"/>
      <c r="AN498" s="799"/>
      <c r="AO498" s="799"/>
      <c r="AP498" s="799"/>
      <c r="AQ498" s="799"/>
      <c r="AR498" s="799"/>
      <c r="AS498" s="799"/>
      <c r="AT498" s="799"/>
      <c r="AU498" s="799"/>
      <c r="AV498" s="799"/>
      <c r="AW498" s="799"/>
      <c r="AX498" s="799"/>
      <c r="AY498" s="799"/>
      <c r="AZ498" s="799"/>
      <c r="BA498" s="799"/>
      <c r="BB498" s="799"/>
      <c r="BC498" s="799"/>
      <c r="BD498" s="799"/>
      <c r="BE498" s="799"/>
      <c r="BF498" s="799"/>
      <c r="BG498" s="799"/>
    </row>
    <row r="499">
      <c r="H499" s="799"/>
      <c r="I499" s="799"/>
      <c r="J499" s="799"/>
      <c r="K499" s="799"/>
      <c r="L499" s="799"/>
      <c r="M499" s="799"/>
      <c r="N499" s="799"/>
      <c r="O499" s="799"/>
      <c r="P499" s="799"/>
      <c r="Q499" s="799"/>
      <c r="R499" s="799"/>
      <c r="S499" s="799"/>
      <c r="T499" s="799"/>
      <c r="U499" s="799"/>
      <c r="V499" s="799"/>
      <c r="W499" s="799"/>
      <c r="X499" s="799"/>
      <c r="Y499" s="799"/>
      <c r="Z499" s="799"/>
      <c r="AA499" s="799"/>
      <c r="AB499" s="799"/>
      <c r="AC499" s="799"/>
      <c r="AD499" s="799"/>
      <c r="AE499" s="799"/>
      <c r="AF499" s="799"/>
      <c r="AG499" s="799"/>
      <c r="AH499" s="799"/>
      <c r="AI499" s="799"/>
      <c r="AJ499" s="799"/>
      <c r="AK499" s="799"/>
      <c r="AL499" s="799"/>
      <c r="AM499" s="799"/>
      <c r="AN499" s="799"/>
      <c r="AO499" s="799"/>
      <c r="AP499" s="799"/>
      <c r="AQ499" s="799"/>
      <c r="AR499" s="799"/>
      <c r="AS499" s="799"/>
      <c r="AT499" s="799"/>
      <c r="AU499" s="799"/>
      <c r="AV499" s="799"/>
      <c r="AW499" s="799"/>
      <c r="AX499" s="799"/>
      <c r="AY499" s="799"/>
      <c r="AZ499" s="799"/>
      <c r="BA499" s="799"/>
      <c r="BB499" s="799"/>
      <c r="BC499" s="799"/>
      <c r="BD499" s="799"/>
      <c r="BE499" s="799"/>
      <c r="BF499" s="799"/>
      <c r="BG499" s="799"/>
    </row>
    <row r="500">
      <c r="H500" s="799"/>
      <c r="I500" s="799"/>
      <c r="J500" s="799"/>
      <c r="K500" s="799"/>
      <c r="L500" s="799"/>
      <c r="M500" s="799"/>
      <c r="N500" s="799"/>
      <c r="O500" s="799"/>
      <c r="P500" s="799"/>
      <c r="Q500" s="799"/>
      <c r="R500" s="799"/>
      <c r="S500" s="799"/>
      <c r="T500" s="799"/>
      <c r="U500" s="799"/>
      <c r="V500" s="799"/>
      <c r="W500" s="799"/>
      <c r="X500" s="799"/>
      <c r="Y500" s="799"/>
      <c r="Z500" s="799"/>
      <c r="AA500" s="799"/>
      <c r="AB500" s="799"/>
      <c r="AC500" s="799"/>
      <c r="AD500" s="799"/>
      <c r="AE500" s="799"/>
      <c r="AF500" s="799"/>
      <c r="AG500" s="799"/>
      <c r="AH500" s="799"/>
      <c r="AI500" s="799"/>
      <c r="AJ500" s="799"/>
      <c r="AK500" s="799"/>
      <c r="AL500" s="799"/>
      <c r="AM500" s="799"/>
      <c r="AN500" s="799"/>
      <c r="AO500" s="799"/>
      <c r="AP500" s="799"/>
      <c r="AQ500" s="799"/>
      <c r="AR500" s="799"/>
      <c r="AS500" s="799"/>
      <c r="AT500" s="799"/>
      <c r="AU500" s="799"/>
      <c r="AV500" s="799"/>
      <c r="AW500" s="799"/>
      <c r="AX500" s="799"/>
      <c r="AY500" s="799"/>
      <c r="AZ500" s="799"/>
      <c r="BA500" s="799"/>
      <c r="BB500" s="799"/>
      <c r="BC500" s="799"/>
      <c r="BD500" s="799"/>
      <c r="BE500" s="799"/>
      <c r="BF500" s="799"/>
      <c r="BG500" s="799"/>
    </row>
    <row r="501">
      <c r="H501" s="799"/>
      <c r="I501" s="799"/>
      <c r="J501" s="799"/>
      <c r="K501" s="799"/>
      <c r="L501" s="799"/>
      <c r="M501" s="799"/>
      <c r="N501" s="799"/>
      <c r="O501" s="799"/>
      <c r="P501" s="799"/>
      <c r="Q501" s="799"/>
      <c r="R501" s="799"/>
      <c r="S501" s="799"/>
      <c r="T501" s="799"/>
      <c r="U501" s="799"/>
      <c r="V501" s="799"/>
      <c r="W501" s="799"/>
      <c r="X501" s="799"/>
      <c r="Y501" s="799"/>
      <c r="Z501" s="799"/>
      <c r="AA501" s="799"/>
      <c r="AB501" s="799"/>
      <c r="AC501" s="799"/>
      <c r="AD501" s="799"/>
      <c r="AE501" s="799"/>
      <c r="AF501" s="799"/>
      <c r="AG501" s="799"/>
      <c r="AH501" s="799"/>
      <c r="AI501" s="799"/>
      <c r="AJ501" s="799"/>
      <c r="AK501" s="799"/>
      <c r="AL501" s="799"/>
      <c r="AM501" s="799"/>
      <c r="AN501" s="799"/>
      <c r="AO501" s="799"/>
      <c r="AP501" s="799"/>
      <c r="AQ501" s="799"/>
      <c r="AR501" s="799"/>
      <c r="AS501" s="799"/>
      <c r="AT501" s="799"/>
      <c r="AU501" s="799"/>
      <c r="AV501" s="799"/>
      <c r="AW501" s="799"/>
      <c r="AX501" s="799"/>
      <c r="AY501" s="799"/>
      <c r="AZ501" s="799"/>
      <c r="BA501" s="799"/>
      <c r="BB501" s="799"/>
      <c r="BC501" s="799"/>
      <c r="BD501" s="799"/>
      <c r="BE501" s="799"/>
      <c r="BF501" s="799"/>
      <c r="BG501" s="799"/>
    </row>
    <row r="502">
      <c r="H502" s="799"/>
      <c r="I502" s="799"/>
      <c r="J502" s="799"/>
      <c r="K502" s="799"/>
      <c r="L502" s="799"/>
      <c r="M502" s="799"/>
      <c r="N502" s="799"/>
      <c r="O502" s="799"/>
      <c r="P502" s="799"/>
      <c r="Q502" s="799"/>
      <c r="R502" s="799"/>
      <c r="S502" s="799"/>
      <c r="T502" s="799"/>
      <c r="U502" s="799"/>
      <c r="V502" s="799"/>
      <c r="W502" s="799"/>
      <c r="X502" s="799"/>
      <c r="Y502" s="799"/>
      <c r="Z502" s="799"/>
      <c r="AA502" s="799"/>
      <c r="AB502" s="799"/>
      <c r="AC502" s="799"/>
      <c r="AD502" s="799"/>
      <c r="AE502" s="799"/>
      <c r="AF502" s="799"/>
      <c r="AG502" s="799"/>
      <c r="AH502" s="799"/>
      <c r="AI502" s="799"/>
      <c r="AJ502" s="799"/>
      <c r="AK502" s="799"/>
      <c r="AL502" s="799"/>
      <c r="AM502" s="799"/>
      <c r="AN502" s="799"/>
      <c r="AO502" s="799"/>
      <c r="AP502" s="799"/>
      <c r="AQ502" s="799"/>
      <c r="AR502" s="799"/>
      <c r="AS502" s="799"/>
      <c r="AT502" s="799"/>
      <c r="AU502" s="799"/>
      <c r="AV502" s="799"/>
      <c r="AW502" s="799"/>
      <c r="AX502" s="799"/>
      <c r="AY502" s="799"/>
      <c r="AZ502" s="799"/>
      <c r="BA502" s="799"/>
      <c r="BB502" s="799"/>
      <c r="BC502" s="799"/>
      <c r="BD502" s="799"/>
      <c r="BE502" s="799"/>
      <c r="BF502" s="799"/>
      <c r="BG502" s="799"/>
    </row>
    <row r="503">
      <c r="H503" s="799"/>
      <c r="I503" s="799"/>
      <c r="J503" s="799"/>
      <c r="K503" s="799"/>
      <c r="L503" s="799"/>
      <c r="M503" s="799"/>
      <c r="N503" s="799"/>
      <c r="O503" s="799"/>
      <c r="P503" s="799"/>
      <c r="Q503" s="799"/>
      <c r="R503" s="799"/>
      <c r="S503" s="799"/>
      <c r="T503" s="799"/>
      <c r="U503" s="799"/>
      <c r="V503" s="799"/>
      <c r="W503" s="799"/>
      <c r="X503" s="799"/>
      <c r="Y503" s="799"/>
      <c r="Z503" s="799"/>
      <c r="AA503" s="799"/>
      <c r="AB503" s="799"/>
      <c r="AC503" s="799"/>
      <c r="AD503" s="799"/>
      <c r="AE503" s="799"/>
      <c r="AF503" s="799"/>
      <c r="AG503" s="799"/>
      <c r="AH503" s="799"/>
      <c r="AI503" s="799"/>
      <c r="AJ503" s="799"/>
      <c r="AK503" s="799"/>
      <c r="AL503" s="799"/>
      <c r="AM503" s="799"/>
      <c r="AN503" s="799"/>
      <c r="AO503" s="799"/>
      <c r="AP503" s="799"/>
      <c r="AQ503" s="799"/>
      <c r="AR503" s="799"/>
      <c r="AS503" s="799"/>
      <c r="AT503" s="799"/>
      <c r="AU503" s="799"/>
      <c r="AV503" s="799"/>
      <c r="AW503" s="799"/>
      <c r="AX503" s="799"/>
      <c r="AY503" s="799"/>
      <c r="AZ503" s="799"/>
      <c r="BA503" s="799"/>
      <c r="BB503" s="799"/>
      <c r="BC503" s="799"/>
      <c r="BD503" s="799"/>
      <c r="BE503" s="799"/>
      <c r="BF503" s="799"/>
      <c r="BG503" s="799"/>
    </row>
    <row r="504">
      <c r="H504" s="799"/>
      <c r="I504" s="799"/>
      <c r="J504" s="799"/>
      <c r="K504" s="799"/>
      <c r="L504" s="799"/>
      <c r="M504" s="799"/>
      <c r="N504" s="799"/>
      <c r="O504" s="799"/>
      <c r="P504" s="799"/>
      <c r="Q504" s="799"/>
      <c r="R504" s="799"/>
      <c r="S504" s="799"/>
      <c r="T504" s="799"/>
      <c r="U504" s="799"/>
      <c r="V504" s="799"/>
      <c r="W504" s="799"/>
      <c r="X504" s="799"/>
      <c r="Y504" s="799"/>
      <c r="Z504" s="799"/>
      <c r="AA504" s="799"/>
      <c r="AB504" s="799"/>
      <c r="AC504" s="799"/>
      <c r="AD504" s="799"/>
      <c r="AE504" s="799"/>
      <c r="AF504" s="799"/>
      <c r="AG504" s="799"/>
      <c r="AH504" s="799"/>
      <c r="AI504" s="799"/>
      <c r="AJ504" s="799"/>
      <c r="AK504" s="799"/>
      <c r="AL504" s="799"/>
      <c r="AM504" s="799"/>
      <c r="AN504" s="799"/>
      <c r="AO504" s="799"/>
      <c r="AP504" s="799"/>
      <c r="AQ504" s="799"/>
      <c r="AR504" s="799"/>
      <c r="AS504" s="799"/>
      <c r="AT504" s="799"/>
      <c r="AU504" s="799"/>
      <c r="AV504" s="799"/>
      <c r="AW504" s="799"/>
      <c r="AX504" s="799"/>
      <c r="AY504" s="799"/>
      <c r="AZ504" s="799"/>
      <c r="BA504" s="799"/>
      <c r="BB504" s="799"/>
      <c r="BC504" s="799"/>
      <c r="BD504" s="799"/>
      <c r="BE504" s="799"/>
      <c r="BF504" s="799"/>
      <c r="BG504" s="799"/>
    </row>
    <row r="505">
      <c r="H505" s="799"/>
      <c r="I505" s="799"/>
      <c r="J505" s="799"/>
      <c r="K505" s="799"/>
      <c r="L505" s="799"/>
      <c r="M505" s="799"/>
      <c r="N505" s="799"/>
      <c r="O505" s="799"/>
      <c r="P505" s="799"/>
      <c r="Q505" s="799"/>
      <c r="R505" s="799"/>
      <c r="S505" s="799"/>
      <c r="T505" s="799"/>
      <c r="U505" s="799"/>
      <c r="V505" s="799"/>
      <c r="W505" s="799"/>
      <c r="X505" s="799"/>
      <c r="Y505" s="799"/>
      <c r="Z505" s="799"/>
      <c r="AA505" s="799"/>
      <c r="AB505" s="799"/>
      <c r="AC505" s="799"/>
      <c r="AD505" s="799"/>
      <c r="AE505" s="799"/>
      <c r="AF505" s="799"/>
      <c r="AG505" s="799"/>
      <c r="AH505" s="799"/>
      <c r="AI505" s="799"/>
      <c r="AJ505" s="799"/>
      <c r="AK505" s="799"/>
      <c r="AL505" s="799"/>
      <c r="AM505" s="799"/>
      <c r="AN505" s="799"/>
      <c r="AO505" s="799"/>
      <c r="AP505" s="799"/>
      <c r="AQ505" s="799"/>
      <c r="AR505" s="799"/>
      <c r="AS505" s="799"/>
      <c r="AT505" s="799"/>
      <c r="AU505" s="799"/>
      <c r="AV505" s="799"/>
      <c r="AW505" s="799"/>
      <c r="AX505" s="799"/>
      <c r="AY505" s="799"/>
      <c r="AZ505" s="799"/>
      <c r="BA505" s="799"/>
      <c r="BB505" s="799"/>
      <c r="BC505" s="799"/>
      <c r="BD505" s="799"/>
      <c r="BE505" s="799"/>
      <c r="BF505" s="799"/>
      <c r="BG505" s="799"/>
    </row>
    <row r="506">
      <c r="H506" s="799"/>
      <c r="I506" s="799"/>
      <c r="J506" s="799"/>
      <c r="K506" s="799"/>
      <c r="L506" s="799"/>
      <c r="M506" s="799"/>
      <c r="N506" s="799"/>
      <c r="O506" s="799"/>
      <c r="P506" s="799"/>
      <c r="Q506" s="799"/>
      <c r="R506" s="799"/>
      <c r="S506" s="799"/>
      <c r="T506" s="799"/>
      <c r="U506" s="799"/>
      <c r="V506" s="799"/>
      <c r="W506" s="799"/>
      <c r="X506" s="799"/>
      <c r="Y506" s="799"/>
      <c r="Z506" s="799"/>
      <c r="AA506" s="799"/>
      <c r="AB506" s="799"/>
      <c r="AC506" s="799"/>
      <c r="AD506" s="799"/>
      <c r="AE506" s="799"/>
      <c r="AF506" s="799"/>
      <c r="AG506" s="799"/>
      <c r="AH506" s="799"/>
      <c r="AI506" s="799"/>
      <c r="AJ506" s="799"/>
      <c r="AK506" s="799"/>
      <c r="AL506" s="799"/>
      <c r="AM506" s="799"/>
      <c r="AN506" s="799"/>
      <c r="AO506" s="799"/>
      <c r="AP506" s="799"/>
      <c r="AQ506" s="799"/>
      <c r="AR506" s="799"/>
      <c r="AS506" s="799"/>
      <c r="AT506" s="799"/>
      <c r="AU506" s="799"/>
      <c r="AV506" s="799"/>
      <c r="AW506" s="799"/>
      <c r="AX506" s="799"/>
      <c r="AY506" s="799"/>
      <c r="AZ506" s="799"/>
      <c r="BA506" s="799"/>
      <c r="BB506" s="799"/>
      <c r="BC506" s="799"/>
      <c r="BD506" s="799"/>
      <c r="BE506" s="799"/>
      <c r="BF506" s="799"/>
      <c r="BG506" s="799"/>
    </row>
    <row r="507">
      <c r="H507" s="799"/>
      <c r="I507" s="799"/>
      <c r="J507" s="799"/>
      <c r="K507" s="799"/>
      <c r="L507" s="799"/>
      <c r="M507" s="799"/>
      <c r="N507" s="799"/>
      <c r="O507" s="799"/>
      <c r="P507" s="799"/>
      <c r="Q507" s="799"/>
      <c r="R507" s="799"/>
      <c r="S507" s="799"/>
      <c r="T507" s="799"/>
      <c r="U507" s="799"/>
      <c r="V507" s="799"/>
      <c r="W507" s="799"/>
      <c r="X507" s="799"/>
      <c r="Y507" s="799"/>
      <c r="Z507" s="799"/>
      <c r="AA507" s="799"/>
      <c r="AB507" s="799"/>
      <c r="AC507" s="799"/>
      <c r="AD507" s="799"/>
      <c r="AE507" s="799"/>
      <c r="AF507" s="799"/>
      <c r="AG507" s="799"/>
      <c r="AH507" s="799"/>
      <c r="AI507" s="799"/>
      <c r="AJ507" s="799"/>
      <c r="AK507" s="799"/>
      <c r="AL507" s="799"/>
      <c r="AM507" s="799"/>
      <c r="AN507" s="799"/>
      <c r="AO507" s="799"/>
      <c r="AP507" s="799"/>
      <c r="AQ507" s="799"/>
      <c r="AR507" s="799"/>
      <c r="AS507" s="799"/>
      <c r="AT507" s="799"/>
      <c r="AU507" s="799"/>
      <c r="AV507" s="799"/>
      <c r="AW507" s="799"/>
      <c r="AX507" s="799"/>
      <c r="AY507" s="799"/>
      <c r="AZ507" s="799"/>
      <c r="BA507" s="799"/>
      <c r="BB507" s="799"/>
      <c r="BC507" s="799"/>
      <c r="BD507" s="799"/>
      <c r="BE507" s="799"/>
      <c r="BF507" s="799"/>
      <c r="BG507" s="799"/>
    </row>
    <row r="508">
      <c r="H508" s="799"/>
      <c r="I508" s="799"/>
      <c r="J508" s="799"/>
      <c r="K508" s="799"/>
      <c r="L508" s="799"/>
      <c r="M508" s="799"/>
      <c r="N508" s="799"/>
      <c r="O508" s="799"/>
      <c r="P508" s="799"/>
      <c r="Q508" s="799"/>
      <c r="R508" s="799"/>
      <c r="S508" s="799"/>
      <c r="T508" s="799"/>
      <c r="U508" s="799"/>
      <c r="V508" s="799"/>
      <c r="W508" s="799"/>
      <c r="X508" s="799"/>
      <c r="Y508" s="799"/>
      <c r="Z508" s="799"/>
      <c r="AA508" s="799"/>
      <c r="AB508" s="799"/>
      <c r="AC508" s="799"/>
      <c r="AD508" s="799"/>
      <c r="AE508" s="799"/>
      <c r="AF508" s="799"/>
      <c r="AG508" s="799"/>
      <c r="AH508" s="799"/>
      <c r="AI508" s="799"/>
      <c r="AJ508" s="799"/>
      <c r="AK508" s="799"/>
      <c r="AL508" s="799"/>
      <c r="AM508" s="799"/>
      <c r="AN508" s="799"/>
      <c r="AO508" s="799"/>
      <c r="AP508" s="799"/>
      <c r="AQ508" s="799"/>
      <c r="AR508" s="799"/>
      <c r="AS508" s="799"/>
      <c r="AT508" s="799"/>
      <c r="AU508" s="799"/>
      <c r="AV508" s="799"/>
      <c r="AW508" s="799"/>
      <c r="AX508" s="799"/>
      <c r="AY508" s="799"/>
      <c r="AZ508" s="799"/>
      <c r="BA508" s="799"/>
      <c r="BB508" s="799"/>
      <c r="BC508" s="799"/>
      <c r="BD508" s="799"/>
      <c r="BE508" s="799"/>
      <c r="BF508" s="799"/>
      <c r="BG508" s="799"/>
    </row>
    <row r="509">
      <c r="H509" s="799"/>
      <c r="I509" s="799"/>
      <c r="J509" s="799"/>
      <c r="K509" s="799"/>
      <c r="L509" s="799"/>
      <c r="M509" s="799"/>
      <c r="N509" s="799"/>
      <c r="O509" s="799"/>
      <c r="P509" s="799"/>
      <c r="Q509" s="799"/>
      <c r="R509" s="799"/>
      <c r="S509" s="799"/>
      <c r="T509" s="799"/>
      <c r="U509" s="799"/>
      <c r="V509" s="799"/>
      <c r="W509" s="799"/>
      <c r="X509" s="799"/>
      <c r="Y509" s="799"/>
      <c r="Z509" s="799"/>
      <c r="AA509" s="799"/>
      <c r="AB509" s="799"/>
      <c r="AC509" s="799"/>
      <c r="AD509" s="799"/>
      <c r="AE509" s="799"/>
      <c r="AF509" s="799"/>
      <c r="AG509" s="799"/>
      <c r="AH509" s="799"/>
      <c r="AI509" s="799"/>
      <c r="AJ509" s="799"/>
      <c r="AK509" s="799"/>
      <c r="AL509" s="799"/>
      <c r="AM509" s="799"/>
      <c r="AN509" s="799"/>
      <c r="AO509" s="799"/>
      <c r="AP509" s="799"/>
      <c r="AQ509" s="799"/>
      <c r="AR509" s="799"/>
      <c r="AS509" s="799"/>
      <c r="AT509" s="799"/>
      <c r="AU509" s="799"/>
      <c r="AV509" s="799"/>
      <c r="AW509" s="799"/>
      <c r="AX509" s="799"/>
      <c r="AY509" s="799"/>
      <c r="AZ509" s="799"/>
      <c r="BA509" s="799"/>
      <c r="BB509" s="799"/>
      <c r="BC509" s="799"/>
      <c r="BD509" s="799"/>
      <c r="BE509" s="799"/>
      <c r="BF509" s="799"/>
      <c r="BG509" s="799"/>
    </row>
    <row r="510">
      <c r="H510" s="799"/>
      <c r="I510" s="799"/>
      <c r="J510" s="799"/>
      <c r="K510" s="799"/>
      <c r="L510" s="799"/>
      <c r="M510" s="799"/>
      <c r="N510" s="799"/>
      <c r="O510" s="799"/>
      <c r="P510" s="799"/>
      <c r="Q510" s="799"/>
      <c r="R510" s="799"/>
      <c r="S510" s="799"/>
      <c r="T510" s="799"/>
      <c r="U510" s="799"/>
      <c r="V510" s="799"/>
      <c r="W510" s="799"/>
      <c r="X510" s="799"/>
      <c r="Y510" s="799"/>
      <c r="Z510" s="799"/>
      <c r="AA510" s="799"/>
      <c r="AB510" s="799"/>
      <c r="AC510" s="799"/>
      <c r="AD510" s="799"/>
      <c r="AE510" s="799"/>
      <c r="AF510" s="799"/>
      <c r="AG510" s="799"/>
      <c r="AH510" s="799"/>
      <c r="AI510" s="799"/>
      <c r="AJ510" s="799"/>
      <c r="AK510" s="799"/>
      <c r="AL510" s="799"/>
      <c r="AM510" s="799"/>
      <c r="AN510" s="799"/>
      <c r="AO510" s="799"/>
      <c r="AP510" s="799"/>
      <c r="AQ510" s="799"/>
      <c r="AR510" s="799"/>
      <c r="AS510" s="799"/>
      <c r="AT510" s="799"/>
      <c r="AU510" s="799"/>
      <c r="AV510" s="799"/>
      <c r="AW510" s="799"/>
      <c r="AX510" s="799"/>
      <c r="AY510" s="799"/>
      <c r="AZ510" s="799"/>
      <c r="BA510" s="799"/>
      <c r="BB510" s="799"/>
      <c r="BC510" s="799"/>
      <c r="BD510" s="799"/>
      <c r="BE510" s="799"/>
      <c r="BF510" s="799"/>
      <c r="BG510" s="799"/>
    </row>
    <row r="511">
      <c r="H511" s="799"/>
      <c r="I511" s="799"/>
      <c r="J511" s="799"/>
      <c r="K511" s="799"/>
      <c r="L511" s="799"/>
      <c r="M511" s="799"/>
      <c r="N511" s="799"/>
      <c r="O511" s="799"/>
      <c r="P511" s="799"/>
      <c r="Q511" s="799"/>
      <c r="R511" s="799"/>
      <c r="S511" s="799"/>
      <c r="T511" s="799"/>
      <c r="U511" s="799"/>
      <c r="V511" s="799"/>
      <c r="W511" s="799"/>
      <c r="X511" s="799"/>
      <c r="Y511" s="799"/>
      <c r="Z511" s="799"/>
      <c r="AA511" s="799"/>
      <c r="AB511" s="799"/>
      <c r="AC511" s="799"/>
      <c r="AD511" s="799"/>
      <c r="AE511" s="799"/>
      <c r="AF511" s="799"/>
      <c r="AG511" s="799"/>
      <c r="AH511" s="799"/>
      <c r="AI511" s="799"/>
      <c r="AJ511" s="799"/>
      <c r="AK511" s="799"/>
      <c r="AL511" s="799"/>
      <c r="AM511" s="799"/>
      <c r="AN511" s="799"/>
      <c r="AO511" s="799"/>
      <c r="AP511" s="799"/>
      <c r="AQ511" s="799"/>
      <c r="AR511" s="799"/>
      <c r="AS511" s="799"/>
      <c r="AT511" s="799"/>
      <c r="AU511" s="799"/>
      <c r="AV511" s="799"/>
      <c r="AW511" s="799"/>
      <c r="AX511" s="799"/>
      <c r="AY511" s="799"/>
      <c r="AZ511" s="799"/>
      <c r="BA511" s="799"/>
      <c r="BB511" s="799"/>
      <c r="BC511" s="799"/>
      <c r="BD511" s="799"/>
      <c r="BE511" s="799"/>
      <c r="BF511" s="799"/>
      <c r="BG511" s="799"/>
    </row>
    <row r="512">
      <c r="H512" s="799"/>
      <c r="I512" s="799"/>
      <c r="J512" s="799"/>
      <c r="K512" s="799"/>
      <c r="L512" s="799"/>
      <c r="M512" s="799"/>
      <c r="N512" s="799"/>
      <c r="O512" s="799"/>
      <c r="P512" s="799"/>
      <c r="Q512" s="799"/>
      <c r="R512" s="799"/>
      <c r="S512" s="799"/>
      <c r="T512" s="799"/>
      <c r="U512" s="799"/>
      <c r="V512" s="799"/>
      <c r="W512" s="799"/>
      <c r="X512" s="799"/>
      <c r="Y512" s="799"/>
      <c r="Z512" s="799"/>
      <c r="AA512" s="799"/>
      <c r="AB512" s="799"/>
      <c r="AC512" s="799"/>
      <c r="AD512" s="799"/>
      <c r="AE512" s="799"/>
      <c r="AF512" s="799"/>
      <c r="AG512" s="799"/>
      <c r="AH512" s="799"/>
      <c r="AI512" s="799"/>
      <c r="AJ512" s="799"/>
      <c r="AK512" s="799"/>
      <c r="AL512" s="799"/>
      <c r="AM512" s="799"/>
      <c r="AN512" s="799"/>
      <c r="AO512" s="799"/>
      <c r="AP512" s="799"/>
      <c r="AQ512" s="799"/>
      <c r="AR512" s="799"/>
      <c r="AS512" s="799"/>
      <c r="AT512" s="799"/>
      <c r="AU512" s="799"/>
      <c r="AV512" s="799"/>
      <c r="AW512" s="799"/>
      <c r="AX512" s="799"/>
      <c r="AY512" s="799"/>
      <c r="AZ512" s="799"/>
      <c r="BA512" s="799"/>
      <c r="BB512" s="799"/>
      <c r="BC512" s="799"/>
      <c r="BD512" s="799"/>
      <c r="BE512" s="799"/>
      <c r="BF512" s="799"/>
      <c r="BG512" s="799"/>
    </row>
    <row r="513">
      <c r="H513" s="799"/>
      <c r="I513" s="799"/>
      <c r="J513" s="799"/>
      <c r="K513" s="799"/>
      <c r="L513" s="799"/>
      <c r="M513" s="799"/>
      <c r="N513" s="799"/>
      <c r="O513" s="799"/>
      <c r="P513" s="799"/>
      <c r="Q513" s="799"/>
      <c r="R513" s="799"/>
      <c r="S513" s="799"/>
      <c r="T513" s="799"/>
      <c r="U513" s="799"/>
      <c r="V513" s="799"/>
      <c r="W513" s="799"/>
      <c r="X513" s="799"/>
      <c r="Y513" s="799"/>
      <c r="Z513" s="799"/>
      <c r="AA513" s="799"/>
      <c r="AB513" s="799"/>
      <c r="AC513" s="799"/>
      <c r="AD513" s="799"/>
      <c r="AE513" s="799"/>
      <c r="AF513" s="799"/>
      <c r="AG513" s="799"/>
      <c r="AH513" s="799"/>
      <c r="AI513" s="799"/>
      <c r="AJ513" s="799"/>
      <c r="AK513" s="799"/>
      <c r="AL513" s="799"/>
      <c r="AM513" s="799"/>
      <c r="AN513" s="799"/>
      <c r="AO513" s="799"/>
      <c r="AP513" s="799"/>
      <c r="AQ513" s="799"/>
      <c r="AR513" s="799"/>
      <c r="AS513" s="799"/>
      <c r="AT513" s="799"/>
      <c r="AU513" s="799"/>
      <c r="AV513" s="799"/>
      <c r="AW513" s="799"/>
      <c r="AX513" s="799"/>
      <c r="AY513" s="799"/>
      <c r="AZ513" s="799"/>
      <c r="BA513" s="799"/>
      <c r="BB513" s="799"/>
      <c r="BC513" s="799"/>
      <c r="BD513" s="799"/>
      <c r="BE513" s="799"/>
      <c r="BF513" s="799"/>
      <c r="BG513" s="799"/>
    </row>
    <row r="514">
      <c r="H514" s="799"/>
      <c r="I514" s="799"/>
      <c r="J514" s="799"/>
      <c r="K514" s="799"/>
      <c r="L514" s="799"/>
      <c r="M514" s="799"/>
      <c r="N514" s="799"/>
      <c r="O514" s="799"/>
      <c r="P514" s="799"/>
      <c r="Q514" s="799"/>
      <c r="R514" s="799"/>
      <c r="S514" s="799"/>
      <c r="T514" s="799"/>
      <c r="U514" s="799"/>
      <c r="V514" s="799"/>
      <c r="W514" s="799"/>
      <c r="X514" s="799"/>
      <c r="Y514" s="799"/>
      <c r="Z514" s="799"/>
      <c r="AA514" s="799"/>
      <c r="AB514" s="799"/>
      <c r="AC514" s="799"/>
      <c r="AD514" s="799"/>
      <c r="AE514" s="799"/>
      <c r="AF514" s="799"/>
      <c r="AG514" s="799"/>
      <c r="AH514" s="799"/>
      <c r="AI514" s="799"/>
      <c r="AJ514" s="799"/>
      <c r="AK514" s="799"/>
      <c r="AL514" s="799"/>
      <c r="AM514" s="799"/>
      <c r="AN514" s="799"/>
      <c r="AO514" s="799"/>
      <c r="AP514" s="799"/>
      <c r="AQ514" s="799"/>
      <c r="AR514" s="799"/>
      <c r="AS514" s="799"/>
      <c r="AT514" s="799"/>
      <c r="AU514" s="799"/>
      <c r="AV514" s="799"/>
      <c r="AW514" s="799"/>
      <c r="AX514" s="799"/>
      <c r="AY514" s="799"/>
      <c r="AZ514" s="799"/>
      <c r="BA514" s="799"/>
      <c r="BB514" s="799"/>
      <c r="BC514" s="799"/>
      <c r="BD514" s="799"/>
      <c r="BE514" s="799"/>
      <c r="BF514" s="799"/>
      <c r="BG514" s="799"/>
    </row>
    <row r="515">
      <c r="H515" s="799"/>
      <c r="I515" s="799"/>
      <c r="J515" s="799"/>
      <c r="K515" s="799"/>
      <c r="L515" s="799"/>
      <c r="M515" s="799"/>
      <c r="N515" s="799"/>
      <c r="O515" s="799"/>
      <c r="P515" s="799"/>
      <c r="Q515" s="799"/>
      <c r="R515" s="799"/>
      <c r="S515" s="799"/>
      <c r="T515" s="799"/>
      <c r="U515" s="799"/>
      <c r="V515" s="799"/>
      <c r="W515" s="799"/>
      <c r="X515" s="799"/>
      <c r="Y515" s="799"/>
      <c r="Z515" s="799"/>
      <c r="AA515" s="799"/>
      <c r="AB515" s="799"/>
      <c r="AC515" s="799"/>
      <c r="AD515" s="799"/>
      <c r="AE515" s="799"/>
      <c r="AF515" s="799"/>
      <c r="AG515" s="799"/>
      <c r="AH515" s="799"/>
      <c r="AI515" s="799"/>
      <c r="AJ515" s="799"/>
      <c r="AK515" s="799"/>
      <c r="AL515" s="799"/>
      <c r="AM515" s="799"/>
      <c r="AN515" s="799"/>
      <c r="AO515" s="799"/>
      <c r="AP515" s="799"/>
      <c r="AQ515" s="799"/>
      <c r="AR515" s="799"/>
      <c r="AS515" s="799"/>
      <c r="AT515" s="799"/>
      <c r="AU515" s="799"/>
      <c r="AV515" s="799"/>
      <c r="AW515" s="799"/>
      <c r="AX515" s="799"/>
      <c r="AY515" s="799"/>
      <c r="AZ515" s="799"/>
      <c r="BA515" s="799"/>
      <c r="BB515" s="799"/>
      <c r="BC515" s="799"/>
      <c r="BD515" s="799"/>
      <c r="BE515" s="799"/>
      <c r="BF515" s="799"/>
      <c r="BG515" s="799"/>
    </row>
    <row r="516">
      <c r="H516" s="799"/>
      <c r="I516" s="799"/>
      <c r="J516" s="799"/>
      <c r="K516" s="799"/>
      <c r="L516" s="799"/>
      <c r="M516" s="799"/>
      <c r="N516" s="799"/>
      <c r="O516" s="799"/>
      <c r="P516" s="799"/>
      <c r="Q516" s="799"/>
      <c r="R516" s="799"/>
      <c r="S516" s="799"/>
      <c r="T516" s="799"/>
      <c r="U516" s="799"/>
      <c r="V516" s="799"/>
      <c r="W516" s="799"/>
      <c r="X516" s="799"/>
      <c r="Y516" s="799"/>
      <c r="Z516" s="799"/>
      <c r="AA516" s="799"/>
      <c r="AB516" s="799"/>
      <c r="AC516" s="799"/>
      <c r="AD516" s="799"/>
      <c r="AE516" s="799"/>
      <c r="AF516" s="799"/>
      <c r="AG516" s="799"/>
      <c r="AH516" s="799"/>
      <c r="AI516" s="799"/>
      <c r="AJ516" s="799"/>
      <c r="AK516" s="799"/>
      <c r="AL516" s="799"/>
      <c r="AM516" s="799"/>
      <c r="AN516" s="799"/>
      <c r="AO516" s="799"/>
      <c r="AP516" s="799"/>
      <c r="AQ516" s="799"/>
      <c r="AR516" s="799"/>
      <c r="AS516" s="799"/>
      <c r="AT516" s="799"/>
      <c r="AU516" s="799"/>
      <c r="AV516" s="799"/>
      <c r="AW516" s="799"/>
      <c r="AX516" s="799"/>
      <c r="AY516" s="799"/>
      <c r="AZ516" s="799"/>
      <c r="BA516" s="799"/>
      <c r="BB516" s="799"/>
      <c r="BC516" s="799"/>
      <c r="BD516" s="799"/>
      <c r="BE516" s="799"/>
      <c r="BF516" s="799"/>
      <c r="BG516" s="799"/>
    </row>
    <row r="517">
      <c r="H517" s="799"/>
      <c r="I517" s="799"/>
      <c r="J517" s="799"/>
      <c r="K517" s="799"/>
      <c r="L517" s="799"/>
      <c r="M517" s="799"/>
      <c r="N517" s="799"/>
      <c r="O517" s="799"/>
      <c r="P517" s="799"/>
      <c r="Q517" s="799"/>
      <c r="R517" s="799"/>
      <c r="S517" s="799"/>
      <c r="T517" s="799"/>
      <c r="U517" s="799"/>
      <c r="V517" s="799"/>
      <c r="W517" s="799"/>
      <c r="X517" s="799"/>
      <c r="Y517" s="799"/>
      <c r="Z517" s="799"/>
      <c r="AA517" s="799"/>
      <c r="AB517" s="799"/>
      <c r="AC517" s="799"/>
      <c r="AD517" s="799"/>
      <c r="AE517" s="799"/>
      <c r="AF517" s="799"/>
      <c r="AG517" s="799"/>
      <c r="AH517" s="799"/>
      <c r="AI517" s="799"/>
      <c r="AJ517" s="799"/>
      <c r="AK517" s="799"/>
      <c r="AL517" s="799"/>
      <c r="AM517" s="799"/>
      <c r="AN517" s="799"/>
      <c r="AO517" s="799"/>
      <c r="AP517" s="799"/>
      <c r="AQ517" s="799"/>
      <c r="AR517" s="799"/>
      <c r="AS517" s="799"/>
      <c r="AT517" s="799"/>
      <c r="AU517" s="799"/>
      <c r="AV517" s="799"/>
      <c r="AW517" s="799"/>
      <c r="AX517" s="799"/>
      <c r="AY517" s="799"/>
      <c r="AZ517" s="799"/>
      <c r="BA517" s="799"/>
      <c r="BB517" s="799"/>
      <c r="BC517" s="799"/>
      <c r="BD517" s="799"/>
      <c r="BE517" s="799"/>
      <c r="BF517" s="799"/>
      <c r="BG517" s="799"/>
    </row>
    <row r="518">
      <c r="H518" s="799"/>
      <c r="I518" s="799"/>
      <c r="J518" s="799"/>
      <c r="K518" s="799"/>
      <c r="L518" s="799"/>
      <c r="M518" s="799"/>
      <c r="N518" s="799"/>
      <c r="O518" s="799"/>
      <c r="P518" s="799"/>
      <c r="Q518" s="799"/>
      <c r="R518" s="799"/>
      <c r="S518" s="799"/>
      <c r="T518" s="799"/>
      <c r="U518" s="799"/>
      <c r="V518" s="799"/>
      <c r="W518" s="799"/>
      <c r="X518" s="799"/>
      <c r="Y518" s="799"/>
      <c r="Z518" s="799"/>
      <c r="AA518" s="799"/>
      <c r="AB518" s="799"/>
      <c r="AC518" s="799"/>
      <c r="AD518" s="799"/>
      <c r="AE518" s="799"/>
      <c r="AF518" s="799"/>
      <c r="AG518" s="799"/>
      <c r="AH518" s="799"/>
      <c r="AI518" s="799"/>
      <c r="AJ518" s="799"/>
      <c r="AK518" s="799"/>
      <c r="AL518" s="799"/>
      <c r="AM518" s="799"/>
      <c r="AN518" s="799"/>
      <c r="AO518" s="799"/>
      <c r="AP518" s="799"/>
      <c r="AQ518" s="799"/>
      <c r="AR518" s="799"/>
      <c r="AS518" s="799"/>
      <c r="AT518" s="799"/>
      <c r="AU518" s="799"/>
      <c r="AV518" s="799"/>
      <c r="AW518" s="799"/>
      <c r="AX518" s="799"/>
      <c r="AY518" s="799"/>
      <c r="AZ518" s="799"/>
      <c r="BA518" s="799"/>
      <c r="BB518" s="799"/>
      <c r="BC518" s="799"/>
      <c r="BD518" s="799"/>
      <c r="BE518" s="799"/>
      <c r="BF518" s="799"/>
      <c r="BG518" s="799"/>
    </row>
    <row r="519">
      <c r="H519" s="799"/>
      <c r="I519" s="799"/>
      <c r="J519" s="799"/>
      <c r="K519" s="799"/>
      <c r="L519" s="799"/>
      <c r="M519" s="799"/>
      <c r="N519" s="799"/>
      <c r="O519" s="799"/>
      <c r="P519" s="799"/>
      <c r="Q519" s="799"/>
      <c r="R519" s="799"/>
      <c r="S519" s="799"/>
      <c r="T519" s="799"/>
      <c r="U519" s="799"/>
      <c r="V519" s="799"/>
      <c r="W519" s="799"/>
      <c r="X519" s="799"/>
      <c r="Y519" s="799"/>
      <c r="Z519" s="799"/>
      <c r="AA519" s="799"/>
      <c r="AB519" s="799"/>
      <c r="AC519" s="799"/>
      <c r="AD519" s="799"/>
      <c r="AE519" s="799"/>
      <c r="AF519" s="799"/>
      <c r="AG519" s="799"/>
      <c r="AH519" s="799"/>
      <c r="AI519" s="799"/>
      <c r="AJ519" s="799"/>
      <c r="AK519" s="799"/>
      <c r="AL519" s="799"/>
      <c r="AM519" s="799"/>
      <c r="AN519" s="799"/>
      <c r="AO519" s="799"/>
      <c r="AP519" s="799"/>
      <c r="AQ519" s="799"/>
      <c r="AR519" s="799"/>
      <c r="AS519" s="799"/>
      <c r="AT519" s="799"/>
      <c r="AU519" s="799"/>
      <c r="AV519" s="799"/>
      <c r="AW519" s="799"/>
      <c r="AX519" s="799"/>
      <c r="AY519" s="799"/>
      <c r="AZ519" s="799"/>
      <c r="BA519" s="799"/>
      <c r="BB519" s="799"/>
      <c r="BC519" s="799"/>
      <c r="BD519" s="799"/>
      <c r="BE519" s="799"/>
      <c r="BF519" s="799"/>
      <c r="BG519" s="799"/>
    </row>
    <row r="520">
      <c r="H520" s="799"/>
      <c r="I520" s="799"/>
      <c r="J520" s="799"/>
      <c r="K520" s="799"/>
      <c r="L520" s="799"/>
      <c r="M520" s="799"/>
      <c r="N520" s="799"/>
      <c r="O520" s="799"/>
      <c r="P520" s="799"/>
      <c r="Q520" s="799"/>
      <c r="R520" s="799"/>
      <c r="S520" s="799"/>
      <c r="T520" s="799"/>
      <c r="U520" s="799"/>
      <c r="V520" s="799"/>
      <c r="W520" s="799"/>
      <c r="X520" s="799"/>
      <c r="Y520" s="799"/>
      <c r="Z520" s="799"/>
      <c r="AA520" s="799"/>
      <c r="AB520" s="799"/>
      <c r="AC520" s="799"/>
      <c r="AD520" s="799"/>
      <c r="AE520" s="799"/>
      <c r="AF520" s="799"/>
      <c r="AG520" s="799"/>
      <c r="AH520" s="799"/>
      <c r="AI520" s="799"/>
      <c r="AJ520" s="799"/>
      <c r="AK520" s="799"/>
      <c r="AL520" s="799"/>
      <c r="AM520" s="799"/>
      <c r="AN520" s="799"/>
      <c r="AO520" s="799"/>
      <c r="AP520" s="799"/>
      <c r="AQ520" s="799"/>
      <c r="AR520" s="799"/>
      <c r="AS520" s="799"/>
      <c r="AT520" s="799"/>
      <c r="AU520" s="799"/>
      <c r="AV520" s="799"/>
      <c r="AW520" s="799"/>
      <c r="AX520" s="799"/>
      <c r="AY520" s="799"/>
      <c r="AZ520" s="799"/>
      <c r="BA520" s="799"/>
      <c r="BB520" s="799"/>
      <c r="BC520" s="799"/>
      <c r="BD520" s="799"/>
      <c r="BE520" s="799"/>
      <c r="BF520" s="799"/>
      <c r="BG520" s="799"/>
    </row>
    <row r="521">
      <c r="H521" s="799"/>
      <c r="I521" s="799"/>
      <c r="J521" s="799"/>
      <c r="K521" s="799"/>
      <c r="L521" s="799"/>
      <c r="M521" s="799"/>
      <c r="N521" s="799"/>
      <c r="O521" s="799"/>
      <c r="P521" s="799"/>
      <c r="Q521" s="799"/>
      <c r="R521" s="799"/>
      <c r="S521" s="799"/>
      <c r="T521" s="799"/>
      <c r="U521" s="799"/>
      <c r="V521" s="799"/>
      <c r="W521" s="799"/>
      <c r="X521" s="799"/>
      <c r="Y521" s="799"/>
      <c r="Z521" s="799"/>
      <c r="AA521" s="799"/>
      <c r="AB521" s="799"/>
      <c r="AC521" s="799"/>
      <c r="AD521" s="799"/>
      <c r="AE521" s="799"/>
      <c r="AF521" s="799"/>
      <c r="AG521" s="799"/>
      <c r="AH521" s="799"/>
      <c r="AI521" s="799"/>
      <c r="AJ521" s="799"/>
      <c r="AK521" s="799"/>
      <c r="AL521" s="799"/>
      <c r="AM521" s="799"/>
      <c r="AN521" s="799"/>
      <c r="AO521" s="799"/>
      <c r="AP521" s="799"/>
      <c r="AQ521" s="799"/>
      <c r="AR521" s="799"/>
      <c r="AS521" s="799"/>
      <c r="AT521" s="799"/>
      <c r="AU521" s="799"/>
      <c r="AV521" s="799"/>
      <c r="AW521" s="799"/>
      <c r="AX521" s="799"/>
      <c r="AY521" s="799"/>
      <c r="AZ521" s="799"/>
      <c r="BA521" s="799"/>
      <c r="BB521" s="799"/>
      <c r="BC521" s="799"/>
      <c r="BD521" s="799"/>
      <c r="BE521" s="799"/>
      <c r="BF521" s="799"/>
      <c r="BG521" s="799"/>
    </row>
    <row r="522">
      <c r="H522" s="799"/>
      <c r="I522" s="799"/>
      <c r="J522" s="799"/>
      <c r="K522" s="799"/>
      <c r="L522" s="799"/>
      <c r="M522" s="799"/>
      <c r="N522" s="799"/>
      <c r="O522" s="799"/>
      <c r="P522" s="799"/>
      <c r="Q522" s="799"/>
      <c r="R522" s="799"/>
      <c r="S522" s="799"/>
      <c r="T522" s="799"/>
      <c r="U522" s="799"/>
      <c r="V522" s="799"/>
      <c r="W522" s="799"/>
      <c r="X522" s="799"/>
      <c r="Y522" s="799"/>
      <c r="Z522" s="799"/>
      <c r="AA522" s="799"/>
      <c r="AB522" s="799"/>
      <c r="AC522" s="799"/>
      <c r="AD522" s="799"/>
      <c r="AE522" s="799"/>
      <c r="AF522" s="799"/>
      <c r="AG522" s="799"/>
      <c r="AH522" s="799"/>
      <c r="AI522" s="799"/>
      <c r="AJ522" s="799"/>
      <c r="AK522" s="799"/>
      <c r="AL522" s="799"/>
      <c r="AM522" s="799"/>
      <c r="AN522" s="799"/>
      <c r="AO522" s="799"/>
      <c r="AP522" s="799"/>
      <c r="AQ522" s="799"/>
      <c r="AR522" s="799"/>
      <c r="AS522" s="799"/>
      <c r="AT522" s="799"/>
      <c r="AU522" s="799"/>
      <c r="AV522" s="799"/>
      <c r="AW522" s="799"/>
      <c r="AX522" s="799"/>
      <c r="AY522" s="799"/>
      <c r="AZ522" s="799"/>
      <c r="BA522" s="799"/>
      <c r="BB522" s="799"/>
      <c r="BC522" s="799"/>
      <c r="BD522" s="799"/>
      <c r="BE522" s="799"/>
      <c r="BF522" s="799"/>
      <c r="BG522" s="799"/>
    </row>
    <row r="523">
      <c r="H523" s="799"/>
      <c r="I523" s="799"/>
      <c r="J523" s="799"/>
      <c r="K523" s="799"/>
      <c r="L523" s="799"/>
      <c r="M523" s="799"/>
      <c r="N523" s="799"/>
      <c r="O523" s="799"/>
      <c r="P523" s="799"/>
      <c r="Q523" s="799"/>
      <c r="R523" s="799"/>
      <c r="S523" s="799"/>
      <c r="T523" s="799"/>
      <c r="U523" s="799"/>
      <c r="V523" s="799"/>
      <c r="W523" s="799"/>
      <c r="X523" s="799"/>
      <c r="Y523" s="799"/>
      <c r="Z523" s="799"/>
      <c r="AA523" s="799"/>
      <c r="AB523" s="799"/>
      <c r="AC523" s="799"/>
      <c r="AD523" s="799"/>
      <c r="AE523" s="799"/>
      <c r="AF523" s="799"/>
      <c r="AG523" s="799"/>
      <c r="AH523" s="799"/>
      <c r="AI523" s="799"/>
      <c r="AJ523" s="799"/>
      <c r="AK523" s="799"/>
      <c r="AL523" s="799"/>
      <c r="AM523" s="799"/>
      <c r="AN523" s="799"/>
      <c r="AO523" s="799"/>
      <c r="AP523" s="799"/>
      <c r="AQ523" s="799"/>
      <c r="AR523" s="799"/>
      <c r="AS523" s="799"/>
      <c r="AT523" s="799"/>
      <c r="AU523" s="799"/>
      <c r="AV523" s="799"/>
      <c r="AW523" s="799"/>
      <c r="AX523" s="799"/>
      <c r="AY523" s="799"/>
      <c r="AZ523" s="799"/>
      <c r="BA523" s="799"/>
      <c r="BB523" s="799"/>
      <c r="BC523" s="799"/>
      <c r="BD523" s="799"/>
      <c r="BE523" s="799"/>
      <c r="BF523" s="799"/>
      <c r="BG523" s="799"/>
    </row>
    <row r="524">
      <c r="H524" s="799"/>
      <c r="I524" s="799"/>
      <c r="J524" s="799"/>
      <c r="K524" s="799"/>
      <c r="L524" s="799"/>
      <c r="M524" s="799"/>
      <c r="N524" s="799"/>
      <c r="O524" s="799"/>
      <c r="P524" s="799"/>
      <c r="Q524" s="799"/>
      <c r="R524" s="799"/>
      <c r="S524" s="799"/>
      <c r="T524" s="799"/>
      <c r="U524" s="799"/>
      <c r="V524" s="799"/>
      <c r="W524" s="799"/>
      <c r="X524" s="799"/>
      <c r="Y524" s="799"/>
      <c r="Z524" s="799"/>
      <c r="AA524" s="799"/>
      <c r="AB524" s="799"/>
      <c r="AC524" s="799"/>
      <c r="AD524" s="799"/>
      <c r="AE524" s="799"/>
      <c r="AF524" s="799"/>
      <c r="AG524" s="799"/>
      <c r="AH524" s="799"/>
      <c r="AI524" s="799"/>
      <c r="AJ524" s="799"/>
      <c r="AK524" s="799"/>
      <c r="AL524" s="799"/>
      <c r="AM524" s="799"/>
      <c r="AN524" s="799"/>
      <c r="AO524" s="799"/>
      <c r="AP524" s="799"/>
      <c r="AQ524" s="799"/>
      <c r="AR524" s="799"/>
      <c r="AS524" s="799"/>
      <c r="AT524" s="799"/>
      <c r="AU524" s="799"/>
      <c r="AV524" s="799"/>
      <c r="AW524" s="799"/>
      <c r="AX524" s="799"/>
      <c r="AY524" s="799"/>
      <c r="AZ524" s="799"/>
      <c r="BA524" s="799"/>
      <c r="BB524" s="799"/>
      <c r="BC524" s="799"/>
      <c r="BD524" s="799"/>
      <c r="BE524" s="799"/>
      <c r="BF524" s="799"/>
      <c r="BG524" s="799"/>
    </row>
    <row r="525">
      <c r="H525" s="799"/>
      <c r="I525" s="799"/>
      <c r="J525" s="799"/>
      <c r="K525" s="799"/>
      <c r="L525" s="799"/>
      <c r="M525" s="799"/>
      <c r="N525" s="799"/>
      <c r="O525" s="799"/>
      <c r="P525" s="799"/>
      <c r="Q525" s="799"/>
      <c r="R525" s="799"/>
      <c r="S525" s="799"/>
      <c r="T525" s="799"/>
      <c r="U525" s="799"/>
      <c r="V525" s="799"/>
      <c r="W525" s="799"/>
      <c r="X525" s="799"/>
      <c r="Y525" s="799"/>
      <c r="Z525" s="799"/>
      <c r="AA525" s="799"/>
      <c r="AB525" s="799"/>
      <c r="AC525" s="799"/>
      <c r="AD525" s="799"/>
      <c r="AE525" s="799"/>
      <c r="AF525" s="799"/>
      <c r="AG525" s="799"/>
      <c r="AH525" s="799"/>
      <c r="AI525" s="799"/>
      <c r="AJ525" s="799"/>
      <c r="AK525" s="799"/>
      <c r="AL525" s="799"/>
      <c r="AM525" s="799"/>
      <c r="AN525" s="799"/>
      <c r="AO525" s="799"/>
      <c r="AP525" s="799"/>
      <c r="AQ525" s="799"/>
      <c r="AR525" s="799"/>
      <c r="AS525" s="799"/>
      <c r="AT525" s="799"/>
      <c r="AU525" s="799"/>
      <c r="AV525" s="799"/>
      <c r="AW525" s="799"/>
      <c r="AX525" s="799"/>
      <c r="AY525" s="799"/>
      <c r="AZ525" s="799"/>
      <c r="BA525" s="799"/>
      <c r="BB525" s="799"/>
      <c r="BC525" s="799"/>
      <c r="BD525" s="799"/>
      <c r="BE525" s="799"/>
      <c r="BF525" s="799"/>
      <c r="BG525" s="799"/>
    </row>
    <row r="526">
      <c r="H526" s="799"/>
      <c r="I526" s="799"/>
      <c r="J526" s="799"/>
      <c r="K526" s="799"/>
      <c r="L526" s="799"/>
      <c r="M526" s="799"/>
      <c r="N526" s="799"/>
      <c r="O526" s="799"/>
      <c r="P526" s="799"/>
      <c r="Q526" s="799"/>
      <c r="R526" s="799"/>
      <c r="S526" s="799"/>
      <c r="T526" s="799"/>
      <c r="U526" s="799"/>
      <c r="V526" s="799"/>
      <c r="W526" s="799"/>
      <c r="X526" s="799"/>
      <c r="Y526" s="799"/>
      <c r="Z526" s="799"/>
      <c r="AA526" s="799"/>
      <c r="AB526" s="799"/>
      <c r="AC526" s="799"/>
      <c r="AD526" s="799"/>
      <c r="AE526" s="799"/>
      <c r="AF526" s="799"/>
      <c r="AG526" s="799"/>
      <c r="AH526" s="799"/>
      <c r="AI526" s="799"/>
      <c r="AJ526" s="799"/>
      <c r="AK526" s="799"/>
      <c r="AL526" s="799"/>
      <c r="AM526" s="799"/>
      <c r="AN526" s="799"/>
      <c r="AO526" s="799"/>
      <c r="AP526" s="799"/>
      <c r="AQ526" s="799"/>
      <c r="AR526" s="799"/>
      <c r="AS526" s="799"/>
      <c r="AT526" s="799"/>
      <c r="AU526" s="799"/>
      <c r="AV526" s="799"/>
      <c r="AW526" s="799"/>
      <c r="AX526" s="799"/>
      <c r="AY526" s="799"/>
      <c r="AZ526" s="799"/>
      <c r="BA526" s="799"/>
      <c r="BB526" s="799"/>
      <c r="BC526" s="799"/>
      <c r="BD526" s="799"/>
      <c r="BE526" s="799"/>
      <c r="BF526" s="799"/>
      <c r="BG526" s="799"/>
    </row>
    <row r="527">
      <c r="H527" s="799"/>
      <c r="I527" s="799"/>
      <c r="J527" s="799"/>
      <c r="K527" s="799"/>
      <c r="L527" s="799"/>
      <c r="M527" s="799"/>
      <c r="N527" s="799"/>
      <c r="O527" s="799"/>
      <c r="P527" s="799"/>
      <c r="Q527" s="799"/>
      <c r="R527" s="799"/>
      <c r="S527" s="799"/>
      <c r="T527" s="799"/>
      <c r="U527" s="799"/>
      <c r="V527" s="799"/>
      <c r="W527" s="799"/>
      <c r="X527" s="799"/>
      <c r="Y527" s="799"/>
      <c r="Z527" s="799"/>
      <c r="AA527" s="799"/>
      <c r="AB527" s="799"/>
      <c r="AC527" s="799"/>
      <c r="AD527" s="799"/>
      <c r="AE527" s="799"/>
      <c r="AF527" s="799"/>
      <c r="AG527" s="799"/>
      <c r="AH527" s="799"/>
      <c r="AI527" s="799"/>
      <c r="AJ527" s="799"/>
      <c r="AK527" s="799"/>
      <c r="AL527" s="799"/>
      <c r="AM527" s="799"/>
      <c r="AN527" s="799"/>
      <c r="AO527" s="799"/>
      <c r="AP527" s="799"/>
      <c r="AQ527" s="799"/>
      <c r="AR527" s="799"/>
      <c r="AS527" s="799"/>
      <c r="AT527" s="799"/>
      <c r="AU527" s="799"/>
      <c r="AV527" s="799"/>
      <c r="AW527" s="799"/>
      <c r="AX527" s="799"/>
      <c r="AY527" s="799"/>
      <c r="AZ527" s="799"/>
      <c r="BA527" s="799"/>
      <c r="BB527" s="799"/>
      <c r="BC527" s="799"/>
      <c r="BD527" s="799"/>
      <c r="BE527" s="799"/>
      <c r="BF527" s="799"/>
      <c r="BG527" s="799"/>
    </row>
    <row r="528">
      <c r="H528" s="799"/>
      <c r="I528" s="799"/>
      <c r="J528" s="799"/>
      <c r="K528" s="799"/>
      <c r="L528" s="799"/>
      <c r="M528" s="799"/>
      <c r="N528" s="799"/>
      <c r="O528" s="799"/>
      <c r="P528" s="799"/>
      <c r="Q528" s="799"/>
      <c r="R528" s="799"/>
      <c r="S528" s="799"/>
      <c r="T528" s="799"/>
      <c r="U528" s="799"/>
      <c r="V528" s="799"/>
      <c r="W528" s="799"/>
      <c r="X528" s="799"/>
      <c r="Y528" s="799"/>
      <c r="Z528" s="799"/>
      <c r="AA528" s="799"/>
      <c r="AB528" s="799"/>
      <c r="AC528" s="799"/>
      <c r="AD528" s="799"/>
      <c r="AE528" s="799"/>
      <c r="AF528" s="799"/>
      <c r="AG528" s="799"/>
      <c r="AH528" s="799"/>
      <c r="AI528" s="799"/>
      <c r="AJ528" s="799"/>
      <c r="AK528" s="799"/>
      <c r="AL528" s="799"/>
      <c r="AM528" s="799"/>
      <c r="AN528" s="799"/>
      <c r="AO528" s="799"/>
      <c r="AP528" s="799"/>
      <c r="AQ528" s="799"/>
      <c r="AR528" s="799"/>
      <c r="AS528" s="799"/>
      <c r="AT528" s="799"/>
      <c r="AU528" s="799"/>
      <c r="AV528" s="799"/>
      <c r="AW528" s="799"/>
      <c r="AX528" s="799"/>
      <c r="AY528" s="799"/>
      <c r="AZ528" s="799"/>
      <c r="BA528" s="799"/>
      <c r="BB528" s="799"/>
      <c r="BC528" s="799"/>
      <c r="BD528" s="799"/>
      <c r="BE528" s="799"/>
      <c r="BF528" s="799"/>
      <c r="BG528" s="799"/>
    </row>
    <row r="529">
      <c r="H529" s="799"/>
      <c r="I529" s="799"/>
      <c r="J529" s="799"/>
      <c r="K529" s="799"/>
      <c r="L529" s="799"/>
      <c r="M529" s="799"/>
      <c r="N529" s="799"/>
      <c r="O529" s="799"/>
      <c r="P529" s="799"/>
      <c r="Q529" s="799"/>
      <c r="R529" s="799"/>
      <c r="S529" s="799"/>
      <c r="T529" s="799"/>
      <c r="U529" s="799"/>
      <c r="V529" s="799"/>
      <c r="W529" s="799"/>
      <c r="X529" s="799"/>
      <c r="Y529" s="799"/>
      <c r="Z529" s="799"/>
      <c r="AA529" s="799"/>
      <c r="AB529" s="799"/>
      <c r="AC529" s="799"/>
      <c r="AD529" s="799"/>
      <c r="AE529" s="799"/>
      <c r="AF529" s="799"/>
      <c r="AG529" s="799"/>
      <c r="AH529" s="799"/>
      <c r="AI529" s="799"/>
      <c r="AJ529" s="799"/>
      <c r="AK529" s="799"/>
      <c r="AL529" s="799"/>
      <c r="AM529" s="799"/>
      <c r="AN529" s="799"/>
      <c r="AO529" s="799"/>
      <c r="AP529" s="799"/>
      <c r="AQ529" s="799"/>
      <c r="AR529" s="799"/>
      <c r="AS529" s="799"/>
      <c r="AT529" s="799"/>
      <c r="AU529" s="799"/>
      <c r="AV529" s="799"/>
      <c r="AW529" s="799"/>
      <c r="AX529" s="799"/>
      <c r="AY529" s="799"/>
      <c r="AZ529" s="799"/>
      <c r="BA529" s="799"/>
      <c r="BB529" s="799"/>
      <c r="BC529" s="799"/>
      <c r="BD529" s="799"/>
      <c r="BE529" s="799"/>
      <c r="BF529" s="799"/>
      <c r="BG529" s="799"/>
    </row>
    <row r="530">
      <c r="H530" s="799"/>
      <c r="I530" s="799"/>
      <c r="J530" s="799"/>
      <c r="K530" s="799"/>
      <c r="L530" s="799"/>
      <c r="M530" s="799"/>
      <c r="N530" s="799"/>
      <c r="O530" s="799"/>
      <c r="P530" s="799"/>
      <c r="Q530" s="799"/>
      <c r="R530" s="799"/>
      <c r="S530" s="799"/>
      <c r="T530" s="799"/>
      <c r="U530" s="799"/>
      <c r="V530" s="799"/>
      <c r="W530" s="799"/>
      <c r="X530" s="799"/>
      <c r="Y530" s="799"/>
      <c r="Z530" s="799"/>
      <c r="AA530" s="799"/>
      <c r="AB530" s="799"/>
      <c r="AC530" s="799"/>
      <c r="AD530" s="799"/>
      <c r="AE530" s="799"/>
      <c r="AF530" s="799"/>
      <c r="AG530" s="799"/>
      <c r="AH530" s="799"/>
      <c r="AI530" s="799"/>
      <c r="AJ530" s="799"/>
      <c r="AK530" s="799"/>
      <c r="AL530" s="799"/>
      <c r="AM530" s="799"/>
      <c r="AN530" s="799"/>
      <c r="AO530" s="799"/>
      <c r="AP530" s="799"/>
      <c r="AQ530" s="799"/>
      <c r="AR530" s="799"/>
      <c r="AS530" s="799"/>
      <c r="AT530" s="799"/>
      <c r="AU530" s="799"/>
      <c r="AV530" s="799"/>
      <c r="AW530" s="799"/>
      <c r="AX530" s="799"/>
      <c r="AY530" s="799"/>
      <c r="AZ530" s="799"/>
      <c r="BA530" s="799"/>
      <c r="BB530" s="799"/>
      <c r="BC530" s="799"/>
      <c r="BD530" s="799"/>
      <c r="BE530" s="799"/>
      <c r="BF530" s="799"/>
      <c r="BG530" s="799"/>
    </row>
    <row r="531">
      <c r="H531" s="799"/>
      <c r="I531" s="799"/>
      <c r="J531" s="799"/>
      <c r="K531" s="799"/>
      <c r="L531" s="799"/>
      <c r="M531" s="799"/>
      <c r="N531" s="799"/>
      <c r="O531" s="799"/>
      <c r="P531" s="799"/>
      <c r="Q531" s="799"/>
      <c r="R531" s="799"/>
      <c r="S531" s="799"/>
      <c r="T531" s="799"/>
      <c r="U531" s="799"/>
      <c r="V531" s="799"/>
      <c r="W531" s="799"/>
      <c r="X531" s="799"/>
      <c r="Y531" s="799"/>
      <c r="Z531" s="799"/>
      <c r="AA531" s="799"/>
      <c r="AB531" s="799"/>
      <c r="AC531" s="799"/>
      <c r="AD531" s="799"/>
      <c r="AE531" s="799"/>
      <c r="AF531" s="799"/>
      <c r="AG531" s="799"/>
      <c r="AH531" s="799"/>
      <c r="AI531" s="799"/>
      <c r="AJ531" s="799"/>
      <c r="AK531" s="799"/>
      <c r="AL531" s="799"/>
      <c r="AM531" s="799"/>
      <c r="AN531" s="799"/>
      <c r="AO531" s="799"/>
      <c r="AP531" s="799"/>
      <c r="AQ531" s="799"/>
      <c r="AR531" s="799"/>
      <c r="AS531" s="799"/>
      <c r="AT531" s="799"/>
      <c r="AU531" s="799"/>
      <c r="AV531" s="799"/>
      <c r="AW531" s="799"/>
      <c r="AX531" s="799"/>
      <c r="AY531" s="799"/>
      <c r="AZ531" s="799"/>
      <c r="BA531" s="799"/>
      <c r="BB531" s="799"/>
      <c r="BC531" s="799"/>
      <c r="BD531" s="799"/>
      <c r="BE531" s="799"/>
      <c r="BF531" s="799"/>
      <c r="BG531" s="799"/>
    </row>
    <row r="532">
      <c r="H532" s="799"/>
      <c r="I532" s="799"/>
      <c r="J532" s="799"/>
      <c r="K532" s="799"/>
      <c r="L532" s="799"/>
      <c r="M532" s="799"/>
      <c r="N532" s="799"/>
      <c r="O532" s="799"/>
      <c r="P532" s="799"/>
      <c r="Q532" s="799"/>
      <c r="R532" s="799"/>
      <c r="S532" s="799"/>
      <c r="T532" s="799"/>
      <c r="U532" s="799"/>
      <c r="V532" s="799"/>
      <c r="W532" s="799"/>
      <c r="X532" s="799"/>
      <c r="Y532" s="799"/>
      <c r="Z532" s="799"/>
      <c r="AA532" s="799"/>
      <c r="AB532" s="799"/>
      <c r="AC532" s="799"/>
      <c r="AD532" s="799"/>
      <c r="AE532" s="799"/>
      <c r="AF532" s="799"/>
      <c r="AG532" s="799"/>
      <c r="AH532" s="799"/>
      <c r="AI532" s="799"/>
      <c r="AJ532" s="799"/>
      <c r="AK532" s="799"/>
      <c r="AL532" s="799"/>
      <c r="AM532" s="799"/>
      <c r="AN532" s="799"/>
      <c r="AO532" s="799"/>
      <c r="AP532" s="799"/>
      <c r="AQ532" s="799"/>
      <c r="AR532" s="799"/>
      <c r="AS532" s="799"/>
      <c r="AT532" s="799"/>
      <c r="AU532" s="799"/>
      <c r="AV532" s="799"/>
      <c r="AW532" s="799"/>
      <c r="AX532" s="799"/>
      <c r="AY532" s="799"/>
      <c r="AZ532" s="799"/>
      <c r="BA532" s="799"/>
      <c r="BB532" s="799"/>
      <c r="BC532" s="799"/>
      <c r="BD532" s="799"/>
      <c r="BE532" s="799"/>
      <c r="BF532" s="799"/>
      <c r="BG532" s="799"/>
    </row>
    <row r="533">
      <c r="H533" s="799"/>
      <c r="I533" s="799"/>
      <c r="J533" s="799"/>
      <c r="K533" s="799"/>
      <c r="L533" s="799"/>
      <c r="M533" s="799"/>
      <c r="N533" s="799"/>
      <c r="O533" s="799"/>
      <c r="P533" s="799"/>
      <c r="Q533" s="799"/>
      <c r="R533" s="799"/>
      <c r="S533" s="799"/>
      <c r="T533" s="799"/>
      <c r="U533" s="799"/>
      <c r="V533" s="799"/>
      <c r="W533" s="799"/>
      <c r="X533" s="799"/>
      <c r="Y533" s="799"/>
      <c r="Z533" s="799"/>
      <c r="AA533" s="799"/>
      <c r="AB533" s="799"/>
      <c r="AC533" s="799"/>
      <c r="AD533" s="799"/>
      <c r="AE533" s="799"/>
      <c r="AF533" s="799"/>
      <c r="AG533" s="799"/>
      <c r="AH533" s="799"/>
      <c r="AI533" s="799"/>
      <c r="AJ533" s="799"/>
      <c r="AK533" s="799"/>
      <c r="AL533" s="799"/>
      <c r="AM533" s="799"/>
      <c r="AN533" s="799"/>
      <c r="AO533" s="799"/>
      <c r="AP533" s="799"/>
      <c r="AQ533" s="799"/>
      <c r="AR533" s="799"/>
      <c r="AS533" s="799"/>
      <c r="AT533" s="799"/>
      <c r="AU533" s="799"/>
      <c r="AV533" s="799"/>
      <c r="AW533" s="799"/>
      <c r="AX533" s="799"/>
      <c r="AY533" s="799"/>
      <c r="AZ533" s="799"/>
      <c r="BA533" s="799"/>
      <c r="BB533" s="799"/>
      <c r="BC533" s="799"/>
      <c r="BD533" s="799"/>
      <c r="BE533" s="799"/>
      <c r="BF533" s="799"/>
      <c r="BG533" s="799"/>
    </row>
    <row r="534">
      <c r="H534" s="799"/>
      <c r="I534" s="799"/>
      <c r="J534" s="799"/>
      <c r="K534" s="799"/>
      <c r="L534" s="799"/>
      <c r="M534" s="799"/>
      <c r="N534" s="799"/>
      <c r="O534" s="799"/>
      <c r="P534" s="799"/>
      <c r="Q534" s="799"/>
      <c r="R534" s="799"/>
      <c r="S534" s="799"/>
      <c r="T534" s="799"/>
      <c r="U534" s="799"/>
      <c r="V534" s="799"/>
      <c r="W534" s="799"/>
      <c r="X534" s="799"/>
      <c r="Y534" s="799"/>
      <c r="Z534" s="799"/>
      <c r="AA534" s="799"/>
      <c r="AB534" s="799"/>
      <c r="AC534" s="799"/>
      <c r="AD534" s="799"/>
      <c r="AE534" s="799"/>
      <c r="AF534" s="799"/>
      <c r="AG534" s="799"/>
      <c r="AH534" s="799"/>
      <c r="AI534" s="799"/>
      <c r="AJ534" s="799"/>
      <c r="AK534" s="799"/>
      <c r="AL534" s="799"/>
      <c r="AM534" s="799"/>
      <c r="AN534" s="799"/>
      <c r="AO534" s="799"/>
      <c r="AP534" s="799"/>
      <c r="AQ534" s="799"/>
      <c r="AR534" s="799"/>
      <c r="AS534" s="799"/>
      <c r="AT534" s="799"/>
      <c r="AU534" s="799"/>
      <c r="AV534" s="799"/>
      <c r="AW534" s="799"/>
      <c r="AX534" s="799"/>
      <c r="AY534" s="799"/>
      <c r="AZ534" s="799"/>
      <c r="BA534" s="799"/>
      <c r="BB534" s="799"/>
      <c r="BC534" s="799"/>
      <c r="BD534" s="799"/>
      <c r="BE534" s="799"/>
      <c r="BF534" s="799"/>
      <c r="BG534" s="799"/>
    </row>
    <row r="535">
      <c r="H535" s="799"/>
      <c r="I535" s="799"/>
      <c r="J535" s="799"/>
      <c r="K535" s="799"/>
      <c r="L535" s="799"/>
      <c r="M535" s="799"/>
      <c r="N535" s="799"/>
      <c r="O535" s="799"/>
      <c r="P535" s="799"/>
      <c r="Q535" s="799"/>
      <c r="R535" s="799"/>
      <c r="S535" s="799"/>
      <c r="T535" s="799"/>
      <c r="U535" s="799"/>
      <c r="V535" s="799"/>
      <c r="W535" s="799"/>
      <c r="X535" s="799"/>
      <c r="Y535" s="799"/>
      <c r="Z535" s="799"/>
      <c r="AA535" s="799"/>
      <c r="AB535" s="799"/>
      <c r="AC535" s="799"/>
      <c r="AD535" s="799"/>
      <c r="AE535" s="799"/>
      <c r="AF535" s="799"/>
      <c r="AG535" s="799"/>
      <c r="AH535" s="799"/>
      <c r="AI535" s="799"/>
      <c r="AJ535" s="799"/>
      <c r="AK535" s="799"/>
      <c r="AL535" s="799"/>
      <c r="AM535" s="799"/>
      <c r="AN535" s="799"/>
      <c r="AO535" s="799"/>
      <c r="AP535" s="799"/>
      <c r="AQ535" s="799"/>
      <c r="AR535" s="799"/>
      <c r="AS535" s="799"/>
      <c r="AT535" s="799"/>
      <c r="AU535" s="799"/>
      <c r="AV535" s="799"/>
      <c r="AW535" s="799"/>
      <c r="AX535" s="799"/>
      <c r="AY535" s="799"/>
      <c r="AZ535" s="799"/>
      <c r="BA535" s="799"/>
      <c r="BB535" s="799"/>
      <c r="BC535" s="799"/>
      <c r="BD535" s="799"/>
      <c r="BE535" s="799"/>
      <c r="BF535" s="799"/>
      <c r="BG535" s="799"/>
    </row>
    <row r="536">
      <c r="H536" s="799"/>
      <c r="I536" s="799"/>
      <c r="J536" s="799"/>
      <c r="K536" s="799"/>
      <c r="L536" s="799"/>
      <c r="M536" s="799"/>
      <c r="N536" s="799"/>
      <c r="O536" s="799"/>
      <c r="P536" s="799"/>
      <c r="Q536" s="799"/>
      <c r="R536" s="799"/>
      <c r="S536" s="799"/>
      <c r="T536" s="799"/>
      <c r="U536" s="799"/>
      <c r="V536" s="799"/>
      <c r="W536" s="799"/>
      <c r="X536" s="799"/>
      <c r="Y536" s="799"/>
      <c r="Z536" s="799"/>
      <c r="AA536" s="799"/>
      <c r="AB536" s="799"/>
      <c r="AC536" s="799"/>
      <c r="AD536" s="799"/>
      <c r="AE536" s="799"/>
      <c r="AF536" s="799"/>
      <c r="AG536" s="799"/>
      <c r="AH536" s="799"/>
      <c r="AI536" s="799"/>
      <c r="AJ536" s="799"/>
      <c r="AK536" s="799"/>
      <c r="AL536" s="799"/>
      <c r="AM536" s="799"/>
      <c r="AN536" s="799"/>
      <c r="AO536" s="799"/>
      <c r="AP536" s="799"/>
      <c r="AQ536" s="799"/>
      <c r="AR536" s="799"/>
      <c r="AS536" s="799"/>
      <c r="AT536" s="799"/>
      <c r="AU536" s="799"/>
      <c r="AV536" s="799"/>
      <c r="AW536" s="799"/>
      <c r="AX536" s="799"/>
      <c r="AY536" s="799"/>
      <c r="AZ536" s="799"/>
      <c r="BA536" s="799"/>
      <c r="BB536" s="799"/>
      <c r="BC536" s="799"/>
      <c r="BD536" s="799"/>
      <c r="BE536" s="799"/>
      <c r="BF536" s="799"/>
      <c r="BG536" s="799"/>
    </row>
    <row r="537">
      <c r="H537" s="799"/>
      <c r="I537" s="799"/>
      <c r="J537" s="799"/>
      <c r="K537" s="799"/>
      <c r="L537" s="799"/>
      <c r="M537" s="799"/>
      <c r="N537" s="799"/>
      <c r="O537" s="799"/>
      <c r="P537" s="799"/>
      <c r="Q537" s="799"/>
      <c r="R537" s="799"/>
      <c r="S537" s="799"/>
      <c r="T537" s="799"/>
      <c r="U537" s="799"/>
      <c r="V537" s="799"/>
      <c r="W537" s="799"/>
      <c r="X537" s="799"/>
      <c r="Y537" s="799"/>
      <c r="Z537" s="799"/>
      <c r="AA537" s="799"/>
      <c r="AB537" s="799"/>
      <c r="AC537" s="799"/>
      <c r="AD537" s="799"/>
      <c r="AE537" s="799"/>
      <c r="AF537" s="799"/>
      <c r="AG537" s="799"/>
      <c r="AH537" s="799"/>
      <c r="AI537" s="799"/>
      <c r="AJ537" s="799"/>
      <c r="AK537" s="799"/>
      <c r="AL537" s="799"/>
      <c r="AM537" s="799"/>
      <c r="AN537" s="799"/>
      <c r="AO537" s="799"/>
      <c r="AP537" s="799"/>
      <c r="AQ537" s="799"/>
      <c r="AR537" s="799"/>
      <c r="AS537" s="799"/>
      <c r="AT537" s="799"/>
      <c r="AU537" s="799"/>
      <c r="AV537" s="799"/>
      <c r="AW537" s="799"/>
      <c r="AX537" s="799"/>
      <c r="AY537" s="799"/>
      <c r="AZ537" s="799"/>
      <c r="BA537" s="799"/>
      <c r="BB537" s="799"/>
      <c r="BC537" s="799"/>
      <c r="BD537" s="799"/>
      <c r="BE537" s="799"/>
      <c r="BF537" s="799"/>
      <c r="BG537" s="799"/>
    </row>
    <row r="538">
      <c r="H538" s="799"/>
      <c r="I538" s="799"/>
      <c r="J538" s="799"/>
      <c r="K538" s="799"/>
      <c r="L538" s="799"/>
      <c r="M538" s="799"/>
      <c r="N538" s="799"/>
      <c r="O538" s="799"/>
      <c r="P538" s="799"/>
      <c r="Q538" s="799"/>
      <c r="R538" s="799"/>
      <c r="S538" s="799"/>
      <c r="T538" s="799"/>
      <c r="U538" s="799"/>
      <c r="V538" s="799"/>
      <c r="W538" s="799"/>
      <c r="X538" s="799"/>
      <c r="Y538" s="799"/>
      <c r="Z538" s="799"/>
      <c r="AA538" s="799"/>
      <c r="AB538" s="799"/>
      <c r="AC538" s="799"/>
      <c r="AD538" s="799"/>
      <c r="AE538" s="799"/>
      <c r="AF538" s="799"/>
      <c r="AG538" s="799"/>
      <c r="AH538" s="799"/>
      <c r="AI538" s="799"/>
      <c r="AJ538" s="799"/>
      <c r="AK538" s="799"/>
      <c r="AL538" s="799"/>
      <c r="AM538" s="799"/>
      <c r="AN538" s="799"/>
      <c r="AO538" s="799"/>
      <c r="AP538" s="799"/>
      <c r="AQ538" s="799"/>
      <c r="AR538" s="799"/>
      <c r="AS538" s="799"/>
      <c r="AT538" s="799"/>
      <c r="AU538" s="799"/>
      <c r="AV538" s="799"/>
      <c r="AW538" s="799"/>
      <c r="AX538" s="799"/>
      <c r="AY538" s="799"/>
      <c r="AZ538" s="799"/>
      <c r="BA538" s="799"/>
      <c r="BB538" s="799"/>
      <c r="BC538" s="799"/>
      <c r="BD538" s="799"/>
      <c r="BE538" s="799"/>
      <c r="BF538" s="799"/>
      <c r="BG538" s="799"/>
    </row>
    <row r="539">
      <c r="H539" s="799"/>
      <c r="I539" s="799"/>
      <c r="J539" s="799"/>
      <c r="K539" s="799"/>
      <c r="L539" s="799"/>
      <c r="M539" s="799"/>
      <c r="N539" s="799"/>
      <c r="O539" s="799"/>
      <c r="P539" s="799"/>
      <c r="Q539" s="799"/>
      <c r="R539" s="799"/>
      <c r="S539" s="799"/>
      <c r="T539" s="799"/>
      <c r="U539" s="799"/>
      <c r="V539" s="799"/>
      <c r="W539" s="799"/>
      <c r="X539" s="799"/>
      <c r="Y539" s="799"/>
      <c r="Z539" s="799"/>
      <c r="AA539" s="799"/>
      <c r="AB539" s="799"/>
      <c r="AC539" s="799"/>
      <c r="AD539" s="799"/>
      <c r="AE539" s="799"/>
      <c r="AF539" s="799"/>
      <c r="AG539" s="799"/>
      <c r="AH539" s="799"/>
      <c r="AI539" s="799"/>
      <c r="AJ539" s="799"/>
      <c r="AK539" s="799"/>
      <c r="AL539" s="799"/>
      <c r="AM539" s="799"/>
      <c r="AN539" s="799"/>
      <c r="AO539" s="799"/>
      <c r="AP539" s="799"/>
      <c r="AQ539" s="799"/>
      <c r="AR539" s="799"/>
      <c r="AS539" s="799"/>
      <c r="AT539" s="799"/>
      <c r="AU539" s="799"/>
      <c r="AV539" s="799"/>
      <c r="AW539" s="799"/>
      <c r="AX539" s="799"/>
      <c r="AY539" s="799"/>
      <c r="AZ539" s="799"/>
      <c r="BA539" s="799"/>
      <c r="BB539" s="799"/>
      <c r="BC539" s="799"/>
      <c r="BD539" s="799"/>
      <c r="BE539" s="799"/>
      <c r="BF539" s="799"/>
      <c r="BG539" s="799"/>
    </row>
    <row r="540">
      <c r="H540" s="799"/>
      <c r="I540" s="799"/>
      <c r="J540" s="799"/>
      <c r="K540" s="799"/>
      <c r="L540" s="799"/>
      <c r="M540" s="799"/>
      <c r="N540" s="799"/>
      <c r="O540" s="799"/>
      <c r="P540" s="799"/>
      <c r="Q540" s="799"/>
      <c r="R540" s="799"/>
      <c r="S540" s="799"/>
      <c r="T540" s="799"/>
      <c r="U540" s="799"/>
      <c r="V540" s="799"/>
      <c r="W540" s="799"/>
      <c r="X540" s="799"/>
      <c r="Y540" s="799"/>
      <c r="Z540" s="799"/>
      <c r="AA540" s="799"/>
      <c r="AB540" s="799"/>
      <c r="AC540" s="799"/>
      <c r="AD540" s="799"/>
      <c r="AE540" s="799"/>
      <c r="AF540" s="799"/>
      <c r="AG540" s="799"/>
      <c r="AH540" s="799"/>
      <c r="AI540" s="799"/>
      <c r="AJ540" s="799"/>
      <c r="AK540" s="799"/>
      <c r="AL540" s="799"/>
      <c r="AM540" s="799"/>
      <c r="AN540" s="799"/>
      <c r="AO540" s="799"/>
      <c r="AP540" s="799"/>
      <c r="AQ540" s="799"/>
      <c r="AR540" s="799"/>
      <c r="AS540" s="799"/>
      <c r="AT540" s="799"/>
      <c r="AU540" s="799"/>
      <c r="AV540" s="799"/>
      <c r="AW540" s="799"/>
      <c r="AX540" s="799"/>
      <c r="AY540" s="799"/>
      <c r="AZ540" s="799"/>
      <c r="BA540" s="799"/>
      <c r="BB540" s="799"/>
      <c r="BC540" s="799"/>
      <c r="BD540" s="799"/>
      <c r="BE540" s="799"/>
      <c r="BF540" s="799"/>
      <c r="BG540" s="799"/>
    </row>
    <row r="541">
      <c r="H541" s="799"/>
      <c r="I541" s="799"/>
      <c r="J541" s="799"/>
      <c r="K541" s="799"/>
      <c r="L541" s="799"/>
      <c r="M541" s="799"/>
      <c r="N541" s="799"/>
      <c r="O541" s="799"/>
      <c r="P541" s="799"/>
      <c r="Q541" s="799"/>
      <c r="R541" s="799"/>
      <c r="S541" s="799"/>
      <c r="T541" s="799"/>
      <c r="U541" s="799"/>
      <c r="V541" s="799"/>
      <c r="W541" s="799"/>
      <c r="X541" s="799"/>
      <c r="Y541" s="799"/>
      <c r="Z541" s="799"/>
      <c r="AA541" s="799"/>
      <c r="AB541" s="799"/>
      <c r="AC541" s="799"/>
      <c r="AD541" s="799"/>
      <c r="AE541" s="799"/>
      <c r="AF541" s="799"/>
      <c r="AG541" s="799"/>
      <c r="AH541" s="799"/>
      <c r="AI541" s="799"/>
      <c r="AJ541" s="799"/>
      <c r="AK541" s="799"/>
      <c r="AL541" s="799"/>
      <c r="AM541" s="799"/>
      <c r="AN541" s="799"/>
      <c r="AO541" s="799"/>
      <c r="AP541" s="799"/>
      <c r="AQ541" s="799"/>
      <c r="AR541" s="799"/>
      <c r="AS541" s="799"/>
      <c r="AT541" s="799"/>
      <c r="AU541" s="799"/>
      <c r="AV541" s="799"/>
      <c r="AW541" s="799"/>
      <c r="AX541" s="799"/>
      <c r="AY541" s="799"/>
      <c r="AZ541" s="799"/>
      <c r="BA541" s="799"/>
      <c r="BB541" s="799"/>
      <c r="BC541" s="799"/>
      <c r="BD541" s="799"/>
      <c r="BE541" s="799"/>
      <c r="BF541" s="799"/>
      <c r="BG541" s="799"/>
    </row>
    <row r="542">
      <c r="H542" s="799"/>
      <c r="I542" s="799"/>
      <c r="J542" s="799"/>
      <c r="K542" s="799"/>
      <c r="L542" s="799"/>
      <c r="M542" s="799"/>
      <c r="N542" s="799"/>
      <c r="O542" s="799"/>
      <c r="P542" s="799"/>
      <c r="Q542" s="799"/>
      <c r="R542" s="799"/>
      <c r="S542" s="799"/>
      <c r="T542" s="799"/>
      <c r="U542" s="799"/>
      <c r="V542" s="799"/>
      <c r="W542" s="799"/>
      <c r="X542" s="799"/>
      <c r="Y542" s="799"/>
      <c r="Z542" s="799"/>
      <c r="AA542" s="799"/>
      <c r="AB542" s="799"/>
      <c r="AC542" s="799"/>
      <c r="AD542" s="799"/>
      <c r="AE542" s="799"/>
      <c r="AF542" s="799"/>
      <c r="AG542" s="799"/>
      <c r="AH542" s="799"/>
      <c r="AI542" s="799"/>
      <c r="AJ542" s="799"/>
      <c r="AK542" s="799"/>
      <c r="AL542" s="799"/>
      <c r="AM542" s="799"/>
      <c r="AN542" s="799"/>
      <c r="AO542" s="799"/>
      <c r="AP542" s="799"/>
      <c r="AQ542" s="799"/>
      <c r="AR542" s="799"/>
      <c r="AS542" s="799"/>
      <c r="AT542" s="799"/>
      <c r="AU542" s="799"/>
      <c r="AV542" s="799"/>
      <c r="AW542" s="799"/>
      <c r="AX542" s="799"/>
      <c r="AY542" s="799"/>
      <c r="AZ542" s="799"/>
      <c r="BA542" s="799"/>
      <c r="BB542" s="799"/>
      <c r="BC542" s="799"/>
      <c r="BD542" s="799"/>
      <c r="BE542" s="799"/>
      <c r="BF542" s="799"/>
      <c r="BG542" s="799"/>
    </row>
    <row r="543">
      <c r="H543" s="799"/>
      <c r="I543" s="799"/>
      <c r="J543" s="799"/>
      <c r="K543" s="799"/>
      <c r="L543" s="799"/>
      <c r="M543" s="799"/>
      <c r="N543" s="799"/>
      <c r="O543" s="799"/>
      <c r="P543" s="799"/>
      <c r="Q543" s="799"/>
      <c r="R543" s="799"/>
      <c r="S543" s="799"/>
      <c r="T543" s="799"/>
      <c r="U543" s="799"/>
      <c r="V543" s="799"/>
      <c r="W543" s="799"/>
      <c r="X543" s="799"/>
      <c r="Y543" s="799"/>
      <c r="Z543" s="799"/>
      <c r="AA543" s="799"/>
      <c r="AB543" s="799"/>
      <c r="AC543" s="799"/>
      <c r="AD543" s="799"/>
      <c r="AE543" s="799"/>
      <c r="AF543" s="799"/>
      <c r="AG543" s="799"/>
      <c r="AH543" s="799"/>
      <c r="AI543" s="799"/>
      <c r="AJ543" s="799"/>
      <c r="AK543" s="799"/>
      <c r="AL543" s="799"/>
      <c r="AM543" s="799"/>
      <c r="AN543" s="799"/>
      <c r="AO543" s="799"/>
      <c r="AP543" s="799"/>
      <c r="AQ543" s="799"/>
      <c r="AR543" s="799"/>
      <c r="AS543" s="799"/>
      <c r="AT543" s="799"/>
      <c r="AU543" s="799"/>
      <c r="AV543" s="799"/>
      <c r="AW543" s="799"/>
      <c r="AX543" s="799"/>
      <c r="AY543" s="799"/>
      <c r="AZ543" s="799"/>
      <c r="BA543" s="799"/>
      <c r="BB543" s="799"/>
      <c r="BC543" s="799"/>
      <c r="BD543" s="799"/>
      <c r="BE543" s="799"/>
      <c r="BF543" s="799"/>
      <c r="BG543" s="799"/>
    </row>
    <row r="544">
      <c r="H544" s="799"/>
      <c r="I544" s="799"/>
      <c r="J544" s="799"/>
      <c r="K544" s="799"/>
      <c r="L544" s="799"/>
      <c r="M544" s="799"/>
      <c r="N544" s="799"/>
      <c r="O544" s="799"/>
      <c r="P544" s="799"/>
      <c r="Q544" s="799"/>
      <c r="R544" s="799"/>
      <c r="S544" s="799"/>
      <c r="T544" s="799"/>
      <c r="U544" s="799"/>
      <c r="V544" s="799"/>
      <c r="W544" s="799"/>
      <c r="X544" s="799"/>
      <c r="Y544" s="799"/>
      <c r="Z544" s="799"/>
      <c r="AA544" s="799"/>
      <c r="AB544" s="799"/>
      <c r="AC544" s="799"/>
      <c r="AD544" s="799"/>
      <c r="AE544" s="799"/>
      <c r="AF544" s="799"/>
      <c r="AG544" s="799"/>
      <c r="AH544" s="799"/>
      <c r="AI544" s="799"/>
      <c r="AJ544" s="799"/>
      <c r="AK544" s="799"/>
      <c r="AL544" s="799"/>
      <c r="AM544" s="799"/>
      <c r="AN544" s="799"/>
      <c r="AO544" s="799"/>
      <c r="AP544" s="799"/>
      <c r="AQ544" s="799"/>
      <c r="AR544" s="799"/>
      <c r="AS544" s="799"/>
      <c r="AT544" s="799"/>
      <c r="AU544" s="799"/>
      <c r="AV544" s="799"/>
      <c r="AW544" s="799"/>
      <c r="AX544" s="799"/>
      <c r="AY544" s="799"/>
      <c r="AZ544" s="799"/>
      <c r="BA544" s="799"/>
      <c r="BB544" s="799"/>
      <c r="BC544" s="799"/>
      <c r="BD544" s="799"/>
      <c r="BE544" s="799"/>
      <c r="BF544" s="799"/>
      <c r="BG544" s="799"/>
    </row>
    <row r="545">
      <c r="H545" s="799"/>
      <c r="I545" s="799"/>
      <c r="J545" s="799"/>
      <c r="K545" s="799"/>
      <c r="L545" s="799"/>
      <c r="M545" s="799"/>
      <c r="N545" s="799"/>
      <c r="O545" s="799"/>
      <c r="P545" s="799"/>
      <c r="Q545" s="799"/>
      <c r="R545" s="799"/>
      <c r="S545" s="799"/>
      <c r="T545" s="799"/>
      <c r="U545" s="799"/>
      <c r="V545" s="799"/>
      <c r="W545" s="799"/>
      <c r="X545" s="799"/>
      <c r="Y545" s="799"/>
      <c r="Z545" s="799"/>
      <c r="AA545" s="799"/>
      <c r="AB545" s="799"/>
      <c r="AC545" s="799"/>
      <c r="AD545" s="799"/>
      <c r="AE545" s="799"/>
      <c r="AF545" s="799"/>
      <c r="AG545" s="799"/>
      <c r="AH545" s="799"/>
      <c r="AI545" s="799"/>
      <c r="AJ545" s="799"/>
      <c r="AK545" s="799"/>
      <c r="AL545" s="799"/>
      <c r="AM545" s="799"/>
      <c r="AN545" s="799"/>
      <c r="AO545" s="799"/>
      <c r="AP545" s="799"/>
      <c r="AQ545" s="799"/>
      <c r="AR545" s="799"/>
      <c r="AS545" s="799"/>
      <c r="AT545" s="799"/>
      <c r="AU545" s="799"/>
      <c r="AV545" s="799"/>
      <c r="AW545" s="799"/>
      <c r="AX545" s="799"/>
      <c r="AY545" s="799"/>
      <c r="AZ545" s="799"/>
      <c r="BA545" s="799"/>
      <c r="BB545" s="799"/>
      <c r="BC545" s="799"/>
      <c r="BD545" s="799"/>
      <c r="BE545" s="799"/>
      <c r="BF545" s="799"/>
      <c r="BG545" s="799"/>
    </row>
    <row r="546">
      <c r="H546" s="799"/>
      <c r="I546" s="799"/>
      <c r="J546" s="799"/>
      <c r="K546" s="799"/>
      <c r="L546" s="799"/>
      <c r="M546" s="799"/>
      <c r="N546" s="799"/>
      <c r="O546" s="799"/>
      <c r="P546" s="799"/>
      <c r="Q546" s="799"/>
      <c r="R546" s="799"/>
      <c r="S546" s="799"/>
      <c r="T546" s="799"/>
      <c r="U546" s="799"/>
      <c r="V546" s="799"/>
      <c r="W546" s="799"/>
      <c r="X546" s="799"/>
      <c r="Y546" s="799"/>
      <c r="Z546" s="799"/>
      <c r="AA546" s="799"/>
      <c r="AB546" s="799"/>
      <c r="AC546" s="799"/>
      <c r="AD546" s="799"/>
      <c r="AE546" s="799"/>
      <c r="AF546" s="799"/>
      <c r="AG546" s="799"/>
      <c r="AH546" s="799"/>
      <c r="AI546" s="799"/>
      <c r="AJ546" s="799"/>
      <c r="AK546" s="799"/>
      <c r="AL546" s="799"/>
      <c r="AM546" s="799"/>
      <c r="AN546" s="799"/>
      <c r="AO546" s="799"/>
      <c r="AP546" s="799"/>
      <c r="AQ546" s="799"/>
      <c r="AR546" s="799"/>
      <c r="AS546" s="799"/>
      <c r="AT546" s="799"/>
      <c r="AU546" s="799"/>
      <c r="AV546" s="799"/>
      <c r="AW546" s="799"/>
      <c r="AX546" s="799"/>
      <c r="AY546" s="799"/>
      <c r="AZ546" s="799"/>
      <c r="BA546" s="799"/>
      <c r="BB546" s="799"/>
      <c r="BC546" s="799"/>
      <c r="BD546" s="799"/>
      <c r="BE546" s="799"/>
      <c r="BF546" s="799"/>
      <c r="BG546" s="799"/>
    </row>
    <row r="547">
      <c r="H547" s="799"/>
      <c r="I547" s="799"/>
      <c r="J547" s="799"/>
      <c r="K547" s="799"/>
      <c r="L547" s="799"/>
      <c r="M547" s="799"/>
      <c r="N547" s="799"/>
      <c r="O547" s="799"/>
      <c r="P547" s="799"/>
      <c r="Q547" s="799"/>
      <c r="R547" s="799"/>
      <c r="S547" s="799"/>
      <c r="T547" s="799"/>
      <c r="U547" s="799"/>
      <c r="V547" s="799"/>
      <c r="W547" s="799"/>
      <c r="X547" s="799"/>
      <c r="Y547" s="799"/>
      <c r="Z547" s="799"/>
      <c r="AA547" s="799"/>
      <c r="AB547" s="799"/>
      <c r="AC547" s="799"/>
      <c r="AD547" s="799"/>
      <c r="AE547" s="799"/>
      <c r="AF547" s="799"/>
      <c r="AG547" s="799"/>
      <c r="AH547" s="799"/>
      <c r="AI547" s="799"/>
      <c r="AJ547" s="799"/>
      <c r="AK547" s="799"/>
      <c r="AL547" s="799"/>
      <c r="AM547" s="799"/>
      <c r="AN547" s="799"/>
      <c r="AO547" s="799"/>
      <c r="AP547" s="799"/>
      <c r="AQ547" s="799"/>
      <c r="AR547" s="799"/>
      <c r="AS547" s="799"/>
      <c r="AT547" s="799"/>
      <c r="AU547" s="799"/>
      <c r="AV547" s="799"/>
      <c r="AW547" s="799"/>
      <c r="AX547" s="799"/>
      <c r="AY547" s="799"/>
      <c r="AZ547" s="799"/>
      <c r="BA547" s="799"/>
      <c r="BB547" s="799"/>
      <c r="BC547" s="799"/>
      <c r="BD547" s="799"/>
      <c r="BE547" s="799"/>
      <c r="BF547" s="799"/>
      <c r="BG547" s="799"/>
    </row>
    <row r="548">
      <c r="H548" s="799"/>
      <c r="I548" s="799"/>
      <c r="J548" s="799"/>
      <c r="K548" s="799"/>
      <c r="L548" s="799"/>
      <c r="M548" s="799"/>
      <c r="N548" s="799"/>
      <c r="O548" s="799"/>
      <c r="P548" s="799"/>
      <c r="Q548" s="799"/>
      <c r="R548" s="799"/>
      <c r="S548" s="799"/>
      <c r="T548" s="799"/>
      <c r="U548" s="799"/>
      <c r="V548" s="799"/>
      <c r="W548" s="799"/>
      <c r="X548" s="799"/>
      <c r="Y548" s="799"/>
      <c r="Z548" s="799"/>
      <c r="AA548" s="799"/>
      <c r="AB548" s="799"/>
      <c r="AC548" s="799"/>
      <c r="AD548" s="799"/>
      <c r="AE548" s="799"/>
      <c r="AF548" s="799"/>
      <c r="AG548" s="799"/>
      <c r="AH548" s="799"/>
      <c r="AI548" s="799"/>
      <c r="AJ548" s="799"/>
      <c r="AK548" s="799"/>
      <c r="AL548" s="799"/>
      <c r="AM548" s="799"/>
      <c r="AN548" s="799"/>
      <c r="AO548" s="799"/>
      <c r="AP548" s="799"/>
      <c r="AQ548" s="799"/>
      <c r="AR548" s="799"/>
      <c r="AS548" s="799"/>
      <c r="AT548" s="799"/>
      <c r="AU548" s="799"/>
      <c r="AV548" s="799"/>
      <c r="AW548" s="799"/>
      <c r="AX548" s="799"/>
      <c r="AY548" s="799"/>
      <c r="AZ548" s="799"/>
      <c r="BA548" s="799"/>
      <c r="BB548" s="799"/>
      <c r="BC548" s="799"/>
      <c r="BD548" s="799"/>
      <c r="BE548" s="799"/>
      <c r="BF548" s="799"/>
      <c r="BG548" s="799"/>
    </row>
    <row r="549">
      <c r="H549" s="799"/>
      <c r="I549" s="799"/>
      <c r="J549" s="799"/>
      <c r="K549" s="799"/>
      <c r="L549" s="799"/>
      <c r="M549" s="799"/>
      <c r="N549" s="799"/>
      <c r="O549" s="799"/>
      <c r="P549" s="799"/>
      <c r="Q549" s="799"/>
      <c r="R549" s="799"/>
      <c r="S549" s="799"/>
      <c r="T549" s="799"/>
      <c r="U549" s="799"/>
      <c r="V549" s="799"/>
      <c r="W549" s="799"/>
      <c r="X549" s="799"/>
      <c r="Y549" s="799"/>
      <c r="Z549" s="799"/>
      <c r="AA549" s="799"/>
      <c r="AB549" s="799"/>
      <c r="AC549" s="799"/>
      <c r="AD549" s="799"/>
      <c r="AE549" s="799"/>
      <c r="AF549" s="799"/>
      <c r="AG549" s="799"/>
      <c r="AH549" s="799"/>
      <c r="AI549" s="799"/>
      <c r="AJ549" s="799"/>
      <c r="AK549" s="799"/>
      <c r="AL549" s="799"/>
      <c r="AM549" s="799"/>
      <c r="AN549" s="799"/>
      <c r="AO549" s="799"/>
      <c r="AP549" s="799"/>
      <c r="AQ549" s="799"/>
      <c r="AR549" s="799"/>
      <c r="AS549" s="799"/>
      <c r="AT549" s="799"/>
      <c r="AU549" s="799"/>
      <c r="AV549" s="799"/>
      <c r="AW549" s="799"/>
      <c r="AX549" s="799"/>
      <c r="AY549" s="799"/>
      <c r="AZ549" s="799"/>
      <c r="BA549" s="799"/>
      <c r="BB549" s="799"/>
      <c r="BC549" s="799"/>
      <c r="BD549" s="799"/>
      <c r="BE549" s="799"/>
      <c r="BF549" s="799"/>
      <c r="BG549" s="799"/>
    </row>
    <row r="550">
      <c r="H550" s="799"/>
      <c r="I550" s="799"/>
      <c r="J550" s="799"/>
      <c r="K550" s="799"/>
      <c r="L550" s="799"/>
      <c r="M550" s="799"/>
      <c r="N550" s="799"/>
      <c r="O550" s="799"/>
      <c r="P550" s="799"/>
      <c r="Q550" s="799"/>
      <c r="R550" s="799"/>
      <c r="S550" s="799"/>
      <c r="T550" s="799"/>
      <c r="U550" s="799"/>
      <c r="V550" s="799"/>
      <c r="W550" s="799"/>
      <c r="X550" s="799"/>
      <c r="Y550" s="799"/>
      <c r="Z550" s="799"/>
      <c r="AA550" s="799"/>
      <c r="AB550" s="799"/>
      <c r="AC550" s="799"/>
      <c r="AD550" s="799"/>
      <c r="AE550" s="799"/>
      <c r="AF550" s="799"/>
      <c r="AG550" s="799"/>
      <c r="AH550" s="799"/>
      <c r="AI550" s="799"/>
      <c r="AJ550" s="799"/>
      <c r="AK550" s="799"/>
      <c r="AL550" s="799"/>
      <c r="AM550" s="799"/>
      <c r="AN550" s="799"/>
      <c r="AO550" s="799"/>
      <c r="AP550" s="799"/>
      <c r="AQ550" s="799"/>
      <c r="AR550" s="799"/>
      <c r="AS550" s="799"/>
      <c r="AT550" s="799"/>
      <c r="AU550" s="799"/>
      <c r="AV550" s="799"/>
      <c r="AW550" s="799"/>
      <c r="AX550" s="799"/>
      <c r="AY550" s="799"/>
      <c r="AZ550" s="799"/>
      <c r="BA550" s="799"/>
      <c r="BB550" s="799"/>
      <c r="BC550" s="799"/>
      <c r="BD550" s="799"/>
      <c r="BE550" s="799"/>
      <c r="BF550" s="799"/>
      <c r="BG550" s="799"/>
    </row>
    <row r="551">
      <c r="H551" s="799"/>
      <c r="I551" s="799"/>
      <c r="J551" s="799"/>
      <c r="K551" s="799"/>
      <c r="L551" s="799"/>
      <c r="M551" s="799"/>
      <c r="N551" s="799"/>
      <c r="O551" s="799"/>
      <c r="P551" s="799"/>
      <c r="Q551" s="799"/>
      <c r="R551" s="799"/>
      <c r="S551" s="799"/>
      <c r="T551" s="799"/>
      <c r="U551" s="799"/>
      <c r="V551" s="799"/>
      <c r="W551" s="799"/>
      <c r="X551" s="799"/>
      <c r="Y551" s="799"/>
      <c r="Z551" s="799"/>
      <c r="AA551" s="799"/>
      <c r="AB551" s="799"/>
      <c r="AC551" s="799"/>
      <c r="AD551" s="799"/>
      <c r="AE551" s="799"/>
      <c r="AF551" s="799"/>
      <c r="AG551" s="799"/>
      <c r="AH551" s="799"/>
      <c r="AI551" s="799"/>
      <c r="AJ551" s="799"/>
      <c r="AK551" s="799"/>
      <c r="AL551" s="799"/>
      <c r="AM551" s="799"/>
      <c r="AN551" s="799"/>
      <c r="AO551" s="799"/>
      <c r="AP551" s="799"/>
      <c r="AQ551" s="799"/>
      <c r="AR551" s="799"/>
      <c r="AS551" s="799"/>
      <c r="AT551" s="799"/>
      <c r="AU551" s="799"/>
      <c r="AV551" s="799"/>
      <c r="AW551" s="799"/>
      <c r="AX551" s="799"/>
      <c r="AY551" s="799"/>
      <c r="AZ551" s="799"/>
      <c r="BA551" s="799"/>
      <c r="BB551" s="799"/>
      <c r="BC551" s="799"/>
      <c r="BD551" s="799"/>
      <c r="BE551" s="799"/>
      <c r="BF551" s="799"/>
      <c r="BG551" s="799"/>
    </row>
    <row r="552">
      <c r="H552" s="799"/>
      <c r="I552" s="799"/>
      <c r="J552" s="799"/>
      <c r="K552" s="799"/>
      <c r="L552" s="799"/>
      <c r="M552" s="799"/>
      <c r="N552" s="799"/>
      <c r="O552" s="799"/>
      <c r="P552" s="799"/>
      <c r="Q552" s="799"/>
      <c r="R552" s="799"/>
      <c r="S552" s="799"/>
      <c r="T552" s="799"/>
      <c r="U552" s="799"/>
      <c r="V552" s="799"/>
      <c r="W552" s="799"/>
      <c r="X552" s="799"/>
      <c r="Y552" s="799"/>
      <c r="Z552" s="799"/>
      <c r="AA552" s="799"/>
      <c r="AB552" s="799"/>
      <c r="AC552" s="799"/>
      <c r="AD552" s="799"/>
      <c r="AE552" s="799"/>
      <c r="AF552" s="799"/>
      <c r="AG552" s="799"/>
      <c r="AH552" s="799"/>
      <c r="AI552" s="799"/>
      <c r="AJ552" s="799"/>
      <c r="AK552" s="799"/>
      <c r="AL552" s="799"/>
      <c r="AM552" s="799"/>
      <c r="AN552" s="799"/>
      <c r="AO552" s="799"/>
      <c r="AP552" s="799"/>
      <c r="AQ552" s="799"/>
      <c r="AR552" s="799"/>
      <c r="AS552" s="799"/>
      <c r="AT552" s="799"/>
      <c r="AU552" s="799"/>
      <c r="AV552" s="799"/>
      <c r="AW552" s="799"/>
      <c r="AX552" s="799"/>
      <c r="AY552" s="799"/>
      <c r="AZ552" s="799"/>
      <c r="BA552" s="799"/>
      <c r="BB552" s="799"/>
      <c r="BC552" s="799"/>
      <c r="BD552" s="799"/>
      <c r="BE552" s="799"/>
      <c r="BF552" s="799"/>
      <c r="BG552" s="799"/>
    </row>
    <row r="553">
      <c r="H553" s="799"/>
      <c r="I553" s="799"/>
      <c r="J553" s="799"/>
      <c r="K553" s="799"/>
      <c r="L553" s="799"/>
      <c r="M553" s="799"/>
      <c r="N553" s="799"/>
      <c r="O553" s="799"/>
      <c r="P553" s="799"/>
      <c r="Q553" s="799"/>
      <c r="R553" s="799"/>
      <c r="S553" s="799"/>
      <c r="T553" s="799"/>
      <c r="U553" s="799"/>
      <c r="V553" s="799"/>
      <c r="W553" s="799"/>
      <c r="X553" s="799"/>
      <c r="Y553" s="799"/>
      <c r="Z553" s="799"/>
      <c r="AA553" s="799"/>
      <c r="AB553" s="799"/>
      <c r="AC553" s="799"/>
      <c r="AD553" s="799"/>
      <c r="AE553" s="799"/>
      <c r="AF553" s="799"/>
      <c r="AG553" s="799"/>
      <c r="AH553" s="799"/>
      <c r="AI553" s="799"/>
      <c r="AJ553" s="799"/>
      <c r="AK553" s="799"/>
      <c r="AL553" s="799"/>
      <c r="AM553" s="799"/>
      <c r="AN553" s="799"/>
      <c r="AO553" s="799"/>
      <c r="AP553" s="799"/>
      <c r="AQ553" s="799"/>
      <c r="AR553" s="799"/>
      <c r="AS553" s="799"/>
      <c r="AT553" s="799"/>
      <c r="AU553" s="799"/>
      <c r="AV553" s="799"/>
      <c r="AW553" s="799"/>
      <c r="AX553" s="799"/>
      <c r="AY553" s="799"/>
      <c r="AZ553" s="799"/>
      <c r="BA553" s="799"/>
      <c r="BB553" s="799"/>
      <c r="BC553" s="799"/>
      <c r="BD553" s="799"/>
      <c r="BE553" s="799"/>
      <c r="BF553" s="799"/>
      <c r="BG553" s="799"/>
    </row>
    <row r="554">
      <c r="H554" s="799"/>
      <c r="I554" s="799"/>
      <c r="J554" s="799"/>
      <c r="K554" s="799"/>
      <c r="L554" s="799"/>
      <c r="M554" s="799"/>
      <c r="N554" s="799"/>
      <c r="O554" s="799"/>
      <c r="P554" s="799"/>
      <c r="Q554" s="799"/>
      <c r="R554" s="799"/>
      <c r="S554" s="799"/>
      <c r="T554" s="799"/>
      <c r="U554" s="799"/>
      <c r="V554" s="799"/>
      <c r="W554" s="799"/>
      <c r="X554" s="799"/>
      <c r="Y554" s="799"/>
      <c r="Z554" s="799"/>
      <c r="AA554" s="799"/>
      <c r="AB554" s="799"/>
      <c r="AC554" s="799"/>
      <c r="AD554" s="799"/>
      <c r="AE554" s="799"/>
      <c r="AF554" s="799"/>
      <c r="AG554" s="799"/>
      <c r="AH554" s="799"/>
      <c r="AI554" s="799"/>
      <c r="AJ554" s="799"/>
      <c r="AK554" s="799"/>
      <c r="AL554" s="799"/>
      <c r="AM554" s="799"/>
      <c r="AN554" s="799"/>
      <c r="AO554" s="799"/>
      <c r="AP554" s="799"/>
      <c r="AQ554" s="799"/>
      <c r="AR554" s="799"/>
      <c r="AS554" s="799"/>
      <c r="AT554" s="799"/>
      <c r="AU554" s="799"/>
      <c r="AV554" s="799"/>
      <c r="AW554" s="799"/>
      <c r="AX554" s="799"/>
      <c r="AY554" s="799"/>
      <c r="AZ554" s="799"/>
      <c r="BA554" s="799"/>
      <c r="BB554" s="799"/>
      <c r="BC554" s="799"/>
      <c r="BD554" s="799"/>
      <c r="BE554" s="799"/>
      <c r="BF554" s="799"/>
      <c r="BG554" s="799"/>
    </row>
    <row r="555">
      <c r="H555" s="799"/>
      <c r="I555" s="799"/>
      <c r="J555" s="799"/>
      <c r="K555" s="799"/>
      <c r="L555" s="799"/>
      <c r="M555" s="799"/>
      <c r="N555" s="799"/>
      <c r="O555" s="799"/>
      <c r="P555" s="799"/>
      <c r="Q555" s="799"/>
      <c r="R555" s="799"/>
      <c r="S555" s="799"/>
      <c r="T555" s="799"/>
      <c r="U555" s="799"/>
      <c r="V555" s="799"/>
      <c r="W555" s="799"/>
      <c r="X555" s="799"/>
      <c r="Y555" s="799"/>
      <c r="Z555" s="799"/>
      <c r="AA555" s="799"/>
      <c r="AB555" s="799"/>
      <c r="AC555" s="799"/>
      <c r="AD555" s="799"/>
      <c r="AE555" s="799"/>
      <c r="AF555" s="799"/>
      <c r="AG555" s="799"/>
      <c r="AH555" s="799"/>
      <c r="AI555" s="799"/>
      <c r="AJ555" s="799"/>
      <c r="AK555" s="799"/>
      <c r="AL555" s="799"/>
      <c r="AM555" s="799"/>
      <c r="AN555" s="799"/>
      <c r="AO555" s="799"/>
      <c r="AP555" s="799"/>
      <c r="AQ555" s="799"/>
      <c r="AR555" s="799"/>
      <c r="AS555" s="799"/>
      <c r="AT555" s="799"/>
      <c r="AU555" s="799"/>
      <c r="AV555" s="799"/>
      <c r="AW555" s="799"/>
      <c r="AX555" s="799"/>
      <c r="AY555" s="799"/>
      <c r="AZ555" s="799"/>
      <c r="BA555" s="799"/>
      <c r="BB555" s="799"/>
      <c r="BC555" s="799"/>
      <c r="BD555" s="799"/>
      <c r="BE555" s="799"/>
      <c r="BF555" s="799"/>
      <c r="BG555" s="799"/>
    </row>
    <row r="556">
      <c r="H556" s="799"/>
      <c r="I556" s="799"/>
      <c r="J556" s="799"/>
      <c r="K556" s="799"/>
      <c r="L556" s="799"/>
      <c r="M556" s="799"/>
      <c r="N556" s="799"/>
      <c r="O556" s="799"/>
      <c r="P556" s="799"/>
      <c r="Q556" s="799"/>
      <c r="R556" s="799"/>
      <c r="S556" s="799"/>
      <c r="T556" s="799"/>
      <c r="U556" s="799"/>
      <c r="V556" s="799"/>
      <c r="W556" s="799"/>
      <c r="X556" s="799"/>
      <c r="Y556" s="799"/>
      <c r="Z556" s="799"/>
      <c r="AA556" s="799"/>
      <c r="AB556" s="799"/>
      <c r="AC556" s="799"/>
      <c r="AD556" s="799"/>
      <c r="AE556" s="799"/>
      <c r="AF556" s="799"/>
      <c r="AG556" s="799"/>
      <c r="AH556" s="799"/>
      <c r="AI556" s="799"/>
      <c r="AJ556" s="799"/>
      <c r="AK556" s="799"/>
      <c r="AL556" s="799"/>
      <c r="AM556" s="799"/>
      <c r="AN556" s="799"/>
      <c r="AO556" s="799"/>
      <c r="AP556" s="799"/>
      <c r="AQ556" s="799"/>
      <c r="AR556" s="799"/>
      <c r="AS556" s="799"/>
      <c r="AT556" s="799"/>
      <c r="AU556" s="799"/>
      <c r="AV556" s="799"/>
      <c r="AW556" s="799"/>
      <c r="AX556" s="799"/>
      <c r="AY556" s="799"/>
      <c r="AZ556" s="799"/>
      <c r="BA556" s="799"/>
      <c r="BB556" s="799"/>
      <c r="BC556" s="799"/>
      <c r="BD556" s="799"/>
      <c r="BE556" s="799"/>
      <c r="BF556" s="799"/>
      <c r="BG556" s="799"/>
    </row>
    <row r="557">
      <c r="H557" s="799"/>
      <c r="I557" s="799"/>
      <c r="J557" s="799"/>
      <c r="K557" s="799"/>
      <c r="L557" s="799"/>
      <c r="M557" s="799"/>
      <c r="N557" s="799"/>
      <c r="O557" s="799"/>
      <c r="P557" s="799"/>
      <c r="Q557" s="799"/>
      <c r="R557" s="799"/>
      <c r="S557" s="799"/>
      <c r="T557" s="799"/>
      <c r="U557" s="799"/>
      <c r="V557" s="799"/>
      <c r="W557" s="799"/>
      <c r="X557" s="799"/>
      <c r="Y557" s="799"/>
      <c r="Z557" s="799"/>
      <c r="AA557" s="799"/>
      <c r="AB557" s="799"/>
      <c r="AC557" s="799"/>
      <c r="AD557" s="799"/>
      <c r="AE557" s="799"/>
      <c r="AF557" s="799"/>
      <c r="AG557" s="799"/>
      <c r="AH557" s="799"/>
      <c r="AI557" s="799"/>
      <c r="AJ557" s="799"/>
      <c r="AK557" s="799"/>
      <c r="AL557" s="799"/>
      <c r="AM557" s="799"/>
      <c r="AN557" s="799"/>
      <c r="AO557" s="799"/>
      <c r="AP557" s="799"/>
      <c r="AQ557" s="799"/>
      <c r="AR557" s="799"/>
      <c r="AS557" s="799"/>
      <c r="AT557" s="799"/>
      <c r="AU557" s="799"/>
      <c r="AV557" s="799"/>
      <c r="AW557" s="799"/>
      <c r="AX557" s="799"/>
      <c r="AY557" s="799"/>
      <c r="AZ557" s="799"/>
      <c r="BA557" s="799"/>
      <c r="BB557" s="799"/>
      <c r="BC557" s="799"/>
      <c r="BD557" s="799"/>
      <c r="BE557" s="799"/>
      <c r="BF557" s="799"/>
      <c r="BG557" s="799"/>
    </row>
    <row r="558">
      <c r="H558" s="799"/>
      <c r="I558" s="799"/>
      <c r="J558" s="799"/>
      <c r="K558" s="799"/>
      <c r="L558" s="799"/>
      <c r="M558" s="799"/>
      <c r="N558" s="799"/>
      <c r="O558" s="799"/>
      <c r="P558" s="799"/>
      <c r="Q558" s="799"/>
      <c r="R558" s="799"/>
      <c r="S558" s="799"/>
      <c r="T558" s="799"/>
      <c r="U558" s="799"/>
      <c r="V558" s="799"/>
      <c r="W558" s="799"/>
      <c r="X558" s="799"/>
      <c r="Y558" s="799"/>
      <c r="Z558" s="799"/>
      <c r="AA558" s="799"/>
      <c r="AB558" s="799"/>
      <c r="AC558" s="799"/>
      <c r="AD558" s="799"/>
      <c r="AE558" s="799"/>
      <c r="AF558" s="799"/>
      <c r="AG558" s="799"/>
      <c r="AH558" s="799"/>
      <c r="AI558" s="799"/>
      <c r="AJ558" s="799"/>
      <c r="AK558" s="799"/>
      <c r="AL558" s="799"/>
      <c r="AM558" s="799"/>
      <c r="AN558" s="799"/>
      <c r="AO558" s="799"/>
      <c r="AP558" s="799"/>
      <c r="AQ558" s="799"/>
      <c r="AR558" s="799"/>
      <c r="AS558" s="799"/>
      <c r="AT558" s="799"/>
      <c r="AU558" s="799"/>
      <c r="AV558" s="799"/>
      <c r="AW558" s="799"/>
      <c r="AX558" s="799"/>
      <c r="AY558" s="799"/>
      <c r="AZ558" s="799"/>
      <c r="BA558" s="799"/>
      <c r="BB558" s="799"/>
      <c r="BC558" s="799"/>
      <c r="BD558" s="799"/>
      <c r="BE558" s="799"/>
      <c r="BF558" s="799"/>
      <c r="BG558" s="799"/>
    </row>
    <row r="559">
      <c r="H559" s="799"/>
      <c r="I559" s="799"/>
      <c r="J559" s="799"/>
      <c r="K559" s="799"/>
      <c r="L559" s="799"/>
      <c r="M559" s="799"/>
      <c r="N559" s="799"/>
      <c r="O559" s="799"/>
      <c r="P559" s="799"/>
      <c r="Q559" s="799"/>
      <c r="R559" s="799"/>
      <c r="S559" s="799"/>
      <c r="T559" s="799"/>
      <c r="U559" s="799"/>
      <c r="V559" s="799"/>
      <c r="W559" s="799"/>
      <c r="X559" s="799"/>
      <c r="Y559" s="799"/>
      <c r="Z559" s="799"/>
      <c r="AA559" s="799"/>
      <c r="AB559" s="799"/>
      <c r="AC559" s="799"/>
      <c r="AD559" s="799"/>
      <c r="AE559" s="799"/>
      <c r="AF559" s="799"/>
      <c r="AG559" s="799"/>
      <c r="AH559" s="799"/>
      <c r="AI559" s="799"/>
      <c r="AJ559" s="799"/>
      <c r="AK559" s="799"/>
      <c r="AL559" s="799"/>
      <c r="AM559" s="799"/>
      <c r="AN559" s="799"/>
      <c r="AO559" s="799"/>
      <c r="AP559" s="799"/>
      <c r="AQ559" s="799"/>
      <c r="AR559" s="799"/>
      <c r="AS559" s="799"/>
      <c r="AT559" s="799"/>
      <c r="AU559" s="799"/>
      <c r="AV559" s="799"/>
      <c r="AW559" s="799"/>
      <c r="AX559" s="799"/>
      <c r="AY559" s="799"/>
      <c r="AZ559" s="799"/>
      <c r="BA559" s="799"/>
      <c r="BB559" s="799"/>
      <c r="BC559" s="799"/>
      <c r="BD559" s="799"/>
      <c r="BE559" s="799"/>
      <c r="BF559" s="799"/>
      <c r="BG559" s="799"/>
    </row>
    <row r="560">
      <c r="H560" s="799"/>
      <c r="I560" s="799"/>
      <c r="J560" s="799"/>
      <c r="K560" s="799"/>
      <c r="L560" s="799"/>
      <c r="M560" s="799"/>
      <c r="N560" s="799"/>
      <c r="O560" s="799"/>
      <c r="P560" s="799"/>
      <c r="Q560" s="799"/>
      <c r="R560" s="799"/>
      <c r="S560" s="799"/>
      <c r="T560" s="799"/>
      <c r="U560" s="799"/>
      <c r="V560" s="799"/>
      <c r="W560" s="799"/>
      <c r="X560" s="799"/>
      <c r="Y560" s="799"/>
      <c r="Z560" s="799"/>
      <c r="AA560" s="799"/>
      <c r="AB560" s="799"/>
      <c r="AC560" s="799"/>
      <c r="AD560" s="799"/>
      <c r="AE560" s="799"/>
      <c r="AF560" s="799"/>
      <c r="AG560" s="799"/>
      <c r="AH560" s="799"/>
      <c r="AI560" s="799"/>
      <c r="AJ560" s="799"/>
      <c r="AK560" s="799"/>
      <c r="AL560" s="799"/>
      <c r="AM560" s="799"/>
      <c r="AN560" s="799"/>
      <c r="AO560" s="799"/>
      <c r="AP560" s="799"/>
      <c r="AQ560" s="799"/>
      <c r="AR560" s="799"/>
      <c r="AS560" s="799"/>
      <c r="AT560" s="799"/>
      <c r="AU560" s="799"/>
      <c r="AV560" s="799"/>
      <c r="AW560" s="799"/>
      <c r="AX560" s="799"/>
      <c r="AY560" s="799"/>
      <c r="AZ560" s="799"/>
      <c r="BA560" s="799"/>
      <c r="BB560" s="799"/>
      <c r="BC560" s="799"/>
      <c r="BD560" s="799"/>
      <c r="BE560" s="799"/>
      <c r="BF560" s="799"/>
      <c r="BG560" s="799"/>
    </row>
    <row r="561">
      <c r="H561" s="799"/>
      <c r="I561" s="799"/>
      <c r="J561" s="799"/>
      <c r="K561" s="799"/>
      <c r="L561" s="799"/>
      <c r="M561" s="799"/>
      <c r="N561" s="799"/>
      <c r="O561" s="799"/>
      <c r="P561" s="799"/>
      <c r="Q561" s="799"/>
      <c r="R561" s="799"/>
      <c r="S561" s="799"/>
      <c r="T561" s="799"/>
      <c r="U561" s="799"/>
      <c r="V561" s="799"/>
      <c r="W561" s="799"/>
      <c r="X561" s="799"/>
      <c r="Y561" s="799"/>
      <c r="Z561" s="799"/>
      <c r="AA561" s="799"/>
      <c r="AB561" s="799"/>
      <c r="AC561" s="799"/>
      <c r="AD561" s="799"/>
      <c r="AE561" s="799"/>
      <c r="AF561" s="799"/>
      <c r="AG561" s="799"/>
      <c r="AH561" s="799"/>
      <c r="AI561" s="799"/>
      <c r="AJ561" s="799"/>
      <c r="AK561" s="799"/>
      <c r="AL561" s="799"/>
      <c r="AM561" s="799"/>
      <c r="AN561" s="799"/>
      <c r="AO561" s="799"/>
      <c r="AP561" s="799"/>
      <c r="AQ561" s="799"/>
      <c r="AR561" s="799"/>
      <c r="AS561" s="799"/>
      <c r="AT561" s="799"/>
      <c r="AU561" s="799"/>
      <c r="AV561" s="799"/>
      <c r="AW561" s="799"/>
      <c r="AX561" s="799"/>
      <c r="AY561" s="799"/>
      <c r="AZ561" s="799"/>
      <c r="BA561" s="799"/>
      <c r="BB561" s="799"/>
      <c r="BC561" s="799"/>
      <c r="BD561" s="799"/>
      <c r="BE561" s="799"/>
      <c r="BF561" s="799"/>
      <c r="BG561" s="799"/>
    </row>
    <row r="562">
      <c r="H562" s="799"/>
      <c r="I562" s="799"/>
      <c r="J562" s="799"/>
      <c r="K562" s="799"/>
      <c r="L562" s="799"/>
      <c r="M562" s="799"/>
      <c r="N562" s="799"/>
      <c r="O562" s="799"/>
      <c r="P562" s="799"/>
      <c r="Q562" s="799"/>
      <c r="R562" s="799"/>
      <c r="S562" s="799"/>
      <c r="T562" s="799"/>
      <c r="U562" s="799"/>
      <c r="V562" s="799"/>
      <c r="W562" s="799"/>
      <c r="X562" s="799"/>
      <c r="Y562" s="799"/>
      <c r="Z562" s="799"/>
      <c r="AA562" s="799"/>
      <c r="AB562" s="799"/>
      <c r="AC562" s="799"/>
      <c r="AD562" s="799"/>
      <c r="AE562" s="799"/>
      <c r="AF562" s="799"/>
      <c r="AG562" s="799"/>
      <c r="AH562" s="799"/>
      <c r="AI562" s="799"/>
      <c r="AJ562" s="799"/>
      <c r="AK562" s="799"/>
      <c r="AL562" s="799"/>
      <c r="AM562" s="799"/>
      <c r="AN562" s="799"/>
      <c r="AO562" s="799"/>
      <c r="AP562" s="799"/>
      <c r="AQ562" s="799"/>
      <c r="AR562" s="799"/>
      <c r="AS562" s="799"/>
      <c r="AT562" s="799"/>
      <c r="AU562" s="799"/>
      <c r="AV562" s="799"/>
      <c r="AW562" s="799"/>
      <c r="AX562" s="799"/>
      <c r="AY562" s="799"/>
      <c r="AZ562" s="799"/>
      <c r="BA562" s="799"/>
      <c r="BB562" s="799"/>
      <c r="BC562" s="799"/>
      <c r="BD562" s="799"/>
      <c r="BE562" s="799"/>
      <c r="BF562" s="799"/>
      <c r="BG562" s="799"/>
    </row>
    <row r="563">
      <c r="H563" s="799"/>
      <c r="I563" s="799"/>
      <c r="J563" s="799"/>
      <c r="K563" s="799"/>
      <c r="L563" s="799"/>
      <c r="M563" s="799"/>
      <c r="N563" s="799"/>
      <c r="O563" s="799"/>
      <c r="P563" s="799"/>
      <c r="Q563" s="799"/>
      <c r="R563" s="799"/>
      <c r="S563" s="799"/>
      <c r="T563" s="799"/>
      <c r="U563" s="799"/>
      <c r="V563" s="799"/>
      <c r="W563" s="799"/>
      <c r="X563" s="799"/>
      <c r="Y563" s="799"/>
      <c r="Z563" s="799"/>
      <c r="AA563" s="799"/>
      <c r="AB563" s="799"/>
      <c r="AC563" s="799"/>
      <c r="AD563" s="799"/>
      <c r="AE563" s="799"/>
      <c r="AF563" s="799"/>
      <c r="AG563" s="799"/>
      <c r="AH563" s="799"/>
      <c r="AI563" s="799"/>
      <c r="AJ563" s="799"/>
      <c r="AK563" s="799"/>
      <c r="AL563" s="799"/>
      <c r="AM563" s="799"/>
      <c r="AN563" s="799"/>
      <c r="AO563" s="799"/>
      <c r="AP563" s="799"/>
      <c r="AQ563" s="799"/>
      <c r="AR563" s="799"/>
      <c r="AS563" s="799"/>
      <c r="AT563" s="799"/>
      <c r="AU563" s="799"/>
      <c r="AV563" s="799"/>
      <c r="AW563" s="799"/>
      <c r="AX563" s="799"/>
      <c r="AY563" s="799"/>
      <c r="AZ563" s="799"/>
      <c r="BA563" s="799"/>
      <c r="BB563" s="799"/>
      <c r="BC563" s="799"/>
      <c r="BD563" s="799"/>
      <c r="BE563" s="799"/>
      <c r="BF563" s="799"/>
      <c r="BG563" s="799"/>
    </row>
    <row r="564">
      <c r="H564" s="799"/>
      <c r="I564" s="799"/>
      <c r="J564" s="799"/>
      <c r="K564" s="799"/>
      <c r="L564" s="799"/>
      <c r="M564" s="799"/>
      <c r="N564" s="799"/>
      <c r="O564" s="799"/>
      <c r="P564" s="799"/>
      <c r="Q564" s="799"/>
      <c r="R564" s="799"/>
      <c r="S564" s="799"/>
      <c r="T564" s="799"/>
      <c r="U564" s="799"/>
      <c r="V564" s="799"/>
      <c r="W564" s="799"/>
      <c r="X564" s="799"/>
      <c r="Y564" s="799"/>
      <c r="Z564" s="799"/>
      <c r="AA564" s="799"/>
      <c r="AB564" s="799"/>
      <c r="AC564" s="799"/>
      <c r="AD564" s="799"/>
      <c r="AE564" s="799"/>
      <c r="AF564" s="799"/>
      <c r="AG564" s="799"/>
      <c r="AH564" s="799"/>
      <c r="AI564" s="799"/>
      <c r="AJ564" s="799"/>
      <c r="AK564" s="799"/>
      <c r="AL564" s="799"/>
      <c r="AM564" s="799"/>
      <c r="AN564" s="799"/>
      <c r="AO564" s="799"/>
      <c r="AP564" s="799"/>
      <c r="AQ564" s="799"/>
      <c r="AR564" s="799"/>
      <c r="AS564" s="799"/>
      <c r="AT564" s="799"/>
      <c r="AU564" s="799"/>
      <c r="AV564" s="799"/>
      <c r="AW564" s="799"/>
      <c r="AX564" s="799"/>
      <c r="AY564" s="799"/>
      <c r="AZ564" s="799"/>
      <c r="BA564" s="799"/>
      <c r="BB564" s="799"/>
      <c r="BC564" s="799"/>
      <c r="BD564" s="799"/>
      <c r="BE564" s="799"/>
      <c r="BF564" s="799"/>
      <c r="BG564" s="799"/>
    </row>
    <row r="565">
      <c r="H565" s="799"/>
      <c r="I565" s="799"/>
      <c r="J565" s="799"/>
      <c r="K565" s="799"/>
      <c r="L565" s="799"/>
      <c r="M565" s="799"/>
      <c r="N565" s="799"/>
      <c r="O565" s="799"/>
      <c r="P565" s="799"/>
      <c r="Q565" s="799"/>
      <c r="R565" s="799"/>
      <c r="S565" s="799"/>
      <c r="T565" s="799"/>
      <c r="U565" s="799"/>
      <c r="V565" s="799"/>
      <c r="W565" s="799"/>
      <c r="X565" s="799"/>
      <c r="Y565" s="799"/>
      <c r="Z565" s="799"/>
      <c r="AA565" s="799"/>
      <c r="AB565" s="799"/>
      <c r="AC565" s="799"/>
      <c r="AD565" s="799"/>
      <c r="AE565" s="799"/>
      <c r="AF565" s="799"/>
      <c r="AG565" s="799"/>
      <c r="AH565" s="799"/>
      <c r="AI565" s="799"/>
      <c r="AJ565" s="799"/>
      <c r="AK565" s="799"/>
      <c r="AL565" s="799"/>
      <c r="AM565" s="799"/>
      <c r="AN565" s="799"/>
      <c r="AO565" s="799"/>
      <c r="AP565" s="799"/>
      <c r="AQ565" s="799"/>
      <c r="AR565" s="799"/>
      <c r="AS565" s="799"/>
      <c r="AT565" s="799"/>
      <c r="AU565" s="799"/>
      <c r="AV565" s="799"/>
      <c r="AW565" s="799"/>
      <c r="AX565" s="799"/>
      <c r="AY565" s="799"/>
      <c r="AZ565" s="799"/>
      <c r="BA565" s="799"/>
      <c r="BB565" s="799"/>
      <c r="BC565" s="799"/>
      <c r="BD565" s="799"/>
      <c r="BE565" s="799"/>
      <c r="BF565" s="799"/>
      <c r="BG565" s="799"/>
    </row>
    <row r="566">
      <c r="H566" s="799"/>
      <c r="I566" s="799"/>
      <c r="J566" s="799"/>
      <c r="K566" s="799"/>
      <c r="L566" s="799"/>
      <c r="M566" s="799"/>
      <c r="N566" s="799"/>
      <c r="O566" s="799"/>
      <c r="P566" s="799"/>
      <c r="Q566" s="799"/>
      <c r="R566" s="799"/>
      <c r="S566" s="799"/>
      <c r="T566" s="799"/>
      <c r="U566" s="799"/>
      <c r="V566" s="799"/>
      <c r="W566" s="799"/>
      <c r="X566" s="799"/>
      <c r="Y566" s="799"/>
      <c r="Z566" s="799"/>
      <c r="AA566" s="799"/>
      <c r="AB566" s="799"/>
      <c r="AC566" s="799"/>
      <c r="AD566" s="799"/>
      <c r="AE566" s="799"/>
      <c r="AF566" s="799"/>
      <c r="AG566" s="799"/>
      <c r="AH566" s="799"/>
      <c r="AI566" s="799"/>
      <c r="AJ566" s="799"/>
      <c r="AK566" s="799"/>
      <c r="AL566" s="799"/>
      <c r="AM566" s="799"/>
      <c r="AN566" s="799"/>
      <c r="AO566" s="799"/>
      <c r="AP566" s="799"/>
      <c r="AQ566" s="799"/>
      <c r="AR566" s="799"/>
      <c r="AS566" s="799"/>
      <c r="AT566" s="799"/>
      <c r="AU566" s="799"/>
      <c r="AV566" s="799"/>
      <c r="AW566" s="799"/>
      <c r="AX566" s="799"/>
      <c r="AY566" s="799"/>
      <c r="AZ566" s="799"/>
      <c r="BA566" s="799"/>
      <c r="BB566" s="799"/>
      <c r="BC566" s="799"/>
      <c r="BD566" s="799"/>
      <c r="BE566" s="799"/>
      <c r="BF566" s="799"/>
      <c r="BG566" s="799"/>
    </row>
    <row r="567">
      <c r="H567" s="799"/>
      <c r="I567" s="799"/>
      <c r="J567" s="799"/>
      <c r="K567" s="799"/>
      <c r="L567" s="799"/>
      <c r="M567" s="799"/>
      <c r="N567" s="799"/>
      <c r="O567" s="799"/>
      <c r="P567" s="799"/>
      <c r="Q567" s="799"/>
      <c r="R567" s="799"/>
      <c r="S567" s="799"/>
      <c r="T567" s="799"/>
      <c r="U567" s="799"/>
      <c r="V567" s="799"/>
      <c r="W567" s="799"/>
      <c r="X567" s="799"/>
      <c r="Y567" s="799"/>
      <c r="Z567" s="799"/>
      <c r="AA567" s="799"/>
      <c r="AB567" s="799"/>
      <c r="AC567" s="799"/>
      <c r="AD567" s="799"/>
      <c r="AE567" s="799"/>
      <c r="AF567" s="799"/>
      <c r="AG567" s="799"/>
      <c r="AH567" s="799"/>
      <c r="AI567" s="799"/>
      <c r="AJ567" s="799"/>
      <c r="AK567" s="799"/>
      <c r="AL567" s="799"/>
      <c r="AM567" s="799"/>
      <c r="AN567" s="799"/>
      <c r="AO567" s="799"/>
      <c r="AP567" s="799"/>
      <c r="AQ567" s="799"/>
      <c r="AR567" s="799"/>
      <c r="AS567" s="799"/>
      <c r="AT567" s="799"/>
      <c r="AU567" s="799"/>
      <c r="AV567" s="799"/>
      <c r="AW567" s="799"/>
      <c r="AX567" s="799"/>
      <c r="AY567" s="799"/>
      <c r="AZ567" s="799"/>
      <c r="BA567" s="799"/>
      <c r="BB567" s="799"/>
      <c r="BC567" s="799"/>
      <c r="BD567" s="799"/>
      <c r="BE567" s="799"/>
      <c r="BF567" s="799"/>
      <c r="BG567" s="799"/>
    </row>
    <row r="568">
      <c r="H568" s="799"/>
      <c r="I568" s="799"/>
      <c r="J568" s="799"/>
      <c r="K568" s="799"/>
      <c r="L568" s="799"/>
      <c r="M568" s="799"/>
      <c r="N568" s="799"/>
      <c r="O568" s="799"/>
      <c r="P568" s="799"/>
      <c r="Q568" s="799"/>
      <c r="R568" s="799"/>
      <c r="S568" s="799"/>
      <c r="T568" s="799"/>
      <c r="U568" s="799"/>
      <c r="V568" s="799"/>
      <c r="W568" s="799"/>
      <c r="X568" s="799"/>
      <c r="Y568" s="799"/>
      <c r="Z568" s="799"/>
      <c r="AA568" s="799"/>
      <c r="AB568" s="799"/>
      <c r="AC568" s="799"/>
      <c r="AD568" s="799"/>
      <c r="AE568" s="799"/>
      <c r="AF568" s="799"/>
      <c r="AG568" s="799"/>
      <c r="AH568" s="799"/>
      <c r="AI568" s="799"/>
      <c r="AJ568" s="799"/>
      <c r="AK568" s="799"/>
      <c r="AL568" s="799"/>
      <c r="AM568" s="799"/>
      <c r="AN568" s="799"/>
      <c r="AO568" s="799"/>
      <c r="AP568" s="799"/>
      <c r="AQ568" s="799"/>
      <c r="AR568" s="799"/>
      <c r="AS568" s="799"/>
      <c r="AT568" s="799"/>
      <c r="AU568" s="799"/>
      <c r="AV568" s="799"/>
      <c r="AW568" s="799"/>
      <c r="AX568" s="799"/>
      <c r="AY568" s="799"/>
      <c r="AZ568" s="799"/>
      <c r="BA568" s="799"/>
      <c r="BB568" s="799"/>
      <c r="BC568" s="799"/>
      <c r="BD568" s="799"/>
      <c r="BE568" s="799"/>
      <c r="BF568" s="799"/>
      <c r="BG568" s="799"/>
    </row>
    <row r="569">
      <c r="H569" s="799"/>
      <c r="I569" s="799"/>
      <c r="J569" s="799"/>
      <c r="K569" s="799"/>
      <c r="L569" s="799"/>
      <c r="M569" s="799"/>
      <c r="N569" s="799"/>
      <c r="O569" s="799"/>
      <c r="P569" s="799"/>
      <c r="Q569" s="799"/>
      <c r="R569" s="799"/>
      <c r="S569" s="799"/>
      <c r="T569" s="799"/>
      <c r="U569" s="799"/>
      <c r="V569" s="799"/>
      <c r="W569" s="799"/>
      <c r="X569" s="799"/>
      <c r="Y569" s="799"/>
      <c r="Z569" s="799"/>
      <c r="AA569" s="799"/>
      <c r="AB569" s="799"/>
      <c r="AC569" s="799"/>
      <c r="AD569" s="799"/>
      <c r="AE569" s="799"/>
      <c r="AF569" s="799"/>
      <c r="AG569" s="799"/>
      <c r="AH569" s="799"/>
      <c r="AI569" s="799"/>
      <c r="AJ569" s="799"/>
      <c r="AK569" s="799"/>
      <c r="AL569" s="799"/>
      <c r="AM569" s="799"/>
      <c r="AN569" s="799"/>
      <c r="AO569" s="799"/>
      <c r="AP569" s="799"/>
      <c r="AQ569" s="799"/>
      <c r="AR569" s="799"/>
      <c r="AS569" s="799"/>
      <c r="AT569" s="799"/>
      <c r="AU569" s="799"/>
      <c r="AV569" s="799"/>
      <c r="AW569" s="799"/>
      <c r="AX569" s="799"/>
      <c r="AY569" s="799"/>
      <c r="AZ569" s="799"/>
      <c r="BA569" s="799"/>
      <c r="BB569" s="799"/>
      <c r="BC569" s="799"/>
      <c r="BD569" s="799"/>
      <c r="BE569" s="799"/>
      <c r="BF569" s="799"/>
      <c r="BG569" s="799"/>
    </row>
    <row r="570">
      <c r="H570" s="799"/>
      <c r="I570" s="799"/>
      <c r="J570" s="799"/>
      <c r="K570" s="799"/>
      <c r="L570" s="799"/>
      <c r="M570" s="799"/>
      <c r="N570" s="799"/>
      <c r="O570" s="799"/>
      <c r="P570" s="799"/>
      <c r="Q570" s="799"/>
      <c r="R570" s="799"/>
      <c r="S570" s="799"/>
      <c r="T570" s="799"/>
      <c r="U570" s="799"/>
      <c r="V570" s="799"/>
      <c r="W570" s="799"/>
      <c r="X570" s="799"/>
      <c r="Y570" s="799"/>
      <c r="Z570" s="799"/>
      <c r="AA570" s="799"/>
      <c r="AB570" s="799"/>
      <c r="AC570" s="799"/>
      <c r="AD570" s="799"/>
      <c r="AE570" s="799"/>
      <c r="AF570" s="799"/>
      <c r="AG570" s="799"/>
      <c r="AH570" s="799"/>
      <c r="AI570" s="799"/>
      <c r="AJ570" s="799"/>
      <c r="AK570" s="799"/>
      <c r="AL570" s="799"/>
      <c r="AM570" s="799"/>
      <c r="AN570" s="799"/>
      <c r="AO570" s="799"/>
      <c r="AP570" s="799"/>
      <c r="AQ570" s="799"/>
      <c r="AR570" s="799"/>
      <c r="AS570" s="799"/>
      <c r="AT570" s="799"/>
      <c r="AU570" s="799"/>
      <c r="AV570" s="799"/>
      <c r="AW570" s="799"/>
      <c r="AX570" s="799"/>
      <c r="AY570" s="799"/>
      <c r="AZ570" s="799"/>
      <c r="BA570" s="799"/>
      <c r="BB570" s="799"/>
      <c r="BC570" s="799"/>
      <c r="BD570" s="799"/>
      <c r="BE570" s="799"/>
      <c r="BF570" s="799"/>
      <c r="BG570" s="799"/>
    </row>
    <row r="571">
      <c r="H571" s="799"/>
      <c r="I571" s="799"/>
      <c r="J571" s="799"/>
      <c r="K571" s="799"/>
      <c r="L571" s="799"/>
      <c r="M571" s="799"/>
      <c r="N571" s="799"/>
      <c r="O571" s="799"/>
      <c r="P571" s="799"/>
      <c r="Q571" s="799"/>
      <c r="R571" s="799"/>
      <c r="S571" s="799"/>
      <c r="T571" s="799"/>
      <c r="U571" s="799"/>
      <c r="V571" s="799"/>
      <c r="W571" s="799"/>
      <c r="X571" s="799"/>
      <c r="Y571" s="799"/>
      <c r="Z571" s="799"/>
      <c r="AA571" s="799"/>
      <c r="AB571" s="799"/>
      <c r="AC571" s="799"/>
      <c r="AD571" s="799"/>
      <c r="AE571" s="799"/>
      <c r="AF571" s="799"/>
      <c r="AG571" s="799"/>
      <c r="AH571" s="799"/>
      <c r="AI571" s="799"/>
      <c r="AJ571" s="799"/>
      <c r="AK571" s="799"/>
      <c r="AL571" s="799"/>
      <c r="AM571" s="799"/>
      <c r="AN571" s="799"/>
      <c r="AO571" s="799"/>
      <c r="AP571" s="799"/>
      <c r="AQ571" s="799"/>
      <c r="AR571" s="799"/>
      <c r="AS571" s="799"/>
      <c r="AT571" s="799"/>
      <c r="AU571" s="799"/>
      <c r="AV571" s="799"/>
      <c r="AW571" s="799"/>
      <c r="AX571" s="799"/>
      <c r="AY571" s="799"/>
      <c r="AZ571" s="799"/>
      <c r="BA571" s="799"/>
      <c r="BB571" s="799"/>
      <c r="BC571" s="799"/>
      <c r="BD571" s="799"/>
      <c r="BE571" s="799"/>
      <c r="BF571" s="799"/>
      <c r="BG571" s="799"/>
    </row>
    <row r="572">
      <c r="H572" s="799"/>
      <c r="I572" s="799"/>
      <c r="J572" s="799"/>
      <c r="K572" s="799"/>
      <c r="L572" s="799"/>
      <c r="M572" s="799"/>
      <c r="N572" s="799"/>
      <c r="O572" s="799"/>
      <c r="P572" s="799"/>
      <c r="Q572" s="799"/>
      <c r="R572" s="799"/>
      <c r="S572" s="799"/>
      <c r="T572" s="799"/>
      <c r="U572" s="799"/>
      <c r="V572" s="799"/>
      <c r="W572" s="799"/>
      <c r="X572" s="799"/>
      <c r="Y572" s="799"/>
      <c r="Z572" s="799"/>
      <c r="AA572" s="799"/>
      <c r="AB572" s="799"/>
      <c r="AC572" s="799"/>
      <c r="AD572" s="799"/>
      <c r="AE572" s="799"/>
      <c r="AF572" s="799"/>
      <c r="AG572" s="799"/>
      <c r="AH572" s="799"/>
      <c r="AI572" s="799"/>
      <c r="AJ572" s="799"/>
      <c r="AK572" s="799"/>
      <c r="AL572" s="799"/>
      <c r="AM572" s="799"/>
      <c r="AN572" s="799"/>
      <c r="AO572" s="799"/>
      <c r="AP572" s="799"/>
      <c r="AQ572" s="799"/>
      <c r="AR572" s="799"/>
      <c r="AS572" s="799"/>
      <c r="AT572" s="799"/>
      <c r="AU572" s="799"/>
      <c r="AV572" s="799"/>
      <c r="AW572" s="799"/>
      <c r="AX572" s="799"/>
      <c r="AY572" s="799"/>
      <c r="AZ572" s="799"/>
      <c r="BA572" s="799"/>
      <c r="BB572" s="799"/>
      <c r="BC572" s="799"/>
      <c r="BD572" s="799"/>
      <c r="BE572" s="799"/>
      <c r="BF572" s="799"/>
      <c r="BG572" s="799"/>
    </row>
    <row r="573">
      <c r="H573" s="799"/>
      <c r="I573" s="799"/>
      <c r="J573" s="799"/>
      <c r="K573" s="799"/>
      <c r="L573" s="799"/>
      <c r="M573" s="799"/>
      <c r="N573" s="799"/>
      <c r="O573" s="799"/>
      <c r="P573" s="799"/>
      <c r="Q573" s="799"/>
      <c r="R573" s="799"/>
      <c r="S573" s="799"/>
      <c r="T573" s="799"/>
      <c r="U573" s="799"/>
      <c r="V573" s="799"/>
      <c r="W573" s="799"/>
      <c r="X573" s="799"/>
      <c r="Y573" s="799"/>
      <c r="Z573" s="799"/>
      <c r="AA573" s="799"/>
      <c r="AB573" s="799"/>
      <c r="AC573" s="799"/>
      <c r="AD573" s="799"/>
      <c r="AE573" s="799"/>
      <c r="AF573" s="799"/>
      <c r="AG573" s="799"/>
      <c r="AH573" s="799"/>
      <c r="AI573" s="799"/>
      <c r="AJ573" s="799"/>
      <c r="AK573" s="799"/>
      <c r="AL573" s="799"/>
      <c r="AM573" s="799"/>
      <c r="AN573" s="799"/>
      <c r="AO573" s="799"/>
      <c r="AP573" s="799"/>
      <c r="AQ573" s="799"/>
      <c r="AR573" s="799"/>
      <c r="AS573" s="799"/>
      <c r="AT573" s="799"/>
      <c r="AU573" s="799"/>
      <c r="AV573" s="799"/>
      <c r="AW573" s="799"/>
      <c r="AX573" s="799"/>
      <c r="AY573" s="799"/>
      <c r="AZ573" s="799"/>
      <c r="BA573" s="799"/>
      <c r="BB573" s="799"/>
      <c r="BC573" s="799"/>
      <c r="BD573" s="799"/>
      <c r="BE573" s="799"/>
      <c r="BF573" s="799"/>
      <c r="BG573" s="799"/>
    </row>
    <row r="574">
      <c r="H574" s="799"/>
      <c r="I574" s="799"/>
      <c r="J574" s="799"/>
      <c r="K574" s="799"/>
      <c r="L574" s="799"/>
      <c r="M574" s="799"/>
      <c r="N574" s="799"/>
      <c r="O574" s="799"/>
      <c r="P574" s="799"/>
      <c r="Q574" s="799"/>
      <c r="R574" s="799"/>
      <c r="S574" s="799"/>
      <c r="T574" s="799"/>
      <c r="U574" s="799"/>
      <c r="V574" s="799"/>
      <c r="W574" s="799"/>
      <c r="X574" s="799"/>
      <c r="Y574" s="799"/>
      <c r="Z574" s="799"/>
      <c r="AA574" s="799"/>
      <c r="AB574" s="799"/>
      <c r="AC574" s="799"/>
      <c r="AD574" s="799"/>
      <c r="AE574" s="799"/>
      <c r="AF574" s="799"/>
      <c r="AG574" s="799"/>
      <c r="AH574" s="799"/>
      <c r="AI574" s="799"/>
      <c r="AJ574" s="799"/>
      <c r="AK574" s="799"/>
      <c r="AL574" s="799"/>
      <c r="AM574" s="799"/>
      <c r="AN574" s="799"/>
      <c r="AO574" s="799"/>
      <c r="AP574" s="799"/>
      <c r="AQ574" s="799"/>
      <c r="AR574" s="799"/>
      <c r="AS574" s="799"/>
      <c r="AT574" s="799"/>
      <c r="AU574" s="799"/>
      <c r="AV574" s="799"/>
      <c r="AW574" s="799"/>
      <c r="AX574" s="799"/>
      <c r="AY574" s="799"/>
      <c r="AZ574" s="799"/>
      <c r="BA574" s="799"/>
      <c r="BB574" s="799"/>
      <c r="BC574" s="799"/>
      <c r="BD574" s="799"/>
      <c r="BE574" s="799"/>
      <c r="BF574" s="799"/>
      <c r="BG574" s="799"/>
    </row>
    <row r="575">
      <c r="H575" s="799"/>
      <c r="I575" s="799"/>
      <c r="J575" s="799"/>
      <c r="K575" s="799"/>
      <c r="L575" s="799"/>
      <c r="M575" s="799"/>
      <c r="N575" s="799"/>
      <c r="O575" s="799"/>
      <c r="P575" s="799"/>
      <c r="Q575" s="799"/>
      <c r="R575" s="799"/>
      <c r="S575" s="799"/>
      <c r="T575" s="799"/>
      <c r="U575" s="799"/>
      <c r="V575" s="799"/>
      <c r="W575" s="799"/>
      <c r="X575" s="799"/>
      <c r="Y575" s="799"/>
      <c r="Z575" s="799"/>
      <c r="AA575" s="799"/>
      <c r="AB575" s="799"/>
      <c r="AC575" s="799"/>
      <c r="AD575" s="799"/>
      <c r="AE575" s="799"/>
      <c r="AF575" s="799"/>
      <c r="AG575" s="799"/>
      <c r="AH575" s="799"/>
      <c r="AI575" s="799"/>
      <c r="AJ575" s="799"/>
      <c r="AK575" s="799"/>
      <c r="AL575" s="799"/>
      <c r="AM575" s="799"/>
      <c r="AN575" s="799"/>
      <c r="AO575" s="799"/>
      <c r="AP575" s="799"/>
      <c r="AQ575" s="799"/>
      <c r="AR575" s="799"/>
      <c r="AS575" s="799"/>
      <c r="AT575" s="799"/>
      <c r="AU575" s="799"/>
      <c r="AV575" s="799"/>
      <c r="AW575" s="799"/>
      <c r="AX575" s="799"/>
      <c r="AY575" s="799"/>
      <c r="AZ575" s="799"/>
      <c r="BA575" s="799"/>
      <c r="BB575" s="799"/>
      <c r="BC575" s="799"/>
      <c r="BD575" s="799"/>
      <c r="BE575" s="799"/>
      <c r="BF575" s="799"/>
      <c r="BG575" s="799"/>
    </row>
    <row r="576">
      <c r="H576" s="799"/>
      <c r="I576" s="799"/>
      <c r="J576" s="799"/>
      <c r="K576" s="799"/>
      <c r="L576" s="799"/>
      <c r="M576" s="799"/>
      <c r="N576" s="799"/>
      <c r="O576" s="799"/>
      <c r="P576" s="799"/>
      <c r="Q576" s="799"/>
      <c r="R576" s="799"/>
      <c r="S576" s="799"/>
      <c r="T576" s="799"/>
      <c r="U576" s="799"/>
      <c r="V576" s="799"/>
      <c r="W576" s="799"/>
      <c r="X576" s="799"/>
      <c r="Y576" s="799"/>
      <c r="Z576" s="799"/>
      <c r="AA576" s="799"/>
      <c r="AB576" s="799"/>
      <c r="AC576" s="799"/>
      <c r="AD576" s="799"/>
      <c r="AE576" s="799"/>
      <c r="AF576" s="799"/>
      <c r="AG576" s="799"/>
      <c r="AH576" s="799"/>
      <c r="AI576" s="799"/>
      <c r="AJ576" s="799"/>
      <c r="AK576" s="799"/>
      <c r="AL576" s="799"/>
      <c r="AM576" s="799"/>
      <c r="AN576" s="799"/>
      <c r="AO576" s="799"/>
      <c r="AP576" s="799"/>
      <c r="AQ576" s="799"/>
      <c r="AR576" s="799"/>
      <c r="AS576" s="799"/>
      <c r="AT576" s="799"/>
      <c r="AU576" s="799"/>
      <c r="AV576" s="799"/>
      <c r="AW576" s="799"/>
      <c r="AX576" s="799"/>
      <c r="AY576" s="799"/>
      <c r="AZ576" s="799"/>
      <c r="BA576" s="799"/>
      <c r="BB576" s="799"/>
      <c r="BC576" s="799"/>
      <c r="BD576" s="799"/>
      <c r="BE576" s="799"/>
      <c r="BF576" s="799"/>
      <c r="BG576" s="799"/>
    </row>
    <row r="577">
      <c r="H577" s="799"/>
      <c r="I577" s="799"/>
      <c r="J577" s="799"/>
      <c r="K577" s="799"/>
      <c r="L577" s="799"/>
      <c r="M577" s="799"/>
      <c r="N577" s="799"/>
      <c r="O577" s="799"/>
      <c r="P577" s="799"/>
      <c r="Q577" s="799"/>
      <c r="R577" s="799"/>
      <c r="S577" s="799"/>
      <c r="T577" s="799"/>
      <c r="U577" s="799"/>
      <c r="V577" s="799"/>
      <c r="W577" s="799"/>
      <c r="X577" s="799"/>
      <c r="Y577" s="799"/>
      <c r="Z577" s="799"/>
      <c r="AA577" s="799"/>
      <c r="AB577" s="799"/>
      <c r="AC577" s="799"/>
      <c r="AD577" s="799"/>
      <c r="AE577" s="799"/>
      <c r="AF577" s="799"/>
      <c r="AG577" s="799"/>
      <c r="AH577" s="799"/>
      <c r="AI577" s="799"/>
      <c r="AJ577" s="799"/>
      <c r="AK577" s="799"/>
      <c r="AL577" s="799"/>
      <c r="AM577" s="799"/>
      <c r="AN577" s="799"/>
      <c r="AO577" s="799"/>
      <c r="AP577" s="799"/>
      <c r="AQ577" s="799"/>
      <c r="AR577" s="799"/>
      <c r="AS577" s="799"/>
      <c r="AT577" s="799"/>
      <c r="AU577" s="799"/>
      <c r="AV577" s="799"/>
      <c r="AW577" s="799"/>
      <c r="AX577" s="799"/>
      <c r="AY577" s="799"/>
      <c r="AZ577" s="799"/>
      <c r="BA577" s="799"/>
      <c r="BB577" s="799"/>
      <c r="BC577" s="799"/>
      <c r="BD577" s="799"/>
      <c r="BE577" s="799"/>
      <c r="BF577" s="799"/>
      <c r="BG577" s="799"/>
    </row>
    <row r="578">
      <c r="H578" s="799"/>
      <c r="I578" s="799"/>
      <c r="J578" s="799"/>
      <c r="K578" s="799"/>
      <c r="L578" s="799"/>
      <c r="M578" s="799"/>
      <c r="N578" s="799"/>
      <c r="O578" s="799"/>
      <c r="P578" s="799"/>
      <c r="Q578" s="799"/>
      <c r="R578" s="799"/>
      <c r="S578" s="799"/>
      <c r="T578" s="799"/>
      <c r="U578" s="799"/>
      <c r="V578" s="799"/>
      <c r="W578" s="799"/>
      <c r="X578" s="799"/>
      <c r="Y578" s="799"/>
      <c r="Z578" s="799"/>
      <c r="AA578" s="799"/>
      <c r="AB578" s="799"/>
      <c r="AC578" s="799"/>
      <c r="AD578" s="799"/>
      <c r="AE578" s="799"/>
      <c r="AF578" s="799"/>
      <c r="AG578" s="799"/>
      <c r="AH578" s="799"/>
      <c r="AI578" s="799"/>
      <c r="AJ578" s="799"/>
      <c r="AK578" s="799"/>
      <c r="AL578" s="799"/>
      <c r="AM578" s="799"/>
      <c r="AN578" s="799"/>
      <c r="AO578" s="799"/>
      <c r="AP578" s="799"/>
      <c r="AQ578" s="799"/>
      <c r="AR578" s="799"/>
      <c r="AS578" s="799"/>
      <c r="AT578" s="799"/>
      <c r="AU578" s="799"/>
      <c r="AV578" s="799"/>
      <c r="AW578" s="799"/>
      <c r="AX578" s="799"/>
      <c r="AY578" s="799"/>
      <c r="AZ578" s="799"/>
      <c r="BA578" s="799"/>
      <c r="BB578" s="799"/>
      <c r="BC578" s="799"/>
      <c r="BD578" s="799"/>
      <c r="BE578" s="799"/>
      <c r="BF578" s="799"/>
      <c r="BG578" s="799"/>
    </row>
    <row r="579">
      <c r="H579" s="799"/>
      <c r="I579" s="799"/>
      <c r="J579" s="799"/>
      <c r="K579" s="799"/>
      <c r="L579" s="799"/>
      <c r="M579" s="799"/>
      <c r="N579" s="799"/>
      <c r="O579" s="799"/>
      <c r="P579" s="799"/>
      <c r="Q579" s="799"/>
      <c r="R579" s="799"/>
      <c r="S579" s="799"/>
      <c r="T579" s="799"/>
      <c r="U579" s="799"/>
      <c r="V579" s="799"/>
      <c r="W579" s="799"/>
      <c r="X579" s="799"/>
      <c r="Y579" s="799"/>
      <c r="Z579" s="799"/>
      <c r="AA579" s="799"/>
      <c r="AB579" s="799"/>
      <c r="AC579" s="799"/>
      <c r="AD579" s="799"/>
      <c r="AE579" s="799"/>
      <c r="AF579" s="799"/>
      <c r="AG579" s="799"/>
      <c r="AH579" s="799"/>
      <c r="AI579" s="799"/>
      <c r="AJ579" s="799"/>
      <c r="AK579" s="799"/>
      <c r="AL579" s="799"/>
      <c r="AM579" s="799"/>
      <c r="AN579" s="799"/>
      <c r="AO579" s="799"/>
      <c r="AP579" s="799"/>
      <c r="AQ579" s="799"/>
      <c r="AR579" s="799"/>
      <c r="AS579" s="799"/>
      <c r="AT579" s="799"/>
      <c r="AU579" s="799"/>
      <c r="AV579" s="799"/>
      <c r="AW579" s="799"/>
      <c r="AX579" s="799"/>
      <c r="AY579" s="799"/>
      <c r="AZ579" s="799"/>
      <c r="BA579" s="799"/>
      <c r="BB579" s="799"/>
      <c r="BC579" s="799"/>
      <c r="BD579" s="799"/>
      <c r="BE579" s="799"/>
      <c r="BF579" s="799"/>
      <c r="BG579" s="799"/>
    </row>
    <row r="580">
      <c r="H580" s="799"/>
      <c r="I580" s="799"/>
      <c r="J580" s="799"/>
      <c r="K580" s="799"/>
      <c r="L580" s="799"/>
      <c r="M580" s="799"/>
      <c r="N580" s="799"/>
      <c r="O580" s="799"/>
      <c r="P580" s="799"/>
      <c r="Q580" s="799"/>
      <c r="R580" s="799"/>
      <c r="S580" s="799"/>
      <c r="T580" s="799"/>
      <c r="U580" s="799"/>
      <c r="V580" s="799"/>
      <c r="W580" s="799"/>
      <c r="X580" s="799"/>
      <c r="Y580" s="799"/>
      <c r="Z580" s="799"/>
      <c r="AA580" s="799"/>
      <c r="AB580" s="799"/>
      <c r="AC580" s="799"/>
      <c r="AD580" s="799"/>
      <c r="AE580" s="799"/>
      <c r="AF580" s="799"/>
      <c r="AG580" s="799"/>
      <c r="AH580" s="799"/>
      <c r="AI580" s="799"/>
      <c r="AJ580" s="799"/>
      <c r="AK580" s="799"/>
      <c r="AL580" s="799"/>
      <c r="AM580" s="799"/>
      <c r="AN580" s="799"/>
      <c r="AO580" s="799"/>
      <c r="AP580" s="799"/>
      <c r="AQ580" s="799"/>
      <c r="AR580" s="799"/>
      <c r="AS580" s="799"/>
      <c r="AT580" s="799"/>
      <c r="AU580" s="799"/>
      <c r="AV580" s="799"/>
      <c r="AW580" s="799"/>
      <c r="AX580" s="799"/>
      <c r="AY580" s="799"/>
      <c r="AZ580" s="799"/>
      <c r="BA580" s="799"/>
      <c r="BB580" s="799"/>
      <c r="BC580" s="799"/>
      <c r="BD580" s="799"/>
      <c r="BE580" s="799"/>
      <c r="BF580" s="799"/>
      <c r="BG580" s="799"/>
    </row>
    <row r="581">
      <c r="H581" s="799"/>
      <c r="I581" s="799"/>
      <c r="J581" s="799"/>
      <c r="K581" s="799"/>
      <c r="L581" s="799"/>
      <c r="M581" s="799"/>
      <c r="N581" s="799"/>
      <c r="O581" s="799"/>
      <c r="P581" s="799"/>
      <c r="Q581" s="799"/>
      <c r="R581" s="799"/>
      <c r="S581" s="799"/>
      <c r="T581" s="799"/>
      <c r="U581" s="799"/>
      <c r="V581" s="799"/>
      <c r="W581" s="799"/>
      <c r="X581" s="799"/>
      <c r="Y581" s="799"/>
      <c r="Z581" s="799"/>
      <c r="AA581" s="799"/>
      <c r="AB581" s="799"/>
      <c r="AC581" s="799"/>
      <c r="AD581" s="799"/>
      <c r="AE581" s="799"/>
      <c r="AF581" s="799"/>
      <c r="AG581" s="799"/>
      <c r="AH581" s="799"/>
      <c r="AI581" s="799"/>
      <c r="AJ581" s="799"/>
      <c r="AK581" s="799"/>
      <c r="AL581" s="799"/>
      <c r="AM581" s="799"/>
      <c r="AN581" s="799"/>
      <c r="AO581" s="799"/>
      <c r="AP581" s="799"/>
      <c r="AQ581" s="799"/>
      <c r="AR581" s="799"/>
      <c r="AS581" s="799"/>
      <c r="AT581" s="799"/>
      <c r="AU581" s="799"/>
      <c r="AV581" s="799"/>
      <c r="AW581" s="799"/>
      <c r="AX581" s="799"/>
      <c r="AY581" s="799"/>
      <c r="AZ581" s="799"/>
      <c r="BA581" s="799"/>
      <c r="BB581" s="799"/>
      <c r="BC581" s="799"/>
      <c r="BD581" s="799"/>
      <c r="BE581" s="799"/>
      <c r="BF581" s="799"/>
      <c r="BG581" s="799"/>
    </row>
    <row r="582">
      <c r="H582" s="799"/>
      <c r="I582" s="799"/>
      <c r="J582" s="799"/>
      <c r="K582" s="799"/>
      <c r="L582" s="799"/>
      <c r="M582" s="799"/>
      <c r="N582" s="799"/>
      <c r="O582" s="799"/>
      <c r="P582" s="799"/>
      <c r="Q582" s="799"/>
      <c r="R582" s="799"/>
      <c r="S582" s="799"/>
      <c r="T582" s="799"/>
      <c r="U582" s="799"/>
      <c r="V582" s="799"/>
      <c r="W582" s="799"/>
      <c r="X582" s="799"/>
      <c r="Y582" s="799"/>
      <c r="Z582" s="799"/>
      <c r="AA582" s="799"/>
      <c r="AB582" s="799"/>
      <c r="AC582" s="799"/>
      <c r="AD582" s="799"/>
      <c r="AE582" s="799"/>
      <c r="AF582" s="799"/>
      <c r="AG582" s="799"/>
      <c r="AH582" s="799"/>
      <c r="AI582" s="799"/>
      <c r="AJ582" s="799"/>
      <c r="AK582" s="799"/>
      <c r="AL582" s="799"/>
      <c r="AM582" s="799"/>
      <c r="AN582" s="799"/>
      <c r="AO582" s="799"/>
      <c r="AP582" s="799"/>
      <c r="AQ582" s="799"/>
      <c r="AR582" s="799"/>
      <c r="AS582" s="799"/>
      <c r="AT582" s="799"/>
      <c r="AU582" s="799"/>
      <c r="AV582" s="799"/>
      <c r="AW582" s="799"/>
      <c r="AX582" s="799"/>
      <c r="AY582" s="799"/>
      <c r="AZ582" s="799"/>
      <c r="BA582" s="799"/>
      <c r="BB582" s="799"/>
      <c r="BC582" s="799"/>
      <c r="BD582" s="799"/>
      <c r="BE582" s="799"/>
      <c r="BF582" s="799"/>
      <c r="BG582" s="799"/>
    </row>
    <row r="583">
      <c r="H583" s="799"/>
      <c r="I583" s="799"/>
      <c r="J583" s="799"/>
      <c r="K583" s="799"/>
      <c r="L583" s="799"/>
      <c r="M583" s="799"/>
      <c r="N583" s="799"/>
      <c r="O583" s="799"/>
      <c r="P583" s="799"/>
      <c r="Q583" s="799"/>
      <c r="R583" s="799"/>
      <c r="S583" s="799"/>
      <c r="T583" s="799"/>
      <c r="U583" s="799"/>
      <c r="V583" s="799"/>
      <c r="W583" s="799"/>
      <c r="X583" s="799"/>
      <c r="Y583" s="799"/>
      <c r="Z583" s="799"/>
      <c r="AA583" s="799"/>
      <c r="AB583" s="799"/>
      <c r="AC583" s="799"/>
      <c r="AD583" s="799"/>
      <c r="AE583" s="799"/>
      <c r="AF583" s="799"/>
      <c r="AG583" s="799"/>
      <c r="AH583" s="799"/>
      <c r="AI583" s="799"/>
      <c r="AJ583" s="799"/>
      <c r="AK583" s="799"/>
      <c r="AL583" s="799"/>
      <c r="AM583" s="799"/>
      <c r="AN583" s="799"/>
      <c r="AO583" s="799"/>
      <c r="AP583" s="799"/>
      <c r="AQ583" s="799"/>
      <c r="AR583" s="799"/>
      <c r="AS583" s="799"/>
      <c r="AT583" s="799"/>
      <c r="AU583" s="799"/>
      <c r="AV583" s="799"/>
      <c r="AW583" s="799"/>
      <c r="AX583" s="799"/>
      <c r="AY583" s="799"/>
      <c r="AZ583" s="799"/>
      <c r="BA583" s="799"/>
      <c r="BB583" s="799"/>
      <c r="BC583" s="799"/>
      <c r="BD583" s="799"/>
      <c r="BE583" s="799"/>
      <c r="BF583" s="799"/>
      <c r="BG583" s="799"/>
    </row>
    <row r="584">
      <c r="H584" s="799"/>
      <c r="I584" s="799"/>
      <c r="J584" s="799"/>
      <c r="K584" s="799"/>
      <c r="L584" s="799"/>
      <c r="M584" s="799"/>
      <c r="N584" s="799"/>
      <c r="O584" s="799"/>
      <c r="P584" s="799"/>
      <c r="Q584" s="799"/>
      <c r="R584" s="799"/>
      <c r="S584" s="799"/>
      <c r="T584" s="799"/>
      <c r="U584" s="799"/>
      <c r="V584" s="799"/>
      <c r="W584" s="799"/>
      <c r="X584" s="799"/>
      <c r="Y584" s="799"/>
      <c r="Z584" s="799"/>
      <c r="AA584" s="799"/>
      <c r="AB584" s="799"/>
      <c r="AC584" s="799"/>
      <c r="AD584" s="799"/>
      <c r="AE584" s="799"/>
      <c r="AF584" s="799"/>
      <c r="AG584" s="799"/>
      <c r="AH584" s="799"/>
      <c r="AI584" s="799"/>
      <c r="AJ584" s="799"/>
      <c r="AK584" s="799"/>
      <c r="AL584" s="799"/>
      <c r="AM584" s="799"/>
      <c r="AN584" s="799"/>
      <c r="AO584" s="799"/>
      <c r="AP584" s="799"/>
      <c r="AQ584" s="799"/>
      <c r="AR584" s="799"/>
      <c r="AS584" s="799"/>
      <c r="AT584" s="799"/>
      <c r="AU584" s="799"/>
      <c r="AV584" s="799"/>
      <c r="AW584" s="799"/>
      <c r="AX584" s="799"/>
      <c r="AY584" s="799"/>
      <c r="AZ584" s="799"/>
      <c r="BA584" s="799"/>
      <c r="BB584" s="799"/>
      <c r="BC584" s="799"/>
      <c r="BD584" s="799"/>
      <c r="BE584" s="799"/>
      <c r="BF584" s="799"/>
      <c r="BG584" s="799"/>
    </row>
    <row r="585">
      <c r="H585" s="799"/>
      <c r="I585" s="799"/>
      <c r="J585" s="799"/>
      <c r="K585" s="799"/>
      <c r="L585" s="799"/>
      <c r="M585" s="799"/>
      <c r="N585" s="799"/>
      <c r="O585" s="799"/>
      <c r="P585" s="799"/>
      <c r="Q585" s="799"/>
      <c r="R585" s="799"/>
      <c r="S585" s="799"/>
      <c r="T585" s="799"/>
      <c r="U585" s="799"/>
      <c r="V585" s="799"/>
      <c r="W585" s="799"/>
      <c r="X585" s="799"/>
      <c r="Y585" s="799"/>
      <c r="Z585" s="799"/>
      <c r="AA585" s="799"/>
      <c r="AB585" s="799"/>
      <c r="AC585" s="799"/>
      <c r="AD585" s="799"/>
      <c r="AE585" s="799"/>
      <c r="AF585" s="799"/>
      <c r="AG585" s="799"/>
      <c r="AH585" s="799"/>
      <c r="AI585" s="799"/>
      <c r="AJ585" s="799"/>
      <c r="AK585" s="799"/>
      <c r="AL585" s="799"/>
      <c r="AM585" s="799"/>
      <c r="AN585" s="799"/>
      <c r="AO585" s="799"/>
      <c r="AP585" s="799"/>
      <c r="AQ585" s="799"/>
      <c r="AR585" s="799"/>
      <c r="AS585" s="799"/>
      <c r="AT585" s="799"/>
      <c r="AU585" s="799"/>
      <c r="AV585" s="799"/>
      <c r="AW585" s="799"/>
      <c r="AX585" s="799"/>
      <c r="AY585" s="799"/>
      <c r="AZ585" s="799"/>
      <c r="BA585" s="799"/>
      <c r="BB585" s="799"/>
      <c r="BC585" s="799"/>
      <c r="BD585" s="799"/>
      <c r="BE585" s="799"/>
      <c r="BF585" s="799"/>
      <c r="BG585" s="799"/>
    </row>
    <row r="586">
      <c r="H586" s="799"/>
      <c r="I586" s="799"/>
      <c r="J586" s="799"/>
      <c r="K586" s="799"/>
      <c r="L586" s="799"/>
      <c r="M586" s="799"/>
      <c r="N586" s="799"/>
      <c r="O586" s="799"/>
      <c r="P586" s="799"/>
      <c r="Q586" s="799"/>
      <c r="R586" s="799"/>
      <c r="S586" s="799"/>
      <c r="T586" s="799"/>
      <c r="U586" s="799"/>
      <c r="V586" s="799"/>
      <c r="W586" s="799"/>
      <c r="X586" s="799"/>
      <c r="Y586" s="799"/>
      <c r="Z586" s="799"/>
      <c r="AA586" s="799"/>
      <c r="AB586" s="799"/>
      <c r="AC586" s="799"/>
      <c r="AD586" s="799"/>
      <c r="AE586" s="799"/>
      <c r="AF586" s="799"/>
      <c r="AG586" s="799"/>
      <c r="AH586" s="799"/>
      <c r="AI586" s="799"/>
      <c r="AJ586" s="799"/>
      <c r="AK586" s="799"/>
      <c r="AL586" s="799"/>
      <c r="AM586" s="799"/>
      <c r="AN586" s="799"/>
      <c r="AO586" s="799"/>
      <c r="AP586" s="799"/>
      <c r="AQ586" s="799"/>
      <c r="AR586" s="799"/>
      <c r="AS586" s="799"/>
      <c r="AT586" s="799"/>
      <c r="AU586" s="799"/>
      <c r="AV586" s="799"/>
      <c r="AW586" s="799"/>
      <c r="AX586" s="799"/>
      <c r="AY586" s="799"/>
      <c r="AZ586" s="799"/>
      <c r="BA586" s="799"/>
      <c r="BB586" s="799"/>
      <c r="BC586" s="799"/>
      <c r="BD586" s="799"/>
      <c r="BE586" s="799"/>
      <c r="BF586" s="799"/>
      <c r="BG586" s="799"/>
    </row>
    <row r="587">
      <c r="H587" s="799"/>
      <c r="I587" s="799"/>
      <c r="J587" s="799"/>
      <c r="K587" s="799"/>
      <c r="L587" s="799"/>
      <c r="M587" s="799"/>
      <c r="N587" s="799"/>
      <c r="O587" s="799"/>
      <c r="P587" s="799"/>
      <c r="Q587" s="799"/>
      <c r="R587" s="799"/>
      <c r="S587" s="799"/>
      <c r="T587" s="799"/>
      <c r="U587" s="799"/>
      <c r="V587" s="799"/>
      <c r="W587" s="799"/>
      <c r="X587" s="799"/>
      <c r="Y587" s="799"/>
      <c r="Z587" s="799"/>
      <c r="AA587" s="799"/>
      <c r="AB587" s="799"/>
      <c r="AC587" s="799"/>
      <c r="AD587" s="799"/>
      <c r="AE587" s="799"/>
      <c r="AF587" s="799"/>
      <c r="AG587" s="799"/>
      <c r="AH587" s="799"/>
      <c r="AI587" s="799"/>
      <c r="AJ587" s="799"/>
      <c r="AK587" s="799"/>
      <c r="AL587" s="799"/>
      <c r="AM587" s="799"/>
      <c r="AN587" s="799"/>
      <c r="AO587" s="799"/>
      <c r="AP587" s="799"/>
      <c r="AQ587" s="799"/>
      <c r="AR587" s="799"/>
      <c r="AS587" s="799"/>
      <c r="AT587" s="799"/>
      <c r="AU587" s="799"/>
      <c r="AV587" s="799"/>
      <c r="AW587" s="799"/>
      <c r="AX587" s="799"/>
      <c r="AY587" s="799"/>
      <c r="AZ587" s="799"/>
      <c r="BA587" s="799"/>
      <c r="BB587" s="799"/>
      <c r="BC587" s="799"/>
      <c r="BD587" s="799"/>
      <c r="BE587" s="799"/>
      <c r="BF587" s="799"/>
      <c r="BG587" s="799"/>
    </row>
    <row r="588">
      <c r="H588" s="799"/>
      <c r="I588" s="799"/>
      <c r="J588" s="799"/>
      <c r="K588" s="799"/>
      <c r="L588" s="799"/>
      <c r="M588" s="799"/>
      <c r="N588" s="799"/>
      <c r="O588" s="799"/>
      <c r="P588" s="799"/>
      <c r="Q588" s="799"/>
      <c r="R588" s="799"/>
      <c r="S588" s="799"/>
      <c r="T588" s="799"/>
      <c r="U588" s="799"/>
      <c r="V588" s="799"/>
      <c r="W588" s="799"/>
      <c r="X588" s="799"/>
      <c r="Y588" s="799"/>
      <c r="Z588" s="799"/>
      <c r="AA588" s="799"/>
      <c r="AB588" s="799"/>
      <c r="AC588" s="799"/>
      <c r="AD588" s="799"/>
      <c r="AE588" s="799"/>
      <c r="AF588" s="799"/>
      <c r="AG588" s="799"/>
      <c r="AH588" s="799"/>
      <c r="AI588" s="799"/>
      <c r="AJ588" s="799"/>
      <c r="AK588" s="799"/>
      <c r="AL588" s="799"/>
      <c r="AM588" s="799"/>
      <c r="AN588" s="799"/>
      <c r="AO588" s="799"/>
      <c r="AP588" s="799"/>
      <c r="AQ588" s="799"/>
      <c r="AR588" s="799"/>
      <c r="AS588" s="799"/>
      <c r="AT588" s="799"/>
      <c r="AU588" s="799"/>
      <c r="AV588" s="799"/>
      <c r="AW588" s="799"/>
      <c r="AX588" s="799"/>
      <c r="AY588" s="799"/>
      <c r="AZ588" s="799"/>
      <c r="BA588" s="799"/>
      <c r="BB588" s="799"/>
      <c r="BC588" s="799"/>
      <c r="BD588" s="799"/>
      <c r="BE588" s="799"/>
      <c r="BF588" s="799"/>
      <c r="BG588" s="799"/>
    </row>
    <row r="589">
      <c r="H589" s="799"/>
      <c r="I589" s="799"/>
      <c r="J589" s="799"/>
      <c r="K589" s="799"/>
      <c r="L589" s="799"/>
      <c r="M589" s="799"/>
      <c r="N589" s="799"/>
      <c r="O589" s="799"/>
      <c r="P589" s="799"/>
      <c r="Q589" s="799"/>
      <c r="R589" s="799"/>
      <c r="S589" s="799"/>
      <c r="T589" s="799"/>
      <c r="U589" s="799"/>
      <c r="V589" s="799"/>
      <c r="W589" s="799"/>
      <c r="X589" s="799"/>
      <c r="Y589" s="799"/>
      <c r="Z589" s="799"/>
      <c r="AA589" s="799"/>
      <c r="AB589" s="799"/>
      <c r="AC589" s="799"/>
      <c r="AD589" s="799"/>
      <c r="AE589" s="799"/>
      <c r="AF589" s="799"/>
      <c r="AG589" s="799"/>
      <c r="AH589" s="799"/>
      <c r="AI589" s="799"/>
      <c r="AJ589" s="799"/>
      <c r="AK589" s="799"/>
      <c r="AL589" s="799"/>
      <c r="AM589" s="799"/>
      <c r="AN589" s="799"/>
      <c r="AO589" s="799"/>
      <c r="AP589" s="799"/>
      <c r="AQ589" s="799"/>
      <c r="AR589" s="799"/>
      <c r="AS589" s="799"/>
      <c r="AT589" s="799"/>
      <c r="AU589" s="799"/>
      <c r="AV589" s="799"/>
      <c r="AW589" s="799"/>
      <c r="AX589" s="799"/>
      <c r="AY589" s="799"/>
      <c r="AZ589" s="799"/>
      <c r="BA589" s="799"/>
      <c r="BB589" s="799"/>
      <c r="BC589" s="799"/>
      <c r="BD589" s="799"/>
      <c r="BE589" s="799"/>
      <c r="BF589" s="799"/>
      <c r="BG589" s="799"/>
    </row>
    <row r="590">
      <c r="H590" s="799"/>
      <c r="I590" s="799"/>
      <c r="J590" s="799"/>
      <c r="K590" s="799"/>
      <c r="L590" s="799"/>
      <c r="M590" s="799"/>
      <c r="N590" s="799"/>
      <c r="O590" s="799"/>
      <c r="P590" s="799"/>
      <c r="Q590" s="799"/>
      <c r="R590" s="799"/>
      <c r="S590" s="799"/>
      <c r="T590" s="799"/>
      <c r="U590" s="799"/>
      <c r="V590" s="799"/>
      <c r="W590" s="799"/>
      <c r="X590" s="799"/>
      <c r="Y590" s="799"/>
      <c r="Z590" s="799"/>
      <c r="AA590" s="799"/>
      <c r="AB590" s="799"/>
      <c r="AC590" s="799"/>
      <c r="AD590" s="799"/>
      <c r="AE590" s="799"/>
      <c r="AF590" s="799"/>
      <c r="AG590" s="799"/>
      <c r="AH590" s="799"/>
      <c r="AI590" s="799"/>
      <c r="AJ590" s="799"/>
      <c r="AK590" s="799"/>
      <c r="AL590" s="799"/>
      <c r="AM590" s="799"/>
      <c r="AN590" s="799"/>
      <c r="AO590" s="799"/>
      <c r="AP590" s="799"/>
      <c r="AQ590" s="799"/>
      <c r="AR590" s="799"/>
      <c r="AS590" s="799"/>
      <c r="AT590" s="799"/>
      <c r="AU590" s="799"/>
      <c r="AV590" s="799"/>
      <c r="AW590" s="799"/>
      <c r="AX590" s="799"/>
      <c r="AY590" s="799"/>
      <c r="AZ590" s="799"/>
      <c r="BA590" s="799"/>
      <c r="BB590" s="799"/>
      <c r="BC590" s="799"/>
      <c r="BD590" s="799"/>
      <c r="BE590" s="799"/>
      <c r="BF590" s="799"/>
      <c r="BG590" s="799"/>
    </row>
    <row r="591">
      <c r="H591" s="799"/>
      <c r="I591" s="799"/>
      <c r="J591" s="799"/>
      <c r="K591" s="799"/>
      <c r="L591" s="799"/>
      <c r="M591" s="799"/>
      <c r="N591" s="799"/>
      <c r="O591" s="799"/>
      <c r="P591" s="799"/>
      <c r="Q591" s="799"/>
      <c r="R591" s="799"/>
      <c r="S591" s="799"/>
      <c r="T591" s="799"/>
      <c r="U591" s="799"/>
      <c r="V591" s="799"/>
      <c r="W591" s="799"/>
      <c r="X591" s="799"/>
      <c r="Y591" s="799"/>
      <c r="Z591" s="799"/>
      <c r="AA591" s="799"/>
      <c r="AB591" s="799"/>
      <c r="AC591" s="799"/>
      <c r="AD591" s="799"/>
      <c r="AE591" s="799"/>
      <c r="AF591" s="799"/>
      <c r="AG591" s="799"/>
      <c r="AH591" s="799"/>
      <c r="AI591" s="799"/>
      <c r="AJ591" s="799"/>
      <c r="AK591" s="799"/>
      <c r="AL591" s="799"/>
      <c r="AM591" s="799"/>
      <c r="AN591" s="799"/>
      <c r="AO591" s="799"/>
      <c r="AP591" s="799"/>
      <c r="AQ591" s="799"/>
      <c r="AR591" s="799"/>
      <c r="AS591" s="799"/>
      <c r="AT591" s="799"/>
      <c r="AU591" s="799"/>
      <c r="AV591" s="799"/>
      <c r="AW591" s="799"/>
      <c r="AX591" s="799"/>
      <c r="AY591" s="799"/>
      <c r="AZ591" s="799"/>
      <c r="BA591" s="799"/>
      <c r="BB591" s="799"/>
      <c r="BC591" s="799"/>
      <c r="BD591" s="799"/>
      <c r="BE591" s="799"/>
      <c r="BF591" s="799"/>
      <c r="BG591" s="799"/>
    </row>
    <row r="592">
      <c r="H592" s="799"/>
      <c r="I592" s="799"/>
      <c r="J592" s="799"/>
      <c r="K592" s="799"/>
      <c r="L592" s="799"/>
      <c r="M592" s="799"/>
      <c r="N592" s="799"/>
      <c r="O592" s="799"/>
      <c r="P592" s="799"/>
      <c r="Q592" s="799"/>
      <c r="R592" s="799"/>
      <c r="S592" s="799"/>
      <c r="T592" s="799"/>
      <c r="U592" s="799"/>
      <c r="V592" s="799"/>
      <c r="W592" s="799"/>
      <c r="X592" s="799"/>
      <c r="Y592" s="799"/>
      <c r="Z592" s="799"/>
      <c r="AA592" s="799"/>
      <c r="AB592" s="799"/>
      <c r="AC592" s="799"/>
      <c r="AD592" s="799"/>
      <c r="AE592" s="799"/>
      <c r="AF592" s="799"/>
      <c r="AG592" s="799"/>
      <c r="AH592" s="799"/>
      <c r="AI592" s="799"/>
      <c r="AJ592" s="799"/>
      <c r="AK592" s="799"/>
      <c r="AL592" s="799"/>
      <c r="AM592" s="799"/>
      <c r="AN592" s="799"/>
      <c r="AO592" s="799"/>
      <c r="AP592" s="799"/>
      <c r="AQ592" s="799"/>
      <c r="AR592" s="799"/>
      <c r="AS592" s="799"/>
      <c r="AT592" s="799"/>
      <c r="AU592" s="799"/>
      <c r="AV592" s="799"/>
      <c r="AW592" s="799"/>
      <c r="AX592" s="799"/>
      <c r="AY592" s="799"/>
      <c r="AZ592" s="799"/>
      <c r="BA592" s="799"/>
      <c r="BB592" s="799"/>
      <c r="BC592" s="799"/>
      <c r="BD592" s="799"/>
      <c r="BE592" s="799"/>
      <c r="BF592" s="799"/>
      <c r="BG592" s="799"/>
    </row>
    <row r="593">
      <c r="H593" s="799"/>
      <c r="I593" s="799"/>
      <c r="J593" s="799"/>
      <c r="K593" s="799"/>
      <c r="L593" s="799"/>
      <c r="M593" s="799"/>
      <c r="N593" s="799"/>
      <c r="O593" s="799"/>
      <c r="P593" s="799"/>
      <c r="Q593" s="799"/>
      <c r="R593" s="799"/>
      <c r="S593" s="799"/>
      <c r="T593" s="799"/>
      <c r="U593" s="799"/>
      <c r="V593" s="799"/>
      <c r="W593" s="799"/>
      <c r="X593" s="799"/>
      <c r="Y593" s="799"/>
      <c r="Z593" s="799"/>
      <c r="AA593" s="799"/>
      <c r="AB593" s="799"/>
      <c r="AC593" s="799"/>
      <c r="AD593" s="799"/>
      <c r="AE593" s="799"/>
      <c r="AF593" s="799"/>
      <c r="AG593" s="799"/>
      <c r="AH593" s="799"/>
      <c r="AI593" s="799"/>
      <c r="AJ593" s="799"/>
      <c r="AK593" s="799"/>
      <c r="AL593" s="799"/>
      <c r="AM593" s="799"/>
      <c r="AN593" s="799"/>
      <c r="AO593" s="799"/>
      <c r="AP593" s="799"/>
      <c r="AQ593" s="799"/>
      <c r="AR593" s="799"/>
      <c r="AS593" s="799"/>
      <c r="AT593" s="799"/>
      <c r="AU593" s="799"/>
      <c r="AV593" s="799"/>
      <c r="AW593" s="799"/>
      <c r="AX593" s="799"/>
      <c r="AY593" s="799"/>
      <c r="AZ593" s="799"/>
      <c r="BA593" s="799"/>
      <c r="BB593" s="799"/>
      <c r="BC593" s="799"/>
      <c r="BD593" s="799"/>
      <c r="BE593" s="799"/>
      <c r="BF593" s="799"/>
      <c r="BG593" s="799"/>
    </row>
    <row r="594">
      <c r="H594" s="799"/>
      <c r="I594" s="799"/>
      <c r="J594" s="799"/>
      <c r="K594" s="799"/>
      <c r="L594" s="799"/>
      <c r="M594" s="799"/>
      <c r="N594" s="799"/>
      <c r="O594" s="799"/>
      <c r="P594" s="799"/>
      <c r="Q594" s="799"/>
      <c r="R594" s="799"/>
      <c r="S594" s="799"/>
      <c r="T594" s="799"/>
      <c r="U594" s="799"/>
      <c r="V594" s="799"/>
      <c r="W594" s="799"/>
      <c r="X594" s="799"/>
      <c r="Y594" s="799"/>
      <c r="Z594" s="799"/>
      <c r="AA594" s="799"/>
      <c r="AB594" s="799"/>
      <c r="AC594" s="799"/>
      <c r="AD594" s="799"/>
      <c r="AE594" s="799"/>
      <c r="AF594" s="799"/>
      <c r="AG594" s="799"/>
      <c r="AH594" s="799"/>
      <c r="AI594" s="799"/>
      <c r="AJ594" s="799"/>
      <c r="AK594" s="799"/>
      <c r="AL594" s="799"/>
      <c r="AM594" s="799"/>
      <c r="AN594" s="799"/>
      <c r="AO594" s="799"/>
      <c r="AP594" s="799"/>
      <c r="AQ594" s="799"/>
      <c r="AR594" s="799"/>
      <c r="AS594" s="799"/>
      <c r="AT594" s="799"/>
      <c r="AU594" s="799"/>
      <c r="AV594" s="799"/>
      <c r="AW594" s="799"/>
      <c r="AX594" s="799"/>
      <c r="AY594" s="799"/>
      <c r="AZ594" s="799"/>
      <c r="BA594" s="799"/>
      <c r="BB594" s="799"/>
      <c r="BC594" s="799"/>
      <c r="BD594" s="799"/>
      <c r="BE594" s="799"/>
      <c r="BF594" s="799"/>
      <c r="BG594" s="799"/>
    </row>
    <row r="595">
      <c r="H595" s="799"/>
      <c r="I595" s="799"/>
      <c r="J595" s="799"/>
      <c r="K595" s="799"/>
      <c r="L595" s="799"/>
      <c r="M595" s="799"/>
      <c r="N595" s="799"/>
      <c r="O595" s="799"/>
      <c r="P595" s="799"/>
      <c r="Q595" s="799"/>
      <c r="R595" s="799"/>
      <c r="S595" s="799"/>
      <c r="T595" s="799"/>
      <c r="U595" s="799"/>
      <c r="V595" s="799"/>
      <c r="W595" s="799"/>
      <c r="X595" s="799"/>
      <c r="Y595" s="799"/>
      <c r="Z595" s="799"/>
      <c r="AA595" s="799"/>
      <c r="AB595" s="799"/>
      <c r="AC595" s="799"/>
      <c r="AD595" s="799"/>
      <c r="AE595" s="799"/>
      <c r="AF595" s="799"/>
      <c r="AG595" s="799"/>
      <c r="AH595" s="799"/>
      <c r="AI595" s="799"/>
      <c r="AJ595" s="799"/>
      <c r="AK595" s="799"/>
      <c r="AL595" s="799"/>
      <c r="AM595" s="799"/>
      <c r="AN595" s="799"/>
      <c r="AO595" s="799"/>
      <c r="AP595" s="799"/>
      <c r="AQ595" s="799"/>
      <c r="AR595" s="799"/>
      <c r="AS595" s="799"/>
      <c r="AT595" s="799"/>
      <c r="AU595" s="799"/>
      <c r="AV595" s="799"/>
      <c r="AW595" s="799"/>
      <c r="AX595" s="799"/>
      <c r="AY595" s="799"/>
      <c r="AZ595" s="799"/>
      <c r="BA595" s="799"/>
      <c r="BB595" s="799"/>
      <c r="BC595" s="799"/>
      <c r="BD595" s="799"/>
      <c r="BE595" s="799"/>
      <c r="BF595" s="799"/>
      <c r="BG595" s="799"/>
    </row>
    <row r="596">
      <c r="H596" s="799"/>
      <c r="I596" s="799"/>
      <c r="J596" s="799"/>
      <c r="K596" s="799"/>
      <c r="L596" s="799"/>
      <c r="M596" s="799"/>
      <c r="N596" s="799"/>
      <c r="O596" s="799"/>
      <c r="P596" s="799"/>
      <c r="Q596" s="799"/>
      <c r="R596" s="799"/>
      <c r="S596" s="799"/>
      <c r="T596" s="799"/>
      <c r="U596" s="799"/>
      <c r="V596" s="799"/>
      <c r="W596" s="799"/>
      <c r="X596" s="799"/>
      <c r="Y596" s="799"/>
      <c r="Z596" s="799"/>
      <c r="AA596" s="799"/>
      <c r="AB596" s="799"/>
      <c r="AC596" s="799"/>
      <c r="AD596" s="799"/>
      <c r="AE596" s="799"/>
      <c r="AF596" s="799"/>
      <c r="AG596" s="799"/>
      <c r="AH596" s="799"/>
      <c r="AI596" s="799"/>
      <c r="AJ596" s="799"/>
      <c r="AK596" s="799"/>
      <c r="AL596" s="799"/>
      <c r="AM596" s="799"/>
      <c r="AN596" s="799"/>
      <c r="AO596" s="799"/>
      <c r="AP596" s="799"/>
      <c r="AQ596" s="799"/>
      <c r="AR596" s="799"/>
      <c r="AS596" s="799"/>
      <c r="AT596" s="799"/>
      <c r="AU596" s="799"/>
      <c r="AV596" s="799"/>
      <c r="AW596" s="799"/>
      <c r="AX596" s="799"/>
      <c r="AY596" s="799"/>
      <c r="AZ596" s="799"/>
      <c r="BA596" s="799"/>
      <c r="BB596" s="799"/>
      <c r="BC596" s="799"/>
      <c r="BD596" s="799"/>
      <c r="BE596" s="799"/>
      <c r="BF596" s="799"/>
      <c r="BG596" s="799"/>
    </row>
    <row r="597">
      <c r="H597" s="799"/>
      <c r="I597" s="799"/>
      <c r="J597" s="799"/>
      <c r="K597" s="799"/>
      <c r="L597" s="799"/>
      <c r="M597" s="799"/>
      <c r="N597" s="799"/>
      <c r="O597" s="799"/>
      <c r="P597" s="799"/>
      <c r="Q597" s="799"/>
      <c r="R597" s="799"/>
      <c r="S597" s="799"/>
      <c r="T597" s="799"/>
      <c r="U597" s="799"/>
      <c r="V597" s="799"/>
      <c r="W597" s="799"/>
      <c r="X597" s="799"/>
      <c r="Y597" s="799"/>
      <c r="Z597" s="799"/>
      <c r="AA597" s="799"/>
      <c r="AB597" s="799"/>
      <c r="AC597" s="799"/>
      <c r="AD597" s="799"/>
      <c r="AE597" s="799"/>
      <c r="AF597" s="799"/>
      <c r="AG597" s="799"/>
      <c r="AH597" s="799"/>
      <c r="AI597" s="799"/>
      <c r="AJ597" s="799"/>
      <c r="AK597" s="799"/>
      <c r="AL597" s="799"/>
      <c r="AM597" s="799"/>
      <c r="AN597" s="799"/>
      <c r="AO597" s="799"/>
      <c r="AP597" s="799"/>
      <c r="AQ597" s="799"/>
      <c r="AR597" s="799"/>
      <c r="AS597" s="799"/>
      <c r="AT597" s="799"/>
      <c r="AU597" s="799"/>
      <c r="AV597" s="799"/>
      <c r="AW597" s="799"/>
      <c r="AX597" s="799"/>
      <c r="AY597" s="799"/>
      <c r="AZ597" s="799"/>
      <c r="BA597" s="799"/>
      <c r="BB597" s="799"/>
      <c r="BC597" s="799"/>
      <c r="BD597" s="799"/>
      <c r="BE597" s="799"/>
      <c r="BF597" s="799"/>
      <c r="BG597" s="799"/>
    </row>
    <row r="598">
      <c r="H598" s="799"/>
      <c r="I598" s="799"/>
      <c r="J598" s="799"/>
      <c r="K598" s="799"/>
      <c r="L598" s="799"/>
      <c r="M598" s="799"/>
      <c r="N598" s="799"/>
      <c r="O598" s="799"/>
      <c r="P598" s="799"/>
      <c r="Q598" s="799"/>
      <c r="R598" s="799"/>
      <c r="S598" s="799"/>
      <c r="T598" s="799"/>
      <c r="U598" s="799"/>
      <c r="V598" s="799"/>
      <c r="W598" s="799"/>
      <c r="X598" s="799"/>
      <c r="Y598" s="799"/>
      <c r="Z598" s="799"/>
      <c r="AA598" s="799"/>
      <c r="AB598" s="799"/>
      <c r="AC598" s="799"/>
      <c r="AD598" s="799"/>
      <c r="AE598" s="799"/>
      <c r="AF598" s="799"/>
      <c r="AG598" s="799"/>
      <c r="AH598" s="799"/>
      <c r="AI598" s="799"/>
      <c r="AJ598" s="799"/>
      <c r="AK598" s="799"/>
      <c r="AL598" s="799"/>
      <c r="AM598" s="799"/>
      <c r="AN598" s="799"/>
      <c r="AO598" s="799"/>
      <c r="AP598" s="799"/>
      <c r="AQ598" s="799"/>
      <c r="AR598" s="799"/>
      <c r="AS598" s="799"/>
      <c r="AT598" s="799"/>
      <c r="AU598" s="799"/>
      <c r="AV598" s="799"/>
      <c r="AW598" s="799"/>
      <c r="AX598" s="799"/>
      <c r="AY598" s="799"/>
      <c r="AZ598" s="799"/>
      <c r="BA598" s="799"/>
      <c r="BB598" s="799"/>
      <c r="BC598" s="799"/>
      <c r="BD598" s="799"/>
      <c r="BE598" s="799"/>
      <c r="BF598" s="799"/>
      <c r="BG598" s="799"/>
    </row>
    <row r="599">
      <c r="H599" s="799"/>
      <c r="I599" s="799"/>
      <c r="J599" s="799"/>
      <c r="K599" s="799"/>
      <c r="L599" s="799"/>
      <c r="M599" s="799"/>
      <c r="N599" s="799"/>
      <c r="O599" s="799"/>
      <c r="P599" s="799"/>
      <c r="Q599" s="799"/>
      <c r="R599" s="799"/>
      <c r="S599" s="799"/>
      <c r="T599" s="799"/>
      <c r="U599" s="799"/>
      <c r="V599" s="799"/>
      <c r="W599" s="799"/>
      <c r="X599" s="799"/>
      <c r="Y599" s="799"/>
      <c r="Z599" s="799"/>
      <c r="AA599" s="799"/>
      <c r="AB599" s="799"/>
      <c r="AC599" s="799"/>
      <c r="AD599" s="799"/>
      <c r="AE599" s="799"/>
      <c r="AF599" s="799"/>
      <c r="AG599" s="799"/>
      <c r="AH599" s="799"/>
      <c r="AI599" s="799"/>
      <c r="AJ599" s="799"/>
      <c r="AK599" s="799"/>
      <c r="AL599" s="799"/>
      <c r="AM599" s="799"/>
      <c r="AN599" s="799"/>
      <c r="AO599" s="799"/>
      <c r="AP599" s="799"/>
      <c r="AQ599" s="799"/>
      <c r="AR599" s="799"/>
      <c r="AS599" s="799"/>
      <c r="AT599" s="799"/>
      <c r="AU599" s="799"/>
      <c r="AV599" s="799"/>
      <c r="AW599" s="799"/>
      <c r="AX599" s="799"/>
      <c r="AY599" s="799"/>
      <c r="AZ599" s="799"/>
      <c r="BA599" s="799"/>
      <c r="BB599" s="799"/>
      <c r="BC599" s="799"/>
      <c r="BD599" s="799"/>
      <c r="BE599" s="799"/>
      <c r="BF599" s="799"/>
      <c r="BG599" s="799"/>
    </row>
    <row r="600">
      <c r="H600" s="799"/>
      <c r="I600" s="799"/>
      <c r="J600" s="799"/>
      <c r="K600" s="799"/>
      <c r="L600" s="799"/>
      <c r="M600" s="799"/>
      <c r="N600" s="799"/>
      <c r="O600" s="799"/>
      <c r="P600" s="799"/>
      <c r="Q600" s="799"/>
      <c r="R600" s="799"/>
      <c r="S600" s="799"/>
      <c r="T600" s="799"/>
      <c r="U600" s="799"/>
      <c r="V600" s="799"/>
      <c r="W600" s="799"/>
      <c r="X600" s="799"/>
      <c r="Y600" s="799"/>
      <c r="Z600" s="799"/>
      <c r="AA600" s="799"/>
      <c r="AB600" s="799"/>
      <c r="AC600" s="799"/>
      <c r="AD600" s="799"/>
      <c r="AE600" s="799"/>
      <c r="AF600" s="799"/>
      <c r="AG600" s="799"/>
      <c r="AH600" s="799"/>
      <c r="AI600" s="799"/>
      <c r="AJ600" s="799"/>
      <c r="AK600" s="799"/>
      <c r="AL600" s="799"/>
      <c r="AM600" s="799"/>
      <c r="AN600" s="799"/>
      <c r="AO600" s="799"/>
      <c r="AP600" s="799"/>
      <c r="AQ600" s="799"/>
      <c r="AR600" s="799"/>
      <c r="AS600" s="799"/>
      <c r="AT600" s="799"/>
      <c r="AU600" s="799"/>
      <c r="AV600" s="799"/>
      <c r="AW600" s="799"/>
      <c r="AX600" s="799"/>
      <c r="AY600" s="799"/>
      <c r="AZ600" s="799"/>
      <c r="BA600" s="799"/>
      <c r="BB600" s="799"/>
      <c r="BC600" s="799"/>
      <c r="BD600" s="799"/>
      <c r="BE600" s="799"/>
      <c r="BF600" s="799"/>
      <c r="BG600" s="799"/>
    </row>
    <row r="601">
      <c r="H601" s="799"/>
      <c r="I601" s="799"/>
      <c r="J601" s="799"/>
      <c r="K601" s="799"/>
      <c r="L601" s="799"/>
      <c r="M601" s="799"/>
      <c r="N601" s="799"/>
      <c r="O601" s="799"/>
      <c r="P601" s="799"/>
      <c r="Q601" s="799"/>
      <c r="R601" s="799"/>
      <c r="S601" s="799"/>
      <c r="T601" s="799"/>
      <c r="U601" s="799"/>
      <c r="V601" s="799"/>
      <c r="W601" s="799"/>
      <c r="X601" s="799"/>
      <c r="Y601" s="799"/>
      <c r="Z601" s="799"/>
      <c r="AA601" s="799"/>
      <c r="AB601" s="799"/>
      <c r="AC601" s="799"/>
      <c r="AD601" s="799"/>
      <c r="AE601" s="799"/>
      <c r="AF601" s="799"/>
      <c r="AG601" s="799"/>
      <c r="AH601" s="799"/>
      <c r="AI601" s="799"/>
      <c r="AJ601" s="799"/>
      <c r="AK601" s="799"/>
      <c r="AL601" s="799"/>
      <c r="AM601" s="799"/>
      <c r="AN601" s="799"/>
      <c r="AO601" s="799"/>
      <c r="AP601" s="799"/>
      <c r="AQ601" s="799"/>
      <c r="AR601" s="799"/>
      <c r="AS601" s="799"/>
      <c r="AT601" s="799"/>
      <c r="AU601" s="799"/>
      <c r="AV601" s="799"/>
      <c r="AW601" s="799"/>
      <c r="AX601" s="799"/>
      <c r="AY601" s="799"/>
      <c r="AZ601" s="799"/>
      <c r="BA601" s="799"/>
      <c r="BB601" s="799"/>
      <c r="BC601" s="799"/>
      <c r="BD601" s="799"/>
      <c r="BE601" s="799"/>
      <c r="BF601" s="799"/>
      <c r="BG601" s="799"/>
    </row>
    <row r="602">
      <c r="H602" s="799"/>
      <c r="I602" s="799"/>
      <c r="J602" s="799"/>
      <c r="K602" s="799"/>
      <c r="L602" s="799"/>
      <c r="M602" s="799"/>
      <c r="N602" s="799"/>
      <c r="O602" s="799"/>
      <c r="P602" s="799"/>
      <c r="Q602" s="799"/>
      <c r="R602" s="799"/>
      <c r="S602" s="799"/>
      <c r="T602" s="799"/>
      <c r="U602" s="799"/>
      <c r="V602" s="799"/>
      <c r="W602" s="799"/>
      <c r="X602" s="799"/>
      <c r="Y602" s="799"/>
      <c r="Z602" s="799"/>
      <c r="AA602" s="799"/>
      <c r="AB602" s="799"/>
      <c r="AC602" s="799"/>
      <c r="AD602" s="799"/>
      <c r="AE602" s="799"/>
      <c r="AF602" s="799"/>
      <c r="AG602" s="799"/>
      <c r="AH602" s="799"/>
      <c r="AI602" s="799"/>
      <c r="AJ602" s="799"/>
      <c r="AK602" s="799"/>
      <c r="AL602" s="799"/>
      <c r="AM602" s="799"/>
      <c r="AN602" s="799"/>
      <c r="AO602" s="799"/>
      <c r="AP602" s="799"/>
      <c r="AQ602" s="799"/>
      <c r="AR602" s="799"/>
      <c r="AS602" s="799"/>
      <c r="AT602" s="799"/>
      <c r="AU602" s="799"/>
      <c r="AV602" s="799"/>
      <c r="AW602" s="799"/>
      <c r="AX602" s="799"/>
      <c r="AY602" s="799"/>
      <c r="AZ602" s="799"/>
      <c r="BA602" s="799"/>
      <c r="BB602" s="799"/>
      <c r="BC602" s="799"/>
      <c r="BD602" s="799"/>
      <c r="BE602" s="799"/>
      <c r="BF602" s="799"/>
      <c r="BG602" s="799"/>
    </row>
    <row r="603">
      <c r="H603" s="799"/>
      <c r="I603" s="799"/>
      <c r="J603" s="799"/>
      <c r="K603" s="799"/>
      <c r="L603" s="799"/>
      <c r="M603" s="799"/>
      <c r="N603" s="799"/>
      <c r="O603" s="799"/>
      <c r="P603" s="799"/>
      <c r="Q603" s="799"/>
      <c r="R603" s="799"/>
      <c r="S603" s="799"/>
      <c r="T603" s="799"/>
      <c r="U603" s="799"/>
      <c r="V603" s="799"/>
      <c r="W603" s="799"/>
      <c r="X603" s="799"/>
      <c r="Y603" s="799"/>
      <c r="Z603" s="799"/>
      <c r="AA603" s="799"/>
      <c r="AB603" s="799"/>
      <c r="AC603" s="799"/>
      <c r="AD603" s="799"/>
      <c r="AE603" s="799"/>
      <c r="AF603" s="799"/>
      <c r="AG603" s="799"/>
      <c r="AH603" s="799"/>
      <c r="AI603" s="799"/>
      <c r="AJ603" s="799"/>
      <c r="AK603" s="799"/>
      <c r="AL603" s="799"/>
      <c r="AM603" s="799"/>
      <c r="AN603" s="799"/>
      <c r="AO603" s="799"/>
      <c r="AP603" s="799"/>
      <c r="AQ603" s="799"/>
      <c r="AR603" s="799"/>
      <c r="AS603" s="799"/>
      <c r="AT603" s="799"/>
      <c r="AU603" s="799"/>
      <c r="AV603" s="799"/>
      <c r="AW603" s="799"/>
      <c r="AX603" s="799"/>
      <c r="AY603" s="799"/>
      <c r="AZ603" s="799"/>
      <c r="BA603" s="799"/>
      <c r="BB603" s="799"/>
      <c r="BC603" s="799"/>
      <c r="BD603" s="799"/>
      <c r="BE603" s="799"/>
      <c r="BF603" s="799"/>
      <c r="BG603" s="799"/>
    </row>
    <row r="604">
      <c r="H604" s="799"/>
      <c r="I604" s="799"/>
      <c r="J604" s="799"/>
      <c r="K604" s="799"/>
      <c r="L604" s="799"/>
      <c r="M604" s="799"/>
      <c r="N604" s="799"/>
      <c r="O604" s="799"/>
      <c r="P604" s="799"/>
      <c r="Q604" s="799"/>
      <c r="R604" s="799"/>
      <c r="S604" s="799"/>
      <c r="T604" s="799"/>
      <c r="U604" s="799"/>
      <c r="V604" s="799"/>
      <c r="W604" s="799"/>
      <c r="X604" s="799"/>
      <c r="Y604" s="799"/>
      <c r="Z604" s="799"/>
      <c r="AA604" s="799"/>
      <c r="AB604" s="799"/>
      <c r="AC604" s="799"/>
      <c r="AD604" s="799"/>
      <c r="AE604" s="799"/>
      <c r="AF604" s="799"/>
      <c r="AG604" s="799"/>
      <c r="AH604" s="799"/>
      <c r="AI604" s="799"/>
      <c r="AJ604" s="799"/>
      <c r="AK604" s="799"/>
      <c r="AL604" s="799"/>
      <c r="AM604" s="799"/>
      <c r="AN604" s="799"/>
      <c r="AO604" s="799"/>
      <c r="AP604" s="799"/>
      <c r="AQ604" s="799"/>
      <c r="AR604" s="799"/>
      <c r="AS604" s="799"/>
      <c r="AT604" s="799"/>
      <c r="AU604" s="799"/>
      <c r="AV604" s="799"/>
      <c r="AW604" s="799"/>
      <c r="AX604" s="799"/>
      <c r="AY604" s="799"/>
      <c r="AZ604" s="799"/>
      <c r="BA604" s="799"/>
      <c r="BB604" s="799"/>
      <c r="BC604" s="799"/>
      <c r="BD604" s="799"/>
      <c r="BE604" s="799"/>
      <c r="BF604" s="799"/>
      <c r="BG604" s="799"/>
    </row>
    <row r="605">
      <c r="H605" s="799"/>
      <c r="I605" s="799"/>
      <c r="J605" s="799"/>
      <c r="K605" s="799"/>
      <c r="L605" s="799"/>
      <c r="M605" s="799"/>
      <c r="N605" s="799"/>
      <c r="O605" s="799"/>
      <c r="P605" s="799"/>
      <c r="Q605" s="799"/>
      <c r="R605" s="799"/>
      <c r="S605" s="799"/>
      <c r="T605" s="799"/>
      <c r="U605" s="799"/>
      <c r="V605" s="799"/>
      <c r="W605" s="799"/>
      <c r="X605" s="799"/>
      <c r="Y605" s="799"/>
      <c r="Z605" s="799"/>
      <c r="AA605" s="799"/>
      <c r="AB605" s="799"/>
      <c r="AC605" s="799"/>
      <c r="AD605" s="799"/>
      <c r="AE605" s="799"/>
      <c r="AF605" s="799"/>
      <c r="AG605" s="799"/>
      <c r="AH605" s="799"/>
      <c r="AI605" s="799"/>
      <c r="AJ605" s="799"/>
      <c r="AK605" s="799"/>
      <c r="AL605" s="799"/>
      <c r="AM605" s="799"/>
      <c r="AN605" s="799"/>
      <c r="AO605" s="799"/>
      <c r="AP605" s="799"/>
      <c r="AQ605" s="799"/>
      <c r="AR605" s="799"/>
      <c r="AS605" s="799"/>
      <c r="AT605" s="799"/>
      <c r="AU605" s="799"/>
      <c r="AV605" s="799"/>
      <c r="AW605" s="799"/>
      <c r="AX605" s="799"/>
      <c r="AY605" s="799"/>
      <c r="AZ605" s="799"/>
      <c r="BA605" s="799"/>
      <c r="BB605" s="799"/>
      <c r="BC605" s="799"/>
      <c r="BD605" s="799"/>
      <c r="BE605" s="799"/>
      <c r="BF605" s="799"/>
      <c r="BG605" s="799"/>
    </row>
    <row r="606">
      <c r="H606" s="799"/>
      <c r="I606" s="799"/>
      <c r="J606" s="799"/>
      <c r="K606" s="799"/>
      <c r="L606" s="799"/>
      <c r="M606" s="799"/>
      <c r="N606" s="799"/>
      <c r="O606" s="799"/>
      <c r="P606" s="799"/>
      <c r="Q606" s="799"/>
      <c r="R606" s="799"/>
      <c r="S606" s="799"/>
      <c r="T606" s="799"/>
      <c r="U606" s="799"/>
      <c r="V606" s="799"/>
      <c r="W606" s="799"/>
      <c r="X606" s="799"/>
      <c r="Y606" s="799"/>
      <c r="Z606" s="799"/>
      <c r="AA606" s="799"/>
      <c r="AB606" s="799"/>
      <c r="AC606" s="799"/>
      <c r="AD606" s="799"/>
      <c r="AE606" s="799"/>
      <c r="AF606" s="799"/>
      <c r="AG606" s="799"/>
      <c r="AH606" s="799"/>
      <c r="AI606" s="799"/>
      <c r="AJ606" s="799"/>
      <c r="AK606" s="799"/>
      <c r="AL606" s="799"/>
      <c r="AM606" s="799"/>
      <c r="AN606" s="799"/>
      <c r="AO606" s="799"/>
      <c r="AP606" s="799"/>
      <c r="AQ606" s="799"/>
      <c r="AR606" s="799"/>
      <c r="AS606" s="799"/>
      <c r="AT606" s="799"/>
      <c r="AU606" s="799"/>
      <c r="AV606" s="799"/>
      <c r="AW606" s="799"/>
      <c r="AX606" s="799"/>
      <c r="AY606" s="799"/>
      <c r="AZ606" s="799"/>
      <c r="BA606" s="799"/>
      <c r="BB606" s="799"/>
      <c r="BC606" s="799"/>
      <c r="BD606" s="799"/>
      <c r="BE606" s="799"/>
      <c r="BF606" s="799"/>
      <c r="BG606" s="799"/>
    </row>
    <row r="607">
      <c r="H607" s="799"/>
      <c r="I607" s="799"/>
      <c r="J607" s="799"/>
      <c r="K607" s="799"/>
      <c r="L607" s="799"/>
      <c r="M607" s="799"/>
      <c r="N607" s="799"/>
      <c r="O607" s="799"/>
      <c r="P607" s="799"/>
      <c r="Q607" s="799"/>
      <c r="R607" s="799"/>
      <c r="S607" s="799"/>
      <c r="T607" s="799"/>
      <c r="U607" s="799"/>
      <c r="V607" s="799"/>
      <c r="W607" s="799"/>
      <c r="X607" s="799"/>
      <c r="Y607" s="799"/>
      <c r="Z607" s="799"/>
      <c r="AA607" s="799"/>
      <c r="AB607" s="799"/>
      <c r="AC607" s="799"/>
      <c r="AD607" s="799"/>
      <c r="AE607" s="799"/>
      <c r="AF607" s="799"/>
      <c r="AG607" s="799"/>
      <c r="AH607" s="799"/>
      <c r="AI607" s="799"/>
      <c r="AJ607" s="799"/>
      <c r="AK607" s="799"/>
      <c r="AL607" s="799"/>
      <c r="AM607" s="799"/>
      <c r="AN607" s="799"/>
      <c r="AO607" s="799"/>
      <c r="AP607" s="799"/>
      <c r="AQ607" s="799"/>
      <c r="AR607" s="799"/>
      <c r="AS607" s="799"/>
      <c r="AT607" s="799"/>
      <c r="AU607" s="799"/>
      <c r="AV607" s="799"/>
      <c r="AW607" s="799"/>
      <c r="AX607" s="799"/>
      <c r="AY607" s="799"/>
      <c r="AZ607" s="799"/>
      <c r="BA607" s="799"/>
      <c r="BB607" s="799"/>
      <c r="BC607" s="799"/>
      <c r="BD607" s="799"/>
      <c r="BE607" s="799"/>
      <c r="BF607" s="799"/>
      <c r="BG607" s="799"/>
    </row>
    <row r="608">
      <c r="H608" s="799"/>
      <c r="I608" s="799"/>
      <c r="J608" s="799"/>
      <c r="K608" s="799"/>
      <c r="L608" s="799"/>
      <c r="M608" s="799"/>
      <c r="N608" s="799"/>
      <c r="O608" s="799"/>
      <c r="P608" s="799"/>
      <c r="Q608" s="799"/>
      <c r="R608" s="799"/>
      <c r="S608" s="799"/>
      <c r="T608" s="799"/>
      <c r="U608" s="799"/>
      <c r="V608" s="799"/>
      <c r="W608" s="799"/>
      <c r="X608" s="799"/>
      <c r="Y608" s="799"/>
      <c r="Z608" s="799"/>
      <c r="AA608" s="799"/>
      <c r="AB608" s="799"/>
      <c r="AC608" s="799"/>
      <c r="AD608" s="799"/>
      <c r="AE608" s="799"/>
      <c r="AF608" s="799"/>
      <c r="AG608" s="799"/>
      <c r="AH608" s="799"/>
      <c r="AI608" s="799"/>
      <c r="AJ608" s="799"/>
      <c r="AK608" s="799"/>
      <c r="AL608" s="799"/>
      <c r="AM608" s="799"/>
      <c r="AN608" s="799"/>
      <c r="AO608" s="799"/>
      <c r="AP608" s="799"/>
      <c r="AQ608" s="799"/>
      <c r="AR608" s="799"/>
      <c r="AS608" s="799"/>
      <c r="AT608" s="799"/>
      <c r="AU608" s="799"/>
      <c r="AV608" s="799"/>
      <c r="AW608" s="799"/>
      <c r="AX608" s="799"/>
      <c r="AY608" s="799"/>
      <c r="AZ608" s="799"/>
      <c r="BA608" s="799"/>
      <c r="BB608" s="799"/>
      <c r="BC608" s="799"/>
      <c r="BD608" s="799"/>
      <c r="BE608" s="799"/>
      <c r="BF608" s="799"/>
      <c r="BG608" s="799"/>
    </row>
    <row r="609">
      <c r="H609" s="799"/>
      <c r="I609" s="799"/>
      <c r="J609" s="799"/>
      <c r="K609" s="799"/>
      <c r="L609" s="799"/>
      <c r="M609" s="799"/>
      <c r="N609" s="799"/>
      <c r="O609" s="799"/>
      <c r="P609" s="799"/>
      <c r="Q609" s="799"/>
      <c r="R609" s="799"/>
      <c r="S609" s="799"/>
      <c r="T609" s="799"/>
      <c r="U609" s="799"/>
      <c r="V609" s="799"/>
      <c r="W609" s="799"/>
      <c r="X609" s="799"/>
      <c r="Y609" s="799"/>
      <c r="Z609" s="799"/>
      <c r="AA609" s="799"/>
      <c r="AB609" s="799"/>
      <c r="AC609" s="799"/>
      <c r="AD609" s="799"/>
      <c r="AE609" s="799"/>
      <c r="AF609" s="799"/>
      <c r="AG609" s="799"/>
      <c r="AH609" s="799"/>
      <c r="AI609" s="799"/>
      <c r="AJ609" s="799"/>
      <c r="AK609" s="799"/>
      <c r="AL609" s="799"/>
      <c r="AM609" s="799"/>
      <c r="AN609" s="799"/>
      <c r="AO609" s="799"/>
      <c r="AP609" s="799"/>
      <c r="AQ609" s="799"/>
      <c r="AR609" s="799"/>
      <c r="AS609" s="799"/>
      <c r="AT609" s="799"/>
      <c r="AU609" s="799"/>
      <c r="AV609" s="799"/>
      <c r="AW609" s="799"/>
      <c r="AX609" s="799"/>
      <c r="AY609" s="799"/>
      <c r="AZ609" s="799"/>
      <c r="BA609" s="799"/>
      <c r="BB609" s="799"/>
      <c r="BC609" s="799"/>
      <c r="BD609" s="799"/>
      <c r="BE609" s="799"/>
      <c r="BF609" s="799"/>
      <c r="BG609" s="799"/>
    </row>
    <row r="610">
      <c r="H610" s="799"/>
      <c r="I610" s="799"/>
      <c r="J610" s="799"/>
      <c r="K610" s="799"/>
      <c r="L610" s="799"/>
      <c r="M610" s="799"/>
      <c r="N610" s="799"/>
      <c r="O610" s="799"/>
      <c r="P610" s="799"/>
      <c r="Q610" s="799"/>
      <c r="R610" s="799"/>
      <c r="S610" s="799"/>
      <c r="T610" s="799"/>
      <c r="U610" s="799"/>
      <c r="V610" s="799"/>
      <c r="W610" s="799"/>
      <c r="X610" s="799"/>
      <c r="Y610" s="799"/>
      <c r="Z610" s="799"/>
      <c r="AA610" s="799"/>
      <c r="AB610" s="799"/>
      <c r="AC610" s="799"/>
      <c r="AD610" s="799"/>
      <c r="AE610" s="799"/>
      <c r="AF610" s="799"/>
      <c r="AG610" s="799"/>
      <c r="AH610" s="799"/>
      <c r="AI610" s="799"/>
      <c r="AJ610" s="799"/>
      <c r="AK610" s="799"/>
      <c r="AL610" s="799"/>
      <c r="AM610" s="799"/>
      <c r="AN610" s="799"/>
      <c r="AO610" s="799"/>
      <c r="AP610" s="799"/>
      <c r="AQ610" s="799"/>
      <c r="AR610" s="799"/>
      <c r="AS610" s="799"/>
      <c r="AT610" s="799"/>
      <c r="AU610" s="799"/>
      <c r="AV610" s="799"/>
      <c r="AW610" s="799"/>
      <c r="AX610" s="799"/>
      <c r="AY610" s="799"/>
      <c r="AZ610" s="799"/>
      <c r="BA610" s="799"/>
      <c r="BB610" s="799"/>
      <c r="BC610" s="799"/>
      <c r="BD610" s="799"/>
      <c r="BE610" s="799"/>
      <c r="BF610" s="799"/>
      <c r="BG610" s="799"/>
    </row>
    <row r="611">
      <c r="H611" s="799"/>
      <c r="I611" s="799"/>
      <c r="J611" s="799"/>
      <c r="K611" s="799"/>
      <c r="L611" s="799"/>
      <c r="M611" s="799"/>
      <c r="N611" s="799"/>
      <c r="O611" s="799"/>
      <c r="P611" s="799"/>
      <c r="Q611" s="799"/>
      <c r="R611" s="799"/>
      <c r="S611" s="799"/>
      <c r="T611" s="799"/>
      <c r="U611" s="799"/>
      <c r="V611" s="799"/>
      <c r="W611" s="799"/>
      <c r="X611" s="799"/>
      <c r="Y611" s="799"/>
      <c r="Z611" s="799"/>
      <c r="AA611" s="799"/>
      <c r="AB611" s="799"/>
      <c r="AC611" s="799"/>
      <c r="AD611" s="799"/>
      <c r="AE611" s="799"/>
      <c r="AF611" s="799"/>
      <c r="AG611" s="799"/>
      <c r="AH611" s="799"/>
      <c r="AI611" s="799"/>
      <c r="AJ611" s="799"/>
      <c r="AK611" s="799"/>
      <c r="AL611" s="799"/>
      <c r="AM611" s="799"/>
      <c r="AN611" s="799"/>
      <c r="AO611" s="799"/>
      <c r="AP611" s="799"/>
      <c r="AQ611" s="799"/>
      <c r="AR611" s="799"/>
      <c r="AS611" s="799"/>
      <c r="AT611" s="799"/>
      <c r="AU611" s="799"/>
      <c r="AV611" s="799"/>
      <c r="AW611" s="799"/>
      <c r="AX611" s="799"/>
      <c r="AY611" s="799"/>
      <c r="AZ611" s="799"/>
      <c r="BA611" s="799"/>
      <c r="BB611" s="799"/>
      <c r="BC611" s="799"/>
      <c r="BD611" s="799"/>
      <c r="BE611" s="799"/>
      <c r="BF611" s="799"/>
      <c r="BG611" s="799"/>
    </row>
    <row r="612">
      <c r="H612" s="799"/>
      <c r="I612" s="799"/>
      <c r="J612" s="799"/>
      <c r="K612" s="799"/>
      <c r="L612" s="799"/>
      <c r="M612" s="799"/>
      <c r="N612" s="799"/>
      <c r="O612" s="799"/>
      <c r="P612" s="799"/>
      <c r="Q612" s="799"/>
      <c r="R612" s="799"/>
      <c r="S612" s="799"/>
      <c r="T612" s="799"/>
      <c r="U612" s="799"/>
      <c r="V612" s="799"/>
      <c r="W612" s="799"/>
      <c r="X612" s="799"/>
      <c r="Y612" s="799"/>
      <c r="Z612" s="799"/>
      <c r="AA612" s="799"/>
      <c r="AB612" s="799"/>
      <c r="AC612" s="799"/>
      <c r="AD612" s="799"/>
      <c r="AE612" s="799"/>
      <c r="AF612" s="799"/>
      <c r="AG612" s="799"/>
      <c r="AH612" s="799"/>
      <c r="AI612" s="799"/>
      <c r="AJ612" s="799"/>
      <c r="AK612" s="799"/>
      <c r="AL612" s="799"/>
      <c r="AM612" s="799"/>
      <c r="AN612" s="799"/>
      <c r="AO612" s="799"/>
      <c r="AP612" s="799"/>
      <c r="AQ612" s="799"/>
      <c r="AR612" s="799"/>
      <c r="AS612" s="799"/>
      <c r="AT612" s="799"/>
      <c r="AU612" s="799"/>
      <c r="AV612" s="799"/>
      <c r="AW612" s="799"/>
      <c r="AX612" s="799"/>
      <c r="AY612" s="799"/>
      <c r="AZ612" s="799"/>
      <c r="BA612" s="799"/>
      <c r="BB612" s="799"/>
      <c r="BC612" s="799"/>
      <c r="BD612" s="799"/>
      <c r="BE612" s="799"/>
      <c r="BF612" s="799"/>
      <c r="BG612" s="799"/>
    </row>
    <row r="613">
      <c r="H613" s="799"/>
      <c r="I613" s="799"/>
      <c r="J613" s="799"/>
      <c r="K613" s="799"/>
      <c r="L613" s="799"/>
      <c r="M613" s="799"/>
      <c r="N613" s="799"/>
      <c r="O613" s="799"/>
      <c r="P613" s="799"/>
      <c r="Q613" s="799"/>
      <c r="R613" s="799"/>
      <c r="S613" s="799"/>
      <c r="T613" s="799"/>
      <c r="U613" s="799"/>
      <c r="V613" s="799"/>
      <c r="W613" s="799"/>
      <c r="X613" s="799"/>
      <c r="Y613" s="799"/>
      <c r="Z613" s="799"/>
      <c r="AA613" s="799"/>
      <c r="AB613" s="799"/>
      <c r="AC613" s="799"/>
      <c r="AD613" s="799"/>
      <c r="AE613" s="799"/>
      <c r="AF613" s="799"/>
      <c r="AG613" s="799"/>
      <c r="AH613" s="799"/>
      <c r="AI613" s="799"/>
      <c r="AJ613" s="799"/>
      <c r="AK613" s="799"/>
      <c r="AL613" s="799"/>
      <c r="AM613" s="799"/>
      <c r="AN613" s="799"/>
      <c r="AO613" s="799"/>
      <c r="AP613" s="799"/>
      <c r="AQ613" s="799"/>
      <c r="AR613" s="799"/>
      <c r="AS613" s="799"/>
      <c r="AT613" s="799"/>
      <c r="AU613" s="799"/>
      <c r="AV613" s="799"/>
      <c r="AW613" s="799"/>
      <c r="AX613" s="799"/>
      <c r="AY613" s="799"/>
      <c r="AZ613" s="799"/>
      <c r="BA613" s="799"/>
      <c r="BB613" s="799"/>
      <c r="BC613" s="799"/>
      <c r="BD613" s="799"/>
      <c r="BE613" s="799"/>
      <c r="BF613" s="799"/>
      <c r="BG613" s="799"/>
    </row>
    <row r="614">
      <c r="H614" s="799"/>
      <c r="I614" s="799"/>
      <c r="J614" s="799"/>
      <c r="K614" s="799"/>
      <c r="L614" s="799"/>
      <c r="M614" s="799"/>
      <c r="N614" s="799"/>
      <c r="O614" s="799"/>
      <c r="P614" s="799"/>
      <c r="Q614" s="799"/>
      <c r="R614" s="799"/>
      <c r="S614" s="799"/>
      <c r="T614" s="799"/>
      <c r="U614" s="799"/>
      <c r="V614" s="799"/>
      <c r="W614" s="799"/>
      <c r="X614" s="799"/>
      <c r="Y614" s="799"/>
      <c r="Z614" s="799"/>
      <c r="AA614" s="799"/>
      <c r="AB614" s="799"/>
      <c r="AC614" s="799"/>
      <c r="AD614" s="799"/>
      <c r="AE614" s="799"/>
      <c r="AF614" s="799"/>
      <c r="AG614" s="799"/>
      <c r="AH614" s="799"/>
      <c r="AI614" s="799"/>
      <c r="AJ614" s="799"/>
      <c r="AK614" s="799"/>
      <c r="AL614" s="799"/>
      <c r="AM614" s="799"/>
      <c r="AN614" s="799"/>
      <c r="AO614" s="799"/>
      <c r="AP614" s="799"/>
      <c r="AQ614" s="799"/>
      <c r="AR614" s="799"/>
      <c r="AS614" s="799"/>
      <c r="AT614" s="799"/>
      <c r="AU614" s="799"/>
      <c r="AV614" s="799"/>
      <c r="AW614" s="799"/>
      <c r="AX614" s="799"/>
      <c r="AY614" s="799"/>
      <c r="AZ614" s="799"/>
      <c r="BA614" s="799"/>
      <c r="BB614" s="799"/>
      <c r="BC614" s="799"/>
      <c r="BD614" s="799"/>
      <c r="BE614" s="799"/>
      <c r="BF614" s="799"/>
      <c r="BG614" s="799"/>
    </row>
    <row r="615">
      <c r="H615" s="799"/>
      <c r="I615" s="799"/>
      <c r="J615" s="799"/>
      <c r="K615" s="799"/>
      <c r="L615" s="799"/>
      <c r="M615" s="799"/>
      <c r="N615" s="799"/>
      <c r="O615" s="799"/>
      <c r="P615" s="799"/>
      <c r="Q615" s="799"/>
      <c r="R615" s="799"/>
      <c r="S615" s="799"/>
      <c r="T615" s="799"/>
      <c r="U615" s="799"/>
      <c r="V615" s="799"/>
      <c r="W615" s="799"/>
      <c r="X615" s="799"/>
      <c r="Y615" s="799"/>
      <c r="Z615" s="799"/>
      <c r="AA615" s="799"/>
      <c r="AB615" s="799"/>
      <c r="AC615" s="799"/>
      <c r="AD615" s="799"/>
      <c r="AE615" s="799"/>
      <c r="AF615" s="799"/>
      <c r="AG615" s="799"/>
      <c r="AH615" s="799"/>
      <c r="AI615" s="799"/>
      <c r="AJ615" s="799"/>
      <c r="AK615" s="799"/>
      <c r="AL615" s="799"/>
      <c r="AM615" s="799"/>
      <c r="AN615" s="799"/>
      <c r="AO615" s="799"/>
      <c r="AP615" s="799"/>
      <c r="AQ615" s="799"/>
      <c r="AR615" s="799"/>
      <c r="AS615" s="799"/>
      <c r="AT615" s="799"/>
      <c r="AU615" s="799"/>
      <c r="AV615" s="799"/>
      <c r="AW615" s="799"/>
      <c r="AX615" s="799"/>
      <c r="AY615" s="799"/>
      <c r="AZ615" s="799"/>
      <c r="BA615" s="799"/>
      <c r="BB615" s="799"/>
      <c r="BC615" s="799"/>
      <c r="BD615" s="799"/>
      <c r="BE615" s="799"/>
      <c r="BF615" s="799"/>
      <c r="BG615" s="799"/>
    </row>
    <row r="616">
      <c r="H616" s="799"/>
      <c r="I616" s="799"/>
      <c r="J616" s="799"/>
      <c r="K616" s="799"/>
      <c r="L616" s="799"/>
      <c r="M616" s="799"/>
      <c r="N616" s="799"/>
      <c r="O616" s="799"/>
      <c r="P616" s="799"/>
      <c r="Q616" s="799"/>
      <c r="R616" s="799"/>
      <c r="S616" s="799"/>
      <c r="T616" s="799"/>
      <c r="U616" s="799"/>
      <c r="V616" s="799"/>
      <c r="W616" s="799"/>
      <c r="X616" s="799"/>
      <c r="Y616" s="799"/>
      <c r="Z616" s="799"/>
      <c r="AA616" s="799"/>
      <c r="AB616" s="799"/>
      <c r="AC616" s="799"/>
      <c r="AD616" s="799"/>
      <c r="AE616" s="799"/>
      <c r="AF616" s="799"/>
      <c r="AG616" s="799"/>
      <c r="AH616" s="799"/>
      <c r="AI616" s="799"/>
      <c r="AJ616" s="799"/>
      <c r="AK616" s="799"/>
      <c r="AL616" s="799"/>
      <c r="AM616" s="799"/>
      <c r="AN616" s="799"/>
      <c r="AO616" s="799"/>
      <c r="AP616" s="799"/>
      <c r="AQ616" s="799"/>
      <c r="AR616" s="799"/>
      <c r="AS616" s="799"/>
      <c r="AT616" s="799"/>
      <c r="AU616" s="799"/>
      <c r="AV616" s="799"/>
      <c r="AW616" s="799"/>
      <c r="AX616" s="799"/>
      <c r="AY616" s="799"/>
      <c r="AZ616" s="799"/>
      <c r="BA616" s="799"/>
      <c r="BB616" s="799"/>
      <c r="BC616" s="799"/>
      <c r="BD616" s="799"/>
      <c r="BE616" s="799"/>
      <c r="BF616" s="799"/>
      <c r="BG616" s="799"/>
    </row>
    <row r="617">
      <c r="H617" s="799"/>
      <c r="I617" s="799"/>
      <c r="J617" s="799"/>
      <c r="K617" s="799"/>
      <c r="L617" s="799"/>
      <c r="M617" s="799"/>
      <c r="N617" s="799"/>
      <c r="O617" s="799"/>
      <c r="P617" s="799"/>
      <c r="Q617" s="799"/>
      <c r="R617" s="799"/>
      <c r="S617" s="799"/>
      <c r="T617" s="799"/>
      <c r="U617" s="799"/>
      <c r="V617" s="799"/>
      <c r="W617" s="799"/>
      <c r="X617" s="799"/>
      <c r="Y617" s="799"/>
      <c r="Z617" s="799"/>
      <c r="AA617" s="799"/>
      <c r="AB617" s="799"/>
      <c r="AC617" s="799"/>
      <c r="AD617" s="799"/>
      <c r="AE617" s="799"/>
      <c r="AF617" s="799"/>
      <c r="AG617" s="799"/>
      <c r="AH617" s="799"/>
      <c r="AI617" s="799"/>
      <c r="AJ617" s="799"/>
      <c r="AK617" s="799"/>
      <c r="AL617" s="799"/>
      <c r="AM617" s="799"/>
      <c r="AN617" s="799"/>
      <c r="AO617" s="799"/>
      <c r="AP617" s="799"/>
      <c r="AQ617" s="799"/>
      <c r="AR617" s="799"/>
      <c r="AS617" s="799"/>
      <c r="AT617" s="799"/>
      <c r="AU617" s="799"/>
      <c r="AV617" s="799"/>
      <c r="AW617" s="799"/>
      <c r="AX617" s="799"/>
      <c r="AY617" s="799"/>
      <c r="AZ617" s="799"/>
      <c r="BA617" s="799"/>
      <c r="BB617" s="799"/>
      <c r="BC617" s="799"/>
      <c r="BD617" s="799"/>
      <c r="BE617" s="799"/>
      <c r="BF617" s="799"/>
      <c r="BG617" s="799"/>
    </row>
    <row r="618">
      <c r="H618" s="799"/>
      <c r="I618" s="799"/>
      <c r="J618" s="799"/>
      <c r="K618" s="799"/>
      <c r="L618" s="799"/>
      <c r="M618" s="799"/>
      <c r="N618" s="799"/>
      <c r="O618" s="799"/>
      <c r="P618" s="799"/>
      <c r="Q618" s="799"/>
      <c r="R618" s="799"/>
      <c r="S618" s="799"/>
      <c r="T618" s="799"/>
      <c r="U618" s="799"/>
      <c r="V618" s="799"/>
      <c r="W618" s="799"/>
      <c r="X618" s="799"/>
      <c r="Y618" s="799"/>
      <c r="Z618" s="799"/>
      <c r="AA618" s="799"/>
      <c r="AB618" s="799"/>
      <c r="AC618" s="799"/>
      <c r="AD618" s="799"/>
      <c r="AE618" s="799"/>
      <c r="AF618" s="799"/>
      <c r="AG618" s="799"/>
      <c r="AH618" s="799"/>
      <c r="AI618" s="799"/>
      <c r="AJ618" s="799"/>
      <c r="AK618" s="799"/>
      <c r="AL618" s="799"/>
      <c r="AM618" s="799"/>
      <c r="AN618" s="799"/>
      <c r="AO618" s="799"/>
      <c r="AP618" s="799"/>
      <c r="AQ618" s="799"/>
      <c r="AR618" s="799"/>
      <c r="AS618" s="799"/>
      <c r="AT618" s="799"/>
      <c r="AU618" s="799"/>
      <c r="AV618" s="799"/>
      <c r="AW618" s="799"/>
      <c r="AX618" s="799"/>
      <c r="AY618" s="799"/>
      <c r="AZ618" s="799"/>
      <c r="BA618" s="799"/>
      <c r="BB618" s="799"/>
      <c r="BC618" s="799"/>
      <c r="BD618" s="799"/>
      <c r="BE618" s="799"/>
      <c r="BF618" s="799"/>
      <c r="BG618" s="799"/>
    </row>
    <row r="619">
      <c r="H619" s="799"/>
      <c r="I619" s="799"/>
      <c r="J619" s="799"/>
      <c r="K619" s="799"/>
      <c r="L619" s="799"/>
      <c r="M619" s="799"/>
      <c r="N619" s="799"/>
      <c r="O619" s="799"/>
      <c r="P619" s="799"/>
      <c r="Q619" s="799"/>
      <c r="R619" s="799"/>
      <c r="S619" s="799"/>
      <c r="T619" s="799"/>
      <c r="U619" s="799"/>
      <c r="V619" s="799"/>
      <c r="W619" s="799"/>
      <c r="X619" s="799"/>
      <c r="Y619" s="799"/>
      <c r="Z619" s="799"/>
      <c r="AA619" s="799"/>
      <c r="AB619" s="799"/>
      <c r="AC619" s="799"/>
      <c r="AD619" s="799"/>
      <c r="AE619" s="799"/>
      <c r="AF619" s="799"/>
      <c r="AG619" s="799"/>
      <c r="AH619" s="799"/>
      <c r="AI619" s="799"/>
      <c r="AJ619" s="799"/>
      <c r="AK619" s="799"/>
      <c r="AL619" s="799"/>
      <c r="AM619" s="799"/>
      <c r="AN619" s="799"/>
      <c r="AO619" s="799"/>
      <c r="AP619" s="799"/>
      <c r="AQ619" s="799"/>
      <c r="AR619" s="799"/>
      <c r="AS619" s="799"/>
      <c r="AT619" s="799"/>
      <c r="AU619" s="799"/>
      <c r="AV619" s="799"/>
      <c r="AW619" s="799"/>
      <c r="AX619" s="799"/>
      <c r="AY619" s="799"/>
      <c r="AZ619" s="799"/>
      <c r="BA619" s="799"/>
      <c r="BB619" s="799"/>
      <c r="BC619" s="799"/>
      <c r="BD619" s="799"/>
      <c r="BE619" s="799"/>
      <c r="BF619" s="799"/>
      <c r="BG619" s="799"/>
    </row>
    <row r="620">
      <c r="H620" s="799"/>
      <c r="I620" s="799"/>
      <c r="J620" s="799"/>
      <c r="K620" s="799"/>
      <c r="L620" s="799"/>
      <c r="M620" s="799"/>
      <c r="N620" s="799"/>
      <c r="O620" s="799"/>
      <c r="P620" s="799"/>
      <c r="Q620" s="799"/>
      <c r="R620" s="799"/>
      <c r="S620" s="799"/>
      <c r="T620" s="799"/>
      <c r="U620" s="799"/>
      <c r="V620" s="799"/>
      <c r="W620" s="799"/>
      <c r="X620" s="799"/>
      <c r="Y620" s="799"/>
      <c r="Z620" s="799"/>
      <c r="AA620" s="799"/>
      <c r="AB620" s="799"/>
      <c r="AC620" s="799"/>
      <c r="AD620" s="799"/>
      <c r="AE620" s="799"/>
      <c r="AF620" s="799"/>
      <c r="AG620" s="799"/>
      <c r="AH620" s="799"/>
      <c r="AI620" s="799"/>
      <c r="AJ620" s="799"/>
      <c r="AK620" s="799"/>
      <c r="AL620" s="799"/>
      <c r="AM620" s="799"/>
      <c r="AN620" s="799"/>
      <c r="AO620" s="799"/>
      <c r="AP620" s="799"/>
      <c r="AQ620" s="799"/>
      <c r="AR620" s="799"/>
      <c r="AS620" s="799"/>
      <c r="AT620" s="799"/>
      <c r="AU620" s="799"/>
      <c r="AV620" s="799"/>
      <c r="AW620" s="799"/>
      <c r="AX620" s="799"/>
      <c r="AY620" s="799"/>
      <c r="AZ620" s="799"/>
      <c r="BA620" s="799"/>
      <c r="BB620" s="799"/>
      <c r="BC620" s="799"/>
      <c r="BD620" s="799"/>
      <c r="BE620" s="799"/>
      <c r="BF620" s="799"/>
      <c r="BG620" s="799"/>
    </row>
    <row r="621">
      <c r="H621" s="799"/>
      <c r="I621" s="799"/>
      <c r="J621" s="799"/>
      <c r="K621" s="799"/>
      <c r="L621" s="799"/>
      <c r="M621" s="799"/>
      <c r="N621" s="799"/>
      <c r="O621" s="799"/>
      <c r="P621" s="799"/>
      <c r="Q621" s="799"/>
      <c r="R621" s="799"/>
      <c r="S621" s="799"/>
      <c r="T621" s="799"/>
      <c r="U621" s="799"/>
      <c r="V621" s="799"/>
      <c r="W621" s="799"/>
      <c r="X621" s="799"/>
      <c r="Y621" s="799"/>
      <c r="Z621" s="799"/>
      <c r="AA621" s="799"/>
      <c r="AB621" s="799"/>
      <c r="AC621" s="799"/>
      <c r="AD621" s="799"/>
      <c r="AE621" s="799"/>
      <c r="AF621" s="799"/>
      <c r="AG621" s="799"/>
      <c r="AH621" s="799"/>
      <c r="AI621" s="799"/>
      <c r="AJ621" s="799"/>
      <c r="AK621" s="799"/>
      <c r="AL621" s="799"/>
      <c r="AM621" s="799"/>
      <c r="AN621" s="799"/>
      <c r="AO621" s="799"/>
      <c r="AP621" s="799"/>
      <c r="AQ621" s="799"/>
      <c r="AR621" s="799"/>
      <c r="AS621" s="799"/>
      <c r="AT621" s="799"/>
      <c r="AU621" s="799"/>
      <c r="AV621" s="799"/>
      <c r="AW621" s="799"/>
      <c r="AX621" s="799"/>
      <c r="AY621" s="799"/>
      <c r="AZ621" s="799"/>
      <c r="BA621" s="799"/>
      <c r="BB621" s="799"/>
      <c r="BC621" s="799"/>
      <c r="BD621" s="799"/>
      <c r="BE621" s="799"/>
      <c r="BF621" s="799"/>
      <c r="BG621" s="799"/>
    </row>
    <row r="622">
      <c r="H622" s="799"/>
      <c r="I622" s="799"/>
      <c r="J622" s="799"/>
      <c r="K622" s="799"/>
      <c r="L622" s="799"/>
      <c r="M622" s="799"/>
      <c r="N622" s="799"/>
      <c r="O622" s="799"/>
      <c r="P622" s="799"/>
      <c r="Q622" s="799"/>
      <c r="R622" s="799"/>
      <c r="S622" s="799"/>
      <c r="T622" s="799"/>
      <c r="U622" s="799"/>
      <c r="V622" s="799"/>
      <c r="W622" s="799"/>
      <c r="X622" s="799"/>
      <c r="Y622" s="799"/>
      <c r="Z622" s="799"/>
      <c r="AA622" s="799"/>
      <c r="AB622" s="799"/>
      <c r="AC622" s="799"/>
      <c r="AD622" s="799"/>
      <c r="AE622" s="799"/>
      <c r="AF622" s="799"/>
      <c r="AG622" s="799"/>
      <c r="AH622" s="799"/>
      <c r="AI622" s="799"/>
      <c r="AJ622" s="799"/>
      <c r="AK622" s="799"/>
      <c r="AL622" s="799"/>
      <c r="AM622" s="799"/>
      <c r="AN622" s="799"/>
      <c r="AO622" s="799"/>
      <c r="AP622" s="799"/>
      <c r="AQ622" s="799"/>
      <c r="AR622" s="799"/>
      <c r="AS622" s="799"/>
      <c r="AT622" s="799"/>
      <c r="AU622" s="799"/>
      <c r="AV622" s="799"/>
      <c r="AW622" s="799"/>
      <c r="AX622" s="799"/>
      <c r="AY622" s="799"/>
      <c r="AZ622" s="799"/>
      <c r="BA622" s="799"/>
      <c r="BB622" s="799"/>
      <c r="BC622" s="799"/>
      <c r="BD622" s="799"/>
      <c r="BE622" s="799"/>
      <c r="BF622" s="799"/>
      <c r="BG622" s="799"/>
    </row>
    <row r="623">
      <c r="H623" s="799"/>
      <c r="I623" s="799"/>
      <c r="J623" s="799"/>
      <c r="K623" s="799"/>
      <c r="L623" s="799"/>
      <c r="M623" s="799"/>
      <c r="N623" s="799"/>
      <c r="O623" s="799"/>
      <c r="P623" s="799"/>
      <c r="Q623" s="799"/>
      <c r="R623" s="799"/>
      <c r="S623" s="799"/>
      <c r="T623" s="799"/>
      <c r="U623" s="799"/>
      <c r="V623" s="799"/>
      <c r="W623" s="799"/>
      <c r="X623" s="799"/>
      <c r="Y623" s="799"/>
      <c r="Z623" s="799"/>
      <c r="AA623" s="799"/>
      <c r="AB623" s="799"/>
      <c r="AC623" s="799"/>
      <c r="AD623" s="799"/>
      <c r="AE623" s="799"/>
      <c r="AF623" s="799"/>
      <c r="AG623" s="799"/>
      <c r="AH623" s="799"/>
      <c r="AI623" s="799"/>
      <c r="AJ623" s="799"/>
      <c r="AK623" s="799"/>
      <c r="AL623" s="799"/>
      <c r="AM623" s="799"/>
      <c r="AN623" s="799"/>
      <c r="AO623" s="799"/>
      <c r="AP623" s="799"/>
      <c r="AQ623" s="799"/>
      <c r="AR623" s="799"/>
      <c r="AS623" s="799"/>
      <c r="AT623" s="799"/>
      <c r="AU623" s="799"/>
      <c r="AV623" s="799"/>
      <c r="AW623" s="799"/>
      <c r="AX623" s="799"/>
      <c r="AY623" s="799"/>
      <c r="AZ623" s="799"/>
      <c r="BA623" s="799"/>
      <c r="BB623" s="799"/>
      <c r="BC623" s="799"/>
      <c r="BD623" s="799"/>
      <c r="BE623" s="799"/>
      <c r="BF623" s="799"/>
      <c r="BG623" s="799"/>
    </row>
    <row r="624">
      <c r="H624" s="799"/>
      <c r="I624" s="799"/>
      <c r="J624" s="799"/>
      <c r="K624" s="799"/>
      <c r="L624" s="799"/>
      <c r="M624" s="799"/>
      <c r="N624" s="799"/>
      <c r="O624" s="799"/>
      <c r="P624" s="799"/>
      <c r="Q624" s="799"/>
      <c r="R624" s="799"/>
      <c r="S624" s="799"/>
      <c r="T624" s="799"/>
      <c r="U624" s="799"/>
      <c r="V624" s="799"/>
      <c r="W624" s="799"/>
      <c r="X624" s="799"/>
      <c r="Y624" s="799"/>
      <c r="Z624" s="799"/>
      <c r="AA624" s="799"/>
      <c r="AB624" s="799"/>
      <c r="AC624" s="799"/>
      <c r="AD624" s="799"/>
      <c r="AE624" s="799"/>
      <c r="AF624" s="799"/>
      <c r="AG624" s="799"/>
      <c r="AH624" s="799"/>
      <c r="AI624" s="799"/>
      <c r="AJ624" s="799"/>
      <c r="AK624" s="799"/>
      <c r="AL624" s="799"/>
      <c r="AM624" s="799"/>
      <c r="AN624" s="799"/>
      <c r="AO624" s="799"/>
      <c r="AP624" s="799"/>
      <c r="AQ624" s="799"/>
      <c r="AR624" s="799"/>
      <c r="AS624" s="799"/>
      <c r="AT624" s="799"/>
      <c r="AU624" s="799"/>
      <c r="AV624" s="799"/>
      <c r="AW624" s="799"/>
      <c r="AX624" s="799"/>
      <c r="AY624" s="799"/>
      <c r="AZ624" s="799"/>
      <c r="BA624" s="799"/>
      <c r="BB624" s="799"/>
      <c r="BC624" s="799"/>
      <c r="BD624" s="799"/>
      <c r="BE624" s="799"/>
      <c r="BF624" s="799"/>
      <c r="BG624" s="799"/>
    </row>
    <row r="625">
      <c r="H625" s="799"/>
      <c r="I625" s="799"/>
      <c r="J625" s="799"/>
      <c r="K625" s="799"/>
      <c r="L625" s="799"/>
      <c r="M625" s="799"/>
      <c r="N625" s="799"/>
      <c r="O625" s="799"/>
      <c r="P625" s="799"/>
      <c r="Q625" s="799"/>
      <c r="R625" s="799"/>
      <c r="S625" s="799"/>
      <c r="T625" s="799"/>
      <c r="U625" s="799"/>
      <c r="V625" s="799"/>
      <c r="W625" s="799"/>
      <c r="X625" s="799"/>
      <c r="Y625" s="799"/>
      <c r="Z625" s="799"/>
      <c r="AA625" s="799"/>
      <c r="AB625" s="799"/>
      <c r="AC625" s="799"/>
      <c r="AD625" s="799"/>
      <c r="AE625" s="799"/>
      <c r="AF625" s="799"/>
      <c r="AG625" s="799"/>
      <c r="AH625" s="799"/>
      <c r="AI625" s="799"/>
      <c r="AJ625" s="799"/>
      <c r="AK625" s="799"/>
      <c r="AL625" s="799"/>
      <c r="AM625" s="799"/>
      <c r="AN625" s="799"/>
      <c r="AO625" s="799"/>
      <c r="AP625" s="799"/>
      <c r="AQ625" s="799"/>
      <c r="AR625" s="799"/>
      <c r="AS625" s="799"/>
      <c r="AT625" s="799"/>
      <c r="AU625" s="799"/>
      <c r="AV625" s="799"/>
      <c r="AW625" s="799"/>
      <c r="AX625" s="799"/>
      <c r="AY625" s="799"/>
      <c r="AZ625" s="799"/>
      <c r="BA625" s="799"/>
      <c r="BB625" s="799"/>
      <c r="BC625" s="799"/>
      <c r="BD625" s="799"/>
      <c r="BE625" s="799"/>
      <c r="BF625" s="799"/>
      <c r="BG625" s="799"/>
    </row>
    <row r="626">
      <c r="H626" s="799"/>
      <c r="I626" s="799"/>
      <c r="J626" s="799"/>
      <c r="K626" s="799"/>
      <c r="L626" s="799"/>
      <c r="M626" s="799"/>
      <c r="N626" s="799"/>
      <c r="O626" s="799"/>
      <c r="P626" s="799"/>
      <c r="Q626" s="799"/>
      <c r="R626" s="799"/>
      <c r="S626" s="799"/>
      <c r="T626" s="799"/>
      <c r="U626" s="799"/>
      <c r="V626" s="799"/>
      <c r="W626" s="799"/>
      <c r="X626" s="799"/>
      <c r="Y626" s="799"/>
      <c r="Z626" s="799"/>
      <c r="AA626" s="799"/>
      <c r="AB626" s="799"/>
      <c r="AC626" s="799"/>
      <c r="AD626" s="799"/>
      <c r="AE626" s="799"/>
      <c r="AF626" s="799"/>
      <c r="AG626" s="799"/>
      <c r="AH626" s="799"/>
      <c r="AI626" s="799"/>
      <c r="AJ626" s="799"/>
      <c r="AK626" s="799"/>
      <c r="AL626" s="799"/>
      <c r="AM626" s="799"/>
      <c r="AN626" s="799"/>
      <c r="AO626" s="799"/>
      <c r="AP626" s="799"/>
      <c r="AQ626" s="799"/>
      <c r="AR626" s="799"/>
      <c r="AS626" s="799"/>
      <c r="AT626" s="799"/>
      <c r="AU626" s="799"/>
      <c r="AV626" s="799"/>
      <c r="AW626" s="799"/>
      <c r="AX626" s="799"/>
      <c r="AY626" s="799"/>
      <c r="AZ626" s="799"/>
      <c r="BA626" s="799"/>
      <c r="BB626" s="799"/>
      <c r="BC626" s="799"/>
      <c r="BD626" s="799"/>
      <c r="BE626" s="799"/>
      <c r="BF626" s="799"/>
      <c r="BG626" s="799"/>
    </row>
    <row r="627">
      <c r="H627" s="799"/>
      <c r="I627" s="799"/>
      <c r="J627" s="799"/>
      <c r="K627" s="799"/>
      <c r="L627" s="799"/>
      <c r="M627" s="799"/>
      <c r="N627" s="799"/>
      <c r="O627" s="799"/>
      <c r="P627" s="799"/>
      <c r="Q627" s="799"/>
      <c r="R627" s="799"/>
      <c r="S627" s="799"/>
      <c r="T627" s="799"/>
      <c r="U627" s="799"/>
      <c r="V627" s="799"/>
      <c r="W627" s="799"/>
      <c r="X627" s="799"/>
      <c r="Y627" s="799"/>
      <c r="Z627" s="799"/>
      <c r="AA627" s="799"/>
      <c r="AB627" s="799"/>
      <c r="AC627" s="799"/>
      <c r="AD627" s="799"/>
      <c r="AE627" s="799"/>
      <c r="AF627" s="799"/>
      <c r="AG627" s="799"/>
      <c r="AH627" s="799"/>
      <c r="AI627" s="799"/>
      <c r="AJ627" s="799"/>
      <c r="AK627" s="799"/>
      <c r="AL627" s="799"/>
      <c r="AM627" s="799"/>
      <c r="AN627" s="799"/>
      <c r="AO627" s="799"/>
      <c r="AP627" s="799"/>
      <c r="AQ627" s="799"/>
      <c r="AR627" s="799"/>
      <c r="AS627" s="799"/>
      <c r="AT627" s="799"/>
      <c r="AU627" s="799"/>
      <c r="AV627" s="799"/>
      <c r="AW627" s="799"/>
      <c r="AX627" s="799"/>
      <c r="AY627" s="799"/>
      <c r="AZ627" s="799"/>
      <c r="BA627" s="799"/>
      <c r="BB627" s="799"/>
      <c r="BC627" s="799"/>
      <c r="BD627" s="799"/>
      <c r="BE627" s="799"/>
      <c r="BF627" s="799"/>
      <c r="BG627" s="799"/>
    </row>
    <row r="628">
      <c r="H628" s="799"/>
      <c r="I628" s="799"/>
      <c r="J628" s="799"/>
      <c r="K628" s="799"/>
      <c r="L628" s="799"/>
      <c r="M628" s="799"/>
      <c r="N628" s="799"/>
      <c r="O628" s="799"/>
      <c r="P628" s="799"/>
      <c r="Q628" s="799"/>
      <c r="R628" s="799"/>
      <c r="S628" s="799"/>
      <c r="T628" s="799"/>
      <c r="U628" s="799"/>
      <c r="V628" s="799"/>
      <c r="W628" s="799"/>
      <c r="X628" s="799"/>
      <c r="Y628" s="799"/>
      <c r="Z628" s="799"/>
      <c r="AA628" s="799"/>
      <c r="AB628" s="799"/>
      <c r="AC628" s="799"/>
      <c r="AD628" s="799"/>
      <c r="AE628" s="799"/>
      <c r="AF628" s="799"/>
      <c r="AG628" s="799"/>
      <c r="AH628" s="799"/>
      <c r="AI628" s="799"/>
      <c r="AJ628" s="799"/>
      <c r="AK628" s="799"/>
      <c r="AL628" s="799"/>
      <c r="AM628" s="799"/>
      <c r="AN628" s="799"/>
      <c r="AO628" s="799"/>
      <c r="AP628" s="799"/>
      <c r="AQ628" s="799"/>
      <c r="AR628" s="799"/>
      <c r="AS628" s="799"/>
      <c r="AT628" s="799"/>
      <c r="AU628" s="799"/>
      <c r="AV628" s="799"/>
      <c r="AW628" s="799"/>
      <c r="AX628" s="799"/>
      <c r="AY628" s="799"/>
      <c r="AZ628" s="799"/>
      <c r="BA628" s="799"/>
      <c r="BB628" s="799"/>
      <c r="BC628" s="799"/>
      <c r="BD628" s="799"/>
      <c r="BE628" s="799"/>
      <c r="BF628" s="799"/>
      <c r="BG628" s="799"/>
    </row>
    <row r="629">
      <c r="H629" s="799"/>
      <c r="I629" s="799"/>
      <c r="J629" s="799"/>
      <c r="K629" s="799"/>
      <c r="L629" s="799"/>
      <c r="M629" s="799"/>
      <c r="N629" s="799"/>
      <c r="O629" s="799"/>
      <c r="P629" s="799"/>
      <c r="Q629" s="799"/>
      <c r="R629" s="799"/>
      <c r="S629" s="799"/>
      <c r="T629" s="799"/>
      <c r="U629" s="799"/>
      <c r="V629" s="799"/>
      <c r="W629" s="799"/>
      <c r="X629" s="799"/>
      <c r="Y629" s="799"/>
      <c r="Z629" s="799"/>
      <c r="AA629" s="799"/>
      <c r="AB629" s="799"/>
      <c r="AC629" s="799"/>
      <c r="AD629" s="799"/>
      <c r="AE629" s="799"/>
      <c r="AF629" s="799"/>
      <c r="AG629" s="799"/>
      <c r="AH629" s="799"/>
      <c r="AI629" s="799"/>
      <c r="AJ629" s="799"/>
      <c r="AK629" s="799"/>
      <c r="AL629" s="799"/>
      <c r="AM629" s="799"/>
      <c r="AN629" s="799"/>
      <c r="AO629" s="799"/>
      <c r="AP629" s="799"/>
      <c r="AQ629" s="799"/>
      <c r="AR629" s="799"/>
      <c r="AS629" s="799"/>
      <c r="AT629" s="799"/>
      <c r="AU629" s="799"/>
      <c r="AV629" s="799"/>
      <c r="AW629" s="799"/>
      <c r="AX629" s="799"/>
      <c r="AY629" s="799"/>
      <c r="AZ629" s="799"/>
      <c r="BA629" s="799"/>
      <c r="BB629" s="799"/>
      <c r="BC629" s="799"/>
      <c r="BD629" s="799"/>
      <c r="BE629" s="799"/>
      <c r="BF629" s="799"/>
      <c r="BG629" s="799"/>
    </row>
    <row r="630">
      <c r="H630" s="799"/>
      <c r="I630" s="799"/>
      <c r="J630" s="799"/>
      <c r="K630" s="799"/>
      <c r="L630" s="799"/>
      <c r="M630" s="799"/>
      <c r="N630" s="799"/>
      <c r="O630" s="799"/>
      <c r="P630" s="799"/>
      <c r="Q630" s="799"/>
      <c r="R630" s="799"/>
      <c r="S630" s="799"/>
      <c r="T630" s="799"/>
      <c r="U630" s="799"/>
      <c r="V630" s="799"/>
      <c r="W630" s="799"/>
      <c r="X630" s="799"/>
      <c r="Y630" s="799"/>
      <c r="Z630" s="799"/>
      <c r="AA630" s="799"/>
      <c r="AB630" s="799"/>
      <c r="AC630" s="799"/>
      <c r="AD630" s="799"/>
      <c r="AE630" s="799"/>
      <c r="AF630" s="799"/>
      <c r="AG630" s="799"/>
      <c r="AH630" s="799"/>
      <c r="AI630" s="799"/>
      <c r="AJ630" s="799"/>
      <c r="AK630" s="799"/>
      <c r="AL630" s="799"/>
      <c r="AM630" s="799"/>
      <c r="AN630" s="799"/>
      <c r="AO630" s="799"/>
      <c r="AP630" s="799"/>
      <c r="AQ630" s="799"/>
      <c r="AR630" s="799"/>
      <c r="AS630" s="799"/>
      <c r="AT630" s="799"/>
      <c r="AU630" s="799"/>
      <c r="AV630" s="799"/>
      <c r="AW630" s="799"/>
      <c r="AX630" s="799"/>
      <c r="AY630" s="799"/>
      <c r="AZ630" s="799"/>
      <c r="BA630" s="799"/>
      <c r="BB630" s="799"/>
      <c r="BC630" s="799"/>
      <c r="BD630" s="799"/>
      <c r="BE630" s="799"/>
      <c r="BF630" s="799"/>
      <c r="BG630" s="799"/>
    </row>
    <row r="631">
      <c r="H631" s="799"/>
      <c r="I631" s="799"/>
      <c r="J631" s="799"/>
      <c r="K631" s="799"/>
      <c r="L631" s="799"/>
      <c r="M631" s="799"/>
      <c r="N631" s="799"/>
      <c r="O631" s="799"/>
      <c r="P631" s="799"/>
      <c r="Q631" s="799"/>
      <c r="R631" s="799"/>
      <c r="S631" s="799"/>
      <c r="T631" s="799"/>
      <c r="U631" s="799"/>
      <c r="V631" s="799"/>
      <c r="W631" s="799"/>
      <c r="X631" s="799"/>
      <c r="Y631" s="799"/>
      <c r="Z631" s="799"/>
      <c r="AA631" s="799"/>
      <c r="AB631" s="799"/>
      <c r="AC631" s="799"/>
      <c r="AD631" s="799"/>
      <c r="AE631" s="799"/>
      <c r="AF631" s="799"/>
      <c r="AG631" s="799"/>
      <c r="AH631" s="799"/>
      <c r="AI631" s="799"/>
      <c r="AJ631" s="799"/>
      <c r="AK631" s="799"/>
      <c r="AL631" s="799"/>
      <c r="AM631" s="799"/>
      <c r="AN631" s="799"/>
      <c r="AO631" s="799"/>
      <c r="AP631" s="799"/>
      <c r="AQ631" s="799"/>
      <c r="AR631" s="799"/>
      <c r="AS631" s="799"/>
      <c r="AT631" s="799"/>
      <c r="AU631" s="799"/>
      <c r="AV631" s="799"/>
      <c r="AW631" s="799"/>
      <c r="AX631" s="799"/>
      <c r="AY631" s="799"/>
      <c r="AZ631" s="799"/>
      <c r="BA631" s="799"/>
      <c r="BB631" s="799"/>
      <c r="BC631" s="799"/>
      <c r="BD631" s="799"/>
      <c r="BE631" s="799"/>
      <c r="BF631" s="799"/>
      <c r="BG631" s="799"/>
    </row>
    <row r="632">
      <c r="H632" s="799"/>
      <c r="I632" s="799"/>
      <c r="J632" s="799"/>
      <c r="K632" s="799"/>
      <c r="L632" s="799"/>
      <c r="M632" s="799"/>
      <c r="N632" s="799"/>
      <c r="O632" s="799"/>
      <c r="P632" s="799"/>
      <c r="Q632" s="799"/>
      <c r="R632" s="799"/>
      <c r="S632" s="799"/>
      <c r="T632" s="799"/>
      <c r="U632" s="799"/>
      <c r="V632" s="799"/>
      <c r="W632" s="799"/>
      <c r="X632" s="799"/>
      <c r="Y632" s="799"/>
      <c r="Z632" s="799"/>
      <c r="AA632" s="799"/>
      <c r="AB632" s="799"/>
      <c r="AC632" s="799"/>
      <c r="AD632" s="799"/>
      <c r="AE632" s="799"/>
      <c r="AF632" s="799"/>
      <c r="AG632" s="799"/>
      <c r="AH632" s="799"/>
      <c r="AI632" s="799"/>
      <c r="AJ632" s="799"/>
      <c r="AK632" s="799"/>
      <c r="AL632" s="799"/>
      <c r="AM632" s="799"/>
      <c r="AN632" s="799"/>
      <c r="AO632" s="799"/>
      <c r="AP632" s="799"/>
      <c r="AQ632" s="799"/>
      <c r="AR632" s="799"/>
      <c r="AS632" s="799"/>
      <c r="AT632" s="799"/>
      <c r="AU632" s="799"/>
      <c r="AV632" s="799"/>
      <c r="AW632" s="799"/>
      <c r="AX632" s="799"/>
      <c r="AY632" s="799"/>
      <c r="AZ632" s="799"/>
      <c r="BA632" s="799"/>
      <c r="BB632" s="799"/>
      <c r="BC632" s="799"/>
      <c r="BD632" s="799"/>
      <c r="BE632" s="799"/>
      <c r="BF632" s="799"/>
      <c r="BG632" s="799"/>
    </row>
    <row r="633">
      <c r="H633" s="799"/>
      <c r="I633" s="799"/>
      <c r="J633" s="799"/>
      <c r="K633" s="799"/>
      <c r="L633" s="799"/>
      <c r="M633" s="799"/>
      <c r="N633" s="799"/>
      <c r="O633" s="799"/>
      <c r="P633" s="799"/>
      <c r="Q633" s="799"/>
      <c r="R633" s="799"/>
      <c r="S633" s="799"/>
      <c r="T633" s="799"/>
      <c r="U633" s="799"/>
      <c r="V633" s="799"/>
      <c r="W633" s="799"/>
      <c r="X633" s="799"/>
      <c r="Y633" s="799"/>
      <c r="Z633" s="799"/>
      <c r="AA633" s="799"/>
      <c r="AB633" s="799"/>
      <c r="AC633" s="799"/>
      <c r="AD633" s="799"/>
      <c r="AE633" s="799"/>
      <c r="AF633" s="799"/>
      <c r="AG633" s="799"/>
      <c r="AH633" s="799"/>
      <c r="AI633" s="799"/>
      <c r="AJ633" s="799"/>
      <c r="AK633" s="799"/>
      <c r="AL633" s="799"/>
      <c r="AM633" s="799"/>
      <c r="AN633" s="799"/>
      <c r="AO633" s="799"/>
      <c r="AP633" s="799"/>
      <c r="AQ633" s="799"/>
      <c r="AR633" s="799"/>
      <c r="AS633" s="799"/>
      <c r="AT633" s="799"/>
      <c r="AU633" s="799"/>
      <c r="AV633" s="799"/>
      <c r="AW633" s="799"/>
      <c r="AX633" s="799"/>
      <c r="AY633" s="799"/>
      <c r="AZ633" s="799"/>
      <c r="BA633" s="799"/>
      <c r="BB633" s="799"/>
      <c r="BC633" s="799"/>
      <c r="BD633" s="799"/>
      <c r="BE633" s="799"/>
      <c r="BF633" s="799"/>
      <c r="BG633" s="799"/>
    </row>
    <row r="634">
      <c r="H634" s="799"/>
      <c r="I634" s="799"/>
      <c r="J634" s="799"/>
      <c r="K634" s="799"/>
      <c r="L634" s="799"/>
      <c r="M634" s="799"/>
      <c r="N634" s="799"/>
      <c r="O634" s="799"/>
      <c r="P634" s="799"/>
      <c r="Q634" s="799"/>
      <c r="R634" s="799"/>
      <c r="S634" s="799"/>
      <c r="T634" s="799"/>
      <c r="U634" s="799"/>
      <c r="V634" s="799"/>
      <c r="W634" s="799"/>
      <c r="X634" s="799"/>
      <c r="Y634" s="799"/>
      <c r="Z634" s="799"/>
      <c r="AA634" s="799"/>
      <c r="AB634" s="799"/>
      <c r="AC634" s="799"/>
      <c r="AD634" s="799"/>
      <c r="AE634" s="799"/>
      <c r="AF634" s="799"/>
      <c r="AG634" s="799"/>
      <c r="AH634" s="799"/>
      <c r="AI634" s="799"/>
      <c r="AJ634" s="799"/>
      <c r="AK634" s="799"/>
      <c r="AL634" s="799"/>
      <c r="AM634" s="799"/>
      <c r="AN634" s="799"/>
      <c r="AO634" s="799"/>
      <c r="AP634" s="799"/>
      <c r="AQ634" s="799"/>
      <c r="AR634" s="799"/>
      <c r="AS634" s="799"/>
      <c r="AT634" s="799"/>
      <c r="AU634" s="799"/>
      <c r="AV634" s="799"/>
      <c r="AW634" s="799"/>
      <c r="AX634" s="799"/>
      <c r="AY634" s="799"/>
      <c r="AZ634" s="799"/>
      <c r="BA634" s="799"/>
      <c r="BB634" s="799"/>
      <c r="BC634" s="799"/>
      <c r="BD634" s="799"/>
      <c r="BE634" s="799"/>
      <c r="BF634" s="799"/>
      <c r="BG634" s="799"/>
    </row>
    <row r="635">
      <c r="H635" s="799"/>
      <c r="I635" s="799"/>
      <c r="J635" s="799"/>
      <c r="K635" s="799"/>
      <c r="L635" s="799"/>
      <c r="M635" s="799"/>
      <c r="N635" s="799"/>
      <c r="O635" s="799"/>
      <c r="P635" s="799"/>
      <c r="Q635" s="799"/>
      <c r="R635" s="799"/>
      <c r="S635" s="799"/>
      <c r="T635" s="799"/>
      <c r="U635" s="799"/>
      <c r="V635" s="799"/>
      <c r="W635" s="799"/>
      <c r="X635" s="799"/>
      <c r="Y635" s="799"/>
      <c r="Z635" s="799"/>
      <c r="AA635" s="799"/>
      <c r="AB635" s="799"/>
      <c r="AC635" s="799"/>
      <c r="AD635" s="799"/>
      <c r="AE635" s="799"/>
      <c r="AF635" s="799"/>
      <c r="AG635" s="799"/>
      <c r="AH635" s="799"/>
      <c r="AI635" s="799"/>
      <c r="AJ635" s="799"/>
      <c r="AK635" s="799"/>
      <c r="AL635" s="799"/>
      <c r="AM635" s="799"/>
      <c r="AN635" s="799"/>
      <c r="AO635" s="799"/>
      <c r="AP635" s="799"/>
      <c r="AQ635" s="799"/>
      <c r="AR635" s="799"/>
      <c r="AS635" s="799"/>
      <c r="AT635" s="799"/>
      <c r="AU635" s="799"/>
      <c r="AV635" s="799"/>
      <c r="AW635" s="799"/>
      <c r="AX635" s="799"/>
      <c r="AY635" s="799"/>
      <c r="AZ635" s="799"/>
      <c r="BA635" s="799"/>
      <c r="BB635" s="799"/>
      <c r="BC635" s="799"/>
      <c r="BD635" s="799"/>
      <c r="BE635" s="799"/>
      <c r="BF635" s="799"/>
      <c r="BG635" s="799"/>
    </row>
    <row r="636">
      <c r="H636" s="799"/>
      <c r="I636" s="799"/>
      <c r="J636" s="799"/>
      <c r="K636" s="799"/>
      <c r="L636" s="799"/>
      <c r="M636" s="799"/>
      <c r="N636" s="799"/>
      <c r="O636" s="799"/>
      <c r="P636" s="799"/>
      <c r="Q636" s="799"/>
      <c r="R636" s="799"/>
      <c r="S636" s="799"/>
      <c r="T636" s="799"/>
      <c r="U636" s="799"/>
      <c r="V636" s="799"/>
      <c r="W636" s="799"/>
      <c r="X636" s="799"/>
      <c r="Y636" s="799"/>
      <c r="Z636" s="799"/>
      <c r="AA636" s="799"/>
      <c r="AB636" s="799"/>
      <c r="AC636" s="799"/>
      <c r="AD636" s="799"/>
      <c r="AE636" s="799"/>
      <c r="AF636" s="799"/>
      <c r="AG636" s="799"/>
      <c r="AH636" s="799"/>
      <c r="AI636" s="799"/>
      <c r="AJ636" s="799"/>
      <c r="AK636" s="799"/>
      <c r="AL636" s="799"/>
      <c r="AM636" s="799"/>
      <c r="AN636" s="799"/>
      <c r="AO636" s="799"/>
      <c r="AP636" s="799"/>
      <c r="AQ636" s="799"/>
      <c r="AR636" s="799"/>
      <c r="AS636" s="799"/>
      <c r="AT636" s="799"/>
      <c r="AU636" s="799"/>
      <c r="AV636" s="799"/>
      <c r="AW636" s="799"/>
      <c r="AX636" s="799"/>
      <c r="AY636" s="799"/>
      <c r="AZ636" s="799"/>
      <c r="BA636" s="799"/>
      <c r="BB636" s="799"/>
      <c r="BC636" s="799"/>
      <c r="BD636" s="799"/>
      <c r="BE636" s="799"/>
      <c r="BF636" s="799"/>
      <c r="BG636" s="799"/>
    </row>
    <row r="637">
      <c r="H637" s="799"/>
      <c r="I637" s="799"/>
      <c r="J637" s="799"/>
      <c r="K637" s="799"/>
      <c r="L637" s="799"/>
      <c r="M637" s="799"/>
      <c r="N637" s="799"/>
      <c r="O637" s="799"/>
      <c r="P637" s="799"/>
      <c r="Q637" s="799"/>
      <c r="R637" s="799"/>
      <c r="S637" s="799"/>
      <c r="T637" s="799"/>
      <c r="U637" s="799"/>
      <c r="V637" s="799"/>
      <c r="W637" s="799"/>
      <c r="X637" s="799"/>
      <c r="Y637" s="799"/>
      <c r="Z637" s="799"/>
      <c r="AA637" s="799"/>
      <c r="AB637" s="799"/>
      <c r="AC637" s="799"/>
      <c r="AD637" s="799"/>
      <c r="AE637" s="799"/>
      <c r="AF637" s="799"/>
      <c r="AG637" s="799"/>
      <c r="AH637" s="799"/>
      <c r="AI637" s="799"/>
      <c r="AJ637" s="799"/>
      <c r="AK637" s="799"/>
      <c r="AL637" s="799"/>
      <c r="AM637" s="799"/>
      <c r="AN637" s="799"/>
      <c r="AO637" s="799"/>
      <c r="AP637" s="799"/>
      <c r="AQ637" s="799"/>
      <c r="AR637" s="799"/>
      <c r="AS637" s="799"/>
      <c r="AT637" s="799"/>
      <c r="AU637" s="799"/>
      <c r="AV637" s="799"/>
      <c r="AW637" s="799"/>
      <c r="AX637" s="799"/>
      <c r="AY637" s="799"/>
      <c r="AZ637" s="799"/>
      <c r="BA637" s="799"/>
      <c r="BB637" s="799"/>
      <c r="BC637" s="799"/>
      <c r="BD637" s="799"/>
      <c r="BE637" s="799"/>
      <c r="BF637" s="799"/>
      <c r="BG637" s="799"/>
    </row>
    <row r="638">
      <c r="H638" s="799"/>
      <c r="I638" s="799"/>
      <c r="J638" s="799"/>
      <c r="K638" s="799"/>
      <c r="L638" s="799"/>
      <c r="M638" s="799"/>
      <c r="N638" s="799"/>
      <c r="O638" s="799"/>
      <c r="P638" s="799"/>
      <c r="Q638" s="799"/>
      <c r="R638" s="799"/>
      <c r="S638" s="799"/>
      <c r="T638" s="799"/>
      <c r="U638" s="799"/>
      <c r="V638" s="799"/>
      <c r="W638" s="799"/>
      <c r="X638" s="799"/>
      <c r="Y638" s="799"/>
      <c r="Z638" s="799"/>
      <c r="AA638" s="799"/>
      <c r="AB638" s="799"/>
      <c r="AC638" s="799"/>
      <c r="AD638" s="799"/>
      <c r="AE638" s="799"/>
      <c r="AF638" s="799"/>
      <c r="AG638" s="799"/>
      <c r="AH638" s="799"/>
      <c r="AI638" s="799"/>
      <c r="AJ638" s="799"/>
      <c r="AK638" s="799"/>
      <c r="AL638" s="799"/>
      <c r="AM638" s="799"/>
      <c r="AN638" s="799"/>
      <c r="AO638" s="799"/>
      <c r="AP638" s="799"/>
      <c r="AQ638" s="799"/>
      <c r="AR638" s="799"/>
      <c r="AS638" s="799"/>
      <c r="AT638" s="799"/>
      <c r="AU638" s="799"/>
      <c r="AV638" s="799"/>
      <c r="AW638" s="799"/>
      <c r="AX638" s="799"/>
      <c r="AY638" s="799"/>
      <c r="AZ638" s="799"/>
      <c r="BA638" s="799"/>
      <c r="BB638" s="799"/>
      <c r="BC638" s="799"/>
      <c r="BD638" s="799"/>
      <c r="BE638" s="799"/>
      <c r="BF638" s="799"/>
      <c r="BG638" s="799"/>
    </row>
    <row r="639">
      <c r="H639" s="799"/>
      <c r="I639" s="799"/>
      <c r="J639" s="799"/>
      <c r="K639" s="799"/>
      <c r="L639" s="799"/>
      <c r="M639" s="799"/>
      <c r="N639" s="799"/>
      <c r="O639" s="799"/>
      <c r="P639" s="799"/>
      <c r="Q639" s="799"/>
      <c r="R639" s="799"/>
      <c r="S639" s="799"/>
      <c r="T639" s="799"/>
      <c r="U639" s="799"/>
      <c r="V639" s="799"/>
      <c r="W639" s="799"/>
      <c r="X639" s="799"/>
      <c r="Y639" s="799"/>
      <c r="Z639" s="799"/>
      <c r="AA639" s="799"/>
      <c r="AB639" s="799"/>
      <c r="AC639" s="799"/>
      <c r="AD639" s="799"/>
      <c r="AE639" s="799"/>
      <c r="AF639" s="799"/>
      <c r="AG639" s="799"/>
      <c r="AH639" s="799"/>
      <c r="AI639" s="799"/>
      <c r="AJ639" s="799"/>
      <c r="AK639" s="799"/>
      <c r="AL639" s="799"/>
      <c r="AM639" s="799"/>
      <c r="AN639" s="799"/>
      <c r="AO639" s="799"/>
      <c r="AP639" s="799"/>
      <c r="AQ639" s="799"/>
      <c r="AR639" s="799"/>
      <c r="AS639" s="799"/>
      <c r="AT639" s="799"/>
      <c r="AU639" s="799"/>
      <c r="AV639" s="799"/>
      <c r="AW639" s="799"/>
      <c r="AX639" s="799"/>
      <c r="AY639" s="799"/>
      <c r="AZ639" s="799"/>
      <c r="BA639" s="799"/>
      <c r="BB639" s="799"/>
      <c r="BC639" s="799"/>
      <c r="BD639" s="799"/>
      <c r="BE639" s="799"/>
      <c r="BF639" s="799"/>
      <c r="BG639" s="799"/>
    </row>
    <row r="640">
      <c r="H640" s="799"/>
      <c r="I640" s="799"/>
      <c r="J640" s="799"/>
      <c r="K640" s="799"/>
      <c r="L640" s="799"/>
      <c r="M640" s="799"/>
      <c r="N640" s="799"/>
      <c r="O640" s="799"/>
      <c r="P640" s="799"/>
      <c r="Q640" s="799"/>
      <c r="R640" s="799"/>
      <c r="S640" s="799"/>
      <c r="T640" s="799"/>
      <c r="U640" s="799"/>
      <c r="V640" s="799"/>
      <c r="W640" s="799"/>
      <c r="X640" s="799"/>
      <c r="Y640" s="799"/>
      <c r="Z640" s="799"/>
      <c r="AA640" s="799"/>
      <c r="AB640" s="799"/>
      <c r="AC640" s="799"/>
      <c r="AD640" s="799"/>
      <c r="AE640" s="799"/>
      <c r="AF640" s="799"/>
      <c r="AG640" s="799"/>
      <c r="AH640" s="799"/>
      <c r="AI640" s="799"/>
      <c r="AJ640" s="799"/>
      <c r="AK640" s="799"/>
      <c r="AL640" s="799"/>
      <c r="AM640" s="799"/>
      <c r="AN640" s="799"/>
      <c r="AO640" s="799"/>
      <c r="AP640" s="799"/>
      <c r="AQ640" s="799"/>
      <c r="AR640" s="799"/>
      <c r="AS640" s="799"/>
      <c r="AT640" s="799"/>
      <c r="AU640" s="799"/>
      <c r="AV640" s="799"/>
      <c r="AW640" s="799"/>
      <c r="AX640" s="799"/>
      <c r="AY640" s="799"/>
      <c r="AZ640" s="799"/>
      <c r="BA640" s="799"/>
      <c r="BB640" s="799"/>
      <c r="BC640" s="799"/>
      <c r="BD640" s="799"/>
      <c r="BE640" s="799"/>
      <c r="BF640" s="799"/>
      <c r="BG640" s="799"/>
    </row>
    <row r="641">
      <c r="H641" s="799"/>
      <c r="I641" s="799"/>
      <c r="J641" s="799"/>
      <c r="K641" s="799"/>
      <c r="L641" s="799"/>
      <c r="M641" s="799"/>
      <c r="N641" s="799"/>
      <c r="O641" s="799"/>
      <c r="P641" s="799"/>
      <c r="Q641" s="799"/>
      <c r="R641" s="799"/>
      <c r="S641" s="799"/>
      <c r="T641" s="799"/>
      <c r="U641" s="799"/>
      <c r="V641" s="799"/>
      <c r="W641" s="799"/>
      <c r="X641" s="799"/>
      <c r="Y641" s="799"/>
      <c r="Z641" s="799"/>
      <c r="AA641" s="799"/>
      <c r="AB641" s="799"/>
      <c r="AC641" s="799"/>
      <c r="AD641" s="799"/>
      <c r="AE641" s="799"/>
      <c r="AF641" s="799"/>
      <c r="AG641" s="799"/>
      <c r="AH641" s="799"/>
      <c r="AI641" s="799"/>
      <c r="AJ641" s="799"/>
      <c r="AK641" s="799"/>
      <c r="AL641" s="799"/>
      <c r="AM641" s="799"/>
      <c r="AN641" s="799"/>
      <c r="AO641" s="799"/>
      <c r="AP641" s="799"/>
      <c r="AQ641" s="799"/>
      <c r="AR641" s="799"/>
      <c r="AS641" s="799"/>
      <c r="AT641" s="799"/>
      <c r="AU641" s="799"/>
      <c r="AV641" s="799"/>
      <c r="AW641" s="799"/>
      <c r="AX641" s="799"/>
      <c r="AY641" s="799"/>
      <c r="AZ641" s="799"/>
      <c r="BA641" s="799"/>
      <c r="BB641" s="799"/>
      <c r="BC641" s="799"/>
      <c r="BD641" s="799"/>
      <c r="BE641" s="799"/>
      <c r="BF641" s="799"/>
      <c r="BG641" s="799"/>
    </row>
    <row r="642">
      <c r="H642" s="799"/>
      <c r="I642" s="799"/>
      <c r="J642" s="799"/>
      <c r="K642" s="799"/>
      <c r="L642" s="799"/>
      <c r="M642" s="799"/>
      <c r="N642" s="799"/>
      <c r="O642" s="799"/>
      <c r="P642" s="799"/>
      <c r="Q642" s="799"/>
      <c r="R642" s="799"/>
      <c r="S642" s="799"/>
      <c r="T642" s="799"/>
      <c r="U642" s="799"/>
      <c r="V642" s="799"/>
      <c r="W642" s="799"/>
      <c r="X642" s="799"/>
      <c r="Y642" s="799"/>
      <c r="Z642" s="799"/>
      <c r="AA642" s="799"/>
      <c r="AB642" s="799"/>
      <c r="AC642" s="799"/>
      <c r="AD642" s="799"/>
      <c r="AE642" s="799"/>
      <c r="AF642" s="799"/>
      <c r="AG642" s="799"/>
      <c r="AH642" s="799"/>
      <c r="AI642" s="799"/>
      <c r="AJ642" s="799"/>
      <c r="AK642" s="799"/>
      <c r="AL642" s="799"/>
      <c r="AM642" s="799"/>
      <c r="AN642" s="799"/>
      <c r="AO642" s="799"/>
      <c r="AP642" s="799"/>
      <c r="AQ642" s="799"/>
      <c r="AR642" s="799"/>
      <c r="AS642" s="799"/>
      <c r="AT642" s="799"/>
      <c r="AU642" s="799"/>
      <c r="AV642" s="799"/>
      <c r="AW642" s="799"/>
      <c r="AX642" s="799"/>
      <c r="AY642" s="799"/>
      <c r="AZ642" s="799"/>
      <c r="BA642" s="799"/>
      <c r="BB642" s="799"/>
      <c r="BC642" s="799"/>
      <c r="BD642" s="799"/>
      <c r="BE642" s="799"/>
      <c r="BF642" s="799"/>
      <c r="BG642" s="799"/>
    </row>
    <row r="643">
      <c r="H643" s="799"/>
      <c r="I643" s="799"/>
      <c r="J643" s="799"/>
      <c r="K643" s="799"/>
      <c r="L643" s="799"/>
      <c r="M643" s="799"/>
      <c r="N643" s="799"/>
      <c r="O643" s="799"/>
      <c r="P643" s="799"/>
      <c r="Q643" s="799"/>
      <c r="R643" s="799"/>
      <c r="S643" s="799"/>
      <c r="T643" s="799"/>
      <c r="U643" s="799"/>
      <c r="V643" s="799"/>
      <c r="W643" s="799"/>
      <c r="X643" s="799"/>
      <c r="Y643" s="799"/>
      <c r="Z643" s="799"/>
      <c r="AA643" s="799"/>
      <c r="AB643" s="799"/>
      <c r="AC643" s="799"/>
      <c r="AD643" s="799"/>
      <c r="AE643" s="799"/>
      <c r="AF643" s="799"/>
      <c r="AG643" s="799"/>
      <c r="AH643" s="799"/>
      <c r="AI643" s="799"/>
      <c r="AJ643" s="799"/>
      <c r="AK643" s="799"/>
      <c r="AL643" s="799"/>
      <c r="AM643" s="799"/>
      <c r="AN643" s="799"/>
      <c r="AO643" s="799"/>
      <c r="AP643" s="799"/>
      <c r="AQ643" s="799"/>
      <c r="AR643" s="799"/>
      <c r="AS643" s="799"/>
      <c r="AT643" s="799"/>
      <c r="AU643" s="799"/>
      <c r="AV643" s="799"/>
      <c r="AW643" s="799"/>
      <c r="AX643" s="799"/>
      <c r="AY643" s="799"/>
      <c r="AZ643" s="799"/>
      <c r="BA643" s="799"/>
      <c r="BB643" s="799"/>
      <c r="BC643" s="799"/>
      <c r="BD643" s="799"/>
      <c r="BE643" s="799"/>
      <c r="BF643" s="799"/>
      <c r="BG643" s="799"/>
    </row>
    <row r="644">
      <c r="H644" s="799"/>
      <c r="I644" s="799"/>
      <c r="J644" s="799"/>
      <c r="K644" s="799"/>
      <c r="L644" s="799"/>
      <c r="M644" s="799"/>
      <c r="N644" s="799"/>
      <c r="O644" s="799"/>
      <c r="P644" s="799"/>
      <c r="Q644" s="799"/>
      <c r="R644" s="799"/>
      <c r="S644" s="799"/>
      <c r="T644" s="799"/>
      <c r="U644" s="799"/>
      <c r="V644" s="799"/>
      <c r="W644" s="799"/>
      <c r="X644" s="799"/>
      <c r="Y644" s="799"/>
      <c r="Z644" s="799"/>
      <c r="AA644" s="799"/>
      <c r="AB644" s="799"/>
      <c r="AC644" s="799"/>
      <c r="AD644" s="799"/>
      <c r="AE644" s="799"/>
      <c r="AF644" s="799"/>
      <c r="AG644" s="799"/>
      <c r="AH644" s="799"/>
      <c r="AI644" s="799"/>
      <c r="AJ644" s="799"/>
      <c r="AK644" s="799"/>
      <c r="AL644" s="799"/>
      <c r="AM644" s="799"/>
      <c r="AN644" s="799"/>
      <c r="AO644" s="799"/>
      <c r="AP644" s="799"/>
      <c r="AQ644" s="799"/>
      <c r="AR644" s="799"/>
      <c r="AS644" s="799"/>
      <c r="AT644" s="799"/>
      <c r="AU644" s="799"/>
      <c r="AV644" s="799"/>
      <c r="AW644" s="799"/>
      <c r="AX644" s="799"/>
      <c r="AY644" s="799"/>
      <c r="AZ644" s="799"/>
      <c r="BA644" s="799"/>
      <c r="BB644" s="799"/>
      <c r="BC644" s="799"/>
      <c r="BD644" s="799"/>
      <c r="BE644" s="799"/>
      <c r="BF644" s="799"/>
      <c r="BG644" s="799"/>
    </row>
    <row r="645">
      <c r="H645" s="799"/>
      <c r="I645" s="799"/>
      <c r="J645" s="799"/>
      <c r="K645" s="799"/>
      <c r="L645" s="799"/>
      <c r="M645" s="799"/>
      <c r="N645" s="799"/>
      <c r="O645" s="799"/>
      <c r="P645" s="799"/>
      <c r="Q645" s="799"/>
      <c r="R645" s="799"/>
      <c r="S645" s="799"/>
      <c r="T645" s="799"/>
      <c r="U645" s="799"/>
      <c r="V645" s="799"/>
      <c r="W645" s="799"/>
      <c r="X645" s="799"/>
      <c r="Y645" s="799"/>
      <c r="Z645" s="799"/>
      <c r="AA645" s="799"/>
      <c r="AB645" s="799"/>
      <c r="AC645" s="799"/>
      <c r="AD645" s="799"/>
      <c r="AE645" s="799"/>
      <c r="AF645" s="799"/>
      <c r="AG645" s="799"/>
      <c r="AH645" s="799"/>
      <c r="AI645" s="799"/>
      <c r="AJ645" s="799"/>
      <c r="AK645" s="799"/>
      <c r="AL645" s="799"/>
      <c r="AM645" s="799"/>
      <c r="AN645" s="799"/>
      <c r="AO645" s="799"/>
      <c r="AP645" s="799"/>
      <c r="AQ645" s="799"/>
      <c r="AR645" s="799"/>
      <c r="AS645" s="799"/>
      <c r="AT645" s="799"/>
      <c r="AU645" s="799"/>
      <c r="AV645" s="799"/>
      <c r="AW645" s="799"/>
      <c r="AX645" s="799"/>
      <c r="AY645" s="799"/>
      <c r="AZ645" s="799"/>
      <c r="BA645" s="799"/>
      <c r="BB645" s="799"/>
      <c r="BC645" s="799"/>
      <c r="BD645" s="799"/>
      <c r="BE645" s="799"/>
      <c r="BF645" s="799"/>
      <c r="BG645" s="799"/>
    </row>
    <row r="646">
      <c r="H646" s="799"/>
      <c r="I646" s="799"/>
      <c r="J646" s="799"/>
      <c r="K646" s="799"/>
      <c r="L646" s="799"/>
      <c r="M646" s="799"/>
      <c r="N646" s="799"/>
      <c r="O646" s="799"/>
      <c r="P646" s="799"/>
      <c r="Q646" s="799"/>
      <c r="R646" s="799"/>
      <c r="S646" s="799"/>
      <c r="T646" s="799"/>
      <c r="U646" s="799"/>
      <c r="V646" s="799"/>
      <c r="W646" s="799"/>
      <c r="X646" s="799"/>
      <c r="Y646" s="799"/>
      <c r="Z646" s="799"/>
      <c r="AA646" s="799"/>
      <c r="AB646" s="799"/>
      <c r="AC646" s="799"/>
      <c r="AD646" s="799"/>
      <c r="AE646" s="799"/>
      <c r="AF646" s="799"/>
      <c r="AG646" s="799"/>
      <c r="AH646" s="799"/>
      <c r="AI646" s="799"/>
      <c r="AJ646" s="799"/>
      <c r="AK646" s="799"/>
      <c r="AL646" s="799"/>
      <c r="AM646" s="799"/>
      <c r="AN646" s="799"/>
      <c r="AO646" s="799"/>
      <c r="AP646" s="799"/>
      <c r="AQ646" s="799"/>
      <c r="AR646" s="799"/>
      <c r="AS646" s="799"/>
      <c r="AT646" s="799"/>
      <c r="AU646" s="799"/>
      <c r="AV646" s="799"/>
      <c r="AW646" s="799"/>
      <c r="AX646" s="799"/>
      <c r="AY646" s="799"/>
      <c r="AZ646" s="799"/>
      <c r="BA646" s="799"/>
      <c r="BB646" s="799"/>
      <c r="BC646" s="799"/>
      <c r="BD646" s="799"/>
      <c r="BE646" s="799"/>
      <c r="BF646" s="799"/>
      <c r="BG646" s="799"/>
    </row>
    <row r="647">
      <c r="H647" s="799"/>
      <c r="I647" s="799"/>
      <c r="J647" s="799"/>
      <c r="K647" s="799"/>
      <c r="L647" s="799"/>
      <c r="M647" s="799"/>
      <c r="N647" s="799"/>
      <c r="O647" s="799"/>
      <c r="P647" s="799"/>
      <c r="Q647" s="799"/>
      <c r="R647" s="799"/>
      <c r="S647" s="799"/>
      <c r="T647" s="799"/>
      <c r="U647" s="799"/>
      <c r="V647" s="799"/>
      <c r="W647" s="799"/>
      <c r="X647" s="799"/>
      <c r="Y647" s="799"/>
      <c r="Z647" s="799"/>
      <c r="AA647" s="799"/>
      <c r="AB647" s="799"/>
      <c r="AC647" s="799"/>
      <c r="AD647" s="799"/>
      <c r="AE647" s="799"/>
      <c r="AF647" s="799"/>
      <c r="AG647" s="799"/>
      <c r="AH647" s="799"/>
      <c r="AI647" s="799"/>
      <c r="AJ647" s="799"/>
      <c r="AK647" s="799"/>
      <c r="AL647" s="799"/>
      <c r="AM647" s="799"/>
      <c r="AN647" s="799"/>
      <c r="AO647" s="799"/>
      <c r="AP647" s="799"/>
      <c r="AQ647" s="799"/>
      <c r="AR647" s="799"/>
      <c r="AS647" s="799"/>
      <c r="AT647" s="799"/>
      <c r="AU647" s="799"/>
      <c r="AV647" s="799"/>
      <c r="AW647" s="799"/>
      <c r="AX647" s="799"/>
      <c r="AY647" s="799"/>
      <c r="AZ647" s="799"/>
      <c r="BA647" s="799"/>
      <c r="BB647" s="799"/>
      <c r="BC647" s="799"/>
      <c r="BD647" s="799"/>
      <c r="BE647" s="799"/>
      <c r="BF647" s="799"/>
      <c r="BG647" s="799"/>
    </row>
    <row r="648">
      <c r="H648" s="799"/>
      <c r="I648" s="799"/>
      <c r="J648" s="799"/>
      <c r="K648" s="799"/>
      <c r="L648" s="799"/>
      <c r="M648" s="799"/>
      <c r="N648" s="799"/>
      <c r="O648" s="799"/>
      <c r="P648" s="799"/>
      <c r="Q648" s="799"/>
      <c r="R648" s="799"/>
      <c r="S648" s="799"/>
      <c r="T648" s="799"/>
      <c r="U648" s="799"/>
      <c r="V648" s="799"/>
      <c r="W648" s="799"/>
      <c r="X648" s="799"/>
      <c r="Y648" s="799"/>
      <c r="Z648" s="799"/>
      <c r="AA648" s="799"/>
      <c r="AB648" s="799"/>
      <c r="AC648" s="799"/>
      <c r="AD648" s="799"/>
      <c r="AE648" s="799"/>
      <c r="AF648" s="799"/>
      <c r="AG648" s="799"/>
      <c r="AH648" s="799"/>
      <c r="AI648" s="799"/>
      <c r="AJ648" s="799"/>
      <c r="AK648" s="799"/>
      <c r="AL648" s="799"/>
      <c r="AM648" s="799"/>
      <c r="AN648" s="799"/>
      <c r="AO648" s="799"/>
      <c r="AP648" s="799"/>
      <c r="AQ648" s="799"/>
      <c r="AR648" s="799"/>
      <c r="AS648" s="799"/>
      <c r="AT648" s="799"/>
      <c r="AU648" s="799"/>
      <c r="AV648" s="799"/>
      <c r="AW648" s="799"/>
      <c r="AX648" s="799"/>
      <c r="AY648" s="799"/>
      <c r="AZ648" s="799"/>
      <c r="BA648" s="799"/>
      <c r="BB648" s="799"/>
      <c r="BC648" s="799"/>
      <c r="BD648" s="799"/>
      <c r="BE648" s="799"/>
      <c r="BF648" s="799"/>
      <c r="BG648" s="799"/>
    </row>
    <row r="649">
      <c r="H649" s="799"/>
      <c r="I649" s="799"/>
      <c r="J649" s="799"/>
      <c r="K649" s="799"/>
      <c r="L649" s="799"/>
      <c r="M649" s="799"/>
      <c r="N649" s="799"/>
      <c r="O649" s="799"/>
      <c r="P649" s="799"/>
      <c r="Q649" s="799"/>
      <c r="R649" s="799"/>
      <c r="S649" s="799"/>
      <c r="T649" s="799"/>
      <c r="U649" s="799"/>
      <c r="V649" s="799"/>
      <c r="W649" s="799"/>
      <c r="X649" s="799"/>
      <c r="Y649" s="799"/>
      <c r="Z649" s="799"/>
      <c r="AA649" s="799"/>
      <c r="AB649" s="799"/>
      <c r="AC649" s="799"/>
      <c r="AD649" s="799"/>
      <c r="AE649" s="799"/>
      <c r="AF649" s="799"/>
      <c r="AG649" s="799"/>
      <c r="AH649" s="799"/>
      <c r="AI649" s="799"/>
      <c r="AJ649" s="799"/>
      <c r="AK649" s="799"/>
      <c r="AL649" s="799"/>
      <c r="AM649" s="799"/>
      <c r="AN649" s="799"/>
      <c r="AO649" s="799"/>
      <c r="AP649" s="799"/>
      <c r="AQ649" s="799"/>
      <c r="AR649" s="799"/>
      <c r="AS649" s="799"/>
      <c r="AT649" s="799"/>
      <c r="AU649" s="799"/>
      <c r="AV649" s="799"/>
      <c r="AW649" s="799"/>
      <c r="AX649" s="799"/>
      <c r="AY649" s="799"/>
      <c r="AZ649" s="799"/>
      <c r="BA649" s="799"/>
      <c r="BB649" s="799"/>
      <c r="BC649" s="799"/>
      <c r="BD649" s="799"/>
      <c r="BE649" s="799"/>
      <c r="BF649" s="799"/>
      <c r="BG649" s="799"/>
    </row>
    <row r="650">
      <c r="H650" s="799"/>
      <c r="I650" s="799"/>
      <c r="J650" s="799"/>
      <c r="K650" s="799"/>
      <c r="L650" s="799"/>
      <c r="M650" s="799"/>
      <c r="N650" s="799"/>
      <c r="O650" s="799"/>
      <c r="P650" s="799"/>
      <c r="Q650" s="799"/>
      <c r="R650" s="799"/>
      <c r="S650" s="799"/>
      <c r="T650" s="799"/>
      <c r="U650" s="799"/>
      <c r="V650" s="799"/>
      <c r="W650" s="799"/>
      <c r="X650" s="799"/>
      <c r="Y650" s="799"/>
      <c r="Z650" s="799"/>
      <c r="AA650" s="799"/>
      <c r="AB650" s="799"/>
      <c r="AC650" s="799"/>
      <c r="AD650" s="799"/>
      <c r="AE650" s="799"/>
      <c r="AF650" s="799"/>
      <c r="AG650" s="799"/>
      <c r="AH650" s="799"/>
      <c r="AI650" s="799"/>
      <c r="AJ650" s="799"/>
      <c r="AK650" s="799"/>
      <c r="AL650" s="799"/>
      <c r="AM650" s="799"/>
      <c r="AN650" s="799"/>
      <c r="AO650" s="799"/>
      <c r="AP650" s="799"/>
      <c r="AQ650" s="799"/>
      <c r="AR650" s="799"/>
      <c r="AS650" s="799"/>
      <c r="AT650" s="799"/>
      <c r="AU650" s="799"/>
      <c r="AV650" s="799"/>
      <c r="AW650" s="799"/>
      <c r="AX650" s="799"/>
      <c r="AY650" s="799"/>
      <c r="AZ650" s="799"/>
      <c r="BA650" s="799"/>
      <c r="BB650" s="799"/>
      <c r="BC650" s="799"/>
      <c r="BD650" s="799"/>
      <c r="BE650" s="799"/>
      <c r="BF650" s="799"/>
      <c r="BG650" s="799"/>
    </row>
    <row r="651">
      <c r="H651" s="799"/>
      <c r="I651" s="799"/>
      <c r="J651" s="799"/>
      <c r="K651" s="799"/>
      <c r="L651" s="799"/>
      <c r="M651" s="799"/>
      <c r="N651" s="799"/>
      <c r="O651" s="799"/>
      <c r="P651" s="799"/>
      <c r="Q651" s="799"/>
      <c r="R651" s="799"/>
      <c r="S651" s="799"/>
      <c r="T651" s="799"/>
      <c r="U651" s="799"/>
      <c r="V651" s="799"/>
      <c r="W651" s="799"/>
      <c r="X651" s="799"/>
      <c r="Y651" s="799"/>
      <c r="Z651" s="799"/>
      <c r="AA651" s="799"/>
      <c r="AB651" s="799"/>
      <c r="AC651" s="799"/>
      <c r="AD651" s="799"/>
      <c r="AE651" s="799"/>
      <c r="AF651" s="799"/>
      <c r="AG651" s="799"/>
      <c r="AH651" s="799"/>
      <c r="AI651" s="799"/>
      <c r="AJ651" s="799"/>
      <c r="AK651" s="799"/>
      <c r="AL651" s="799"/>
      <c r="AM651" s="799"/>
      <c r="AN651" s="799"/>
      <c r="AO651" s="799"/>
      <c r="AP651" s="799"/>
      <c r="AQ651" s="799"/>
      <c r="AR651" s="799"/>
      <c r="AS651" s="799"/>
      <c r="AT651" s="799"/>
      <c r="AU651" s="799"/>
      <c r="AV651" s="799"/>
      <c r="AW651" s="799"/>
      <c r="AX651" s="799"/>
      <c r="AY651" s="799"/>
      <c r="AZ651" s="799"/>
      <c r="BA651" s="799"/>
      <c r="BB651" s="799"/>
      <c r="BC651" s="799"/>
      <c r="BD651" s="799"/>
      <c r="BE651" s="799"/>
      <c r="BF651" s="799"/>
      <c r="BG651" s="799"/>
    </row>
    <row r="652">
      <c r="H652" s="799"/>
      <c r="I652" s="799"/>
      <c r="J652" s="799"/>
      <c r="K652" s="799"/>
      <c r="L652" s="799"/>
      <c r="M652" s="799"/>
      <c r="N652" s="799"/>
      <c r="O652" s="799"/>
      <c r="P652" s="799"/>
      <c r="Q652" s="799"/>
      <c r="R652" s="799"/>
      <c r="S652" s="799"/>
      <c r="T652" s="799"/>
      <c r="U652" s="799"/>
      <c r="V652" s="799"/>
      <c r="W652" s="799"/>
      <c r="X652" s="799"/>
      <c r="Y652" s="799"/>
      <c r="Z652" s="799"/>
      <c r="AA652" s="799"/>
      <c r="AB652" s="799"/>
      <c r="AC652" s="799"/>
      <c r="AD652" s="799"/>
      <c r="AE652" s="799"/>
      <c r="AF652" s="799"/>
      <c r="AG652" s="799"/>
      <c r="AH652" s="799"/>
      <c r="AI652" s="799"/>
      <c r="AJ652" s="799"/>
      <c r="AK652" s="799"/>
      <c r="AL652" s="799"/>
      <c r="AM652" s="799"/>
      <c r="AN652" s="799"/>
      <c r="AO652" s="799"/>
      <c r="AP652" s="799"/>
      <c r="AQ652" s="799"/>
      <c r="AR652" s="799"/>
      <c r="AS652" s="799"/>
      <c r="AT652" s="799"/>
      <c r="AU652" s="799"/>
      <c r="AV652" s="799"/>
      <c r="AW652" s="799"/>
      <c r="AX652" s="799"/>
      <c r="AY652" s="799"/>
      <c r="AZ652" s="799"/>
      <c r="BA652" s="799"/>
      <c r="BB652" s="799"/>
      <c r="BC652" s="799"/>
      <c r="BD652" s="799"/>
      <c r="BE652" s="799"/>
      <c r="BF652" s="799"/>
      <c r="BG652" s="799"/>
    </row>
    <row r="653">
      <c r="H653" s="799"/>
      <c r="I653" s="799"/>
      <c r="J653" s="799"/>
      <c r="K653" s="799"/>
      <c r="L653" s="799"/>
      <c r="M653" s="799"/>
      <c r="N653" s="799"/>
      <c r="O653" s="799"/>
      <c r="P653" s="799"/>
      <c r="Q653" s="799"/>
      <c r="R653" s="799"/>
      <c r="S653" s="799"/>
      <c r="T653" s="799"/>
      <c r="U653" s="799"/>
      <c r="V653" s="799"/>
      <c r="W653" s="799"/>
      <c r="X653" s="799"/>
      <c r="Y653" s="799"/>
      <c r="Z653" s="799"/>
      <c r="AA653" s="799"/>
      <c r="AB653" s="799"/>
      <c r="AC653" s="799"/>
      <c r="AD653" s="799"/>
      <c r="AE653" s="799"/>
      <c r="AF653" s="799"/>
      <c r="AG653" s="799"/>
      <c r="AH653" s="799"/>
      <c r="AI653" s="799"/>
      <c r="AJ653" s="799"/>
      <c r="AK653" s="799"/>
      <c r="AL653" s="799"/>
      <c r="AM653" s="799"/>
      <c r="AN653" s="799"/>
      <c r="AO653" s="799"/>
      <c r="AP653" s="799"/>
      <c r="AQ653" s="799"/>
      <c r="AR653" s="799"/>
      <c r="AS653" s="799"/>
      <c r="AT653" s="799"/>
      <c r="AU653" s="799"/>
      <c r="AV653" s="799"/>
      <c r="AW653" s="799"/>
      <c r="AX653" s="799"/>
      <c r="AY653" s="799"/>
      <c r="AZ653" s="799"/>
      <c r="BA653" s="799"/>
      <c r="BB653" s="799"/>
      <c r="BC653" s="799"/>
      <c r="BD653" s="799"/>
      <c r="BE653" s="799"/>
      <c r="BF653" s="799"/>
      <c r="BG653" s="799"/>
    </row>
    <row r="654">
      <c r="H654" s="799"/>
      <c r="I654" s="799"/>
      <c r="J654" s="799"/>
      <c r="K654" s="799"/>
      <c r="L654" s="799"/>
      <c r="M654" s="799"/>
      <c r="N654" s="799"/>
      <c r="O654" s="799"/>
      <c r="P654" s="799"/>
      <c r="Q654" s="799"/>
      <c r="R654" s="799"/>
      <c r="S654" s="799"/>
      <c r="T654" s="799"/>
      <c r="U654" s="799"/>
      <c r="V654" s="799"/>
      <c r="W654" s="799"/>
      <c r="X654" s="799"/>
      <c r="Y654" s="799"/>
      <c r="Z654" s="799"/>
      <c r="AA654" s="799"/>
      <c r="AB654" s="799"/>
      <c r="AC654" s="799"/>
      <c r="AD654" s="799"/>
      <c r="AE654" s="799"/>
      <c r="AF654" s="799"/>
      <c r="AG654" s="799"/>
      <c r="AH654" s="799"/>
      <c r="AI654" s="799"/>
      <c r="AJ654" s="799"/>
      <c r="AK654" s="799"/>
      <c r="AL654" s="799"/>
      <c r="AM654" s="799"/>
      <c r="AN654" s="799"/>
      <c r="AO654" s="799"/>
      <c r="AP654" s="799"/>
      <c r="AQ654" s="799"/>
      <c r="AR654" s="799"/>
      <c r="AS654" s="799"/>
      <c r="AT654" s="799"/>
      <c r="AU654" s="799"/>
      <c r="AV654" s="799"/>
      <c r="AW654" s="799"/>
      <c r="AX654" s="799"/>
      <c r="AY654" s="799"/>
      <c r="AZ654" s="799"/>
      <c r="BA654" s="799"/>
      <c r="BB654" s="799"/>
      <c r="BC654" s="799"/>
      <c r="BD654" s="799"/>
      <c r="BE654" s="799"/>
      <c r="BF654" s="799"/>
      <c r="BG654" s="799"/>
    </row>
    <row r="655">
      <c r="H655" s="799"/>
      <c r="I655" s="799"/>
      <c r="J655" s="799"/>
      <c r="K655" s="799"/>
      <c r="L655" s="799"/>
      <c r="M655" s="799"/>
      <c r="N655" s="799"/>
      <c r="O655" s="799"/>
      <c r="P655" s="799"/>
      <c r="Q655" s="799"/>
      <c r="R655" s="799"/>
      <c r="S655" s="799"/>
      <c r="T655" s="799"/>
      <c r="U655" s="799"/>
      <c r="V655" s="799"/>
      <c r="W655" s="799"/>
      <c r="X655" s="799"/>
      <c r="Y655" s="799"/>
      <c r="Z655" s="799"/>
      <c r="AA655" s="799"/>
      <c r="AB655" s="799"/>
      <c r="AC655" s="799"/>
      <c r="AD655" s="799"/>
      <c r="AE655" s="799"/>
      <c r="AF655" s="799"/>
      <c r="AG655" s="799"/>
      <c r="AH655" s="799"/>
      <c r="AI655" s="799"/>
      <c r="AJ655" s="799"/>
      <c r="AK655" s="799"/>
      <c r="AL655" s="799"/>
      <c r="AM655" s="799"/>
      <c r="AN655" s="799"/>
      <c r="AO655" s="799"/>
      <c r="AP655" s="799"/>
      <c r="AQ655" s="799"/>
      <c r="AR655" s="799"/>
      <c r="AS655" s="799"/>
      <c r="AT655" s="799"/>
      <c r="AU655" s="799"/>
      <c r="AV655" s="799"/>
      <c r="AW655" s="799"/>
      <c r="AX655" s="799"/>
      <c r="AY655" s="799"/>
      <c r="AZ655" s="799"/>
      <c r="BA655" s="799"/>
      <c r="BB655" s="799"/>
      <c r="BC655" s="799"/>
      <c r="BD655" s="799"/>
      <c r="BE655" s="799"/>
      <c r="BF655" s="799"/>
      <c r="BG655" s="799"/>
    </row>
    <row r="656">
      <c r="H656" s="799"/>
      <c r="I656" s="799"/>
      <c r="J656" s="799"/>
      <c r="K656" s="799"/>
      <c r="L656" s="799"/>
      <c r="M656" s="799"/>
      <c r="N656" s="799"/>
      <c r="O656" s="799"/>
      <c r="P656" s="799"/>
      <c r="Q656" s="799"/>
      <c r="R656" s="799"/>
      <c r="S656" s="799"/>
      <c r="T656" s="799"/>
      <c r="U656" s="799"/>
      <c r="V656" s="799"/>
      <c r="W656" s="799"/>
      <c r="X656" s="799"/>
      <c r="Y656" s="799"/>
      <c r="Z656" s="799"/>
      <c r="AA656" s="799"/>
      <c r="AB656" s="799"/>
      <c r="AC656" s="799"/>
      <c r="AD656" s="799"/>
      <c r="AE656" s="799"/>
      <c r="AF656" s="799"/>
      <c r="AG656" s="799"/>
      <c r="AH656" s="799"/>
      <c r="AI656" s="799"/>
      <c r="AJ656" s="799"/>
      <c r="AK656" s="799"/>
      <c r="AL656" s="799"/>
      <c r="AM656" s="799"/>
      <c r="AN656" s="799"/>
      <c r="AO656" s="799"/>
      <c r="AP656" s="799"/>
      <c r="AQ656" s="799"/>
      <c r="AR656" s="799"/>
      <c r="AS656" s="799"/>
      <c r="AT656" s="799"/>
      <c r="AU656" s="799"/>
      <c r="AV656" s="799"/>
      <c r="AW656" s="799"/>
      <c r="AX656" s="799"/>
      <c r="AY656" s="799"/>
      <c r="AZ656" s="799"/>
      <c r="BA656" s="799"/>
      <c r="BB656" s="799"/>
      <c r="BC656" s="799"/>
      <c r="BD656" s="799"/>
      <c r="BE656" s="799"/>
      <c r="BF656" s="799"/>
      <c r="BG656" s="799"/>
    </row>
    <row r="657">
      <c r="H657" s="799"/>
      <c r="I657" s="799"/>
      <c r="J657" s="799"/>
      <c r="K657" s="799"/>
      <c r="L657" s="799"/>
      <c r="M657" s="799"/>
      <c r="N657" s="799"/>
      <c r="O657" s="799"/>
      <c r="P657" s="799"/>
      <c r="Q657" s="799"/>
      <c r="R657" s="799"/>
      <c r="S657" s="799"/>
      <c r="T657" s="799"/>
      <c r="U657" s="799"/>
      <c r="V657" s="799"/>
      <c r="W657" s="799"/>
      <c r="X657" s="799"/>
      <c r="Y657" s="799"/>
      <c r="Z657" s="799"/>
      <c r="AA657" s="799"/>
      <c r="AB657" s="799"/>
      <c r="AC657" s="799"/>
      <c r="AD657" s="799"/>
      <c r="AE657" s="799"/>
      <c r="AF657" s="799"/>
      <c r="AG657" s="799"/>
      <c r="AH657" s="799"/>
      <c r="AI657" s="799"/>
      <c r="AJ657" s="799"/>
      <c r="AK657" s="799"/>
      <c r="AL657" s="799"/>
      <c r="AM657" s="799"/>
      <c r="AN657" s="799"/>
      <c r="AO657" s="799"/>
      <c r="AP657" s="799"/>
      <c r="AQ657" s="799"/>
      <c r="AR657" s="799"/>
      <c r="AS657" s="799"/>
      <c r="AT657" s="799"/>
      <c r="AU657" s="799"/>
      <c r="AV657" s="799"/>
      <c r="AW657" s="799"/>
      <c r="AX657" s="799"/>
      <c r="AY657" s="799"/>
      <c r="AZ657" s="799"/>
      <c r="BA657" s="799"/>
      <c r="BB657" s="799"/>
      <c r="BC657" s="799"/>
      <c r="BD657" s="799"/>
      <c r="BE657" s="799"/>
      <c r="BF657" s="799"/>
      <c r="BG657" s="799"/>
    </row>
    <row r="658">
      <c r="H658" s="799"/>
      <c r="I658" s="799"/>
      <c r="J658" s="799"/>
      <c r="K658" s="799"/>
      <c r="L658" s="799"/>
      <c r="M658" s="799"/>
      <c r="N658" s="799"/>
      <c r="O658" s="799"/>
      <c r="P658" s="799"/>
      <c r="Q658" s="799"/>
      <c r="R658" s="799"/>
      <c r="S658" s="799"/>
      <c r="T658" s="799"/>
      <c r="U658" s="799"/>
      <c r="V658" s="799"/>
      <c r="W658" s="799"/>
      <c r="X658" s="799"/>
      <c r="Y658" s="799"/>
      <c r="Z658" s="799"/>
      <c r="AA658" s="799"/>
      <c r="AB658" s="799"/>
      <c r="AC658" s="799"/>
      <c r="AD658" s="799"/>
      <c r="AE658" s="799"/>
      <c r="AF658" s="799"/>
      <c r="AG658" s="799"/>
      <c r="AH658" s="799"/>
      <c r="AI658" s="799"/>
      <c r="AJ658" s="799"/>
      <c r="AK658" s="799"/>
      <c r="AL658" s="799"/>
      <c r="AM658" s="799"/>
      <c r="AN658" s="799"/>
      <c r="AO658" s="799"/>
      <c r="AP658" s="799"/>
      <c r="AQ658" s="799"/>
      <c r="AR658" s="799"/>
      <c r="AS658" s="799"/>
      <c r="AT658" s="799"/>
      <c r="AU658" s="799"/>
      <c r="AV658" s="799"/>
      <c r="AW658" s="799"/>
      <c r="AX658" s="799"/>
      <c r="AY658" s="799"/>
      <c r="AZ658" s="799"/>
      <c r="BA658" s="799"/>
      <c r="BB658" s="799"/>
      <c r="BC658" s="799"/>
      <c r="BD658" s="799"/>
      <c r="BE658" s="799"/>
      <c r="BF658" s="799"/>
      <c r="BG658" s="799"/>
    </row>
    <row r="659">
      <c r="H659" s="799"/>
      <c r="I659" s="799"/>
      <c r="J659" s="799"/>
      <c r="K659" s="799"/>
      <c r="L659" s="799"/>
      <c r="M659" s="799"/>
      <c r="N659" s="799"/>
      <c r="O659" s="799"/>
      <c r="P659" s="799"/>
      <c r="Q659" s="799"/>
      <c r="R659" s="799"/>
      <c r="S659" s="799"/>
      <c r="T659" s="799"/>
      <c r="U659" s="799"/>
      <c r="V659" s="799"/>
      <c r="W659" s="799"/>
      <c r="X659" s="799"/>
      <c r="Y659" s="799"/>
      <c r="Z659" s="799"/>
      <c r="AA659" s="799"/>
      <c r="AB659" s="799"/>
      <c r="AC659" s="799"/>
      <c r="AD659" s="799"/>
      <c r="AE659" s="799"/>
      <c r="AF659" s="799"/>
      <c r="AG659" s="799"/>
      <c r="AH659" s="799"/>
      <c r="AI659" s="799"/>
      <c r="AJ659" s="799"/>
      <c r="AK659" s="799"/>
      <c r="AL659" s="799"/>
      <c r="AM659" s="799"/>
      <c r="AN659" s="799"/>
      <c r="AO659" s="799"/>
      <c r="AP659" s="799"/>
      <c r="AQ659" s="799"/>
      <c r="AR659" s="799"/>
      <c r="AS659" s="799"/>
      <c r="AT659" s="799"/>
      <c r="AU659" s="799"/>
      <c r="AV659" s="799"/>
      <c r="AW659" s="799"/>
      <c r="AX659" s="799"/>
      <c r="AY659" s="799"/>
      <c r="AZ659" s="799"/>
      <c r="BA659" s="799"/>
      <c r="BB659" s="799"/>
      <c r="BC659" s="799"/>
      <c r="BD659" s="799"/>
      <c r="BE659" s="799"/>
      <c r="BF659" s="799"/>
      <c r="BG659" s="799"/>
    </row>
    <row r="660">
      <c r="H660" s="799"/>
      <c r="I660" s="799"/>
      <c r="J660" s="799"/>
      <c r="K660" s="799"/>
      <c r="L660" s="799"/>
      <c r="M660" s="799"/>
      <c r="N660" s="799"/>
      <c r="O660" s="799"/>
      <c r="P660" s="799"/>
      <c r="Q660" s="799"/>
      <c r="R660" s="799"/>
      <c r="S660" s="799"/>
      <c r="T660" s="799"/>
      <c r="U660" s="799"/>
      <c r="V660" s="799"/>
      <c r="W660" s="799"/>
      <c r="X660" s="799"/>
      <c r="Y660" s="799"/>
      <c r="Z660" s="799"/>
      <c r="AA660" s="799"/>
      <c r="AB660" s="799"/>
      <c r="AC660" s="799"/>
      <c r="AD660" s="799"/>
      <c r="AE660" s="799"/>
      <c r="AF660" s="799"/>
      <c r="AG660" s="799"/>
      <c r="AH660" s="799"/>
      <c r="AI660" s="799"/>
      <c r="AJ660" s="799"/>
      <c r="AK660" s="799"/>
      <c r="AL660" s="799"/>
      <c r="AM660" s="799"/>
      <c r="AN660" s="799"/>
      <c r="AO660" s="799"/>
      <c r="AP660" s="799"/>
      <c r="AQ660" s="799"/>
      <c r="AR660" s="799"/>
      <c r="AS660" s="799"/>
      <c r="AT660" s="799"/>
      <c r="AU660" s="799"/>
      <c r="AV660" s="799"/>
      <c r="AW660" s="799"/>
      <c r="AX660" s="799"/>
      <c r="AY660" s="799"/>
      <c r="AZ660" s="799"/>
      <c r="BA660" s="799"/>
      <c r="BB660" s="799"/>
      <c r="BC660" s="799"/>
      <c r="BD660" s="799"/>
      <c r="BE660" s="799"/>
      <c r="BF660" s="799"/>
      <c r="BG660" s="799"/>
    </row>
    <row r="661">
      <c r="H661" s="799"/>
      <c r="I661" s="799"/>
      <c r="J661" s="799"/>
      <c r="K661" s="799"/>
      <c r="L661" s="799"/>
      <c r="M661" s="799"/>
      <c r="N661" s="799"/>
      <c r="O661" s="799"/>
      <c r="P661" s="799"/>
      <c r="Q661" s="799"/>
      <c r="R661" s="799"/>
      <c r="S661" s="799"/>
      <c r="T661" s="799"/>
      <c r="U661" s="799"/>
      <c r="V661" s="799"/>
      <c r="W661" s="799"/>
      <c r="X661" s="799"/>
      <c r="Y661" s="799"/>
      <c r="Z661" s="799"/>
      <c r="AA661" s="799"/>
      <c r="AB661" s="799"/>
      <c r="AC661" s="799"/>
      <c r="AD661" s="799"/>
      <c r="AE661" s="799"/>
      <c r="AF661" s="799"/>
      <c r="AG661" s="799"/>
      <c r="AH661" s="799"/>
      <c r="AI661" s="799"/>
      <c r="AJ661" s="799"/>
      <c r="AK661" s="799"/>
      <c r="AL661" s="799"/>
      <c r="AM661" s="799"/>
      <c r="AN661" s="799"/>
      <c r="AO661" s="799"/>
      <c r="AP661" s="799"/>
      <c r="AQ661" s="799"/>
      <c r="AR661" s="799"/>
      <c r="AS661" s="799"/>
      <c r="AT661" s="799"/>
      <c r="AU661" s="799"/>
      <c r="AV661" s="799"/>
      <c r="AW661" s="799"/>
      <c r="AX661" s="799"/>
      <c r="AY661" s="799"/>
      <c r="AZ661" s="799"/>
      <c r="BA661" s="799"/>
      <c r="BB661" s="799"/>
      <c r="BC661" s="799"/>
      <c r="BD661" s="799"/>
      <c r="BE661" s="799"/>
      <c r="BF661" s="799"/>
      <c r="BG661" s="799"/>
    </row>
    <row r="662">
      <c r="H662" s="799"/>
      <c r="I662" s="799"/>
      <c r="J662" s="799"/>
      <c r="K662" s="799"/>
      <c r="L662" s="799"/>
      <c r="M662" s="799"/>
      <c r="N662" s="799"/>
      <c r="O662" s="799"/>
      <c r="P662" s="799"/>
      <c r="Q662" s="799"/>
      <c r="R662" s="799"/>
      <c r="S662" s="799"/>
      <c r="T662" s="799"/>
      <c r="U662" s="799"/>
      <c r="V662" s="799"/>
      <c r="W662" s="799"/>
      <c r="X662" s="799"/>
      <c r="Y662" s="799"/>
      <c r="Z662" s="799"/>
      <c r="AA662" s="799"/>
      <c r="AB662" s="799"/>
      <c r="AC662" s="799"/>
      <c r="AD662" s="799"/>
      <c r="AE662" s="799"/>
      <c r="AF662" s="799"/>
      <c r="AG662" s="799"/>
      <c r="AH662" s="799"/>
      <c r="AI662" s="799"/>
      <c r="AJ662" s="799"/>
      <c r="AK662" s="799"/>
      <c r="AL662" s="799"/>
      <c r="AM662" s="799"/>
      <c r="AN662" s="799"/>
      <c r="AO662" s="799"/>
      <c r="AP662" s="799"/>
      <c r="AQ662" s="799"/>
      <c r="AR662" s="799"/>
      <c r="AS662" s="799"/>
      <c r="AT662" s="799"/>
      <c r="AU662" s="799"/>
      <c r="AV662" s="799"/>
      <c r="AW662" s="799"/>
      <c r="AX662" s="799"/>
      <c r="AY662" s="799"/>
      <c r="AZ662" s="799"/>
      <c r="BA662" s="799"/>
      <c r="BB662" s="799"/>
      <c r="BC662" s="799"/>
      <c r="BD662" s="799"/>
      <c r="BE662" s="799"/>
      <c r="BF662" s="799"/>
      <c r="BG662" s="799"/>
    </row>
    <row r="663">
      <c r="H663" s="799"/>
      <c r="I663" s="799"/>
      <c r="J663" s="799"/>
      <c r="K663" s="799"/>
      <c r="L663" s="799"/>
      <c r="M663" s="799"/>
      <c r="N663" s="799"/>
      <c r="O663" s="799"/>
      <c r="P663" s="799"/>
      <c r="Q663" s="799"/>
      <c r="R663" s="799"/>
      <c r="S663" s="799"/>
      <c r="T663" s="799"/>
      <c r="U663" s="799"/>
      <c r="V663" s="799"/>
      <c r="W663" s="799"/>
      <c r="X663" s="799"/>
      <c r="Y663" s="799"/>
      <c r="Z663" s="799"/>
      <c r="AA663" s="799"/>
      <c r="AB663" s="799"/>
      <c r="AC663" s="799"/>
      <c r="AD663" s="799"/>
      <c r="AE663" s="799"/>
      <c r="AF663" s="799"/>
      <c r="AG663" s="799"/>
      <c r="AH663" s="799"/>
      <c r="AI663" s="799"/>
      <c r="AJ663" s="799"/>
      <c r="AK663" s="799"/>
      <c r="AL663" s="799"/>
      <c r="AM663" s="799"/>
      <c r="AN663" s="799"/>
      <c r="AO663" s="799"/>
      <c r="AP663" s="799"/>
      <c r="AQ663" s="799"/>
      <c r="AR663" s="799"/>
      <c r="AS663" s="799"/>
      <c r="AT663" s="799"/>
      <c r="AU663" s="799"/>
      <c r="AV663" s="799"/>
      <c r="AW663" s="799"/>
      <c r="AX663" s="799"/>
      <c r="AY663" s="799"/>
      <c r="AZ663" s="799"/>
      <c r="BA663" s="799"/>
      <c r="BB663" s="799"/>
      <c r="BC663" s="799"/>
      <c r="BD663" s="799"/>
      <c r="BE663" s="799"/>
      <c r="BF663" s="799"/>
      <c r="BG663" s="799"/>
    </row>
    <row r="664">
      <c r="H664" s="799"/>
      <c r="I664" s="799"/>
      <c r="J664" s="799"/>
      <c r="K664" s="799"/>
      <c r="L664" s="799"/>
      <c r="M664" s="799"/>
      <c r="N664" s="799"/>
      <c r="O664" s="799"/>
      <c r="P664" s="799"/>
      <c r="Q664" s="799"/>
      <c r="R664" s="799"/>
      <c r="S664" s="799"/>
      <c r="T664" s="799"/>
      <c r="U664" s="799"/>
      <c r="V664" s="799"/>
      <c r="W664" s="799"/>
      <c r="X664" s="799"/>
      <c r="Y664" s="799"/>
      <c r="Z664" s="799"/>
      <c r="AA664" s="799"/>
      <c r="AB664" s="799"/>
      <c r="AC664" s="799"/>
      <c r="AD664" s="799"/>
      <c r="AE664" s="799"/>
      <c r="AF664" s="799"/>
      <c r="AG664" s="799"/>
      <c r="AH664" s="799"/>
      <c r="AI664" s="799"/>
      <c r="AJ664" s="799"/>
      <c r="AK664" s="799"/>
      <c r="AL664" s="799"/>
      <c r="AM664" s="799"/>
      <c r="AN664" s="799"/>
      <c r="AO664" s="799"/>
      <c r="AP664" s="799"/>
      <c r="AQ664" s="799"/>
      <c r="AR664" s="799"/>
      <c r="AS664" s="799"/>
      <c r="AT664" s="799"/>
      <c r="AU664" s="799"/>
      <c r="AV664" s="799"/>
      <c r="AW664" s="799"/>
      <c r="AX664" s="799"/>
      <c r="AY664" s="799"/>
      <c r="AZ664" s="799"/>
      <c r="BA664" s="799"/>
      <c r="BB664" s="799"/>
      <c r="BC664" s="799"/>
      <c r="BD664" s="799"/>
      <c r="BE664" s="799"/>
      <c r="BF664" s="799"/>
      <c r="BG664" s="799"/>
    </row>
    <row r="665">
      <c r="H665" s="799"/>
      <c r="I665" s="799"/>
      <c r="J665" s="799"/>
      <c r="K665" s="799"/>
      <c r="L665" s="799"/>
      <c r="M665" s="799"/>
      <c r="N665" s="799"/>
      <c r="O665" s="799"/>
      <c r="P665" s="799"/>
      <c r="Q665" s="799"/>
      <c r="R665" s="799"/>
      <c r="S665" s="799"/>
      <c r="T665" s="799"/>
      <c r="U665" s="799"/>
      <c r="V665" s="799"/>
      <c r="W665" s="799"/>
      <c r="X665" s="799"/>
      <c r="Y665" s="799"/>
      <c r="Z665" s="799"/>
      <c r="AA665" s="799"/>
      <c r="AB665" s="799"/>
      <c r="AC665" s="799"/>
      <c r="AD665" s="799"/>
      <c r="AE665" s="799"/>
      <c r="AF665" s="799"/>
      <c r="AG665" s="799"/>
      <c r="AH665" s="799"/>
      <c r="AI665" s="799"/>
      <c r="AJ665" s="799"/>
      <c r="AK665" s="799"/>
      <c r="AL665" s="799"/>
      <c r="AM665" s="799"/>
      <c r="AN665" s="799"/>
      <c r="AO665" s="799"/>
      <c r="AP665" s="799"/>
      <c r="AQ665" s="799"/>
      <c r="AR665" s="799"/>
      <c r="AS665" s="799"/>
      <c r="AT665" s="799"/>
      <c r="AU665" s="799"/>
      <c r="AV665" s="799"/>
      <c r="AW665" s="799"/>
      <c r="AX665" s="799"/>
      <c r="AY665" s="799"/>
      <c r="AZ665" s="799"/>
      <c r="BA665" s="799"/>
      <c r="BB665" s="799"/>
      <c r="BC665" s="799"/>
      <c r="BD665" s="799"/>
      <c r="BE665" s="799"/>
      <c r="BF665" s="799"/>
      <c r="BG665" s="799"/>
    </row>
    <row r="666">
      <c r="H666" s="799"/>
      <c r="I666" s="799"/>
      <c r="J666" s="799"/>
      <c r="K666" s="799"/>
      <c r="L666" s="799"/>
      <c r="M666" s="799"/>
      <c r="N666" s="799"/>
      <c r="O666" s="799"/>
      <c r="P666" s="799"/>
      <c r="Q666" s="799"/>
      <c r="R666" s="799"/>
      <c r="S666" s="799"/>
      <c r="T666" s="799"/>
      <c r="U666" s="799"/>
      <c r="V666" s="799"/>
      <c r="W666" s="799"/>
      <c r="X666" s="799"/>
      <c r="Y666" s="799"/>
      <c r="Z666" s="799"/>
      <c r="AA666" s="799"/>
      <c r="AB666" s="799"/>
      <c r="AC666" s="799"/>
      <c r="AD666" s="799"/>
      <c r="AE666" s="799"/>
      <c r="AF666" s="799"/>
      <c r="AG666" s="799"/>
      <c r="AH666" s="799"/>
      <c r="AI666" s="799"/>
      <c r="AJ666" s="799"/>
      <c r="AK666" s="799"/>
      <c r="AL666" s="799"/>
      <c r="AM666" s="799"/>
      <c r="AN666" s="799"/>
      <c r="AO666" s="799"/>
      <c r="AP666" s="799"/>
      <c r="AQ666" s="799"/>
      <c r="AR666" s="799"/>
      <c r="AS666" s="799"/>
      <c r="AT666" s="799"/>
      <c r="AU666" s="799"/>
      <c r="AV666" s="799"/>
      <c r="AW666" s="799"/>
      <c r="AX666" s="799"/>
      <c r="AY666" s="799"/>
      <c r="AZ666" s="799"/>
      <c r="BA666" s="799"/>
      <c r="BB666" s="799"/>
      <c r="BC666" s="799"/>
      <c r="BD666" s="799"/>
      <c r="BE666" s="799"/>
      <c r="BF666" s="799"/>
      <c r="BG666" s="799"/>
    </row>
    <row r="667">
      <c r="H667" s="799"/>
      <c r="I667" s="799"/>
      <c r="J667" s="799"/>
      <c r="K667" s="799"/>
      <c r="L667" s="799"/>
      <c r="M667" s="799"/>
      <c r="N667" s="799"/>
      <c r="O667" s="799"/>
      <c r="P667" s="799"/>
      <c r="Q667" s="799"/>
      <c r="R667" s="799"/>
      <c r="S667" s="799"/>
      <c r="T667" s="799"/>
      <c r="U667" s="799"/>
      <c r="V667" s="799"/>
      <c r="W667" s="799"/>
      <c r="X667" s="799"/>
      <c r="Y667" s="799"/>
      <c r="Z667" s="799"/>
      <c r="AA667" s="799"/>
      <c r="AB667" s="799"/>
      <c r="AC667" s="799"/>
      <c r="AD667" s="799"/>
      <c r="AE667" s="799"/>
      <c r="AF667" s="799"/>
      <c r="AG667" s="799"/>
      <c r="AH667" s="799"/>
      <c r="AI667" s="799"/>
      <c r="AJ667" s="799"/>
      <c r="AK667" s="799"/>
      <c r="AL667" s="799"/>
      <c r="AM667" s="799"/>
      <c r="AN667" s="799"/>
      <c r="AO667" s="799"/>
      <c r="AP667" s="799"/>
      <c r="AQ667" s="799"/>
      <c r="AR667" s="799"/>
      <c r="AS667" s="799"/>
      <c r="AT667" s="799"/>
      <c r="AU667" s="799"/>
      <c r="AV667" s="799"/>
      <c r="AW667" s="799"/>
      <c r="AX667" s="799"/>
      <c r="AY667" s="799"/>
      <c r="AZ667" s="799"/>
      <c r="BA667" s="799"/>
      <c r="BB667" s="799"/>
      <c r="BC667" s="799"/>
      <c r="BD667" s="799"/>
      <c r="BE667" s="799"/>
      <c r="BF667" s="799"/>
      <c r="BG667" s="799"/>
    </row>
    <row r="668">
      <c r="H668" s="799"/>
      <c r="I668" s="799"/>
      <c r="J668" s="799"/>
      <c r="K668" s="799"/>
      <c r="L668" s="799"/>
      <c r="M668" s="799"/>
      <c r="N668" s="799"/>
      <c r="O668" s="799"/>
      <c r="P668" s="799"/>
      <c r="Q668" s="799"/>
      <c r="R668" s="799"/>
      <c r="S668" s="799"/>
      <c r="T668" s="799"/>
      <c r="U668" s="799"/>
      <c r="V668" s="799"/>
      <c r="W668" s="799"/>
      <c r="X668" s="799"/>
      <c r="Y668" s="799"/>
      <c r="Z668" s="799"/>
      <c r="AA668" s="799"/>
      <c r="AB668" s="799"/>
      <c r="AC668" s="799"/>
      <c r="AD668" s="799"/>
      <c r="AE668" s="799"/>
      <c r="AF668" s="799"/>
      <c r="AG668" s="799"/>
      <c r="AH668" s="799"/>
      <c r="AI668" s="799"/>
      <c r="AJ668" s="799"/>
      <c r="AK668" s="799"/>
      <c r="AL668" s="799"/>
      <c r="AM668" s="799"/>
      <c r="AN668" s="799"/>
      <c r="AO668" s="799"/>
      <c r="AP668" s="799"/>
      <c r="AQ668" s="799"/>
      <c r="AR668" s="799"/>
      <c r="AS668" s="799"/>
      <c r="AT668" s="799"/>
      <c r="AU668" s="799"/>
      <c r="AV668" s="799"/>
      <c r="AW668" s="799"/>
      <c r="AX668" s="799"/>
      <c r="AY668" s="799"/>
      <c r="AZ668" s="799"/>
      <c r="BA668" s="799"/>
      <c r="BB668" s="799"/>
      <c r="BC668" s="799"/>
      <c r="BD668" s="799"/>
      <c r="BE668" s="799"/>
      <c r="BF668" s="799"/>
      <c r="BG668" s="799"/>
    </row>
    <row r="669">
      <c r="H669" s="799"/>
      <c r="I669" s="799"/>
      <c r="J669" s="799"/>
      <c r="K669" s="799"/>
      <c r="L669" s="799"/>
      <c r="M669" s="799"/>
      <c r="N669" s="799"/>
      <c r="O669" s="799"/>
      <c r="P669" s="799"/>
      <c r="Q669" s="799"/>
      <c r="R669" s="799"/>
      <c r="S669" s="799"/>
      <c r="T669" s="799"/>
      <c r="U669" s="799"/>
      <c r="V669" s="799"/>
      <c r="W669" s="799"/>
      <c r="X669" s="799"/>
      <c r="Y669" s="799"/>
      <c r="Z669" s="799"/>
      <c r="AA669" s="799"/>
      <c r="AB669" s="799"/>
      <c r="AC669" s="799"/>
      <c r="AD669" s="799"/>
      <c r="AE669" s="799"/>
      <c r="AF669" s="799"/>
      <c r="AG669" s="799"/>
      <c r="AH669" s="799"/>
      <c r="AI669" s="799"/>
      <c r="AJ669" s="799"/>
      <c r="AK669" s="799"/>
      <c r="AL669" s="799"/>
      <c r="AM669" s="799"/>
      <c r="AN669" s="799"/>
      <c r="AO669" s="799"/>
      <c r="AP669" s="799"/>
      <c r="AQ669" s="799"/>
      <c r="AR669" s="799"/>
      <c r="AS669" s="799"/>
      <c r="AT669" s="799"/>
      <c r="AU669" s="799"/>
      <c r="AV669" s="799"/>
      <c r="AW669" s="799"/>
      <c r="AX669" s="799"/>
      <c r="AY669" s="799"/>
      <c r="AZ669" s="799"/>
      <c r="BA669" s="799"/>
      <c r="BB669" s="799"/>
      <c r="BC669" s="799"/>
      <c r="BD669" s="799"/>
      <c r="BE669" s="799"/>
      <c r="BF669" s="799"/>
      <c r="BG669" s="799"/>
    </row>
    <row r="670">
      <c r="H670" s="799"/>
      <c r="I670" s="799"/>
      <c r="J670" s="799"/>
      <c r="K670" s="799"/>
      <c r="L670" s="799"/>
      <c r="M670" s="799"/>
      <c r="N670" s="799"/>
      <c r="O670" s="799"/>
      <c r="P670" s="799"/>
      <c r="Q670" s="799"/>
      <c r="R670" s="799"/>
      <c r="S670" s="799"/>
      <c r="T670" s="799"/>
      <c r="U670" s="799"/>
      <c r="V670" s="799"/>
      <c r="W670" s="799"/>
      <c r="X670" s="799"/>
      <c r="Y670" s="799"/>
      <c r="Z670" s="799"/>
      <c r="AA670" s="799"/>
      <c r="AB670" s="799"/>
      <c r="AC670" s="799"/>
      <c r="AD670" s="799"/>
      <c r="AE670" s="799"/>
      <c r="AF670" s="799"/>
      <c r="AG670" s="799"/>
      <c r="AH670" s="799"/>
      <c r="AI670" s="799"/>
      <c r="AJ670" s="799"/>
      <c r="AK670" s="799"/>
      <c r="AL670" s="799"/>
      <c r="AM670" s="799"/>
      <c r="AN670" s="799"/>
      <c r="AO670" s="799"/>
      <c r="AP670" s="799"/>
      <c r="AQ670" s="799"/>
      <c r="AR670" s="799"/>
      <c r="AS670" s="799"/>
      <c r="AT670" s="799"/>
      <c r="AU670" s="799"/>
      <c r="AV670" s="799"/>
      <c r="AW670" s="799"/>
      <c r="AX670" s="799"/>
      <c r="AY670" s="799"/>
      <c r="AZ670" s="799"/>
      <c r="BA670" s="799"/>
      <c r="BB670" s="799"/>
      <c r="BC670" s="799"/>
      <c r="BD670" s="799"/>
      <c r="BE670" s="799"/>
      <c r="BF670" s="799"/>
      <c r="BG670" s="799"/>
    </row>
    <row r="671">
      <c r="H671" s="799"/>
      <c r="I671" s="799"/>
      <c r="J671" s="799"/>
      <c r="K671" s="799"/>
      <c r="L671" s="799"/>
      <c r="M671" s="799"/>
      <c r="N671" s="799"/>
      <c r="O671" s="799"/>
      <c r="P671" s="799"/>
      <c r="Q671" s="799"/>
      <c r="R671" s="799"/>
      <c r="S671" s="799"/>
      <c r="T671" s="799"/>
      <c r="U671" s="799"/>
      <c r="V671" s="799"/>
      <c r="W671" s="799"/>
      <c r="X671" s="799"/>
      <c r="Y671" s="799"/>
      <c r="Z671" s="799"/>
      <c r="AA671" s="799"/>
      <c r="AB671" s="799"/>
      <c r="AC671" s="799"/>
      <c r="AD671" s="799"/>
      <c r="AE671" s="799"/>
      <c r="AF671" s="799"/>
      <c r="AG671" s="799"/>
      <c r="AH671" s="799"/>
      <c r="AI671" s="799"/>
      <c r="AJ671" s="799"/>
      <c r="AK671" s="799"/>
      <c r="AL671" s="799"/>
      <c r="AM671" s="799"/>
      <c r="AN671" s="799"/>
      <c r="AO671" s="799"/>
      <c r="AP671" s="799"/>
      <c r="AQ671" s="799"/>
      <c r="AR671" s="799"/>
      <c r="AS671" s="799"/>
      <c r="AT671" s="799"/>
      <c r="AU671" s="799"/>
      <c r="AV671" s="799"/>
      <c r="AW671" s="799"/>
      <c r="AX671" s="799"/>
      <c r="AY671" s="799"/>
      <c r="AZ671" s="799"/>
      <c r="BA671" s="799"/>
      <c r="BB671" s="799"/>
      <c r="BC671" s="799"/>
      <c r="BD671" s="799"/>
      <c r="BE671" s="799"/>
      <c r="BF671" s="799"/>
      <c r="BG671" s="799"/>
    </row>
    <row r="672">
      <c r="H672" s="799"/>
      <c r="I672" s="799"/>
      <c r="J672" s="799"/>
      <c r="K672" s="799"/>
      <c r="L672" s="799"/>
      <c r="M672" s="799"/>
      <c r="N672" s="799"/>
      <c r="O672" s="799"/>
      <c r="P672" s="799"/>
      <c r="Q672" s="799"/>
      <c r="R672" s="799"/>
      <c r="S672" s="799"/>
      <c r="T672" s="799"/>
      <c r="U672" s="799"/>
      <c r="V672" s="799"/>
      <c r="W672" s="799"/>
      <c r="X672" s="799"/>
      <c r="Y672" s="799"/>
      <c r="Z672" s="799"/>
      <c r="AA672" s="799"/>
      <c r="AB672" s="799"/>
      <c r="AC672" s="799"/>
      <c r="AD672" s="799"/>
      <c r="AE672" s="799"/>
      <c r="AF672" s="799"/>
      <c r="AG672" s="799"/>
      <c r="AH672" s="799"/>
      <c r="AI672" s="799"/>
      <c r="AJ672" s="799"/>
      <c r="AK672" s="799"/>
      <c r="AL672" s="799"/>
      <c r="AM672" s="799"/>
      <c r="AN672" s="799"/>
      <c r="AO672" s="799"/>
      <c r="AP672" s="799"/>
      <c r="AQ672" s="799"/>
      <c r="AR672" s="799"/>
      <c r="AS672" s="799"/>
      <c r="AT672" s="799"/>
      <c r="AU672" s="799"/>
      <c r="AV672" s="799"/>
      <c r="AW672" s="799"/>
      <c r="AX672" s="799"/>
      <c r="AY672" s="799"/>
      <c r="AZ672" s="799"/>
      <c r="BA672" s="799"/>
      <c r="BB672" s="799"/>
      <c r="BC672" s="799"/>
      <c r="BD672" s="799"/>
      <c r="BE672" s="799"/>
      <c r="BF672" s="799"/>
      <c r="BG672" s="799"/>
    </row>
    <row r="673">
      <c r="H673" s="799"/>
      <c r="I673" s="799"/>
      <c r="J673" s="799"/>
      <c r="K673" s="799"/>
      <c r="L673" s="799"/>
      <c r="M673" s="799"/>
      <c r="N673" s="799"/>
      <c r="O673" s="799"/>
      <c r="P673" s="799"/>
      <c r="Q673" s="799"/>
      <c r="R673" s="799"/>
      <c r="S673" s="799"/>
      <c r="T673" s="799"/>
      <c r="U673" s="799"/>
      <c r="V673" s="799"/>
      <c r="W673" s="799"/>
      <c r="X673" s="799"/>
      <c r="Y673" s="799"/>
      <c r="Z673" s="799"/>
      <c r="AA673" s="799"/>
      <c r="AB673" s="799"/>
      <c r="AC673" s="799"/>
      <c r="AD673" s="799"/>
      <c r="AE673" s="799"/>
      <c r="AF673" s="799"/>
      <c r="AG673" s="799"/>
      <c r="AH673" s="799"/>
      <c r="AI673" s="799"/>
      <c r="AJ673" s="799"/>
      <c r="AK673" s="799"/>
      <c r="AL673" s="799"/>
      <c r="AM673" s="799"/>
      <c r="AN673" s="799"/>
      <c r="AO673" s="799"/>
      <c r="AP673" s="799"/>
      <c r="AQ673" s="799"/>
      <c r="AR673" s="799"/>
      <c r="AS673" s="799"/>
      <c r="AT673" s="799"/>
      <c r="AU673" s="799"/>
      <c r="AV673" s="799"/>
      <c r="AW673" s="799"/>
      <c r="AX673" s="799"/>
      <c r="AY673" s="799"/>
      <c r="AZ673" s="799"/>
      <c r="BA673" s="799"/>
      <c r="BB673" s="799"/>
      <c r="BC673" s="799"/>
      <c r="BD673" s="799"/>
      <c r="BE673" s="799"/>
      <c r="BF673" s="799"/>
      <c r="BG673" s="799"/>
    </row>
    <row r="674">
      <c r="H674" s="799"/>
      <c r="I674" s="799"/>
      <c r="J674" s="799"/>
      <c r="K674" s="799"/>
      <c r="L674" s="799"/>
      <c r="M674" s="799"/>
      <c r="N674" s="799"/>
      <c r="O674" s="799"/>
      <c r="P674" s="799"/>
      <c r="Q674" s="799"/>
      <c r="R674" s="799"/>
      <c r="S674" s="799"/>
      <c r="T674" s="799"/>
      <c r="U674" s="799"/>
      <c r="V674" s="799"/>
      <c r="W674" s="799"/>
      <c r="X674" s="799"/>
      <c r="Y674" s="799"/>
      <c r="Z674" s="799"/>
      <c r="AA674" s="799"/>
      <c r="AB674" s="799"/>
      <c r="AC674" s="799"/>
      <c r="AD674" s="799"/>
      <c r="AE674" s="799"/>
      <c r="AF674" s="799"/>
      <c r="AG674" s="799"/>
      <c r="AH674" s="799"/>
      <c r="AI674" s="799"/>
      <c r="AJ674" s="799"/>
      <c r="AK674" s="799"/>
      <c r="AL674" s="799"/>
      <c r="AM674" s="799"/>
      <c r="AN674" s="799"/>
      <c r="AO674" s="799"/>
      <c r="AP674" s="799"/>
      <c r="AQ674" s="799"/>
      <c r="AR674" s="799"/>
      <c r="AS674" s="799"/>
      <c r="AT674" s="799"/>
      <c r="AU674" s="799"/>
      <c r="AV674" s="799"/>
      <c r="AW674" s="799"/>
      <c r="AX674" s="799"/>
      <c r="AY674" s="799"/>
      <c r="AZ674" s="799"/>
      <c r="BA674" s="799"/>
      <c r="BB674" s="799"/>
      <c r="BC674" s="799"/>
      <c r="BD674" s="799"/>
      <c r="BE674" s="799"/>
      <c r="BF674" s="799"/>
      <c r="BG674" s="799"/>
    </row>
    <row r="675">
      <c r="H675" s="799"/>
      <c r="I675" s="799"/>
      <c r="J675" s="799"/>
      <c r="K675" s="799"/>
      <c r="L675" s="799"/>
      <c r="M675" s="799"/>
      <c r="N675" s="799"/>
      <c r="O675" s="799"/>
      <c r="P675" s="799"/>
      <c r="Q675" s="799"/>
      <c r="R675" s="799"/>
      <c r="S675" s="799"/>
      <c r="T675" s="799"/>
      <c r="U675" s="799"/>
      <c r="V675" s="799"/>
      <c r="W675" s="799"/>
      <c r="X675" s="799"/>
      <c r="Y675" s="799"/>
      <c r="Z675" s="799"/>
      <c r="AA675" s="799"/>
      <c r="AB675" s="799"/>
      <c r="AC675" s="799"/>
      <c r="AD675" s="799"/>
      <c r="AE675" s="799"/>
      <c r="AF675" s="799"/>
      <c r="AG675" s="799"/>
      <c r="AH675" s="799"/>
      <c r="AI675" s="799"/>
      <c r="AJ675" s="799"/>
      <c r="AK675" s="799"/>
      <c r="AL675" s="799"/>
      <c r="AM675" s="799"/>
      <c r="AN675" s="799"/>
      <c r="AO675" s="799"/>
      <c r="AP675" s="799"/>
      <c r="AQ675" s="799"/>
      <c r="AR675" s="799"/>
      <c r="AS675" s="799"/>
      <c r="AT675" s="799"/>
      <c r="AU675" s="799"/>
      <c r="AV675" s="799"/>
      <c r="AW675" s="799"/>
      <c r="AX675" s="799"/>
      <c r="AY675" s="799"/>
      <c r="AZ675" s="799"/>
      <c r="BA675" s="799"/>
      <c r="BB675" s="799"/>
      <c r="BC675" s="799"/>
      <c r="BD675" s="799"/>
      <c r="BE675" s="799"/>
      <c r="BF675" s="799"/>
      <c r="BG675" s="799"/>
    </row>
    <row r="676">
      <c r="H676" s="799"/>
      <c r="I676" s="799"/>
      <c r="J676" s="799"/>
      <c r="K676" s="799"/>
      <c r="L676" s="799"/>
      <c r="M676" s="799"/>
      <c r="N676" s="799"/>
      <c r="O676" s="799"/>
      <c r="P676" s="799"/>
      <c r="Q676" s="799"/>
      <c r="R676" s="799"/>
      <c r="S676" s="799"/>
      <c r="T676" s="799"/>
      <c r="U676" s="799"/>
      <c r="V676" s="799"/>
      <c r="W676" s="799"/>
      <c r="X676" s="799"/>
      <c r="Y676" s="799"/>
      <c r="Z676" s="799"/>
      <c r="AA676" s="799"/>
      <c r="AB676" s="799"/>
      <c r="AC676" s="799"/>
      <c r="AD676" s="799"/>
      <c r="AE676" s="799"/>
      <c r="AF676" s="799"/>
      <c r="AG676" s="799"/>
      <c r="AH676" s="799"/>
      <c r="AI676" s="799"/>
      <c r="AJ676" s="799"/>
      <c r="AK676" s="799"/>
      <c r="AL676" s="799"/>
      <c r="AM676" s="799"/>
      <c r="AN676" s="799"/>
      <c r="AO676" s="799"/>
      <c r="AP676" s="799"/>
      <c r="AQ676" s="799"/>
      <c r="AR676" s="799"/>
      <c r="AS676" s="799"/>
      <c r="AT676" s="799"/>
      <c r="AU676" s="799"/>
      <c r="AV676" s="799"/>
      <c r="AW676" s="799"/>
      <c r="AX676" s="799"/>
      <c r="AY676" s="799"/>
      <c r="AZ676" s="799"/>
      <c r="BA676" s="799"/>
      <c r="BB676" s="799"/>
      <c r="BC676" s="799"/>
      <c r="BD676" s="799"/>
      <c r="BE676" s="799"/>
      <c r="BF676" s="799"/>
      <c r="BG676" s="799"/>
    </row>
    <row r="677">
      <c r="H677" s="799"/>
      <c r="I677" s="799"/>
      <c r="J677" s="799"/>
      <c r="K677" s="799"/>
      <c r="L677" s="799"/>
      <c r="M677" s="799"/>
      <c r="N677" s="799"/>
      <c r="O677" s="799"/>
      <c r="P677" s="799"/>
      <c r="Q677" s="799"/>
      <c r="R677" s="799"/>
      <c r="S677" s="799"/>
      <c r="T677" s="799"/>
      <c r="U677" s="799"/>
      <c r="V677" s="799"/>
      <c r="W677" s="799"/>
      <c r="X677" s="799"/>
      <c r="Y677" s="799"/>
      <c r="Z677" s="799"/>
      <c r="AA677" s="799"/>
      <c r="AB677" s="799"/>
      <c r="AC677" s="799"/>
      <c r="AD677" s="799"/>
      <c r="AE677" s="799"/>
      <c r="AF677" s="799"/>
      <c r="AG677" s="799"/>
      <c r="AH677" s="799"/>
      <c r="AI677" s="799"/>
      <c r="AJ677" s="799"/>
      <c r="AK677" s="799"/>
      <c r="AL677" s="799"/>
      <c r="AM677" s="799"/>
      <c r="AN677" s="799"/>
      <c r="AO677" s="799"/>
      <c r="AP677" s="799"/>
      <c r="AQ677" s="799"/>
      <c r="AR677" s="799"/>
      <c r="AS677" s="799"/>
      <c r="AT677" s="799"/>
      <c r="AU677" s="799"/>
      <c r="AV677" s="799"/>
      <c r="AW677" s="799"/>
      <c r="AX677" s="799"/>
      <c r="AY677" s="799"/>
      <c r="AZ677" s="799"/>
      <c r="BA677" s="799"/>
      <c r="BB677" s="799"/>
      <c r="BC677" s="799"/>
      <c r="BD677" s="799"/>
      <c r="BE677" s="799"/>
      <c r="BF677" s="799"/>
      <c r="BG677" s="799"/>
    </row>
    <row r="678">
      <c r="H678" s="799"/>
      <c r="I678" s="799"/>
      <c r="J678" s="799"/>
      <c r="K678" s="799"/>
      <c r="L678" s="799"/>
      <c r="M678" s="799"/>
      <c r="N678" s="799"/>
      <c r="O678" s="799"/>
      <c r="P678" s="799"/>
      <c r="Q678" s="799"/>
      <c r="R678" s="799"/>
      <c r="S678" s="799"/>
      <c r="T678" s="799"/>
      <c r="U678" s="799"/>
      <c r="V678" s="799"/>
      <c r="W678" s="799"/>
      <c r="X678" s="799"/>
      <c r="Y678" s="799"/>
      <c r="Z678" s="799"/>
      <c r="AA678" s="799"/>
      <c r="AB678" s="799"/>
      <c r="AC678" s="799"/>
      <c r="AD678" s="799"/>
      <c r="AE678" s="799"/>
      <c r="AF678" s="799"/>
      <c r="AG678" s="799"/>
      <c r="AH678" s="799"/>
      <c r="AI678" s="799"/>
      <c r="AJ678" s="799"/>
      <c r="AK678" s="799"/>
      <c r="AL678" s="799"/>
      <c r="AM678" s="799"/>
      <c r="AN678" s="799"/>
      <c r="AO678" s="799"/>
      <c r="AP678" s="799"/>
      <c r="AQ678" s="799"/>
      <c r="AR678" s="799"/>
      <c r="AS678" s="799"/>
      <c r="AT678" s="799"/>
      <c r="AU678" s="799"/>
      <c r="AV678" s="799"/>
      <c r="AW678" s="799"/>
      <c r="AX678" s="799"/>
      <c r="AY678" s="799"/>
      <c r="AZ678" s="799"/>
      <c r="BA678" s="799"/>
      <c r="BB678" s="799"/>
      <c r="BC678" s="799"/>
      <c r="BD678" s="799"/>
      <c r="BE678" s="799"/>
      <c r="BF678" s="799"/>
      <c r="BG678" s="799"/>
    </row>
    <row r="679">
      <c r="H679" s="799"/>
      <c r="I679" s="799"/>
      <c r="J679" s="799"/>
      <c r="K679" s="799"/>
      <c r="L679" s="799"/>
      <c r="M679" s="799"/>
      <c r="N679" s="799"/>
      <c r="O679" s="799"/>
      <c r="P679" s="799"/>
      <c r="Q679" s="799"/>
      <c r="R679" s="799"/>
      <c r="S679" s="799"/>
      <c r="T679" s="799"/>
      <c r="U679" s="799"/>
      <c r="V679" s="799"/>
      <c r="W679" s="799"/>
      <c r="X679" s="799"/>
      <c r="Y679" s="799"/>
      <c r="Z679" s="799"/>
      <c r="AA679" s="799"/>
      <c r="AB679" s="799"/>
      <c r="AC679" s="799"/>
      <c r="AD679" s="799"/>
      <c r="AE679" s="799"/>
      <c r="AF679" s="799"/>
      <c r="AG679" s="799"/>
      <c r="AH679" s="799"/>
      <c r="AI679" s="799"/>
      <c r="AJ679" s="799"/>
      <c r="AK679" s="799"/>
      <c r="AL679" s="799"/>
      <c r="AM679" s="799"/>
      <c r="AN679" s="799"/>
      <c r="AO679" s="799"/>
      <c r="AP679" s="799"/>
      <c r="AQ679" s="799"/>
      <c r="AR679" s="799"/>
      <c r="AS679" s="799"/>
      <c r="AT679" s="799"/>
      <c r="AU679" s="799"/>
      <c r="AV679" s="799"/>
      <c r="AW679" s="799"/>
      <c r="AX679" s="799"/>
      <c r="AY679" s="799"/>
      <c r="AZ679" s="799"/>
      <c r="BA679" s="799"/>
      <c r="BB679" s="799"/>
      <c r="BC679" s="799"/>
      <c r="BD679" s="799"/>
      <c r="BE679" s="799"/>
      <c r="BF679" s="799"/>
      <c r="BG679" s="799"/>
    </row>
    <row r="680">
      <c r="H680" s="799"/>
      <c r="I680" s="799"/>
      <c r="J680" s="799"/>
      <c r="K680" s="799"/>
      <c r="L680" s="799"/>
      <c r="M680" s="799"/>
      <c r="N680" s="799"/>
      <c r="O680" s="799"/>
      <c r="P680" s="799"/>
      <c r="Q680" s="799"/>
      <c r="R680" s="799"/>
      <c r="S680" s="799"/>
      <c r="T680" s="799"/>
      <c r="U680" s="799"/>
      <c r="V680" s="799"/>
      <c r="W680" s="799"/>
      <c r="X680" s="799"/>
      <c r="Y680" s="799"/>
      <c r="Z680" s="799"/>
      <c r="AA680" s="799"/>
      <c r="AB680" s="799"/>
      <c r="AC680" s="799"/>
      <c r="AD680" s="799"/>
      <c r="AE680" s="799"/>
      <c r="AF680" s="799"/>
      <c r="AG680" s="799"/>
      <c r="AH680" s="799"/>
      <c r="AI680" s="799"/>
      <c r="AJ680" s="799"/>
      <c r="AK680" s="799"/>
      <c r="AL680" s="799"/>
      <c r="AM680" s="799"/>
      <c r="AN680" s="799"/>
      <c r="AO680" s="799"/>
      <c r="AP680" s="799"/>
      <c r="AQ680" s="799"/>
      <c r="AR680" s="799"/>
      <c r="AS680" s="799"/>
      <c r="AT680" s="799"/>
      <c r="AU680" s="799"/>
      <c r="AV680" s="799"/>
      <c r="AW680" s="799"/>
      <c r="AX680" s="799"/>
      <c r="AY680" s="799"/>
      <c r="AZ680" s="799"/>
      <c r="BA680" s="799"/>
      <c r="BB680" s="799"/>
      <c r="BC680" s="799"/>
      <c r="BD680" s="799"/>
      <c r="BE680" s="799"/>
      <c r="BF680" s="799"/>
      <c r="BG680" s="799"/>
    </row>
    <row r="681">
      <c r="H681" s="799"/>
      <c r="I681" s="799"/>
      <c r="J681" s="799"/>
      <c r="K681" s="799"/>
      <c r="L681" s="799"/>
      <c r="M681" s="799"/>
      <c r="N681" s="799"/>
      <c r="O681" s="799"/>
      <c r="P681" s="799"/>
      <c r="Q681" s="799"/>
      <c r="R681" s="799"/>
      <c r="S681" s="799"/>
      <c r="T681" s="799"/>
      <c r="U681" s="799"/>
      <c r="V681" s="799"/>
      <c r="W681" s="799"/>
      <c r="X681" s="799"/>
      <c r="Y681" s="799"/>
      <c r="Z681" s="799"/>
      <c r="AA681" s="799"/>
      <c r="AB681" s="799"/>
      <c r="AC681" s="799"/>
      <c r="AD681" s="799"/>
      <c r="AE681" s="799"/>
      <c r="AF681" s="799"/>
      <c r="AG681" s="799"/>
      <c r="AH681" s="799"/>
      <c r="AI681" s="799"/>
      <c r="AJ681" s="799"/>
      <c r="AK681" s="799"/>
      <c r="AL681" s="799"/>
      <c r="AM681" s="799"/>
      <c r="AN681" s="799"/>
      <c r="AO681" s="799"/>
      <c r="AP681" s="799"/>
      <c r="AQ681" s="799"/>
      <c r="AR681" s="799"/>
      <c r="AS681" s="799"/>
      <c r="AT681" s="799"/>
      <c r="AU681" s="799"/>
      <c r="AV681" s="799"/>
      <c r="AW681" s="799"/>
      <c r="AX681" s="799"/>
      <c r="AY681" s="799"/>
      <c r="AZ681" s="799"/>
      <c r="BA681" s="799"/>
      <c r="BB681" s="799"/>
      <c r="BC681" s="799"/>
      <c r="BD681" s="799"/>
      <c r="BE681" s="799"/>
      <c r="BF681" s="799"/>
      <c r="BG681" s="799"/>
    </row>
    <row r="682">
      <c r="H682" s="799"/>
      <c r="I682" s="799"/>
      <c r="J682" s="799"/>
      <c r="K682" s="799"/>
      <c r="L682" s="799"/>
      <c r="M682" s="799"/>
      <c r="N682" s="799"/>
      <c r="O682" s="799"/>
      <c r="P682" s="799"/>
      <c r="Q682" s="799"/>
      <c r="R682" s="799"/>
      <c r="S682" s="799"/>
      <c r="T682" s="799"/>
      <c r="U682" s="799"/>
      <c r="V682" s="799"/>
      <c r="W682" s="799"/>
      <c r="X682" s="799"/>
      <c r="Y682" s="799"/>
      <c r="Z682" s="799"/>
      <c r="AA682" s="799"/>
      <c r="AB682" s="799"/>
      <c r="AC682" s="799"/>
      <c r="AD682" s="799"/>
      <c r="AE682" s="799"/>
      <c r="AF682" s="799"/>
      <c r="AG682" s="799"/>
      <c r="AH682" s="799"/>
      <c r="AI682" s="799"/>
      <c r="AJ682" s="799"/>
      <c r="AK682" s="799"/>
      <c r="AL682" s="799"/>
      <c r="AM682" s="799"/>
      <c r="AN682" s="799"/>
      <c r="AO682" s="799"/>
      <c r="AP682" s="799"/>
      <c r="AQ682" s="799"/>
      <c r="AR682" s="799"/>
      <c r="AS682" s="799"/>
      <c r="AT682" s="799"/>
      <c r="AU682" s="799"/>
      <c r="AV682" s="799"/>
      <c r="AW682" s="799"/>
      <c r="AX682" s="799"/>
      <c r="AY682" s="799"/>
      <c r="AZ682" s="799"/>
      <c r="BA682" s="799"/>
      <c r="BB682" s="799"/>
      <c r="BC682" s="799"/>
      <c r="BD682" s="799"/>
      <c r="BE682" s="799"/>
      <c r="BF682" s="799"/>
      <c r="BG682" s="799"/>
    </row>
    <row r="683">
      <c r="H683" s="799"/>
      <c r="I683" s="799"/>
      <c r="J683" s="799"/>
      <c r="K683" s="799"/>
      <c r="L683" s="799"/>
      <c r="M683" s="799"/>
      <c r="N683" s="799"/>
      <c r="O683" s="799"/>
      <c r="P683" s="799"/>
      <c r="Q683" s="799"/>
      <c r="R683" s="799"/>
      <c r="S683" s="799"/>
      <c r="T683" s="799"/>
      <c r="U683" s="799"/>
      <c r="V683" s="799"/>
      <c r="W683" s="799"/>
      <c r="X683" s="799"/>
      <c r="Y683" s="799"/>
      <c r="Z683" s="799"/>
      <c r="AA683" s="799"/>
      <c r="AB683" s="799"/>
      <c r="AC683" s="799"/>
      <c r="AD683" s="799"/>
      <c r="AE683" s="799"/>
      <c r="AF683" s="799"/>
      <c r="AG683" s="799"/>
      <c r="AH683" s="799"/>
      <c r="AI683" s="799"/>
      <c r="AJ683" s="799"/>
      <c r="AK683" s="799"/>
      <c r="AL683" s="799"/>
      <c r="AM683" s="799"/>
      <c r="AN683" s="799"/>
      <c r="AO683" s="799"/>
      <c r="AP683" s="799"/>
      <c r="AQ683" s="799"/>
      <c r="AR683" s="799"/>
      <c r="AS683" s="799"/>
      <c r="AT683" s="799"/>
      <c r="AU683" s="799"/>
      <c r="AV683" s="799"/>
      <c r="AW683" s="799"/>
      <c r="AX683" s="799"/>
      <c r="AY683" s="799"/>
      <c r="AZ683" s="799"/>
      <c r="BA683" s="799"/>
      <c r="BB683" s="799"/>
      <c r="BC683" s="799"/>
      <c r="BD683" s="799"/>
      <c r="BE683" s="799"/>
      <c r="BF683" s="799"/>
      <c r="BG683" s="799"/>
    </row>
    <row r="684">
      <c r="H684" s="799"/>
      <c r="I684" s="799"/>
      <c r="J684" s="799"/>
      <c r="K684" s="799"/>
      <c r="L684" s="799"/>
      <c r="M684" s="799"/>
      <c r="N684" s="799"/>
      <c r="O684" s="799"/>
      <c r="P684" s="799"/>
      <c r="Q684" s="799"/>
      <c r="R684" s="799"/>
      <c r="S684" s="799"/>
      <c r="T684" s="799"/>
      <c r="U684" s="799"/>
      <c r="V684" s="799"/>
      <c r="W684" s="799"/>
      <c r="X684" s="799"/>
      <c r="Y684" s="799"/>
      <c r="Z684" s="799"/>
      <c r="AA684" s="799"/>
      <c r="AB684" s="799"/>
      <c r="AC684" s="799"/>
      <c r="AD684" s="799"/>
      <c r="AE684" s="799"/>
      <c r="AF684" s="799"/>
      <c r="AG684" s="799"/>
      <c r="AH684" s="799"/>
      <c r="AI684" s="799"/>
      <c r="AJ684" s="799"/>
      <c r="AK684" s="799"/>
      <c r="AL684" s="799"/>
      <c r="AM684" s="799"/>
      <c r="AN684" s="799"/>
      <c r="AO684" s="799"/>
      <c r="AP684" s="799"/>
      <c r="AQ684" s="799"/>
      <c r="AR684" s="799"/>
      <c r="AS684" s="799"/>
      <c r="AT684" s="799"/>
      <c r="AU684" s="799"/>
      <c r="AV684" s="799"/>
      <c r="AW684" s="799"/>
      <c r="AX684" s="799"/>
      <c r="AY684" s="799"/>
      <c r="AZ684" s="799"/>
      <c r="BA684" s="799"/>
      <c r="BB684" s="799"/>
      <c r="BC684" s="799"/>
      <c r="BD684" s="799"/>
      <c r="BE684" s="799"/>
      <c r="BF684" s="799"/>
      <c r="BG684" s="799"/>
    </row>
    <row r="685">
      <c r="H685" s="799"/>
      <c r="I685" s="799"/>
      <c r="J685" s="799"/>
      <c r="K685" s="799"/>
      <c r="L685" s="799"/>
      <c r="M685" s="799"/>
      <c r="N685" s="799"/>
      <c r="O685" s="799"/>
      <c r="P685" s="799"/>
      <c r="Q685" s="799"/>
      <c r="R685" s="799"/>
      <c r="S685" s="799"/>
      <c r="T685" s="799"/>
      <c r="U685" s="799"/>
      <c r="V685" s="799"/>
      <c r="W685" s="799"/>
      <c r="X685" s="799"/>
      <c r="Y685" s="799"/>
      <c r="Z685" s="799"/>
      <c r="AA685" s="799"/>
      <c r="AB685" s="799"/>
      <c r="AC685" s="799"/>
      <c r="AD685" s="799"/>
      <c r="AE685" s="799"/>
      <c r="AF685" s="799"/>
      <c r="AG685" s="799"/>
      <c r="AH685" s="799"/>
      <c r="AI685" s="799"/>
      <c r="AJ685" s="799"/>
      <c r="AK685" s="799"/>
      <c r="AL685" s="799"/>
      <c r="AM685" s="799"/>
      <c r="AN685" s="799"/>
      <c r="AO685" s="799"/>
      <c r="AP685" s="799"/>
      <c r="AQ685" s="799"/>
      <c r="AR685" s="799"/>
      <c r="AS685" s="799"/>
      <c r="AT685" s="799"/>
      <c r="AU685" s="799"/>
      <c r="AV685" s="799"/>
      <c r="AW685" s="799"/>
      <c r="AX685" s="799"/>
      <c r="AY685" s="799"/>
      <c r="AZ685" s="799"/>
      <c r="BA685" s="799"/>
      <c r="BB685" s="799"/>
      <c r="BC685" s="799"/>
      <c r="BD685" s="799"/>
      <c r="BE685" s="799"/>
      <c r="BF685" s="799"/>
      <c r="BG685" s="799"/>
    </row>
    <row r="686">
      <c r="H686" s="799"/>
      <c r="I686" s="799"/>
      <c r="J686" s="799"/>
      <c r="K686" s="799"/>
      <c r="L686" s="799"/>
      <c r="M686" s="799"/>
      <c r="N686" s="799"/>
      <c r="O686" s="799"/>
      <c r="P686" s="799"/>
      <c r="Q686" s="799"/>
      <c r="R686" s="799"/>
      <c r="S686" s="799"/>
      <c r="T686" s="799"/>
      <c r="U686" s="799"/>
      <c r="V686" s="799"/>
      <c r="W686" s="799"/>
      <c r="X686" s="799"/>
      <c r="Y686" s="799"/>
      <c r="Z686" s="799"/>
      <c r="AA686" s="799"/>
      <c r="AB686" s="799"/>
      <c r="AC686" s="799"/>
      <c r="AD686" s="799"/>
      <c r="AE686" s="799"/>
      <c r="AF686" s="799"/>
      <c r="AG686" s="799"/>
      <c r="AH686" s="799"/>
      <c r="AI686" s="799"/>
      <c r="AJ686" s="799"/>
      <c r="AK686" s="799"/>
      <c r="AL686" s="799"/>
      <c r="AM686" s="799"/>
      <c r="AN686" s="799"/>
      <c r="AO686" s="799"/>
      <c r="AP686" s="799"/>
      <c r="AQ686" s="799"/>
      <c r="AR686" s="799"/>
      <c r="AS686" s="799"/>
      <c r="AT686" s="799"/>
      <c r="AU686" s="799"/>
      <c r="AV686" s="799"/>
      <c r="AW686" s="799"/>
      <c r="AX686" s="799"/>
      <c r="AY686" s="799"/>
      <c r="AZ686" s="799"/>
      <c r="BA686" s="799"/>
      <c r="BB686" s="799"/>
      <c r="BC686" s="799"/>
      <c r="BD686" s="799"/>
      <c r="BE686" s="799"/>
      <c r="BF686" s="799"/>
      <c r="BG686" s="799"/>
    </row>
    <row r="687">
      <c r="H687" s="799"/>
      <c r="I687" s="799"/>
      <c r="J687" s="799"/>
      <c r="K687" s="799"/>
      <c r="L687" s="799"/>
      <c r="M687" s="799"/>
      <c r="N687" s="799"/>
      <c r="O687" s="799"/>
      <c r="P687" s="799"/>
      <c r="Q687" s="799"/>
      <c r="R687" s="799"/>
      <c r="S687" s="799"/>
      <c r="T687" s="799"/>
      <c r="U687" s="799"/>
      <c r="V687" s="799"/>
      <c r="W687" s="799"/>
      <c r="X687" s="799"/>
      <c r="Y687" s="799"/>
      <c r="Z687" s="799"/>
      <c r="AA687" s="799"/>
      <c r="AB687" s="799"/>
      <c r="AC687" s="799"/>
      <c r="AD687" s="799"/>
      <c r="AE687" s="799"/>
      <c r="AF687" s="799"/>
      <c r="AG687" s="799"/>
      <c r="AH687" s="799"/>
      <c r="AI687" s="799"/>
      <c r="AJ687" s="799"/>
      <c r="AK687" s="799"/>
      <c r="AL687" s="799"/>
      <c r="AM687" s="799"/>
      <c r="AN687" s="799"/>
      <c r="AO687" s="799"/>
      <c r="AP687" s="799"/>
      <c r="AQ687" s="799"/>
      <c r="AR687" s="799"/>
      <c r="AS687" s="799"/>
      <c r="AT687" s="799"/>
      <c r="AU687" s="799"/>
      <c r="AV687" s="799"/>
      <c r="AW687" s="799"/>
      <c r="AX687" s="799"/>
      <c r="AY687" s="799"/>
      <c r="AZ687" s="799"/>
      <c r="BA687" s="799"/>
      <c r="BB687" s="799"/>
      <c r="BC687" s="799"/>
      <c r="BD687" s="799"/>
      <c r="BE687" s="799"/>
      <c r="BF687" s="799"/>
      <c r="BG687" s="799"/>
    </row>
    <row r="688">
      <c r="H688" s="799"/>
      <c r="I688" s="799"/>
      <c r="J688" s="799"/>
      <c r="K688" s="799"/>
      <c r="L688" s="799"/>
      <c r="M688" s="799"/>
      <c r="N688" s="799"/>
      <c r="O688" s="799"/>
      <c r="P688" s="799"/>
      <c r="Q688" s="799"/>
      <c r="R688" s="799"/>
      <c r="S688" s="799"/>
      <c r="T688" s="799"/>
      <c r="U688" s="799"/>
      <c r="V688" s="799"/>
      <c r="W688" s="799"/>
      <c r="X688" s="799"/>
      <c r="Y688" s="799"/>
      <c r="Z688" s="799"/>
      <c r="AA688" s="799"/>
      <c r="AB688" s="799"/>
      <c r="AC688" s="799"/>
      <c r="AD688" s="799"/>
      <c r="AE688" s="799"/>
      <c r="AF688" s="799"/>
      <c r="AG688" s="799"/>
      <c r="AH688" s="799"/>
      <c r="AI688" s="799"/>
      <c r="AJ688" s="799"/>
      <c r="AK688" s="799"/>
      <c r="AL688" s="799"/>
      <c r="AM688" s="799"/>
      <c r="AN688" s="799"/>
      <c r="AO688" s="799"/>
      <c r="AP688" s="799"/>
      <c r="AQ688" s="799"/>
      <c r="AR688" s="799"/>
      <c r="AS688" s="799"/>
      <c r="AT688" s="799"/>
      <c r="AU688" s="799"/>
      <c r="AV688" s="799"/>
      <c r="AW688" s="799"/>
      <c r="AX688" s="799"/>
      <c r="AY688" s="799"/>
      <c r="AZ688" s="799"/>
      <c r="BA688" s="799"/>
      <c r="BB688" s="799"/>
      <c r="BC688" s="799"/>
      <c r="BD688" s="799"/>
      <c r="BE688" s="799"/>
      <c r="BF688" s="799"/>
      <c r="BG688" s="799"/>
    </row>
    <row r="689">
      <c r="H689" s="799"/>
      <c r="I689" s="799"/>
      <c r="J689" s="799"/>
      <c r="K689" s="799"/>
      <c r="L689" s="799"/>
      <c r="M689" s="799"/>
      <c r="N689" s="799"/>
      <c r="O689" s="799"/>
      <c r="P689" s="799"/>
      <c r="Q689" s="799"/>
      <c r="R689" s="799"/>
      <c r="S689" s="799"/>
      <c r="T689" s="799"/>
      <c r="U689" s="799"/>
      <c r="V689" s="799"/>
      <c r="W689" s="799"/>
      <c r="X689" s="799"/>
      <c r="Y689" s="799"/>
      <c r="Z689" s="799"/>
      <c r="AA689" s="799"/>
      <c r="AB689" s="799"/>
      <c r="AC689" s="799"/>
      <c r="AD689" s="799"/>
      <c r="AE689" s="799"/>
      <c r="AF689" s="799"/>
      <c r="AG689" s="799"/>
      <c r="AH689" s="799"/>
      <c r="AI689" s="799"/>
      <c r="AJ689" s="799"/>
      <c r="AK689" s="799"/>
      <c r="AL689" s="799"/>
      <c r="AM689" s="799"/>
      <c r="AN689" s="799"/>
      <c r="AO689" s="799"/>
      <c r="AP689" s="799"/>
      <c r="AQ689" s="799"/>
      <c r="AR689" s="799"/>
      <c r="AS689" s="799"/>
      <c r="AT689" s="799"/>
      <c r="AU689" s="799"/>
      <c r="AV689" s="799"/>
      <c r="AW689" s="799"/>
      <c r="AX689" s="799"/>
      <c r="AY689" s="799"/>
      <c r="AZ689" s="799"/>
      <c r="BA689" s="799"/>
      <c r="BB689" s="799"/>
      <c r="BC689" s="799"/>
      <c r="BD689" s="799"/>
      <c r="BE689" s="799"/>
      <c r="BF689" s="799"/>
      <c r="BG689" s="799"/>
    </row>
    <row r="690">
      <c r="H690" s="799"/>
      <c r="I690" s="799"/>
      <c r="J690" s="799"/>
      <c r="K690" s="799"/>
      <c r="L690" s="799"/>
      <c r="M690" s="799"/>
      <c r="N690" s="799"/>
      <c r="O690" s="799"/>
      <c r="P690" s="799"/>
      <c r="Q690" s="799"/>
      <c r="R690" s="799"/>
      <c r="S690" s="799"/>
      <c r="T690" s="799"/>
      <c r="U690" s="799"/>
      <c r="V690" s="799"/>
      <c r="W690" s="799"/>
      <c r="X690" s="799"/>
      <c r="Y690" s="799"/>
      <c r="Z690" s="799"/>
      <c r="AA690" s="799"/>
      <c r="AB690" s="799"/>
      <c r="AC690" s="799"/>
      <c r="AD690" s="799"/>
      <c r="AE690" s="799"/>
      <c r="AF690" s="799"/>
      <c r="AG690" s="799"/>
      <c r="AH690" s="799"/>
      <c r="AI690" s="799"/>
      <c r="AJ690" s="799"/>
      <c r="AK690" s="799"/>
      <c r="AL690" s="799"/>
      <c r="AM690" s="799"/>
      <c r="AN690" s="799"/>
      <c r="AO690" s="799"/>
      <c r="AP690" s="799"/>
      <c r="AQ690" s="799"/>
      <c r="AR690" s="799"/>
      <c r="AS690" s="799"/>
      <c r="AT690" s="799"/>
      <c r="AU690" s="799"/>
      <c r="AV690" s="799"/>
      <c r="AW690" s="799"/>
      <c r="AX690" s="799"/>
      <c r="AY690" s="799"/>
      <c r="AZ690" s="799"/>
      <c r="BA690" s="799"/>
      <c r="BB690" s="799"/>
      <c r="BC690" s="799"/>
      <c r="BD690" s="799"/>
      <c r="BE690" s="799"/>
      <c r="BF690" s="799"/>
      <c r="BG690" s="799"/>
    </row>
    <row r="691">
      <c r="H691" s="799"/>
      <c r="I691" s="799"/>
      <c r="J691" s="799"/>
      <c r="K691" s="799"/>
      <c r="L691" s="799"/>
      <c r="M691" s="799"/>
      <c r="N691" s="799"/>
      <c r="O691" s="799"/>
      <c r="P691" s="799"/>
      <c r="Q691" s="799"/>
      <c r="R691" s="799"/>
      <c r="S691" s="799"/>
      <c r="T691" s="799"/>
      <c r="U691" s="799"/>
      <c r="V691" s="799"/>
      <c r="W691" s="799"/>
      <c r="X691" s="799"/>
      <c r="Y691" s="799"/>
      <c r="Z691" s="799"/>
      <c r="AA691" s="799"/>
      <c r="AB691" s="799"/>
      <c r="AC691" s="799"/>
      <c r="AD691" s="799"/>
      <c r="AE691" s="799"/>
      <c r="AF691" s="799"/>
      <c r="AG691" s="799"/>
      <c r="AH691" s="799"/>
      <c r="AI691" s="799"/>
      <c r="AJ691" s="799"/>
      <c r="AK691" s="799"/>
      <c r="AL691" s="799"/>
      <c r="AM691" s="799"/>
      <c r="AN691" s="799"/>
      <c r="AO691" s="799"/>
      <c r="AP691" s="799"/>
      <c r="AQ691" s="799"/>
      <c r="AR691" s="799"/>
      <c r="AS691" s="799"/>
      <c r="AT691" s="799"/>
      <c r="AU691" s="799"/>
      <c r="AV691" s="799"/>
      <c r="AW691" s="799"/>
      <c r="AX691" s="799"/>
      <c r="AY691" s="799"/>
      <c r="AZ691" s="799"/>
      <c r="BA691" s="799"/>
      <c r="BB691" s="799"/>
      <c r="BC691" s="799"/>
      <c r="BD691" s="799"/>
      <c r="BE691" s="799"/>
      <c r="BF691" s="799"/>
      <c r="BG691" s="799"/>
    </row>
    <row r="692">
      <c r="H692" s="799"/>
      <c r="I692" s="799"/>
      <c r="J692" s="799"/>
      <c r="K692" s="799"/>
      <c r="L692" s="799"/>
      <c r="M692" s="799"/>
      <c r="N692" s="799"/>
      <c r="O692" s="799"/>
      <c r="P692" s="799"/>
      <c r="Q692" s="799"/>
      <c r="R692" s="799"/>
      <c r="S692" s="799"/>
      <c r="T692" s="799"/>
      <c r="U692" s="799"/>
      <c r="V692" s="799"/>
      <c r="W692" s="799"/>
      <c r="X692" s="799"/>
      <c r="Y692" s="799"/>
      <c r="Z692" s="799"/>
      <c r="AA692" s="799"/>
      <c r="AB692" s="799"/>
      <c r="AC692" s="799"/>
      <c r="AD692" s="799"/>
      <c r="AE692" s="799"/>
      <c r="AF692" s="799"/>
      <c r="AG692" s="799"/>
      <c r="AH692" s="799"/>
      <c r="AI692" s="799"/>
      <c r="AJ692" s="799"/>
      <c r="AK692" s="799"/>
      <c r="AL692" s="799"/>
      <c r="AM692" s="799"/>
      <c r="AN692" s="799"/>
      <c r="AO692" s="799"/>
      <c r="AP692" s="799"/>
      <c r="AQ692" s="799"/>
      <c r="AR692" s="799"/>
      <c r="AS692" s="799"/>
      <c r="AT692" s="799"/>
      <c r="AU692" s="799"/>
      <c r="AV692" s="799"/>
      <c r="AW692" s="799"/>
      <c r="AX692" s="799"/>
      <c r="AY692" s="799"/>
      <c r="AZ692" s="799"/>
      <c r="BA692" s="799"/>
      <c r="BB692" s="799"/>
      <c r="BC692" s="799"/>
      <c r="BD692" s="799"/>
      <c r="BE692" s="799"/>
      <c r="BF692" s="799"/>
      <c r="BG692" s="799"/>
    </row>
    <row r="693">
      <c r="H693" s="799"/>
      <c r="I693" s="799"/>
      <c r="J693" s="799"/>
      <c r="K693" s="799"/>
      <c r="L693" s="799"/>
      <c r="M693" s="799"/>
      <c r="N693" s="799"/>
      <c r="O693" s="799"/>
      <c r="P693" s="799"/>
      <c r="Q693" s="799"/>
      <c r="R693" s="799"/>
      <c r="S693" s="799"/>
      <c r="T693" s="799"/>
      <c r="U693" s="799"/>
      <c r="V693" s="799"/>
      <c r="W693" s="799"/>
      <c r="X693" s="799"/>
      <c r="Y693" s="799"/>
      <c r="Z693" s="799"/>
      <c r="AA693" s="799"/>
      <c r="AB693" s="799"/>
      <c r="AC693" s="799"/>
      <c r="AD693" s="799"/>
      <c r="AE693" s="799"/>
      <c r="AF693" s="799"/>
      <c r="AG693" s="799"/>
      <c r="AH693" s="799"/>
      <c r="AI693" s="799"/>
      <c r="AJ693" s="799"/>
      <c r="AK693" s="799"/>
      <c r="AL693" s="799"/>
      <c r="AM693" s="799"/>
      <c r="AN693" s="799"/>
      <c r="AO693" s="799"/>
      <c r="AP693" s="799"/>
      <c r="AQ693" s="799"/>
      <c r="AR693" s="799"/>
      <c r="AS693" s="799"/>
      <c r="AT693" s="799"/>
      <c r="AU693" s="799"/>
      <c r="AV693" s="799"/>
      <c r="AW693" s="799"/>
      <c r="AX693" s="799"/>
      <c r="AY693" s="799"/>
      <c r="AZ693" s="799"/>
      <c r="BA693" s="799"/>
      <c r="BB693" s="799"/>
      <c r="BC693" s="799"/>
      <c r="BD693" s="799"/>
      <c r="BE693" s="799"/>
      <c r="BF693" s="799"/>
      <c r="BG693" s="799"/>
    </row>
    <row r="694">
      <c r="H694" s="799"/>
      <c r="I694" s="799"/>
      <c r="J694" s="799"/>
      <c r="K694" s="799"/>
      <c r="L694" s="799"/>
      <c r="M694" s="799"/>
      <c r="N694" s="799"/>
      <c r="O694" s="799"/>
      <c r="P694" s="799"/>
      <c r="Q694" s="799"/>
      <c r="R694" s="799"/>
      <c r="S694" s="799"/>
      <c r="T694" s="799"/>
      <c r="U694" s="799"/>
      <c r="V694" s="799"/>
      <c r="W694" s="799"/>
      <c r="X694" s="799"/>
      <c r="Y694" s="799"/>
      <c r="Z694" s="799"/>
      <c r="AA694" s="799"/>
      <c r="AB694" s="799"/>
      <c r="AC694" s="799"/>
      <c r="AD694" s="799"/>
      <c r="AE694" s="799"/>
      <c r="AF694" s="799"/>
      <c r="AG694" s="799"/>
      <c r="AH694" s="799"/>
      <c r="AI694" s="799"/>
      <c r="AJ694" s="799"/>
      <c r="AK694" s="799"/>
      <c r="AL694" s="799"/>
      <c r="AM694" s="799"/>
      <c r="AN694" s="799"/>
      <c r="AO694" s="799"/>
      <c r="AP694" s="799"/>
      <c r="AQ694" s="799"/>
      <c r="AR694" s="799"/>
      <c r="AS694" s="799"/>
      <c r="AT694" s="799"/>
      <c r="AU694" s="799"/>
      <c r="AV694" s="799"/>
      <c r="AW694" s="799"/>
      <c r="AX694" s="799"/>
      <c r="AY694" s="799"/>
      <c r="AZ694" s="799"/>
      <c r="BA694" s="799"/>
      <c r="BB694" s="799"/>
      <c r="BC694" s="799"/>
      <c r="BD694" s="799"/>
      <c r="BE694" s="799"/>
      <c r="BF694" s="799"/>
      <c r="BG694" s="799"/>
    </row>
    <row r="695">
      <c r="H695" s="799"/>
      <c r="I695" s="799"/>
      <c r="J695" s="799"/>
      <c r="K695" s="799"/>
      <c r="L695" s="799"/>
      <c r="M695" s="799"/>
      <c r="N695" s="799"/>
      <c r="O695" s="799"/>
      <c r="P695" s="799"/>
      <c r="Q695" s="799"/>
      <c r="R695" s="799"/>
      <c r="S695" s="799"/>
      <c r="T695" s="799"/>
      <c r="U695" s="799"/>
      <c r="V695" s="799"/>
      <c r="W695" s="799"/>
      <c r="X695" s="799"/>
      <c r="Y695" s="799"/>
      <c r="Z695" s="799"/>
      <c r="AA695" s="799"/>
      <c r="AB695" s="799"/>
      <c r="AC695" s="799"/>
      <c r="AD695" s="799"/>
      <c r="AE695" s="799"/>
      <c r="AF695" s="799"/>
      <c r="AG695" s="799"/>
      <c r="AH695" s="799"/>
      <c r="AI695" s="799"/>
      <c r="AJ695" s="799"/>
      <c r="AK695" s="799"/>
      <c r="AL695" s="799"/>
      <c r="AM695" s="799"/>
      <c r="AN695" s="799"/>
      <c r="AO695" s="799"/>
      <c r="AP695" s="799"/>
      <c r="AQ695" s="799"/>
      <c r="AR695" s="799"/>
      <c r="AS695" s="799"/>
      <c r="AT695" s="799"/>
      <c r="AU695" s="799"/>
      <c r="AV695" s="799"/>
      <c r="AW695" s="799"/>
      <c r="AX695" s="799"/>
      <c r="AY695" s="799"/>
      <c r="AZ695" s="799"/>
      <c r="BA695" s="799"/>
      <c r="BB695" s="799"/>
      <c r="BC695" s="799"/>
      <c r="BD695" s="799"/>
      <c r="BE695" s="799"/>
      <c r="BF695" s="799"/>
      <c r="BG695" s="799"/>
    </row>
    <row r="696">
      <c r="H696" s="799"/>
      <c r="I696" s="799"/>
      <c r="J696" s="799"/>
      <c r="K696" s="799"/>
      <c r="L696" s="799"/>
      <c r="M696" s="799"/>
      <c r="N696" s="799"/>
      <c r="O696" s="799"/>
      <c r="P696" s="799"/>
      <c r="Q696" s="799"/>
      <c r="R696" s="799"/>
      <c r="S696" s="799"/>
      <c r="T696" s="799"/>
      <c r="U696" s="799"/>
      <c r="V696" s="799"/>
      <c r="W696" s="799"/>
      <c r="X696" s="799"/>
      <c r="Y696" s="799"/>
      <c r="Z696" s="799"/>
      <c r="AA696" s="799"/>
      <c r="AB696" s="799"/>
      <c r="AC696" s="799"/>
      <c r="AD696" s="799"/>
      <c r="AE696" s="799"/>
      <c r="AF696" s="799"/>
      <c r="AG696" s="799"/>
      <c r="AH696" s="799"/>
      <c r="AI696" s="799"/>
      <c r="AJ696" s="799"/>
      <c r="AK696" s="799"/>
      <c r="AL696" s="799"/>
      <c r="AM696" s="799"/>
      <c r="AN696" s="799"/>
      <c r="AO696" s="799"/>
      <c r="AP696" s="799"/>
      <c r="AQ696" s="799"/>
      <c r="AR696" s="799"/>
      <c r="AS696" s="799"/>
      <c r="AT696" s="799"/>
      <c r="AU696" s="799"/>
      <c r="AV696" s="799"/>
      <c r="AW696" s="799"/>
      <c r="AX696" s="799"/>
      <c r="AY696" s="799"/>
      <c r="AZ696" s="799"/>
      <c r="BA696" s="799"/>
      <c r="BB696" s="799"/>
      <c r="BC696" s="799"/>
      <c r="BD696" s="799"/>
      <c r="BE696" s="799"/>
      <c r="BF696" s="799"/>
      <c r="BG696" s="799"/>
    </row>
    <row r="697">
      <c r="H697" s="799"/>
      <c r="I697" s="799"/>
      <c r="J697" s="799"/>
      <c r="K697" s="799"/>
      <c r="L697" s="799"/>
      <c r="M697" s="799"/>
      <c r="N697" s="799"/>
      <c r="O697" s="799"/>
      <c r="P697" s="799"/>
      <c r="Q697" s="799"/>
      <c r="R697" s="799"/>
      <c r="S697" s="799"/>
      <c r="T697" s="799"/>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799"/>
      <c r="AX697" s="799"/>
      <c r="AY697" s="799"/>
      <c r="AZ697" s="799"/>
      <c r="BA697" s="799"/>
      <c r="BB697" s="799"/>
      <c r="BC697" s="799"/>
      <c r="BD697" s="799"/>
      <c r="BE697" s="799"/>
      <c r="BF697" s="799"/>
      <c r="BG697" s="799"/>
    </row>
    <row r="698">
      <c r="H698" s="799"/>
      <c r="I698" s="799"/>
      <c r="J698" s="799"/>
      <c r="K698" s="799"/>
      <c r="L698" s="799"/>
      <c r="M698" s="799"/>
      <c r="N698" s="799"/>
      <c r="O698" s="799"/>
      <c r="P698" s="799"/>
      <c r="Q698" s="799"/>
      <c r="R698" s="799"/>
      <c r="S698" s="799"/>
      <c r="T698" s="799"/>
      <c r="U698" s="799"/>
      <c r="V698" s="799"/>
      <c r="W698" s="799"/>
      <c r="X698" s="799"/>
      <c r="Y698" s="799"/>
      <c r="Z698" s="799"/>
      <c r="AA698" s="799"/>
      <c r="AB698" s="799"/>
      <c r="AC698" s="799"/>
      <c r="AD698" s="799"/>
      <c r="AE698" s="799"/>
      <c r="AF698" s="799"/>
      <c r="AG698" s="799"/>
      <c r="AH698" s="799"/>
      <c r="AI698" s="799"/>
      <c r="AJ698" s="799"/>
      <c r="AK698" s="799"/>
      <c r="AL698" s="799"/>
      <c r="AM698" s="799"/>
      <c r="AN698" s="799"/>
      <c r="AO698" s="799"/>
      <c r="AP698" s="799"/>
      <c r="AQ698" s="799"/>
      <c r="AR698" s="799"/>
      <c r="AS698" s="799"/>
      <c r="AT698" s="799"/>
      <c r="AU698" s="799"/>
      <c r="AV698" s="799"/>
      <c r="AW698" s="799"/>
      <c r="AX698" s="799"/>
      <c r="AY698" s="799"/>
      <c r="AZ698" s="799"/>
      <c r="BA698" s="799"/>
      <c r="BB698" s="799"/>
      <c r="BC698" s="799"/>
      <c r="BD698" s="799"/>
      <c r="BE698" s="799"/>
      <c r="BF698" s="799"/>
      <c r="BG698" s="799"/>
    </row>
    <row r="699">
      <c r="H699" s="799"/>
      <c r="I699" s="799"/>
      <c r="J699" s="799"/>
      <c r="K699" s="799"/>
      <c r="L699" s="799"/>
      <c r="M699" s="799"/>
      <c r="N699" s="799"/>
      <c r="O699" s="799"/>
      <c r="P699" s="799"/>
      <c r="Q699" s="799"/>
      <c r="R699" s="799"/>
      <c r="S699" s="799"/>
      <c r="T699" s="799"/>
      <c r="U699" s="799"/>
      <c r="V699" s="799"/>
      <c r="W699" s="799"/>
      <c r="X699" s="799"/>
      <c r="Y699" s="799"/>
      <c r="Z699" s="799"/>
      <c r="AA699" s="799"/>
      <c r="AB699" s="799"/>
      <c r="AC699" s="799"/>
      <c r="AD699" s="799"/>
      <c r="AE699" s="799"/>
      <c r="AF699" s="799"/>
      <c r="AG699" s="799"/>
      <c r="AH699" s="799"/>
      <c r="AI699" s="799"/>
      <c r="AJ699" s="799"/>
      <c r="AK699" s="799"/>
      <c r="AL699" s="799"/>
      <c r="AM699" s="799"/>
      <c r="AN699" s="799"/>
      <c r="AO699" s="799"/>
      <c r="AP699" s="799"/>
      <c r="AQ699" s="799"/>
      <c r="AR699" s="799"/>
      <c r="AS699" s="799"/>
      <c r="AT699" s="799"/>
      <c r="AU699" s="799"/>
      <c r="AV699" s="799"/>
      <c r="AW699" s="799"/>
      <c r="AX699" s="799"/>
      <c r="AY699" s="799"/>
      <c r="AZ699" s="799"/>
      <c r="BA699" s="799"/>
      <c r="BB699" s="799"/>
      <c r="BC699" s="799"/>
      <c r="BD699" s="799"/>
      <c r="BE699" s="799"/>
      <c r="BF699" s="799"/>
      <c r="BG699" s="799"/>
    </row>
    <row r="700">
      <c r="H700" s="799"/>
      <c r="I700" s="799"/>
      <c r="J700" s="799"/>
      <c r="K700" s="799"/>
      <c r="L700" s="799"/>
      <c r="M700" s="799"/>
      <c r="N700" s="799"/>
      <c r="O700" s="799"/>
      <c r="P700" s="799"/>
      <c r="Q700" s="799"/>
      <c r="R700" s="799"/>
      <c r="S700" s="799"/>
      <c r="T700" s="799"/>
      <c r="U700" s="799"/>
      <c r="V700" s="799"/>
      <c r="W700" s="799"/>
      <c r="X700" s="799"/>
      <c r="Y700" s="799"/>
      <c r="Z700" s="799"/>
      <c r="AA700" s="799"/>
      <c r="AB700" s="799"/>
      <c r="AC700" s="799"/>
      <c r="AD700" s="799"/>
      <c r="AE700" s="799"/>
      <c r="AF700" s="799"/>
      <c r="AG700" s="799"/>
      <c r="AH700" s="799"/>
      <c r="AI700" s="799"/>
      <c r="AJ700" s="799"/>
      <c r="AK700" s="799"/>
      <c r="AL700" s="799"/>
      <c r="AM700" s="799"/>
      <c r="AN700" s="799"/>
      <c r="AO700" s="799"/>
      <c r="AP700" s="799"/>
      <c r="AQ700" s="799"/>
      <c r="AR700" s="799"/>
      <c r="AS700" s="799"/>
      <c r="AT700" s="799"/>
      <c r="AU700" s="799"/>
      <c r="AV700" s="799"/>
      <c r="AW700" s="799"/>
      <c r="AX700" s="799"/>
      <c r="AY700" s="799"/>
      <c r="AZ700" s="799"/>
      <c r="BA700" s="799"/>
      <c r="BB700" s="799"/>
      <c r="BC700" s="799"/>
      <c r="BD700" s="799"/>
      <c r="BE700" s="799"/>
      <c r="BF700" s="799"/>
      <c r="BG700" s="799"/>
    </row>
    <row r="701">
      <c r="H701" s="799"/>
      <c r="I701" s="799"/>
      <c r="J701" s="799"/>
      <c r="K701" s="799"/>
      <c r="L701" s="799"/>
      <c r="M701" s="799"/>
      <c r="N701" s="799"/>
      <c r="O701" s="799"/>
      <c r="P701" s="799"/>
      <c r="Q701" s="799"/>
      <c r="R701" s="799"/>
      <c r="S701" s="799"/>
      <c r="T701" s="799"/>
      <c r="U701" s="799"/>
      <c r="V701" s="799"/>
      <c r="W701" s="799"/>
      <c r="X701" s="799"/>
      <c r="Y701" s="799"/>
      <c r="Z701" s="799"/>
      <c r="AA701" s="799"/>
      <c r="AB701" s="799"/>
      <c r="AC701" s="799"/>
      <c r="AD701" s="799"/>
      <c r="AE701" s="799"/>
      <c r="AF701" s="799"/>
      <c r="AG701" s="799"/>
      <c r="AH701" s="799"/>
      <c r="AI701" s="799"/>
      <c r="AJ701" s="799"/>
      <c r="AK701" s="799"/>
      <c r="AL701" s="799"/>
      <c r="AM701" s="799"/>
      <c r="AN701" s="799"/>
      <c r="AO701" s="799"/>
      <c r="AP701" s="799"/>
      <c r="AQ701" s="799"/>
      <c r="AR701" s="799"/>
      <c r="AS701" s="799"/>
      <c r="AT701" s="799"/>
      <c r="AU701" s="799"/>
      <c r="AV701" s="799"/>
      <c r="AW701" s="799"/>
      <c r="AX701" s="799"/>
      <c r="AY701" s="799"/>
      <c r="AZ701" s="799"/>
      <c r="BA701" s="799"/>
      <c r="BB701" s="799"/>
      <c r="BC701" s="799"/>
      <c r="BD701" s="799"/>
      <c r="BE701" s="799"/>
      <c r="BF701" s="799"/>
      <c r="BG701" s="799"/>
    </row>
    <row r="702">
      <c r="H702" s="799"/>
      <c r="I702" s="799"/>
      <c r="J702" s="799"/>
      <c r="K702" s="799"/>
      <c r="L702" s="799"/>
      <c r="M702" s="799"/>
      <c r="N702" s="799"/>
      <c r="O702" s="799"/>
      <c r="P702" s="799"/>
      <c r="Q702" s="799"/>
      <c r="R702" s="799"/>
      <c r="S702" s="799"/>
      <c r="T702" s="799"/>
      <c r="U702" s="799"/>
      <c r="V702" s="799"/>
      <c r="W702" s="799"/>
      <c r="X702" s="799"/>
      <c r="Y702" s="799"/>
      <c r="Z702" s="799"/>
      <c r="AA702" s="799"/>
      <c r="AB702" s="799"/>
      <c r="AC702" s="799"/>
      <c r="AD702" s="799"/>
      <c r="AE702" s="799"/>
      <c r="AF702" s="799"/>
      <c r="AG702" s="799"/>
      <c r="AH702" s="799"/>
      <c r="AI702" s="799"/>
      <c r="AJ702" s="799"/>
      <c r="AK702" s="799"/>
      <c r="AL702" s="799"/>
      <c r="AM702" s="799"/>
      <c r="AN702" s="799"/>
      <c r="AO702" s="799"/>
      <c r="AP702" s="799"/>
      <c r="AQ702" s="799"/>
      <c r="AR702" s="799"/>
      <c r="AS702" s="799"/>
      <c r="AT702" s="799"/>
      <c r="AU702" s="799"/>
      <c r="AV702" s="799"/>
      <c r="AW702" s="799"/>
      <c r="AX702" s="799"/>
      <c r="AY702" s="799"/>
      <c r="AZ702" s="799"/>
      <c r="BA702" s="799"/>
      <c r="BB702" s="799"/>
      <c r="BC702" s="799"/>
      <c r="BD702" s="799"/>
      <c r="BE702" s="799"/>
      <c r="BF702" s="799"/>
      <c r="BG702" s="799"/>
    </row>
    <row r="703">
      <c r="H703" s="799"/>
      <c r="I703" s="799"/>
      <c r="J703" s="799"/>
      <c r="K703" s="799"/>
      <c r="L703" s="799"/>
      <c r="M703" s="799"/>
      <c r="N703" s="799"/>
      <c r="O703" s="799"/>
      <c r="P703" s="799"/>
      <c r="Q703" s="799"/>
      <c r="R703" s="799"/>
      <c r="S703" s="799"/>
      <c r="T703" s="799"/>
      <c r="U703" s="799"/>
      <c r="V703" s="799"/>
      <c r="W703" s="799"/>
      <c r="X703" s="799"/>
      <c r="Y703" s="799"/>
      <c r="Z703" s="799"/>
      <c r="AA703" s="799"/>
      <c r="AB703" s="799"/>
      <c r="AC703" s="799"/>
      <c r="AD703" s="799"/>
      <c r="AE703" s="799"/>
      <c r="AF703" s="799"/>
      <c r="AG703" s="799"/>
      <c r="AH703" s="799"/>
      <c r="AI703" s="799"/>
      <c r="AJ703" s="799"/>
      <c r="AK703" s="799"/>
      <c r="AL703" s="799"/>
      <c r="AM703" s="799"/>
      <c r="AN703" s="799"/>
      <c r="AO703" s="799"/>
      <c r="AP703" s="799"/>
      <c r="AQ703" s="799"/>
      <c r="AR703" s="799"/>
      <c r="AS703" s="799"/>
      <c r="AT703" s="799"/>
      <c r="AU703" s="799"/>
      <c r="AV703" s="799"/>
      <c r="AW703" s="799"/>
      <c r="AX703" s="799"/>
      <c r="AY703" s="799"/>
      <c r="AZ703" s="799"/>
      <c r="BA703" s="799"/>
      <c r="BB703" s="799"/>
      <c r="BC703" s="799"/>
      <c r="BD703" s="799"/>
      <c r="BE703" s="799"/>
      <c r="BF703" s="799"/>
      <c r="BG703" s="799"/>
    </row>
    <row r="704">
      <c r="H704" s="799"/>
      <c r="I704" s="799"/>
      <c r="J704" s="799"/>
      <c r="K704" s="799"/>
      <c r="L704" s="799"/>
      <c r="M704" s="799"/>
      <c r="N704" s="799"/>
      <c r="O704" s="799"/>
      <c r="P704" s="799"/>
      <c r="Q704" s="799"/>
      <c r="R704" s="799"/>
      <c r="S704" s="799"/>
      <c r="T704" s="799"/>
      <c r="U704" s="799"/>
      <c r="V704" s="799"/>
      <c r="W704" s="799"/>
      <c r="X704" s="799"/>
      <c r="Y704" s="799"/>
      <c r="Z704" s="799"/>
      <c r="AA704" s="799"/>
      <c r="AB704" s="799"/>
      <c r="AC704" s="799"/>
      <c r="AD704" s="799"/>
      <c r="AE704" s="799"/>
      <c r="AF704" s="799"/>
      <c r="AG704" s="799"/>
      <c r="AH704" s="799"/>
      <c r="AI704" s="799"/>
      <c r="AJ704" s="799"/>
      <c r="AK704" s="799"/>
      <c r="AL704" s="799"/>
      <c r="AM704" s="799"/>
      <c r="AN704" s="799"/>
      <c r="AO704" s="799"/>
      <c r="AP704" s="799"/>
      <c r="AQ704" s="799"/>
      <c r="AR704" s="799"/>
      <c r="AS704" s="799"/>
      <c r="AT704" s="799"/>
      <c r="AU704" s="799"/>
      <c r="AV704" s="799"/>
      <c r="AW704" s="799"/>
      <c r="AX704" s="799"/>
      <c r="AY704" s="799"/>
      <c r="AZ704" s="799"/>
      <c r="BA704" s="799"/>
      <c r="BB704" s="799"/>
      <c r="BC704" s="799"/>
      <c r="BD704" s="799"/>
      <c r="BE704" s="799"/>
      <c r="BF704" s="799"/>
      <c r="BG704" s="799"/>
    </row>
    <row r="705">
      <c r="H705" s="799"/>
      <c r="I705" s="799"/>
      <c r="J705" s="799"/>
      <c r="K705" s="799"/>
      <c r="L705" s="799"/>
      <c r="M705" s="799"/>
      <c r="N705" s="799"/>
      <c r="O705" s="799"/>
      <c r="P705" s="799"/>
      <c r="Q705" s="799"/>
      <c r="R705" s="799"/>
      <c r="S705" s="799"/>
      <c r="T705" s="799"/>
      <c r="U705" s="799"/>
      <c r="V705" s="799"/>
      <c r="W705" s="799"/>
      <c r="X705" s="799"/>
      <c r="Y705" s="799"/>
      <c r="Z705" s="799"/>
      <c r="AA705" s="799"/>
      <c r="AB705" s="799"/>
      <c r="AC705" s="799"/>
      <c r="AD705" s="799"/>
      <c r="AE705" s="799"/>
      <c r="AF705" s="799"/>
      <c r="AG705" s="799"/>
      <c r="AH705" s="799"/>
      <c r="AI705" s="799"/>
      <c r="AJ705" s="799"/>
      <c r="AK705" s="799"/>
      <c r="AL705" s="799"/>
      <c r="AM705" s="799"/>
      <c r="AN705" s="799"/>
      <c r="AO705" s="799"/>
      <c r="AP705" s="799"/>
      <c r="AQ705" s="799"/>
      <c r="AR705" s="799"/>
      <c r="AS705" s="799"/>
      <c r="AT705" s="799"/>
      <c r="AU705" s="799"/>
      <c r="AV705" s="799"/>
      <c r="AW705" s="799"/>
      <c r="AX705" s="799"/>
      <c r="AY705" s="799"/>
      <c r="AZ705" s="799"/>
      <c r="BA705" s="799"/>
      <c r="BB705" s="799"/>
      <c r="BC705" s="799"/>
      <c r="BD705" s="799"/>
      <c r="BE705" s="799"/>
      <c r="BF705" s="799"/>
      <c r="BG705" s="799"/>
    </row>
    <row r="706">
      <c r="H706" s="799"/>
      <c r="I706" s="799"/>
      <c r="J706" s="799"/>
      <c r="K706" s="799"/>
      <c r="L706" s="799"/>
      <c r="M706" s="799"/>
      <c r="N706" s="799"/>
      <c r="O706" s="799"/>
      <c r="P706" s="799"/>
      <c r="Q706" s="799"/>
      <c r="R706" s="799"/>
      <c r="S706" s="799"/>
      <c r="T706" s="799"/>
      <c r="U706" s="799"/>
      <c r="V706" s="799"/>
      <c r="W706" s="799"/>
      <c r="X706" s="799"/>
      <c r="Y706" s="799"/>
      <c r="Z706" s="799"/>
      <c r="AA706" s="799"/>
      <c r="AB706" s="799"/>
      <c r="AC706" s="799"/>
      <c r="AD706" s="799"/>
      <c r="AE706" s="799"/>
      <c r="AF706" s="799"/>
      <c r="AG706" s="799"/>
      <c r="AH706" s="799"/>
      <c r="AI706" s="799"/>
      <c r="AJ706" s="799"/>
      <c r="AK706" s="799"/>
      <c r="AL706" s="799"/>
      <c r="AM706" s="799"/>
      <c r="AN706" s="799"/>
      <c r="AO706" s="799"/>
      <c r="AP706" s="799"/>
      <c r="AQ706" s="799"/>
      <c r="AR706" s="799"/>
      <c r="AS706" s="799"/>
      <c r="AT706" s="799"/>
      <c r="AU706" s="799"/>
      <c r="AV706" s="799"/>
      <c r="AW706" s="799"/>
      <c r="AX706" s="799"/>
      <c r="AY706" s="799"/>
      <c r="AZ706" s="799"/>
      <c r="BA706" s="799"/>
      <c r="BB706" s="799"/>
      <c r="BC706" s="799"/>
      <c r="BD706" s="799"/>
      <c r="BE706" s="799"/>
      <c r="BF706" s="799"/>
      <c r="BG706" s="799"/>
    </row>
    <row r="707">
      <c r="H707" s="799"/>
      <c r="I707" s="799"/>
      <c r="J707" s="799"/>
      <c r="K707" s="799"/>
      <c r="L707" s="799"/>
      <c r="M707" s="799"/>
      <c r="N707" s="799"/>
      <c r="O707" s="799"/>
      <c r="P707" s="799"/>
      <c r="Q707" s="799"/>
      <c r="R707" s="799"/>
      <c r="S707" s="799"/>
      <c r="T707" s="799"/>
      <c r="U707" s="799"/>
      <c r="V707" s="799"/>
      <c r="W707" s="799"/>
      <c r="X707" s="799"/>
      <c r="Y707" s="799"/>
      <c r="Z707" s="799"/>
      <c r="AA707" s="799"/>
      <c r="AB707" s="799"/>
      <c r="AC707" s="799"/>
      <c r="AD707" s="799"/>
      <c r="AE707" s="799"/>
      <c r="AF707" s="799"/>
      <c r="AG707" s="799"/>
      <c r="AH707" s="799"/>
      <c r="AI707" s="799"/>
      <c r="AJ707" s="799"/>
      <c r="AK707" s="799"/>
      <c r="AL707" s="799"/>
      <c r="AM707" s="799"/>
      <c r="AN707" s="799"/>
      <c r="AO707" s="799"/>
      <c r="AP707" s="799"/>
      <c r="AQ707" s="799"/>
      <c r="AR707" s="799"/>
      <c r="AS707" s="799"/>
      <c r="AT707" s="799"/>
      <c r="AU707" s="799"/>
      <c r="AV707" s="799"/>
      <c r="AW707" s="799"/>
      <c r="AX707" s="799"/>
      <c r="AY707" s="799"/>
      <c r="AZ707" s="799"/>
      <c r="BA707" s="799"/>
      <c r="BB707" s="799"/>
      <c r="BC707" s="799"/>
      <c r="BD707" s="799"/>
      <c r="BE707" s="799"/>
      <c r="BF707" s="799"/>
      <c r="BG707" s="799"/>
    </row>
    <row r="708">
      <c r="H708" s="799"/>
      <c r="I708" s="799"/>
      <c r="J708" s="799"/>
      <c r="K708" s="799"/>
      <c r="L708" s="799"/>
      <c r="M708" s="799"/>
      <c r="N708" s="799"/>
      <c r="O708" s="799"/>
      <c r="P708" s="799"/>
      <c r="Q708" s="799"/>
      <c r="R708" s="799"/>
      <c r="S708" s="799"/>
      <c r="T708" s="799"/>
      <c r="U708" s="799"/>
      <c r="V708" s="799"/>
      <c r="W708" s="799"/>
      <c r="X708" s="799"/>
      <c r="Y708" s="799"/>
      <c r="Z708" s="799"/>
      <c r="AA708" s="799"/>
      <c r="AB708" s="799"/>
      <c r="AC708" s="799"/>
      <c r="AD708" s="799"/>
      <c r="AE708" s="799"/>
      <c r="AF708" s="799"/>
      <c r="AG708" s="799"/>
      <c r="AH708" s="799"/>
      <c r="AI708" s="799"/>
      <c r="AJ708" s="799"/>
      <c r="AK708" s="799"/>
      <c r="AL708" s="799"/>
      <c r="AM708" s="799"/>
      <c r="AN708" s="799"/>
      <c r="AO708" s="799"/>
      <c r="AP708" s="799"/>
      <c r="AQ708" s="799"/>
      <c r="AR708" s="799"/>
      <c r="AS708" s="799"/>
      <c r="AT708" s="799"/>
      <c r="AU708" s="799"/>
      <c r="AV708" s="799"/>
      <c r="AW708" s="799"/>
      <c r="AX708" s="799"/>
      <c r="AY708" s="799"/>
      <c r="AZ708" s="799"/>
      <c r="BA708" s="799"/>
      <c r="BB708" s="799"/>
      <c r="BC708" s="799"/>
      <c r="BD708" s="799"/>
      <c r="BE708" s="799"/>
      <c r="BF708" s="799"/>
      <c r="BG708" s="799"/>
    </row>
    <row r="709">
      <c r="H709" s="799"/>
      <c r="I709" s="799"/>
      <c r="J709" s="799"/>
      <c r="K709" s="799"/>
      <c r="L709" s="799"/>
      <c r="M709" s="799"/>
      <c r="N709" s="799"/>
      <c r="O709" s="799"/>
      <c r="P709" s="799"/>
      <c r="Q709" s="799"/>
      <c r="R709" s="799"/>
      <c r="S709" s="799"/>
      <c r="T709" s="799"/>
      <c r="U709" s="799"/>
      <c r="V709" s="799"/>
      <c r="W709" s="799"/>
      <c r="X709" s="799"/>
      <c r="Y709" s="799"/>
      <c r="Z709" s="799"/>
      <c r="AA709" s="799"/>
      <c r="AB709" s="799"/>
      <c r="AC709" s="799"/>
      <c r="AD709" s="799"/>
      <c r="AE709" s="799"/>
      <c r="AF709" s="799"/>
      <c r="AG709" s="799"/>
      <c r="AH709" s="799"/>
      <c r="AI709" s="799"/>
      <c r="AJ709" s="799"/>
      <c r="AK709" s="799"/>
      <c r="AL709" s="799"/>
      <c r="AM709" s="799"/>
      <c r="AN709" s="799"/>
      <c r="AO709" s="799"/>
      <c r="AP709" s="799"/>
      <c r="AQ709" s="799"/>
      <c r="AR709" s="799"/>
      <c r="AS709" s="799"/>
      <c r="AT709" s="799"/>
      <c r="AU709" s="799"/>
      <c r="AV709" s="799"/>
      <c r="AW709" s="799"/>
      <c r="AX709" s="799"/>
      <c r="AY709" s="799"/>
      <c r="AZ709" s="799"/>
      <c r="BA709" s="799"/>
      <c r="BB709" s="799"/>
      <c r="BC709" s="799"/>
      <c r="BD709" s="799"/>
      <c r="BE709" s="799"/>
      <c r="BF709" s="799"/>
      <c r="BG709" s="799"/>
    </row>
    <row r="710">
      <c r="H710" s="799"/>
      <c r="I710" s="799"/>
      <c r="J710" s="799"/>
      <c r="K710" s="799"/>
      <c r="L710" s="799"/>
      <c r="M710" s="799"/>
      <c r="N710" s="799"/>
      <c r="O710" s="799"/>
      <c r="P710" s="799"/>
      <c r="Q710" s="799"/>
      <c r="R710" s="799"/>
      <c r="S710" s="799"/>
      <c r="T710" s="799"/>
      <c r="U710" s="799"/>
      <c r="V710" s="799"/>
      <c r="W710" s="799"/>
      <c r="X710" s="799"/>
      <c r="Y710" s="799"/>
      <c r="Z710" s="799"/>
      <c r="AA710" s="799"/>
      <c r="AB710" s="799"/>
      <c r="AC710" s="799"/>
      <c r="AD710" s="799"/>
      <c r="AE710" s="799"/>
      <c r="AF710" s="799"/>
      <c r="AG710" s="799"/>
      <c r="AH710" s="799"/>
      <c r="AI710" s="799"/>
      <c r="AJ710" s="799"/>
      <c r="AK710" s="799"/>
      <c r="AL710" s="799"/>
      <c r="AM710" s="799"/>
      <c r="AN710" s="799"/>
      <c r="AO710" s="799"/>
      <c r="AP710" s="799"/>
      <c r="AQ710" s="799"/>
      <c r="AR710" s="799"/>
      <c r="AS710" s="799"/>
      <c r="AT710" s="799"/>
      <c r="AU710" s="799"/>
      <c r="AV710" s="799"/>
      <c r="AW710" s="799"/>
      <c r="AX710" s="799"/>
      <c r="AY710" s="799"/>
      <c r="AZ710" s="799"/>
      <c r="BA710" s="799"/>
      <c r="BB710" s="799"/>
      <c r="BC710" s="799"/>
      <c r="BD710" s="799"/>
      <c r="BE710" s="799"/>
      <c r="BF710" s="799"/>
      <c r="BG710" s="799"/>
    </row>
    <row r="711">
      <c r="H711" s="799"/>
      <c r="I711" s="799"/>
      <c r="J711" s="799"/>
      <c r="K711" s="799"/>
      <c r="L711" s="799"/>
      <c r="M711" s="799"/>
      <c r="N711" s="799"/>
      <c r="O711" s="799"/>
      <c r="P711" s="799"/>
      <c r="Q711" s="799"/>
      <c r="R711" s="799"/>
      <c r="S711" s="799"/>
      <c r="T711" s="799"/>
      <c r="U711" s="799"/>
      <c r="V711" s="799"/>
      <c r="W711" s="799"/>
      <c r="X711" s="799"/>
      <c r="Y711" s="799"/>
      <c r="Z711" s="799"/>
      <c r="AA711" s="799"/>
      <c r="AB711" s="799"/>
      <c r="AC711" s="799"/>
      <c r="AD711" s="799"/>
      <c r="AE711" s="799"/>
      <c r="AF711" s="799"/>
      <c r="AG711" s="799"/>
      <c r="AH711" s="799"/>
      <c r="AI711" s="799"/>
      <c r="AJ711" s="799"/>
      <c r="AK711" s="799"/>
      <c r="AL711" s="799"/>
      <c r="AM711" s="799"/>
      <c r="AN711" s="799"/>
      <c r="AO711" s="799"/>
      <c r="AP711" s="799"/>
      <c r="AQ711" s="799"/>
      <c r="AR711" s="799"/>
      <c r="AS711" s="799"/>
      <c r="AT711" s="799"/>
      <c r="AU711" s="799"/>
      <c r="AV711" s="799"/>
      <c r="AW711" s="799"/>
      <c r="AX711" s="799"/>
      <c r="AY711" s="799"/>
      <c r="AZ711" s="799"/>
      <c r="BA711" s="799"/>
      <c r="BB711" s="799"/>
      <c r="BC711" s="799"/>
      <c r="BD711" s="799"/>
      <c r="BE711" s="799"/>
      <c r="BF711" s="799"/>
      <c r="BG711" s="799"/>
    </row>
    <row r="712">
      <c r="H712" s="799"/>
      <c r="I712" s="799"/>
      <c r="J712" s="799"/>
      <c r="K712" s="799"/>
      <c r="L712" s="799"/>
      <c r="M712" s="799"/>
      <c r="N712" s="799"/>
      <c r="O712" s="799"/>
      <c r="P712" s="799"/>
      <c r="Q712" s="799"/>
      <c r="R712" s="799"/>
      <c r="S712" s="799"/>
      <c r="T712" s="799"/>
      <c r="U712" s="799"/>
      <c r="V712" s="799"/>
      <c r="W712" s="799"/>
      <c r="X712" s="799"/>
      <c r="Y712" s="799"/>
      <c r="Z712" s="799"/>
      <c r="AA712" s="799"/>
      <c r="AB712" s="799"/>
      <c r="AC712" s="799"/>
      <c r="AD712" s="799"/>
      <c r="AE712" s="799"/>
      <c r="AF712" s="799"/>
      <c r="AG712" s="799"/>
      <c r="AH712" s="799"/>
      <c r="AI712" s="799"/>
      <c r="AJ712" s="799"/>
      <c r="AK712" s="799"/>
      <c r="AL712" s="799"/>
      <c r="AM712" s="799"/>
      <c r="AN712" s="799"/>
      <c r="AO712" s="799"/>
      <c r="AP712" s="799"/>
      <c r="AQ712" s="799"/>
      <c r="AR712" s="799"/>
      <c r="AS712" s="799"/>
      <c r="AT712" s="799"/>
      <c r="AU712" s="799"/>
      <c r="AV712" s="799"/>
      <c r="AW712" s="799"/>
      <c r="AX712" s="799"/>
      <c r="AY712" s="799"/>
      <c r="AZ712" s="799"/>
      <c r="BA712" s="799"/>
      <c r="BB712" s="799"/>
      <c r="BC712" s="799"/>
      <c r="BD712" s="799"/>
      <c r="BE712" s="799"/>
      <c r="BF712" s="799"/>
      <c r="BG712" s="799"/>
    </row>
    <row r="713">
      <c r="H713" s="799"/>
      <c r="I713" s="799"/>
      <c r="J713" s="799"/>
      <c r="K713" s="799"/>
      <c r="L713" s="799"/>
      <c r="M713" s="799"/>
      <c r="N713" s="799"/>
      <c r="O713" s="799"/>
      <c r="P713" s="799"/>
      <c r="Q713" s="799"/>
      <c r="R713" s="799"/>
      <c r="S713" s="799"/>
      <c r="T713" s="799"/>
      <c r="U713" s="799"/>
      <c r="V713" s="799"/>
      <c r="W713" s="799"/>
      <c r="X713" s="799"/>
      <c r="Y713" s="799"/>
      <c r="Z713" s="799"/>
      <c r="AA713" s="799"/>
      <c r="AB713" s="799"/>
      <c r="AC713" s="799"/>
      <c r="AD713" s="799"/>
      <c r="AE713" s="799"/>
      <c r="AF713" s="799"/>
      <c r="AG713" s="799"/>
      <c r="AH713" s="799"/>
      <c r="AI713" s="799"/>
      <c r="AJ713" s="799"/>
      <c r="AK713" s="799"/>
      <c r="AL713" s="799"/>
      <c r="AM713" s="799"/>
      <c r="AN713" s="799"/>
      <c r="AO713" s="799"/>
      <c r="AP713" s="799"/>
      <c r="AQ713" s="799"/>
      <c r="AR713" s="799"/>
      <c r="AS713" s="799"/>
      <c r="AT713" s="799"/>
      <c r="AU713" s="799"/>
      <c r="AV713" s="799"/>
      <c r="AW713" s="799"/>
      <c r="AX713" s="799"/>
      <c r="AY713" s="799"/>
      <c r="AZ713" s="799"/>
      <c r="BA713" s="799"/>
      <c r="BB713" s="799"/>
      <c r="BC713" s="799"/>
      <c r="BD713" s="799"/>
      <c r="BE713" s="799"/>
      <c r="BF713" s="799"/>
      <c r="BG713" s="799"/>
    </row>
    <row r="714">
      <c r="H714" s="799"/>
      <c r="I714" s="799"/>
      <c r="J714" s="799"/>
      <c r="K714" s="799"/>
      <c r="L714" s="799"/>
      <c r="M714" s="799"/>
      <c r="N714" s="799"/>
      <c r="O714" s="799"/>
      <c r="P714" s="799"/>
      <c r="Q714" s="799"/>
      <c r="R714" s="799"/>
      <c r="S714" s="799"/>
      <c r="T714" s="799"/>
      <c r="U714" s="799"/>
      <c r="V714" s="799"/>
      <c r="W714" s="799"/>
      <c r="X714" s="799"/>
      <c r="Y714" s="799"/>
      <c r="Z714" s="799"/>
      <c r="AA714" s="799"/>
      <c r="AB714" s="799"/>
      <c r="AC714" s="799"/>
      <c r="AD714" s="799"/>
      <c r="AE714" s="799"/>
      <c r="AF714" s="799"/>
      <c r="AG714" s="799"/>
      <c r="AH714" s="799"/>
      <c r="AI714" s="799"/>
      <c r="AJ714" s="799"/>
      <c r="AK714" s="799"/>
      <c r="AL714" s="799"/>
      <c r="AM714" s="799"/>
      <c r="AN714" s="799"/>
      <c r="AO714" s="799"/>
      <c r="AP714" s="799"/>
      <c r="AQ714" s="799"/>
      <c r="AR714" s="799"/>
      <c r="AS714" s="799"/>
      <c r="AT714" s="799"/>
      <c r="AU714" s="799"/>
      <c r="AV714" s="799"/>
      <c r="AW714" s="799"/>
      <c r="AX714" s="799"/>
      <c r="AY714" s="799"/>
      <c r="AZ714" s="799"/>
      <c r="BA714" s="799"/>
      <c r="BB714" s="799"/>
      <c r="BC714" s="799"/>
      <c r="BD714" s="799"/>
      <c r="BE714" s="799"/>
      <c r="BF714" s="799"/>
      <c r="BG714" s="799"/>
    </row>
    <row r="715">
      <c r="H715" s="799"/>
      <c r="I715" s="799"/>
      <c r="J715" s="799"/>
      <c r="K715" s="799"/>
      <c r="L715" s="799"/>
      <c r="M715" s="799"/>
      <c r="N715" s="799"/>
      <c r="O715" s="799"/>
      <c r="P715" s="799"/>
      <c r="Q715" s="799"/>
      <c r="R715" s="799"/>
      <c r="S715" s="799"/>
      <c r="T715" s="799"/>
      <c r="U715" s="799"/>
      <c r="V715" s="799"/>
      <c r="W715" s="799"/>
      <c r="X715" s="799"/>
      <c r="Y715" s="799"/>
      <c r="Z715" s="799"/>
      <c r="AA715" s="799"/>
      <c r="AB715" s="799"/>
      <c r="AC715" s="799"/>
      <c r="AD715" s="799"/>
      <c r="AE715" s="799"/>
      <c r="AF715" s="799"/>
      <c r="AG715" s="799"/>
      <c r="AH715" s="799"/>
      <c r="AI715" s="799"/>
      <c r="AJ715" s="799"/>
      <c r="AK715" s="799"/>
      <c r="AL715" s="799"/>
      <c r="AM715" s="799"/>
      <c r="AN715" s="799"/>
      <c r="AO715" s="799"/>
      <c r="AP715" s="799"/>
      <c r="AQ715" s="799"/>
      <c r="AR715" s="799"/>
      <c r="AS715" s="799"/>
      <c r="AT715" s="799"/>
      <c r="AU715" s="799"/>
      <c r="AV715" s="799"/>
      <c r="AW715" s="799"/>
      <c r="AX715" s="799"/>
      <c r="AY715" s="799"/>
      <c r="AZ715" s="799"/>
      <c r="BA715" s="799"/>
      <c r="BB715" s="799"/>
      <c r="BC715" s="799"/>
      <c r="BD715" s="799"/>
      <c r="BE715" s="799"/>
      <c r="BF715" s="799"/>
      <c r="BG715" s="799"/>
    </row>
    <row r="716">
      <c r="H716" s="799"/>
      <c r="I716" s="799"/>
      <c r="J716" s="799"/>
      <c r="K716" s="799"/>
      <c r="L716" s="799"/>
      <c r="M716" s="799"/>
      <c r="N716" s="799"/>
      <c r="O716" s="799"/>
      <c r="P716" s="799"/>
      <c r="Q716" s="799"/>
      <c r="R716" s="799"/>
      <c r="S716" s="799"/>
      <c r="T716" s="799"/>
      <c r="U716" s="799"/>
      <c r="V716" s="799"/>
      <c r="W716" s="799"/>
      <c r="X716" s="799"/>
      <c r="Y716" s="799"/>
      <c r="Z716" s="799"/>
      <c r="AA716" s="799"/>
      <c r="AB716" s="799"/>
      <c r="AC716" s="799"/>
      <c r="AD716" s="799"/>
      <c r="AE716" s="799"/>
      <c r="AF716" s="799"/>
      <c r="AG716" s="799"/>
      <c r="AH716" s="799"/>
      <c r="AI716" s="799"/>
      <c r="AJ716" s="799"/>
      <c r="AK716" s="799"/>
      <c r="AL716" s="799"/>
      <c r="AM716" s="799"/>
      <c r="AN716" s="799"/>
      <c r="AO716" s="799"/>
      <c r="AP716" s="799"/>
      <c r="AQ716" s="799"/>
      <c r="AR716" s="799"/>
      <c r="AS716" s="799"/>
      <c r="AT716" s="799"/>
      <c r="AU716" s="799"/>
      <c r="AV716" s="799"/>
      <c r="AW716" s="799"/>
      <c r="AX716" s="799"/>
      <c r="AY716" s="799"/>
      <c r="AZ716" s="799"/>
      <c r="BA716" s="799"/>
      <c r="BB716" s="799"/>
      <c r="BC716" s="799"/>
      <c r="BD716" s="799"/>
      <c r="BE716" s="799"/>
      <c r="BF716" s="799"/>
      <c r="BG716" s="799"/>
    </row>
    <row r="717">
      <c r="H717" s="799"/>
      <c r="I717" s="799"/>
      <c r="J717" s="799"/>
      <c r="K717" s="799"/>
      <c r="L717" s="799"/>
      <c r="M717" s="799"/>
      <c r="N717" s="799"/>
      <c r="O717" s="799"/>
      <c r="P717" s="799"/>
      <c r="Q717" s="799"/>
      <c r="R717" s="799"/>
      <c r="S717" s="799"/>
      <c r="T717" s="799"/>
      <c r="U717" s="799"/>
      <c r="V717" s="799"/>
      <c r="W717" s="799"/>
      <c r="X717" s="799"/>
      <c r="Y717" s="799"/>
      <c r="Z717" s="799"/>
      <c r="AA717" s="799"/>
      <c r="AB717" s="799"/>
      <c r="AC717" s="799"/>
      <c r="AD717" s="799"/>
      <c r="AE717" s="799"/>
      <c r="AF717" s="799"/>
      <c r="AG717" s="799"/>
      <c r="AH717" s="799"/>
      <c r="AI717" s="799"/>
      <c r="AJ717" s="799"/>
      <c r="AK717" s="799"/>
      <c r="AL717" s="799"/>
      <c r="AM717" s="799"/>
      <c r="AN717" s="799"/>
      <c r="AO717" s="799"/>
      <c r="AP717" s="799"/>
      <c r="AQ717" s="799"/>
      <c r="AR717" s="799"/>
      <c r="AS717" s="799"/>
      <c r="AT717" s="799"/>
      <c r="AU717" s="799"/>
      <c r="AV717" s="799"/>
      <c r="AW717" s="799"/>
      <c r="AX717" s="799"/>
      <c r="AY717" s="799"/>
      <c r="AZ717" s="799"/>
      <c r="BA717" s="799"/>
      <c r="BB717" s="799"/>
      <c r="BC717" s="799"/>
      <c r="BD717" s="799"/>
      <c r="BE717" s="799"/>
      <c r="BF717" s="799"/>
      <c r="BG717" s="799"/>
    </row>
    <row r="718">
      <c r="H718" s="799"/>
      <c r="I718" s="799"/>
      <c r="J718" s="799"/>
      <c r="K718" s="799"/>
      <c r="L718" s="799"/>
      <c r="M718" s="799"/>
      <c r="N718" s="799"/>
      <c r="O718" s="799"/>
      <c r="P718" s="799"/>
      <c r="Q718" s="799"/>
      <c r="R718" s="799"/>
      <c r="S718" s="799"/>
      <c r="T718" s="799"/>
      <c r="U718" s="799"/>
      <c r="V718" s="799"/>
      <c r="W718" s="799"/>
      <c r="X718" s="799"/>
      <c r="Y718" s="799"/>
      <c r="Z718" s="799"/>
      <c r="AA718" s="799"/>
      <c r="AB718" s="799"/>
      <c r="AC718" s="799"/>
      <c r="AD718" s="799"/>
      <c r="AE718" s="799"/>
      <c r="AF718" s="799"/>
      <c r="AG718" s="799"/>
      <c r="AH718" s="799"/>
      <c r="AI718" s="799"/>
      <c r="AJ718" s="799"/>
      <c r="AK718" s="799"/>
      <c r="AL718" s="799"/>
      <c r="AM718" s="799"/>
      <c r="AN718" s="799"/>
      <c r="AO718" s="799"/>
      <c r="AP718" s="799"/>
      <c r="AQ718" s="799"/>
      <c r="AR718" s="799"/>
      <c r="AS718" s="799"/>
      <c r="AT718" s="799"/>
      <c r="AU718" s="799"/>
      <c r="AV718" s="799"/>
      <c r="AW718" s="799"/>
      <c r="AX718" s="799"/>
      <c r="AY718" s="799"/>
      <c r="AZ718" s="799"/>
      <c r="BA718" s="799"/>
      <c r="BB718" s="799"/>
      <c r="BC718" s="799"/>
      <c r="BD718" s="799"/>
      <c r="BE718" s="799"/>
      <c r="BF718" s="799"/>
      <c r="BG718" s="799"/>
    </row>
    <row r="719">
      <c r="H719" s="799"/>
      <c r="I719" s="799"/>
      <c r="J719" s="799"/>
      <c r="K719" s="799"/>
      <c r="L719" s="799"/>
      <c r="M719" s="799"/>
      <c r="N719" s="799"/>
      <c r="O719" s="799"/>
      <c r="P719" s="799"/>
      <c r="Q719" s="799"/>
      <c r="R719" s="799"/>
      <c r="S719" s="799"/>
      <c r="T719" s="799"/>
      <c r="U719" s="799"/>
      <c r="V719" s="799"/>
      <c r="W719" s="799"/>
      <c r="X719" s="799"/>
      <c r="Y719" s="799"/>
      <c r="Z719" s="799"/>
      <c r="AA719" s="799"/>
      <c r="AB719" s="799"/>
      <c r="AC719" s="799"/>
      <c r="AD719" s="799"/>
      <c r="AE719" s="799"/>
      <c r="AF719" s="799"/>
      <c r="AG719" s="799"/>
      <c r="AH719" s="799"/>
      <c r="AI719" s="799"/>
      <c r="AJ719" s="799"/>
      <c r="AK719" s="799"/>
      <c r="AL719" s="799"/>
      <c r="AM719" s="799"/>
      <c r="AN719" s="799"/>
      <c r="AO719" s="799"/>
      <c r="AP719" s="799"/>
      <c r="AQ719" s="799"/>
      <c r="AR719" s="799"/>
      <c r="AS719" s="799"/>
      <c r="AT719" s="799"/>
      <c r="AU719" s="799"/>
      <c r="AV719" s="799"/>
      <c r="AW719" s="799"/>
      <c r="AX719" s="799"/>
      <c r="AY719" s="799"/>
      <c r="AZ719" s="799"/>
      <c r="BA719" s="799"/>
      <c r="BB719" s="799"/>
      <c r="BC719" s="799"/>
      <c r="BD719" s="799"/>
      <c r="BE719" s="799"/>
      <c r="BF719" s="799"/>
      <c r="BG719" s="799"/>
    </row>
    <row r="720">
      <c r="H720" s="799"/>
      <c r="I720" s="799"/>
      <c r="J720" s="799"/>
      <c r="K720" s="799"/>
      <c r="L720" s="799"/>
      <c r="M720" s="799"/>
      <c r="N720" s="799"/>
      <c r="O720" s="799"/>
      <c r="P720" s="799"/>
      <c r="Q720" s="799"/>
      <c r="R720" s="799"/>
      <c r="S720" s="799"/>
      <c r="T720" s="799"/>
      <c r="U720" s="799"/>
      <c r="V720" s="799"/>
      <c r="W720" s="799"/>
      <c r="X720" s="799"/>
      <c r="Y720" s="799"/>
      <c r="Z720" s="799"/>
      <c r="AA720" s="799"/>
      <c r="AB720" s="799"/>
      <c r="AC720" s="799"/>
      <c r="AD720" s="799"/>
      <c r="AE720" s="799"/>
      <c r="AF720" s="799"/>
      <c r="AG720" s="799"/>
      <c r="AH720" s="799"/>
      <c r="AI720" s="799"/>
      <c r="AJ720" s="799"/>
      <c r="AK720" s="799"/>
      <c r="AL720" s="799"/>
      <c r="AM720" s="799"/>
      <c r="AN720" s="799"/>
      <c r="AO720" s="799"/>
      <c r="AP720" s="799"/>
      <c r="AQ720" s="799"/>
      <c r="AR720" s="799"/>
      <c r="AS720" s="799"/>
      <c r="AT720" s="799"/>
      <c r="AU720" s="799"/>
      <c r="AV720" s="799"/>
      <c r="AW720" s="799"/>
      <c r="AX720" s="799"/>
      <c r="AY720" s="799"/>
      <c r="AZ720" s="799"/>
      <c r="BA720" s="799"/>
      <c r="BB720" s="799"/>
      <c r="BC720" s="799"/>
      <c r="BD720" s="799"/>
      <c r="BE720" s="799"/>
      <c r="BF720" s="799"/>
      <c r="BG720" s="799"/>
    </row>
    <row r="721">
      <c r="H721" s="799"/>
      <c r="I721" s="799"/>
      <c r="J721" s="799"/>
      <c r="K721" s="799"/>
      <c r="L721" s="799"/>
      <c r="M721" s="799"/>
      <c r="N721" s="799"/>
      <c r="O721" s="799"/>
      <c r="P721" s="799"/>
      <c r="Q721" s="799"/>
      <c r="R721" s="799"/>
      <c r="S721" s="799"/>
      <c r="T721" s="799"/>
      <c r="U721" s="799"/>
      <c r="V721" s="799"/>
      <c r="W721" s="799"/>
      <c r="X721" s="799"/>
      <c r="Y721" s="799"/>
      <c r="Z721" s="799"/>
      <c r="AA721" s="799"/>
      <c r="AB721" s="799"/>
      <c r="AC721" s="799"/>
      <c r="AD721" s="799"/>
      <c r="AE721" s="799"/>
      <c r="AF721" s="799"/>
      <c r="AG721" s="799"/>
      <c r="AH721" s="799"/>
      <c r="AI721" s="799"/>
      <c r="AJ721" s="799"/>
      <c r="AK721" s="799"/>
      <c r="AL721" s="799"/>
      <c r="AM721" s="799"/>
      <c r="AN721" s="799"/>
      <c r="AO721" s="799"/>
      <c r="AP721" s="799"/>
      <c r="AQ721" s="799"/>
      <c r="AR721" s="799"/>
      <c r="AS721" s="799"/>
      <c r="AT721" s="799"/>
      <c r="AU721" s="799"/>
      <c r="AV721" s="799"/>
      <c r="AW721" s="799"/>
      <c r="AX721" s="799"/>
      <c r="AY721" s="799"/>
      <c r="AZ721" s="799"/>
      <c r="BA721" s="799"/>
      <c r="BB721" s="799"/>
      <c r="BC721" s="799"/>
      <c r="BD721" s="799"/>
      <c r="BE721" s="799"/>
      <c r="BF721" s="799"/>
      <c r="BG721" s="799"/>
    </row>
    <row r="722">
      <c r="H722" s="799"/>
      <c r="I722" s="799"/>
      <c r="J722" s="799"/>
      <c r="K722" s="799"/>
      <c r="L722" s="799"/>
      <c r="M722" s="799"/>
      <c r="N722" s="799"/>
      <c r="O722" s="799"/>
      <c r="P722" s="799"/>
      <c r="Q722" s="799"/>
      <c r="R722" s="799"/>
      <c r="S722" s="799"/>
      <c r="T722" s="799"/>
      <c r="U722" s="799"/>
      <c r="V722" s="799"/>
      <c r="W722" s="799"/>
      <c r="X722" s="799"/>
      <c r="Y722" s="799"/>
      <c r="Z722" s="799"/>
      <c r="AA722" s="799"/>
      <c r="AB722" s="799"/>
      <c r="AC722" s="799"/>
      <c r="AD722" s="799"/>
      <c r="AE722" s="799"/>
      <c r="AF722" s="799"/>
      <c r="AG722" s="799"/>
      <c r="AH722" s="799"/>
      <c r="AI722" s="799"/>
      <c r="AJ722" s="799"/>
      <c r="AK722" s="799"/>
      <c r="AL722" s="799"/>
      <c r="AM722" s="799"/>
      <c r="AN722" s="799"/>
      <c r="AO722" s="799"/>
      <c r="AP722" s="799"/>
      <c r="AQ722" s="799"/>
      <c r="AR722" s="799"/>
      <c r="AS722" s="799"/>
      <c r="AT722" s="799"/>
      <c r="AU722" s="799"/>
      <c r="AV722" s="799"/>
      <c r="AW722" s="799"/>
      <c r="AX722" s="799"/>
      <c r="AY722" s="799"/>
      <c r="AZ722" s="799"/>
      <c r="BA722" s="799"/>
      <c r="BB722" s="799"/>
      <c r="BC722" s="799"/>
      <c r="BD722" s="799"/>
      <c r="BE722" s="799"/>
      <c r="BF722" s="799"/>
      <c r="BG722" s="799"/>
    </row>
    <row r="723">
      <c r="H723" s="799"/>
      <c r="I723" s="799"/>
      <c r="J723" s="799"/>
      <c r="K723" s="799"/>
      <c r="L723" s="799"/>
      <c r="M723" s="799"/>
      <c r="N723" s="799"/>
      <c r="O723" s="799"/>
      <c r="P723" s="799"/>
      <c r="Q723" s="799"/>
      <c r="R723" s="799"/>
      <c r="S723" s="799"/>
      <c r="T723" s="799"/>
      <c r="U723" s="799"/>
      <c r="V723" s="799"/>
      <c r="W723" s="799"/>
      <c r="X723" s="799"/>
      <c r="Y723" s="799"/>
      <c r="Z723" s="799"/>
      <c r="AA723" s="799"/>
      <c r="AB723" s="799"/>
      <c r="AC723" s="799"/>
      <c r="AD723" s="799"/>
      <c r="AE723" s="799"/>
      <c r="AF723" s="799"/>
      <c r="AG723" s="799"/>
      <c r="AH723" s="799"/>
      <c r="AI723" s="799"/>
      <c r="AJ723" s="799"/>
      <c r="AK723" s="799"/>
      <c r="AL723" s="799"/>
      <c r="AM723" s="799"/>
      <c r="AN723" s="799"/>
      <c r="AO723" s="799"/>
      <c r="AP723" s="799"/>
      <c r="AQ723" s="799"/>
      <c r="AR723" s="799"/>
      <c r="AS723" s="799"/>
      <c r="AT723" s="799"/>
      <c r="AU723" s="799"/>
      <c r="AV723" s="799"/>
      <c r="AW723" s="799"/>
      <c r="AX723" s="799"/>
      <c r="AY723" s="799"/>
      <c r="AZ723" s="799"/>
      <c r="BA723" s="799"/>
      <c r="BB723" s="799"/>
      <c r="BC723" s="799"/>
      <c r="BD723" s="799"/>
      <c r="BE723" s="799"/>
      <c r="BF723" s="799"/>
      <c r="BG723" s="799"/>
    </row>
    <row r="724">
      <c r="H724" s="799"/>
      <c r="I724" s="799"/>
      <c r="J724" s="799"/>
      <c r="K724" s="799"/>
      <c r="L724" s="799"/>
      <c r="M724" s="799"/>
      <c r="N724" s="799"/>
      <c r="O724" s="799"/>
      <c r="P724" s="799"/>
      <c r="Q724" s="799"/>
      <c r="R724" s="799"/>
      <c r="S724" s="799"/>
      <c r="T724" s="799"/>
      <c r="U724" s="799"/>
      <c r="V724" s="799"/>
      <c r="W724" s="799"/>
      <c r="X724" s="799"/>
      <c r="Y724" s="799"/>
      <c r="Z724" s="799"/>
      <c r="AA724" s="799"/>
      <c r="AB724" s="799"/>
      <c r="AC724" s="799"/>
      <c r="AD724" s="799"/>
      <c r="AE724" s="799"/>
      <c r="AF724" s="799"/>
      <c r="AG724" s="799"/>
      <c r="AH724" s="799"/>
      <c r="AI724" s="799"/>
      <c r="AJ724" s="799"/>
      <c r="AK724" s="799"/>
      <c r="AL724" s="799"/>
      <c r="AM724" s="799"/>
      <c r="AN724" s="799"/>
      <c r="AO724" s="799"/>
      <c r="AP724" s="799"/>
      <c r="AQ724" s="799"/>
      <c r="AR724" s="799"/>
      <c r="AS724" s="799"/>
      <c r="AT724" s="799"/>
      <c r="AU724" s="799"/>
      <c r="AV724" s="799"/>
      <c r="AW724" s="799"/>
      <c r="AX724" s="799"/>
      <c r="AY724" s="799"/>
      <c r="AZ724" s="799"/>
      <c r="BA724" s="799"/>
      <c r="BB724" s="799"/>
      <c r="BC724" s="799"/>
      <c r="BD724" s="799"/>
      <c r="BE724" s="799"/>
      <c r="BF724" s="799"/>
      <c r="BG724" s="799"/>
    </row>
    <row r="725">
      <c r="H725" s="799"/>
      <c r="I725" s="799"/>
      <c r="J725" s="799"/>
      <c r="K725" s="799"/>
      <c r="L725" s="799"/>
      <c r="M725" s="799"/>
      <c r="N725" s="799"/>
      <c r="O725" s="799"/>
      <c r="P725" s="799"/>
      <c r="Q725" s="799"/>
      <c r="R725" s="799"/>
      <c r="S725" s="799"/>
      <c r="T725" s="799"/>
      <c r="U725" s="799"/>
      <c r="V725" s="799"/>
      <c r="W725" s="799"/>
      <c r="X725" s="799"/>
      <c r="Y725" s="799"/>
      <c r="Z725" s="799"/>
      <c r="AA725" s="799"/>
      <c r="AB725" s="799"/>
      <c r="AC725" s="799"/>
      <c r="AD725" s="799"/>
      <c r="AE725" s="799"/>
      <c r="AF725" s="799"/>
      <c r="AG725" s="799"/>
      <c r="AH725" s="799"/>
      <c r="AI725" s="799"/>
      <c r="AJ725" s="799"/>
      <c r="AK725" s="799"/>
      <c r="AL725" s="799"/>
      <c r="AM725" s="799"/>
      <c r="AN725" s="799"/>
      <c r="AO725" s="799"/>
      <c r="AP725" s="799"/>
      <c r="AQ725" s="799"/>
      <c r="AR725" s="799"/>
      <c r="AS725" s="799"/>
      <c r="AT725" s="799"/>
      <c r="AU725" s="799"/>
      <c r="AV725" s="799"/>
      <c r="AW725" s="799"/>
      <c r="AX725" s="799"/>
      <c r="AY725" s="799"/>
      <c r="AZ725" s="799"/>
      <c r="BA725" s="799"/>
      <c r="BB725" s="799"/>
      <c r="BC725" s="799"/>
      <c r="BD725" s="799"/>
      <c r="BE725" s="799"/>
      <c r="BF725" s="799"/>
      <c r="BG725" s="799"/>
    </row>
    <row r="726">
      <c r="H726" s="799"/>
      <c r="I726" s="799"/>
      <c r="J726" s="799"/>
      <c r="K726" s="799"/>
      <c r="L726" s="799"/>
      <c r="M726" s="799"/>
      <c r="N726" s="799"/>
      <c r="O726" s="799"/>
      <c r="P726" s="799"/>
      <c r="Q726" s="799"/>
      <c r="R726" s="799"/>
      <c r="S726" s="799"/>
      <c r="T726" s="799"/>
      <c r="U726" s="799"/>
      <c r="V726" s="799"/>
      <c r="W726" s="799"/>
      <c r="X726" s="799"/>
      <c r="Y726" s="799"/>
      <c r="Z726" s="799"/>
      <c r="AA726" s="799"/>
      <c r="AB726" s="799"/>
      <c r="AC726" s="799"/>
      <c r="AD726" s="799"/>
      <c r="AE726" s="799"/>
      <c r="AF726" s="799"/>
      <c r="AG726" s="799"/>
      <c r="AH726" s="799"/>
      <c r="AI726" s="799"/>
      <c r="AJ726" s="799"/>
      <c r="AK726" s="799"/>
      <c r="AL726" s="799"/>
      <c r="AM726" s="799"/>
      <c r="AN726" s="799"/>
      <c r="AO726" s="799"/>
      <c r="AP726" s="799"/>
      <c r="AQ726" s="799"/>
      <c r="AR726" s="799"/>
      <c r="AS726" s="799"/>
      <c r="AT726" s="799"/>
      <c r="AU726" s="799"/>
      <c r="AV726" s="799"/>
      <c r="AW726" s="799"/>
      <c r="AX726" s="799"/>
      <c r="AY726" s="799"/>
      <c r="AZ726" s="799"/>
      <c r="BA726" s="799"/>
      <c r="BB726" s="799"/>
      <c r="BC726" s="799"/>
      <c r="BD726" s="799"/>
      <c r="BE726" s="799"/>
      <c r="BF726" s="799"/>
      <c r="BG726" s="799"/>
    </row>
    <row r="727">
      <c r="H727" s="799"/>
      <c r="I727" s="799"/>
      <c r="J727" s="799"/>
      <c r="K727" s="799"/>
      <c r="L727" s="799"/>
      <c r="M727" s="799"/>
      <c r="N727" s="799"/>
      <c r="O727" s="799"/>
      <c r="P727" s="799"/>
      <c r="Q727" s="799"/>
      <c r="R727" s="799"/>
      <c r="S727" s="799"/>
      <c r="T727" s="799"/>
      <c r="U727" s="799"/>
      <c r="V727" s="799"/>
      <c r="W727" s="799"/>
      <c r="X727" s="799"/>
      <c r="Y727" s="799"/>
      <c r="Z727" s="799"/>
      <c r="AA727" s="799"/>
      <c r="AB727" s="799"/>
      <c r="AC727" s="799"/>
      <c r="AD727" s="799"/>
      <c r="AE727" s="799"/>
      <c r="AF727" s="799"/>
      <c r="AG727" s="799"/>
      <c r="AH727" s="799"/>
      <c r="AI727" s="799"/>
      <c r="AJ727" s="799"/>
      <c r="AK727" s="799"/>
      <c r="AL727" s="799"/>
      <c r="AM727" s="799"/>
      <c r="AN727" s="799"/>
      <c r="AO727" s="799"/>
      <c r="AP727" s="799"/>
      <c r="AQ727" s="799"/>
      <c r="AR727" s="799"/>
      <c r="AS727" s="799"/>
      <c r="AT727" s="799"/>
      <c r="AU727" s="799"/>
      <c r="AV727" s="799"/>
      <c r="AW727" s="799"/>
      <c r="AX727" s="799"/>
      <c r="AY727" s="799"/>
      <c r="AZ727" s="799"/>
      <c r="BA727" s="799"/>
      <c r="BB727" s="799"/>
      <c r="BC727" s="799"/>
      <c r="BD727" s="799"/>
      <c r="BE727" s="799"/>
      <c r="BF727" s="799"/>
      <c r="BG727" s="799"/>
    </row>
    <row r="728">
      <c r="H728" s="799"/>
      <c r="I728" s="799"/>
      <c r="J728" s="799"/>
      <c r="K728" s="799"/>
      <c r="L728" s="799"/>
      <c r="M728" s="799"/>
      <c r="N728" s="799"/>
      <c r="O728" s="799"/>
      <c r="P728" s="799"/>
      <c r="Q728" s="799"/>
      <c r="R728" s="799"/>
      <c r="S728" s="799"/>
      <c r="T728" s="799"/>
      <c r="U728" s="799"/>
      <c r="V728" s="799"/>
      <c r="W728" s="799"/>
      <c r="X728" s="799"/>
      <c r="Y728" s="799"/>
      <c r="Z728" s="799"/>
      <c r="AA728" s="799"/>
      <c r="AB728" s="799"/>
      <c r="AC728" s="799"/>
      <c r="AD728" s="799"/>
      <c r="AE728" s="799"/>
      <c r="AF728" s="799"/>
      <c r="AG728" s="799"/>
      <c r="AH728" s="799"/>
      <c r="AI728" s="799"/>
      <c r="AJ728" s="799"/>
      <c r="AK728" s="799"/>
      <c r="AL728" s="799"/>
      <c r="AM728" s="799"/>
      <c r="AN728" s="799"/>
      <c r="AO728" s="799"/>
      <c r="AP728" s="799"/>
      <c r="AQ728" s="799"/>
      <c r="AR728" s="799"/>
      <c r="AS728" s="799"/>
      <c r="AT728" s="799"/>
      <c r="AU728" s="799"/>
      <c r="AV728" s="799"/>
      <c r="AW728" s="799"/>
      <c r="AX728" s="799"/>
      <c r="AY728" s="799"/>
      <c r="AZ728" s="799"/>
      <c r="BA728" s="799"/>
      <c r="BB728" s="799"/>
      <c r="BC728" s="799"/>
      <c r="BD728" s="799"/>
      <c r="BE728" s="799"/>
      <c r="BF728" s="799"/>
      <c r="BG728" s="799"/>
    </row>
    <row r="729">
      <c r="H729" s="799"/>
      <c r="I729" s="799"/>
      <c r="J729" s="799"/>
      <c r="K729" s="799"/>
      <c r="L729" s="799"/>
      <c r="M729" s="799"/>
      <c r="N729" s="799"/>
      <c r="O729" s="799"/>
      <c r="P729" s="799"/>
      <c r="Q729" s="799"/>
      <c r="R729" s="799"/>
      <c r="S729" s="799"/>
      <c r="T729" s="799"/>
      <c r="U729" s="799"/>
      <c r="V729" s="799"/>
      <c r="W729" s="799"/>
      <c r="X729" s="799"/>
      <c r="Y729" s="799"/>
      <c r="Z729" s="799"/>
      <c r="AA729" s="799"/>
      <c r="AB729" s="799"/>
      <c r="AC729" s="799"/>
      <c r="AD729" s="799"/>
      <c r="AE729" s="799"/>
      <c r="AF729" s="799"/>
      <c r="AG729" s="799"/>
      <c r="AH729" s="799"/>
      <c r="AI729" s="799"/>
      <c r="AJ729" s="799"/>
      <c r="AK729" s="799"/>
      <c r="AL729" s="799"/>
      <c r="AM729" s="799"/>
      <c r="AN729" s="799"/>
      <c r="AO729" s="799"/>
      <c r="AP729" s="799"/>
      <c r="AQ729" s="799"/>
      <c r="AR729" s="799"/>
      <c r="AS729" s="799"/>
      <c r="AT729" s="799"/>
      <c r="AU729" s="799"/>
      <c r="AV729" s="799"/>
      <c r="AW729" s="799"/>
      <c r="AX729" s="799"/>
      <c r="AY729" s="799"/>
      <c r="AZ729" s="799"/>
      <c r="BA729" s="799"/>
      <c r="BB729" s="799"/>
      <c r="BC729" s="799"/>
      <c r="BD729" s="799"/>
      <c r="BE729" s="799"/>
      <c r="BF729" s="799"/>
      <c r="BG729" s="799"/>
    </row>
    <row r="730">
      <c r="H730" s="799"/>
      <c r="I730" s="799"/>
      <c r="J730" s="799"/>
      <c r="K730" s="799"/>
      <c r="L730" s="799"/>
      <c r="M730" s="799"/>
      <c r="N730" s="799"/>
      <c r="O730" s="799"/>
      <c r="P730" s="799"/>
      <c r="Q730" s="799"/>
      <c r="R730" s="799"/>
      <c r="S730" s="799"/>
      <c r="T730" s="799"/>
      <c r="U730" s="799"/>
      <c r="V730" s="799"/>
      <c r="W730" s="799"/>
      <c r="X730" s="799"/>
      <c r="Y730" s="799"/>
      <c r="Z730" s="799"/>
      <c r="AA730" s="799"/>
      <c r="AB730" s="799"/>
      <c r="AC730" s="799"/>
      <c r="AD730" s="799"/>
      <c r="AE730" s="799"/>
      <c r="AF730" s="799"/>
      <c r="AG730" s="799"/>
      <c r="AH730" s="799"/>
      <c r="AI730" s="799"/>
      <c r="AJ730" s="799"/>
      <c r="AK730" s="799"/>
      <c r="AL730" s="799"/>
      <c r="AM730" s="799"/>
      <c r="AN730" s="799"/>
      <c r="AO730" s="799"/>
      <c r="AP730" s="799"/>
      <c r="AQ730" s="799"/>
      <c r="AR730" s="799"/>
      <c r="AS730" s="799"/>
      <c r="AT730" s="799"/>
      <c r="AU730" s="799"/>
      <c r="AV730" s="799"/>
      <c r="AW730" s="799"/>
      <c r="AX730" s="799"/>
      <c r="AY730" s="799"/>
      <c r="AZ730" s="799"/>
      <c r="BA730" s="799"/>
      <c r="BB730" s="799"/>
      <c r="BC730" s="799"/>
      <c r="BD730" s="799"/>
      <c r="BE730" s="799"/>
      <c r="BF730" s="799"/>
      <c r="BG730" s="799"/>
    </row>
    <row r="731">
      <c r="H731" s="799"/>
      <c r="I731" s="799"/>
      <c r="J731" s="799"/>
      <c r="K731" s="799"/>
      <c r="L731" s="799"/>
      <c r="M731" s="799"/>
      <c r="N731" s="799"/>
      <c r="O731" s="799"/>
      <c r="P731" s="799"/>
      <c r="Q731" s="799"/>
      <c r="R731" s="799"/>
      <c r="S731" s="799"/>
      <c r="T731" s="799"/>
      <c r="U731" s="799"/>
      <c r="V731" s="799"/>
      <c r="W731" s="799"/>
      <c r="X731" s="799"/>
      <c r="Y731" s="799"/>
      <c r="Z731" s="799"/>
      <c r="AA731" s="799"/>
      <c r="AB731" s="799"/>
      <c r="AC731" s="799"/>
      <c r="AD731" s="799"/>
      <c r="AE731" s="799"/>
      <c r="AF731" s="799"/>
      <c r="AG731" s="799"/>
      <c r="AH731" s="799"/>
      <c r="AI731" s="799"/>
      <c r="AJ731" s="799"/>
      <c r="AK731" s="799"/>
      <c r="AL731" s="799"/>
      <c r="AM731" s="799"/>
      <c r="AN731" s="799"/>
      <c r="AO731" s="799"/>
      <c r="AP731" s="799"/>
      <c r="AQ731" s="799"/>
      <c r="AR731" s="799"/>
      <c r="AS731" s="799"/>
      <c r="AT731" s="799"/>
      <c r="AU731" s="799"/>
      <c r="AV731" s="799"/>
      <c r="AW731" s="799"/>
      <c r="AX731" s="799"/>
      <c r="AY731" s="799"/>
      <c r="AZ731" s="799"/>
      <c r="BA731" s="799"/>
      <c r="BB731" s="799"/>
      <c r="BC731" s="799"/>
      <c r="BD731" s="799"/>
      <c r="BE731" s="799"/>
      <c r="BF731" s="799"/>
      <c r="BG731" s="799"/>
    </row>
    <row r="732">
      <c r="H732" s="799"/>
      <c r="I732" s="799"/>
      <c r="J732" s="799"/>
      <c r="K732" s="799"/>
      <c r="L732" s="799"/>
      <c r="M732" s="799"/>
      <c r="N732" s="799"/>
      <c r="O732" s="799"/>
      <c r="P732" s="799"/>
      <c r="Q732" s="799"/>
      <c r="R732" s="799"/>
      <c r="S732" s="799"/>
      <c r="T732" s="799"/>
      <c r="U732" s="799"/>
      <c r="V732" s="799"/>
      <c r="W732" s="799"/>
      <c r="X732" s="799"/>
      <c r="Y732" s="799"/>
      <c r="Z732" s="799"/>
      <c r="AA732" s="799"/>
      <c r="AB732" s="799"/>
      <c r="AC732" s="799"/>
      <c r="AD732" s="799"/>
      <c r="AE732" s="799"/>
      <c r="AF732" s="799"/>
      <c r="AG732" s="799"/>
      <c r="AH732" s="799"/>
      <c r="AI732" s="799"/>
      <c r="AJ732" s="799"/>
      <c r="AK732" s="799"/>
      <c r="AL732" s="799"/>
      <c r="AM732" s="799"/>
      <c r="AN732" s="799"/>
      <c r="AO732" s="799"/>
      <c r="AP732" s="799"/>
      <c r="AQ732" s="799"/>
      <c r="AR732" s="799"/>
      <c r="AS732" s="799"/>
      <c r="AT732" s="799"/>
      <c r="AU732" s="799"/>
      <c r="AV732" s="799"/>
      <c r="AW732" s="799"/>
      <c r="AX732" s="799"/>
      <c r="AY732" s="799"/>
      <c r="AZ732" s="799"/>
      <c r="BA732" s="799"/>
      <c r="BB732" s="799"/>
      <c r="BC732" s="799"/>
      <c r="BD732" s="799"/>
      <c r="BE732" s="799"/>
      <c r="BF732" s="799"/>
      <c r="BG732" s="799"/>
    </row>
    <row r="733">
      <c r="H733" s="799"/>
      <c r="I733" s="799"/>
      <c r="J733" s="799"/>
      <c r="K733" s="799"/>
      <c r="L733" s="799"/>
      <c r="M733" s="799"/>
      <c r="N733" s="799"/>
      <c r="O733" s="799"/>
      <c r="P733" s="799"/>
      <c r="Q733" s="799"/>
      <c r="R733" s="799"/>
      <c r="S733" s="799"/>
      <c r="T733" s="799"/>
      <c r="U733" s="799"/>
      <c r="V733" s="799"/>
      <c r="W733" s="799"/>
      <c r="X733" s="799"/>
      <c r="Y733" s="799"/>
      <c r="Z733" s="799"/>
      <c r="AA733" s="799"/>
      <c r="AB733" s="799"/>
      <c r="AC733" s="799"/>
      <c r="AD733" s="799"/>
      <c r="AE733" s="799"/>
      <c r="AF733" s="799"/>
      <c r="AG733" s="799"/>
      <c r="AH733" s="799"/>
      <c r="AI733" s="799"/>
      <c r="AJ733" s="799"/>
      <c r="AK733" s="799"/>
      <c r="AL733" s="799"/>
      <c r="AM733" s="799"/>
      <c r="AN733" s="799"/>
      <c r="AO733" s="799"/>
      <c r="AP733" s="799"/>
      <c r="AQ733" s="799"/>
      <c r="AR733" s="799"/>
      <c r="AS733" s="799"/>
      <c r="AT733" s="799"/>
      <c r="AU733" s="799"/>
      <c r="AV733" s="799"/>
      <c r="AW733" s="799"/>
      <c r="AX733" s="799"/>
      <c r="AY733" s="799"/>
      <c r="AZ733" s="799"/>
      <c r="BA733" s="799"/>
      <c r="BB733" s="799"/>
      <c r="BC733" s="799"/>
      <c r="BD733" s="799"/>
      <c r="BE733" s="799"/>
      <c r="BF733" s="799"/>
      <c r="BG733" s="799"/>
    </row>
    <row r="734">
      <c r="H734" s="799"/>
      <c r="I734" s="799"/>
      <c r="J734" s="799"/>
      <c r="K734" s="799"/>
      <c r="L734" s="799"/>
      <c r="M734" s="799"/>
      <c r="N734" s="799"/>
      <c r="O734" s="799"/>
      <c r="P734" s="799"/>
      <c r="Q734" s="799"/>
      <c r="R734" s="799"/>
      <c r="S734" s="799"/>
      <c r="T734" s="799"/>
      <c r="U734" s="799"/>
      <c r="V734" s="799"/>
      <c r="W734" s="799"/>
      <c r="X734" s="799"/>
      <c r="Y734" s="799"/>
      <c r="Z734" s="799"/>
      <c r="AA734" s="799"/>
      <c r="AB734" s="799"/>
      <c r="AC734" s="799"/>
      <c r="AD734" s="799"/>
      <c r="AE734" s="799"/>
      <c r="AF734" s="799"/>
      <c r="AG734" s="799"/>
      <c r="AH734" s="799"/>
      <c r="AI734" s="799"/>
      <c r="AJ734" s="799"/>
      <c r="AK734" s="799"/>
      <c r="AL734" s="799"/>
      <c r="AM734" s="799"/>
      <c r="AN734" s="799"/>
      <c r="AO734" s="799"/>
      <c r="AP734" s="799"/>
      <c r="AQ734" s="799"/>
      <c r="AR734" s="799"/>
      <c r="AS734" s="799"/>
      <c r="AT734" s="799"/>
      <c r="AU734" s="799"/>
      <c r="AV734" s="799"/>
      <c r="AW734" s="799"/>
      <c r="AX734" s="799"/>
      <c r="AY734" s="799"/>
      <c r="AZ734" s="799"/>
      <c r="BA734" s="799"/>
      <c r="BB734" s="799"/>
      <c r="BC734" s="799"/>
      <c r="BD734" s="799"/>
      <c r="BE734" s="799"/>
      <c r="BF734" s="799"/>
      <c r="BG734" s="799"/>
    </row>
    <row r="735">
      <c r="H735" s="799"/>
      <c r="I735" s="799"/>
      <c r="J735" s="799"/>
      <c r="K735" s="799"/>
      <c r="L735" s="799"/>
      <c r="M735" s="799"/>
      <c r="N735" s="799"/>
      <c r="O735" s="799"/>
      <c r="P735" s="799"/>
      <c r="Q735" s="799"/>
      <c r="R735" s="799"/>
      <c r="S735" s="799"/>
      <c r="T735" s="799"/>
      <c r="U735" s="799"/>
      <c r="V735" s="799"/>
      <c r="W735" s="799"/>
      <c r="X735" s="799"/>
      <c r="Y735" s="799"/>
      <c r="Z735" s="799"/>
      <c r="AA735" s="799"/>
      <c r="AB735" s="799"/>
      <c r="AC735" s="799"/>
      <c r="AD735" s="799"/>
      <c r="AE735" s="799"/>
      <c r="AF735" s="799"/>
      <c r="AG735" s="799"/>
      <c r="AH735" s="799"/>
      <c r="AI735" s="799"/>
      <c r="AJ735" s="799"/>
      <c r="AK735" s="799"/>
      <c r="AL735" s="799"/>
      <c r="AM735" s="799"/>
      <c r="AN735" s="799"/>
      <c r="AO735" s="799"/>
      <c r="AP735" s="799"/>
      <c r="AQ735" s="799"/>
      <c r="AR735" s="799"/>
      <c r="AS735" s="799"/>
      <c r="AT735" s="799"/>
      <c r="AU735" s="799"/>
      <c r="AV735" s="799"/>
      <c r="AW735" s="799"/>
      <c r="AX735" s="799"/>
      <c r="AY735" s="799"/>
      <c r="AZ735" s="799"/>
      <c r="BA735" s="799"/>
      <c r="BB735" s="799"/>
      <c r="BC735" s="799"/>
      <c r="BD735" s="799"/>
      <c r="BE735" s="799"/>
      <c r="BF735" s="799"/>
      <c r="BG735" s="799"/>
    </row>
    <row r="736">
      <c r="H736" s="799"/>
      <c r="I736" s="799"/>
      <c r="J736" s="799"/>
      <c r="K736" s="799"/>
      <c r="L736" s="799"/>
      <c r="M736" s="799"/>
      <c r="N736" s="799"/>
      <c r="O736" s="799"/>
      <c r="P736" s="799"/>
      <c r="Q736" s="799"/>
      <c r="R736" s="799"/>
      <c r="S736" s="799"/>
      <c r="T736" s="799"/>
      <c r="U736" s="799"/>
      <c r="V736" s="799"/>
      <c r="W736" s="799"/>
      <c r="X736" s="799"/>
      <c r="Y736" s="799"/>
      <c r="Z736" s="799"/>
      <c r="AA736" s="799"/>
      <c r="AB736" s="799"/>
      <c r="AC736" s="799"/>
      <c r="AD736" s="799"/>
      <c r="AE736" s="799"/>
      <c r="AF736" s="799"/>
      <c r="AG736" s="799"/>
      <c r="AH736" s="799"/>
      <c r="AI736" s="799"/>
      <c r="AJ736" s="799"/>
      <c r="AK736" s="799"/>
      <c r="AL736" s="799"/>
      <c r="AM736" s="799"/>
      <c r="AN736" s="799"/>
      <c r="AO736" s="799"/>
      <c r="AP736" s="799"/>
      <c r="AQ736" s="799"/>
      <c r="AR736" s="799"/>
      <c r="AS736" s="799"/>
      <c r="AT736" s="799"/>
      <c r="AU736" s="799"/>
      <c r="AV736" s="799"/>
      <c r="AW736" s="799"/>
      <c r="AX736" s="799"/>
      <c r="AY736" s="799"/>
      <c r="AZ736" s="799"/>
      <c r="BA736" s="799"/>
      <c r="BB736" s="799"/>
      <c r="BC736" s="799"/>
      <c r="BD736" s="799"/>
      <c r="BE736" s="799"/>
      <c r="BF736" s="799"/>
      <c r="BG736" s="799"/>
    </row>
    <row r="737">
      <c r="H737" s="799"/>
      <c r="I737" s="799"/>
      <c r="J737" s="799"/>
      <c r="K737" s="799"/>
      <c r="L737" s="799"/>
      <c r="M737" s="799"/>
      <c r="N737" s="799"/>
      <c r="O737" s="799"/>
      <c r="P737" s="799"/>
      <c r="Q737" s="799"/>
      <c r="R737" s="799"/>
      <c r="S737" s="799"/>
      <c r="T737" s="799"/>
      <c r="U737" s="799"/>
      <c r="V737" s="799"/>
      <c r="W737" s="799"/>
      <c r="X737" s="799"/>
      <c r="Y737" s="799"/>
      <c r="Z737" s="799"/>
      <c r="AA737" s="799"/>
      <c r="AB737" s="799"/>
      <c r="AC737" s="799"/>
      <c r="AD737" s="799"/>
      <c r="AE737" s="799"/>
      <c r="AF737" s="799"/>
      <c r="AG737" s="799"/>
      <c r="AH737" s="799"/>
      <c r="AI737" s="799"/>
      <c r="AJ737" s="799"/>
      <c r="AK737" s="799"/>
      <c r="AL737" s="799"/>
      <c r="AM737" s="799"/>
      <c r="AN737" s="799"/>
      <c r="AO737" s="799"/>
      <c r="AP737" s="799"/>
      <c r="AQ737" s="799"/>
      <c r="AR737" s="799"/>
      <c r="AS737" s="799"/>
      <c r="AT737" s="799"/>
      <c r="AU737" s="799"/>
      <c r="AV737" s="799"/>
      <c r="AW737" s="799"/>
      <c r="AX737" s="799"/>
      <c r="AY737" s="799"/>
      <c r="AZ737" s="799"/>
      <c r="BA737" s="799"/>
      <c r="BB737" s="799"/>
      <c r="BC737" s="799"/>
      <c r="BD737" s="799"/>
      <c r="BE737" s="799"/>
      <c r="BF737" s="799"/>
      <c r="BG737" s="799"/>
    </row>
    <row r="738">
      <c r="H738" s="799"/>
      <c r="I738" s="799"/>
      <c r="J738" s="799"/>
      <c r="K738" s="799"/>
      <c r="L738" s="799"/>
      <c r="M738" s="799"/>
      <c r="N738" s="799"/>
      <c r="O738" s="799"/>
      <c r="P738" s="799"/>
      <c r="Q738" s="799"/>
      <c r="R738" s="799"/>
      <c r="S738" s="799"/>
      <c r="T738" s="799"/>
      <c r="U738" s="799"/>
      <c r="V738" s="799"/>
      <c r="W738" s="799"/>
      <c r="X738" s="799"/>
      <c r="Y738" s="799"/>
      <c r="Z738" s="799"/>
      <c r="AA738" s="799"/>
      <c r="AB738" s="799"/>
      <c r="AC738" s="799"/>
      <c r="AD738" s="799"/>
      <c r="AE738" s="799"/>
      <c r="AF738" s="799"/>
      <c r="AG738" s="799"/>
      <c r="AH738" s="799"/>
      <c r="AI738" s="799"/>
      <c r="AJ738" s="799"/>
      <c r="AK738" s="799"/>
      <c r="AL738" s="799"/>
      <c r="AM738" s="799"/>
      <c r="AN738" s="799"/>
      <c r="AO738" s="799"/>
      <c r="AP738" s="799"/>
      <c r="AQ738" s="799"/>
      <c r="AR738" s="799"/>
      <c r="AS738" s="799"/>
      <c r="AT738" s="799"/>
      <c r="AU738" s="799"/>
      <c r="AV738" s="799"/>
      <c r="AW738" s="799"/>
      <c r="AX738" s="799"/>
      <c r="AY738" s="799"/>
      <c r="AZ738" s="799"/>
      <c r="BA738" s="799"/>
      <c r="BB738" s="799"/>
      <c r="BC738" s="799"/>
      <c r="BD738" s="799"/>
      <c r="BE738" s="799"/>
      <c r="BF738" s="799"/>
      <c r="BG738" s="799"/>
    </row>
    <row r="739">
      <c r="H739" s="799"/>
      <c r="I739" s="799"/>
      <c r="J739" s="799"/>
      <c r="K739" s="799"/>
      <c r="L739" s="799"/>
      <c r="M739" s="799"/>
      <c r="N739" s="799"/>
      <c r="O739" s="799"/>
      <c r="P739" s="799"/>
      <c r="Q739" s="799"/>
      <c r="R739" s="799"/>
      <c r="S739" s="799"/>
      <c r="T739" s="799"/>
      <c r="U739" s="799"/>
      <c r="V739" s="799"/>
      <c r="W739" s="799"/>
      <c r="X739" s="799"/>
      <c r="Y739" s="799"/>
      <c r="Z739" s="799"/>
      <c r="AA739" s="799"/>
      <c r="AB739" s="799"/>
      <c r="AC739" s="799"/>
      <c r="AD739" s="799"/>
      <c r="AE739" s="799"/>
      <c r="AF739" s="799"/>
      <c r="AG739" s="799"/>
      <c r="AH739" s="799"/>
      <c r="AI739" s="799"/>
      <c r="AJ739" s="799"/>
      <c r="AK739" s="799"/>
      <c r="AL739" s="799"/>
      <c r="AM739" s="799"/>
      <c r="AN739" s="799"/>
      <c r="AO739" s="799"/>
      <c r="AP739" s="799"/>
      <c r="AQ739" s="799"/>
      <c r="AR739" s="799"/>
      <c r="AS739" s="799"/>
      <c r="AT739" s="799"/>
      <c r="AU739" s="799"/>
      <c r="AV739" s="799"/>
      <c r="AW739" s="799"/>
      <c r="AX739" s="799"/>
      <c r="AY739" s="799"/>
      <c r="AZ739" s="799"/>
      <c r="BA739" s="799"/>
      <c r="BB739" s="799"/>
      <c r="BC739" s="799"/>
      <c r="BD739" s="799"/>
      <c r="BE739" s="799"/>
      <c r="BF739" s="799"/>
      <c r="BG739" s="799"/>
    </row>
    <row r="740">
      <c r="H740" s="799"/>
      <c r="I740" s="799"/>
      <c r="J740" s="799"/>
      <c r="K740" s="799"/>
      <c r="L740" s="799"/>
      <c r="M740" s="799"/>
      <c r="N740" s="799"/>
      <c r="O740" s="799"/>
      <c r="P740" s="799"/>
      <c r="Q740" s="799"/>
      <c r="R740" s="799"/>
      <c r="S740" s="799"/>
      <c r="T740" s="799"/>
      <c r="U740" s="799"/>
      <c r="V740" s="799"/>
      <c r="W740" s="799"/>
      <c r="X740" s="799"/>
      <c r="Y740" s="799"/>
      <c r="Z740" s="799"/>
      <c r="AA740" s="799"/>
      <c r="AB740" s="799"/>
      <c r="AC740" s="799"/>
      <c r="AD740" s="799"/>
      <c r="AE740" s="799"/>
      <c r="AF740" s="799"/>
      <c r="AG740" s="799"/>
      <c r="AH740" s="799"/>
      <c r="AI740" s="799"/>
      <c r="AJ740" s="799"/>
      <c r="AK740" s="799"/>
      <c r="AL740" s="799"/>
      <c r="AM740" s="799"/>
      <c r="AN740" s="799"/>
      <c r="AO740" s="799"/>
      <c r="AP740" s="799"/>
      <c r="AQ740" s="799"/>
      <c r="AR740" s="799"/>
      <c r="AS740" s="799"/>
      <c r="AT740" s="799"/>
      <c r="AU740" s="799"/>
      <c r="AV740" s="799"/>
      <c r="AW740" s="799"/>
      <c r="AX740" s="799"/>
      <c r="AY740" s="799"/>
      <c r="AZ740" s="799"/>
      <c r="BA740" s="799"/>
      <c r="BB740" s="799"/>
      <c r="BC740" s="799"/>
      <c r="BD740" s="799"/>
      <c r="BE740" s="799"/>
      <c r="BF740" s="799"/>
      <c r="BG740" s="799"/>
    </row>
    <row r="741">
      <c r="H741" s="799"/>
      <c r="I741" s="799"/>
      <c r="J741" s="799"/>
      <c r="K741" s="799"/>
      <c r="L741" s="799"/>
      <c r="M741" s="799"/>
      <c r="N741" s="799"/>
      <c r="O741" s="799"/>
      <c r="P741" s="799"/>
      <c r="Q741" s="799"/>
      <c r="R741" s="799"/>
      <c r="S741" s="799"/>
      <c r="T741" s="799"/>
      <c r="U741" s="799"/>
      <c r="V741" s="799"/>
      <c r="W741" s="799"/>
      <c r="X741" s="799"/>
      <c r="Y741" s="799"/>
      <c r="Z741" s="799"/>
      <c r="AA741" s="799"/>
      <c r="AB741" s="799"/>
      <c r="AC741" s="799"/>
      <c r="AD741" s="799"/>
      <c r="AE741" s="799"/>
      <c r="AF741" s="799"/>
      <c r="AG741" s="799"/>
      <c r="AH741" s="799"/>
      <c r="AI741" s="799"/>
      <c r="AJ741" s="799"/>
      <c r="AK741" s="799"/>
      <c r="AL741" s="799"/>
      <c r="AM741" s="799"/>
      <c r="AN741" s="799"/>
      <c r="AO741" s="799"/>
      <c r="AP741" s="799"/>
      <c r="AQ741" s="799"/>
      <c r="AR741" s="799"/>
      <c r="AS741" s="799"/>
      <c r="AT741" s="799"/>
      <c r="AU741" s="799"/>
      <c r="AV741" s="799"/>
      <c r="AW741" s="799"/>
      <c r="AX741" s="799"/>
      <c r="AY741" s="799"/>
      <c r="AZ741" s="799"/>
      <c r="BA741" s="799"/>
      <c r="BB741" s="799"/>
      <c r="BC741" s="799"/>
      <c r="BD741" s="799"/>
      <c r="BE741" s="799"/>
      <c r="BF741" s="799"/>
      <c r="BG741" s="799"/>
    </row>
    <row r="742">
      <c r="H742" s="799"/>
      <c r="I742" s="799"/>
      <c r="J742" s="799"/>
      <c r="K742" s="799"/>
      <c r="L742" s="799"/>
      <c r="M742" s="799"/>
      <c r="N742" s="799"/>
      <c r="O742" s="799"/>
      <c r="P742" s="799"/>
      <c r="Q742" s="799"/>
      <c r="R742" s="799"/>
      <c r="S742" s="799"/>
      <c r="T742" s="799"/>
      <c r="U742" s="799"/>
      <c r="V742" s="799"/>
      <c r="W742" s="799"/>
      <c r="X742" s="799"/>
      <c r="Y742" s="799"/>
      <c r="Z742" s="799"/>
      <c r="AA742" s="799"/>
      <c r="AB742" s="799"/>
      <c r="AC742" s="799"/>
      <c r="AD742" s="799"/>
      <c r="AE742" s="799"/>
      <c r="AF742" s="799"/>
      <c r="AG742" s="799"/>
      <c r="AH742" s="799"/>
      <c r="AI742" s="799"/>
      <c r="AJ742" s="799"/>
      <c r="AK742" s="799"/>
      <c r="AL742" s="799"/>
      <c r="AM742" s="799"/>
      <c r="AN742" s="799"/>
      <c r="AO742" s="799"/>
      <c r="AP742" s="799"/>
      <c r="AQ742" s="799"/>
      <c r="AR742" s="799"/>
      <c r="AS742" s="799"/>
      <c r="AT742" s="799"/>
      <c r="AU742" s="799"/>
      <c r="AV742" s="799"/>
      <c r="AW742" s="799"/>
      <c r="AX742" s="799"/>
      <c r="AY742" s="799"/>
      <c r="AZ742" s="799"/>
      <c r="BA742" s="799"/>
      <c r="BB742" s="799"/>
      <c r="BC742" s="799"/>
      <c r="BD742" s="799"/>
      <c r="BE742" s="799"/>
      <c r="BF742" s="799"/>
      <c r="BG742" s="799"/>
    </row>
    <row r="743">
      <c r="H743" s="799"/>
      <c r="I743" s="799"/>
      <c r="J743" s="799"/>
      <c r="K743" s="799"/>
      <c r="L743" s="799"/>
      <c r="M743" s="799"/>
      <c r="N743" s="799"/>
      <c r="O743" s="799"/>
      <c r="P743" s="799"/>
      <c r="Q743" s="799"/>
      <c r="R743" s="799"/>
      <c r="S743" s="799"/>
      <c r="T743" s="799"/>
      <c r="U743" s="799"/>
      <c r="V743" s="799"/>
      <c r="W743" s="799"/>
      <c r="X743" s="799"/>
      <c r="Y743" s="799"/>
      <c r="Z743" s="799"/>
      <c r="AA743" s="799"/>
      <c r="AB743" s="799"/>
      <c r="AC743" s="799"/>
      <c r="AD743" s="799"/>
      <c r="AE743" s="799"/>
      <c r="AF743" s="799"/>
      <c r="AG743" s="799"/>
      <c r="AH743" s="799"/>
      <c r="AI743" s="799"/>
      <c r="AJ743" s="799"/>
      <c r="AK743" s="799"/>
      <c r="AL743" s="799"/>
      <c r="AM743" s="799"/>
      <c r="AN743" s="799"/>
      <c r="AO743" s="799"/>
      <c r="AP743" s="799"/>
      <c r="AQ743" s="799"/>
      <c r="AR743" s="799"/>
      <c r="AS743" s="799"/>
      <c r="AT743" s="799"/>
      <c r="AU743" s="799"/>
      <c r="AV743" s="799"/>
      <c r="AW743" s="799"/>
      <c r="AX743" s="799"/>
      <c r="AY743" s="799"/>
      <c r="AZ743" s="799"/>
      <c r="BA743" s="799"/>
      <c r="BB743" s="799"/>
      <c r="BC743" s="799"/>
      <c r="BD743" s="799"/>
      <c r="BE743" s="799"/>
      <c r="BF743" s="799"/>
      <c r="BG743" s="799"/>
    </row>
    <row r="744">
      <c r="H744" s="799"/>
      <c r="I744" s="799"/>
      <c r="J744" s="799"/>
      <c r="K744" s="799"/>
      <c r="L744" s="799"/>
      <c r="M744" s="799"/>
      <c r="N744" s="799"/>
      <c r="O744" s="799"/>
      <c r="P744" s="799"/>
      <c r="Q744" s="799"/>
      <c r="R744" s="799"/>
      <c r="S744" s="799"/>
      <c r="T744" s="799"/>
      <c r="U744" s="799"/>
      <c r="V744" s="799"/>
      <c r="W744" s="799"/>
      <c r="X744" s="799"/>
      <c r="Y744" s="799"/>
      <c r="Z744" s="799"/>
      <c r="AA744" s="799"/>
      <c r="AB744" s="799"/>
      <c r="AC744" s="799"/>
      <c r="AD744" s="799"/>
      <c r="AE744" s="799"/>
      <c r="AF744" s="799"/>
      <c r="AG744" s="799"/>
      <c r="AH744" s="799"/>
      <c r="AI744" s="799"/>
      <c r="AJ744" s="799"/>
      <c r="AK744" s="799"/>
      <c r="AL744" s="799"/>
      <c r="AM744" s="799"/>
      <c r="AN744" s="799"/>
      <c r="AO744" s="799"/>
      <c r="AP744" s="799"/>
      <c r="AQ744" s="799"/>
      <c r="AR744" s="799"/>
      <c r="AS744" s="799"/>
      <c r="AT744" s="799"/>
      <c r="AU744" s="799"/>
      <c r="AV744" s="799"/>
      <c r="AW744" s="799"/>
      <c r="AX744" s="799"/>
      <c r="AY744" s="799"/>
      <c r="AZ744" s="799"/>
      <c r="BA744" s="799"/>
      <c r="BB744" s="799"/>
      <c r="BC744" s="799"/>
      <c r="BD744" s="799"/>
      <c r="BE744" s="799"/>
      <c r="BF744" s="799"/>
      <c r="BG744" s="799"/>
    </row>
    <row r="745">
      <c r="H745" s="799"/>
      <c r="I745" s="799"/>
      <c r="J745" s="799"/>
      <c r="K745" s="799"/>
      <c r="L745" s="799"/>
      <c r="M745" s="799"/>
      <c r="N745" s="799"/>
      <c r="O745" s="799"/>
      <c r="P745" s="799"/>
      <c r="Q745" s="799"/>
      <c r="R745" s="799"/>
      <c r="S745" s="799"/>
      <c r="T745" s="799"/>
      <c r="U745" s="799"/>
      <c r="V745" s="799"/>
      <c r="W745" s="799"/>
      <c r="X745" s="799"/>
      <c r="Y745" s="799"/>
      <c r="Z745" s="799"/>
      <c r="AA745" s="799"/>
      <c r="AB745" s="799"/>
      <c r="AC745" s="799"/>
      <c r="AD745" s="799"/>
      <c r="AE745" s="799"/>
      <c r="AF745" s="799"/>
      <c r="AG745" s="799"/>
      <c r="AH745" s="799"/>
      <c r="AI745" s="799"/>
      <c r="AJ745" s="799"/>
      <c r="AK745" s="799"/>
      <c r="AL745" s="799"/>
      <c r="AM745" s="799"/>
      <c r="AN745" s="799"/>
      <c r="AO745" s="799"/>
      <c r="AP745" s="799"/>
      <c r="AQ745" s="799"/>
      <c r="AR745" s="799"/>
      <c r="AS745" s="799"/>
      <c r="AT745" s="799"/>
      <c r="AU745" s="799"/>
      <c r="AV745" s="799"/>
      <c r="AW745" s="799"/>
      <c r="AX745" s="799"/>
      <c r="AY745" s="799"/>
      <c r="AZ745" s="799"/>
      <c r="BA745" s="799"/>
      <c r="BB745" s="799"/>
      <c r="BC745" s="799"/>
      <c r="BD745" s="799"/>
      <c r="BE745" s="799"/>
      <c r="BF745" s="799"/>
      <c r="BG745" s="799"/>
    </row>
    <row r="746">
      <c r="H746" s="799"/>
      <c r="I746" s="799"/>
      <c r="J746" s="799"/>
      <c r="K746" s="799"/>
      <c r="L746" s="799"/>
      <c r="M746" s="799"/>
      <c r="N746" s="799"/>
      <c r="O746" s="799"/>
      <c r="P746" s="799"/>
      <c r="Q746" s="799"/>
      <c r="R746" s="799"/>
      <c r="S746" s="799"/>
      <c r="T746" s="799"/>
      <c r="U746" s="799"/>
      <c r="V746" s="799"/>
      <c r="W746" s="799"/>
      <c r="X746" s="799"/>
      <c r="Y746" s="799"/>
      <c r="Z746" s="799"/>
      <c r="AA746" s="799"/>
      <c r="AB746" s="799"/>
      <c r="AC746" s="799"/>
      <c r="AD746" s="799"/>
      <c r="AE746" s="799"/>
      <c r="AF746" s="799"/>
      <c r="AG746" s="799"/>
      <c r="AH746" s="799"/>
      <c r="AI746" s="799"/>
      <c r="AJ746" s="799"/>
      <c r="AK746" s="799"/>
      <c r="AL746" s="799"/>
      <c r="AM746" s="799"/>
      <c r="AN746" s="799"/>
      <c r="AO746" s="799"/>
      <c r="AP746" s="799"/>
      <c r="AQ746" s="799"/>
      <c r="AR746" s="799"/>
      <c r="AS746" s="799"/>
      <c r="AT746" s="799"/>
      <c r="AU746" s="799"/>
      <c r="AV746" s="799"/>
      <c r="AW746" s="799"/>
      <c r="AX746" s="799"/>
      <c r="AY746" s="799"/>
      <c r="AZ746" s="799"/>
      <c r="BA746" s="799"/>
      <c r="BB746" s="799"/>
      <c r="BC746" s="799"/>
      <c r="BD746" s="799"/>
      <c r="BE746" s="799"/>
      <c r="BF746" s="799"/>
      <c r="BG746" s="799"/>
    </row>
    <row r="747">
      <c r="H747" s="799"/>
      <c r="I747" s="799"/>
      <c r="J747" s="799"/>
      <c r="K747" s="799"/>
      <c r="L747" s="799"/>
      <c r="M747" s="799"/>
      <c r="N747" s="799"/>
      <c r="O747" s="799"/>
      <c r="P747" s="799"/>
      <c r="Q747" s="799"/>
      <c r="R747" s="799"/>
      <c r="S747" s="799"/>
      <c r="T747" s="799"/>
      <c r="U747" s="799"/>
      <c r="V747" s="799"/>
      <c r="W747" s="799"/>
      <c r="X747" s="799"/>
      <c r="Y747" s="799"/>
      <c r="Z747" s="799"/>
      <c r="AA747" s="799"/>
      <c r="AB747" s="799"/>
      <c r="AC747" s="799"/>
      <c r="AD747" s="799"/>
      <c r="AE747" s="799"/>
      <c r="AF747" s="799"/>
      <c r="AG747" s="799"/>
      <c r="AH747" s="799"/>
      <c r="AI747" s="799"/>
      <c r="AJ747" s="799"/>
      <c r="AK747" s="799"/>
      <c r="AL747" s="799"/>
      <c r="AM747" s="799"/>
      <c r="AN747" s="799"/>
      <c r="AO747" s="799"/>
      <c r="AP747" s="799"/>
      <c r="AQ747" s="799"/>
      <c r="AR747" s="799"/>
      <c r="AS747" s="799"/>
      <c r="AT747" s="799"/>
      <c r="AU747" s="799"/>
      <c r="AV747" s="799"/>
      <c r="AW747" s="799"/>
      <c r="AX747" s="799"/>
      <c r="AY747" s="799"/>
      <c r="AZ747" s="799"/>
      <c r="BA747" s="799"/>
      <c r="BB747" s="799"/>
      <c r="BC747" s="799"/>
      <c r="BD747" s="799"/>
      <c r="BE747" s="799"/>
      <c r="BF747" s="799"/>
      <c r="BG747" s="799"/>
    </row>
    <row r="748">
      <c r="H748" s="799"/>
      <c r="I748" s="799"/>
      <c r="J748" s="799"/>
      <c r="K748" s="799"/>
      <c r="L748" s="799"/>
      <c r="M748" s="799"/>
      <c r="N748" s="799"/>
      <c r="O748" s="799"/>
      <c r="P748" s="799"/>
      <c r="Q748" s="799"/>
      <c r="R748" s="799"/>
      <c r="S748" s="799"/>
      <c r="T748" s="799"/>
      <c r="U748" s="799"/>
      <c r="V748" s="799"/>
      <c r="W748" s="799"/>
      <c r="X748" s="799"/>
      <c r="Y748" s="799"/>
      <c r="Z748" s="799"/>
      <c r="AA748" s="799"/>
      <c r="AB748" s="799"/>
      <c r="AC748" s="799"/>
      <c r="AD748" s="799"/>
      <c r="AE748" s="799"/>
      <c r="AF748" s="799"/>
      <c r="AG748" s="799"/>
      <c r="AH748" s="799"/>
      <c r="AI748" s="799"/>
      <c r="AJ748" s="799"/>
      <c r="AK748" s="799"/>
      <c r="AL748" s="799"/>
      <c r="AM748" s="799"/>
      <c r="AN748" s="799"/>
      <c r="AO748" s="799"/>
      <c r="AP748" s="799"/>
      <c r="AQ748" s="799"/>
      <c r="AR748" s="799"/>
      <c r="AS748" s="799"/>
      <c r="AT748" s="799"/>
      <c r="AU748" s="799"/>
      <c r="AV748" s="799"/>
      <c r="AW748" s="799"/>
      <c r="AX748" s="799"/>
      <c r="AY748" s="799"/>
      <c r="AZ748" s="799"/>
      <c r="BA748" s="799"/>
      <c r="BB748" s="799"/>
      <c r="BC748" s="799"/>
      <c r="BD748" s="799"/>
      <c r="BE748" s="799"/>
      <c r="BF748" s="799"/>
      <c r="BG748" s="799"/>
    </row>
    <row r="749">
      <c r="H749" s="799"/>
      <c r="I749" s="799"/>
      <c r="J749" s="799"/>
      <c r="K749" s="799"/>
      <c r="L749" s="799"/>
      <c r="M749" s="799"/>
      <c r="N749" s="799"/>
      <c r="O749" s="799"/>
      <c r="P749" s="799"/>
      <c r="Q749" s="799"/>
      <c r="R749" s="799"/>
      <c r="S749" s="799"/>
      <c r="T749" s="799"/>
      <c r="U749" s="799"/>
      <c r="V749" s="799"/>
      <c r="W749" s="799"/>
      <c r="X749" s="799"/>
      <c r="Y749" s="799"/>
      <c r="Z749" s="799"/>
      <c r="AA749" s="799"/>
      <c r="AB749" s="799"/>
      <c r="AC749" s="799"/>
      <c r="AD749" s="799"/>
      <c r="AE749" s="799"/>
      <c r="AF749" s="799"/>
      <c r="AG749" s="799"/>
      <c r="AH749" s="799"/>
      <c r="AI749" s="799"/>
      <c r="AJ749" s="799"/>
      <c r="AK749" s="799"/>
      <c r="AL749" s="799"/>
      <c r="AM749" s="799"/>
      <c r="AN749" s="799"/>
      <c r="AO749" s="799"/>
      <c r="AP749" s="799"/>
      <c r="AQ749" s="799"/>
      <c r="AR749" s="799"/>
      <c r="AS749" s="799"/>
      <c r="AT749" s="799"/>
      <c r="AU749" s="799"/>
      <c r="AV749" s="799"/>
      <c r="AW749" s="799"/>
      <c r="AX749" s="799"/>
      <c r="AY749" s="799"/>
      <c r="AZ749" s="799"/>
      <c r="BA749" s="799"/>
      <c r="BB749" s="799"/>
      <c r="BC749" s="799"/>
      <c r="BD749" s="799"/>
      <c r="BE749" s="799"/>
      <c r="BF749" s="799"/>
      <c r="BG749" s="799"/>
    </row>
    <row r="750">
      <c r="H750" s="799"/>
      <c r="I750" s="799"/>
      <c r="J750" s="799"/>
      <c r="K750" s="799"/>
      <c r="L750" s="799"/>
      <c r="M750" s="799"/>
      <c r="N750" s="799"/>
      <c r="O750" s="799"/>
      <c r="P750" s="799"/>
      <c r="Q750" s="799"/>
      <c r="R750" s="799"/>
      <c r="S750" s="799"/>
      <c r="T750" s="799"/>
      <c r="U750" s="799"/>
      <c r="V750" s="799"/>
      <c r="W750" s="799"/>
      <c r="X750" s="799"/>
      <c r="Y750" s="799"/>
      <c r="Z750" s="799"/>
      <c r="AA750" s="799"/>
      <c r="AB750" s="799"/>
      <c r="AC750" s="799"/>
      <c r="AD750" s="799"/>
      <c r="AE750" s="799"/>
      <c r="AF750" s="799"/>
      <c r="AG750" s="799"/>
      <c r="AH750" s="799"/>
      <c r="AI750" s="799"/>
      <c r="AJ750" s="799"/>
      <c r="AK750" s="799"/>
      <c r="AL750" s="799"/>
      <c r="AM750" s="799"/>
      <c r="AN750" s="799"/>
      <c r="AO750" s="799"/>
      <c r="AP750" s="799"/>
      <c r="AQ750" s="799"/>
      <c r="AR750" s="799"/>
      <c r="AS750" s="799"/>
      <c r="AT750" s="799"/>
      <c r="AU750" s="799"/>
      <c r="AV750" s="799"/>
      <c r="AW750" s="799"/>
      <c r="AX750" s="799"/>
      <c r="AY750" s="799"/>
      <c r="AZ750" s="799"/>
      <c r="BA750" s="799"/>
      <c r="BB750" s="799"/>
      <c r="BC750" s="799"/>
      <c r="BD750" s="799"/>
      <c r="BE750" s="799"/>
      <c r="BF750" s="799"/>
      <c r="BG750" s="799"/>
    </row>
    <row r="751">
      <c r="H751" s="799"/>
      <c r="I751" s="799"/>
      <c r="J751" s="799"/>
      <c r="K751" s="799"/>
      <c r="L751" s="799"/>
      <c r="M751" s="799"/>
      <c r="N751" s="799"/>
      <c r="O751" s="799"/>
      <c r="P751" s="799"/>
      <c r="Q751" s="799"/>
      <c r="R751" s="799"/>
      <c r="S751" s="799"/>
      <c r="T751" s="799"/>
      <c r="U751" s="799"/>
      <c r="V751" s="799"/>
      <c r="W751" s="799"/>
      <c r="X751" s="799"/>
      <c r="Y751" s="799"/>
      <c r="Z751" s="799"/>
      <c r="AA751" s="799"/>
      <c r="AB751" s="799"/>
      <c r="AC751" s="799"/>
      <c r="AD751" s="799"/>
      <c r="AE751" s="799"/>
      <c r="AF751" s="799"/>
      <c r="AG751" s="799"/>
      <c r="AH751" s="799"/>
      <c r="AI751" s="799"/>
      <c r="AJ751" s="799"/>
      <c r="AK751" s="799"/>
      <c r="AL751" s="799"/>
      <c r="AM751" s="799"/>
      <c r="AN751" s="799"/>
      <c r="AO751" s="799"/>
      <c r="AP751" s="799"/>
      <c r="AQ751" s="799"/>
      <c r="AR751" s="799"/>
      <c r="AS751" s="799"/>
      <c r="AT751" s="799"/>
      <c r="AU751" s="799"/>
      <c r="AV751" s="799"/>
      <c r="AW751" s="799"/>
      <c r="AX751" s="799"/>
      <c r="AY751" s="799"/>
      <c r="AZ751" s="799"/>
      <c r="BA751" s="799"/>
      <c r="BB751" s="799"/>
      <c r="BC751" s="799"/>
      <c r="BD751" s="799"/>
      <c r="BE751" s="799"/>
      <c r="BF751" s="799"/>
      <c r="BG751" s="799"/>
    </row>
    <row r="752">
      <c r="H752" s="799"/>
      <c r="I752" s="799"/>
      <c r="J752" s="799"/>
      <c r="K752" s="799"/>
      <c r="L752" s="799"/>
      <c r="M752" s="799"/>
      <c r="N752" s="799"/>
      <c r="O752" s="799"/>
      <c r="P752" s="799"/>
      <c r="Q752" s="799"/>
      <c r="R752" s="799"/>
      <c r="S752" s="799"/>
      <c r="T752" s="799"/>
      <c r="U752" s="799"/>
      <c r="V752" s="799"/>
      <c r="W752" s="799"/>
      <c r="X752" s="799"/>
      <c r="Y752" s="799"/>
      <c r="Z752" s="799"/>
      <c r="AA752" s="799"/>
      <c r="AB752" s="799"/>
      <c r="AC752" s="799"/>
      <c r="AD752" s="799"/>
      <c r="AE752" s="799"/>
      <c r="AF752" s="799"/>
      <c r="AG752" s="799"/>
      <c r="AH752" s="799"/>
      <c r="AI752" s="799"/>
      <c r="AJ752" s="799"/>
      <c r="AK752" s="799"/>
      <c r="AL752" s="799"/>
      <c r="AM752" s="799"/>
      <c r="AN752" s="799"/>
      <c r="AO752" s="799"/>
      <c r="AP752" s="799"/>
      <c r="AQ752" s="799"/>
      <c r="AR752" s="799"/>
      <c r="AS752" s="799"/>
      <c r="AT752" s="799"/>
      <c r="AU752" s="799"/>
      <c r="AV752" s="799"/>
      <c r="AW752" s="799"/>
      <c r="AX752" s="799"/>
      <c r="AY752" s="799"/>
      <c r="AZ752" s="799"/>
      <c r="BA752" s="799"/>
      <c r="BB752" s="799"/>
      <c r="BC752" s="799"/>
      <c r="BD752" s="799"/>
      <c r="BE752" s="799"/>
      <c r="BF752" s="799"/>
      <c r="BG752" s="799"/>
    </row>
    <row r="753">
      <c r="H753" s="799"/>
      <c r="I753" s="799"/>
      <c r="J753" s="799"/>
      <c r="K753" s="799"/>
      <c r="L753" s="799"/>
      <c r="M753" s="799"/>
      <c r="N753" s="799"/>
      <c r="O753" s="799"/>
      <c r="P753" s="799"/>
      <c r="Q753" s="799"/>
      <c r="R753" s="799"/>
      <c r="S753" s="799"/>
      <c r="T753" s="799"/>
      <c r="U753" s="799"/>
      <c r="V753" s="799"/>
      <c r="W753" s="799"/>
      <c r="X753" s="799"/>
      <c r="Y753" s="799"/>
      <c r="Z753" s="799"/>
      <c r="AA753" s="799"/>
      <c r="AB753" s="799"/>
      <c r="AC753" s="799"/>
      <c r="AD753" s="799"/>
      <c r="AE753" s="799"/>
      <c r="AF753" s="799"/>
      <c r="AG753" s="799"/>
      <c r="AH753" s="799"/>
      <c r="AI753" s="799"/>
      <c r="AJ753" s="799"/>
      <c r="AK753" s="799"/>
      <c r="AL753" s="799"/>
      <c r="AM753" s="799"/>
      <c r="AN753" s="799"/>
      <c r="AO753" s="799"/>
      <c r="AP753" s="799"/>
      <c r="AQ753" s="799"/>
      <c r="AR753" s="799"/>
      <c r="AS753" s="799"/>
      <c r="AT753" s="799"/>
      <c r="AU753" s="799"/>
      <c r="AV753" s="799"/>
      <c r="AW753" s="799"/>
      <c r="AX753" s="799"/>
      <c r="AY753" s="799"/>
      <c r="AZ753" s="799"/>
      <c r="BA753" s="799"/>
      <c r="BB753" s="799"/>
      <c r="BC753" s="799"/>
      <c r="BD753" s="799"/>
      <c r="BE753" s="799"/>
      <c r="BF753" s="799"/>
      <c r="BG753" s="799"/>
    </row>
    <row r="754">
      <c r="H754" s="799"/>
      <c r="I754" s="799"/>
      <c r="J754" s="799"/>
      <c r="K754" s="799"/>
      <c r="L754" s="799"/>
      <c r="M754" s="799"/>
      <c r="N754" s="799"/>
      <c r="O754" s="799"/>
      <c r="P754" s="799"/>
      <c r="Q754" s="799"/>
      <c r="R754" s="799"/>
      <c r="S754" s="799"/>
      <c r="T754" s="799"/>
      <c r="U754" s="799"/>
      <c r="V754" s="799"/>
      <c r="W754" s="799"/>
      <c r="X754" s="799"/>
      <c r="Y754" s="799"/>
      <c r="Z754" s="799"/>
      <c r="AA754" s="799"/>
      <c r="AB754" s="799"/>
      <c r="AC754" s="799"/>
      <c r="AD754" s="799"/>
      <c r="AE754" s="799"/>
      <c r="AF754" s="799"/>
      <c r="AG754" s="799"/>
      <c r="AH754" s="799"/>
      <c r="AI754" s="799"/>
      <c r="AJ754" s="799"/>
      <c r="AK754" s="799"/>
      <c r="AL754" s="799"/>
      <c r="AM754" s="799"/>
      <c r="AN754" s="799"/>
      <c r="AO754" s="799"/>
      <c r="AP754" s="799"/>
      <c r="AQ754" s="799"/>
      <c r="AR754" s="799"/>
      <c r="AS754" s="799"/>
      <c r="AT754" s="799"/>
      <c r="AU754" s="799"/>
      <c r="AV754" s="799"/>
      <c r="AW754" s="799"/>
      <c r="AX754" s="799"/>
      <c r="AY754" s="799"/>
      <c r="AZ754" s="799"/>
      <c r="BA754" s="799"/>
      <c r="BB754" s="799"/>
      <c r="BC754" s="799"/>
      <c r="BD754" s="799"/>
      <c r="BE754" s="799"/>
      <c r="BF754" s="799"/>
      <c r="BG754" s="799"/>
    </row>
    <row r="755">
      <c r="H755" s="799"/>
      <c r="I755" s="799"/>
      <c r="J755" s="799"/>
      <c r="K755" s="799"/>
      <c r="L755" s="799"/>
      <c r="M755" s="799"/>
      <c r="N755" s="799"/>
      <c r="O755" s="799"/>
      <c r="P755" s="799"/>
      <c r="Q755" s="799"/>
      <c r="R755" s="799"/>
      <c r="S755" s="799"/>
      <c r="T755" s="799"/>
      <c r="U755" s="799"/>
      <c r="V755" s="799"/>
      <c r="W755" s="799"/>
      <c r="X755" s="799"/>
      <c r="Y755" s="799"/>
      <c r="Z755" s="799"/>
      <c r="AA755" s="799"/>
      <c r="AB755" s="799"/>
      <c r="AC755" s="799"/>
      <c r="AD755" s="799"/>
      <c r="AE755" s="799"/>
      <c r="AF755" s="799"/>
      <c r="AG755" s="799"/>
      <c r="AH755" s="799"/>
      <c r="AI755" s="799"/>
      <c r="AJ755" s="799"/>
      <c r="AK755" s="799"/>
      <c r="AL755" s="799"/>
      <c r="AM755" s="799"/>
      <c r="AN755" s="799"/>
      <c r="AO755" s="799"/>
      <c r="AP755" s="799"/>
      <c r="AQ755" s="799"/>
      <c r="AR755" s="799"/>
      <c r="AS755" s="799"/>
      <c r="AT755" s="799"/>
      <c r="AU755" s="799"/>
      <c r="AV755" s="799"/>
      <c r="AW755" s="799"/>
      <c r="AX755" s="799"/>
      <c r="AY755" s="799"/>
      <c r="AZ755" s="799"/>
      <c r="BA755" s="799"/>
      <c r="BB755" s="799"/>
      <c r="BC755" s="799"/>
      <c r="BD755" s="799"/>
      <c r="BE755" s="799"/>
      <c r="BF755" s="799"/>
      <c r="BG755" s="799"/>
    </row>
    <row r="756">
      <c r="H756" s="799"/>
      <c r="I756" s="799"/>
      <c r="J756" s="799"/>
      <c r="K756" s="799"/>
      <c r="L756" s="799"/>
      <c r="M756" s="799"/>
      <c r="N756" s="799"/>
      <c r="O756" s="799"/>
      <c r="P756" s="799"/>
      <c r="Q756" s="799"/>
      <c r="R756" s="799"/>
      <c r="S756" s="799"/>
      <c r="T756" s="799"/>
      <c r="U756" s="799"/>
      <c r="V756" s="799"/>
      <c r="W756" s="799"/>
      <c r="X756" s="799"/>
      <c r="Y756" s="799"/>
      <c r="Z756" s="799"/>
      <c r="AA756" s="799"/>
      <c r="AB756" s="799"/>
      <c r="AC756" s="799"/>
      <c r="AD756" s="799"/>
      <c r="AE756" s="799"/>
      <c r="AF756" s="799"/>
      <c r="AG756" s="799"/>
      <c r="AH756" s="799"/>
      <c r="AI756" s="799"/>
      <c r="AJ756" s="799"/>
      <c r="AK756" s="799"/>
      <c r="AL756" s="799"/>
      <c r="AM756" s="799"/>
      <c r="AN756" s="799"/>
      <c r="AO756" s="799"/>
      <c r="AP756" s="799"/>
      <c r="AQ756" s="799"/>
      <c r="AR756" s="799"/>
      <c r="AS756" s="799"/>
      <c r="AT756" s="799"/>
      <c r="AU756" s="799"/>
      <c r="AV756" s="799"/>
      <c r="AW756" s="799"/>
      <c r="AX756" s="799"/>
      <c r="AY756" s="799"/>
      <c r="AZ756" s="799"/>
      <c r="BA756" s="799"/>
      <c r="BB756" s="799"/>
      <c r="BC756" s="799"/>
      <c r="BD756" s="799"/>
      <c r="BE756" s="799"/>
      <c r="BF756" s="799"/>
      <c r="BG756" s="799"/>
    </row>
    <row r="757">
      <c r="H757" s="799"/>
      <c r="I757" s="799"/>
      <c r="J757" s="799"/>
      <c r="K757" s="799"/>
      <c r="L757" s="799"/>
      <c r="M757" s="799"/>
      <c r="N757" s="799"/>
      <c r="O757" s="799"/>
      <c r="P757" s="799"/>
      <c r="Q757" s="799"/>
      <c r="R757" s="799"/>
      <c r="S757" s="799"/>
      <c r="T757" s="799"/>
      <c r="U757" s="799"/>
      <c r="V757" s="799"/>
      <c r="W757" s="799"/>
      <c r="X757" s="799"/>
      <c r="Y757" s="799"/>
      <c r="Z757" s="799"/>
      <c r="AA757" s="799"/>
      <c r="AB757" s="799"/>
      <c r="AC757" s="799"/>
      <c r="AD757" s="799"/>
      <c r="AE757" s="799"/>
      <c r="AF757" s="799"/>
      <c r="AG757" s="799"/>
      <c r="AH757" s="799"/>
      <c r="AI757" s="799"/>
      <c r="AJ757" s="799"/>
      <c r="AK757" s="799"/>
      <c r="AL757" s="799"/>
      <c r="AM757" s="799"/>
      <c r="AN757" s="799"/>
      <c r="AO757" s="799"/>
      <c r="AP757" s="799"/>
      <c r="AQ757" s="799"/>
      <c r="AR757" s="799"/>
      <c r="AS757" s="799"/>
      <c r="AT757" s="799"/>
      <c r="AU757" s="799"/>
      <c r="AV757" s="799"/>
      <c r="AW757" s="799"/>
      <c r="AX757" s="799"/>
      <c r="AY757" s="799"/>
      <c r="AZ757" s="799"/>
      <c r="BA757" s="799"/>
      <c r="BB757" s="799"/>
      <c r="BC757" s="799"/>
      <c r="BD757" s="799"/>
      <c r="BE757" s="799"/>
      <c r="BF757" s="799"/>
      <c r="BG757" s="799"/>
    </row>
    <row r="758">
      <c r="H758" s="799"/>
      <c r="I758" s="799"/>
      <c r="J758" s="799"/>
      <c r="K758" s="799"/>
      <c r="L758" s="799"/>
      <c r="M758" s="799"/>
      <c r="N758" s="799"/>
      <c r="O758" s="799"/>
      <c r="P758" s="799"/>
      <c r="Q758" s="799"/>
      <c r="R758" s="799"/>
      <c r="S758" s="799"/>
      <c r="T758" s="799"/>
      <c r="U758" s="799"/>
      <c r="V758" s="799"/>
      <c r="W758" s="799"/>
      <c r="X758" s="799"/>
      <c r="Y758" s="799"/>
      <c r="Z758" s="799"/>
      <c r="AA758" s="799"/>
      <c r="AB758" s="799"/>
      <c r="AC758" s="799"/>
      <c r="AD758" s="799"/>
      <c r="AE758" s="799"/>
      <c r="AF758" s="799"/>
      <c r="AG758" s="799"/>
      <c r="AH758" s="799"/>
      <c r="AI758" s="799"/>
      <c r="AJ758" s="799"/>
      <c r="AK758" s="799"/>
      <c r="AL758" s="799"/>
      <c r="AM758" s="799"/>
      <c r="AN758" s="799"/>
      <c r="AO758" s="799"/>
      <c r="AP758" s="799"/>
      <c r="AQ758" s="799"/>
      <c r="AR758" s="799"/>
      <c r="AS758" s="799"/>
      <c r="AT758" s="799"/>
      <c r="AU758" s="799"/>
      <c r="AV758" s="799"/>
      <c r="AW758" s="799"/>
      <c r="AX758" s="799"/>
      <c r="AY758" s="799"/>
      <c r="AZ758" s="799"/>
      <c r="BA758" s="799"/>
      <c r="BB758" s="799"/>
      <c r="BC758" s="799"/>
      <c r="BD758" s="799"/>
      <c r="BE758" s="799"/>
      <c r="BF758" s="799"/>
      <c r="BG758" s="799"/>
    </row>
    <row r="759">
      <c r="H759" s="799"/>
      <c r="I759" s="799"/>
      <c r="J759" s="799"/>
      <c r="K759" s="799"/>
      <c r="L759" s="799"/>
      <c r="M759" s="799"/>
      <c r="N759" s="799"/>
      <c r="O759" s="799"/>
      <c r="P759" s="799"/>
      <c r="Q759" s="799"/>
      <c r="R759" s="799"/>
      <c r="S759" s="799"/>
      <c r="T759" s="799"/>
      <c r="U759" s="799"/>
      <c r="V759" s="799"/>
      <c r="W759" s="799"/>
      <c r="X759" s="799"/>
      <c r="Y759" s="799"/>
      <c r="Z759" s="799"/>
      <c r="AA759" s="799"/>
      <c r="AB759" s="799"/>
      <c r="AC759" s="799"/>
      <c r="AD759" s="799"/>
      <c r="AE759" s="799"/>
      <c r="AF759" s="799"/>
      <c r="AG759" s="799"/>
      <c r="AH759" s="799"/>
      <c r="AI759" s="799"/>
      <c r="AJ759" s="799"/>
      <c r="AK759" s="799"/>
      <c r="AL759" s="799"/>
      <c r="AM759" s="799"/>
      <c r="AN759" s="799"/>
      <c r="AO759" s="799"/>
      <c r="AP759" s="799"/>
      <c r="AQ759" s="799"/>
      <c r="AR759" s="799"/>
      <c r="AS759" s="799"/>
      <c r="AT759" s="799"/>
      <c r="AU759" s="799"/>
      <c r="AV759" s="799"/>
      <c r="AW759" s="799"/>
      <c r="AX759" s="799"/>
      <c r="AY759" s="799"/>
      <c r="AZ759" s="799"/>
      <c r="BA759" s="799"/>
      <c r="BB759" s="799"/>
      <c r="BC759" s="799"/>
      <c r="BD759" s="799"/>
      <c r="BE759" s="799"/>
      <c r="BF759" s="799"/>
      <c r="BG759" s="799"/>
    </row>
    <row r="760">
      <c r="H760" s="799"/>
      <c r="I760" s="799"/>
      <c r="J760" s="799"/>
      <c r="K760" s="799"/>
      <c r="L760" s="799"/>
      <c r="M760" s="799"/>
      <c r="N760" s="799"/>
      <c r="O760" s="799"/>
      <c r="P760" s="799"/>
      <c r="Q760" s="799"/>
      <c r="R760" s="799"/>
      <c r="S760" s="799"/>
      <c r="T760" s="799"/>
      <c r="U760" s="799"/>
      <c r="V760" s="799"/>
      <c r="W760" s="799"/>
      <c r="X760" s="799"/>
      <c r="Y760" s="799"/>
      <c r="Z760" s="799"/>
      <c r="AA760" s="799"/>
      <c r="AB760" s="799"/>
      <c r="AC760" s="799"/>
      <c r="AD760" s="799"/>
      <c r="AE760" s="799"/>
      <c r="AF760" s="799"/>
      <c r="AG760" s="799"/>
      <c r="AH760" s="799"/>
      <c r="AI760" s="799"/>
      <c r="AJ760" s="799"/>
      <c r="AK760" s="799"/>
      <c r="AL760" s="799"/>
      <c r="AM760" s="799"/>
      <c r="AN760" s="799"/>
      <c r="AO760" s="799"/>
      <c r="AP760" s="799"/>
      <c r="AQ760" s="799"/>
      <c r="AR760" s="799"/>
      <c r="AS760" s="799"/>
      <c r="AT760" s="799"/>
      <c r="AU760" s="799"/>
      <c r="AV760" s="799"/>
      <c r="AW760" s="799"/>
      <c r="AX760" s="799"/>
      <c r="AY760" s="799"/>
      <c r="AZ760" s="799"/>
      <c r="BA760" s="799"/>
      <c r="BB760" s="799"/>
      <c r="BC760" s="799"/>
      <c r="BD760" s="799"/>
      <c r="BE760" s="799"/>
      <c r="BF760" s="799"/>
      <c r="BG760" s="799"/>
    </row>
    <row r="761">
      <c r="H761" s="799"/>
      <c r="I761" s="799"/>
      <c r="J761" s="799"/>
      <c r="K761" s="799"/>
      <c r="L761" s="799"/>
      <c r="M761" s="799"/>
      <c r="N761" s="799"/>
      <c r="O761" s="799"/>
      <c r="P761" s="799"/>
      <c r="Q761" s="799"/>
      <c r="R761" s="799"/>
      <c r="S761" s="799"/>
      <c r="T761" s="799"/>
      <c r="U761" s="799"/>
      <c r="V761" s="799"/>
      <c r="W761" s="799"/>
      <c r="X761" s="799"/>
      <c r="Y761" s="799"/>
      <c r="Z761" s="799"/>
      <c r="AA761" s="799"/>
      <c r="AB761" s="799"/>
      <c r="AC761" s="799"/>
      <c r="AD761" s="799"/>
      <c r="AE761" s="799"/>
      <c r="AF761" s="799"/>
      <c r="AG761" s="799"/>
      <c r="AH761" s="799"/>
      <c r="AI761" s="799"/>
      <c r="AJ761" s="799"/>
      <c r="AK761" s="799"/>
      <c r="AL761" s="799"/>
      <c r="AM761" s="799"/>
      <c r="AN761" s="799"/>
      <c r="AO761" s="799"/>
      <c r="AP761" s="799"/>
      <c r="AQ761" s="799"/>
      <c r="AR761" s="799"/>
      <c r="AS761" s="799"/>
      <c r="AT761" s="799"/>
      <c r="AU761" s="799"/>
      <c r="AV761" s="799"/>
      <c r="AW761" s="799"/>
      <c r="AX761" s="799"/>
      <c r="AY761" s="799"/>
      <c r="AZ761" s="799"/>
      <c r="BA761" s="799"/>
      <c r="BB761" s="799"/>
      <c r="BC761" s="799"/>
      <c r="BD761" s="799"/>
      <c r="BE761" s="799"/>
      <c r="BF761" s="799"/>
      <c r="BG761" s="799"/>
    </row>
    <row r="762">
      <c r="H762" s="799"/>
      <c r="I762" s="799"/>
      <c r="J762" s="799"/>
      <c r="K762" s="799"/>
      <c r="L762" s="799"/>
      <c r="M762" s="799"/>
      <c r="N762" s="799"/>
      <c r="O762" s="799"/>
      <c r="P762" s="799"/>
      <c r="Q762" s="799"/>
      <c r="R762" s="799"/>
      <c r="S762" s="799"/>
      <c r="T762" s="799"/>
      <c r="U762" s="799"/>
      <c r="V762" s="799"/>
      <c r="W762" s="799"/>
      <c r="X762" s="799"/>
      <c r="Y762" s="799"/>
      <c r="Z762" s="799"/>
      <c r="AA762" s="799"/>
      <c r="AB762" s="799"/>
      <c r="AC762" s="799"/>
      <c r="AD762" s="799"/>
      <c r="AE762" s="799"/>
      <c r="AF762" s="799"/>
      <c r="AG762" s="799"/>
      <c r="AH762" s="799"/>
      <c r="AI762" s="799"/>
      <c r="AJ762" s="799"/>
      <c r="AK762" s="799"/>
      <c r="AL762" s="799"/>
      <c r="AM762" s="799"/>
      <c r="AN762" s="799"/>
      <c r="AO762" s="799"/>
      <c r="AP762" s="799"/>
      <c r="AQ762" s="799"/>
      <c r="AR762" s="799"/>
      <c r="AS762" s="799"/>
      <c r="AT762" s="799"/>
      <c r="AU762" s="799"/>
      <c r="AV762" s="799"/>
      <c r="AW762" s="799"/>
      <c r="AX762" s="799"/>
      <c r="AY762" s="799"/>
      <c r="AZ762" s="799"/>
      <c r="BA762" s="799"/>
      <c r="BB762" s="799"/>
      <c r="BC762" s="799"/>
      <c r="BD762" s="799"/>
      <c r="BE762" s="799"/>
      <c r="BF762" s="799"/>
      <c r="BG762" s="799"/>
    </row>
    <row r="763">
      <c r="H763" s="799"/>
      <c r="I763" s="799"/>
      <c r="J763" s="799"/>
      <c r="K763" s="799"/>
      <c r="L763" s="799"/>
      <c r="M763" s="799"/>
      <c r="N763" s="799"/>
      <c r="O763" s="799"/>
      <c r="P763" s="799"/>
      <c r="Q763" s="799"/>
      <c r="R763" s="799"/>
      <c r="S763" s="799"/>
      <c r="T763" s="799"/>
      <c r="U763" s="799"/>
      <c r="V763" s="799"/>
      <c r="W763" s="799"/>
      <c r="X763" s="799"/>
      <c r="Y763" s="799"/>
      <c r="Z763" s="799"/>
      <c r="AA763" s="799"/>
      <c r="AB763" s="799"/>
      <c r="AC763" s="799"/>
      <c r="AD763" s="799"/>
      <c r="AE763" s="799"/>
      <c r="AF763" s="799"/>
      <c r="AG763" s="799"/>
      <c r="AH763" s="799"/>
      <c r="AI763" s="799"/>
      <c r="AJ763" s="799"/>
      <c r="AK763" s="799"/>
      <c r="AL763" s="799"/>
      <c r="AM763" s="799"/>
      <c r="AN763" s="799"/>
      <c r="AO763" s="799"/>
      <c r="AP763" s="799"/>
      <c r="AQ763" s="799"/>
      <c r="AR763" s="799"/>
      <c r="AS763" s="799"/>
      <c r="AT763" s="799"/>
      <c r="AU763" s="799"/>
      <c r="AV763" s="799"/>
      <c r="AW763" s="799"/>
      <c r="AX763" s="799"/>
      <c r="AY763" s="799"/>
      <c r="AZ763" s="799"/>
      <c r="BA763" s="799"/>
      <c r="BB763" s="799"/>
      <c r="BC763" s="799"/>
      <c r="BD763" s="799"/>
      <c r="BE763" s="799"/>
      <c r="BF763" s="799"/>
      <c r="BG763" s="799"/>
    </row>
    <row r="764">
      <c r="H764" s="799"/>
      <c r="I764" s="799"/>
      <c r="J764" s="799"/>
      <c r="K764" s="799"/>
      <c r="L764" s="799"/>
      <c r="M764" s="799"/>
      <c r="N764" s="799"/>
      <c r="O764" s="799"/>
      <c r="P764" s="799"/>
      <c r="Q764" s="799"/>
      <c r="R764" s="799"/>
      <c r="S764" s="799"/>
      <c r="T764" s="799"/>
      <c r="U764" s="799"/>
      <c r="V764" s="799"/>
      <c r="W764" s="799"/>
      <c r="X764" s="799"/>
      <c r="Y764" s="799"/>
      <c r="Z764" s="799"/>
      <c r="AA764" s="799"/>
      <c r="AB764" s="799"/>
      <c r="AC764" s="799"/>
      <c r="AD764" s="799"/>
      <c r="AE764" s="799"/>
      <c r="AF764" s="799"/>
      <c r="AG764" s="799"/>
      <c r="AH764" s="799"/>
      <c r="AI764" s="799"/>
      <c r="AJ764" s="799"/>
      <c r="AK764" s="799"/>
      <c r="AL764" s="799"/>
      <c r="AM764" s="799"/>
      <c r="AN764" s="799"/>
      <c r="AO764" s="799"/>
      <c r="AP764" s="799"/>
      <c r="AQ764" s="799"/>
      <c r="AR764" s="799"/>
      <c r="AS764" s="799"/>
      <c r="AT764" s="799"/>
      <c r="AU764" s="799"/>
      <c r="AV764" s="799"/>
      <c r="AW764" s="799"/>
      <c r="AX764" s="799"/>
      <c r="AY764" s="799"/>
      <c r="AZ764" s="799"/>
      <c r="BA764" s="799"/>
      <c r="BB764" s="799"/>
      <c r="BC764" s="799"/>
      <c r="BD764" s="799"/>
      <c r="BE764" s="799"/>
      <c r="BF764" s="799"/>
      <c r="BG764" s="799"/>
    </row>
    <row r="765">
      <c r="H765" s="799"/>
      <c r="I765" s="799"/>
      <c r="J765" s="799"/>
      <c r="K765" s="799"/>
      <c r="L765" s="799"/>
      <c r="M765" s="799"/>
      <c r="N765" s="799"/>
      <c r="O765" s="799"/>
      <c r="P765" s="799"/>
      <c r="Q765" s="799"/>
      <c r="R765" s="799"/>
      <c r="S765" s="799"/>
      <c r="T765" s="799"/>
      <c r="U765" s="799"/>
      <c r="V765" s="799"/>
      <c r="W765" s="799"/>
      <c r="X765" s="799"/>
      <c r="Y765" s="799"/>
      <c r="Z765" s="799"/>
      <c r="AA765" s="799"/>
      <c r="AB765" s="799"/>
      <c r="AC765" s="799"/>
      <c r="AD765" s="799"/>
      <c r="AE765" s="799"/>
      <c r="AF765" s="799"/>
      <c r="AG765" s="799"/>
      <c r="AH765" s="799"/>
      <c r="AI765" s="799"/>
      <c r="AJ765" s="799"/>
      <c r="AK765" s="799"/>
      <c r="AL765" s="799"/>
      <c r="AM765" s="799"/>
      <c r="AN765" s="799"/>
      <c r="AO765" s="799"/>
      <c r="AP765" s="799"/>
      <c r="AQ765" s="799"/>
      <c r="AR765" s="799"/>
      <c r="AS765" s="799"/>
      <c r="AT765" s="799"/>
      <c r="AU765" s="799"/>
      <c r="AV765" s="799"/>
      <c r="AW765" s="799"/>
      <c r="AX765" s="799"/>
      <c r="AY765" s="799"/>
      <c r="AZ765" s="799"/>
      <c r="BA765" s="799"/>
      <c r="BB765" s="799"/>
      <c r="BC765" s="799"/>
      <c r="BD765" s="799"/>
      <c r="BE765" s="799"/>
      <c r="BF765" s="799"/>
      <c r="BG765" s="799"/>
    </row>
    <row r="766">
      <c r="H766" s="799"/>
      <c r="I766" s="799"/>
      <c r="J766" s="799"/>
      <c r="K766" s="799"/>
      <c r="L766" s="799"/>
      <c r="M766" s="799"/>
      <c r="N766" s="799"/>
      <c r="O766" s="799"/>
      <c r="P766" s="799"/>
      <c r="Q766" s="799"/>
      <c r="R766" s="799"/>
      <c r="S766" s="799"/>
      <c r="T766" s="799"/>
      <c r="U766" s="799"/>
      <c r="V766" s="799"/>
      <c r="W766" s="799"/>
      <c r="X766" s="799"/>
      <c r="Y766" s="799"/>
      <c r="Z766" s="799"/>
      <c r="AA766" s="799"/>
      <c r="AB766" s="799"/>
      <c r="AC766" s="799"/>
      <c r="AD766" s="799"/>
      <c r="AE766" s="799"/>
      <c r="AF766" s="799"/>
      <c r="AG766" s="799"/>
      <c r="AH766" s="799"/>
      <c r="AI766" s="799"/>
      <c r="AJ766" s="799"/>
      <c r="AK766" s="799"/>
      <c r="AL766" s="799"/>
      <c r="AM766" s="799"/>
      <c r="AN766" s="799"/>
      <c r="AO766" s="799"/>
      <c r="AP766" s="799"/>
      <c r="AQ766" s="799"/>
      <c r="AR766" s="799"/>
      <c r="AS766" s="799"/>
      <c r="AT766" s="799"/>
      <c r="AU766" s="799"/>
      <c r="AV766" s="799"/>
      <c r="AW766" s="799"/>
      <c r="AX766" s="799"/>
      <c r="AY766" s="799"/>
      <c r="AZ766" s="799"/>
      <c r="BA766" s="799"/>
      <c r="BB766" s="799"/>
      <c r="BC766" s="799"/>
      <c r="BD766" s="799"/>
      <c r="BE766" s="799"/>
      <c r="BF766" s="799"/>
      <c r="BG766" s="799"/>
    </row>
    <row r="767">
      <c r="H767" s="799"/>
      <c r="I767" s="799"/>
      <c r="J767" s="799"/>
      <c r="K767" s="799"/>
      <c r="L767" s="799"/>
      <c r="M767" s="799"/>
      <c r="N767" s="799"/>
      <c r="O767" s="799"/>
      <c r="P767" s="799"/>
      <c r="Q767" s="799"/>
      <c r="R767" s="799"/>
      <c r="S767" s="799"/>
      <c r="T767" s="799"/>
      <c r="U767" s="799"/>
      <c r="V767" s="799"/>
      <c r="W767" s="799"/>
      <c r="X767" s="799"/>
      <c r="Y767" s="799"/>
      <c r="Z767" s="799"/>
      <c r="AA767" s="799"/>
      <c r="AB767" s="799"/>
      <c r="AC767" s="799"/>
      <c r="AD767" s="799"/>
      <c r="AE767" s="799"/>
      <c r="AF767" s="799"/>
      <c r="AG767" s="799"/>
      <c r="AH767" s="799"/>
      <c r="AI767" s="799"/>
      <c r="AJ767" s="799"/>
      <c r="AK767" s="799"/>
      <c r="AL767" s="799"/>
      <c r="AM767" s="799"/>
      <c r="AN767" s="799"/>
      <c r="AO767" s="799"/>
      <c r="AP767" s="799"/>
      <c r="AQ767" s="799"/>
      <c r="AR767" s="799"/>
      <c r="AS767" s="799"/>
      <c r="AT767" s="799"/>
      <c r="AU767" s="799"/>
      <c r="AV767" s="799"/>
      <c r="AW767" s="799"/>
      <c r="AX767" s="799"/>
      <c r="AY767" s="799"/>
      <c r="AZ767" s="799"/>
      <c r="BA767" s="799"/>
      <c r="BB767" s="799"/>
      <c r="BC767" s="799"/>
      <c r="BD767" s="799"/>
      <c r="BE767" s="799"/>
      <c r="BF767" s="799"/>
      <c r="BG767" s="799"/>
    </row>
    <row r="768">
      <c r="H768" s="799"/>
      <c r="I768" s="799"/>
      <c r="J768" s="799"/>
      <c r="K768" s="799"/>
      <c r="L768" s="799"/>
      <c r="M768" s="799"/>
      <c r="N768" s="799"/>
      <c r="O768" s="799"/>
      <c r="P768" s="799"/>
      <c r="Q768" s="799"/>
      <c r="R768" s="799"/>
      <c r="S768" s="799"/>
      <c r="T768" s="799"/>
      <c r="U768" s="799"/>
      <c r="V768" s="799"/>
      <c r="W768" s="799"/>
      <c r="X768" s="799"/>
      <c r="Y768" s="799"/>
      <c r="Z768" s="799"/>
      <c r="AA768" s="799"/>
      <c r="AB768" s="799"/>
      <c r="AC768" s="799"/>
      <c r="AD768" s="799"/>
      <c r="AE768" s="799"/>
      <c r="AF768" s="799"/>
      <c r="AG768" s="799"/>
      <c r="AH768" s="799"/>
      <c r="AI768" s="799"/>
      <c r="AJ768" s="799"/>
      <c r="AK768" s="799"/>
      <c r="AL768" s="799"/>
      <c r="AM768" s="799"/>
      <c r="AN768" s="799"/>
      <c r="AO768" s="799"/>
      <c r="AP768" s="799"/>
      <c r="AQ768" s="799"/>
      <c r="AR768" s="799"/>
      <c r="AS768" s="799"/>
      <c r="AT768" s="799"/>
      <c r="AU768" s="799"/>
      <c r="AV768" s="799"/>
      <c r="AW768" s="799"/>
      <c r="AX768" s="799"/>
      <c r="AY768" s="799"/>
      <c r="AZ768" s="799"/>
      <c r="BA768" s="799"/>
      <c r="BB768" s="799"/>
      <c r="BC768" s="799"/>
      <c r="BD768" s="799"/>
      <c r="BE768" s="799"/>
      <c r="BF768" s="799"/>
      <c r="BG768" s="799"/>
    </row>
    <row r="769">
      <c r="H769" s="799"/>
      <c r="I769" s="799"/>
      <c r="J769" s="799"/>
      <c r="K769" s="799"/>
      <c r="L769" s="799"/>
      <c r="M769" s="799"/>
      <c r="N769" s="799"/>
      <c r="O769" s="799"/>
      <c r="P769" s="799"/>
      <c r="Q769" s="799"/>
      <c r="R769" s="799"/>
      <c r="S769" s="799"/>
      <c r="T769" s="799"/>
      <c r="U769" s="799"/>
      <c r="V769" s="799"/>
      <c r="W769" s="799"/>
      <c r="X769" s="799"/>
      <c r="Y769" s="799"/>
      <c r="Z769" s="799"/>
      <c r="AA769" s="799"/>
      <c r="AB769" s="799"/>
      <c r="AC769" s="799"/>
      <c r="AD769" s="799"/>
      <c r="AE769" s="799"/>
      <c r="AF769" s="799"/>
      <c r="AG769" s="799"/>
      <c r="AH769" s="799"/>
      <c r="AI769" s="799"/>
      <c r="AJ769" s="799"/>
      <c r="AK769" s="799"/>
      <c r="AL769" s="799"/>
      <c r="AM769" s="799"/>
      <c r="AN769" s="799"/>
      <c r="AO769" s="799"/>
      <c r="AP769" s="799"/>
      <c r="AQ769" s="799"/>
      <c r="AR769" s="799"/>
      <c r="AS769" s="799"/>
      <c r="AT769" s="799"/>
      <c r="AU769" s="799"/>
      <c r="AV769" s="799"/>
      <c r="AW769" s="799"/>
      <c r="AX769" s="799"/>
      <c r="AY769" s="799"/>
      <c r="AZ769" s="799"/>
      <c r="BA769" s="799"/>
      <c r="BB769" s="799"/>
      <c r="BC769" s="799"/>
      <c r="BD769" s="799"/>
      <c r="BE769" s="799"/>
      <c r="BF769" s="799"/>
      <c r="BG769" s="799"/>
    </row>
    <row r="770">
      <c r="H770" s="799"/>
      <c r="I770" s="799"/>
      <c r="J770" s="799"/>
      <c r="K770" s="799"/>
      <c r="L770" s="799"/>
      <c r="M770" s="799"/>
      <c r="N770" s="799"/>
      <c r="O770" s="799"/>
      <c r="P770" s="799"/>
      <c r="Q770" s="799"/>
      <c r="R770" s="799"/>
      <c r="S770" s="799"/>
      <c r="T770" s="799"/>
      <c r="U770" s="799"/>
      <c r="V770" s="799"/>
      <c r="W770" s="799"/>
      <c r="X770" s="799"/>
      <c r="Y770" s="799"/>
      <c r="Z770" s="799"/>
      <c r="AA770" s="799"/>
      <c r="AB770" s="799"/>
      <c r="AC770" s="799"/>
      <c r="AD770" s="799"/>
      <c r="AE770" s="799"/>
      <c r="AF770" s="799"/>
      <c r="AG770" s="799"/>
      <c r="AH770" s="799"/>
      <c r="AI770" s="799"/>
      <c r="AJ770" s="799"/>
      <c r="AK770" s="799"/>
      <c r="AL770" s="799"/>
      <c r="AM770" s="799"/>
      <c r="AN770" s="799"/>
      <c r="AO770" s="799"/>
      <c r="AP770" s="799"/>
      <c r="AQ770" s="799"/>
      <c r="AR770" s="799"/>
      <c r="AS770" s="799"/>
      <c r="AT770" s="799"/>
      <c r="AU770" s="799"/>
      <c r="AV770" s="799"/>
      <c r="AW770" s="799"/>
      <c r="AX770" s="799"/>
      <c r="AY770" s="799"/>
      <c r="AZ770" s="799"/>
      <c r="BA770" s="799"/>
      <c r="BB770" s="799"/>
      <c r="BC770" s="799"/>
      <c r="BD770" s="799"/>
      <c r="BE770" s="799"/>
      <c r="BF770" s="799"/>
      <c r="BG770" s="799"/>
    </row>
    <row r="771">
      <c r="H771" s="799"/>
      <c r="I771" s="799"/>
      <c r="J771" s="799"/>
      <c r="K771" s="799"/>
      <c r="L771" s="799"/>
      <c r="M771" s="799"/>
      <c r="N771" s="799"/>
      <c r="O771" s="799"/>
      <c r="P771" s="799"/>
      <c r="Q771" s="799"/>
      <c r="R771" s="799"/>
      <c r="S771" s="799"/>
      <c r="T771" s="799"/>
      <c r="U771" s="799"/>
      <c r="V771" s="799"/>
      <c r="W771" s="799"/>
      <c r="X771" s="799"/>
      <c r="Y771" s="799"/>
      <c r="Z771" s="799"/>
      <c r="AA771" s="799"/>
      <c r="AB771" s="799"/>
      <c r="AC771" s="799"/>
      <c r="AD771" s="799"/>
      <c r="AE771" s="799"/>
      <c r="AF771" s="799"/>
      <c r="AG771" s="799"/>
      <c r="AH771" s="799"/>
      <c r="AI771" s="799"/>
      <c r="AJ771" s="799"/>
      <c r="AK771" s="799"/>
      <c r="AL771" s="799"/>
      <c r="AM771" s="799"/>
      <c r="AN771" s="799"/>
      <c r="AO771" s="799"/>
      <c r="AP771" s="799"/>
      <c r="AQ771" s="799"/>
      <c r="AR771" s="799"/>
      <c r="AS771" s="799"/>
      <c r="AT771" s="799"/>
      <c r="AU771" s="799"/>
      <c r="AV771" s="799"/>
      <c r="AW771" s="799"/>
      <c r="AX771" s="799"/>
      <c r="AY771" s="799"/>
      <c r="AZ771" s="799"/>
      <c r="BA771" s="799"/>
      <c r="BB771" s="799"/>
      <c r="BC771" s="799"/>
      <c r="BD771" s="799"/>
      <c r="BE771" s="799"/>
      <c r="BF771" s="799"/>
      <c r="BG771" s="799"/>
    </row>
    <row r="772">
      <c r="H772" s="799"/>
      <c r="I772" s="799"/>
      <c r="J772" s="799"/>
      <c r="K772" s="799"/>
      <c r="L772" s="799"/>
      <c r="M772" s="799"/>
      <c r="N772" s="799"/>
      <c r="O772" s="799"/>
      <c r="P772" s="799"/>
      <c r="Q772" s="799"/>
      <c r="R772" s="799"/>
      <c r="S772" s="799"/>
      <c r="T772" s="799"/>
      <c r="U772" s="799"/>
      <c r="V772" s="799"/>
      <c r="W772" s="799"/>
      <c r="X772" s="799"/>
      <c r="Y772" s="799"/>
      <c r="Z772" s="799"/>
      <c r="AA772" s="799"/>
      <c r="AB772" s="799"/>
      <c r="AC772" s="799"/>
      <c r="AD772" s="799"/>
      <c r="AE772" s="799"/>
      <c r="AF772" s="799"/>
      <c r="AG772" s="799"/>
      <c r="AH772" s="799"/>
      <c r="AI772" s="799"/>
      <c r="AJ772" s="799"/>
      <c r="AK772" s="799"/>
      <c r="AL772" s="799"/>
      <c r="AM772" s="799"/>
      <c r="AN772" s="799"/>
      <c r="AO772" s="799"/>
      <c r="AP772" s="799"/>
      <c r="AQ772" s="799"/>
      <c r="AR772" s="799"/>
      <c r="AS772" s="799"/>
      <c r="AT772" s="799"/>
      <c r="AU772" s="799"/>
      <c r="AV772" s="799"/>
      <c r="AW772" s="799"/>
      <c r="AX772" s="799"/>
      <c r="AY772" s="799"/>
      <c r="AZ772" s="799"/>
      <c r="BA772" s="799"/>
      <c r="BB772" s="799"/>
      <c r="BC772" s="799"/>
      <c r="BD772" s="799"/>
      <c r="BE772" s="799"/>
      <c r="BF772" s="799"/>
      <c r="BG772" s="799"/>
    </row>
    <row r="773">
      <c r="H773" s="799"/>
      <c r="I773" s="799"/>
      <c r="J773" s="799"/>
      <c r="K773" s="799"/>
      <c r="L773" s="799"/>
      <c r="M773" s="799"/>
      <c r="N773" s="799"/>
      <c r="O773" s="799"/>
      <c r="P773" s="799"/>
      <c r="Q773" s="799"/>
      <c r="R773" s="799"/>
      <c r="S773" s="799"/>
      <c r="T773" s="799"/>
      <c r="U773" s="799"/>
      <c r="V773" s="799"/>
      <c r="W773" s="799"/>
      <c r="X773" s="799"/>
      <c r="Y773" s="799"/>
      <c r="Z773" s="799"/>
      <c r="AA773" s="799"/>
      <c r="AB773" s="799"/>
      <c r="AC773" s="799"/>
      <c r="AD773" s="799"/>
      <c r="AE773" s="799"/>
      <c r="AF773" s="799"/>
      <c r="AG773" s="799"/>
      <c r="AH773" s="799"/>
      <c r="AI773" s="799"/>
      <c r="AJ773" s="799"/>
      <c r="AK773" s="799"/>
      <c r="AL773" s="799"/>
      <c r="AM773" s="799"/>
      <c r="AN773" s="799"/>
      <c r="AO773" s="799"/>
      <c r="AP773" s="799"/>
      <c r="AQ773" s="799"/>
      <c r="AR773" s="799"/>
      <c r="AS773" s="799"/>
      <c r="AT773" s="799"/>
      <c r="AU773" s="799"/>
      <c r="AV773" s="799"/>
      <c r="AW773" s="799"/>
      <c r="AX773" s="799"/>
      <c r="AY773" s="799"/>
      <c r="AZ773" s="799"/>
      <c r="BA773" s="799"/>
      <c r="BB773" s="799"/>
      <c r="BC773" s="799"/>
      <c r="BD773" s="799"/>
      <c r="BE773" s="799"/>
      <c r="BF773" s="799"/>
      <c r="BG773" s="799"/>
    </row>
    <row r="774">
      <c r="H774" s="799"/>
      <c r="I774" s="799"/>
      <c r="J774" s="799"/>
      <c r="K774" s="799"/>
      <c r="L774" s="799"/>
      <c r="M774" s="799"/>
      <c r="N774" s="799"/>
      <c r="O774" s="799"/>
      <c r="P774" s="799"/>
      <c r="Q774" s="799"/>
      <c r="R774" s="799"/>
      <c r="S774" s="799"/>
      <c r="T774" s="799"/>
      <c r="U774" s="799"/>
      <c r="V774" s="799"/>
      <c r="W774" s="799"/>
      <c r="X774" s="799"/>
      <c r="Y774" s="799"/>
      <c r="Z774" s="799"/>
      <c r="AA774" s="799"/>
      <c r="AB774" s="799"/>
      <c r="AC774" s="799"/>
      <c r="AD774" s="799"/>
      <c r="AE774" s="799"/>
      <c r="AF774" s="799"/>
      <c r="AG774" s="799"/>
      <c r="AH774" s="799"/>
      <c r="AI774" s="799"/>
      <c r="AJ774" s="799"/>
      <c r="AK774" s="799"/>
      <c r="AL774" s="799"/>
      <c r="AM774" s="799"/>
      <c r="AN774" s="799"/>
      <c r="AO774" s="799"/>
      <c r="AP774" s="799"/>
      <c r="AQ774" s="799"/>
      <c r="AR774" s="799"/>
      <c r="AS774" s="799"/>
      <c r="AT774" s="799"/>
      <c r="AU774" s="799"/>
      <c r="AV774" s="799"/>
      <c r="AW774" s="799"/>
      <c r="AX774" s="799"/>
      <c r="AY774" s="799"/>
      <c r="AZ774" s="799"/>
      <c r="BA774" s="799"/>
      <c r="BB774" s="799"/>
      <c r="BC774" s="799"/>
      <c r="BD774" s="799"/>
      <c r="BE774" s="799"/>
      <c r="BF774" s="799"/>
      <c r="BG774" s="799"/>
    </row>
    <row r="775">
      <c r="H775" s="799"/>
      <c r="I775" s="799"/>
      <c r="J775" s="799"/>
      <c r="K775" s="799"/>
      <c r="L775" s="799"/>
      <c r="M775" s="799"/>
      <c r="N775" s="799"/>
      <c r="O775" s="799"/>
      <c r="P775" s="799"/>
      <c r="Q775" s="799"/>
      <c r="R775" s="799"/>
      <c r="S775" s="799"/>
      <c r="T775" s="799"/>
      <c r="U775" s="799"/>
      <c r="V775" s="799"/>
      <c r="W775" s="799"/>
      <c r="X775" s="799"/>
      <c r="Y775" s="799"/>
      <c r="Z775" s="799"/>
      <c r="AA775" s="799"/>
      <c r="AB775" s="799"/>
      <c r="AC775" s="799"/>
      <c r="AD775" s="799"/>
      <c r="AE775" s="799"/>
      <c r="AF775" s="799"/>
      <c r="AG775" s="799"/>
      <c r="AH775" s="799"/>
      <c r="AI775" s="799"/>
      <c r="AJ775" s="799"/>
      <c r="AK775" s="799"/>
      <c r="AL775" s="799"/>
      <c r="AM775" s="799"/>
      <c r="AN775" s="799"/>
      <c r="AO775" s="799"/>
      <c r="AP775" s="799"/>
      <c r="AQ775" s="799"/>
      <c r="AR775" s="799"/>
      <c r="AS775" s="799"/>
      <c r="AT775" s="799"/>
      <c r="AU775" s="799"/>
      <c r="AV775" s="799"/>
      <c r="AW775" s="799"/>
      <c r="AX775" s="799"/>
      <c r="AY775" s="799"/>
      <c r="AZ775" s="799"/>
      <c r="BA775" s="799"/>
      <c r="BB775" s="799"/>
      <c r="BC775" s="799"/>
      <c r="BD775" s="799"/>
      <c r="BE775" s="799"/>
      <c r="BF775" s="799"/>
      <c r="BG775" s="799"/>
    </row>
    <row r="776">
      <c r="H776" s="799"/>
      <c r="I776" s="799"/>
      <c r="J776" s="799"/>
      <c r="K776" s="799"/>
      <c r="L776" s="799"/>
      <c r="M776" s="799"/>
      <c r="N776" s="799"/>
      <c r="O776" s="799"/>
      <c r="P776" s="799"/>
      <c r="Q776" s="799"/>
      <c r="R776" s="799"/>
      <c r="S776" s="799"/>
      <c r="T776" s="799"/>
      <c r="U776" s="799"/>
      <c r="V776" s="799"/>
      <c r="W776" s="799"/>
      <c r="X776" s="799"/>
      <c r="Y776" s="799"/>
      <c r="Z776" s="799"/>
      <c r="AA776" s="799"/>
      <c r="AB776" s="799"/>
      <c r="AC776" s="799"/>
      <c r="AD776" s="799"/>
      <c r="AE776" s="799"/>
      <c r="AF776" s="799"/>
      <c r="AG776" s="799"/>
      <c r="AH776" s="799"/>
      <c r="AI776" s="799"/>
      <c r="AJ776" s="799"/>
      <c r="AK776" s="799"/>
      <c r="AL776" s="799"/>
      <c r="AM776" s="799"/>
      <c r="AN776" s="799"/>
      <c r="AO776" s="799"/>
      <c r="AP776" s="799"/>
      <c r="AQ776" s="799"/>
      <c r="AR776" s="799"/>
      <c r="AS776" s="799"/>
      <c r="AT776" s="799"/>
      <c r="AU776" s="799"/>
      <c r="AV776" s="799"/>
      <c r="AW776" s="799"/>
      <c r="AX776" s="799"/>
      <c r="AY776" s="799"/>
      <c r="AZ776" s="799"/>
      <c r="BA776" s="799"/>
      <c r="BB776" s="799"/>
      <c r="BC776" s="799"/>
      <c r="BD776" s="799"/>
      <c r="BE776" s="799"/>
      <c r="BF776" s="799"/>
      <c r="BG776" s="799"/>
    </row>
    <row r="777">
      <c r="H777" s="799"/>
      <c r="I777" s="799"/>
      <c r="J777" s="799"/>
      <c r="K777" s="799"/>
      <c r="L777" s="799"/>
      <c r="M777" s="799"/>
      <c r="N777" s="799"/>
      <c r="O777" s="799"/>
      <c r="P777" s="799"/>
      <c r="Q777" s="799"/>
      <c r="R777" s="799"/>
      <c r="S777" s="799"/>
      <c r="T777" s="799"/>
      <c r="U777" s="799"/>
      <c r="V777" s="799"/>
      <c r="W777" s="799"/>
      <c r="X777" s="799"/>
      <c r="Y777" s="799"/>
      <c r="Z777" s="799"/>
      <c r="AA777" s="799"/>
      <c r="AB777" s="799"/>
      <c r="AC777" s="799"/>
      <c r="AD777" s="799"/>
      <c r="AE777" s="799"/>
      <c r="AF777" s="799"/>
      <c r="AG777" s="799"/>
      <c r="AH777" s="799"/>
      <c r="AI777" s="799"/>
      <c r="AJ777" s="799"/>
      <c r="AK777" s="799"/>
      <c r="AL777" s="799"/>
      <c r="AM777" s="799"/>
      <c r="AN777" s="799"/>
      <c r="AO777" s="799"/>
      <c r="AP777" s="799"/>
      <c r="AQ777" s="799"/>
      <c r="AR777" s="799"/>
      <c r="AS777" s="799"/>
      <c r="AT777" s="799"/>
      <c r="AU777" s="799"/>
      <c r="AV777" s="799"/>
      <c r="AW777" s="799"/>
      <c r="AX777" s="799"/>
      <c r="AY777" s="799"/>
      <c r="AZ777" s="799"/>
      <c r="BA777" s="799"/>
      <c r="BB777" s="799"/>
      <c r="BC777" s="799"/>
      <c r="BD777" s="799"/>
      <c r="BE777" s="799"/>
      <c r="BF777" s="799"/>
      <c r="BG777" s="799"/>
    </row>
    <row r="778">
      <c r="H778" s="799"/>
      <c r="I778" s="799"/>
      <c r="J778" s="799"/>
      <c r="K778" s="799"/>
      <c r="L778" s="799"/>
      <c r="M778" s="799"/>
      <c r="N778" s="799"/>
      <c r="O778" s="799"/>
      <c r="P778" s="799"/>
      <c r="Q778" s="799"/>
      <c r="R778" s="799"/>
      <c r="S778" s="799"/>
      <c r="T778" s="799"/>
      <c r="U778" s="799"/>
      <c r="V778" s="799"/>
      <c r="W778" s="799"/>
      <c r="X778" s="799"/>
      <c r="Y778" s="799"/>
      <c r="Z778" s="799"/>
      <c r="AA778" s="799"/>
      <c r="AB778" s="799"/>
      <c r="AC778" s="799"/>
      <c r="AD778" s="799"/>
      <c r="AE778" s="799"/>
      <c r="AF778" s="799"/>
      <c r="AG778" s="799"/>
      <c r="AH778" s="799"/>
      <c r="AI778" s="799"/>
      <c r="AJ778" s="799"/>
      <c r="AK778" s="799"/>
      <c r="AL778" s="799"/>
      <c r="AM778" s="799"/>
      <c r="AN778" s="799"/>
      <c r="AO778" s="799"/>
      <c r="AP778" s="799"/>
      <c r="AQ778" s="799"/>
      <c r="AR778" s="799"/>
      <c r="AS778" s="799"/>
      <c r="AT778" s="799"/>
      <c r="AU778" s="799"/>
      <c r="AV778" s="799"/>
      <c r="AW778" s="799"/>
      <c r="AX778" s="799"/>
      <c r="AY778" s="799"/>
      <c r="AZ778" s="799"/>
      <c r="BA778" s="799"/>
      <c r="BB778" s="799"/>
      <c r="BC778" s="799"/>
      <c r="BD778" s="799"/>
      <c r="BE778" s="799"/>
      <c r="BF778" s="799"/>
      <c r="BG778" s="799"/>
    </row>
    <row r="779">
      <c r="H779" s="799"/>
      <c r="I779" s="799"/>
      <c r="J779" s="799"/>
      <c r="K779" s="799"/>
      <c r="L779" s="799"/>
      <c r="M779" s="799"/>
      <c r="N779" s="799"/>
      <c r="O779" s="799"/>
      <c r="P779" s="799"/>
      <c r="Q779" s="799"/>
      <c r="R779" s="799"/>
      <c r="S779" s="799"/>
      <c r="T779" s="799"/>
      <c r="U779" s="799"/>
      <c r="V779" s="799"/>
      <c r="W779" s="799"/>
      <c r="X779" s="799"/>
      <c r="Y779" s="799"/>
      <c r="Z779" s="799"/>
      <c r="AA779" s="799"/>
      <c r="AB779" s="799"/>
      <c r="AC779" s="799"/>
      <c r="AD779" s="799"/>
      <c r="AE779" s="799"/>
      <c r="AF779" s="799"/>
      <c r="AG779" s="799"/>
      <c r="AH779" s="799"/>
      <c r="AI779" s="799"/>
      <c r="AJ779" s="799"/>
      <c r="AK779" s="799"/>
      <c r="AL779" s="799"/>
      <c r="AM779" s="799"/>
      <c r="AN779" s="799"/>
      <c r="AO779" s="799"/>
      <c r="AP779" s="799"/>
      <c r="AQ779" s="799"/>
      <c r="AR779" s="799"/>
      <c r="AS779" s="799"/>
      <c r="AT779" s="799"/>
      <c r="AU779" s="799"/>
      <c r="AV779" s="799"/>
      <c r="AW779" s="799"/>
      <c r="AX779" s="799"/>
      <c r="AY779" s="799"/>
      <c r="AZ779" s="799"/>
      <c r="BA779" s="799"/>
      <c r="BB779" s="799"/>
      <c r="BC779" s="799"/>
      <c r="BD779" s="799"/>
      <c r="BE779" s="799"/>
      <c r="BF779" s="799"/>
      <c r="BG779" s="799"/>
    </row>
    <row r="780">
      <c r="H780" s="799"/>
      <c r="I780" s="799"/>
      <c r="J780" s="799"/>
      <c r="K780" s="799"/>
      <c r="L780" s="799"/>
      <c r="M780" s="799"/>
      <c r="N780" s="799"/>
      <c r="O780" s="799"/>
      <c r="P780" s="799"/>
      <c r="Q780" s="799"/>
      <c r="R780" s="799"/>
      <c r="S780" s="799"/>
      <c r="T780" s="799"/>
      <c r="U780" s="799"/>
      <c r="V780" s="799"/>
      <c r="W780" s="799"/>
      <c r="X780" s="799"/>
      <c r="Y780" s="799"/>
      <c r="Z780" s="799"/>
      <c r="AA780" s="799"/>
      <c r="AB780" s="799"/>
      <c r="AC780" s="799"/>
      <c r="AD780" s="799"/>
      <c r="AE780" s="799"/>
      <c r="AF780" s="799"/>
      <c r="AG780" s="799"/>
      <c r="AH780" s="799"/>
      <c r="AI780" s="799"/>
      <c r="AJ780" s="799"/>
      <c r="AK780" s="799"/>
      <c r="AL780" s="799"/>
      <c r="AM780" s="799"/>
      <c r="AN780" s="799"/>
      <c r="AO780" s="799"/>
      <c r="AP780" s="799"/>
      <c r="AQ780" s="799"/>
      <c r="AR780" s="799"/>
      <c r="AS780" s="799"/>
      <c r="AT780" s="799"/>
      <c r="AU780" s="799"/>
      <c r="AV780" s="799"/>
      <c r="AW780" s="799"/>
      <c r="AX780" s="799"/>
      <c r="AY780" s="799"/>
      <c r="AZ780" s="799"/>
      <c r="BA780" s="799"/>
      <c r="BB780" s="799"/>
      <c r="BC780" s="799"/>
      <c r="BD780" s="799"/>
      <c r="BE780" s="799"/>
      <c r="BF780" s="799"/>
      <c r="BG780" s="799"/>
    </row>
    <row r="781">
      <c r="H781" s="799"/>
      <c r="I781" s="799"/>
      <c r="J781" s="799"/>
      <c r="K781" s="799"/>
      <c r="L781" s="799"/>
      <c r="M781" s="799"/>
      <c r="N781" s="799"/>
      <c r="O781" s="799"/>
      <c r="P781" s="799"/>
      <c r="Q781" s="799"/>
      <c r="R781" s="799"/>
      <c r="S781" s="799"/>
      <c r="T781" s="799"/>
      <c r="U781" s="799"/>
      <c r="V781" s="799"/>
      <c r="W781" s="799"/>
      <c r="X781" s="799"/>
      <c r="Y781" s="799"/>
      <c r="Z781" s="799"/>
      <c r="AA781" s="799"/>
      <c r="AB781" s="799"/>
      <c r="AC781" s="799"/>
      <c r="AD781" s="799"/>
      <c r="AE781" s="799"/>
      <c r="AF781" s="799"/>
      <c r="AG781" s="799"/>
      <c r="AH781" s="799"/>
      <c r="AI781" s="799"/>
      <c r="AJ781" s="799"/>
      <c r="AK781" s="799"/>
      <c r="AL781" s="799"/>
      <c r="AM781" s="799"/>
      <c r="AN781" s="799"/>
      <c r="AO781" s="799"/>
      <c r="AP781" s="799"/>
      <c r="AQ781" s="799"/>
      <c r="AR781" s="799"/>
      <c r="AS781" s="799"/>
      <c r="AT781" s="799"/>
      <c r="AU781" s="799"/>
      <c r="AV781" s="799"/>
      <c r="AW781" s="799"/>
      <c r="AX781" s="799"/>
      <c r="AY781" s="799"/>
      <c r="AZ781" s="799"/>
      <c r="BA781" s="799"/>
      <c r="BB781" s="799"/>
      <c r="BC781" s="799"/>
      <c r="BD781" s="799"/>
      <c r="BE781" s="799"/>
      <c r="BF781" s="799"/>
      <c r="BG781" s="799"/>
    </row>
    <row r="782">
      <c r="H782" s="799"/>
      <c r="I782" s="799"/>
      <c r="J782" s="799"/>
      <c r="K782" s="799"/>
      <c r="L782" s="799"/>
      <c r="M782" s="799"/>
      <c r="N782" s="799"/>
      <c r="O782" s="799"/>
      <c r="P782" s="799"/>
      <c r="Q782" s="799"/>
      <c r="R782" s="799"/>
      <c r="S782" s="799"/>
      <c r="T782" s="799"/>
      <c r="U782" s="799"/>
      <c r="V782" s="799"/>
      <c r="W782" s="799"/>
      <c r="X782" s="799"/>
      <c r="Y782" s="799"/>
      <c r="Z782" s="799"/>
      <c r="AA782" s="799"/>
      <c r="AB782" s="799"/>
      <c r="AC782" s="799"/>
      <c r="AD782" s="799"/>
      <c r="AE782" s="799"/>
      <c r="AF782" s="799"/>
      <c r="AG782" s="799"/>
      <c r="AH782" s="799"/>
      <c r="AI782" s="799"/>
      <c r="AJ782" s="799"/>
      <c r="AK782" s="799"/>
      <c r="AL782" s="799"/>
      <c r="AM782" s="799"/>
      <c r="AN782" s="799"/>
      <c r="AO782" s="799"/>
      <c r="AP782" s="799"/>
      <c r="AQ782" s="799"/>
      <c r="AR782" s="799"/>
      <c r="AS782" s="799"/>
      <c r="AT782" s="799"/>
      <c r="AU782" s="799"/>
      <c r="AV782" s="799"/>
      <c r="AW782" s="799"/>
      <c r="AX782" s="799"/>
      <c r="AY782" s="799"/>
      <c r="AZ782" s="799"/>
      <c r="BA782" s="799"/>
      <c r="BB782" s="799"/>
      <c r="BC782" s="799"/>
      <c r="BD782" s="799"/>
      <c r="BE782" s="799"/>
      <c r="BF782" s="799"/>
      <c r="BG782" s="799"/>
    </row>
    <row r="783">
      <c r="H783" s="799"/>
      <c r="I783" s="799"/>
      <c r="J783" s="799"/>
      <c r="K783" s="799"/>
      <c r="L783" s="799"/>
      <c r="M783" s="799"/>
      <c r="N783" s="799"/>
      <c r="O783" s="799"/>
      <c r="P783" s="799"/>
      <c r="Q783" s="799"/>
      <c r="R783" s="799"/>
      <c r="S783" s="799"/>
      <c r="T783" s="799"/>
      <c r="U783" s="799"/>
      <c r="V783" s="799"/>
      <c r="W783" s="799"/>
      <c r="X783" s="799"/>
      <c r="Y783" s="799"/>
      <c r="Z783" s="799"/>
      <c r="AA783" s="799"/>
      <c r="AB783" s="799"/>
      <c r="AC783" s="799"/>
      <c r="AD783" s="799"/>
      <c r="AE783" s="799"/>
      <c r="AF783" s="799"/>
      <c r="AG783" s="799"/>
      <c r="AH783" s="799"/>
      <c r="AI783" s="799"/>
      <c r="AJ783" s="799"/>
      <c r="AK783" s="799"/>
      <c r="AL783" s="799"/>
      <c r="AM783" s="799"/>
      <c r="AN783" s="799"/>
      <c r="AO783" s="799"/>
      <c r="AP783" s="799"/>
      <c r="AQ783" s="799"/>
      <c r="AR783" s="799"/>
      <c r="AS783" s="799"/>
      <c r="AT783" s="799"/>
      <c r="AU783" s="799"/>
      <c r="AV783" s="799"/>
      <c r="AW783" s="799"/>
      <c r="AX783" s="799"/>
      <c r="AY783" s="799"/>
      <c r="AZ783" s="799"/>
      <c r="BA783" s="799"/>
      <c r="BB783" s="799"/>
      <c r="BC783" s="799"/>
      <c r="BD783" s="799"/>
      <c r="BE783" s="799"/>
      <c r="BF783" s="799"/>
      <c r="BG783" s="799"/>
    </row>
    <row r="784">
      <c r="H784" s="799"/>
      <c r="I784" s="799"/>
      <c r="J784" s="799"/>
      <c r="K784" s="799"/>
      <c r="L784" s="799"/>
      <c r="M784" s="799"/>
      <c r="N784" s="799"/>
      <c r="O784" s="799"/>
      <c r="P784" s="799"/>
      <c r="Q784" s="799"/>
      <c r="R784" s="799"/>
      <c r="S784" s="799"/>
      <c r="T784" s="799"/>
      <c r="U784" s="799"/>
      <c r="V784" s="799"/>
      <c r="W784" s="799"/>
      <c r="X784" s="799"/>
      <c r="Y784" s="799"/>
      <c r="Z784" s="799"/>
      <c r="AA784" s="799"/>
      <c r="AB784" s="799"/>
      <c r="AC784" s="799"/>
      <c r="AD784" s="799"/>
      <c r="AE784" s="799"/>
      <c r="AF784" s="799"/>
      <c r="AG784" s="799"/>
      <c r="AH784" s="799"/>
      <c r="AI784" s="799"/>
      <c r="AJ784" s="799"/>
      <c r="AK784" s="799"/>
      <c r="AL784" s="799"/>
      <c r="AM784" s="799"/>
      <c r="AN784" s="799"/>
      <c r="AO784" s="799"/>
      <c r="AP784" s="799"/>
      <c r="AQ784" s="799"/>
      <c r="AR784" s="799"/>
      <c r="AS784" s="799"/>
      <c r="AT784" s="799"/>
      <c r="AU784" s="799"/>
      <c r="AV784" s="799"/>
      <c r="AW784" s="799"/>
      <c r="AX784" s="799"/>
      <c r="AY784" s="799"/>
      <c r="AZ784" s="799"/>
      <c r="BA784" s="799"/>
      <c r="BB784" s="799"/>
      <c r="BC784" s="799"/>
      <c r="BD784" s="799"/>
      <c r="BE784" s="799"/>
      <c r="BF784" s="799"/>
      <c r="BG784" s="799"/>
    </row>
    <row r="785">
      <c r="H785" s="799"/>
      <c r="I785" s="799"/>
      <c r="J785" s="799"/>
      <c r="K785" s="799"/>
      <c r="L785" s="799"/>
      <c r="M785" s="799"/>
      <c r="N785" s="799"/>
      <c r="O785" s="799"/>
      <c r="P785" s="799"/>
      <c r="Q785" s="799"/>
      <c r="R785" s="799"/>
      <c r="S785" s="799"/>
      <c r="T785" s="799"/>
      <c r="U785" s="799"/>
      <c r="V785" s="799"/>
      <c r="W785" s="799"/>
      <c r="X785" s="799"/>
      <c r="Y785" s="799"/>
      <c r="Z785" s="799"/>
      <c r="AA785" s="799"/>
      <c r="AB785" s="799"/>
      <c r="AC785" s="799"/>
      <c r="AD785" s="799"/>
      <c r="AE785" s="799"/>
      <c r="AF785" s="799"/>
      <c r="AG785" s="799"/>
      <c r="AH785" s="799"/>
      <c r="AI785" s="799"/>
      <c r="AJ785" s="799"/>
      <c r="AK785" s="799"/>
      <c r="AL785" s="799"/>
      <c r="AM785" s="799"/>
      <c r="AN785" s="799"/>
      <c r="AO785" s="799"/>
      <c r="AP785" s="799"/>
      <c r="AQ785" s="799"/>
      <c r="AR785" s="799"/>
      <c r="AS785" s="799"/>
      <c r="AT785" s="799"/>
      <c r="AU785" s="799"/>
      <c r="AV785" s="799"/>
      <c r="AW785" s="799"/>
      <c r="AX785" s="799"/>
      <c r="AY785" s="799"/>
      <c r="AZ785" s="799"/>
      <c r="BA785" s="799"/>
      <c r="BB785" s="799"/>
      <c r="BC785" s="799"/>
      <c r="BD785" s="799"/>
      <c r="BE785" s="799"/>
      <c r="BF785" s="799"/>
      <c r="BG785" s="799"/>
    </row>
    <row r="786">
      <c r="H786" s="799"/>
      <c r="I786" s="799"/>
      <c r="J786" s="799"/>
      <c r="K786" s="799"/>
      <c r="L786" s="799"/>
      <c r="M786" s="799"/>
      <c r="N786" s="799"/>
      <c r="O786" s="799"/>
      <c r="P786" s="799"/>
      <c r="Q786" s="799"/>
      <c r="R786" s="799"/>
      <c r="S786" s="799"/>
      <c r="T786" s="799"/>
      <c r="U786" s="799"/>
      <c r="V786" s="799"/>
      <c r="W786" s="799"/>
      <c r="X786" s="799"/>
      <c r="Y786" s="799"/>
      <c r="Z786" s="799"/>
      <c r="AA786" s="799"/>
      <c r="AB786" s="799"/>
      <c r="AC786" s="799"/>
      <c r="AD786" s="799"/>
      <c r="AE786" s="799"/>
      <c r="AF786" s="799"/>
      <c r="AG786" s="799"/>
      <c r="AH786" s="799"/>
      <c r="AI786" s="799"/>
      <c r="AJ786" s="799"/>
      <c r="AK786" s="799"/>
      <c r="AL786" s="799"/>
      <c r="AM786" s="799"/>
      <c r="AN786" s="799"/>
      <c r="AO786" s="799"/>
      <c r="AP786" s="799"/>
      <c r="AQ786" s="799"/>
      <c r="AR786" s="799"/>
      <c r="AS786" s="799"/>
      <c r="AT786" s="799"/>
      <c r="AU786" s="799"/>
      <c r="AV786" s="799"/>
      <c r="AW786" s="799"/>
      <c r="AX786" s="799"/>
      <c r="AY786" s="799"/>
      <c r="AZ786" s="799"/>
      <c r="BA786" s="799"/>
      <c r="BB786" s="799"/>
      <c r="BC786" s="799"/>
      <c r="BD786" s="799"/>
      <c r="BE786" s="799"/>
      <c r="BF786" s="799"/>
      <c r="BG786" s="799"/>
    </row>
    <row r="787">
      <c r="H787" s="799"/>
      <c r="I787" s="799"/>
      <c r="J787" s="799"/>
      <c r="K787" s="799"/>
      <c r="L787" s="799"/>
      <c r="M787" s="799"/>
      <c r="N787" s="799"/>
      <c r="O787" s="799"/>
      <c r="P787" s="799"/>
      <c r="Q787" s="799"/>
      <c r="R787" s="799"/>
      <c r="S787" s="799"/>
      <c r="T787" s="799"/>
      <c r="U787" s="799"/>
      <c r="V787" s="799"/>
      <c r="W787" s="799"/>
      <c r="X787" s="799"/>
      <c r="Y787" s="799"/>
      <c r="Z787" s="799"/>
      <c r="AA787" s="799"/>
      <c r="AB787" s="799"/>
      <c r="AC787" s="799"/>
      <c r="AD787" s="799"/>
      <c r="AE787" s="799"/>
      <c r="AF787" s="799"/>
      <c r="AG787" s="799"/>
      <c r="AH787" s="799"/>
      <c r="AI787" s="799"/>
      <c r="AJ787" s="799"/>
      <c r="AK787" s="799"/>
      <c r="AL787" s="799"/>
      <c r="AM787" s="799"/>
      <c r="AN787" s="799"/>
      <c r="AO787" s="799"/>
      <c r="AP787" s="799"/>
      <c r="AQ787" s="799"/>
      <c r="AR787" s="799"/>
      <c r="AS787" s="799"/>
      <c r="AT787" s="799"/>
      <c r="AU787" s="799"/>
      <c r="AV787" s="799"/>
      <c r="AW787" s="799"/>
      <c r="AX787" s="799"/>
      <c r="AY787" s="799"/>
      <c r="AZ787" s="799"/>
      <c r="BA787" s="799"/>
      <c r="BB787" s="799"/>
      <c r="BC787" s="799"/>
      <c r="BD787" s="799"/>
      <c r="BE787" s="799"/>
      <c r="BF787" s="799"/>
      <c r="BG787" s="799"/>
    </row>
    <row r="788">
      <c r="H788" s="799"/>
      <c r="I788" s="799"/>
      <c r="J788" s="799"/>
      <c r="K788" s="799"/>
      <c r="L788" s="799"/>
      <c r="M788" s="799"/>
      <c r="N788" s="799"/>
      <c r="O788" s="799"/>
      <c r="P788" s="799"/>
      <c r="Q788" s="799"/>
      <c r="R788" s="799"/>
      <c r="S788" s="799"/>
      <c r="T788" s="799"/>
      <c r="U788" s="799"/>
      <c r="V788" s="799"/>
      <c r="W788" s="799"/>
      <c r="X788" s="799"/>
      <c r="Y788" s="799"/>
      <c r="Z788" s="799"/>
      <c r="AA788" s="799"/>
      <c r="AB788" s="799"/>
      <c r="AC788" s="799"/>
      <c r="AD788" s="799"/>
      <c r="AE788" s="799"/>
      <c r="AF788" s="799"/>
      <c r="AG788" s="799"/>
      <c r="AH788" s="799"/>
      <c r="AI788" s="799"/>
      <c r="AJ788" s="799"/>
      <c r="AK788" s="799"/>
      <c r="AL788" s="799"/>
      <c r="AM788" s="799"/>
      <c r="AN788" s="799"/>
      <c r="AO788" s="799"/>
      <c r="AP788" s="799"/>
      <c r="AQ788" s="799"/>
      <c r="AR788" s="799"/>
      <c r="AS788" s="799"/>
      <c r="AT788" s="799"/>
      <c r="AU788" s="799"/>
      <c r="AV788" s="799"/>
      <c r="AW788" s="799"/>
      <c r="AX788" s="799"/>
      <c r="AY788" s="799"/>
      <c r="AZ788" s="799"/>
      <c r="BA788" s="799"/>
      <c r="BB788" s="799"/>
      <c r="BC788" s="799"/>
      <c r="BD788" s="799"/>
      <c r="BE788" s="799"/>
      <c r="BF788" s="799"/>
      <c r="BG788" s="799"/>
    </row>
    <row r="789">
      <c r="H789" s="799"/>
      <c r="I789" s="799"/>
      <c r="J789" s="799"/>
      <c r="K789" s="799"/>
      <c r="L789" s="799"/>
      <c r="M789" s="799"/>
      <c r="N789" s="799"/>
      <c r="O789" s="799"/>
      <c r="P789" s="799"/>
      <c r="Q789" s="799"/>
      <c r="R789" s="799"/>
      <c r="S789" s="799"/>
      <c r="T789" s="799"/>
      <c r="U789" s="799"/>
      <c r="V789" s="799"/>
      <c r="W789" s="799"/>
      <c r="X789" s="799"/>
      <c r="Y789" s="799"/>
      <c r="Z789" s="799"/>
      <c r="AA789" s="799"/>
      <c r="AB789" s="799"/>
      <c r="AC789" s="799"/>
      <c r="AD789" s="799"/>
      <c r="AE789" s="799"/>
      <c r="AF789" s="799"/>
      <c r="AG789" s="799"/>
      <c r="AH789" s="799"/>
      <c r="AI789" s="799"/>
      <c r="AJ789" s="799"/>
      <c r="AK789" s="799"/>
      <c r="AL789" s="799"/>
      <c r="AM789" s="799"/>
      <c r="AN789" s="799"/>
      <c r="AO789" s="799"/>
      <c r="AP789" s="799"/>
      <c r="AQ789" s="799"/>
      <c r="AR789" s="799"/>
      <c r="AS789" s="799"/>
      <c r="AT789" s="799"/>
      <c r="AU789" s="799"/>
      <c r="AV789" s="799"/>
      <c r="AW789" s="799"/>
      <c r="AX789" s="799"/>
      <c r="AY789" s="799"/>
      <c r="AZ789" s="799"/>
      <c r="BA789" s="799"/>
      <c r="BB789" s="799"/>
      <c r="BC789" s="799"/>
      <c r="BD789" s="799"/>
      <c r="BE789" s="799"/>
      <c r="BF789" s="799"/>
      <c r="BG789" s="799"/>
    </row>
    <row r="790">
      <c r="H790" s="799"/>
      <c r="I790" s="799"/>
      <c r="J790" s="799"/>
      <c r="K790" s="799"/>
      <c r="L790" s="799"/>
      <c r="M790" s="799"/>
      <c r="N790" s="799"/>
      <c r="O790" s="799"/>
      <c r="P790" s="799"/>
      <c r="Q790" s="799"/>
      <c r="R790" s="799"/>
      <c r="S790" s="799"/>
      <c r="T790" s="799"/>
      <c r="U790" s="799"/>
      <c r="V790" s="799"/>
      <c r="W790" s="799"/>
      <c r="X790" s="799"/>
      <c r="Y790" s="799"/>
      <c r="Z790" s="799"/>
      <c r="AA790" s="799"/>
      <c r="AB790" s="799"/>
      <c r="AC790" s="799"/>
      <c r="AD790" s="799"/>
      <c r="AE790" s="799"/>
      <c r="AF790" s="799"/>
      <c r="AG790" s="799"/>
      <c r="AH790" s="799"/>
      <c r="AI790" s="799"/>
      <c r="AJ790" s="799"/>
      <c r="AK790" s="799"/>
      <c r="AL790" s="799"/>
      <c r="AM790" s="799"/>
      <c r="AN790" s="799"/>
      <c r="AO790" s="799"/>
      <c r="AP790" s="799"/>
      <c r="AQ790" s="799"/>
      <c r="AR790" s="799"/>
      <c r="AS790" s="799"/>
      <c r="AT790" s="799"/>
      <c r="AU790" s="799"/>
      <c r="AV790" s="799"/>
      <c r="AW790" s="799"/>
      <c r="AX790" s="799"/>
      <c r="AY790" s="799"/>
      <c r="AZ790" s="799"/>
      <c r="BA790" s="799"/>
      <c r="BB790" s="799"/>
      <c r="BC790" s="799"/>
      <c r="BD790" s="799"/>
      <c r="BE790" s="799"/>
      <c r="BF790" s="799"/>
      <c r="BG790" s="799"/>
    </row>
    <row r="791">
      <c r="H791" s="799"/>
      <c r="I791" s="799"/>
      <c r="J791" s="799"/>
      <c r="K791" s="799"/>
      <c r="L791" s="799"/>
      <c r="M791" s="799"/>
      <c r="N791" s="799"/>
      <c r="O791" s="799"/>
      <c r="P791" s="799"/>
      <c r="Q791" s="799"/>
      <c r="R791" s="799"/>
      <c r="S791" s="799"/>
      <c r="T791" s="799"/>
      <c r="U791" s="799"/>
      <c r="V791" s="799"/>
      <c r="W791" s="799"/>
      <c r="X791" s="799"/>
      <c r="Y791" s="799"/>
      <c r="Z791" s="799"/>
      <c r="AA791" s="799"/>
      <c r="AB791" s="799"/>
      <c r="AC791" s="799"/>
      <c r="AD791" s="799"/>
      <c r="AE791" s="799"/>
      <c r="AF791" s="799"/>
      <c r="AG791" s="799"/>
      <c r="AH791" s="799"/>
      <c r="AI791" s="799"/>
      <c r="AJ791" s="799"/>
      <c r="AK791" s="799"/>
      <c r="AL791" s="799"/>
      <c r="AM791" s="799"/>
      <c r="AN791" s="799"/>
      <c r="AO791" s="799"/>
      <c r="AP791" s="799"/>
      <c r="AQ791" s="799"/>
      <c r="AR791" s="799"/>
      <c r="AS791" s="799"/>
      <c r="AT791" s="799"/>
      <c r="AU791" s="799"/>
      <c r="AV791" s="799"/>
      <c r="AW791" s="799"/>
      <c r="AX791" s="799"/>
      <c r="AY791" s="799"/>
      <c r="AZ791" s="799"/>
      <c r="BA791" s="799"/>
      <c r="BB791" s="799"/>
      <c r="BC791" s="799"/>
      <c r="BD791" s="799"/>
      <c r="BE791" s="799"/>
      <c r="BF791" s="799"/>
      <c r="BG791" s="799"/>
    </row>
    <row r="792">
      <c r="H792" s="799"/>
      <c r="I792" s="799"/>
      <c r="J792" s="799"/>
      <c r="K792" s="799"/>
      <c r="L792" s="799"/>
      <c r="M792" s="799"/>
      <c r="N792" s="799"/>
      <c r="O792" s="799"/>
      <c r="P792" s="799"/>
      <c r="Q792" s="799"/>
      <c r="R792" s="799"/>
      <c r="S792" s="799"/>
      <c r="T792" s="799"/>
      <c r="U792" s="799"/>
      <c r="V792" s="799"/>
      <c r="W792" s="799"/>
      <c r="X792" s="799"/>
      <c r="Y792" s="799"/>
      <c r="Z792" s="799"/>
      <c r="AA792" s="799"/>
      <c r="AB792" s="799"/>
      <c r="AC792" s="799"/>
      <c r="AD792" s="799"/>
      <c r="AE792" s="799"/>
      <c r="AF792" s="799"/>
      <c r="AG792" s="799"/>
      <c r="AH792" s="799"/>
      <c r="AI792" s="799"/>
      <c r="AJ792" s="799"/>
      <c r="AK792" s="799"/>
      <c r="AL792" s="799"/>
      <c r="AM792" s="799"/>
      <c r="AN792" s="799"/>
      <c r="AO792" s="799"/>
      <c r="AP792" s="799"/>
      <c r="AQ792" s="799"/>
      <c r="AR792" s="799"/>
      <c r="AS792" s="799"/>
      <c r="AT792" s="799"/>
      <c r="AU792" s="799"/>
      <c r="AV792" s="799"/>
      <c r="AW792" s="799"/>
      <c r="AX792" s="799"/>
      <c r="AY792" s="799"/>
      <c r="AZ792" s="799"/>
      <c r="BA792" s="799"/>
      <c r="BB792" s="799"/>
      <c r="BC792" s="799"/>
      <c r="BD792" s="799"/>
      <c r="BE792" s="799"/>
      <c r="BF792" s="799"/>
      <c r="BG792" s="799"/>
    </row>
    <row r="793">
      <c r="H793" s="799"/>
      <c r="I793" s="799"/>
      <c r="J793" s="799"/>
      <c r="K793" s="799"/>
      <c r="L793" s="799"/>
      <c r="M793" s="799"/>
      <c r="N793" s="799"/>
      <c r="O793" s="799"/>
      <c r="P793" s="799"/>
      <c r="Q793" s="799"/>
      <c r="R793" s="799"/>
      <c r="S793" s="799"/>
      <c r="T793" s="799"/>
      <c r="U793" s="799"/>
      <c r="V793" s="799"/>
      <c r="W793" s="799"/>
      <c r="X793" s="799"/>
      <c r="Y793" s="799"/>
      <c r="Z793" s="799"/>
      <c r="AA793" s="799"/>
      <c r="AB793" s="799"/>
      <c r="AC793" s="799"/>
      <c r="AD793" s="799"/>
      <c r="AE793" s="799"/>
      <c r="AF793" s="799"/>
      <c r="AG793" s="799"/>
      <c r="AH793" s="799"/>
      <c r="AI793" s="799"/>
      <c r="AJ793" s="799"/>
      <c r="AK793" s="799"/>
      <c r="AL793" s="799"/>
      <c r="AM793" s="799"/>
      <c r="AN793" s="799"/>
      <c r="AO793" s="799"/>
      <c r="AP793" s="799"/>
      <c r="AQ793" s="799"/>
      <c r="AR793" s="799"/>
      <c r="AS793" s="799"/>
      <c r="AT793" s="799"/>
      <c r="AU793" s="799"/>
      <c r="AV793" s="799"/>
      <c r="AW793" s="799"/>
      <c r="AX793" s="799"/>
      <c r="AY793" s="799"/>
      <c r="AZ793" s="799"/>
      <c r="BA793" s="799"/>
      <c r="BB793" s="799"/>
      <c r="BC793" s="799"/>
      <c r="BD793" s="799"/>
      <c r="BE793" s="799"/>
      <c r="BF793" s="799"/>
      <c r="BG793" s="799"/>
    </row>
    <row r="794">
      <c r="H794" s="799"/>
      <c r="I794" s="799"/>
      <c r="J794" s="799"/>
      <c r="K794" s="799"/>
      <c r="L794" s="799"/>
      <c r="M794" s="799"/>
      <c r="N794" s="799"/>
      <c r="O794" s="799"/>
      <c r="P794" s="799"/>
      <c r="Q794" s="799"/>
      <c r="R794" s="799"/>
      <c r="S794" s="799"/>
      <c r="T794" s="799"/>
      <c r="U794" s="799"/>
      <c r="V794" s="799"/>
      <c r="W794" s="799"/>
      <c r="X794" s="799"/>
      <c r="Y794" s="799"/>
      <c r="Z794" s="799"/>
      <c r="AA794" s="799"/>
      <c r="AB794" s="799"/>
      <c r="AC794" s="799"/>
      <c r="AD794" s="799"/>
      <c r="AE794" s="799"/>
      <c r="AF794" s="799"/>
      <c r="AG794" s="799"/>
      <c r="AH794" s="799"/>
      <c r="AI794" s="799"/>
      <c r="AJ794" s="799"/>
      <c r="AK794" s="799"/>
      <c r="AL794" s="799"/>
      <c r="AM794" s="799"/>
      <c r="AN794" s="799"/>
      <c r="AO794" s="799"/>
      <c r="AP794" s="799"/>
      <c r="AQ794" s="799"/>
      <c r="AR794" s="799"/>
      <c r="AS794" s="799"/>
      <c r="AT794" s="799"/>
      <c r="AU794" s="799"/>
      <c r="AV794" s="799"/>
      <c r="AW794" s="799"/>
      <c r="AX794" s="799"/>
      <c r="AY794" s="799"/>
      <c r="AZ794" s="799"/>
      <c r="BA794" s="799"/>
      <c r="BB794" s="799"/>
      <c r="BC794" s="799"/>
      <c r="BD794" s="799"/>
      <c r="BE794" s="799"/>
      <c r="BF794" s="799"/>
      <c r="BG794" s="799"/>
    </row>
    <row r="795">
      <c r="H795" s="799"/>
      <c r="I795" s="799"/>
      <c r="J795" s="799"/>
      <c r="K795" s="799"/>
      <c r="L795" s="799"/>
      <c r="M795" s="799"/>
      <c r="N795" s="799"/>
      <c r="O795" s="799"/>
      <c r="P795" s="799"/>
      <c r="Q795" s="799"/>
      <c r="R795" s="799"/>
      <c r="S795" s="799"/>
      <c r="T795" s="799"/>
      <c r="U795" s="799"/>
      <c r="V795" s="799"/>
      <c r="W795" s="799"/>
      <c r="X795" s="799"/>
      <c r="Y795" s="799"/>
      <c r="Z795" s="799"/>
      <c r="AA795" s="799"/>
      <c r="AB795" s="799"/>
      <c r="AC795" s="799"/>
      <c r="AD795" s="799"/>
      <c r="AE795" s="799"/>
      <c r="AF795" s="799"/>
      <c r="AG795" s="799"/>
      <c r="AH795" s="799"/>
      <c r="AI795" s="799"/>
      <c r="AJ795" s="799"/>
      <c r="AK795" s="799"/>
      <c r="AL795" s="799"/>
      <c r="AM795" s="799"/>
      <c r="AN795" s="799"/>
      <c r="AO795" s="799"/>
      <c r="AP795" s="799"/>
      <c r="AQ795" s="799"/>
      <c r="AR795" s="799"/>
      <c r="AS795" s="799"/>
      <c r="AT795" s="799"/>
      <c r="AU795" s="799"/>
      <c r="AV795" s="799"/>
      <c r="AW795" s="799"/>
      <c r="AX795" s="799"/>
      <c r="AY795" s="799"/>
      <c r="AZ795" s="799"/>
      <c r="BA795" s="799"/>
      <c r="BB795" s="799"/>
      <c r="BC795" s="799"/>
      <c r="BD795" s="799"/>
      <c r="BE795" s="799"/>
      <c r="BF795" s="799"/>
      <c r="BG795" s="799"/>
    </row>
    <row r="796">
      <c r="H796" s="799"/>
      <c r="I796" s="799"/>
      <c r="J796" s="799"/>
      <c r="K796" s="799"/>
      <c r="L796" s="799"/>
      <c r="M796" s="799"/>
      <c r="N796" s="799"/>
      <c r="O796" s="799"/>
      <c r="P796" s="799"/>
      <c r="Q796" s="799"/>
      <c r="R796" s="799"/>
      <c r="S796" s="799"/>
      <c r="T796" s="799"/>
      <c r="U796" s="799"/>
      <c r="V796" s="799"/>
      <c r="W796" s="799"/>
      <c r="X796" s="799"/>
      <c r="Y796" s="799"/>
      <c r="Z796" s="799"/>
      <c r="AA796" s="799"/>
      <c r="AB796" s="799"/>
      <c r="AC796" s="799"/>
      <c r="AD796" s="799"/>
      <c r="AE796" s="799"/>
      <c r="AF796" s="799"/>
      <c r="AG796" s="799"/>
      <c r="AH796" s="799"/>
      <c r="AI796" s="799"/>
      <c r="AJ796" s="799"/>
      <c r="AK796" s="799"/>
      <c r="AL796" s="799"/>
      <c r="AM796" s="799"/>
      <c r="AN796" s="799"/>
      <c r="AO796" s="799"/>
      <c r="AP796" s="799"/>
      <c r="AQ796" s="799"/>
      <c r="AR796" s="799"/>
      <c r="AS796" s="799"/>
      <c r="AT796" s="799"/>
      <c r="AU796" s="799"/>
      <c r="AV796" s="799"/>
      <c r="AW796" s="799"/>
      <c r="AX796" s="799"/>
      <c r="AY796" s="799"/>
      <c r="AZ796" s="799"/>
      <c r="BA796" s="799"/>
      <c r="BB796" s="799"/>
      <c r="BC796" s="799"/>
      <c r="BD796" s="799"/>
      <c r="BE796" s="799"/>
      <c r="BF796" s="799"/>
      <c r="BG796" s="799"/>
    </row>
    <row r="797">
      <c r="H797" s="799"/>
      <c r="I797" s="799"/>
      <c r="J797" s="799"/>
      <c r="K797" s="799"/>
      <c r="L797" s="799"/>
      <c r="M797" s="799"/>
      <c r="N797" s="799"/>
      <c r="O797" s="799"/>
      <c r="P797" s="799"/>
      <c r="Q797" s="799"/>
      <c r="R797" s="799"/>
      <c r="S797" s="799"/>
      <c r="T797" s="799"/>
      <c r="U797" s="799"/>
      <c r="V797" s="799"/>
      <c r="W797" s="799"/>
      <c r="X797" s="799"/>
      <c r="Y797" s="799"/>
      <c r="Z797" s="799"/>
      <c r="AA797" s="799"/>
      <c r="AB797" s="799"/>
      <c r="AC797" s="799"/>
      <c r="AD797" s="799"/>
      <c r="AE797" s="799"/>
      <c r="AF797" s="799"/>
      <c r="AG797" s="799"/>
      <c r="AH797" s="799"/>
      <c r="AI797" s="799"/>
      <c r="AJ797" s="799"/>
      <c r="AK797" s="799"/>
      <c r="AL797" s="799"/>
      <c r="AM797" s="799"/>
      <c r="AN797" s="799"/>
      <c r="AO797" s="799"/>
      <c r="AP797" s="799"/>
      <c r="AQ797" s="799"/>
      <c r="AR797" s="799"/>
      <c r="AS797" s="799"/>
      <c r="AT797" s="799"/>
      <c r="AU797" s="799"/>
      <c r="AV797" s="799"/>
      <c r="AW797" s="799"/>
      <c r="AX797" s="799"/>
      <c r="AY797" s="799"/>
      <c r="AZ797" s="799"/>
      <c r="BA797" s="799"/>
      <c r="BB797" s="799"/>
      <c r="BC797" s="799"/>
      <c r="BD797" s="799"/>
      <c r="BE797" s="799"/>
      <c r="BF797" s="799"/>
      <c r="BG797" s="799"/>
    </row>
    <row r="798">
      <c r="H798" s="799"/>
      <c r="I798" s="799"/>
      <c r="J798" s="799"/>
      <c r="K798" s="799"/>
      <c r="L798" s="799"/>
      <c r="M798" s="799"/>
      <c r="N798" s="799"/>
      <c r="O798" s="799"/>
      <c r="P798" s="799"/>
      <c r="Q798" s="799"/>
      <c r="R798" s="799"/>
      <c r="S798" s="799"/>
      <c r="T798" s="799"/>
      <c r="U798" s="799"/>
      <c r="V798" s="799"/>
      <c r="W798" s="799"/>
      <c r="X798" s="799"/>
      <c r="Y798" s="799"/>
      <c r="Z798" s="799"/>
      <c r="AA798" s="799"/>
      <c r="AB798" s="799"/>
      <c r="AC798" s="799"/>
      <c r="AD798" s="799"/>
      <c r="AE798" s="799"/>
      <c r="AF798" s="799"/>
      <c r="AG798" s="799"/>
      <c r="AH798" s="799"/>
      <c r="AI798" s="799"/>
      <c r="AJ798" s="799"/>
      <c r="AK798" s="799"/>
      <c r="AL798" s="799"/>
      <c r="AM798" s="799"/>
      <c r="AN798" s="799"/>
      <c r="AO798" s="799"/>
      <c r="AP798" s="799"/>
      <c r="AQ798" s="799"/>
      <c r="AR798" s="799"/>
      <c r="AS798" s="799"/>
      <c r="AT798" s="799"/>
      <c r="AU798" s="799"/>
      <c r="AV798" s="799"/>
      <c r="AW798" s="799"/>
      <c r="AX798" s="799"/>
      <c r="AY798" s="799"/>
      <c r="AZ798" s="799"/>
      <c r="BA798" s="799"/>
      <c r="BB798" s="799"/>
      <c r="BC798" s="799"/>
      <c r="BD798" s="799"/>
      <c r="BE798" s="799"/>
      <c r="BF798" s="799"/>
      <c r="BG798" s="799"/>
    </row>
    <row r="799">
      <c r="H799" s="799"/>
      <c r="I799" s="799"/>
      <c r="J799" s="799"/>
      <c r="K799" s="799"/>
      <c r="L799" s="799"/>
      <c r="M799" s="799"/>
      <c r="N799" s="799"/>
      <c r="O799" s="799"/>
      <c r="P799" s="799"/>
      <c r="Q799" s="799"/>
      <c r="R799" s="799"/>
      <c r="S799" s="799"/>
      <c r="T799" s="799"/>
      <c r="U799" s="799"/>
      <c r="V799" s="799"/>
      <c r="W799" s="799"/>
      <c r="X799" s="799"/>
      <c r="Y799" s="799"/>
      <c r="Z799" s="799"/>
      <c r="AA799" s="799"/>
      <c r="AB799" s="799"/>
      <c r="AC799" s="799"/>
      <c r="AD799" s="799"/>
      <c r="AE799" s="799"/>
      <c r="AF799" s="799"/>
      <c r="AG799" s="799"/>
      <c r="AH799" s="799"/>
      <c r="AI799" s="799"/>
      <c r="AJ799" s="799"/>
      <c r="AK799" s="799"/>
      <c r="AL799" s="799"/>
      <c r="AM799" s="799"/>
      <c r="AN799" s="799"/>
      <c r="AO799" s="799"/>
      <c r="AP799" s="799"/>
      <c r="AQ799" s="799"/>
      <c r="AR799" s="799"/>
      <c r="AS799" s="799"/>
      <c r="AT799" s="799"/>
      <c r="AU799" s="799"/>
      <c r="AV799" s="799"/>
      <c r="AW799" s="799"/>
      <c r="AX799" s="799"/>
      <c r="AY799" s="799"/>
      <c r="AZ799" s="799"/>
      <c r="BA799" s="799"/>
      <c r="BB799" s="799"/>
      <c r="BC799" s="799"/>
      <c r="BD799" s="799"/>
      <c r="BE799" s="799"/>
      <c r="BF799" s="799"/>
      <c r="BG799" s="799"/>
    </row>
    <row r="800">
      <c r="H800" s="799"/>
      <c r="I800" s="799"/>
      <c r="J800" s="799"/>
      <c r="K800" s="799"/>
      <c r="L800" s="799"/>
      <c r="M800" s="799"/>
      <c r="N800" s="799"/>
      <c r="O800" s="799"/>
      <c r="P800" s="799"/>
      <c r="Q800" s="799"/>
      <c r="R800" s="799"/>
      <c r="S800" s="799"/>
      <c r="T800" s="799"/>
      <c r="U800" s="799"/>
      <c r="V800" s="799"/>
      <c r="W800" s="799"/>
      <c r="X800" s="799"/>
      <c r="Y800" s="799"/>
      <c r="Z800" s="799"/>
      <c r="AA800" s="799"/>
      <c r="AB800" s="799"/>
      <c r="AC800" s="799"/>
      <c r="AD800" s="799"/>
      <c r="AE800" s="799"/>
      <c r="AF800" s="799"/>
      <c r="AG800" s="799"/>
      <c r="AH800" s="799"/>
      <c r="AI800" s="799"/>
      <c r="AJ800" s="799"/>
      <c r="AK800" s="799"/>
      <c r="AL800" s="799"/>
      <c r="AM800" s="799"/>
      <c r="AN800" s="799"/>
      <c r="AO800" s="799"/>
      <c r="AP800" s="799"/>
      <c r="AQ800" s="799"/>
      <c r="AR800" s="799"/>
      <c r="AS800" s="799"/>
      <c r="AT800" s="799"/>
      <c r="AU800" s="799"/>
      <c r="AV800" s="799"/>
      <c r="AW800" s="799"/>
      <c r="AX800" s="799"/>
      <c r="AY800" s="799"/>
      <c r="AZ800" s="799"/>
      <c r="BA800" s="799"/>
      <c r="BB800" s="799"/>
      <c r="BC800" s="799"/>
      <c r="BD800" s="799"/>
      <c r="BE800" s="799"/>
      <c r="BF800" s="799"/>
      <c r="BG800" s="799"/>
    </row>
    <row r="801">
      <c r="H801" s="799"/>
      <c r="I801" s="799"/>
      <c r="J801" s="799"/>
      <c r="K801" s="799"/>
      <c r="L801" s="799"/>
      <c r="M801" s="799"/>
      <c r="N801" s="799"/>
      <c r="O801" s="799"/>
      <c r="P801" s="799"/>
      <c r="Q801" s="799"/>
      <c r="R801" s="799"/>
      <c r="S801" s="799"/>
      <c r="T801" s="799"/>
      <c r="U801" s="799"/>
      <c r="V801" s="799"/>
      <c r="W801" s="799"/>
      <c r="X801" s="799"/>
      <c r="Y801" s="799"/>
      <c r="Z801" s="799"/>
      <c r="AA801" s="799"/>
      <c r="AB801" s="799"/>
      <c r="AC801" s="799"/>
      <c r="AD801" s="799"/>
      <c r="AE801" s="799"/>
      <c r="AF801" s="799"/>
      <c r="AG801" s="799"/>
      <c r="AH801" s="799"/>
      <c r="AI801" s="799"/>
      <c r="AJ801" s="799"/>
      <c r="AK801" s="799"/>
      <c r="AL801" s="799"/>
      <c r="AM801" s="799"/>
      <c r="AN801" s="799"/>
      <c r="AO801" s="799"/>
      <c r="AP801" s="799"/>
      <c r="AQ801" s="799"/>
      <c r="AR801" s="799"/>
      <c r="AS801" s="799"/>
      <c r="AT801" s="799"/>
      <c r="AU801" s="799"/>
      <c r="AV801" s="799"/>
      <c r="AW801" s="799"/>
      <c r="AX801" s="799"/>
      <c r="AY801" s="799"/>
      <c r="AZ801" s="799"/>
      <c r="BA801" s="799"/>
      <c r="BB801" s="799"/>
      <c r="BC801" s="799"/>
      <c r="BD801" s="799"/>
      <c r="BE801" s="799"/>
      <c r="BF801" s="799"/>
      <c r="BG801" s="799"/>
    </row>
    <row r="802">
      <c r="H802" s="799"/>
      <c r="I802" s="799"/>
      <c r="J802" s="799"/>
      <c r="K802" s="799"/>
      <c r="L802" s="799"/>
      <c r="M802" s="799"/>
      <c r="N802" s="799"/>
      <c r="O802" s="799"/>
      <c r="P802" s="799"/>
      <c r="Q802" s="799"/>
      <c r="R802" s="799"/>
      <c r="S802" s="799"/>
      <c r="T802" s="799"/>
      <c r="U802" s="799"/>
      <c r="V802" s="799"/>
      <c r="W802" s="799"/>
      <c r="X802" s="799"/>
      <c r="Y802" s="799"/>
      <c r="Z802" s="799"/>
      <c r="AA802" s="799"/>
      <c r="AB802" s="799"/>
      <c r="AC802" s="799"/>
      <c r="AD802" s="799"/>
      <c r="AE802" s="799"/>
      <c r="AF802" s="799"/>
      <c r="AG802" s="799"/>
      <c r="AH802" s="799"/>
      <c r="AI802" s="799"/>
      <c r="AJ802" s="799"/>
      <c r="AK802" s="799"/>
      <c r="AL802" s="799"/>
      <c r="AM802" s="799"/>
      <c r="AN802" s="799"/>
      <c r="AO802" s="799"/>
      <c r="AP802" s="799"/>
      <c r="AQ802" s="799"/>
      <c r="AR802" s="799"/>
      <c r="AS802" s="799"/>
      <c r="AT802" s="799"/>
      <c r="AU802" s="799"/>
      <c r="AV802" s="799"/>
      <c r="AW802" s="799"/>
      <c r="AX802" s="799"/>
      <c r="AY802" s="799"/>
      <c r="AZ802" s="799"/>
      <c r="BA802" s="799"/>
      <c r="BB802" s="799"/>
      <c r="BC802" s="799"/>
      <c r="BD802" s="799"/>
      <c r="BE802" s="799"/>
      <c r="BF802" s="799"/>
      <c r="BG802" s="799"/>
    </row>
    <row r="803">
      <c r="H803" s="799"/>
      <c r="I803" s="799"/>
      <c r="J803" s="799"/>
      <c r="K803" s="799"/>
      <c r="L803" s="799"/>
      <c r="M803" s="799"/>
      <c r="N803" s="799"/>
      <c r="O803" s="799"/>
      <c r="P803" s="799"/>
      <c r="Q803" s="799"/>
      <c r="R803" s="799"/>
      <c r="S803" s="799"/>
      <c r="T803" s="799"/>
      <c r="U803" s="799"/>
      <c r="V803" s="799"/>
      <c r="W803" s="799"/>
      <c r="X803" s="799"/>
      <c r="Y803" s="799"/>
      <c r="Z803" s="799"/>
      <c r="AA803" s="799"/>
      <c r="AB803" s="799"/>
      <c r="AC803" s="799"/>
      <c r="AD803" s="799"/>
      <c r="AE803" s="799"/>
      <c r="AF803" s="799"/>
      <c r="AG803" s="799"/>
      <c r="AH803" s="799"/>
      <c r="AI803" s="799"/>
      <c r="AJ803" s="799"/>
      <c r="AK803" s="799"/>
      <c r="AL803" s="799"/>
      <c r="AM803" s="799"/>
      <c r="AN803" s="799"/>
      <c r="AO803" s="799"/>
      <c r="AP803" s="799"/>
      <c r="AQ803" s="799"/>
      <c r="AR803" s="799"/>
      <c r="AS803" s="799"/>
      <c r="AT803" s="799"/>
      <c r="AU803" s="799"/>
      <c r="AV803" s="799"/>
      <c r="AW803" s="799"/>
      <c r="AX803" s="799"/>
      <c r="AY803" s="799"/>
      <c r="AZ803" s="799"/>
      <c r="BA803" s="799"/>
      <c r="BB803" s="799"/>
      <c r="BC803" s="799"/>
      <c r="BD803" s="799"/>
      <c r="BE803" s="799"/>
      <c r="BF803" s="799"/>
      <c r="BG803" s="799"/>
    </row>
    <row r="804">
      <c r="H804" s="799"/>
      <c r="I804" s="799"/>
      <c r="J804" s="799"/>
      <c r="K804" s="799"/>
      <c r="L804" s="799"/>
      <c r="M804" s="799"/>
      <c r="N804" s="799"/>
      <c r="O804" s="799"/>
      <c r="P804" s="799"/>
      <c r="Q804" s="799"/>
      <c r="R804" s="799"/>
      <c r="S804" s="799"/>
      <c r="T804" s="799"/>
      <c r="U804" s="799"/>
      <c r="V804" s="799"/>
      <c r="W804" s="799"/>
      <c r="X804" s="799"/>
      <c r="Y804" s="799"/>
      <c r="Z804" s="799"/>
      <c r="AA804" s="799"/>
      <c r="AB804" s="799"/>
      <c r="AC804" s="799"/>
      <c r="AD804" s="799"/>
      <c r="AE804" s="799"/>
      <c r="AF804" s="799"/>
      <c r="AG804" s="799"/>
      <c r="AH804" s="799"/>
      <c r="AI804" s="799"/>
      <c r="AJ804" s="799"/>
      <c r="AK804" s="799"/>
      <c r="AL804" s="799"/>
      <c r="AM804" s="799"/>
      <c r="AN804" s="799"/>
      <c r="AO804" s="799"/>
      <c r="AP804" s="799"/>
      <c r="AQ804" s="799"/>
      <c r="AR804" s="799"/>
      <c r="AS804" s="799"/>
      <c r="AT804" s="799"/>
      <c r="AU804" s="799"/>
      <c r="AV804" s="799"/>
      <c r="AW804" s="799"/>
      <c r="AX804" s="799"/>
      <c r="AY804" s="799"/>
      <c r="AZ804" s="799"/>
      <c r="BA804" s="799"/>
      <c r="BB804" s="799"/>
      <c r="BC804" s="799"/>
      <c r="BD804" s="799"/>
      <c r="BE804" s="799"/>
      <c r="BF804" s="799"/>
      <c r="BG804" s="799"/>
    </row>
    <row r="805">
      <c r="H805" s="799"/>
      <c r="I805" s="799"/>
      <c r="J805" s="799"/>
      <c r="K805" s="799"/>
      <c r="L805" s="799"/>
      <c r="M805" s="799"/>
      <c r="N805" s="799"/>
      <c r="O805" s="799"/>
      <c r="P805" s="799"/>
      <c r="Q805" s="799"/>
      <c r="R805" s="799"/>
      <c r="S805" s="799"/>
      <c r="T805" s="799"/>
      <c r="U805" s="799"/>
      <c r="V805" s="799"/>
      <c r="W805" s="799"/>
      <c r="X805" s="799"/>
      <c r="Y805" s="799"/>
      <c r="Z805" s="799"/>
      <c r="AA805" s="799"/>
      <c r="AB805" s="799"/>
      <c r="AC805" s="799"/>
      <c r="AD805" s="799"/>
      <c r="AE805" s="799"/>
      <c r="AF805" s="799"/>
      <c r="AG805" s="799"/>
      <c r="AH805" s="799"/>
      <c r="AI805" s="799"/>
      <c r="AJ805" s="799"/>
      <c r="AK805" s="799"/>
      <c r="AL805" s="799"/>
      <c r="AM805" s="799"/>
      <c r="AN805" s="799"/>
      <c r="AO805" s="799"/>
      <c r="AP805" s="799"/>
      <c r="AQ805" s="799"/>
      <c r="AR805" s="799"/>
      <c r="AS805" s="799"/>
      <c r="AT805" s="799"/>
      <c r="AU805" s="799"/>
      <c r="AV805" s="799"/>
      <c r="AW805" s="799"/>
      <c r="AX805" s="799"/>
      <c r="AY805" s="799"/>
      <c r="AZ805" s="799"/>
      <c r="BA805" s="799"/>
      <c r="BB805" s="799"/>
      <c r="BC805" s="799"/>
      <c r="BD805" s="799"/>
      <c r="BE805" s="799"/>
      <c r="BF805" s="799"/>
      <c r="BG805" s="799"/>
    </row>
    <row r="806">
      <c r="H806" s="799"/>
      <c r="I806" s="799"/>
      <c r="J806" s="799"/>
      <c r="K806" s="799"/>
      <c r="L806" s="799"/>
      <c r="M806" s="799"/>
      <c r="N806" s="799"/>
      <c r="O806" s="799"/>
      <c r="P806" s="799"/>
      <c r="Q806" s="799"/>
      <c r="R806" s="799"/>
      <c r="S806" s="799"/>
      <c r="T806" s="799"/>
      <c r="U806" s="799"/>
      <c r="V806" s="799"/>
      <c r="W806" s="799"/>
      <c r="X806" s="799"/>
      <c r="Y806" s="799"/>
      <c r="Z806" s="799"/>
      <c r="AA806" s="799"/>
      <c r="AB806" s="799"/>
      <c r="AC806" s="799"/>
      <c r="AD806" s="799"/>
      <c r="AE806" s="799"/>
      <c r="AF806" s="799"/>
      <c r="AG806" s="799"/>
      <c r="AH806" s="799"/>
      <c r="AI806" s="799"/>
      <c r="AJ806" s="799"/>
      <c r="AK806" s="799"/>
      <c r="AL806" s="799"/>
      <c r="AM806" s="799"/>
      <c r="AN806" s="799"/>
      <c r="AO806" s="799"/>
      <c r="AP806" s="799"/>
      <c r="AQ806" s="799"/>
      <c r="AR806" s="799"/>
      <c r="AS806" s="799"/>
      <c r="AT806" s="799"/>
      <c r="AU806" s="799"/>
      <c r="AV806" s="799"/>
      <c r="AW806" s="799"/>
      <c r="AX806" s="799"/>
      <c r="AY806" s="799"/>
      <c r="AZ806" s="799"/>
      <c r="BA806" s="799"/>
      <c r="BB806" s="799"/>
      <c r="BC806" s="799"/>
      <c r="BD806" s="799"/>
      <c r="BE806" s="799"/>
      <c r="BF806" s="799"/>
      <c r="BG806" s="799"/>
    </row>
    <row r="807">
      <c r="H807" s="799"/>
      <c r="I807" s="799"/>
      <c r="J807" s="799"/>
      <c r="K807" s="799"/>
      <c r="L807" s="799"/>
      <c r="M807" s="799"/>
      <c r="N807" s="799"/>
      <c r="O807" s="799"/>
      <c r="P807" s="799"/>
      <c r="Q807" s="799"/>
      <c r="R807" s="799"/>
      <c r="S807" s="799"/>
      <c r="T807" s="799"/>
      <c r="U807" s="799"/>
      <c r="V807" s="799"/>
      <c r="W807" s="799"/>
      <c r="X807" s="799"/>
      <c r="Y807" s="799"/>
      <c r="Z807" s="799"/>
      <c r="AA807" s="799"/>
      <c r="AB807" s="799"/>
      <c r="AC807" s="799"/>
      <c r="AD807" s="799"/>
      <c r="AE807" s="799"/>
      <c r="AF807" s="799"/>
      <c r="AG807" s="799"/>
      <c r="AH807" s="799"/>
      <c r="AI807" s="799"/>
      <c r="AJ807" s="799"/>
      <c r="AK807" s="799"/>
      <c r="AL807" s="799"/>
      <c r="AM807" s="799"/>
      <c r="AN807" s="799"/>
      <c r="AO807" s="799"/>
      <c r="AP807" s="799"/>
      <c r="AQ807" s="799"/>
      <c r="AR807" s="799"/>
      <c r="AS807" s="799"/>
      <c r="AT807" s="799"/>
      <c r="AU807" s="799"/>
      <c r="AV807" s="799"/>
      <c r="AW807" s="799"/>
      <c r="AX807" s="799"/>
      <c r="AY807" s="799"/>
      <c r="AZ807" s="799"/>
      <c r="BA807" s="799"/>
      <c r="BB807" s="799"/>
      <c r="BC807" s="799"/>
      <c r="BD807" s="799"/>
      <c r="BE807" s="799"/>
      <c r="BF807" s="799"/>
      <c r="BG807" s="799"/>
    </row>
    <row r="808">
      <c r="H808" s="799"/>
      <c r="I808" s="799"/>
      <c r="J808" s="799"/>
      <c r="K808" s="799"/>
      <c r="L808" s="799"/>
      <c r="M808" s="799"/>
      <c r="N808" s="799"/>
      <c r="O808" s="799"/>
      <c r="P808" s="799"/>
      <c r="Q808" s="799"/>
      <c r="R808" s="799"/>
      <c r="S808" s="799"/>
      <c r="T808" s="799"/>
      <c r="U808" s="799"/>
      <c r="V808" s="799"/>
      <c r="W808" s="799"/>
      <c r="X808" s="799"/>
      <c r="Y808" s="799"/>
      <c r="Z808" s="799"/>
      <c r="AA808" s="799"/>
      <c r="AB808" s="799"/>
      <c r="AC808" s="799"/>
      <c r="AD808" s="799"/>
      <c r="AE808" s="799"/>
      <c r="AF808" s="799"/>
      <c r="AG808" s="799"/>
      <c r="AH808" s="799"/>
      <c r="AI808" s="799"/>
      <c r="AJ808" s="799"/>
      <c r="AK808" s="799"/>
      <c r="AL808" s="799"/>
      <c r="AM808" s="799"/>
      <c r="AN808" s="799"/>
      <c r="AO808" s="799"/>
      <c r="AP808" s="799"/>
      <c r="AQ808" s="799"/>
      <c r="AR808" s="799"/>
      <c r="AS808" s="799"/>
      <c r="AT808" s="799"/>
      <c r="AU808" s="799"/>
      <c r="AV808" s="799"/>
      <c r="AW808" s="799"/>
      <c r="AX808" s="799"/>
      <c r="AY808" s="799"/>
      <c r="AZ808" s="799"/>
      <c r="BA808" s="799"/>
      <c r="BB808" s="799"/>
      <c r="BC808" s="799"/>
      <c r="BD808" s="799"/>
      <c r="BE808" s="799"/>
      <c r="BF808" s="799"/>
      <c r="BG808" s="799"/>
    </row>
    <row r="809">
      <c r="H809" s="799"/>
      <c r="I809" s="799"/>
      <c r="J809" s="799"/>
      <c r="K809" s="799"/>
      <c r="L809" s="799"/>
      <c r="M809" s="799"/>
      <c r="N809" s="799"/>
      <c r="O809" s="799"/>
      <c r="P809" s="799"/>
      <c r="Q809" s="799"/>
      <c r="R809" s="799"/>
      <c r="S809" s="799"/>
      <c r="T809" s="799"/>
      <c r="U809" s="799"/>
      <c r="V809" s="799"/>
      <c r="W809" s="799"/>
      <c r="X809" s="799"/>
      <c r="Y809" s="799"/>
      <c r="Z809" s="799"/>
      <c r="AA809" s="799"/>
      <c r="AB809" s="799"/>
      <c r="AC809" s="799"/>
      <c r="AD809" s="799"/>
      <c r="AE809" s="799"/>
      <c r="AF809" s="799"/>
      <c r="AG809" s="799"/>
      <c r="AH809" s="799"/>
      <c r="AI809" s="799"/>
      <c r="AJ809" s="799"/>
      <c r="AK809" s="799"/>
      <c r="AL809" s="799"/>
      <c r="AM809" s="799"/>
      <c r="AN809" s="799"/>
      <c r="AO809" s="799"/>
      <c r="AP809" s="799"/>
      <c r="AQ809" s="799"/>
      <c r="AR809" s="799"/>
      <c r="AS809" s="799"/>
      <c r="AT809" s="799"/>
      <c r="AU809" s="799"/>
      <c r="AV809" s="799"/>
      <c r="AW809" s="799"/>
      <c r="AX809" s="799"/>
      <c r="AY809" s="799"/>
      <c r="AZ809" s="799"/>
      <c r="BA809" s="799"/>
      <c r="BB809" s="799"/>
      <c r="BC809" s="799"/>
      <c r="BD809" s="799"/>
      <c r="BE809" s="799"/>
      <c r="BF809" s="799"/>
      <c r="BG809" s="799"/>
    </row>
    <row r="810">
      <c r="H810" s="799"/>
      <c r="I810" s="799"/>
      <c r="J810" s="799"/>
      <c r="K810" s="799"/>
      <c r="L810" s="799"/>
      <c r="M810" s="799"/>
      <c r="N810" s="799"/>
      <c r="O810" s="799"/>
      <c r="P810" s="799"/>
      <c r="Q810" s="799"/>
      <c r="R810" s="799"/>
      <c r="S810" s="799"/>
      <c r="T810" s="799"/>
      <c r="U810" s="799"/>
      <c r="V810" s="799"/>
      <c r="W810" s="799"/>
      <c r="X810" s="799"/>
      <c r="Y810" s="799"/>
      <c r="Z810" s="799"/>
      <c r="AA810" s="799"/>
      <c r="AB810" s="799"/>
      <c r="AC810" s="799"/>
      <c r="AD810" s="799"/>
      <c r="AE810" s="799"/>
      <c r="AF810" s="799"/>
      <c r="AG810" s="799"/>
      <c r="AH810" s="799"/>
      <c r="AI810" s="799"/>
      <c r="AJ810" s="799"/>
      <c r="AK810" s="799"/>
      <c r="AL810" s="799"/>
      <c r="AM810" s="799"/>
      <c r="AN810" s="799"/>
      <c r="AO810" s="799"/>
      <c r="AP810" s="799"/>
      <c r="AQ810" s="799"/>
      <c r="AR810" s="799"/>
      <c r="AS810" s="799"/>
      <c r="AT810" s="799"/>
      <c r="AU810" s="799"/>
      <c r="AV810" s="799"/>
      <c r="AW810" s="799"/>
      <c r="AX810" s="799"/>
      <c r="AY810" s="799"/>
      <c r="AZ810" s="799"/>
      <c r="BA810" s="799"/>
      <c r="BB810" s="799"/>
      <c r="BC810" s="799"/>
      <c r="BD810" s="799"/>
      <c r="BE810" s="799"/>
      <c r="BF810" s="799"/>
      <c r="BG810" s="799"/>
    </row>
    <row r="811">
      <c r="H811" s="799"/>
      <c r="I811" s="799"/>
      <c r="J811" s="799"/>
      <c r="K811" s="799"/>
      <c r="L811" s="799"/>
      <c r="M811" s="799"/>
      <c r="N811" s="799"/>
      <c r="O811" s="799"/>
      <c r="P811" s="799"/>
      <c r="Q811" s="799"/>
      <c r="R811" s="799"/>
      <c r="S811" s="799"/>
      <c r="T811" s="799"/>
      <c r="U811" s="799"/>
      <c r="V811" s="799"/>
      <c r="W811" s="799"/>
      <c r="X811" s="799"/>
      <c r="Y811" s="799"/>
      <c r="Z811" s="799"/>
      <c r="AA811" s="799"/>
      <c r="AB811" s="799"/>
      <c r="AC811" s="799"/>
      <c r="AD811" s="799"/>
      <c r="AE811" s="799"/>
      <c r="AF811" s="799"/>
      <c r="AG811" s="799"/>
      <c r="AH811" s="799"/>
      <c r="AI811" s="799"/>
      <c r="AJ811" s="799"/>
      <c r="AK811" s="799"/>
      <c r="AL811" s="799"/>
      <c r="AM811" s="799"/>
      <c r="AN811" s="799"/>
      <c r="AO811" s="799"/>
      <c r="AP811" s="799"/>
      <c r="AQ811" s="799"/>
      <c r="AR811" s="799"/>
      <c r="AS811" s="799"/>
      <c r="AT811" s="799"/>
      <c r="AU811" s="799"/>
      <c r="AV811" s="799"/>
      <c r="AW811" s="799"/>
      <c r="AX811" s="799"/>
      <c r="AY811" s="799"/>
      <c r="AZ811" s="799"/>
      <c r="BA811" s="799"/>
      <c r="BB811" s="799"/>
      <c r="BC811" s="799"/>
      <c r="BD811" s="799"/>
      <c r="BE811" s="799"/>
      <c r="BF811" s="799"/>
      <c r="BG811" s="799"/>
    </row>
    <row r="812">
      <c r="H812" s="799"/>
      <c r="I812" s="799"/>
      <c r="J812" s="799"/>
      <c r="K812" s="799"/>
      <c r="L812" s="799"/>
      <c r="M812" s="799"/>
      <c r="N812" s="799"/>
      <c r="O812" s="799"/>
      <c r="P812" s="799"/>
      <c r="Q812" s="799"/>
      <c r="R812" s="799"/>
      <c r="S812" s="799"/>
      <c r="T812" s="799"/>
      <c r="U812" s="799"/>
      <c r="V812" s="799"/>
      <c r="W812" s="799"/>
      <c r="X812" s="799"/>
      <c r="Y812" s="799"/>
      <c r="Z812" s="799"/>
      <c r="AA812" s="799"/>
      <c r="AB812" s="799"/>
      <c r="AC812" s="799"/>
      <c r="AD812" s="799"/>
      <c r="AE812" s="799"/>
      <c r="AF812" s="799"/>
      <c r="AG812" s="799"/>
      <c r="AH812" s="799"/>
      <c r="AI812" s="799"/>
      <c r="AJ812" s="799"/>
      <c r="AK812" s="799"/>
      <c r="AL812" s="799"/>
      <c r="AM812" s="799"/>
      <c r="AN812" s="799"/>
      <c r="AO812" s="799"/>
      <c r="AP812" s="799"/>
      <c r="AQ812" s="799"/>
      <c r="AR812" s="799"/>
      <c r="AS812" s="799"/>
      <c r="AT812" s="799"/>
      <c r="AU812" s="799"/>
      <c r="AV812" s="799"/>
      <c r="AW812" s="799"/>
      <c r="AX812" s="799"/>
      <c r="AY812" s="799"/>
      <c r="AZ812" s="799"/>
      <c r="BA812" s="799"/>
      <c r="BB812" s="799"/>
      <c r="BC812" s="799"/>
      <c r="BD812" s="799"/>
      <c r="BE812" s="799"/>
      <c r="BF812" s="799"/>
      <c r="BG812" s="799"/>
    </row>
    <row r="813">
      <c r="H813" s="799"/>
      <c r="I813" s="799"/>
      <c r="J813" s="799"/>
      <c r="K813" s="799"/>
      <c r="L813" s="799"/>
      <c r="M813" s="799"/>
      <c r="N813" s="799"/>
      <c r="O813" s="799"/>
      <c r="P813" s="799"/>
      <c r="Q813" s="799"/>
      <c r="R813" s="799"/>
      <c r="S813" s="799"/>
      <c r="T813" s="799"/>
      <c r="U813" s="799"/>
      <c r="V813" s="799"/>
      <c r="W813" s="799"/>
      <c r="X813" s="799"/>
      <c r="Y813" s="799"/>
      <c r="Z813" s="799"/>
      <c r="AA813" s="799"/>
      <c r="AB813" s="799"/>
      <c r="AC813" s="799"/>
      <c r="AD813" s="799"/>
      <c r="AE813" s="799"/>
      <c r="AF813" s="799"/>
      <c r="AG813" s="799"/>
      <c r="AH813" s="799"/>
      <c r="AI813" s="799"/>
      <c r="AJ813" s="799"/>
      <c r="AK813" s="799"/>
      <c r="AL813" s="799"/>
      <c r="AM813" s="799"/>
      <c r="AN813" s="799"/>
      <c r="AO813" s="799"/>
      <c r="AP813" s="799"/>
      <c r="AQ813" s="799"/>
      <c r="AR813" s="799"/>
      <c r="AS813" s="799"/>
      <c r="AT813" s="799"/>
      <c r="AU813" s="799"/>
      <c r="AV813" s="799"/>
      <c r="AW813" s="799"/>
      <c r="AX813" s="799"/>
      <c r="AY813" s="799"/>
      <c r="AZ813" s="799"/>
      <c r="BA813" s="799"/>
      <c r="BB813" s="799"/>
      <c r="BC813" s="799"/>
      <c r="BD813" s="799"/>
      <c r="BE813" s="799"/>
      <c r="BF813" s="799"/>
      <c r="BG813" s="799"/>
    </row>
    <row r="814">
      <c r="H814" s="799"/>
      <c r="I814" s="799"/>
      <c r="J814" s="799"/>
      <c r="K814" s="799"/>
      <c r="L814" s="799"/>
      <c r="M814" s="799"/>
      <c r="N814" s="799"/>
      <c r="O814" s="799"/>
      <c r="P814" s="799"/>
      <c r="Q814" s="799"/>
      <c r="R814" s="799"/>
      <c r="S814" s="799"/>
      <c r="T814" s="799"/>
      <c r="U814" s="799"/>
      <c r="V814" s="799"/>
      <c r="W814" s="799"/>
      <c r="X814" s="799"/>
      <c r="Y814" s="799"/>
      <c r="Z814" s="799"/>
      <c r="AA814" s="799"/>
      <c r="AB814" s="799"/>
      <c r="AC814" s="799"/>
      <c r="AD814" s="799"/>
      <c r="AE814" s="799"/>
      <c r="AF814" s="799"/>
      <c r="AG814" s="799"/>
      <c r="AH814" s="799"/>
      <c r="AI814" s="799"/>
      <c r="AJ814" s="799"/>
      <c r="AK814" s="799"/>
      <c r="AL814" s="799"/>
      <c r="AM814" s="799"/>
      <c r="AN814" s="799"/>
      <c r="AO814" s="799"/>
      <c r="AP814" s="799"/>
      <c r="AQ814" s="799"/>
      <c r="AR814" s="799"/>
      <c r="AS814" s="799"/>
      <c r="AT814" s="799"/>
      <c r="AU814" s="799"/>
      <c r="AV814" s="799"/>
      <c r="AW814" s="799"/>
      <c r="AX814" s="799"/>
      <c r="AY814" s="799"/>
      <c r="AZ814" s="799"/>
      <c r="BA814" s="799"/>
      <c r="BB814" s="799"/>
      <c r="BC814" s="799"/>
      <c r="BD814" s="799"/>
      <c r="BE814" s="799"/>
      <c r="BF814" s="799"/>
      <c r="BG814" s="799"/>
    </row>
    <row r="815">
      <c r="H815" s="799"/>
      <c r="I815" s="799"/>
      <c r="J815" s="799"/>
      <c r="K815" s="799"/>
      <c r="L815" s="799"/>
      <c r="M815" s="799"/>
      <c r="N815" s="799"/>
      <c r="O815" s="799"/>
      <c r="P815" s="799"/>
      <c r="Q815" s="799"/>
      <c r="R815" s="799"/>
      <c r="S815" s="799"/>
      <c r="T815" s="799"/>
      <c r="U815" s="799"/>
      <c r="V815" s="799"/>
      <c r="W815" s="799"/>
      <c r="X815" s="799"/>
      <c r="Y815" s="799"/>
      <c r="Z815" s="799"/>
      <c r="AA815" s="799"/>
      <c r="AB815" s="799"/>
      <c r="AC815" s="799"/>
      <c r="AD815" s="799"/>
      <c r="AE815" s="799"/>
      <c r="AF815" s="799"/>
      <c r="AG815" s="799"/>
      <c r="AH815" s="799"/>
      <c r="AI815" s="799"/>
      <c r="AJ815" s="799"/>
      <c r="AK815" s="799"/>
      <c r="AL815" s="799"/>
      <c r="AM815" s="799"/>
      <c r="AN815" s="799"/>
      <c r="AO815" s="799"/>
      <c r="AP815" s="799"/>
      <c r="AQ815" s="799"/>
      <c r="AR815" s="799"/>
      <c r="AS815" s="799"/>
      <c r="AT815" s="799"/>
      <c r="AU815" s="799"/>
      <c r="AV815" s="799"/>
      <c r="AW815" s="799"/>
      <c r="AX815" s="799"/>
      <c r="AY815" s="799"/>
      <c r="AZ815" s="799"/>
      <c r="BA815" s="799"/>
      <c r="BB815" s="799"/>
      <c r="BC815" s="799"/>
      <c r="BD815" s="799"/>
      <c r="BE815" s="799"/>
      <c r="BF815" s="799"/>
      <c r="BG815" s="799"/>
    </row>
    <row r="816">
      <c r="H816" s="799"/>
      <c r="I816" s="799"/>
      <c r="J816" s="799"/>
      <c r="K816" s="799"/>
      <c r="L816" s="799"/>
      <c r="M816" s="799"/>
      <c r="N816" s="799"/>
      <c r="O816" s="799"/>
      <c r="P816" s="799"/>
      <c r="Q816" s="799"/>
      <c r="R816" s="799"/>
      <c r="S816" s="799"/>
      <c r="T816" s="799"/>
      <c r="U816" s="799"/>
      <c r="V816" s="799"/>
      <c r="W816" s="799"/>
      <c r="X816" s="799"/>
      <c r="Y816" s="799"/>
      <c r="Z816" s="799"/>
      <c r="AA816" s="799"/>
      <c r="AB816" s="799"/>
      <c r="AC816" s="799"/>
      <c r="AD816" s="799"/>
      <c r="AE816" s="799"/>
      <c r="AF816" s="799"/>
      <c r="AG816" s="799"/>
      <c r="AH816" s="799"/>
      <c r="AI816" s="799"/>
      <c r="AJ816" s="799"/>
      <c r="AK816" s="799"/>
      <c r="AL816" s="799"/>
      <c r="AM816" s="799"/>
      <c r="AN816" s="799"/>
      <c r="AO816" s="799"/>
      <c r="AP816" s="799"/>
      <c r="AQ816" s="799"/>
      <c r="AR816" s="799"/>
      <c r="AS816" s="799"/>
      <c r="AT816" s="799"/>
      <c r="AU816" s="799"/>
      <c r="AV816" s="799"/>
      <c r="AW816" s="799"/>
      <c r="AX816" s="799"/>
      <c r="AY816" s="799"/>
      <c r="AZ816" s="799"/>
      <c r="BA816" s="799"/>
      <c r="BB816" s="799"/>
      <c r="BC816" s="799"/>
      <c r="BD816" s="799"/>
      <c r="BE816" s="799"/>
      <c r="BF816" s="799"/>
      <c r="BG816" s="799"/>
    </row>
    <row r="817">
      <c r="H817" s="799"/>
      <c r="I817" s="799"/>
      <c r="J817" s="799"/>
      <c r="K817" s="799"/>
      <c r="L817" s="799"/>
      <c r="M817" s="799"/>
      <c r="N817" s="799"/>
      <c r="O817" s="799"/>
      <c r="P817" s="799"/>
      <c r="Q817" s="799"/>
      <c r="R817" s="799"/>
      <c r="S817" s="799"/>
      <c r="T817" s="799"/>
      <c r="U817" s="799"/>
      <c r="V817" s="799"/>
      <c r="W817" s="799"/>
      <c r="X817" s="799"/>
      <c r="Y817" s="799"/>
      <c r="Z817" s="799"/>
      <c r="AA817" s="799"/>
      <c r="AB817" s="799"/>
      <c r="AC817" s="799"/>
      <c r="AD817" s="799"/>
      <c r="AE817" s="799"/>
      <c r="AF817" s="799"/>
      <c r="AG817" s="799"/>
      <c r="AH817" s="799"/>
      <c r="AI817" s="799"/>
      <c r="AJ817" s="799"/>
      <c r="AK817" s="799"/>
      <c r="AL817" s="799"/>
      <c r="AM817" s="799"/>
      <c r="AN817" s="799"/>
      <c r="AO817" s="799"/>
      <c r="AP817" s="799"/>
      <c r="AQ817" s="799"/>
      <c r="AR817" s="799"/>
      <c r="AS817" s="799"/>
      <c r="AT817" s="799"/>
      <c r="AU817" s="799"/>
      <c r="AV817" s="799"/>
      <c r="AW817" s="799"/>
      <c r="AX817" s="799"/>
      <c r="AY817" s="799"/>
      <c r="AZ817" s="799"/>
      <c r="BA817" s="799"/>
      <c r="BB817" s="799"/>
      <c r="BC817" s="799"/>
      <c r="BD817" s="799"/>
      <c r="BE817" s="799"/>
      <c r="BF817" s="799"/>
      <c r="BG817" s="799"/>
    </row>
    <row r="818">
      <c r="H818" s="799"/>
      <c r="I818" s="799"/>
      <c r="J818" s="799"/>
      <c r="K818" s="799"/>
      <c r="L818" s="799"/>
      <c r="M818" s="799"/>
      <c r="N818" s="799"/>
      <c r="O818" s="799"/>
      <c r="P818" s="799"/>
      <c r="Q818" s="799"/>
      <c r="R818" s="799"/>
      <c r="S818" s="799"/>
      <c r="T818" s="799"/>
      <c r="U818" s="799"/>
      <c r="V818" s="799"/>
      <c r="W818" s="799"/>
      <c r="X818" s="799"/>
      <c r="Y818" s="799"/>
      <c r="Z818" s="799"/>
      <c r="AA818" s="799"/>
      <c r="AB818" s="799"/>
      <c r="AC818" s="799"/>
      <c r="AD818" s="799"/>
      <c r="AE818" s="799"/>
      <c r="AF818" s="799"/>
      <c r="AG818" s="799"/>
      <c r="AH818" s="799"/>
      <c r="AI818" s="799"/>
      <c r="AJ818" s="799"/>
      <c r="AK818" s="799"/>
      <c r="AL818" s="799"/>
      <c r="AM818" s="799"/>
      <c r="AN818" s="799"/>
      <c r="AO818" s="799"/>
      <c r="AP818" s="799"/>
      <c r="AQ818" s="799"/>
      <c r="AR818" s="799"/>
      <c r="AS818" s="799"/>
      <c r="AT818" s="799"/>
      <c r="AU818" s="799"/>
      <c r="AV818" s="799"/>
      <c r="AW818" s="799"/>
      <c r="AX818" s="799"/>
      <c r="AY818" s="799"/>
      <c r="AZ818" s="799"/>
      <c r="BA818" s="799"/>
      <c r="BB818" s="799"/>
      <c r="BC818" s="799"/>
      <c r="BD818" s="799"/>
      <c r="BE818" s="799"/>
      <c r="BF818" s="799"/>
      <c r="BG818" s="799"/>
    </row>
    <row r="819">
      <c r="H819" s="799"/>
      <c r="I819" s="799"/>
      <c r="J819" s="799"/>
      <c r="K819" s="799"/>
      <c r="L819" s="799"/>
      <c r="M819" s="799"/>
      <c r="N819" s="799"/>
      <c r="O819" s="799"/>
      <c r="P819" s="799"/>
      <c r="Q819" s="799"/>
      <c r="R819" s="799"/>
      <c r="S819" s="799"/>
      <c r="T819" s="799"/>
      <c r="U819" s="799"/>
      <c r="V819" s="799"/>
      <c r="W819" s="799"/>
      <c r="X819" s="799"/>
      <c r="Y819" s="799"/>
      <c r="Z819" s="799"/>
      <c r="AA819" s="799"/>
      <c r="AB819" s="799"/>
      <c r="AC819" s="799"/>
      <c r="AD819" s="799"/>
      <c r="AE819" s="799"/>
      <c r="AF819" s="799"/>
      <c r="AG819" s="799"/>
      <c r="AH819" s="799"/>
      <c r="AI819" s="799"/>
      <c r="AJ819" s="799"/>
      <c r="AK819" s="799"/>
      <c r="AL819" s="799"/>
      <c r="AM819" s="799"/>
      <c r="AN819" s="799"/>
      <c r="AO819" s="799"/>
      <c r="AP819" s="799"/>
      <c r="AQ819" s="799"/>
      <c r="AR819" s="799"/>
      <c r="AS819" s="799"/>
      <c r="AT819" s="799"/>
      <c r="AU819" s="799"/>
      <c r="AV819" s="799"/>
      <c r="AW819" s="799"/>
      <c r="AX819" s="799"/>
      <c r="AY819" s="799"/>
      <c r="AZ819" s="799"/>
      <c r="BA819" s="799"/>
      <c r="BB819" s="799"/>
      <c r="BC819" s="799"/>
      <c r="BD819" s="799"/>
      <c r="BE819" s="799"/>
      <c r="BF819" s="799"/>
      <c r="BG819" s="799"/>
    </row>
    <row r="820">
      <c r="H820" s="799"/>
      <c r="I820" s="799"/>
      <c r="J820" s="799"/>
      <c r="K820" s="799"/>
      <c r="L820" s="799"/>
      <c r="M820" s="799"/>
      <c r="N820" s="799"/>
      <c r="O820" s="799"/>
      <c r="P820" s="799"/>
      <c r="Q820" s="799"/>
      <c r="R820" s="799"/>
      <c r="S820" s="799"/>
      <c r="T820" s="799"/>
      <c r="U820" s="799"/>
      <c r="V820" s="799"/>
      <c r="W820" s="799"/>
      <c r="X820" s="799"/>
      <c r="Y820" s="799"/>
      <c r="Z820" s="799"/>
      <c r="AA820" s="799"/>
      <c r="AB820" s="799"/>
      <c r="AC820" s="799"/>
      <c r="AD820" s="799"/>
      <c r="AE820" s="799"/>
      <c r="AF820" s="799"/>
      <c r="AG820" s="799"/>
      <c r="AH820" s="799"/>
      <c r="AI820" s="799"/>
      <c r="AJ820" s="799"/>
      <c r="AK820" s="799"/>
      <c r="AL820" s="799"/>
      <c r="AM820" s="799"/>
      <c r="AN820" s="799"/>
      <c r="AO820" s="799"/>
      <c r="AP820" s="799"/>
      <c r="AQ820" s="799"/>
      <c r="AR820" s="799"/>
      <c r="AS820" s="799"/>
      <c r="AT820" s="799"/>
      <c r="AU820" s="799"/>
      <c r="AV820" s="799"/>
      <c r="AW820" s="799"/>
      <c r="AX820" s="799"/>
      <c r="AY820" s="799"/>
      <c r="AZ820" s="799"/>
      <c r="BA820" s="799"/>
      <c r="BB820" s="799"/>
      <c r="BC820" s="799"/>
      <c r="BD820" s="799"/>
      <c r="BE820" s="799"/>
      <c r="BF820" s="799"/>
      <c r="BG820" s="799"/>
    </row>
    <row r="821">
      <c r="H821" s="799"/>
      <c r="I821" s="799"/>
      <c r="J821" s="799"/>
      <c r="K821" s="799"/>
      <c r="L821" s="799"/>
      <c r="M821" s="799"/>
      <c r="N821" s="799"/>
      <c r="O821" s="799"/>
      <c r="P821" s="799"/>
      <c r="Q821" s="799"/>
      <c r="R821" s="799"/>
      <c r="S821" s="799"/>
      <c r="T821" s="799"/>
      <c r="U821" s="799"/>
      <c r="V821" s="799"/>
      <c r="W821" s="799"/>
      <c r="X821" s="799"/>
      <c r="Y821" s="799"/>
      <c r="Z821" s="799"/>
      <c r="AA821" s="799"/>
      <c r="AB821" s="799"/>
      <c r="AC821" s="799"/>
      <c r="AD821" s="799"/>
      <c r="AE821" s="799"/>
      <c r="AF821" s="799"/>
      <c r="AG821" s="799"/>
      <c r="AH821" s="799"/>
      <c r="AI821" s="799"/>
      <c r="AJ821" s="799"/>
      <c r="AK821" s="799"/>
      <c r="AL821" s="799"/>
      <c r="AM821" s="799"/>
      <c r="AN821" s="799"/>
      <c r="AO821" s="799"/>
      <c r="AP821" s="799"/>
      <c r="AQ821" s="799"/>
      <c r="AR821" s="799"/>
      <c r="AS821" s="799"/>
      <c r="AT821" s="799"/>
      <c r="AU821" s="799"/>
      <c r="AV821" s="799"/>
      <c r="AW821" s="799"/>
      <c r="AX821" s="799"/>
      <c r="AY821" s="799"/>
      <c r="AZ821" s="799"/>
      <c r="BA821" s="799"/>
      <c r="BB821" s="799"/>
      <c r="BC821" s="799"/>
      <c r="BD821" s="799"/>
      <c r="BE821" s="799"/>
      <c r="BF821" s="799"/>
      <c r="BG821" s="799"/>
    </row>
    <row r="822">
      <c r="H822" s="799"/>
      <c r="I822" s="799"/>
      <c r="J822" s="799"/>
      <c r="K822" s="799"/>
      <c r="L822" s="799"/>
      <c r="M822" s="799"/>
      <c r="N822" s="799"/>
      <c r="O822" s="799"/>
      <c r="P822" s="799"/>
      <c r="Q822" s="799"/>
      <c r="R822" s="799"/>
      <c r="S822" s="799"/>
      <c r="T822" s="799"/>
      <c r="U822" s="799"/>
      <c r="V822" s="799"/>
      <c r="W822" s="799"/>
      <c r="X822" s="799"/>
      <c r="Y822" s="799"/>
      <c r="Z822" s="799"/>
      <c r="AA822" s="799"/>
      <c r="AB822" s="799"/>
      <c r="AC822" s="799"/>
      <c r="AD822" s="799"/>
      <c r="AE822" s="799"/>
      <c r="AF822" s="799"/>
      <c r="AG822" s="799"/>
      <c r="AH822" s="799"/>
      <c r="AI822" s="799"/>
      <c r="AJ822" s="799"/>
      <c r="AK822" s="799"/>
      <c r="AL822" s="799"/>
      <c r="AM822" s="799"/>
      <c r="AN822" s="799"/>
      <c r="AO822" s="799"/>
      <c r="AP822" s="799"/>
      <c r="AQ822" s="799"/>
      <c r="AR822" s="799"/>
      <c r="AS822" s="799"/>
      <c r="AT822" s="799"/>
      <c r="AU822" s="799"/>
      <c r="AV822" s="799"/>
      <c r="AW822" s="799"/>
      <c r="AX822" s="799"/>
      <c r="AY822" s="799"/>
      <c r="AZ822" s="799"/>
      <c r="BA822" s="799"/>
      <c r="BB822" s="799"/>
      <c r="BC822" s="799"/>
      <c r="BD822" s="799"/>
      <c r="BE822" s="799"/>
      <c r="BF822" s="799"/>
      <c r="BG822" s="799"/>
    </row>
    <row r="823">
      <c r="H823" s="799"/>
      <c r="I823" s="799"/>
      <c r="J823" s="799"/>
      <c r="K823" s="799"/>
      <c r="L823" s="799"/>
      <c r="M823" s="799"/>
      <c r="N823" s="799"/>
      <c r="O823" s="799"/>
      <c r="P823" s="799"/>
      <c r="Q823" s="799"/>
      <c r="R823" s="799"/>
      <c r="S823" s="799"/>
      <c r="T823" s="799"/>
      <c r="U823" s="799"/>
      <c r="V823" s="799"/>
      <c r="W823" s="799"/>
      <c r="X823" s="799"/>
      <c r="Y823" s="799"/>
      <c r="Z823" s="799"/>
      <c r="AA823" s="799"/>
      <c r="AB823" s="799"/>
      <c r="AC823" s="799"/>
      <c r="AD823" s="799"/>
      <c r="AE823" s="799"/>
      <c r="AF823" s="799"/>
      <c r="AG823" s="799"/>
      <c r="AH823" s="799"/>
      <c r="AI823" s="799"/>
      <c r="AJ823" s="799"/>
      <c r="AK823" s="799"/>
      <c r="AL823" s="799"/>
      <c r="AM823" s="799"/>
      <c r="AN823" s="799"/>
      <c r="AO823" s="799"/>
      <c r="AP823" s="799"/>
      <c r="AQ823" s="799"/>
      <c r="AR823" s="799"/>
      <c r="AS823" s="799"/>
      <c r="AT823" s="799"/>
      <c r="AU823" s="799"/>
      <c r="AV823" s="799"/>
      <c r="AW823" s="799"/>
      <c r="AX823" s="799"/>
      <c r="AY823" s="799"/>
      <c r="AZ823" s="799"/>
      <c r="BA823" s="799"/>
      <c r="BB823" s="799"/>
      <c r="BC823" s="799"/>
      <c r="BD823" s="799"/>
      <c r="BE823" s="799"/>
      <c r="BF823" s="799"/>
      <c r="BG823" s="799"/>
    </row>
    <row r="824">
      <c r="H824" s="799"/>
      <c r="I824" s="799"/>
      <c r="J824" s="799"/>
      <c r="K824" s="799"/>
      <c r="L824" s="799"/>
      <c r="M824" s="799"/>
      <c r="N824" s="799"/>
      <c r="O824" s="799"/>
      <c r="P824" s="799"/>
      <c r="Q824" s="799"/>
      <c r="R824" s="799"/>
      <c r="S824" s="799"/>
      <c r="T824" s="799"/>
      <c r="U824" s="799"/>
      <c r="V824" s="799"/>
      <c r="W824" s="799"/>
      <c r="X824" s="799"/>
      <c r="Y824" s="799"/>
      <c r="Z824" s="799"/>
      <c r="AA824" s="799"/>
      <c r="AB824" s="799"/>
      <c r="AC824" s="799"/>
      <c r="AD824" s="799"/>
      <c r="AE824" s="799"/>
      <c r="AF824" s="799"/>
      <c r="AG824" s="799"/>
      <c r="AH824" s="799"/>
      <c r="AI824" s="799"/>
      <c r="AJ824" s="799"/>
      <c r="AK824" s="799"/>
      <c r="AL824" s="799"/>
      <c r="AM824" s="799"/>
      <c r="AN824" s="799"/>
      <c r="AO824" s="799"/>
      <c r="AP824" s="799"/>
      <c r="AQ824" s="799"/>
      <c r="AR824" s="799"/>
      <c r="AS824" s="799"/>
      <c r="AT824" s="799"/>
      <c r="AU824" s="799"/>
      <c r="AV824" s="799"/>
      <c r="AW824" s="799"/>
      <c r="AX824" s="799"/>
      <c r="AY824" s="799"/>
      <c r="AZ824" s="799"/>
      <c r="BA824" s="799"/>
      <c r="BB824" s="799"/>
      <c r="BC824" s="799"/>
      <c r="BD824" s="799"/>
      <c r="BE824" s="799"/>
      <c r="BF824" s="799"/>
      <c r="BG824" s="799"/>
    </row>
    <row r="825">
      <c r="H825" s="799"/>
      <c r="I825" s="799"/>
      <c r="J825" s="799"/>
      <c r="K825" s="799"/>
      <c r="L825" s="799"/>
      <c r="M825" s="799"/>
      <c r="N825" s="799"/>
      <c r="O825" s="799"/>
      <c r="P825" s="799"/>
      <c r="Q825" s="799"/>
      <c r="R825" s="799"/>
      <c r="S825" s="799"/>
      <c r="T825" s="799"/>
      <c r="U825" s="799"/>
      <c r="V825" s="799"/>
      <c r="W825" s="799"/>
      <c r="X825" s="799"/>
      <c r="Y825" s="799"/>
      <c r="Z825" s="799"/>
      <c r="AA825" s="799"/>
      <c r="AB825" s="799"/>
      <c r="AC825" s="799"/>
      <c r="AD825" s="799"/>
      <c r="AE825" s="799"/>
      <c r="AF825" s="799"/>
      <c r="AG825" s="799"/>
      <c r="AH825" s="799"/>
      <c r="AI825" s="799"/>
      <c r="AJ825" s="799"/>
      <c r="AK825" s="799"/>
      <c r="AL825" s="799"/>
      <c r="AM825" s="799"/>
      <c r="AN825" s="799"/>
      <c r="AO825" s="799"/>
      <c r="AP825" s="799"/>
      <c r="AQ825" s="799"/>
      <c r="AR825" s="799"/>
      <c r="AS825" s="799"/>
      <c r="AT825" s="799"/>
      <c r="AU825" s="799"/>
      <c r="AV825" s="799"/>
      <c r="AW825" s="799"/>
      <c r="AX825" s="799"/>
      <c r="AY825" s="799"/>
      <c r="AZ825" s="799"/>
      <c r="BA825" s="799"/>
      <c r="BB825" s="799"/>
      <c r="BC825" s="799"/>
      <c r="BD825" s="799"/>
      <c r="BE825" s="799"/>
      <c r="BF825" s="799"/>
      <c r="BG825" s="799"/>
    </row>
    <row r="826">
      <c r="H826" s="799"/>
      <c r="I826" s="799"/>
      <c r="J826" s="799"/>
      <c r="K826" s="799"/>
      <c r="L826" s="799"/>
      <c r="M826" s="799"/>
      <c r="N826" s="799"/>
      <c r="O826" s="799"/>
      <c r="P826" s="799"/>
      <c r="Q826" s="799"/>
      <c r="R826" s="799"/>
      <c r="S826" s="799"/>
      <c r="T826" s="799"/>
      <c r="U826" s="799"/>
      <c r="V826" s="799"/>
      <c r="W826" s="799"/>
      <c r="X826" s="799"/>
      <c r="Y826" s="799"/>
      <c r="Z826" s="799"/>
      <c r="AA826" s="799"/>
      <c r="AB826" s="799"/>
      <c r="AC826" s="799"/>
      <c r="AD826" s="799"/>
      <c r="AE826" s="799"/>
      <c r="AF826" s="799"/>
      <c r="AG826" s="799"/>
      <c r="AH826" s="799"/>
      <c r="AI826" s="799"/>
      <c r="AJ826" s="799"/>
      <c r="AK826" s="799"/>
      <c r="AL826" s="799"/>
      <c r="AM826" s="799"/>
      <c r="AN826" s="799"/>
      <c r="AO826" s="799"/>
      <c r="AP826" s="799"/>
      <c r="AQ826" s="799"/>
      <c r="AR826" s="799"/>
      <c r="AS826" s="799"/>
      <c r="AT826" s="799"/>
      <c r="AU826" s="799"/>
      <c r="AV826" s="799"/>
      <c r="AW826" s="799"/>
      <c r="AX826" s="799"/>
      <c r="AY826" s="799"/>
      <c r="AZ826" s="799"/>
      <c r="BA826" s="799"/>
      <c r="BB826" s="799"/>
      <c r="BC826" s="799"/>
      <c r="BD826" s="799"/>
      <c r="BE826" s="799"/>
      <c r="BF826" s="799"/>
      <c r="BG826" s="799"/>
    </row>
    <row r="827">
      <c r="H827" s="799"/>
      <c r="I827" s="799"/>
      <c r="J827" s="799"/>
      <c r="K827" s="799"/>
      <c r="L827" s="799"/>
      <c r="M827" s="799"/>
      <c r="N827" s="799"/>
      <c r="O827" s="799"/>
      <c r="P827" s="799"/>
      <c r="Q827" s="799"/>
      <c r="R827" s="799"/>
      <c r="S827" s="799"/>
      <c r="T827" s="799"/>
      <c r="U827" s="799"/>
      <c r="V827" s="799"/>
      <c r="W827" s="799"/>
      <c r="X827" s="799"/>
      <c r="Y827" s="799"/>
      <c r="Z827" s="799"/>
      <c r="AA827" s="799"/>
      <c r="AB827" s="799"/>
      <c r="AC827" s="799"/>
      <c r="AD827" s="799"/>
      <c r="AE827" s="799"/>
      <c r="AF827" s="799"/>
      <c r="AG827" s="799"/>
      <c r="AH827" s="799"/>
      <c r="AI827" s="799"/>
      <c r="AJ827" s="799"/>
      <c r="AK827" s="799"/>
      <c r="AL827" s="799"/>
      <c r="AM827" s="799"/>
      <c r="AN827" s="799"/>
      <c r="AO827" s="799"/>
      <c r="AP827" s="799"/>
      <c r="AQ827" s="799"/>
      <c r="AR827" s="799"/>
      <c r="AS827" s="799"/>
      <c r="AT827" s="799"/>
      <c r="AU827" s="799"/>
      <c r="AV827" s="799"/>
      <c r="AW827" s="799"/>
      <c r="AX827" s="799"/>
      <c r="AY827" s="799"/>
      <c r="AZ827" s="799"/>
      <c r="BA827" s="799"/>
      <c r="BB827" s="799"/>
      <c r="BC827" s="799"/>
      <c r="BD827" s="799"/>
      <c r="BE827" s="799"/>
      <c r="BF827" s="799"/>
      <c r="BG827" s="799"/>
    </row>
    <row r="828">
      <c r="H828" s="799"/>
      <c r="I828" s="799"/>
      <c r="J828" s="799"/>
      <c r="K828" s="799"/>
      <c r="L828" s="799"/>
      <c r="M828" s="799"/>
      <c r="N828" s="799"/>
      <c r="O828" s="799"/>
      <c r="P828" s="799"/>
      <c r="Q828" s="799"/>
      <c r="R828" s="799"/>
      <c r="S828" s="799"/>
      <c r="T828" s="799"/>
      <c r="U828" s="799"/>
      <c r="V828" s="799"/>
      <c r="W828" s="799"/>
      <c r="X828" s="799"/>
      <c r="Y828" s="799"/>
      <c r="Z828" s="799"/>
      <c r="AA828" s="799"/>
      <c r="AB828" s="799"/>
      <c r="AC828" s="799"/>
      <c r="AD828" s="799"/>
      <c r="AE828" s="799"/>
      <c r="AF828" s="799"/>
      <c r="AG828" s="799"/>
      <c r="AH828" s="799"/>
      <c r="AI828" s="799"/>
      <c r="AJ828" s="799"/>
      <c r="AK828" s="799"/>
      <c r="AL828" s="799"/>
      <c r="AM828" s="799"/>
      <c r="AN828" s="799"/>
      <c r="AO828" s="799"/>
      <c r="AP828" s="799"/>
      <c r="AQ828" s="799"/>
      <c r="AR828" s="799"/>
      <c r="AS828" s="799"/>
      <c r="AT828" s="799"/>
      <c r="AU828" s="799"/>
      <c r="AV828" s="799"/>
      <c r="AW828" s="799"/>
      <c r="AX828" s="799"/>
      <c r="AY828" s="799"/>
      <c r="AZ828" s="799"/>
      <c r="BA828" s="799"/>
      <c r="BB828" s="799"/>
      <c r="BC828" s="799"/>
      <c r="BD828" s="799"/>
      <c r="BE828" s="799"/>
      <c r="BF828" s="799"/>
      <c r="BG828" s="799"/>
    </row>
    <row r="829">
      <c r="H829" s="799"/>
      <c r="I829" s="799"/>
      <c r="J829" s="799"/>
      <c r="K829" s="799"/>
      <c r="L829" s="799"/>
      <c r="M829" s="799"/>
      <c r="N829" s="799"/>
      <c r="O829" s="799"/>
      <c r="P829" s="799"/>
      <c r="Q829" s="799"/>
      <c r="R829" s="799"/>
      <c r="S829" s="799"/>
      <c r="T829" s="799"/>
      <c r="U829" s="799"/>
      <c r="V829" s="799"/>
      <c r="W829" s="799"/>
      <c r="X829" s="799"/>
      <c r="Y829" s="799"/>
      <c r="Z829" s="799"/>
      <c r="AA829" s="799"/>
      <c r="AB829" s="799"/>
      <c r="AC829" s="799"/>
      <c r="AD829" s="799"/>
      <c r="AE829" s="799"/>
      <c r="AF829" s="799"/>
      <c r="AG829" s="799"/>
      <c r="AH829" s="799"/>
      <c r="AI829" s="799"/>
      <c r="AJ829" s="799"/>
      <c r="AK829" s="799"/>
      <c r="AL829" s="799"/>
      <c r="AM829" s="799"/>
      <c r="AN829" s="799"/>
      <c r="AO829" s="799"/>
      <c r="AP829" s="799"/>
      <c r="AQ829" s="799"/>
      <c r="AR829" s="799"/>
      <c r="AS829" s="799"/>
      <c r="AT829" s="799"/>
      <c r="AU829" s="799"/>
      <c r="AV829" s="799"/>
      <c r="AW829" s="799"/>
      <c r="AX829" s="799"/>
      <c r="AY829" s="799"/>
      <c r="AZ829" s="799"/>
      <c r="BA829" s="799"/>
      <c r="BB829" s="799"/>
      <c r="BC829" s="799"/>
      <c r="BD829" s="799"/>
      <c r="BE829" s="799"/>
      <c r="BF829" s="799"/>
      <c r="BG829" s="799"/>
    </row>
    <row r="830">
      <c r="H830" s="799"/>
      <c r="I830" s="799"/>
      <c r="J830" s="799"/>
      <c r="K830" s="799"/>
      <c r="L830" s="799"/>
      <c r="M830" s="799"/>
      <c r="N830" s="799"/>
      <c r="O830" s="799"/>
      <c r="P830" s="799"/>
      <c r="Q830" s="799"/>
      <c r="R830" s="799"/>
      <c r="S830" s="799"/>
      <c r="T830" s="799"/>
      <c r="U830" s="799"/>
      <c r="V830" s="799"/>
      <c r="W830" s="799"/>
      <c r="X830" s="799"/>
      <c r="Y830" s="799"/>
      <c r="Z830" s="799"/>
      <c r="AA830" s="799"/>
      <c r="AB830" s="799"/>
      <c r="AC830" s="799"/>
      <c r="AD830" s="799"/>
      <c r="AE830" s="799"/>
      <c r="AF830" s="799"/>
      <c r="AG830" s="799"/>
      <c r="AH830" s="799"/>
      <c r="AI830" s="799"/>
      <c r="AJ830" s="799"/>
      <c r="AK830" s="799"/>
      <c r="AL830" s="799"/>
      <c r="AM830" s="799"/>
      <c r="AN830" s="799"/>
      <c r="AO830" s="799"/>
      <c r="AP830" s="799"/>
      <c r="AQ830" s="799"/>
      <c r="AR830" s="799"/>
      <c r="AS830" s="799"/>
      <c r="AT830" s="799"/>
      <c r="AU830" s="799"/>
      <c r="AV830" s="799"/>
      <c r="AW830" s="799"/>
      <c r="AX830" s="799"/>
      <c r="AY830" s="799"/>
      <c r="AZ830" s="799"/>
      <c r="BA830" s="799"/>
      <c r="BB830" s="799"/>
      <c r="BC830" s="799"/>
      <c r="BD830" s="799"/>
      <c r="BE830" s="799"/>
      <c r="BF830" s="799"/>
      <c r="BG830" s="799"/>
    </row>
    <row r="831">
      <c r="H831" s="799"/>
      <c r="I831" s="799"/>
      <c r="J831" s="799"/>
      <c r="K831" s="799"/>
      <c r="L831" s="799"/>
      <c r="M831" s="799"/>
      <c r="N831" s="799"/>
      <c r="O831" s="799"/>
      <c r="P831" s="799"/>
      <c r="Q831" s="799"/>
      <c r="R831" s="799"/>
      <c r="S831" s="799"/>
      <c r="T831" s="799"/>
      <c r="U831" s="799"/>
      <c r="V831" s="799"/>
      <c r="W831" s="799"/>
      <c r="X831" s="799"/>
      <c r="Y831" s="799"/>
      <c r="Z831" s="799"/>
      <c r="AA831" s="799"/>
      <c r="AB831" s="799"/>
      <c r="AC831" s="799"/>
      <c r="AD831" s="799"/>
      <c r="AE831" s="799"/>
      <c r="AF831" s="799"/>
      <c r="AG831" s="799"/>
      <c r="AH831" s="799"/>
      <c r="AI831" s="799"/>
      <c r="AJ831" s="799"/>
      <c r="AK831" s="799"/>
      <c r="AL831" s="799"/>
      <c r="AM831" s="799"/>
      <c r="AN831" s="799"/>
      <c r="AO831" s="799"/>
      <c r="AP831" s="799"/>
      <c r="AQ831" s="799"/>
      <c r="AR831" s="799"/>
      <c r="AS831" s="799"/>
      <c r="AT831" s="799"/>
      <c r="AU831" s="799"/>
      <c r="AV831" s="799"/>
      <c r="AW831" s="799"/>
      <c r="AX831" s="799"/>
      <c r="AY831" s="799"/>
      <c r="AZ831" s="799"/>
      <c r="BA831" s="799"/>
      <c r="BB831" s="799"/>
      <c r="BC831" s="799"/>
      <c r="BD831" s="799"/>
      <c r="BE831" s="799"/>
      <c r="BF831" s="799"/>
      <c r="BG831" s="799"/>
    </row>
    <row r="832">
      <c r="H832" s="799"/>
      <c r="I832" s="799"/>
      <c r="J832" s="799"/>
      <c r="K832" s="799"/>
      <c r="L832" s="799"/>
      <c r="M832" s="799"/>
      <c r="N832" s="799"/>
      <c r="O832" s="799"/>
      <c r="P832" s="799"/>
      <c r="Q832" s="799"/>
      <c r="R832" s="799"/>
      <c r="S832" s="799"/>
      <c r="T832" s="799"/>
      <c r="U832" s="799"/>
      <c r="V832" s="799"/>
      <c r="W832" s="799"/>
      <c r="X832" s="799"/>
      <c r="Y832" s="799"/>
      <c r="Z832" s="799"/>
      <c r="AA832" s="799"/>
      <c r="AB832" s="799"/>
      <c r="AC832" s="799"/>
      <c r="AD832" s="799"/>
      <c r="AE832" s="799"/>
      <c r="AF832" s="799"/>
      <c r="AG832" s="799"/>
      <c r="AH832" s="799"/>
      <c r="AI832" s="799"/>
      <c r="AJ832" s="799"/>
      <c r="AK832" s="799"/>
      <c r="AL832" s="799"/>
      <c r="AM832" s="799"/>
      <c r="AN832" s="799"/>
      <c r="AO832" s="799"/>
      <c r="AP832" s="799"/>
      <c r="AQ832" s="799"/>
      <c r="AR832" s="799"/>
      <c r="AS832" s="799"/>
      <c r="AT832" s="799"/>
      <c r="AU832" s="799"/>
      <c r="AV832" s="799"/>
      <c r="AW832" s="799"/>
      <c r="AX832" s="799"/>
      <c r="AY832" s="799"/>
      <c r="AZ832" s="799"/>
      <c r="BA832" s="799"/>
      <c r="BB832" s="799"/>
      <c r="BC832" s="799"/>
      <c r="BD832" s="799"/>
      <c r="BE832" s="799"/>
      <c r="BF832" s="799"/>
      <c r="BG832" s="799"/>
    </row>
    <row r="833">
      <c r="H833" s="799"/>
      <c r="I833" s="799"/>
      <c r="J833" s="799"/>
      <c r="K833" s="799"/>
      <c r="L833" s="799"/>
      <c r="M833" s="799"/>
      <c r="N833" s="799"/>
      <c r="O833" s="799"/>
      <c r="P833" s="799"/>
      <c r="Q833" s="799"/>
      <c r="R833" s="799"/>
      <c r="S833" s="799"/>
      <c r="T833" s="799"/>
      <c r="U833" s="799"/>
      <c r="V833" s="799"/>
      <c r="W833" s="799"/>
      <c r="X833" s="799"/>
      <c r="Y833" s="799"/>
      <c r="Z833" s="799"/>
      <c r="AA833" s="799"/>
      <c r="AB833" s="799"/>
      <c r="AC833" s="799"/>
      <c r="AD833" s="799"/>
      <c r="AE833" s="799"/>
      <c r="AF833" s="799"/>
      <c r="AG833" s="799"/>
      <c r="AH833" s="799"/>
      <c r="AI833" s="799"/>
      <c r="AJ833" s="799"/>
      <c r="AK833" s="799"/>
      <c r="AL833" s="799"/>
      <c r="AM833" s="799"/>
      <c r="AN833" s="799"/>
      <c r="AO833" s="799"/>
      <c r="AP833" s="799"/>
      <c r="AQ833" s="799"/>
      <c r="AR833" s="799"/>
      <c r="AS833" s="799"/>
      <c r="AT833" s="799"/>
      <c r="AU833" s="799"/>
      <c r="AV833" s="799"/>
      <c r="AW833" s="799"/>
      <c r="AX833" s="799"/>
      <c r="AY833" s="799"/>
      <c r="AZ833" s="799"/>
      <c r="BA833" s="799"/>
      <c r="BB833" s="799"/>
      <c r="BC833" s="799"/>
      <c r="BD833" s="799"/>
      <c r="BE833" s="799"/>
      <c r="BF833" s="799"/>
      <c r="BG833" s="799"/>
    </row>
    <row r="834">
      <c r="H834" s="799"/>
      <c r="I834" s="799"/>
      <c r="J834" s="799"/>
      <c r="K834" s="799"/>
      <c r="L834" s="799"/>
      <c r="M834" s="799"/>
      <c r="N834" s="799"/>
      <c r="O834" s="799"/>
      <c r="P834" s="799"/>
      <c r="Q834" s="799"/>
      <c r="R834" s="799"/>
      <c r="S834" s="799"/>
      <c r="T834" s="799"/>
      <c r="U834" s="799"/>
      <c r="V834" s="799"/>
      <c r="W834" s="799"/>
      <c r="X834" s="799"/>
      <c r="Y834" s="799"/>
      <c r="Z834" s="799"/>
      <c r="AA834" s="799"/>
      <c r="AB834" s="799"/>
      <c r="AC834" s="799"/>
      <c r="AD834" s="799"/>
      <c r="AE834" s="799"/>
      <c r="AF834" s="799"/>
      <c r="AG834" s="799"/>
      <c r="AH834" s="799"/>
      <c r="AI834" s="799"/>
      <c r="AJ834" s="799"/>
      <c r="AK834" s="799"/>
      <c r="AL834" s="799"/>
      <c r="AM834" s="799"/>
      <c r="AN834" s="799"/>
      <c r="AO834" s="799"/>
      <c r="AP834" s="799"/>
      <c r="AQ834" s="799"/>
      <c r="AR834" s="799"/>
      <c r="AS834" s="799"/>
      <c r="AT834" s="799"/>
      <c r="AU834" s="799"/>
      <c r="AV834" s="799"/>
      <c r="AW834" s="799"/>
      <c r="AX834" s="799"/>
      <c r="AY834" s="799"/>
      <c r="AZ834" s="799"/>
      <c r="BA834" s="799"/>
      <c r="BB834" s="799"/>
      <c r="BC834" s="799"/>
      <c r="BD834" s="799"/>
      <c r="BE834" s="799"/>
      <c r="BF834" s="799"/>
      <c r="BG834" s="799"/>
    </row>
    <row r="835">
      <c r="H835" s="799"/>
      <c r="I835" s="799"/>
      <c r="J835" s="799"/>
      <c r="K835" s="799"/>
      <c r="L835" s="799"/>
      <c r="M835" s="799"/>
      <c r="N835" s="799"/>
      <c r="O835" s="799"/>
      <c r="P835" s="799"/>
      <c r="Q835" s="799"/>
      <c r="R835" s="799"/>
      <c r="S835" s="799"/>
      <c r="T835" s="799"/>
      <c r="U835" s="799"/>
      <c r="V835" s="799"/>
      <c r="W835" s="799"/>
      <c r="X835" s="799"/>
      <c r="Y835" s="799"/>
      <c r="Z835" s="799"/>
      <c r="AA835" s="799"/>
      <c r="AB835" s="799"/>
      <c r="AC835" s="799"/>
      <c r="AD835" s="799"/>
      <c r="AE835" s="799"/>
      <c r="AF835" s="799"/>
      <c r="AG835" s="799"/>
      <c r="AH835" s="799"/>
      <c r="AI835" s="799"/>
      <c r="AJ835" s="799"/>
      <c r="AK835" s="799"/>
      <c r="AL835" s="799"/>
      <c r="AM835" s="799"/>
      <c r="AN835" s="799"/>
      <c r="AO835" s="799"/>
      <c r="AP835" s="799"/>
      <c r="AQ835" s="799"/>
      <c r="AR835" s="799"/>
      <c r="AS835" s="799"/>
      <c r="AT835" s="799"/>
      <c r="AU835" s="799"/>
      <c r="AV835" s="799"/>
      <c r="AW835" s="799"/>
      <c r="AX835" s="799"/>
      <c r="AY835" s="799"/>
      <c r="AZ835" s="799"/>
      <c r="BA835" s="799"/>
      <c r="BB835" s="799"/>
      <c r="BC835" s="799"/>
      <c r="BD835" s="799"/>
      <c r="BE835" s="799"/>
      <c r="BF835" s="799"/>
      <c r="BG835" s="799"/>
    </row>
    <row r="836">
      <c r="H836" s="799"/>
      <c r="I836" s="799"/>
      <c r="J836" s="799"/>
      <c r="K836" s="799"/>
      <c r="L836" s="799"/>
      <c r="M836" s="799"/>
      <c r="N836" s="799"/>
      <c r="O836" s="799"/>
      <c r="P836" s="799"/>
      <c r="Q836" s="799"/>
      <c r="R836" s="799"/>
      <c r="S836" s="799"/>
      <c r="T836" s="799"/>
      <c r="U836" s="799"/>
      <c r="V836" s="799"/>
      <c r="W836" s="799"/>
      <c r="X836" s="799"/>
      <c r="Y836" s="799"/>
      <c r="Z836" s="799"/>
      <c r="AA836" s="799"/>
      <c r="AB836" s="799"/>
      <c r="AC836" s="799"/>
      <c r="AD836" s="799"/>
      <c r="AE836" s="799"/>
      <c r="AF836" s="799"/>
      <c r="AG836" s="799"/>
      <c r="AH836" s="799"/>
      <c r="AI836" s="799"/>
      <c r="AJ836" s="799"/>
      <c r="AK836" s="799"/>
      <c r="AL836" s="799"/>
      <c r="AM836" s="799"/>
      <c r="AN836" s="799"/>
      <c r="AO836" s="799"/>
      <c r="AP836" s="799"/>
      <c r="AQ836" s="799"/>
      <c r="AR836" s="799"/>
      <c r="AS836" s="799"/>
      <c r="AT836" s="799"/>
      <c r="AU836" s="799"/>
      <c r="AV836" s="799"/>
      <c r="AW836" s="799"/>
      <c r="AX836" s="799"/>
      <c r="AY836" s="799"/>
      <c r="AZ836" s="799"/>
      <c r="BA836" s="799"/>
      <c r="BB836" s="799"/>
      <c r="BC836" s="799"/>
      <c r="BD836" s="799"/>
      <c r="BE836" s="799"/>
      <c r="BF836" s="799"/>
      <c r="BG836" s="799"/>
    </row>
    <row r="837">
      <c r="H837" s="799"/>
      <c r="I837" s="799"/>
      <c r="J837" s="799"/>
      <c r="K837" s="799"/>
      <c r="L837" s="799"/>
      <c r="M837" s="799"/>
      <c r="N837" s="799"/>
      <c r="O837" s="799"/>
      <c r="P837" s="799"/>
      <c r="Q837" s="799"/>
      <c r="R837" s="799"/>
      <c r="S837" s="799"/>
      <c r="T837" s="799"/>
      <c r="U837" s="799"/>
      <c r="V837" s="799"/>
      <c r="W837" s="799"/>
      <c r="X837" s="799"/>
      <c r="Y837" s="799"/>
      <c r="Z837" s="799"/>
      <c r="AA837" s="799"/>
      <c r="AB837" s="799"/>
      <c r="AC837" s="799"/>
      <c r="AD837" s="799"/>
      <c r="AE837" s="799"/>
      <c r="AF837" s="799"/>
      <c r="AG837" s="799"/>
      <c r="AH837" s="799"/>
      <c r="AI837" s="799"/>
      <c r="AJ837" s="799"/>
      <c r="AK837" s="799"/>
      <c r="AL837" s="799"/>
      <c r="AM837" s="799"/>
      <c r="AN837" s="799"/>
      <c r="AO837" s="799"/>
      <c r="AP837" s="799"/>
      <c r="AQ837" s="799"/>
      <c r="AR837" s="799"/>
      <c r="AS837" s="799"/>
      <c r="AT837" s="799"/>
      <c r="AU837" s="799"/>
      <c r="AV837" s="799"/>
      <c r="AW837" s="799"/>
      <c r="AX837" s="799"/>
      <c r="AY837" s="799"/>
      <c r="AZ837" s="799"/>
      <c r="BA837" s="799"/>
      <c r="BB837" s="799"/>
      <c r="BC837" s="799"/>
      <c r="BD837" s="799"/>
      <c r="BE837" s="799"/>
      <c r="BF837" s="799"/>
      <c r="BG837" s="799"/>
    </row>
    <row r="838">
      <c r="H838" s="799"/>
      <c r="I838" s="799"/>
      <c r="J838" s="799"/>
      <c r="K838" s="799"/>
      <c r="L838" s="799"/>
      <c r="M838" s="799"/>
      <c r="N838" s="799"/>
      <c r="O838" s="799"/>
      <c r="P838" s="799"/>
      <c r="Q838" s="799"/>
      <c r="R838" s="799"/>
      <c r="S838" s="799"/>
      <c r="T838" s="799"/>
      <c r="U838" s="799"/>
      <c r="V838" s="799"/>
      <c r="W838" s="799"/>
      <c r="X838" s="799"/>
      <c r="Y838" s="799"/>
      <c r="Z838" s="799"/>
      <c r="AA838" s="799"/>
      <c r="AB838" s="799"/>
      <c r="AC838" s="799"/>
      <c r="AD838" s="799"/>
      <c r="AE838" s="799"/>
      <c r="AF838" s="799"/>
      <c r="AG838" s="799"/>
      <c r="AH838" s="799"/>
      <c r="AI838" s="799"/>
      <c r="AJ838" s="799"/>
      <c r="AK838" s="799"/>
      <c r="AL838" s="799"/>
      <c r="AM838" s="799"/>
      <c r="AN838" s="799"/>
      <c r="AO838" s="799"/>
      <c r="AP838" s="799"/>
      <c r="AQ838" s="799"/>
      <c r="AR838" s="799"/>
      <c r="AS838" s="799"/>
      <c r="AT838" s="799"/>
      <c r="AU838" s="799"/>
      <c r="AV838" s="799"/>
      <c r="AW838" s="799"/>
      <c r="AX838" s="799"/>
      <c r="AY838" s="799"/>
      <c r="AZ838" s="799"/>
      <c r="BA838" s="799"/>
      <c r="BB838" s="799"/>
      <c r="BC838" s="799"/>
      <c r="BD838" s="799"/>
      <c r="BE838" s="799"/>
      <c r="BF838" s="799"/>
      <c r="BG838" s="799"/>
    </row>
    <row r="839">
      <c r="H839" s="799"/>
      <c r="I839" s="799"/>
      <c r="J839" s="799"/>
      <c r="K839" s="799"/>
      <c r="L839" s="799"/>
      <c r="M839" s="799"/>
      <c r="N839" s="799"/>
      <c r="O839" s="799"/>
      <c r="P839" s="799"/>
      <c r="Q839" s="799"/>
      <c r="R839" s="799"/>
      <c r="S839" s="799"/>
      <c r="T839" s="799"/>
      <c r="U839" s="799"/>
      <c r="V839" s="799"/>
      <c r="W839" s="799"/>
      <c r="X839" s="799"/>
      <c r="Y839" s="799"/>
      <c r="Z839" s="799"/>
      <c r="AA839" s="799"/>
      <c r="AB839" s="799"/>
      <c r="AC839" s="799"/>
      <c r="AD839" s="799"/>
      <c r="AE839" s="799"/>
      <c r="AF839" s="799"/>
      <c r="AG839" s="799"/>
      <c r="AH839" s="799"/>
      <c r="AI839" s="799"/>
      <c r="AJ839" s="799"/>
      <c r="AK839" s="799"/>
      <c r="AL839" s="799"/>
      <c r="AM839" s="799"/>
      <c r="AN839" s="799"/>
      <c r="AO839" s="799"/>
      <c r="AP839" s="799"/>
      <c r="AQ839" s="799"/>
      <c r="AR839" s="799"/>
      <c r="AS839" s="799"/>
      <c r="AT839" s="799"/>
      <c r="AU839" s="799"/>
      <c r="AV839" s="799"/>
      <c r="AW839" s="799"/>
      <c r="AX839" s="799"/>
      <c r="AY839" s="799"/>
      <c r="AZ839" s="799"/>
      <c r="BA839" s="799"/>
      <c r="BB839" s="799"/>
      <c r="BC839" s="799"/>
      <c r="BD839" s="799"/>
      <c r="BE839" s="799"/>
      <c r="BF839" s="799"/>
      <c r="BG839" s="799"/>
    </row>
    <row r="840">
      <c r="H840" s="799"/>
      <c r="I840" s="799"/>
      <c r="J840" s="799"/>
      <c r="K840" s="799"/>
      <c r="L840" s="799"/>
      <c r="M840" s="799"/>
      <c r="N840" s="799"/>
      <c r="O840" s="799"/>
      <c r="P840" s="799"/>
      <c r="Q840" s="799"/>
      <c r="R840" s="799"/>
      <c r="S840" s="799"/>
      <c r="T840" s="799"/>
      <c r="U840" s="799"/>
      <c r="V840" s="799"/>
      <c r="W840" s="799"/>
      <c r="X840" s="799"/>
      <c r="Y840" s="799"/>
      <c r="Z840" s="799"/>
      <c r="AA840" s="799"/>
      <c r="AB840" s="799"/>
      <c r="AC840" s="799"/>
      <c r="AD840" s="799"/>
      <c r="AE840" s="799"/>
      <c r="AF840" s="799"/>
      <c r="AG840" s="799"/>
      <c r="AH840" s="799"/>
      <c r="AI840" s="799"/>
      <c r="AJ840" s="799"/>
      <c r="AK840" s="799"/>
      <c r="AL840" s="799"/>
      <c r="AM840" s="799"/>
      <c r="AN840" s="799"/>
      <c r="AO840" s="799"/>
      <c r="AP840" s="799"/>
      <c r="AQ840" s="799"/>
      <c r="AR840" s="799"/>
      <c r="AS840" s="799"/>
      <c r="AT840" s="799"/>
      <c r="AU840" s="799"/>
      <c r="AV840" s="799"/>
      <c r="AW840" s="799"/>
      <c r="AX840" s="799"/>
      <c r="AY840" s="799"/>
      <c r="AZ840" s="799"/>
      <c r="BA840" s="799"/>
      <c r="BB840" s="799"/>
      <c r="BC840" s="799"/>
      <c r="BD840" s="799"/>
      <c r="BE840" s="799"/>
      <c r="BF840" s="799"/>
      <c r="BG840" s="799"/>
    </row>
    <row r="841">
      <c r="H841" s="799"/>
      <c r="I841" s="799"/>
      <c r="J841" s="799"/>
      <c r="K841" s="799"/>
      <c r="L841" s="799"/>
      <c r="M841" s="799"/>
      <c r="N841" s="799"/>
      <c r="O841" s="799"/>
      <c r="P841" s="799"/>
      <c r="Q841" s="799"/>
      <c r="R841" s="799"/>
      <c r="S841" s="799"/>
      <c r="T841" s="799"/>
      <c r="U841" s="799"/>
      <c r="V841" s="799"/>
      <c r="W841" s="799"/>
      <c r="X841" s="799"/>
      <c r="Y841" s="799"/>
      <c r="Z841" s="799"/>
      <c r="AA841" s="799"/>
      <c r="AB841" s="799"/>
      <c r="AC841" s="799"/>
      <c r="AD841" s="799"/>
      <c r="AE841" s="799"/>
      <c r="AF841" s="799"/>
      <c r="AG841" s="799"/>
      <c r="AH841" s="799"/>
      <c r="AI841" s="799"/>
      <c r="AJ841" s="799"/>
      <c r="AK841" s="799"/>
      <c r="AL841" s="799"/>
      <c r="AM841" s="799"/>
      <c r="AN841" s="799"/>
      <c r="AO841" s="799"/>
      <c r="AP841" s="799"/>
      <c r="AQ841" s="799"/>
      <c r="AR841" s="799"/>
      <c r="AS841" s="799"/>
      <c r="AT841" s="799"/>
      <c r="AU841" s="799"/>
      <c r="AV841" s="799"/>
      <c r="AW841" s="799"/>
      <c r="AX841" s="799"/>
      <c r="AY841" s="799"/>
      <c r="AZ841" s="799"/>
      <c r="BA841" s="799"/>
      <c r="BB841" s="799"/>
      <c r="BC841" s="799"/>
      <c r="BD841" s="799"/>
      <c r="BE841" s="799"/>
      <c r="BF841" s="799"/>
      <c r="BG841" s="799"/>
    </row>
    <row r="842">
      <c r="H842" s="799"/>
      <c r="I842" s="799"/>
      <c r="J842" s="799"/>
      <c r="K842" s="799"/>
      <c r="L842" s="799"/>
      <c r="M842" s="799"/>
      <c r="N842" s="799"/>
      <c r="O842" s="799"/>
      <c r="P842" s="799"/>
      <c r="Q842" s="799"/>
      <c r="R842" s="799"/>
      <c r="S842" s="799"/>
      <c r="T842" s="799"/>
      <c r="U842" s="799"/>
      <c r="V842" s="799"/>
      <c r="W842" s="799"/>
      <c r="X842" s="799"/>
      <c r="Y842" s="799"/>
      <c r="Z842" s="799"/>
      <c r="AA842" s="799"/>
      <c r="AB842" s="799"/>
      <c r="AC842" s="799"/>
      <c r="AD842" s="799"/>
      <c r="AE842" s="799"/>
      <c r="AF842" s="799"/>
      <c r="AG842" s="799"/>
      <c r="AH842" s="799"/>
      <c r="AI842" s="799"/>
      <c r="AJ842" s="799"/>
      <c r="AK842" s="799"/>
      <c r="AL842" s="799"/>
      <c r="AM842" s="799"/>
      <c r="AN842" s="799"/>
      <c r="AO842" s="799"/>
      <c r="AP842" s="799"/>
      <c r="AQ842" s="799"/>
      <c r="AR842" s="799"/>
      <c r="AS842" s="799"/>
      <c r="AT842" s="799"/>
      <c r="AU842" s="799"/>
      <c r="AV842" s="799"/>
      <c r="AW842" s="799"/>
      <c r="AX842" s="799"/>
      <c r="AY842" s="799"/>
      <c r="AZ842" s="799"/>
      <c r="BA842" s="799"/>
      <c r="BB842" s="799"/>
      <c r="BC842" s="799"/>
      <c r="BD842" s="799"/>
      <c r="BE842" s="799"/>
      <c r="BF842" s="799"/>
      <c r="BG842" s="799"/>
    </row>
    <row r="843">
      <c r="H843" s="799"/>
      <c r="I843" s="799"/>
      <c r="J843" s="799"/>
      <c r="K843" s="799"/>
      <c r="L843" s="799"/>
      <c r="M843" s="799"/>
      <c r="N843" s="799"/>
      <c r="O843" s="799"/>
      <c r="P843" s="799"/>
      <c r="Q843" s="799"/>
      <c r="R843" s="799"/>
      <c r="S843" s="799"/>
      <c r="T843" s="799"/>
      <c r="U843" s="799"/>
      <c r="V843" s="799"/>
      <c r="W843" s="799"/>
      <c r="X843" s="799"/>
      <c r="Y843" s="799"/>
      <c r="Z843" s="799"/>
      <c r="AA843" s="799"/>
      <c r="AB843" s="799"/>
      <c r="AC843" s="799"/>
      <c r="AD843" s="799"/>
      <c r="AE843" s="799"/>
      <c r="AF843" s="799"/>
      <c r="AG843" s="799"/>
      <c r="AH843" s="799"/>
      <c r="AI843" s="799"/>
      <c r="AJ843" s="799"/>
      <c r="AK843" s="799"/>
      <c r="AL843" s="799"/>
      <c r="AM843" s="799"/>
      <c r="AN843" s="799"/>
      <c r="AO843" s="799"/>
      <c r="AP843" s="799"/>
      <c r="AQ843" s="799"/>
      <c r="AR843" s="799"/>
      <c r="AS843" s="799"/>
      <c r="AT843" s="799"/>
      <c r="AU843" s="799"/>
      <c r="AV843" s="799"/>
      <c r="AW843" s="799"/>
      <c r="AX843" s="799"/>
      <c r="AY843" s="799"/>
      <c r="AZ843" s="799"/>
      <c r="BA843" s="799"/>
      <c r="BB843" s="799"/>
      <c r="BC843" s="799"/>
      <c r="BD843" s="799"/>
      <c r="BE843" s="799"/>
      <c r="BF843" s="799"/>
      <c r="BG843" s="799"/>
    </row>
    <row r="844">
      <c r="H844" s="799"/>
      <c r="I844" s="799"/>
      <c r="J844" s="799"/>
      <c r="K844" s="799"/>
      <c r="L844" s="799"/>
      <c r="M844" s="799"/>
      <c r="N844" s="799"/>
      <c r="O844" s="799"/>
      <c r="P844" s="799"/>
      <c r="Q844" s="799"/>
      <c r="R844" s="799"/>
      <c r="S844" s="799"/>
      <c r="T844" s="799"/>
      <c r="U844" s="799"/>
      <c r="V844" s="799"/>
      <c r="W844" s="799"/>
      <c r="X844" s="799"/>
      <c r="Y844" s="799"/>
      <c r="Z844" s="799"/>
      <c r="AA844" s="799"/>
      <c r="AB844" s="799"/>
      <c r="AC844" s="799"/>
      <c r="AD844" s="799"/>
      <c r="AE844" s="799"/>
      <c r="AF844" s="799"/>
      <c r="AG844" s="799"/>
      <c r="AH844" s="799"/>
      <c r="AI844" s="799"/>
      <c r="AJ844" s="799"/>
      <c r="AK844" s="799"/>
      <c r="AL844" s="799"/>
      <c r="AM844" s="799"/>
      <c r="AN844" s="799"/>
      <c r="AO844" s="799"/>
      <c r="AP844" s="799"/>
      <c r="AQ844" s="799"/>
      <c r="AR844" s="799"/>
      <c r="AS844" s="799"/>
      <c r="AT844" s="799"/>
      <c r="AU844" s="799"/>
      <c r="AV844" s="799"/>
      <c r="AW844" s="799"/>
      <c r="AX844" s="799"/>
      <c r="AY844" s="799"/>
      <c r="AZ844" s="799"/>
      <c r="BA844" s="799"/>
      <c r="BB844" s="799"/>
      <c r="BC844" s="799"/>
      <c r="BD844" s="799"/>
      <c r="BE844" s="799"/>
      <c r="BF844" s="799"/>
      <c r="BG844" s="799"/>
    </row>
    <row r="845">
      <c r="H845" s="799"/>
      <c r="I845" s="799"/>
      <c r="J845" s="799"/>
      <c r="K845" s="799"/>
      <c r="L845" s="799"/>
      <c r="M845" s="799"/>
      <c r="N845" s="799"/>
      <c r="O845" s="799"/>
      <c r="P845" s="799"/>
      <c r="Q845" s="799"/>
      <c r="R845" s="799"/>
      <c r="S845" s="799"/>
      <c r="T845" s="799"/>
      <c r="U845" s="799"/>
      <c r="V845" s="799"/>
      <c r="W845" s="799"/>
      <c r="X845" s="799"/>
      <c r="Y845" s="799"/>
      <c r="Z845" s="799"/>
      <c r="AA845" s="799"/>
      <c r="AB845" s="799"/>
      <c r="AC845" s="799"/>
      <c r="AD845" s="799"/>
      <c r="AE845" s="799"/>
      <c r="AF845" s="799"/>
      <c r="AG845" s="799"/>
      <c r="AH845" s="799"/>
      <c r="AI845" s="799"/>
      <c r="AJ845" s="799"/>
      <c r="AK845" s="799"/>
      <c r="AL845" s="799"/>
      <c r="AM845" s="799"/>
      <c r="AN845" s="799"/>
      <c r="AO845" s="799"/>
      <c r="AP845" s="799"/>
      <c r="AQ845" s="799"/>
      <c r="AR845" s="799"/>
      <c r="AS845" s="799"/>
      <c r="AT845" s="799"/>
      <c r="AU845" s="799"/>
      <c r="AV845" s="799"/>
      <c r="AW845" s="799"/>
      <c r="AX845" s="799"/>
      <c r="AY845" s="799"/>
      <c r="AZ845" s="799"/>
      <c r="BA845" s="799"/>
      <c r="BB845" s="799"/>
      <c r="BC845" s="799"/>
      <c r="BD845" s="799"/>
      <c r="BE845" s="799"/>
      <c r="BF845" s="799"/>
      <c r="BG845" s="799"/>
    </row>
    <row r="846">
      <c r="H846" s="799"/>
      <c r="I846" s="799"/>
      <c r="J846" s="799"/>
      <c r="K846" s="799"/>
      <c r="L846" s="799"/>
      <c r="M846" s="799"/>
      <c r="N846" s="799"/>
      <c r="O846" s="799"/>
      <c r="P846" s="799"/>
      <c r="Q846" s="799"/>
      <c r="R846" s="799"/>
      <c r="S846" s="799"/>
      <c r="T846" s="799"/>
      <c r="U846" s="799"/>
      <c r="V846" s="799"/>
      <c r="W846" s="799"/>
      <c r="X846" s="799"/>
      <c r="Y846" s="799"/>
      <c r="Z846" s="799"/>
      <c r="AA846" s="799"/>
      <c r="AB846" s="799"/>
      <c r="AC846" s="799"/>
      <c r="AD846" s="799"/>
      <c r="AE846" s="799"/>
      <c r="AF846" s="799"/>
      <c r="AG846" s="799"/>
      <c r="AH846" s="799"/>
      <c r="AI846" s="799"/>
      <c r="AJ846" s="799"/>
      <c r="AK846" s="799"/>
      <c r="AL846" s="799"/>
      <c r="AM846" s="799"/>
      <c r="AN846" s="799"/>
      <c r="AO846" s="799"/>
      <c r="AP846" s="799"/>
      <c r="AQ846" s="799"/>
      <c r="AR846" s="799"/>
      <c r="AS846" s="799"/>
      <c r="AT846" s="799"/>
      <c r="AU846" s="799"/>
      <c r="AV846" s="799"/>
      <c r="AW846" s="799"/>
      <c r="AX846" s="799"/>
      <c r="AY846" s="799"/>
      <c r="AZ846" s="799"/>
      <c r="BA846" s="799"/>
      <c r="BB846" s="799"/>
      <c r="BC846" s="799"/>
      <c r="BD846" s="799"/>
      <c r="BE846" s="799"/>
      <c r="BF846" s="799"/>
      <c r="BG846" s="799"/>
    </row>
    <row r="847">
      <c r="H847" s="799"/>
      <c r="I847" s="799"/>
      <c r="J847" s="799"/>
      <c r="K847" s="799"/>
      <c r="L847" s="799"/>
      <c r="M847" s="799"/>
      <c r="N847" s="799"/>
      <c r="O847" s="799"/>
      <c r="P847" s="799"/>
      <c r="Q847" s="799"/>
      <c r="R847" s="799"/>
      <c r="S847" s="799"/>
      <c r="T847" s="799"/>
      <c r="U847" s="799"/>
      <c r="V847" s="799"/>
      <c r="W847" s="799"/>
      <c r="X847" s="799"/>
      <c r="Y847" s="799"/>
      <c r="Z847" s="799"/>
      <c r="AA847" s="799"/>
      <c r="AB847" s="799"/>
      <c r="AC847" s="799"/>
      <c r="AD847" s="799"/>
      <c r="AE847" s="799"/>
      <c r="AF847" s="799"/>
      <c r="AG847" s="799"/>
      <c r="AH847" s="799"/>
      <c r="AI847" s="799"/>
      <c r="AJ847" s="799"/>
      <c r="AK847" s="799"/>
      <c r="AL847" s="799"/>
      <c r="AM847" s="799"/>
      <c r="AN847" s="799"/>
      <c r="AO847" s="799"/>
      <c r="AP847" s="799"/>
      <c r="AQ847" s="799"/>
      <c r="AR847" s="799"/>
      <c r="AS847" s="799"/>
      <c r="AT847" s="799"/>
      <c r="AU847" s="799"/>
      <c r="AV847" s="799"/>
      <c r="AW847" s="799"/>
      <c r="AX847" s="799"/>
      <c r="AY847" s="799"/>
      <c r="AZ847" s="799"/>
      <c r="BA847" s="799"/>
      <c r="BB847" s="799"/>
      <c r="BC847" s="799"/>
      <c r="BD847" s="799"/>
      <c r="BE847" s="799"/>
      <c r="BF847" s="799"/>
      <c r="BG847" s="799"/>
    </row>
    <row r="848">
      <c r="H848" s="799"/>
      <c r="I848" s="799"/>
      <c r="J848" s="799"/>
      <c r="K848" s="799"/>
      <c r="L848" s="799"/>
      <c r="M848" s="799"/>
      <c r="N848" s="799"/>
      <c r="O848" s="799"/>
      <c r="P848" s="799"/>
      <c r="Q848" s="799"/>
      <c r="R848" s="799"/>
      <c r="S848" s="799"/>
      <c r="T848" s="799"/>
      <c r="U848" s="799"/>
      <c r="V848" s="799"/>
      <c r="W848" s="799"/>
      <c r="X848" s="799"/>
      <c r="Y848" s="799"/>
      <c r="Z848" s="799"/>
      <c r="AA848" s="799"/>
      <c r="AB848" s="799"/>
      <c r="AC848" s="799"/>
      <c r="AD848" s="799"/>
      <c r="AE848" s="799"/>
      <c r="AF848" s="799"/>
      <c r="AG848" s="799"/>
      <c r="AH848" s="799"/>
      <c r="AI848" s="799"/>
      <c r="AJ848" s="799"/>
      <c r="AK848" s="799"/>
      <c r="AL848" s="799"/>
      <c r="AM848" s="799"/>
      <c r="AN848" s="799"/>
      <c r="AO848" s="799"/>
      <c r="AP848" s="799"/>
      <c r="AQ848" s="799"/>
      <c r="AR848" s="799"/>
      <c r="AS848" s="799"/>
      <c r="AT848" s="799"/>
      <c r="AU848" s="799"/>
      <c r="AV848" s="799"/>
      <c r="AW848" s="799"/>
      <c r="AX848" s="799"/>
      <c r="AY848" s="799"/>
      <c r="AZ848" s="799"/>
      <c r="BA848" s="799"/>
      <c r="BB848" s="799"/>
      <c r="BC848" s="799"/>
      <c r="BD848" s="799"/>
      <c r="BE848" s="799"/>
      <c r="BF848" s="799"/>
      <c r="BG848" s="799"/>
    </row>
    <row r="849">
      <c r="H849" s="799"/>
      <c r="I849" s="799"/>
      <c r="J849" s="799"/>
      <c r="K849" s="799"/>
      <c r="L849" s="799"/>
      <c r="M849" s="799"/>
      <c r="N849" s="799"/>
      <c r="O849" s="799"/>
      <c r="P849" s="799"/>
      <c r="Q849" s="799"/>
      <c r="R849" s="799"/>
      <c r="S849" s="799"/>
      <c r="T849" s="799"/>
      <c r="U849" s="799"/>
      <c r="V849" s="799"/>
      <c r="W849" s="799"/>
      <c r="X849" s="799"/>
      <c r="Y849" s="799"/>
      <c r="Z849" s="799"/>
      <c r="AA849" s="799"/>
      <c r="AB849" s="799"/>
      <c r="AC849" s="799"/>
      <c r="AD849" s="799"/>
      <c r="AE849" s="799"/>
      <c r="AF849" s="799"/>
      <c r="AG849" s="799"/>
      <c r="AH849" s="799"/>
      <c r="AI849" s="799"/>
      <c r="AJ849" s="799"/>
      <c r="AK849" s="799"/>
      <c r="AL849" s="799"/>
      <c r="AM849" s="799"/>
      <c r="AN849" s="799"/>
      <c r="AO849" s="799"/>
      <c r="AP849" s="799"/>
      <c r="AQ849" s="799"/>
      <c r="AR849" s="799"/>
      <c r="AS849" s="799"/>
      <c r="AT849" s="799"/>
      <c r="AU849" s="799"/>
      <c r="AV849" s="799"/>
      <c r="AW849" s="799"/>
      <c r="AX849" s="799"/>
      <c r="AY849" s="799"/>
      <c r="AZ849" s="799"/>
      <c r="BA849" s="799"/>
      <c r="BB849" s="799"/>
      <c r="BC849" s="799"/>
      <c r="BD849" s="799"/>
      <c r="BE849" s="799"/>
      <c r="BF849" s="799"/>
      <c r="BG849" s="799"/>
    </row>
    <row r="850">
      <c r="H850" s="799"/>
      <c r="I850" s="799"/>
      <c r="J850" s="799"/>
      <c r="K850" s="799"/>
      <c r="L850" s="799"/>
      <c r="M850" s="799"/>
      <c r="N850" s="799"/>
      <c r="O850" s="799"/>
      <c r="P850" s="799"/>
      <c r="Q850" s="799"/>
      <c r="R850" s="799"/>
      <c r="S850" s="799"/>
      <c r="T850" s="799"/>
      <c r="U850" s="799"/>
      <c r="V850" s="799"/>
      <c r="W850" s="799"/>
      <c r="X850" s="799"/>
      <c r="Y850" s="799"/>
      <c r="Z850" s="799"/>
      <c r="AA850" s="799"/>
      <c r="AB850" s="799"/>
      <c r="AC850" s="799"/>
      <c r="AD850" s="799"/>
      <c r="AE850" s="799"/>
      <c r="AF850" s="799"/>
      <c r="AG850" s="799"/>
      <c r="AH850" s="799"/>
      <c r="AI850" s="799"/>
      <c r="AJ850" s="799"/>
      <c r="AK850" s="799"/>
      <c r="AL850" s="799"/>
      <c r="AM850" s="799"/>
      <c r="AN850" s="799"/>
      <c r="AO850" s="799"/>
      <c r="AP850" s="799"/>
      <c r="AQ850" s="799"/>
      <c r="AR850" s="799"/>
      <c r="AS850" s="799"/>
      <c r="AT850" s="799"/>
      <c r="AU850" s="799"/>
      <c r="AV850" s="799"/>
      <c r="AW850" s="799"/>
      <c r="AX850" s="799"/>
      <c r="AY850" s="799"/>
      <c r="AZ850" s="799"/>
      <c r="BA850" s="799"/>
      <c r="BB850" s="799"/>
      <c r="BC850" s="799"/>
      <c r="BD850" s="799"/>
      <c r="BE850" s="799"/>
      <c r="BF850" s="799"/>
      <c r="BG850" s="799"/>
    </row>
    <row r="851">
      <c r="H851" s="799"/>
      <c r="I851" s="799"/>
      <c r="J851" s="799"/>
      <c r="K851" s="799"/>
      <c r="L851" s="799"/>
      <c r="M851" s="799"/>
      <c r="N851" s="799"/>
      <c r="O851" s="799"/>
      <c r="P851" s="799"/>
      <c r="Q851" s="799"/>
      <c r="R851" s="799"/>
      <c r="S851" s="799"/>
      <c r="T851" s="799"/>
      <c r="U851" s="799"/>
      <c r="V851" s="799"/>
      <c r="W851" s="799"/>
      <c r="X851" s="799"/>
      <c r="Y851" s="799"/>
      <c r="Z851" s="799"/>
      <c r="AA851" s="799"/>
      <c r="AB851" s="799"/>
      <c r="AC851" s="799"/>
      <c r="AD851" s="799"/>
      <c r="AE851" s="799"/>
      <c r="AF851" s="799"/>
      <c r="AG851" s="799"/>
      <c r="AH851" s="799"/>
      <c r="AI851" s="799"/>
      <c r="AJ851" s="799"/>
      <c r="AK851" s="799"/>
      <c r="AL851" s="799"/>
      <c r="AM851" s="799"/>
      <c r="AN851" s="799"/>
      <c r="AO851" s="799"/>
      <c r="AP851" s="799"/>
      <c r="AQ851" s="799"/>
      <c r="AR851" s="799"/>
      <c r="AS851" s="799"/>
      <c r="AT851" s="799"/>
      <c r="AU851" s="799"/>
      <c r="AV851" s="799"/>
      <c r="AW851" s="799"/>
      <c r="AX851" s="799"/>
      <c r="AY851" s="799"/>
      <c r="AZ851" s="799"/>
      <c r="BA851" s="799"/>
      <c r="BB851" s="799"/>
      <c r="BC851" s="799"/>
      <c r="BD851" s="799"/>
      <c r="BE851" s="799"/>
      <c r="BF851" s="799"/>
      <c r="BG851" s="799"/>
    </row>
    <row r="852">
      <c r="H852" s="799"/>
      <c r="I852" s="799"/>
      <c r="J852" s="799"/>
      <c r="K852" s="799"/>
      <c r="L852" s="799"/>
      <c r="M852" s="799"/>
      <c r="N852" s="799"/>
      <c r="O852" s="799"/>
      <c r="P852" s="799"/>
      <c r="Q852" s="799"/>
      <c r="R852" s="799"/>
      <c r="S852" s="799"/>
      <c r="T852" s="799"/>
      <c r="U852" s="799"/>
      <c r="V852" s="799"/>
      <c r="W852" s="799"/>
      <c r="X852" s="799"/>
      <c r="Y852" s="799"/>
      <c r="Z852" s="799"/>
      <c r="AA852" s="799"/>
      <c r="AB852" s="799"/>
      <c r="AC852" s="799"/>
      <c r="AD852" s="799"/>
      <c r="AE852" s="799"/>
      <c r="AF852" s="799"/>
      <c r="AG852" s="799"/>
      <c r="AH852" s="799"/>
      <c r="AI852" s="799"/>
      <c r="AJ852" s="799"/>
      <c r="AK852" s="799"/>
      <c r="AL852" s="799"/>
      <c r="AM852" s="799"/>
      <c r="AN852" s="799"/>
      <c r="AO852" s="799"/>
      <c r="AP852" s="799"/>
      <c r="AQ852" s="799"/>
      <c r="AR852" s="799"/>
      <c r="AS852" s="799"/>
      <c r="AT852" s="799"/>
      <c r="AU852" s="799"/>
      <c r="AV852" s="799"/>
      <c r="AW852" s="799"/>
      <c r="AX852" s="799"/>
      <c r="AY852" s="799"/>
      <c r="AZ852" s="799"/>
      <c r="BA852" s="799"/>
      <c r="BB852" s="799"/>
      <c r="BC852" s="799"/>
      <c r="BD852" s="799"/>
      <c r="BE852" s="799"/>
      <c r="BF852" s="799"/>
      <c r="BG852" s="799"/>
    </row>
    <row r="853">
      <c r="H853" s="799"/>
      <c r="I853" s="799"/>
      <c r="J853" s="799"/>
      <c r="K853" s="799"/>
      <c r="L853" s="799"/>
      <c r="M853" s="799"/>
      <c r="N853" s="799"/>
      <c r="O853" s="799"/>
      <c r="P853" s="799"/>
      <c r="Q853" s="799"/>
      <c r="R853" s="799"/>
      <c r="S853" s="799"/>
      <c r="T853" s="799"/>
      <c r="U853" s="799"/>
      <c r="V853" s="799"/>
      <c r="W853" s="799"/>
      <c r="X853" s="799"/>
      <c r="Y853" s="799"/>
      <c r="Z853" s="799"/>
      <c r="AA853" s="799"/>
      <c r="AB853" s="799"/>
      <c r="AC853" s="799"/>
      <c r="AD853" s="799"/>
      <c r="AE853" s="799"/>
      <c r="AF853" s="799"/>
      <c r="AG853" s="799"/>
      <c r="AH853" s="799"/>
      <c r="AI853" s="799"/>
      <c r="AJ853" s="799"/>
      <c r="AK853" s="799"/>
      <c r="AL853" s="799"/>
      <c r="AM853" s="799"/>
      <c r="AN853" s="799"/>
      <c r="AO853" s="799"/>
      <c r="AP853" s="799"/>
      <c r="AQ853" s="799"/>
      <c r="AR853" s="799"/>
      <c r="AS853" s="799"/>
      <c r="AT853" s="799"/>
      <c r="AU853" s="799"/>
      <c r="AV853" s="799"/>
      <c r="AW853" s="799"/>
      <c r="AX853" s="799"/>
      <c r="AY853" s="799"/>
      <c r="AZ853" s="799"/>
      <c r="BA853" s="799"/>
      <c r="BB853" s="799"/>
      <c r="BC853" s="799"/>
      <c r="BD853" s="799"/>
      <c r="BE853" s="799"/>
      <c r="BF853" s="799"/>
      <c r="BG853" s="799"/>
    </row>
    <row r="854">
      <c r="H854" s="799"/>
      <c r="I854" s="799"/>
      <c r="J854" s="799"/>
      <c r="K854" s="799"/>
      <c r="L854" s="799"/>
      <c r="M854" s="799"/>
      <c r="N854" s="799"/>
      <c r="O854" s="799"/>
      <c r="P854" s="799"/>
      <c r="Q854" s="799"/>
      <c r="R854" s="799"/>
      <c r="S854" s="799"/>
      <c r="T854" s="799"/>
      <c r="U854" s="799"/>
      <c r="V854" s="799"/>
      <c r="W854" s="799"/>
      <c r="X854" s="799"/>
      <c r="Y854" s="799"/>
      <c r="Z854" s="799"/>
      <c r="AA854" s="799"/>
      <c r="AB854" s="799"/>
      <c r="AC854" s="799"/>
      <c r="AD854" s="799"/>
      <c r="AE854" s="799"/>
      <c r="AF854" s="799"/>
      <c r="AG854" s="799"/>
      <c r="AH854" s="799"/>
      <c r="AI854" s="799"/>
      <c r="AJ854" s="799"/>
      <c r="AK854" s="799"/>
      <c r="AL854" s="799"/>
      <c r="AM854" s="799"/>
      <c r="AN854" s="799"/>
      <c r="AO854" s="799"/>
      <c r="AP854" s="799"/>
      <c r="AQ854" s="799"/>
      <c r="AR854" s="799"/>
      <c r="AS854" s="799"/>
      <c r="AT854" s="799"/>
      <c r="AU854" s="799"/>
      <c r="AV854" s="799"/>
      <c r="AW854" s="799"/>
      <c r="AX854" s="799"/>
      <c r="AY854" s="799"/>
      <c r="AZ854" s="799"/>
      <c r="BA854" s="799"/>
      <c r="BB854" s="799"/>
      <c r="BC854" s="799"/>
      <c r="BD854" s="799"/>
      <c r="BE854" s="799"/>
      <c r="BF854" s="799"/>
      <c r="BG854" s="799"/>
    </row>
    <row r="855">
      <c r="H855" s="799"/>
      <c r="I855" s="799"/>
      <c r="J855" s="799"/>
      <c r="K855" s="799"/>
      <c r="L855" s="799"/>
      <c r="M855" s="799"/>
      <c r="N855" s="799"/>
      <c r="O855" s="799"/>
      <c r="P855" s="799"/>
      <c r="Q855" s="799"/>
      <c r="R855" s="799"/>
      <c r="S855" s="799"/>
      <c r="T855" s="799"/>
      <c r="U855" s="799"/>
      <c r="V855" s="799"/>
      <c r="W855" s="799"/>
      <c r="X855" s="799"/>
      <c r="Y855" s="799"/>
      <c r="Z855" s="799"/>
      <c r="AA855" s="799"/>
      <c r="AB855" s="799"/>
      <c r="AC855" s="799"/>
      <c r="AD855" s="799"/>
      <c r="AE855" s="799"/>
      <c r="AF855" s="799"/>
      <c r="AG855" s="799"/>
      <c r="AH855" s="799"/>
      <c r="AI855" s="799"/>
      <c r="AJ855" s="799"/>
      <c r="AK855" s="799"/>
      <c r="AL855" s="799"/>
      <c r="AM855" s="799"/>
      <c r="AN855" s="799"/>
      <c r="AO855" s="799"/>
      <c r="AP855" s="799"/>
      <c r="AQ855" s="799"/>
      <c r="AR855" s="799"/>
      <c r="AS855" s="799"/>
      <c r="AT855" s="799"/>
      <c r="AU855" s="799"/>
      <c r="AV855" s="799"/>
      <c r="AW855" s="799"/>
      <c r="AX855" s="799"/>
      <c r="AY855" s="799"/>
      <c r="AZ855" s="799"/>
      <c r="BA855" s="799"/>
      <c r="BB855" s="799"/>
      <c r="BC855" s="799"/>
      <c r="BD855" s="799"/>
      <c r="BE855" s="799"/>
      <c r="BF855" s="799"/>
      <c r="BG855" s="799"/>
    </row>
    <row r="856">
      <c r="H856" s="799"/>
      <c r="I856" s="799"/>
      <c r="J856" s="799"/>
      <c r="K856" s="799"/>
      <c r="L856" s="799"/>
      <c r="M856" s="799"/>
      <c r="N856" s="799"/>
      <c r="O856" s="799"/>
      <c r="P856" s="799"/>
      <c r="Q856" s="799"/>
      <c r="R856" s="799"/>
      <c r="S856" s="799"/>
      <c r="T856" s="799"/>
      <c r="U856" s="799"/>
      <c r="V856" s="799"/>
      <c r="W856" s="799"/>
      <c r="X856" s="799"/>
      <c r="Y856" s="799"/>
      <c r="Z856" s="799"/>
      <c r="AA856" s="799"/>
      <c r="AB856" s="799"/>
      <c r="AC856" s="799"/>
      <c r="AD856" s="799"/>
      <c r="AE856" s="799"/>
      <c r="AF856" s="799"/>
      <c r="AG856" s="799"/>
      <c r="AH856" s="799"/>
      <c r="AI856" s="799"/>
      <c r="AJ856" s="799"/>
      <c r="AK856" s="799"/>
      <c r="AL856" s="799"/>
      <c r="AM856" s="799"/>
      <c r="AN856" s="799"/>
      <c r="AO856" s="799"/>
      <c r="AP856" s="799"/>
      <c r="AQ856" s="799"/>
      <c r="AR856" s="799"/>
      <c r="AS856" s="799"/>
      <c r="AT856" s="799"/>
      <c r="AU856" s="799"/>
      <c r="AV856" s="799"/>
      <c r="AW856" s="799"/>
      <c r="AX856" s="799"/>
      <c r="AY856" s="799"/>
      <c r="AZ856" s="799"/>
      <c r="BA856" s="799"/>
      <c r="BB856" s="799"/>
      <c r="BC856" s="799"/>
      <c r="BD856" s="799"/>
      <c r="BE856" s="799"/>
      <c r="BF856" s="799"/>
      <c r="BG856" s="799"/>
    </row>
    <row r="857">
      <c r="H857" s="799"/>
      <c r="I857" s="799"/>
      <c r="J857" s="799"/>
      <c r="K857" s="799"/>
      <c r="L857" s="799"/>
      <c r="M857" s="799"/>
      <c r="N857" s="799"/>
      <c r="O857" s="799"/>
      <c r="P857" s="799"/>
      <c r="Q857" s="799"/>
      <c r="R857" s="799"/>
      <c r="S857" s="799"/>
      <c r="T857" s="799"/>
      <c r="U857" s="799"/>
      <c r="V857" s="799"/>
      <c r="W857" s="799"/>
      <c r="X857" s="799"/>
      <c r="Y857" s="799"/>
      <c r="Z857" s="799"/>
      <c r="AA857" s="799"/>
      <c r="AB857" s="799"/>
      <c r="AC857" s="799"/>
      <c r="AD857" s="799"/>
      <c r="AE857" s="799"/>
      <c r="AF857" s="799"/>
      <c r="AG857" s="799"/>
      <c r="AH857" s="799"/>
      <c r="AI857" s="799"/>
      <c r="AJ857" s="799"/>
      <c r="AK857" s="799"/>
      <c r="AL857" s="799"/>
      <c r="AM857" s="799"/>
      <c r="AN857" s="799"/>
      <c r="AO857" s="799"/>
      <c r="AP857" s="799"/>
      <c r="AQ857" s="799"/>
      <c r="AR857" s="799"/>
      <c r="AS857" s="799"/>
      <c r="AT857" s="799"/>
      <c r="AU857" s="799"/>
      <c r="AV857" s="799"/>
      <c r="AW857" s="799"/>
      <c r="AX857" s="799"/>
      <c r="AY857" s="799"/>
      <c r="AZ857" s="799"/>
      <c r="BA857" s="799"/>
      <c r="BB857" s="799"/>
      <c r="BC857" s="799"/>
      <c r="BD857" s="799"/>
      <c r="BE857" s="799"/>
      <c r="BF857" s="799"/>
      <c r="BG857" s="799"/>
    </row>
    <row r="858">
      <c r="H858" s="799"/>
      <c r="I858" s="799"/>
      <c r="J858" s="799"/>
      <c r="K858" s="799"/>
      <c r="L858" s="799"/>
      <c r="M858" s="799"/>
      <c r="N858" s="799"/>
      <c r="O858" s="799"/>
      <c r="P858" s="799"/>
      <c r="Q858" s="799"/>
      <c r="R858" s="799"/>
      <c r="S858" s="799"/>
      <c r="T858" s="799"/>
      <c r="U858" s="799"/>
      <c r="V858" s="799"/>
      <c r="W858" s="799"/>
      <c r="X858" s="799"/>
      <c r="Y858" s="799"/>
      <c r="Z858" s="799"/>
      <c r="AA858" s="799"/>
      <c r="AB858" s="799"/>
      <c r="AC858" s="799"/>
      <c r="AD858" s="799"/>
      <c r="AE858" s="799"/>
      <c r="AF858" s="799"/>
      <c r="AG858" s="799"/>
      <c r="AH858" s="799"/>
      <c r="AI858" s="799"/>
      <c r="AJ858" s="799"/>
      <c r="AK858" s="799"/>
      <c r="AL858" s="799"/>
      <c r="AM858" s="799"/>
      <c r="AN858" s="799"/>
      <c r="AO858" s="799"/>
      <c r="AP858" s="799"/>
      <c r="AQ858" s="799"/>
      <c r="AR858" s="799"/>
      <c r="AS858" s="799"/>
      <c r="AT858" s="799"/>
      <c r="AU858" s="799"/>
      <c r="AV858" s="799"/>
      <c r="AW858" s="799"/>
      <c r="AX858" s="799"/>
      <c r="AY858" s="799"/>
      <c r="AZ858" s="799"/>
      <c r="BA858" s="799"/>
      <c r="BB858" s="799"/>
      <c r="BC858" s="799"/>
      <c r="BD858" s="799"/>
      <c r="BE858" s="799"/>
      <c r="BF858" s="799"/>
      <c r="BG858" s="799"/>
    </row>
    <row r="859">
      <c r="H859" s="799"/>
      <c r="I859" s="799"/>
      <c r="J859" s="799"/>
      <c r="K859" s="799"/>
      <c r="L859" s="799"/>
      <c r="M859" s="799"/>
      <c r="N859" s="799"/>
      <c r="O859" s="799"/>
      <c r="P859" s="799"/>
      <c r="Q859" s="799"/>
      <c r="R859" s="799"/>
      <c r="S859" s="799"/>
      <c r="T859" s="799"/>
      <c r="U859" s="799"/>
      <c r="V859" s="799"/>
      <c r="W859" s="799"/>
      <c r="X859" s="799"/>
      <c r="Y859" s="799"/>
      <c r="Z859" s="799"/>
      <c r="AA859" s="799"/>
      <c r="AB859" s="799"/>
      <c r="AC859" s="799"/>
      <c r="AD859" s="799"/>
      <c r="AE859" s="799"/>
      <c r="AF859" s="799"/>
      <c r="AG859" s="799"/>
      <c r="AH859" s="799"/>
      <c r="AI859" s="799"/>
      <c r="AJ859" s="799"/>
      <c r="AK859" s="799"/>
      <c r="AL859" s="799"/>
      <c r="AM859" s="799"/>
      <c r="AN859" s="799"/>
      <c r="AO859" s="799"/>
      <c r="AP859" s="799"/>
      <c r="AQ859" s="799"/>
      <c r="AR859" s="799"/>
      <c r="AS859" s="799"/>
      <c r="AT859" s="799"/>
      <c r="AU859" s="799"/>
      <c r="AV859" s="799"/>
      <c r="AW859" s="799"/>
      <c r="AX859" s="799"/>
      <c r="AY859" s="799"/>
      <c r="AZ859" s="799"/>
      <c r="BA859" s="799"/>
      <c r="BB859" s="799"/>
      <c r="BC859" s="799"/>
      <c r="BD859" s="799"/>
      <c r="BE859" s="799"/>
      <c r="BF859" s="799"/>
      <c r="BG859" s="799"/>
    </row>
    <row r="860">
      <c r="H860" s="799"/>
      <c r="I860" s="799"/>
      <c r="J860" s="799"/>
      <c r="K860" s="799"/>
      <c r="L860" s="799"/>
      <c r="M860" s="799"/>
      <c r="N860" s="799"/>
      <c r="O860" s="799"/>
      <c r="P860" s="799"/>
      <c r="Q860" s="799"/>
      <c r="R860" s="799"/>
      <c r="S860" s="799"/>
      <c r="T860" s="799"/>
      <c r="U860" s="799"/>
      <c r="V860" s="799"/>
      <c r="W860" s="799"/>
      <c r="X860" s="799"/>
      <c r="Y860" s="799"/>
      <c r="Z860" s="799"/>
      <c r="AA860" s="799"/>
      <c r="AB860" s="799"/>
      <c r="AC860" s="799"/>
      <c r="AD860" s="799"/>
      <c r="AE860" s="799"/>
      <c r="AF860" s="799"/>
      <c r="AG860" s="799"/>
      <c r="AH860" s="799"/>
      <c r="AI860" s="799"/>
      <c r="AJ860" s="799"/>
      <c r="AK860" s="799"/>
      <c r="AL860" s="799"/>
      <c r="AM860" s="799"/>
      <c r="AN860" s="799"/>
      <c r="AO860" s="799"/>
      <c r="AP860" s="799"/>
      <c r="AQ860" s="799"/>
      <c r="AR860" s="799"/>
      <c r="AS860" s="799"/>
      <c r="AT860" s="799"/>
      <c r="AU860" s="799"/>
      <c r="AV860" s="799"/>
      <c r="AW860" s="799"/>
      <c r="AX860" s="799"/>
      <c r="AY860" s="799"/>
      <c r="AZ860" s="799"/>
      <c r="BA860" s="799"/>
      <c r="BB860" s="799"/>
      <c r="BC860" s="799"/>
      <c r="BD860" s="799"/>
      <c r="BE860" s="799"/>
      <c r="BF860" s="799"/>
      <c r="BG860" s="799"/>
    </row>
    <row r="861">
      <c r="H861" s="799"/>
      <c r="I861" s="799"/>
      <c r="J861" s="799"/>
      <c r="K861" s="799"/>
      <c r="L861" s="799"/>
      <c r="M861" s="799"/>
      <c r="N861" s="799"/>
      <c r="O861" s="799"/>
      <c r="P861" s="799"/>
      <c r="Q861" s="799"/>
      <c r="R861" s="799"/>
      <c r="S861" s="799"/>
      <c r="T861" s="799"/>
      <c r="U861" s="799"/>
      <c r="V861" s="799"/>
      <c r="W861" s="799"/>
      <c r="X861" s="799"/>
      <c r="Y861" s="799"/>
      <c r="Z861" s="799"/>
      <c r="AA861" s="799"/>
      <c r="AB861" s="799"/>
      <c r="AC861" s="799"/>
      <c r="AD861" s="799"/>
      <c r="AE861" s="799"/>
      <c r="AF861" s="799"/>
      <c r="AG861" s="799"/>
      <c r="AH861" s="799"/>
      <c r="AI861" s="799"/>
      <c r="AJ861" s="799"/>
      <c r="AK861" s="799"/>
      <c r="AL861" s="799"/>
      <c r="AM861" s="799"/>
      <c r="AN861" s="799"/>
      <c r="AO861" s="799"/>
      <c r="AP861" s="799"/>
      <c r="AQ861" s="799"/>
      <c r="AR861" s="799"/>
      <c r="AS861" s="799"/>
      <c r="AT861" s="799"/>
      <c r="AU861" s="799"/>
      <c r="AV861" s="799"/>
      <c r="AW861" s="799"/>
      <c r="AX861" s="799"/>
      <c r="AY861" s="799"/>
      <c r="AZ861" s="799"/>
      <c r="BA861" s="799"/>
      <c r="BB861" s="799"/>
      <c r="BC861" s="799"/>
      <c r="BD861" s="799"/>
      <c r="BE861" s="799"/>
      <c r="BF861" s="799"/>
      <c r="BG861" s="799"/>
    </row>
    <row r="862">
      <c r="H862" s="799"/>
      <c r="I862" s="799"/>
      <c r="J862" s="799"/>
      <c r="K862" s="799"/>
      <c r="L862" s="799"/>
      <c r="M862" s="799"/>
      <c r="N862" s="799"/>
      <c r="O862" s="799"/>
      <c r="P862" s="799"/>
      <c r="Q862" s="799"/>
      <c r="R862" s="799"/>
      <c r="S862" s="799"/>
      <c r="T862" s="799"/>
      <c r="U862" s="799"/>
      <c r="V862" s="799"/>
      <c r="W862" s="799"/>
      <c r="X862" s="799"/>
      <c r="Y862" s="799"/>
      <c r="Z862" s="799"/>
      <c r="AA862" s="799"/>
      <c r="AB862" s="799"/>
      <c r="AC862" s="799"/>
      <c r="AD862" s="799"/>
      <c r="AE862" s="799"/>
      <c r="AF862" s="799"/>
      <c r="AG862" s="799"/>
      <c r="AH862" s="799"/>
      <c r="AI862" s="799"/>
      <c r="AJ862" s="799"/>
      <c r="AK862" s="799"/>
      <c r="AL862" s="799"/>
      <c r="AM862" s="799"/>
      <c r="AN862" s="799"/>
      <c r="AO862" s="799"/>
      <c r="AP862" s="799"/>
      <c r="AQ862" s="799"/>
      <c r="AR862" s="799"/>
      <c r="AS862" s="799"/>
      <c r="AT862" s="799"/>
      <c r="AU862" s="799"/>
      <c r="AV862" s="799"/>
      <c r="AW862" s="799"/>
      <c r="AX862" s="799"/>
      <c r="AY862" s="799"/>
      <c r="AZ862" s="799"/>
      <c r="BA862" s="799"/>
      <c r="BB862" s="799"/>
      <c r="BC862" s="799"/>
      <c r="BD862" s="799"/>
      <c r="BE862" s="799"/>
      <c r="BF862" s="799"/>
      <c r="BG862" s="799"/>
    </row>
    <row r="863">
      <c r="H863" s="799"/>
      <c r="I863" s="799"/>
      <c r="J863" s="799"/>
      <c r="K863" s="799"/>
      <c r="L863" s="799"/>
      <c r="M863" s="799"/>
      <c r="N863" s="799"/>
      <c r="O863" s="799"/>
      <c r="P863" s="799"/>
      <c r="Q863" s="799"/>
      <c r="R863" s="799"/>
      <c r="S863" s="799"/>
      <c r="T863" s="799"/>
      <c r="U863" s="799"/>
      <c r="V863" s="799"/>
      <c r="W863" s="799"/>
      <c r="X863" s="799"/>
      <c r="Y863" s="799"/>
      <c r="Z863" s="799"/>
      <c r="AA863" s="799"/>
      <c r="AB863" s="799"/>
      <c r="AC863" s="799"/>
      <c r="AD863" s="799"/>
      <c r="AE863" s="799"/>
      <c r="AF863" s="799"/>
      <c r="AG863" s="799"/>
      <c r="AH863" s="799"/>
      <c r="AI863" s="799"/>
      <c r="AJ863" s="799"/>
      <c r="AK863" s="799"/>
      <c r="AL863" s="799"/>
      <c r="AM863" s="799"/>
      <c r="AN863" s="799"/>
      <c r="AO863" s="799"/>
      <c r="AP863" s="799"/>
      <c r="AQ863" s="799"/>
      <c r="AR863" s="799"/>
      <c r="AS863" s="799"/>
      <c r="AT863" s="799"/>
      <c r="AU863" s="799"/>
      <c r="AV863" s="799"/>
      <c r="AW863" s="799"/>
      <c r="AX863" s="799"/>
      <c r="AY863" s="799"/>
      <c r="AZ863" s="799"/>
      <c r="BA863" s="799"/>
      <c r="BB863" s="799"/>
      <c r="BC863" s="799"/>
      <c r="BD863" s="799"/>
      <c r="BE863" s="799"/>
      <c r="BF863" s="799"/>
      <c r="BG863" s="799"/>
    </row>
    <row r="864">
      <c r="H864" s="799"/>
      <c r="I864" s="799"/>
      <c r="J864" s="799"/>
      <c r="K864" s="799"/>
      <c r="L864" s="799"/>
      <c r="M864" s="799"/>
      <c r="N864" s="799"/>
      <c r="O864" s="799"/>
      <c r="P864" s="799"/>
      <c r="Q864" s="799"/>
      <c r="R864" s="799"/>
      <c r="S864" s="799"/>
      <c r="T864" s="799"/>
      <c r="U864" s="799"/>
      <c r="V864" s="799"/>
      <c r="W864" s="799"/>
      <c r="X864" s="799"/>
      <c r="Y864" s="799"/>
      <c r="Z864" s="799"/>
      <c r="AA864" s="799"/>
      <c r="AB864" s="799"/>
      <c r="AC864" s="799"/>
      <c r="AD864" s="799"/>
      <c r="AE864" s="799"/>
      <c r="AF864" s="799"/>
      <c r="AG864" s="799"/>
      <c r="AH864" s="799"/>
      <c r="AI864" s="799"/>
      <c r="AJ864" s="799"/>
      <c r="AK864" s="799"/>
      <c r="AL864" s="799"/>
      <c r="AM864" s="799"/>
      <c r="AN864" s="799"/>
      <c r="AO864" s="799"/>
      <c r="AP864" s="799"/>
      <c r="AQ864" s="799"/>
      <c r="AR864" s="799"/>
      <c r="AS864" s="799"/>
      <c r="AT864" s="799"/>
      <c r="AU864" s="799"/>
      <c r="AV864" s="799"/>
      <c r="AW864" s="799"/>
      <c r="AX864" s="799"/>
      <c r="AY864" s="799"/>
      <c r="AZ864" s="799"/>
      <c r="BA864" s="799"/>
      <c r="BB864" s="799"/>
      <c r="BC864" s="799"/>
      <c r="BD864" s="799"/>
      <c r="BE864" s="799"/>
      <c r="BF864" s="799"/>
      <c r="BG864" s="799"/>
    </row>
    <row r="865">
      <c r="H865" s="799"/>
      <c r="I865" s="799"/>
      <c r="J865" s="799"/>
      <c r="K865" s="799"/>
      <c r="L865" s="799"/>
      <c r="M865" s="799"/>
      <c r="N865" s="799"/>
      <c r="O865" s="799"/>
      <c r="P865" s="799"/>
      <c r="Q865" s="799"/>
      <c r="R865" s="799"/>
      <c r="S865" s="799"/>
      <c r="T865" s="799"/>
      <c r="U865" s="799"/>
      <c r="V865" s="799"/>
      <c r="W865" s="799"/>
      <c r="X865" s="799"/>
      <c r="Y865" s="799"/>
      <c r="Z865" s="799"/>
      <c r="AA865" s="799"/>
      <c r="AB865" s="799"/>
      <c r="AC865" s="799"/>
      <c r="AD865" s="799"/>
      <c r="AE865" s="799"/>
      <c r="AF865" s="799"/>
      <c r="AG865" s="799"/>
      <c r="AH865" s="799"/>
      <c r="AI865" s="799"/>
      <c r="AJ865" s="799"/>
      <c r="AK865" s="799"/>
      <c r="AL865" s="799"/>
      <c r="AM865" s="799"/>
      <c r="AN865" s="799"/>
      <c r="AO865" s="799"/>
      <c r="AP865" s="799"/>
      <c r="AQ865" s="799"/>
      <c r="AR865" s="799"/>
      <c r="AS865" s="799"/>
      <c r="AT865" s="799"/>
      <c r="AU865" s="799"/>
      <c r="AV865" s="799"/>
      <c r="AW865" s="799"/>
      <c r="AX865" s="799"/>
      <c r="AY865" s="799"/>
      <c r="AZ865" s="799"/>
      <c r="BA865" s="799"/>
      <c r="BB865" s="799"/>
      <c r="BC865" s="799"/>
      <c r="BD865" s="799"/>
      <c r="BE865" s="799"/>
      <c r="BF865" s="799"/>
      <c r="BG865" s="799"/>
    </row>
    <row r="866">
      <c r="H866" s="799"/>
      <c r="I866" s="799"/>
      <c r="J866" s="799"/>
      <c r="K866" s="799"/>
      <c r="L866" s="799"/>
      <c r="M866" s="799"/>
      <c r="N866" s="799"/>
      <c r="O866" s="799"/>
      <c r="P866" s="799"/>
      <c r="Q866" s="799"/>
      <c r="R866" s="799"/>
      <c r="S866" s="799"/>
      <c r="T866" s="799"/>
      <c r="U866" s="799"/>
      <c r="V866" s="799"/>
      <c r="W866" s="799"/>
      <c r="X866" s="799"/>
      <c r="Y866" s="799"/>
      <c r="Z866" s="799"/>
      <c r="AA866" s="799"/>
      <c r="AB866" s="799"/>
      <c r="AC866" s="799"/>
      <c r="AD866" s="799"/>
      <c r="AE866" s="799"/>
      <c r="AF866" s="799"/>
      <c r="AG866" s="799"/>
      <c r="AH866" s="799"/>
      <c r="AI866" s="799"/>
      <c r="AJ866" s="799"/>
      <c r="AK866" s="799"/>
      <c r="AL866" s="799"/>
      <c r="AM866" s="799"/>
      <c r="AN866" s="799"/>
      <c r="AO866" s="799"/>
      <c r="AP866" s="799"/>
      <c r="AQ866" s="799"/>
      <c r="AR866" s="799"/>
      <c r="AS866" s="799"/>
      <c r="AT866" s="799"/>
      <c r="AU866" s="799"/>
      <c r="AV866" s="799"/>
      <c r="AW866" s="799"/>
      <c r="AX866" s="799"/>
      <c r="AY866" s="799"/>
      <c r="AZ866" s="799"/>
      <c r="BA866" s="799"/>
      <c r="BB866" s="799"/>
      <c r="BC866" s="799"/>
      <c r="BD866" s="799"/>
      <c r="BE866" s="799"/>
      <c r="BF866" s="799"/>
      <c r="BG866" s="799"/>
    </row>
    <row r="867">
      <c r="H867" s="799"/>
      <c r="I867" s="799"/>
      <c r="J867" s="799"/>
      <c r="K867" s="799"/>
      <c r="L867" s="799"/>
      <c r="M867" s="799"/>
      <c r="N867" s="799"/>
      <c r="O867" s="799"/>
      <c r="P867" s="799"/>
      <c r="Q867" s="799"/>
      <c r="R867" s="799"/>
      <c r="S867" s="799"/>
      <c r="T867" s="799"/>
      <c r="U867" s="799"/>
      <c r="V867" s="799"/>
      <c r="W867" s="799"/>
      <c r="X867" s="799"/>
      <c r="Y867" s="799"/>
      <c r="Z867" s="799"/>
      <c r="AA867" s="799"/>
      <c r="AB867" s="799"/>
      <c r="AC867" s="799"/>
      <c r="AD867" s="799"/>
      <c r="AE867" s="799"/>
      <c r="AF867" s="799"/>
      <c r="AG867" s="799"/>
      <c r="AH867" s="799"/>
      <c r="AI867" s="799"/>
      <c r="AJ867" s="799"/>
      <c r="AK867" s="799"/>
      <c r="AL867" s="799"/>
      <c r="AM867" s="799"/>
      <c r="AN867" s="799"/>
      <c r="AO867" s="799"/>
      <c r="AP867" s="799"/>
      <c r="AQ867" s="799"/>
      <c r="AR867" s="799"/>
      <c r="AS867" s="799"/>
      <c r="AT867" s="799"/>
      <c r="AU867" s="799"/>
      <c r="AV867" s="799"/>
      <c r="AW867" s="799"/>
      <c r="AX867" s="799"/>
      <c r="AY867" s="799"/>
      <c r="AZ867" s="799"/>
      <c r="BA867" s="799"/>
      <c r="BB867" s="799"/>
      <c r="BC867" s="799"/>
      <c r="BD867" s="799"/>
      <c r="BE867" s="799"/>
      <c r="BF867" s="799"/>
      <c r="BG867" s="799"/>
    </row>
    <row r="868">
      <c r="H868" s="799"/>
      <c r="I868" s="799"/>
      <c r="J868" s="799"/>
      <c r="K868" s="799"/>
      <c r="L868" s="799"/>
      <c r="M868" s="799"/>
      <c r="N868" s="799"/>
      <c r="O868" s="799"/>
      <c r="P868" s="799"/>
      <c r="Q868" s="799"/>
      <c r="R868" s="799"/>
      <c r="S868" s="799"/>
      <c r="T868" s="799"/>
      <c r="U868" s="799"/>
      <c r="V868" s="799"/>
      <c r="W868" s="799"/>
      <c r="X868" s="799"/>
      <c r="Y868" s="799"/>
      <c r="Z868" s="799"/>
      <c r="AA868" s="799"/>
      <c r="AB868" s="799"/>
      <c r="AC868" s="799"/>
      <c r="AD868" s="799"/>
      <c r="AE868" s="799"/>
      <c r="AF868" s="799"/>
      <c r="AG868" s="799"/>
      <c r="AH868" s="799"/>
      <c r="AI868" s="799"/>
      <c r="AJ868" s="799"/>
      <c r="AK868" s="799"/>
      <c r="AL868" s="799"/>
      <c r="AM868" s="799"/>
      <c r="AN868" s="799"/>
      <c r="AO868" s="799"/>
      <c r="AP868" s="799"/>
      <c r="AQ868" s="799"/>
      <c r="AR868" s="799"/>
      <c r="AS868" s="799"/>
      <c r="AT868" s="799"/>
      <c r="AU868" s="799"/>
      <c r="AV868" s="799"/>
      <c r="AW868" s="799"/>
      <c r="AX868" s="799"/>
      <c r="AY868" s="799"/>
      <c r="AZ868" s="799"/>
      <c r="BA868" s="799"/>
      <c r="BB868" s="799"/>
      <c r="BC868" s="799"/>
      <c r="BD868" s="799"/>
      <c r="BE868" s="799"/>
      <c r="BF868" s="799"/>
      <c r="BG868" s="799"/>
    </row>
    <row r="869">
      <c r="H869" s="799"/>
      <c r="I869" s="799"/>
      <c r="J869" s="799"/>
      <c r="K869" s="799"/>
      <c r="L869" s="799"/>
      <c r="M869" s="799"/>
      <c r="N869" s="799"/>
      <c r="O869" s="799"/>
      <c r="P869" s="799"/>
      <c r="Q869" s="799"/>
      <c r="R869" s="799"/>
      <c r="S869" s="799"/>
      <c r="T869" s="799"/>
      <c r="U869" s="799"/>
      <c r="V869" s="799"/>
      <c r="W869" s="799"/>
      <c r="X869" s="799"/>
      <c r="Y869" s="799"/>
      <c r="Z869" s="799"/>
      <c r="AA869" s="799"/>
      <c r="AB869" s="799"/>
      <c r="AC869" s="799"/>
      <c r="AD869" s="799"/>
      <c r="AE869" s="799"/>
      <c r="AF869" s="799"/>
      <c r="AG869" s="799"/>
      <c r="AH869" s="799"/>
      <c r="AI869" s="799"/>
      <c r="AJ869" s="799"/>
      <c r="AK869" s="799"/>
      <c r="AL869" s="799"/>
      <c r="AM869" s="799"/>
      <c r="AN869" s="799"/>
      <c r="AO869" s="799"/>
      <c r="AP869" s="799"/>
      <c r="AQ869" s="799"/>
      <c r="AR869" s="799"/>
      <c r="AS869" s="799"/>
      <c r="AT869" s="799"/>
      <c r="AU869" s="799"/>
      <c r="AV869" s="799"/>
      <c r="AW869" s="799"/>
      <c r="AX869" s="799"/>
      <c r="AY869" s="799"/>
      <c r="AZ869" s="799"/>
      <c r="BA869" s="799"/>
      <c r="BB869" s="799"/>
      <c r="BC869" s="799"/>
      <c r="BD869" s="799"/>
      <c r="BE869" s="799"/>
      <c r="BF869" s="799"/>
      <c r="BG869" s="799"/>
    </row>
    <row r="870">
      <c r="H870" s="799"/>
      <c r="I870" s="799"/>
      <c r="J870" s="799"/>
      <c r="K870" s="799"/>
      <c r="L870" s="799"/>
      <c r="M870" s="799"/>
      <c r="N870" s="799"/>
      <c r="O870" s="799"/>
      <c r="P870" s="799"/>
      <c r="Q870" s="799"/>
      <c r="R870" s="799"/>
      <c r="S870" s="799"/>
      <c r="T870" s="799"/>
      <c r="U870" s="799"/>
      <c r="V870" s="799"/>
      <c r="W870" s="799"/>
      <c r="X870" s="799"/>
      <c r="Y870" s="799"/>
      <c r="Z870" s="799"/>
      <c r="AA870" s="799"/>
      <c r="AB870" s="799"/>
      <c r="AC870" s="799"/>
      <c r="AD870" s="799"/>
      <c r="AE870" s="799"/>
      <c r="AF870" s="799"/>
      <c r="AG870" s="799"/>
      <c r="AH870" s="799"/>
      <c r="AI870" s="799"/>
      <c r="AJ870" s="799"/>
      <c r="AK870" s="799"/>
      <c r="AL870" s="799"/>
      <c r="AM870" s="799"/>
      <c r="AN870" s="799"/>
      <c r="AO870" s="799"/>
      <c r="AP870" s="799"/>
      <c r="AQ870" s="799"/>
      <c r="AR870" s="799"/>
      <c r="AS870" s="799"/>
      <c r="AT870" s="799"/>
      <c r="AU870" s="799"/>
      <c r="AV870" s="799"/>
      <c r="AW870" s="799"/>
      <c r="AX870" s="799"/>
      <c r="AY870" s="799"/>
      <c r="AZ870" s="799"/>
      <c r="BA870" s="799"/>
      <c r="BB870" s="799"/>
      <c r="BC870" s="799"/>
      <c r="BD870" s="799"/>
      <c r="BE870" s="799"/>
      <c r="BF870" s="799"/>
      <c r="BG870" s="799"/>
    </row>
    <row r="871">
      <c r="H871" s="799"/>
      <c r="I871" s="799"/>
      <c r="J871" s="799"/>
      <c r="K871" s="799"/>
      <c r="L871" s="799"/>
      <c r="M871" s="799"/>
      <c r="N871" s="799"/>
      <c r="O871" s="799"/>
      <c r="P871" s="799"/>
      <c r="Q871" s="799"/>
      <c r="R871" s="799"/>
      <c r="S871" s="799"/>
      <c r="T871" s="799"/>
      <c r="U871" s="799"/>
      <c r="V871" s="799"/>
      <c r="W871" s="799"/>
      <c r="X871" s="799"/>
      <c r="Y871" s="799"/>
      <c r="Z871" s="799"/>
      <c r="AA871" s="799"/>
      <c r="AB871" s="799"/>
      <c r="AC871" s="799"/>
      <c r="AD871" s="799"/>
      <c r="AE871" s="799"/>
      <c r="AF871" s="799"/>
      <c r="AG871" s="799"/>
      <c r="AH871" s="799"/>
      <c r="AI871" s="799"/>
      <c r="AJ871" s="799"/>
      <c r="AK871" s="799"/>
      <c r="AL871" s="799"/>
      <c r="AM871" s="799"/>
      <c r="AN871" s="799"/>
      <c r="AO871" s="799"/>
      <c r="AP871" s="799"/>
      <c r="AQ871" s="799"/>
      <c r="AR871" s="799"/>
      <c r="AS871" s="799"/>
      <c r="AT871" s="799"/>
      <c r="AU871" s="799"/>
      <c r="AV871" s="799"/>
      <c r="AW871" s="799"/>
      <c r="AX871" s="799"/>
      <c r="AY871" s="799"/>
      <c r="AZ871" s="799"/>
      <c r="BA871" s="799"/>
      <c r="BB871" s="799"/>
      <c r="BC871" s="799"/>
      <c r="BD871" s="799"/>
      <c r="BE871" s="799"/>
      <c r="BF871" s="799"/>
      <c r="BG871" s="799"/>
    </row>
    <row r="872">
      <c r="H872" s="799"/>
      <c r="I872" s="799"/>
      <c r="J872" s="799"/>
      <c r="K872" s="799"/>
      <c r="L872" s="799"/>
      <c r="M872" s="799"/>
      <c r="N872" s="799"/>
      <c r="O872" s="799"/>
      <c r="P872" s="799"/>
      <c r="Q872" s="799"/>
      <c r="R872" s="799"/>
      <c r="S872" s="799"/>
      <c r="T872" s="799"/>
      <c r="U872" s="799"/>
      <c r="V872" s="799"/>
      <c r="W872" s="799"/>
      <c r="X872" s="799"/>
      <c r="Y872" s="799"/>
      <c r="Z872" s="799"/>
      <c r="AA872" s="799"/>
      <c r="AB872" s="799"/>
      <c r="AC872" s="799"/>
      <c r="AD872" s="799"/>
      <c r="AE872" s="799"/>
      <c r="AF872" s="799"/>
      <c r="AG872" s="799"/>
      <c r="AH872" s="799"/>
      <c r="AI872" s="799"/>
      <c r="AJ872" s="799"/>
      <c r="AK872" s="799"/>
      <c r="AL872" s="799"/>
      <c r="AM872" s="799"/>
      <c r="AN872" s="799"/>
      <c r="AO872" s="799"/>
      <c r="AP872" s="799"/>
      <c r="AQ872" s="799"/>
      <c r="AR872" s="799"/>
      <c r="AS872" s="799"/>
      <c r="AT872" s="799"/>
      <c r="AU872" s="799"/>
      <c r="AV872" s="799"/>
      <c r="AW872" s="799"/>
      <c r="AX872" s="799"/>
      <c r="AY872" s="799"/>
      <c r="AZ872" s="799"/>
      <c r="BA872" s="799"/>
      <c r="BB872" s="799"/>
      <c r="BC872" s="799"/>
      <c r="BD872" s="799"/>
      <c r="BE872" s="799"/>
      <c r="BF872" s="799"/>
      <c r="BG872" s="799"/>
    </row>
    <row r="873">
      <c r="H873" s="799"/>
      <c r="I873" s="799"/>
      <c r="J873" s="799"/>
      <c r="K873" s="799"/>
      <c r="L873" s="799"/>
      <c r="M873" s="799"/>
      <c r="N873" s="799"/>
      <c r="O873" s="799"/>
      <c r="P873" s="799"/>
      <c r="Q873" s="799"/>
      <c r="R873" s="799"/>
      <c r="S873" s="799"/>
      <c r="T873" s="799"/>
      <c r="U873" s="799"/>
      <c r="V873" s="799"/>
      <c r="W873" s="799"/>
      <c r="X873" s="799"/>
      <c r="Y873" s="799"/>
      <c r="Z873" s="799"/>
      <c r="AA873" s="799"/>
      <c r="AB873" s="799"/>
      <c r="AC873" s="799"/>
      <c r="AD873" s="799"/>
      <c r="AE873" s="799"/>
      <c r="AF873" s="799"/>
      <c r="AG873" s="799"/>
      <c r="AH873" s="799"/>
      <c r="AI873" s="799"/>
      <c r="AJ873" s="799"/>
      <c r="AK873" s="799"/>
      <c r="AL873" s="799"/>
      <c r="AM873" s="799"/>
      <c r="AN873" s="799"/>
      <c r="AO873" s="799"/>
      <c r="AP873" s="799"/>
      <c r="AQ873" s="799"/>
      <c r="AR873" s="799"/>
      <c r="AS873" s="799"/>
      <c r="AT873" s="799"/>
      <c r="AU873" s="799"/>
      <c r="AV873" s="799"/>
      <c r="AW873" s="799"/>
      <c r="AX873" s="799"/>
      <c r="AY873" s="799"/>
      <c r="AZ873" s="799"/>
      <c r="BA873" s="799"/>
      <c r="BB873" s="799"/>
      <c r="BC873" s="799"/>
      <c r="BD873" s="799"/>
      <c r="BE873" s="799"/>
      <c r="BF873" s="799"/>
      <c r="BG873" s="799"/>
    </row>
    <row r="874">
      <c r="H874" s="799"/>
      <c r="I874" s="799"/>
      <c r="J874" s="799"/>
      <c r="K874" s="799"/>
      <c r="L874" s="799"/>
      <c r="M874" s="799"/>
      <c r="N874" s="799"/>
      <c r="O874" s="799"/>
      <c r="P874" s="799"/>
      <c r="Q874" s="799"/>
      <c r="R874" s="799"/>
      <c r="S874" s="799"/>
      <c r="T874" s="799"/>
      <c r="U874" s="799"/>
      <c r="V874" s="799"/>
      <c r="W874" s="799"/>
      <c r="X874" s="799"/>
      <c r="Y874" s="799"/>
      <c r="Z874" s="799"/>
      <c r="AA874" s="799"/>
      <c r="AB874" s="799"/>
      <c r="AC874" s="799"/>
      <c r="AD874" s="799"/>
      <c r="AE874" s="799"/>
      <c r="AF874" s="799"/>
      <c r="AG874" s="799"/>
      <c r="AH874" s="799"/>
      <c r="AI874" s="799"/>
      <c r="AJ874" s="799"/>
      <c r="AK874" s="799"/>
      <c r="AL874" s="799"/>
      <c r="AM874" s="799"/>
      <c r="AN874" s="799"/>
      <c r="AO874" s="799"/>
      <c r="AP874" s="799"/>
      <c r="AQ874" s="799"/>
      <c r="AR874" s="799"/>
      <c r="AS874" s="799"/>
      <c r="AT874" s="799"/>
      <c r="AU874" s="799"/>
      <c r="AV874" s="799"/>
      <c r="AW874" s="799"/>
      <c r="AX874" s="799"/>
      <c r="AY874" s="799"/>
      <c r="AZ874" s="799"/>
      <c r="BA874" s="799"/>
      <c r="BB874" s="799"/>
      <c r="BC874" s="799"/>
      <c r="BD874" s="799"/>
      <c r="BE874" s="799"/>
      <c r="BF874" s="799"/>
      <c r="BG874" s="799"/>
    </row>
    <row r="875">
      <c r="H875" s="799"/>
      <c r="I875" s="799"/>
      <c r="J875" s="799"/>
      <c r="K875" s="799"/>
      <c r="L875" s="799"/>
      <c r="M875" s="799"/>
      <c r="N875" s="799"/>
      <c r="O875" s="799"/>
      <c r="P875" s="799"/>
      <c r="Q875" s="799"/>
      <c r="R875" s="799"/>
      <c r="S875" s="799"/>
      <c r="T875" s="799"/>
      <c r="U875" s="799"/>
      <c r="V875" s="799"/>
      <c r="W875" s="799"/>
      <c r="X875" s="799"/>
      <c r="Y875" s="799"/>
      <c r="Z875" s="799"/>
      <c r="AA875" s="799"/>
      <c r="AB875" s="799"/>
      <c r="AC875" s="799"/>
      <c r="AD875" s="799"/>
      <c r="AE875" s="799"/>
      <c r="AF875" s="799"/>
      <c r="AG875" s="799"/>
      <c r="AH875" s="799"/>
      <c r="AI875" s="799"/>
      <c r="AJ875" s="799"/>
      <c r="AK875" s="799"/>
      <c r="AL875" s="799"/>
      <c r="AM875" s="799"/>
      <c r="AN875" s="799"/>
      <c r="AO875" s="799"/>
      <c r="AP875" s="799"/>
      <c r="AQ875" s="799"/>
      <c r="AR875" s="799"/>
      <c r="AS875" s="799"/>
      <c r="AT875" s="799"/>
      <c r="AU875" s="799"/>
      <c r="AV875" s="799"/>
      <c r="AW875" s="799"/>
      <c r="AX875" s="799"/>
      <c r="AY875" s="799"/>
      <c r="AZ875" s="799"/>
      <c r="BA875" s="799"/>
      <c r="BB875" s="799"/>
      <c r="BC875" s="799"/>
      <c r="BD875" s="799"/>
      <c r="BE875" s="799"/>
      <c r="BF875" s="799"/>
      <c r="BG875" s="799"/>
    </row>
    <row r="876">
      <c r="H876" s="799"/>
      <c r="I876" s="799"/>
      <c r="J876" s="799"/>
      <c r="K876" s="799"/>
      <c r="L876" s="799"/>
      <c r="M876" s="799"/>
      <c r="N876" s="799"/>
      <c r="O876" s="799"/>
      <c r="P876" s="799"/>
      <c r="Q876" s="799"/>
      <c r="R876" s="799"/>
      <c r="S876" s="799"/>
      <c r="T876" s="799"/>
      <c r="U876" s="799"/>
      <c r="V876" s="799"/>
      <c r="W876" s="799"/>
      <c r="X876" s="799"/>
      <c r="Y876" s="799"/>
      <c r="Z876" s="799"/>
      <c r="AA876" s="799"/>
      <c r="AB876" s="799"/>
      <c r="AC876" s="799"/>
      <c r="AD876" s="799"/>
      <c r="AE876" s="799"/>
      <c r="AF876" s="799"/>
      <c r="AG876" s="799"/>
      <c r="AH876" s="799"/>
      <c r="AI876" s="799"/>
      <c r="AJ876" s="799"/>
      <c r="AK876" s="799"/>
      <c r="AL876" s="799"/>
      <c r="AM876" s="799"/>
      <c r="AN876" s="799"/>
      <c r="AO876" s="799"/>
      <c r="AP876" s="799"/>
      <c r="AQ876" s="799"/>
      <c r="AR876" s="799"/>
      <c r="AS876" s="799"/>
      <c r="AT876" s="799"/>
      <c r="AU876" s="799"/>
      <c r="AV876" s="799"/>
      <c r="AW876" s="799"/>
      <c r="AX876" s="799"/>
      <c r="AY876" s="799"/>
      <c r="AZ876" s="799"/>
      <c r="BA876" s="799"/>
      <c r="BB876" s="799"/>
      <c r="BC876" s="799"/>
      <c r="BD876" s="799"/>
      <c r="BE876" s="799"/>
      <c r="BF876" s="799"/>
      <c r="BG876" s="799"/>
    </row>
    <row r="877">
      <c r="H877" s="799"/>
      <c r="I877" s="799"/>
      <c r="J877" s="799"/>
      <c r="K877" s="799"/>
      <c r="L877" s="799"/>
      <c r="M877" s="799"/>
      <c r="N877" s="799"/>
      <c r="O877" s="799"/>
      <c r="P877" s="799"/>
      <c r="Q877" s="799"/>
      <c r="R877" s="799"/>
      <c r="S877" s="799"/>
      <c r="T877" s="799"/>
      <c r="U877" s="799"/>
      <c r="V877" s="799"/>
      <c r="W877" s="799"/>
      <c r="X877" s="799"/>
      <c r="Y877" s="799"/>
      <c r="Z877" s="799"/>
      <c r="AA877" s="799"/>
      <c r="AB877" s="799"/>
      <c r="AC877" s="799"/>
      <c r="AD877" s="799"/>
      <c r="AE877" s="799"/>
      <c r="AF877" s="799"/>
      <c r="AG877" s="799"/>
      <c r="AH877" s="799"/>
      <c r="AI877" s="799"/>
      <c r="AJ877" s="799"/>
      <c r="AK877" s="799"/>
      <c r="AL877" s="799"/>
      <c r="AM877" s="799"/>
      <c r="AN877" s="799"/>
      <c r="AO877" s="799"/>
      <c r="AP877" s="799"/>
      <c r="AQ877" s="799"/>
      <c r="AR877" s="799"/>
      <c r="AS877" s="799"/>
      <c r="AT877" s="799"/>
      <c r="AU877" s="799"/>
      <c r="AV877" s="799"/>
      <c r="AW877" s="799"/>
      <c r="AX877" s="799"/>
      <c r="AY877" s="799"/>
      <c r="AZ877" s="799"/>
      <c r="BA877" s="799"/>
      <c r="BB877" s="799"/>
      <c r="BC877" s="799"/>
      <c r="BD877" s="799"/>
      <c r="BE877" s="799"/>
      <c r="BF877" s="799"/>
      <c r="BG877" s="799"/>
    </row>
    <row r="878">
      <c r="H878" s="799"/>
      <c r="I878" s="799"/>
      <c r="J878" s="799"/>
      <c r="K878" s="799"/>
      <c r="L878" s="799"/>
      <c r="M878" s="799"/>
      <c r="N878" s="799"/>
      <c r="O878" s="799"/>
      <c r="P878" s="799"/>
      <c r="Q878" s="799"/>
      <c r="R878" s="799"/>
      <c r="S878" s="799"/>
      <c r="T878" s="799"/>
      <c r="U878" s="799"/>
      <c r="V878" s="799"/>
      <c r="W878" s="799"/>
      <c r="X878" s="799"/>
      <c r="Y878" s="799"/>
      <c r="Z878" s="799"/>
      <c r="AA878" s="799"/>
      <c r="AB878" s="799"/>
      <c r="AC878" s="799"/>
      <c r="AD878" s="799"/>
      <c r="AE878" s="799"/>
      <c r="AF878" s="799"/>
      <c r="AG878" s="799"/>
      <c r="AH878" s="799"/>
      <c r="AI878" s="799"/>
      <c r="AJ878" s="799"/>
      <c r="AK878" s="799"/>
      <c r="AL878" s="799"/>
      <c r="AM878" s="799"/>
      <c r="AN878" s="799"/>
      <c r="AO878" s="799"/>
      <c r="AP878" s="799"/>
      <c r="AQ878" s="799"/>
      <c r="AR878" s="799"/>
      <c r="AS878" s="799"/>
      <c r="AT878" s="799"/>
      <c r="AU878" s="799"/>
      <c r="AV878" s="799"/>
      <c r="AW878" s="799"/>
      <c r="AX878" s="799"/>
      <c r="AY878" s="799"/>
      <c r="AZ878" s="799"/>
      <c r="BA878" s="799"/>
      <c r="BB878" s="799"/>
      <c r="BC878" s="799"/>
      <c r="BD878" s="799"/>
      <c r="BE878" s="799"/>
      <c r="BF878" s="799"/>
      <c r="BG878" s="799"/>
    </row>
    <row r="879">
      <c r="H879" s="799"/>
      <c r="I879" s="799"/>
      <c r="J879" s="799"/>
      <c r="K879" s="799"/>
      <c r="L879" s="799"/>
      <c r="M879" s="799"/>
      <c r="N879" s="799"/>
      <c r="O879" s="799"/>
      <c r="P879" s="799"/>
      <c r="Q879" s="799"/>
      <c r="R879" s="799"/>
      <c r="S879" s="799"/>
      <c r="T879" s="799"/>
      <c r="U879" s="799"/>
      <c r="V879" s="799"/>
      <c r="W879" s="799"/>
      <c r="X879" s="799"/>
      <c r="Y879" s="799"/>
      <c r="Z879" s="799"/>
      <c r="AA879" s="799"/>
      <c r="AB879" s="799"/>
      <c r="AC879" s="799"/>
      <c r="AD879" s="799"/>
      <c r="AE879" s="799"/>
      <c r="AF879" s="799"/>
      <c r="AG879" s="799"/>
      <c r="AH879" s="799"/>
      <c r="AI879" s="799"/>
      <c r="AJ879" s="799"/>
      <c r="AK879" s="799"/>
      <c r="AL879" s="799"/>
      <c r="AM879" s="799"/>
      <c r="AN879" s="799"/>
      <c r="AO879" s="799"/>
      <c r="AP879" s="799"/>
      <c r="AQ879" s="799"/>
      <c r="AR879" s="799"/>
      <c r="AS879" s="799"/>
      <c r="AT879" s="799"/>
      <c r="AU879" s="799"/>
      <c r="AV879" s="799"/>
      <c r="AW879" s="799"/>
      <c r="AX879" s="799"/>
      <c r="AY879" s="799"/>
      <c r="AZ879" s="799"/>
      <c r="BA879" s="799"/>
      <c r="BB879" s="799"/>
      <c r="BC879" s="799"/>
      <c r="BD879" s="799"/>
      <c r="BE879" s="799"/>
      <c r="BF879" s="799"/>
      <c r="BG879" s="799"/>
    </row>
    <row r="880">
      <c r="H880" s="799"/>
      <c r="I880" s="799"/>
      <c r="J880" s="799"/>
      <c r="K880" s="799"/>
      <c r="L880" s="799"/>
      <c r="M880" s="799"/>
      <c r="N880" s="799"/>
      <c r="O880" s="799"/>
      <c r="P880" s="799"/>
      <c r="Q880" s="799"/>
      <c r="R880" s="799"/>
      <c r="S880" s="799"/>
      <c r="T880" s="799"/>
      <c r="U880" s="799"/>
      <c r="V880" s="799"/>
      <c r="W880" s="799"/>
      <c r="X880" s="799"/>
      <c r="Y880" s="799"/>
      <c r="Z880" s="799"/>
      <c r="AA880" s="799"/>
      <c r="AB880" s="799"/>
      <c r="AC880" s="799"/>
      <c r="AD880" s="799"/>
      <c r="AE880" s="799"/>
      <c r="AF880" s="799"/>
      <c r="AG880" s="799"/>
      <c r="AH880" s="799"/>
      <c r="AI880" s="799"/>
      <c r="AJ880" s="799"/>
      <c r="AK880" s="799"/>
      <c r="AL880" s="799"/>
      <c r="AM880" s="799"/>
      <c r="AN880" s="799"/>
      <c r="AO880" s="799"/>
      <c r="AP880" s="799"/>
      <c r="AQ880" s="799"/>
      <c r="AR880" s="799"/>
      <c r="AS880" s="799"/>
      <c r="AT880" s="799"/>
      <c r="AU880" s="799"/>
      <c r="AV880" s="799"/>
      <c r="AW880" s="799"/>
      <c r="AX880" s="799"/>
      <c r="AY880" s="799"/>
      <c r="AZ880" s="799"/>
      <c r="BA880" s="799"/>
      <c r="BB880" s="799"/>
      <c r="BC880" s="799"/>
      <c r="BD880" s="799"/>
      <c r="BE880" s="799"/>
      <c r="BF880" s="799"/>
      <c r="BG880" s="799"/>
    </row>
    <row r="881">
      <c r="H881" s="799"/>
      <c r="I881" s="799"/>
      <c r="J881" s="799"/>
      <c r="K881" s="799"/>
      <c r="L881" s="799"/>
      <c r="M881" s="799"/>
      <c r="N881" s="799"/>
      <c r="O881" s="799"/>
      <c r="P881" s="799"/>
      <c r="Q881" s="799"/>
      <c r="R881" s="799"/>
      <c r="S881" s="799"/>
      <c r="T881" s="799"/>
      <c r="U881" s="799"/>
      <c r="V881" s="799"/>
      <c r="W881" s="799"/>
      <c r="X881" s="799"/>
      <c r="Y881" s="799"/>
      <c r="Z881" s="799"/>
      <c r="AA881" s="799"/>
      <c r="AB881" s="799"/>
      <c r="AC881" s="799"/>
      <c r="AD881" s="799"/>
      <c r="AE881" s="799"/>
      <c r="AF881" s="799"/>
      <c r="AG881" s="799"/>
      <c r="AH881" s="799"/>
      <c r="AI881" s="799"/>
      <c r="AJ881" s="799"/>
      <c r="AK881" s="799"/>
      <c r="AL881" s="799"/>
      <c r="AM881" s="799"/>
      <c r="AN881" s="799"/>
      <c r="AO881" s="799"/>
      <c r="AP881" s="799"/>
      <c r="AQ881" s="799"/>
      <c r="AR881" s="799"/>
      <c r="AS881" s="799"/>
      <c r="AT881" s="799"/>
      <c r="AU881" s="799"/>
      <c r="AV881" s="799"/>
      <c r="AW881" s="799"/>
      <c r="AX881" s="799"/>
      <c r="AY881" s="799"/>
      <c r="AZ881" s="799"/>
      <c r="BA881" s="799"/>
      <c r="BB881" s="799"/>
      <c r="BC881" s="799"/>
      <c r="BD881" s="799"/>
      <c r="BE881" s="799"/>
      <c r="BF881" s="799"/>
      <c r="BG881" s="799"/>
    </row>
    <row r="882">
      <c r="H882" s="799"/>
      <c r="I882" s="799"/>
      <c r="J882" s="799"/>
      <c r="K882" s="799"/>
      <c r="L882" s="799"/>
      <c r="M882" s="799"/>
      <c r="N882" s="799"/>
      <c r="O882" s="799"/>
      <c r="P882" s="799"/>
      <c r="Q882" s="799"/>
      <c r="R882" s="799"/>
      <c r="S882" s="799"/>
      <c r="T882" s="799"/>
      <c r="U882" s="799"/>
      <c r="V882" s="799"/>
      <c r="W882" s="799"/>
      <c r="X882" s="799"/>
      <c r="Y882" s="799"/>
      <c r="Z882" s="799"/>
      <c r="AA882" s="799"/>
      <c r="AB882" s="799"/>
      <c r="AC882" s="799"/>
      <c r="AD882" s="799"/>
      <c r="AE882" s="799"/>
      <c r="AF882" s="799"/>
      <c r="AG882" s="799"/>
      <c r="AH882" s="799"/>
      <c r="AI882" s="799"/>
      <c r="AJ882" s="799"/>
      <c r="AK882" s="799"/>
      <c r="AL882" s="799"/>
      <c r="AM882" s="799"/>
      <c r="AN882" s="799"/>
      <c r="AO882" s="799"/>
      <c r="AP882" s="799"/>
      <c r="AQ882" s="799"/>
      <c r="AR882" s="799"/>
      <c r="AS882" s="799"/>
      <c r="AT882" s="799"/>
      <c r="AU882" s="799"/>
      <c r="AV882" s="799"/>
      <c r="AW882" s="799"/>
      <c r="AX882" s="799"/>
      <c r="AY882" s="799"/>
      <c r="AZ882" s="799"/>
      <c r="BA882" s="799"/>
      <c r="BB882" s="799"/>
      <c r="BC882" s="799"/>
      <c r="BD882" s="799"/>
      <c r="BE882" s="799"/>
      <c r="BF882" s="799"/>
      <c r="BG882" s="799"/>
    </row>
    <row r="883">
      <c r="H883" s="799"/>
      <c r="I883" s="799"/>
      <c r="J883" s="799"/>
      <c r="K883" s="799"/>
      <c r="L883" s="799"/>
      <c r="M883" s="799"/>
      <c r="N883" s="799"/>
      <c r="O883" s="799"/>
      <c r="P883" s="799"/>
      <c r="Q883" s="799"/>
      <c r="R883" s="799"/>
      <c r="S883" s="799"/>
      <c r="T883" s="799"/>
      <c r="U883" s="799"/>
      <c r="V883" s="799"/>
      <c r="W883" s="799"/>
      <c r="X883" s="799"/>
      <c r="Y883" s="799"/>
      <c r="Z883" s="799"/>
      <c r="AA883" s="799"/>
      <c r="AB883" s="799"/>
      <c r="AC883" s="799"/>
      <c r="AD883" s="799"/>
      <c r="AE883" s="799"/>
      <c r="AF883" s="799"/>
      <c r="AG883" s="799"/>
      <c r="AH883" s="799"/>
      <c r="AI883" s="799"/>
      <c r="AJ883" s="799"/>
      <c r="AK883" s="799"/>
      <c r="AL883" s="799"/>
      <c r="AM883" s="799"/>
      <c r="AN883" s="799"/>
      <c r="AO883" s="799"/>
      <c r="AP883" s="799"/>
      <c r="AQ883" s="799"/>
      <c r="AR883" s="799"/>
      <c r="AS883" s="799"/>
      <c r="AT883" s="799"/>
      <c r="AU883" s="799"/>
      <c r="AV883" s="799"/>
      <c r="AW883" s="799"/>
      <c r="AX883" s="799"/>
      <c r="AY883" s="799"/>
      <c r="AZ883" s="799"/>
      <c r="BA883" s="799"/>
      <c r="BB883" s="799"/>
      <c r="BC883" s="799"/>
      <c r="BD883" s="799"/>
      <c r="BE883" s="799"/>
      <c r="BF883" s="799"/>
      <c r="BG883" s="799"/>
    </row>
    <row r="884">
      <c r="H884" s="799"/>
      <c r="I884" s="799"/>
      <c r="J884" s="799"/>
      <c r="K884" s="799"/>
      <c r="L884" s="799"/>
      <c r="M884" s="799"/>
      <c r="N884" s="799"/>
      <c r="O884" s="799"/>
      <c r="P884" s="799"/>
      <c r="Q884" s="799"/>
      <c r="R884" s="799"/>
      <c r="S884" s="799"/>
      <c r="T884" s="799"/>
      <c r="U884" s="799"/>
      <c r="V884" s="799"/>
      <c r="W884" s="799"/>
      <c r="X884" s="799"/>
      <c r="Y884" s="799"/>
      <c r="Z884" s="799"/>
      <c r="AA884" s="799"/>
      <c r="AB884" s="799"/>
      <c r="AC884" s="799"/>
      <c r="AD884" s="799"/>
      <c r="AE884" s="799"/>
      <c r="AF884" s="799"/>
      <c r="AG884" s="799"/>
      <c r="AH884" s="799"/>
      <c r="AI884" s="799"/>
      <c r="AJ884" s="799"/>
      <c r="AK884" s="799"/>
      <c r="AL884" s="799"/>
      <c r="AM884" s="799"/>
      <c r="AN884" s="799"/>
      <c r="AO884" s="799"/>
      <c r="AP884" s="799"/>
      <c r="AQ884" s="799"/>
      <c r="AR884" s="799"/>
      <c r="AS884" s="799"/>
      <c r="AT884" s="799"/>
      <c r="AU884" s="799"/>
      <c r="AV884" s="799"/>
      <c r="AW884" s="799"/>
      <c r="AX884" s="799"/>
      <c r="AY884" s="799"/>
      <c r="AZ884" s="799"/>
      <c r="BA884" s="799"/>
      <c r="BB884" s="799"/>
      <c r="BC884" s="799"/>
      <c r="BD884" s="799"/>
      <c r="BE884" s="799"/>
      <c r="BF884" s="799"/>
      <c r="BG884" s="799"/>
    </row>
    <row r="885">
      <c r="H885" s="799"/>
      <c r="I885" s="799"/>
      <c r="J885" s="799"/>
      <c r="K885" s="799"/>
      <c r="L885" s="799"/>
      <c r="M885" s="799"/>
      <c r="N885" s="799"/>
      <c r="O885" s="799"/>
      <c r="P885" s="799"/>
      <c r="Q885" s="799"/>
      <c r="R885" s="799"/>
      <c r="S885" s="799"/>
      <c r="T885" s="799"/>
      <c r="U885" s="799"/>
      <c r="V885" s="799"/>
      <c r="W885" s="799"/>
      <c r="X885" s="799"/>
      <c r="Y885" s="799"/>
      <c r="Z885" s="799"/>
      <c r="AA885" s="799"/>
      <c r="AB885" s="799"/>
      <c r="AC885" s="799"/>
      <c r="AD885" s="799"/>
      <c r="AE885" s="799"/>
      <c r="AF885" s="799"/>
      <c r="AG885" s="799"/>
      <c r="AH885" s="799"/>
      <c r="AI885" s="799"/>
      <c r="AJ885" s="799"/>
      <c r="AK885" s="799"/>
      <c r="AL885" s="799"/>
      <c r="AM885" s="799"/>
      <c r="AN885" s="799"/>
      <c r="AO885" s="799"/>
      <c r="AP885" s="799"/>
      <c r="AQ885" s="799"/>
      <c r="AR885" s="799"/>
      <c r="AS885" s="799"/>
      <c r="AT885" s="799"/>
      <c r="AU885" s="799"/>
      <c r="AV885" s="799"/>
      <c r="AW885" s="799"/>
      <c r="AX885" s="799"/>
      <c r="AY885" s="799"/>
      <c r="AZ885" s="799"/>
      <c r="BA885" s="799"/>
      <c r="BB885" s="799"/>
      <c r="BC885" s="799"/>
      <c r="BD885" s="799"/>
      <c r="BE885" s="799"/>
      <c r="BF885" s="799"/>
      <c r="BG885" s="799"/>
    </row>
    <row r="886">
      <c r="H886" s="799"/>
      <c r="I886" s="799"/>
      <c r="J886" s="799"/>
      <c r="K886" s="799"/>
      <c r="L886" s="799"/>
      <c r="M886" s="799"/>
      <c r="N886" s="799"/>
      <c r="O886" s="799"/>
      <c r="P886" s="799"/>
      <c r="Q886" s="799"/>
      <c r="R886" s="799"/>
      <c r="S886" s="799"/>
      <c r="T886" s="799"/>
      <c r="U886" s="799"/>
      <c r="V886" s="799"/>
      <c r="W886" s="799"/>
      <c r="X886" s="799"/>
      <c r="Y886" s="799"/>
      <c r="Z886" s="799"/>
      <c r="AA886" s="799"/>
      <c r="AB886" s="799"/>
      <c r="AC886" s="799"/>
      <c r="AD886" s="799"/>
      <c r="AE886" s="799"/>
      <c r="AF886" s="799"/>
      <c r="AG886" s="799"/>
      <c r="AH886" s="799"/>
      <c r="AI886" s="799"/>
      <c r="AJ886" s="799"/>
      <c r="AK886" s="799"/>
      <c r="AL886" s="799"/>
      <c r="AM886" s="799"/>
      <c r="AN886" s="799"/>
      <c r="AO886" s="799"/>
      <c r="AP886" s="799"/>
      <c r="AQ886" s="799"/>
      <c r="AR886" s="799"/>
      <c r="AS886" s="799"/>
      <c r="AT886" s="799"/>
      <c r="AU886" s="799"/>
      <c r="AV886" s="799"/>
      <c r="AW886" s="799"/>
      <c r="AX886" s="799"/>
      <c r="AY886" s="799"/>
      <c r="AZ886" s="799"/>
      <c r="BA886" s="799"/>
      <c r="BB886" s="799"/>
      <c r="BC886" s="799"/>
      <c r="BD886" s="799"/>
      <c r="BE886" s="799"/>
      <c r="BF886" s="799"/>
      <c r="BG886" s="799"/>
    </row>
    <row r="887">
      <c r="H887" s="799"/>
      <c r="I887" s="799"/>
      <c r="J887" s="799"/>
      <c r="K887" s="799"/>
      <c r="L887" s="799"/>
      <c r="M887" s="799"/>
      <c r="N887" s="799"/>
      <c r="O887" s="799"/>
      <c r="P887" s="799"/>
      <c r="Q887" s="799"/>
      <c r="R887" s="799"/>
      <c r="S887" s="799"/>
      <c r="T887" s="799"/>
      <c r="U887" s="799"/>
      <c r="V887" s="799"/>
      <c r="W887" s="799"/>
      <c r="X887" s="799"/>
      <c r="Y887" s="799"/>
      <c r="Z887" s="799"/>
      <c r="AA887" s="799"/>
      <c r="AB887" s="799"/>
      <c r="AC887" s="799"/>
      <c r="AD887" s="799"/>
      <c r="AE887" s="799"/>
      <c r="AF887" s="799"/>
      <c r="AG887" s="799"/>
      <c r="AH887" s="799"/>
      <c r="AI887" s="799"/>
      <c r="AJ887" s="799"/>
      <c r="AK887" s="799"/>
      <c r="AL887" s="799"/>
      <c r="AM887" s="799"/>
      <c r="AN887" s="799"/>
      <c r="AO887" s="799"/>
      <c r="AP887" s="799"/>
      <c r="AQ887" s="799"/>
      <c r="AR887" s="799"/>
      <c r="AS887" s="799"/>
      <c r="AT887" s="799"/>
      <c r="AU887" s="799"/>
      <c r="AV887" s="799"/>
      <c r="AW887" s="799"/>
      <c r="AX887" s="799"/>
      <c r="AY887" s="799"/>
      <c r="AZ887" s="799"/>
      <c r="BA887" s="799"/>
      <c r="BB887" s="799"/>
      <c r="BC887" s="799"/>
      <c r="BD887" s="799"/>
      <c r="BE887" s="799"/>
      <c r="BF887" s="799"/>
      <c r="BG887" s="799"/>
    </row>
    <row r="888">
      <c r="H888" s="799"/>
      <c r="I888" s="799"/>
      <c r="J888" s="799"/>
      <c r="K888" s="799"/>
      <c r="L888" s="799"/>
      <c r="M888" s="799"/>
      <c r="N888" s="799"/>
      <c r="O888" s="799"/>
      <c r="P888" s="799"/>
      <c r="Q888" s="799"/>
      <c r="R888" s="799"/>
      <c r="S888" s="799"/>
      <c r="T888" s="799"/>
      <c r="U888" s="799"/>
      <c r="V888" s="799"/>
      <c r="W888" s="799"/>
      <c r="X888" s="799"/>
      <c r="Y888" s="799"/>
      <c r="Z888" s="799"/>
      <c r="AA888" s="799"/>
      <c r="AB888" s="799"/>
      <c r="AC888" s="799"/>
      <c r="AD888" s="799"/>
      <c r="AE888" s="799"/>
      <c r="AF888" s="799"/>
      <c r="AG888" s="799"/>
      <c r="AH888" s="799"/>
      <c r="AI888" s="799"/>
      <c r="AJ888" s="799"/>
      <c r="AK888" s="799"/>
      <c r="AL888" s="799"/>
      <c r="AM888" s="799"/>
      <c r="AN888" s="799"/>
      <c r="AO888" s="799"/>
      <c r="AP888" s="799"/>
      <c r="AQ888" s="799"/>
      <c r="AR888" s="799"/>
      <c r="AS888" s="799"/>
      <c r="AT888" s="799"/>
      <c r="AU888" s="799"/>
      <c r="AV888" s="799"/>
      <c r="AW888" s="799"/>
      <c r="AX888" s="799"/>
      <c r="AY888" s="799"/>
      <c r="AZ888" s="799"/>
      <c r="BA888" s="799"/>
      <c r="BB888" s="799"/>
      <c r="BC888" s="799"/>
      <c r="BD888" s="799"/>
      <c r="BE888" s="799"/>
      <c r="BF888" s="799"/>
      <c r="BG888" s="799"/>
    </row>
    <row r="889">
      <c r="H889" s="799"/>
      <c r="I889" s="799"/>
      <c r="J889" s="799"/>
      <c r="K889" s="799"/>
      <c r="L889" s="799"/>
      <c r="M889" s="799"/>
      <c r="N889" s="799"/>
      <c r="O889" s="799"/>
      <c r="P889" s="799"/>
      <c r="Q889" s="799"/>
      <c r="R889" s="799"/>
      <c r="S889" s="799"/>
      <c r="T889" s="799"/>
      <c r="U889" s="799"/>
      <c r="V889" s="799"/>
      <c r="W889" s="799"/>
      <c r="X889" s="799"/>
      <c r="Y889" s="799"/>
      <c r="Z889" s="799"/>
      <c r="AA889" s="799"/>
      <c r="AB889" s="799"/>
      <c r="AC889" s="799"/>
      <c r="AD889" s="799"/>
      <c r="AE889" s="799"/>
      <c r="AF889" s="799"/>
      <c r="AG889" s="799"/>
      <c r="AH889" s="799"/>
      <c r="AI889" s="799"/>
      <c r="AJ889" s="799"/>
      <c r="AK889" s="799"/>
      <c r="AL889" s="799"/>
      <c r="AM889" s="799"/>
      <c r="AN889" s="799"/>
      <c r="AO889" s="799"/>
      <c r="AP889" s="799"/>
      <c r="AQ889" s="799"/>
      <c r="AR889" s="799"/>
      <c r="AS889" s="799"/>
      <c r="AT889" s="799"/>
      <c r="AU889" s="799"/>
      <c r="AV889" s="799"/>
      <c r="AW889" s="799"/>
      <c r="AX889" s="799"/>
      <c r="AY889" s="799"/>
      <c r="AZ889" s="799"/>
      <c r="BA889" s="799"/>
      <c r="BB889" s="799"/>
      <c r="BC889" s="799"/>
      <c r="BD889" s="799"/>
      <c r="BE889" s="799"/>
      <c r="BF889" s="799"/>
      <c r="BG889" s="799"/>
    </row>
    <row r="890">
      <c r="H890" s="799"/>
      <c r="I890" s="799"/>
      <c r="J890" s="799"/>
      <c r="K890" s="799"/>
      <c r="L890" s="799"/>
      <c r="M890" s="799"/>
      <c r="N890" s="799"/>
      <c r="O890" s="799"/>
      <c r="P890" s="799"/>
      <c r="Q890" s="799"/>
      <c r="R890" s="799"/>
      <c r="S890" s="799"/>
      <c r="T890" s="799"/>
      <c r="U890" s="799"/>
      <c r="V890" s="799"/>
      <c r="W890" s="799"/>
      <c r="X890" s="799"/>
      <c r="Y890" s="799"/>
      <c r="Z890" s="799"/>
      <c r="AA890" s="799"/>
      <c r="AB890" s="799"/>
      <c r="AC890" s="799"/>
      <c r="AD890" s="799"/>
      <c r="AE890" s="799"/>
      <c r="AF890" s="799"/>
      <c r="AG890" s="799"/>
      <c r="AH890" s="799"/>
      <c r="AI890" s="799"/>
      <c r="AJ890" s="799"/>
      <c r="AK890" s="799"/>
      <c r="AL890" s="799"/>
      <c r="AM890" s="799"/>
      <c r="AN890" s="799"/>
      <c r="AO890" s="799"/>
      <c r="AP890" s="799"/>
      <c r="AQ890" s="799"/>
      <c r="AR890" s="799"/>
      <c r="AS890" s="799"/>
      <c r="AT890" s="799"/>
      <c r="AU890" s="799"/>
      <c r="AV890" s="799"/>
      <c r="AW890" s="799"/>
      <c r="AX890" s="799"/>
      <c r="AY890" s="799"/>
      <c r="AZ890" s="799"/>
      <c r="BA890" s="799"/>
      <c r="BB890" s="799"/>
      <c r="BC890" s="799"/>
      <c r="BD890" s="799"/>
      <c r="BE890" s="799"/>
      <c r="BF890" s="799"/>
      <c r="BG890" s="799"/>
    </row>
    <row r="891">
      <c r="H891" s="799"/>
      <c r="I891" s="799"/>
      <c r="J891" s="799"/>
      <c r="K891" s="799"/>
      <c r="L891" s="799"/>
      <c r="M891" s="799"/>
      <c r="N891" s="799"/>
      <c r="O891" s="799"/>
      <c r="P891" s="799"/>
      <c r="Q891" s="799"/>
      <c r="R891" s="799"/>
      <c r="S891" s="799"/>
      <c r="T891" s="799"/>
      <c r="U891" s="799"/>
      <c r="V891" s="799"/>
      <c r="W891" s="799"/>
      <c r="X891" s="799"/>
      <c r="Y891" s="799"/>
      <c r="Z891" s="799"/>
      <c r="AA891" s="799"/>
      <c r="AB891" s="799"/>
      <c r="AC891" s="799"/>
      <c r="AD891" s="799"/>
      <c r="AE891" s="799"/>
      <c r="AF891" s="799"/>
      <c r="AG891" s="799"/>
      <c r="AH891" s="799"/>
      <c r="AI891" s="799"/>
      <c r="AJ891" s="799"/>
      <c r="AK891" s="799"/>
      <c r="AL891" s="799"/>
      <c r="AM891" s="799"/>
      <c r="AN891" s="799"/>
      <c r="AO891" s="799"/>
      <c r="AP891" s="799"/>
      <c r="AQ891" s="799"/>
      <c r="AR891" s="799"/>
      <c r="AS891" s="799"/>
      <c r="AT891" s="799"/>
      <c r="AU891" s="799"/>
      <c r="AV891" s="799"/>
      <c r="AW891" s="799"/>
      <c r="AX891" s="799"/>
      <c r="AY891" s="799"/>
      <c r="AZ891" s="799"/>
      <c r="BA891" s="799"/>
      <c r="BB891" s="799"/>
      <c r="BC891" s="799"/>
      <c r="BD891" s="799"/>
      <c r="BE891" s="799"/>
      <c r="BF891" s="799"/>
      <c r="BG891" s="799"/>
    </row>
    <row r="892">
      <c r="H892" s="799"/>
      <c r="I892" s="799"/>
      <c r="J892" s="799"/>
      <c r="K892" s="799"/>
      <c r="L892" s="799"/>
      <c r="M892" s="799"/>
      <c r="N892" s="799"/>
      <c r="O892" s="799"/>
      <c r="P892" s="799"/>
      <c r="Q892" s="799"/>
      <c r="R892" s="799"/>
      <c r="S892" s="799"/>
      <c r="T892" s="799"/>
      <c r="U892" s="799"/>
      <c r="V892" s="799"/>
      <c r="W892" s="799"/>
      <c r="X892" s="799"/>
      <c r="Y892" s="799"/>
      <c r="Z892" s="799"/>
      <c r="AA892" s="799"/>
      <c r="AB892" s="799"/>
      <c r="AC892" s="799"/>
      <c r="AD892" s="799"/>
      <c r="AE892" s="799"/>
      <c r="AF892" s="799"/>
      <c r="AG892" s="799"/>
      <c r="AH892" s="799"/>
      <c r="AI892" s="799"/>
      <c r="AJ892" s="799"/>
      <c r="AK892" s="799"/>
      <c r="AL892" s="799"/>
      <c r="AM892" s="799"/>
      <c r="AN892" s="799"/>
      <c r="AO892" s="799"/>
      <c r="AP892" s="799"/>
      <c r="AQ892" s="799"/>
      <c r="AR892" s="799"/>
      <c r="AS892" s="799"/>
      <c r="AT892" s="799"/>
      <c r="AU892" s="799"/>
      <c r="AV892" s="799"/>
      <c r="AW892" s="799"/>
      <c r="AX892" s="799"/>
      <c r="AY892" s="799"/>
      <c r="AZ892" s="799"/>
      <c r="BA892" s="799"/>
      <c r="BB892" s="799"/>
      <c r="BC892" s="799"/>
      <c r="BD892" s="799"/>
      <c r="BE892" s="799"/>
      <c r="BF892" s="799"/>
      <c r="BG892" s="799"/>
    </row>
    <row r="893">
      <c r="H893" s="799"/>
      <c r="I893" s="799"/>
      <c r="J893" s="799"/>
      <c r="K893" s="799"/>
      <c r="L893" s="799"/>
      <c r="M893" s="799"/>
      <c r="N893" s="799"/>
      <c r="O893" s="799"/>
      <c r="P893" s="799"/>
      <c r="Q893" s="799"/>
      <c r="R893" s="799"/>
      <c r="S893" s="799"/>
      <c r="T893" s="799"/>
      <c r="U893" s="799"/>
      <c r="V893" s="799"/>
      <c r="W893" s="799"/>
      <c r="X893" s="799"/>
      <c r="Y893" s="799"/>
      <c r="Z893" s="799"/>
      <c r="AA893" s="799"/>
      <c r="AB893" s="799"/>
      <c r="AC893" s="799"/>
      <c r="AD893" s="799"/>
      <c r="AE893" s="799"/>
      <c r="AF893" s="799"/>
      <c r="AG893" s="799"/>
      <c r="AH893" s="799"/>
      <c r="AI893" s="799"/>
      <c r="AJ893" s="799"/>
      <c r="AK893" s="799"/>
      <c r="AL893" s="799"/>
      <c r="AM893" s="799"/>
      <c r="AN893" s="799"/>
      <c r="AO893" s="799"/>
      <c r="AP893" s="799"/>
      <c r="AQ893" s="799"/>
      <c r="AR893" s="799"/>
      <c r="AS893" s="799"/>
      <c r="AT893" s="799"/>
      <c r="AU893" s="799"/>
      <c r="AV893" s="799"/>
      <c r="AW893" s="799"/>
      <c r="AX893" s="799"/>
      <c r="AY893" s="799"/>
      <c r="AZ893" s="799"/>
      <c r="BA893" s="799"/>
      <c r="BB893" s="799"/>
      <c r="BC893" s="799"/>
      <c r="BD893" s="799"/>
      <c r="BE893" s="799"/>
      <c r="BF893" s="799"/>
      <c r="BG893" s="799"/>
    </row>
    <row r="894">
      <c r="H894" s="799"/>
      <c r="I894" s="799"/>
      <c r="J894" s="799"/>
      <c r="K894" s="799"/>
      <c r="L894" s="799"/>
      <c r="M894" s="799"/>
      <c r="N894" s="799"/>
      <c r="O894" s="799"/>
      <c r="P894" s="799"/>
      <c r="Q894" s="799"/>
      <c r="R894" s="799"/>
      <c r="S894" s="799"/>
      <c r="T894" s="799"/>
      <c r="U894" s="799"/>
      <c r="V894" s="799"/>
      <c r="W894" s="799"/>
      <c r="X894" s="799"/>
      <c r="Y894" s="799"/>
      <c r="Z894" s="799"/>
      <c r="AA894" s="799"/>
      <c r="AB894" s="799"/>
      <c r="AC894" s="799"/>
      <c r="AD894" s="799"/>
      <c r="AE894" s="799"/>
      <c r="AF894" s="799"/>
      <c r="AG894" s="799"/>
      <c r="AH894" s="799"/>
      <c r="AI894" s="799"/>
      <c r="AJ894" s="799"/>
      <c r="AK894" s="799"/>
      <c r="AL894" s="799"/>
      <c r="AM894" s="799"/>
      <c r="AN894" s="799"/>
      <c r="AO894" s="799"/>
      <c r="AP894" s="799"/>
      <c r="AQ894" s="799"/>
      <c r="AR894" s="799"/>
      <c r="AS894" s="799"/>
      <c r="AT894" s="799"/>
      <c r="AU894" s="799"/>
      <c r="AV894" s="799"/>
      <c r="AW894" s="799"/>
      <c r="AX894" s="799"/>
      <c r="AY894" s="799"/>
      <c r="AZ894" s="799"/>
      <c r="BA894" s="799"/>
      <c r="BB894" s="799"/>
      <c r="BC894" s="799"/>
      <c r="BD894" s="799"/>
      <c r="BE894" s="799"/>
      <c r="BF894" s="799"/>
      <c r="BG894" s="799"/>
    </row>
    <row r="895">
      <c r="H895" s="799"/>
      <c r="I895" s="799"/>
      <c r="J895" s="799"/>
      <c r="K895" s="799"/>
      <c r="L895" s="799"/>
      <c r="M895" s="799"/>
      <c r="N895" s="799"/>
      <c r="O895" s="799"/>
      <c r="P895" s="799"/>
      <c r="Q895" s="799"/>
      <c r="R895" s="799"/>
      <c r="S895" s="799"/>
      <c r="T895" s="799"/>
      <c r="U895" s="799"/>
      <c r="V895" s="799"/>
      <c r="W895" s="799"/>
      <c r="X895" s="799"/>
      <c r="Y895" s="799"/>
      <c r="Z895" s="799"/>
      <c r="AA895" s="799"/>
      <c r="AB895" s="799"/>
      <c r="AC895" s="799"/>
      <c r="AD895" s="799"/>
      <c r="AE895" s="799"/>
      <c r="AF895" s="799"/>
      <c r="AG895" s="799"/>
      <c r="AH895" s="799"/>
      <c r="AI895" s="799"/>
      <c r="AJ895" s="799"/>
      <c r="AK895" s="799"/>
      <c r="AL895" s="799"/>
      <c r="AM895" s="799"/>
      <c r="AN895" s="799"/>
      <c r="AO895" s="799"/>
      <c r="AP895" s="799"/>
      <c r="AQ895" s="799"/>
      <c r="AR895" s="799"/>
      <c r="AS895" s="799"/>
      <c r="AT895" s="799"/>
      <c r="AU895" s="799"/>
      <c r="AV895" s="799"/>
      <c r="AW895" s="799"/>
      <c r="AX895" s="799"/>
      <c r="AY895" s="799"/>
      <c r="AZ895" s="799"/>
      <c r="BA895" s="799"/>
      <c r="BB895" s="799"/>
      <c r="BC895" s="799"/>
      <c r="BD895" s="799"/>
      <c r="BE895" s="799"/>
      <c r="BF895" s="799"/>
      <c r="BG895" s="799"/>
    </row>
    <row r="896">
      <c r="H896" s="799"/>
      <c r="I896" s="799"/>
      <c r="J896" s="799"/>
      <c r="K896" s="799"/>
      <c r="L896" s="799"/>
      <c r="M896" s="799"/>
      <c r="N896" s="799"/>
      <c r="O896" s="799"/>
      <c r="P896" s="799"/>
      <c r="Q896" s="799"/>
      <c r="R896" s="799"/>
      <c r="S896" s="799"/>
      <c r="T896" s="799"/>
      <c r="U896" s="799"/>
      <c r="V896" s="799"/>
      <c r="W896" s="799"/>
      <c r="X896" s="799"/>
      <c r="Y896" s="799"/>
      <c r="Z896" s="799"/>
      <c r="AA896" s="799"/>
      <c r="AB896" s="799"/>
      <c r="AC896" s="799"/>
      <c r="AD896" s="799"/>
      <c r="AE896" s="799"/>
      <c r="AF896" s="799"/>
      <c r="AG896" s="799"/>
      <c r="AH896" s="799"/>
      <c r="AI896" s="799"/>
      <c r="AJ896" s="799"/>
      <c r="AK896" s="799"/>
      <c r="AL896" s="799"/>
      <c r="AM896" s="799"/>
      <c r="AN896" s="799"/>
      <c r="AO896" s="799"/>
      <c r="AP896" s="799"/>
      <c r="AQ896" s="799"/>
      <c r="AR896" s="799"/>
      <c r="AS896" s="799"/>
      <c r="AT896" s="799"/>
      <c r="AU896" s="799"/>
      <c r="AV896" s="799"/>
      <c r="AW896" s="799"/>
      <c r="AX896" s="799"/>
      <c r="AY896" s="799"/>
      <c r="AZ896" s="799"/>
      <c r="BA896" s="799"/>
      <c r="BB896" s="799"/>
      <c r="BC896" s="799"/>
      <c r="BD896" s="799"/>
      <c r="BE896" s="799"/>
      <c r="BF896" s="799"/>
      <c r="BG896" s="799"/>
    </row>
    <row r="897">
      <c r="H897" s="799"/>
      <c r="I897" s="799"/>
      <c r="J897" s="799"/>
      <c r="K897" s="799"/>
      <c r="L897" s="799"/>
      <c r="M897" s="799"/>
      <c r="N897" s="799"/>
      <c r="O897" s="799"/>
      <c r="P897" s="799"/>
      <c r="Q897" s="799"/>
      <c r="R897" s="799"/>
      <c r="S897" s="799"/>
      <c r="T897" s="799"/>
      <c r="U897" s="799"/>
      <c r="V897" s="799"/>
      <c r="W897" s="799"/>
      <c r="X897" s="799"/>
      <c r="Y897" s="799"/>
      <c r="Z897" s="799"/>
      <c r="AA897" s="799"/>
      <c r="AB897" s="799"/>
      <c r="AC897" s="799"/>
      <c r="AD897" s="799"/>
      <c r="AE897" s="799"/>
      <c r="AF897" s="799"/>
      <c r="AG897" s="799"/>
      <c r="AH897" s="799"/>
      <c r="AI897" s="799"/>
      <c r="AJ897" s="799"/>
      <c r="AK897" s="799"/>
      <c r="AL897" s="799"/>
      <c r="AM897" s="799"/>
      <c r="AN897" s="799"/>
      <c r="AO897" s="799"/>
      <c r="AP897" s="799"/>
      <c r="AQ897" s="799"/>
      <c r="AR897" s="799"/>
      <c r="AS897" s="799"/>
      <c r="AT897" s="799"/>
      <c r="AU897" s="799"/>
      <c r="AV897" s="799"/>
      <c r="AW897" s="799"/>
      <c r="AX897" s="799"/>
      <c r="AY897" s="799"/>
      <c r="AZ897" s="799"/>
      <c r="BA897" s="799"/>
      <c r="BB897" s="799"/>
      <c r="BC897" s="799"/>
      <c r="BD897" s="799"/>
      <c r="BE897" s="799"/>
      <c r="BF897" s="799"/>
      <c r="BG897" s="799"/>
    </row>
    <row r="898">
      <c r="H898" s="799"/>
      <c r="I898" s="799"/>
      <c r="J898" s="799"/>
      <c r="K898" s="799"/>
      <c r="L898" s="799"/>
      <c r="M898" s="799"/>
      <c r="N898" s="799"/>
      <c r="O898" s="799"/>
      <c r="P898" s="799"/>
      <c r="Q898" s="799"/>
      <c r="R898" s="799"/>
      <c r="S898" s="799"/>
      <c r="T898" s="799"/>
      <c r="U898" s="799"/>
      <c r="V898" s="799"/>
      <c r="W898" s="799"/>
      <c r="X898" s="799"/>
      <c r="Y898" s="799"/>
      <c r="Z898" s="799"/>
      <c r="AA898" s="799"/>
      <c r="AB898" s="799"/>
      <c r="AC898" s="799"/>
      <c r="AD898" s="799"/>
      <c r="AE898" s="799"/>
      <c r="AF898" s="799"/>
      <c r="AG898" s="799"/>
      <c r="AH898" s="799"/>
      <c r="AI898" s="799"/>
      <c r="AJ898" s="799"/>
      <c r="AK898" s="799"/>
      <c r="AL898" s="799"/>
      <c r="AM898" s="799"/>
      <c r="AN898" s="799"/>
      <c r="AO898" s="799"/>
      <c r="AP898" s="799"/>
      <c r="AQ898" s="799"/>
      <c r="AR898" s="799"/>
      <c r="AS898" s="799"/>
      <c r="AT898" s="799"/>
      <c r="AU898" s="799"/>
      <c r="AV898" s="799"/>
      <c r="AW898" s="799"/>
      <c r="AX898" s="799"/>
      <c r="AY898" s="799"/>
      <c r="AZ898" s="799"/>
      <c r="BA898" s="799"/>
      <c r="BB898" s="799"/>
      <c r="BC898" s="799"/>
      <c r="BD898" s="799"/>
      <c r="BE898" s="799"/>
      <c r="BF898" s="799"/>
      <c r="BG898" s="799"/>
    </row>
    <row r="899">
      <c r="H899" s="799"/>
      <c r="I899" s="799"/>
      <c r="J899" s="799"/>
      <c r="K899" s="799"/>
      <c r="L899" s="799"/>
      <c r="M899" s="799"/>
      <c r="N899" s="799"/>
      <c r="O899" s="799"/>
      <c r="P899" s="799"/>
      <c r="Q899" s="799"/>
      <c r="R899" s="799"/>
      <c r="S899" s="799"/>
      <c r="T899" s="799"/>
      <c r="U899" s="799"/>
      <c r="V899" s="799"/>
      <c r="W899" s="799"/>
      <c r="X899" s="799"/>
      <c r="Y899" s="799"/>
      <c r="Z899" s="799"/>
      <c r="AA899" s="799"/>
      <c r="AB899" s="799"/>
      <c r="AC899" s="799"/>
      <c r="AD899" s="799"/>
      <c r="AE899" s="799"/>
      <c r="AF899" s="799"/>
      <c r="AG899" s="799"/>
      <c r="AH899" s="799"/>
      <c r="AI899" s="799"/>
      <c r="AJ899" s="799"/>
      <c r="AK899" s="799"/>
      <c r="AL899" s="799"/>
      <c r="AM899" s="799"/>
      <c r="AN899" s="799"/>
      <c r="AO899" s="799"/>
      <c r="AP899" s="799"/>
      <c r="AQ899" s="799"/>
      <c r="AR899" s="799"/>
      <c r="AS899" s="799"/>
      <c r="AT899" s="799"/>
      <c r="AU899" s="799"/>
      <c r="AV899" s="799"/>
      <c r="AW899" s="799"/>
      <c r="AX899" s="799"/>
      <c r="AY899" s="799"/>
      <c r="AZ899" s="799"/>
      <c r="BA899" s="799"/>
      <c r="BB899" s="799"/>
      <c r="BC899" s="799"/>
      <c r="BD899" s="799"/>
      <c r="BE899" s="799"/>
      <c r="BF899" s="799"/>
      <c r="BG899" s="799"/>
    </row>
    <row r="900">
      <c r="H900" s="799"/>
      <c r="I900" s="799"/>
      <c r="J900" s="799"/>
      <c r="K900" s="799"/>
      <c r="L900" s="799"/>
      <c r="M900" s="799"/>
      <c r="N900" s="799"/>
      <c r="O900" s="799"/>
      <c r="P900" s="799"/>
      <c r="Q900" s="799"/>
      <c r="R900" s="799"/>
      <c r="S900" s="799"/>
      <c r="T900" s="799"/>
      <c r="U900" s="799"/>
      <c r="V900" s="799"/>
      <c r="W900" s="799"/>
      <c r="X900" s="799"/>
      <c r="Y900" s="799"/>
      <c r="Z900" s="799"/>
      <c r="AA900" s="799"/>
      <c r="AB900" s="799"/>
      <c r="AC900" s="799"/>
      <c r="AD900" s="799"/>
      <c r="AE900" s="799"/>
      <c r="AF900" s="799"/>
      <c r="AG900" s="799"/>
      <c r="AH900" s="799"/>
      <c r="AI900" s="799"/>
      <c r="AJ900" s="799"/>
      <c r="AK900" s="799"/>
      <c r="AL900" s="799"/>
      <c r="AM900" s="799"/>
      <c r="AN900" s="799"/>
      <c r="AO900" s="799"/>
      <c r="AP900" s="799"/>
      <c r="AQ900" s="799"/>
      <c r="AR900" s="799"/>
      <c r="AS900" s="799"/>
      <c r="AT900" s="799"/>
      <c r="AU900" s="799"/>
      <c r="AV900" s="799"/>
      <c r="AW900" s="799"/>
      <c r="AX900" s="799"/>
      <c r="AY900" s="799"/>
      <c r="AZ900" s="799"/>
      <c r="BA900" s="799"/>
      <c r="BB900" s="799"/>
      <c r="BC900" s="799"/>
      <c r="BD900" s="799"/>
      <c r="BE900" s="799"/>
      <c r="BF900" s="799"/>
      <c r="BG900" s="799"/>
    </row>
    <row r="901">
      <c r="H901" s="799"/>
      <c r="I901" s="799"/>
      <c r="J901" s="799"/>
      <c r="K901" s="799"/>
      <c r="L901" s="799"/>
      <c r="M901" s="799"/>
      <c r="N901" s="799"/>
      <c r="O901" s="799"/>
      <c r="P901" s="799"/>
      <c r="Q901" s="799"/>
      <c r="R901" s="799"/>
      <c r="S901" s="799"/>
      <c r="T901" s="799"/>
      <c r="U901" s="799"/>
      <c r="V901" s="799"/>
      <c r="W901" s="799"/>
      <c r="X901" s="799"/>
      <c r="Y901" s="799"/>
      <c r="Z901" s="799"/>
      <c r="AA901" s="799"/>
      <c r="AB901" s="799"/>
      <c r="AC901" s="799"/>
      <c r="AD901" s="799"/>
      <c r="AE901" s="799"/>
      <c r="AF901" s="799"/>
      <c r="AG901" s="799"/>
      <c r="AH901" s="799"/>
      <c r="AI901" s="799"/>
      <c r="AJ901" s="799"/>
      <c r="AK901" s="799"/>
      <c r="AL901" s="799"/>
      <c r="AM901" s="799"/>
      <c r="AN901" s="799"/>
      <c r="AO901" s="799"/>
      <c r="AP901" s="799"/>
      <c r="AQ901" s="799"/>
      <c r="AR901" s="799"/>
      <c r="AS901" s="799"/>
      <c r="AT901" s="799"/>
      <c r="AU901" s="799"/>
      <c r="AV901" s="799"/>
      <c r="AW901" s="799"/>
      <c r="AX901" s="799"/>
      <c r="AY901" s="799"/>
      <c r="AZ901" s="799"/>
      <c r="BA901" s="799"/>
      <c r="BB901" s="799"/>
      <c r="BC901" s="799"/>
      <c r="BD901" s="799"/>
      <c r="BE901" s="799"/>
      <c r="BF901" s="799"/>
      <c r="BG901" s="799"/>
    </row>
    <row r="902">
      <c r="H902" s="799"/>
      <c r="I902" s="799"/>
      <c r="J902" s="799"/>
      <c r="K902" s="799"/>
      <c r="L902" s="799"/>
      <c r="M902" s="799"/>
      <c r="N902" s="799"/>
      <c r="O902" s="799"/>
      <c r="P902" s="799"/>
      <c r="Q902" s="799"/>
      <c r="R902" s="799"/>
      <c r="S902" s="799"/>
      <c r="T902" s="799"/>
      <c r="U902" s="799"/>
      <c r="V902" s="799"/>
      <c r="W902" s="799"/>
      <c r="X902" s="799"/>
      <c r="Y902" s="799"/>
      <c r="Z902" s="799"/>
      <c r="AA902" s="799"/>
      <c r="AB902" s="799"/>
      <c r="AC902" s="799"/>
      <c r="AD902" s="799"/>
      <c r="AE902" s="799"/>
      <c r="AF902" s="799"/>
      <c r="AG902" s="799"/>
      <c r="AH902" s="799"/>
      <c r="AI902" s="799"/>
      <c r="AJ902" s="799"/>
      <c r="AK902" s="799"/>
      <c r="AL902" s="799"/>
      <c r="AM902" s="799"/>
      <c r="AN902" s="799"/>
      <c r="AO902" s="799"/>
      <c r="AP902" s="799"/>
      <c r="AQ902" s="799"/>
      <c r="AR902" s="799"/>
      <c r="AS902" s="799"/>
      <c r="AT902" s="799"/>
      <c r="AU902" s="799"/>
      <c r="AV902" s="799"/>
      <c r="AW902" s="799"/>
      <c r="AX902" s="799"/>
      <c r="AY902" s="799"/>
      <c r="AZ902" s="799"/>
      <c r="BA902" s="799"/>
      <c r="BB902" s="799"/>
      <c r="BC902" s="799"/>
      <c r="BD902" s="799"/>
      <c r="BE902" s="799"/>
      <c r="BF902" s="799"/>
      <c r="BG902" s="799"/>
    </row>
    <row r="903">
      <c r="H903" s="799"/>
      <c r="I903" s="799"/>
      <c r="J903" s="799"/>
      <c r="K903" s="799"/>
      <c r="L903" s="799"/>
      <c r="M903" s="799"/>
      <c r="N903" s="799"/>
      <c r="O903" s="799"/>
      <c r="P903" s="799"/>
      <c r="Q903" s="799"/>
      <c r="R903" s="799"/>
      <c r="S903" s="799"/>
      <c r="T903" s="799"/>
      <c r="U903" s="799"/>
      <c r="V903" s="799"/>
      <c r="W903" s="799"/>
      <c r="X903" s="799"/>
      <c r="Y903" s="799"/>
      <c r="Z903" s="799"/>
      <c r="AA903" s="799"/>
      <c r="AB903" s="799"/>
      <c r="AC903" s="799"/>
      <c r="AD903" s="799"/>
      <c r="AE903" s="799"/>
      <c r="AF903" s="799"/>
      <c r="AG903" s="799"/>
      <c r="AH903" s="799"/>
      <c r="AI903" s="799"/>
      <c r="AJ903" s="799"/>
      <c r="AK903" s="799"/>
      <c r="AL903" s="799"/>
      <c r="AM903" s="799"/>
      <c r="AN903" s="799"/>
      <c r="AO903" s="799"/>
      <c r="AP903" s="799"/>
      <c r="AQ903" s="799"/>
      <c r="AR903" s="799"/>
      <c r="AS903" s="799"/>
      <c r="AT903" s="799"/>
      <c r="AU903" s="799"/>
      <c r="AV903" s="799"/>
      <c r="AW903" s="799"/>
      <c r="AX903" s="799"/>
      <c r="AY903" s="799"/>
      <c r="AZ903" s="799"/>
      <c r="BA903" s="799"/>
      <c r="BB903" s="799"/>
      <c r="BC903" s="799"/>
      <c r="BD903" s="799"/>
      <c r="BE903" s="799"/>
      <c r="BF903" s="799"/>
      <c r="BG903" s="799"/>
    </row>
    <row r="904">
      <c r="H904" s="799"/>
      <c r="I904" s="799"/>
      <c r="J904" s="799"/>
      <c r="K904" s="799"/>
      <c r="L904" s="799"/>
      <c r="M904" s="799"/>
      <c r="N904" s="799"/>
      <c r="O904" s="799"/>
      <c r="P904" s="799"/>
      <c r="Q904" s="799"/>
      <c r="R904" s="799"/>
      <c r="S904" s="799"/>
      <c r="T904" s="799"/>
      <c r="U904" s="799"/>
      <c r="V904" s="799"/>
      <c r="W904" s="799"/>
      <c r="X904" s="799"/>
      <c r="Y904" s="799"/>
      <c r="Z904" s="799"/>
      <c r="AA904" s="799"/>
      <c r="AB904" s="799"/>
      <c r="AC904" s="799"/>
      <c r="AD904" s="799"/>
      <c r="AE904" s="799"/>
      <c r="AF904" s="799"/>
      <c r="AG904" s="799"/>
      <c r="AH904" s="799"/>
      <c r="AI904" s="799"/>
      <c r="AJ904" s="799"/>
      <c r="AK904" s="799"/>
      <c r="AL904" s="799"/>
      <c r="AM904" s="799"/>
      <c r="AN904" s="799"/>
      <c r="AO904" s="799"/>
      <c r="AP904" s="799"/>
      <c r="AQ904" s="799"/>
      <c r="AR904" s="799"/>
      <c r="AS904" s="799"/>
      <c r="AT904" s="799"/>
      <c r="AU904" s="799"/>
      <c r="AV904" s="799"/>
      <c r="AW904" s="799"/>
      <c r="AX904" s="799"/>
      <c r="AY904" s="799"/>
      <c r="AZ904" s="799"/>
      <c r="BA904" s="799"/>
      <c r="BB904" s="799"/>
      <c r="BC904" s="799"/>
      <c r="BD904" s="799"/>
      <c r="BE904" s="799"/>
      <c r="BF904" s="799"/>
      <c r="BG904" s="799"/>
    </row>
    <row r="905">
      <c r="H905" s="799"/>
      <c r="I905" s="799"/>
      <c r="J905" s="799"/>
      <c r="K905" s="799"/>
      <c r="L905" s="799"/>
      <c r="M905" s="799"/>
      <c r="N905" s="799"/>
      <c r="O905" s="799"/>
      <c r="P905" s="799"/>
      <c r="Q905" s="799"/>
      <c r="R905" s="799"/>
      <c r="S905" s="799"/>
      <c r="T905" s="799"/>
      <c r="U905" s="799"/>
      <c r="V905" s="799"/>
      <c r="W905" s="799"/>
      <c r="X905" s="799"/>
      <c r="Y905" s="799"/>
      <c r="Z905" s="799"/>
      <c r="AA905" s="799"/>
      <c r="AB905" s="799"/>
      <c r="AC905" s="799"/>
      <c r="AD905" s="799"/>
      <c r="AE905" s="799"/>
      <c r="AF905" s="799"/>
      <c r="AG905" s="799"/>
      <c r="AH905" s="799"/>
      <c r="AI905" s="799"/>
      <c r="AJ905" s="799"/>
      <c r="AK905" s="799"/>
      <c r="AL905" s="799"/>
      <c r="AM905" s="799"/>
      <c r="AN905" s="799"/>
      <c r="AO905" s="799"/>
      <c r="AP905" s="799"/>
      <c r="AQ905" s="799"/>
      <c r="AR905" s="799"/>
      <c r="AS905" s="799"/>
      <c r="AT905" s="799"/>
      <c r="AU905" s="799"/>
      <c r="AV905" s="799"/>
      <c r="AW905" s="799"/>
      <c r="AX905" s="799"/>
      <c r="AY905" s="799"/>
      <c r="AZ905" s="799"/>
      <c r="BA905" s="799"/>
      <c r="BB905" s="799"/>
      <c r="BC905" s="799"/>
      <c r="BD905" s="799"/>
      <c r="BE905" s="799"/>
      <c r="BF905" s="799"/>
      <c r="BG905" s="799"/>
    </row>
    <row r="906">
      <c r="H906" s="799"/>
      <c r="I906" s="799"/>
      <c r="J906" s="799"/>
      <c r="K906" s="799"/>
      <c r="L906" s="799"/>
      <c r="M906" s="799"/>
      <c r="N906" s="799"/>
      <c r="O906" s="799"/>
      <c r="P906" s="799"/>
      <c r="Q906" s="799"/>
      <c r="R906" s="799"/>
      <c r="S906" s="799"/>
      <c r="T906" s="799"/>
      <c r="U906" s="799"/>
      <c r="V906" s="799"/>
      <c r="W906" s="799"/>
      <c r="X906" s="799"/>
      <c r="Y906" s="799"/>
      <c r="Z906" s="799"/>
      <c r="AA906" s="799"/>
      <c r="AB906" s="799"/>
      <c r="AC906" s="799"/>
      <c r="AD906" s="799"/>
      <c r="AE906" s="799"/>
      <c r="AF906" s="799"/>
      <c r="AG906" s="799"/>
      <c r="AH906" s="799"/>
      <c r="AI906" s="799"/>
      <c r="AJ906" s="799"/>
      <c r="AK906" s="799"/>
      <c r="AL906" s="799"/>
      <c r="AM906" s="799"/>
      <c r="AN906" s="799"/>
      <c r="AO906" s="799"/>
      <c r="AP906" s="799"/>
      <c r="AQ906" s="799"/>
      <c r="AR906" s="799"/>
      <c r="AS906" s="799"/>
      <c r="AT906" s="799"/>
      <c r="AU906" s="799"/>
      <c r="AV906" s="799"/>
      <c r="AW906" s="799"/>
      <c r="AX906" s="799"/>
      <c r="AY906" s="799"/>
      <c r="AZ906" s="799"/>
      <c r="BA906" s="799"/>
      <c r="BB906" s="799"/>
      <c r="BC906" s="799"/>
      <c r="BD906" s="799"/>
      <c r="BE906" s="799"/>
      <c r="BF906" s="799"/>
      <c r="BG906" s="799"/>
    </row>
    <row r="907">
      <c r="H907" s="799"/>
      <c r="I907" s="799"/>
      <c r="J907" s="799"/>
      <c r="K907" s="799"/>
      <c r="L907" s="799"/>
      <c r="M907" s="799"/>
      <c r="N907" s="799"/>
      <c r="O907" s="799"/>
      <c r="P907" s="799"/>
      <c r="Q907" s="799"/>
      <c r="R907" s="799"/>
      <c r="S907" s="799"/>
      <c r="T907" s="799"/>
      <c r="U907" s="799"/>
      <c r="V907" s="799"/>
      <c r="W907" s="799"/>
      <c r="X907" s="799"/>
      <c r="Y907" s="799"/>
      <c r="Z907" s="799"/>
      <c r="AA907" s="799"/>
      <c r="AB907" s="799"/>
      <c r="AC907" s="799"/>
      <c r="AD907" s="799"/>
      <c r="AE907" s="799"/>
      <c r="AF907" s="799"/>
      <c r="AG907" s="799"/>
      <c r="AH907" s="799"/>
      <c r="AI907" s="799"/>
      <c r="AJ907" s="799"/>
      <c r="AK907" s="799"/>
      <c r="AL907" s="799"/>
      <c r="AM907" s="799"/>
      <c r="AN907" s="799"/>
      <c r="AO907" s="799"/>
      <c r="AP907" s="799"/>
      <c r="AQ907" s="799"/>
      <c r="AR907" s="799"/>
      <c r="AS907" s="799"/>
      <c r="AT907" s="799"/>
      <c r="AU907" s="799"/>
      <c r="AV907" s="799"/>
      <c r="AW907" s="799"/>
      <c r="AX907" s="799"/>
      <c r="AY907" s="799"/>
      <c r="AZ907" s="799"/>
      <c r="BA907" s="799"/>
      <c r="BB907" s="799"/>
      <c r="BC907" s="799"/>
      <c r="BD907" s="799"/>
      <c r="BE907" s="799"/>
      <c r="BF907" s="799"/>
      <c r="BG907" s="799"/>
    </row>
    <row r="908">
      <c r="H908" s="799"/>
      <c r="I908" s="799"/>
      <c r="J908" s="799"/>
      <c r="K908" s="799"/>
      <c r="L908" s="799"/>
      <c r="M908" s="799"/>
      <c r="N908" s="799"/>
      <c r="O908" s="799"/>
      <c r="P908" s="799"/>
      <c r="Q908" s="799"/>
      <c r="R908" s="799"/>
      <c r="S908" s="799"/>
      <c r="T908" s="799"/>
      <c r="U908" s="799"/>
      <c r="V908" s="799"/>
      <c r="W908" s="799"/>
      <c r="X908" s="799"/>
      <c r="Y908" s="799"/>
      <c r="Z908" s="799"/>
      <c r="AA908" s="799"/>
      <c r="AB908" s="799"/>
      <c r="AC908" s="799"/>
      <c r="AD908" s="799"/>
      <c r="AE908" s="799"/>
      <c r="AF908" s="799"/>
      <c r="AG908" s="799"/>
      <c r="AH908" s="799"/>
      <c r="AI908" s="799"/>
      <c r="AJ908" s="799"/>
      <c r="AK908" s="799"/>
      <c r="AL908" s="799"/>
      <c r="AM908" s="799"/>
      <c r="AN908" s="799"/>
      <c r="AO908" s="799"/>
      <c r="AP908" s="799"/>
      <c r="AQ908" s="799"/>
      <c r="AR908" s="799"/>
      <c r="AS908" s="799"/>
      <c r="AT908" s="799"/>
      <c r="AU908" s="799"/>
      <c r="AV908" s="799"/>
      <c r="AW908" s="799"/>
      <c r="AX908" s="799"/>
      <c r="AY908" s="799"/>
      <c r="AZ908" s="799"/>
      <c r="BA908" s="799"/>
      <c r="BB908" s="799"/>
      <c r="BC908" s="799"/>
      <c r="BD908" s="799"/>
      <c r="BE908" s="799"/>
      <c r="BF908" s="799"/>
      <c r="BG908" s="799"/>
    </row>
    <row r="909">
      <c r="H909" s="799"/>
      <c r="I909" s="799"/>
      <c r="J909" s="799"/>
      <c r="K909" s="799"/>
      <c r="L909" s="799"/>
      <c r="M909" s="799"/>
      <c r="N909" s="799"/>
      <c r="O909" s="799"/>
      <c r="P909" s="799"/>
      <c r="Q909" s="799"/>
      <c r="R909" s="799"/>
      <c r="S909" s="799"/>
      <c r="T909" s="799"/>
      <c r="U909" s="799"/>
      <c r="V909" s="799"/>
      <c r="W909" s="799"/>
      <c r="X909" s="799"/>
      <c r="Y909" s="799"/>
      <c r="Z909" s="799"/>
      <c r="AA909" s="799"/>
      <c r="AB909" s="799"/>
      <c r="AC909" s="799"/>
      <c r="AD909" s="799"/>
      <c r="AE909" s="799"/>
      <c r="AF909" s="799"/>
      <c r="AG909" s="799"/>
      <c r="AH909" s="799"/>
      <c r="AI909" s="799"/>
      <c r="AJ909" s="799"/>
      <c r="AK909" s="799"/>
      <c r="AL909" s="799"/>
      <c r="AM909" s="799"/>
      <c r="AN909" s="799"/>
      <c r="AO909" s="799"/>
      <c r="AP909" s="799"/>
      <c r="AQ909" s="799"/>
      <c r="AR909" s="799"/>
      <c r="AS909" s="799"/>
      <c r="AT909" s="799"/>
      <c r="AU909" s="799"/>
      <c r="AV909" s="799"/>
      <c r="AW909" s="799"/>
      <c r="AX909" s="799"/>
      <c r="AY909" s="799"/>
      <c r="AZ909" s="799"/>
      <c r="BA909" s="799"/>
      <c r="BB909" s="799"/>
      <c r="BC909" s="799"/>
      <c r="BD909" s="799"/>
      <c r="BE909" s="799"/>
      <c r="BF909" s="799"/>
      <c r="BG909" s="799"/>
    </row>
    <row r="910">
      <c r="H910" s="799"/>
      <c r="I910" s="799"/>
      <c r="J910" s="799"/>
      <c r="K910" s="799"/>
      <c r="L910" s="799"/>
      <c r="M910" s="799"/>
      <c r="N910" s="799"/>
      <c r="O910" s="799"/>
      <c r="P910" s="799"/>
      <c r="Q910" s="799"/>
      <c r="R910" s="799"/>
      <c r="S910" s="799"/>
      <c r="T910" s="799"/>
      <c r="U910" s="799"/>
      <c r="V910" s="799"/>
      <c r="W910" s="799"/>
      <c r="X910" s="799"/>
      <c r="Y910" s="799"/>
      <c r="Z910" s="799"/>
      <c r="AA910" s="799"/>
      <c r="AB910" s="799"/>
      <c r="AC910" s="799"/>
      <c r="AD910" s="799"/>
      <c r="AE910" s="799"/>
      <c r="AF910" s="799"/>
      <c r="AG910" s="799"/>
      <c r="AH910" s="799"/>
      <c r="AI910" s="799"/>
      <c r="AJ910" s="799"/>
      <c r="AK910" s="799"/>
      <c r="AL910" s="799"/>
      <c r="AM910" s="799"/>
      <c r="AN910" s="799"/>
      <c r="AO910" s="799"/>
      <c r="AP910" s="799"/>
      <c r="AQ910" s="799"/>
      <c r="AR910" s="799"/>
      <c r="AS910" s="799"/>
      <c r="AT910" s="799"/>
      <c r="AU910" s="799"/>
      <c r="AV910" s="799"/>
      <c r="AW910" s="799"/>
      <c r="AX910" s="799"/>
      <c r="AY910" s="799"/>
      <c r="AZ910" s="799"/>
      <c r="BA910" s="799"/>
      <c r="BB910" s="799"/>
      <c r="BC910" s="799"/>
      <c r="BD910" s="799"/>
      <c r="BE910" s="799"/>
      <c r="BF910" s="799"/>
      <c r="BG910" s="799"/>
    </row>
    <row r="911">
      <c r="H911" s="799"/>
      <c r="I911" s="799"/>
      <c r="J911" s="799"/>
      <c r="K911" s="799"/>
      <c r="L911" s="799"/>
      <c r="M911" s="799"/>
      <c r="N911" s="799"/>
      <c r="O911" s="799"/>
      <c r="P911" s="799"/>
      <c r="Q911" s="799"/>
      <c r="R911" s="799"/>
      <c r="S911" s="799"/>
      <c r="T911" s="799"/>
      <c r="U911" s="799"/>
      <c r="V911" s="799"/>
      <c r="W911" s="799"/>
      <c r="X911" s="799"/>
      <c r="Y911" s="799"/>
      <c r="Z911" s="799"/>
      <c r="AA911" s="799"/>
      <c r="AB911" s="799"/>
      <c r="AC911" s="799"/>
      <c r="AD911" s="799"/>
      <c r="AE911" s="799"/>
      <c r="AF911" s="799"/>
      <c r="AG911" s="799"/>
      <c r="AH911" s="799"/>
      <c r="AI911" s="799"/>
      <c r="AJ911" s="799"/>
      <c r="AK911" s="799"/>
      <c r="AL911" s="799"/>
      <c r="AM911" s="799"/>
      <c r="AN911" s="799"/>
      <c r="AO911" s="799"/>
      <c r="AP911" s="799"/>
      <c r="AQ911" s="799"/>
      <c r="AR911" s="799"/>
      <c r="AS911" s="799"/>
      <c r="AT911" s="799"/>
      <c r="AU911" s="799"/>
      <c r="AV911" s="799"/>
      <c r="AW911" s="799"/>
      <c r="AX911" s="799"/>
      <c r="AY911" s="799"/>
      <c r="AZ911" s="799"/>
      <c r="BA911" s="799"/>
      <c r="BB911" s="799"/>
      <c r="BC911" s="799"/>
      <c r="BD911" s="799"/>
      <c r="BE911" s="799"/>
      <c r="BF911" s="799"/>
      <c r="BG911" s="799"/>
    </row>
    <row r="912">
      <c r="H912" s="799"/>
      <c r="I912" s="799"/>
      <c r="J912" s="799"/>
      <c r="K912" s="799"/>
      <c r="L912" s="799"/>
      <c r="M912" s="799"/>
      <c r="N912" s="799"/>
      <c r="O912" s="799"/>
      <c r="P912" s="799"/>
      <c r="Q912" s="799"/>
      <c r="R912" s="799"/>
      <c r="S912" s="799"/>
      <c r="T912" s="799"/>
      <c r="U912" s="799"/>
      <c r="V912" s="799"/>
      <c r="W912" s="799"/>
      <c r="X912" s="799"/>
      <c r="Y912" s="799"/>
      <c r="Z912" s="799"/>
      <c r="AA912" s="799"/>
      <c r="AB912" s="799"/>
      <c r="AC912" s="799"/>
      <c r="AD912" s="799"/>
      <c r="AE912" s="799"/>
      <c r="AF912" s="799"/>
      <c r="AG912" s="799"/>
      <c r="AH912" s="799"/>
      <c r="AI912" s="799"/>
      <c r="AJ912" s="799"/>
      <c r="AK912" s="799"/>
      <c r="AL912" s="799"/>
      <c r="AM912" s="799"/>
      <c r="AN912" s="799"/>
      <c r="AO912" s="799"/>
      <c r="AP912" s="799"/>
      <c r="AQ912" s="799"/>
      <c r="AR912" s="799"/>
      <c r="AS912" s="799"/>
      <c r="AT912" s="799"/>
      <c r="AU912" s="799"/>
      <c r="AV912" s="799"/>
      <c r="AW912" s="799"/>
      <c r="AX912" s="799"/>
      <c r="AY912" s="799"/>
      <c r="AZ912" s="799"/>
      <c r="BA912" s="799"/>
      <c r="BB912" s="799"/>
      <c r="BC912" s="799"/>
      <c r="BD912" s="799"/>
      <c r="BE912" s="799"/>
      <c r="BF912" s="799"/>
      <c r="BG912" s="799"/>
    </row>
    <row r="913">
      <c r="H913" s="799"/>
      <c r="I913" s="799"/>
      <c r="J913" s="799"/>
      <c r="K913" s="799"/>
      <c r="L913" s="799"/>
      <c r="M913" s="799"/>
      <c r="N913" s="799"/>
      <c r="O913" s="799"/>
      <c r="P913" s="799"/>
      <c r="Q913" s="799"/>
      <c r="R913" s="799"/>
      <c r="S913" s="799"/>
      <c r="T913" s="799"/>
      <c r="U913" s="799"/>
      <c r="V913" s="799"/>
      <c r="W913" s="799"/>
      <c r="X913" s="799"/>
      <c r="Y913" s="799"/>
      <c r="Z913" s="799"/>
      <c r="AA913" s="799"/>
      <c r="AB913" s="799"/>
      <c r="AC913" s="799"/>
      <c r="AD913" s="799"/>
      <c r="AE913" s="799"/>
      <c r="AF913" s="799"/>
      <c r="AG913" s="799"/>
      <c r="AH913" s="799"/>
      <c r="AI913" s="799"/>
      <c r="AJ913" s="799"/>
      <c r="AK913" s="799"/>
      <c r="AL913" s="799"/>
      <c r="AM913" s="799"/>
      <c r="AN913" s="799"/>
      <c r="AO913" s="799"/>
      <c r="AP913" s="799"/>
      <c r="AQ913" s="799"/>
      <c r="AR913" s="799"/>
      <c r="AS913" s="799"/>
      <c r="AT913" s="799"/>
      <c r="AU913" s="799"/>
      <c r="AV913" s="799"/>
      <c r="AW913" s="799"/>
      <c r="AX913" s="799"/>
      <c r="AY913" s="799"/>
      <c r="AZ913" s="799"/>
      <c r="BA913" s="799"/>
      <c r="BB913" s="799"/>
      <c r="BC913" s="799"/>
      <c r="BD913" s="799"/>
      <c r="BE913" s="799"/>
      <c r="BF913" s="799"/>
      <c r="BG913" s="799"/>
    </row>
    <row r="914">
      <c r="H914" s="799"/>
      <c r="I914" s="799"/>
      <c r="J914" s="799"/>
      <c r="K914" s="799"/>
      <c r="L914" s="799"/>
      <c r="M914" s="799"/>
      <c r="N914" s="799"/>
      <c r="O914" s="799"/>
      <c r="P914" s="799"/>
      <c r="Q914" s="799"/>
      <c r="R914" s="799"/>
      <c r="S914" s="799"/>
      <c r="T914" s="799"/>
      <c r="U914" s="799"/>
      <c r="V914" s="799"/>
      <c r="W914" s="799"/>
      <c r="X914" s="799"/>
      <c r="Y914" s="799"/>
      <c r="Z914" s="799"/>
      <c r="AA914" s="799"/>
      <c r="AB914" s="799"/>
      <c r="AC914" s="799"/>
      <c r="AD914" s="799"/>
      <c r="AE914" s="799"/>
      <c r="AF914" s="799"/>
      <c r="AG914" s="799"/>
      <c r="AH914" s="799"/>
      <c r="AI914" s="799"/>
      <c r="AJ914" s="799"/>
      <c r="AK914" s="799"/>
      <c r="AL914" s="799"/>
      <c r="AM914" s="799"/>
      <c r="AN914" s="799"/>
      <c r="AO914" s="799"/>
      <c r="AP914" s="799"/>
      <c r="AQ914" s="799"/>
      <c r="AR914" s="799"/>
      <c r="AS914" s="799"/>
      <c r="AT914" s="799"/>
      <c r="AU914" s="799"/>
      <c r="AV914" s="799"/>
      <c r="AW914" s="799"/>
      <c r="AX914" s="799"/>
      <c r="AY914" s="799"/>
      <c r="AZ914" s="799"/>
      <c r="BA914" s="799"/>
      <c r="BB914" s="799"/>
      <c r="BC914" s="799"/>
      <c r="BD914" s="799"/>
      <c r="BE914" s="799"/>
      <c r="BF914" s="799"/>
      <c r="BG914" s="799"/>
    </row>
    <row r="915">
      <c r="H915" s="799"/>
      <c r="I915" s="799"/>
      <c r="J915" s="799"/>
      <c r="K915" s="799"/>
      <c r="L915" s="799"/>
      <c r="M915" s="799"/>
      <c r="N915" s="799"/>
      <c r="O915" s="799"/>
      <c r="P915" s="799"/>
      <c r="Q915" s="799"/>
      <c r="R915" s="799"/>
      <c r="S915" s="799"/>
      <c r="T915" s="799"/>
      <c r="U915" s="799"/>
      <c r="V915" s="799"/>
      <c r="W915" s="799"/>
      <c r="X915" s="799"/>
      <c r="Y915" s="799"/>
      <c r="Z915" s="799"/>
      <c r="AA915" s="799"/>
      <c r="AB915" s="799"/>
      <c r="AC915" s="799"/>
      <c r="AD915" s="799"/>
      <c r="AE915" s="799"/>
      <c r="AF915" s="799"/>
      <c r="AG915" s="799"/>
      <c r="AH915" s="799"/>
      <c r="AI915" s="799"/>
      <c r="AJ915" s="799"/>
      <c r="AK915" s="799"/>
      <c r="AL915" s="799"/>
      <c r="AM915" s="799"/>
      <c r="AN915" s="799"/>
      <c r="AO915" s="799"/>
      <c r="AP915" s="799"/>
      <c r="AQ915" s="799"/>
      <c r="AR915" s="799"/>
      <c r="AS915" s="799"/>
      <c r="AT915" s="799"/>
      <c r="AU915" s="799"/>
      <c r="AV915" s="799"/>
      <c r="AW915" s="799"/>
      <c r="AX915" s="799"/>
      <c r="AY915" s="799"/>
      <c r="AZ915" s="799"/>
      <c r="BA915" s="799"/>
      <c r="BB915" s="799"/>
      <c r="BC915" s="799"/>
      <c r="BD915" s="799"/>
      <c r="BE915" s="799"/>
      <c r="BF915" s="799"/>
      <c r="BG915" s="799"/>
    </row>
    <row r="916">
      <c r="H916" s="799"/>
      <c r="I916" s="799"/>
      <c r="J916" s="799"/>
      <c r="K916" s="799"/>
      <c r="L916" s="799"/>
      <c r="M916" s="799"/>
      <c r="N916" s="799"/>
      <c r="O916" s="799"/>
      <c r="P916" s="799"/>
      <c r="Q916" s="799"/>
      <c r="R916" s="799"/>
      <c r="S916" s="799"/>
      <c r="T916" s="799"/>
      <c r="U916" s="799"/>
      <c r="V916" s="799"/>
      <c r="W916" s="799"/>
      <c r="X916" s="799"/>
      <c r="Y916" s="799"/>
      <c r="Z916" s="799"/>
      <c r="AA916" s="799"/>
      <c r="AB916" s="799"/>
      <c r="AC916" s="799"/>
      <c r="AD916" s="799"/>
      <c r="AE916" s="799"/>
      <c r="AF916" s="799"/>
      <c r="AG916" s="799"/>
      <c r="AH916" s="799"/>
      <c r="AI916" s="799"/>
      <c r="AJ916" s="799"/>
      <c r="AK916" s="799"/>
      <c r="AL916" s="799"/>
      <c r="AM916" s="799"/>
      <c r="AN916" s="799"/>
      <c r="AO916" s="799"/>
      <c r="AP916" s="799"/>
      <c r="AQ916" s="799"/>
      <c r="AR916" s="799"/>
      <c r="AS916" s="799"/>
      <c r="AT916" s="799"/>
      <c r="AU916" s="799"/>
      <c r="AV916" s="799"/>
      <c r="AW916" s="799"/>
      <c r="AX916" s="799"/>
      <c r="AY916" s="799"/>
      <c r="AZ916" s="799"/>
      <c r="BA916" s="799"/>
      <c r="BB916" s="799"/>
      <c r="BC916" s="799"/>
      <c r="BD916" s="799"/>
      <c r="BE916" s="799"/>
      <c r="BF916" s="799"/>
      <c r="BG916" s="799"/>
    </row>
    <row r="917">
      <c r="H917" s="799"/>
      <c r="I917" s="799"/>
      <c r="J917" s="799"/>
      <c r="K917" s="799"/>
      <c r="L917" s="799"/>
      <c r="M917" s="799"/>
      <c r="N917" s="799"/>
      <c r="O917" s="799"/>
      <c r="P917" s="799"/>
      <c r="Q917" s="799"/>
      <c r="R917" s="799"/>
      <c r="S917" s="799"/>
      <c r="T917" s="799"/>
      <c r="U917" s="799"/>
      <c r="V917" s="799"/>
      <c r="W917" s="799"/>
      <c r="X917" s="799"/>
      <c r="Y917" s="799"/>
      <c r="Z917" s="799"/>
      <c r="AA917" s="799"/>
      <c r="AB917" s="799"/>
      <c r="AC917" s="799"/>
      <c r="AD917" s="799"/>
      <c r="AE917" s="799"/>
      <c r="AF917" s="799"/>
      <c r="AG917" s="799"/>
      <c r="AH917" s="799"/>
      <c r="AI917" s="799"/>
      <c r="AJ917" s="799"/>
      <c r="AK917" s="799"/>
      <c r="AL917" s="799"/>
      <c r="AM917" s="799"/>
      <c r="AN917" s="799"/>
      <c r="AO917" s="799"/>
      <c r="AP917" s="799"/>
      <c r="AQ917" s="799"/>
      <c r="AR917" s="799"/>
      <c r="AS917" s="799"/>
      <c r="AT917" s="799"/>
      <c r="AU917" s="799"/>
      <c r="AV917" s="799"/>
      <c r="AW917" s="799"/>
      <c r="AX917" s="799"/>
      <c r="AY917" s="799"/>
      <c r="AZ917" s="799"/>
      <c r="BA917" s="799"/>
      <c r="BB917" s="799"/>
      <c r="BC917" s="799"/>
      <c r="BD917" s="799"/>
      <c r="BE917" s="799"/>
      <c r="BF917" s="799"/>
      <c r="BG917" s="799"/>
    </row>
    <row r="918">
      <c r="H918" s="799"/>
      <c r="I918" s="799"/>
      <c r="J918" s="799"/>
      <c r="K918" s="799"/>
      <c r="L918" s="799"/>
      <c r="M918" s="799"/>
      <c r="N918" s="799"/>
      <c r="O918" s="799"/>
      <c r="P918" s="799"/>
      <c r="Q918" s="799"/>
      <c r="R918" s="799"/>
      <c r="S918" s="799"/>
      <c r="T918" s="799"/>
      <c r="U918" s="799"/>
      <c r="V918" s="799"/>
      <c r="W918" s="799"/>
      <c r="X918" s="799"/>
      <c r="Y918" s="799"/>
      <c r="Z918" s="799"/>
      <c r="AA918" s="799"/>
      <c r="AB918" s="799"/>
      <c r="AC918" s="799"/>
      <c r="AD918" s="799"/>
      <c r="AE918" s="799"/>
      <c r="AF918" s="799"/>
      <c r="AG918" s="799"/>
      <c r="AH918" s="799"/>
      <c r="AI918" s="799"/>
      <c r="AJ918" s="799"/>
      <c r="AK918" s="799"/>
      <c r="AL918" s="799"/>
      <c r="AM918" s="799"/>
      <c r="AN918" s="799"/>
      <c r="AO918" s="799"/>
      <c r="AP918" s="799"/>
      <c r="AQ918" s="799"/>
      <c r="AR918" s="799"/>
      <c r="AS918" s="799"/>
      <c r="AT918" s="799"/>
      <c r="AU918" s="799"/>
      <c r="AV918" s="799"/>
      <c r="AW918" s="799"/>
      <c r="AX918" s="799"/>
      <c r="AY918" s="799"/>
      <c r="AZ918" s="799"/>
      <c r="BA918" s="799"/>
      <c r="BB918" s="799"/>
      <c r="BC918" s="799"/>
      <c r="BD918" s="799"/>
      <c r="BE918" s="799"/>
      <c r="BF918" s="799"/>
      <c r="BG918" s="799"/>
    </row>
    <row r="919">
      <c r="H919" s="799"/>
      <c r="I919" s="799"/>
      <c r="J919" s="799"/>
      <c r="K919" s="799"/>
      <c r="L919" s="799"/>
      <c r="M919" s="799"/>
      <c r="N919" s="799"/>
      <c r="O919" s="799"/>
      <c r="P919" s="799"/>
      <c r="Q919" s="799"/>
      <c r="R919" s="799"/>
      <c r="S919" s="799"/>
      <c r="T919" s="799"/>
      <c r="U919" s="799"/>
      <c r="V919" s="799"/>
      <c r="W919" s="799"/>
      <c r="X919" s="799"/>
      <c r="Y919" s="799"/>
      <c r="Z919" s="799"/>
      <c r="AA919" s="799"/>
      <c r="AB919" s="799"/>
      <c r="AC919" s="799"/>
      <c r="AD919" s="799"/>
      <c r="AE919" s="799"/>
      <c r="AF919" s="799"/>
      <c r="AG919" s="799"/>
      <c r="AH919" s="799"/>
      <c r="AI919" s="799"/>
      <c r="AJ919" s="799"/>
      <c r="AK919" s="799"/>
      <c r="AL919" s="799"/>
      <c r="AM919" s="799"/>
      <c r="AN919" s="799"/>
      <c r="AO919" s="799"/>
      <c r="AP919" s="799"/>
      <c r="AQ919" s="799"/>
      <c r="AR919" s="799"/>
      <c r="AS919" s="799"/>
      <c r="AT919" s="799"/>
      <c r="AU919" s="799"/>
      <c r="AV919" s="799"/>
      <c r="AW919" s="799"/>
      <c r="AX919" s="799"/>
      <c r="AY919" s="799"/>
      <c r="AZ919" s="799"/>
      <c r="BA919" s="799"/>
      <c r="BB919" s="799"/>
      <c r="BC919" s="799"/>
      <c r="BD919" s="799"/>
      <c r="BE919" s="799"/>
      <c r="BF919" s="799"/>
      <c r="BG919" s="799"/>
    </row>
    <row r="920">
      <c r="H920" s="799"/>
      <c r="I920" s="799"/>
      <c r="J920" s="799"/>
      <c r="K920" s="799"/>
      <c r="L920" s="799"/>
      <c r="M920" s="799"/>
      <c r="N920" s="799"/>
      <c r="O920" s="799"/>
      <c r="P920" s="799"/>
      <c r="Q920" s="799"/>
      <c r="R920" s="799"/>
      <c r="S920" s="799"/>
      <c r="T920" s="799"/>
      <c r="U920" s="799"/>
      <c r="V920" s="799"/>
      <c r="W920" s="799"/>
      <c r="X920" s="799"/>
      <c r="Y920" s="799"/>
      <c r="Z920" s="799"/>
      <c r="AA920" s="799"/>
      <c r="AB920" s="799"/>
      <c r="AC920" s="799"/>
      <c r="AD920" s="799"/>
      <c r="AE920" s="799"/>
      <c r="AF920" s="799"/>
      <c r="AG920" s="799"/>
      <c r="AH920" s="799"/>
      <c r="AI920" s="799"/>
      <c r="AJ920" s="799"/>
      <c r="AK920" s="799"/>
      <c r="AL920" s="799"/>
      <c r="AM920" s="799"/>
      <c r="AN920" s="799"/>
      <c r="AO920" s="799"/>
      <c r="AP920" s="799"/>
      <c r="AQ920" s="799"/>
      <c r="AR920" s="799"/>
      <c r="AS920" s="799"/>
      <c r="AT920" s="799"/>
      <c r="AU920" s="799"/>
      <c r="AV920" s="799"/>
      <c r="AW920" s="799"/>
      <c r="AX920" s="799"/>
      <c r="AY920" s="799"/>
      <c r="AZ920" s="799"/>
      <c r="BA920" s="799"/>
      <c r="BB920" s="799"/>
      <c r="BC920" s="799"/>
      <c r="BD920" s="799"/>
      <c r="BE920" s="799"/>
      <c r="BF920" s="799"/>
      <c r="BG920" s="799"/>
    </row>
    <row r="921">
      <c r="H921" s="799"/>
      <c r="I921" s="799"/>
      <c r="J921" s="799"/>
      <c r="K921" s="799"/>
      <c r="L921" s="799"/>
      <c r="M921" s="799"/>
      <c r="N921" s="799"/>
      <c r="O921" s="799"/>
      <c r="P921" s="799"/>
      <c r="Q921" s="799"/>
      <c r="R921" s="799"/>
      <c r="S921" s="799"/>
      <c r="T921" s="799"/>
      <c r="U921" s="799"/>
      <c r="V921" s="799"/>
      <c r="W921" s="799"/>
      <c r="X921" s="799"/>
      <c r="Y921" s="799"/>
      <c r="Z921" s="799"/>
      <c r="AA921" s="799"/>
      <c r="AB921" s="799"/>
      <c r="AC921" s="799"/>
      <c r="AD921" s="799"/>
      <c r="AE921" s="799"/>
      <c r="AF921" s="799"/>
      <c r="AG921" s="799"/>
      <c r="AH921" s="799"/>
      <c r="AI921" s="799"/>
      <c r="AJ921" s="799"/>
      <c r="AK921" s="799"/>
      <c r="AL921" s="799"/>
      <c r="AM921" s="799"/>
      <c r="AN921" s="799"/>
      <c r="AO921" s="799"/>
      <c r="AP921" s="799"/>
      <c r="AQ921" s="799"/>
      <c r="AR921" s="799"/>
      <c r="AS921" s="799"/>
      <c r="AT921" s="799"/>
      <c r="AU921" s="799"/>
      <c r="AV921" s="799"/>
      <c r="AW921" s="799"/>
      <c r="AX921" s="799"/>
      <c r="AY921" s="799"/>
      <c r="AZ921" s="799"/>
      <c r="BA921" s="799"/>
      <c r="BB921" s="799"/>
      <c r="BC921" s="799"/>
      <c r="BD921" s="799"/>
      <c r="BE921" s="799"/>
      <c r="BF921" s="799"/>
      <c r="BG921" s="799"/>
    </row>
    <row r="922">
      <c r="H922" s="799"/>
      <c r="I922" s="799"/>
      <c r="J922" s="799"/>
      <c r="K922" s="799"/>
      <c r="L922" s="799"/>
      <c r="M922" s="799"/>
      <c r="N922" s="799"/>
      <c r="O922" s="799"/>
      <c r="P922" s="799"/>
      <c r="Q922" s="799"/>
      <c r="R922" s="799"/>
      <c r="S922" s="799"/>
      <c r="T922" s="799"/>
      <c r="U922" s="799"/>
      <c r="V922" s="799"/>
      <c r="W922" s="799"/>
      <c r="X922" s="799"/>
      <c r="Y922" s="799"/>
      <c r="Z922" s="799"/>
      <c r="AA922" s="799"/>
      <c r="AB922" s="799"/>
      <c r="AC922" s="799"/>
      <c r="AD922" s="799"/>
      <c r="AE922" s="799"/>
      <c r="AF922" s="799"/>
      <c r="AG922" s="799"/>
      <c r="AH922" s="799"/>
      <c r="AI922" s="799"/>
      <c r="AJ922" s="799"/>
      <c r="AK922" s="799"/>
      <c r="AL922" s="799"/>
      <c r="AM922" s="799"/>
      <c r="AN922" s="799"/>
      <c r="AO922" s="799"/>
      <c r="AP922" s="799"/>
      <c r="AQ922" s="799"/>
      <c r="AR922" s="799"/>
      <c r="AS922" s="799"/>
      <c r="AT922" s="799"/>
      <c r="AU922" s="799"/>
      <c r="AV922" s="799"/>
      <c r="AW922" s="799"/>
      <c r="AX922" s="799"/>
      <c r="AY922" s="799"/>
      <c r="AZ922" s="799"/>
      <c r="BA922" s="799"/>
      <c r="BB922" s="799"/>
      <c r="BC922" s="799"/>
      <c r="BD922" s="799"/>
      <c r="BE922" s="799"/>
      <c r="BF922" s="799"/>
      <c r="BG922" s="799"/>
    </row>
    <row r="923">
      <c r="H923" s="799"/>
      <c r="I923" s="799"/>
      <c r="J923" s="799"/>
      <c r="K923" s="799"/>
      <c r="L923" s="799"/>
      <c r="M923" s="799"/>
      <c r="N923" s="799"/>
      <c r="O923" s="799"/>
      <c r="P923" s="799"/>
      <c r="Q923" s="799"/>
      <c r="R923" s="799"/>
      <c r="S923" s="799"/>
      <c r="T923" s="799"/>
      <c r="U923" s="799"/>
      <c r="V923" s="799"/>
      <c r="W923" s="799"/>
      <c r="X923" s="799"/>
      <c r="Y923" s="799"/>
      <c r="Z923" s="799"/>
      <c r="AA923" s="799"/>
      <c r="AB923" s="799"/>
      <c r="AC923" s="799"/>
      <c r="AD923" s="799"/>
      <c r="AE923" s="799"/>
      <c r="AF923" s="799"/>
      <c r="AG923" s="799"/>
      <c r="AH923" s="799"/>
      <c r="AI923" s="799"/>
      <c r="AJ923" s="799"/>
      <c r="AK923" s="799"/>
      <c r="AL923" s="799"/>
      <c r="AM923" s="799"/>
      <c r="AN923" s="799"/>
      <c r="AO923" s="799"/>
      <c r="AP923" s="799"/>
      <c r="AQ923" s="799"/>
      <c r="AR923" s="799"/>
      <c r="AS923" s="799"/>
      <c r="AT923" s="799"/>
      <c r="AU923" s="799"/>
      <c r="AV923" s="799"/>
      <c r="AW923" s="799"/>
      <c r="AX923" s="799"/>
      <c r="AY923" s="799"/>
      <c r="AZ923" s="799"/>
      <c r="BA923" s="799"/>
      <c r="BB923" s="799"/>
      <c r="BC923" s="799"/>
      <c r="BD923" s="799"/>
      <c r="BE923" s="799"/>
      <c r="BF923" s="799"/>
      <c r="BG923" s="799"/>
    </row>
    <row r="924">
      <c r="H924" s="799"/>
      <c r="I924" s="799"/>
      <c r="J924" s="799"/>
      <c r="K924" s="799"/>
      <c r="L924" s="799"/>
      <c r="M924" s="799"/>
      <c r="N924" s="799"/>
      <c r="O924" s="799"/>
      <c r="P924" s="799"/>
      <c r="Q924" s="799"/>
      <c r="R924" s="799"/>
      <c r="S924" s="799"/>
      <c r="T924" s="799"/>
      <c r="U924" s="799"/>
      <c r="V924" s="799"/>
      <c r="W924" s="799"/>
      <c r="X924" s="799"/>
      <c r="Y924" s="799"/>
      <c r="Z924" s="799"/>
      <c r="AA924" s="799"/>
      <c r="AB924" s="799"/>
      <c r="AC924" s="799"/>
      <c r="AD924" s="799"/>
      <c r="AE924" s="799"/>
      <c r="AF924" s="799"/>
      <c r="AG924" s="799"/>
      <c r="AH924" s="799"/>
      <c r="AI924" s="799"/>
      <c r="AJ924" s="799"/>
      <c r="AK924" s="799"/>
      <c r="AL924" s="799"/>
      <c r="AM924" s="799"/>
      <c r="AN924" s="799"/>
      <c r="AO924" s="799"/>
      <c r="AP924" s="799"/>
      <c r="AQ924" s="799"/>
      <c r="AR924" s="799"/>
      <c r="AS924" s="799"/>
      <c r="AT924" s="799"/>
      <c r="AU924" s="799"/>
      <c r="AV924" s="799"/>
      <c r="AW924" s="799"/>
      <c r="AX924" s="799"/>
      <c r="AY924" s="799"/>
      <c r="AZ924" s="799"/>
      <c r="BA924" s="799"/>
      <c r="BB924" s="799"/>
      <c r="BC924" s="799"/>
      <c r="BD924" s="799"/>
      <c r="BE924" s="799"/>
      <c r="BF924" s="799"/>
      <c r="BG924" s="799"/>
    </row>
    <row r="925">
      <c r="H925" s="799"/>
      <c r="I925" s="799"/>
      <c r="J925" s="799"/>
      <c r="K925" s="799"/>
      <c r="L925" s="799"/>
      <c r="M925" s="799"/>
      <c r="N925" s="799"/>
      <c r="O925" s="799"/>
      <c r="P925" s="799"/>
      <c r="Q925" s="799"/>
      <c r="R925" s="799"/>
      <c r="S925" s="799"/>
      <c r="T925" s="799"/>
      <c r="U925" s="799"/>
      <c r="V925" s="799"/>
      <c r="W925" s="799"/>
      <c r="X925" s="799"/>
      <c r="Y925" s="799"/>
      <c r="Z925" s="799"/>
      <c r="AA925" s="799"/>
      <c r="AB925" s="799"/>
      <c r="AC925" s="799"/>
      <c r="AD925" s="799"/>
      <c r="AE925" s="799"/>
      <c r="AF925" s="799"/>
      <c r="AG925" s="799"/>
      <c r="AH925" s="799"/>
      <c r="AI925" s="799"/>
      <c r="AJ925" s="799"/>
      <c r="AK925" s="799"/>
      <c r="AL925" s="799"/>
      <c r="AM925" s="799"/>
      <c r="AN925" s="799"/>
      <c r="AO925" s="799"/>
      <c r="AP925" s="799"/>
      <c r="AQ925" s="799"/>
      <c r="AR925" s="799"/>
      <c r="AS925" s="799"/>
      <c r="AT925" s="799"/>
      <c r="AU925" s="799"/>
      <c r="AV925" s="799"/>
      <c r="AW925" s="799"/>
      <c r="AX925" s="799"/>
      <c r="AY925" s="799"/>
      <c r="AZ925" s="799"/>
      <c r="BA925" s="799"/>
      <c r="BB925" s="799"/>
      <c r="BC925" s="799"/>
      <c r="BD925" s="799"/>
      <c r="BE925" s="799"/>
      <c r="BF925" s="799"/>
      <c r="BG925" s="799"/>
    </row>
    <row r="926">
      <c r="H926" s="799"/>
      <c r="I926" s="799"/>
      <c r="J926" s="799"/>
      <c r="K926" s="799"/>
      <c r="L926" s="799"/>
      <c r="M926" s="799"/>
      <c r="N926" s="799"/>
      <c r="O926" s="799"/>
      <c r="P926" s="799"/>
      <c r="Q926" s="799"/>
      <c r="R926" s="799"/>
      <c r="S926" s="799"/>
      <c r="T926" s="799"/>
      <c r="U926" s="799"/>
      <c r="V926" s="799"/>
      <c r="W926" s="799"/>
      <c r="X926" s="799"/>
      <c r="Y926" s="799"/>
      <c r="Z926" s="799"/>
      <c r="AA926" s="799"/>
      <c r="AB926" s="799"/>
      <c r="AC926" s="799"/>
      <c r="AD926" s="799"/>
      <c r="AE926" s="799"/>
      <c r="AF926" s="799"/>
      <c r="AG926" s="799"/>
      <c r="AH926" s="799"/>
      <c r="AI926" s="799"/>
      <c r="AJ926" s="799"/>
      <c r="AK926" s="799"/>
      <c r="AL926" s="799"/>
      <c r="AM926" s="799"/>
      <c r="AN926" s="799"/>
      <c r="AO926" s="799"/>
      <c r="AP926" s="799"/>
      <c r="AQ926" s="799"/>
      <c r="AR926" s="799"/>
      <c r="AS926" s="799"/>
      <c r="AT926" s="799"/>
      <c r="AU926" s="799"/>
      <c r="AV926" s="799"/>
      <c r="AW926" s="799"/>
      <c r="AX926" s="799"/>
      <c r="AY926" s="799"/>
      <c r="AZ926" s="799"/>
      <c r="BA926" s="799"/>
      <c r="BB926" s="799"/>
      <c r="BC926" s="799"/>
      <c r="BD926" s="799"/>
      <c r="BE926" s="799"/>
      <c r="BF926" s="799"/>
      <c r="BG926" s="799"/>
    </row>
    <row r="927">
      <c r="H927" s="799"/>
      <c r="I927" s="799"/>
      <c r="J927" s="799"/>
      <c r="K927" s="799"/>
      <c r="L927" s="799"/>
      <c r="M927" s="799"/>
      <c r="N927" s="799"/>
      <c r="O927" s="799"/>
      <c r="P927" s="799"/>
      <c r="Q927" s="799"/>
      <c r="R927" s="799"/>
      <c r="S927" s="799"/>
      <c r="T927" s="799"/>
      <c r="U927" s="799"/>
      <c r="V927" s="799"/>
      <c r="W927" s="799"/>
      <c r="X927" s="799"/>
      <c r="Y927" s="799"/>
      <c r="Z927" s="799"/>
      <c r="AA927" s="799"/>
      <c r="AB927" s="799"/>
      <c r="AC927" s="799"/>
      <c r="AD927" s="799"/>
      <c r="AE927" s="799"/>
      <c r="AF927" s="799"/>
      <c r="AG927" s="799"/>
      <c r="AH927" s="799"/>
      <c r="AI927" s="799"/>
      <c r="AJ927" s="799"/>
      <c r="AK927" s="799"/>
      <c r="AL927" s="799"/>
      <c r="AM927" s="799"/>
      <c r="AN927" s="799"/>
      <c r="AO927" s="799"/>
      <c r="AP927" s="799"/>
      <c r="AQ927" s="799"/>
      <c r="AR927" s="799"/>
      <c r="AS927" s="799"/>
      <c r="AT927" s="799"/>
      <c r="AU927" s="799"/>
      <c r="AV927" s="799"/>
      <c r="AW927" s="799"/>
      <c r="AX927" s="799"/>
      <c r="AY927" s="799"/>
      <c r="AZ927" s="799"/>
      <c r="BA927" s="799"/>
      <c r="BB927" s="799"/>
      <c r="BC927" s="799"/>
      <c r="BD927" s="799"/>
      <c r="BE927" s="799"/>
      <c r="BF927" s="799"/>
      <c r="BG927" s="799"/>
    </row>
    <row r="928">
      <c r="H928" s="799"/>
      <c r="I928" s="799"/>
      <c r="J928" s="799"/>
      <c r="K928" s="799"/>
      <c r="L928" s="799"/>
      <c r="M928" s="799"/>
      <c r="N928" s="799"/>
      <c r="O928" s="799"/>
      <c r="P928" s="799"/>
      <c r="Q928" s="799"/>
      <c r="R928" s="799"/>
      <c r="S928" s="799"/>
      <c r="T928" s="799"/>
      <c r="U928" s="799"/>
      <c r="V928" s="799"/>
      <c r="W928" s="799"/>
      <c r="X928" s="799"/>
      <c r="Y928" s="799"/>
      <c r="Z928" s="799"/>
      <c r="AA928" s="799"/>
      <c r="AB928" s="799"/>
      <c r="AC928" s="799"/>
      <c r="AD928" s="799"/>
      <c r="AE928" s="799"/>
      <c r="AF928" s="799"/>
      <c r="AG928" s="799"/>
      <c r="AH928" s="799"/>
      <c r="AI928" s="799"/>
      <c r="AJ928" s="799"/>
      <c r="AK928" s="799"/>
      <c r="AL928" s="799"/>
      <c r="AM928" s="799"/>
      <c r="AN928" s="799"/>
      <c r="AO928" s="799"/>
      <c r="AP928" s="799"/>
      <c r="AQ928" s="799"/>
      <c r="AR928" s="799"/>
      <c r="AS928" s="799"/>
      <c r="AT928" s="799"/>
      <c r="AU928" s="799"/>
      <c r="AV928" s="799"/>
      <c r="AW928" s="799"/>
      <c r="AX928" s="799"/>
      <c r="AY928" s="799"/>
      <c r="AZ928" s="799"/>
      <c r="BA928" s="799"/>
      <c r="BB928" s="799"/>
      <c r="BC928" s="799"/>
      <c r="BD928" s="799"/>
      <c r="BE928" s="799"/>
      <c r="BF928" s="799"/>
      <c r="BG928" s="799"/>
    </row>
    <row r="929">
      <c r="H929" s="799"/>
      <c r="I929" s="799"/>
      <c r="J929" s="799"/>
      <c r="K929" s="799"/>
      <c r="L929" s="799"/>
      <c r="M929" s="799"/>
      <c r="N929" s="799"/>
      <c r="O929" s="799"/>
      <c r="P929" s="799"/>
      <c r="Q929" s="799"/>
      <c r="R929" s="799"/>
      <c r="S929" s="799"/>
      <c r="T929" s="799"/>
      <c r="U929" s="799"/>
      <c r="V929" s="799"/>
      <c r="W929" s="799"/>
      <c r="X929" s="799"/>
      <c r="Y929" s="799"/>
      <c r="Z929" s="799"/>
      <c r="AA929" s="799"/>
      <c r="AB929" s="799"/>
      <c r="AC929" s="799"/>
      <c r="AD929" s="799"/>
      <c r="AE929" s="799"/>
      <c r="AF929" s="799"/>
      <c r="AG929" s="799"/>
      <c r="AH929" s="799"/>
      <c r="AI929" s="799"/>
      <c r="AJ929" s="799"/>
      <c r="AK929" s="799"/>
      <c r="AL929" s="799"/>
      <c r="AM929" s="799"/>
      <c r="AN929" s="799"/>
      <c r="AO929" s="799"/>
      <c r="AP929" s="799"/>
      <c r="AQ929" s="799"/>
      <c r="AR929" s="799"/>
      <c r="AS929" s="799"/>
      <c r="AT929" s="799"/>
      <c r="AU929" s="799"/>
      <c r="AV929" s="799"/>
      <c r="AW929" s="799"/>
      <c r="AX929" s="799"/>
      <c r="AY929" s="799"/>
      <c r="AZ929" s="799"/>
      <c r="BA929" s="799"/>
      <c r="BB929" s="799"/>
      <c r="BC929" s="799"/>
      <c r="BD929" s="799"/>
      <c r="BE929" s="799"/>
      <c r="BF929" s="799"/>
      <c r="BG929" s="799"/>
    </row>
    <row r="930">
      <c r="H930" s="799"/>
      <c r="I930" s="799"/>
      <c r="J930" s="799"/>
      <c r="K930" s="799"/>
      <c r="L930" s="799"/>
      <c r="M930" s="799"/>
      <c r="N930" s="799"/>
      <c r="O930" s="799"/>
      <c r="P930" s="799"/>
      <c r="Q930" s="799"/>
      <c r="R930" s="799"/>
      <c r="S930" s="799"/>
      <c r="T930" s="799"/>
      <c r="U930" s="799"/>
      <c r="V930" s="799"/>
      <c r="W930" s="799"/>
      <c r="X930" s="799"/>
      <c r="Y930" s="799"/>
      <c r="Z930" s="799"/>
      <c r="AA930" s="799"/>
      <c r="AB930" s="799"/>
      <c r="AC930" s="799"/>
      <c r="AD930" s="799"/>
      <c r="AE930" s="799"/>
      <c r="AF930" s="799"/>
      <c r="AG930" s="799"/>
      <c r="AH930" s="799"/>
      <c r="AI930" s="799"/>
      <c r="AJ930" s="799"/>
      <c r="AK930" s="799"/>
      <c r="AL930" s="799"/>
      <c r="AM930" s="799"/>
      <c r="AN930" s="799"/>
      <c r="AO930" s="799"/>
      <c r="AP930" s="799"/>
      <c r="AQ930" s="799"/>
      <c r="AR930" s="799"/>
      <c r="AS930" s="799"/>
      <c r="AT930" s="799"/>
      <c r="AU930" s="799"/>
      <c r="AV930" s="799"/>
      <c r="AW930" s="799"/>
      <c r="AX930" s="799"/>
      <c r="AY930" s="799"/>
      <c r="AZ930" s="799"/>
      <c r="BA930" s="799"/>
      <c r="BB930" s="799"/>
      <c r="BC930" s="799"/>
      <c r="BD930" s="799"/>
      <c r="BE930" s="799"/>
      <c r="BF930" s="799"/>
      <c r="BG930" s="799"/>
    </row>
    <row r="931">
      <c r="H931" s="799"/>
      <c r="I931" s="799"/>
      <c r="J931" s="799"/>
      <c r="K931" s="799"/>
      <c r="L931" s="799"/>
      <c r="M931" s="799"/>
      <c r="N931" s="799"/>
      <c r="O931" s="799"/>
      <c r="P931" s="799"/>
      <c r="Q931" s="799"/>
      <c r="R931" s="799"/>
      <c r="S931" s="799"/>
      <c r="T931" s="799"/>
      <c r="U931" s="799"/>
      <c r="V931" s="799"/>
      <c r="W931" s="799"/>
      <c r="X931" s="799"/>
      <c r="Y931" s="799"/>
      <c r="Z931" s="799"/>
      <c r="AA931" s="799"/>
      <c r="AB931" s="799"/>
      <c r="AC931" s="799"/>
      <c r="AD931" s="799"/>
      <c r="AE931" s="799"/>
      <c r="AF931" s="799"/>
      <c r="AG931" s="799"/>
      <c r="AH931" s="799"/>
      <c r="AI931" s="799"/>
      <c r="AJ931" s="799"/>
      <c r="AK931" s="799"/>
      <c r="AL931" s="799"/>
      <c r="AM931" s="799"/>
      <c r="AN931" s="799"/>
      <c r="AO931" s="799"/>
      <c r="AP931" s="799"/>
      <c r="AQ931" s="799"/>
      <c r="AR931" s="799"/>
      <c r="AS931" s="799"/>
      <c r="AT931" s="799"/>
      <c r="AU931" s="799"/>
      <c r="AV931" s="799"/>
      <c r="AW931" s="799"/>
      <c r="AX931" s="799"/>
      <c r="AY931" s="799"/>
      <c r="AZ931" s="799"/>
      <c r="BA931" s="799"/>
      <c r="BB931" s="799"/>
      <c r="BC931" s="799"/>
      <c r="BD931" s="799"/>
      <c r="BE931" s="799"/>
      <c r="BF931" s="799"/>
      <c r="BG931" s="799"/>
    </row>
    <row r="932">
      <c r="H932" s="799"/>
      <c r="I932" s="799"/>
      <c r="J932" s="799"/>
      <c r="K932" s="799"/>
      <c r="L932" s="799"/>
      <c r="M932" s="799"/>
      <c r="N932" s="799"/>
      <c r="O932" s="799"/>
      <c r="P932" s="799"/>
      <c r="Q932" s="799"/>
      <c r="R932" s="799"/>
      <c r="S932" s="799"/>
      <c r="T932" s="799"/>
      <c r="U932" s="799"/>
      <c r="V932" s="799"/>
      <c r="W932" s="799"/>
      <c r="X932" s="799"/>
      <c r="Y932" s="799"/>
      <c r="Z932" s="799"/>
      <c r="AA932" s="799"/>
      <c r="AB932" s="799"/>
      <c r="AC932" s="799"/>
      <c r="AD932" s="799"/>
      <c r="AE932" s="799"/>
      <c r="AF932" s="799"/>
      <c r="AG932" s="799"/>
      <c r="AH932" s="799"/>
      <c r="AI932" s="799"/>
      <c r="AJ932" s="799"/>
      <c r="AK932" s="799"/>
      <c r="AL932" s="799"/>
      <c r="AM932" s="799"/>
      <c r="AN932" s="799"/>
      <c r="AO932" s="799"/>
      <c r="AP932" s="799"/>
      <c r="AQ932" s="799"/>
      <c r="AR932" s="799"/>
      <c r="AS932" s="799"/>
      <c r="AT932" s="799"/>
      <c r="AU932" s="799"/>
      <c r="AV932" s="799"/>
      <c r="AW932" s="799"/>
      <c r="AX932" s="799"/>
      <c r="AY932" s="799"/>
      <c r="AZ932" s="799"/>
      <c r="BA932" s="799"/>
      <c r="BB932" s="799"/>
      <c r="BC932" s="799"/>
      <c r="BD932" s="799"/>
      <c r="BE932" s="799"/>
      <c r="BF932" s="799"/>
      <c r="BG932" s="799"/>
    </row>
    <row r="933">
      <c r="H933" s="799"/>
      <c r="I933" s="799"/>
      <c r="J933" s="799"/>
      <c r="K933" s="799"/>
      <c r="L933" s="799"/>
      <c r="M933" s="799"/>
      <c r="N933" s="799"/>
      <c r="O933" s="799"/>
      <c r="P933" s="799"/>
      <c r="Q933" s="799"/>
      <c r="R933" s="799"/>
      <c r="S933" s="799"/>
      <c r="T933" s="799"/>
      <c r="U933" s="799"/>
      <c r="V933" s="799"/>
      <c r="W933" s="799"/>
      <c r="X933" s="799"/>
      <c r="Y933" s="799"/>
      <c r="Z933" s="799"/>
      <c r="AA933" s="799"/>
      <c r="AB933" s="799"/>
      <c r="AC933" s="799"/>
      <c r="AD933" s="799"/>
      <c r="AE933" s="799"/>
      <c r="AF933" s="799"/>
      <c r="AG933" s="799"/>
      <c r="AH933" s="799"/>
      <c r="AI933" s="799"/>
      <c r="AJ933" s="799"/>
      <c r="AK933" s="799"/>
      <c r="AL933" s="799"/>
      <c r="AM933" s="799"/>
      <c r="AN933" s="799"/>
      <c r="AO933" s="799"/>
      <c r="AP933" s="799"/>
      <c r="AQ933" s="799"/>
      <c r="AR933" s="799"/>
      <c r="AS933" s="799"/>
      <c r="AT933" s="799"/>
      <c r="AU933" s="799"/>
      <c r="AV933" s="799"/>
      <c r="AW933" s="799"/>
      <c r="AX933" s="799"/>
      <c r="AY933" s="799"/>
      <c r="AZ933" s="799"/>
      <c r="BA933" s="799"/>
      <c r="BB933" s="799"/>
      <c r="BC933" s="799"/>
      <c r="BD933" s="799"/>
      <c r="BE933" s="799"/>
      <c r="BF933" s="799"/>
      <c r="BG933" s="799"/>
    </row>
    <row r="934">
      <c r="H934" s="799"/>
      <c r="I934" s="799"/>
      <c r="J934" s="799"/>
      <c r="K934" s="799"/>
      <c r="L934" s="799"/>
      <c r="M934" s="799"/>
      <c r="N934" s="799"/>
      <c r="O934" s="799"/>
      <c r="P934" s="799"/>
      <c r="Q934" s="799"/>
      <c r="R934" s="799"/>
      <c r="S934" s="799"/>
      <c r="T934" s="799"/>
      <c r="U934" s="799"/>
      <c r="V934" s="799"/>
      <c r="W934" s="799"/>
      <c r="X934" s="799"/>
      <c r="Y934" s="799"/>
      <c r="Z934" s="799"/>
      <c r="AA934" s="799"/>
      <c r="AB934" s="799"/>
      <c r="AC934" s="799"/>
      <c r="AD934" s="799"/>
      <c r="AE934" s="799"/>
      <c r="AF934" s="799"/>
      <c r="AG934" s="799"/>
      <c r="AH934" s="799"/>
      <c r="AI934" s="799"/>
      <c r="AJ934" s="799"/>
      <c r="AK934" s="799"/>
      <c r="AL934" s="799"/>
      <c r="AM934" s="799"/>
      <c r="AN934" s="799"/>
      <c r="AO934" s="799"/>
      <c r="AP934" s="799"/>
      <c r="AQ934" s="799"/>
      <c r="AR934" s="799"/>
      <c r="AS934" s="799"/>
      <c r="AT934" s="799"/>
      <c r="AU934" s="799"/>
      <c r="AV934" s="799"/>
      <c r="AW934" s="799"/>
      <c r="AX934" s="799"/>
      <c r="AY934" s="799"/>
      <c r="AZ934" s="799"/>
      <c r="BA934" s="799"/>
      <c r="BB934" s="799"/>
      <c r="BC934" s="799"/>
      <c r="BD934" s="799"/>
      <c r="BE934" s="799"/>
      <c r="BF934" s="799"/>
      <c r="BG934" s="799"/>
    </row>
    <row r="935">
      <c r="H935" s="799"/>
      <c r="I935" s="799"/>
      <c r="J935" s="799"/>
      <c r="K935" s="799"/>
      <c r="L935" s="799"/>
      <c r="M935" s="799"/>
      <c r="N935" s="799"/>
      <c r="O935" s="799"/>
      <c r="P935" s="799"/>
      <c r="Q935" s="799"/>
      <c r="R935" s="799"/>
      <c r="S935" s="799"/>
      <c r="T935" s="799"/>
      <c r="U935" s="799"/>
      <c r="V935" s="799"/>
      <c r="W935" s="799"/>
      <c r="X935" s="799"/>
      <c r="Y935" s="799"/>
      <c r="Z935" s="799"/>
      <c r="AA935" s="799"/>
      <c r="AB935" s="799"/>
      <c r="AC935" s="799"/>
      <c r="AD935" s="799"/>
      <c r="AE935" s="799"/>
      <c r="AF935" s="799"/>
      <c r="AG935" s="799"/>
      <c r="AH935" s="799"/>
      <c r="AI935" s="799"/>
      <c r="AJ935" s="799"/>
      <c r="AK935" s="799"/>
      <c r="AL935" s="799"/>
      <c r="AM935" s="799"/>
      <c r="AN935" s="799"/>
      <c r="AO935" s="799"/>
      <c r="AP935" s="799"/>
      <c r="AQ935" s="799"/>
      <c r="AR935" s="799"/>
      <c r="AS935" s="799"/>
      <c r="AT935" s="799"/>
      <c r="AU935" s="799"/>
      <c r="AV935" s="799"/>
      <c r="AW935" s="799"/>
      <c r="AX935" s="799"/>
      <c r="AY935" s="799"/>
      <c r="AZ935" s="799"/>
      <c r="BA935" s="799"/>
      <c r="BB935" s="799"/>
      <c r="BC935" s="799"/>
      <c r="BD935" s="799"/>
      <c r="BE935" s="799"/>
      <c r="BF935" s="799"/>
      <c r="BG935" s="799"/>
    </row>
    <row r="936">
      <c r="H936" s="799"/>
      <c r="I936" s="799"/>
      <c r="J936" s="799"/>
      <c r="K936" s="799"/>
      <c r="L936" s="799"/>
      <c r="M936" s="799"/>
      <c r="N936" s="799"/>
      <c r="O936" s="799"/>
      <c r="P936" s="799"/>
      <c r="Q936" s="799"/>
      <c r="R936" s="799"/>
      <c r="S936" s="799"/>
      <c r="T936" s="799"/>
      <c r="U936" s="799"/>
      <c r="V936" s="799"/>
      <c r="W936" s="799"/>
      <c r="X936" s="799"/>
      <c r="Y936" s="799"/>
      <c r="Z936" s="799"/>
      <c r="AA936" s="799"/>
      <c r="AB936" s="799"/>
      <c r="AC936" s="799"/>
      <c r="AD936" s="799"/>
      <c r="AE936" s="799"/>
      <c r="AF936" s="799"/>
      <c r="AG936" s="799"/>
      <c r="AH936" s="799"/>
      <c r="AI936" s="799"/>
      <c r="AJ936" s="799"/>
      <c r="AK936" s="799"/>
      <c r="AL936" s="799"/>
      <c r="AM936" s="799"/>
      <c r="AN936" s="799"/>
      <c r="AO936" s="799"/>
      <c r="AP936" s="799"/>
      <c r="AQ936" s="799"/>
      <c r="AR936" s="799"/>
      <c r="AS936" s="799"/>
      <c r="AT936" s="799"/>
      <c r="AU936" s="799"/>
      <c r="AV936" s="799"/>
      <c r="AW936" s="799"/>
      <c r="AX936" s="799"/>
      <c r="AY936" s="799"/>
      <c r="AZ936" s="799"/>
      <c r="BA936" s="799"/>
      <c r="BB936" s="799"/>
      <c r="BC936" s="799"/>
      <c r="BD936" s="799"/>
      <c r="BE936" s="799"/>
      <c r="BF936" s="799"/>
      <c r="BG936" s="799"/>
    </row>
    <row r="937">
      <c r="H937" s="799"/>
      <c r="I937" s="799"/>
      <c r="J937" s="799"/>
      <c r="K937" s="799"/>
      <c r="L937" s="799"/>
      <c r="M937" s="799"/>
      <c r="N937" s="799"/>
      <c r="O937" s="799"/>
      <c r="P937" s="799"/>
      <c r="Q937" s="799"/>
      <c r="R937" s="799"/>
      <c r="S937" s="799"/>
      <c r="T937" s="799"/>
      <c r="U937" s="799"/>
      <c r="V937" s="799"/>
      <c r="W937" s="799"/>
      <c r="X937" s="799"/>
      <c r="Y937" s="799"/>
      <c r="Z937" s="799"/>
      <c r="AA937" s="799"/>
      <c r="AB937" s="799"/>
      <c r="AC937" s="799"/>
      <c r="AD937" s="799"/>
      <c r="AE937" s="799"/>
      <c r="AF937" s="799"/>
      <c r="AG937" s="799"/>
      <c r="AH937" s="799"/>
      <c r="AI937" s="799"/>
      <c r="AJ937" s="799"/>
      <c r="AK937" s="799"/>
      <c r="AL937" s="799"/>
      <c r="AM937" s="799"/>
      <c r="AN937" s="799"/>
      <c r="AO937" s="799"/>
      <c r="AP937" s="799"/>
      <c r="AQ937" s="799"/>
      <c r="AR937" s="799"/>
      <c r="AS937" s="799"/>
      <c r="AT937" s="799"/>
      <c r="AU937" s="799"/>
      <c r="AV937" s="799"/>
      <c r="AW937" s="799"/>
      <c r="AX937" s="799"/>
      <c r="AY937" s="799"/>
      <c r="AZ937" s="799"/>
      <c r="BA937" s="799"/>
      <c r="BB937" s="799"/>
      <c r="BC937" s="799"/>
      <c r="BD937" s="799"/>
      <c r="BE937" s="799"/>
      <c r="BF937" s="799"/>
      <c r="BG937" s="799"/>
    </row>
    <row r="938">
      <c r="H938" s="799"/>
      <c r="I938" s="799"/>
      <c r="J938" s="799"/>
      <c r="K938" s="799"/>
      <c r="L938" s="799"/>
      <c r="M938" s="799"/>
      <c r="N938" s="799"/>
      <c r="O938" s="799"/>
      <c r="P938" s="799"/>
      <c r="Q938" s="799"/>
      <c r="R938" s="799"/>
      <c r="S938" s="799"/>
      <c r="T938" s="799"/>
      <c r="U938" s="799"/>
      <c r="V938" s="799"/>
      <c r="W938" s="799"/>
      <c r="X938" s="799"/>
      <c r="Y938" s="799"/>
      <c r="Z938" s="799"/>
      <c r="AA938" s="799"/>
      <c r="AB938" s="799"/>
      <c r="AC938" s="799"/>
      <c r="AD938" s="799"/>
      <c r="AE938" s="799"/>
      <c r="AF938" s="799"/>
      <c r="AG938" s="799"/>
      <c r="AH938" s="799"/>
      <c r="AI938" s="799"/>
      <c r="AJ938" s="799"/>
      <c r="AK938" s="799"/>
      <c r="AL938" s="799"/>
      <c r="AM938" s="799"/>
      <c r="AN938" s="799"/>
      <c r="AO938" s="799"/>
      <c r="AP938" s="799"/>
      <c r="AQ938" s="799"/>
      <c r="AR938" s="799"/>
      <c r="AS938" s="799"/>
      <c r="AT938" s="799"/>
      <c r="AU938" s="799"/>
      <c r="AV938" s="799"/>
      <c r="AW938" s="799"/>
      <c r="AX938" s="799"/>
      <c r="AY938" s="799"/>
      <c r="AZ938" s="799"/>
      <c r="BA938" s="799"/>
      <c r="BB938" s="799"/>
      <c r="BC938" s="799"/>
      <c r="BD938" s="799"/>
      <c r="BE938" s="799"/>
      <c r="BF938" s="799"/>
      <c r="BG938" s="799"/>
    </row>
    <row r="939">
      <c r="H939" s="799"/>
      <c r="I939" s="799"/>
      <c r="J939" s="799"/>
      <c r="K939" s="799"/>
      <c r="L939" s="799"/>
      <c r="M939" s="799"/>
      <c r="N939" s="799"/>
      <c r="O939" s="799"/>
      <c r="P939" s="799"/>
      <c r="Q939" s="799"/>
      <c r="R939" s="799"/>
      <c r="S939" s="799"/>
      <c r="T939" s="799"/>
      <c r="U939" s="799"/>
      <c r="V939" s="799"/>
      <c r="W939" s="799"/>
      <c r="X939" s="799"/>
      <c r="Y939" s="799"/>
      <c r="Z939" s="799"/>
      <c r="AA939" s="799"/>
      <c r="AB939" s="799"/>
      <c r="AC939" s="799"/>
      <c r="AD939" s="799"/>
      <c r="AE939" s="799"/>
      <c r="AF939" s="799"/>
      <c r="AG939" s="799"/>
      <c r="AH939" s="799"/>
      <c r="AI939" s="799"/>
      <c r="AJ939" s="799"/>
      <c r="AK939" s="799"/>
      <c r="AL939" s="799"/>
      <c r="AM939" s="799"/>
      <c r="AN939" s="799"/>
      <c r="AO939" s="799"/>
      <c r="AP939" s="799"/>
      <c r="AQ939" s="799"/>
      <c r="AR939" s="799"/>
      <c r="AS939" s="799"/>
      <c r="AT939" s="799"/>
      <c r="AU939" s="799"/>
      <c r="AV939" s="799"/>
      <c r="AW939" s="799"/>
      <c r="AX939" s="799"/>
      <c r="AY939" s="799"/>
      <c r="AZ939" s="799"/>
      <c r="BA939" s="799"/>
      <c r="BB939" s="799"/>
      <c r="BC939" s="799"/>
      <c r="BD939" s="799"/>
      <c r="BE939" s="799"/>
      <c r="BF939" s="799"/>
      <c r="BG939" s="799"/>
    </row>
    <row r="940">
      <c r="H940" s="799"/>
      <c r="I940" s="799"/>
      <c r="J940" s="799"/>
      <c r="K940" s="799"/>
      <c r="L940" s="799"/>
      <c r="M940" s="799"/>
      <c r="N940" s="799"/>
      <c r="O940" s="799"/>
      <c r="P940" s="799"/>
      <c r="Q940" s="799"/>
      <c r="R940" s="799"/>
      <c r="S940" s="799"/>
      <c r="T940" s="799"/>
      <c r="U940" s="799"/>
      <c r="V940" s="799"/>
      <c r="W940" s="799"/>
      <c r="X940" s="799"/>
      <c r="Y940" s="799"/>
      <c r="Z940" s="799"/>
      <c r="AA940" s="799"/>
      <c r="AB940" s="799"/>
      <c r="AC940" s="799"/>
      <c r="AD940" s="799"/>
      <c r="AE940" s="799"/>
      <c r="AF940" s="799"/>
      <c r="AG940" s="799"/>
      <c r="AH940" s="799"/>
      <c r="AI940" s="799"/>
      <c r="AJ940" s="799"/>
      <c r="AK940" s="799"/>
      <c r="AL940" s="799"/>
      <c r="AM940" s="799"/>
      <c r="AN940" s="799"/>
      <c r="AO940" s="799"/>
      <c r="AP940" s="799"/>
      <c r="AQ940" s="799"/>
      <c r="AR940" s="799"/>
      <c r="AS940" s="799"/>
      <c r="AT940" s="799"/>
      <c r="AU940" s="799"/>
      <c r="AV940" s="799"/>
      <c r="AW940" s="799"/>
      <c r="AX940" s="799"/>
      <c r="AY940" s="799"/>
      <c r="AZ940" s="799"/>
      <c r="BA940" s="799"/>
      <c r="BB940" s="799"/>
      <c r="BC940" s="799"/>
      <c r="BD940" s="799"/>
      <c r="BE940" s="799"/>
      <c r="BF940" s="799"/>
      <c r="BG940" s="799"/>
    </row>
    <row r="941">
      <c r="H941" s="799"/>
      <c r="I941" s="799"/>
      <c r="J941" s="799"/>
      <c r="K941" s="799"/>
      <c r="L941" s="799"/>
      <c r="M941" s="799"/>
      <c r="N941" s="799"/>
      <c r="O941" s="799"/>
      <c r="P941" s="799"/>
      <c r="Q941" s="799"/>
      <c r="R941" s="799"/>
      <c r="S941" s="799"/>
      <c r="T941" s="799"/>
      <c r="U941" s="799"/>
      <c r="V941" s="799"/>
      <c r="W941" s="799"/>
      <c r="X941" s="799"/>
      <c r="Y941" s="799"/>
      <c r="Z941" s="799"/>
      <c r="AA941" s="799"/>
      <c r="AB941" s="799"/>
      <c r="AC941" s="799"/>
      <c r="AD941" s="799"/>
      <c r="AE941" s="799"/>
      <c r="AF941" s="799"/>
      <c r="AG941" s="799"/>
      <c r="AH941" s="799"/>
      <c r="AI941" s="799"/>
      <c r="AJ941" s="799"/>
      <c r="AK941" s="799"/>
      <c r="AL941" s="799"/>
      <c r="AM941" s="799"/>
      <c r="AN941" s="799"/>
      <c r="AO941" s="799"/>
      <c r="AP941" s="799"/>
      <c r="AQ941" s="799"/>
      <c r="AR941" s="799"/>
      <c r="AS941" s="799"/>
      <c r="AT941" s="799"/>
      <c r="AU941" s="799"/>
      <c r="AV941" s="799"/>
      <c r="AW941" s="799"/>
      <c r="AX941" s="799"/>
      <c r="AY941" s="799"/>
      <c r="AZ941" s="799"/>
      <c r="BA941" s="799"/>
      <c r="BB941" s="799"/>
      <c r="BC941" s="799"/>
      <c r="BD941" s="799"/>
      <c r="BE941" s="799"/>
      <c r="BF941" s="799"/>
      <c r="BG941" s="799"/>
    </row>
    <row r="942">
      <c r="H942" s="799"/>
      <c r="I942" s="799"/>
      <c r="J942" s="799"/>
      <c r="K942" s="799"/>
      <c r="L942" s="799"/>
      <c r="M942" s="799"/>
      <c r="N942" s="799"/>
      <c r="O942" s="799"/>
      <c r="P942" s="799"/>
      <c r="Q942" s="799"/>
      <c r="R942" s="799"/>
      <c r="S942" s="799"/>
      <c r="T942" s="799"/>
      <c r="U942" s="799"/>
      <c r="V942" s="799"/>
      <c r="W942" s="799"/>
      <c r="X942" s="799"/>
      <c r="Y942" s="799"/>
      <c r="Z942" s="799"/>
      <c r="AA942" s="799"/>
      <c r="AB942" s="799"/>
      <c r="AC942" s="799"/>
      <c r="AD942" s="799"/>
      <c r="AE942" s="799"/>
      <c r="AF942" s="799"/>
      <c r="AG942" s="799"/>
      <c r="AH942" s="799"/>
      <c r="AI942" s="799"/>
      <c r="AJ942" s="799"/>
      <c r="AK942" s="799"/>
      <c r="AL942" s="799"/>
      <c r="AM942" s="799"/>
      <c r="AN942" s="799"/>
      <c r="AO942" s="799"/>
      <c r="AP942" s="799"/>
      <c r="AQ942" s="799"/>
      <c r="AR942" s="799"/>
      <c r="AS942" s="799"/>
      <c r="AT942" s="799"/>
      <c r="AU942" s="799"/>
      <c r="AV942" s="799"/>
      <c r="AW942" s="799"/>
      <c r="AX942" s="799"/>
      <c r="AY942" s="799"/>
      <c r="AZ942" s="799"/>
      <c r="BA942" s="799"/>
      <c r="BB942" s="799"/>
      <c r="BC942" s="799"/>
      <c r="BD942" s="799"/>
      <c r="BE942" s="799"/>
      <c r="BF942" s="799"/>
      <c r="BG942" s="799"/>
    </row>
    <row r="943">
      <c r="H943" s="799"/>
      <c r="I943" s="799"/>
      <c r="J943" s="799"/>
      <c r="K943" s="799"/>
      <c r="L943" s="799"/>
      <c r="M943" s="799"/>
      <c r="N943" s="799"/>
      <c r="O943" s="799"/>
      <c r="P943" s="799"/>
      <c r="Q943" s="799"/>
      <c r="R943" s="799"/>
      <c r="S943" s="799"/>
      <c r="T943" s="799"/>
      <c r="U943" s="799"/>
      <c r="V943" s="799"/>
      <c r="W943" s="799"/>
      <c r="X943" s="799"/>
      <c r="Y943" s="799"/>
      <c r="Z943" s="799"/>
      <c r="AA943" s="799"/>
      <c r="AB943" s="799"/>
      <c r="AC943" s="799"/>
      <c r="AD943" s="799"/>
      <c r="AE943" s="799"/>
      <c r="AF943" s="799"/>
      <c r="AG943" s="799"/>
      <c r="AH943" s="799"/>
      <c r="AI943" s="799"/>
      <c r="AJ943" s="799"/>
      <c r="AK943" s="799"/>
      <c r="AL943" s="799"/>
      <c r="AM943" s="799"/>
      <c r="AN943" s="799"/>
      <c r="AO943" s="799"/>
      <c r="AP943" s="799"/>
      <c r="AQ943" s="799"/>
      <c r="AR943" s="799"/>
      <c r="AS943" s="799"/>
      <c r="AT943" s="799"/>
      <c r="AU943" s="799"/>
      <c r="AV943" s="799"/>
      <c r="AW943" s="799"/>
      <c r="AX943" s="799"/>
      <c r="AY943" s="799"/>
      <c r="AZ943" s="799"/>
      <c r="BA943" s="799"/>
      <c r="BB943" s="799"/>
      <c r="BC943" s="799"/>
      <c r="BD943" s="799"/>
      <c r="BE943" s="799"/>
      <c r="BF943" s="799"/>
      <c r="BG943" s="799"/>
    </row>
    <row r="944">
      <c r="H944" s="799"/>
      <c r="I944" s="799"/>
      <c r="J944" s="799"/>
      <c r="K944" s="799"/>
      <c r="L944" s="799"/>
      <c r="M944" s="799"/>
      <c r="N944" s="799"/>
      <c r="O944" s="799"/>
      <c r="P944" s="799"/>
      <c r="Q944" s="799"/>
      <c r="R944" s="799"/>
      <c r="S944" s="799"/>
      <c r="T944" s="799"/>
      <c r="U944" s="799"/>
      <c r="V944" s="799"/>
      <c r="W944" s="799"/>
      <c r="X944" s="799"/>
      <c r="Y944" s="799"/>
      <c r="Z944" s="799"/>
      <c r="AA944" s="799"/>
      <c r="AB944" s="799"/>
      <c r="AC944" s="799"/>
      <c r="AD944" s="799"/>
      <c r="AE944" s="799"/>
      <c r="AF944" s="799"/>
      <c r="AG944" s="799"/>
      <c r="AH944" s="799"/>
      <c r="AI944" s="799"/>
      <c r="AJ944" s="799"/>
      <c r="AK944" s="799"/>
      <c r="AL944" s="799"/>
      <c r="AM944" s="799"/>
      <c r="AN944" s="799"/>
      <c r="AO944" s="799"/>
      <c r="AP944" s="799"/>
      <c r="AQ944" s="799"/>
      <c r="AR944" s="799"/>
      <c r="AS944" s="799"/>
      <c r="AT944" s="799"/>
      <c r="AU944" s="799"/>
      <c r="AV944" s="799"/>
      <c r="AW944" s="799"/>
      <c r="AX944" s="799"/>
      <c r="AY944" s="799"/>
      <c r="AZ944" s="799"/>
      <c r="BA944" s="799"/>
      <c r="BB944" s="799"/>
      <c r="BC944" s="799"/>
      <c r="BD944" s="799"/>
      <c r="BE944" s="799"/>
      <c r="BF944" s="799"/>
      <c r="BG944" s="799"/>
    </row>
    <row r="945">
      <c r="H945" s="799"/>
      <c r="I945" s="799"/>
      <c r="J945" s="799"/>
      <c r="K945" s="799"/>
      <c r="L945" s="799"/>
      <c r="M945" s="799"/>
      <c r="N945" s="799"/>
      <c r="O945" s="799"/>
      <c r="P945" s="799"/>
      <c r="Q945" s="799"/>
      <c r="R945" s="799"/>
      <c r="S945" s="799"/>
      <c r="T945" s="799"/>
      <c r="U945" s="799"/>
      <c r="V945" s="799"/>
      <c r="W945" s="799"/>
      <c r="X945" s="799"/>
      <c r="Y945" s="799"/>
      <c r="Z945" s="799"/>
      <c r="AA945" s="799"/>
      <c r="AB945" s="799"/>
      <c r="AC945" s="799"/>
      <c r="AD945" s="799"/>
      <c r="AE945" s="799"/>
      <c r="AF945" s="799"/>
      <c r="AG945" s="799"/>
      <c r="AH945" s="799"/>
      <c r="AI945" s="799"/>
      <c r="AJ945" s="799"/>
      <c r="AK945" s="799"/>
      <c r="AL945" s="799"/>
      <c r="AM945" s="799"/>
      <c r="AN945" s="799"/>
      <c r="AO945" s="799"/>
      <c r="AP945" s="799"/>
      <c r="AQ945" s="799"/>
      <c r="AR945" s="799"/>
      <c r="AS945" s="799"/>
      <c r="AT945" s="799"/>
      <c r="AU945" s="799"/>
      <c r="AV945" s="799"/>
      <c r="AW945" s="799"/>
      <c r="AX945" s="799"/>
      <c r="AY945" s="799"/>
      <c r="AZ945" s="799"/>
      <c r="BA945" s="799"/>
      <c r="BB945" s="799"/>
      <c r="BC945" s="799"/>
      <c r="BD945" s="799"/>
      <c r="BE945" s="799"/>
      <c r="BF945" s="799"/>
      <c r="BG945" s="799"/>
    </row>
    <row r="946">
      <c r="H946" s="799"/>
      <c r="I946" s="799"/>
      <c r="J946" s="799"/>
      <c r="K946" s="799"/>
      <c r="L946" s="799"/>
      <c r="M946" s="799"/>
      <c r="N946" s="799"/>
      <c r="O946" s="799"/>
      <c r="P946" s="799"/>
      <c r="Q946" s="799"/>
      <c r="R946" s="799"/>
      <c r="S946" s="799"/>
      <c r="T946" s="799"/>
      <c r="U946" s="799"/>
      <c r="V946" s="799"/>
      <c r="W946" s="799"/>
      <c r="X946" s="799"/>
      <c r="Y946" s="799"/>
      <c r="Z946" s="799"/>
      <c r="AA946" s="799"/>
      <c r="AB946" s="799"/>
      <c r="AC946" s="799"/>
      <c r="AD946" s="799"/>
      <c r="AE946" s="799"/>
      <c r="AF946" s="799"/>
      <c r="AG946" s="799"/>
      <c r="AH946" s="799"/>
      <c r="AI946" s="799"/>
      <c r="AJ946" s="799"/>
      <c r="AK946" s="799"/>
      <c r="AL946" s="799"/>
      <c r="AM946" s="799"/>
      <c r="AN946" s="799"/>
      <c r="AO946" s="799"/>
      <c r="AP946" s="799"/>
      <c r="AQ946" s="799"/>
      <c r="AR946" s="799"/>
      <c r="AS946" s="799"/>
      <c r="AT946" s="799"/>
      <c r="AU946" s="799"/>
      <c r="AV946" s="799"/>
      <c r="AW946" s="799"/>
      <c r="AX946" s="799"/>
      <c r="AY946" s="799"/>
      <c r="AZ946" s="799"/>
      <c r="BA946" s="799"/>
      <c r="BB946" s="799"/>
      <c r="BC946" s="799"/>
      <c r="BD946" s="799"/>
      <c r="BE946" s="799"/>
      <c r="BF946" s="799"/>
      <c r="BG946" s="799"/>
    </row>
    <row r="947">
      <c r="H947" s="799"/>
      <c r="I947" s="799"/>
      <c r="J947" s="799"/>
      <c r="K947" s="799"/>
      <c r="L947" s="799"/>
      <c r="M947" s="799"/>
      <c r="N947" s="799"/>
      <c r="O947" s="799"/>
      <c r="P947" s="799"/>
      <c r="Q947" s="799"/>
      <c r="R947" s="799"/>
      <c r="S947" s="799"/>
      <c r="T947" s="799"/>
      <c r="U947" s="799"/>
      <c r="V947" s="799"/>
      <c r="W947" s="799"/>
      <c r="X947" s="799"/>
      <c r="Y947" s="799"/>
      <c r="Z947" s="799"/>
      <c r="AA947" s="799"/>
      <c r="AB947" s="799"/>
      <c r="AC947" s="799"/>
      <c r="AD947" s="799"/>
      <c r="AE947" s="799"/>
      <c r="AF947" s="799"/>
      <c r="AG947" s="799"/>
      <c r="AH947" s="799"/>
      <c r="AI947" s="799"/>
      <c r="AJ947" s="799"/>
      <c r="AK947" s="799"/>
      <c r="AL947" s="799"/>
      <c r="AM947" s="799"/>
      <c r="AN947" s="799"/>
      <c r="AO947" s="799"/>
      <c r="AP947" s="799"/>
      <c r="AQ947" s="799"/>
      <c r="AR947" s="799"/>
      <c r="AS947" s="799"/>
      <c r="AT947" s="799"/>
      <c r="AU947" s="799"/>
      <c r="AV947" s="799"/>
      <c r="AW947" s="799"/>
      <c r="AX947" s="799"/>
      <c r="AY947" s="799"/>
      <c r="AZ947" s="799"/>
      <c r="BA947" s="799"/>
      <c r="BB947" s="799"/>
      <c r="BC947" s="799"/>
      <c r="BD947" s="799"/>
      <c r="BE947" s="799"/>
      <c r="BF947" s="799"/>
      <c r="BG947" s="799"/>
    </row>
    <row r="948">
      <c r="H948" s="799"/>
      <c r="I948" s="799"/>
      <c r="J948" s="799"/>
      <c r="K948" s="799"/>
      <c r="L948" s="799"/>
      <c r="M948" s="799"/>
      <c r="N948" s="799"/>
      <c r="O948" s="799"/>
      <c r="P948" s="799"/>
      <c r="Q948" s="799"/>
      <c r="R948" s="799"/>
      <c r="S948" s="799"/>
      <c r="T948" s="799"/>
      <c r="U948" s="799"/>
      <c r="V948" s="799"/>
      <c r="W948" s="799"/>
      <c r="X948" s="799"/>
      <c r="Y948" s="799"/>
      <c r="Z948" s="799"/>
      <c r="AA948" s="799"/>
      <c r="AB948" s="799"/>
      <c r="AC948" s="799"/>
      <c r="AD948" s="799"/>
      <c r="AE948" s="799"/>
      <c r="AF948" s="799"/>
      <c r="AG948" s="799"/>
      <c r="AH948" s="799"/>
      <c r="AI948" s="799"/>
      <c r="AJ948" s="799"/>
      <c r="AK948" s="799"/>
      <c r="AL948" s="799"/>
      <c r="AM948" s="799"/>
      <c r="AN948" s="799"/>
      <c r="AO948" s="799"/>
      <c r="AP948" s="799"/>
      <c r="AQ948" s="799"/>
      <c r="AR948" s="799"/>
      <c r="AS948" s="799"/>
      <c r="AT948" s="799"/>
      <c r="AU948" s="799"/>
      <c r="AV948" s="799"/>
      <c r="AW948" s="799"/>
      <c r="AX948" s="799"/>
      <c r="AY948" s="799"/>
      <c r="AZ948" s="799"/>
      <c r="BA948" s="799"/>
      <c r="BB948" s="799"/>
      <c r="BC948" s="799"/>
      <c r="BD948" s="799"/>
      <c r="BE948" s="799"/>
      <c r="BF948" s="799"/>
      <c r="BG948" s="799"/>
    </row>
    <row r="949">
      <c r="H949" s="799"/>
      <c r="I949" s="799"/>
      <c r="J949" s="799"/>
      <c r="K949" s="799"/>
      <c r="L949" s="799"/>
      <c r="M949" s="799"/>
      <c r="N949" s="799"/>
      <c r="O949" s="799"/>
      <c r="P949" s="799"/>
      <c r="Q949" s="799"/>
      <c r="R949" s="799"/>
      <c r="S949" s="799"/>
      <c r="T949" s="799"/>
      <c r="U949" s="799"/>
      <c r="V949" s="799"/>
      <c r="W949" s="799"/>
      <c r="X949" s="799"/>
      <c r="Y949" s="799"/>
      <c r="Z949" s="799"/>
      <c r="AA949" s="799"/>
      <c r="AB949" s="799"/>
      <c r="AC949" s="799"/>
      <c r="AD949" s="799"/>
      <c r="AE949" s="799"/>
      <c r="AF949" s="799"/>
      <c r="AG949" s="799"/>
      <c r="AH949" s="799"/>
      <c r="AI949" s="799"/>
      <c r="AJ949" s="799"/>
      <c r="AK949" s="799"/>
      <c r="AL949" s="799"/>
      <c r="AM949" s="799"/>
      <c r="AN949" s="799"/>
      <c r="AO949" s="799"/>
      <c r="AP949" s="799"/>
      <c r="AQ949" s="799"/>
      <c r="AR949" s="799"/>
      <c r="AS949" s="799"/>
      <c r="AT949" s="799"/>
      <c r="AU949" s="799"/>
      <c r="AV949" s="799"/>
      <c r="AW949" s="799"/>
      <c r="AX949" s="799"/>
      <c r="AY949" s="799"/>
      <c r="AZ949" s="799"/>
      <c r="BA949" s="799"/>
      <c r="BB949" s="799"/>
      <c r="BC949" s="799"/>
      <c r="BD949" s="799"/>
      <c r="BE949" s="799"/>
      <c r="BF949" s="799"/>
      <c r="BG949" s="799"/>
    </row>
    <row r="950">
      <c r="H950" s="799"/>
      <c r="I950" s="799"/>
      <c r="J950" s="799"/>
      <c r="K950" s="799"/>
      <c r="L950" s="799"/>
      <c r="M950" s="799"/>
      <c r="N950" s="799"/>
      <c r="O950" s="799"/>
      <c r="P950" s="799"/>
      <c r="Q950" s="799"/>
      <c r="R950" s="799"/>
      <c r="S950" s="799"/>
      <c r="T950" s="799"/>
      <c r="U950" s="799"/>
      <c r="V950" s="799"/>
      <c r="W950" s="799"/>
      <c r="X950" s="799"/>
      <c r="Y950" s="799"/>
      <c r="Z950" s="799"/>
      <c r="AA950" s="799"/>
      <c r="AB950" s="799"/>
      <c r="AC950" s="799"/>
      <c r="AD950" s="799"/>
      <c r="AE950" s="799"/>
      <c r="AF950" s="799"/>
      <c r="AG950" s="799"/>
      <c r="AH950" s="799"/>
      <c r="AI950" s="799"/>
      <c r="AJ950" s="799"/>
      <c r="AK950" s="799"/>
      <c r="AL950" s="799"/>
      <c r="AM950" s="799"/>
      <c r="AN950" s="799"/>
      <c r="AO950" s="799"/>
      <c r="AP950" s="799"/>
      <c r="AQ950" s="799"/>
      <c r="AR950" s="799"/>
      <c r="AS950" s="799"/>
      <c r="AT950" s="799"/>
      <c r="AU950" s="799"/>
      <c r="AV950" s="799"/>
      <c r="AW950" s="799"/>
      <c r="AX950" s="799"/>
      <c r="AY950" s="799"/>
      <c r="AZ950" s="799"/>
      <c r="BA950" s="799"/>
      <c r="BB950" s="799"/>
      <c r="BC950" s="799"/>
      <c r="BD950" s="799"/>
      <c r="BE950" s="799"/>
      <c r="BF950" s="799"/>
      <c r="BG950" s="799"/>
    </row>
    <row r="951">
      <c r="H951" s="799"/>
      <c r="I951" s="799"/>
      <c r="J951" s="799"/>
      <c r="K951" s="799"/>
      <c r="L951" s="799"/>
      <c r="M951" s="799"/>
      <c r="N951" s="799"/>
      <c r="O951" s="799"/>
      <c r="P951" s="799"/>
      <c r="Q951" s="799"/>
      <c r="R951" s="799"/>
      <c r="S951" s="799"/>
      <c r="T951" s="799"/>
      <c r="U951" s="799"/>
      <c r="V951" s="799"/>
      <c r="W951" s="799"/>
      <c r="X951" s="799"/>
      <c r="Y951" s="799"/>
      <c r="Z951" s="799"/>
      <c r="AA951" s="799"/>
      <c r="AB951" s="799"/>
      <c r="AC951" s="799"/>
      <c r="AD951" s="799"/>
      <c r="AE951" s="799"/>
      <c r="AF951" s="799"/>
      <c r="AG951" s="799"/>
      <c r="AH951" s="799"/>
      <c r="AI951" s="799"/>
      <c r="AJ951" s="799"/>
      <c r="AK951" s="799"/>
      <c r="AL951" s="799"/>
      <c r="AM951" s="799"/>
      <c r="AN951" s="799"/>
      <c r="AO951" s="799"/>
      <c r="AP951" s="799"/>
      <c r="AQ951" s="799"/>
      <c r="AR951" s="799"/>
      <c r="AS951" s="799"/>
      <c r="AT951" s="799"/>
      <c r="AU951" s="799"/>
      <c r="AV951" s="799"/>
      <c r="AW951" s="799"/>
      <c r="AX951" s="799"/>
      <c r="AY951" s="799"/>
      <c r="AZ951" s="799"/>
      <c r="BA951" s="799"/>
      <c r="BB951" s="799"/>
      <c r="BC951" s="799"/>
      <c r="BD951" s="799"/>
      <c r="BE951" s="799"/>
      <c r="BF951" s="799"/>
      <c r="BG951" s="799"/>
    </row>
    <row r="952">
      <c r="H952" s="799"/>
      <c r="I952" s="799"/>
      <c r="J952" s="799"/>
      <c r="K952" s="799"/>
      <c r="L952" s="799"/>
      <c r="M952" s="799"/>
      <c r="N952" s="799"/>
      <c r="O952" s="799"/>
      <c r="P952" s="799"/>
      <c r="Q952" s="799"/>
      <c r="R952" s="799"/>
      <c r="S952" s="799"/>
      <c r="T952" s="799"/>
      <c r="U952" s="799"/>
      <c r="V952" s="799"/>
      <c r="W952" s="799"/>
      <c r="X952" s="799"/>
      <c r="Y952" s="799"/>
      <c r="Z952" s="799"/>
      <c r="AA952" s="799"/>
      <c r="AB952" s="799"/>
      <c r="AC952" s="799"/>
      <c r="AD952" s="799"/>
      <c r="AE952" s="799"/>
      <c r="AF952" s="799"/>
      <c r="AG952" s="799"/>
      <c r="AH952" s="799"/>
      <c r="AI952" s="799"/>
      <c r="AJ952" s="799"/>
      <c r="AK952" s="799"/>
      <c r="AL952" s="799"/>
      <c r="AM952" s="799"/>
      <c r="AN952" s="799"/>
      <c r="AO952" s="799"/>
      <c r="AP952" s="799"/>
      <c r="AQ952" s="799"/>
      <c r="AR952" s="799"/>
      <c r="AS952" s="799"/>
      <c r="AT952" s="799"/>
      <c r="AU952" s="799"/>
      <c r="AV952" s="799"/>
      <c r="AW952" s="799"/>
      <c r="AX952" s="799"/>
      <c r="AY952" s="799"/>
      <c r="AZ952" s="799"/>
      <c r="BA952" s="799"/>
      <c r="BB952" s="799"/>
      <c r="BC952" s="799"/>
      <c r="BD952" s="799"/>
      <c r="BE952" s="799"/>
      <c r="BF952" s="799"/>
      <c r="BG952" s="799"/>
    </row>
    <row r="953">
      <c r="H953" s="799"/>
      <c r="I953" s="799"/>
      <c r="J953" s="799"/>
      <c r="K953" s="799"/>
      <c r="L953" s="799"/>
      <c r="M953" s="799"/>
      <c r="N953" s="799"/>
      <c r="O953" s="799"/>
      <c r="P953" s="799"/>
      <c r="Q953" s="799"/>
      <c r="R953" s="799"/>
      <c r="S953" s="799"/>
      <c r="T953" s="799"/>
      <c r="U953" s="799"/>
      <c r="V953" s="799"/>
      <c r="W953" s="799"/>
      <c r="X953" s="799"/>
      <c r="Y953" s="799"/>
      <c r="Z953" s="799"/>
      <c r="AA953" s="799"/>
      <c r="AB953" s="799"/>
      <c r="AC953" s="799"/>
      <c r="AD953" s="799"/>
      <c r="AE953" s="799"/>
      <c r="AF953" s="799"/>
      <c r="AG953" s="799"/>
      <c r="AH953" s="799"/>
      <c r="AI953" s="799"/>
      <c r="AJ953" s="799"/>
      <c r="AK953" s="799"/>
      <c r="AL953" s="799"/>
      <c r="AM953" s="799"/>
      <c r="AN953" s="799"/>
      <c r="AO953" s="799"/>
      <c r="AP953" s="799"/>
      <c r="AQ953" s="799"/>
      <c r="AR953" s="799"/>
      <c r="AS953" s="799"/>
      <c r="AT953" s="799"/>
      <c r="AU953" s="799"/>
      <c r="AV953" s="799"/>
      <c r="AW953" s="799"/>
      <c r="AX953" s="799"/>
      <c r="AY953" s="799"/>
      <c r="AZ953" s="799"/>
      <c r="BA953" s="799"/>
      <c r="BB953" s="799"/>
      <c r="BC953" s="799"/>
      <c r="BD953" s="799"/>
      <c r="BE953" s="799"/>
      <c r="BF953" s="799"/>
      <c r="BG953" s="799"/>
    </row>
    <row r="954">
      <c r="H954" s="799"/>
      <c r="I954" s="799"/>
      <c r="J954" s="799"/>
      <c r="K954" s="799"/>
      <c r="L954" s="799"/>
      <c r="M954" s="799"/>
      <c r="N954" s="799"/>
      <c r="O954" s="799"/>
      <c r="P954" s="799"/>
      <c r="Q954" s="799"/>
      <c r="R954" s="799"/>
      <c r="S954" s="799"/>
      <c r="T954" s="799"/>
      <c r="U954" s="799"/>
      <c r="V954" s="799"/>
      <c r="W954" s="799"/>
      <c r="X954" s="799"/>
      <c r="Y954" s="799"/>
      <c r="Z954" s="799"/>
      <c r="AA954" s="799"/>
      <c r="AB954" s="799"/>
      <c r="AC954" s="799"/>
      <c r="AD954" s="799"/>
      <c r="AE954" s="799"/>
      <c r="AF954" s="799"/>
      <c r="AG954" s="799"/>
      <c r="AH954" s="799"/>
      <c r="AI954" s="799"/>
      <c r="AJ954" s="799"/>
      <c r="AK954" s="799"/>
      <c r="AL954" s="799"/>
      <c r="AM954" s="799"/>
      <c r="AN954" s="799"/>
      <c r="AO954" s="799"/>
      <c r="AP954" s="799"/>
      <c r="AQ954" s="799"/>
      <c r="AR954" s="799"/>
      <c r="AS954" s="799"/>
      <c r="AT954" s="799"/>
      <c r="AU954" s="799"/>
      <c r="AV954" s="799"/>
      <c r="AW954" s="799"/>
      <c r="AX954" s="799"/>
      <c r="AY954" s="799"/>
      <c r="AZ954" s="799"/>
      <c r="BA954" s="799"/>
      <c r="BB954" s="799"/>
      <c r="BC954" s="799"/>
      <c r="BD954" s="799"/>
      <c r="BE954" s="799"/>
      <c r="BF954" s="799"/>
      <c r="BG954" s="799"/>
    </row>
    <row r="955">
      <c r="H955" s="799"/>
      <c r="I955" s="799"/>
      <c r="J955" s="799"/>
      <c r="K955" s="799"/>
      <c r="L955" s="799"/>
      <c r="M955" s="799"/>
      <c r="N955" s="799"/>
      <c r="O955" s="799"/>
      <c r="P955" s="799"/>
      <c r="Q955" s="799"/>
      <c r="R955" s="799"/>
      <c r="S955" s="799"/>
      <c r="T955" s="799"/>
      <c r="U955" s="799"/>
      <c r="V955" s="799"/>
      <c r="W955" s="799"/>
      <c r="X955" s="799"/>
      <c r="Y955" s="799"/>
      <c r="Z955" s="799"/>
      <c r="AA955" s="799"/>
      <c r="AB955" s="799"/>
      <c r="AC955" s="799"/>
      <c r="AD955" s="799"/>
      <c r="AE955" s="799"/>
      <c r="AF955" s="799"/>
      <c r="AG955" s="799"/>
      <c r="AH955" s="799"/>
      <c r="AI955" s="799"/>
      <c r="AJ955" s="799"/>
      <c r="AK955" s="799"/>
      <c r="AL955" s="799"/>
      <c r="AM955" s="799"/>
      <c r="AN955" s="799"/>
      <c r="AO955" s="799"/>
      <c r="AP955" s="799"/>
      <c r="AQ955" s="799"/>
      <c r="AR955" s="799"/>
      <c r="AS955" s="799"/>
      <c r="AT955" s="799"/>
      <c r="AU955" s="799"/>
      <c r="AV955" s="799"/>
      <c r="AW955" s="799"/>
      <c r="AX955" s="799"/>
      <c r="AY955" s="799"/>
      <c r="AZ955" s="799"/>
      <c r="BA955" s="799"/>
      <c r="BB955" s="799"/>
      <c r="BC955" s="799"/>
      <c r="BD955" s="799"/>
      <c r="BE955" s="799"/>
      <c r="BF955" s="799"/>
      <c r="BG955" s="799"/>
    </row>
    <row r="956">
      <c r="H956" s="799"/>
      <c r="I956" s="799"/>
      <c r="J956" s="799"/>
      <c r="K956" s="799"/>
      <c r="L956" s="799"/>
      <c r="M956" s="799"/>
      <c r="N956" s="799"/>
      <c r="O956" s="799"/>
      <c r="P956" s="799"/>
      <c r="Q956" s="799"/>
      <c r="R956" s="799"/>
      <c r="S956" s="799"/>
      <c r="T956" s="799"/>
      <c r="U956" s="799"/>
      <c r="V956" s="799"/>
      <c r="W956" s="799"/>
      <c r="X956" s="799"/>
      <c r="Y956" s="799"/>
      <c r="Z956" s="799"/>
      <c r="AA956" s="799"/>
      <c r="AB956" s="799"/>
      <c r="AC956" s="799"/>
      <c r="AD956" s="799"/>
      <c r="AE956" s="799"/>
      <c r="AF956" s="799"/>
      <c r="AG956" s="799"/>
      <c r="AH956" s="799"/>
      <c r="AI956" s="799"/>
      <c r="AJ956" s="799"/>
      <c r="AK956" s="799"/>
      <c r="AL956" s="799"/>
      <c r="AM956" s="799"/>
      <c r="AN956" s="799"/>
      <c r="AO956" s="799"/>
      <c r="AP956" s="799"/>
      <c r="AQ956" s="799"/>
      <c r="AR956" s="799"/>
      <c r="AS956" s="799"/>
      <c r="AT956" s="799"/>
      <c r="AU956" s="799"/>
      <c r="AV956" s="799"/>
      <c r="AW956" s="799"/>
      <c r="AX956" s="799"/>
      <c r="AY956" s="799"/>
      <c r="AZ956" s="799"/>
      <c r="BA956" s="799"/>
      <c r="BB956" s="799"/>
      <c r="BC956" s="799"/>
      <c r="BD956" s="799"/>
      <c r="BE956" s="799"/>
      <c r="BF956" s="799"/>
      <c r="BG956" s="799"/>
    </row>
    <row r="957">
      <c r="H957" s="799"/>
      <c r="I957" s="799"/>
      <c r="J957" s="799"/>
      <c r="K957" s="799"/>
      <c r="L957" s="799"/>
      <c r="M957" s="799"/>
      <c r="N957" s="799"/>
      <c r="O957" s="799"/>
      <c r="P957" s="799"/>
      <c r="Q957" s="799"/>
      <c r="R957" s="799"/>
      <c r="S957" s="799"/>
      <c r="T957" s="799"/>
      <c r="U957" s="799"/>
      <c r="V957" s="799"/>
      <c r="W957" s="799"/>
      <c r="X957" s="799"/>
      <c r="Y957" s="799"/>
      <c r="Z957" s="799"/>
      <c r="AA957" s="799"/>
      <c r="AB957" s="799"/>
      <c r="AC957" s="799"/>
      <c r="AD957" s="799"/>
      <c r="AE957" s="799"/>
      <c r="AF957" s="799"/>
      <c r="AG957" s="799"/>
      <c r="AH957" s="799"/>
      <c r="AI957" s="799"/>
      <c r="AJ957" s="799"/>
      <c r="AK957" s="799"/>
      <c r="AL957" s="799"/>
      <c r="AM957" s="799"/>
      <c r="AN957" s="799"/>
      <c r="AO957" s="799"/>
      <c r="AP957" s="799"/>
      <c r="AQ957" s="799"/>
      <c r="AR957" s="799"/>
      <c r="AS957" s="799"/>
      <c r="AT957" s="799"/>
      <c r="AU957" s="799"/>
      <c r="AV957" s="799"/>
      <c r="AW957" s="799"/>
      <c r="AX957" s="799"/>
      <c r="AY957" s="799"/>
      <c r="AZ957" s="799"/>
      <c r="BA957" s="799"/>
      <c r="BB957" s="799"/>
      <c r="BC957" s="799"/>
      <c r="BD957" s="799"/>
      <c r="BE957" s="799"/>
      <c r="BF957" s="799"/>
      <c r="BG957" s="799"/>
    </row>
    <row r="958">
      <c r="H958" s="799"/>
      <c r="I958" s="799"/>
      <c r="J958" s="799"/>
      <c r="K958" s="799"/>
      <c r="L958" s="799"/>
      <c r="M958" s="799"/>
      <c r="N958" s="799"/>
      <c r="O958" s="799"/>
      <c r="P958" s="799"/>
      <c r="Q958" s="799"/>
      <c r="R958" s="799"/>
      <c r="S958" s="799"/>
      <c r="T958" s="799"/>
      <c r="U958" s="799"/>
      <c r="V958" s="799"/>
      <c r="W958" s="799"/>
      <c r="X958" s="799"/>
      <c r="Y958" s="799"/>
      <c r="Z958" s="799"/>
      <c r="AA958" s="799"/>
      <c r="AB958" s="799"/>
      <c r="AC958" s="799"/>
      <c r="AD958" s="799"/>
      <c r="AE958" s="799"/>
      <c r="AF958" s="799"/>
      <c r="AG958" s="799"/>
      <c r="AH958" s="799"/>
      <c r="AI958" s="799"/>
      <c r="AJ958" s="799"/>
      <c r="AK958" s="799"/>
      <c r="AL958" s="799"/>
      <c r="AM958" s="799"/>
      <c r="AN958" s="799"/>
      <c r="AO958" s="799"/>
      <c r="AP958" s="799"/>
      <c r="AQ958" s="799"/>
      <c r="AR958" s="799"/>
      <c r="AS958" s="799"/>
      <c r="AT958" s="799"/>
      <c r="AU958" s="799"/>
      <c r="AV958" s="799"/>
      <c r="AW958" s="799"/>
      <c r="AX958" s="799"/>
      <c r="AY958" s="799"/>
      <c r="AZ958" s="799"/>
      <c r="BA958" s="799"/>
      <c r="BB958" s="799"/>
      <c r="BC958" s="799"/>
      <c r="BD958" s="799"/>
      <c r="BE958" s="799"/>
      <c r="BF958" s="799"/>
      <c r="BG958" s="799"/>
    </row>
    <row r="959">
      <c r="H959" s="799"/>
      <c r="I959" s="799"/>
      <c r="J959" s="799"/>
      <c r="K959" s="799"/>
      <c r="L959" s="799"/>
      <c r="M959" s="799"/>
      <c r="N959" s="799"/>
      <c r="O959" s="799"/>
      <c r="P959" s="799"/>
      <c r="Q959" s="799"/>
      <c r="R959" s="799"/>
      <c r="S959" s="799"/>
      <c r="T959" s="799"/>
      <c r="U959" s="799"/>
      <c r="V959" s="799"/>
      <c r="W959" s="799"/>
      <c r="X959" s="799"/>
      <c r="Y959" s="799"/>
      <c r="Z959" s="799"/>
      <c r="AA959" s="799"/>
      <c r="AB959" s="799"/>
      <c r="AC959" s="799"/>
      <c r="AD959" s="799"/>
      <c r="AE959" s="799"/>
      <c r="AF959" s="799"/>
      <c r="AG959" s="799"/>
      <c r="AH959" s="799"/>
      <c r="AI959" s="799"/>
      <c r="AJ959" s="799"/>
      <c r="AK959" s="799"/>
      <c r="AL959" s="799"/>
      <c r="AM959" s="799"/>
      <c r="AN959" s="799"/>
      <c r="AO959" s="799"/>
      <c r="AP959" s="799"/>
      <c r="AQ959" s="799"/>
      <c r="AR959" s="799"/>
      <c r="AS959" s="799"/>
      <c r="AT959" s="799"/>
      <c r="AU959" s="799"/>
      <c r="AV959" s="799"/>
      <c r="AW959" s="799"/>
      <c r="AX959" s="799"/>
      <c r="AY959" s="799"/>
      <c r="AZ959" s="799"/>
      <c r="BA959" s="799"/>
      <c r="BB959" s="799"/>
      <c r="BC959" s="799"/>
      <c r="BD959" s="799"/>
      <c r="BE959" s="799"/>
      <c r="BF959" s="799"/>
      <c r="BG959" s="799"/>
    </row>
    <row r="960">
      <c r="H960" s="799"/>
      <c r="I960" s="799"/>
      <c r="J960" s="799"/>
      <c r="K960" s="799"/>
      <c r="L960" s="799"/>
      <c r="M960" s="799"/>
      <c r="N960" s="799"/>
      <c r="O960" s="799"/>
      <c r="P960" s="799"/>
      <c r="Q960" s="799"/>
      <c r="R960" s="799"/>
      <c r="S960" s="799"/>
      <c r="T960" s="799"/>
      <c r="U960" s="799"/>
      <c r="V960" s="799"/>
      <c r="W960" s="799"/>
      <c r="X960" s="799"/>
      <c r="Y960" s="799"/>
      <c r="Z960" s="799"/>
      <c r="AA960" s="799"/>
      <c r="AB960" s="799"/>
      <c r="AC960" s="799"/>
      <c r="AD960" s="799"/>
      <c r="AE960" s="799"/>
      <c r="AF960" s="799"/>
      <c r="AG960" s="799"/>
      <c r="AH960" s="799"/>
      <c r="AI960" s="799"/>
      <c r="AJ960" s="799"/>
      <c r="AK960" s="799"/>
      <c r="AL960" s="799"/>
      <c r="AM960" s="799"/>
      <c r="AN960" s="799"/>
      <c r="AO960" s="799"/>
      <c r="AP960" s="799"/>
      <c r="AQ960" s="799"/>
      <c r="AR960" s="799"/>
      <c r="AS960" s="799"/>
      <c r="AT960" s="799"/>
      <c r="AU960" s="799"/>
      <c r="AV960" s="799"/>
      <c r="AW960" s="799"/>
      <c r="AX960" s="799"/>
      <c r="AY960" s="799"/>
      <c r="AZ960" s="799"/>
      <c r="BA960" s="799"/>
      <c r="BB960" s="799"/>
      <c r="BC960" s="799"/>
      <c r="BD960" s="799"/>
      <c r="BE960" s="799"/>
      <c r="BF960" s="799"/>
      <c r="BG960" s="799"/>
    </row>
    <row r="961">
      <c r="H961" s="799"/>
      <c r="I961" s="799"/>
      <c r="J961" s="799"/>
      <c r="K961" s="799"/>
      <c r="L961" s="799"/>
      <c r="M961" s="799"/>
      <c r="N961" s="799"/>
      <c r="O961" s="799"/>
      <c r="P961" s="799"/>
      <c r="Q961" s="799"/>
      <c r="R961" s="799"/>
      <c r="S961" s="799"/>
      <c r="T961" s="799"/>
      <c r="U961" s="799"/>
      <c r="V961" s="799"/>
      <c r="W961" s="799"/>
      <c r="X961" s="799"/>
      <c r="Y961" s="799"/>
      <c r="Z961" s="799"/>
      <c r="AA961" s="799"/>
      <c r="AB961" s="799"/>
      <c r="AC961" s="799"/>
      <c r="AD961" s="799"/>
      <c r="AE961" s="799"/>
      <c r="AF961" s="799"/>
      <c r="AG961" s="799"/>
      <c r="AH961" s="799"/>
      <c r="AI961" s="799"/>
      <c r="AJ961" s="799"/>
      <c r="AK961" s="799"/>
      <c r="AL961" s="799"/>
      <c r="AM961" s="799"/>
      <c r="AN961" s="799"/>
      <c r="AO961" s="799"/>
      <c r="AP961" s="799"/>
      <c r="AQ961" s="799"/>
      <c r="AR961" s="799"/>
      <c r="AS961" s="799"/>
      <c r="AT961" s="799"/>
      <c r="AU961" s="799"/>
      <c r="AV961" s="799"/>
      <c r="AW961" s="799"/>
      <c r="AX961" s="799"/>
      <c r="AY961" s="799"/>
      <c r="AZ961" s="799"/>
      <c r="BA961" s="799"/>
      <c r="BB961" s="799"/>
      <c r="BC961" s="799"/>
      <c r="BD961" s="799"/>
      <c r="BE961" s="799"/>
      <c r="BF961" s="799"/>
      <c r="BG961" s="799"/>
    </row>
    <row r="962">
      <c r="H962" s="799"/>
      <c r="I962" s="799"/>
      <c r="J962" s="799"/>
      <c r="K962" s="799"/>
      <c r="L962" s="799"/>
      <c r="M962" s="799"/>
      <c r="N962" s="799"/>
      <c r="O962" s="799"/>
      <c r="P962" s="799"/>
      <c r="Q962" s="799"/>
      <c r="R962" s="799"/>
      <c r="S962" s="799"/>
      <c r="T962" s="799"/>
      <c r="U962" s="799"/>
      <c r="V962" s="799"/>
      <c r="W962" s="799"/>
      <c r="X962" s="799"/>
      <c r="Y962" s="799"/>
      <c r="Z962" s="799"/>
      <c r="AA962" s="799"/>
      <c r="AB962" s="799"/>
      <c r="AC962" s="799"/>
      <c r="AD962" s="799"/>
      <c r="AE962" s="799"/>
      <c r="AF962" s="799"/>
      <c r="AG962" s="799"/>
      <c r="AH962" s="799"/>
      <c r="AI962" s="799"/>
      <c r="AJ962" s="799"/>
      <c r="AK962" s="799"/>
      <c r="AL962" s="799"/>
      <c r="AM962" s="799"/>
      <c r="AN962" s="799"/>
      <c r="AO962" s="799"/>
      <c r="AP962" s="799"/>
      <c r="AQ962" s="799"/>
      <c r="AR962" s="799"/>
      <c r="AS962" s="799"/>
      <c r="AT962" s="799"/>
      <c r="AU962" s="799"/>
      <c r="AV962" s="799"/>
      <c r="AW962" s="799"/>
      <c r="AX962" s="799"/>
      <c r="AY962" s="799"/>
      <c r="AZ962" s="799"/>
      <c r="BA962" s="799"/>
      <c r="BB962" s="799"/>
      <c r="BC962" s="799"/>
      <c r="BD962" s="799"/>
      <c r="BE962" s="799"/>
      <c r="BF962" s="799"/>
      <c r="BG962" s="799"/>
    </row>
    <row r="963">
      <c r="H963" s="799"/>
      <c r="I963" s="799"/>
      <c r="J963" s="799"/>
      <c r="K963" s="799"/>
      <c r="L963" s="799"/>
      <c r="M963" s="799"/>
      <c r="N963" s="799"/>
      <c r="O963" s="799"/>
      <c r="P963" s="799"/>
      <c r="Q963" s="799"/>
      <c r="R963" s="799"/>
      <c r="S963" s="799"/>
      <c r="T963" s="799"/>
      <c r="U963" s="799"/>
      <c r="V963" s="799"/>
      <c r="W963" s="799"/>
      <c r="X963" s="799"/>
      <c r="Y963" s="799"/>
      <c r="Z963" s="799"/>
      <c r="AA963" s="799"/>
      <c r="AB963" s="799"/>
      <c r="AC963" s="799"/>
      <c r="AD963" s="799"/>
      <c r="AE963" s="799"/>
      <c r="AF963" s="799"/>
      <c r="AG963" s="799"/>
      <c r="AH963" s="799"/>
      <c r="AI963" s="799"/>
      <c r="AJ963" s="799"/>
      <c r="AK963" s="799"/>
      <c r="AL963" s="799"/>
      <c r="AM963" s="799"/>
      <c r="AN963" s="799"/>
      <c r="AO963" s="799"/>
      <c r="AP963" s="799"/>
      <c r="AQ963" s="799"/>
      <c r="AR963" s="799"/>
      <c r="AS963" s="799"/>
      <c r="AT963" s="799"/>
      <c r="AU963" s="799"/>
      <c r="AV963" s="799"/>
      <c r="AW963" s="799"/>
      <c r="AX963" s="799"/>
      <c r="AY963" s="799"/>
      <c r="AZ963" s="799"/>
      <c r="BA963" s="799"/>
      <c r="BB963" s="799"/>
      <c r="BC963" s="799"/>
      <c r="BD963" s="799"/>
      <c r="BE963" s="799"/>
      <c r="BF963" s="799"/>
      <c r="BG963" s="799"/>
    </row>
    <row r="964">
      <c r="H964" s="799"/>
      <c r="I964" s="799"/>
      <c r="J964" s="799"/>
      <c r="K964" s="799"/>
      <c r="L964" s="799"/>
      <c r="M964" s="799"/>
      <c r="N964" s="799"/>
      <c r="O964" s="799"/>
      <c r="P964" s="799"/>
      <c r="Q964" s="799"/>
      <c r="R964" s="799"/>
      <c r="S964" s="799"/>
      <c r="T964" s="799"/>
      <c r="U964" s="799"/>
      <c r="V964" s="799"/>
      <c r="W964" s="799"/>
      <c r="X964" s="799"/>
      <c r="Y964" s="799"/>
      <c r="Z964" s="799"/>
      <c r="AA964" s="799"/>
      <c r="AB964" s="799"/>
      <c r="AC964" s="799"/>
      <c r="AD964" s="799"/>
      <c r="AE964" s="799"/>
      <c r="AF964" s="799"/>
      <c r="AG964" s="799"/>
      <c r="AH964" s="799"/>
      <c r="AI964" s="799"/>
      <c r="AJ964" s="799"/>
      <c r="AK964" s="799"/>
      <c r="AL964" s="799"/>
      <c r="AM964" s="799"/>
      <c r="AN964" s="799"/>
      <c r="AO964" s="799"/>
      <c r="AP964" s="799"/>
      <c r="AQ964" s="799"/>
      <c r="AR964" s="799"/>
      <c r="AS964" s="799"/>
      <c r="AT964" s="799"/>
      <c r="AU964" s="799"/>
      <c r="AV964" s="799"/>
      <c r="AW964" s="799"/>
      <c r="AX964" s="799"/>
      <c r="AY964" s="799"/>
      <c r="AZ964" s="799"/>
      <c r="BA964" s="799"/>
      <c r="BB964" s="799"/>
      <c r="BC964" s="799"/>
      <c r="BD964" s="799"/>
      <c r="BE964" s="799"/>
      <c r="BF964" s="799"/>
      <c r="BG964" s="799"/>
    </row>
    <row r="965">
      <c r="H965" s="799"/>
      <c r="I965" s="799"/>
      <c r="J965" s="799"/>
      <c r="K965" s="799"/>
      <c r="L965" s="799"/>
      <c r="M965" s="799"/>
      <c r="N965" s="799"/>
      <c r="O965" s="799"/>
      <c r="P965" s="799"/>
      <c r="Q965" s="799"/>
      <c r="R965" s="799"/>
      <c r="S965" s="799"/>
      <c r="T965" s="799"/>
      <c r="U965" s="799"/>
      <c r="V965" s="799"/>
      <c r="W965" s="799"/>
      <c r="X965" s="799"/>
      <c r="Y965" s="799"/>
      <c r="Z965" s="799"/>
      <c r="AA965" s="799"/>
      <c r="AB965" s="799"/>
      <c r="AC965" s="799"/>
      <c r="AD965" s="799"/>
      <c r="AE965" s="799"/>
      <c r="AF965" s="799"/>
      <c r="AG965" s="799"/>
      <c r="AH965" s="799"/>
      <c r="AI965" s="799"/>
      <c r="AJ965" s="799"/>
      <c r="AK965" s="799"/>
      <c r="AL965" s="799"/>
      <c r="AM965" s="799"/>
      <c r="AN965" s="799"/>
      <c r="AO965" s="799"/>
      <c r="AP965" s="799"/>
      <c r="AQ965" s="799"/>
      <c r="AR965" s="799"/>
      <c r="AS965" s="799"/>
      <c r="AT965" s="799"/>
      <c r="AU965" s="799"/>
      <c r="AV965" s="799"/>
      <c r="AW965" s="799"/>
      <c r="AX965" s="799"/>
      <c r="AY965" s="799"/>
      <c r="AZ965" s="799"/>
      <c r="BA965" s="799"/>
      <c r="BB965" s="799"/>
      <c r="BC965" s="799"/>
      <c r="BD965" s="799"/>
      <c r="BE965" s="799"/>
      <c r="BF965" s="799"/>
      <c r="BG965" s="799"/>
    </row>
    <row r="966">
      <c r="H966" s="799"/>
      <c r="I966" s="799"/>
      <c r="J966" s="799"/>
      <c r="K966" s="799"/>
      <c r="L966" s="799"/>
      <c r="M966" s="799"/>
      <c r="N966" s="799"/>
      <c r="O966" s="799"/>
      <c r="P966" s="799"/>
      <c r="Q966" s="799"/>
      <c r="R966" s="799"/>
      <c r="S966" s="799"/>
      <c r="T966" s="799"/>
      <c r="U966" s="799"/>
      <c r="V966" s="799"/>
      <c r="W966" s="799"/>
      <c r="X966" s="799"/>
      <c r="Y966" s="799"/>
      <c r="Z966" s="799"/>
      <c r="AA966" s="799"/>
      <c r="AB966" s="799"/>
      <c r="AC966" s="799"/>
      <c r="AD966" s="799"/>
      <c r="AE966" s="799"/>
      <c r="AF966" s="799"/>
      <c r="AG966" s="799"/>
      <c r="AH966" s="799"/>
      <c r="AI966" s="799"/>
      <c r="AJ966" s="799"/>
      <c r="AK966" s="799"/>
      <c r="AL966" s="799"/>
      <c r="AM966" s="799"/>
      <c r="AN966" s="799"/>
      <c r="AO966" s="799"/>
      <c r="AP966" s="799"/>
      <c r="AQ966" s="799"/>
      <c r="AR966" s="799"/>
      <c r="AS966" s="799"/>
      <c r="AT966" s="799"/>
      <c r="AU966" s="799"/>
      <c r="AV966" s="799"/>
      <c r="AW966" s="799"/>
      <c r="AX966" s="799"/>
      <c r="AY966" s="799"/>
      <c r="AZ966" s="799"/>
      <c r="BA966" s="799"/>
      <c r="BB966" s="799"/>
      <c r="BC966" s="799"/>
      <c r="BD966" s="799"/>
      <c r="BE966" s="799"/>
      <c r="BF966" s="799"/>
      <c r="BG966" s="799"/>
    </row>
    <row r="967">
      <c r="H967" s="799"/>
      <c r="I967" s="799"/>
      <c r="J967" s="799"/>
      <c r="K967" s="799"/>
      <c r="L967" s="799"/>
      <c r="M967" s="799"/>
      <c r="N967" s="799"/>
      <c r="O967" s="799"/>
      <c r="P967" s="799"/>
      <c r="Q967" s="799"/>
      <c r="R967" s="799"/>
      <c r="S967" s="799"/>
      <c r="T967" s="799"/>
      <c r="U967" s="799"/>
      <c r="V967" s="799"/>
      <c r="W967" s="799"/>
      <c r="X967" s="799"/>
      <c r="Y967" s="799"/>
      <c r="Z967" s="799"/>
      <c r="AA967" s="799"/>
      <c r="AB967" s="799"/>
      <c r="AC967" s="799"/>
      <c r="AD967" s="799"/>
      <c r="AE967" s="799"/>
      <c r="AF967" s="799"/>
      <c r="AG967" s="799"/>
      <c r="AH967" s="799"/>
      <c r="AI967" s="799"/>
      <c r="AJ967" s="799"/>
      <c r="AK967" s="799"/>
      <c r="AL967" s="799"/>
      <c r="AM967" s="799"/>
      <c r="AN967" s="799"/>
      <c r="AO967" s="799"/>
      <c r="AP967" s="799"/>
      <c r="AQ967" s="799"/>
      <c r="AR967" s="799"/>
      <c r="AS967" s="799"/>
      <c r="AT967" s="799"/>
      <c r="AU967" s="799"/>
      <c r="AV967" s="799"/>
      <c r="AW967" s="799"/>
      <c r="AX967" s="799"/>
      <c r="AY967" s="799"/>
      <c r="AZ967" s="799"/>
      <c r="BA967" s="799"/>
      <c r="BB967" s="799"/>
      <c r="BC967" s="799"/>
      <c r="BD967" s="799"/>
      <c r="BE967" s="799"/>
      <c r="BF967" s="799"/>
      <c r="BG967" s="799"/>
    </row>
    <row r="968">
      <c r="H968" s="799"/>
      <c r="I968" s="799"/>
      <c r="J968" s="799"/>
      <c r="K968" s="799"/>
      <c r="L968" s="799"/>
      <c r="M968" s="799"/>
      <c r="N968" s="799"/>
      <c r="O968" s="799"/>
      <c r="P968" s="799"/>
      <c r="Q968" s="799"/>
      <c r="R968" s="799"/>
      <c r="S968" s="799"/>
      <c r="T968" s="799"/>
      <c r="U968" s="799"/>
      <c r="V968" s="799"/>
      <c r="W968" s="799"/>
      <c r="X968" s="799"/>
      <c r="Y968" s="799"/>
      <c r="Z968" s="799"/>
      <c r="AA968" s="799"/>
      <c r="AB968" s="799"/>
      <c r="AC968" s="799"/>
      <c r="AD968" s="799"/>
      <c r="AE968" s="799"/>
      <c r="AF968" s="799"/>
      <c r="AG968" s="799"/>
      <c r="AH968" s="799"/>
      <c r="AI968" s="799"/>
      <c r="AJ968" s="799"/>
      <c r="AK968" s="799"/>
      <c r="AL968" s="799"/>
      <c r="AM968" s="799"/>
      <c r="AN968" s="799"/>
      <c r="AO968" s="799"/>
      <c r="AP968" s="799"/>
      <c r="AQ968" s="799"/>
      <c r="AR968" s="799"/>
      <c r="AS968" s="799"/>
      <c r="AT968" s="799"/>
      <c r="AU968" s="799"/>
      <c r="AV968" s="799"/>
      <c r="AW968" s="799"/>
      <c r="AX968" s="799"/>
      <c r="AY968" s="799"/>
      <c r="AZ968" s="799"/>
      <c r="BA968" s="799"/>
      <c r="BB968" s="799"/>
      <c r="BC968" s="799"/>
      <c r="BD968" s="799"/>
      <c r="BE968" s="799"/>
      <c r="BF968" s="799"/>
      <c r="BG968" s="799"/>
    </row>
    <row r="969">
      <c r="H969" s="799"/>
      <c r="I969" s="799"/>
      <c r="J969" s="799"/>
      <c r="K969" s="799"/>
      <c r="L969" s="799"/>
      <c r="M969" s="799"/>
      <c r="N969" s="799"/>
      <c r="O969" s="799"/>
      <c r="P969" s="799"/>
      <c r="Q969" s="799"/>
      <c r="R969" s="799"/>
      <c r="S969" s="799"/>
      <c r="T969" s="799"/>
      <c r="U969" s="799"/>
      <c r="V969" s="799"/>
      <c r="W969" s="799"/>
      <c r="X969" s="799"/>
      <c r="Y969" s="799"/>
      <c r="Z969" s="799"/>
      <c r="AA969" s="799"/>
      <c r="AB969" s="799"/>
      <c r="AC969" s="799"/>
      <c r="AD969" s="799"/>
      <c r="AE969" s="799"/>
      <c r="AF969" s="799"/>
      <c r="AG969" s="799"/>
      <c r="AH969" s="799"/>
      <c r="AI969" s="799"/>
      <c r="AJ969" s="799"/>
      <c r="AK969" s="799"/>
      <c r="AL969" s="799"/>
      <c r="AM969" s="799"/>
      <c r="AN969" s="799"/>
      <c r="AO969" s="799"/>
      <c r="AP969" s="799"/>
      <c r="AQ969" s="799"/>
      <c r="AR969" s="799"/>
      <c r="AS969" s="799"/>
      <c r="AT969" s="799"/>
      <c r="AU969" s="799"/>
      <c r="AV969" s="799"/>
      <c r="AW969" s="799"/>
      <c r="AX969" s="799"/>
      <c r="AY969" s="799"/>
      <c r="AZ969" s="799"/>
      <c r="BA969" s="799"/>
      <c r="BB969" s="799"/>
      <c r="BC969" s="799"/>
      <c r="BD969" s="799"/>
      <c r="BE969" s="799"/>
      <c r="BF969" s="799"/>
      <c r="BG969" s="799"/>
    </row>
    <row r="970">
      <c r="H970" s="799"/>
      <c r="I970" s="799"/>
      <c r="J970" s="799"/>
      <c r="K970" s="799"/>
      <c r="L970" s="799"/>
      <c r="M970" s="799"/>
      <c r="N970" s="799"/>
      <c r="O970" s="799"/>
      <c r="P970" s="799"/>
      <c r="Q970" s="799"/>
      <c r="R970" s="799"/>
      <c r="S970" s="799"/>
      <c r="T970" s="799"/>
      <c r="U970" s="799"/>
      <c r="V970" s="799"/>
      <c r="W970" s="799"/>
      <c r="X970" s="799"/>
      <c r="Y970" s="799"/>
      <c r="Z970" s="799"/>
      <c r="AA970" s="799"/>
      <c r="AB970" s="799"/>
      <c r="AC970" s="799"/>
      <c r="AD970" s="799"/>
      <c r="AE970" s="799"/>
      <c r="AF970" s="799"/>
      <c r="AG970" s="799"/>
      <c r="AH970" s="799"/>
      <c r="AI970" s="799"/>
      <c r="AJ970" s="799"/>
      <c r="AK970" s="799"/>
      <c r="AL970" s="799"/>
      <c r="AM970" s="799"/>
      <c r="AN970" s="799"/>
      <c r="AO970" s="799"/>
      <c r="AP970" s="799"/>
      <c r="AQ970" s="799"/>
      <c r="AR970" s="799"/>
      <c r="AS970" s="799"/>
      <c r="AT970" s="799"/>
      <c r="AU970" s="799"/>
      <c r="AV970" s="799"/>
      <c r="AW970" s="799"/>
      <c r="AX970" s="799"/>
      <c r="AY970" s="799"/>
      <c r="AZ970" s="799"/>
      <c r="BA970" s="799"/>
      <c r="BB970" s="799"/>
      <c r="BC970" s="799"/>
      <c r="BD970" s="799"/>
      <c r="BE970" s="799"/>
      <c r="BF970" s="799"/>
      <c r="BG970" s="799"/>
    </row>
    <row r="971">
      <c r="H971" s="799"/>
      <c r="I971" s="799"/>
      <c r="J971" s="799"/>
      <c r="K971" s="799"/>
      <c r="L971" s="799"/>
      <c r="M971" s="799"/>
      <c r="N971" s="799"/>
      <c r="O971" s="799"/>
      <c r="P971" s="799"/>
      <c r="Q971" s="799"/>
      <c r="R971" s="799"/>
      <c r="S971" s="799"/>
      <c r="T971" s="799"/>
      <c r="U971" s="799"/>
      <c r="V971" s="799"/>
      <c r="W971" s="799"/>
      <c r="X971" s="799"/>
      <c r="Y971" s="799"/>
      <c r="Z971" s="799"/>
      <c r="AA971" s="799"/>
      <c r="AB971" s="799"/>
      <c r="AC971" s="799"/>
      <c r="AD971" s="799"/>
      <c r="AE971" s="799"/>
      <c r="AF971" s="799"/>
      <c r="AG971" s="799"/>
      <c r="AH971" s="799"/>
      <c r="AI971" s="799"/>
      <c r="AJ971" s="799"/>
      <c r="AK971" s="799"/>
      <c r="AL971" s="799"/>
      <c r="AM971" s="799"/>
      <c r="AN971" s="799"/>
      <c r="AO971" s="799"/>
      <c r="AP971" s="799"/>
      <c r="AQ971" s="799"/>
      <c r="AR971" s="799"/>
      <c r="AS971" s="799"/>
      <c r="AT971" s="799"/>
      <c r="AU971" s="799"/>
      <c r="AV971" s="799"/>
      <c r="AW971" s="799"/>
      <c r="AX971" s="799"/>
      <c r="AY971" s="799"/>
      <c r="AZ971" s="799"/>
      <c r="BA971" s="799"/>
      <c r="BB971" s="799"/>
      <c r="BC971" s="799"/>
      <c r="BD971" s="799"/>
      <c r="BE971" s="799"/>
      <c r="BF971" s="799"/>
      <c r="BG971" s="799"/>
    </row>
    <row r="972">
      <c r="H972" s="799"/>
      <c r="I972" s="799"/>
      <c r="J972" s="799"/>
      <c r="K972" s="799"/>
      <c r="L972" s="799"/>
      <c r="M972" s="799"/>
      <c r="N972" s="799"/>
      <c r="O972" s="799"/>
      <c r="P972" s="799"/>
      <c r="Q972" s="799"/>
      <c r="R972" s="799"/>
      <c r="S972" s="799"/>
      <c r="T972" s="799"/>
      <c r="U972" s="799"/>
      <c r="V972" s="799"/>
      <c r="W972" s="799"/>
      <c r="X972" s="799"/>
      <c r="Y972" s="799"/>
      <c r="Z972" s="799"/>
      <c r="AA972" s="799"/>
      <c r="AB972" s="799"/>
      <c r="AC972" s="799"/>
      <c r="AD972" s="799"/>
      <c r="AE972" s="799"/>
      <c r="AF972" s="799"/>
      <c r="AG972" s="799"/>
      <c r="AH972" s="799"/>
      <c r="AI972" s="799"/>
      <c r="AJ972" s="799"/>
      <c r="AK972" s="799"/>
      <c r="AL972" s="799"/>
      <c r="AM972" s="799"/>
      <c r="AN972" s="799"/>
      <c r="AO972" s="799"/>
      <c r="AP972" s="799"/>
      <c r="AQ972" s="799"/>
      <c r="AR972" s="799"/>
      <c r="AS972" s="799"/>
      <c r="AT972" s="799"/>
      <c r="AU972" s="799"/>
      <c r="AV972" s="799"/>
      <c r="AW972" s="799"/>
      <c r="AX972" s="799"/>
      <c r="AY972" s="799"/>
      <c r="AZ972" s="799"/>
      <c r="BA972" s="799"/>
      <c r="BB972" s="799"/>
      <c r="BC972" s="799"/>
      <c r="BD972" s="799"/>
      <c r="BE972" s="799"/>
      <c r="BF972" s="799"/>
      <c r="BG972" s="799"/>
    </row>
    <row r="973">
      <c r="H973" s="799"/>
      <c r="I973" s="799"/>
      <c r="J973" s="799"/>
      <c r="K973" s="799"/>
      <c r="L973" s="799"/>
      <c r="M973" s="799"/>
      <c r="N973" s="799"/>
      <c r="O973" s="799"/>
      <c r="P973" s="799"/>
      <c r="Q973" s="799"/>
      <c r="R973" s="799"/>
      <c r="S973" s="799"/>
      <c r="T973" s="799"/>
      <c r="U973" s="799"/>
      <c r="V973" s="799"/>
      <c r="W973" s="799"/>
      <c r="X973" s="799"/>
      <c r="Y973" s="799"/>
      <c r="Z973" s="799"/>
      <c r="AA973" s="799"/>
      <c r="AB973" s="799"/>
      <c r="AC973" s="799"/>
      <c r="AD973" s="799"/>
      <c r="AE973" s="799"/>
      <c r="AF973" s="799"/>
      <c r="AG973" s="799"/>
      <c r="AH973" s="799"/>
      <c r="AI973" s="799"/>
      <c r="AJ973" s="799"/>
      <c r="AK973" s="799"/>
      <c r="AL973" s="799"/>
      <c r="AM973" s="799"/>
      <c r="AN973" s="799"/>
      <c r="AO973" s="799"/>
      <c r="AP973" s="799"/>
      <c r="AQ973" s="799"/>
      <c r="AR973" s="799"/>
      <c r="AS973" s="799"/>
      <c r="AT973" s="799"/>
      <c r="AU973" s="799"/>
      <c r="AV973" s="799"/>
      <c r="AW973" s="799"/>
      <c r="AX973" s="799"/>
      <c r="AY973" s="799"/>
      <c r="AZ973" s="799"/>
      <c r="BA973" s="799"/>
      <c r="BB973" s="799"/>
      <c r="BC973" s="799"/>
      <c r="BD973" s="799"/>
      <c r="BE973" s="799"/>
      <c r="BF973" s="799"/>
      <c r="BG973" s="799"/>
    </row>
    <row r="974">
      <c r="H974" s="799"/>
      <c r="I974" s="799"/>
      <c r="J974" s="799"/>
      <c r="K974" s="799"/>
      <c r="L974" s="799"/>
      <c r="M974" s="799"/>
      <c r="N974" s="799"/>
      <c r="O974" s="799"/>
      <c r="P974" s="799"/>
      <c r="Q974" s="799"/>
      <c r="R974" s="799"/>
      <c r="S974" s="799"/>
      <c r="T974" s="799"/>
      <c r="U974" s="799"/>
      <c r="V974" s="799"/>
      <c r="W974" s="799"/>
      <c r="X974" s="799"/>
      <c r="Y974" s="799"/>
      <c r="Z974" s="799"/>
      <c r="AA974" s="799"/>
      <c r="AB974" s="799"/>
      <c r="AC974" s="799"/>
      <c r="AD974" s="799"/>
      <c r="AE974" s="799"/>
      <c r="AF974" s="799"/>
      <c r="AG974" s="799"/>
      <c r="AH974" s="799"/>
      <c r="AI974" s="799"/>
      <c r="AJ974" s="799"/>
      <c r="AK974" s="799"/>
      <c r="AL974" s="799"/>
      <c r="AM974" s="799"/>
      <c r="AN974" s="799"/>
      <c r="AO974" s="799"/>
      <c r="AP974" s="799"/>
      <c r="AQ974" s="799"/>
      <c r="AR974" s="799"/>
      <c r="AS974" s="799"/>
      <c r="AT974" s="799"/>
      <c r="AU974" s="799"/>
      <c r="AV974" s="799"/>
      <c r="AW974" s="799"/>
      <c r="AX974" s="799"/>
      <c r="AY974" s="799"/>
      <c r="AZ974" s="799"/>
      <c r="BA974" s="799"/>
      <c r="BB974" s="799"/>
      <c r="BC974" s="799"/>
      <c r="BD974" s="799"/>
      <c r="BE974" s="799"/>
      <c r="BF974" s="799"/>
      <c r="BG974" s="799"/>
    </row>
    <row r="975">
      <c r="H975" s="799"/>
      <c r="I975" s="799"/>
      <c r="J975" s="799"/>
      <c r="K975" s="799"/>
      <c r="L975" s="799"/>
      <c r="M975" s="799"/>
      <c r="N975" s="799"/>
      <c r="O975" s="799"/>
      <c r="P975" s="799"/>
      <c r="Q975" s="799"/>
      <c r="R975" s="799"/>
      <c r="S975" s="799"/>
      <c r="T975" s="799"/>
      <c r="U975" s="799"/>
      <c r="V975" s="799"/>
      <c r="W975" s="799"/>
      <c r="X975" s="799"/>
      <c r="Y975" s="799"/>
      <c r="Z975" s="799"/>
      <c r="AA975" s="799"/>
      <c r="AB975" s="799"/>
      <c r="AC975" s="799"/>
      <c r="AD975" s="799"/>
      <c r="AE975" s="799"/>
      <c r="AF975" s="799"/>
      <c r="AG975" s="799"/>
      <c r="AH975" s="799"/>
      <c r="AI975" s="799"/>
      <c r="AJ975" s="799"/>
      <c r="AK975" s="799"/>
      <c r="AL975" s="799"/>
      <c r="AM975" s="799"/>
      <c r="AN975" s="799"/>
      <c r="AO975" s="799"/>
      <c r="AP975" s="799"/>
      <c r="AQ975" s="799"/>
      <c r="AR975" s="799"/>
      <c r="AS975" s="799"/>
      <c r="AT975" s="799"/>
      <c r="AU975" s="799"/>
      <c r="AV975" s="799"/>
      <c r="AW975" s="799"/>
      <c r="AX975" s="799"/>
      <c r="AY975" s="799"/>
      <c r="AZ975" s="799"/>
      <c r="BA975" s="799"/>
      <c r="BB975" s="799"/>
      <c r="BC975" s="799"/>
      <c r="BD975" s="799"/>
      <c r="BE975" s="799"/>
      <c r="BF975" s="799"/>
      <c r="BG975" s="799"/>
    </row>
    <row r="976">
      <c r="H976" s="799"/>
      <c r="I976" s="799"/>
      <c r="J976" s="799"/>
      <c r="K976" s="799"/>
      <c r="L976" s="799"/>
      <c r="M976" s="799"/>
      <c r="N976" s="799"/>
      <c r="O976" s="799"/>
      <c r="P976" s="799"/>
      <c r="Q976" s="799"/>
      <c r="R976" s="799"/>
      <c r="S976" s="799"/>
      <c r="T976" s="799"/>
      <c r="U976" s="799"/>
      <c r="V976" s="799"/>
      <c r="W976" s="799"/>
      <c r="X976" s="799"/>
      <c r="Y976" s="799"/>
      <c r="Z976" s="799"/>
      <c r="AA976" s="799"/>
      <c r="AB976" s="799"/>
      <c r="AC976" s="799"/>
      <c r="AD976" s="799"/>
      <c r="AE976" s="799"/>
      <c r="AF976" s="799"/>
      <c r="AG976" s="799"/>
      <c r="AH976" s="799"/>
      <c r="AI976" s="799"/>
      <c r="AJ976" s="799"/>
      <c r="AK976" s="799"/>
      <c r="AL976" s="799"/>
      <c r="AM976" s="799"/>
      <c r="AN976" s="799"/>
      <c r="AO976" s="799"/>
      <c r="AP976" s="799"/>
      <c r="AQ976" s="799"/>
      <c r="AR976" s="799"/>
      <c r="AS976" s="799"/>
      <c r="AT976" s="799"/>
      <c r="AU976" s="799"/>
      <c r="AV976" s="799"/>
      <c r="AW976" s="799"/>
      <c r="AX976" s="799"/>
      <c r="AY976" s="799"/>
      <c r="AZ976" s="799"/>
      <c r="BA976" s="799"/>
      <c r="BB976" s="799"/>
      <c r="BC976" s="799"/>
      <c r="BD976" s="799"/>
      <c r="BE976" s="799"/>
      <c r="BF976" s="799"/>
      <c r="BG976" s="799"/>
    </row>
    <row r="977">
      <c r="H977" s="799"/>
      <c r="I977" s="799"/>
      <c r="J977" s="799"/>
      <c r="K977" s="799"/>
      <c r="L977" s="799"/>
      <c r="M977" s="799"/>
      <c r="N977" s="799"/>
      <c r="O977" s="799"/>
      <c r="P977" s="799"/>
      <c r="Q977" s="799"/>
      <c r="R977" s="799"/>
      <c r="S977" s="799"/>
      <c r="T977" s="799"/>
      <c r="U977" s="799"/>
      <c r="V977" s="799"/>
      <c r="W977" s="799"/>
      <c r="X977" s="799"/>
      <c r="Y977" s="799"/>
      <c r="Z977" s="799"/>
      <c r="AA977" s="799"/>
      <c r="AB977" s="799"/>
      <c r="AC977" s="799"/>
      <c r="AD977" s="799"/>
      <c r="AE977" s="799"/>
      <c r="AF977" s="799"/>
      <c r="AG977" s="799"/>
      <c r="AH977" s="799"/>
      <c r="AI977" s="799"/>
      <c r="AJ977" s="799"/>
      <c r="AK977" s="799"/>
      <c r="AL977" s="799"/>
      <c r="AM977" s="799"/>
      <c r="AN977" s="799"/>
      <c r="AO977" s="799"/>
      <c r="AP977" s="799"/>
      <c r="AQ977" s="799"/>
      <c r="AR977" s="799"/>
      <c r="AS977" s="799"/>
      <c r="AT977" s="799"/>
      <c r="AU977" s="799"/>
      <c r="AV977" s="799"/>
      <c r="AW977" s="799"/>
      <c r="AX977" s="799"/>
      <c r="AY977" s="799"/>
      <c r="AZ977" s="799"/>
      <c r="BA977" s="799"/>
      <c r="BB977" s="799"/>
      <c r="BC977" s="799"/>
      <c r="BD977" s="799"/>
      <c r="BE977" s="799"/>
      <c r="BF977" s="799"/>
      <c r="BG977" s="799"/>
    </row>
    <row r="978">
      <c r="H978" s="799"/>
      <c r="I978" s="799"/>
      <c r="J978" s="799"/>
      <c r="K978" s="799"/>
      <c r="L978" s="799"/>
      <c r="M978" s="799"/>
      <c r="N978" s="799"/>
      <c r="O978" s="799"/>
      <c r="P978" s="799"/>
      <c r="Q978" s="799"/>
      <c r="R978" s="799"/>
      <c r="S978" s="799"/>
      <c r="T978" s="799"/>
      <c r="U978" s="799"/>
      <c r="V978" s="799"/>
      <c r="W978" s="799"/>
      <c r="X978" s="799"/>
      <c r="Y978" s="799"/>
      <c r="Z978" s="799"/>
      <c r="AA978" s="799"/>
      <c r="AB978" s="799"/>
      <c r="AC978" s="799"/>
      <c r="AD978" s="799"/>
      <c r="AE978" s="799"/>
      <c r="AF978" s="799"/>
      <c r="AG978" s="799"/>
      <c r="AH978" s="799"/>
      <c r="AI978" s="799"/>
      <c r="AJ978" s="799"/>
      <c r="AK978" s="799"/>
      <c r="AL978" s="799"/>
      <c r="AM978" s="799"/>
      <c r="AN978" s="799"/>
      <c r="AO978" s="799"/>
      <c r="AP978" s="799"/>
      <c r="AQ978" s="799"/>
      <c r="AR978" s="799"/>
      <c r="AS978" s="799"/>
      <c r="AT978" s="799"/>
      <c r="AU978" s="799"/>
      <c r="AV978" s="799"/>
      <c r="AW978" s="799"/>
      <c r="AX978" s="799"/>
      <c r="AY978" s="799"/>
      <c r="AZ978" s="799"/>
      <c r="BA978" s="799"/>
      <c r="BB978" s="799"/>
      <c r="BC978" s="799"/>
      <c r="BD978" s="799"/>
      <c r="BE978" s="799"/>
      <c r="BF978" s="799"/>
      <c r="BG978" s="799"/>
    </row>
    <row r="979">
      <c r="H979" s="799"/>
      <c r="I979" s="799"/>
      <c r="J979" s="799"/>
      <c r="K979" s="799"/>
      <c r="L979" s="799"/>
      <c r="M979" s="799"/>
      <c r="N979" s="799"/>
      <c r="O979" s="799"/>
      <c r="P979" s="799"/>
      <c r="Q979" s="799"/>
      <c r="R979" s="799"/>
      <c r="S979" s="799"/>
      <c r="T979" s="799"/>
      <c r="U979" s="799"/>
      <c r="V979" s="799"/>
      <c r="W979" s="799"/>
      <c r="X979" s="799"/>
      <c r="Y979" s="799"/>
      <c r="Z979" s="799"/>
      <c r="AA979" s="799"/>
      <c r="AB979" s="799"/>
      <c r="AC979" s="799"/>
      <c r="AD979" s="799"/>
      <c r="AE979" s="799"/>
      <c r="AF979" s="799"/>
      <c r="AG979" s="799"/>
      <c r="AH979" s="799"/>
      <c r="AI979" s="799"/>
      <c r="AJ979" s="799"/>
      <c r="AK979" s="799"/>
      <c r="AL979" s="799"/>
      <c r="AM979" s="799"/>
      <c r="AN979" s="799"/>
      <c r="AO979" s="799"/>
      <c r="AP979" s="799"/>
      <c r="AQ979" s="799"/>
      <c r="AR979" s="799"/>
      <c r="AS979" s="799"/>
      <c r="AT979" s="799"/>
      <c r="AU979" s="799"/>
      <c r="AV979" s="799"/>
      <c r="AW979" s="799"/>
      <c r="AX979" s="799"/>
      <c r="AY979" s="799"/>
      <c r="AZ979" s="799"/>
      <c r="BA979" s="799"/>
      <c r="BB979" s="799"/>
      <c r="BC979" s="799"/>
      <c r="BD979" s="799"/>
      <c r="BE979" s="799"/>
      <c r="BF979" s="799"/>
      <c r="BG979" s="799"/>
    </row>
    <row r="980">
      <c r="H980" s="799"/>
      <c r="I980" s="799"/>
      <c r="J980" s="799"/>
      <c r="K980" s="799"/>
      <c r="L980" s="799"/>
      <c r="M980" s="799"/>
      <c r="N980" s="799"/>
      <c r="O980" s="799"/>
      <c r="P980" s="799"/>
      <c r="Q980" s="799"/>
      <c r="R980" s="799"/>
      <c r="S980" s="799"/>
      <c r="T980" s="799"/>
      <c r="U980" s="799"/>
      <c r="V980" s="799"/>
      <c r="W980" s="799"/>
      <c r="X980" s="799"/>
      <c r="Y980" s="799"/>
      <c r="Z980" s="799"/>
      <c r="AA980" s="799"/>
      <c r="AB980" s="799"/>
      <c r="AC980" s="799"/>
      <c r="AD980" s="799"/>
      <c r="AE980" s="799"/>
      <c r="AF980" s="799"/>
      <c r="AG980" s="799"/>
      <c r="AH980" s="799"/>
      <c r="AI980" s="799"/>
      <c r="AJ980" s="799"/>
      <c r="AK980" s="799"/>
      <c r="AL980" s="799"/>
      <c r="AM980" s="799"/>
      <c r="AN980" s="799"/>
      <c r="AO980" s="799"/>
      <c r="AP980" s="799"/>
      <c r="AQ980" s="799"/>
      <c r="AR980" s="799"/>
      <c r="AS980" s="799"/>
      <c r="AT980" s="799"/>
      <c r="AU980" s="799"/>
      <c r="AV980" s="799"/>
      <c r="AW980" s="799"/>
      <c r="AX980" s="799"/>
      <c r="AY980" s="799"/>
      <c r="AZ980" s="799"/>
      <c r="BA980" s="799"/>
      <c r="BB980" s="799"/>
      <c r="BC980" s="799"/>
      <c r="BD980" s="799"/>
      <c r="BE980" s="799"/>
      <c r="BF980" s="799"/>
      <c r="BG980" s="799"/>
    </row>
    <row r="981">
      <c r="H981" s="799"/>
      <c r="I981" s="799"/>
      <c r="J981" s="799"/>
      <c r="K981" s="799"/>
      <c r="L981" s="799"/>
      <c r="M981" s="799"/>
      <c r="N981" s="799"/>
      <c r="O981" s="799"/>
      <c r="P981" s="799"/>
      <c r="Q981" s="799"/>
      <c r="R981" s="799"/>
      <c r="S981" s="799"/>
      <c r="T981" s="799"/>
      <c r="U981" s="799"/>
      <c r="V981" s="799"/>
      <c r="W981" s="799"/>
      <c r="X981" s="799"/>
      <c r="Y981" s="799"/>
      <c r="Z981" s="799"/>
      <c r="AA981" s="799"/>
      <c r="AB981" s="799"/>
      <c r="AC981" s="799"/>
      <c r="AD981" s="799"/>
      <c r="AE981" s="799"/>
      <c r="AF981" s="799"/>
      <c r="AG981" s="799"/>
      <c r="AH981" s="799"/>
      <c r="AI981" s="799"/>
      <c r="AJ981" s="799"/>
      <c r="AK981" s="799"/>
      <c r="AL981" s="799"/>
      <c r="AM981" s="799"/>
      <c r="AN981" s="799"/>
      <c r="AO981" s="799"/>
      <c r="AP981" s="799"/>
      <c r="AQ981" s="799"/>
      <c r="AR981" s="799"/>
      <c r="AS981" s="799"/>
      <c r="AT981" s="799"/>
      <c r="AU981" s="799"/>
      <c r="AV981" s="799"/>
      <c r="AW981" s="799"/>
      <c r="AX981" s="799"/>
      <c r="AY981" s="799"/>
      <c r="AZ981" s="799"/>
      <c r="BA981" s="799"/>
      <c r="BB981" s="799"/>
      <c r="BC981" s="799"/>
      <c r="BD981" s="799"/>
      <c r="BE981" s="799"/>
      <c r="BF981" s="799"/>
      <c r="BG981" s="799"/>
    </row>
    <row r="982">
      <c r="H982" s="799"/>
      <c r="I982" s="799"/>
      <c r="J982" s="799"/>
      <c r="K982" s="799"/>
      <c r="L982" s="799"/>
      <c r="M982" s="799"/>
      <c r="N982" s="799"/>
      <c r="O982" s="799"/>
      <c r="P982" s="799"/>
      <c r="Q982" s="799"/>
      <c r="R982" s="799"/>
      <c r="S982" s="799"/>
      <c r="T982" s="799"/>
      <c r="U982" s="799"/>
      <c r="V982" s="799"/>
      <c r="W982" s="799"/>
      <c r="X982" s="799"/>
      <c r="Y982" s="799"/>
      <c r="Z982" s="799"/>
      <c r="AA982" s="799"/>
      <c r="AB982" s="799"/>
      <c r="AC982" s="799"/>
      <c r="AD982" s="799"/>
      <c r="AE982" s="799"/>
      <c r="AF982" s="799"/>
      <c r="AG982" s="799"/>
      <c r="AH982" s="799"/>
      <c r="AI982" s="799"/>
      <c r="AJ982" s="799"/>
      <c r="AK982" s="799"/>
      <c r="AL982" s="799"/>
      <c r="AM982" s="799"/>
      <c r="AN982" s="799"/>
      <c r="AO982" s="799"/>
      <c r="AP982" s="799"/>
      <c r="AQ982" s="799"/>
      <c r="AR982" s="799"/>
      <c r="AS982" s="799"/>
      <c r="AT982" s="799"/>
      <c r="AU982" s="799"/>
      <c r="AV982" s="799"/>
      <c r="AW982" s="799"/>
      <c r="AX982" s="799"/>
      <c r="AY982" s="799"/>
      <c r="AZ982" s="799"/>
      <c r="BA982" s="799"/>
      <c r="BB982" s="799"/>
      <c r="BC982" s="799"/>
      <c r="BD982" s="799"/>
      <c r="BE982" s="799"/>
      <c r="BF982" s="799"/>
      <c r="BG982" s="799"/>
    </row>
    <row r="983">
      <c r="H983" s="799"/>
      <c r="I983" s="799"/>
      <c r="J983" s="799"/>
      <c r="K983" s="799"/>
      <c r="L983" s="799"/>
      <c r="M983" s="799"/>
      <c r="N983" s="799"/>
      <c r="O983" s="799"/>
      <c r="P983" s="799"/>
      <c r="Q983" s="799"/>
      <c r="R983" s="799"/>
      <c r="S983" s="799"/>
      <c r="T983" s="799"/>
      <c r="U983" s="799"/>
      <c r="V983" s="799"/>
      <c r="W983" s="799"/>
      <c r="X983" s="799"/>
      <c r="Y983" s="799"/>
      <c r="Z983" s="799"/>
      <c r="AA983" s="799"/>
      <c r="AB983" s="799"/>
      <c r="AC983" s="799"/>
      <c r="AD983" s="799"/>
      <c r="AE983" s="799"/>
      <c r="AF983" s="799"/>
      <c r="AG983" s="799"/>
      <c r="AH983" s="799"/>
      <c r="AI983" s="799"/>
      <c r="AJ983" s="799"/>
      <c r="AK983" s="799"/>
      <c r="AL983" s="799"/>
      <c r="AM983" s="799"/>
      <c r="AN983" s="799"/>
      <c r="AO983" s="799"/>
      <c r="AP983" s="799"/>
      <c r="AQ983" s="799"/>
      <c r="AR983" s="799"/>
      <c r="AS983" s="799"/>
      <c r="AT983" s="799"/>
      <c r="AU983" s="799"/>
      <c r="AV983" s="799"/>
      <c r="AW983" s="799"/>
      <c r="AX983" s="799"/>
      <c r="AY983" s="799"/>
      <c r="AZ983" s="799"/>
      <c r="BA983" s="799"/>
      <c r="BB983" s="799"/>
      <c r="BC983" s="799"/>
      <c r="BD983" s="799"/>
      <c r="BE983" s="799"/>
      <c r="BF983" s="799"/>
      <c r="BG983" s="799"/>
    </row>
    <row r="984">
      <c r="H984" s="799"/>
      <c r="I984" s="799"/>
      <c r="J984" s="799"/>
      <c r="K984" s="799"/>
      <c r="L984" s="799"/>
      <c r="M984" s="799"/>
      <c r="N984" s="799"/>
      <c r="O984" s="799"/>
      <c r="P984" s="799"/>
      <c r="Q984" s="799"/>
      <c r="R984" s="799"/>
      <c r="S984" s="799"/>
      <c r="T984" s="799"/>
      <c r="U984" s="799"/>
      <c r="V984" s="799"/>
      <c r="W984" s="799"/>
      <c r="X984" s="799"/>
      <c r="Y984" s="799"/>
      <c r="Z984" s="799"/>
      <c r="AA984" s="799"/>
      <c r="AB984" s="799"/>
      <c r="AC984" s="799"/>
      <c r="AD984" s="799"/>
      <c r="AE984" s="799"/>
      <c r="AF984" s="799"/>
      <c r="AG984" s="799"/>
      <c r="AH984" s="799"/>
      <c r="AI984" s="799"/>
      <c r="AJ984" s="799"/>
      <c r="AK984" s="799"/>
      <c r="AL984" s="799"/>
      <c r="AM984" s="799"/>
      <c r="AN984" s="799"/>
      <c r="AO984" s="799"/>
      <c r="AP984" s="799"/>
      <c r="AQ984" s="799"/>
      <c r="AR984" s="799"/>
      <c r="AS984" s="799"/>
      <c r="AT984" s="799"/>
      <c r="AU984" s="799"/>
      <c r="AV984" s="799"/>
      <c r="AW984" s="799"/>
      <c r="AX984" s="799"/>
      <c r="AY984" s="799"/>
      <c r="AZ984" s="799"/>
      <c r="BA984" s="799"/>
      <c r="BB984" s="799"/>
      <c r="BC984" s="799"/>
      <c r="BD984" s="799"/>
      <c r="BE984" s="799"/>
      <c r="BF984" s="799"/>
      <c r="BG984" s="799"/>
    </row>
    <row r="985">
      <c r="H985" s="799"/>
      <c r="I985" s="799"/>
      <c r="J985" s="799"/>
      <c r="K985" s="799"/>
      <c r="L985" s="799"/>
      <c r="M985" s="799"/>
      <c r="N985" s="799"/>
      <c r="O985" s="799"/>
      <c r="P985" s="799"/>
      <c r="Q985" s="799"/>
      <c r="R985" s="799"/>
      <c r="S985" s="799"/>
      <c r="T985" s="799"/>
      <c r="U985" s="799"/>
      <c r="V985" s="799"/>
      <c r="W985" s="799"/>
      <c r="X985" s="799"/>
      <c r="Y985" s="799"/>
      <c r="Z985" s="799"/>
      <c r="AA985" s="799"/>
      <c r="AB985" s="799"/>
      <c r="AC985" s="799"/>
      <c r="AD985" s="799"/>
      <c r="AE985" s="799"/>
      <c r="AF985" s="799"/>
      <c r="AG985" s="799"/>
      <c r="AH985" s="799"/>
      <c r="AI985" s="799"/>
      <c r="AJ985" s="799"/>
      <c r="AK985" s="799"/>
      <c r="AL985" s="799"/>
      <c r="AM985" s="799"/>
      <c r="AN985" s="799"/>
      <c r="AO985" s="799"/>
      <c r="AP985" s="799"/>
      <c r="AQ985" s="799"/>
      <c r="AR985" s="799"/>
      <c r="AS985" s="799"/>
      <c r="AT985" s="799"/>
      <c r="AU985" s="799"/>
      <c r="AV985" s="799"/>
      <c r="AW985" s="799"/>
      <c r="AX985" s="799"/>
      <c r="AY985" s="799"/>
      <c r="AZ985" s="799"/>
      <c r="BA985" s="799"/>
      <c r="BB985" s="799"/>
      <c r="BC985" s="799"/>
      <c r="BD985" s="799"/>
      <c r="BE985" s="799"/>
      <c r="BF985" s="799"/>
      <c r="BG985" s="799"/>
    </row>
    <row r="986">
      <c r="H986" s="799"/>
      <c r="I986" s="799"/>
      <c r="J986" s="799"/>
      <c r="K986" s="799"/>
      <c r="L986" s="799"/>
      <c r="M986" s="799"/>
      <c r="N986" s="799"/>
      <c r="O986" s="799"/>
      <c r="P986" s="799"/>
      <c r="Q986" s="799"/>
      <c r="R986" s="799"/>
      <c r="S986" s="799"/>
      <c r="T986" s="799"/>
      <c r="U986" s="799"/>
      <c r="V986" s="799"/>
      <c r="W986" s="799"/>
      <c r="X986" s="799"/>
      <c r="Y986" s="799"/>
      <c r="Z986" s="799"/>
      <c r="AA986" s="799"/>
      <c r="AB986" s="799"/>
      <c r="AC986" s="799"/>
      <c r="AD986" s="799"/>
      <c r="AE986" s="799"/>
      <c r="AF986" s="799"/>
      <c r="AG986" s="799"/>
      <c r="AH986" s="799"/>
      <c r="AI986" s="799"/>
      <c r="AJ986" s="799"/>
      <c r="AK986" s="799"/>
      <c r="AL986" s="799"/>
      <c r="AM986" s="799"/>
      <c r="AN986" s="799"/>
      <c r="AO986" s="799"/>
      <c r="AP986" s="799"/>
      <c r="AQ986" s="799"/>
      <c r="AR986" s="799"/>
      <c r="AS986" s="799"/>
      <c r="AT986" s="799"/>
      <c r="AU986" s="799"/>
      <c r="AV986" s="799"/>
      <c r="AW986" s="799"/>
      <c r="AX986" s="799"/>
      <c r="AY986" s="799"/>
      <c r="AZ986" s="799"/>
      <c r="BA986" s="799"/>
      <c r="BB986" s="799"/>
      <c r="BC986" s="799"/>
      <c r="BD986" s="799"/>
      <c r="BE986" s="799"/>
      <c r="BF986" s="799"/>
      <c r="BG986" s="799"/>
    </row>
    <row r="987">
      <c r="H987" s="799"/>
      <c r="I987" s="799"/>
      <c r="J987" s="799"/>
      <c r="K987" s="799"/>
      <c r="L987" s="799"/>
      <c r="M987" s="799"/>
      <c r="N987" s="799"/>
      <c r="O987" s="799"/>
      <c r="P987" s="799"/>
      <c r="Q987" s="799"/>
      <c r="R987" s="799"/>
      <c r="S987" s="799"/>
      <c r="T987" s="799"/>
      <c r="U987" s="799"/>
      <c r="V987" s="799"/>
      <c r="W987" s="799"/>
      <c r="X987" s="799"/>
      <c r="Y987" s="799"/>
      <c r="Z987" s="799"/>
      <c r="AA987" s="799"/>
      <c r="AB987" s="799"/>
      <c r="AC987" s="799"/>
      <c r="AD987" s="799"/>
      <c r="AE987" s="799"/>
      <c r="AF987" s="799"/>
      <c r="AG987" s="799"/>
      <c r="AH987" s="799"/>
      <c r="AI987" s="799"/>
      <c r="AJ987" s="799"/>
      <c r="AK987" s="799"/>
      <c r="AL987" s="799"/>
      <c r="AM987" s="799"/>
      <c r="AN987" s="799"/>
      <c r="AO987" s="799"/>
      <c r="AP987" s="799"/>
      <c r="AQ987" s="799"/>
      <c r="AR987" s="799"/>
      <c r="AS987" s="799"/>
      <c r="AT987" s="799"/>
      <c r="AU987" s="799"/>
      <c r="AV987" s="799"/>
      <c r="AW987" s="799"/>
      <c r="AX987" s="799"/>
      <c r="AY987" s="799"/>
      <c r="AZ987" s="799"/>
      <c r="BA987" s="799"/>
      <c r="BB987" s="799"/>
      <c r="BC987" s="799"/>
      <c r="BD987" s="799"/>
      <c r="BE987" s="799"/>
      <c r="BF987" s="799"/>
      <c r="BG987" s="799"/>
    </row>
    <row r="988">
      <c r="H988" s="799"/>
      <c r="I988" s="799"/>
      <c r="J988" s="799"/>
      <c r="K988" s="799"/>
      <c r="L988" s="799"/>
      <c r="M988" s="799"/>
      <c r="N988" s="799"/>
      <c r="O988" s="799"/>
      <c r="P988" s="799"/>
      <c r="Q988" s="799"/>
      <c r="R988" s="799"/>
      <c r="S988" s="799"/>
      <c r="T988" s="799"/>
      <c r="U988" s="799"/>
      <c r="V988" s="799"/>
      <c r="W988" s="799"/>
      <c r="X988" s="799"/>
      <c r="Y988" s="799"/>
      <c r="Z988" s="799"/>
      <c r="AA988" s="799"/>
      <c r="AB988" s="799"/>
      <c r="AC988" s="799"/>
      <c r="AD988" s="799"/>
      <c r="AE988" s="799"/>
      <c r="AF988" s="799"/>
      <c r="AG988" s="799"/>
      <c r="AH988" s="799"/>
      <c r="AI988" s="799"/>
      <c r="AJ988" s="799"/>
      <c r="AK988" s="799"/>
      <c r="AL988" s="799"/>
      <c r="AM988" s="799"/>
      <c r="AN988" s="799"/>
      <c r="AO988" s="799"/>
      <c r="AP988" s="799"/>
      <c r="AQ988" s="799"/>
      <c r="AR988" s="799"/>
      <c r="AS988" s="799"/>
      <c r="AT988" s="799"/>
      <c r="AU988" s="799"/>
      <c r="AV988" s="799"/>
      <c r="AW988" s="799"/>
      <c r="AX988" s="799"/>
      <c r="AY988" s="799"/>
      <c r="AZ988" s="799"/>
      <c r="BA988" s="799"/>
      <c r="BB988" s="799"/>
      <c r="BC988" s="799"/>
      <c r="BD988" s="799"/>
      <c r="BE988" s="799"/>
      <c r="BF988" s="799"/>
      <c r="BG988" s="799"/>
    </row>
    <row r="989">
      <c r="H989" s="799"/>
      <c r="I989" s="799"/>
      <c r="J989" s="799"/>
      <c r="K989" s="799"/>
      <c r="L989" s="799"/>
      <c r="M989" s="799"/>
      <c r="N989" s="799"/>
      <c r="O989" s="799"/>
      <c r="P989" s="799"/>
      <c r="Q989" s="799"/>
      <c r="R989" s="799"/>
      <c r="S989" s="799"/>
      <c r="T989" s="799"/>
      <c r="U989" s="799"/>
      <c r="V989" s="799"/>
      <c r="W989" s="799"/>
      <c r="X989" s="799"/>
      <c r="Y989" s="799"/>
      <c r="Z989" s="799"/>
      <c r="AA989" s="799"/>
      <c r="AB989" s="799"/>
      <c r="AC989" s="799"/>
      <c r="AD989" s="799"/>
      <c r="AE989" s="799"/>
      <c r="AF989" s="799"/>
      <c r="AG989" s="799"/>
      <c r="AH989" s="799"/>
      <c r="AI989" s="799"/>
      <c r="AJ989" s="799"/>
      <c r="AK989" s="799"/>
      <c r="AL989" s="799"/>
      <c r="AM989" s="799"/>
      <c r="AN989" s="799"/>
      <c r="AO989" s="799"/>
      <c r="AP989" s="799"/>
      <c r="AQ989" s="799"/>
      <c r="AR989" s="799"/>
      <c r="AS989" s="799"/>
      <c r="AT989" s="799"/>
      <c r="AU989" s="799"/>
      <c r="AV989" s="799"/>
      <c r="AW989" s="799"/>
      <c r="AX989" s="799"/>
      <c r="AY989" s="799"/>
      <c r="AZ989" s="799"/>
      <c r="BA989" s="799"/>
      <c r="BB989" s="799"/>
      <c r="BC989" s="799"/>
      <c r="BD989" s="799"/>
      <c r="BE989" s="799"/>
      <c r="BF989" s="799"/>
      <c r="BG989" s="799"/>
    </row>
    <row r="990">
      <c r="H990" s="799"/>
      <c r="I990" s="799"/>
      <c r="J990" s="799"/>
      <c r="K990" s="799"/>
      <c r="L990" s="799"/>
      <c r="M990" s="799"/>
      <c r="N990" s="799"/>
      <c r="O990" s="799"/>
      <c r="P990" s="799"/>
      <c r="Q990" s="799"/>
      <c r="R990" s="799"/>
      <c r="S990" s="799"/>
      <c r="T990" s="799"/>
      <c r="U990" s="799"/>
      <c r="V990" s="799"/>
      <c r="W990" s="799"/>
      <c r="X990" s="799"/>
      <c r="Y990" s="799"/>
      <c r="Z990" s="799"/>
      <c r="AA990" s="799"/>
      <c r="AB990" s="799"/>
      <c r="AC990" s="799"/>
      <c r="AD990" s="799"/>
      <c r="AE990" s="799"/>
      <c r="AF990" s="799"/>
      <c r="AG990" s="799"/>
      <c r="AH990" s="799"/>
      <c r="AI990" s="799"/>
      <c r="AJ990" s="799"/>
      <c r="AK990" s="799"/>
      <c r="AL990" s="799"/>
      <c r="AM990" s="799"/>
      <c r="AN990" s="799"/>
      <c r="AO990" s="799"/>
      <c r="AP990" s="799"/>
      <c r="AQ990" s="799"/>
      <c r="AR990" s="799"/>
      <c r="AS990" s="799"/>
      <c r="AT990" s="799"/>
      <c r="AU990" s="799"/>
      <c r="AV990" s="799"/>
      <c r="AW990" s="799"/>
      <c r="AX990" s="799"/>
      <c r="AY990" s="799"/>
      <c r="AZ990" s="799"/>
      <c r="BA990" s="799"/>
      <c r="BB990" s="799"/>
      <c r="BC990" s="799"/>
      <c r="BD990" s="799"/>
      <c r="BE990" s="799"/>
      <c r="BF990" s="799"/>
      <c r="BG990" s="799"/>
    </row>
    <row r="991">
      <c r="H991" s="799"/>
      <c r="I991" s="799"/>
      <c r="J991" s="799"/>
      <c r="K991" s="799"/>
      <c r="L991" s="799"/>
      <c r="M991" s="799"/>
      <c r="N991" s="799"/>
      <c r="O991" s="799"/>
      <c r="P991" s="799"/>
      <c r="Q991" s="799"/>
      <c r="R991" s="799"/>
      <c r="S991" s="799"/>
      <c r="T991" s="799"/>
      <c r="U991" s="799"/>
      <c r="V991" s="799"/>
      <c r="W991" s="799"/>
      <c r="X991" s="799"/>
      <c r="Y991" s="799"/>
      <c r="Z991" s="799"/>
      <c r="AA991" s="799"/>
      <c r="AB991" s="799"/>
      <c r="AC991" s="799"/>
      <c r="AD991" s="799"/>
      <c r="AE991" s="799"/>
      <c r="AF991" s="799"/>
      <c r="AG991" s="799"/>
      <c r="AH991" s="799"/>
      <c r="AI991" s="799"/>
      <c r="AJ991" s="799"/>
      <c r="AK991" s="799"/>
      <c r="AL991" s="799"/>
      <c r="AM991" s="799"/>
      <c r="AN991" s="799"/>
      <c r="AO991" s="799"/>
      <c r="AP991" s="799"/>
      <c r="AQ991" s="799"/>
      <c r="AR991" s="799"/>
      <c r="AS991" s="799"/>
      <c r="AT991" s="799"/>
      <c r="AU991" s="799"/>
      <c r="AV991" s="799"/>
      <c r="AW991" s="799"/>
      <c r="AX991" s="799"/>
      <c r="AY991" s="799"/>
      <c r="AZ991" s="799"/>
      <c r="BA991" s="799"/>
      <c r="BB991" s="799"/>
      <c r="BC991" s="799"/>
      <c r="BD991" s="799"/>
      <c r="BE991" s="799"/>
      <c r="BF991" s="799"/>
      <c r="BG991" s="799"/>
    </row>
    <row r="992">
      <c r="H992" s="799"/>
      <c r="I992" s="799"/>
      <c r="J992" s="799"/>
      <c r="K992" s="799"/>
      <c r="L992" s="799"/>
      <c r="M992" s="799"/>
      <c r="N992" s="799"/>
      <c r="O992" s="799"/>
      <c r="P992" s="799"/>
      <c r="Q992" s="799"/>
      <c r="R992" s="799"/>
      <c r="S992" s="799"/>
      <c r="T992" s="799"/>
      <c r="U992" s="799"/>
      <c r="V992" s="799"/>
      <c r="W992" s="799"/>
      <c r="X992" s="799"/>
      <c r="Y992" s="799"/>
      <c r="Z992" s="799"/>
      <c r="AA992" s="799"/>
      <c r="AB992" s="799"/>
      <c r="AC992" s="799"/>
      <c r="AD992" s="799"/>
      <c r="AE992" s="799"/>
      <c r="AF992" s="799"/>
      <c r="AG992" s="799"/>
      <c r="AH992" s="799"/>
      <c r="AI992" s="799"/>
      <c r="AJ992" s="799"/>
      <c r="AK992" s="799"/>
      <c r="AL992" s="799"/>
      <c r="AM992" s="799"/>
      <c r="AN992" s="799"/>
      <c r="AO992" s="799"/>
      <c r="AP992" s="799"/>
      <c r="AQ992" s="799"/>
      <c r="AR992" s="799"/>
      <c r="AS992" s="799"/>
      <c r="AT992" s="799"/>
      <c r="AU992" s="799"/>
      <c r="AV992" s="799"/>
      <c r="AW992" s="799"/>
      <c r="AX992" s="799"/>
      <c r="AY992" s="799"/>
      <c r="AZ992" s="799"/>
      <c r="BA992" s="799"/>
      <c r="BB992" s="799"/>
      <c r="BC992" s="799"/>
      <c r="BD992" s="799"/>
      <c r="BE992" s="799"/>
      <c r="BF992" s="799"/>
      <c r="BG992" s="799"/>
    </row>
    <row r="993">
      <c r="H993" s="799"/>
      <c r="I993" s="799"/>
      <c r="J993" s="799"/>
      <c r="K993" s="799"/>
      <c r="L993" s="799"/>
    </row>
    <row r="994">
      <c r="H994" s="799"/>
      <c r="I994" s="799"/>
      <c r="J994" s="799"/>
      <c r="K994" s="799"/>
      <c r="L994" s="799"/>
    </row>
    <row r="995">
      <c r="H995" s="799"/>
      <c r="I995" s="799"/>
      <c r="J995" s="799"/>
      <c r="K995" s="799"/>
      <c r="L995" s="799"/>
    </row>
    <row r="996">
      <c r="H996" s="799"/>
      <c r="I996" s="799"/>
      <c r="J996" s="799"/>
      <c r="K996" s="799"/>
      <c r="L996" s="799"/>
    </row>
    <row r="997">
      <c r="H997" s="799"/>
      <c r="I997" s="799"/>
      <c r="J997" s="799"/>
      <c r="K997" s="799"/>
      <c r="L997" s="799"/>
    </row>
    <row r="998">
      <c r="H998" s="799"/>
      <c r="I998" s="799"/>
      <c r="J998" s="799"/>
      <c r="K998" s="799"/>
      <c r="L998" s="799"/>
    </row>
    <row r="999">
      <c r="H999" s="799"/>
      <c r="I999" s="799"/>
      <c r="J999" s="799"/>
      <c r="K999" s="799"/>
      <c r="L999" s="799"/>
    </row>
    <row r="1000">
      <c r="H1000" s="799"/>
      <c r="I1000" s="799"/>
      <c r="J1000" s="799"/>
      <c r="K1000" s="799"/>
      <c r="L1000" s="799"/>
    </row>
  </sheetData>
  <mergeCells count="124">
    <mergeCell ref="Z11:Z12"/>
    <mergeCell ref="Z13:Z14"/>
    <mergeCell ref="Z8:Z9"/>
    <mergeCell ref="Z16:Z17"/>
    <mergeCell ref="Z1:Z2"/>
    <mergeCell ref="AB1:AC1"/>
    <mergeCell ref="Z3:Z4"/>
    <mergeCell ref="V6:V9"/>
    <mergeCell ref="Z6:Z7"/>
    <mergeCell ref="V11:V14"/>
    <mergeCell ref="V16:V19"/>
    <mergeCell ref="Z18:Z19"/>
    <mergeCell ref="K12:K13"/>
    <mergeCell ref="K14:K17"/>
    <mergeCell ref="L14:L17"/>
    <mergeCell ref="H10:H11"/>
    <mergeCell ref="I10:I11"/>
    <mergeCell ref="K10:K11"/>
    <mergeCell ref="L10:L11"/>
    <mergeCell ref="L12:L13"/>
    <mergeCell ref="H13:H14"/>
    <mergeCell ref="I13:I14"/>
    <mergeCell ref="C17:D18"/>
    <mergeCell ref="E17:F18"/>
    <mergeCell ref="A13:B15"/>
    <mergeCell ref="C13:D15"/>
    <mergeCell ref="E13:F15"/>
    <mergeCell ref="A16:B16"/>
    <mergeCell ref="C16:D16"/>
    <mergeCell ref="E16:F16"/>
    <mergeCell ref="A17:B18"/>
    <mergeCell ref="C25:D26"/>
    <mergeCell ref="E25:F26"/>
    <mergeCell ref="A21:B21"/>
    <mergeCell ref="C21:D21"/>
    <mergeCell ref="E21:F21"/>
    <mergeCell ref="A22:B23"/>
    <mergeCell ref="C22:D23"/>
    <mergeCell ref="E22:F23"/>
    <mergeCell ref="A25:B26"/>
    <mergeCell ref="A39:D39"/>
    <mergeCell ref="A40:D40"/>
    <mergeCell ref="E40:F40"/>
    <mergeCell ref="A41:D41"/>
    <mergeCell ref="E41:F41"/>
    <mergeCell ref="A42:D42"/>
    <mergeCell ref="E42:F42"/>
    <mergeCell ref="A46:G46"/>
    <mergeCell ref="A27:F34"/>
    <mergeCell ref="A35:F36"/>
    <mergeCell ref="A37:D37"/>
    <mergeCell ref="E37:F37"/>
    <mergeCell ref="A38:D38"/>
    <mergeCell ref="E38:F38"/>
    <mergeCell ref="E39:F39"/>
    <mergeCell ref="H23:M24"/>
    <mergeCell ref="A24:B24"/>
    <mergeCell ref="C24:D24"/>
    <mergeCell ref="E24:F24"/>
    <mergeCell ref="A19:F20"/>
    <mergeCell ref="H19:H20"/>
    <mergeCell ref="I19:I20"/>
    <mergeCell ref="P21:T21"/>
    <mergeCell ref="P22:S22"/>
    <mergeCell ref="P23:S23"/>
    <mergeCell ref="P24:S24"/>
    <mergeCell ref="N23:N25"/>
    <mergeCell ref="J25:K25"/>
    <mergeCell ref="P25:S25"/>
    <mergeCell ref="J26:K26"/>
    <mergeCell ref="N26:N27"/>
    <mergeCell ref="P26:S26"/>
    <mergeCell ref="P27:S27"/>
    <mergeCell ref="P30:R31"/>
    <mergeCell ref="S30:T31"/>
    <mergeCell ref="H33:I33"/>
    <mergeCell ref="H34:I34"/>
    <mergeCell ref="H35:I35"/>
    <mergeCell ref="J27:K27"/>
    <mergeCell ref="J28:K28"/>
    <mergeCell ref="N28:N29"/>
    <mergeCell ref="J29:K29"/>
    <mergeCell ref="L30:L31"/>
    <mergeCell ref="M30:M31"/>
    <mergeCell ref="N30:N31"/>
    <mergeCell ref="A1:B1"/>
    <mergeCell ref="C1:D1"/>
    <mergeCell ref="E1:F1"/>
    <mergeCell ref="N1:P1"/>
    <mergeCell ref="R1:T1"/>
    <mergeCell ref="V1:V4"/>
    <mergeCell ref="E2:F3"/>
    <mergeCell ref="A4:F4"/>
    <mergeCell ref="H7:H8"/>
    <mergeCell ref="I7:I8"/>
    <mergeCell ref="K7:K8"/>
    <mergeCell ref="L7:L8"/>
    <mergeCell ref="H1:L1"/>
    <mergeCell ref="H2:I2"/>
    <mergeCell ref="K2:L2"/>
    <mergeCell ref="H4:H5"/>
    <mergeCell ref="I4:I5"/>
    <mergeCell ref="K4:K5"/>
    <mergeCell ref="L4:L5"/>
    <mergeCell ref="A2:B3"/>
    <mergeCell ref="C2:D3"/>
    <mergeCell ref="A5:B6"/>
    <mergeCell ref="C5:D6"/>
    <mergeCell ref="E5:F6"/>
    <mergeCell ref="C7:D7"/>
    <mergeCell ref="E7:F7"/>
    <mergeCell ref="A7:B7"/>
    <mergeCell ref="A8:B9"/>
    <mergeCell ref="C8:D9"/>
    <mergeCell ref="E8:F9"/>
    <mergeCell ref="A10:B12"/>
    <mergeCell ref="C10:D12"/>
    <mergeCell ref="E10:F12"/>
    <mergeCell ref="H16:H17"/>
    <mergeCell ref="I16:I17"/>
    <mergeCell ref="N16:N17"/>
    <mergeCell ref="P28:S28"/>
    <mergeCell ref="P29:R29"/>
    <mergeCell ref="S29:T29"/>
  </mergeCells>
  <conditionalFormatting sqref="X19">
    <cfRule type="expression" dxfId="26" priority="1">
      <formula>X20&lt;&gt;1</formula>
    </cfRule>
  </conditionalFormatting>
  <conditionalFormatting sqref="X9">
    <cfRule type="expression" dxfId="26" priority="2">
      <formula>X20&lt;&gt;1</formula>
    </cfRule>
  </conditionalFormatting>
  <conditionalFormatting sqref="X14">
    <cfRule type="expression" dxfId="26" priority="3">
      <formula>X20&lt;&gt;1</formula>
    </cfRule>
  </conditionalFormatting>
  <conditionalFormatting sqref="Z3 Z8 Z13 Z18">
    <cfRule type="cellIs" dxfId="27" priority="4" operator="greaterThan">
      <formula>0</formula>
    </cfRule>
  </conditionalFormatting>
  <conditionalFormatting sqref="Z3 Z8 Z13 Z18">
    <cfRule type="cellIs" dxfId="28" priority="5" operator="lessThan">
      <formula>0</formula>
    </cfRule>
  </conditionalFormatting>
  <conditionalFormatting sqref="E13 L14 N30 S30">
    <cfRule type="cellIs" dxfId="12" priority="6" operator="lessThan">
      <formula>0</formula>
    </cfRule>
  </conditionalFormatting>
  <conditionalFormatting sqref="E13 L14 N30 S30">
    <cfRule type="cellIs" dxfId="21" priority="7" operator="greaterThan">
      <formula>0</formula>
    </cfRule>
  </conditionalFormatting>
  <conditionalFormatting sqref="E13 L14 N30 S30">
    <cfRule type="cellIs" dxfId="29" priority="8" operator="lessThan">
      <formula>0</formula>
    </cfRule>
  </conditionalFormatting>
  <conditionalFormatting sqref="E13 L14 N30 S30">
    <cfRule type="cellIs" dxfId="30" priority="9" operator="greaterThan">
      <formula>0</formula>
    </cfRule>
  </conditionalFormatting>
  <conditionalFormatting sqref="A22 C22:D23 E22 A25 E25">
    <cfRule type="cellIs" dxfId="30" priority="10" operator="lessThan">
      <formula>0</formula>
    </cfRule>
  </conditionalFormatting>
  <dataValidations>
    <dataValidation type="list" allowBlank="1" sqref="A17">
      <formula1>"Simple Avg.,Value Stocks,Growth"</formula1>
    </dataValidation>
  </dataValidations>
  <hyperlinks>
    <hyperlink r:id="rId1" ref="V25"/>
    <hyperlink r:id="rId2" ref="V28"/>
    <hyperlink r:id="rId3" ref="H34"/>
    <hyperlink r:id="rId4" ref="H35"/>
    <hyperlink r:id="rId5" ref="I46"/>
    <hyperlink r:id="rId6" ref="Q49"/>
    <hyperlink r:id="rId7" ref="AD49"/>
    <hyperlink r:id="rId8" ref="AK53"/>
    <hyperlink r:id="rId9" ref="AL53"/>
    <hyperlink r:id="rId10" ref="AK54"/>
    <hyperlink r:id="rId11" ref="AL54"/>
    <hyperlink r:id="rId12" ref="AK55"/>
    <hyperlink r:id="rId13" ref="AL55"/>
    <hyperlink r:id="rId14" ref="AK56"/>
    <hyperlink r:id="rId15" ref="AL56"/>
    <hyperlink r:id="rId16" ref="AK57"/>
    <hyperlink r:id="rId17" ref="AL57"/>
    <hyperlink r:id="rId18" ref="BA61"/>
    <hyperlink r:id="rId19" ref="BB61"/>
    <hyperlink r:id="rId20" ref="BA62"/>
    <hyperlink r:id="rId21" ref="BB62"/>
    <hyperlink r:id="rId22" ref="BA63"/>
    <hyperlink r:id="rId23" ref="BB63"/>
    <hyperlink r:id="rId24" ref="BA64"/>
    <hyperlink r:id="rId25" ref="BB64"/>
    <hyperlink r:id="rId26" ref="BA65"/>
    <hyperlink r:id="rId27" ref="BB65"/>
    <hyperlink r:id="rId28" ref="AM69"/>
    <hyperlink r:id="rId29" ref="AN69"/>
    <hyperlink r:id="rId30" ref="AM70"/>
    <hyperlink r:id="rId31" ref="AN70"/>
    <hyperlink r:id="rId32" ref="AM71"/>
    <hyperlink r:id="rId33" ref="AN71"/>
    <hyperlink r:id="rId34" ref="AM72"/>
    <hyperlink r:id="rId35" ref="AN72"/>
    <hyperlink r:id="rId36" ref="AM73"/>
    <hyperlink r:id="rId37" ref="AN73"/>
  </hyperlinks>
  <drawing r:id="rId3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BC9D"/>
    <outlinePr summaryBelow="0" summaryRight="0"/>
  </sheetPr>
  <sheetViews>
    <sheetView workbookViewId="0"/>
  </sheetViews>
  <sheetFormatPr customHeight="1" defaultColWidth="12.63" defaultRowHeight="15.75"/>
  <cols>
    <col customWidth="1" min="4" max="4" width="14.13"/>
    <col customWidth="1" min="6" max="6" width="11.63"/>
    <col customWidth="1" min="7" max="7" width="6.13"/>
    <col customWidth="1" min="8" max="8" width="32.38"/>
    <col customWidth="1" min="9" max="9" width="29.13"/>
    <col customWidth="1" min="10" max="10" width="5.13"/>
    <col customWidth="1" min="11" max="11" width="26.25"/>
    <col customWidth="1" min="12" max="12" width="21.75"/>
    <col customWidth="1" min="13" max="13" width="13.38"/>
    <col customWidth="1" min="14" max="14" width="23.25"/>
    <col customWidth="1" min="15" max="15" width="17.13"/>
    <col customWidth="1" min="16" max="16" width="13.13"/>
    <col customWidth="1" min="17" max="17" width="10.0"/>
    <col customWidth="1" min="19" max="19" width="18.88"/>
    <col customWidth="1" min="20" max="20" width="32.25"/>
    <col customWidth="1" min="21" max="22" width="14.0"/>
    <col customWidth="1" min="23" max="23" width="22.88"/>
    <col customWidth="1" min="24" max="24" width="12.0"/>
    <col customWidth="1" min="25" max="25" width="6.38"/>
    <col customWidth="1" min="26" max="26" width="14.0"/>
    <col customWidth="1" min="27" max="27" width="7.88"/>
    <col customWidth="1" min="28" max="28" width="14.0"/>
    <col customWidth="1" min="29" max="29" width="12.38"/>
    <col customWidth="1" min="30" max="59" width="14.0"/>
  </cols>
  <sheetData>
    <row r="1">
      <c r="A1" s="553" t="s">
        <v>71</v>
      </c>
      <c r="B1" s="13"/>
      <c r="C1" s="554" t="s">
        <v>72</v>
      </c>
      <c r="D1" s="13"/>
      <c r="E1" s="554" t="s">
        <v>86</v>
      </c>
      <c r="F1" s="14"/>
      <c r="H1" s="555" t="s">
        <v>652</v>
      </c>
      <c r="I1" s="5"/>
      <c r="J1" s="5"/>
      <c r="K1" s="5"/>
      <c r="L1" s="6"/>
      <c r="N1" s="556" t="s">
        <v>653</v>
      </c>
      <c r="Q1" s="557"/>
      <c r="R1" s="558" t="s">
        <v>654</v>
      </c>
      <c r="V1" s="559" t="s">
        <v>77</v>
      </c>
      <c r="W1" s="1149" t="s">
        <v>71</v>
      </c>
      <c r="X1" s="1150" t="s">
        <v>111</v>
      </c>
      <c r="Y1" s="562"/>
      <c r="Z1" s="1151">
        <v>210.54725084779756</v>
      </c>
      <c r="AA1" s="564"/>
      <c r="AB1" s="556" t="s">
        <v>655</v>
      </c>
      <c r="AD1" s="565"/>
      <c r="AE1" s="565"/>
      <c r="AF1" s="565"/>
      <c r="AG1" s="565"/>
      <c r="AH1" s="565"/>
      <c r="AI1" s="565"/>
      <c r="AJ1" s="565"/>
      <c r="AK1" s="565"/>
      <c r="AL1" s="565"/>
      <c r="AM1" s="565"/>
      <c r="AP1" s="566"/>
      <c r="AQ1" s="566"/>
      <c r="AR1" s="566"/>
      <c r="AS1" s="566"/>
      <c r="AT1" s="566"/>
      <c r="AU1" s="566"/>
      <c r="AV1" s="566"/>
      <c r="AW1" s="566"/>
      <c r="AX1" s="566"/>
      <c r="AY1" s="566"/>
      <c r="AZ1" s="566"/>
      <c r="BA1" s="566"/>
      <c r="BB1" s="566"/>
      <c r="BC1" s="566"/>
      <c r="BD1" s="566"/>
      <c r="BE1" s="566"/>
      <c r="BF1" s="566"/>
      <c r="BG1" s="566"/>
    </row>
    <row r="2">
      <c r="A2" s="567" t="s">
        <v>111</v>
      </c>
      <c r="C2" s="568" t="s">
        <v>1271</v>
      </c>
      <c r="E2" s="568" t="s">
        <v>527</v>
      </c>
      <c r="F2" s="17"/>
      <c r="H2" s="1152" t="s">
        <v>656</v>
      </c>
      <c r="I2" s="14"/>
      <c r="J2" s="570"/>
      <c r="K2" s="1153" t="s">
        <v>77</v>
      </c>
      <c r="L2" s="6"/>
      <c r="N2" s="572" t="s">
        <v>625</v>
      </c>
      <c r="O2" s="572" t="s">
        <v>657</v>
      </c>
      <c r="P2" s="573" t="s">
        <v>658</v>
      </c>
      <c r="Q2" s="557"/>
      <c r="R2" s="572" t="s">
        <v>625</v>
      </c>
      <c r="S2" s="572" t="s">
        <v>659</v>
      </c>
      <c r="T2" s="574" t="s">
        <v>660</v>
      </c>
      <c r="V2" s="34"/>
      <c r="W2" s="575" t="s">
        <v>661</v>
      </c>
      <c r="X2" s="1154">
        <v>248.55</v>
      </c>
      <c r="Y2" s="577"/>
      <c r="Z2" s="17"/>
      <c r="AA2" s="564"/>
      <c r="AB2" s="565"/>
      <c r="AC2" s="565"/>
      <c r="AD2" s="565"/>
      <c r="AE2" s="565"/>
      <c r="AF2" s="565"/>
      <c r="AG2" s="565"/>
      <c r="AH2" s="565"/>
      <c r="AI2" s="565"/>
      <c r="AJ2" s="565"/>
      <c r="AK2" s="565"/>
      <c r="AL2" s="565"/>
      <c r="AM2" s="565"/>
      <c r="AP2" s="574"/>
      <c r="AQ2" s="574"/>
      <c r="AR2" s="574"/>
      <c r="AS2" s="574"/>
      <c r="AT2" s="574"/>
      <c r="AU2" s="574"/>
      <c r="AV2" s="574"/>
      <c r="AW2" s="574"/>
      <c r="AX2" s="574"/>
      <c r="AY2" s="574"/>
      <c r="AZ2" s="574"/>
      <c r="BA2" s="574"/>
      <c r="BB2" s="574"/>
      <c r="BC2" s="574"/>
      <c r="BD2" s="574"/>
      <c r="BE2" s="574"/>
      <c r="BF2" s="574"/>
      <c r="BG2" s="574"/>
    </row>
    <row r="3" ht="20.25" customHeight="1">
      <c r="A3" s="29"/>
      <c r="B3" s="30"/>
      <c r="C3" s="30"/>
      <c r="D3" s="30"/>
      <c r="E3" s="30"/>
      <c r="F3" s="31"/>
      <c r="H3" s="1155" t="s">
        <v>629</v>
      </c>
      <c r="I3" s="1156" t="s">
        <v>662</v>
      </c>
      <c r="J3" s="570"/>
      <c r="K3" s="1157" t="s">
        <v>663</v>
      </c>
      <c r="L3" s="712" t="s">
        <v>664</v>
      </c>
      <c r="N3" s="572">
        <v>2024.0</v>
      </c>
      <c r="O3" s="582">
        <v>1.2974E10</v>
      </c>
      <c r="P3" s="1158">
        <v>-0.878882364473156</v>
      </c>
      <c r="Q3" s="570"/>
      <c r="R3" s="584">
        <v>1.0</v>
      </c>
      <c r="S3" s="1159">
        <v>1.375413180874779E10</v>
      </c>
      <c r="T3" s="1159">
        <v>1.293313276652269E10</v>
      </c>
      <c r="V3" s="34"/>
      <c r="W3" s="586" t="s">
        <v>665</v>
      </c>
      <c r="X3" s="1160">
        <v>4.249435340652244</v>
      </c>
      <c r="Y3" s="588"/>
      <c r="Z3" s="1161">
        <v>-0.15289780387126314</v>
      </c>
      <c r="AA3" s="590"/>
      <c r="AB3" s="590"/>
      <c r="AC3" s="590"/>
      <c r="AD3" s="590"/>
      <c r="AE3" s="590"/>
      <c r="AF3" s="590"/>
      <c r="AG3" s="590"/>
      <c r="AH3" s="590"/>
      <c r="AI3" s="590"/>
      <c r="AJ3" s="590"/>
      <c r="AK3" s="590"/>
      <c r="AL3" s="590"/>
      <c r="AM3" s="590"/>
      <c r="AP3" s="585"/>
      <c r="AQ3" s="585"/>
      <c r="AR3" s="585"/>
      <c r="AS3" s="585"/>
      <c r="AT3" s="585"/>
      <c r="AU3" s="585"/>
      <c r="AV3" s="585"/>
      <c r="AW3" s="585"/>
      <c r="AX3" s="585"/>
      <c r="AY3" s="585"/>
      <c r="AZ3" s="585"/>
      <c r="BA3" s="585"/>
      <c r="BB3" s="585"/>
      <c r="BC3" s="585"/>
      <c r="BD3" s="585"/>
      <c r="BE3" s="585"/>
      <c r="BF3" s="585"/>
      <c r="BG3" s="585"/>
    </row>
    <row r="4">
      <c r="A4" s="591" t="s">
        <v>77</v>
      </c>
      <c r="B4" s="30"/>
      <c r="C4" s="30"/>
      <c r="D4" s="30"/>
      <c r="E4" s="30"/>
      <c r="F4" s="31"/>
      <c r="H4" s="592">
        <v>1.1</v>
      </c>
      <c r="I4" s="593">
        <v>7.0543E10</v>
      </c>
      <c r="J4" s="570"/>
      <c r="K4" s="594">
        <v>6.24151E11</v>
      </c>
      <c r="L4" s="593">
        <v>4.36537E11</v>
      </c>
      <c r="N4" s="572">
        <v>2023.0</v>
      </c>
      <c r="O4" s="582">
        <v>1.07119E11</v>
      </c>
      <c r="P4" s="1158">
        <v>0.3718431432815942</v>
      </c>
      <c r="Q4" s="570"/>
      <c r="R4" s="584">
        <v>2.0</v>
      </c>
      <c r="S4" s="1159">
        <v>1.4581173255157063E10</v>
      </c>
      <c r="T4" s="1159">
        <v>1.2892394262101343E10</v>
      </c>
      <c r="V4" s="29"/>
      <c r="W4" s="595" t="s">
        <v>666</v>
      </c>
      <c r="X4" s="596">
        <v>0.09068613117799357</v>
      </c>
      <c r="Y4" s="597"/>
      <c r="Z4" s="31"/>
      <c r="AA4" s="590"/>
      <c r="AB4" s="590"/>
      <c r="AC4" s="590"/>
      <c r="AD4" s="590"/>
      <c r="AE4" s="590"/>
      <c r="AF4" s="590"/>
      <c r="AG4" s="590"/>
      <c r="AH4" s="590"/>
      <c r="AI4" s="590"/>
      <c r="AJ4" s="590"/>
      <c r="AK4" s="590"/>
      <c r="AL4" s="590"/>
      <c r="AM4" s="590"/>
      <c r="AP4" s="585"/>
      <c r="AQ4" s="585"/>
      <c r="AR4" s="585"/>
      <c r="AS4" s="585"/>
      <c r="AT4" s="585"/>
      <c r="AU4" s="585"/>
      <c r="AV4" s="585"/>
      <c r="AW4" s="585"/>
      <c r="AX4" s="585"/>
      <c r="AY4" s="585"/>
      <c r="AZ4" s="585"/>
      <c r="BA4" s="585"/>
      <c r="BB4" s="585"/>
      <c r="BC4" s="585"/>
      <c r="BD4" s="585"/>
      <c r="BE4" s="585"/>
      <c r="BF4" s="585"/>
      <c r="BG4" s="585"/>
    </row>
    <row r="5">
      <c r="A5" s="598" t="s">
        <v>667</v>
      </c>
      <c r="B5" s="13"/>
      <c r="C5" s="599" t="s">
        <v>668</v>
      </c>
      <c r="D5" s="13"/>
      <c r="E5" s="599" t="s">
        <v>669</v>
      </c>
      <c r="F5" s="14"/>
      <c r="H5" s="34"/>
      <c r="I5" s="17"/>
      <c r="J5" s="570"/>
      <c r="K5" s="29"/>
      <c r="L5" s="31"/>
      <c r="N5" s="572">
        <v>2022.0</v>
      </c>
      <c r="O5" s="582">
        <v>7.8084E10</v>
      </c>
      <c r="P5" s="1158">
        <v>1.977149292954574</v>
      </c>
      <c r="Q5" s="570"/>
      <c r="R5" s="584">
        <v>3.0</v>
      </c>
      <c r="S5" s="1159">
        <v>1.5457945034501179E10</v>
      </c>
      <c r="T5" s="1159">
        <v>1.2851784081248035E10</v>
      </c>
      <c r="V5" s="600"/>
      <c r="W5" s="600"/>
      <c r="X5" s="601"/>
      <c r="Y5" s="590"/>
      <c r="Z5" s="1162">
        <v>103.6630376195064</v>
      </c>
      <c r="AA5" s="590"/>
      <c r="AB5" s="590"/>
      <c r="AC5" s="590"/>
      <c r="AD5" s="590"/>
      <c r="AE5" s="590"/>
      <c r="AF5" s="590"/>
      <c r="AG5" s="590"/>
      <c r="AH5" s="590"/>
      <c r="AI5" s="590"/>
      <c r="AJ5" s="590"/>
      <c r="AK5" s="590"/>
      <c r="AL5" s="590"/>
      <c r="AM5" s="1163" t="s">
        <v>670</v>
      </c>
      <c r="AP5" s="585"/>
      <c r="AQ5" s="585"/>
      <c r="AR5" s="585"/>
      <c r="AS5" s="585"/>
      <c r="AT5" s="585"/>
      <c r="AU5" s="585"/>
      <c r="AV5" s="585"/>
      <c r="AW5" s="585"/>
      <c r="AX5" s="585"/>
      <c r="AY5" s="585"/>
      <c r="AZ5" s="585"/>
      <c r="BA5" s="585"/>
      <c r="BB5" s="585"/>
      <c r="BC5" s="585"/>
      <c r="BD5" s="585"/>
      <c r="BE5" s="585"/>
      <c r="BF5" s="585"/>
      <c r="BG5" s="585"/>
    </row>
    <row r="6">
      <c r="A6" s="34"/>
      <c r="F6" s="17"/>
      <c r="H6" s="1157" t="s">
        <v>671</v>
      </c>
      <c r="I6" s="712" t="s">
        <v>672</v>
      </c>
      <c r="J6" s="570"/>
      <c r="K6" s="1157" t="s">
        <v>673</v>
      </c>
      <c r="L6" s="712" t="s">
        <v>674</v>
      </c>
      <c r="N6" s="572">
        <v>2021.0</v>
      </c>
      <c r="O6" s="582">
        <v>-7.991E10</v>
      </c>
      <c r="P6" s="1158">
        <v>-14.217002977174992</v>
      </c>
      <c r="Q6" s="570"/>
      <c r="R6" s="584">
        <v>4.0</v>
      </c>
      <c r="S6" s="1159">
        <v>1.6387437451588377E10</v>
      </c>
      <c r="T6" s="1159">
        <v>1.2811301819752094E10</v>
      </c>
      <c r="V6" s="604" t="s">
        <v>675</v>
      </c>
      <c r="W6" s="605" t="s">
        <v>676</v>
      </c>
      <c r="X6" s="606">
        <v>0.060130399934313836</v>
      </c>
      <c r="Y6" s="607"/>
      <c r="Z6" s="1164">
        <v>207.3260752390128</v>
      </c>
      <c r="AA6" s="607"/>
      <c r="AB6" s="605" t="s">
        <v>625</v>
      </c>
      <c r="AC6" s="1165">
        <v>1.0</v>
      </c>
      <c r="AD6" s="1165">
        <v>2.0</v>
      </c>
      <c r="AE6" s="1165">
        <v>3.0</v>
      </c>
      <c r="AF6" s="1165">
        <v>4.0</v>
      </c>
      <c r="AG6" s="1165">
        <v>5.0</v>
      </c>
      <c r="AH6" s="1165">
        <v>6.0</v>
      </c>
      <c r="AI6" s="1165">
        <v>7.0</v>
      </c>
      <c r="AJ6" s="1165">
        <v>8.0</v>
      </c>
      <c r="AK6" s="1165">
        <v>9.0</v>
      </c>
      <c r="AL6" s="1165">
        <v>10.0</v>
      </c>
      <c r="AM6" s="1166">
        <v>10.0</v>
      </c>
      <c r="AP6" s="585"/>
      <c r="AQ6" s="585"/>
      <c r="AR6" s="585"/>
      <c r="AS6" s="585"/>
      <c r="AT6" s="585"/>
      <c r="AU6" s="585"/>
      <c r="AV6" s="585"/>
      <c r="AW6" s="585"/>
      <c r="AX6" s="585"/>
      <c r="AY6" s="585"/>
      <c r="AZ6" s="585"/>
      <c r="BA6" s="585"/>
      <c r="BB6" s="585"/>
      <c r="BC6" s="585"/>
      <c r="BD6" s="585"/>
      <c r="BE6" s="585"/>
      <c r="BF6" s="585"/>
      <c r="BG6" s="585"/>
    </row>
    <row r="7">
      <c r="A7" s="611" t="s">
        <v>677</v>
      </c>
      <c r="B7" s="30"/>
      <c r="C7" s="611" t="s">
        <v>678</v>
      </c>
      <c r="D7" s="30"/>
      <c r="E7" s="611" t="s">
        <v>679</v>
      </c>
      <c r="F7" s="31"/>
      <c r="H7" s="612">
        <v>0.8674635088107623</v>
      </c>
      <c r="I7" s="1167">
        <v>0.18628661488029652</v>
      </c>
      <c r="J7" s="570"/>
      <c r="K7" s="614">
        <v>3.0531115218730745E9</v>
      </c>
      <c r="L7" s="1168">
        <v>6.705016252592314E11</v>
      </c>
      <c r="N7" s="572">
        <v>2020.0</v>
      </c>
      <c r="O7" s="582">
        <v>6.046E9</v>
      </c>
      <c r="P7" s="1158">
        <v>-0.5738352012405723</v>
      </c>
      <c r="Q7" s="570"/>
      <c r="R7" s="584">
        <v>5.0</v>
      </c>
      <c r="S7" s="1159">
        <v>1.737282061945094E10</v>
      </c>
      <c r="T7" s="1159">
        <v>1.2770947074676085E10</v>
      </c>
      <c r="V7" s="616"/>
      <c r="W7" s="617" t="s">
        <v>680</v>
      </c>
      <c r="X7" s="618">
        <v>0.042091279954019685</v>
      </c>
      <c r="Y7" s="619"/>
      <c r="AA7" s="619"/>
      <c r="AB7" s="620"/>
      <c r="AC7" s="620"/>
      <c r="AD7" s="620"/>
      <c r="AE7" s="620"/>
      <c r="AF7" s="620"/>
      <c r="AG7" s="620"/>
      <c r="AH7" s="620"/>
      <c r="AI7" s="620"/>
      <c r="AJ7" s="620"/>
      <c r="AK7" s="620"/>
      <c r="AL7" s="620"/>
      <c r="AM7" s="621"/>
      <c r="AP7" s="585"/>
      <c r="AQ7" s="585"/>
      <c r="AR7" s="585"/>
      <c r="AS7" s="585"/>
      <c r="AT7" s="585"/>
      <c r="AU7" s="585"/>
      <c r="AV7" s="585"/>
      <c r="AW7" s="585"/>
      <c r="AX7" s="585"/>
      <c r="AY7" s="585"/>
      <c r="AZ7" s="585"/>
      <c r="BA7" s="585"/>
      <c r="BB7" s="585"/>
      <c r="BC7" s="585"/>
      <c r="BD7" s="585"/>
      <c r="BE7" s="585"/>
      <c r="BF7" s="585"/>
      <c r="BG7" s="585"/>
    </row>
    <row r="8">
      <c r="A8" s="622">
        <v>210.54725084779756</v>
      </c>
      <c r="C8" s="623">
        <v>312.67220000000003</v>
      </c>
      <c r="E8" s="623">
        <v>303.6622222222222</v>
      </c>
      <c r="F8" s="17"/>
      <c r="H8" s="34"/>
      <c r="I8" s="17"/>
      <c r="J8" s="570"/>
      <c r="K8" s="29"/>
      <c r="L8" s="31"/>
      <c r="N8" s="572">
        <v>2019.0</v>
      </c>
      <c r="O8" s="624">
        <v>1.4187E10</v>
      </c>
      <c r="P8" s="1158">
        <v>6.672530987604958</v>
      </c>
      <c r="Q8" s="625">
        <v>14187.0</v>
      </c>
      <c r="R8" s="584">
        <v>6.0</v>
      </c>
      <c r="S8" s="1159">
        <v>1.8417455271285618E10</v>
      </c>
      <c r="T8" s="1159">
        <v>1.2730719444351809E10</v>
      </c>
      <c r="V8" s="616"/>
      <c r="W8" s="617" t="s">
        <v>681</v>
      </c>
      <c r="X8" s="1170">
        <v>58.49012399888644</v>
      </c>
      <c r="Y8" s="619"/>
      <c r="Z8" s="1171">
        <v>-0.165857673550542</v>
      </c>
      <c r="AA8" s="619"/>
      <c r="AB8" s="617" t="s">
        <v>665</v>
      </c>
      <c r="AC8" s="1172">
        <v>4.504955587180671</v>
      </c>
      <c r="AD8" s="1172">
        <v>4.775840368324166</v>
      </c>
      <c r="AE8" s="1172">
        <v>5.06301355969394</v>
      </c>
      <c r="AF8" s="1172">
        <v>5.3674545899111905</v>
      </c>
      <c r="AG8" s="1172">
        <v>5.690201781031819</v>
      </c>
      <c r="AH8" s="1172">
        <v>5.92970965719209</v>
      </c>
      <c r="AI8" s="1172">
        <v>6.179298726419016</v>
      </c>
      <c r="AJ8" s="1172">
        <v>6.439393319032235</v>
      </c>
      <c r="AK8" s="1172">
        <v>6.710435625957665</v>
      </c>
      <c r="AL8" s="1172">
        <v>6.992886450503276</v>
      </c>
      <c r="AM8" s="1173">
        <v>409.0147956000695</v>
      </c>
      <c r="AP8" s="585"/>
      <c r="AQ8" s="585"/>
      <c r="AR8" s="585"/>
      <c r="AS8" s="585"/>
      <c r="AT8" s="585"/>
      <c r="AU8" s="585"/>
      <c r="AV8" s="585"/>
      <c r="AW8" s="585"/>
      <c r="AX8" s="585"/>
      <c r="AY8" s="585"/>
      <c r="AZ8" s="585"/>
      <c r="BA8" s="585"/>
      <c r="BB8" s="585"/>
      <c r="BC8" s="585"/>
      <c r="BD8" s="585"/>
      <c r="BE8" s="585"/>
      <c r="BF8" s="585"/>
      <c r="BG8" s="585"/>
    </row>
    <row r="9">
      <c r="F9" s="17"/>
      <c r="H9" s="1157" t="s">
        <v>682</v>
      </c>
      <c r="I9" s="712" t="s">
        <v>683</v>
      </c>
      <c r="J9" s="570"/>
      <c r="K9" s="631" t="s">
        <v>684</v>
      </c>
      <c r="L9" s="632" t="s">
        <v>685</v>
      </c>
      <c r="N9" s="572">
        <v>2018.0</v>
      </c>
      <c r="O9" s="624">
        <v>-2.501E9</v>
      </c>
      <c r="P9" s="1158">
        <v>-1.123836403248168</v>
      </c>
      <c r="Q9" s="625">
        <v>-2501.0</v>
      </c>
      <c r="R9" s="584">
        <v>7.0</v>
      </c>
      <c r="S9" s="1159">
        <v>1.952490422252036E10</v>
      </c>
      <c r="T9" s="1159">
        <v>1.2690618528376282E10</v>
      </c>
      <c r="V9" s="633"/>
      <c r="W9" s="634" t="s">
        <v>686</v>
      </c>
      <c r="X9" s="635">
        <v>0.5</v>
      </c>
      <c r="Y9" s="636"/>
      <c r="Z9" s="30"/>
      <c r="AA9" s="636"/>
      <c r="AB9" s="634" t="s">
        <v>687</v>
      </c>
      <c r="AC9" s="1174">
        <v>4.130386789016105</v>
      </c>
      <c r="AD9" s="1174">
        <v>4.0146733999393485</v>
      </c>
      <c r="AE9" s="1174">
        <v>3.902201738355822</v>
      </c>
      <c r="AF9" s="1174">
        <v>3.792880986796397</v>
      </c>
      <c r="AG9" s="1174">
        <v>3.686622872056602</v>
      </c>
      <c r="AH9" s="1174">
        <v>3.522367652461026</v>
      </c>
      <c r="AI9" s="1174">
        <v>3.365430723371618</v>
      </c>
      <c r="AJ9" s="1174">
        <v>3.2154860228460858</v>
      </c>
      <c r="AK9" s="1174">
        <v>3.0722220164318768</v>
      </c>
      <c r="AL9" s="1174">
        <v>2.9353410499027803</v>
      </c>
      <c r="AM9" s="1175">
        <v>171.68846198783513</v>
      </c>
      <c r="AP9" s="585"/>
      <c r="AQ9" s="585"/>
      <c r="AR9" s="585"/>
      <c r="AS9" s="585"/>
      <c r="AT9" s="585"/>
      <c r="AU9" s="585"/>
      <c r="AV9" s="585"/>
      <c r="AW9" s="585"/>
      <c r="AX9" s="585"/>
      <c r="AY9" s="585"/>
      <c r="AZ9" s="585"/>
      <c r="BA9" s="585"/>
      <c r="BB9" s="585"/>
      <c r="BC9" s="585"/>
      <c r="BD9" s="585"/>
      <c r="BE9" s="585"/>
      <c r="BF9" s="585"/>
      <c r="BG9" s="585"/>
    </row>
    <row r="10">
      <c r="A10" s="598" t="s">
        <v>688</v>
      </c>
      <c r="B10" s="13"/>
      <c r="C10" s="640" t="s">
        <v>77</v>
      </c>
      <c r="D10" s="13"/>
      <c r="E10" s="641" t="s">
        <v>689</v>
      </c>
      <c r="F10" s="14"/>
      <c r="H10" s="1176">
        <v>0.10465</v>
      </c>
      <c r="I10" s="1177">
        <v>0.14716642575543426</v>
      </c>
      <c r="J10" s="570"/>
      <c r="K10" s="644">
        <v>0.08590057133473405</v>
      </c>
      <c r="L10" s="1178">
        <v>0.060130399934313836</v>
      </c>
      <c r="N10" s="572">
        <v>2017.0</v>
      </c>
      <c r="O10" s="624">
        <v>2.0196E10</v>
      </c>
      <c r="P10" s="1158">
        <v>-0.7250973239321591</v>
      </c>
      <c r="Q10" s="625">
        <v>20196.0</v>
      </c>
      <c r="R10" s="584">
        <v>8.0</v>
      </c>
      <c r="S10" s="1159">
        <v>2.069894452209968E10</v>
      </c>
      <c r="T10" s="1159">
        <v>1.2650643927607773E10</v>
      </c>
      <c r="V10" s="646"/>
      <c r="W10" s="647"/>
      <c r="X10" s="648"/>
      <c r="Y10" s="648"/>
      <c r="Z10" s="1162">
        <v>70.07112305341182</v>
      </c>
      <c r="AA10" s="648"/>
      <c r="AB10" s="647"/>
      <c r="AC10" s="647"/>
      <c r="AD10" s="647"/>
      <c r="AE10" s="647"/>
      <c r="AF10" s="647"/>
      <c r="AG10" s="647"/>
      <c r="AH10" s="647"/>
      <c r="AI10" s="647"/>
      <c r="AJ10" s="647"/>
      <c r="AK10" s="647"/>
      <c r="AL10" s="647"/>
      <c r="AM10" s="649"/>
      <c r="AP10" s="585"/>
      <c r="AQ10" s="585"/>
      <c r="AR10" s="585"/>
      <c r="AS10" s="585"/>
      <c r="AT10" s="585"/>
      <c r="AU10" s="585"/>
      <c r="AV10" s="585"/>
      <c r="AW10" s="585"/>
      <c r="AX10" s="585"/>
      <c r="AY10" s="585"/>
      <c r="AZ10" s="585"/>
      <c r="BA10" s="585"/>
      <c r="BB10" s="585"/>
      <c r="BC10" s="585"/>
      <c r="BD10" s="585"/>
      <c r="BE10" s="585"/>
      <c r="BF10" s="585"/>
      <c r="BG10" s="585"/>
    </row>
    <row r="11">
      <c r="A11" s="34"/>
      <c r="F11" s="17"/>
      <c r="H11" s="29"/>
      <c r="I11" s="31"/>
      <c r="J11" s="570"/>
      <c r="K11" s="34"/>
      <c r="L11" s="17"/>
      <c r="N11" s="572">
        <v>2016.0</v>
      </c>
      <c r="O11" s="624">
        <v>7.3466E10</v>
      </c>
      <c r="P11" s="1158">
        <v>1.5539628560010255</v>
      </c>
      <c r="Q11" s="625">
        <v>73466.0</v>
      </c>
      <c r="R11" s="584">
        <v>9.0</v>
      </c>
      <c r="S11" s="1159">
        <v>2.1943580334431713E10</v>
      </c>
      <c r="T11" s="1159">
        <v>1.2610795244161816E10</v>
      </c>
      <c r="V11" s="650" t="s">
        <v>690</v>
      </c>
      <c r="W11" s="651" t="s">
        <v>676</v>
      </c>
      <c r="X11" s="652">
        <v>0.0751629999178923</v>
      </c>
      <c r="Y11" s="653"/>
      <c r="Z11" s="1179">
        <v>280.2844922136473</v>
      </c>
      <c r="AA11" s="653"/>
      <c r="AB11" s="655"/>
      <c r="AC11" s="655"/>
      <c r="AD11" s="655"/>
      <c r="AE11" s="655"/>
      <c r="AF11" s="655"/>
      <c r="AG11" s="655"/>
      <c r="AH11" s="655"/>
      <c r="AI11" s="655"/>
      <c r="AJ11" s="655"/>
      <c r="AK11" s="655"/>
      <c r="AL11" s="655"/>
      <c r="AM11" s="656"/>
      <c r="AP11" s="585"/>
      <c r="AQ11" s="585"/>
      <c r="AR11" s="585"/>
      <c r="AS11" s="585"/>
      <c r="AT11" s="585"/>
      <c r="AU11" s="585"/>
      <c r="AV11" s="585"/>
      <c r="AW11" s="585"/>
      <c r="AX11" s="585"/>
      <c r="AY11" s="585"/>
      <c r="AZ11" s="585"/>
      <c r="BA11" s="585"/>
      <c r="BB11" s="585"/>
      <c r="BC11" s="585"/>
      <c r="BD11" s="585"/>
      <c r="BE11" s="585"/>
      <c r="BF11" s="585"/>
      <c r="BG11" s="585"/>
    </row>
    <row r="12">
      <c r="A12" s="29"/>
      <c r="B12" s="30"/>
      <c r="C12" s="30"/>
      <c r="D12" s="30"/>
      <c r="E12" s="30"/>
      <c r="F12" s="31"/>
      <c r="H12" s="1157" t="s">
        <v>691</v>
      </c>
      <c r="I12" s="712" t="s">
        <v>692</v>
      </c>
      <c r="J12" s="570"/>
      <c r="K12" s="657" t="s">
        <v>77</v>
      </c>
      <c r="L12" s="658" t="s">
        <v>689</v>
      </c>
      <c r="N12" s="572">
        <v>2015.0</v>
      </c>
      <c r="O12" s="624">
        <v>-1.32619E11</v>
      </c>
      <c r="P12" s="583"/>
      <c r="Q12" s="625">
        <v>-132619.0</v>
      </c>
      <c r="R12" s="584" t="s">
        <v>693</v>
      </c>
      <c r="S12" s="1159">
        <v>6.402480439974479E11</v>
      </c>
      <c r="T12" s="1159">
        <v>3.6794528811043353E11</v>
      </c>
      <c r="V12" s="659"/>
      <c r="W12" s="660" t="s">
        <v>680</v>
      </c>
      <c r="X12" s="661">
        <v>0.052614099942524604</v>
      </c>
      <c r="Y12" s="662"/>
      <c r="AA12" s="662"/>
      <c r="AB12" s="663"/>
      <c r="AC12" s="663"/>
      <c r="AD12" s="663"/>
      <c r="AE12" s="663"/>
      <c r="AF12" s="663"/>
      <c r="AG12" s="663"/>
      <c r="AH12" s="663"/>
      <c r="AI12" s="663"/>
      <c r="AJ12" s="663"/>
      <c r="AK12" s="663"/>
      <c r="AL12" s="663"/>
      <c r="AM12" s="664"/>
      <c r="AP12" s="585"/>
      <c r="AQ12" s="585"/>
      <c r="AR12" s="585"/>
      <c r="AS12" s="585"/>
      <c r="AT12" s="585"/>
      <c r="AU12" s="585"/>
      <c r="AV12" s="585"/>
      <c r="AW12" s="585"/>
      <c r="AX12" s="585"/>
      <c r="AY12" s="585"/>
      <c r="AZ12" s="585"/>
      <c r="BA12" s="585"/>
      <c r="BB12" s="585"/>
      <c r="BC12" s="585"/>
      <c r="BD12" s="585"/>
      <c r="BE12" s="585"/>
      <c r="BF12" s="585"/>
      <c r="BG12" s="585"/>
    </row>
    <row r="13">
      <c r="A13" s="665">
        <v>0.7</v>
      </c>
      <c r="B13" s="13"/>
      <c r="C13" s="1180">
        <v>287.7422212806706</v>
      </c>
      <c r="D13" s="13"/>
      <c r="E13" s="1181">
        <v>-0.13620601490540926</v>
      </c>
      <c r="F13" s="14"/>
      <c r="H13" s="1182">
        <v>7.588508687615527E11</v>
      </c>
      <c r="I13" s="1168">
        <v>-1.87614E11</v>
      </c>
      <c r="K13" s="34"/>
      <c r="L13" s="17"/>
      <c r="N13" s="572"/>
      <c r="O13" s="669"/>
      <c r="P13" s="570"/>
      <c r="Q13" s="583"/>
      <c r="R13" s="670" t="s">
        <v>0</v>
      </c>
      <c r="S13" s="670"/>
      <c r="T13" s="786">
        <v>4.8288762525923145E11</v>
      </c>
      <c r="V13" s="659"/>
      <c r="W13" s="660" t="s">
        <v>681</v>
      </c>
      <c r="X13" s="672">
        <v>73.11265499860805</v>
      </c>
      <c r="Y13" s="662"/>
      <c r="Z13" s="1183">
        <v>0.12767850417882634</v>
      </c>
      <c r="AA13" s="662"/>
      <c r="AB13" s="660" t="s">
        <v>665</v>
      </c>
      <c r="AC13" s="1184">
        <v>4.568835648812777</v>
      </c>
      <c r="AD13" s="1184">
        <v>4.912243042309354</v>
      </c>
      <c r="AE13" s="1184">
        <v>5.281461965695119</v>
      </c>
      <c r="AF13" s="1184">
        <v>5.678432490989012</v>
      </c>
      <c r="AG13" s="1184">
        <v>6.105240511842975</v>
      </c>
      <c r="AH13" s="1184">
        <v>6.426462246306232</v>
      </c>
      <c r="AI13" s="1184">
        <v>6.76458477321025</v>
      </c>
      <c r="AJ13" s="1184">
        <v>7.120497312537614</v>
      </c>
      <c r="AK13" s="1184">
        <v>7.495135869779946</v>
      </c>
      <c r="AL13" s="1184">
        <v>7.88948569751535</v>
      </c>
      <c r="AM13" s="1185">
        <v>576.8212459188924</v>
      </c>
      <c r="AP13" s="677"/>
      <c r="AQ13" s="677"/>
      <c r="AR13" s="677"/>
      <c r="AS13" s="677"/>
      <c r="AT13" s="677"/>
      <c r="AU13" s="677"/>
      <c r="AV13" s="677"/>
      <c r="AW13" s="677"/>
      <c r="AX13" s="677"/>
      <c r="AY13" s="677"/>
      <c r="AZ13" s="677"/>
      <c r="BA13" s="677"/>
      <c r="BB13" s="677"/>
      <c r="BC13" s="677"/>
      <c r="BD13" s="677"/>
      <c r="BE13" s="677"/>
      <c r="BF13" s="677"/>
      <c r="BG13" s="677"/>
    </row>
    <row r="14" ht="19.5" customHeight="1">
      <c r="A14" s="34"/>
      <c r="F14" s="17"/>
      <c r="H14" s="34"/>
      <c r="I14" s="17"/>
      <c r="K14" s="678">
        <v>219.61255606145718</v>
      </c>
      <c r="L14" s="1186">
        <v>0.11642504099192447</v>
      </c>
      <c r="V14" s="680"/>
      <c r="W14" s="681" t="s">
        <v>686</v>
      </c>
      <c r="X14" s="682">
        <v>0.25</v>
      </c>
      <c r="Y14" s="683"/>
      <c r="Z14" s="684"/>
      <c r="AA14" s="683"/>
      <c r="AB14" s="1187" t="s">
        <v>687</v>
      </c>
      <c r="AC14" s="1188">
        <v>4.188955482433992</v>
      </c>
      <c r="AD14" s="1188">
        <v>4.129336400520561</v>
      </c>
      <c r="AE14" s="1188">
        <v>4.070565843959835</v>
      </c>
      <c r="AF14" s="1188">
        <v>4.012631736160713</v>
      </c>
      <c r="AG14" s="1188">
        <v>3.9555221724115177</v>
      </c>
      <c r="AH14" s="1188">
        <v>3.81744875294116</v>
      </c>
      <c r="AI14" s="1188">
        <v>3.6841949927555366</v>
      </c>
      <c r="AJ14" s="1188">
        <v>3.555592654436395</v>
      </c>
      <c r="AK14" s="1188">
        <v>3.431479373144277</v>
      </c>
      <c r="AL14" s="1188">
        <v>3.3116984516273646</v>
      </c>
      <c r="AM14" s="1189">
        <v>242.12706635325597</v>
      </c>
    </row>
    <row r="15" ht="18.0" customHeight="1">
      <c r="A15" s="29"/>
      <c r="B15" s="30"/>
      <c r="C15" s="30"/>
      <c r="D15" s="30"/>
      <c r="E15" s="30"/>
      <c r="F15" s="31"/>
      <c r="H15" s="1157" t="s">
        <v>694</v>
      </c>
      <c r="I15" s="712" t="s">
        <v>695</v>
      </c>
      <c r="J15" s="570"/>
      <c r="K15" s="34"/>
      <c r="L15" s="17"/>
      <c r="N15" s="631" t="s">
        <v>684</v>
      </c>
      <c r="V15" s="688"/>
      <c r="W15" s="689"/>
      <c r="X15" s="690"/>
      <c r="Y15" s="690"/>
      <c r="Z15" s="1162">
        <v>36.81309017487932</v>
      </c>
      <c r="AA15" s="690"/>
      <c r="AB15" s="689"/>
      <c r="AC15" s="689"/>
      <c r="AD15" s="689"/>
      <c r="AE15" s="689"/>
      <c r="AF15" s="689"/>
      <c r="AG15" s="689"/>
      <c r="AH15" s="689"/>
      <c r="AI15" s="689"/>
      <c r="AJ15" s="689"/>
      <c r="AK15" s="689"/>
      <c r="AL15" s="689"/>
      <c r="AM15" s="691"/>
    </row>
    <row r="16">
      <c r="A16" s="692" t="s">
        <v>87</v>
      </c>
      <c r="B16" s="13"/>
      <c r="C16" s="693" t="s">
        <v>696</v>
      </c>
      <c r="D16" s="13"/>
      <c r="E16" s="693" t="s">
        <v>697</v>
      </c>
      <c r="F16" s="14"/>
      <c r="H16" s="1176">
        <v>1.32843468315823</v>
      </c>
      <c r="I16" s="1177">
        <v>-0.32843468315823005</v>
      </c>
      <c r="J16" s="570"/>
      <c r="K16" s="34"/>
      <c r="L16" s="17"/>
      <c r="N16" s="644">
        <v>-0.7714631100252107</v>
      </c>
      <c r="V16" s="695" t="s">
        <v>699</v>
      </c>
      <c r="W16" s="696" t="s">
        <v>676</v>
      </c>
      <c r="X16" s="697">
        <v>0.04509779995073537</v>
      </c>
      <c r="Y16" s="698"/>
      <c r="Z16" s="1190">
        <v>147.25236069951728</v>
      </c>
      <c r="AA16" s="698"/>
      <c r="AB16" s="700"/>
      <c r="AC16" s="700"/>
      <c r="AD16" s="700"/>
      <c r="AE16" s="700"/>
      <c r="AF16" s="700"/>
      <c r="AG16" s="700"/>
      <c r="AH16" s="700"/>
      <c r="AI16" s="700"/>
      <c r="AJ16" s="700"/>
      <c r="AK16" s="700"/>
      <c r="AL16" s="700"/>
      <c r="AM16" s="701"/>
      <c r="AP16" s="702"/>
      <c r="AQ16" s="702"/>
      <c r="AR16" s="702"/>
      <c r="AS16" s="702"/>
      <c r="AT16" s="702"/>
      <c r="AU16" s="702"/>
      <c r="AV16" s="702"/>
      <c r="AW16" s="702"/>
      <c r="AX16" s="702"/>
      <c r="AY16" s="702"/>
      <c r="AZ16" s="702"/>
      <c r="BA16" s="702"/>
      <c r="BB16" s="702"/>
      <c r="BC16" s="702"/>
      <c r="BD16" s="702"/>
      <c r="BE16" s="702"/>
      <c r="BF16" s="702"/>
      <c r="BG16" s="702"/>
    </row>
    <row r="17">
      <c r="A17" s="703" t="s">
        <v>113</v>
      </c>
      <c r="C17" s="622">
        <v>250.49623273090077</v>
      </c>
      <c r="E17" s="622">
        <v>287.7422212806706</v>
      </c>
      <c r="H17" s="29"/>
      <c r="I17" s="31"/>
      <c r="J17" s="570"/>
      <c r="K17" s="29"/>
      <c r="L17" s="31"/>
      <c r="N17" s="34"/>
      <c r="V17" s="659"/>
      <c r="W17" s="706" t="s">
        <v>680</v>
      </c>
      <c r="X17" s="707">
        <v>0.03156845996551476</v>
      </c>
      <c r="Y17" s="708"/>
      <c r="AA17" s="708"/>
      <c r="AB17" s="709"/>
      <c r="AC17" s="709"/>
      <c r="AD17" s="709"/>
      <c r="AE17" s="709"/>
      <c r="AF17" s="709"/>
      <c r="AG17" s="709"/>
      <c r="AH17" s="709"/>
      <c r="AI17" s="709"/>
      <c r="AJ17" s="709"/>
      <c r="AK17" s="709"/>
      <c r="AL17" s="709"/>
      <c r="AM17" s="710"/>
      <c r="AP17" s="711"/>
      <c r="AQ17" s="711"/>
      <c r="AR17" s="711"/>
      <c r="AS17" s="711"/>
      <c r="AT17" s="711"/>
      <c r="AU17" s="711"/>
      <c r="AV17" s="711"/>
      <c r="AW17" s="711"/>
      <c r="AX17" s="711"/>
      <c r="AY17" s="711"/>
      <c r="AZ17" s="711"/>
      <c r="BA17" s="711"/>
      <c r="BB17" s="711"/>
      <c r="BC17" s="711"/>
      <c r="BD17" s="711"/>
      <c r="BE17" s="711"/>
      <c r="BF17" s="711"/>
      <c r="BG17" s="711"/>
    </row>
    <row r="18" ht="21.75" customHeight="1">
      <c r="H18" s="1157" t="s">
        <v>656</v>
      </c>
      <c r="I18" s="712" t="s">
        <v>701</v>
      </c>
      <c r="J18" s="570"/>
      <c r="K18" s="1191">
        <v>181.75683497317522</v>
      </c>
      <c r="L18" s="714" t="s">
        <v>702</v>
      </c>
      <c r="V18" s="659"/>
      <c r="W18" s="706" t="s">
        <v>681</v>
      </c>
      <c r="X18" s="717">
        <v>43.86759299916483</v>
      </c>
      <c r="Y18" s="718"/>
      <c r="Z18" s="1192">
        <v>-0.4075543725627951</v>
      </c>
      <c r="AA18" s="718"/>
      <c r="AB18" s="1193" t="s">
        <v>665</v>
      </c>
      <c r="AC18" s="1194">
        <v>4.441075525548564</v>
      </c>
      <c r="AD18" s="1194">
        <v>4.641358261165861</v>
      </c>
      <c r="AE18" s="1194">
        <v>4.850673307527612</v>
      </c>
      <c r="AF18" s="1194">
        <v>5.069428001976864</v>
      </c>
      <c r="AG18" s="1194">
        <v>5.298048051874673</v>
      </c>
      <c r="AH18" s="1194">
        <v>5.465299269695652</v>
      </c>
      <c r="AI18" s="1194">
        <v>5.637830350890597</v>
      </c>
      <c r="AJ18" s="1194">
        <v>5.815807972615051</v>
      </c>
      <c r="AK18" s="1194">
        <v>5.999404073765671</v>
      </c>
      <c r="AL18" s="1194">
        <v>6.188796021085289</v>
      </c>
      <c r="AM18" s="1195">
        <v>271.48758500782014</v>
      </c>
      <c r="AP18" s="723"/>
      <c r="AQ18" s="723"/>
      <c r="AR18" s="723"/>
      <c r="AS18" s="723"/>
      <c r="AT18" s="723"/>
      <c r="AU18" s="723"/>
      <c r="AV18" s="723"/>
      <c r="AW18" s="723"/>
      <c r="AX18" s="723"/>
      <c r="AY18" s="723"/>
      <c r="AZ18" s="723"/>
      <c r="BA18" s="723"/>
      <c r="BB18" s="723"/>
      <c r="BC18" s="723"/>
      <c r="BD18" s="723"/>
      <c r="BE18" s="723"/>
      <c r="BF18" s="723"/>
      <c r="BG18" s="723"/>
    </row>
    <row r="19">
      <c r="A19" s="724" t="s">
        <v>703</v>
      </c>
      <c r="H19" s="1176">
        <v>0.09068613117799357</v>
      </c>
      <c r="I19" s="725">
        <v>0.0634802918245955</v>
      </c>
      <c r="J19" s="570"/>
      <c r="V19" s="680"/>
      <c r="W19" s="727" t="s">
        <v>686</v>
      </c>
      <c r="X19" s="728">
        <v>0.25</v>
      </c>
      <c r="Y19" s="729"/>
      <c r="Z19" s="684"/>
      <c r="AA19" s="729"/>
      <c r="AB19" s="1196" t="s">
        <v>687</v>
      </c>
      <c r="AC19" s="1197">
        <v>4.071818095598216</v>
      </c>
      <c r="AD19" s="1197">
        <v>3.9016248688458157</v>
      </c>
      <c r="AE19" s="1197">
        <v>3.73854535241945</v>
      </c>
      <c r="AF19" s="1197">
        <v>3.5822822085485844</v>
      </c>
      <c r="AG19" s="1197">
        <v>3.432550527541103</v>
      </c>
      <c r="AH19" s="1197">
        <v>3.2464984748866628</v>
      </c>
      <c r="AI19" s="1197">
        <v>3.0705308670260267</v>
      </c>
      <c r="AJ19" s="1197">
        <v>2.9041011040945417</v>
      </c>
      <c r="AK19" s="1197">
        <v>2.7466922131845313</v>
      </c>
      <c r="AL19" s="1197">
        <v>2.5978152424967837</v>
      </c>
      <c r="AM19" s="1198">
        <v>113.95990174487558</v>
      </c>
      <c r="AP19" s="733"/>
      <c r="AQ19" s="733"/>
      <c r="AR19" s="733"/>
      <c r="AS19" s="733"/>
      <c r="AT19" s="733"/>
      <c r="AU19" s="733"/>
      <c r="AV19" s="733"/>
      <c r="AW19" s="733"/>
      <c r="AX19" s="733"/>
      <c r="AY19" s="733"/>
      <c r="AZ19" s="733"/>
      <c r="BA19" s="733"/>
      <c r="BB19" s="733"/>
      <c r="BC19" s="733"/>
      <c r="BD19" s="733"/>
      <c r="BE19" s="733"/>
      <c r="BF19" s="733"/>
      <c r="BG19" s="733"/>
    </row>
    <row r="20">
      <c r="A20" s="34"/>
      <c r="H20" s="29"/>
      <c r="I20" s="31"/>
      <c r="J20" s="570"/>
      <c r="K20" s="1199" t="s">
        <v>705</v>
      </c>
      <c r="L20" s="1200" t="s">
        <v>706</v>
      </c>
      <c r="V20" s="739"/>
      <c r="W20" s="739"/>
      <c r="X20" s="1201">
        <v>1.0</v>
      </c>
      <c r="Y20" s="739"/>
      <c r="Z20" s="739"/>
      <c r="AA20" s="739"/>
      <c r="AB20" s="739"/>
      <c r="AC20" s="739"/>
      <c r="AD20" s="739"/>
      <c r="AE20" s="739"/>
      <c r="AF20" s="739"/>
      <c r="AG20" s="739"/>
      <c r="AH20" s="739"/>
      <c r="AI20" s="739"/>
      <c r="AJ20" s="739"/>
      <c r="AK20" s="739"/>
      <c r="AL20" s="739"/>
      <c r="AM20" s="739"/>
      <c r="AP20" s="733"/>
      <c r="AQ20" s="733"/>
      <c r="AR20" s="733"/>
      <c r="AS20" s="733"/>
      <c r="AT20" s="733"/>
      <c r="AU20" s="733"/>
      <c r="AV20" s="733"/>
      <c r="AW20" s="733"/>
      <c r="AX20" s="733"/>
      <c r="AY20" s="733"/>
      <c r="AZ20" s="733"/>
      <c r="BA20" s="733"/>
      <c r="BB20" s="733"/>
      <c r="BC20" s="733"/>
      <c r="BD20" s="733"/>
      <c r="BE20" s="733"/>
      <c r="BF20" s="733"/>
      <c r="BG20" s="733"/>
    </row>
    <row r="21" ht="24.0" customHeight="1">
      <c r="A21" s="740" t="s">
        <v>76</v>
      </c>
      <c r="B21" s="13"/>
      <c r="C21" s="741" t="s">
        <v>708</v>
      </c>
      <c r="D21" s="13"/>
      <c r="E21" s="741" t="s">
        <v>709</v>
      </c>
      <c r="F21" s="14"/>
      <c r="H21" s="742"/>
      <c r="I21" s="570"/>
      <c r="J21" s="570"/>
      <c r="P21" s="694" t="s">
        <v>698</v>
      </c>
      <c r="U21" s="702"/>
      <c r="V21" s="702"/>
      <c r="W21" s="702"/>
      <c r="X21" s="733"/>
      <c r="Y21" s="733"/>
      <c r="Z21" s="733"/>
      <c r="AA21" s="733"/>
      <c r="AB21" s="733"/>
      <c r="AC21" s="733"/>
      <c r="AD21" s="733"/>
      <c r="AE21" s="733"/>
      <c r="AF21" s="733"/>
      <c r="AG21" s="733"/>
      <c r="AH21" s="733"/>
      <c r="AI21" s="733"/>
      <c r="AJ21" s="733"/>
      <c r="AK21" s="733"/>
      <c r="AL21" s="733"/>
      <c r="AM21" s="733"/>
      <c r="AN21" s="733"/>
      <c r="AO21" s="733"/>
      <c r="AP21" s="733"/>
      <c r="AQ21" s="733"/>
      <c r="AR21" s="733"/>
      <c r="AS21" s="733"/>
      <c r="AT21" s="733"/>
      <c r="AU21" s="733"/>
      <c r="AV21" s="733"/>
      <c r="AW21" s="733"/>
      <c r="AX21" s="733"/>
      <c r="AY21" s="733"/>
      <c r="AZ21" s="733"/>
      <c r="BA21" s="733"/>
      <c r="BB21" s="733"/>
      <c r="BC21" s="733"/>
      <c r="BD21" s="733"/>
      <c r="BE21" s="733"/>
      <c r="BF21" s="733"/>
      <c r="BG21" s="733"/>
    </row>
    <row r="22">
      <c r="A22" s="1202">
        <v>248.55</v>
      </c>
      <c r="C22" s="1203">
        <v>3.79</v>
      </c>
      <c r="E22" s="1203">
        <v>13.83</v>
      </c>
      <c r="F22" s="17"/>
      <c r="H22" s="570"/>
      <c r="I22" s="570"/>
      <c r="J22" s="570"/>
      <c r="P22" s="704" t="s">
        <v>700</v>
      </c>
      <c r="Q22" s="13"/>
      <c r="R22" s="13"/>
      <c r="S22" s="13"/>
      <c r="T22" s="1204" t="s">
        <v>111</v>
      </c>
      <c r="U22" s="711"/>
      <c r="V22" s="711"/>
      <c r="W22" s="711"/>
      <c r="X22" s="733"/>
      <c r="Y22" s="733"/>
      <c r="Z22" s="733"/>
      <c r="AA22" s="733"/>
      <c r="AB22" s="733"/>
      <c r="AC22" s="733"/>
      <c r="AD22" s="733"/>
      <c r="AE22" s="733"/>
      <c r="AF22" s="733"/>
      <c r="AG22" s="733"/>
      <c r="AH22" s="733"/>
      <c r="AI22" s="733"/>
      <c r="AJ22" s="733"/>
      <c r="AK22" s="733"/>
      <c r="AL22" s="733"/>
      <c r="AM22" s="733"/>
      <c r="AN22" s="733"/>
      <c r="AO22" s="733"/>
      <c r="AP22" s="733"/>
      <c r="AQ22" s="733"/>
      <c r="AR22" s="733"/>
      <c r="AS22" s="733"/>
      <c r="AT22" s="733"/>
      <c r="AU22" s="733"/>
      <c r="AV22" s="733"/>
      <c r="AW22" s="733"/>
      <c r="AX22" s="733"/>
      <c r="AY22" s="733"/>
      <c r="AZ22" s="733"/>
      <c r="BA22" s="733"/>
      <c r="BB22" s="733"/>
      <c r="BC22" s="733"/>
      <c r="BD22" s="733"/>
      <c r="BE22" s="733"/>
      <c r="BF22" s="733"/>
      <c r="BG22" s="733"/>
    </row>
    <row r="23">
      <c r="A23" s="34"/>
      <c r="F23" s="17"/>
      <c r="H23" s="239" t="s">
        <v>718</v>
      </c>
      <c r="I23" s="13"/>
      <c r="J23" s="13"/>
      <c r="K23" s="13"/>
      <c r="L23" s="13"/>
      <c r="M23" s="14"/>
      <c r="N23" s="756" t="s">
        <v>77</v>
      </c>
      <c r="P23" s="715" t="s">
        <v>301</v>
      </c>
      <c r="T23" s="726">
        <v>17.98</v>
      </c>
      <c r="U23" s="723"/>
      <c r="V23" s="723"/>
      <c r="W23" s="723"/>
      <c r="X23" s="733"/>
      <c r="Y23" s="733"/>
      <c r="Z23" s="733"/>
      <c r="AA23" s="733"/>
      <c r="AB23" s="733"/>
      <c r="AC23" s="733"/>
      <c r="AD23" s="733"/>
      <c r="AE23" s="733"/>
      <c r="AF23" s="733"/>
      <c r="AG23" s="733"/>
      <c r="AH23" s="733"/>
      <c r="AI23" s="733"/>
      <c r="AJ23" s="733"/>
      <c r="AK23" s="733"/>
      <c r="AL23" s="733"/>
      <c r="AM23" s="733"/>
      <c r="AN23" s="733"/>
      <c r="AO23" s="733"/>
      <c r="AP23" s="733"/>
      <c r="AQ23" s="733"/>
      <c r="AR23" s="733"/>
      <c r="AS23" s="733"/>
      <c r="AT23" s="733"/>
      <c r="AU23" s="733"/>
      <c r="AV23" s="733"/>
      <c r="AW23" s="733"/>
      <c r="AX23" s="733"/>
      <c r="AY23" s="733"/>
      <c r="AZ23" s="733"/>
      <c r="BA23" s="733"/>
      <c r="BB23" s="733"/>
      <c r="BC23" s="733"/>
      <c r="BD23" s="733"/>
      <c r="BE23" s="733"/>
      <c r="BF23" s="733"/>
      <c r="BG23" s="733"/>
    </row>
    <row r="24">
      <c r="A24" s="768" t="s">
        <v>724</v>
      </c>
      <c r="C24" s="255" t="s">
        <v>83</v>
      </c>
      <c r="E24" s="255" t="s">
        <v>725</v>
      </c>
      <c r="F24" s="17"/>
      <c r="H24" s="29"/>
      <c r="I24" s="30"/>
      <c r="J24" s="30"/>
      <c r="K24" s="30"/>
      <c r="L24" s="30"/>
      <c r="M24" s="31"/>
      <c r="N24" s="769"/>
      <c r="P24" s="715" t="s">
        <v>971</v>
      </c>
      <c r="T24" s="726">
        <v>7.0</v>
      </c>
      <c r="U24" s="733"/>
      <c r="V24" s="733"/>
      <c r="W24" s="733"/>
      <c r="X24" s="779"/>
      <c r="Y24" s="779"/>
      <c r="Z24" s="779"/>
      <c r="AA24" s="779"/>
      <c r="AB24" s="779"/>
      <c r="AC24" s="779"/>
      <c r="AD24" s="779"/>
      <c r="AE24" s="779"/>
      <c r="AF24" s="779"/>
      <c r="AG24" s="779"/>
      <c r="AH24" s="779"/>
      <c r="AI24" s="779"/>
      <c r="AJ24" s="779"/>
      <c r="AK24" s="779"/>
      <c r="AL24" s="779"/>
      <c r="AM24" s="779"/>
      <c r="AN24" s="779"/>
      <c r="AO24" s="779"/>
      <c r="AP24" s="779"/>
      <c r="AQ24" s="779"/>
      <c r="AR24" s="779"/>
      <c r="AS24" s="779"/>
      <c r="AT24" s="779"/>
      <c r="AU24" s="779"/>
      <c r="AV24" s="779"/>
      <c r="AW24" s="779"/>
      <c r="AX24" s="779"/>
      <c r="AY24" s="779"/>
      <c r="AZ24" s="779"/>
      <c r="BA24" s="779"/>
      <c r="BB24" s="779"/>
      <c r="BC24" s="779"/>
      <c r="BD24" s="779"/>
      <c r="BE24" s="779"/>
      <c r="BF24" s="779"/>
      <c r="BG24" s="779"/>
    </row>
    <row r="25">
      <c r="A25" s="1202">
        <v>152.71</v>
      </c>
      <c r="C25" s="780"/>
      <c r="E25" s="1205">
        <v>249.15</v>
      </c>
      <c r="F25" s="17"/>
      <c r="H25" s="782" t="s">
        <v>71</v>
      </c>
      <c r="I25" s="783" t="s">
        <v>730</v>
      </c>
      <c r="J25" s="783" t="s">
        <v>76</v>
      </c>
      <c r="L25" s="783" t="s">
        <v>301</v>
      </c>
      <c r="M25" s="783" t="s">
        <v>300</v>
      </c>
      <c r="N25" s="87"/>
      <c r="P25" s="715" t="s">
        <v>707</v>
      </c>
      <c r="T25" s="736">
        <v>12.0</v>
      </c>
      <c r="U25" s="733"/>
      <c r="V25" s="1206" t="s">
        <v>972</v>
      </c>
      <c r="W25" s="733"/>
      <c r="X25" s="767"/>
      <c r="Y25" s="767"/>
      <c r="Z25" s="767"/>
      <c r="AA25" s="767"/>
      <c r="AB25" s="767"/>
      <c r="AC25" s="767"/>
      <c r="AD25" s="767"/>
      <c r="AE25" s="767"/>
      <c r="AF25" s="767"/>
      <c r="AG25" s="767"/>
      <c r="AH25" s="767"/>
      <c r="AI25" s="767"/>
      <c r="AJ25" s="767"/>
      <c r="AK25" s="767"/>
      <c r="AL25" s="767"/>
      <c r="AM25" s="767"/>
      <c r="AN25" s="767"/>
      <c r="AO25" s="767"/>
      <c r="AP25" s="767"/>
      <c r="AQ25" s="767"/>
      <c r="AR25" s="767"/>
      <c r="AS25" s="767"/>
      <c r="AT25" s="767"/>
      <c r="AU25" s="767"/>
      <c r="AV25" s="767"/>
      <c r="AW25" s="767"/>
      <c r="AX25" s="767"/>
      <c r="AY25" s="767"/>
      <c r="AZ25" s="767"/>
      <c r="BA25" s="767"/>
      <c r="BB25" s="767"/>
      <c r="BC25" s="767"/>
      <c r="BD25" s="767"/>
      <c r="BE25" s="767"/>
      <c r="BF25" s="767"/>
      <c r="BG25" s="767"/>
    </row>
    <row r="26">
      <c r="A26" s="29"/>
      <c r="B26" s="30"/>
      <c r="C26" s="30"/>
      <c r="D26" s="30"/>
      <c r="E26" s="30"/>
      <c r="F26" s="31"/>
      <c r="H26" s="794" t="s">
        <v>1272</v>
      </c>
      <c r="I26" s="1207" t="s">
        <v>1273</v>
      </c>
      <c r="J26" s="1208">
        <v>69.84</v>
      </c>
      <c r="L26" s="1208">
        <v>3.45</v>
      </c>
      <c r="M26" s="1209">
        <v>20.22</v>
      </c>
      <c r="N26" s="798">
        <v>312.67220000000003</v>
      </c>
      <c r="P26" s="715" t="s">
        <v>710</v>
      </c>
      <c r="T26" s="726">
        <v>1.0</v>
      </c>
      <c r="U26" s="733"/>
      <c r="V26" s="733" t="s">
        <v>974</v>
      </c>
      <c r="W26" s="733"/>
      <c r="X26" s="767"/>
      <c r="Y26" s="767"/>
      <c r="Z26" s="767"/>
      <c r="AA26" s="767"/>
      <c r="AB26" s="767"/>
      <c r="AC26" s="767"/>
      <c r="AD26" s="767"/>
      <c r="AE26" s="767"/>
      <c r="AF26" s="767"/>
      <c r="AG26" s="767"/>
      <c r="AH26" s="767"/>
      <c r="AI26" s="767"/>
      <c r="AJ26" s="767"/>
      <c r="AK26" s="767"/>
      <c r="AL26" s="767"/>
      <c r="AM26" s="767"/>
      <c r="AN26" s="767"/>
      <c r="AO26" s="767"/>
      <c r="AP26" s="767"/>
      <c r="AQ26" s="767"/>
      <c r="AR26" s="767"/>
      <c r="AS26" s="767"/>
      <c r="AT26" s="767"/>
      <c r="AU26" s="767"/>
      <c r="AV26" s="767"/>
      <c r="AW26" s="767"/>
      <c r="AX26" s="767"/>
      <c r="AY26" s="767"/>
      <c r="AZ26" s="767"/>
      <c r="BA26" s="767"/>
      <c r="BB26" s="767"/>
      <c r="BC26" s="767"/>
      <c r="BD26" s="767"/>
      <c r="BE26" s="767"/>
      <c r="BF26" s="767"/>
      <c r="BG26" s="767"/>
    </row>
    <row r="27">
      <c r="A27" s="804"/>
      <c r="F27" s="17"/>
      <c r="H27" s="794" t="s">
        <v>378</v>
      </c>
      <c r="I27" s="1207" t="s">
        <v>1274</v>
      </c>
      <c r="J27" s="1208">
        <v>47.0</v>
      </c>
      <c r="L27" s="1208">
        <v>2.75</v>
      </c>
      <c r="M27" s="1209">
        <v>17.09</v>
      </c>
      <c r="N27" s="769"/>
      <c r="P27" s="747" t="s">
        <v>711</v>
      </c>
      <c r="T27" s="726">
        <v>4.4</v>
      </c>
      <c r="U27" s="799"/>
      <c r="V27" s="733"/>
      <c r="W27" s="733"/>
    </row>
    <row r="28">
      <c r="A28" s="34"/>
      <c r="F28" s="17"/>
      <c r="H28" s="794" t="s">
        <v>1275</v>
      </c>
      <c r="I28" s="1207" t="s">
        <v>1276</v>
      </c>
      <c r="J28" s="1208">
        <v>75.96</v>
      </c>
      <c r="L28" s="1208">
        <v>4.81</v>
      </c>
      <c r="M28" s="1209">
        <v>15.79</v>
      </c>
      <c r="N28" s="756" t="s">
        <v>689</v>
      </c>
      <c r="P28" s="747" t="s">
        <v>719</v>
      </c>
      <c r="T28" s="757">
        <v>4.95</v>
      </c>
      <c r="U28" s="733"/>
      <c r="V28" s="1206" t="s">
        <v>977</v>
      </c>
      <c r="W28" s="733"/>
    </row>
    <row r="29">
      <c r="A29" s="34"/>
      <c r="F29" s="17"/>
      <c r="H29" s="811" t="s">
        <v>432</v>
      </c>
      <c r="I29" s="1207" t="s">
        <v>1277</v>
      </c>
      <c r="J29" s="1208">
        <v>602.78</v>
      </c>
      <c r="L29" s="1208">
        <v>34.07</v>
      </c>
      <c r="M29" s="1209">
        <v>17.69</v>
      </c>
      <c r="N29" s="87"/>
      <c r="P29" s="770" t="s">
        <v>77</v>
      </c>
      <c r="Q29" s="13"/>
      <c r="R29" s="14"/>
      <c r="S29" s="771" t="s">
        <v>689</v>
      </c>
      <c r="T29" s="14"/>
      <c r="U29" s="779"/>
      <c r="V29" s="779"/>
      <c r="W29" s="779"/>
    </row>
    <row r="30">
      <c r="A30" s="34"/>
      <c r="F30" s="17"/>
      <c r="H30" s="817" t="s">
        <v>749</v>
      </c>
      <c r="I30" s="1210">
        <v>17.6975</v>
      </c>
      <c r="J30" s="819" t="s">
        <v>750</v>
      </c>
      <c r="K30" s="1210">
        <v>318.20105</v>
      </c>
      <c r="L30" s="817" t="s">
        <v>751</v>
      </c>
      <c r="M30" s="1211">
        <v>17.98</v>
      </c>
      <c r="N30" s="1186">
        <v>-0.25798511365922355</v>
      </c>
      <c r="P30" s="1212">
        <v>303.6622222222222</v>
      </c>
      <c r="R30" s="17"/>
      <c r="S30" s="1181">
        <v>-0.22173495160821652</v>
      </c>
      <c r="T30" s="14"/>
      <c r="U30" s="767"/>
      <c r="V30" s="767"/>
      <c r="W30" s="767"/>
    </row>
    <row r="31">
      <c r="A31" s="34"/>
      <c r="F31" s="17"/>
      <c r="H31" s="825" t="s">
        <v>754</v>
      </c>
      <c r="I31" s="826">
        <v>17.39</v>
      </c>
      <c r="J31" s="827" t="s">
        <v>755</v>
      </c>
      <c r="K31" s="1213">
        <v>312.67220000000003</v>
      </c>
      <c r="L31" s="29"/>
      <c r="M31" s="87"/>
      <c r="N31" s="31"/>
      <c r="P31" s="29"/>
      <c r="Q31" s="30"/>
      <c r="R31" s="31"/>
      <c r="S31" s="30"/>
      <c r="T31" s="31"/>
      <c r="U31" s="767"/>
      <c r="V31" s="767"/>
      <c r="W31" s="767"/>
    </row>
    <row r="32">
      <c r="A32" s="34"/>
      <c r="F32" s="17"/>
      <c r="N32" s="799"/>
    </row>
    <row r="33">
      <c r="A33" s="34"/>
      <c r="F33" s="17"/>
      <c r="H33" s="1214" t="s">
        <v>980</v>
      </c>
      <c r="J33" s="799"/>
      <c r="M33" s="743"/>
      <c r="N33" s="799"/>
      <c r="O33" s="799"/>
    </row>
    <row r="34">
      <c r="A34" s="29"/>
      <c r="B34" s="30"/>
      <c r="C34" s="30"/>
      <c r="D34" s="30"/>
      <c r="E34" s="30"/>
      <c r="F34" s="31"/>
      <c r="H34" s="1215" t="s">
        <v>981</v>
      </c>
      <c r="J34" s="799"/>
      <c r="K34" s="111"/>
      <c r="N34" s="799"/>
      <c r="O34" s="799"/>
      <c r="P34" s="1216" t="s">
        <v>740</v>
      </c>
      <c r="Q34" s="806"/>
      <c r="R34" s="806"/>
      <c r="S34" s="807"/>
      <c r="T34" s="808"/>
    </row>
    <row r="35">
      <c r="A35" s="239" t="s">
        <v>771</v>
      </c>
      <c r="B35" s="13"/>
      <c r="C35" s="13"/>
      <c r="D35" s="13"/>
      <c r="E35" s="13"/>
      <c r="F35" s="14"/>
      <c r="H35" s="1215" t="s">
        <v>982</v>
      </c>
      <c r="J35" s="799"/>
      <c r="N35" s="799"/>
      <c r="O35" s="799"/>
      <c r="P35" s="1217" t="s">
        <v>744</v>
      </c>
      <c r="Q35" s="269"/>
      <c r="R35" s="269"/>
      <c r="S35" s="813"/>
      <c r="T35" s="814"/>
    </row>
    <row r="36">
      <c r="A36" s="34"/>
      <c r="F36" s="17"/>
      <c r="H36" s="799"/>
      <c r="I36" s="799"/>
      <c r="J36" s="799"/>
      <c r="K36" s="488"/>
      <c r="L36" s="488"/>
      <c r="M36" s="488"/>
      <c r="O36" s="799"/>
      <c r="P36" s="1217" t="s">
        <v>752</v>
      </c>
      <c r="Q36" s="269"/>
      <c r="R36" s="269"/>
      <c r="S36" s="813"/>
      <c r="T36" s="814"/>
    </row>
    <row r="37">
      <c r="A37" s="768" t="s">
        <v>780</v>
      </c>
      <c r="E37" s="255" t="s">
        <v>661</v>
      </c>
      <c r="H37" s="799"/>
      <c r="I37" s="799"/>
      <c r="J37" s="799"/>
      <c r="M37" s="743"/>
      <c r="N37" s="799"/>
      <c r="O37" s="799"/>
      <c r="P37" s="1217" t="s">
        <v>756</v>
      </c>
      <c r="Q37" s="269"/>
      <c r="R37" s="269"/>
      <c r="S37" s="813"/>
      <c r="T37" s="814"/>
    </row>
    <row r="38">
      <c r="A38" s="859" t="s">
        <v>785</v>
      </c>
      <c r="E38" s="860"/>
      <c r="I38" s="799"/>
      <c r="J38" s="799"/>
      <c r="M38" s="743"/>
      <c r="N38" s="799"/>
      <c r="O38" s="799"/>
      <c r="P38" s="1218" t="s">
        <v>760</v>
      </c>
      <c r="Q38" s="269"/>
      <c r="R38" s="269"/>
      <c r="S38" s="813"/>
      <c r="T38" s="814"/>
    </row>
    <row r="39">
      <c r="A39" s="859" t="s">
        <v>792</v>
      </c>
      <c r="E39" s="864"/>
      <c r="H39" s="799"/>
      <c r="I39" s="799"/>
      <c r="J39" s="799"/>
      <c r="K39" s="744"/>
      <c r="L39" s="799"/>
      <c r="M39" s="799"/>
      <c r="N39" s="799"/>
      <c r="O39" s="799"/>
      <c r="P39" s="1218" t="s">
        <v>764</v>
      </c>
      <c r="Q39" s="269"/>
      <c r="R39" s="269"/>
      <c r="S39" s="813"/>
      <c r="T39" s="814"/>
    </row>
    <row r="40">
      <c r="A40" s="870" t="s">
        <v>798</v>
      </c>
      <c r="E40" s="864"/>
      <c r="H40" s="799"/>
      <c r="I40" s="799"/>
      <c r="J40" s="799"/>
      <c r="K40" s="799"/>
      <c r="L40" s="799"/>
      <c r="M40" s="799"/>
      <c r="N40" s="799"/>
      <c r="O40" s="799"/>
      <c r="P40" s="1219" t="s">
        <v>768</v>
      </c>
      <c r="Q40" s="269"/>
      <c r="R40" s="269"/>
      <c r="S40" s="813"/>
      <c r="T40" s="814"/>
    </row>
    <row r="41">
      <c r="A41" s="870"/>
      <c r="E41" s="864"/>
      <c r="H41" s="799"/>
      <c r="I41" s="799"/>
      <c r="J41" s="799"/>
      <c r="L41" s="799"/>
      <c r="M41" s="799"/>
      <c r="N41" s="799"/>
      <c r="O41" s="799"/>
      <c r="P41" s="1218" t="s">
        <v>772</v>
      </c>
      <c r="Q41" s="269"/>
      <c r="R41" s="269"/>
      <c r="S41" s="813"/>
      <c r="T41" s="814"/>
    </row>
    <row r="42">
      <c r="A42" s="255" t="s">
        <v>803</v>
      </c>
      <c r="E42" s="786" t="e">
        <v>#DIV/0!</v>
      </c>
      <c r="H42" s="799"/>
      <c r="I42" s="799"/>
      <c r="J42" s="799"/>
      <c r="K42" s="799"/>
      <c r="L42" s="799"/>
      <c r="M42" s="799"/>
      <c r="N42" s="799"/>
      <c r="O42" s="799"/>
      <c r="P42" s="1218" t="s">
        <v>776</v>
      </c>
      <c r="Q42" s="269"/>
      <c r="R42" s="269"/>
      <c r="S42" s="269"/>
      <c r="T42" s="814"/>
    </row>
    <row r="43">
      <c r="H43" s="799"/>
      <c r="I43" s="799"/>
      <c r="J43" s="799"/>
      <c r="K43" s="799"/>
      <c r="L43" s="799"/>
      <c r="M43" s="799"/>
      <c r="N43" s="799"/>
      <c r="O43" s="799"/>
      <c r="P43" s="1218" t="s">
        <v>781</v>
      </c>
      <c r="Q43" s="269"/>
      <c r="R43" s="269"/>
      <c r="S43" s="269"/>
      <c r="T43" s="814"/>
    </row>
    <row r="44">
      <c r="H44" s="799"/>
      <c r="I44" s="799"/>
      <c r="J44" s="799"/>
      <c r="K44" s="799"/>
      <c r="L44" s="799"/>
      <c r="M44" s="799"/>
      <c r="N44" s="799"/>
      <c r="O44" s="799"/>
      <c r="P44" s="861" t="s">
        <v>787</v>
      </c>
      <c r="Q44" s="862"/>
      <c r="R44" s="862"/>
      <c r="S44" s="862"/>
      <c r="T44" s="863"/>
    </row>
    <row r="45" ht="17.25" customHeight="1">
      <c r="H45" s="799"/>
      <c r="I45" s="799"/>
      <c r="J45" s="799"/>
      <c r="K45" s="799"/>
      <c r="L45" s="799"/>
      <c r="M45" s="799"/>
      <c r="N45" s="799"/>
      <c r="O45" s="799"/>
    </row>
    <row r="46">
      <c r="A46" s="910" t="s">
        <v>826</v>
      </c>
      <c r="H46" s="911" t="s">
        <v>827</v>
      </c>
      <c r="I46" s="912" t="s">
        <v>828</v>
      </c>
      <c r="J46" s="913"/>
      <c r="K46" s="913"/>
      <c r="L46" s="799"/>
      <c r="M46" s="799"/>
      <c r="N46" s="799"/>
      <c r="O46" s="799"/>
    </row>
    <row r="47">
      <c r="A47" s="1220" t="s">
        <v>983</v>
      </c>
      <c r="B47" s="1221"/>
      <c r="C47" s="1221"/>
      <c r="D47" s="1221"/>
      <c r="E47" s="1221"/>
      <c r="F47" s="1221"/>
      <c r="G47" s="1221"/>
      <c r="H47" s="1222"/>
      <c r="I47" s="1223"/>
      <c r="J47" s="913"/>
      <c r="K47" s="913"/>
      <c r="L47" s="913"/>
      <c r="M47" s="913"/>
      <c r="N47" s="913"/>
      <c r="O47" s="913"/>
      <c r="P47" s="480"/>
      <c r="Q47" s="480"/>
      <c r="R47" s="480"/>
      <c r="S47" s="480"/>
      <c r="T47" s="480"/>
      <c r="U47" s="480"/>
      <c r="V47" s="480"/>
      <c r="W47" s="480"/>
      <c r="X47" s="480"/>
      <c r="Y47" s="480"/>
      <c r="Z47" s="480"/>
      <c r="AA47" s="480"/>
      <c r="AB47" s="480"/>
      <c r="AC47" s="480"/>
      <c r="AD47" s="480"/>
      <c r="AE47" s="480"/>
      <c r="AF47" s="480"/>
      <c r="AG47" s="480"/>
      <c r="AH47" s="480"/>
      <c r="AI47" s="480"/>
      <c r="AJ47" s="480"/>
      <c r="AK47" s="480"/>
      <c r="AL47" s="480"/>
      <c r="AM47" s="480"/>
      <c r="AN47" s="480"/>
      <c r="AO47" s="480"/>
      <c r="AP47" s="480"/>
      <c r="AQ47" s="480"/>
      <c r="AR47" s="480"/>
      <c r="AS47" s="480"/>
      <c r="AT47" s="480"/>
      <c r="AU47" s="480"/>
      <c r="AV47" s="480"/>
      <c r="AW47" s="480"/>
      <c r="AX47" s="480"/>
      <c r="AY47" s="480"/>
      <c r="AZ47" s="480"/>
      <c r="BA47" s="480"/>
      <c r="BB47" s="480"/>
      <c r="BC47" s="480"/>
      <c r="BD47" s="480"/>
      <c r="BE47" s="480"/>
      <c r="BF47" s="480"/>
      <c r="BG47" s="480"/>
    </row>
    <row r="48">
      <c r="A48" s="1224" t="s">
        <v>984</v>
      </c>
      <c r="B48" s="1224" t="s">
        <v>985</v>
      </c>
      <c r="C48" s="1225" t="s">
        <v>986</v>
      </c>
      <c r="D48" s="1224" t="s">
        <v>987</v>
      </c>
      <c r="E48" s="1224" t="s">
        <v>988</v>
      </c>
      <c r="F48" s="1224" t="s">
        <v>989</v>
      </c>
      <c r="G48" s="1224" t="s">
        <v>990</v>
      </c>
      <c r="H48" s="1226" t="s">
        <v>991</v>
      </c>
      <c r="I48" s="1227" t="s">
        <v>992</v>
      </c>
      <c r="J48" s="1226" t="s">
        <v>993</v>
      </c>
      <c r="K48" s="1226" t="s">
        <v>994</v>
      </c>
      <c r="L48" s="1226" t="s">
        <v>995</v>
      </c>
      <c r="M48" s="1226" t="s">
        <v>996</v>
      </c>
      <c r="N48" s="1226" t="s">
        <v>997</v>
      </c>
      <c r="O48" s="1226" t="s">
        <v>998</v>
      </c>
      <c r="P48" s="1228" t="s">
        <v>999</v>
      </c>
      <c r="Q48" s="1228" t="s">
        <v>1000</v>
      </c>
      <c r="R48" s="1228" t="s">
        <v>1001</v>
      </c>
      <c r="S48" s="1228" t="s">
        <v>1002</v>
      </c>
      <c r="T48" s="1229" t="s">
        <v>1003</v>
      </c>
      <c r="U48" s="1228" t="s">
        <v>1004</v>
      </c>
      <c r="V48" s="1228" t="s">
        <v>1005</v>
      </c>
      <c r="W48" s="1228" t="s">
        <v>1006</v>
      </c>
      <c r="X48" s="1228" t="s">
        <v>1007</v>
      </c>
      <c r="Y48" s="1228" t="s">
        <v>1008</v>
      </c>
      <c r="Z48" s="1228" t="s">
        <v>1009</v>
      </c>
      <c r="AA48" s="1228" t="s">
        <v>1010</v>
      </c>
      <c r="AB48" s="1228" t="s">
        <v>1011</v>
      </c>
      <c r="AC48" s="1229" t="s">
        <v>1012</v>
      </c>
      <c r="AD48" s="1228" t="s">
        <v>1013</v>
      </c>
      <c r="AE48" s="1228" t="s">
        <v>1014</v>
      </c>
      <c r="AF48" s="1228" t="s">
        <v>1015</v>
      </c>
      <c r="AG48" s="1228" t="s">
        <v>1016</v>
      </c>
      <c r="AH48" s="1228" t="s">
        <v>1017</v>
      </c>
      <c r="AI48" s="1228" t="s">
        <v>1018</v>
      </c>
      <c r="AJ48" s="1228" t="s">
        <v>1019</v>
      </c>
      <c r="AK48" s="1230"/>
      <c r="AL48" s="1230"/>
      <c r="AM48" s="1230"/>
      <c r="AN48" s="1230"/>
      <c r="AO48" s="1230"/>
      <c r="AP48" s="1230"/>
      <c r="AQ48" s="1230"/>
      <c r="AR48" s="1230"/>
      <c r="AS48" s="1230"/>
      <c r="AT48" s="1230"/>
      <c r="AU48" s="1230"/>
      <c r="AV48" s="1230"/>
      <c r="AW48" s="1230"/>
      <c r="AX48" s="1230"/>
      <c r="AY48" s="1230"/>
      <c r="AZ48" s="1230"/>
      <c r="BA48" s="1230"/>
      <c r="BB48" s="1230"/>
      <c r="BC48" s="1230"/>
      <c r="BD48" s="1230"/>
      <c r="BE48" s="1230"/>
      <c r="BF48" s="1230"/>
      <c r="BG48" s="1230"/>
    </row>
    <row r="49">
      <c r="A49" s="1224" t="s">
        <v>111</v>
      </c>
      <c r="B49" s="1224">
        <v>248.55</v>
      </c>
      <c r="C49" s="1225">
        <v>1.091</v>
      </c>
      <c r="D49" s="1224">
        <v>9031067.0</v>
      </c>
      <c r="E49" s="1224">
        <v>6.99752757E11</v>
      </c>
      <c r="F49" s="1224">
        <v>5.0</v>
      </c>
      <c r="G49" s="1224" t="s">
        <v>1278</v>
      </c>
      <c r="H49" s="1226">
        <v>3.79</v>
      </c>
      <c r="I49" s="1227" t="s">
        <v>1271</v>
      </c>
      <c r="J49" s="1226" t="s">
        <v>1021</v>
      </c>
      <c r="K49" s="1226">
        <v>19617.0</v>
      </c>
      <c r="L49" s="1226" t="s">
        <v>1279</v>
      </c>
      <c r="M49" s="1226" t="s">
        <v>1280</v>
      </c>
      <c r="N49" s="1226" t="s">
        <v>1222</v>
      </c>
      <c r="O49" s="1226" t="s">
        <v>1223</v>
      </c>
      <c r="P49" s="1228" t="s">
        <v>1281</v>
      </c>
      <c r="Q49" s="1231" t="s">
        <v>1282</v>
      </c>
      <c r="R49" s="1228" t="s">
        <v>1283</v>
      </c>
      <c r="S49" s="1228" t="s">
        <v>1284</v>
      </c>
      <c r="T49" s="1229" t="s">
        <v>527</v>
      </c>
      <c r="U49" s="1228" t="s">
        <v>1029</v>
      </c>
      <c r="V49" s="1228">
        <v>316043.0</v>
      </c>
      <c r="W49" s="1228" t="s">
        <v>1285</v>
      </c>
      <c r="X49" s="1228" t="s">
        <v>1286</v>
      </c>
      <c r="Y49" s="1228" t="s">
        <v>1287</v>
      </c>
      <c r="Z49" s="1228" t="s">
        <v>1288</v>
      </c>
      <c r="AA49" s="1228">
        <v>10179.0</v>
      </c>
      <c r="AB49" s="1232">
        <v>66.79317</v>
      </c>
      <c r="AC49" s="1233">
        <v>181.75683497317522</v>
      </c>
      <c r="AD49" s="1231" t="s">
        <v>1289</v>
      </c>
      <c r="AE49" s="1234">
        <v>29297.0</v>
      </c>
      <c r="AF49" s="1228" t="b">
        <v>0</v>
      </c>
      <c r="AG49" s="1228" t="b">
        <v>0</v>
      </c>
      <c r="AH49" s="1228" t="b">
        <v>1</v>
      </c>
      <c r="AI49" s="1228" t="b">
        <v>0</v>
      </c>
      <c r="AJ49" s="1228" t="b">
        <v>0</v>
      </c>
      <c r="AK49" s="1230"/>
      <c r="AL49" s="1230"/>
      <c r="AM49" s="1230"/>
      <c r="AN49" s="1230"/>
      <c r="AO49" s="1230"/>
      <c r="AP49" s="1230"/>
      <c r="AQ49" s="1230"/>
      <c r="AR49" s="1230"/>
      <c r="AS49" s="1230"/>
      <c r="AT49" s="1230"/>
      <c r="AU49" s="1230"/>
      <c r="AV49" s="1230"/>
      <c r="AW49" s="1230"/>
      <c r="AX49" s="1230"/>
      <c r="AY49" s="1230"/>
      <c r="AZ49" s="1230"/>
      <c r="BA49" s="1230"/>
      <c r="BB49" s="1230"/>
      <c r="BC49" s="1230"/>
      <c r="BD49" s="1230"/>
      <c r="BE49" s="1230"/>
      <c r="BF49" s="1230"/>
      <c r="BG49" s="1230"/>
    </row>
    <row r="50">
      <c r="A50" s="1221"/>
      <c r="B50" s="1221"/>
      <c r="C50" s="1221"/>
      <c r="D50" s="1221"/>
      <c r="E50" s="1221"/>
      <c r="F50" s="1221"/>
      <c r="G50" s="1221"/>
      <c r="H50" s="1222"/>
      <c r="I50" s="1223"/>
      <c r="J50" s="913"/>
      <c r="K50" s="913"/>
      <c r="L50" s="913"/>
      <c r="M50" s="913"/>
      <c r="N50" s="913"/>
      <c r="O50" s="913"/>
      <c r="P50" s="480"/>
      <c r="Q50" s="480"/>
      <c r="R50" s="480"/>
      <c r="S50" s="480"/>
      <c r="T50" s="480"/>
      <c r="U50" s="480"/>
      <c r="V50" s="480"/>
      <c r="W50" s="480"/>
      <c r="X50" s="480"/>
      <c r="Y50" s="480"/>
      <c r="Z50" s="480"/>
      <c r="AA50" s="480"/>
      <c r="AB50" s="480"/>
      <c r="AC50" s="480"/>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c r="BE50" s="480"/>
      <c r="BF50" s="480"/>
      <c r="BG50" s="480"/>
    </row>
    <row r="51">
      <c r="A51" s="1220" t="s">
        <v>1036</v>
      </c>
      <c r="B51" s="480"/>
      <c r="C51" s="480"/>
      <c r="D51" s="480"/>
      <c r="E51" s="480"/>
      <c r="F51" s="480"/>
      <c r="G51" s="480"/>
      <c r="H51" s="913"/>
      <c r="I51" s="913"/>
      <c r="J51" s="913"/>
      <c r="K51" s="913"/>
      <c r="L51" s="913"/>
      <c r="M51" s="913"/>
      <c r="N51" s="913"/>
      <c r="O51" s="913"/>
      <c r="P51" s="913"/>
      <c r="Q51" s="913"/>
      <c r="R51" s="913"/>
      <c r="S51" s="913"/>
      <c r="T51" s="913"/>
      <c r="U51" s="913"/>
      <c r="V51" s="913"/>
      <c r="W51" s="913"/>
      <c r="X51" s="913"/>
      <c r="Y51" s="913"/>
      <c r="Z51" s="913"/>
      <c r="AA51" s="913"/>
      <c r="AB51" s="913"/>
      <c r="AC51" s="913"/>
      <c r="AD51" s="913"/>
      <c r="AE51" s="913"/>
      <c r="AF51" s="913"/>
      <c r="AG51" s="913"/>
      <c r="AH51" s="913"/>
      <c r="AI51" s="913"/>
      <c r="AJ51" s="913"/>
      <c r="AK51" s="913"/>
      <c r="AL51" s="913"/>
      <c r="AM51" s="913"/>
      <c r="AN51" s="913"/>
      <c r="AO51" s="913"/>
      <c r="AP51" s="913"/>
      <c r="AQ51" s="913"/>
      <c r="AR51" s="913"/>
      <c r="AS51" s="913"/>
      <c r="AT51" s="913"/>
      <c r="AU51" s="913"/>
      <c r="AV51" s="913"/>
      <c r="AW51" s="913"/>
      <c r="AX51" s="913"/>
      <c r="AY51" s="913"/>
      <c r="AZ51" s="913"/>
      <c r="BA51" s="913"/>
      <c r="BB51" s="913"/>
      <c r="BC51" s="913"/>
      <c r="BD51" s="913"/>
      <c r="BE51" s="913"/>
      <c r="BF51" s="913"/>
      <c r="BG51" s="913"/>
    </row>
    <row r="52">
      <c r="A52" s="1235" t="s">
        <v>1037</v>
      </c>
      <c r="B52" s="1220" t="s">
        <v>984</v>
      </c>
      <c r="C52" s="1220" t="s">
        <v>1038</v>
      </c>
      <c r="D52" s="1220" t="s">
        <v>994</v>
      </c>
      <c r="E52" s="1220" t="s">
        <v>1039</v>
      </c>
      <c r="F52" s="1220" t="s">
        <v>1040</v>
      </c>
      <c r="G52" s="1220" t="s">
        <v>1041</v>
      </c>
      <c r="H52" s="1236" t="s">
        <v>1042</v>
      </c>
      <c r="I52" s="1236" t="s">
        <v>1043</v>
      </c>
      <c r="J52" s="1236" t="s">
        <v>1044</v>
      </c>
      <c r="K52" s="1236" t="s">
        <v>1045</v>
      </c>
      <c r="L52" s="1236" t="s">
        <v>1046</v>
      </c>
      <c r="M52" s="1236" t="s">
        <v>1047</v>
      </c>
      <c r="N52" s="1236" t="s">
        <v>1048</v>
      </c>
      <c r="O52" s="1236" t="s">
        <v>1049</v>
      </c>
      <c r="P52" s="1236" t="s">
        <v>1050</v>
      </c>
      <c r="Q52" s="1236" t="s">
        <v>1051</v>
      </c>
      <c r="R52" s="1236" t="s">
        <v>1052</v>
      </c>
      <c r="S52" s="1236" t="s">
        <v>1053</v>
      </c>
      <c r="T52" s="1236" t="s">
        <v>1054</v>
      </c>
      <c r="U52" s="1236" t="s">
        <v>1055</v>
      </c>
      <c r="V52" s="1236" t="s">
        <v>1056</v>
      </c>
      <c r="W52" s="1236" t="s">
        <v>1057</v>
      </c>
      <c r="X52" s="1236" t="s">
        <v>1058</v>
      </c>
      <c r="Y52" s="1237" t="s">
        <v>1059</v>
      </c>
      <c r="Z52" s="1236" t="s">
        <v>1060</v>
      </c>
      <c r="AA52" s="1236" t="s">
        <v>1061</v>
      </c>
      <c r="AB52" s="1236" t="s">
        <v>1062</v>
      </c>
      <c r="AC52" s="1236" t="s">
        <v>1063</v>
      </c>
      <c r="AD52" s="1236" t="s">
        <v>1064</v>
      </c>
      <c r="AE52" s="1236" t="s">
        <v>1065</v>
      </c>
      <c r="AF52" s="1236" t="s">
        <v>1066</v>
      </c>
      <c r="AG52" s="1236" t="s">
        <v>1067</v>
      </c>
      <c r="AH52" s="1237" t="s">
        <v>1068</v>
      </c>
      <c r="AI52" s="1236" t="s">
        <v>1069</v>
      </c>
      <c r="AJ52" s="1236" t="s">
        <v>1070</v>
      </c>
      <c r="AK52" s="1236" t="s">
        <v>1071</v>
      </c>
      <c r="AL52" s="1236" t="s">
        <v>1072</v>
      </c>
      <c r="AM52" s="913"/>
      <c r="AN52" s="913"/>
      <c r="AO52" s="913"/>
      <c r="AP52" s="913"/>
      <c r="AQ52" s="913"/>
      <c r="AR52" s="913"/>
      <c r="AS52" s="913"/>
      <c r="AT52" s="913"/>
      <c r="AU52" s="913"/>
      <c r="AV52" s="913"/>
      <c r="AW52" s="913"/>
      <c r="AX52" s="913"/>
      <c r="AY52" s="913"/>
      <c r="AZ52" s="913"/>
      <c r="BA52" s="913"/>
      <c r="BB52" s="913"/>
      <c r="BC52" s="913"/>
      <c r="BD52" s="913"/>
      <c r="BE52" s="913"/>
      <c r="BF52" s="913"/>
      <c r="BG52" s="913"/>
    </row>
    <row r="53">
      <c r="A53" s="1238">
        <v>45291.0</v>
      </c>
      <c r="B53" s="1220" t="s">
        <v>111</v>
      </c>
      <c r="C53" s="1220" t="s">
        <v>1021</v>
      </c>
      <c r="D53" s="1220">
        <v>19617.0</v>
      </c>
      <c r="E53" s="1238">
        <v>45338.0</v>
      </c>
      <c r="F53" s="1239">
        <v>45338.680810185186</v>
      </c>
      <c r="G53" s="1220">
        <v>2023.0</v>
      </c>
      <c r="H53" s="1236" t="s">
        <v>1073</v>
      </c>
      <c r="I53" s="1240">
        <v>1.4567E11</v>
      </c>
      <c r="J53" s="1240">
        <v>-9.282E9</v>
      </c>
      <c r="K53" s="1240">
        <v>1.54952E11</v>
      </c>
      <c r="L53" s="1240">
        <v>1.0637193657</v>
      </c>
      <c r="M53" s="1240">
        <v>0.0</v>
      </c>
      <c r="N53" s="1240">
        <v>4.6465E10</v>
      </c>
      <c r="O53" s="1240">
        <v>4.591E9</v>
      </c>
      <c r="P53" s="1240">
        <v>7.5127E10</v>
      </c>
      <c r="Q53" s="1240">
        <v>0.0</v>
      </c>
      <c r="R53" s="1240">
        <v>7.5127E10</v>
      </c>
      <c r="S53" s="1240">
        <v>7.5127E10</v>
      </c>
      <c r="T53" s="1240">
        <v>1.70588E11</v>
      </c>
      <c r="U53" s="1240">
        <v>8.1321E10</v>
      </c>
      <c r="V53" s="1240">
        <v>7.512E9</v>
      </c>
      <c r="W53" s="1240">
        <v>7.8055E10</v>
      </c>
      <c r="X53" s="1240">
        <v>0.5358344203</v>
      </c>
      <c r="Y53" s="1241">
        <v>7.0543E10</v>
      </c>
      <c r="Z53" s="1240">
        <v>0.4842658063</v>
      </c>
      <c r="AA53" s="1240">
        <v>-8.931E9</v>
      </c>
      <c r="AB53" s="1240">
        <v>6.1612E10</v>
      </c>
      <c r="AC53" s="1240">
        <v>0.4229559964</v>
      </c>
      <c r="AD53" s="1240">
        <v>1.206E10</v>
      </c>
      <c r="AE53" s="1240">
        <v>4.9552E10</v>
      </c>
      <c r="AF53" s="1240">
        <v>0.3401661289</v>
      </c>
      <c r="AG53" s="1240">
        <v>16.25</v>
      </c>
      <c r="AH53" s="1241">
        <v>16.23</v>
      </c>
      <c r="AI53" s="1240">
        <v>2.9386E9</v>
      </c>
      <c r="AJ53" s="1240">
        <v>2.9431E9</v>
      </c>
      <c r="AK53" s="1242" t="s">
        <v>1290</v>
      </c>
      <c r="AL53" s="1242" t="s">
        <v>1291</v>
      </c>
      <c r="AM53" s="913"/>
      <c r="AN53" s="913"/>
      <c r="AO53" s="913"/>
      <c r="AP53" s="913"/>
      <c r="AQ53" s="913"/>
      <c r="AR53" s="913"/>
      <c r="AS53" s="913"/>
      <c r="AT53" s="913"/>
      <c r="AU53" s="913"/>
      <c r="AV53" s="913"/>
      <c r="AW53" s="913"/>
      <c r="AX53" s="913"/>
      <c r="AY53" s="913"/>
      <c r="AZ53" s="913"/>
      <c r="BA53" s="913"/>
      <c r="BB53" s="913"/>
      <c r="BC53" s="913"/>
      <c r="BD53" s="913"/>
      <c r="BE53" s="913"/>
      <c r="BF53" s="913"/>
      <c r="BG53" s="913"/>
    </row>
    <row r="54">
      <c r="A54" s="1238">
        <v>44926.0</v>
      </c>
      <c r="B54" s="1220" t="s">
        <v>111</v>
      </c>
      <c r="C54" s="1220" t="s">
        <v>1021</v>
      </c>
      <c r="D54" s="1220">
        <v>19617.0</v>
      </c>
      <c r="E54" s="1238">
        <v>44978.0</v>
      </c>
      <c r="F54" s="1239">
        <v>44978.67633101852</v>
      </c>
      <c r="G54" s="1220">
        <v>2022.0</v>
      </c>
      <c r="H54" s="1236" t="s">
        <v>1073</v>
      </c>
      <c r="I54" s="1240">
        <v>1.28641E11</v>
      </c>
      <c r="J54" s="1240">
        <v>0.0</v>
      </c>
      <c r="K54" s="1240">
        <v>1.28641E11</v>
      </c>
      <c r="L54" s="1240">
        <v>1.0</v>
      </c>
      <c r="M54" s="1240">
        <v>0.0</v>
      </c>
      <c r="N54" s="1240">
        <v>4.1636E10</v>
      </c>
      <c r="O54" s="1240">
        <v>3.911E9</v>
      </c>
      <c r="P54" s="1240">
        <v>4.5547E10</v>
      </c>
      <c r="Q54" s="1240">
        <v>3.0593E10</v>
      </c>
      <c r="R54" s="1240">
        <v>7.614E10</v>
      </c>
      <c r="S54" s="1240">
        <v>7.614E10</v>
      </c>
      <c r="T54" s="1240">
        <v>9.2807E10</v>
      </c>
      <c r="U54" s="1240">
        <v>2.6097E10</v>
      </c>
      <c r="V54" s="1240">
        <v>7.051E9</v>
      </c>
      <c r="W54" s="1240">
        <v>5.9574E10</v>
      </c>
      <c r="X54" s="1240">
        <v>-0.0159358214</v>
      </c>
      <c r="Y54" s="1240">
        <v>5.2523E10</v>
      </c>
      <c r="Z54" s="1240">
        <v>0.4294673666</v>
      </c>
      <c r="AA54" s="1240">
        <v>-6.357E9</v>
      </c>
      <c r="AB54" s="1240">
        <v>4.6166E10</v>
      </c>
      <c r="AC54" s="1240">
        <v>0.3774877758</v>
      </c>
      <c r="AD54" s="1240">
        <v>8.49E9</v>
      </c>
      <c r="AE54" s="1240">
        <v>3.7676E10</v>
      </c>
      <c r="AF54" s="1240">
        <v>0.3080671802</v>
      </c>
      <c r="AG54" s="1240">
        <v>12.1</v>
      </c>
      <c r="AH54" s="1240">
        <v>12.09</v>
      </c>
      <c r="AI54" s="1240">
        <v>2.9658E9</v>
      </c>
      <c r="AJ54" s="1240">
        <v>2.97E9</v>
      </c>
      <c r="AK54" s="1242" t="s">
        <v>1292</v>
      </c>
      <c r="AL54" s="1242" t="s">
        <v>1293</v>
      </c>
      <c r="AM54" s="913"/>
      <c r="AN54" s="913"/>
      <c r="AO54" s="913"/>
      <c r="AP54" s="913"/>
      <c r="AQ54" s="913"/>
      <c r="AR54" s="913"/>
      <c r="AS54" s="913"/>
      <c r="AT54" s="913"/>
      <c r="AU54" s="913"/>
      <c r="AV54" s="913"/>
      <c r="AW54" s="913"/>
      <c r="AX54" s="913"/>
      <c r="AY54" s="913"/>
      <c r="AZ54" s="913"/>
      <c r="BA54" s="913"/>
      <c r="BB54" s="913"/>
      <c r="BC54" s="913"/>
      <c r="BD54" s="913"/>
      <c r="BE54" s="913"/>
      <c r="BF54" s="913"/>
      <c r="BG54" s="913"/>
    </row>
    <row r="55">
      <c r="A55" s="1238">
        <v>44561.0</v>
      </c>
      <c r="B55" s="1220" t="s">
        <v>111</v>
      </c>
      <c r="C55" s="1220" t="s">
        <v>1021</v>
      </c>
      <c r="D55" s="1220">
        <v>19617.0</v>
      </c>
      <c r="E55" s="1238">
        <v>44614.0</v>
      </c>
      <c r="F55" s="1239">
        <v>44614.70591435185</v>
      </c>
      <c r="G55" s="1220">
        <v>2021.0</v>
      </c>
      <c r="H55" s="1236" t="s">
        <v>1073</v>
      </c>
      <c r="I55" s="1240">
        <v>1.21685E11</v>
      </c>
      <c r="J55" s="1240">
        <v>0.0</v>
      </c>
      <c r="K55" s="1240">
        <v>1.21685E11</v>
      </c>
      <c r="L55" s="1240">
        <v>1.0</v>
      </c>
      <c r="M55" s="1240">
        <v>0.0</v>
      </c>
      <c r="N55" s="1240">
        <v>3.8567E10</v>
      </c>
      <c r="O55" s="1240">
        <v>3.036E9</v>
      </c>
      <c r="P55" s="1240">
        <v>4.1603E10</v>
      </c>
      <c r="Q55" s="1240">
        <v>2.9733E10</v>
      </c>
      <c r="R55" s="1240">
        <v>7.1336E10</v>
      </c>
      <c r="S55" s="1240">
        <v>7.1336E10</v>
      </c>
      <c r="T55" s="1240">
        <v>5.7864E10</v>
      </c>
      <c r="U55" s="1240">
        <v>5.553E9</v>
      </c>
      <c r="V55" s="1240">
        <v>7.932E9</v>
      </c>
      <c r="W55" s="1240">
        <v>7.2956E10</v>
      </c>
      <c r="X55" s="1240">
        <v>-0.01854789</v>
      </c>
      <c r="Y55" s="1240">
        <v>6.5024E10</v>
      </c>
      <c r="Z55" s="1240">
        <v>0.4967531971</v>
      </c>
      <c r="AA55" s="1240">
        <v>-5.462E9</v>
      </c>
      <c r="AB55" s="1240">
        <v>5.9562E10</v>
      </c>
      <c r="AC55" s="1240">
        <v>0.4550260508</v>
      </c>
      <c r="AD55" s="1240">
        <v>1.1228E10</v>
      </c>
      <c r="AE55" s="1240">
        <v>4.8334E10</v>
      </c>
      <c r="AF55" s="1240">
        <v>0.3692493392</v>
      </c>
      <c r="AG55" s="1240">
        <v>15.39</v>
      </c>
      <c r="AH55" s="1240">
        <v>15.36</v>
      </c>
      <c r="AI55" s="1240">
        <v>3.0215E9</v>
      </c>
      <c r="AJ55" s="1240">
        <v>3.0266E9</v>
      </c>
      <c r="AK55" s="1242" t="s">
        <v>1294</v>
      </c>
      <c r="AL55" s="1242" t="s">
        <v>1295</v>
      </c>
      <c r="AM55" s="913"/>
      <c r="AN55" s="913"/>
      <c r="AO55" s="913"/>
      <c r="AP55" s="913"/>
      <c r="AQ55" s="913"/>
      <c r="AR55" s="913"/>
      <c r="AS55" s="913"/>
      <c r="AT55" s="913"/>
      <c r="AU55" s="913"/>
      <c r="AV55" s="913"/>
      <c r="AW55" s="913"/>
      <c r="AX55" s="913"/>
      <c r="AY55" s="913"/>
      <c r="AZ55" s="913"/>
      <c r="BA55" s="913"/>
      <c r="BB55" s="913"/>
      <c r="BC55" s="913"/>
      <c r="BD55" s="913"/>
      <c r="BE55" s="913"/>
      <c r="BF55" s="913"/>
      <c r="BG55" s="913"/>
    </row>
    <row r="56">
      <c r="A56" s="1238">
        <v>44196.0</v>
      </c>
      <c r="B56" s="1220" t="s">
        <v>111</v>
      </c>
      <c r="C56" s="1220" t="s">
        <v>1021</v>
      </c>
      <c r="D56" s="1220">
        <v>19617.0</v>
      </c>
      <c r="E56" s="1238">
        <v>44250.0</v>
      </c>
      <c r="F56" s="1239">
        <v>44250.67880787037</v>
      </c>
      <c r="G56" s="1220">
        <v>2020.0</v>
      </c>
      <c r="H56" s="1236" t="s">
        <v>1073</v>
      </c>
      <c r="I56" s="1240">
        <v>1.19883E11</v>
      </c>
      <c r="J56" s="1240">
        <v>0.0</v>
      </c>
      <c r="K56" s="1240">
        <v>1.19883E11</v>
      </c>
      <c r="L56" s="1240">
        <v>1.0</v>
      </c>
      <c r="M56" s="1240">
        <v>0.0</v>
      </c>
      <c r="N56" s="1240">
        <v>3.4988E10</v>
      </c>
      <c r="O56" s="1240">
        <v>2.476E9</v>
      </c>
      <c r="P56" s="1240">
        <v>3.7464E10</v>
      </c>
      <c r="Q56" s="1240">
        <v>2.9192E10</v>
      </c>
      <c r="R56" s="1240">
        <v>6.6656E10</v>
      </c>
      <c r="S56" s="1240">
        <v>6.6656E10</v>
      </c>
      <c r="T56" s="1240">
        <v>6.4523E10</v>
      </c>
      <c r="U56" s="1240">
        <v>9.96E9</v>
      </c>
      <c r="V56" s="1240">
        <v>8.614E9</v>
      </c>
      <c r="W56" s="1240">
        <v>5.037E10</v>
      </c>
      <c r="X56" s="1240">
        <v>-0.0236563983</v>
      </c>
      <c r="Y56" s="1240">
        <v>4.1756E10</v>
      </c>
      <c r="Z56" s="1240">
        <v>0.4074908999</v>
      </c>
      <c r="AA56" s="1240">
        <v>-5.941E9</v>
      </c>
      <c r="AB56" s="1240">
        <v>3.5815E10</v>
      </c>
      <c r="AC56" s="1240">
        <v>0.3495135209</v>
      </c>
      <c r="AD56" s="1240">
        <v>6.684E9</v>
      </c>
      <c r="AE56" s="1240">
        <v>2.9131E10</v>
      </c>
      <c r="AF56" s="1240">
        <v>0.28428531</v>
      </c>
      <c r="AG56" s="1240">
        <v>8.89</v>
      </c>
      <c r="AH56" s="1240">
        <v>8.88</v>
      </c>
      <c r="AI56" s="1240">
        <v>3.0824E9</v>
      </c>
      <c r="AJ56" s="1240">
        <v>3.0874E9</v>
      </c>
      <c r="AK56" s="1242" t="s">
        <v>1296</v>
      </c>
      <c r="AL56" s="1242" t="s">
        <v>1297</v>
      </c>
      <c r="AM56" s="913"/>
      <c r="AN56" s="913"/>
      <c r="AO56" s="913"/>
      <c r="AP56" s="913"/>
      <c r="AQ56" s="913"/>
      <c r="AR56" s="913"/>
      <c r="AS56" s="913"/>
      <c r="AT56" s="913"/>
      <c r="AU56" s="913"/>
      <c r="AV56" s="913"/>
      <c r="AW56" s="913"/>
      <c r="AX56" s="913"/>
      <c r="AY56" s="913"/>
      <c r="AZ56" s="913"/>
      <c r="BA56" s="913"/>
      <c r="BB56" s="913"/>
      <c r="BC56" s="913"/>
      <c r="BD56" s="913"/>
      <c r="BE56" s="913"/>
      <c r="BF56" s="913"/>
      <c r="BG56" s="913"/>
    </row>
    <row r="57">
      <c r="A57" s="1238">
        <v>43830.0</v>
      </c>
      <c r="B57" s="1220" t="s">
        <v>111</v>
      </c>
      <c r="C57" s="1220" t="s">
        <v>1021</v>
      </c>
      <c r="D57" s="1220">
        <v>19617.0</v>
      </c>
      <c r="E57" s="1238">
        <v>43886.0</v>
      </c>
      <c r="F57" s="1239">
        <v>43886.68821759259</v>
      </c>
      <c r="G57" s="1220">
        <v>2019.0</v>
      </c>
      <c r="H57" s="1236" t="s">
        <v>1073</v>
      </c>
      <c r="I57" s="1240">
        <v>1.1572E11</v>
      </c>
      <c r="J57" s="1240">
        <v>0.0</v>
      </c>
      <c r="K57" s="1240">
        <v>1.1572E11</v>
      </c>
      <c r="L57" s="1240">
        <v>1.0</v>
      </c>
      <c r="M57" s="1240">
        <v>0.0</v>
      </c>
      <c r="N57" s="1240">
        <v>3.4155E10</v>
      </c>
      <c r="O57" s="1240">
        <v>3.351E9</v>
      </c>
      <c r="P57" s="1240">
        <v>3.7506E10</v>
      </c>
      <c r="Q57" s="1240">
        <v>2.7762E10</v>
      </c>
      <c r="R57" s="1240">
        <v>6.5268E10</v>
      </c>
      <c r="S57" s="1240">
        <v>6.5268E10</v>
      </c>
      <c r="T57" s="1240">
        <v>8.404E10</v>
      </c>
      <c r="U57" s="1240">
        <v>2.6795E10</v>
      </c>
      <c r="V57" s="1240">
        <v>8.368E9</v>
      </c>
      <c r="W57" s="1240">
        <v>5.832E10</v>
      </c>
      <c r="X57" s="1240">
        <v>-0.0175250605</v>
      </c>
      <c r="Y57" s="1240">
        <v>4.9952E10</v>
      </c>
      <c r="Z57" s="1240">
        <v>0.4535565765</v>
      </c>
      <c r="AA57" s="1240">
        <v>-5.086E9</v>
      </c>
      <c r="AB57" s="1240">
        <v>4.4866E10</v>
      </c>
      <c r="AC57" s="1240">
        <v>0.4073764687</v>
      </c>
      <c r="AD57" s="1240">
        <v>8.435E9</v>
      </c>
      <c r="AE57" s="1240">
        <v>3.6431E10</v>
      </c>
      <c r="AF57" s="1240">
        <v>0.3307879492</v>
      </c>
      <c r="AG57" s="1240">
        <v>10.75</v>
      </c>
      <c r="AH57" s="1240">
        <v>10.72</v>
      </c>
      <c r="AI57" s="1240">
        <v>3.2215E9</v>
      </c>
      <c r="AJ57" s="1240">
        <v>3.2304E9</v>
      </c>
      <c r="AK57" s="1242" t="s">
        <v>1298</v>
      </c>
      <c r="AL57" s="1242" t="s">
        <v>1299</v>
      </c>
      <c r="AM57" s="913"/>
      <c r="AN57" s="913"/>
      <c r="AO57" s="913"/>
      <c r="AP57" s="913"/>
      <c r="AQ57" s="913"/>
      <c r="AR57" s="913"/>
      <c r="AS57" s="913"/>
      <c r="AT57" s="913"/>
      <c r="AU57" s="913"/>
      <c r="AV57" s="913"/>
      <c r="AW57" s="913"/>
      <c r="AX57" s="913"/>
      <c r="AY57" s="913"/>
      <c r="AZ57" s="913"/>
      <c r="BA57" s="913"/>
      <c r="BB57" s="913"/>
      <c r="BC57" s="913"/>
      <c r="BD57" s="913"/>
      <c r="BE57" s="913"/>
      <c r="BF57" s="913"/>
      <c r="BG57" s="913"/>
    </row>
    <row r="58">
      <c r="A58" s="480"/>
      <c r="B58" s="480"/>
      <c r="C58" s="480"/>
      <c r="D58" s="480"/>
      <c r="E58" s="480"/>
      <c r="F58" s="480"/>
      <c r="G58" s="480"/>
      <c r="H58" s="913"/>
      <c r="I58" s="913"/>
      <c r="J58" s="913"/>
      <c r="K58" s="913"/>
      <c r="L58" s="913"/>
      <c r="M58" s="913"/>
      <c r="N58" s="913"/>
      <c r="O58" s="913"/>
      <c r="P58" s="913"/>
      <c r="Q58" s="913"/>
      <c r="R58" s="913"/>
      <c r="S58" s="913"/>
      <c r="T58" s="913"/>
      <c r="U58" s="913"/>
      <c r="V58" s="913"/>
      <c r="W58" s="913"/>
      <c r="X58" s="913"/>
      <c r="Y58" s="913"/>
      <c r="Z58" s="913"/>
      <c r="AA58" s="913"/>
      <c r="AB58" s="913"/>
      <c r="AC58" s="913"/>
      <c r="AD58" s="913"/>
      <c r="AE58" s="913"/>
      <c r="AF58" s="913"/>
      <c r="AG58" s="913"/>
      <c r="AH58" s="913"/>
      <c r="AI58" s="913"/>
      <c r="AJ58" s="913"/>
      <c r="AK58" s="913"/>
      <c r="AL58" s="913"/>
      <c r="AM58" s="913"/>
      <c r="AN58" s="913"/>
      <c r="AO58" s="913"/>
      <c r="AP58" s="913"/>
      <c r="AQ58" s="913"/>
      <c r="AR58" s="913"/>
      <c r="AS58" s="913"/>
      <c r="AT58" s="913"/>
      <c r="AU58" s="913"/>
      <c r="AV58" s="913"/>
      <c r="AW58" s="913"/>
      <c r="AX58" s="913"/>
      <c r="AY58" s="913"/>
      <c r="AZ58" s="913"/>
      <c r="BA58" s="913"/>
      <c r="BB58" s="913"/>
      <c r="BC58" s="913"/>
      <c r="BD58" s="913"/>
      <c r="BE58" s="913"/>
      <c r="BF58" s="913"/>
      <c r="BG58" s="913"/>
    </row>
    <row r="59">
      <c r="A59" s="1220" t="s">
        <v>1084</v>
      </c>
      <c r="B59" s="480"/>
      <c r="C59" s="480"/>
      <c r="D59" s="480"/>
      <c r="E59" s="480"/>
      <c r="F59" s="480"/>
      <c r="G59" s="480"/>
      <c r="H59" s="913"/>
      <c r="I59" s="913"/>
      <c r="J59" s="913"/>
      <c r="K59" s="913"/>
      <c r="L59" s="913"/>
      <c r="M59" s="913"/>
      <c r="N59" s="913"/>
      <c r="O59" s="913"/>
      <c r="P59" s="913"/>
      <c r="Q59" s="913"/>
      <c r="R59" s="913"/>
      <c r="S59" s="913"/>
      <c r="T59" s="913"/>
      <c r="U59" s="913"/>
      <c r="V59" s="913"/>
      <c r="W59" s="913"/>
      <c r="X59" s="913"/>
      <c r="Y59" s="913"/>
      <c r="Z59" s="913"/>
      <c r="AA59" s="913"/>
      <c r="AB59" s="913"/>
      <c r="AC59" s="913"/>
      <c r="AD59" s="913"/>
      <c r="AE59" s="913"/>
      <c r="AF59" s="913"/>
      <c r="AG59" s="913"/>
      <c r="AH59" s="913"/>
      <c r="AI59" s="913"/>
      <c r="AJ59" s="913"/>
      <c r="AK59" s="913"/>
      <c r="AL59" s="913"/>
      <c r="AM59" s="913"/>
      <c r="AN59" s="913"/>
      <c r="AO59" s="913"/>
      <c r="AP59" s="913"/>
      <c r="AQ59" s="913"/>
      <c r="AR59" s="913"/>
      <c r="AS59" s="913"/>
      <c r="AT59" s="913"/>
      <c r="AU59" s="913"/>
      <c r="AV59" s="913"/>
      <c r="AW59" s="913"/>
      <c r="AX59" s="913"/>
      <c r="AY59" s="913"/>
      <c r="AZ59" s="913"/>
      <c r="BA59" s="913"/>
      <c r="BB59" s="913"/>
      <c r="BC59" s="913"/>
      <c r="BD59" s="913"/>
      <c r="BE59" s="913"/>
      <c r="BF59" s="913"/>
      <c r="BG59" s="913"/>
    </row>
    <row r="60">
      <c r="A60" s="1243" t="s">
        <v>1037</v>
      </c>
      <c r="B60" s="1220" t="s">
        <v>984</v>
      </c>
      <c r="C60" s="1220" t="s">
        <v>1038</v>
      </c>
      <c r="D60" s="1220" t="s">
        <v>994</v>
      </c>
      <c r="E60" s="1220" t="s">
        <v>1039</v>
      </c>
      <c r="F60" s="1220" t="s">
        <v>1040</v>
      </c>
      <c r="G60" s="1220" t="s">
        <v>1041</v>
      </c>
      <c r="H60" s="1236" t="s">
        <v>1042</v>
      </c>
      <c r="I60" s="1237" t="s">
        <v>1085</v>
      </c>
      <c r="J60" s="1236" t="s">
        <v>1086</v>
      </c>
      <c r="K60" s="1236" t="s">
        <v>1087</v>
      </c>
      <c r="L60" s="1236" t="s">
        <v>1088</v>
      </c>
      <c r="M60" s="1236" t="s">
        <v>1089</v>
      </c>
      <c r="N60" s="1236" t="s">
        <v>1090</v>
      </c>
      <c r="O60" s="1236" t="s">
        <v>1091</v>
      </c>
      <c r="P60" s="1236" t="s">
        <v>1092</v>
      </c>
      <c r="Q60" s="1236" t="s">
        <v>1093</v>
      </c>
      <c r="R60" s="1236" t="s">
        <v>1094</v>
      </c>
      <c r="S60" s="1236" t="s">
        <v>1095</v>
      </c>
      <c r="T60" s="1236" t="s">
        <v>1096</v>
      </c>
      <c r="U60" s="1236" t="s">
        <v>1097</v>
      </c>
      <c r="V60" s="1236" t="s">
        <v>1098</v>
      </c>
      <c r="W60" s="1236" t="s">
        <v>1099</v>
      </c>
      <c r="X60" s="1236" t="s">
        <v>1100</v>
      </c>
      <c r="Y60" s="1236" t="s">
        <v>1101</v>
      </c>
      <c r="Z60" s="1236" t="s">
        <v>1102</v>
      </c>
      <c r="AA60" s="1236" t="s">
        <v>1103</v>
      </c>
      <c r="AB60" s="1236" t="s">
        <v>1104</v>
      </c>
      <c r="AC60" s="1236" t="s">
        <v>1105</v>
      </c>
      <c r="AD60" s="1236" t="s">
        <v>1106</v>
      </c>
      <c r="AE60" s="1236" t="s">
        <v>1107</v>
      </c>
      <c r="AF60" s="1236" t="s">
        <v>1108</v>
      </c>
      <c r="AG60" s="1236" t="s">
        <v>1109</v>
      </c>
      <c r="AH60" s="1236" t="s">
        <v>1110</v>
      </c>
      <c r="AI60" s="1236" t="s">
        <v>1111</v>
      </c>
      <c r="AJ60" s="1236" t="s">
        <v>1112</v>
      </c>
      <c r="AK60" s="1236" t="s">
        <v>1113</v>
      </c>
      <c r="AL60" s="1236" t="s">
        <v>1114</v>
      </c>
      <c r="AM60" s="1236" t="s">
        <v>1115</v>
      </c>
      <c r="AN60" s="1236" t="s">
        <v>1116</v>
      </c>
      <c r="AO60" s="1236" t="s">
        <v>1117</v>
      </c>
      <c r="AP60" s="1236" t="s">
        <v>1118</v>
      </c>
      <c r="AQ60" s="1236" t="s">
        <v>1119</v>
      </c>
      <c r="AR60" s="1236" t="s">
        <v>1120</v>
      </c>
      <c r="AS60" s="1236" t="s">
        <v>1121</v>
      </c>
      <c r="AT60" s="1236" t="s">
        <v>1122</v>
      </c>
      <c r="AU60" s="1236" t="s">
        <v>1123</v>
      </c>
      <c r="AV60" s="1236" t="s">
        <v>1124</v>
      </c>
      <c r="AW60" s="1236" t="s">
        <v>1125</v>
      </c>
      <c r="AX60" s="1236" t="s">
        <v>1126</v>
      </c>
      <c r="AY60" s="1237" t="s">
        <v>1127</v>
      </c>
      <c r="AZ60" s="1236" t="s">
        <v>1128</v>
      </c>
      <c r="BA60" s="1236" t="s">
        <v>1071</v>
      </c>
      <c r="BB60" s="1236" t="s">
        <v>1072</v>
      </c>
      <c r="BC60" s="913"/>
      <c r="BD60" s="913"/>
      <c r="BE60" s="913"/>
      <c r="BF60" s="913"/>
      <c r="BG60" s="913"/>
    </row>
    <row r="61">
      <c r="A61" s="1238">
        <v>45291.0</v>
      </c>
      <c r="B61" s="1220" t="s">
        <v>111</v>
      </c>
      <c r="C61" s="1220" t="s">
        <v>1021</v>
      </c>
      <c r="D61" s="1220">
        <v>19617.0</v>
      </c>
      <c r="E61" s="1238">
        <v>45338.0</v>
      </c>
      <c r="F61" s="1239">
        <v>45338.680810185186</v>
      </c>
      <c r="G61" s="1220">
        <v>2023.0</v>
      </c>
      <c r="H61" s="1236" t="s">
        <v>1073</v>
      </c>
      <c r="I61" s="1241">
        <v>6.24151E11</v>
      </c>
      <c r="J61" s="1240">
        <v>2.01704E11</v>
      </c>
      <c r="K61" s="1240">
        <v>2.3077E11</v>
      </c>
      <c r="L61" s="1240">
        <v>1.07363E11</v>
      </c>
      <c r="M61" s="1240">
        <v>0.0</v>
      </c>
      <c r="N61" s="1240">
        <v>8.24984E11</v>
      </c>
      <c r="O61" s="1240">
        <v>1.163117E12</v>
      </c>
      <c r="P61" s="1240">
        <v>3.0157E10</v>
      </c>
      <c r="Q61" s="1240">
        <v>5.2634E10</v>
      </c>
      <c r="R61" s="1240">
        <v>1.1747E10</v>
      </c>
      <c r="S61" s="1240">
        <v>6.4381E10</v>
      </c>
      <c r="T61" s="1240">
        <v>0.0</v>
      </c>
      <c r="U61" s="1240">
        <v>0.0</v>
      </c>
      <c r="V61" s="1240">
        <v>-9.4538E10</v>
      </c>
      <c r="W61" s="1240">
        <v>9.4538E10</v>
      </c>
      <c r="X61" s="1240">
        <v>2.617738E12</v>
      </c>
      <c r="Y61" s="1240">
        <v>3.875393E12</v>
      </c>
      <c r="Z61" s="1240">
        <v>1.6196E11</v>
      </c>
      <c r="AA61" s="1240">
        <v>4.4712E10</v>
      </c>
      <c r="AB61" s="1240">
        <v>0.0</v>
      </c>
      <c r="AC61" s="1240">
        <v>0.0</v>
      </c>
      <c r="AD61" s="1240">
        <v>-1.6196E11</v>
      </c>
      <c r="AE61" s="1240">
        <v>4.4712E10</v>
      </c>
      <c r="AF61" s="1240">
        <v>3.91825E11</v>
      </c>
      <c r="AG61" s="1240">
        <v>0.0</v>
      </c>
      <c r="AH61" s="1240">
        <v>0.0</v>
      </c>
      <c r="AI61" s="1240">
        <v>2.98053E12</v>
      </c>
      <c r="AJ61" s="1240">
        <v>3.372355E12</v>
      </c>
      <c r="AK61" s="1240">
        <v>1.30448E11</v>
      </c>
      <c r="AL61" s="1240">
        <v>0.0</v>
      </c>
      <c r="AM61" s="1240">
        <v>3.547515E12</v>
      </c>
      <c r="AN61" s="1240">
        <v>2.7404E10</v>
      </c>
      <c r="AO61" s="1240">
        <v>4.105E9</v>
      </c>
      <c r="AP61" s="1240">
        <v>3.32901E11</v>
      </c>
      <c r="AQ61" s="1240">
        <v>-1.0443E10</v>
      </c>
      <c r="AR61" s="1240">
        <v>-2.6089E10</v>
      </c>
      <c r="AS61" s="1240">
        <v>3.27878E11</v>
      </c>
      <c r="AT61" s="1240">
        <v>3.27878E11</v>
      </c>
      <c r="AU61" s="1240">
        <v>3.875393E12</v>
      </c>
      <c r="AV61" s="1240">
        <v>0.0</v>
      </c>
      <c r="AW61" s="1240">
        <v>3.875393E12</v>
      </c>
      <c r="AX61" s="1240">
        <v>2.01704E11</v>
      </c>
      <c r="AY61" s="1241">
        <v>4.36537E11</v>
      </c>
      <c r="AZ61" s="1240">
        <v>-1.87614E11</v>
      </c>
      <c r="BA61" s="1242" t="s">
        <v>1290</v>
      </c>
      <c r="BB61" s="1242" t="s">
        <v>1291</v>
      </c>
      <c r="BC61" s="913"/>
      <c r="BD61" s="913"/>
      <c r="BE61" s="913"/>
      <c r="BF61" s="913"/>
      <c r="BG61" s="913"/>
    </row>
    <row r="62">
      <c r="A62" s="1238">
        <v>44926.0</v>
      </c>
      <c r="B62" s="1220" t="s">
        <v>111</v>
      </c>
      <c r="C62" s="1220" t="s">
        <v>1021</v>
      </c>
      <c r="D62" s="1220">
        <v>19617.0</v>
      </c>
      <c r="E62" s="1238">
        <v>44978.0</v>
      </c>
      <c r="F62" s="1239">
        <v>44978.67633101852</v>
      </c>
      <c r="G62" s="1220">
        <v>2022.0</v>
      </c>
      <c r="H62" s="1236" t="s">
        <v>1073</v>
      </c>
      <c r="I62" s="1240">
        <v>5.67234E11</v>
      </c>
      <c r="J62" s="1240">
        <v>1.96699E11</v>
      </c>
      <c r="K62" s="1240">
        <v>7.63933E11</v>
      </c>
      <c r="L62" s="1240">
        <v>1.25189E11</v>
      </c>
      <c r="M62" s="1240">
        <v>0.0</v>
      </c>
      <c r="N62" s="1240">
        <v>7.58264E11</v>
      </c>
      <c r="O62" s="1240">
        <v>1.647386E12</v>
      </c>
      <c r="P62" s="1240">
        <v>2.7734E10</v>
      </c>
      <c r="Q62" s="1240">
        <v>5.1662E10</v>
      </c>
      <c r="R62" s="1240">
        <v>9.197E9</v>
      </c>
      <c r="S62" s="1240">
        <v>6.0859E10</v>
      </c>
      <c r="T62" s="1240">
        <v>1.014081E12</v>
      </c>
      <c r="U62" s="1240">
        <v>0.0</v>
      </c>
      <c r="V62" s="1240">
        <v>-1.070709E12</v>
      </c>
      <c r="W62" s="1240">
        <v>1.102674E12</v>
      </c>
      <c r="X62" s="1240">
        <v>9.15683E11</v>
      </c>
      <c r="Y62" s="1240">
        <v>3.665743E12</v>
      </c>
      <c r="Z62" s="1240">
        <v>1.88692E11</v>
      </c>
      <c r="AA62" s="1240">
        <v>4.4027E10</v>
      </c>
      <c r="AB62" s="1240">
        <v>4.6166E10</v>
      </c>
      <c r="AC62" s="1240">
        <v>0.0</v>
      </c>
      <c r="AD62" s="1240">
        <v>-2.34858E11</v>
      </c>
      <c r="AE62" s="1240">
        <v>3.44168E11</v>
      </c>
      <c r="AF62" s="1240">
        <v>2.95865E11</v>
      </c>
      <c r="AG62" s="1240">
        <v>0.0</v>
      </c>
      <c r="AH62" s="1240">
        <v>0.0</v>
      </c>
      <c r="AI62" s="1240">
        <v>3.033519E12</v>
      </c>
      <c r="AJ62" s="1240">
        <v>3.331521E12</v>
      </c>
      <c r="AK62" s="1240">
        <v>-3.02278E11</v>
      </c>
      <c r="AL62" s="1240">
        <v>0.0</v>
      </c>
      <c r="AM62" s="1240">
        <v>3.373411E12</v>
      </c>
      <c r="AN62" s="1240">
        <v>2.7404E10</v>
      </c>
      <c r="AO62" s="1240">
        <v>4.105E9</v>
      </c>
      <c r="AP62" s="1240">
        <v>2.96456E11</v>
      </c>
      <c r="AQ62" s="1240">
        <v>-1.7341E10</v>
      </c>
      <c r="AR62" s="1240">
        <v>-1.8292E10</v>
      </c>
      <c r="AS62" s="1240">
        <v>2.92332E11</v>
      </c>
      <c r="AT62" s="1240">
        <v>2.92332E11</v>
      </c>
      <c r="AU62" s="1240">
        <v>3.665743E12</v>
      </c>
      <c r="AV62" s="1240">
        <v>0.0</v>
      </c>
      <c r="AW62" s="1240">
        <v>3.665743E12</v>
      </c>
      <c r="AX62" s="1240">
        <v>1.219938E12</v>
      </c>
      <c r="AY62" s="1240">
        <v>4.66727E11</v>
      </c>
      <c r="AZ62" s="1240">
        <v>-1.00507E11</v>
      </c>
      <c r="BA62" s="1242" t="s">
        <v>1292</v>
      </c>
      <c r="BB62" s="1242" t="s">
        <v>1293</v>
      </c>
      <c r="BC62" s="913"/>
      <c r="BD62" s="913"/>
      <c r="BE62" s="913"/>
      <c r="BF62" s="913"/>
      <c r="BG62" s="913"/>
    </row>
    <row r="63">
      <c r="A63" s="1238">
        <v>44561.0</v>
      </c>
      <c r="B63" s="1220" t="s">
        <v>111</v>
      </c>
      <c r="C63" s="1220" t="s">
        <v>1021</v>
      </c>
      <c r="D63" s="1220">
        <v>19617.0</v>
      </c>
      <c r="E63" s="1238">
        <v>44614.0</v>
      </c>
      <c r="F63" s="1239">
        <v>44614.70591435185</v>
      </c>
      <c r="G63" s="1220">
        <v>2021.0</v>
      </c>
      <c r="H63" s="1236" t="s">
        <v>1073</v>
      </c>
      <c r="I63" s="1240">
        <v>7.40834E11</v>
      </c>
      <c r="J63" s="1240">
        <v>2.90257E11</v>
      </c>
      <c r="K63" s="1240">
        <v>1.031091E12</v>
      </c>
      <c r="L63" s="1240">
        <v>1.0257E11</v>
      </c>
      <c r="M63" s="1240">
        <v>0.0</v>
      </c>
      <c r="N63" s="1240">
        <v>6.113E11</v>
      </c>
      <c r="O63" s="1240">
        <v>1.744961E12</v>
      </c>
      <c r="P63" s="1240">
        <v>2.707E10</v>
      </c>
      <c r="Q63" s="1240">
        <v>5.0315E10</v>
      </c>
      <c r="R63" s="1240">
        <v>6.376E9</v>
      </c>
      <c r="S63" s="1240">
        <v>5.6691E10</v>
      </c>
      <c r="T63" s="1240">
        <v>1.048726E12</v>
      </c>
      <c r="U63" s="1240">
        <v>0.0</v>
      </c>
      <c r="V63" s="1240">
        <v>-1.06859E12</v>
      </c>
      <c r="W63" s="1240">
        <v>1.132487E12</v>
      </c>
      <c r="X63" s="1240">
        <v>8.66119E11</v>
      </c>
      <c r="Y63" s="1240">
        <v>3.743567E12</v>
      </c>
      <c r="Z63" s="1240">
        <v>1.69172E11</v>
      </c>
      <c r="AA63" s="1240">
        <v>5.3594E10</v>
      </c>
      <c r="AB63" s="1240">
        <v>0.0</v>
      </c>
      <c r="AC63" s="1240">
        <v>0.0</v>
      </c>
      <c r="AD63" s="1240">
        <v>-1.69172E11</v>
      </c>
      <c r="AE63" s="1240">
        <v>3.16349E11</v>
      </c>
      <c r="AF63" s="1240">
        <v>3.01005E11</v>
      </c>
      <c r="AG63" s="1240">
        <v>0.0</v>
      </c>
      <c r="AH63" s="1240">
        <v>0.0</v>
      </c>
      <c r="AI63" s="1240">
        <v>3.094841E12</v>
      </c>
      <c r="AJ63" s="1240">
        <v>4.15582E11</v>
      </c>
      <c r="AK63" s="1240">
        <v>2.717509E12</v>
      </c>
      <c r="AL63" s="1240">
        <v>0.0</v>
      </c>
      <c r="AM63" s="1240">
        <v>3.44944E12</v>
      </c>
      <c r="AN63" s="1240">
        <v>3.4838E10</v>
      </c>
      <c r="AO63" s="1240">
        <v>4.105E9</v>
      </c>
      <c r="AP63" s="1240">
        <v>2.72268E11</v>
      </c>
      <c r="AQ63" s="1240">
        <v>-8.4E7</v>
      </c>
      <c r="AR63" s="1240">
        <v>-1.7E10</v>
      </c>
      <c r="AS63" s="1240">
        <v>2.94127E11</v>
      </c>
      <c r="AT63" s="1240">
        <v>2.94127E11</v>
      </c>
      <c r="AU63" s="1240">
        <v>3.743567E12</v>
      </c>
      <c r="AV63" s="1240">
        <v>0.0</v>
      </c>
      <c r="AW63" s="1240">
        <v>3.743567E12</v>
      </c>
      <c r="AX63" s="1240">
        <v>1.357251E12</v>
      </c>
      <c r="AY63" s="1240">
        <v>4.69176E11</v>
      </c>
      <c r="AZ63" s="1240">
        <v>-2.71658E11</v>
      </c>
      <c r="BA63" s="1242" t="s">
        <v>1294</v>
      </c>
      <c r="BB63" s="1242" t="s">
        <v>1295</v>
      </c>
      <c r="BC63" s="913"/>
      <c r="BD63" s="913"/>
      <c r="BE63" s="913"/>
      <c r="BF63" s="913"/>
      <c r="BG63" s="913"/>
    </row>
    <row r="64">
      <c r="A64" s="1238">
        <v>44196.0</v>
      </c>
      <c r="B64" s="1220" t="s">
        <v>111</v>
      </c>
      <c r="C64" s="1220" t="s">
        <v>1021</v>
      </c>
      <c r="D64" s="1220">
        <v>19617.0</v>
      </c>
      <c r="E64" s="1238">
        <v>44250.0</v>
      </c>
      <c r="F64" s="1239">
        <v>44250.67880787037</v>
      </c>
      <c r="G64" s="1220">
        <v>2020.0</v>
      </c>
      <c r="H64" s="1236" t="s">
        <v>1073</v>
      </c>
      <c r="I64" s="1240">
        <v>5.27609E11</v>
      </c>
      <c r="J64" s="1240">
        <v>3.55951E11</v>
      </c>
      <c r="K64" s="1240">
        <v>8.8356E11</v>
      </c>
      <c r="L64" s="1240">
        <v>9.0503E10</v>
      </c>
      <c r="M64" s="1240">
        <v>0.0</v>
      </c>
      <c r="N64" s="1240">
        <v>6.0435E11</v>
      </c>
      <c r="O64" s="1240">
        <v>1.578413E12</v>
      </c>
      <c r="P64" s="1240">
        <v>2.7109E10</v>
      </c>
      <c r="Q64" s="1240">
        <v>4.9248E10</v>
      </c>
      <c r="R64" s="1240">
        <v>4.18E9</v>
      </c>
      <c r="S64" s="1240">
        <v>5.3428E10</v>
      </c>
      <c r="T64" s="1240">
        <v>1.013495E12</v>
      </c>
      <c r="U64" s="1240">
        <v>0.0</v>
      </c>
      <c r="V64" s="1240">
        <v>-1.01079E12</v>
      </c>
      <c r="W64" s="1240">
        <v>1.094032E12</v>
      </c>
      <c r="X64" s="1240">
        <v>7.13626E11</v>
      </c>
      <c r="Y64" s="1240">
        <v>3.386071E12</v>
      </c>
      <c r="Z64" s="1240">
        <v>1.40291E11</v>
      </c>
      <c r="AA64" s="1240">
        <v>4.5208E10</v>
      </c>
      <c r="AB64" s="1240">
        <v>0.0</v>
      </c>
      <c r="AC64" s="1240">
        <v>0.0</v>
      </c>
      <c r="AD64" s="1240">
        <v>-3.7508E10</v>
      </c>
      <c r="AE64" s="1240">
        <v>2.77807E11</v>
      </c>
      <c r="AF64" s="1240">
        <v>2.81685E11</v>
      </c>
      <c r="AG64" s="1240">
        <v>0.0</v>
      </c>
      <c r="AH64" s="1240">
        <v>0.0</v>
      </c>
      <c r="AI64" s="1240">
        <v>2.675727E12</v>
      </c>
      <c r="AJ64" s="1240">
        <v>3.81243E11</v>
      </c>
      <c r="AK64" s="1240">
        <v>2.447667E12</v>
      </c>
      <c r="AL64" s="1240">
        <v>0.0</v>
      </c>
      <c r="AM64" s="1240">
        <v>3.106717E12</v>
      </c>
      <c r="AN64" s="1240">
        <v>3.0063E10</v>
      </c>
      <c r="AO64" s="1240">
        <v>4.105E9</v>
      </c>
      <c r="AP64" s="1240">
        <v>2.3699E11</v>
      </c>
      <c r="AQ64" s="1240">
        <v>7.986E9</v>
      </c>
      <c r="AR64" s="1240">
        <v>2.1E8</v>
      </c>
      <c r="AS64" s="1240">
        <v>2.79354E11</v>
      </c>
      <c r="AT64" s="1240">
        <v>2.79354E11</v>
      </c>
      <c r="AU64" s="1240">
        <v>3.386071E12</v>
      </c>
      <c r="AV64" s="1240">
        <v>0.0</v>
      </c>
      <c r="AW64" s="1240">
        <v>3.386071E12</v>
      </c>
      <c r="AX64" s="1240">
        <v>1.401673E12</v>
      </c>
      <c r="AY64" s="1240">
        <v>4.26451E11</v>
      </c>
      <c r="AZ64" s="1240">
        <v>-1.01158E11</v>
      </c>
      <c r="BA64" s="1242" t="s">
        <v>1296</v>
      </c>
      <c r="BB64" s="1242" t="s">
        <v>1297</v>
      </c>
      <c r="BC64" s="913"/>
      <c r="BD64" s="913"/>
      <c r="BE64" s="913"/>
      <c r="BF64" s="913"/>
      <c r="BG64" s="913"/>
    </row>
    <row r="65">
      <c r="A65" s="1238">
        <v>43830.0</v>
      </c>
      <c r="B65" s="1220" t="s">
        <v>111</v>
      </c>
      <c r="C65" s="1220" t="s">
        <v>1021</v>
      </c>
      <c r="D65" s="1220">
        <v>19617.0</v>
      </c>
      <c r="E65" s="1238">
        <v>43886.0</v>
      </c>
      <c r="F65" s="1239">
        <v>43886.68821759259</v>
      </c>
      <c r="G65" s="1220">
        <v>2019.0</v>
      </c>
      <c r="H65" s="1236" t="s">
        <v>1073</v>
      </c>
      <c r="I65" s="1240">
        <v>2.63631E11</v>
      </c>
      <c r="J65" s="1240">
        <v>3.40374E11</v>
      </c>
      <c r="K65" s="1240">
        <v>6.04005E11</v>
      </c>
      <c r="L65" s="1240">
        <v>7.2861E10</v>
      </c>
      <c r="M65" s="1240">
        <v>0.0</v>
      </c>
      <c r="N65" s="1240">
        <v>4.59988E11</v>
      </c>
      <c r="O65" s="1240">
        <v>1.136854E12</v>
      </c>
      <c r="P65" s="1240">
        <v>2.5813E10</v>
      </c>
      <c r="Q65" s="1240">
        <v>4.7823E10</v>
      </c>
      <c r="R65" s="1240">
        <v>5.518E9</v>
      </c>
      <c r="S65" s="1240">
        <v>5.3341E10</v>
      </c>
      <c r="T65" s="1240">
        <v>7.59576E11</v>
      </c>
      <c r="U65" s="1240">
        <v>0.0</v>
      </c>
      <c r="V65" s="1240">
        <v>0.0</v>
      </c>
      <c r="W65" s="1240">
        <v>8.3873E11</v>
      </c>
      <c r="X65" s="1240">
        <v>7.11795E11</v>
      </c>
      <c r="Y65" s="1240">
        <v>2.687379E12</v>
      </c>
      <c r="Z65" s="1240">
        <v>1.18375E11</v>
      </c>
      <c r="AA65" s="1240">
        <v>4.092E10</v>
      </c>
      <c r="AB65" s="1240">
        <v>0.0</v>
      </c>
      <c r="AC65" s="1240">
        <v>0.0</v>
      </c>
      <c r="AD65" s="1240">
        <v>-1.18375E11</v>
      </c>
      <c r="AE65" s="1240">
        <v>2.51327E11</v>
      </c>
      <c r="AF65" s="1240">
        <v>2.91498E11</v>
      </c>
      <c r="AG65" s="1240">
        <v>0.0</v>
      </c>
      <c r="AH65" s="1240">
        <v>0.0</v>
      </c>
      <c r="AI65" s="1240">
        <v>2.093631E12</v>
      </c>
      <c r="AJ65" s="1240">
        <v>3.67067E11</v>
      </c>
      <c r="AK65" s="1240">
        <v>1.807655E12</v>
      </c>
      <c r="AL65" s="1240">
        <v>0.0</v>
      </c>
      <c r="AM65" s="1240">
        <v>2.426049E12</v>
      </c>
      <c r="AN65" s="1240">
        <v>2.6993E10</v>
      </c>
      <c r="AO65" s="1240">
        <v>4.105E9</v>
      </c>
      <c r="AP65" s="1240">
        <v>2.23211E11</v>
      </c>
      <c r="AQ65" s="1240">
        <v>1.569E9</v>
      </c>
      <c r="AR65" s="1240">
        <v>5.452E9</v>
      </c>
      <c r="AS65" s="1240">
        <v>2.6133E11</v>
      </c>
      <c r="AT65" s="1240">
        <v>2.6133E11</v>
      </c>
      <c r="AU65" s="1240">
        <v>2.687379E12</v>
      </c>
      <c r="AV65" s="1240">
        <v>0.0</v>
      </c>
      <c r="AW65" s="1240">
        <v>2.687379E12</v>
      </c>
      <c r="AX65" s="1240">
        <v>1.120913E12</v>
      </c>
      <c r="AY65" s="1240">
        <v>4.07987E11</v>
      </c>
      <c r="AZ65" s="1240">
        <v>1.44356E11</v>
      </c>
      <c r="BA65" s="1242" t="s">
        <v>1298</v>
      </c>
      <c r="BB65" s="1242" t="s">
        <v>1299</v>
      </c>
      <c r="BC65" s="913"/>
      <c r="BD65" s="913"/>
      <c r="BE65" s="913"/>
      <c r="BF65" s="913"/>
      <c r="BG65" s="913"/>
    </row>
    <row r="66">
      <c r="A66" s="480"/>
      <c r="B66" s="480"/>
      <c r="C66" s="480"/>
      <c r="D66" s="480"/>
      <c r="E66" s="480"/>
      <c r="F66" s="480"/>
      <c r="G66" s="480"/>
      <c r="H66" s="913"/>
      <c r="I66" s="913"/>
      <c r="J66" s="913"/>
      <c r="K66" s="913"/>
      <c r="L66" s="913"/>
      <c r="M66" s="913"/>
      <c r="N66" s="913"/>
      <c r="O66" s="913"/>
      <c r="P66" s="913"/>
      <c r="Q66" s="913"/>
      <c r="R66" s="913"/>
      <c r="S66" s="913"/>
      <c r="T66" s="913"/>
      <c r="U66" s="913"/>
      <c r="V66" s="913"/>
      <c r="W66" s="913"/>
      <c r="X66" s="913"/>
      <c r="Y66" s="913"/>
      <c r="Z66" s="913"/>
      <c r="AA66" s="913"/>
      <c r="AB66" s="913"/>
      <c r="AC66" s="913"/>
      <c r="AD66" s="913"/>
      <c r="AE66" s="913"/>
      <c r="AF66" s="913"/>
      <c r="AG66" s="913"/>
      <c r="AH66" s="913"/>
      <c r="AI66" s="913"/>
      <c r="AJ66" s="913"/>
      <c r="AK66" s="913"/>
      <c r="AL66" s="913"/>
      <c r="AM66" s="913"/>
      <c r="AN66" s="913"/>
      <c r="AO66" s="913"/>
      <c r="AP66" s="913"/>
      <c r="AQ66" s="913"/>
      <c r="AR66" s="913"/>
      <c r="AS66" s="913"/>
      <c r="AT66" s="913"/>
      <c r="AU66" s="913"/>
      <c r="AV66" s="913"/>
      <c r="AW66" s="913"/>
      <c r="AX66" s="913"/>
      <c r="AY66" s="913"/>
      <c r="AZ66" s="913"/>
      <c r="BA66" s="913"/>
      <c r="BB66" s="913"/>
      <c r="BC66" s="913"/>
      <c r="BD66" s="913"/>
      <c r="BE66" s="913"/>
      <c r="BF66" s="913"/>
      <c r="BG66" s="913"/>
    </row>
    <row r="67">
      <c r="A67" s="1220" t="s">
        <v>1129</v>
      </c>
      <c r="B67" s="480"/>
      <c r="C67" s="480"/>
      <c r="D67" s="480"/>
      <c r="E67" s="480"/>
      <c r="F67" s="480"/>
      <c r="G67" s="480"/>
      <c r="H67" s="913"/>
      <c r="I67" s="913"/>
      <c r="J67" s="913"/>
      <c r="K67" s="913"/>
      <c r="L67" s="913"/>
      <c r="M67" s="913"/>
      <c r="N67" s="913"/>
      <c r="O67" s="913"/>
      <c r="P67" s="913"/>
      <c r="Q67" s="913"/>
      <c r="R67" s="913"/>
      <c r="S67" s="913"/>
      <c r="T67" s="913"/>
      <c r="U67" s="913"/>
      <c r="V67" s="913"/>
      <c r="W67" s="913"/>
      <c r="X67" s="913"/>
      <c r="Y67" s="913"/>
      <c r="Z67" s="913"/>
      <c r="AA67" s="913"/>
      <c r="AB67" s="913"/>
      <c r="AC67" s="913"/>
      <c r="AD67" s="913"/>
      <c r="AE67" s="913"/>
      <c r="AF67" s="913"/>
      <c r="AG67" s="913"/>
      <c r="AH67" s="913"/>
      <c r="AI67" s="913"/>
      <c r="AJ67" s="913"/>
      <c r="AK67" s="913"/>
      <c r="AL67" s="913"/>
      <c r="AM67" s="913"/>
      <c r="AN67" s="913"/>
      <c r="AO67" s="913"/>
      <c r="AP67" s="913"/>
      <c r="AQ67" s="913"/>
      <c r="AR67" s="913"/>
      <c r="AS67" s="913"/>
      <c r="AT67" s="913"/>
      <c r="AU67" s="913"/>
      <c r="AV67" s="913"/>
      <c r="AW67" s="913"/>
      <c r="AX67" s="913"/>
      <c r="AY67" s="913"/>
      <c r="AZ67" s="913"/>
      <c r="BA67" s="913"/>
      <c r="BB67" s="913"/>
      <c r="BC67" s="913"/>
      <c r="BD67" s="913"/>
      <c r="BE67" s="913"/>
      <c r="BF67" s="913"/>
      <c r="BG67" s="913"/>
    </row>
    <row r="68">
      <c r="A68" s="1243" t="s">
        <v>1037</v>
      </c>
      <c r="B68" s="1220" t="s">
        <v>984</v>
      </c>
      <c r="C68" s="1220" t="s">
        <v>1038</v>
      </c>
      <c r="D68" s="1220" t="s">
        <v>994</v>
      </c>
      <c r="E68" s="1220" t="s">
        <v>1039</v>
      </c>
      <c r="F68" s="1220" t="s">
        <v>1040</v>
      </c>
      <c r="G68" s="1220" t="s">
        <v>1041</v>
      </c>
      <c r="H68" s="1236" t="s">
        <v>1042</v>
      </c>
      <c r="I68" s="1237" t="s">
        <v>1065</v>
      </c>
      <c r="J68" s="1236" t="s">
        <v>1056</v>
      </c>
      <c r="K68" s="1236" t="s">
        <v>1130</v>
      </c>
      <c r="L68" s="1236" t="s">
        <v>1131</v>
      </c>
      <c r="M68" s="1236" t="s">
        <v>1132</v>
      </c>
      <c r="N68" s="1236" t="s">
        <v>1133</v>
      </c>
      <c r="O68" s="1236" t="s">
        <v>1089</v>
      </c>
      <c r="P68" s="1236" t="s">
        <v>1134</v>
      </c>
      <c r="Q68" s="1236" t="s">
        <v>1135</v>
      </c>
      <c r="R68" s="1236" t="s">
        <v>1136</v>
      </c>
      <c r="S68" s="1236" t="s">
        <v>1137</v>
      </c>
      <c r="T68" s="1236" t="s">
        <v>1138</v>
      </c>
      <c r="U68" s="1236" t="s">
        <v>1139</v>
      </c>
      <c r="V68" s="1236" t="s">
        <v>1140</v>
      </c>
      <c r="W68" s="1236" t="s">
        <v>1141</v>
      </c>
      <c r="X68" s="1236" t="s">
        <v>1142</v>
      </c>
      <c r="Y68" s="1236" t="s">
        <v>1143</v>
      </c>
      <c r="Z68" s="1236" t="s">
        <v>1144</v>
      </c>
      <c r="AA68" s="1236" t="s">
        <v>1145</v>
      </c>
      <c r="AB68" s="1236" t="s">
        <v>1146</v>
      </c>
      <c r="AC68" s="1236" t="s">
        <v>1147</v>
      </c>
      <c r="AD68" s="1236" t="s">
        <v>1148</v>
      </c>
      <c r="AE68" s="1236" t="s">
        <v>1149</v>
      </c>
      <c r="AF68" s="1236" t="s">
        <v>1150</v>
      </c>
      <c r="AG68" s="1236" t="s">
        <v>1151</v>
      </c>
      <c r="AH68" s="1236" t="s">
        <v>1152</v>
      </c>
      <c r="AI68" s="1236" t="s">
        <v>1153</v>
      </c>
      <c r="AJ68" s="1236" t="s">
        <v>1154</v>
      </c>
      <c r="AK68" s="1236" t="s">
        <v>1155</v>
      </c>
      <c r="AL68" s="1237" t="s">
        <v>1156</v>
      </c>
      <c r="AM68" s="1236" t="s">
        <v>1071</v>
      </c>
      <c r="AN68" s="1236" t="s">
        <v>1072</v>
      </c>
      <c r="AO68" s="913"/>
      <c r="AP68" s="913"/>
      <c r="AQ68" s="913"/>
      <c r="AR68" s="913"/>
      <c r="AS68" s="913"/>
      <c r="AT68" s="913"/>
      <c r="AU68" s="913"/>
      <c r="AV68" s="913"/>
      <c r="AW68" s="913"/>
      <c r="AX68" s="913"/>
      <c r="AY68" s="913"/>
      <c r="AZ68" s="913"/>
      <c r="BA68" s="913"/>
      <c r="BB68" s="913"/>
      <c r="BC68" s="913"/>
      <c r="BD68" s="913"/>
      <c r="BE68" s="913"/>
      <c r="BF68" s="913"/>
      <c r="BG68" s="913"/>
    </row>
    <row r="69">
      <c r="A69" s="1238">
        <v>45291.0</v>
      </c>
      <c r="B69" s="1220" t="s">
        <v>111</v>
      </c>
      <c r="C69" s="1220" t="s">
        <v>1021</v>
      </c>
      <c r="D69" s="1220">
        <v>19617.0</v>
      </c>
      <c r="E69" s="1238">
        <v>45338.0</v>
      </c>
      <c r="F69" s="1239">
        <v>45338.680810185186</v>
      </c>
      <c r="G69" s="1220">
        <v>2023.0</v>
      </c>
      <c r="H69" s="1236" t="s">
        <v>1073</v>
      </c>
      <c r="I69" s="1241">
        <v>4.9552E10</v>
      </c>
      <c r="J69" s="1240">
        <v>7.512E9</v>
      </c>
      <c r="K69" s="1240">
        <v>-4.534E9</v>
      </c>
      <c r="L69" s="1240">
        <v>0.0</v>
      </c>
      <c r="M69" s="1240">
        <v>-5.6168E10</v>
      </c>
      <c r="N69" s="1240">
        <v>1.9928E10</v>
      </c>
      <c r="O69" s="1240">
        <v>0.0</v>
      </c>
      <c r="P69" s="1240">
        <v>-2.5388E10</v>
      </c>
      <c r="Q69" s="1240">
        <v>-5.0708E10</v>
      </c>
      <c r="R69" s="1240">
        <v>1.6612E10</v>
      </c>
      <c r="S69" s="1240">
        <v>1.2974E10</v>
      </c>
      <c r="T69" s="1240">
        <v>0.0</v>
      </c>
      <c r="U69" s="1240">
        <v>-9.92E9</v>
      </c>
      <c r="V69" s="1240">
        <v>-1.1964E11</v>
      </c>
      <c r="W69" s="1240">
        <v>2.15234E11</v>
      </c>
      <c r="X69" s="1240">
        <v>-1.8031E10</v>
      </c>
      <c r="Y69" s="1240">
        <v>6.7643E10</v>
      </c>
      <c r="Z69" s="1240">
        <v>3.1433E10</v>
      </c>
      <c r="AA69" s="1240">
        <v>0.0</v>
      </c>
      <c r="AB69" s="1240">
        <v>-9.824E9</v>
      </c>
      <c r="AC69" s="1240">
        <v>-1.3463E10</v>
      </c>
      <c r="AD69" s="1240">
        <v>-3.3717E10</v>
      </c>
      <c r="AE69" s="1240">
        <v>-2.5571E10</v>
      </c>
      <c r="AF69" s="1240">
        <v>1.871E9</v>
      </c>
      <c r="AG69" s="1240">
        <v>5.6917E10</v>
      </c>
      <c r="AH69" s="1240">
        <v>6.24151E11</v>
      </c>
      <c r="AI69" s="1240">
        <v>5.67234E11</v>
      </c>
      <c r="AJ69" s="1240">
        <v>1.2974E10</v>
      </c>
      <c r="AK69" s="1240">
        <v>0.0</v>
      </c>
      <c r="AL69" s="1241">
        <v>1.2974E10</v>
      </c>
      <c r="AM69" s="1242" t="s">
        <v>1290</v>
      </c>
      <c r="AN69" s="1242" t="s">
        <v>1291</v>
      </c>
      <c r="AO69" s="913"/>
      <c r="AP69" s="913"/>
      <c r="AQ69" s="913"/>
      <c r="AR69" s="913"/>
      <c r="AS69" s="913"/>
      <c r="AT69" s="913"/>
      <c r="AU69" s="913"/>
      <c r="AV69" s="913"/>
      <c r="AW69" s="913"/>
      <c r="AX69" s="913"/>
      <c r="AY69" s="913"/>
      <c r="AZ69" s="913"/>
      <c r="BA69" s="913"/>
      <c r="BB69" s="913"/>
      <c r="BC69" s="913"/>
      <c r="BD69" s="913"/>
      <c r="BE69" s="913"/>
      <c r="BF69" s="913"/>
      <c r="BG69" s="913"/>
    </row>
    <row r="70">
      <c r="A70" s="1238">
        <v>44926.0</v>
      </c>
      <c r="B70" s="1220" t="s">
        <v>111</v>
      </c>
      <c r="C70" s="1220" t="s">
        <v>1021</v>
      </c>
      <c r="D70" s="1220">
        <v>19617.0</v>
      </c>
      <c r="E70" s="1238">
        <v>44978.0</v>
      </c>
      <c r="F70" s="1239">
        <v>44978.67633101852</v>
      </c>
      <c r="G70" s="1220">
        <v>2022.0</v>
      </c>
      <c r="H70" s="1236" t="s">
        <v>1073</v>
      </c>
      <c r="I70" s="1240">
        <v>3.7676E10</v>
      </c>
      <c r="J70" s="1240">
        <v>7.051E9</v>
      </c>
      <c r="K70" s="1240">
        <v>-2.738E9</v>
      </c>
      <c r="L70" s="1240">
        <v>2.794E9</v>
      </c>
      <c r="M70" s="1240">
        <v>-2.297E10</v>
      </c>
      <c r="N70" s="1240">
        <v>-2.297E10</v>
      </c>
      <c r="O70" s="1240">
        <v>-5.5656E10</v>
      </c>
      <c r="P70" s="1240">
        <v>5.8614E10</v>
      </c>
      <c r="Q70" s="1240">
        <v>-2.958E9</v>
      </c>
      <c r="R70" s="1240">
        <v>8.5306E10</v>
      </c>
      <c r="S70" s="1240">
        <v>1.07119E11</v>
      </c>
      <c r="T70" s="1240">
        <v>0.0</v>
      </c>
      <c r="U70" s="1240">
        <v>0.0</v>
      </c>
      <c r="V70" s="1240">
        <v>-1.59934E11</v>
      </c>
      <c r="W70" s="1240">
        <v>1.72401E11</v>
      </c>
      <c r="X70" s="1240">
        <v>-1.50286E11</v>
      </c>
      <c r="Y70" s="1240">
        <v>-1.37819E11</v>
      </c>
      <c r="Z70" s="1240">
        <v>3.4562E10</v>
      </c>
      <c r="AA70" s="1240">
        <v>0.0</v>
      </c>
      <c r="AB70" s="1240">
        <v>-3.162E9</v>
      </c>
      <c r="AC70" s="1240">
        <v>-1.3562E10</v>
      </c>
      <c r="AD70" s="1240">
        <v>-1.51529E11</v>
      </c>
      <c r="AE70" s="1240">
        <v>-1.26257E11</v>
      </c>
      <c r="AF70" s="1240">
        <v>-1.6643E10</v>
      </c>
      <c r="AG70" s="1240">
        <v>-1.736E11</v>
      </c>
      <c r="AH70" s="1240">
        <v>5.67234E11</v>
      </c>
      <c r="AI70" s="1240">
        <v>7.40834E11</v>
      </c>
      <c r="AJ70" s="1240">
        <v>1.07119E11</v>
      </c>
      <c r="AK70" s="1240">
        <v>0.0</v>
      </c>
      <c r="AL70" s="1241">
        <v>1.07119E11</v>
      </c>
      <c r="AM70" s="1242" t="s">
        <v>1292</v>
      </c>
      <c r="AN70" s="1242" t="s">
        <v>1293</v>
      </c>
      <c r="AO70" s="913"/>
      <c r="AP70" s="913"/>
      <c r="AQ70" s="913"/>
      <c r="AR70" s="913"/>
      <c r="AS70" s="913"/>
      <c r="AT70" s="913"/>
      <c r="AU70" s="913"/>
      <c r="AV70" s="913"/>
      <c r="AW70" s="913"/>
      <c r="AX70" s="913"/>
      <c r="AY70" s="913"/>
      <c r="AZ70" s="913"/>
      <c r="BA70" s="913"/>
      <c r="BB70" s="913"/>
      <c r="BC70" s="913"/>
      <c r="BD70" s="913"/>
      <c r="BE70" s="913"/>
      <c r="BF70" s="913"/>
      <c r="BG70" s="913"/>
    </row>
    <row r="71">
      <c r="A71" s="1238">
        <v>44561.0</v>
      </c>
      <c r="B71" s="1220" t="s">
        <v>111</v>
      </c>
      <c r="C71" s="1220" t="s">
        <v>1021</v>
      </c>
      <c r="D71" s="1220">
        <v>19617.0</v>
      </c>
      <c r="E71" s="1238">
        <v>44614.0</v>
      </c>
      <c r="F71" s="1239">
        <v>44614.70591435185</v>
      </c>
      <c r="G71" s="1220">
        <v>2021.0</v>
      </c>
      <c r="H71" s="1236" t="s">
        <v>1073</v>
      </c>
      <c r="I71" s="1240">
        <v>4.8334E10</v>
      </c>
      <c r="J71" s="1240">
        <v>7.932E9</v>
      </c>
      <c r="K71" s="1240">
        <v>3.748E9</v>
      </c>
      <c r="L71" s="1240">
        <v>2.929E9</v>
      </c>
      <c r="M71" s="1240">
        <v>-1.2401E10</v>
      </c>
      <c r="N71" s="1240">
        <v>-1.2401E10</v>
      </c>
      <c r="O71" s="1240">
        <v>-1.1745E10</v>
      </c>
      <c r="P71" s="1240">
        <v>4.3162E10</v>
      </c>
      <c r="Q71" s="1240">
        <v>-3.1417E10</v>
      </c>
      <c r="R71" s="1240">
        <v>2.7542E10</v>
      </c>
      <c r="S71" s="1240">
        <v>7.8084E10</v>
      </c>
      <c r="T71" s="1240">
        <v>0.0</v>
      </c>
      <c r="U71" s="1240">
        <v>0.0</v>
      </c>
      <c r="V71" s="1240">
        <v>-3.60541E11</v>
      </c>
      <c r="W71" s="1240">
        <v>2.6372E11</v>
      </c>
      <c r="X71" s="1240">
        <v>-3.2523E10</v>
      </c>
      <c r="Y71" s="1240">
        <v>-1.29344E11</v>
      </c>
      <c r="Z71" s="1240">
        <v>3.525E10</v>
      </c>
      <c r="AA71" s="1240">
        <v>0.0</v>
      </c>
      <c r="AB71" s="1240">
        <v>-2.0983E10</v>
      </c>
      <c r="AC71" s="1240">
        <v>-1.2858E10</v>
      </c>
      <c r="AD71" s="1240">
        <v>2.72009E11</v>
      </c>
      <c r="AE71" s="1240">
        <v>2.75993E11</v>
      </c>
      <c r="AF71" s="1240">
        <v>-1.1508E10</v>
      </c>
      <c r="AG71" s="1240">
        <v>2.13225E11</v>
      </c>
      <c r="AH71" s="1240">
        <v>7.40834E11</v>
      </c>
      <c r="AI71" s="1240">
        <v>5.27609E11</v>
      </c>
      <c r="AJ71" s="1240">
        <v>7.8084E10</v>
      </c>
      <c r="AK71" s="1240">
        <v>0.0</v>
      </c>
      <c r="AL71" s="1241">
        <v>7.8084E10</v>
      </c>
      <c r="AM71" s="1242" t="s">
        <v>1294</v>
      </c>
      <c r="AN71" s="1242" t="s">
        <v>1295</v>
      </c>
      <c r="AO71" s="913"/>
      <c r="AP71" s="913"/>
      <c r="AQ71" s="913"/>
      <c r="AR71" s="913"/>
      <c r="AS71" s="913"/>
      <c r="AT71" s="913"/>
      <c r="AU71" s="913"/>
      <c r="AV71" s="913"/>
      <c r="AW71" s="913"/>
      <c r="AX71" s="913"/>
      <c r="AY71" s="913"/>
      <c r="AZ71" s="913"/>
      <c r="BA71" s="913"/>
      <c r="BB71" s="913"/>
      <c r="BC71" s="913"/>
      <c r="BD71" s="913"/>
      <c r="BE71" s="913"/>
      <c r="BF71" s="913"/>
      <c r="BG71" s="913"/>
    </row>
    <row r="72">
      <c r="A72" s="1238">
        <v>44196.0</v>
      </c>
      <c r="B72" s="1220" t="s">
        <v>111</v>
      </c>
      <c r="C72" s="1220" t="s">
        <v>1021</v>
      </c>
      <c r="D72" s="1220">
        <v>19617.0</v>
      </c>
      <c r="E72" s="1238">
        <v>44250.0</v>
      </c>
      <c r="F72" s="1239">
        <v>44250.67880787037</v>
      </c>
      <c r="G72" s="1220">
        <v>2020.0</v>
      </c>
      <c r="H72" s="1236" t="s">
        <v>1073</v>
      </c>
      <c r="I72" s="1240">
        <v>2.9131E10</v>
      </c>
      <c r="J72" s="1240">
        <v>8.614E9</v>
      </c>
      <c r="K72" s="1240">
        <v>-3.981E9</v>
      </c>
      <c r="L72" s="1240">
        <v>2.451E9</v>
      </c>
      <c r="M72" s="1240">
        <v>-1.8012E10</v>
      </c>
      <c r="N72" s="1240">
        <v>-1.8012E10</v>
      </c>
      <c r="O72" s="1240">
        <v>-4.2434E10</v>
      </c>
      <c r="P72" s="1240">
        <v>7.827E9</v>
      </c>
      <c r="Q72" s="1240">
        <v>3.4607E10</v>
      </c>
      <c r="R72" s="1240">
        <v>-9.8113E10</v>
      </c>
      <c r="S72" s="1240">
        <v>-7.991E10</v>
      </c>
      <c r="T72" s="1240">
        <v>0.0</v>
      </c>
      <c r="U72" s="1240">
        <v>0.0</v>
      </c>
      <c r="V72" s="1240">
        <v>-4.09545E11</v>
      </c>
      <c r="W72" s="1240">
        <v>2.28793E11</v>
      </c>
      <c r="X72" s="1240">
        <v>-8.116E10</v>
      </c>
      <c r="Y72" s="1240">
        <v>-2.61912E11</v>
      </c>
      <c r="Z72" s="1240">
        <v>6.506E9</v>
      </c>
      <c r="AA72" s="1240">
        <v>0.0</v>
      </c>
      <c r="AB72" s="1240">
        <v>-7.947E9</v>
      </c>
      <c r="AC72" s="1240">
        <v>-1.269E10</v>
      </c>
      <c r="AD72" s="1240">
        <v>6.09346E11</v>
      </c>
      <c r="AE72" s="1240">
        <v>5.96645E11</v>
      </c>
      <c r="AF72" s="1240">
        <v>9.155E9</v>
      </c>
      <c r="AG72" s="1240">
        <v>2.63978E11</v>
      </c>
      <c r="AH72" s="1240">
        <v>5.27609E11</v>
      </c>
      <c r="AI72" s="1240">
        <v>2.63631E11</v>
      </c>
      <c r="AJ72" s="1240">
        <v>-7.991E10</v>
      </c>
      <c r="AK72" s="1240">
        <v>0.0</v>
      </c>
      <c r="AL72" s="1241">
        <v>-7.991E10</v>
      </c>
      <c r="AM72" s="1242" t="s">
        <v>1296</v>
      </c>
      <c r="AN72" s="1242" t="s">
        <v>1297</v>
      </c>
      <c r="AO72" s="913"/>
      <c r="AP72" s="913"/>
      <c r="AQ72" s="913"/>
      <c r="AR72" s="913"/>
      <c r="AS72" s="913"/>
      <c r="AT72" s="913"/>
      <c r="AU72" s="913"/>
      <c r="AV72" s="913"/>
      <c r="AW72" s="913"/>
      <c r="AX72" s="913"/>
      <c r="AY72" s="913"/>
      <c r="AZ72" s="913"/>
      <c r="BA72" s="913"/>
      <c r="BB72" s="913"/>
      <c r="BC72" s="913"/>
      <c r="BD72" s="913"/>
      <c r="BE72" s="913"/>
      <c r="BF72" s="913"/>
      <c r="BG72" s="913"/>
    </row>
    <row r="73">
      <c r="A73" s="1238">
        <v>43830.0</v>
      </c>
      <c r="B73" s="1220" t="s">
        <v>111</v>
      </c>
      <c r="C73" s="1220" t="s">
        <v>1021</v>
      </c>
      <c r="D73" s="1220">
        <v>19617.0</v>
      </c>
      <c r="E73" s="1238">
        <v>43886.0</v>
      </c>
      <c r="F73" s="1239">
        <v>43886.68821759259</v>
      </c>
      <c r="G73" s="1220">
        <v>2019.0</v>
      </c>
      <c r="H73" s="1236" t="s">
        <v>1073</v>
      </c>
      <c r="I73" s="1240">
        <v>3.6431E10</v>
      </c>
      <c r="J73" s="1240">
        <v>8.368E9</v>
      </c>
      <c r="K73" s="1240">
        <v>9.49E8</v>
      </c>
      <c r="L73" s="1240">
        <v>2.256E9</v>
      </c>
      <c r="M73" s="1240">
        <v>-7.8E7</v>
      </c>
      <c r="N73" s="1240">
        <v>-7.8E7</v>
      </c>
      <c r="O73" s="1240">
        <v>-1.7949E10</v>
      </c>
      <c r="P73" s="1240">
        <v>-3.52E8</v>
      </c>
      <c r="Q73" s="1240">
        <v>1.8301E10</v>
      </c>
      <c r="R73" s="1240">
        <v>-4.188E10</v>
      </c>
      <c r="S73" s="1240">
        <v>6.046E9</v>
      </c>
      <c r="T73" s="1240">
        <v>0.0</v>
      </c>
      <c r="U73" s="1240">
        <v>0.0</v>
      </c>
      <c r="V73" s="1240">
        <v>-2.55576E11</v>
      </c>
      <c r="W73" s="1240">
        <v>1.25804E11</v>
      </c>
      <c r="X73" s="1240">
        <v>7.5759E10</v>
      </c>
      <c r="Y73" s="1240">
        <v>-5.4013E10</v>
      </c>
      <c r="Z73" s="1240">
        <v>-2.889E9</v>
      </c>
      <c r="AA73" s="1240">
        <v>0.0</v>
      </c>
      <c r="AB73" s="1240">
        <v>-2.8076E10</v>
      </c>
      <c r="AC73" s="1240">
        <v>-1.2343E10</v>
      </c>
      <c r="AD73" s="1240">
        <v>7.3145E10</v>
      </c>
      <c r="AE73" s="1240">
        <v>3.2987E10</v>
      </c>
      <c r="AF73" s="1240">
        <v>-1.82E8</v>
      </c>
      <c r="AG73" s="1240">
        <v>-1.5162E10</v>
      </c>
      <c r="AH73" s="1240">
        <v>2.63631E11</v>
      </c>
      <c r="AI73" s="1240">
        <v>2.78793E11</v>
      </c>
      <c r="AJ73" s="1240">
        <v>6.046E9</v>
      </c>
      <c r="AK73" s="1240">
        <v>0.0</v>
      </c>
      <c r="AL73" s="1241">
        <v>6.046E9</v>
      </c>
      <c r="AM73" s="1242" t="s">
        <v>1298</v>
      </c>
      <c r="AN73" s="1242" t="s">
        <v>1299</v>
      </c>
      <c r="AO73" s="913"/>
      <c r="AP73" s="913"/>
      <c r="AQ73" s="913"/>
      <c r="AR73" s="913"/>
      <c r="AS73" s="913"/>
      <c r="AT73" s="913"/>
      <c r="AU73" s="913"/>
      <c r="AV73" s="913"/>
      <c r="AW73" s="913"/>
      <c r="AX73" s="913"/>
      <c r="AY73" s="913"/>
      <c r="AZ73" s="913"/>
      <c r="BA73" s="913"/>
      <c r="BB73" s="913"/>
      <c r="BC73" s="913"/>
      <c r="BD73" s="913"/>
      <c r="BE73" s="913"/>
      <c r="BF73" s="913"/>
      <c r="BG73" s="913"/>
    </row>
    <row r="74">
      <c r="A74" s="480"/>
      <c r="B74" s="480"/>
      <c r="C74" s="480"/>
      <c r="D74" s="480"/>
      <c r="E74" s="480"/>
      <c r="F74" s="480"/>
      <c r="G74" s="480"/>
      <c r="H74" s="913"/>
      <c r="I74" s="913"/>
      <c r="J74" s="913"/>
      <c r="K74" s="913"/>
      <c r="L74" s="913"/>
      <c r="M74" s="913"/>
      <c r="N74" s="913"/>
      <c r="O74" s="913"/>
      <c r="P74" s="913"/>
      <c r="Q74" s="913"/>
      <c r="R74" s="913"/>
      <c r="S74" s="913"/>
      <c r="T74" s="913"/>
      <c r="U74" s="913"/>
      <c r="V74" s="913"/>
      <c r="W74" s="913"/>
      <c r="X74" s="913"/>
      <c r="Y74" s="913"/>
      <c r="Z74" s="913"/>
      <c r="AA74" s="913"/>
      <c r="AB74" s="913"/>
      <c r="AC74" s="913"/>
      <c r="AD74" s="913"/>
      <c r="AE74" s="913"/>
      <c r="AF74" s="913"/>
      <c r="AG74" s="913"/>
      <c r="AH74" s="913"/>
      <c r="AI74" s="913"/>
      <c r="AJ74" s="913"/>
      <c r="AK74" s="913"/>
      <c r="AL74" s="913"/>
      <c r="AM74" s="913"/>
      <c r="AN74" s="913"/>
      <c r="AO74" s="913"/>
      <c r="AP74" s="913"/>
      <c r="AQ74" s="913"/>
      <c r="AR74" s="913"/>
      <c r="AS74" s="913"/>
      <c r="AT74" s="913"/>
      <c r="AU74" s="913"/>
      <c r="AV74" s="913"/>
      <c r="AW74" s="913"/>
      <c r="AX74" s="913"/>
      <c r="AY74" s="913"/>
      <c r="AZ74" s="913"/>
      <c r="BA74" s="913"/>
      <c r="BB74" s="913"/>
      <c r="BC74" s="913"/>
      <c r="BD74" s="913"/>
      <c r="BE74" s="913"/>
      <c r="BF74" s="913"/>
      <c r="BG74" s="913"/>
    </row>
    <row r="75">
      <c r="A75" s="1220" t="s">
        <v>1157</v>
      </c>
      <c r="B75" s="480"/>
      <c r="C75" s="480"/>
      <c r="D75" s="480"/>
      <c r="E75" s="480"/>
      <c r="F75" s="480"/>
      <c r="G75" s="480"/>
      <c r="H75" s="913"/>
      <c r="I75" s="913"/>
      <c r="J75" s="913"/>
      <c r="K75" s="913"/>
      <c r="L75" s="913"/>
      <c r="M75" s="913"/>
      <c r="N75" s="913"/>
      <c r="O75" s="913"/>
      <c r="P75" s="913"/>
      <c r="Q75" s="913"/>
      <c r="R75" s="913"/>
      <c r="S75" s="913"/>
      <c r="T75" s="913"/>
      <c r="U75" s="913"/>
      <c r="V75" s="913"/>
      <c r="W75" s="913"/>
      <c r="X75" s="913"/>
      <c r="Y75" s="913"/>
      <c r="Z75" s="913"/>
      <c r="AA75" s="913"/>
      <c r="AB75" s="913"/>
      <c r="AC75" s="913"/>
      <c r="AD75" s="913"/>
      <c r="AE75" s="913"/>
      <c r="AF75" s="913"/>
      <c r="AG75" s="913"/>
      <c r="AH75" s="913"/>
      <c r="AI75" s="913"/>
      <c r="AJ75" s="913"/>
      <c r="AK75" s="913"/>
      <c r="AL75" s="913"/>
      <c r="AM75" s="913"/>
      <c r="AN75" s="913"/>
      <c r="AO75" s="913"/>
      <c r="AP75" s="913"/>
      <c r="AQ75" s="913"/>
      <c r="AR75" s="913"/>
      <c r="AS75" s="913"/>
      <c r="AT75" s="913"/>
      <c r="AU75" s="913"/>
      <c r="AV75" s="913"/>
      <c r="AW75" s="913"/>
      <c r="AX75" s="913"/>
      <c r="AY75" s="913"/>
      <c r="AZ75" s="913"/>
      <c r="BA75" s="913"/>
      <c r="BB75" s="913"/>
      <c r="BC75" s="913"/>
      <c r="BD75" s="913"/>
      <c r="BE75" s="913"/>
      <c r="BF75" s="913"/>
      <c r="BG75" s="913"/>
    </row>
    <row r="76">
      <c r="A76" s="1220" t="s">
        <v>984</v>
      </c>
      <c r="B76" s="1220" t="s">
        <v>1037</v>
      </c>
      <c r="C76" s="1220" t="s">
        <v>1041</v>
      </c>
      <c r="D76" s="1220" t="s">
        <v>1042</v>
      </c>
      <c r="E76" s="1220" t="s">
        <v>1158</v>
      </c>
      <c r="F76" s="1220" t="s">
        <v>1159</v>
      </c>
      <c r="G76" s="1220" t="s">
        <v>1160</v>
      </c>
      <c r="H76" s="1236" t="s">
        <v>1161</v>
      </c>
      <c r="I76" s="1236" t="s">
        <v>1162</v>
      </c>
      <c r="J76" s="1236" t="s">
        <v>1163</v>
      </c>
      <c r="K76" s="1236" t="s">
        <v>1164</v>
      </c>
      <c r="L76" s="1236" t="s">
        <v>1165</v>
      </c>
      <c r="M76" s="1236" t="s">
        <v>1166</v>
      </c>
      <c r="N76" s="1236" t="s">
        <v>1167</v>
      </c>
      <c r="O76" s="1236" t="s">
        <v>1168</v>
      </c>
      <c r="P76" s="1236" t="s">
        <v>1169</v>
      </c>
      <c r="Q76" s="1236" t="s">
        <v>1170</v>
      </c>
      <c r="R76" s="1236" t="s">
        <v>1171</v>
      </c>
      <c r="S76" s="1236" t="s">
        <v>1172</v>
      </c>
      <c r="T76" s="1236" t="s">
        <v>1173</v>
      </c>
      <c r="U76" s="1236" t="s">
        <v>1174</v>
      </c>
      <c r="V76" s="1236" t="s">
        <v>1175</v>
      </c>
      <c r="W76" s="1236" t="s">
        <v>1176</v>
      </c>
      <c r="X76" s="1236" t="s">
        <v>1177</v>
      </c>
      <c r="Y76" s="1236" t="s">
        <v>1178</v>
      </c>
      <c r="Z76" s="1236" t="s">
        <v>1179</v>
      </c>
      <c r="AA76" s="1236" t="s">
        <v>1180</v>
      </c>
      <c r="AB76" s="1237" t="s">
        <v>1181</v>
      </c>
      <c r="AC76" s="1236" t="s">
        <v>1182</v>
      </c>
      <c r="AD76" s="1236" t="s">
        <v>1183</v>
      </c>
      <c r="AE76" s="1236" t="s">
        <v>1184</v>
      </c>
      <c r="AF76" s="1236" t="s">
        <v>1185</v>
      </c>
      <c r="AG76" s="1236" t="s">
        <v>1186</v>
      </c>
      <c r="AH76" s="1236" t="s">
        <v>1187</v>
      </c>
      <c r="AI76" s="1236" t="s">
        <v>1188</v>
      </c>
      <c r="AJ76" s="1236" t="s">
        <v>1189</v>
      </c>
      <c r="AK76" s="1236" t="s">
        <v>1190</v>
      </c>
      <c r="AL76" s="1236" t="s">
        <v>1191</v>
      </c>
      <c r="AM76" s="1236" t="s">
        <v>1192</v>
      </c>
      <c r="AN76" s="1236" t="s">
        <v>1193</v>
      </c>
      <c r="AO76" s="1236" t="s">
        <v>1194</v>
      </c>
      <c r="AP76" s="1236" t="s">
        <v>1195</v>
      </c>
      <c r="AQ76" s="1236" t="s">
        <v>1196</v>
      </c>
      <c r="AR76" s="1236" t="s">
        <v>1197</v>
      </c>
      <c r="AS76" s="1236" t="s">
        <v>1198</v>
      </c>
      <c r="AT76" s="1236" t="s">
        <v>1199</v>
      </c>
      <c r="AU76" s="1236" t="s">
        <v>1200</v>
      </c>
      <c r="AV76" s="1236" t="s">
        <v>1201</v>
      </c>
      <c r="AW76" s="1236" t="s">
        <v>1202</v>
      </c>
      <c r="AX76" s="1236" t="s">
        <v>1203</v>
      </c>
      <c r="AY76" s="1236" t="s">
        <v>1204</v>
      </c>
      <c r="AZ76" s="1236" t="s">
        <v>1205</v>
      </c>
      <c r="BA76" s="1236" t="s">
        <v>1206</v>
      </c>
      <c r="BB76" s="1236" t="s">
        <v>1207</v>
      </c>
      <c r="BC76" s="1236" t="s">
        <v>1208</v>
      </c>
      <c r="BD76" s="1236" t="s">
        <v>1209</v>
      </c>
      <c r="BE76" s="1236" t="s">
        <v>1210</v>
      </c>
      <c r="BF76" s="1236" t="s">
        <v>1211</v>
      </c>
      <c r="BG76" s="913"/>
    </row>
    <row r="77">
      <c r="A77" s="1220" t="s">
        <v>111</v>
      </c>
      <c r="B77" s="1238">
        <v>45291.0</v>
      </c>
      <c r="C77" s="1220">
        <v>2023.0</v>
      </c>
      <c r="D77" s="1220" t="s">
        <v>1073</v>
      </c>
      <c r="E77" s="1244">
        <v>26.013531043120416</v>
      </c>
      <c r="F77" s="1244">
        <v>26.013531043120416</v>
      </c>
      <c r="G77" s="1244">
        <v>13.959362139917696</v>
      </c>
      <c r="H77" s="1240">
        <v>269.0155488432759</v>
      </c>
      <c r="I77" s="1240">
        <v>0.0</v>
      </c>
      <c r="J77" s="1240">
        <v>269.0155488432759</v>
      </c>
      <c r="K77" s="1240">
        <v>-6368.821374703728</v>
      </c>
      <c r="L77" s="1240">
        <v>6637.836923547004</v>
      </c>
      <c r="M77" s="1240">
        <v>1.0637193656895723</v>
      </c>
      <c r="N77" s="1240">
        <v>0.484265806274456</v>
      </c>
      <c r="O77" s="1240">
        <v>0.42295599643028764</v>
      </c>
      <c r="P77" s="1240">
        <v>0.34016612892153497</v>
      </c>
      <c r="Q77" s="1240">
        <v>0.1957410893981692</v>
      </c>
      <c r="R77" s="1240">
        <v>0.012786316123293819</v>
      </c>
      <c r="S77" s="1240">
        <v>0.15112938349020064</v>
      </c>
      <c r="T77" s="1240">
        <v>0.018415263500145274</v>
      </c>
      <c r="U77" s="1240">
        <v>0.8042589106018309</v>
      </c>
      <c r="V77" s="1240">
        <v>0.8733963681726039</v>
      </c>
      <c r="W77" s="1240">
        <v>0.484265806274456</v>
      </c>
      <c r="X77" s="1240">
        <v>0.11264328546808026</v>
      </c>
      <c r="Y77" s="1240">
        <v>1.3314007039203606</v>
      </c>
      <c r="Z77" s="1240">
        <v>0.544425964599286</v>
      </c>
      <c r="AA77" s="1240">
        <v>0.5710733044223361</v>
      </c>
      <c r="AB77" s="1241">
        <v>0.8674635088107623</v>
      </c>
      <c r="AC77" s="1240">
        <v>0.029720275715460546</v>
      </c>
      <c r="AD77" s="1240">
        <v>11.819618882633174</v>
      </c>
      <c r="AE77" s="1240">
        <v>1.3567988971992213</v>
      </c>
      <c r="AF77" s="1240">
        <v>-0.05731044702395653</v>
      </c>
      <c r="AG77" s="1240">
        <v>0.0</v>
      </c>
      <c r="AH77" s="1240">
        <v>4.830387638027656</v>
      </c>
      <c r="AI77" s="1240">
        <v>0.03758844586858675</v>
      </c>
      <c r="AJ77" s="1240">
        <v>4.415027564146192</v>
      </c>
      <c r="AK77" s="1240">
        <v>4.415027564146192</v>
      </c>
      <c r="AL77" s="1240">
        <v>281.0368883141632</v>
      </c>
      <c r="AM77" s="1240">
        <v>0.27169438165967064</v>
      </c>
      <c r="AN77" s="1240">
        <v>0.0890643234708588</v>
      </c>
      <c r="AO77" s="1240">
        <v>1.0</v>
      </c>
      <c r="AP77" s="1240">
        <v>0.029720275715460546</v>
      </c>
      <c r="AQ77" s="1240">
        <v>0.2901681875111827</v>
      </c>
      <c r="AR77" s="1240">
        <v>0.0</v>
      </c>
      <c r="AS77" s="1240">
        <v>0.9636782292208275</v>
      </c>
      <c r="AT77" s="1240">
        <v>0.27169438165967064</v>
      </c>
      <c r="AU77" s="1240">
        <v>1.524517838952293</v>
      </c>
      <c r="AV77" s="1240">
        <v>1.524517838952293</v>
      </c>
      <c r="AW77" s="1240">
        <v>3.4314262373858724</v>
      </c>
      <c r="AX77" s="1240">
        <v>10.087501210849208</v>
      </c>
      <c r="AY77" s="1240">
        <v>38.52750578079235</v>
      </c>
      <c r="AZ77" s="1240">
        <v>38.52750578079235</v>
      </c>
      <c r="BA77" s="1240">
        <v>38.52750578079235</v>
      </c>
      <c r="BB77" s="1240">
        <v>0.29411750518379615</v>
      </c>
      <c r="BC77" s="1240">
        <v>3.4314262373858724</v>
      </c>
      <c r="BD77" s="1240">
        <v>0.026933764465620152</v>
      </c>
      <c r="BE77" s="1240">
        <v>4.000280058932804</v>
      </c>
      <c r="BF77" s="1240">
        <v>1.524517838952293</v>
      </c>
      <c r="BG77" s="913"/>
    </row>
    <row r="78">
      <c r="A78" s="1220" t="s">
        <v>111</v>
      </c>
      <c r="B78" s="1238">
        <v>44926.0</v>
      </c>
      <c r="C78" s="1220">
        <v>2022.0</v>
      </c>
      <c r="D78" s="1220" t="s">
        <v>1073</v>
      </c>
      <c r="E78" s="1244">
        <v>4.7865751609678995</v>
      </c>
      <c r="F78" s="1244">
        <v>4.7865751609678995</v>
      </c>
      <c r="G78" s="1244">
        <v>1.648131145254643</v>
      </c>
      <c r="H78" s="1240">
        <v>355.2054554924169</v>
      </c>
      <c r="I78" s="1240">
        <v>0.0</v>
      </c>
      <c r="J78" s="913"/>
      <c r="K78" s="1240">
        <v>0.0</v>
      </c>
      <c r="L78" s="913"/>
      <c r="M78" s="1240">
        <v>1.0</v>
      </c>
      <c r="N78" s="1240">
        <v>0.4082912912679472</v>
      </c>
      <c r="O78" s="1240">
        <v>0.3588746978024114</v>
      </c>
      <c r="P78" s="1240">
        <v>0.2928770765152634</v>
      </c>
      <c r="Q78" s="1240">
        <v>0.18390157258588571</v>
      </c>
      <c r="R78" s="1240">
        <v>0.010277861814098807</v>
      </c>
      <c r="S78" s="1240">
        <v>0.12888086148625535</v>
      </c>
      <c r="T78" s="1240">
        <v>0.015812679225969607</v>
      </c>
      <c r="U78" s="1240">
        <v>0.8160984274141143</v>
      </c>
      <c r="V78" s="1240">
        <v>0.8789673095596215</v>
      </c>
      <c r="W78" s="1240">
        <v>0.4082912912679472</v>
      </c>
      <c r="X78" s="1240">
        <v>0.0927211754888436</v>
      </c>
      <c r="Y78" s="1240">
        <v>1.1626917340557996</v>
      </c>
      <c r="Z78" s="1240">
        <v>0.5030032455112828</v>
      </c>
      <c r="AA78" s="1240">
        <v>0.5376132509996457</v>
      </c>
      <c r="AB78" s="1240">
        <v>2.0126068130436447</v>
      </c>
      <c r="AC78" s="1240">
        <v>0.31515599072646605</v>
      </c>
      <c r="AD78" s="1240">
        <v>12.539656965368144</v>
      </c>
      <c r="AE78" s="1240">
        <v>1.027574307646838</v>
      </c>
      <c r="AF78" s="1240">
        <v>0.0</v>
      </c>
      <c r="AG78" s="1240">
        <v>0.0</v>
      </c>
      <c r="AH78" s="1240">
        <v>4.638386096488065</v>
      </c>
      <c r="AI78" s="1240">
        <v>0.035092749273476075</v>
      </c>
      <c r="AJ78" s="1240">
        <v>36.118079438937215</v>
      </c>
      <c r="AK78" s="1240">
        <v>36.118079438937215</v>
      </c>
      <c r="AL78" s="1240">
        <v>257.58075392811384</v>
      </c>
      <c r="AM78" s="1240">
        <v>0.35996390274976114</v>
      </c>
      <c r="AN78" s="1240">
        <v>0.8326971960727917</v>
      </c>
      <c r="AO78" s="1240">
        <v>1.0</v>
      </c>
      <c r="AP78" s="1240">
        <v>0.31515599072646605</v>
      </c>
      <c r="AQ78" s="1240">
        <v>2.433029731755514</v>
      </c>
      <c r="AR78" s="1240">
        <v>0.0</v>
      </c>
      <c r="AS78" s="1240">
        <v>7.8984663029051765</v>
      </c>
      <c r="AT78" s="1240">
        <v>0.35996390274976114</v>
      </c>
      <c r="AU78" s="1240">
        <v>1.3604866384795369</v>
      </c>
      <c r="AV78" s="1240">
        <v>1.3604866384795369</v>
      </c>
      <c r="AW78" s="1240">
        <v>3.0916564703321647</v>
      </c>
      <c r="AX78" s="1240">
        <v>10.556157235375304</v>
      </c>
      <c r="AY78" s="1240">
        <v>3.712822001699045</v>
      </c>
      <c r="AZ78" s="1240">
        <v>3.712822001699045</v>
      </c>
      <c r="BA78" s="1240">
        <v>3.712822001699045</v>
      </c>
      <c r="BB78" s="1240">
        <v>-0.49379714240858935</v>
      </c>
      <c r="BC78" s="1240">
        <v>3.0916564703321647</v>
      </c>
      <c r="BD78" s="1240">
        <v>0.034099899681625315</v>
      </c>
      <c r="BE78" s="1240">
        <v>4.988867291100144</v>
      </c>
      <c r="BF78" s="1240">
        <v>1.3604866384795369</v>
      </c>
      <c r="BG78" s="913"/>
    </row>
    <row r="79">
      <c r="A79" s="1220" t="s">
        <v>111</v>
      </c>
      <c r="B79" s="1238">
        <v>44561.0</v>
      </c>
      <c r="C79" s="1220">
        <v>2021.0</v>
      </c>
      <c r="D79" s="1220" t="s">
        <v>1073</v>
      </c>
      <c r="E79" s="1244">
        <v>5.5159365131547755</v>
      </c>
      <c r="F79" s="1244">
        <v>5.5159365131547755</v>
      </c>
      <c r="G79" s="1244">
        <v>2.341825009720277</v>
      </c>
      <c r="H79" s="1240">
        <v>307.6636397255208</v>
      </c>
      <c r="I79" s="1240">
        <v>0.0</v>
      </c>
      <c r="J79" s="913"/>
      <c r="K79" s="1240">
        <v>0.0</v>
      </c>
      <c r="L79" s="913"/>
      <c r="M79" s="1240">
        <v>1.0</v>
      </c>
      <c r="N79" s="1240">
        <v>0.5343633151169002</v>
      </c>
      <c r="O79" s="1240">
        <v>0.48947692813411675</v>
      </c>
      <c r="P79" s="1240">
        <v>0.3972059004807495</v>
      </c>
      <c r="Q79" s="1240">
        <v>0.1885094523353816</v>
      </c>
      <c r="R79" s="1240">
        <v>0.012911215426356735</v>
      </c>
      <c r="S79" s="1240">
        <v>0.16433037429409744</v>
      </c>
      <c r="T79" s="1240">
        <v>0.018972822855155405</v>
      </c>
      <c r="U79" s="1240">
        <v>0.8114905476646184</v>
      </c>
      <c r="V79" s="1240">
        <v>0.9160002460629921</v>
      </c>
      <c r="W79" s="1240">
        <v>0.5343633151169002</v>
      </c>
      <c r="X79" s="1240">
        <v>0.09472222615489452</v>
      </c>
      <c r="Y79" s="1240">
        <v>1.2055982619752692</v>
      </c>
      <c r="Z79" s="1240">
        <v>0.5057785499687464</v>
      </c>
      <c r="AA79" s="1240">
        <v>0.5466082752965042</v>
      </c>
      <c r="AB79" s="1240">
        <v>11.709706464973888</v>
      </c>
      <c r="AC79" s="1240">
        <v>0.220203666677007</v>
      </c>
      <c r="AD79" s="1240">
        <v>12.727723058406742</v>
      </c>
      <c r="AE79" s="1240">
        <v>1.1863605342692796</v>
      </c>
      <c r="AF79" s="1240">
        <v>0.0</v>
      </c>
      <c r="AG79" s="1240">
        <v>0.0</v>
      </c>
      <c r="AH79" s="1240">
        <v>4.495197635759143</v>
      </c>
      <c r="AI79" s="1240">
        <v>0.0325050947398564</v>
      </c>
      <c r="AJ79" s="1240">
        <v>25.842793314578852</v>
      </c>
      <c r="AK79" s="1240">
        <v>25.842793314578852</v>
      </c>
      <c r="AL79" s="1240">
        <v>341.2513652159523</v>
      </c>
      <c r="AM79" s="1240">
        <v>0.26602391691149085</v>
      </c>
      <c r="AN79" s="1240">
        <v>0.6416896084151703</v>
      </c>
      <c r="AO79" s="1240">
        <v>1.0</v>
      </c>
      <c r="AP79" s="1240">
        <v>0.220203666677007</v>
      </c>
      <c r="AQ79" s="1240">
        <v>1.4569541366570884</v>
      </c>
      <c r="AR79" s="1240">
        <v>0.0</v>
      </c>
      <c r="AS79" s="1240">
        <v>6.072795146990201</v>
      </c>
      <c r="AT79" s="1240">
        <v>0.26602391691149085</v>
      </c>
      <c r="AU79" s="1240">
        <v>1.6266936561417347</v>
      </c>
      <c r="AV79" s="1240">
        <v>1.6266936561417347</v>
      </c>
      <c r="AW79" s="1240">
        <v>3.9319104655462875</v>
      </c>
      <c r="AX79" s="1240">
        <v>9.898922601067571</v>
      </c>
      <c r="AY79" s="1240">
        <v>6.127433597151785</v>
      </c>
      <c r="AZ79" s="1240">
        <v>6.127433597151785</v>
      </c>
      <c r="BA79" s="1240">
        <v>6.127433597151785</v>
      </c>
      <c r="BB79" s="1240">
        <v>0.1353868029592165</v>
      </c>
      <c r="BC79" s="1240">
        <v>3.9319104655462875</v>
      </c>
      <c r="BD79" s="1240">
        <v>0.026874027369685763</v>
      </c>
      <c r="BE79" s="1240">
        <v>2.8345375980042764</v>
      </c>
      <c r="BF79" s="1240">
        <v>1.6266936561417347</v>
      </c>
      <c r="BG79" s="913"/>
    </row>
    <row r="80">
      <c r="A80" s="1220" t="s">
        <v>111</v>
      </c>
      <c r="B80" s="1238">
        <v>44196.0</v>
      </c>
      <c r="C80" s="1220">
        <v>2020.0</v>
      </c>
      <c r="D80" s="1220" t="s">
        <v>1073</v>
      </c>
      <c r="E80" s="1244">
        <v>5.68168908630812</v>
      </c>
      <c r="F80" s="1244">
        <v>5.68168908630812</v>
      </c>
      <c r="G80" s="1244">
        <v>1.8991926049379606</v>
      </c>
      <c r="H80" s="1240">
        <v>275.54861823611355</v>
      </c>
      <c r="I80" s="1240">
        <v>0.0</v>
      </c>
      <c r="J80" s="913"/>
      <c r="K80" s="1240">
        <v>0.0</v>
      </c>
      <c r="L80" s="913"/>
      <c r="M80" s="1240">
        <v>1.0</v>
      </c>
      <c r="N80" s="1240">
        <v>0.3483062652753101</v>
      </c>
      <c r="O80" s="1240">
        <v>0.2987496142071853</v>
      </c>
      <c r="P80" s="1240">
        <v>0.24299525370569638</v>
      </c>
      <c r="Q80" s="1240">
        <v>0.1866257154823398</v>
      </c>
      <c r="R80" s="1240">
        <v>0.008603186406900505</v>
      </c>
      <c r="S80" s="1240">
        <v>0.10427987428137775</v>
      </c>
      <c r="T80" s="1240">
        <v>0.013433865334476094</v>
      </c>
      <c r="U80" s="1240">
        <v>0.8133742845176603</v>
      </c>
      <c r="V80" s="1240">
        <v>0.8577210460772104</v>
      </c>
      <c r="W80" s="1240">
        <v>0.3483062652753101</v>
      </c>
      <c r="X80" s="1240">
        <v>0.09654050372836245</v>
      </c>
      <c r="Y80" s="1240">
        <v>1.170174760339927</v>
      </c>
      <c r="Z80" s="1240">
        <v>0.5020773956890697</v>
      </c>
      <c r="AA80" s="1240">
        <v>0.5392076166974847</v>
      </c>
      <c r="AB80" s="1240">
        <v>4.1923694779116465</v>
      </c>
      <c r="AC80" s="1240">
        <v>-0.2444530779184626</v>
      </c>
      <c r="AD80" s="1240">
        <v>12.121075767663967</v>
      </c>
      <c r="AE80" s="1240">
        <v>1.3246301227583617</v>
      </c>
      <c r="AF80" s="1240">
        <v>0.0</v>
      </c>
      <c r="AG80" s="1240">
        <v>0.0</v>
      </c>
      <c r="AH80" s="1240">
        <v>4.422258290604597</v>
      </c>
      <c r="AI80" s="1240">
        <v>0.035404750815916146</v>
      </c>
      <c r="AJ80" s="1240">
        <v>-25.924604204515962</v>
      </c>
      <c r="AK80" s="1240">
        <v>-25.924604204515962</v>
      </c>
      <c r="AL80" s="1240">
        <v>286.6467687516221</v>
      </c>
      <c r="AM80" s="1240">
        <v>0.43561841337406887</v>
      </c>
      <c r="AN80" s="1240">
        <v>-0.6665665690715114</v>
      </c>
      <c r="AO80" s="1240">
        <v>1.0</v>
      </c>
      <c r="AP80" s="1240">
        <v>-0.2444530779184626</v>
      </c>
      <c r="AQ80" s="1240">
        <v>-1.767607503096797</v>
      </c>
      <c r="AR80" s="1240">
        <v>0.0</v>
      </c>
      <c r="AS80" s="1240">
        <v>-6.297084318360914</v>
      </c>
      <c r="AT80" s="1240">
        <v>0.43561841337406887</v>
      </c>
      <c r="AU80" s="1240">
        <v>1.4020940025916935</v>
      </c>
      <c r="AV80" s="1240">
        <v>1.4020940025916935</v>
      </c>
      <c r="AW80" s="1240">
        <v>3.2671902438210587</v>
      </c>
      <c r="AX80" s="1240">
        <v>13.445489959150045</v>
      </c>
      <c r="AY80" s="1240">
        <v>-4.90152131147541</v>
      </c>
      <c r="AZ80" s="1240">
        <v>-4.90152131147541</v>
      </c>
      <c r="BA80" s="1240">
        <v>-4.90152131147541</v>
      </c>
      <c r="BB80" s="1240">
        <v>-0.7770914895745326</v>
      </c>
      <c r="BC80" s="1240">
        <v>3.2671902438210587</v>
      </c>
      <c r="BD80" s="1240">
        <v>0.032398850075196994</v>
      </c>
      <c r="BE80" s="1240">
        <v>5.767769863013698</v>
      </c>
      <c r="BF80" s="1240">
        <v>1.4020940025916935</v>
      </c>
      <c r="BG80" s="913"/>
    </row>
    <row r="81">
      <c r="A81" s="1220" t="s">
        <v>111</v>
      </c>
      <c r="B81" s="1238">
        <v>43830.0</v>
      </c>
      <c r="C81" s="1220">
        <v>2019.0</v>
      </c>
      <c r="D81" s="1220" t="s">
        <v>1073</v>
      </c>
      <c r="E81" s="1244">
        <v>4.523405762214167</v>
      </c>
      <c r="F81" s="1244">
        <v>4.523405762214167</v>
      </c>
      <c r="G81" s="1244">
        <v>1.048956140804609</v>
      </c>
      <c r="H81" s="1240">
        <v>229.815632561355</v>
      </c>
      <c r="I81" s="1240">
        <v>0.0</v>
      </c>
      <c r="J81" s="913"/>
      <c r="K81" s="1240">
        <v>0.0</v>
      </c>
      <c r="L81" s="913"/>
      <c r="M81" s="1240">
        <v>1.0</v>
      </c>
      <c r="N81" s="1240">
        <v>0.4316626339440028</v>
      </c>
      <c r="O81" s="1240">
        <v>0.3877117179398548</v>
      </c>
      <c r="P81" s="1240">
        <v>0.3148202557898375</v>
      </c>
      <c r="Q81" s="1240">
        <v>0.18800427940979805</v>
      </c>
      <c r="R81" s="1240">
        <v>0.013556331280403695</v>
      </c>
      <c r="S81" s="1240">
        <v>0.13940611487391422</v>
      </c>
      <c r="T81" s="1240">
        <v>0.020505309410472353</v>
      </c>
      <c r="U81" s="1240">
        <v>0.811995720590202</v>
      </c>
      <c r="V81" s="1240">
        <v>0.8981822549647662</v>
      </c>
      <c r="W81" s="1240">
        <v>0.4316626339440028</v>
      </c>
      <c r="X81" s="1240">
        <v>0.12369598780075308</v>
      </c>
      <c r="Y81" s="1240">
        <v>1.2720238778555848</v>
      </c>
      <c r="Z81" s="1240">
        <v>0.5272851592176951</v>
      </c>
      <c r="AA81" s="1240">
        <v>0.5598637805937873</v>
      </c>
      <c r="AB81" s="1240">
        <v>1.8642284008210488</v>
      </c>
      <c r="AC81" s="1240">
        <v>0.01818794409448345</v>
      </c>
      <c r="AD81" s="1240">
        <v>10.283469176902766</v>
      </c>
      <c r="AE81" s="1240">
        <v>1.5882296427444038</v>
      </c>
      <c r="AF81" s="1240">
        <v>0.0</v>
      </c>
      <c r="AG81" s="1240">
        <v>0.0</v>
      </c>
      <c r="AH81" s="1240">
        <v>4.483012435594468</v>
      </c>
      <c r="AI81" s="1240">
        <v>0.04306054337702274</v>
      </c>
      <c r="AJ81" s="1240">
        <v>1.876765481918361</v>
      </c>
      <c r="AK81" s="1240">
        <v>1.876765481918361</v>
      </c>
      <c r="AL81" s="1240">
        <v>187.49185162191526</v>
      </c>
      <c r="AM81" s="1240">
        <v>0.3388048639894595</v>
      </c>
      <c r="AN81" s="1240">
        <v>0.05224680262703076</v>
      </c>
      <c r="AO81" s="1240">
        <v>1.0</v>
      </c>
      <c r="AP81" s="1240">
        <v>0.01818794409448345</v>
      </c>
      <c r="AQ81" s="1240">
        <v>0.14775171065493647</v>
      </c>
      <c r="AR81" s="1240">
        <v>0.0</v>
      </c>
      <c r="AS81" s="1240">
        <v>0.48983229360771285</v>
      </c>
      <c r="AT81" s="1240">
        <v>0.3388048639894595</v>
      </c>
      <c r="AU81" s="1240">
        <v>1.7184291891478207</v>
      </c>
      <c r="AV81" s="1240">
        <v>1.7184291891478207</v>
      </c>
      <c r="AW81" s="1240">
        <v>3.8807215693052193</v>
      </c>
      <c r="AX81" s="1240">
        <v>12.326784881007933</v>
      </c>
      <c r="AY81" s="1240">
        <v>74.27672841548132</v>
      </c>
      <c r="AZ81" s="1240">
        <v>74.27672841548132</v>
      </c>
      <c r="BA81" s="1240">
        <v>74.27672841548132</v>
      </c>
      <c r="BB81" s="1240">
        <v>0.6516616100836937</v>
      </c>
      <c r="BC81" s="1240">
        <v>3.8807215693052193</v>
      </c>
      <c r="BD81" s="1240">
        <v>0.027485258099333054</v>
      </c>
      <c r="BE81" s="1240">
        <v>10.175464677640603</v>
      </c>
      <c r="BF81" s="1240">
        <v>1.7184291891478207</v>
      </c>
      <c r="BG81" s="913"/>
    </row>
    <row r="82">
      <c r="H82" s="799"/>
      <c r="I82" s="799"/>
      <c r="J82" s="799"/>
      <c r="K82" s="799"/>
      <c r="L82" s="799"/>
      <c r="M82" s="799"/>
      <c r="N82" s="799"/>
      <c r="O82" s="799"/>
      <c r="P82" s="799"/>
      <c r="Q82" s="799"/>
      <c r="R82" s="799"/>
      <c r="S82" s="799"/>
      <c r="T82" s="799"/>
      <c r="U82" s="799"/>
      <c r="V82" s="799"/>
      <c r="W82" s="799"/>
      <c r="X82" s="799"/>
      <c r="Y82" s="799"/>
      <c r="Z82" s="799"/>
      <c r="AA82" s="799"/>
      <c r="AB82" s="799"/>
      <c r="AC82" s="799"/>
      <c r="AD82" s="799"/>
      <c r="AE82" s="799"/>
      <c r="AF82" s="799"/>
      <c r="AG82" s="799"/>
      <c r="AH82" s="799"/>
      <c r="AI82" s="799"/>
      <c r="AJ82" s="799"/>
      <c r="AK82" s="799"/>
      <c r="AL82" s="799"/>
      <c r="AM82" s="799"/>
      <c r="AN82" s="799"/>
      <c r="AO82" s="799"/>
      <c r="AP82" s="799"/>
      <c r="AQ82" s="799"/>
      <c r="AR82" s="799"/>
      <c r="AS82" s="799"/>
      <c r="AT82" s="799"/>
      <c r="AU82" s="799"/>
      <c r="AV82" s="799"/>
      <c r="AW82" s="799"/>
      <c r="AX82" s="799"/>
      <c r="AY82" s="799"/>
      <c r="AZ82" s="799"/>
      <c r="BA82" s="799"/>
      <c r="BB82" s="799"/>
      <c r="BC82" s="799"/>
      <c r="BD82" s="799"/>
      <c r="BE82" s="799"/>
      <c r="BF82" s="799"/>
      <c r="BG82" s="799"/>
    </row>
    <row r="83">
      <c r="H83" s="799"/>
      <c r="I83" s="799"/>
      <c r="J83" s="799"/>
      <c r="K83" s="799"/>
      <c r="L83" s="799"/>
      <c r="M83" s="799"/>
      <c r="N83" s="799"/>
      <c r="O83" s="799"/>
      <c r="P83" s="799"/>
      <c r="Q83" s="799"/>
      <c r="R83" s="799"/>
      <c r="S83" s="799"/>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799"/>
      <c r="AR83" s="799"/>
      <c r="AS83" s="799"/>
      <c r="AT83" s="799"/>
      <c r="AU83" s="799"/>
      <c r="AV83" s="799"/>
      <c r="AW83" s="799"/>
      <c r="AX83" s="799"/>
      <c r="AY83" s="799"/>
      <c r="AZ83" s="799"/>
      <c r="BA83" s="799"/>
      <c r="BB83" s="799"/>
      <c r="BC83" s="799"/>
      <c r="BD83" s="799"/>
      <c r="BE83" s="799"/>
      <c r="BF83" s="799"/>
      <c r="BG83" s="799"/>
    </row>
    <row r="84">
      <c r="H84" s="799"/>
      <c r="I84" s="799"/>
      <c r="J84" s="799"/>
      <c r="K84" s="799"/>
      <c r="L84" s="799"/>
      <c r="M84" s="799"/>
      <c r="N84" s="799"/>
      <c r="O84" s="799"/>
      <c r="P84" s="799"/>
      <c r="Q84" s="799"/>
      <c r="R84" s="799"/>
      <c r="S84" s="799"/>
      <c r="T84" s="799"/>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799"/>
      <c r="AR84" s="799"/>
      <c r="AS84" s="799"/>
      <c r="AT84" s="799"/>
      <c r="AU84" s="799"/>
      <c r="AV84" s="799"/>
      <c r="AW84" s="799"/>
      <c r="AX84" s="799"/>
      <c r="AY84" s="799"/>
      <c r="AZ84" s="799"/>
      <c r="BA84" s="799"/>
      <c r="BB84" s="799"/>
      <c r="BC84" s="799"/>
      <c r="BD84" s="799"/>
      <c r="BE84" s="799"/>
      <c r="BF84" s="799"/>
      <c r="BG84" s="799"/>
    </row>
    <row r="85">
      <c r="H85" s="799"/>
      <c r="I85" s="799"/>
      <c r="J85" s="799"/>
      <c r="K85" s="799"/>
      <c r="L85" s="799"/>
      <c r="M85" s="799"/>
      <c r="N85" s="799"/>
      <c r="O85" s="799"/>
      <c r="P85" s="799"/>
      <c r="Q85" s="799"/>
      <c r="R85" s="799"/>
      <c r="S85" s="799"/>
      <c r="T85" s="799"/>
      <c r="U85" s="799"/>
      <c r="V85" s="799"/>
      <c r="W85" s="799"/>
      <c r="X85" s="799"/>
      <c r="Y85" s="799"/>
      <c r="Z85" s="799"/>
      <c r="AA85" s="799"/>
      <c r="AB85" s="799"/>
      <c r="AC85" s="799"/>
      <c r="AD85" s="799"/>
      <c r="AE85" s="799"/>
      <c r="AF85" s="1245"/>
      <c r="AG85" s="799"/>
      <c r="AH85" s="799"/>
      <c r="AI85" s="799"/>
      <c r="AJ85" s="799"/>
      <c r="AK85" s="799"/>
      <c r="AL85" s="799"/>
      <c r="AM85" s="799"/>
      <c r="AN85" s="799"/>
      <c r="AO85" s="799"/>
      <c r="AP85" s="799"/>
      <c r="AQ85" s="799"/>
      <c r="AR85" s="799"/>
      <c r="AS85" s="799"/>
      <c r="AT85" s="799"/>
      <c r="AU85" s="799"/>
      <c r="AV85" s="799"/>
      <c r="AW85" s="799"/>
      <c r="AX85" s="799"/>
      <c r="AY85" s="799"/>
      <c r="AZ85" s="799"/>
      <c r="BA85" s="799"/>
      <c r="BB85" s="799"/>
      <c r="BC85" s="799"/>
      <c r="BD85" s="799"/>
      <c r="BE85" s="799"/>
      <c r="BF85" s="799"/>
      <c r="BG85" s="799"/>
    </row>
    <row r="86">
      <c r="A86" s="1246"/>
      <c r="H86" s="799"/>
      <c r="I86" s="799"/>
      <c r="J86" s="799"/>
      <c r="K86" s="799"/>
      <c r="L86" s="799"/>
      <c r="M86" s="799"/>
      <c r="N86" s="799"/>
      <c r="O86" s="799"/>
      <c r="P86" s="799"/>
      <c r="Q86" s="799"/>
      <c r="R86" s="799"/>
      <c r="S86" s="799"/>
      <c r="T86" s="799"/>
      <c r="U86" s="799"/>
      <c r="V86" s="799"/>
      <c r="W86" s="799"/>
      <c r="X86" s="799"/>
      <c r="Y86" s="799"/>
      <c r="Z86" s="799"/>
      <c r="AA86" s="799"/>
      <c r="AB86" s="799"/>
      <c r="AC86" s="799"/>
      <c r="AD86" s="799"/>
      <c r="AE86" s="799"/>
      <c r="AF86" s="799"/>
      <c r="AG86" s="799"/>
      <c r="AH86" s="799"/>
      <c r="AI86" s="799"/>
      <c r="AJ86" s="799"/>
      <c r="AK86" s="799"/>
      <c r="AL86" s="799"/>
      <c r="AM86" s="799"/>
      <c r="AN86" s="799"/>
      <c r="AO86" s="799"/>
      <c r="AP86" s="799"/>
      <c r="AQ86" s="799"/>
      <c r="AR86" s="799"/>
      <c r="AS86" s="799"/>
      <c r="AT86" s="799"/>
      <c r="AU86" s="799"/>
      <c r="AV86" s="799"/>
      <c r="AW86" s="799"/>
      <c r="AX86" s="799"/>
      <c r="AY86" s="799"/>
      <c r="AZ86" s="799"/>
      <c r="BA86" s="799"/>
      <c r="BB86" s="799"/>
      <c r="BC86" s="799"/>
      <c r="BD86" s="799"/>
      <c r="BE86" s="799"/>
      <c r="BF86" s="799"/>
      <c r="BG86" s="799"/>
    </row>
    <row r="87">
      <c r="H87" s="799"/>
      <c r="I87" s="799"/>
      <c r="J87" s="799"/>
      <c r="K87" s="799"/>
      <c r="L87" s="799"/>
      <c r="M87" s="799"/>
      <c r="N87" s="799"/>
      <c r="O87" s="799"/>
      <c r="P87" s="799"/>
      <c r="Q87" s="799"/>
      <c r="R87" s="799"/>
      <c r="S87" s="799"/>
      <c r="T87" s="799"/>
      <c r="U87" s="799"/>
      <c r="V87" s="799"/>
      <c r="W87" s="799"/>
      <c r="X87" s="799"/>
      <c r="Y87" s="799"/>
      <c r="Z87" s="799"/>
      <c r="AA87" s="799"/>
      <c r="AB87" s="799"/>
      <c r="AC87" s="799"/>
      <c r="AD87" s="799"/>
      <c r="AE87" s="799"/>
      <c r="AF87" s="799"/>
      <c r="AG87" s="799"/>
      <c r="AH87" s="799"/>
      <c r="AI87" s="799"/>
      <c r="AJ87" s="799"/>
      <c r="AK87" s="799"/>
      <c r="AL87" s="799"/>
      <c r="AM87" s="799"/>
      <c r="AN87" s="799"/>
      <c r="AO87" s="799"/>
      <c r="AP87" s="799"/>
      <c r="AQ87" s="799"/>
      <c r="AR87" s="799"/>
      <c r="AS87" s="799"/>
      <c r="AT87" s="799"/>
      <c r="AU87" s="799"/>
      <c r="AV87" s="799"/>
      <c r="AW87" s="799"/>
      <c r="AX87" s="799"/>
      <c r="AY87" s="799"/>
      <c r="AZ87" s="799"/>
      <c r="BA87" s="799"/>
      <c r="BB87" s="799"/>
      <c r="BC87" s="799"/>
      <c r="BD87" s="799"/>
      <c r="BE87" s="799"/>
      <c r="BF87" s="799"/>
      <c r="BG87" s="799"/>
    </row>
    <row r="88">
      <c r="H88" s="799"/>
      <c r="I88" s="799"/>
      <c r="J88" s="799"/>
      <c r="K88" s="799"/>
      <c r="L88" s="799"/>
      <c r="M88" s="799"/>
      <c r="N88" s="799"/>
      <c r="O88" s="799"/>
      <c r="P88" s="799"/>
      <c r="Q88" s="799"/>
      <c r="R88" s="799"/>
      <c r="S88" s="799"/>
      <c r="T88" s="799"/>
      <c r="U88" s="799"/>
      <c r="V88" s="799"/>
      <c r="W88" s="799"/>
      <c r="X88" s="799"/>
      <c r="Y88" s="799"/>
      <c r="Z88" s="799"/>
      <c r="AA88" s="799"/>
      <c r="AB88" s="799"/>
      <c r="AC88" s="799"/>
      <c r="AD88" s="799"/>
      <c r="AE88" s="799"/>
      <c r="AF88" s="799"/>
      <c r="AG88" s="799"/>
      <c r="AH88" s="799"/>
      <c r="AI88" s="799"/>
      <c r="AJ88" s="799"/>
      <c r="AK88" s="799"/>
      <c r="AL88" s="799"/>
      <c r="AM88" s="799"/>
      <c r="AN88" s="799"/>
      <c r="AO88" s="799"/>
      <c r="AP88" s="799"/>
      <c r="AQ88" s="799"/>
      <c r="AR88" s="799"/>
      <c r="AS88" s="799"/>
      <c r="AT88" s="799"/>
      <c r="AU88" s="799"/>
      <c r="AV88" s="799"/>
      <c r="AW88" s="799"/>
      <c r="AX88" s="799"/>
      <c r="AY88" s="799"/>
      <c r="AZ88" s="799"/>
      <c r="BA88" s="799"/>
      <c r="BB88" s="799"/>
      <c r="BC88" s="799"/>
      <c r="BD88" s="799"/>
      <c r="BE88" s="799"/>
      <c r="BF88" s="799"/>
      <c r="BG88" s="799"/>
    </row>
    <row r="89">
      <c r="H89" s="799"/>
      <c r="I89" s="799"/>
      <c r="J89" s="799"/>
      <c r="K89" s="799"/>
      <c r="L89" s="799"/>
      <c r="M89" s="799"/>
      <c r="N89" s="799"/>
      <c r="O89" s="799"/>
      <c r="P89" s="799"/>
      <c r="Q89" s="799"/>
      <c r="R89" s="799"/>
      <c r="S89" s="799"/>
      <c r="T89" s="799"/>
      <c r="U89" s="799"/>
      <c r="V89" s="799"/>
      <c r="W89" s="799"/>
      <c r="X89" s="799"/>
      <c r="Y89" s="799"/>
      <c r="Z89" s="799"/>
      <c r="AA89" s="799"/>
      <c r="AB89" s="799"/>
      <c r="AC89" s="799"/>
      <c r="AD89" s="799"/>
      <c r="AE89" s="799"/>
      <c r="AF89" s="799"/>
      <c r="AG89" s="799"/>
      <c r="AH89" s="799"/>
      <c r="AI89" s="799"/>
      <c r="AJ89" s="799"/>
      <c r="AK89" s="799"/>
      <c r="AL89" s="799"/>
      <c r="AM89" s="799"/>
      <c r="AN89" s="799"/>
      <c r="AO89" s="799"/>
      <c r="AP89" s="799"/>
      <c r="AQ89" s="799"/>
      <c r="AR89" s="799"/>
      <c r="AS89" s="799"/>
      <c r="AT89" s="799"/>
      <c r="AU89" s="799"/>
      <c r="AV89" s="799"/>
      <c r="AW89" s="799"/>
      <c r="AX89" s="799"/>
      <c r="AY89" s="799"/>
      <c r="AZ89" s="799"/>
      <c r="BA89" s="799"/>
      <c r="BB89" s="799"/>
      <c r="BC89" s="799"/>
      <c r="BD89" s="799"/>
      <c r="BE89" s="799"/>
      <c r="BF89" s="799"/>
      <c r="BG89" s="799"/>
    </row>
    <row r="90">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799"/>
      <c r="AQ90" s="799"/>
      <c r="AR90" s="799"/>
      <c r="AS90" s="799"/>
      <c r="AT90" s="799"/>
      <c r="AU90" s="799"/>
      <c r="AV90" s="799"/>
      <c r="AW90" s="799"/>
      <c r="AX90" s="799"/>
      <c r="AY90" s="799"/>
      <c r="AZ90" s="799"/>
      <c r="BA90" s="799"/>
      <c r="BB90" s="799"/>
      <c r="BC90" s="799"/>
      <c r="BD90" s="799"/>
      <c r="BE90" s="799"/>
      <c r="BF90" s="799"/>
      <c r="BG90" s="799"/>
    </row>
    <row r="91">
      <c r="H91" s="799"/>
      <c r="I91" s="799"/>
      <c r="J91" s="799"/>
      <c r="K91" s="799"/>
      <c r="L91" s="799"/>
      <c r="M91" s="799"/>
      <c r="N91" s="799"/>
      <c r="O91" s="799"/>
      <c r="P91" s="799"/>
      <c r="Q91" s="799"/>
      <c r="R91" s="799"/>
      <c r="S91" s="799"/>
      <c r="T91" s="799"/>
      <c r="U91" s="799"/>
      <c r="V91" s="799"/>
      <c r="W91" s="799"/>
      <c r="X91" s="799"/>
      <c r="Y91" s="799"/>
      <c r="Z91" s="799"/>
      <c r="AA91" s="799"/>
      <c r="AB91" s="799"/>
      <c r="AC91" s="799"/>
      <c r="AD91" s="799"/>
      <c r="AE91" s="799"/>
      <c r="AF91" s="799"/>
      <c r="AG91" s="799"/>
      <c r="AH91" s="799"/>
      <c r="AI91" s="799"/>
      <c r="AJ91" s="799"/>
      <c r="AK91" s="799"/>
      <c r="AL91" s="799"/>
      <c r="AM91" s="799"/>
      <c r="AN91" s="799"/>
      <c r="AO91" s="799"/>
      <c r="AP91" s="799"/>
      <c r="AQ91" s="799"/>
      <c r="AR91" s="799"/>
      <c r="AS91" s="799"/>
      <c r="AT91" s="799"/>
      <c r="AU91" s="799"/>
      <c r="AV91" s="799"/>
      <c r="AW91" s="799"/>
      <c r="AX91" s="799"/>
      <c r="AY91" s="799"/>
      <c r="AZ91" s="799"/>
      <c r="BA91" s="799"/>
      <c r="BB91" s="799"/>
      <c r="BC91" s="799"/>
      <c r="BD91" s="799"/>
      <c r="BE91" s="799"/>
      <c r="BF91" s="799"/>
      <c r="BG91" s="799"/>
    </row>
    <row r="92">
      <c r="H92" s="799"/>
      <c r="I92" s="799"/>
      <c r="J92" s="799"/>
      <c r="K92" s="799"/>
      <c r="L92" s="799"/>
      <c r="M92" s="799"/>
      <c r="N92" s="799"/>
      <c r="O92" s="799"/>
      <c r="P92" s="799"/>
      <c r="Q92" s="799"/>
      <c r="R92" s="799"/>
      <c r="S92" s="799"/>
      <c r="T92" s="799"/>
      <c r="U92" s="799"/>
      <c r="V92" s="799"/>
      <c r="W92" s="799"/>
      <c r="X92" s="799"/>
      <c r="Y92" s="799"/>
      <c r="Z92" s="799"/>
      <c r="AA92" s="799"/>
      <c r="AB92" s="799"/>
      <c r="AC92" s="799"/>
      <c r="AD92" s="799"/>
      <c r="AE92" s="799"/>
      <c r="AF92" s="799"/>
      <c r="AG92" s="799"/>
      <c r="AH92" s="799"/>
      <c r="AI92" s="799"/>
      <c r="AJ92" s="799"/>
      <c r="AK92" s="799"/>
      <c r="AL92" s="799"/>
      <c r="AM92" s="799"/>
      <c r="AN92" s="799"/>
      <c r="AO92" s="799"/>
      <c r="AP92" s="799"/>
      <c r="AQ92" s="799"/>
      <c r="AR92" s="799"/>
      <c r="AS92" s="799"/>
      <c r="AT92" s="799"/>
      <c r="AU92" s="799"/>
      <c r="AV92" s="799"/>
      <c r="AW92" s="799"/>
      <c r="AX92" s="799"/>
      <c r="AY92" s="799"/>
      <c r="AZ92" s="799"/>
      <c r="BA92" s="799"/>
      <c r="BB92" s="799"/>
      <c r="BC92" s="799"/>
      <c r="BD92" s="799"/>
      <c r="BE92" s="799"/>
      <c r="BF92" s="799"/>
      <c r="BG92" s="799"/>
    </row>
    <row r="93">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c r="AY93" s="799"/>
      <c r="AZ93" s="799"/>
      <c r="BA93" s="799"/>
      <c r="BB93" s="799"/>
      <c r="BC93" s="799"/>
      <c r="BD93" s="799"/>
      <c r="BE93" s="799"/>
      <c r="BF93" s="799"/>
      <c r="BG93" s="799"/>
    </row>
    <row r="94">
      <c r="H94" s="799"/>
      <c r="I94" s="799"/>
      <c r="J94" s="799"/>
      <c r="K94" s="799"/>
      <c r="L94" s="799"/>
      <c r="M94" s="799"/>
      <c r="N94" s="799"/>
      <c r="O94" s="799"/>
      <c r="P94" s="799"/>
      <c r="Q94" s="799"/>
      <c r="R94" s="799"/>
      <c r="S94" s="799"/>
      <c r="T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799"/>
      <c r="AY94" s="799"/>
      <c r="AZ94" s="799"/>
      <c r="BA94" s="799"/>
      <c r="BB94" s="799"/>
      <c r="BC94" s="799"/>
      <c r="BD94" s="799"/>
      <c r="BE94" s="799"/>
      <c r="BF94" s="799"/>
      <c r="BG94" s="799"/>
    </row>
    <row r="95">
      <c r="H95" s="799"/>
      <c r="I95" s="799"/>
      <c r="J95" s="799"/>
      <c r="K95" s="799"/>
      <c r="L95" s="799"/>
      <c r="M95" s="799"/>
      <c r="N95" s="799"/>
      <c r="O95" s="799"/>
      <c r="P95" s="799"/>
      <c r="Q95" s="799"/>
      <c r="R95" s="799"/>
      <c r="S95" s="799"/>
      <c r="T95" s="799"/>
      <c r="U95" s="799"/>
      <c r="V95" s="799"/>
      <c r="W95" s="799"/>
      <c r="X95" s="799"/>
      <c r="Y95" s="799"/>
      <c r="Z95" s="799"/>
      <c r="AA95" s="799"/>
      <c r="AB95" s="799"/>
      <c r="AC95" s="799"/>
      <c r="AD95" s="799"/>
      <c r="AE95" s="799"/>
      <c r="AF95" s="799"/>
      <c r="AG95" s="799"/>
      <c r="AH95" s="799"/>
      <c r="AI95" s="799"/>
      <c r="AJ95" s="799"/>
      <c r="AK95" s="799"/>
      <c r="AL95" s="799"/>
      <c r="AM95" s="799"/>
      <c r="AN95" s="799"/>
      <c r="AO95" s="799"/>
      <c r="AP95" s="799"/>
      <c r="AQ95" s="799"/>
      <c r="AR95" s="799"/>
      <c r="AS95" s="799"/>
      <c r="AT95" s="799"/>
      <c r="AU95" s="799"/>
      <c r="AV95" s="799"/>
      <c r="AW95" s="799"/>
      <c r="AX95" s="799"/>
      <c r="AY95" s="799"/>
      <c r="AZ95" s="799"/>
      <c r="BA95" s="799"/>
      <c r="BB95" s="799"/>
      <c r="BC95" s="799"/>
      <c r="BD95" s="799"/>
      <c r="BE95" s="799"/>
      <c r="BF95" s="799"/>
      <c r="BG95" s="799"/>
    </row>
    <row r="96">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row>
    <row r="97">
      <c r="H97" s="799"/>
      <c r="I97" s="799"/>
      <c r="J97" s="799"/>
      <c r="K97" s="799"/>
      <c r="L97" s="799"/>
      <c r="M97" s="799"/>
      <c r="N97" s="799"/>
      <c r="O97" s="799"/>
      <c r="P97" s="799"/>
      <c r="Q97" s="799"/>
      <c r="R97" s="799"/>
      <c r="S97" s="799"/>
      <c r="T97" s="799"/>
      <c r="U97" s="799"/>
      <c r="V97" s="799"/>
      <c r="W97" s="799"/>
      <c r="X97" s="799"/>
      <c r="Y97" s="799"/>
      <c r="Z97" s="799"/>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799"/>
      <c r="AX97" s="799"/>
      <c r="AY97" s="799"/>
      <c r="AZ97" s="799"/>
      <c r="BA97" s="799"/>
      <c r="BB97" s="799"/>
      <c r="BC97" s="799"/>
      <c r="BD97" s="799"/>
      <c r="BE97" s="799"/>
      <c r="BF97" s="799"/>
      <c r="BG97" s="799"/>
    </row>
    <row r="98">
      <c r="H98" s="799"/>
      <c r="I98" s="799"/>
      <c r="J98" s="799"/>
      <c r="K98" s="799"/>
      <c r="L98" s="799"/>
      <c r="M98" s="799"/>
      <c r="N98" s="799"/>
      <c r="O98" s="799"/>
      <c r="P98" s="799"/>
      <c r="Q98" s="799"/>
      <c r="R98" s="799"/>
      <c r="S98" s="799"/>
      <c r="T98" s="799"/>
      <c r="U98" s="799"/>
      <c r="V98" s="799"/>
      <c r="W98" s="799"/>
      <c r="X98" s="799"/>
      <c r="Y98" s="799"/>
      <c r="Z98" s="799"/>
      <c r="AA98" s="799"/>
      <c r="AB98" s="799"/>
      <c r="AC98" s="799"/>
      <c r="AD98" s="799"/>
      <c r="AE98" s="799"/>
      <c r="AF98" s="799"/>
      <c r="AG98" s="799"/>
      <c r="AH98" s="799"/>
      <c r="AI98" s="799"/>
      <c r="AJ98" s="799"/>
      <c r="AK98" s="799"/>
      <c r="AL98" s="799"/>
      <c r="AM98" s="799"/>
      <c r="AN98" s="799"/>
      <c r="AO98" s="799"/>
      <c r="AP98" s="799"/>
      <c r="AQ98" s="799"/>
      <c r="AR98" s="799"/>
      <c r="AS98" s="799"/>
      <c r="AT98" s="799"/>
      <c r="AU98" s="799"/>
      <c r="AV98" s="799"/>
      <c r="AW98" s="799"/>
      <c r="AX98" s="799"/>
      <c r="AY98" s="799"/>
      <c r="AZ98" s="799"/>
      <c r="BA98" s="799"/>
      <c r="BB98" s="799"/>
      <c r="BC98" s="799"/>
      <c r="BD98" s="799"/>
      <c r="BE98" s="799"/>
      <c r="BF98" s="799"/>
      <c r="BG98" s="799"/>
    </row>
    <row r="99">
      <c r="H99" s="799"/>
      <c r="I99" s="799"/>
      <c r="J99" s="799"/>
      <c r="K99" s="799"/>
      <c r="L99" s="799"/>
      <c r="M99" s="799"/>
      <c r="N99" s="799"/>
      <c r="O99" s="799"/>
      <c r="P99" s="799"/>
      <c r="Q99" s="799"/>
      <c r="R99" s="799"/>
      <c r="S99" s="799"/>
      <c r="T99" s="799"/>
      <c r="U99" s="799"/>
      <c r="V99" s="799"/>
      <c r="W99" s="799"/>
      <c r="X99" s="799"/>
      <c r="Y99" s="799"/>
      <c r="Z99" s="799"/>
      <c r="AA99" s="799"/>
      <c r="AB99" s="799"/>
      <c r="AC99" s="799"/>
      <c r="AD99" s="799"/>
      <c r="AE99" s="799"/>
      <c r="AF99" s="799"/>
      <c r="AG99" s="799"/>
      <c r="AH99" s="799"/>
      <c r="AI99" s="799"/>
      <c r="AJ99" s="799"/>
      <c r="AK99" s="799"/>
      <c r="AL99" s="799"/>
      <c r="AM99" s="799"/>
      <c r="AN99" s="799"/>
      <c r="AO99" s="799"/>
      <c r="AP99" s="799"/>
      <c r="AQ99" s="799"/>
      <c r="AR99" s="799"/>
      <c r="AS99" s="799"/>
      <c r="AT99" s="799"/>
      <c r="AU99" s="799"/>
      <c r="AV99" s="799"/>
      <c r="AW99" s="799"/>
      <c r="AX99" s="799"/>
      <c r="AY99" s="799"/>
      <c r="AZ99" s="799"/>
      <c r="BA99" s="799"/>
      <c r="BB99" s="799"/>
      <c r="BC99" s="799"/>
      <c r="BD99" s="799"/>
      <c r="BE99" s="799"/>
      <c r="BF99" s="799"/>
      <c r="BG99" s="799"/>
    </row>
    <row r="100">
      <c r="H100" s="799"/>
      <c r="I100" s="799"/>
      <c r="J100" s="799"/>
      <c r="K100" s="799"/>
      <c r="L100" s="799"/>
      <c r="M100" s="799"/>
      <c r="N100" s="799"/>
      <c r="O100" s="799"/>
      <c r="P100" s="799"/>
      <c r="Q100" s="799"/>
      <c r="R100" s="799"/>
      <c r="S100" s="799"/>
      <c r="T100" s="799"/>
      <c r="U100" s="799"/>
      <c r="V100" s="799"/>
      <c r="W100" s="799"/>
      <c r="X100" s="799"/>
      <c r="Y100" s="799"/>
      <c r="Z100" s="799"/>
      <c r="AA100" s="799"/>
      <c r="AB100" s="799"/>
      <c r="AC100" s="799"/>
      <c r="AD100" s="799"/>
      <c r="AE100" s="799"/>
      <c r="AF100" s="799"/>
      <c r="AG100" s="799"/>
      <c r="AH100" s="799"/>
      <c r="AI100" s="799"/>
      <c r="AJ100" s="799"/>
      <c r="AK100" s="799"/>
      <c r="AL100" s="799"/>
      <c r="AM100" s="799"/>
      <c r="AN100" s="799"/>
      <c r="AO100" s="799"/>
      <c r="AP100" s="799"/>
      <c r="AQ100" s="799"/>
      <c r="AR100" s="799"/>
      <c r="AS100" s="799"/>
      <c r="AT100" s="799"/>
      <c r="AU100" s="799"/>
      <c r="AV100" s="799"/>
      <c r="AW100" s="799"/>
      <c r="AX100" s="799"/>
      <c r="AY100" s="799"/>
      <c r="AZ100" s="799"/>
      <c r="BA100" s="799"/>
      <c r="BB100" s="799"/>
      <c r="BC100" s="799"/>
      <c r="BD100" s="799"/>
      <c r="BE100" s="799"/>
      <c r="BF100" s="799"/>
      <c r="BG100" s="799"/>
    </row>
    <row r="101">
      <c r="H101" s="799"/>
      <c r="I101" s="799"/>
      <c r="J101" s="799"/>
      <c r="K101" s="799"/>
      <c r="L101" s="799"/>
      <c r="M101" s="799"/>
      <c r="N101" s="799"/>
      <c r="O101" s="799"/>
      <c r="P101" s="799"/>
      <c r="Q101" s="799"/>
      <c r="R101" s="799"/>
      <c r="S101" s="799"/>
      <c r="T101" s="799"/>
      <c r="U101" s="799"/>
      <c r="V101" s="799"/>
      <c r="W101" s="799"/>
      <c r="X101" s="799"/>
      <c r="Y101" s="799"/>
      <c r="Z101" s="799"/>
      <c r="AA101" s="799"/>
      <c r="AB101" s="799"/>
      <c r="AC101" s="799"/>
      <c r="AD101" s="799"/>
      <c r="AE101" s="799"/>
      <c r="AF101" s="799"/>
      <c r="AG101" s="799"/>
      <c r="AH101" s="799"/>
      <c r="AI101" s="799"/>
      <c r="AJ101" s="799"/>
      <c r="AK101" s="799"/>
      <c r="AL101" s="799"/>
      <c r="AM101" s="799"/>
      <c r="AN101" s="799"/>
      <c r="AO101" s="799"/>
      <c r="AP101" s="799"/>
      <c r="AQ101" s="799"/>
      <c r="AR101" s="799"/>
      <c r="AS101" s="799"/>
      <c r="AT101" s="799"/>
      <c r="AU101" s="799"/>
      <c r="AV101" s="799"/>
      <c r="AW101" s="799"/>
      <c r="AX101" s="799"/>
      <c r="AY101" s="799"/>
      <c r="AZ101" s="799"/>
      <c r="BA101" s="799"/>
      <c r="BB101" s="799"/>
      <c r="BC101" s="799"/>
      <c r="BD101" s="799"/>
      <c r="BE101" s="799"/>
      <c r="BF101" s="799"/>
      <c r="BG101" s="799"/>
    </row>
    <row r="102">
      <c r="H102" s="799"/>
      <c r="I102" s="799"/>
      <c r="J102" s="799"/>
      <c r="K102" s="799"/>
      <c r="L102" s="799"/>
      <c r="M102" s="799"/>
      <c r="N102" s="799"/>
      <c r="O102" s="799"/>
      <c r="P102" s="799"/>
      <c r="Q102" s="799"/>
      <c r="R102" s="799"/>
      <c r="S102" s="799"/>
      <c r="T102" s="799"/>
      <c r="U102" s="799"/>
      <c r="V102" s="799"/>
      <c r="W102" s="799"/>
      <c r="X102" s="799"/>
      <c r="Y102" s="799"/>
      <c r="Z102" s="799"/>
      <c r="AA102" s="799"/>
      <c r="AB102" s="799"/>
      <c r="AC102" s="799"/>
      <c r="AD102" s="799"/>
      <c r="AE102" s="799"/>
      <c r="AF102" s="799"/>
      <c r="AG102" s="799"/>
      <c r="AH102" s="799"/>
      <c r="AI102" s="799"/>
      <c r="AJ102" s="799"/>
      <c r="AK102" s="799"/>
      <c r="AL102" s="799"/>
      <c r="AM102" s="799"/>
      <c r="AN102" s="799"/>
      <c r="AO102" s="799"/>
      <c r="AP102" s="799"/>
      <c r="AQ102" s="799"/>
      <c r="AR102" s="799"/>
      <c r="AS102" s="799"/>
      <c r="AT102" s="799"/>
      <c r="AU102" s="799"/>
      <c r="AV102" s="799"/>
      <c r="AW102" s="799"/>
      <c r="AX102" s="799"/>
      <c r="AY102" s="799"/>
      <c r="AZ102" s="799"/>
      <c r="BA102" s="799"/>
      <c r="BB102" s="799"/>
      <c r="BC102" s="799"/>
      <c r="BD102" s="799"/>
      <c r="BE102" s="799"/>
      <c r="BF102" s="799"/>
      <c r="BG102" s="799"/>
    </row>
    <row r="103">
      <c r="H103" s="799"/>
      <c r="I103" s="799"/>
      <c r="J103" s="799"/>
      <c r="K103" s="799"/>
      <c r="L103" s="799"/>
      <c r="M103" s="799"/>
      <c r="N103" s="799"/>
      <c r="O103" s="799"/>
      <c r="P103" s="799"/>
      <c r="Q103" s="799"/>
      <c r="R103" s="799"/>
      <c r="S103" s="799"/>
      <c r="T103" s="799"/>
      <c r="U103" s="799"/>
      <c r="V103" s="799"/>
      <c r="W103" s="799"/>
      <c r="X103" s="799"/>
      <c r="Y103" s="799"/>
      <c r="Z103" s="799"/>
      <c r="AA103" s="799"/>
      <c r="AB103" s="799"/>
      <c r="AC103" s="799"/>
      <c r="AD103" s="799"/>
      <c r="AE103" s="799"/>
      <c r="AF103" s="799"/>
      <c r="AG103" s="799"/>
      <c r="AH103" s="799"/>
      <c r="AI103" s="799"/>
      <c r="AJ103" s="799"/>
      <c r="AK103" s="799"/>
      <c r="AL103" s="799"/>
      <c r="AM103" s="799"/>
      <c r="AN103" s="799"/>
      <c r="AO103" s="799"/>
      <c r="AP103" s="799"/>
      <c r="AQ103" s="799"/>
      <c r="AR103" s="799"/>
      <c r="AS103" s="799"/>
      <c r="AT103" s="799"/>
      <c r="AU103" s="799"/>
      <c r="AV103" s="799"/>
      <c r="AW103" s="799"/>
      <c r="AX103" s="799"/>
      <c r="AY103" s="799"/>
      <c r="AZ103" s="799"/>
      <c r="BA103" s="799"/>
      <c r="BB103" s="799"/>
      <c r="BC103" s="799"/>
      <c r="BD103" s="799"/>
      <c r="BE103" s="799"/>
      <c r="BF103" s="799"/>
      <c r="BG103" s="799"/>
    </row>
    <row r="104">
      <c r="H104" s="799"/>
      <c r="I104" s="799"/>
      <c r="J104" s="799"/>
      <c r="K104" s="799"/>
      <c r="L104" s="799"/>
      <c r="M104" s="799"/>
      <c r="N104" s="799"/>
      <c r="O104" s="799"/>
      <c r="P104" s="799"/>
      <c r="Q104" s="799"/>
      <c r="R104" s="799"/>
      <c r="S104" s="799"/>
      <c r="T104" s="799"/>
      <c r="U104" s="799"/>
      <c r="V104" s="799"/>
      <c r="W104" s="799"/>
      <c r="X104" s="799"/>
      <c r="Y104" s="799"/>
      <c r="Z104" s="799"/>
      <c r="AA104" s="799"/>
      <c r="AB104" s="799"/>
      <c r="AC104" s="799"/>
      <c r="AD104" s="799"/>
      <c r="AE104" s="799"/>
      <c r="AF104" s="799"/>
      <c r="AG104" s="799"/>
      <c r="AH104" s="799"/>
      <c r="AI104" s="799"/>
      <c r="AJ104" s="799"/>
      <c r="AK104" s="799"/>
      <c r="AL104" s="799"/>
      <c r="AM104" s="799"/>
      <c r="AN104" s="799"/>
      <c r="AO104" s="799"/>
      <c r="AP104" s="799"/>
      <c r="AQ104" s="799"/>
      <c r="AR104" s="799"/>
      <c r="AS104" s="799"/>
      <c r="AT104" s="799"/>
      <c r="AU104" s="799"/>
      <c r="AV104" s="799"/>
      <c r="AW104" s="799"/>
      <c r="AX104" s="799"/>
      <c r="AY104" s="799"/>
      <c r="AZ104" s="799"/>
      <c r="BA104" s="799"/>
      <c r="BB104" s="799"/>
      <c r="BC104" s="799"/>
      <c r="BD104" s="799"/>
      <c r="BE104" s="799"/>
      <c r="BF104" s="799"/>
      <c r="BG104" s="799"/>
    </row>
    <row r="105">
      <c r="H105" s="799"/>
      <c r="I105" s="799"/>
      <c r="J105" s="799"/>
      <c r="K105" s="799"/>
      <c r="L105" s="799"/>
      <c r="M105" s="799"/>
      <c r="N105" s="799"/>
      <c r="O105" s="799"/>
      <c r="P105" s="799"/>
      <c r="Q105" s="799"/>
      <c r="R105" s="799"/>
      <c r="S105" s="799"/>
      <c r="T105" s="799"/>
      <c r="U105" s="799"/>
      <c r="V105" s="799"/>
      <c r="W105" s="799"/>
      <c r="X105" s="799"/>
      <c r="Y105" s="799"/>
      <c r="Z105" s="799"/>
      <c r="AA105" s="799"/>
      <c r="AB105" s="799"/>
      <c r="AC105" s="799"/>
      <c r="AD105" s="799"/>
      <c r="AE105" s="799"/>
      <c r="AF105" s="799"/>
      <c r="AG105" s="799"/>
      <c r="AH105" s="799"/>
      <c r="AI105" s="799"/>
      <c r="AJ105" s="799"/>
      <c r="AK105" s="799"/>
      <c r="AL105" s="799"/>
      <c r="AM105" s="799"/>
      <c r="AN105" s="799"/>
      <c r="AO105" s="799"/>
      <c r="AP105" s="799"/>
      <c r="AQ105" s="799"/>
      <c r="AR105" s="799"/>
      <c r="AS105" s="799"/>
      <c r="AT105" s="799"/>
      <c r="AU105" s="799"/>
      <c r="AV105" s="799"/>
      <c r="AW105" s="799"/>
      <c r="AX105" s="799"/>
      <c r="AY105" s="799"/>
      <c r="AZ105" s="799"/>
      <c r="BA105" s="799"/>
      <c r="BB105" s="799"/>
      <c r="BC105" s="799"/>
      <c r="BD105" s="799"/>
      <c r="BE105" s="799"/>
      <c r="BF105" s="799"/>
      <c r="BG105" s="799"/>
    </row>
    <row r="106">
      <c r="H106" s="799"/>
      <c r="I106" s="799"/>
      <c r="J106" s="799"/>
      <c r="K106" s="799"/>
      <c r="L106" s="799"/>
      <c r="M106" s="799"/>
      <c r="N106" s="799"/>
      <c r="O106" s="799"/>
      <c r="P106" s="799"/>
      <c r="Q106" s="799"/>
      <c r="R106" s="799"/>
      <c r="S106" s="799"/>
      <c r="T106" s="799"/>
      <c r="U106" s="799"/>
      <c r="V106" s="799"/>
      <c r="W106" s="799"/>
      <c r="X106" s="799"/>
      <c r="Y106" s="799"/>
      <c r="Z106" s="799"/>
      <c r="AA106" s="799"/>
      <c r="AB106" s="799"/>
      <c r="AC106" s="799"/>
      <c r="AD106" s="799"/>
      <c r="AE106" s="799"/>
      <c r="AF106" s="799"/>
      <c r="AG106" s="799"/>
      <c r="AH106" s="799"/>
      <c r="AI106" s="799"/>
      <c r="AJ106" s="799"/>
      <c r="AK106" s="799"/>
      <c r="AL106" s="799"/>
      <c r="AM106" s="799"/>
      <c r="AN106" s="799"/>
      <c r="AO106" s="799"/>
      <c r="AP106" s="799"/>
      <c r="AQ106" s="799"/>
      <c r="AR106" s="799"/>
      <c r="AS106" s="799"/>
      <c r="AT106" s="799"/>
      <c r="AU106" s="799"/>
      <c r="AV106" s="799"/>
      <c r="AW106" s="799"/>
      <c r="AX106" s="799"/>
      <c r="AY106" s="799"/>
      <c r="AZ106" s="799"/>
      <c r="BA106" s="799"/>
      <c r="BB106" s="799"/>
      <c r="BC106" s="799"/>
      <c r="BD106" s="799"/>
      <c r="BE106" s="799"/>
      <c r="BF106" s="799"/>
      <c r="BG106" s="799"/>
    </row>
    <row r="107">
      <c r="H107" s="799"/>
      <c r="I107" s="799"/>
      <c r="J107" s="799"/>
      <c r="K107" s="799"/>
      <c r="L107" s="799"/>
      <c r="M107" s="799"/>
      <c r="N107" s="799"/>
      <c r="O107" s="799"/>
      <c r="P107" s="799"/>
      <c r="Q107" s="799"/>
      <c r="R107" s="799"/>
      <c r="S107" s="799"/>
      <c r="T107" s="799"/>
      <c r="U107" s="799"/>
      <c r="V107" s="799"/>
      <c r="W107" s="799"/>
      <c r="X107" s="799"/>
      <c r="Y107" s="799"/>
      <c r="Z107" s="799"/>
      <c r="AA107" s="799"/>
      <c r="AB107" s="799"/>
      <c r="AC107" s="799"/>
      <c r="AD107" s="799"/>
      <c r="AE107" s="799"/>
      <c r="AF107" s="799"/>
      <c r="AG107" s="799"/>
      <c r="AH107" s="799"/>
      <c r="AI107" s="799"/>
      <c r="AJ107" s="799"/>
      <c r="AK107" s="799"/>
      <c r="AL107" s="799"/>
      <c r="AM107" s="799"/>
      <c r="AN107" s="799"/>
      <c r="AO107" s="799"/>
      <c r="AP107" s="799"/>
      <c r="AQ107" s="799"/>
      <c r="AR107" s="799"/>
      <c r="AS107" s="799"/>
      <c r="AT107" s="799"/>
      <c r="AU107" s="799"/>
      <c r="AV107" s="799"/>
      <c r="AW107" s="799"/>
      <c r="AX107" s="799"/>
      <c r="AY107" s="799"/>
      <c r="AZ107" s="799"/>
      <c r="BA107" s="799"/>
      <c r="BB107" s="799"/>
      <c r="BC107" s="799"/>
      <c r="BD107" s="799"/>
      <c r="BE107" s="799"/>
      <c r="BF107" s="799"/>
      <c r="BG107" s="799"/>
    </row>
    <row r="108">
      <c r="H108" s="799"/>
      <c r="I108" s="799"/>
      <c r="J108" s="799"/>
      <c r="K108" s="799"/>
      <c r="L108" s="799"/>
      <c r="M108" s="799"/>
      <c r="N108" s="799"/>
      <c r="O108" s="799"/>
      <c r="P108" s="799"/>
      <c r="Q108" s="799"/>
      <c r="R108" s="799"/>
      <c r="S108" s="799"/>
      <c r="T108" s="799"/>
      <c r="U108" s="799"/>
      <c r="V108" s="799"/>
      <c r="W108" s="799"/>
      <c r="X108" s="799"/>
      <c r="Y108" s="799"/>
      <c r="Z108" s="799"/>
      <c r="AA108" s="799"/>
      <c r="AB108" s="799"/>
      <c r="AC108" s="799"/>
      <c r="AD108" s="799"/>
      <c r="AE108" s="799"/>
      <c r="AF108" s="799"/>
      <c r="AG108" s="799"/>
      <c r="AH108" s="799"/>
      <c r="AI108" s="799"/>
      <c r="AJ108" s="799"/>
      <c r="AK108" s="799"/>
      <c r="AL108" s="799"/>
      <c r="AM108" s="799"/>
      <c r="AN108" s="799"/>
      <c r="AO108" s="799"/>
      <c r="AP108" s="799"/>
      <c r="AQ108" s="799"/>
      <c r="AR108" s="799"/>
      <c r="AS108" s="799"/>
      <c r="AT108" s="799"/>
      <c r="AU108" s="799"/>
      <c r="AV108" s="799"/>
      <c r="AW108" s="799"/>
      <c r="AX108" s="799"/>
      <c r="AY108" s="799"/>
      <c r="AZ108" s="799"/>
      <c r="BA108" s="799"/>
      <c r="BB108" s="799"/>
      <c r="BC108" s="799"/>
      <c r="BD108" s="799"/>
      <c r="BE108" s="799"/>
      <c r="BF108" s="799"/>
      <c r="BG108" s="799"/>
    </row>
    <row r="109">
      <c r="H109" s="799"/>
      <c r="I109" s="799"/>
      <c r="J109" s="799"/>
      <c r="K109" s="799"/>
      <c r="L109" s="799"/>
      <c r="M109" s="799"/>
      <c r="N109" s="799"/>
      <c r="O109" s="799"/>
      <c r="P109" s="799"/>
      <c r="Q109" s="799"/>
      <c r="R109" s="799"/>
      <c r="S109" s="799"/>
      <c r="T109" s="799"/>
      <c r="U109" s="799"/>
      <c r="V109" s="799"/>
      <c r="W109" s="799"/>
      <c r="X109" s="799"/>
      <c r="Y109" s="799"/>
      <c r="Z109" s="799"/>
      <c r="AA109" s="799"/>
      <c r="AB109" s="799"/>
      <c r="AC109" s="799"/>
      <c r="AD109" s="799"/>
      <c r="AE109" s="799"/>
      <c r="AF109" s="799"/>
      <c r="AG109" s="799"/>
      <c r="AH109" s="799"/>
      <c r="AI109" s="799"/>
      <c r="AJ109" s="799"/>
      <c r="AK109" s="799"/>
      <c r="AL109" s="799"/>
      <c r="AM109" s="799"/>
      <c r="AN109" s="799"/>
      <c r="AO109" s="799"/>
      <c r="AP109" s="799"/>
      <c r="AQ109" s="799"/>
      <c r="AR109" s="799"/>
      <c r="AS109" s="799"/>
      <c r="AT109" s="799"/>
      <c r="AU109" s="799"/>
      <c r="AV109" s="799"/>
      <c r="AW109" s="799"/>
      <c r="AX109" s="799"/>
      <c r="AY109" s="799"/>
      <c r="AZ109" s="799"/>
      <c r="BA109" s="799"/>
      <c r="BB109" s="799"/>
      <c r="BC109" s="799"/>
      <c r="BD109" s="799"/>
      <c r="BE109" s="799"/>
      <c r="BF109" s="799"/>
      <c r="BG109" s="799"/>
    </row>
    <row r="110">
      <c r="H110" s="799"/>
      <c r="I110" s="799"/>
      <c r="J110" s="799"/>
      <c r="K110" s="799"/>
      <c r="L110" s="799"/>
      <c r="M110" s="799"/>
      <c r="N110" s="799"/>
      <c r="O110" s="799"/>
      <c r="P110" s="799"/>
      <c r="Q110" s="799"/>
      <c r="R110" s="799"/>
      <c r="S110" s="799"/>
      <c r="T110" s="799"/>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c r="AP110" s="799"/>
      <c r="AQ110" s="799"/>
      <c r="AR110" s="799"/>
      <c r="AS110" s="799"/>
      <c r="AT110" s="799"/>
      <c r="AU110" s="799"/>
      <c r="AV110" s="799"/>
      <c r="AW110" s="799"/>
      <c r="AX110" s="799"/>
      <c r="AY110" s="799"/>
      <c r="AZ110" s="799"/>
      <c r="BA110" s="799"/>
      <c r="BB110" s="799"/>
      <c r="BC110" s="799"/>
      <c r="BD110" s="799"/>
      <c r="BE110" s="799"/>
      <c r="BF110" s="799"/>
      <c r="BG110" s="799"/>
    </row>
    <row r="111">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row>
    <row r="112">
      <c r="H112" s="799"/>
      <c r="I112" s="799"/>
      <c r="J112" s="799"/>
      <c r="K112" s="799"/>
      <c r="L112" s="799"/>
      <c r="M112" s="799"/>
      <c r="N112" s="799"/>
      <c r="O112" s="799"/>
      <c r="P112" s="799"/>
      <c r="Q112" s="799"/>
      <c r="R112" s="799"/>
      <c r="S112" s="799"/>
      <c r="T112" s="799"/>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c r="AP112" s="799"/>
      <c r="AQ112" s="799"/>
      <c r="AR112" s="799"/>
      <c r="AS112" s="799"/>
      <c r="AT112" s="799"/>
      <c r="AU112" s="799"/>
      <c r="AV112" s="799"/>
      <c r="AW112" s="799"/>
      <c r="AX112" s="799"/>
      <c r="AY112" s="799"/>
      <c r="AZ112" s="799"/>
      <c r="BA112" s="799"/>
      <c r="BB112" s="799"/>
      <c r="BC112" s="799"/>
      <c r="BD112" s="799"/>
      <c r="BE112" s="799"/>
      <c r="BF112" s="799"/>
      <c r="BG112" s="799"/>
    </row>
    <row r="113">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row>
    <row r="114">
      <c r="H114" s="799"/>
      <c r="I114" s="799"/>
      <c r="J114" s="799"/>
      <c r="K114" s="799"/>
      <c r="L114" s="799"/>
      <c r="M114" s="799"/>
      <c r="N114" s="799"/>
      <c r="O114" s="799"/>
      <c r="P114" s="799"/>
      <c r="Q114" s="799"/>
      <c r="R114" s="799"/>
      <c r="S114" s="799"/>
      <c r="T114" s="799"/>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c r="AP114" s="799"/>
      <c r="AQ114" s="799"/>
      <c r="AR114" s="799"/>
      <c r="AS114" s="799"/>
      <c r="AT114" s="799"/>
      <c r="AU114" s="799"/>
      <c r="AV114" s="799"/>
      <c r="AW114" s="799"/>
      <c r="AX114" s="799"/>
      <c r="AY114" s="799"/>
      <c r="AZ114" s="799"/>
      <c r="BA114" s="799"/>
      <c r="BB114" s="799"/>
      <c r="BC114" s="799"/>
      <c r="BD114" s="799"/>
      <c r="BE114" s="799"/>
      <c r="BF114" s="799"/>
      <c r="BG114" s="799"/>
    </row>
    <row r="115">
      <c r="H115" s="799"/>
      <c r="I115" s="799"/>
      <c r="J115" s="799"/>
      <c r="K115" s="799"/>
      <c r="L115" s="799"/>
      <c r="M115" s="799"/>
      <c r="N115" s="799"/>
      <c r="O115" s="799"/>
      <c r="P115" s="799"/>
      <c r="Q115" s="799"/>
      <c r="R115" s="799"/>
      <c r="S115" s="799"/>
      <c r="T115" s="799"/>
      <c r="U115" s="799"/>
      <c r="V115" s="799"/>
      <c r="W115" s="799"/>
      <c r="X115" s="799"/>
      <c r="Y115" s="799"/>
      <c r="Z115" s="799"/>
      <c r="AA115" s="799"/>
      <c r="AB115" s="799"/>
      <c r="AC115" s="799"/>
      <c r="AD115" s="799"/>
      <c r="AE115" s="799"/>
      <c r="AF115" s="799"/>
      <c r="AG115" s="799"/>
      <c r="AH115" s="799"/>
      <c r="AI115" s="799"/>
      <c r="AJ115" s="799"/>
      <c r="AK115" s="799"/>
      <c r="AL115" s="799"/>
      <c r="AM115" s="799"/>
      <c r="AN115" s="799"/>
      <c r="AO115" s="799"/>
      <c r="AP115" s="799"/>
      <c r="AQ115" s="799"/>
      <c r="AR115" s="799"/>
      <c r="AS115" s="799"/>
      <c r="AT115" s="799"/>
      <c r="AU115" s="799"/>
      <c r="AV115" s="799"/>
      <c r="AW115" s="799"/>
      <c r="AX115" s="799"/>
      <c r="AY115" s="799"/>
      <c r="AZ115" s="799"/>
      <c r="BA115" s="799"/>
      <c r="BB115" s="799"/>
      <c r="BC115" s="799"/>
      <c r="BD115" s="799"/>
      <c r="BE115" s="799"/>
      <c r="BF115" s="799"/>
      <c r="BG115" s="799"/>
    </row>
    <row r="116">
      <c r="H116" s="799"/>
      <c r="I116" s="799"/>
      <c r="J116" s="799"/>
      <c r="K116" s="799"/>
      <c r="L116" s="799"/>
      <c r="M116" s="799"/>
      <c r="N116" s="799"/>
      <c r="O116" s="799"/>
      <c r="P116" s="799"/>
      <c r="Q116" s="799"/>
      <c r="R116" s="799"/>
      <c r="S116" s="799"/>
      <c r="T116" s="799"/>
      <c r="U116" s="799"/>
      <c r="V116" s="799"/>
      <c r="W116" s="799"/>
      <c r="X116" s="799"/>
      <c r="Y116" s="799"/>
      <c r="Z116" s="799"/>
      <c r="AA116" s="799"/>
      <c r="AB116" s="799"/>
      <c r="AC116" s="799"/>
      <c r="AD116" s="799"/>
      <c r="AE116" s="799"/>
      <c r="AF116" s="799"/>
      <c r="AG116" s="799"/>
      <c r="AH116" s="799"/>
      <c r="AI116" s="799"/>
      <c r="AJ116" s="799"/>
      <c r="AK116" s="799"/>
      <c r="AL116" s="799"/>
      <c r="AM116" s="799"/>
      <c r="AN116" s="799"/>
      <c r="AO116" s="799"/>
      <c r="AP116" s="799"/>
      <c r="AQ116" s="799"/>
      <c r="AR116" s="799"/>
      <c r="AS116" s="799"/>
      <c r="AT116" s="799"/>
      <c r="AU116" s="799"/>
      <c r="AV116" s="799"/>
      <c r="AW116" s="799"/>
      <c r="AX116" s="799"/>
      <c r="AY116" s="799"/>
      <c r="AZ116" s="799"/>
      <c r="BA116" s="799"/>
      <c r="BB116" s="799"/>
      <c r="BC116" s="799"/>
      <c r="BD116" s="799"/>
      <c r="BE116" s="799"/>
      <c r="BF116" s="799"/>
      <c r="BG116" s="799"/>
    </row>
    <row r="117">
      <c r="H117" s="799"/>
      <c r="I117" s="799"/>
      <c r="J117" s="799"/>
      <c r="K117" s="799"/>
      <c r="L117" s="799"/>
      <c r="M117" s="799"/>
      <c r="N117" s="799"/>
      <c r="O117" s="799"/>
      <c r="P117" s="799"/>
      <c r="Q117" s="799"/>
      <c r="R117" s="799"/>
      <c r="S117" s="799"/>
      <c r="T117" s="799"/>
      <c r="U117" s="799"/>
      <c r="V117" s="799"/>
      <c r="W117" s="799"/>
      <c r="X117" s="799"/>
      <c r="Y117" s="799"/>
      <c r="Z117" s="799"/>
      <c r="AA117" s="799"/>
      <c r="AB117" s="799"/>
      <c r="AC117" s="799"/>
      <c r="AD117" s="799"/>
      <c r="AE117" s="799"/>
      <c r="AF117" s="799"/>
      <c r="AG117" s="799"/>
      <c r="AH117" s="799"/>
      <c r="AI117" s="799"/>
      <c r="AJ117" s="799"/>
      <c r="AK117" s="799"/>
      <c r="AL117" s="799"/>
      <c r="AM117" s="799"/>
      <c r="AN117" s="799"/>
      <c r="AO117" s="799"/>
      <c r="AP117" s="799"/>
      <c r="AQ117" s="799"/>
      <c r="AR117" s="799"/>
      <c r="AS117" s="799"/>
      <c r="AT117" s="799"/>
      <c r="AU117" s="799"/>
      <c r="AV117" s="799"/>
      <c r="AW117" s="799"/>
      <c r="AX117" s="799"/>
      <c r="AY117" s="799"/>
      <c r="AZ117" s="799"/>
      <c r="BA117" s="799"/>
      <c r="BB117" s="799"/>
      <c r="BC117" s="799"/>
      <c r="BD117" s="799"/>
      <c r="BE117" s="799"/>
      <c r="BF117" s="799"/>
      <c r="BG117" s="799"/>
    </row>
    <row r="118">
      <c r="H118" s="799"/>
      <c r="I118" s="799"/>
      <c r="J118" s="799"/>
      <c r="K118" s="799"/>
      <c r="L118" s="799"/>
      <c r="M118" s="799"/>
      <c r="N118" s="799"/>
      <c r="O118" s="799"/>
      <c r="P118" s="799"/>
      <c r="Q118" s="799"/>
      <c r="R118" s="799"/>
      <c r="S118" s="799"/>
      <c r="T118" s="799"/>
      <c r="U118" s="799"/>
      <c r="V118" s="799"/>
      <c r="W118" s="799"/>
      <c r="X118" s="799"/>
      <c r="Y118" s="799"/>
      <c r="Z118" s="799"/>
      <c r="AA118" s="799"/>
      <c r="AB118" s="799"/>
      <c r="AC118" s="799"/>
      <c r="AD118" s="799"/>
      <c r="AE118" s="799"/>
      <c r="AF118" s="799"/>
      <c r="AG118" s="799"/>
      <c r="AH118" s="799"/>
      <c r="AI118" s="799"/>
      <c r="AJ118" s="799"/>
      <c r="AK118" s="799"/>
      <c r="AL118" s="799"/>
      <c r="AM118" s="799"/>
      <c r="AN118" s="799"/>
      <c r="AO118" s="799"/>
      <c r="AP118" s="799"/>
      <c r="AQ118" s="799"/>
      <c r="AR118" s="799"/>
      <c r="AS118" s="799"/>
      <c r="AT118" s="799"/>
      <c r="AU118" s="799"/>
      <c r="AV118" s="799"/>
      <c r="AW118" s="799"/>
      <c r="AX118" s="799"/>
      <c r="AY118" s="799"/>
      <c r="AZ118" s="799"/>
      <c r="BA118" s="799"/>
      <c r="BB118" s="799"/>
      <c r="BC118" s="799"/>
      <c r="BD118" s="799"/>
      <c r="BE118" s="799"/>
      <c r="BF118" s="799"/>
      <c r="BG118" s="799"/>
    </row>
    <row r="119">
      <c r="H119" s="799"/>
      <c r="I119" s="799"/>
      <c r="J119" s="799"/>
      <c r="K119" s="799"/>
      <c r="L119" s="799"/>
      <c r="M119" s="799"/>
      <c r="N119" s="799"/>
      <c r="O119" s="799"/>
      <c r="P119" s="799"/>
      <c r="Q119" s="799"/>
      <c r="R119" s="799"/>
      <c r="S119" s="799"/>
      <c r="T119" s="799"/>
      <c r="U119" s="799"/>
      <c r="V119" s="799"/>
      <c r="W119" s="799"/>
      <c r="X119" s="799"/>
      <c r="Y119" s="799"/>
      <c r="Z119" s="799"/>
      <c r="AA119" s="799"/>
      <c r="AB119" s="799"/>
      <c r="AC119" s="799"/>
      <c r="AD119" s="799"/>
      <c r="AE119" s="799"/>
      <c r="AF119" s="799"/>
      <c r="AG119" s="799"/>
      <c r="AH119" s="799"/>
      <c r="AI119" s="799"/>
      <c r="AJ119" s="799"/>
      <c r="AK119" s="799"/>
      <c r="AL119" s="799"/>
      <c r="AM119" s="799"/>
      <c r="AN119" s="799"/>
      <c r="AO119" s="799"/>
      <c r="AP119" s="799"/>
      <c r="AQ119" s="799"/>
      <c r="AR119" s="799"/>
      <c r="AS119" s="799"/>
      <c r="AT119" s="799"/>
      <c r="AU119" s="799"/>
      <c r="AV119" s="799"/>
      <c r="AW119" s="799"/>
      <c r="AX119" s="799"/>
      <c r="AY119" s="799"/>
      <c r="AZ119" s="799"/>
      <c r="BA119" s="799"/>
      <c r="BB119" s="799"/>
      <c r="BC119" s="799"/>
      <c r="BD119" s="799"/>
      <c r="BE119" s="799"/>
      <c r="BF119" s="799"/>
      <c r="BG119" s="799"/>
    </row>
    <row r="120">
      <c r="H120" s="799"/>
      <c r="I120" s="799"/>
      <c r="J120" s="799"/>
      <c r="K120" s="799"/>
      <c r="L120" s="799"/>
      <c r="M120" s="799"/>
      <c r="N120" s="799"/>
      <c r="O120" s="799"/>
      <c r="P120" s="799"/>
      <c r="Q120" s="799"/>
      <c r="R120" s="799"/>
      <c r="S120" s="799"/>
      <c r="T120" s="799"/>
      <c r="U120" s="799"/>
      <c r="V120" s="799"/>
      <c r="W120" s="799"/>
      <c r="X120" s="799"/>
      <c r="Y120" s="799"/>
      <c r="Z120" s="799"/>
      <c r="AA120" s="799"/>
      <c r="AB120" s="799"/>
      <c r="AC120" s="799"/>
      <c r="AD120" s="799"/>
      <c r="AE120" s="799"/>
      <c r="AF120" s="799"/>
      <c r="AG120" s="799"/>
      <c r="AH120" s="799"/>
      <c r="AI120" s="799"/>
      <c r="AJ120" s="799"/>
      <c r="AK120" s="799"/>
      <c r="AL120" s="799"/>
      <c r="AM120" s="799"/>
      <c r="AN120" s="799"/>
      <c r="AO120" s="799"/>
      <c r="AP120" s="799"/>
      <c r="AQ120" s="799"/>
      <c r="AR120" s="799"/>
      <c r="AS120" s="799"/>
      <c r="AT120" s="799"/>
      <c r="AU120" s="799"/>
      <c r="AV120" s="799"/>
      <c r="AW120" s="799"/>
      <c r="AX120" s="799"/>
      <c r="AY120" s="799"/>
      <c r="AZ120" s="799"/>
      <c r="BA120" s="799"/>
      <c r="BB120" s="799"/>
      <c r="BC120" s="799"/>
      <c r="BD120" s="799"/>
      <c r="BE120" s="799"/>
      <c r="BF120" s="799"/>
      <c r="BG120" s="799"/>
    </row>
    <row r="121">
      <c r="H121" s="799"/>
      <c r="I121" s="799"/>
      <c r="J121" s="799"/>
      <c r="K121" s="799"/>
      <c r="L121" s="799"/>
      <c r="M121" s="799"/>
      <c r="N121" s="799"/>
      <c r="O121" s="799"/>
      <c r="P121" s="799"/>
      <c r="Q121" s="799"/>
      <c r="R121" s="799"/>
      <c r="S121" s="799"/>
      <c r="T121" s="799"/>
      <c r="U121" s="799"/>
      <c r="V121" s="799"/>
      <c r="W121" s="799"/>
      <c r="X121" s="799"/>
      <c r="Y121" s="799"/>
      <c r="Z121" s="799"/>
      <c r="AA121" s="799"/>
      <c r="AB121" s="799"/>
      <c r="AC121" s="799"/>
      <c r="AD121" s="799"/>
      <c r="AE121" s="799"/>
      <c r="AF121" s="799"/>
      <c r="AG121" s="799"/>
      <c r="AH121" s="799"/>
      <c r="AI121" s="799"/>
      <c r="AJ121" s="799"/>
      <c r="AK121" s="799"/>
      <c r="AL121" s="799"/>
      <c r="AM121" s="799"/>
      <c r="AN121" s="799"/>
      <c r="AO121" s="799"/>
      <c r="AP121" s="799"/>
      <c r="AQ121" s="799"/>
      <c r="AR121" s="799"/>
      <c r="AS121" s="799"/>
      <c r="AT121" s="799"/>
      <c r="AU121" s="799"/>
      <c r="AV121" s="799"/>
      <c r="AW121" s="799"/>
      <c r="AX121" s="799"/>
      <c r="AY121" s="799"/>
      <c r="AZ121" s="799"/>
      <c r="BA121" s="799"/>
      <c r="BB121" s="799"/>
      <c r="BC121" s="799"/>
      <c r="BD121" s="799"/>
      <c r="BE121" s="799"/>
      <c r="BF121" s="799"/>
      <c r="BG121" s="799"/>
    </row>
    <row r="122">
      <c r="H122" s="799"/>
      <c r="I122" s="799"/>
      <c r="J122" s="799"/>
      <c r="K122" s="799"/>
      <c r="L122" s="799"/>
      <c r="M122" s="799"/>
      <c r="N122" s="799"/>
      <c r="O122" s="799"/>
      <c r="P122" s="799"/>
      <c r="Q122" s="799"/>
      <c r="R122" s="799"/>
      <c r="S122" s="799"/>
      <c r="T122" s="799"/>
      <c r="U122" s="799"/>
      <c r="V122" s="799"/>
      <c r="W122" s="799"/>
      <c r="X122" s="799"/>
      <c r="Y122" s="799"/>
      <c r="Z122" s="799"/>
      <c r="AA122" s="799"/>
      <c r="AB122" s="799"/>
      <c r="AC122" s="799"/>
      <c r="AD122" s="799"/>
      <c r="AE122" s="799"/>
      <c r="AF122" s="799"/>
      <c r="AG122" s="799"/>
      <c r="AH122" s="799"/>
      <c r="AI122" s="799"/>
      <c r="AJ122" s="799"/>
      <c r="AK122" s="799"/>
      <c r="AL122" s="799"/>
      <c r="AM122" s="799"/>
      <c r="AN122" s="799"/>
      <c r="AO122" s="799"/>
      <c r="AP122" s="799"/>
      <c r="AQ122" s="799"/>
      <c r="AR122" s="799"/>
      <c r="AS122" s="799"/>
      <c r="AT122" s="799"/>
      <c r="AU122" s="799"/>
      <c r="AV122" s="799"/>
      <c r="AW122" s="799"/>
      <c r="AX122" s="799"/>
      <c r="AY122" s="799"/>
      <c r="AZ122" s="799"/>
      <c r="BA122" s="799"/>
      <c r="BB122" s="799"/>
      <c r="BC122" s="799"/>
      <c r="BD122" s="799"/>
      <c r="BE122" s="799"/>
      <c r="BF122" s="799"/>
      <c r="BG122" s="799"/>
    </row>
    <row r="123">
      <c r="H123" s="799"/>
      <c r="I123" s="799"/>
      <c r="J123" s="799"/>
      <c r="K123" s="799"/>
      <c r="L123" s="799"/>
      <c r="M123" s="799"/>
      <c r="N123" s="799"/>
      <c r="O123" s="799"/>
      <c r="P123" s="799"/>
      <c r="Q123" s="799"/>
      <c r="R123" s="799"/>
      <c r="S123" s="799"/>
      <c r="T123" s="799"/>
      <c r="U123" s="799"/>
      <c r="V123" s="799"/>
      <c r="W123" s="799"/>
      <c r="X123" s="799"/>
      <c r="Y123" s="799"/>
      <c r="Z123" s="799"/>
      <c r="AA123" s="799"/>
      <c r="AB123" s="799"/>
      <c r="AC123" s="799"/>
      <c r="AD123" s="799"/>
      <c r="AE123" s="799"/>
      <c r="AF123" s="799"/>
      <c r="AG123" s="799"/>
      <c r="AH123" s="799"/>
      <c r="AI123" s="799"/>
      <c r="AJ123" s="799"/>
      <c r="AK123" s="799"/>
      <c r="AL123" s="799"/>
      <c r="AM123" s="799"/>
      <c r="AN123" s="799"/>
      <c r="AO123" s="799"/>
      <c r="AP123" s="799"/>
      <c r="AQ123" s="799"/>
      <c r="AR123" s="799"/>
      <c r="AS123" s="799"/>
      <c r="AT123" s="799"/>
      <c r="AU123" s="799"/>
      <c r="AV123" s="799"/>
      <c r="AW123" s="799"/>
      <c r="AX123" s="799"/>
      <c r="AY123" s="799"/>
      <c r="AZ123" s="799"/>
      <c r="BA123" s="799"/>
      <c r="BB123" s="799"/>
      <c r="BC123" s="799"/>
      <c r="BD123" s="799"/>
      <c r="BE123" s="799"/>
      <c r="BF123" s="799"/>
      <c r="BG123" s="799"/>
    </row>
    <row r="124">
      <c r="H124" s="799"/>
      <c r="I124" s="799"/>
      <c r="J124" s="799"/>
      <c r="K124" s="799"/>
      <c r="L124" s="799"/>
      <c r="M124" s="799"/>
      <c r="N124" s="799"/>
      <c r="O124" s="799"/>
      <c r="P124" s="799"/>
      <c r="Q124" s="799"/>
      <c r="R124" s="799"/>
      <c r="S124" s="799"/>
      <c r="T124" s="799"/>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799"/>
      <c r="BF124" s="799"/>
      <c r="BG124" s="799"/>
    </row>
    <row r="125">
      <c r="H125" s="799"/>
      <c r="I125" s="799"/>
      <c r="J125" s="799"/>
      <c r="K125" s="799"/>
      <c r="L125" s="799"/>
      <c r="M125" s="799"/>
      <c r="N125" s="799"/>
      <c r="O125" s="799"/>
      <c r="P125" s="799"/>
      <c r="Q125" s="799"/>
      <c r="R125" s="799"/>
      <c r="S125" s="799"/>
      <c r="T125" s="799"/>
      <c r="U125" s="799"/>
      <c r="V125" s="799"/>
      <c r="W125" s="799"/>
      <c r="X125" s="799"/>
      <c r="Y125" s="799"/>
      <c r="Z125" s="799"/>
      <c r="AA125" s="799"/>
      <c r="AB125" s="799"/>
      <c r="AC125" s="799"/>
      <c r="AD125" s="799"/>
      <c r="AE125" s="799"/>
      <c r="AF125" s="799"/>
      <c r="AG125" s="799"/>
      <c r="AH125" s="799"/>
      <c r="AI125" s="799"/>
      <c r="AJ125" s="799"/>
      <c r="AK125" s="799"/>
      <c r="AL125" s="799"/>
      <c r="AM125" s="799"/>
      <c r="AN125" s="799"/>
      <c r="AO125" s="799"/>
      <c r="AP125" s="799"/>
      <c r="AQ125" s="799"/>
      <c r="AR125" s="799"/>
      <c r="AS125" s="799"/>
      <c r="AT125" s="799"/>
      <c r="AU125" s="799"/>
      <c r="AV125" s="799"/>
      <c r="AW125" s="799"/>
      <c r="AX125" s="799"/>
      <c r="AY125" s="799"/>
      <c r="AZ125" s="799"/>
      <c r="BA125" s="799"/>
      <c r="BB125" s="799"/>
      <c r="BC125" s="799"/>
      <c r="BD125" s="799"/>
      <c r="BE125" s="799"/>
      <c r="BF125" s="799"/>
      <c r="BG125" s="799"/>
    </row>
    <row r="126">
      <c r="H126" s="799"/>
      <c r="I126" s="799"/>
      <c r="J126" s="799"/>
      <c r="K126" s="799"/>
      <c r="L126" s="799"/>
      <c r="M126" s="799"/>
      <c r="N126" s="799"/>
      <c r="O126" s="799"/>
      <c r="P126" s="799"/>
      <c r="Q126" s="799"/>
      <c r="R126" s="799"/>
      <c r="S126" s="799"/>
      <c r="T126" s="799"/>
      <c r="U126" s="799"/>
      <c r="V126" s="799"/>
      <c r="W126" s="799"/>
      <c r="X126" s="799"/>
      <c r="Y126" s="799"/>
      <c r="Z126" s="799"/>
      <c r="AA126" s="799"/>
      <c r="AB126" s="799"/>
      <c r="AC126" s="799"/>
      <c r="AD126" s="799"/>
      <c r="AE126" s="799"/>
      <c r="AF126" s="799"/>
      <c r="AG126" s="799"/>
      <c r="AH126" s="799"/>
      <c r="AI126" s="799"/>
      <c r="AJ126" s="799"/>
      <c r="AK126" s="799"/>
      <c r="AL126" s="799"/>
      <c r="AM126" s="799"/>
      <c r="AN126" s="799"/>
      <c r="AO126" s="799"/>
      <c r="AP126" s="799"/>
      <c r="AQ126" s="799"/>
      <c r="AR126" s="799"/>
      <c r="AS126" s="799"/>
      <c r="AT126" s="799"/>
      <c r="AU126" s="799"/>
      <c r="AV126" s="799"/>
      <c r="AW126" s="799"/>
      <c r="AX126" s="799"/>
      <c r="AY126" s="799"/>
      <c r="AZ126" s="799"/>
      <c r="BA126" s="799"/>
      <c r="BB126" s="799"/>
      <c r="BC126" s="799"/>
      <c r="BD126" s="799"/>
      <c r="BE126" s="799"/>
      <c r="BF126" s="799"/>
      <c r="BG126" s="799"/>
    </row>
    <row r="127">
      <c r="H127" s="799"/>
      <c r="I127" s="799"/>
      <c r="J127" s="799"/>
      <c r="K127" s="799"/>
      <c r="L127" s="799"/>
      <c r="M127" s="799"/>
      <c r="N127" s="799"/>
      <c r="O127" s="799"/>
      <c r="P127" s="799"/>
      <c r="Q127" s="799"/>
      <c r="R127" s="799"/>
      <c r="S127" s="799"/>
      <c r="T127" s="799"/>
      <c r="U127" s="799"/>
      <c r="V127" s="799"/>
      <c r="W127" s="799"/>
      <c r="X127" s="799"/>
      <c r="Y127" s="799"/>
      <c r="Z127" s="799"/>
      <c r="AA127" s="799"/>
      <c r="AB127" s="799"/>
      <c r="AC127" s="799"/>
      <c r="AD127" s="799"/>
      <c r="AE127" s="799"/>
      <c r="AF127" s="799"/>
      <c r="AG127" s="799"/>
      <c r="AH127" s="799"/>
      <c r="AI127" s="799"/>
      <c r="AJ127" s="799"/>
      <c r="AK127" s="799"/>
      <c r="AL127" s="799"/>
      <c r="AM127" s="799"/>
      <c r="AN127" s="799"/>
      <c r="AO127" s="799"/>
      <c r="AP127" s="799"/>
      <c r="AQ127" s="799"/>
      <c r="AR127" s="799"/>
      <c r="AS127" s="799"/>
      <c r="AT127" s="799"/>
      <c r="AU127" s="799"/>
      <c r="AV127" s="799"/>
      <c r="AW127" s="799"/>
      <c r="AX127" s="799"/>
      <c r="AY127" s="799"/>
      <c r="AZ127" s="799"/>
      <c r="BA127" s="799"/>
      <c r="BB127" s="799"/>
      <c r="BC127" s="799"/>
      <c r="BD127" s="799"/>
      <c r="BE127" s="799"/>
      <c r="BF127" s="799"/>
      <c r="BG127" s="799"/>
    </row>
    <row r="128">
      <c r="H128" s="799"/>
      <c r="I128" s="799"/>
      <c r="J128" s="799"/>
      <c r="K128" s="799"/>
      <c r="L128" s="799"/>
      <c r="M128" s="799"/>
      <c r="N128" s="799"/>
      <c r="O128" s="799"/>
      <c r="P128" s="799"/>
      <c r="Q128" s="799"/>
      <c r="R128" s="799"/>
      <c r="S128" s="799"/>
      <c r="T128" s="799"/>
      <c r="U128" s="799"/>
      <c r="V128" s="799"/>
      <c r="W128" s="799"/>
      <c r="X128" s="799"/>
      <c r="Y128" s="799"/>
      <c r="Z128" s="799"/>
      <c r="AA128" s="799"/>
      <c r="AB128" s="799"/>
      <c r="AC128" s="799"/>
      <c r="AD128" s="799"/>
      <c r="AE128" s="799"/>
      <c r="AF128" s="799"/>
      <c r="AG128" s="799"/>
      <c r="AH128" s="799"/>
      <c r="AI128" s="799"/>
      <c r="AJ128" s="799"/>
      <c r="AK128" s="799"/>
      <c r="AL128" s="799"/>
      <c r="AM128" s="799"/>
      <c r="AN128" s="799"/>
      <c r="AO128" s="799"/>
      <c r="AP128" s="799"/>
      <c r="AQ128" s="799"/>
      <c r="AR128" s="799"/>
      <c r="AS128" s="799"/>
      <c r="AT128" s="799"/>
      <c r="AU128" s="799"/>
      <c r="AV128" s="799"/>
      <c r="AW128" s="799"/>
      <c r="AX128" s="799"/>
      <c r="AY128" s="799"/>
      <c r="AZ128" s="799"/>
      <c r="BA128" s="799"/>
      <c r="BB128" s="799"/>
      <c r="BC128" s="799"/>
      <c r="BD128" s="799"/>
      <c r="BE128" s="799"/>
      <c r="BF128" s="799"/>
      <c r="BG128" s="799"/>
    </row>
    <row r="12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799"/>
      <c r="AE129" s="799"/>
      <c r="AF129" s="799"/>
      <c r="AG129" s="799"/>
      <c r="AH129" s="799"/>
      <c r="AI129" s="799"/>
      <c r="AJ129" s="799"/>
      <c r="AK129" s="799"/>
      <c r="AL129" s="799"/>
      <c r="AM129" s="799"/>
      <c r="AN129" s="799"/>
      <c r="AO129" s="799"/>
      <c r="AP129" s="799"/>
      <c r="AQ129" s="799"/>
      <c r="AR129" s="799"/>
      <c r="AS129" s="799"/>
      <c r="AT129" s="799"/>
      <c r="AU129" s="799"/>
      <c r="AV129" s="799"/>
      <c r="AW129" s="799"/>
      <c r="AX129" s="799"/>
      <c r="AY129" s="799"/>
      <c r="AZ129" s="799"/>
      <c r="BA129" s="799"/>
      <c r="BB129" s="799"/>
      <c r="BC129" s="799"/>
      <c r="BD129" s="799"/>
      <c r="BE129" s="799"/>
      <c r="BF129" s="799"/>
      <c r="BG129" s="799"/>
    </row>
    <row r="130">
      <c r="H130" s="799"/>
      <c r="I130" s="799"/>
      <c r="J130" s="799"/>
      <c r="K130" s="799"/>
      <c r="L130" s="799"/>
      <c r="M130" s="799"/>
      <c r="N130" s="799"/>
      <c r="O130" s="799"/>
      <c r="P130" s="799"/>
      <c r="Q130" s="799"/>
      <c r="R130" s="799"/>
      <c r="S130" s="799"/>
      <c r="T130" s="799"/>
      <c r="U130" s="799"/>
      <c r="V130" s="799"/>
      <c r="W130" s="799"/>
      <c r="X130" s="799"/>
      <c r="Y130" s="799"/>
      <c r="Z130" s="799"/>
      <c r="AA130" s="799"/>
      <c r="AB130" s="799"/>
      <c r="AC130" s="799"/>
      <c r="AD130" s="799"/>
      <c r="AE130" s="799"/>
      <c r="AF130" s="799"/>
      <c r="AG130" s="799"/>
      <c r="AH130" s="799"/>
      <c r="AI130" s="799"/>
      <c r="AJ130" s="799"/>
      <c r="AK130" s="799"/>
      <c r="AL130" s="799"/>
      <c r="AM130" s="799"/>
      <c r="AN130" s="799"/>
      <c r="AO130" s="799"/>
      <c r="AP130" s="799"/>
      <c r="AQ130" s="799"/>
      <c r="AR130" s="799"/>
      <c r="AS130" s="799"/>
      <c r="AT130" s="799"/>
      <c r="AU130" s="799"/>
      <c r="AV130" s="799"/>
      <c r="AW130" s="799"/>
      <c r="AX130" s="799"/>
      <c r="AY130" s="799"/>
      <c r="AZ130" s="799"/>
      <c r="BA130" s="799"/>
      <c r="BB130" s="799"/>
      <c r="BC130" s="799"/>
      <c r="BD130" s="799"/>
      <c r="BE130" s="799"/>
      <c r="BF130" s="799"/>
      <c r="BG130" s="799"/>
    </row>
    <row r="131">
      <c r="H131" s="799"/>
      <c r="I131" s="799"/>
      <c r="J131" s="799"/>
      <c r="K131" s="799"/>
      <c r="L131" s="799"/>
      <c r="M131" s="799"/>
      <c r="N131" s="799"/>
      <c r="O131" s="799"/>
      <c r="P131" s="799"/>
      <c r="Q131" s="799"/>
      <c r="R131" s="799"/>
      <c r="S131" s="799"/>
      <c r="T131" s="799"/>
      <c r="U131" s="799"/>
      <c r="V131" s="799"/>
      <c r="W131" s="799"/>
      <c r="X131" s="799"/>
      <c r="Y131" s="799"/>
      <c r="Z131" s="799"/>
      <c r="AA131" s="799"/>
      <c r="AB131" s="799"/>
      <c r="AC131" s="799"/>
      <c r="AD131" s="799"/>
      <c r="AE131" s="799"/>
      <c r="AF131" s="799"/>
      <c r="AG131" s="799"/>
      <c r="AH131" s="799"/>
      <c r="AI131" s="799"/>
      <c r="AJ131" s="799"/>
      <c r="AK131" s="799"/>
      <c r="AL131" s="799"/>
      <c r="AM131" s="799"/>
      <c r="AN131" s="799"/>
      <c r="AO131" s="799"/>
      <c r="AP131" s="799"/>
      <c r="AQ131" s="799"/>
      <c r="AR131" s="799"/>
      <c r="AS131" s="799"/>
      <c r="AT131" s="799"/>
      <c r="AU131" s="799"/>
      <c r="AV131" s="799"/>
      <c r="AW131" s="799"/>
      <c r="AX131" s="799"/>
      <c r="AY131" s="799"/>
      <c r="AZ131" s="799"/>
      <c r="BA131" s="799"/>
      <c r="BB131" s="799"/>
      <c r="BC131" s="799"/>
      <c r="BD131" s="799"/>
      <c r="BE131" s="799"/>
      <c r="BF131" s="799"/>
      <c r="BG131" s="799"/>
    </row>
    <row r="132">
      <c r="H132" s="799"/>
      <c r="I132" s="799"/>
      <c r="J132" s="799"/>
      <c r="K132" s="799"/>
      <c r="L132" s="799"/>
      <c r="M132" s="799"/>
      <c r="N132" s="799"/>
      <c r="O132" s="799"/>
      <c r="P132" s="799"/>
      <c r="Q132" s="799"/>
      <c r="R132" s="799"/>
      <c r="S132" s="799"/>
      <c r="T132" s="799"/>
      <c r="U132" s="799"/>
      <c r="V132" s="799"/>
      <c r="W132" s="799"/>
      <c r="X132" s="799"/>
      <c r="Y132" s="799"/>
      <c r="Z132" s="799"/>
      <c r="AA132" s="799"/>
      <c r="AB132" s="799"/>
      <c r="AC132" s="799"/>
      <c r="AD132" s="799"/>
      <c r="AE132" s="799"/>
      <c r="AF132" s="799"/>
      <c r="AG132" s="799"/>
      <c r="AH132" s="799"/>
      <c r="AI132" s="799"/>
      <c r="AJ132" s="799"/>
      <c r="AK132" s="799"/>
      <c r="AL132" s="799"/>
      <c r="AM132" s="799"/>
      <c r="AN132" s="799"/>
      <c r="AO132" s="799"/>
      <c r="AP132" s="799"/>
      <c r="AQ132" s="799"/>
      <c r="AR132" s="799"/>
      <c r="AS132" s="799"/>
      <c r="AT132" s="799"/>
      <c r="AU132" s="799"/>
      <c r="AV132" s="799"/>
      <c r="AW132" s="799"/>
      <c r="AX132" s="799"/>
      <c r="AY132" s="799"/>
      <c r="AZ132" s="799"/>
      <c r="BA132" s="799"/>
      <c r="BB132" s="799"/>
      <c r="BC132" s="799"/>
      <c r="BD132" s="799"/>
      <c r="BE132" s="799"/>
      <c r="BF132" s="799"/>
      <c r="BG132" s="799"/>
    </row>
    <row r="133">
      <c r="H133" s="799"/>
      <c r="I133" s="799"/>
      <c r="J133" s="799"/>
      <c r="K133" s="799"/>
      <c r="L133" s="799"/>
      <c r="M133" s="799"/>
      <c r="N133" s="799"/>
      <c r="O133" s="799"/>
      <c r="P133" s="799"/>
      <c r="Q133" s="799"/>
      <c r="R133" s="799"/>
      <c r="S133" s="799"/>
      <c r="T133" s="799"/>
      <c r="U133" s="799"/>
      <c r="V133" s="799"/>
      <c r="W133" s="799"/>
      <c r="X133" s="799"/>
      <c r="Y133" s="799"/>
      <c r="Z133" s="799"/>
      <c r="AA133" s="799"/>
      <c r="AB133" s="799"/>
      <c r="AC133" s="799"/>
      <c r="AD133" s="799"/>
      <c r="AE133" s="799"/>
      <c r="AF133" s="799"/>
      <c r="AG133" s="799"/>
      <c r="AH133" s="799"/>
      <c r="AI133" s="799"/>
      <c r="AJ133" s="799"/>
      <c r="AK133" s="799"/>
      <c r="AL133" s="799"/>
      <c r="AM133" s="799"/>
      <c r="AN133" s="799"/>
      <c r="AO133" s="799"/>
      <c r="AP133" s="799"/>
      <c r="AQ133" s="799"/>
      <c r="AR133" s="799"/>
      <c r="AS133" s="799"/>
      <c r="AT133" s="799"/>
      <c r="AU133" s="799"/>
      <c r="AV133" s="799"/>
      <c r="AW133" s="799"/>
      <c r="AX133" s="799"/>
      <c r="AY133" s="799"/>
      <c r="AZ133" s="799"/>
      <c r="BA133" s="799"/>
      <c r="BB133" s="799"/>
      <c r="BC133" s="799"/>
      <c r="BD133" s="799"/>
      <c r="BE133" s="799"/>
      <c r="BF133" s="799"/>
      <c r="BG133" s="799"/>
    </row>
    <row r="134">
      <c r="H134" s="799"/>
      <c r="I134" s="799"/>
      <c r="J134" s="799"/>
      <c r="K134" s="799"/>
      <c r="L134" s="799"/>
      <c r="M134" s="799"/>
      <c r="N134" s="799"/>
      <c r="O134" s="799"/>
      <c r="P134" s="799"/>
      <c r="Q134" s="799"/>
      <c r="R134" s="799"/>
      <c r="S134" s="799"/>
      <c r="T134" s="799"/>
      <c r="U134" s="799"/>
      <c r="V134" s="799"/>
      <c r="W134" s="799"/>
      <c r="X134" s="799"/>
      <c r="Y134" s="799"/>
      <c r="Z134" s="799"/>
      <c r="AA134" s="799"/>
      <c r="AB134" s="799"/>
      <c r="AC134" s="799"/>
      <c r="AD134" s="799"/>
      <c r="AE134" s="799"/>
      <c r="AF134" s="799"/>
      <c r="AG134" s="799"/>
      <c r="AH134" s="799"/>
      <c r="AI134" s="799"/>
      <c r="AJ134" s="799"/>
      <c r="AK134" s="799"/>
      <c r="AL134" s="799"/>
      <c r="AM134" s="799"/>
      <c r="AN134" s="799"/>
      <c r="AO134" s="799"/>
      <c r="AP134" s="799"/>
      <c r="AQ134" s="799"/>
      <c r="AR134" s="799"/>
      <c r="AS134" s="799"/>
      <c r="AT134" s="799"/>
      <c r="AU134" s="799"/>
      <c r="AV134" s="799"/>
      <c r="AW134" s="799"/>
      <c r="AX134" s="799"/>
      <c r="AY134" s="799"/>
      <c r="AZ134" s="799"/>
      <c r="BA134" s="799"/>
      <c r="BB134" s="799"/>
      <c r="BC134" s="799"/>
      <c r="BD134" s="799"/>
      <c r="BE134" s="799"/>
      <c r="BF134" s="799"/>
      <c r="BG134" s="799"/>
    </row>
    <row r="135">
      <c r="H135" s="799"/>
      <c r="I135" s="799"/>
      <c r="J135" s="799"/>
      <c r="K135" s="799"/>
      <c r="L135" s="799"/>
      <c r="M135" s="799"/>
      <c r="N135" s="799"/>
      <c r="O135" s="799"/>
      <c r="P135" s="799"/>
      <c r="Q135" s="799"/>
      <c r="R135" s="799"/>
      <c r="S135" s="799"/>
      <c r="T135" s="799"/>
      <c r="U135" s="799"/>
      <c r="V135" s="799"/>
      <c r="W135" s="799"/>
      <c r="X135" s="799"/>
      <c r="Y135" s="799"/>
      <c r="Z135" s="799"/>
      <c r="AA135" s="799"/>
      <c r="AB135" s="799"/>
      <c r="AC135" s="799"/>
      <c r="AD135" s="799"/>
      <c r="AE135" s="799"/>
      <c r="AF135" s="799"/>
      <c r="AG135" s="799"/>
      <c r="AH135" s="799"/>
      <c r="AI135" s="799"/>
      <c r="AJ135" s="799"/>
      <c r="AK135" s="799"/>
      <c r="AL135" s="799"/>
      <c r="AM135" s="799"/>
      <c r="AN135" s="799"/>
      <c r="AO135" s="799"/>
      <c r="AP135" s="799"/>
      <c r="AQ135" s="799"/>
      <c r="AR135" s="799"/>
      <c r="AS135" s="799"/>
      <c r="AT135" s="799"/>
      <c r="AU135" s="799"/>
      <c r="AV135" s="799"/>
      <c r="AW135" s="799"/>
      <c r="AX135" s="799"/>
      <c r="AY135" s="799"/>
      <c r="AZ135" s="799"/>
      <c r="BA135" s="799"/>
      <c r="BB135" s="799"/>
      <c r="BC135" s="799"/>
      <c r="BD135" s="799"/>
      <c r="BE135" s="799"/>
      <c r="BF135" s="799"/>
      <c r="BG135" s="799"/>
    </row>
    <row r="136">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row>
    <row r="137">
      <c r="H137" s="799"/>
      <c r="I137" s="799"/>
      <c r="J137" s="799"/>
      <c r="K137" s="799"/>
      <c r="L137" s="799"/>
      <c r="M137" s="799"/>
      <c r="N137" s="799"/>
      <c r="O137" s="799"/>
      <c r="P137" s="799"/>
      <c r="Q137" s="799"/>
      <c r="R137" s="799"/>
      <c r="S137" s="799"/>
      <c r="T137" s="799"/>
      <c r="U137" s="799"/>
      <c r="V137" s="799"/>
      <c r="W137" s="799"/>
      <c r="X137" s="799"/>
      <c r="Y137" s="799"/>
      <c r="Z137" s="799"/>
      <c r="AA137" s="799"/>
      <c r="AB137" s="799"/>
      <c r="AC137" s="799"/>
      <c r="AD137" s="799"/>
      <c r="AE137" s="799"/>
      <c r="AF137" s="799"/>
      <c r="AG137" s="799"/>
      <c r="AH137" s="799"/>
      <c r="AI137" s="799"/>
      <c r="AJ137" s="799"/>
      <c r="AK137" s="799"/>
      <c r="AL137" s="799"/>
      <c r="AM137" s="799"/>
      <c r="AN137" s="799"/>
      <c r="AO137" s="799"/>
      <c r="AP137" s="799"/>
      <c r="AQ137" s="799"/>
      <c r="AR137" s="799"/>
      <c r="AS137" s="799"/>
      <c r="AT137" s="799"/>
      <c r="AU137" s="799"/>
      <c r="AV137" s="799"/>
      <c r="AW137" s="799"/>
      <c r="AX137" s="799"/>
      <c r="AY137" s="799"/>
      <c r="AZ137" s="799"/>
      <c r="BA137" s="799"/>
      <c r="BB137" s="799"/>
      <c r="BC137" s="799"/>
      <c r="BD137" s="799"/>
      <c r="BE137" s="799"/>
      <c r="BF137" s="799"/>
      <c r="BG137" s="799"/>
    </row>
    <row r="138">
      <c r="H138" s="799"/>
      <c r="I138" s="799"/>
      <c r="J138" s="799"/>
      <c r="K138" s="799"/>
      <c r="L138" s="799"/>
      <c r="M138" s="799"/>
      <c r="N138" s="799"/>
      <c r="O138" s="799"/>
      <c r="P138" s="799"/>
      <c r="Q138" s="799"/>
      <c r="R138" s="799"/>
      <c r="S138" s="799"/>
      <c r="T138" s="799"/>
      <c r="U138" s="799"/>
      <c r="V138" s="799"/>
      <c r="W138" s="799"/>
      <c r="X138" s="799"/>
      <c r="Y138" s="799"/>
      <c r="Z138" s="799"/>
      <c r="AA138" s="799"/>
      <c r="AB138" s="799"/>
      <c r="AC138" s="799"/>
      <c r="AD138" s="799"/>
      <c r="AE138" s="799"/>
      <c r="AF138" s="799"/>
      <c r="AG138" s="799"/>
      <c r="AH138" s="799"/>
      <c r="AI138" s="799"/>
      <c r="AJ138" s="799"/>
      <c r="AK138" s="799"/>
      <c r="AL138" s="799"/>
      <c r="AM138" s="799"/>
      <c r="AN138" s="799"/>
      <c r="AO138" s="799"/>
      <c r="AP138" s="799"/>
      <c r="AQ138" s="799"/>
      <c r="AR138" s="799"/>
      <c r="AS138" s="799"/>
      <c r="AT138" s="799"/>
      <c r="AU138" s="799"/>
      <c r="AV138" s="799"/>
      <c r="AW138" s="799"/>
      <c r="AX138" s="799"/>
      <c r="AY138" s="799"/>
      <c r="AZ138" s="799"/>
      <c r="BA138" s="799"/>
      <c r="BB138" s="799"/>
      <c r="BC138" s="799"/>
      <c r="BD138" s="799"/>
      <c r="BE138" s="799"/>
      <c r="BF138" s="799"/>
      <c r="BG138" s="799"/>
    </row>
    <row r="139">
      <c r="H139" s="799"/>
      <c r="I139" s="799"/>
      <c r="J139" s="799"/>
      <c r="K139" s="799"/>
      <c r="L139" s="799"/>
      <c r="M139" s="799"/>
      <c r="N139" s="799"/>
      <c r="O139" s="799"/>
      <c r="P139" s="799"/>
      <c r="Q139" s="799"/>
      <c r="R139" s="799"/>
      <c r="S139" s="799"/>
      <c r="T139" s="799"/>
      <c r="U139" s="799"/>
      <c r="V139" s="799"/>
      <c r="W139" s="799"/>
      <c r="X139" s="799"/>
      <c r="Y139" s="799"/>
      <c r="Z139" s="799"/>
      <c r="AA139" s="799"/>
      <c r="AB139" s="799"/>
      <c r="AC139" s="799"/>
      <c r="AD139" s="799"/>
      <c r="AE139" s="799"/>
      <c r="AF139" s="799"/>
      <c r="AG139" s="799"/>
      <c r="AH139" s="799"/>
      <c r="AI139" s="799"/>
      <c r="AJ139" s="799"/>
      <c r="AK139" s="799"/>
      <c r="AL139" s="799"/>
      <c r="AM139" s="799"/>
      <c r="AN139" s="799"/>
      <c r="AO139" s="799"/>
      <c r="AP139" s="799"/>
      <c r="AQ139" s="799"/>
      <c r="AR139" s="799"/>
      <c r="AS139" s="799"/>
      <c r="AT139" s="799"/>
      <c r="AU139" s="799"/>
      <c r="AV139" s="799"/>
      <c r="AW139" s="799"/>
      <c r="AX139" s="799"/>
      <c r="AY139" s="799"/>
      <c r="AZ139" s="799"/>
      <c r="BA139" s="799"/>
      <c r="BB139" s="799"/>
      <c r="BC139" s="799"/>
      <c r="BD139" s="799"/>
      <c r="BE139" s="799"/>
      <c r="BF139" s="799"/>
      <c r="BG139" s="799"/>
    </row>
    <row r="140">
      <c r="H140" s="799"/>
      <c r="I140" s="799"/>
      <c r="J140" s="799"/>
      <c r="K140" s="799"/>
      <c r="L140" s="799"/>
      <c r="M140" s="799"/>
      <c r="N140" s="799"/>
      <c r="O140" s="799"/>
      <c r="P140" s="799"/>
      <c r="Q140" s="799"/>
      <c r="R140" s="799"/>
      <c r="S140" s="799"/>
      <c r="T140" s="799"/>
      <c r="U140" s="799"/>
      <c r="V140" s="799"/>
      <c r="W140" s="799"/>
      <c r="X140" s="799"/>
      <c r="Y140" s="799"/>
      <c r="Z140" s="799"/>
      <c r="AA140" s="799"/>
      <c r="AB140" s="799"/>
      <c r="AC140" s="799"/>
      <c r="AD140" s="799"/>
      <c r="AE140" s="799"/>
      <c r="AF140" s="799"/>
      <c r="AG140" s="799"/>
      <c r="AH140" s="799"/>
      <c r="AI140" s="799"/>
      <c r="AJ140" s="799"/>
      <c r="AK140" s="799"/>
      <c r="AL140" s="799"/>
      <c r="AM140" s="799"/>
      <c r="AN140" s="799"/>
      <c r="AO140" s="799"/>
      <c r="AP140" s="799"/>
      <c r="AQ140" s="799"/>
      <c r="AR140" s="799"/>
      <c r="AS140" s="799"/>
      <c r="AT140" s="799"/>
      <c r="AU140" s="799"/>
      <c r="AV140" s="799"/>
      <c r="AW140" s="799"/>
      <c r="AX140" s="799"/>
      <c r="AY140" s="799"/>
      <c r="AZ140" s="799"/>
      <c r="BA140" s="799"/>
      <c r="BB140" s="799"/>
      <c r="BC140" s="799"/>
      <c r="BD140" s="799"/>
      <c r="BE140" s="799"/>
      <c r="BF140" s="799"/>
      <c r="BG140" s="799"/>
    </row>
    <row r="141">
      <c r="H141" s="799"/>
      <c r="I141" s="799"/>
      <c r="J141" s="799"/>
      <c r="K141" s="799"/>
      <c r="L141" s="799"/>
      <c r="M141" s="799"/>
      <c r="N141" s="799"/>
      <c r="O141" s="799"/>
      <c r="P141" s="799"/>
      <c r="Q141" s="799"/>
      <c r="R141" s="799"/>
      <c r="S141" s="799"/>
      <c r="T141" s="799"/>
      <c r="U141" s="799"/>
      <c r="V141" s="799"/>
      <c r="W141" s="799"/>
      <c r="X141" s="799"/>
      <c r="Y141" s="799"/>
      <c r="Z141" s="799"/>
      <c r="AA141" s="799"/>
      <c r="AB141" s="799"/>
      <c r="AC141" s="799"/>
      <c r="AD141" s="799"/>
      <c r="AE141" s="799"/>
      <c r="AF141" s="799"/>
      <c r="AG141" s="799"/>
      <c r="AH141" s="799"/>
      <c r="AI141" s="799"/>
      <c r="AJ141" s="799"/>
      <c r="AK141" s="799"/>
      <c r="AL141" s="799"/>
      <c r="AM141" s="799"/>
      <c r="AN141" s="799"/>
      <c r="AO141" s="799"/>
      <c r="AP141" s="799"/>
      <c r="AQ141" s="799"/>
      <c r="AR141" s="799"/>
      <c r="AS141" s="799"/>
      <c r="AT141" s="799"/>
      <c r="AU141" s="799"/>
      <c r="AV141" s="799"/>
      <c r="AW141" s="799"/>
      <c r="AX141" s="799"/>
      <c r="AY141" s="799"/>
      <c r="AZ141" s="799"/>
      <c r="BA141" s="799"/>
      <c r="BB141" s="799"/>
      <c r="BC141" s="799"/>
      <c r="BD141" s="799"/>
      <c r="BE141" s="799"/>
      <c r="BF141" s="799"/>
      <c r="BG141" s="799"/>
    </row>
    <row r="142">
      <c r="H142" s="799"/>
      <c r="I142" s="799"/>
      <c r="J142" s="799"/>
      <c r="K142" s="799"/>
      <c r="L142" s="799"/>
      <c r="M142" s="799"/>
      <c r="N142" s="799"/>
      <c r="O142" s="799"/>
      <c r="P142" s="799"/>
      <c r="Q142" s="799"/>
      <c r="R142" s="799"/>
      <c r="S142" s="799"/>
      <c r="T142" s="799"/>
      <c r="U142" s="799"/>
      <c r="V142" s="799"/>
      <c r="W142" s="799"/>
      <c r="X142" s="799"/>
      <c r="Y142" s="799"/>
      <c r="Z142" s="799"/>
      <c r="AA142" s="799"/>
      <c r="AB142" s="799"/>
      <c r="AC142" s="799"/>
      <c r="AD142" s="799"/>
      <c r="AE142" s="799"/>
      <c r="AF142" s="799"/>
      <c r="AG142" s="799"/>
      <c r="AH142" s="799"/>
      <c r="AI142" s="799"/>
      <c r="AJ142" s="799"/>
      <c r="AK142" s="799"/>
      <c r="AL142" s="799"/>
      <c r="AM142" s="799"/>
      <c r="AN142" s="799"/>
      <c r="AO142" s="799"/>
      <c r="AP142" s="799"/>
      <c r="AQ142" s="799"/>
      <c r="AR142" s="799"/>
      <c r="AS142" s="799"/>
      <c r="AT142" s="799"/>
      <c r="AU142" s="799"/>
      <c r="AV142" s="799"/>
      <c r="AW142" s="799"/>
      <c r="AX142" s="799"/>
      <c r="AY142" s="799"/>
      <c r="AZ142" s="799"/>
      <c r="BA142" s="799"/>
      <c r="BB142" s="799"/>
      <c r="BC142" s="799"/>
      <c r="BD142" s="799"/>
      <c r="BE142" s="799"/>
      <c r="BF142" s="799"/>
      <c r="BG142" s="799"/>
    </row>
    <row r="143">
      <c r="H143" s="799"/>
      <c r="I143" s="799"/>
      <c r="J143" s="799"/>
      <c r="K143" s="799"/>
      <c r="L143" s="799"/>
      <c r="M143" s="799"/>
      <c r="N143" s="799"/>
      <c r="O143" s="799"/>
      <c r="P143" s="799"/>
      <c r="Q143" s="799"/>
      <c r="R143" s="799"/>
      <c r="S143" s="799"/>
      <c r="T143" s="799"/>
      <c r="U143" s="799"/>
      <c r="V143" s="799"/>
      <c r="W143" s="799"/>
      <c r="X143" s="799"/>
      <c r="Y143" s="799"/>
      <c r="Z143" s="799"/>
      <c r="AA143" s="799"/>
      <c r="AB143" s="799"/>
      <c r="AC143" s="799"/>
      <c r="AD143" s="799"/>
      <c r="AE143" s="799"/>
      <c r="AF143" s="799"/>
      <c r="AG143" s="799"/>
      <c r="AH143" s="799"/>
      <c r="AI143" s="799"/>
      <c r="AJ143" s="799"/>
      <c r="AK143" s="799"/>
      <c r="AL143" s="799"/>
      <c r="AM143" s="799"/>
      <c r="AN143" s="799"/>
      <c r="AO143" s="799"/>
      <c r="AP143" s="799"/>
      <c r="AQ143" s="799"/>
      <c r="AR143" s="799"/>
      <c r="AS143" s="799"/>
      <c r="AT143" s="799"/>
      <c r="AU143" s="799"/>
      <c r="AV143" s="799"/>
      <c r="AW143" s="799"/>
      <c r="AX143" s="799"/>
      <c r="AY143" s="799"/>
      <c r="AZ143" s="799"/>
      <c r="BA143" s="799"/>
      <c r="BB143" s="799"/>
      <c r="BC143" s="799"/>
      <c r="BD143" s="799"/>
      <c r="BE143" s="799"/>
      <c r="BF143" s="799"/>
      <c r="BG143" s="799"/>
    </row>
    <row r="144">
      <c r="H144" s="799"/>
      <c r="I144" s="799"/>
      <c r="J144" s="799"/>
      <c r="K144" s="799"/>
      <c r="L144" s="799"/>
      <c r="M144" s="799"/>
      <c r="N144" s="799"/>
      <c r="O144" s="799"/>
      <c r="P144" s="799"/>
      <c r="Q144" s="799"/>
      <c r="R144" s="799"/>
      <c r="S144" s="799"/>
      <c r="T144" s="799"/>
      <c r="U144" s="799"/>
      <c r="V144" s="799"/>
      <c r="W144" s="799"/>
      <c r="X144" s="799"/>
      <c r="Y144" s="799"/>
      <c r="Z144" s="799"/>
      <c r="AA144" s="799"/>
      <c r="AB144" s="799"/>
      <c r="AC144" s="799"/>
      <c r="AD144" s="799"/>
      <c r="AE144" s="799"/>
      <c r="AF144" s="799"/>
      <c r="AG144" s="799"/>
      <c r="AH144" s="799"/>
      <c r="AI144" s="799"/>
      <c r="AJ144" s="799"/>
      <c r="AK144" s="799"/>
      <c r="AL144" s="799"/>
      <c r="AM144" s="799"/>
      <c r="AN144" s="799"/>
      <c r="AO144" s="799"/>
      <c r="AP144" s="799"/>
      <c r="AQ144" s="799"/>
      <c r="AR144" s="799"/>
      <c r="AS144" s="799"/>
      <c r="AT144" s="799"/>
      <c r="AU144" s="799"/>
      <c r="AV144" s="799"/>
      <c r="AW144" s="799"/>
      <c r="AX144" s="799"/>
      <c r="AY144" s="799"/>
      <c r="AZ144" s="799"/>
      <c r="BA144" s="799"/>
      <c r="BB144" s="799"/>
      <c r="BC144" s="799"/>
      <c r="BD144" s="799"/>
      <c r="BE144" s="799"/>
      <c r="BF144" s="799"/>
      <c r="BG144" s="799"/>
    </row>
    <row r="145">
      <c r="H145" s="799"/>
      <c r="I145" s="799"/>
      <c r="J145" s="799"/>
      <c r="K145" s="799"/>
      <c r="L145" s="799"/>
      <c r="M145" s="799"/>
      <c r="N145" s="799"/>
      <c r="O145" s="799"/>
      <c r="P145" s="799"/>
      <c r="Q145" s="799"/>
      <c r="R145" s="799"/>
      <c r="S145" s="799"/>
      <c r="T145" s="799"/>
      <c r="U145" s="799"/>
      <c r="V145" s="799"/>
      <c r="W145" s="799"/>
      <c r="X145" s="799"/>
      <c r="Y145" s="799"/>
      <c r="Z145" s="799"/>
      <c r="AA145" s="799"/>
      <c r="AB145" s="799"/>
      <c r="AC145" s="799"/>
      <c r="AD145" s="799"/>
      <c r="AE145" s="799"/>
      <c r="AF145" s="799"/>
      <c r="AG145" s="799"/>
      <c r="AH145" s="799"/>
      <c r="AI145" s="799"/>
      <c r="AJ145" s="799"/>
      <c r="AK145" s="799"/>
      <c r="AL145" s="799"/>
      <c r="AM145" s="799"/>
      <c r="AN145" s="799"/>
      <c r="AO145" s="799"/>
      <c r="AP145" s="799"/>
      <c r="AQ145" s="799"/>
      <c r="AR145" s="799"/>
      <c r="AS145" s="799"/>
      <c r="AT145" s="799"/>
      <c r="AU145" s="799"/>
      <c r="AV145" s="799"/>
      <c r="AW145" s="799"/>
      <c r="AX145" s="799"/>
      <c r="AY145" s="799"/>
      <c r="AZ145" s="799"/>
      <c r="BA145" s="799"/>
      <c r="BB145" s="799"/>
      <c r="BC145" s="799"/>
      <c r="BD145" s="799"/>
      <c r="BE145" s="799"/>
      <c r="BF145" s="799"/>
      <c r="BG145" s="799"/>
    </row>
    <row r="146">
      <c r="H146" s="799"/>
      <c r="I146" s="799"/>
      <c r="J146" s="799"/>
      <c r="K146" s="799"/>
      <c r="L146" s="799"/>
      <c r="M146" s="799"/>
      <c r="N146" s="799"/>
      <c r="O146" s="799"/>
      <c r="P146" s="799"/>
      <c r="Q146" s="799"/>
      <c r="R146" s="799"/>
      <c r="S146" s="799"/>
      <c r="T146" s="799"/>
      <c r="U146" s="799"/>
      <c r="V146" s="799"/>
      <c r="W146" s="799"/>
      <c r="X146" s="799"/>
      <c r="Y146" s="799"/>
      <c r="Z146" s="799"/>
      <c r="AA146" s="799"/>
      <c r="AB146" s="799"/>
      <c r="AC146" s="799"/>
      <c r="AD146" s="799"/>
      <c r="AE146" s="799"/>
      <c r="AF146" s="799"/>
      <c r="AG146" s="799"/>
      <c r="AH146" s="799"/>
      <c r="AI146" s="799"/>
      <c r="AJ146" s="799"/>
      <c r="AK146" s="799"/>
      <c r="AL146" s="799"/>
      <c r="AM146" s="799"/>
      <c r="AN146" s="799"/>
      <c r="AO146" s="799"/>
      <c r="AP146" s="799"/>
      <c r="AQ146" s="799"/>
      <c r="AR146" s="799"/>
      <c r="AS146" s="799"/>
      <c r="AT146" s="799"/>
      <c r="AU146" s="799"/>
      <c r="AV146" s="799"/>
      <c r="AW146" s="799"/>
      <c r="AX146" s="799"/>
      <c r="AY146" s="799"/>
      <c r="AZ146" s="799"/>
      <c r="BA146" s="799"/>
      <c r="BB146" s="799"/>
      <c r="BC146" s="799"/>
      <c r="BD146" s="799"/>
      <c r="BE146" s="799"/>
      <c r="BF146" s="799"/>
      <c r="BG146" s="799"/>
    </row>
    <row r="147">
      <c r="H147" s="799"/>
      <c r="I147" s="799"/>
      <c r="J147" s="799"/>
      <c r="K147" s="799"/>
      <c r="L147" s="799"/>
      <c r="M147" s="799"/>
      <c r="N147" s="799"/>
      <c r="O147" s="799"/>
      <c r="P147" s="799"/>
      <c r="Q147" s="799"/>
      <c r="R147" s="799"/>
      <c r="S147" s="799"/>
      <c r="T147" s="799"/>
      <c r="U147" s="799"/>
      <c r="V147" s="799"/>
      <c r="W147" s="799"/>
      <c r="X147" s="799"/>
      <c r="Y147" s="799"/>
      <c r="Z147" s="799"/>
      <c r="AA147" s="799"/>
      <c r="AB147" s="799"/>
      <c r="AC147" s="799"/>
      <c r="AD147" s="799"/>
      <c r="AE147" s="799"/>
      <c r="AF147" s="799"/>
      <c r="AG147" s="799"/>
      <c r="AH147" s="799"/>
      <c r="AI147" s="799"/>
      <c r="AJ147" s="799"/>
      <c r="AK147" s="799"/>
      <c r="AL147" s="799"/>
      <c r="AM147" s="799"/>
      <c r="AN147" s="799"/>
      <c r="AO147" s="799"/>
      <c r="AP147" s="799"/>
      <c r="AQ147" s="799"/>
      <c r="AR147" s="799"/>
      <c r="AS147" s="799"/>
      <c r="AT147" s="799"/>
      <c r="AU147" s="799"/>
      <c r="AV147" s="799"/>
      <c r="AW147" s="799"/>
      <c r="AX147" s="799"/>
      <c r="AY147" s="799"/>
      <c r="AZ147" s="799"/>
      <c r="BA147" s="799"/>
      <c r="BB147" s="799"/>
      <c r="BC147" s="799"/>
      <c r="BD147" s="799"/>
      <c r="BE147" s="799"/>
      <c r="BF147" s="799"/>
      <c r="BG147" s="799"/>
    </row>
    <row r="148">
      <c r="H148" s="799"/>
      <c r="I148" s="799"/>
      <c r="J148" s="799"/>
      <c r="K148" s="799"/>
      <c r="L148" s="799"/>
      <c r="M148" s="799"/>
      <c r="N148" s="799"/>
      <c r="O148" s="799"/>
      <c r="P148" s="799"/>
      <c r="Q148" s="799"/>
      <c r="R148" s="799"/>
      <c r="S148" s="799"/>
      <c r="T148" s="799"/>
      <c r="U148" s="799"/>
      <c r="V148" s="799"/>
      <c r="W148" s="799"/>
      <c r="X148" s="799"/>
      <c r="Y148" s="799"/>
      <c r="Z148" s="799"/>
      <c r="AA148" s="799"/>
      <c r="AB148" s="799"/>
      <c r="AC148" s="799"/>
      <c r="AD148" s="799"/>
      <c r="AE148" s="799"/>
      <c r="AF148" s="799"/>
      <c r="AG148" s="799"/>
      <c r="AH148" s="799"/>
      <c r="AI148" s="799"/>
      <c r="AJ148" s="799"/>
      <c r="AK148" s="799"/>
      <c r="AL148" s="799"/>
      <c r="AM148" s="799"/>
      <c r="AN148" s="799"/>
      <c r="AO148" s="799"/>
      <c r="AP148" s="799"/>
      <c r="AQ148" s="799"/>
      <c r="AR148" s="799"/>
      <c r="AS148" s="799"/>
      <c r="AT148" s="799"/>
      <c r="AU148" s="799"/>
      <c r="AV148" s="799"/>
      <c r="AW148" s="799"/>
      <c r="AX148" s="799"/>
      <c r="AY148" s="799"/>
      <c r="AZ148" s="799"/>
      <c r="BA148" s="799"/>
      <c r="BB148" s="799"/>
      <c r="BC148" s="799"/>
      <c r="BD148" s="799"/>
      <c r="BE148" s="799"/>
      <c r="BF148" s="799"/>
      <c r="BG148" s="799"/>
    </row>
    <row r="149">
      <c r="H149" s="799"/>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799"/>
      <c r="AL149" s="799"/>
      <c r="AM149" s="799"/>
      <c r="AN149" s="799"/>
      <c r="AO149" s="799"/>
      <c r="AP149" s="799"/>
      <c r="AQ149" s="799"/>
      <c r="AR149" s="799"/>
      <c r="AS149" s="799"/>
      <c r="AT149" s="799"/>
      <c r="AU149" s="799"/>
      <c r="AV149" s="799"/>
      <c r="AW149" s="799"/>
      <c r="AX149" s="799"/>
      <c r="AY149" s="799"/>
      <c r="AZ149" s="799"/>
      <c r="BA149" s="799"/>
      <c r="BB149" s="799"/>
      <c r="BC149" s="799"/>
      <c r="BD149" s="799"/>
      <c r="BE149" s="799"/>
      <c r="BF149" s="799"/>
      <c r="BG149" s="799"/>
    </row>
    <row r="150">
      <c r="H150" s="799"/>
      <c r="I150" s="799"/>
      <c r="J150" s="799"/>
      <c r="K150" s="799"/>
      <c r="L150" s="799"/>
      <c r="M150" s="799"/>
      <c r="N150" s="799"/>
      <c r="O150" s="799"/>
      <c r="P150" s="799"/>
      <c r="Q150" s="799"/>
      <c r="R150" s="799"/>
      <c r="S150" s="799"/>
      <c r="T150" s="799"/>
      <c r="U150" s="799"/>
      <c r="V150" s="799"/>
      <c r="W150" s="799"/>
      <c r="X150" s="799"/>
      <c r="Y150" s="799"/>
      <c r="Z150" s="799"/>
      <c r="AA150" s="799"/>
      <c r="AB150" s="799"/>
      <c r="AC150" s="799"/>
      <c r="AD150" s="799"/>
      <c r="AE150" s="799"/>
      <c r="AF150" s="799"/>
      <c r="AG150" s="799"/>
      <c r="AH150" s="799"/>
      <c r="AI150" s="799"/>
      <c r="AJ150" s="799"/>
      <c r="AK150" s="799"/>
      <c r="AL150" s="799"/>
      <c r="AM150" s="799"/>
      <c r="AN150" s="799"/>
      <c r="AO150" s="799"/>
      <c r="AP150" s="799"/>
      <c r="AQ150" s="799"/>
      <c r="AR150" s="799"/>
      <c r="AS150" s="799"/>
      <c r="AT150" s="799"/>
      <c r="AU150" s="799"/>
      <c r="AV150" s="799"/>
      <c r="AW150" s="799"/>
      <c r="AX150" s="799"/>
      <c r="AY150" s="799"/>
      <c r="AZ150" s="799"/>
      <c r="BA150" s="799"/>
      <c r="BB150" s="799"/>
      <c r="BC150" s="799"/>
      <c r="BD150" s="799"/>
      <c r="BE150" s="799"/>
      <c r="BF150" s="799"/>
      <c r="BG150" s="799"/>
    </row>
    <row r="151">
      <c r="H151" s="799"/>
      <c r="I151" s="799"/>
      <c r="J151" s="799"/>
      <c r="K151" s="799"/>
      <c r="L151" s="799"/>
      <c r="M151" s="799"/>
      <c r="N151" s="799"/>
      <c r="O151" s="799"/>
      <c r="P151" s="799"/>
      <c r="Q151" s="799"/>
      <c r="R151" s="799"/>
      <c r="S151" s="799"/>
      <c r="T151" s="799"/>
      <c r="U151" s="799"/>
      <c r="V151" s="799"/>
      <c r="W151" s="799"/>
      <c r="X151" s="799"/>
      <c r="Y151" s="799"/>
      <c r="Z151" s="799"/>
      <c r="AA151" s="799"/>
      <c r="AB151" s="799"/>
      <c r="AC151" s="799"/>
      <c r="AD151" s="799"/>
      <c r="AE151" s="799"/>
      <c r="AF151" s="799"/>
      <c r="AG151" s="799"/>
      <c r="AH151" s="799"/>
      <c r="AI151" s="799"/>
      <c r="AJ151" s="799"/>
      <c r="AK151" s="799"/>
      <c r="AL151" s="799"/>
      <c r="AM151" s="799"/>
      <c r="AN151" s="799"/>
      <c r="AO151" s="799"/>
      <c r="AP151" s="799"/>
      <c r="AQ151" s="799"/>
      <c r="AR151" s="799"/>
      <c r="AS151" s="799"/>
      <c r="AT151" s="799"/>
      <c r="AU151" s="799"/>
      <c r="AV151" s="799"/>
      <c r="AW151" s="799"/>
      <c r="AX151" s="799"/>
      <c r="AY151" s="799"/>
      <c r="AZ151" s="799"/>
      <c r="BA151" s="799"/>
      <c r="BB151" s="799"/>
      <c r="BC151" s="799"/>
      <c r="BD151" s="799"/>
      <c r="BE151" s="799"/>
      <c r="BF151" s="799"/>
      <c r="BG151" s="799"/>
    </row>
    <row r="152">
      <c r="H152" s="799"/>
      <c r="I152" s="799"/>
      <c r="J152" s="799"/>
      <c r="K152" s="799"/>
      <c r="L152" s="799"/>
      <c r="M152" s="799"/>
      <c r="N152" s="799"/>
      <c r="O152" s="799"/>
      <c r="P152" s="799"/>
      <c r="Q152" s="799"/>
      <c r="R152" s="799"/>
      <c r="S152" s="799"/>
      <c r="T152" s="799"/>
      <c r="U152" s="799"/>
      <c r="V152" s="799"/>
      <c r="W152" s="799"/>
      <c r="X152" s="799"/>
      <c r="Y152" s="799"/>
      <c r="Z152" s="799"/>
      <c r="AA152" s="799"/>
      <c r="AB152" s="799"/>
      <c r="AC152" s="799"/>
      <c r="AD152" s="799"/>
      <c r="AE152" s="799"/>
      <c r="AF152" s="799"/>
      <c r="AG152" s="799"/>
      <c r="AH152" s="799"/>
      <c r="AI152" s="799"/>
      <c r="AJ152" s="799"/>
      <c r="AK152" s="799"/>
      <c r="AL152" s="799"/>
      <c r="AM152" s="799"/>
      <c r="AN152" s="799"/>
      <c r="AO152" s="799"/>
      <c r="AP152" s="799"/>
      <c r="AQ152" s="799"/>
      <c r="AR152" s="799"/>
      <c r="AS152" s="799"/>
      <c r="AT152" s="799"/>
      <c r="AU152" s="799"/>
      <c r="AV152" s="799"/>
      <c r="AW152" s="799"/>
      <c r="AX152" s="799"/>
      <c r="AY152" s="799"/>
      <c r="AZ152" s="799"/>
      <c r="BA152" s="799"/>
      <c r="BB152" s="799"/>
      <c r="BC152" s="799"/>
      <c r="BD152" s="799"/>
      <c r="BE152" s="799"/>
      <c r="BF152" s="799"/>
      <c r="BG152" s="799"/>
    </row>
    <row r="153">
      <c r="H153" s="799"/>
      <c r="I153" s="799"/>
      <c r="J153" s="799"/>
      <c r="K153" s="799"/>
      <c r="L153" s="799"/>
      <c r="M153" s="799"/>
      <c r="N153" s="799"/>
      <c r="O153" s="799"/>
      <c r="P153" s="799"/>
      <c r="Q153" s="799"/>
      <c r="R153" s="799"/>
      <c r="S153" s="799"/>
      <c r="T153" s="799"/>
      <c r="U153" s="799"/>
      <c r="V153" s="799"/>
      <c r="W153" s="799"/>
      <c r="X153" s="799"/>
      <c r="Y153" s="799"/>
      <c r="Z153" s="799"/>
      <c r="AA153" s="799"/>
      <c r="AB153" s="799"/>
      <c r="AC153" s="799"/>
      <c r="AD153" s="799"/>
      <c r="AE153" s="799"/>
      <c r="AF153" s="799"/>
      <c r="AG153" s="799"/>
      <c r="AH153" s="799"/>
      <c r="AI153" s="799"/>
      <c r="AJ153" s="799"/>
      <c r="AK153" s="799"/>
      <c r="AL153" s="799"/>
      <c r="AM153" s="799"/>
      <c r="AN153" s="799"/>
      <c r="AO153" s="799"/>
      <c r="AP153" s="799"/>
      <c r="AQ153" s="799"/>
      <c r="AR153" s="799"/>
      <c r="AS153" s="799"/>
      <c r="AT153" s="799"/>
      <c r="AU153" s="799"/>
      <c r="AV153" s="799"/>
      <c r="AW153" s="799"/>
      <c r="AX153" s="799"/>
      <c r="AY153" s="799"/>
      <c r="AZ153" s="799"/>
      <c r="BA153" s="799"/>
      <c r="BB153" s="799"/>
      <c r="BC153" s="799"/>
      <c r="BD153" s="799"/>
      <c r="BE153" s="799"/>
      <c r="BF153" s="799"/>
      <c r="BG153" s="799"/>
    </row>
    <row r="154">
      <c r="H154" s="799"/>
      <c r="I154" s="799"/>
      <c r="J154" s="799"/>
      <c r="K154" s="799"/>
      <c r="L154" s="799"/>
      <c r="M154" s="799"/>
      <c r="N154" s="799"/>
      <c r="O154" s="799"/>
      <c r="P154" s="799"/>
      <c r="Q154" s="799"/>
      <c r="R154" s="799"/>
      <c r="S154" s="799"/>
      <c r="T154" s="799"/>
      <c r="U154" s="799"/>
      <c r="V154" s="799"/>
      <c r="W154" s="799"/>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row>
    <row r="155">
      <c r="H155" s="799"/>
      <c r="I155" s="799"/>
      <c r="J155" s="799"/>
      <c r="K155" s="799"/>
      <c r="L155" s="799"/>
      <c r="M155" s="799"/>
      <c r="N155" s="799"/>
      <c r="O155" s="799"/>
      <c r="P155" s="799"/>
      <c r="Q155" s="799"/>
      <c r="R155" s="799"/>
      <c r="S155" s="799"/>
      <c r="T155" s="799"/>
      <c r="U155" s="799"/>
      <c r="V155" s="799"/>
      <c r="W155" s="799"/>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row>
    <row r="156">
      <c r="H156" s="799"/>
      <c r="I156" s="799"/>
      <c r="J156" s="799"/>
      <c r="K156" s="799"/>
      <c r="L156" s="799"/>
      <c r="M156" s="799"/>
      <c r="N156" s="799"/>
      <c r="O156" s="799"/>
      <c r="P156" s="799"/>
      <c r="Q156" s="799"/>
      <c r="R156" s="799"/>
      <c r="S156" s="799"/>
      <c r="T156" s="799"/>
      <c r="U156" s="799"/>
      <c r="V156" s="799"/>
      <c r="W156" s="799"/>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row>
    <row r="157">
      <c r="H157" s="799"/>
      <c r="I157" s="799"/>
      <c r="J157" s="799"/>
      <c r="K157" s="799"/>
      <c r="L157" s="799"/>
      <c r="M157" s="799"/>
      <c r="N157" s="799"/>
      <c r="O157" s="799"/>
      <c r="P157" s="799"/>
      <c r="Q157" s="799"/>
      <c r="R157" s="799"/>
      <c r="S157" s="799"/>
      <c r="T157" s="799"/>
      <c r="U157" s="799"/>
      <c r="V157" s="799"/>
      <c r="W157" s="799"/>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row>
    <row r="158">
      <c r="H158" s="799"/>
      <c r="I158" s="799"/>
      <c r="J158" s="799"/>
      <c r="K158" s="799"/>
      <c r="L158" s="799"/>
      <c r="M158" s="799"/>
      <c r="N158" s="799"/>
      <c r="O158" s="799"/>
      <c r="P158" s="799"/>
      <c r="Q158" s="799"/>
      <c r="R158" s="799"/>
      <c r="S158" s="799"/>
      <c r="T158" s="799"/>
      <c r="U158" s="799"/>
      <c r="V158" s="799"/>
      <c r="W158" s="799"/>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row>
    <row r="159">
      <c r="H159" s="799"/>
      <c r="I159" s="799"/>
      <c r="J159" s="799"/>
      <c r="K159" s="799"/>
      <c r="L159" s="799"/>
      <c r="M159" s="799"/>
      <c r="N159" s="799"/>
      <c r="O159" s="799"/>
      <c r="P159" s="799"/>
      <c r="Q159" s="799"/>
      <c r="R159" s="799"/>
      <c r="S159" s="799"/>
      <c r="T159" s="799"/>
      <c r="U159" s="799"/>
      <c r="V159" s="799"/>
      <c r="W159" s="799"/>
      <c r="X159" s="799"/>
      <c r="Y159" s="799"/>
      <c r="Z159" s="799"/>
      <c r="AA159" s="799"/>
      <c r="AB159" s="799"/>
      <c r="AC159" s="799"/>
      <c r="AD159" s="799"/>
      <c r="AE159" s="799"/>
      <c r="AF159" s="799"/>
      <c r="AG159" s="799"/>
      <c r="AH159" s="799"/>
      <c r="AI159" s="799"/>
      <c r="AJ159" s="799"/>
      <c r="AK159" s="799"/>
      <c r="AL159" s="799"/>
      <c r="AM159" s="799"/>
      <c r="AN159" s="799"/>
      <c r="AO159" s="799"/>
      <c r="AP159" s="799"/>
      <c r="AQ159" s="799"/>
      <c r="AR159" s="799"/>
      <c r="AS159" s="799"/>
      <c r="AT159" s="799"/>
      <c r="AU159" s="799"/>
      <c r="AV159" s="799"/>
      <c r="AW159" s="799"/>
      <c r="AX159" s="799"/>
      <c r="AY159" s="799"/>
      <c r="AZ159" s="799"/>
      <c r="BA159" s="799"/>
      <c r="BB159" s="799"/>
      <c r="BC159" s="799"/>
      <c r="BD159" s="799"/>
      <c r="BE159" s="799"/>
      <c r="BF159" s="799"/>
      <c r="BG159" s="799"/>
    </row>
    <row r="160">
      <c r="H160" s="799"/>
      <c r="I160" s="799"/>
      <c r="J160" s="799"/>
      <c r="K160" s="799"/>
      <c r="L160" s="799"/>
      <c r="M160" s="799"/>
      <c r="N160" s="799"/>
      <c r="O160" s="799"/>
      <c r="P160" s="799"/>
      <c r="Q160" s="799"/>
      <c r="R160" s="799"/>
      <c r="S160" s="799"/>
      <c r="T160" s="799"/>
      <c r="U160" s="799"/>
      <c r="V160" s="799"/>
      <c r="W160" s="799"/>
      <c r="X160" s="799"/>
      <c r="Y160" s="799"/>
      <c r="Z160" s="799"/>
      <c r="AA160" s="799"/>
      <c r="AB160" s="799"/>
      <c r="AC160" s="799"/>
      <c r="AD160" s="799"/>
      <c r="AE160" s="799"/>
      <c r="AF160" s="799"/>
      <c r="AG160" s="799"/>
      <c r="AH160" s="799"/>
      <c r="AI160" s="799"/>
      <c r="AJ160" s="799"/>
      <c r="AK160" s="799"/>
      <c r="AL160" s="799"/>
      <c r="AM160" s="799"/>
      <c r="AN160" s="799"/>
      <c r="AO160" s="799"/>
      <c r="AP160" s="799"/>
      <c r="AQ160" s="799"/>
      <c r="AR160" s="799"/>
      <c r="AS160" s="799"/>
      <c r="AT160" s="799"/>
      <c r="AU160" s="799"/>
      <c r="AV160" s="799"/>
      <c r="AW160" s="799"/>
      <c r="AX160" s="799"/>
      <c r="AY160" s="799"/>
      <c r="AZ160" s="799"/>
      <c r="BA160" s="799"/>
      <c r="BB160" s="799"/>
      <c r="BC160" s="799"/>
      <c r="BD160" s="799"/>
      <c r="BE160" s="799"/>
      <c r="BF160" s="799"/>
      <c r="BG160" s="799"/>
    </row>
    <row r="161">
      <c r="H161" s="799"/>
      <c r="I161" s="799"/>
      <c r="J161" s="799"/>
      <c r="K161" s="799"/>
      <c r="L161" s="799"/>
      <c r="M161" s="799"/>
      <c r="N161" s="799"/>
      <c r="O161" s="799"/>
      <c r="P161" s="799"/>
      <c r="Q161" s="799"/>
      <c r="R161" s="799"/>
      <c r="S161" s="799"/>
      <c r="T161" s="799"/>
      <c r="U161" s="799"/>
      <c r="V161" s="799"/>
      <c r="W161" s="799"/>
      <c r="X161" s="799"/>
      <c r="Y161" s="799"/>
      <c r="Z161" s="799"/>
      <c r="AA161" s="799"/>
      <c r="AB161" s="799"/>
      <c r="AC161" s="799"/>
      <c r="AD161" s="799"/>
      <c r="AE161" s="799"/>
      <c r="AF161" s="799"/>
      <c r="AG161" s="799"/>
      <c r="AH161" s="799"/>
      <c r="AI161" s="799"/>
      <c r="AJ161" s="799"/>
      <c r="AK161" s="799"/>
      <c r="AL161" s="799"/>
      <c r="AM161" s="799"/>
      <c r="AN161" s="799"/>
      <c r="AO161" s="799"/>
      <c r="AP161" s="799"/>
      <c r="AQ161" s="799"/>
      <c r="AR161" s="799"/>
      <c r="AS161" s="799"/>
      <c r="AT161" s="799"/>
      <c r="AU161" s="799"/>
      <c r="AV161" s="799"/>
      <c r="AW161" s="799"/>
      <c r="AX161" s="799"/>
      <c r="AY161" s="799"/>
      <c r="AZ161" s="799"/>
      <c r="BA161" s="799"/>
      <c r="BB161" s="799"/>
      <c r="BC161" s="799"/>
      <c r="BD161" s="799"/>
      <c r="BE161" s="799"/>
      <c r="BF161" s="799"/>
      <c r="BG161" s="799"/>
    </row>
    <row r="162">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row>
    <row r="163">
      <c r="H163" s="799"/>
      <c r="I163" s="799"/>
      <c r="J163" s="799"/>
      <c r="K163" s="799"/>
      <c r="L163" s="799"/>
      <c r="M163" s="799"/>
      <c r="N163" s="799"/>
      <c r="O163" s="799"/>
      <c r="P163" s="799"/>
      <c r="Q163" s="799"/>
      <c r="R163" s="799"/>
      <c r="S163" s="799"/>
      <c r="T163" s="799"/>
      <c r="U163" s="799"/>
      <c r="V163" s="799"/>
      <c r="W163" s="799"/>
      <c r="X163" s="799"/>
      <c r="Y163" s="799"/>
      <c r="Z163" s="799"/>
      <c r="AA163" s="799"/>
      <c r="AB163" s="799"/>
      <c r="AC163" s="799"/>
      <c r="AD163" s="799"/>
      <c r="AE163" s="799"/>
      <c r="AF163" s="799"/>
      <c r="AG163" s="799"/>
      <c r="AH163" s="799"/>
      <c r="AI163" s="799"/>
      <c r="AJ163" s="799"/>
      <c r="AK163" s="799"/>
      <c r="AL163" s="799"/>
      <c r="AM163" s="799"/>
      <c r="AN163" s="799"/>
      <c r="AO163" s="799"/>
      <c r="AP163" s="799"/>
      <c r="AQ163" s="799"/>
      <c r="AR163" s="799"/>
      <c r="AS163" s="799"/>
      <c r="AT163" s="799"/>
      <c r="AU163" s="799"/>
      <c r="AV163" s="799"/>
      <c r="AW163" s="799"/>
      <c r="AX163" s="799"/>
      <c r="AY163" s="799"/>
      <c r="AZ163" s="799"/>
      <c r="BA163" s="799"/>
      <c r="BB163" s="799"/>
      <c r="BC163" s="799"/>
      <c r="BD163" s="799"/>
      <c r="BE163" s="799"/>
      <c r="BF163" s="799"/>
      <c r="BG163" s="799"/>
    </row>
    <row r="164">
      <c r="H164" s="799"/>
      <c r="I164" s="799"/>
      <c r="J164" s="799"/>
      <c r="K164" s="799"/>
      <c r="L164" s="799"/>
      <c r="M164" s="799"/>
      <c r="N164" s="799"/>
      <c r="O164" s="799"/>
      <c r="P164" s="799"/>
      <c r="Q164" s="799"/>
      <c r="R164" s="799"/>
      <c r="S164" s="799"/>
      <c r="T164" s="799"/>
      <c r="U164" s="799"/>
      <c r="V164" s="799"/>
      <c r="W164" s="799"/>
      <c r="X164" s="799"/>
      <c r="Y164" s="799"/>
      <c r="Z164" s="799"/>
      <c r="AA164" s="799"/>
      <c r="AB164" s="799"/>
      <c r="AC164" s="799"/>
      <c r="AD164" s="799"/>
      <c r="AE164" s="799"/>
      <c r="AF164" s="799"/>
      <c r="AG164" s="799"/>
      <c r="AH164" s="799"/>
      <c r="AI164" s="799"/>
      <c r="AJ164" s="799"/>
      <c r="AK164" s="799"/>
      <c r="AL164" s="799"/>
      <c r="AM164" s="799"/>
      <c r="AN164" s="799"/>
      <c r="AO164" s="799"/>
      <c r="AP164" s="799"/>
      <c r="AQ164" s="799"/>
      <c r="AR164" s="799"/>
      <c r="AS164" s="799"/>
      <c r="AT164" s="799"/>
      <c r="AU164" s="799"/>
      <c r="AV164" s="799"/>
      <c r="AW164" s="799"/>
      <c r="AX164" s="799"/>
      <c r="AY164" s="799"/>
      <c r="AZ164" s="799"/>
      <c r="BA164" s="799"/>
      <c r="BB164" s="799"/>
      <c r="BC164" s="799"/>
      <c r="BD164" s="799"/>
      <c r="BE164" s="799"/>
      <c r="BF164" s="799"/>
      <c r="BG164" s="799"/>
    </row>
    <row r="165">
      <c r="H165" s="799"/>
      <c r="I165" s="799"/>
      <c r="J165" s="799"/>
      <c r="K165" s="799"/>
      <c r="L165" s="799"/>
      <c r="M165" s="799"/>
      <c r="N165" s="799"/>
      <c r="O165" s="799"/>
      <c r="P165" s="799"/>
      <c r="Q165" s="799"/>
      <c r="R165" s="799"/>
      <c r="S165" s="799"/>
      <c r="T165" s="799"/>
      <c r="U165" s="799"/>
      <c r="V165" s="799"/>
      <c r="W165" s="799"/>
      <c r="X165" s="799"/>
      <c r="Y165" s="799"/>
      <c r="Z165" s="799"/>
      <c r="AA165" s="799"/>
      <c r="AB165" s="799"/>
      <c r="AC165" s="799"/>
      <c r="AD165" s="799"/>
      <c r="AE165" s="799"/>
      <c r="AF165" s="799"/>
      <c r="AG165" s="799"/>
      <c r="AH165" s="799"/>
      <c r="AI165" s="799"/>
      <c r="AJ165" s="799"/>
      <c r="AK165" s="799"/>
      <c r="AL165" s="799"/>
      <c r="AM165" s="799"/>
      <c r="AN165" s="799"/>
      <c r="AO165" s="799"/>
      <c r="AP165" s="799"/>
      <c r="AQ165" s="799"/>
      <c r="AR165" s="799"/>
      <c r="AS165" s="799"/>
      <c r="AT165" s="799"/>
      <c r="AU165" s="799"/>
      <c r="AV165" s="799"/>
      <c r="AW165" s="799"/>
      <c r="AX165" s="799"/>
      <c r="AY165" s="799"/>
      <c r="AZ165" s="799"/>
      <c r="BA165" s="799"/>
      <c r="BB165" s="799"/>
      <c r="BC165" s="799"/>
      <c r="BD165" s="799"/>
      <c r="BE165" s="799"/>
      <c r="BF165" s="799"/>
      <c r="BG165" s="799"/>
    </row>
    <row r="166">
      <c r="H166" s="799"/>
      <c r="I166" s="799"/>
      <c r="J166" s="799"/>
      <c r="K166" s="799"/>
      <c r="L166" s="799"/>
      <c r="M166" s="799"/>
      <c r="N166" s="799"/>
      <c r="O166" s="799"/>
      <c r="P166" s="799"/>
      <c r="Q166" s="799"/>
      <c r="R166" s="799"/>
      <c r="S166" s="799"/>
      <c r="T166" s="799"/>
      <c r="U166" s="799"/>
      <c r="V166" s="799"/>
      <c r="W166" s="799"/>
      <c r="X166" s="799"/>
      <c r="Y166" s="799"/>
      <c r="Z166" s="799"/>
      <c r="AA166" s="799"/>
      <c r="AB166" s="799"/>
      <c r="AC166" s="799"/>
      <c r="AD166" s="799"/>
      <c r="AE166" s="799"/>
      <c r="AF166" s="799"/>
      <c r="AG166" s="799"/>
      <c r="AH166" s="799"/>
      <c r="AI166" s="799"/>
      <c r="AJ166" s="799"/>
      <c r="AK166" s="799"/>
      <c r="AL166" s="799"/>
      <c r="AM166" s="799"/>
      <c r="AN166" s="799"/>
      <c r="AO166" s="799"/>
      <c r="AP166" s="799"/>
      <c r="AQ166" s="799"/>
      <c r="AR166" s="799"/>
      <c r="AS166" s="799"/>
      <c r="AT166" s="799"/>
      <c r="AU166" s="799"/>
      <c r="AV166" s="799"/>
      <c r="AW166" s="799"/>
      <c r="AX166" s="799"/>
      <c r="AY166" s="799"/>
      <c r="AZ166" s="799"/>
      <c r="BA166" s="799"/>
      <c r="BB166" s="799"/>
      <c r="BC166" s="799"/>
      <c r="BD166" s="799"/>
      <c r="BE166" s="799"/>
      <c r="BF166" s="799"/>
      <c r="BG166" s="799"/>
    </row>
    <row r="167">
      <c r="H167" s="799"/>
      <c r="I167" s="799"/>
      <c r="J167" s="799"/>
      <c r="K167" s="799"/>
      <c r="L167" s="799"/>
      <c r="M167" s="799"/>
      <c r="N167" s="799"/>
      <c r="O167" s="799"/>
      <c r="P167" s="799"/>
      <c r="Q167" s="799"/>
      <c r="R167" s="799"/>
      <c r="S167" s="799"/>
      <c r="T167" s="799"/>
      <c r="U167" s="799"/>
      <c r="V167" s="799"/>
      <c r="W167" s="799"/>
      <c r="X167" s="799"/>
      <c r="Y167" s="799"/>
      <c r="Z167" s="799"/>
      <c r="AA167" s="799"/>
      <c r="AB167" s="799"/>
      <c r="AC167" s="799"/>
      <c r="AD167" s="799"/>
      <c r="AE167" s="799"/>
      <c r="AF167" s="799"/>
      <c r="AG167" s="799"/>
      <c r="AH167" s="799"/>
      <c r="AI167" s="799"/>
      <c r="AJ167" s="799"/>
      <c r="AK167" s="799"/>
      <c r="AL167" s="799"/>
      <c r="AM167" s="799"/>
      <c r="AN167" s="799"/>
      <c r="AO167" s="799"/>
      <c r="AP167" s="799"/>
      <c r="AQ167" s="799"/>
      <c r="AR167" s="799"/>
      <c r="AS167" s="799"/>
      <c r="AT167" s="799"/>
      <c r="AU167" s="799"/>
      <c r="AV167" s="799"/>
      <c r="AW167" s="799"/>
      <c r="AX167" s="799"/>
      <c r="AY167" s="799"/>
      <c r="AZ167" s="799"/>
      <c r="BA167" s="799"/>
      <c r="BB167" s="799"/>
      <c r="BC167" s="799"/>
      <c r="BD167" s="799"/>
      <c r="BE167" s="799"/>
      <c r="BF167" s="799"/>
      <c r="BG167" s="799"/>
    </row>
    <row r="168">
      <c r="H168" s="799"/>
      <c r="I168" s="799"/>
      <c r="J168" s="799"/>
      <c r="K168" s="799"/>
      <c r="L168" s="799"/>
      <c r="M168" s="799"/>
      <c r="N168" s="799"/>
      <c r="O168" s="799"/>
      <c r="P168" s="799"/>
      <c r="Q168" s="799"/>
      <c r="R168" s="799"/>
      <c r="S168" s="799"/>
      <c r="T168" s="799"/>
      <c r="U168" s="799"/>
      <c r="V168" s="799"/>
      <c r="W168" s="799"/>
      <c r="X168" s="799"/>
      <c r="Y168" s="799"/>
      <c r="Z168" s="799"/>
      <c r="AA168" s="799"/>
      <c r="AB168" s="799"/>
      <c r="AC168" s="799"/>
      <c r="AD168" s="799"/>
      <c r="AE168" s="799"/>
      <c r="AF168" s="799"/>
      <c r="AG168" s="799"/>
      <c r="AH168" s="799"/>
      <c r="AI168" s="799"/>
      <c r="AJ168" s="799"/>
      <c r="AK168" s="799"/>
      <c r="AL168" s="799"/>
      <c r="AM168" s="799"/>
      <c r="AN168" s="799"/>
      <c r="AO168" s="799"/>
      <c r="AP168" s="799"/>
      <c r="AQ168" s="799"/>
      <c r="AR168" s="799"/>
      <c r="AS168" s="799"/>
      <c r="AT168" s="799"/>
      <c r="AU168" s="799"/>
      <c r="AV168" s="799"/>
      <c r="AW168" s="799"/>
      <c r="AX168" s="799"/>
      <c r="AY168" s="799"/>
      <c r="AZ168" s="799"/>
      <c r="BA168" s="799"/>
      <c r="BB168" s="799"/>
      <c r="BC168" s="799"/>
      <c r="BD168" s="799"/>
      <c r="BE168" s="799"/>
      <c r="BF168" s="799"/>
      <c r="BG168" s="799"/>
    </row>
    <row r="169">
      <c r="H169" s="799"/>
      <c r="I169" s="799"/>
      <c r="J169" s="799"/>
      <c r="K169" s="799"/>
      <c r="L169" s="799"/>
      <c r="M169" s="799"/>
      <c r="N169" s="799"/>
      <c r="O169" s="799"/>
      <c r="P169" s="799"/>
      <c r="Q169" s="799"/>
      <c r="R169" s="799"/>
      <c r="S169" s="799"/>
      <c r="T169" s="799"/>
      <c r="U169" s="799"/>
      <c r="V169" s="799"/>
      <c r="W169" s="799"/>
      <c r="X169" s="799"/>
      <c r="Y169" s="799"/>
      <c r="Z169" s="799"/>
      <c r="AA169" s="799"/>
      <c r="AB169" s="799"/>
      <c r="AC169" s="799"/>
      <c r="AD169" s="799"/>
      <c r="AE169" s="799"/>
      <c r="AF169" s="799"/>
      <c r="AG169" s="799"/>
      <c r="AH169" s="799"/>
      <c r="AI169" s="799"/>
      <c r="AJ169" s="799"/>
      <c r="AK169" s="799"/>
      <c r="AL169" s="799"/>
      <c r="AM169" s="799"/>
      <c r="AN169" s="799"/>
      <c r="AO169" s="799"/>
      <c r="AP169" s="799"/>
      <c r="AQ169" s="799"/>
      <c r="AR169" s="799"/>
      <c r="AS169" s="799"/>
      <c r="AT169" s="799"/>
      <c r="AU169" s="799"/>
      <c r="AV169" s="799"/>
      <c r="AW169" s="799"/>
      <c r="AX169" s="799"/>
      <c r="AY169" s="799"/>
      <c r="AZ169" s="799"/>
      <c r="BA169" s="799"/>
      <c r="BB169" s="799"/>
      <c r="BC169" s="799"/>
      <c r="BD169" s="799"/>
      <c r="BE169" s="799"/>
      <c r="BF169" s="799"/>
      <c r="BG169" s="799"/>
    </row>
    <row r="170">
      <c r="H170" s="799"/>
      <c r="I170" s="799"/>
      <c r="J170" s="799"/>
      <c r="K170" s="799"/>
      <c r="L170" s="799"/>
      <c r="M170" s="799"/>
      <c r="N170" s="799"/>
      <c r="O170" s="799"/>
      <c r="P170" s="799"/>
      <c r="Q170" s="799"/>
      <c r="R170" s="799"/>
      <c r="S170" s="799"/>
      <c r="T170" s="799"/>
      <c r="U170" s="799"/>
      <c r="V170" s="799"/>
      <c r="W170" s="799"/>
      <c r="X170" s="799"/>
      <c r="Y170" s="799"/>
      <c r="Z170" s="799"/>
      <c r="AA170" s="799"/>
      <c r="AB170" s="799"/>
      <c r="AC170" s="799"/>
      <c r="AD170" s="799"/>
      <c r="AE170" s="799"/>
      <c r="AF170" s="799"/>
      <c r="AG170" s="799"/>
      <c r="AH170" s="799"/>
      <c r="AI170" s="799"/>
      <c r="AJ170" s="799"/>
      <c r="AK170" s="799"/>
      <c r="AL170" s="799"/>
      <c r="AM170" s="799"/>
      <c r="AN170" s="799"/>
      <c r="AO170" s="799"/>
      <c r="AP170" s="799"/>
      <c r="AQ170" s="799"/>
      <c r="AR170" s="799"/>
      <c r="AS170" s="799"/>
      <c r="AT170" s="799"/>
      <c r="AU170" s="799"/>
      <c r="AV170" s="799"/>
      <c r="AW170" s="799"/>
      <c r="AX170" s="799"/>
      <c r="AY170" s="799"/>
      <c r="AZ170" s="799"/>
      <c r="BA170" s="799"/>
      <c r="BB170" s="799"/>
      <c r="BC170" s="799"/>
      <c r="BD170" s="799"/>
      <c r="BE170" s="799"/>
      <c r="BF170" s="799"/>
      <c r="BG170" s="799"/>
    </row>
    <row r="171">
      <c r="H171" s="799"/>
      <c r="I171" s="799"/>
      <c r="J171" s="799"/>
      <c r="K171" s="799"/>
      <c r="L171" s="799"/>
      <c r="M171" s="799"/>
      <c r="N171" s="799"/>
      <c r="O171" s="799"/>
      <c r="P171" s="799"/>
      <c r="Q171" s="799"/>
      <c r="R171" s="799"/>
      <c r="S171" s="799"/>
      <c r="T171" s="799"/>
      <c r="U171" s="799"/>
      <c r="V171" s="799"/>
      <c r="W171" s="799"/>
      <c r="X171" s="799"/>
      <c r="Y171" s="799"/>
      <c r="Z171" s="799"/>
      <c r="AA171" s="799"/>
      <c r="AB171" s="799"/>
      <c r="AC171" s="799"/>
      <c r="AD171" s="799"/>
      <c r="AE171" s="799"/>
      <c r="AF171" s="799"/>
      <c r="AG171" s="799"/>
      <c r="AH171" s="799"/>
      <c r="AI171" s="799"/>
      <c r="AJ171" s="799"/>
      <c r="AK171" s="799"/>
      <c r="AL171" s="799"/>
      <c r="AM171" s="799"/>
      <c r="AN171" s="799"/>
      <c r="AO171" s="799"/>
      <c r="AP171" s="799"/>
      <c r="AQ171" s="799"/>
      <c r="AR171" s="799"/>
      <c r="AS171" s="799"/>
      <c r="AT171" s="799"/>
      <c r="AU171" s="799"/>
      <c r="AV171" s="799"/>
      <c r="AW171" s="799"/>
      <c r="AX171" s="799"/>
      <c r="AY171" s="799"/>
      <c r="AZ171" s="799"/>
      <c r="BA171" s="799"/>
      <c r="BB171" s="799"/>
      <c r="BC171" s="799"/>
      <c r="BD171" s="799"/>
      <c r="BE171" s="799"/>
      <c r="BF171" s="799"/>
      <c r="BG171" s="799"/>
    </row>
    <row r="172">
      <c r="H172" s="799"/>
      <c r="I172" s="799"/>
      <c r="J172" s="799"/>
      <c r="K172" s="799"/>
      <c r="L172" s="799"/>
      <c r="M172" s="799"/>
      <c r="N172" s="799"/>
      <c r="O172" s="799"/>
      <c r="P172" s="799"/>
      <c r="Q172" s="799"/>
      <c r="R172" s="799"/>
      <c r="S172" s="799"/>
      <c r="T172" s="799"/>
      <c r="U172" s="799"/>
      <c r="V172" s="799"/>
      <c r="W172" s="799"/>
      <c r="X172" s="799"/>
      <c r="Y172" s="799"/>
      <c r="Z172" s="799"/>
      <c r="AA172" s="799"/>
      <c r="AB172" s="799"/>
      <c r="AC172" s="799"/>
      <c r="AD172" s="799"/>
      <c r="AE172" s="799"/>
      <c r="AF172" s="799"/>
      <c r="AG172" s="799"/>
      <c r="AH172" s="799"/>
      <c r="AI172" s="799"/>
      <c r="AJ172" s="799"/>
      <c r="AK172" s="799"/>
      <c r="AL172" s="799"/>
      <c r="AM172" s="799"/>
      <c r="AN172" s="799"/>
      <c r="AO172" s="799"/>
      <c r="AP172" s="799"/>
      <c r="AQ172" s="799"/>
      <c r="AR172" s="799"/>
      <c r="AS172" s="799"/>
      <c r="AT172" s="799"/>
      <c r="AU172" s="799"/>
      <c r="AV172" s="799"/>
      <c r="AW172" s="799"/>
      <c r="AX172" s="799"/>
      <c r="AY172" s="799"/>
      <c r="AZ172" s="799"/>
      <c r="BA172" s="799"/>
      <c r="BB172" s="799"/>
      <c r="BC172" s="799"/>
      <c r="BD172" s="799"/>
      <c r="BE172" s="799"/>
      <c r="BF172" s="799"/>
      <c r="BG172" s="799"/>
    </row>
    <row r="173">
      <c r="H173" s="799"/>
      <c r="I173" s="799"/>
      <c r="J173" s="799"/>
      <c r="K173" s="799"/>
      <c r="L173" s="799"/>
      <c r="M173" s="799"/>
      <c r="N173" s="799"/>
      <c r="O173" s="799"/>
      <c r="P173" s="799"/>
      <c r="Q173" s="799"/>
      <c r="R173" s="799"/>
      <c r="S173" s="799"/>
      <c r="T173" s="799"/>
      <c r="U173" s="799"/>
      <c r="V173" s="799"/>
      <c r="W173" s="799"/>
      <c r="X173" s="799"/>
      <c r="Y173" s="799"/>
      <c r="Z173" s="799"/>
      <c r="AA173" s="799"/>
      <c r="AB173" s="799"/>
      <c r="AC173" s="799"/>
      <c r="AD173" s="799"/>
      <c r="AE173" s="799"/>
      <c r="AF173" s="799"/>
      <c r="AG173" s="799"/>
      <c r="AH173" s="799"/>
      <c r="AI173" s="799"/>
      <c r="AJ173" s="799"/>
      <c r="AK173" s="799"/>
      <c r="AL173" s="799"/>
      <c r="AM173" s="799"/>
      <c r="AN173" s="799"/>
      <c r="AO173" s="799"/>
      <c r="AP173" s="799"/>
      <c r="AQ173" s="799"/>
      <c r="AR173" s="799"/>
      <c r="AS173" s="799"/>
      <c r="AT173" s="799"/>
      <c r="AU173" s="799"/>
      <c r="AV173" s="799"/>
      <c r="AW173" s="799"/>
      <c r="AX173" s="799"/>
      <c r="AY173" s="799"/>
      <c r="AZ173" s="799"/>
      <c r="BA173" s="799"/>
      <c r="BB173" s="799"/>
      <c r="BC173" s="799"/>
      <c r="BD173" s="799"/>
      <c r="BE173" s="799"/>
      <c r="BF173" s="799"/>
      <c r="BG173" s="799"/>
    </row>
    <row r="174">
      <c r="H174" s="799"/>
      <c r="I174" s="799"/>
      <c r="J174" s="799"/>
      <c r="K174" s="799"/>
      <c r="L174" s="799"/>
      <c r="M174" s="799"/>
      <c r="N174" s="799"/>
      <c r="O174" s="799"/>
      <c r="P174" s="799"/>
      <c r="Q174" s="799"/>
      <c r="R174" s="799"/>
      <c r="S174" s="799"/>
      <c r="T174" s="799"/>
      <c r="U174" s="799"/>
      <c r="V174" s="799"/>
      <c r="W174" s="799"/>
      <c r="X174" s="799"/>
      <c r="Y174" s="799"/>
      <c r="Z174" s="799"/>
      <c r="AA174" s="799"/>
      <c r="AB174" s="799"/>
      <c r="AC174" s="799"/>
      <c r="AD174" s="799"/>
      <c r="AE174" s="799"/>
      <c r="AF174" s="799"/>
      <c r="AG174" s="799"/>
      <c r="AH174" s="799"/>
      <c r="AI174" s="799"/>
      <c r="AJ174" s="799"/>
      <c r="AK174" s="799"/>
      <c r="AL174" s="799"/>
      <c r="AM174" s="799"/>
      <c r="AN174" s="799"/>
      <c r="AO174" s="799"/>
      <c r="AP174" s="799"/>
      <c r="AQ174" s="799"/>
      <c r="AR174" s="799"/>
      <c r="AS174" s="799"/>
      <c r="AT174" s="799"/>
      <c r="AU174" s="799"/>
      <c r="AV174" s="799"/>
      <c r="AW174" s="799"/>
      <c r="AX174" s="799"/>
      <c r="AY174" s="799"/>
      <c r="AZ174" s="799"/>
      <c r="BA174" s="799"/>
      <c r="BB174" s="799"/>
      <c r="BC174" s="799"/>
      <c r="BD174" s="799"/>
      <c r="BE174" s="799"/>
      <c r="BF174" s="799"/>
      <c r="BG174" s="799"/>
    </row>
    <row r="175">
      <c r="H175" s="799"/>
      <c r="I175" s="799"/>
      <c r="J175" s="799"/>
      <c r="K175" s="799"/>
      <c r="L175" s="799"/>
      <c r="M175" s="799"/>
      <c r="N175" s="799"/>
      <c r="O175" s="799"/>
      <c r="P175" s="799"/>
      <c r="Q175" s="799"/>
      <c r="R175" s="799"/>
      <c r="S175" s="799"/>
      <c r="T175" s="799"/>
      <c r="U175" s="799"/>
      <c r="V175" s="799"/>
      <c r="W175" s="799"/>
      <c r="X175" s="799"/>
      <c r="Y175" s="799"/>
      <c r="Z175" s="799"/>
      <c r="AA175" s="799"/>
      <c r="AB175" s="799"/>
      <c r="AC175" s="799"/>
      <c r="AD175" s="799"/>
      <c r="AE175" s="799"/>
      <c r="AF175" s="799"/>
      <c r="AG175" s="799"/>
      <c r="AH175" s="799"/>
      <c r="AI175" s="799"/>
      <c r="AJ175" s="799"/>
      <c r="AK175" s="799"/>
      <c r="AL175" s="799"/>
      <c r="AM175" s="799"/>
      <c r="AN175" s="799"/>
      <c r="AO175" s="799"/>
      <c r="AP175" s="799"/>
      <c r="AQ175" s="799"/>
      <c r="AR175" s="799"/>
      <c r="AS175" s="799"/>
      <c r="AT175" s="799"/>
      <c r="AU175" s="799"/>
      <c r="AV175" s="799"/>
      <c r="AW175" s="799"/>
      <c r="AX175" s="799"/>
      <c r="AY175" s="799"/>
      <c r="AZ175" s="799"/>
      <c r="BA175" s="799"/>
      <c r="BB175" s="799"/>
      <c r="BC175" s="799"/>
      <c r="BD175" s="799"/>
      <c r="BE175" s="799"/>
      <c r="BF175" s="799"/>
      <c r="BG175" s="799"/>
    </row>
    <row r="176">
      <c r="H176" s="799"/>
      <c r="I176" s="799"/>
      <c r="J176" s="799"/>
      <c r="K176" s="799"/>
      <c r="L176" s="799"/>
      <c r="M176" s="799"/>
      <c r="N176" s="799"/>
      <c r="O176" s="799"/>
      <c r="P176" s="799"/>
      <c r="Q176" s="799"/>
      <c r="R176" s="799"/>
      <c r="S176" s="799"/>
      <c r="T176" s="799"/>
      <c r="U176" s="799"/>
      <c r="V176" s="799"/>
      <c r="W176" s="799"/>
      <c r="X176" s="799"/>
      <c r="Y176" s="799"/>
      <c r="Z176" s="799"/>
      <c r="AA176" s="799"/>
      <c r="AB176" s="799"/>
      <c r="AC176" s="799"/>
      <c r="AD176" s="799"/>
      <c r="AE176" s="799"/>
      <c r="AF176" s="799"/>
      <c r="AG176" s="799"/>
      <c r="AH176" s="799"/>
      <c r="AI176" s="799"/>
      <c r="AJ176" s="799"/>
      <c r="AK176" s="799"/>
      <c r="AL176" s="799"/>
      <c r="AM176" s="799"/>
      <c r="AN176" s="799"/>
      <c r="AO176" s="799"/>
      <c r="AP176" s="799"/>
      <c r="AQ176" s="799"/>
      <c r="AR176" s="799"/>
      <c r="AS176" s="799"/>
      <c r="AT176" s="799"/>
      <c r="AU176" s="799"/>
      <c r="AV176" s="799"/>
      <c r="AW176" s="799"/>
      <c r="AX176" s="799"/>
      <c r="AY176" s="799"/>
      <c r="AZ176" s="799"/>
      <c r="BA176" s="799"/>
      <c r="BB176" s="799"/>
      <c r="BC176" s="799"/>
      <c r="BD176" s="799"/>
      <c r="BE176" s="799"/>
      <c r="BF176" s="799"/>
      <c r="BG176" s="799"/>
    </row>
    <row r="177">
      <c r="H177" s="799"/>
      <c r="I177" s="799"/>
      <c r="J177" s="799"/>
      <c r="K177" s="799"/>
      <c r="L177" s="799"/>
      <c r="M177" s="799"/>
      <c r="N177" s="799"/>
      <c r="O177" s="799"/>
      <c r="P177" s="799"/>
      <c r="Q177" s="799"/>
      <c r="R177" s="799"/>
      <c r="S177" s="799"/>
      <c r="T177" s="799"/>
      <c r="U177" s="799"/>
      <c r="V177" s="799"/>
      <c r="W177" s="799"/>
      <c r="X177" s="799"/>
      <c r="Y177" s="799"/>
      <c r="Z177" s="799"/>
      <c r="AA177" s="799"/>
      <c r="AB177" s="799"/>
      <c r="AC177" s="799"/>
      <c r="AD177" s="799"/>
      <c r="AE177" s="799"/>
      <c r="AF177" s="799"/>
      <c r="AG177" s="799"/>
      <c r="AH177" s="799"/>
      <c r="AI177" s="799"/>
      <c r="AJ177" s="799"/>
      <c r="AK177" s="799"/>
      <c r="AL177" s="799"/>
      <c r="AM177" s="799"/>
      <c r="AN177" s="799"/>
      <c r="AO177" s="799"/>
      <c r="AP177" s="799"/>
      <c r="AQ177" s="799"/>
      <c r="AR177" s="799"/>
      <c r="AS177" s="799"/>
      <c r="AT177" s="799"/>
      <c r="AU177" s="799"/>
      <c r="AV177" s="799"/>
      <c r="AW177" s="799"/>
      <c r="AX177" s="799"/>
      <c r="AY177" s="799"/>
      <c r="AZ177" s="799"/>
      <c r="BA177" s="799"/>
      <c r="BB177" s="799"/>
      <c r="BC177" s="799"/>
      <c r="BD177" s="799"/>
      <c r="BE177" s="799"/>
      <c r="BF177" s="799"/>
      <c r="BG177" s="799"/>
    </row>
    <row r="178">
      <c r="H178" s="799"/>
      <c r="I178" s="799"/>
      <c r="J178" s="799"/>
      <c r="K178" s="799"/>
      <c r="L178" s="799"/>
      <c r="M178" s="799"/>
      <c r="N178" s="799"/>
      <c r="O178" s="799"/>
      <c r="P178" s="799"/>
      <c r="Q178" s="799"/>
      <c r="R178" s="799"/>
      <c r="S178" s="799"/>
      <c r="T178" s="799"/>
      <c r="U178" s="799"/>
      <c r="V178" s="799"/>
      <c r="W178" s="799"/>
      <c r="X178" s="799"/>
      <c r="Y178" s="799"/>
      <c r="Z178" s="799"/>
      <c r="AA178" s="799"/>
      <c r="AB178" s="799"/>
      <c r="AC178" s="799"/>
      <c r="AD178" s="799"/>
      <c r="AE178" s="799"/>
      <c r="AF178" s="799"/>
      <c r="AG178" s="799"/>
      <c r="AH178" s="799"/>
      <c r="AI178" s="799"/>
      <c r="AJ178" s="799"/>
      <c r="AK178" s="799"/>
      <c r="AL178" s="799"/>
      <c r="AM178" s="799"/>
      <c r="AN178" s="799"/>
      <c r="AO178" s="799"/>
      <c r="AP178" s="799"/>
      <c r="AQ178" s="799"/>
      <c r="AR178" s="799"/>
      <c r="AS178" s="799"/>
      <c r="AT178" s="799"/>
      <c r="AU178" s="799"/>
      <c r="AV178" s="799"/>
      <c r="AW178" s="799"/>
      <c r="AX178" s="799"/>
      <c r="AY178" s="799"/>
      <c r="AZ178" s="799"/>
      <c r="BA178" s="799"/>
      <c r="BB178" s="799"/>
      <c r="BC178" s="799"/>
      <c r="BD178" s="799"/>
      <c r="BE178" s="799"/>
      <c r="BF178" s="799"/>
      <c r="BG178" s="799"/>
    </row>
    <row r="179">
      <c r="H179" s="799"/>
      <c r="I179" s="799"/>
      <c r="J179" s="799"/>
      <c r="K179" s="799"/>
      <c r="L179" s="799"/>
      <c r="M179" s="799"/>
      <c r="N179" s="799"/>
      <c r="O179" s="799"/>
      <c r="P179" s="799"/>
      <c r="Q179" s="799"/>
      <c r="R179" s="799"/>
      <c r="S179" s="799"/>
      <c r="T179" s="799"/>
      <c r="U179" s="799"/>
      <c r="V179" s="799"/>
      <c r="W179" s="799"/>
      <c r="X179" s="799"/>
      <c r="Y179" s="799"/>
      <c r="Z179" s="799"/>
      <c r="AA179" s="799"/>
      <c r="AB179" s="799"/>
      <c r="AC179" s="799"/>
      <c r="AD179" s="799"/>
      <c r="AE179" s="799"/>
      <c r="AF179" s="799"/>
      <c r="AG179" s="799"/>
      <c r="AH179" s="799"/>
      <c r="AI179" s="799"/>
      <c r="AJ179" s="799"/>
      <c r="AK179" s="799"/>
      <c r="AL179" s="799"/>
      <c r="AM179" s="799"/>
      <c r="AN179" s="799"/>
      <c r="AO179" s="799"/>
      <c r="AP179" s="799"/>
      <c r="AQ179" s="799"/>
      <c r="AR179" s="799"/>
      <c r="AS179" s="799"/>
      <c r="AT179" s="799"/>
      <c r="AU179" s="799"/>
      <c r="AV179" s="799"/>
      <c r="AW179" s="799"/>
      <c r="AX179" s="799"/>
      <c r="AY179" s="799"/>
      <c r="AZ179" s="799"/>
      <c r="BA179" s="799"/>
      <c r="BB179" s="799"/>
      <c r="BC179" s="799"/>
      <c r="BD179" s="799"/>
      <c r="BE179" s="799"/>
      <c r="BF179" s="799"/>
      <c r="BG179" s="799"/>
    </row>
    <row r="180">
      <c r="H180" s="799"/>
      <c r="I180" s="799"/>
      <c r="J180" s="799"/>
      <c r="K180" s="799"/>
      <c r="L180" s="799"/>
      <c r="M180" s="799"/>
      <c r="N180" s="799"/>
      <c r="O180" s="799"/>
      <c r="P180" s="799"/>
      <c r="Q180" s="799"/>
      <c r="R180" s="799"/>
      <c r="S180" s="799"/>
      <c r="T180" s="799"/>
      <c r="U180" s="799"/>
      <c r="V180" s="799"/>
      <c r="W180" s="799"/>
      <c r="X180" s="799"/>
      <c r="Y180" s="799"/>
      <c r="Z180" s="799"/>
      <c r="AA180" s="799"/>
      <c r="AB180" s="799"/>
      <c r="AC180" s="799"/>
      <c r="AD180" s="799"/>
      <c r="AE180" s="799"/>
      <c r="AF180" s="799"/>
      <c r="AG180" s="799"/>
      <c r="AH180" s="799"/>
      <c r="AI180" s="799"/>
      <c r="AJ180" s="799"/>
      <c r="AK180" s="799"/>
      <c r="AL180" s="799"/>
      <c r="AM180" s="799"/>
      <c r="AN180" s="799"/>
      <c r="AO180" s="799"/>
      <c r="AP180" s="799"/>
      <c r="AQ180" s="799"/>
      <c r="AR180" s="799"/>
      <c r="AS180" s="799"/>
      <c r="AT180" s="799"/>
      <c r="AU180" s="799"/>
      <c r="AV180" s="799"/>
      <c r="AW180" s="799"/>
      <c r="AX180" s="799"/>
      <c r="AY180" s="799"/>
      <c r="AZ180" s="799"/>
      <c r="BA180" s="799"/>
      <c r="BB180" s="799"/>
      <c r="BC180" s="799"/>
      <c r="BD180" s="799"/>
      <c r="BE180" s="799"/>
      <c r="BF180" s="799"/>
      <c r="BG180" s="799"/>
    </row>
    <row r="181">
      <c r="H181" s="799"/>
      <c r="I181" s="799"/>
      <c r="J181" s="799"/>
      <c r="K181" s="799"/>
      <c r="L181" s="799"/>
      <c r="M181" s="799"/>
      <c r="N181" s="799"/>
      <c r="O181" s="799"/>
      <c r="P181" s="799"/>
      <c r="Q181" s="799"/>
      <c r="R181" s="799"/>
      <c r="S181" s="799"/>
      <c r="T181" s="799"/>
      <c r="U181" s="799"/>
      <c r="V181" s="799"/>
      <c r="W181" s="799"/>
      <c r="X181" s="799"/>
      <c r="Y181" s="799"/>
      <c r="Z181" s="799"/>
      <c r="AA181" s="799"/>
      <c r="AB181" s="799"/>
      <c r="AC181" s="799"/>
      <c r="AD181" s="799"/>
      <c r="AE181" s="799"/>
      <c r="AF181" s="799"/>
      <c r="AG181" s="799"/>
      <c r="AH181" s="799"/>
      <c r="AI181" s="799"/>
      <c r="AJ181" s="799"/>
      <c r="AK181" s="799"/>
      <c r="AL181" s="799"/>
      <c r="AM181" s="799"/>
      <c r="AN181" s="799"/>
      <c r="AO181" s="799"/>
      <c r="AP181" s="799"/>
      <c r="AQ181" s="799"/>
      <c r="AR181" s="799"/>
      <c r="AS181" s="799"/>
      <c r="AT181" s="799"/>
      <c r="AU181" s="799"/>
      <c r="AV181" s="799"/>
      <c r="AW181" s="799"/>
      <c r="AX181" s="799"/>
      <c r="AY181" s="799"/>
      <c r="AZ181" s="799"/>
      <c r="BA181" s="799"/>
      <c r="BB181" s="799"/>
      <c r="BC181" s="799"/>
      <c r="BD181" s="799"/>
      <c r="BE181" s="799"/>
      <c r="BF181" s="799"/>
      <c r="BG181" s="799"/>
    </row>
    <row r="182">
      <c r="H182" s="799"/>
      <c r="I182" s="799"/>
      <c r="J182" s="799"/>
      <c r="K182" s="799"/>
      <c r="L182" s="799"/>
      <c r="M182" s="799"/>
      <c r="N182" s="799"/>
      <c r="O182" s="799"/>
      <c r="P182" s="799"/>
      <c r="Q182" s="799"/>
      <c r="R182" s="799"/>
      <c r="S182" s="799"/>
      <c r="T182" s="799"/>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99"/>
      <c r="AU182" s="799"/>
      <c r="AV182" s="799"/>
      <c r="AW182" s="799"/>
      <c r="AX182" s="799"/>
      <c r="AY182" s="799"/>
      <c r="AZ182" s="799"/>
      <c r="BA182" s="799"/>
      <c r="BB182" s="799"/>
      <c r="BC182" s="799"/>
      <c r="BD182" s="799"/>
      <c r="BE182" s="799"/>
      <c r="BF182" s="799"/>
      <c r="BG182" s="799"/>
    </row>
    <row r="183">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99"/>
      <c r="AU183" s="799"/>
      <c r="AV183" s="799"/>
      <c r="AW183" s="799"/>
      <c r="AX183" s="799"/>
      <c r="AY183" s="799"/>
      <c r="AZ183" s="799"/>
      <c r="BA183" s="799"/>
      <c r="BB183" s="799"/>
      <c r="BC183" s="799"/>
      <c r="BD183" s="799"/>
      <c r="BE183" s="799"/>
      <c r="BF183" s="799"/>
      <c r="BG183" s="799"/>
    </row>
    <row r="184">
      <c r="H184" s="799"/>
      <c r="I184" s="799"/>
      <c r="J184" s="799"/>
      <c r="K184" s="799"/>
      <c r="L184" s="799"/>
      <c r="M184" s="799"/>
      <c r="N184" s="799"/>
      <c r="O184" s="799"/>
      <c r="P184" s="799"/>
      <c r="Q184" s="799"/>
      <c r="R184" s="799"/>
      <c r="S184" s="799"/>
      <c r="T184" s="799"/>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99"/>
      <c r="AU184" s="799"/>
      <c r="AV184" s="799"/>
      <c r="AW184" s="799"/>
      <c r="AX184" s="799"/>
      <c r="AY184" s="799"/>
      <c r="AZ184" s="799"/>
      <c r="BA184" s="799"/>
      <c r="BB184" s="799"/>
      <c r="BC184" s="799"/>
      <c r="BD184" s="799"/>
      <c r="BE184" s="799"/>
      <c r="BF184" s="799"/>
      <c r="BG184" s="799"/>
    </row>
    <row r="185">
      <c r="H185" s="799"/>
      <c r="I185" s="799"/>
      <c r="J185" s="799"/>
      <c r="K185" s="799"/>
      <c r="L185" s="799"/>
      <c r="M185" s="799"/>
      <c r="N185" s="799"/>
      <c r="O185" s="799"/>
      <c r="P185" s="799"/>
      <c r="Q185" s="799"/>
      <c r="R185" s="799"/>
      <c r="S185" s="799"/>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99"/>
      <c r="AU185" s="799"/>
      <c r="AV185" s="799"/>
      <c r="AW185" s="799"/>
      <c r="AX185" s="799"/>
      <c r="AY185" s="799"/>
      <c r="AZ185" s="799"/>
      <c r="BA185" s="799"/>
      <c r="BB185" s="799"/>
      <c r="BC185" s="799"/>
      <c r="BD185" s="799"/>
      <c r="BE185" s="799"/>
      <c r="BF185" s="799"/>
      <c r="BG185" s="799"/>
    </row>
    <row r="186">
      <c r="H186" s="799"/>
      <c r="I186" s="799"/>
      <c r="J186" s="799"/>
      <c r="K186" s="799"/>
      <c r="L186" s="799"/>
      <c r="M186" s="799"/>
      <c r="N186" s="799"/>
      <c r="O186" s="799"/>
      <c r="P186" s="799"/>
      <c r="Q186" s="799"/>
      <c r="R186" s="799"/>
      <c r="S186" s="799"/>
      <c r="T186" s="799"/>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99"/>
      <c r="AU186" s="799"/>
      <c r="AV186" s="799"/>
      <c r="AW186" s="799"/>
      <c r="AX186" s="799"/>
      <c r="AY186" s="799"/>
      <c r="AZ186" s="799"/>
      <c r="BA186" s="799"/>
      <c r="BB186" s="799"/>
      <c r="BC186" s="799"/>
      <c r="BD186" s="799"/>
      <c r="BE186" s="799"/>
      <c r="BF186" s="799"/>
      <c r="BG186" s="799"/>
    </row>
    <row r="187">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row>
    <row r="188">
      <c r="H188" s="799"/>
      <c r="I188" s="799"/>
      <c r="J188" s="799"/>
      <c r="K188" s="799"/>
      <c r="L188" s="799"/>
      <c r="M188" s="799"/>
      <c r="N188" s="799"/>
      <c r="O188" s="799"/>
      <c r="P188" s="799"/>
      <c r="Q188" s="799"/>
      <c r="R188" s="799"/>
      <c r="S188" s="799"/>
      <c r="T188" s="799"/>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99"/>
      <c r="AU188" s="799"/>
      <c r="AV188" s="799"/>
      <c r="AW188" s="799"/>
      <c r="AX188" s="799"/>
      <c r="AY188" s="799"/>
      <c r="AZ188" s="799"/>
      <c r="BA188" s="799"/>
      <c r="BB188" s="799"/>
      <c r="BC188" s="799"/>
      <c r="BD188" s="799"/>
      <c r="BE188" s="799"/>
      <c r="BF188" s="799"/>
      <c r="BG188" s="799"/>
    </row>
    <row r="18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99"/>
      <c r="AU189" s="799"/>
      <c r="AV189" s="799"/>
      <c r="AW189" s="799"/>
      <c r="AX189" s="799"/>
      <c r="AY189" s="799"/>
      <c r="AZ189" s="799"/>
      <c r="BA189" s="799"/>
      <c r="BB189" s="799"/>
      <c r="BC189" s="799"/>
      <c r="BD189" s="799"/>
      <c r="BE189" s="799"/>
      <c r="BF189" s="799"/>
      <c r="BG189" s="799"/>
    </row>
    <row r="190">
      <c r="H190" s="799"/>
      <c r="I190" s="799"/>
      <c r="J190" s="799"/>
      <c r="K190" s="799"/>
      <c r="L190" s="799"/>
      <c r="M190" s="799"/>
      <c r="N190" s="799"/>
      <c r="O190" s="799"/>
      <c r="P190" s="799"/>
      <c r="Q190" s="799"/>
      <c r="R190" s="799"/>
      <c r="S190" s="799"/>
      <c r="T190" s="799"/>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99"/>
      <c r="AU190" s="799"/>
      <c r="AV190" s="799"/>
      <c r="AW190" s="799"/>
      <c r="AX190" s="799"/>
      <c r="AY190" s="799"/>
      <c r="AZ190" s="799"/>
      <c r="BA190" s="799"/>
      <c r="BB190" s="799"/>
      <c r="BC190" s="799"/>
      <c r="BD190" s="799"/>
      <c r="BE190" s="799"/>
      <c r="BF190" s="799"/>
      <c r="BG190" s="799"/>
    </row>
    <row r="191">
      <c r="H191" s="799"/>
      <c r="I191" s="799"/>
      <c r="J191" s="799"/>
      <c r="K191" s="799"/>
      <c r="L191" s="799"/>
      <c r="M191" s="799"/>
      <c r="N191" s="799"/>
      <c r="O191" s="799"/>
      <c r="P191" s="799"/>
      <c r="Q191" s="799"/>
      <c r="R191" s="799"/>
      <c r="S191" s="799"/>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99"/>
      <c r="AU191" s="799"/>
      <c r="AV191" s="799"/>
      <c r="AW191" s="799"/>
      <c r="AX191" s="799"/>
      <c r="AY191" s="799"/>
      <c r="AZ191" s="799"/>
      <c r="BA191" s="799"/>
      <c r="BB191" s="799"/>
      <c r="BC191" s="799"/>
      <c r="BD191" s="799"/>
      <c r="BE191" s="799"/>
      <c r="BF191" s="799"/>
      <c r="BG191" s="799"/>
    </row>
    <row r="192">
      <c r="H192" s="799"/>
      <c r="I192" s="799"/>
      <c r="J192" s="799"/>
      <c r="K192" s="799"/>
      <c r="L192" s="799"/>
      <c r="M192" s="799"/>
      <c r="N192" s="799"/>
      <c r="O192" s="799"/>
      <c r="P192" s="799"/>
      <c r="Q192" s="799"/>
      <c r="R192" s="799"/>
      <c r="S192" s="799"/>
      <c r="T192" s="799"/>
      <c r="U192" s="799"/>
      <c r="V192" s="799"/>
      <c r="W192" s="799"/>
      <c r="X192" s="799"/>
      <c r="Y192" s="799"/>
      <c r="Z192" s="799"/>
      <c r="AA192" s="799"/>
      <c r="AB192" s="799"/>
      <c r="AC192" s="799"/>
      <c r="AD192" s="799"/>
      <c r="AE192" s="799"/>
      <c r="AF192" s="799"/>
      <c r="AG192" s="799"/>
      <c r="AH192" s="799"/>
      <c r="AI192" s="799"/>
      <c r="AJ192" s="799"/>
      <c r="AK192" s="799"/>
      <c r="AL192" s="799"/>
      <c r="AM192" s="799"/>
      <c r="AN192" s="799"/>
      <c r="AO192" s="799"/>
      <c r="AP192" s="799"/>
      <c r="AQ192" s="799"/>
      <c r="AR192" s="799"/>
      <c r="AS192" s="799"/>
      <c r="AT192" s="799"/>
      <c r="AU192" s="799"/>
      <c r="AV192" s="799"/>
      <c r="AW192" s="799"/>
      <c r="AX192" s="799"/>
      <c r="AY192" s="799"/>
      <c r="AZ192" s="799"/>
      <c r="BA192" s="799"/>
      <c r="BB192" s="799"/>
      <c r="BC192" s="799"/>
      <c r="BD192" s="799"/>
      <c r="BE192" s="799"/>
      <c r="BF192" s="799"/>
      <c r="BG192" s="799"/>
    </row>
    <row r="193">
      <c r="H193" s="799"/>
      <c r="I193" s="799"/>
      <c r="J193" s="799"/>
      <c r="K193" s="799"/>
      <c r="L193" s="799"/>
      <c r="M193" s="799"/>
      <c r="N193" s="799"/>
      <c r="O193" s="799"/>
      <c r="P193" s="799"/>
      <c r="Q193" s="799"/>
      <c r="R193" s="799"/>
      <c r="S193" s="799"/>
      <c r="T193" s="799"/>
      <c r="U193" s="799"/>
      <c r="V193" s="799"/>
      <c r="W193" s="799"/>
      <c r="X193" s="799"/>
      <c r="Y193" s="799"/>
      <c r="Z193" s="799"/>
      <c r="AA193" s="799"/>
      <c r="AB193" s="799"/>
      <c r="AC193" s="799"/>
      <c r="AD193" s="799"/>
      <c r="AE193" s="799"/>
      <c r="AF193" s="799"/>
      <c r="AG193" s="799"/>
      <c r="AH193" s="799"/>
      <c r="AI193" s="799"/>
      <c r="AJ193" s="799"/>
      <c r="AK193" s="799"/>
      <c r="AL193" s="799"/>
      <c r="AM193" s="799"/>
      <c r="AN193" s="799"/>
      <c r="AO193" s="799"/>
      <c r="AP193" s="799"/>
      <c r="AQ193" s="799"/>
      <c r="AR193" s="799"/>
      <c r="AS193" s="799"/>
      <c r="AT193" s="799"/>
      <c r="AU193" s="799"/>
      <c r="AV193" s="799"/>
      <c r="AW193" s="799"/>
      <c r="AX193" s="799"/>
      <c r="AY193" s="799"/>
      <c r="AZ193" s="799"/>
      <c r="BA193" s="799"/>
      <c r="BB193" s="799"/>
      <c r="BC193" s="799"/>
      <c r="BD193" s="799"/>
      <c r="BE193" s="799"/>
      <c r="BF193" s="799"/>
      <c r="BG193" s="799"/>
    </row>
    <row r="194">
      <c r="H194" s="799"/>
      <c r="I194" s="799"/>
      <c r="J194" s="799"/>
      <c r="K194" s="799"/>
      <c r="L194" s="799"/>
      <c r="M194" s="799"/>
      <c r="N194" s="799"/>
      <c r="O194" s="799"/>
      <c r="P194" s="799"/>
      <c r="Q194" s="799"/>
      <c r="R194" s="799"/>
      <c r="S194" s="799"/>
      <c r="T194" s="799"/>
      <c r="U194" s="799"/>
      <c r="V194" s="799"/>
      <c r="W194" s="799"/>
      <c r="X194" s="799"/>
      <c r="Y194" s="799"/>
      <c r="Z194" s="799"/>
      <c r="AA194" s="799"/>
      <c r="AB194" s="799"/>
      <c r="AC194" s="799"/>
      <c r="AD194" s="799"/>
      <c r="AE194" s="799"/>
      <c r="AF194" s="799"/>
      <c r="AG194" s="799"/>
      <c r="AH194" s="799"/>
      <c r="AI194" s="799"/>
      <c r="AJ194" s="799"/>
      <c r="AK194" s="799"/>
      <c r="AL194" s="799"/>
      <c r="AM194" s="799"/>
      <c r="AN194" s="799"/>
      <c r="AO194" s="799"/>
      <c r="AP194" s="799"/>
      <c r="AQ194" s="799"/>
      <c r="AR194" s="799"/>
      <c r="AS194" s="799"/>
      <c r="AT194" s="799"/>
      <c r="AU194" s="799"/>
      <c r="AV194" s="799"/>
      <c r="AW194" s="799"/>
      <c r="AX194" s="799"/>
      <c r="AY194" s="799"/>
      <c r="AZ194" s="799"/>
      <c r="BA194" s="799"/>
      <c r="BB194" s="799"/>
      <c r="BC194" s="799"/>
      <c r="BD194" s="799"/>
      <c r="BE194" s="799"/>
      <c r="BF194" s="799"/>
      <c r="BG194" s="799"/>
    </row>
    <row r="195">
      <c r="H195" s="799"/>
      <c r="I195" s="799"/>
      <c r="J195" s="799"/>
      <c r="K195" s="799"/>
      <c r="L195" s="799"/>
      <c r="M195" s="799"/>
      <c r="N195" s="799"/>
      <c r="O195" s="799"/>
      <c r="P195" s="799"/>
      <c r="Q195" s="799"/>
      <c r="R195" s="799"/>
      <c r="S195" s="799"/>
      <c r="T195" s="799"/>
      <c r="U195" s="799"/>
      <c r="V195" s="799"/>
      <c r="W195" s="799"/>
      <c r="X195" s="799"/>
      <c r="Y195" s="799"/>
      <c r="Z195" s="799"/>
      <c r="AA195" s="799"/>
      <c r="AB195" s="799"/>
      <c r="AC195" s="799"/>
      <c r="AD195" s="799"/>
      <c r="AE195" s="799"/>
      <c r="AF195" s="799"/>
      <c r="AG195" s="799"/>
      <c r="AH195" s="799"/>
      <c r="AI195" s="799"/>
      <c r="AJ195" s="799"/>
      <c r="AK195" s="799"/>
      <c r="AL195" s="799"/>
      <c r="AM195" s="799"/>
      <c r="AN195" s="799"/>
      <c r="AO195" s="799"/>
      <c r="AP195" s="799"/>
      <c r="AQ195" s="799"/>
      <c r="AR195" s="799"/>
      <c r="AS195" s="799"/>
      <c r="AT195" s="799"/>
      <c r="AU195" s="799"/>
      <c r="AV195" s="799"/>
      <c r="AW195" s="799"/>
      <c r="AX195" s="799"/>
      <c r="AY195" s="799"/>
      <c r="AZ195" s="799"/>
      <c r="BA195" s="799"/>
      <c r="BB195" s="799"/>
      <c r="BC195" s="799"/>
      <c r="BD195" s="799"/>
      <c r="BE195" s="799"/>
      <c r="BF195" s="799"/>
      <c r="BG195" s="799"/>
    </row>
    <row r="196">
      <c r="H196" s="799"/>
      <c r="I196" s="799"/>
      <c r="J196" s="799"/>
      <c r="K196" s="799"/>
      <c r="L196" s="799"/>
      <c r="M196" s="799"/>
      <c r="N196" s="799"/>
      <c r="O196" s="799"/>
      <c r="P196" s="799"/>
      <c r="Q196" s="799"/>
      <c r="R196" s="799"/>
      <c r="S196" s="799"/>
      <c r="T196" s="799"/>
      <c r="U196" s="799"/>
      <c r="V196" s="799"/>
      <c r="W196" s="799"/>
      <c r="X196" s="799"/>
      <c r="Y196" s="799"/>
      <c r="Z196" s="799"/>
      <c r="AA196" s="799"/>
      <c r="AB196" s="799"/>
      <c r="AC196" s="799"/>
      <c r="AD196" s="799"/>
      <c r="AE196" s="799"/>
      <c r="AF196" s="799"/>
      <c r="AG196" s="799"/>
      <c r="AH196" s="799"/>
      <c r="AI196" s="799"/>
      <c r="AJ196" s="799"/>
      <c r="AK196" s="799"/>
      <c r="AL196" s="799"/>
      <c r="AM196" s="799"/>
      <c r="AN196" s="799"/>
      <c r="AO196" s="799"/>
      <c r="AP196" s="799"/>
      <c r="AQ196" s="799"/>
      <c r="AR196" s="799"/>
      <c r="AS196" s="799"/>
      <c r="AT196" s="799"/>
      <c r="AU196" s="799"/>
      <c r="AV196" s="799"/>
      <c r="AW196" s="799"/>
      <c r="AX196" s="799"/>
      <c r="AY196" s="799"/>
      <c r="AZ196" s="799"/>
      <c r="BA196" s="799"/>
      <c r="BB196" s="799"/>
      <c r="BC196" s="799"/>
      <c r="BD196" s="799"/>
      <c r="BE196" s="799"/>
      <c r="BF196" s="799"/>
      <c r="BG196" s="799"/>
    </row>
    <row r="197">
      <c r="H197" s="799"/>
      <c r="I197" s="799"/>
      <c r="J197" s="799"/>
      <c r="K197" s="799"/>
      <c r="L197" s="799"/>
      <c r="M197" s="799"/>
      <c r="N197" s="799"/>
      <c r="O197" s="799"/>
      <c r="P197" s="799"/>
      <c r="Q197" s="799"/>
      <c r="R197" s="799"/>
      <c r="S197" s="799"/>
      <c r="T197" s="799"/>
      <c r="U197" s="799"/>
      <c r="V197" s="799"/>
      <c r="W197" s="799"/>
      <c r="X197" s="799"/>
      <c r="Y197" s="799"/>
      <c r="Z197" s="799"/>
      <c r="AA197" s="799"/>
      <c r="AB197" s="799"/>
      <c r="AC197" s="799"/>
      <c r="AD197" s="799"/>
      <c r="AE197" s="799"/>
      <c r="AF197" s="799"/>
      <c r="AG197" s="799"/>
      <c r="AH197" s="799"/>
      <c r="AI197" s="799"/>
      <c r="AJ197" s="799"/>
      <c r="AK197" s="799"/>
      <c r="AL197" s="799"/>
      <c r="AM197" s="799"/>
      <c r="AN197" s="799"/>
      <c r="AO197" s="799"/>
      <c r="AP197" s="799"/>
      <c r="AQ197" s="799"/>
      <c r="AR197" s="799"/>
      <c r="AS197" s="799"/>
      <c r="AT197" s="799"/>
      <c r="AU197" s="799"/>
      <c r="AV197" s="799"/>
      <c r="AW197" s="799"/>
      <c r="AX197" s="799"/>
      <c r="AY197" s="799"/>
      <c r="AZ197" s="799"/>
      <c r="BA197" s="799"/>
      <c r="BB197" s="799"/>
      <c r="BC197" s="799"/>
      <c r="BD197" s="799"/>
      <c r="BE197" s="799"/>
      <c r="BF197" s="799"/>
      <c r="BG197" s="799"/>
    </row>
    <row r="198">
      <c r="H198" s="799"/>
      <c r="I198" s="799"/>
      <c r="J198" s="799"/>
      <c r="K198" s="799"/>
      <c r="L198" s="799"/>
      <c r="M198" s="799"/>
      <c r="N198" s="799"/>
      <c r="O198" s="799"/>
      <c r="P198" s="799"/>
      <c r="Q198" s="799"/>
      <c r="R198" s="799"/>
      <c r="S198" s="799"/>
      <c r="T198" s="799"/>
      <c r="U198" s="799"/>
      <c r="V198" s="799"/>
      <c r="W198" s="799"/>
      <c r="X198" s="799"/>
      <c r="Y198" s="799"/>
      <c r="Z198" s="799"/>
      <c r="AA198" s="799"/>
      <c r="AB198" s="799"/>
      <c r="AC198" s="799"/>
      <c r="AD198" s="799"/>
      <c r="AE198" s="799"/>
      <c r="AF198" s="799"/>
      <c r="AG198" s="799"/>
      <c r="AH198" s="799"/>
      <c r="AI198" s="799"/>
      <c r="AJ198" s="799"/>
      <c r="AK198" s="799"/>
      <c r="AL198" s="799"/>
      <c r="AM198" s="799"/>
      <c r="AN198" s="799"/>
      <c r="AO198" s="799"/>
      <c r="AP198" s="799"/>
      <c r="AQ198" s="799"/>
      <c r="AR198" s="799"/>
      <c r="AS198" s="799"/>
      <c r="AT198" s="799"/>
      <c r="AU198" s="799"/>
      <c r="AV198" s="799"/>
      <c r="AW198" s="799"/>
      <c r="AX198" s="799"/>
      <c r="AY198" s="799"/>
      <c r="AZ198" s="799"/>
      <c r="BA198" s="799"/>
      <c r="BB198" s="799"/>
      <c r="BC198" s="799"/>
      <c r="BD198" s="799"/>
      <c r="BE198" s="799"/>
      <c r="BF198" s="799"/>
      <c r="BG198" s="799"/>
    </row>
    <row r="199">
      <c r="H199" s="799"/>
      <c r="I199" s="799"/>
      <c r="J199" s="799"/>
      <c r="K199" s="799"/>
      <c r="L199" s="799"/>
      <c r="M199" s="799"/>
      <c r="N199" s="799"/>
      <c r="O199" s="799"/>
      <c r="P199" s="799"/>
      <c r="Q199" s="799"/>
      <c r="R199" s="799"/>
      <c r="S199" s="799"/>
      <c r="T199" s="799"/>
      <c r="U199" s="799"/>
      <c r="V199" s="799"/>
      <c r="W199" s="799"/>
      <c r="X199" s="799"/>
      <c r="Y199" s="799"/>
      <c r="Z199" s="799"/>
      <c r="AA199" s="799"/>
      <c r="AB199" s="799"/>
      <c r="AC199" s="799"/>
      <c r="AD199" s="799"/>
      <c r="AE199" s="799"/>
      <c r="AF199" s="799"/>
      <c r="AG199" s="799"/>
      <c r="AH199" s="799"/>
      <c r="AI199" s="799"/>
      <c r="AJ199" s="799"/>
      <c r="AK199" s="799"/>
      <c r="AL199" s="799"/>
      <c r="AM199" s="799"/>
      <c r="AN199" s="799"/>
      <c r="AO199" s="799"/>
      <c r="AP199" s="799"/>
      <c r="AQ199" s="799"/>
      <c r="AR199" s="799"/>
      <c r="AS199" s="799"/>
      <c r="AT199" s="799"/>
      <c r="AU199" s="799"/>
      <c r="AV199" s="799"/>
      <c r="AW199" s="799"/>
      <c r="AX199" s="799"/>
      <c r="AY199" s="799"/>
      <c r="AZ199" s="799"/>
      <c r="BA199" s="799"/>
      <c r="BB199" s="799"/>
      <c r="BC199" s="799"/>
      <c r="BD199" s="799"/>
      <c r="BE199" s="799"/>
      <c r="BF199" s="799"/>
      <c r="BG199" s="799"/>
    </row>
    <row r="200">
      <c r="H200" s="799"/>
      <c r="I200" s="799"/>
      <c r="J200" s="799"/>
      <c r="K200" s="799"/>
      <c r="L200" s="799"/>
      <c r="M200" s="799"/>
      <c r="N200" s="799"/>
      <c r="O200" s="799"/>
      <c r="P200" s="799"/>
      <c r="Q200" s="799"/>
      <c r="R200" s="799"/>
      <c r="S200" s="799"/>
      <c r="T200" s="799"/>
      <c r="U200" s="799"/>
      <c r="V200" s="799"/>
      <c r="W200" s="799"/>
      <c r="X200" s="799"/>
      <c r="Y200" s="799"/>
      <c r="Z200" s="799"/>
      <c r="AA200" s="799"/>
      <c r="AB200" s="799"/>
      <c r="AC200" s="799"/>
      <c r="AD200" s="799"/>
      <c r="AE200" s="799"/>
      <c r="AF200" s="799"/>
      <c r="AG200" s="799"/>
      <c r="AH200" s="799"/>
      <c r="AI200" s="799"/>
      <c r="AJ200" s="799"/>
      <c r="AK200" s="799"/>
      <c r="AL200" s="799"/>
      <c r="AM200" s="799"/>
      <c r="AN200" s="799"/>
      <c r="AO200" s="799"/>
      <c r="AP200" s="799"/>
      <c r="AQ200" s="799"/>
      <c r="AR200" s="799"/>
      <c r="AS200" s="799"/>
      <c r="AT200" s="799"/>
      <c r="AU200" s="799"/>
      <c r="AV200" s="799"/>
      <c r="AW200" s="799"/>
      <c r="AX200" s="799"/>
      <c r="AY200" s="799"/>
      <c r="AZ200" s="799"/>
      <c r="BA200" s="799"/>
      <c r="BB200" s="799"/>
      <c r="BC200" s="799"/>
      <c r="BD200" s="799"/>
      <c r="BE200" s="799"/>
      <c r="BF200" s="799"/>
      <c r="BG200" s="799"/>
    </row>
    <row r="201">
      <c r="H201" s="799"/>
      <c r="I201" s="799"/>
      <c r="J201" s="799"/>
      <c r="K201" s="799"/>
      <c r="L201" s="799"/>
      <c r="M201" s="799"/>
      <c r="N201" s="799"/>
      <c r="O201" s="799"/>
      <c r="P201" s="799"/>
      <c r="Q201" s="799"/>
      <c r="R201" s="799"/>
      <c r="S201" s="799"/>
      <c r="T201" s="799"/>
      <c r="U201" s="799"/>
      <c r="V201" s="799"/>
      <c r="W201" s="799"/>
      <c r="X201" s="799"/>
      <c r="Y201" s="799"/>
      <c r="Z201" s="799"/>
      <c r="AA201" s="799"/>
      <c r="AB201" s="799"/>
      <c r="AC201" s="799"/>
      <c r="AD201" s="799"/>
      <c r="AE201" s="799"/>
      <c r="AF201" s="799"/>
      <c r="AG201" s="799"/>
      <c r="AH201" s="799"/>
      <c r="AI201" s="799"/>
      <c r="AJ201" s="799"/>
      <c r="AK201" s="799"/>
      <c r="AL201" s="799"/>
      <c r="AM201" s="799"/>
      <c r="AN201" s="799"/>
      <c r="AO201" s="799"/>
      <c r="AP201" s="799"/>
      <c r="AQ201" s="799"/>
      <c r="AR201" s="799"/>
      <c r="AS201" s="799"/>
      <c r="AT201" s="799"/>
      <c r="AU201" s="799"/>
      <c r="AV201" s="799"/>
      <c r="AW201" s="799"/>
      <c r="AX201" s="799"/>
      <c r="AY201" s="799"/>
      <c r="AZ201" s="799"/>
      <c r="BA201" s="799"/>
      <c r="BB201" s="799"/>
      <c r="BC201" s="799"/>
      <c r="BD201" s="799"/>
      <c r="BE201" s="799"/>
      <c r="BF201" s="799"/>
      <c r="BG201" s="799"/>
    </row>
    <row r="202">
      <c r="H202" s="799"/>
      <c r="I202" s="799"/>
      <c r="J202" s="799"/>
      <c r="K202" s="799"/>
      <c r="L202" s="799"/>
      <c r="M202" s="799"/>
      <c r="N202" s="799"/>
      <c r="O202" s="799"/>
      <c r="P202" s="799"/>
      <c r="Q202" s="799"/>
      <c r="R202" s="799"/>
      <c r="S202" s="799"/>
      <c r="T202" s="799"/>
      <c r="U202" s="799"/>
      <c r="V202" s="799"/>
      <c r="W202" s="799"/>
      <c r="X202" s="799"/>
      <c r="Y202" s="799"/>
      <c r="Z202" s="799"/>
      <c r="AA202" s="799"/>
      <c r="AB202" s="799"/>
      <c r="AC202" s="799"/>
      <c r="AD202" s="799"/>
      <c r="AE202" s="799"/>
      <c r="AF202" s="799"/>
      <c r="AG202" s="799"/>
      <c r="AH202" s="799"/>
      <c r="AI202" s="799"/>
      <c r="AJ202" s="799"/>
      <c r="AK202" s="799"/>
      <c r="AL202" s="799"/>
      <c r="AM202" s="799"/>
      <c r="AN202" s="799"/>
      <c r="AO202" s="799"/>
      <c r="AP202" s="799"/>
      <c r="AQ202" s="799"/>
      <c r="AR202" s="799"/>
      <c r="AS202" s="799"/>
      <c r="AT202" s="799"/>
      <c r="AU202" s="799"/>
      <c r="AV202" s="799"/>
      <c r="AW202" s="799"/>
      <c r="AX202" s="799"/>
      <c r="AY202" s="799"/>
      <c r="AZ202" s="799"/>
      <c r="BA202" s="799"/>
      <c r="BB202" s="799"/>
      <c r="BC202" s="799"/>
      <c r="BD202" s="799"/>
      <c r="BE202" s="799"/>
      <c r="BF202" s="799"/>
      <c r="BG202" s="799"/>
    </row>
    <row r="203">
      <c r="H203" s="799"/>
      <c r="I203" s="799"/>
      <c r="J203" s="799"/>
      <c r="K203" s="799"/>
      <c r="L203" s="799"/>
      <c r="M203" s="799"/>
      <c r="N203" s="799"/>
      <c r="O203" s="799"/>
      <c r="P203" s="799"/>
      <c r="Q203" s="799"/>
      <c r="R203" s="799"/>
      <c r="S203" s="799"/>
      <c r="T203" s="799"/>
      <c r="U203" s="799"/>
      <c r="V203" s="799"/>
      <c r="W203" s="799"/>
      <c r="X203" s="799"/>
      <c r="Y203" s="799"/>
      <c r="Z203" s="799"/>
      <c r="AA203" s="799"/>
      <c r="AB203" s="799"/>
      <c r="AC203" s="799"/>
      <c r="AD203" s="799"/>
      <c r="AE203" s="799"/>
      <c r="AF203" s="799"/>
      <c r="AG203" s="799"/>
      <c r="AH203" s="799"/>
      <c r="AI203" s="799"/>
      <c r="AJ203" s="799"/>
      <c r="AK203" s="799"/>
      <c r="AL203" s="799"/>
      <c r="AM203" s="799"/>
      <c r="AN203" s="799"/>
      <c r="AO203" s="799"/>
      <c r="AP203" s="799"/>
      <c r="AQ203" s="799"/>
      <c r="AR203" s="799"/>
      <c r="AS203" s="799"/>
      <c r="AT203" s="799"/>
      <c r="AU203" s="799"/>
      <c r="AV203" s="799"/>
      <c r="AW203" s="799"/>
      <c r="AX203" s="799"/>
      <c r="AY203" s="799"/>
      <c r="AZ203" s="799"/>
      <c r="BA203" s="799"/>
      <c r="BB203" s="799"/>
      <c r="BC203" s="799"/>
      <c r="BD203" s="799"/>
      <c r="BE203" s="799"/>
      <c r="BF203" s="799"/>
      <c r="BG203" s="799"/>
    </row>
    <row r="204">
      <c r="H204" s="799"/>
      <c r="I204" s="799"/>
      <c r="J204" s="799"/>
      <c r="K204" s="799"/>
      <c r="L204" s="799"/>
      <c r="M204" s="799"/>
      <c r="N204" s="799"/>
      <c r="O204" s="799"/>
      <c r="P204" s="799"/>
      <c r="Q204" s="799"/>
      <c r="R204" s="799"/>
      <c r="S204" s="799"/>
      <c r="T204" s="799"/>
      <c r="U204" s="799"/>
      <c r="V204" s="799"/>
      <c r="W204" s="799"/>
      <c r="X204" s="799"/>
      <c r="Y204" s="799"/>
      <c r="Z204" s="799"/>
      <c r="AA204" s="799"/>
      <c r="AB204" s="799"/>
      <c r="AC204" s="799"/>
      <c r="AD204" s="799"/>
      <c r="AE204" s="799"/>
      <c r="AF204" s="799"/>
      <c r="AG204" s="799"/>
      <c r="AH204" s="799"/>
      <c r="AI204" s="799"/>
      <c r="AJ204" s="799"/>
      <c r="AK204" s="799"/>
      <c r="AL204" s="799"/>
      <c r="AM204" s="799"/>
      <c r="AN204" s="799"/>
      <c r="AO204" s="799"/>
      <c r="AP204" s="799"/>
      <c r="AQ204" s="799"/>
      <c r="AR204" s="799"/>
      <c r="AS204" s="799"/>
      <c r="AT204" s="799"/>
      <c r="AU204" s="799"/>
      <c r="AV204" s="799"/>
      <c r="AW204" s="799"/>
      <c r="AX204" s="799"/>
      <c r="AY204" s="799"/>
      <c r="AZ204" s="799"/>
      <c r="BA204" s="799"/>
      <c r="BB204" s="799"/>
      <c r="BC204" s="799"/>
      <c r="BD204" s="799"/>
      <c r="BE204" s="799"/>
      <c r="BF204" s="799"/>
      <c r="BG204" s="799"/>
    </row>
    <row r="205">
      <c r="H205" s="799"/>
      <c r="I205" s="799"/>
      <c r="J205" s="799"/>
      <c r="K205" s="799"/>
      <c r="L205" s="799"/>
      <c r="M205" s="799"/>
      <c r="N205" s="799"/>
      <c r="O205" s="799"/>
      <c r="P205" s="799"/>
      <c r="Q205" s="799"/>
      <c r="R205" s="799"/>
      <c r="S205" s="799"/>
      <c r="T205" s="799"/>
      <c r="U205" s="799"/>
      <c r="V205" s="799"/>
      <c r="W205" s="799"/>
      <c r="X205" s="799"/>
      <c r="Y205" s="799"/>
      <c r="Z205" s="799"/>
      <c r="AA205" s="799"/>
      <c r="AB205" s="799"/>
      <c r="AC205" s="799"/>
      <c r="AD205" s="799"/>
      <c r="AE205" s="799"/>
      <c r="AF205" s="799"/>
      <c r="AG205" s="799"/>
      <c r="AH205" s="799"/>
      <c r="AI205" s="799"/>
      <c r="AJ205" s="799"/>
      <c r="AK205" s="799"/>
      <c r="AL205" s="799"/>
      <c r="AM205" s="799"/>
      <c r="AN205" s="799"/>
      <c r="AO205" s="799"/>
      <c r="AP205" s="799"/>
      <c r="AQ205" s="799"/>
      <c r="AR205" s="799"/>
      <c r="AS205" s="799"/>
      <c r="AT205" s="799"/>
      <c r="AU205" s="799"/>
      <c r="AV205" s="799"/>
      <c r="AW205" s="799"/>
      <c r="AX205" s="799"/>
      <c r="AY205" s="799"/>
      <c r="AZ205" s="799"/>
      <c r="BA205" s="799"/>
      <c r="BB205" s="799"/>
      <c r="BC205" s="799"/>
      <c r="BD205" s="799"/>
      <c r="BE205" s="799"/>
      <c r="BF205" s="799"/>
      <c r="BG205" s="799"/>
    </row>
    <row r="206">
      <c r="H206" s="799"/>
      <c r="I206" s="799"/>
      <c r="J206" s="799"/>
      <c r="K206" s="799"/>
      <c r="L206" s="799"/>
      <c r="M206" s="799"/>
      <c r="N206" s="799"/>
      <c r="O206" s="799"/>
      <c r="P206" s="799"/>
      <c r="Q206" s="799"/>
      <c r="R206" s="799"/>
      <c r="S206" s="799"/>
      <c r="T206" s="799"/>
      <c r="U206" s="799"/>
      <c r="V206" s="799"/>
      <c r="W206" s="799"/>
      <c r="X206" s="799"/>
      <c r="Y206" s="799"/>
      <c r="Z206" s="799"/>
      <c r="AA206" s="799"/>
      <c r="AB206" s="799"/>
      <c r="AC206" s="799"/>
      <c r="AD206" s="799"/>
      <c r="AE206" s="799"/>
      <c r="AF206" s="799"/>
      <c r="AG206" s="799"/>
      <c r="AH206" s="799"/>
      <c r="AI206" s="799"/>
      <c r="AJ206" s="799"/>
      <c r="AK206" s="799"/>
      <c r="AL206" s="799"/>
      <c r="AM206" s="799"/>
      <c r="AN206" s="799"/>
      <c r="AO206" s="799"/>
      <c r="AP206" s="799"/>
      <c r="AQ206" s="799"/>
      <c r="AR206" s="799"/>
      <c r="AS206" s="799"/>
      <c r="AT206" s="799"/>
      <c r="AU206" s="799"/>
      <c r="AV206" s="799"/>
      <c r="AW206" s="799"/>
      <c r="AX206" s="799"/>
      <c r="AY206" s="799"/>
      <c r="AZ206" s="799"/>
      <c r="BA206" s="799"/>
      <c r="BB206" s="799"/>
      <c r="BC206" s="799"/>
      <c r="BD206" s="799"/>
      <c r="BE206" s="799"/>
      <c r="BF206" s="799"/>
      <c r="BG206" s="799"/>
    </row>
    <row r="207">
      <c r="H207" s="799"/>
      <c r="I207" s="799"/>
      <c r="J207" s="799"/>
      <c r="K207" s="799"/>
      <c r="L207" s="799"/>
      <c r="M207" s="799"/>
      <c r="N207" s="799"/>
      <c r="O207" s="799"/>
      <c r="P207" s="799"/>
      <c r="Q207" s="799"/>
      <c r="R207" s="799"/>
      <c r="S207" s="799"/>
      <c r="T207" s="799"/>
      <c r="U207" s="799"/>
      <c r="V207" s="799"/>
      <c r="W207" s="799"/>
      <c r="X207" s="799"/>
      <c r="Y207" s="799"/>
      <c r="Z207" s="799"/>
      <c r="AA207" s="799"/>
      <c r="AB207" s="799"/>
      <c r="AC207" s="799"/>
      <c r="AD207" s="799"/>
      <c r="AE207" s="799"/>
      <c r="AF207" s="799"/>
      <c r="AG207" s="799"/>
      <c r="AH207" s="799"/>
      <c r="AI207" s="799"/>
      <c r="AJ207" s="799"/>
      <c r="AK207" s="799"/>
      <c r="AL207" s="799"/>
      <c r="AM207" s="799"/>
      <c r="AN207" s="799"/>
      <c r="AO207" s="799"/>
      <c r="AP207" s="799"/>
      <c r="AQ207" s="799"/>
      <c r="AR207" s="799"/>
      <c r="AS207" s="799"/>
      <c r="AT207" s="799"/>
      <c r="AU207" s="799"/>
      <c r="AV207" s="799"/>
      <c r="AW207" s="799"/>
      <c r="AX207" s="799"/>
      <c r="AY207" s="799"/>
      <c r="AZ207" s="799"/>
      <c r="BA207" s="799"/>
      <c r="BB207" s="799"/>
      <c r="BC207" s="799"/>
      <c r="BD207" s="799"/>
      <c r="BE207" s="799"/>
      <c r="BF207" s="799"/>
      <c r="BG207" s="799"/>
    </row>
    <row r="208">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c r="AE208" s="799"/>
      <c r="AF208" s="799"/>
      <c r="AG208" s="799"/>
      <c r="AH208" s="799"/>
      <c r="AI208" s="799"/>
      <c r="AJ208" s="799"/>
      <c r="AK208" s="799"/>
      <c r="AL208" s="799"/>
      <c r="AM208" s="799"/>
      <c r="AN208" s="799"/>
      <c r="AO208" s="799"/>
      <c r="AP208" s="799"/>
      <c r="AQ208" s="799"/>
      <c r="AR208" s="799"/>
      <c r="AS208" s="799"/>
      <c r="AT208" s="799"/>
      <c r="AU208" s="799"/>
      <c r="AV208" s="799"/>
      <c r="AW208" s="799"/>
      <c r="AX208" s="799"/>
      <c r="AY208" s="799"/>
      <c r="AZ208" s="799"/>
      <c r="BA208" s="799"/>
      <c r="BB208" s="799"/>
      <c r="BC208" s="799"/>
      <c r="BD208" s="799"/>
      <c r="BE208" s="799"/>
      <c r="BF208" s="799"/>
      <c r="BG208" s="799"/>
    </row>
    <row r="209">
      <c r="H209" s="799"/>
      <c r="I209" s="799"/>
      <c r="J209" s="799"/>
      <c r="K209" s="799"/>
      <c r="L209" s="799"/>
      <c r="M209" s="799"/>
      <c r="N209" s="799"/>
      <c r="O209" s="799"/>
      <c r="P209" s="799"/>
      <c r="Q209" s="799"/>
      <c r="R209" s="799"/>
      <c r="S209" s="799"/>
      <c r="T209" s="799"/>
      <c r="U209" s="799"/>
      <c r="V209" s="799"/>
      <c r="W209" s="799"/>
      <c r="X209" s="799"/>
      <c r="Y209" s="799"/>
      <c r="Z209" s="799"/>
      <c r="AA209" s="799"/>
      <c r="AB209" s="799"/>
      <c r="AC209" s="799"/>
      <c r="AD209" s="799"/>
      <c r="AE209" s="799"/>
      <c r="AF209" s="799"/>
      <c r="AG209" s="799"/>
      <c r="AH209" s="799"/>
      <c r="AI209" s="799"/>
      <c r="AJ209" s="799"/>
      <c r="AK209" s="799"/>
      <c r="AL209" s="799"/>
      <c r="AM209" s="799"/>
      <c r="AN209" s="799"/>
      <c r="AO209" s="799"/>
      <c r="AP209" s="799"/>
      <c r="AQ209" s="799"/>
      <c r="AR209" s="799"/>
      <c r="AS209" s="799"/>
      <c r="AT209" s="799"/>
      <c r="AU209" s="799"/>
      <c r="AV209" s="799"/>
      <c r="AW209" s="799"/>
      <c r="AX209" s="799"/>
      <c r="AY209" s="799"/>
      <c r="AZ209" s="799"/>
      <c r="BA209" s="799"/>
      <c r="BB209" s="799"/>
      <c r="BC209" s="799"/>
      <c r="BD209" s="799"/>
      <c r="BE209" s="799"/>
      <c r="BF209" s="799"/>
      <c r="BG209" s="799"/>
    </row>
    <row r="210">
      <c r="H210" s="799"/>
      <c r="I210" s="799"/>
      <c r="J210" s="799"/>
      <c r="K210" s="799"/>
      <c r="L210" s="799"/>
      <c r="M210" s="799"/>
      <c r="N210" s="799"/>
      <c r="O210" s="799"/>
      <c r="P210" s="799"/>
      <c r="Q210" s="799"/>
      <c r="R210" s="799"/>
      <c r="S210" s="799"/>
      <c r="T210" s="799"/>
      <c r="U210" s="799"/>
      <c r="V210" s="799"/>
      <c r="W210" s="799"/>
      <c r="X210" s="799"/>
      <c r="Y210" s="799"/>
      <c r="Z210" s="799"/>
      <c r="AA210" s="799"/>
      <c r="AB210" s="799"/>
      <c r="AC210" s="799"/>
      <c r="AD210" s="799"/>
      <c r="AE210" s="799"/>
      <c r="AF210" s="799"/>
      <c r="AG210" s="799"/>
      <c r="AH210" s="799"/>
      <c r="AI210" s="799"/>
      <c r="AJ210" s="799"/>
      <c r="AK210" s="799"/>
      <c r="AL210" s="799"/>
      <c r="AM210" s="799"/>
      <c r="AN210" s="799"/>
      <c r="AO210" s="799"/>
      <c r="AP210" s="799"/>
      <c r="AQ210" s="799"/>
      <c r="AR210" s="799"/>
      <c r="AS210" s="799"/>
      <c r="AT210" s="799"/>
      <c r="AU210" s="799"/>
      <c r="AV210" s="799"/>
      <c r="AW210" s="799"/>
      <c r="AX210" s="799"/>
      <c r="AY210" s="799"/>
      <c r="AZ210" s="799"/>
      <c r="BA210" s="799"/>
      <c r="BB210" s="799"/>
      <c r="BC210" s="799"/>
      <c r="BD210" s="799"/>
      <c r="BE210" s="799"/>
      <c r="BF210" s="799"/>
      <c r="BG210" s="799"/>
    </row>
    <row r="211">
      <c r="H211" s="799"/>
      <c r="I211" s="799"/>
      <c r="J211" s="799"/>
      <c r="K211" s="799"/>
      <c r="L211" s="799"/>
      <c r="M211" s="799"/>
      <c r="N211" s="799"/>
      <c r="O211" s="799"/>
      <c r="P211" s="799"/>
      <c r="Q211" s="799"/>
      <c r="R211" s="799"/>
      <c r="S211" s="799"/>
      <c r="T211" s="799"/>
      <c r="U211" s="799"/>
      <c r="V211" s="799"/>
      <c r="W211" s="799"/>
      <c r="X211" s="799"/>
      <c r="Y211" s="799"/>
      <c r="Z211" s="799"/>
      <c r="AA211" s="799"/>
      <c r="AB211" s="799"/>
      <c r="AC211" s="799"/>
      <c r="AD211" s="799"/>
      <c r="AE211" s="799"/>
      <c r="AF211" s="799"/>
      <c r="AG211" s="799"/>
      <c r="AH211" s="799"/>
      <c r="AI211" s="799"/>
      <c r="AJ211" s="799"/>
      <c r="AK211" s="799"/>
      <c r="AL211" s="799"/>
      <c r="AM211" s="799"/>
      <c r="AN211" s="799"/>
      <c r="AO211" s="799"/>
      <c r="AP211" s="799"/>
      <c r="AQ211" s="799"/>
      <c r="AR211" s="799"/>
      <c r="AS211" s="799"/>
      <c r="AT211" s="799"/>
      <c r="AU211" s="799"/>
      <c r="AV211" s="799"/>
      <c r="AW211" s="799"/>
      <c r="AX211" s="799"/>
      <c r="AY211" s="799"/>
      <c r="AZ211" s="799"/>
      <c r="BA211" s="799"/>
      <c r="BB211" s="799"/>
      <c r="BC211" s="799"/>
      <c r="BD211" s="799"/>
      <c r="BE211" s="799"/>
      <c r="BF211" s="799"/>
      <c r="BG211" s="799"/>
    </row>
    <row r="212">
      <c r="H212" s="799"/>
      <c r="I212" s="799"/>
      <c r="J212" s="799"/>
      <c r="K212" s="799"/>
      <c r="L212" s="799"/>
      <c r="M212" s="799"/>
      <c r="N212" s="799"/>
      <c r="O212" s="799"/>
      <c r="P212" s="799"/>
      <c r="Q212" s="799"/>
      <c r="R212" s="799"/>
      <c r="S212" s="799"/>
      <c r="T212" s="799"/>
      <c r="U212" s="799"/>
      <c r="V212" s="799"/>
      <c r="W212" s="799"/>
      <c r="X212" s="799"/>
      <c r="Y212" s="799"/>
      <c r="Z212" s="799"/>
      <c r="AA212" s="799"/>
      <c r="AB212" s="799"/>
      <c r="AC212" s="799"/>
      <c r="AD212" s="799"/>
      <c r="AE212" s="799"/>
      <c r="AF212" s="799"/>
      <c r="AG212" s="799"/>
      <c r="AH212" s="799"/>
      <c r="AI212" s="799"/>
      <c r="AJ212" s="799"/>
      <c r="AK212" s="799"/>
      <c r="AL212" s="799"/>
      <c r="AM212" s="799"/>
      <c r="AN212" s="799"/>
      <c r="AO212" s="799"/>
      <c r="AP212" s="799"/>
      <c r="AQ212" s="799"/>
      <c r="AR212" s="799"/>
      <c r="AS212" s="799"/>
      <c r="AT212" s="799"/>
      <c r="AU212" s="799"/>
      <c r="AV212" s="799"/>
      <c r="AW212" s="799"/>
      <c r="AX212" s="799"/>
      <c r="AY212" s="799"/>
      <c r="AZ212" s="799"/>
      <c r="BA212" s="799"/>
      <c r="BB212" s="799"/>
      <c r="BC212" s="799"/>
      <c r="BD212" s="799"/>
      <c r="BE212" s="799"/>
      <c r="BF212" s="799"/>
      <c r="BG212" s="799"/>
    </row>
    <row r="213">
      <c r="H213" s="799"/>
      <c r="I213" s="799"/>
      <c r="J213" s="799"/>
      <c r="K213" s="799"/>
      <c r="L213" s="799"/>
      <c r="M213" s="799"/>
      <c r="N213" s="799"/>
      <c r="O213" s="799"/>
      <c r="P213" s="799"/>
      <c r="Q213" s="799"/>
      <c r="R213" s="799"/>
      <c r="S213" s="799"/>
      <c r="T213" s="799"/>
      <c r="U213" s="799"/>
      <c r="V213" s="799"/>
      <c r="W213" s="799"/>
      <c r="X213" s="799"/>
      <c r="Y213" s="799"/>
      <c r="Z213" s="799"/>
      <c r="AA213" s="799"/>
      <c r="AB213" s="799"/>
      <c r="AC213" s="799"/>
      <c r="AD213" s="799"/>
      <c r="AE213" s="799"/>
      <c r="AF213" s="799"/>
      <c r="AG213" s="799"/>
      <c r="AH213" s="799"/>
      <c r="AI213" s="799"/>
      <c r="AJ213" s="799"/>
      <c r="AK213" s="799"/>
      <c r="AL213" s="799"/>
      <c r="AM213" s="799"/>
      <c r="AN213" s="799"/>
      <c r="AO213" s="799"/>
      <c r="AP213" s="799"/>
      <c r="AQ213" s="799"/>
      <c r="AR213" s="799"/>
      <c r="AS213" s="799"/>
      <c r="AT213" s="799"/>
      <c r="AU213" s="799"/>
      <c r="AV213" s="799"/>
      <c r="AW213" s="799"/>
      <c r="AX213" s="799"/>
      <c r="AY213" s="799"/>
      <c r="AZ213" s="799"/>
      <c r="BA213" s="799"/>
      <c r="BB213" s="799"/>
      <c r="BC213" s="799"/>
      <c r="BD213" s="799"/>
      <c r="BE213" s="799"/>
      <c r="BF213" s="799"/>
      <c r="BG213" s="799"/>
    </row>
    <row r="214">
      <c r="H214" s="799"/>
      <c r="I214" s="799"/>
      <c r="J214" s="799"/>
      <c r="K214" s="799"/>
      <c r="L214" s="799"/>
      <c r="M214" s="799"/>
      <c r="N214" s="799"/>
      <c r="O214" s="799"/>
      <c r="P214" s="799"/>
      <c r="Q214" s="799"/>
      <c r="R214" s="799"/>
      <c r="S214" s="799"/>
      <c r="T214" s="799"/>
      <c r="U214" s="799"/>
      <c r="V214" s="799"/>
      <c r="W214" s="799"/>
      <c r="X214" s="799"/>
      <c r="Y214" s="799"/>
      <c r="Z214" s="799"/>
      <c r="AA214" s="799"/>
      <c r="AB214" s="799"/>
      <c r="AC214" s="799"/>
      <c r="AD214" s="799"/>
      <c r="AE214" s="799"/>
      <c r="AF214" s="799"/>
      <c r="AG214" s="799"/>
      <c r="AH214" s="799"/>
      <c r="AI214" s="799"/>
      <c r="AJ214" s="799"/>
      <c r="AK214" s="799"/>
      <c r="AL214" s="799"/>
      <c r="AM214" s="799"/>
      <c r="AN214" s="799"/>
      <c r="AO214" s="799"/>
      <c r="AP214" s="799"/>
      <c r="AQ214" s="799"/>
      <c r="AR214" s="799"/>
      <c r="AS214" s="799"/>
      <c r="AT214" s="799"/>
      <c r="AU214" s="799"/>
      <c r="AV214" s="799"/>
      <c r="AW214" s="799"/>
      <c r="AX214" s="799"/>
      <c r="AY214" s="799"/>
      <c r="AZ214" s="799"/>
      <c r="BA214" s="799"/>
      <c r="BB214" s="799"/>
      <c r="BC214" s="799"/>
      <c r="BD214" s="799"/>
      <c r="BE214" s="799"/>
      <c r="BF214" s="799"/>
      <c r="BG214" s="799"/>
    </row>
    <row r="215">
      <c r="H215" s="799"/>
      <c r="I215" s="799"/>
      <c r="J215" s="799"/>
      <c r="K215" s="799"/>
      <c r="L215" s="799"/>
      <c r="M215" s="799"/>
      <c r="N215" s="799"/>
      <c r="O215" s="799"/>
      <c r="P215" s="799"/>
      <c r="Q215" s="799"/>
      <c r="R215" s="799"/>
      <c r="S215" s="799"/>
      <c r="T215" s="799"/>
      <c r="U215" s="799"/>
      <c r="V215" s="799"/>
      <c r="W215" s="799"/>
      <c r="X215" s="799"/>
      <c r="Y215" s="799"/>
      <c r="Z215" s="799"/>
      <c r="AA215" s="799"/>
      <c r="AB215" s="799"/>
      <c r="AC215" s="799"/>
      <c r="AD215" s="799"/>
      <c r="AE215" s="799"/>
      <c r="AF215" s="799"/>
      <c r="AG215" s="799"/>
      <c r="AH215" s="799"/>
      <c r="AI215" s="799"/>
      <c r="AJ215" s="799"/>
      <c r="AK215" s="799"/>
      <c r="AL215" s="799"/>
      <c r="AM215" s="799"/>
      <c r="AN215" s="799"/>
      <c r="AO215" s="799"/>
      <c r="AP215" s="799"/>
      <c r="AQ215" s="799"/>
      <c r="AR215" s="799"/>
      <c r="AS215" s="799"/>
      <c r="AT215" s="799"/>
      <c r="AU215" s="799"/>
      <c r="AV215" s="799"/>
      <c r="AW215" s="799"/>
      <c r="AX215" s="799"/>
      <c r="AY215" s="799"/>
      <c r="AZ215" s="799"/>
      <c r="BA215" s="799"/>
      <c r="BB215" s="799"/>
      <c r="BC215" s="799"/>
      <c r="BD215" s="799"/>
      <c r="BE215" s="799"/>
      <c r="BF215" s="799"/>
      <c r="BG215" s="799"/>
    </row>
    <row r="216">
      <c r="H216" s="799"/>
      <c r="I216" s="799"/>
      <c r="J216" s="799"/>
      <c r="K216" s="799"/>
      <c r="L216" s="799"/>
      <c r="M216" s="799"/>
      <c r="N216" s="799"/>
      <c r="O216" s="799"/>
      <c r="P216" s="799"/>
      <c r="Q216" s="799"/>
      <c r="R216" s="799"/>
      <c r="S216" s="799"/>
      <c r="T216" s="799"/>
      <c r="U216" s="799"/>
      <c r="V216" s="799"/>
      <c r="W216" s="799"/>
      <c r="X216" s="799"/>
      <c r="Y216" s="799"/>
      <c r="Z216" s="799"/>
      <c r="AA216" s="799"/>
      <c r="AB216" s="799"/>
      <c r="AC216" s="799"/>
      <c r="AD216" s="799"/>
      <c r="AE216" s="799"/>
      <c r="AF216" s="799"/>
      <c r="AG216" s="799"/>
      <c r="AH216" s="799"/>
      <c r="AI216" s="799"/>
      <c r="AJ216" s="799"/>
      <c r="AK216" s="799"/>
      <c r="AL216" s="799"/>
      <c r="AM216" s="799"/>
      <c r="AN216" s="799"/>
      <c r="AO216" s="799"/>
      <c r="AP216" s="799"/>
      <c r="AQ216" s="799"/>
      <c r="AR216" s="799"/>
      <c r="AS216" s="799"/>
      <c r="AT216" s="799"/>
      <c r="AU216" s="799"/>
      <c r="AV216" s="799"/>
      <c r="AW216" s="799"/>
      <c r="AX216" s="799"/>
      <c r="AY216" s="799"/>
      <c r="AZ216" s="799"/>
      <c r="BA216" s="799"/>
      <c r="BB216" s="799"/>
      <c r="BC216" s="799"/>
      <c r="BD216" s="799"/>
      <c r="BE216" s="799"/>
      <c r="BF216" s="799"/>
      <c r="BG216" s="799"/>
    </row>
    <row r="217">
      <c r="H217" s="799"/>
      <c r="I217" s="799"/>
      <c r="J217" s="799"/>
      <c r="K217" s="799"/>
      <c r="L217" s="799"/>
      <c r="M217" s="799"/>
      <c r="N217" s="799"/>
      <c r="O217" s="799"/>
      <c r="P217" s="799"/>
      <c r="Q217" s="799"/>
      <c r="R217" s="799"/>
      <c r="S217" s="799"/>
      <c r="T217" s="799"/>
      <c r="U217" s="799"/>
      <c r="V217" s="799"/>
      <c r="W217" s="799"/>
      <c r="X217" s="799"/>
      <c r="Y217" s="799"/>
      <c r="Z217" s="799"/>
      <c r="AA217" s="799"/>
      <c r="AB217" s="799"/>
      <c r="AC217" s="799"/>
      <c r="AD217" s="799"/>
      <c r="AE217" s="799"/>
      <c r="AF217" s="799"/>
      <c r="AG217" s="799"/>
      <c r="AH217" s="799"/>
      <c r="AI217" s="799"/>
      <c r="AJ217" s="799"/>
      <c r="AK217" s="799"/>
      <c r="AL217" s="799"/>
      <c r="AM217" s="799"/>
      <c r="AN217" s="799"/>
      <c r="AO217" s="799"/>
      <c r="AP217" s="799"/>
      <c r="AQ217" s="799"/>
      <c r="AR217" s="799"/>
      <c r="AS217" s="799"/>
      <c r="AT217" s="799"/>
      <c r="AU217" s="799"/>
      <c r="AV217" s="799"/>
      <c r="AW217" s="799"/>
      <c r="AX217" s="799"/>
      <c r="AY217" s="799"/>
      <c r="AZ217" s="799"/>
      <c r="BA217" s="799"/>
      <c r="BB217" s="799"/>
      <c r="BC217" s="799"/>
      <c r="BD217" s="799"/>
      <c r="BE217" s="799"/>
      <c r="BF217" s="799"/>
      <c r="BG217" s="799"/>
    </row>
    <row r="218">
      <c r="H218" s="799"/>
      <c r="I218" s="799"/>
      <c r="J218" s="799"/>
      <c r="K218" s="799"/>
      <c r="L218" s="799"/>
      <c r="M218" s="799"/>
      <c r="N218" s="799"/>
      <c r="O218" s="799"/>
      <c r="P218" s="799"/>
      <c r="Q218" s="799"/>
      <c r="R218" s="799"/>
      <c r="S218" s="799"/>
      <c r="T218" s="799"/>
      <c r="U218" s="799"/>
      <c r="V218" s="799"/>
      <c r="W218" s="799"/>
      <c r="X218" s="799"/>
      <c r="Y218" s="799"/>
      <c r="Z218" s="799"/>
      <c r="AA218" s="799"/>
      <c r="AB218" s="799"/>
      <c r="AC218" s="799"/>
      <c r="AD218" s="799"/>
      <c r="AE218" s="799"/>
      <c r="AF218" s="799"/>
      <c r="AG218" s="799"/>
      <c r="AH218" s="799"/>
      <c r="AI218" s="799"/>
      <c r="AJ218" s="799"/>
      <c r="AK218" s="799"/>
      <c r="AL218" s="799"/>
      <c r="AM218" s="799"/>
      <c r="AN218" s="799"/>
      <c r="AO218" s="799"/>
      <c r="AP218" s="799"/>
      <c r="AQ218" s="799"/>
      <c r="AR218" s="799"/>
      <c r="AS218" s="799"/>
      <c r="AT218" s="799"/>
      <c r="AU218" s="799"/>
      <c r="AV218" s="799"/>
      <c r="AW218" s="799"/>
      <c r="AX218" s="799"/>
      <c r="AY218" s="799"/>
      <c r="AZ218" s="799"/>
      <c r="BA218" s="799"/>
      <c r="BB218" s="799"/>
      <c r="BC218" s="799"/>
      <c r="BD218" s="799"/>
      <c r="BE218" s="799"/>
      <c r="BF218" s="799"/>
      <c r="BG218" s="799"/>
    </row>
    <row r="219">
      <c r="H219" s="799"/>
      <c r="I219" s="799"/>
      <c r="J219" s="799"/>
      <c r="K219" s="799"/>
      <c r="L219" s="799"/>
      <c r="M219" s="799"/>
      <c r="N219" s="799"/>
      <c r="O219" s="799"/>
      <c r="P219" s="799"/>
      <c r="Q219" s="799"/>
      <c r="R219" s="799"/>
      <c r="S219" s="799"/>
      <c r="T219" s="799"/>
      <c r="U219" s="799"/>
      <c r="V219" s="799"/>
      <c r="W219" s="799"/>
      <c r="X219" s="799"/>
      <c r="Y219" s="799"/>
      <c r="Z219" s="799"/>
      <c r="AA219" s="799"/>
      <c r="AB219" s="799"/>
      <c r="AC219" s="799"/>
      <c r="AD219" s="799"/>
      <c r="AE219" s="799"/>
      <c r="AF219" s="799"/>
      <c r="AG219" s="799"/>
      <c r="AH219" s="799"/>
      <c r="AI219" s="799"/>
      <c r="AJ219" s="799"/>
      <c r="AK219" s="799"/>
      <c r="AL219" s="799"/>
      <c r="AM219" s="799"/>
      <c r="AN219" s="799"/>
      <c r="AO219" s="799"/>
      <c r="AP219" s="799"/>
      <c r="AQ219" s="799"/>
      <c r="AR219" s="799"/>
      <c r="AS219" s="799"/>
      <c r="AT219" s="799"/>
      <c r="AU219" s="799"/>
      <c r="AV219" s="799"/>
      <c r="AW219" s="799"/>
      <c r="AX219" s="799"/>
      <c r="AY219" s="799"/>
      <c r="AZ219" s="799"/>
      <c r="BA219" s="799"/>
      <c r="BB219" s="799"/>
      <c r="BC219" s="799"/>
      <c r="BD219" s="799"/>
      <c r="BE219" s="799"/>
      <c r="BF219" s="799"/>
      <c r="BG219" s="799"/>
    </row>
    <row r="220">
      <c r="H220" s="799"/>
      <c r="I220" s="799"/>
      <c r="J220" s="799"/>
      <c r="K220" s="799"/>
      <c r="L220" s="799"/>
      <c r="M220" s="799"/>
      <c r="N220" s="799"/>
      <c r="O220" s="799"/>
      <c r="P220" s="799"/>
      <c r="Q220" s="799"/>
      <c r="R220" s="799"/>
      <c r="S220" s="799"/>
      <c r="T220" s="799"/>
      <c r="U220" s="799"/>
      <c r="V220" s="799"/>
      <c r="W220" s="799"/>
      <c r="X220" s="799"/>
      <c r="Y220" s="799"/>
      <c r="Z220" s="799"/>
      <c r="AA220" s="799"/>
      <c r="AB220" s="799"/>
      <c r="AC220" s="799"/>
      <c r="AD220" s="799"/>
      <c r="AE220" s="799"/>
      <c r="AF220" s="799"/>
      <c r="AG220" s="799"/>
      <c r="AH220" s="799"/>
      <c r="AI220" s="799"/>
      <c r="AJ220" s="799"/>
      <c r="AK220" s="799"/>
      <c r="AL220" s="799"/>
      <c r="AM220" s="799"/>
      <c r="AN220" s="799"/>
      <c r="AO220" s="799"/>
      <c r="AP220" s="799"/>
      <c r="AQ220" s="799"/>
      <c r="AR220" s="799"/>
      <c r="AS220" s="799"/>
      <c r="AT220" s="799"/>
      <c r="AU220" s="799"/>
      <c r="AV220" s="799"/>
      <c r="AW220" s="799"/>
      <c r="AX220" s="799"/>
      <c r="AY220" s="799"/>
      <c r="AZ220" s="799"/>
      <c r="BA220" s="799"/>
      <c r="BB220" s="799"/>
      <c r="BC220" s="799"/>
      <c r="BD220" s="799"/>
      <c r="BE220" s="799"/>
      <c r="BF220" s="799"/>
      <c r="BG220" s="799"/>
    </row>
    <row r="221">
      <c r="H221" s="799"/>
      <c r="I221" s="799"/>
      <c r="J221" s="799"/>
      <c r="K221" s="799"/>
      <c r="L221" s="799"/>
      <c r="M221" s="799"/>
      <c r="N221" s="799"/>
      <c r="O221" s="799"/>
      <c r="P221" s="799"/>
      <c r="Q221" s="799"/>
      <c r="R221" s="799"/>
      <c r="S221" s="799"/>
      <c r="T221" s="799"/>
      <c r="U221" s="799"/>
      <c r="V221" s="799"/>
      <c r="W221" s="799"/>
      <c r="X221" s="799"/>
      <c r="Y221" s="799"/>
      <c r="Z221" s="799"/>
      <c r="AA221" s="799"/>
      <c r="AB221" s="799"/>
      <c r="AC221" s="799"/>
      <c r="AD221" s="799"/>
      <c r="AE221" s="799"/>
      <c r="AF221" s="799"/>
      <c r="AG221" s="799"/>
      <c r="AH221" s="799"/>
      <c r="AI221" s="799"/>
      <c r="AJ221" s="799"/>
      <c r="AK221" s="799"/>
      <c r="AL221" s="799"/>
      <c r="AM221" s="799"/>
      <c r="AN221" s="799"/>
      <c r="AO221" s="799"/>
      <c r="AP221" s="799"/>
      <c r="AQ221" s="799"/>
      <c r="AR221" s="799"/>
      <c r="AS221" s="799"/>
      <c r="AT221" s="799"/>
      <c r="AU221" s="799"/>
      <c r="AV221" s="799"/>
      <c r="AW221" s="799"/>
      <c r="AX221" s="799"/>
      <c r="AY221" s="799"/>
      <c r="AZ221" s="799"/>
      <c r="BA221" s="799"/>
      <c r="BB221" s="799"/>
      <c r="BC221" s="799"/>
      <c r="BD221" s="799"/>
      <c r="BE221" s="799"/>
      <c r="BF221" s="799"/>
      <c r="BG221" s="799"/>
    </row>
    <row r="222">
      <c r="H222" s="799"/>
      <c r="I222" s="799"/>
      <c r="J222" s="799"/>
      <c r="K222" s="799"/>
      <c r="L222" s="799"/>
      <c r="M222" s="799"/>
      <c r="N222" s="799"/>
      <c r="O222" s="799"/>
      <c r="P222" s="799"/>
      <c r="Q222" s="799"/>
      <c r="R222" s="799"/>
      <c r="S222" s="799"/>
      <c r="T222" s="799"/>
      <c r="U222" s="799"/>
      <c r="V222" s="799"/>
      <c r="W222" s="799"/>
      <c r="X222" s="799"/>
      <c r="Y222" s="799"/>
      <c r="Z222" s="799"/>
      <c r="AA222" s="799"/>
      <c r="AB222" s="799"/>
      <c r="AC222" s="799"/>
      <c r="AD222" s="799"/>
      <c r="AE222" s="799"/>
      <c r="AF222" s="799"/>
      <c r="AG222" s="799"/>
      <c r="AH222" s="799"/>
      <c r="AI222" s="799"/>
      <c r="AJ222" s="799"/>
      <c r="AK222" s="799"/>
      <c r="AL222" s="799"/>
      <c r="AM222" s="799"/>
      <c r="AN222" s="799"/>
      <c r="AO222" s="799"/>
      <c r="AP222" s="799"/>
      <c r="AQ222" s="799"/>
      <c r="AR222" s="799"/>
      <c r="AS222" s="799"/>
      <c r="AT222" s="799"/>
      <c r="AU222" s="799"/>
      <c r="AV222" s="799"/>
      <c r="AW222" s="799"/>
      <c r="AX222" s="799"/>
      <c r="AY222" s="799"/>
      <c r="AZ222" s="799"/>
      <c r="BA222" s="799"/>
      <c r="BB222" s="799"/>
      <c r="BC222" s="799"/>
      <c r="BD222" s="799"/>
      <c r="BE222" s="799"/>
      <c r="BF222" s="799"/>
      <c r="BG222" s="799"/>
    </row>
    <row r="223">
      <c r="H223" s="799"/>
      <c r="I223" s="799"/>
      <c r="J223" s="799"/>
      <c r="K223" s="799"/>
      <c r="L223" s="799"/>
      <c r="M223" s="799"/>
      <c r="N223" s="799"/>
      <c r="O223" s="799"/>
      <c r="P223" s="799"/>
      <c r="Q223" s="799"/>
      <c r="R223" s="799"/>
      <c r="S223" s="799"/>
      <c r="T223" s="799"/>
      <c r="U223" s="799"/>
      <c r="V223" s="799"/>
      <c r="W223" s="799"/>
      <c r="X223" s="799"/>
      <c r="Y223" s="799"/>
      <c r="Z223" s="799"/>
      <c r="AA223" s="799"/>
      <c r="AB223" s="799"/>
      <c r="AC223" s="799"/>
      <c r="AD223" s="799"/>
      <c r="AE223" s="799"/>
      <c r="AF223" s="799"/>
      <c r="AG223" s="799"/>
      <c r="AH223" s="799"/>
      <c r="AI223" s="799"/>
      <c r="AJ223" s="799"/>
      <c r="AK223" s="799"/>
      <c r="AL223" s="799"/>
      <c r="AM223" s="799"/>
      <c r="AN223" s="799"/>
      <c r="AO223" s="799"/>
      <c r="AP223" s="799"/>
      <c r="AQ223" s="799"/>
      <c r="AR223" s="799"/>
      <c r="AS223" s="799"/>
      <c r="AT223" s="799"/>
      <c r="AU223" s="799"/>
      <c r="AV223" s="799"/>
      <c r="AW223" s="799"/>
      <c r="AX223" s="799"/>
      <c r="AY223" s="799"/>
      <c r="AZ223" s="799"/>
      <c r="BA223" s="799"/>
      <c r="BB223" s="799"/>
      <c r="BC223" s="799"/>
      <c r="BD223" s="799"/>
      <c r="BE223" s="799"/>
      <c r="BF223" s="799"/>
      <c r="BG223" s="799"/>
    </row>
    <row r="224">
      <c r="H224" s="799"/>
      <c r="I224" s="799"/>
      <c r="J224" s="799"/>
      <c r="K224" s="799"/>
      <c r="L224" s="799"/>
      <c r="M224" s="799"/>
      <c r="N224" s="799"/>
      <c r="O224" s="799"/>
      <c r="P224" s="799"/>
      <c r="Q224" s="799"/>
      <c r="R224" s="799"/>
      <c r="S224" s="799"/>
      <c r="T224" s="799"/>
      <c r="U224" s="799"/>
      <c r="V224" s="799"/>
      <c r="W224" s="799"/>
      <c r="X224" s="799"/>
      <c r="Y224" s="799"/>
      <c r="Z224" s="799"/>
      <c r="AA224" s="799"/>
      <c r="AB224" s="799"/>
      <c r="AC224" s="799"/>
      <c r="AD224" s="799"/>
      <c r="AE224" s="799"/>
      <c r="AF224" s="799"/>
      <c r="AG224" s="799"/>
      <c r="AH224" s="799"/>
      <c r="AI224" s="799"/>
      <c r="AJ224" s="799"/>
      <c r="AK224" s="799"/>
      <c r="AL224" s="799"/>
      <c r="AM224" s="799"/>
      <c r="AN224" s="799"/>
      <c r="AO224" s="799"/>
      <c r="AP224" s="799"/>
      <c r="AQ224" s="799"/>
      <c r="AR224" s="799"/>
      <c r="AS224" s="799"/>
      <c r="AT224" s="799"/>
      <c r="AU224" s="799"/>
      <c r="AV224" s="799"/>
      <c r="AW224" s="799"/>
      <c r="AX224" s="799"/>
      <c r="AY224" s="799"/>
      <c r="AZ224" s="799"/>
      <c r="BA224" s="799"/>
      <c r="BB224" s="799"/>
      <c r="BC224" s="799"/>
      <c r="BD224" s="799"/>
      <c r="BE224" s="799"/>
      <c r="BF224" s="799"/>
      <c r="BG224" s="799"/>
    </row>
    <row r="225">
      <c r="H225" s="799"/>
      <c r="I225" s="799"/>
      <c r="J225" s="799"/>
      <c r="K225" s="799"/>
      <c r="L225" s="799"/>
      <c r="M225" s="799"/>
      <c r="N225" s="799"/>
      <c r="O225" s="799"/>
      <c r="P225" s="799"/>
      <c r="Q225" s="799"/>
      <c r="R225" s="799"/>
      <c r="S225" s="799"/>
      <c r="T225" s="799"/>
      <c r="U225" s="799"/>
      <c r="V225" s="799"/>
      <c r="W225" s="799"/>
      <c r="X225" s="799"/>
      <c r="Y225" s="799"/>
      <c r="Z225" s="799"/>
      <c r="AA225" s="799"/>
      <c r="AB225" s="799"/>
      <c r="AC225" s="799"/>
      <c r="AD225" s="799"/>
      <c r="AE225" s="799"/>
      <c r="AF225" s="799"/>
      <c r="AG225" s="799"/>
      <c r="AH225" s="799"/>
      <c r="AI225" s="799"/>
      <c r="AJ225" s="799"/>
      <c r="AK225" s="799"/>
      <c r="AL225" s="799"/>
      <c r="AM225" s="799"/>
      <c r="AN225" s="799"/>
      <c r="AO225" s="799"/>
      <c r="AP225" s="799"/>
      <c r="AQ225" s="799"/>
      <c r="AR225" s="799"/>
      <c r="AS225" s="799"/>
      <c r="AT225" s="799"/>
      <c r="AU225" s="799"/>
      <c r="AV225" s="799"/>
      <c r="AW225" s="799"/>
      <c r="AX225" s="799"/>
      <c r="AY225" s="799"/>
      <c r="AZ225" s="799"/>
      <c r="BA225" s="799"/>
      <c r="BB225" s="799"/>
      <c r="BC225" s="799"/>
      <c r="BD225" s="799"/>
      <c r="BE225" s="799"/>
      <c r="BF225" s="799"/>
      <c r="BG225" s="799"/>
    </row>
    <row r="226">
      <c r="H226" s="799"/>
      <c r="I226" s="799"/>
      <c r="J226" s="799"/>
      <c r="K226" s="799"/>
      <c r="L226" s="799"/>
      <c r="M226" s="799"/>
      <c r="N226" s="799"/>
      <c r="O226" s="799"/>
      <c r="P226" s="799"/>
      <c r="Q226" s="799"/>
      <c r="R226" s="799"/>
      <c r="S226" s="799"/>
      <c r="T226" s="799"/>
      <c r="U226" s="799"/>
      <c r="V226" s="799"/>
      <c r="W226" s="799"/>
      <c r="X226" s="799"/>
      <c r="Y226" s="799"/>
      <c r="Z226" s="799"/>
      <c r="AA226" s="799"/>
      <c r="AB226" s="799"/>
      <c r="AC226" s="799"/>
      <c r="AD226" s="799"/>
      <c r="AE226" s="799"/>
      <c r="AF226" s="799"/>
      <c r="AG226" s="799"/>
      <c r="AH226" s="799"/>
      <c r="AI226" s="799"/>
      <c r="AJ226" s="799"/>
      <c r="AK226" s="799"/>
      <c r="AL226" s="799"/>
      <c r="AM226" s="799"/>
      <c r="AN226" s="799"/>
      <c r="AO226" s="799"/>
      <c r="AP226" s="799"/>
      <c r="AQ226" s="799"/>
      <c r="AR226" s="799"/>
      <c r="AS226" s="799"/>
      <c r="AT226" s="799"/>
      <c r="AU226" s="799"/>
      <c r="AV226" s="799"/>
      <c r="AW226" s="799"/>
      <c r="AX226" s="799"/>
      <c r="AY226" s="799"/>
      <c r="AZ226" s="799"/>
      <c r="BA226" s="799"/>
      <c r="BB226" s="799"/>
      <c r="BC226" s="799"/>
      <c r="BD226" s="799"/>
      <c r="BE226" s="799"/>
      <c r="BF226" s="799"/>
      <c r="BG226" s="799"/>
    </row>
    <row r="227">
      <c r="H227" s="799"/>
      <c r="I227" s="799"/>
      <c r="J227" s="799"/>
      <c r="K227" s="799"/>
      <c r="L227" s="799"/>
      <c r="M227" s="799"/>
      <c r="N227" s="799"/>
      <c r="O227" s="799"/>
      <c r="P227" s="799"/>
      <c r="Q227" s="799"/>
      <c r="R227" s="799"/>
      <c r="S227" s="799"/>
      <c r="T227" s="799"/>
      <c r="U227" s="799"/>
      <c r="V227" s="799"/>
      <c r="W227" s="799"/>
      <c r="X227" s="799"/>
      <c r="Y227" s="799"/>
      <c r="Z227" s="799"/>
      <c r="AA227" s="799"/>
      <c r="AB227" s="799"/>
      <c r="AC227" s="799"/>
      <c r="AD227" s="799"/>
      <c r="AE227" s="799"/>
      <c r="AF227" s="799"/>
      <c r="AG227" s="799"/>
      <c r="AH227" s="799"/>
      <c r="AI227" s="799"/>
      <c r="AJ227" s="799"/>
      <c r="AK227" s="799"/>
      <c r="AL227" s="799"/>
      <c r="AM227" s="799"/>
      <c r="AN227" s="799"/>
      <c r="AO227" s="799"/>
      <c r="AP227" s="799"/>
      <c r="AQ227" s="799"/>
      <c r="AR227" s="799"/>
      <c r="AS227" s="799"/>
      <c r="AT227" s="799"/>
      <c r="AU227" s="799"/>
      <c r="AV227" s="799"/>
      <c r="AW227" s="799"/>
      <c r="AX227" s="799"/>
      <c r="AY227" s="799"/>
      <c r="AZ227" s="799"/>
      <c r="BA227" s="799"/>
      <c r="BB227" s="799"/>
      <c r="BC227" s="799"/>
      <c r="BD227" s="799"/>
      <c r="BE227" s="799"/>
      <c r="BF227" s="799"/>
      <c r="BG227" s="799"/>
    </row>
    <row r="228">
      <c r="H228" s="799"/>
      <c r="I228" s="799"/>
      <c r="J228" s="799"/>
      <c r="K228" s="799"/>
      <c r="L228" s="799"/>
      <c r="M228" s="799"/>
      <c r="N228" s="799"/>
      <c r="O228" s="799"/>
      <c r="P228" s="799"/>
      <c r="Q228" s="799"/>
      <c r="R228" s="799"/>
      <c r="S228" s="799"/>
      <c r="T228" s="799"/>
      <c r="U228" s="799"/>
      <c r="V228" s="799"/>
      <c r="W228" s="799"/>
      <c r="X228" s="799"/>
      <c r="Y228" s="799"/>
      <c r="Z228" s="799"/>
      <c r="AA228" s="799"/>
      <c r="AB228" s="799"/>
      <c r="AC228" s="799"/>
      <c r="AD228" s="799"/>
      <c r="AE228" s="799"/>
      <c r="AF228" s="799"/>
      <c r="AG228" s="799"/>
      <c r="AH228" s="799"/>
      <c r="AI228" s="799"/>
      <c r="AJ228" s="799"/>
      <c r="AK228" s="799"/>
      <c r="AL228" s="799"/>
      <c r="AM228" s="799"/>
      <c r="AN228" s="799"/>
      <c r="AO228" s="799"/>
      <c r="AP228" s="799"/>
      <c r="AQ228" s="799"/>
      <c r="AR228" s="799"/>
      <c r="AS228" s="799"/>
      <c r="AT228" s="799"/>
      <c r="AU228" s="799"/>
      <c r="AV228" s="799"/>
      <c r="AW228" s="799"/>
      <c r="AX228" s="799"/>
      <c r="AY228" s="799"/>
      <c r="AZ228" s="799"/>
      <c r="BA228" s="799"/>
      <c r="BB228" s="799"/>
      <c r="BC228" s="799"/>
      <c r="BD228" s="799"/>
      <c r="BE228" s="799"/>
      <c r="BF228" s="799"/>
      <c r="BG228" s="799"/>
    </row>
    <row r="229">
      <c r="H229" s="799"/>
      <c r="I229" s="799"/>
      <c r="J229" s="799"/>
      <c r="K229" s="799"/>
      <c r="L229" s="799"/>
      <c r="M229" s="799"/>
      <c r="N229" s="799"/>
      <c r="O229" s="799"/>
      <c r="P229" s="799"/>
      <c r="Q229" s="799"/>
      <c r="R229" s="799"/>
      <c r="S229" s="799"/>
      <c r="T229" s="799"/>
      <c r="U229" s="799"/>
      <c r="V229" s="799"/>
      <c r="W229" s="799"/>
      <c r="X229" s="799"/>
      <c r="Y229" s="799"/>
      <c r="Z229" s="799"/>
      <c r="AA229" s="799"/>
      <c r="AB229" s="799"/>
      <c r="AC229" s="799"/>
      <c r="AD229" s="799"/>
      <c r="AE229" s="799"/>
      <c r="AF229" s="799"/>
      <c r="AG229" s="799"/>
      <c r="AH229" s="799"/>
      <c r="AI229" s="799"/>
      <c r="AJ229" s="799"/>
      <c r="AK229" s="799"/>
      <c r="AL229" s="799"/>
      <c r="AM229" s="799"/>
      <c r="AN229" s="799"/>
      <c r="AO229" s="799"/>
      <c r="AP229" s="799"/>
      <c r="AQ229" s="799"/>
      <c r="AR229" s="799"/>
      <c r="AS229" s="799"/>
      <c r="AT229" s="799"/>
      <c r="AU229" s="799"/>
      <c r="AV229" s="799"/>
      <c r="AW229" s="799"/>
      <c r="AX229" s="799"/>
      <c r="AY229" s="799"/>
      <c r="AZ229" s="799"/>
      <c r="BA229" s="799"/>
      <c r="BB229" s="799"/>
      <c r="BC229" s="799"/>
      <c r="BD229" s="799"/>
      <c r="BE229" s="799"/>
      <c r="BF229" s="799"/>
      <c r="BG229" s="799"/>
    </row>
    <row r="230">
      <c r="H230" s="799"/>
      <c r="I230" s="799"/>
      <c r="J230" s="799"/>
      <c r="K230" s="799"/>
      <c r="L230" s="799"/>
      <c r="M230" s="799"/>
      <c r="N230" s="799"/>
      <c r="O230" s="799"/>
      <c r="P230" s="799"/>
      <c r="Q230" s="799"/>
      <c r="R230" s="799"/>
      <c r="S230" s="799"/>
      <c r="T230" s="799"/>
      <c r="U230" s="799"/>
      <c r="V230" s="799"/>
      <c r="W230" s="799"/>
      <c r="X230" s="799"/>
      <c r="Y230" s="799"/>
      <c r="Z230" s="799"/>
      <c r="AA230" s="799"/>
      <c r="AB230" s="799"/>
      <c r="AC230" s="799"/>
      <c r="AD230" s="799"/>
      <c r="AE230" s="799"/>
      <c r="AF230" s="799"/>
      <c r="AG230" s="799"/>
      <c r="AH230" s="799"/>
      <c r="AI230" s="799"/>
      <c r="AJ230" s="799"/>
      <c r="AK230" s="799"/>
      <c r="AL230" s="799"/>
      <c r="AM230" s="799"/>
      <c r="AN230" s="799"/>
      <c r="AO230" s="799"/>
      <c r="AP230" s="799"/>
      <c r="AQ230" s="799"/>
      <c r="AR230" s="799"/>
      <c r="AS230" s="799"/>
      <c r="AT230" s="799"/>
      <c r="AU230" s="799"/>
      <c r="AV230" s="799"/>
      <c r="AW230" s="799"/>
      <c r="AX230" s="799"/>
      <c r="AY230" s="799"/>
      <c r="AZ230" s="799"/>
      <c r="BA230" s="799"/>
      <c r="BB230" s="799"/>
      <c r="BC230" s="799"/>
      <c r="BD230" s="799"/>
      <c r="BE230" s="799"/>
      <c r="BF230" s="799"/>
      <c r="BG230" s="799"/>
    </row>
    <row r="231">
      <c r="H231" s="799"/>
      <c r="I231" s="799"/>
      <c r="J231" s="799"/>
      <c r="K231" s="799"/>
      <c r="L231" s="799"/>
      <c r="M231" s="799"/>
      <c r="N231" s="799"/>
      <c r="O231" s="799"/>
      <c r="P231" s="799"/>
      <c r="Q231" s="799"/>
      <c r="R231" s="799"/>
      <c r="S231" s="799"/>
      <c r="T231" s="799"/>
      <c r="U231" s="799"/>
      <c r="V231" s="799"/>
      <c r="W231" s="799"/>
      <c r="X231" s="799"/>
      <c r="Y231" s="799"/>
      <c r="Z231" s="799"/>
      <c r="AA231" s="799"/>
      <c r="AB231" s="799"/>
      <c r="AC231" s="799"/>
      <c r="AD231" s="799"/>
      <c r="AE231" s="799"/>
      <c r="AF231" s="799"/>
      <c r="AG231" s="799"/>
      <c r="AH231" s="799"/>
      <c r="AI231" s="799"/>
      <c r="AJ231" s="799"/>
      <c r="AK231" s="799"/>
      <c r="AL231" s="799"/>
      <c r="AM231" s="799"/>
      <c r="AN231" s="799"/>
      <c r="AO231" s="799"/>
      <c r="AP231" s="799"/>
      <c r="AQ231" s="799"/>
      <c r="AR231" s="799"/>
      <c r="AS231" s="799"/>
      <c r="AT231" s="799"/>
      <c r="AU231" s="799"/>
      <c r="AV231" s="799"/>
      <c r="AW231" s="799"/>
      <c r="AX231" s="799"/>
      <c r="AY231" s="799"/>
      <c r="AZ231" s="799"/>
      <c r="BA231" s="799"/>
      <c r="BB231" s="799"/>
      <c r="BC231" s="799"/>
      <c r="BD231" s="799"/>
      <c r="BE231" s="799"/>
      <c r="BF231" s="799"/>
      <c r="BG231" s="799"/>
    </row>
    <row r="232">
      <c r="H232" s="799"/>
      <c r="I232" s="799"/>
      <c r="J232" s="799"/>
      <c r="K232" s="799"/>
      <c r="L232" s="799"/>
      <c r="M232" s="799"/>
      <c r="N232" s="799"/>
      <c r="O232" s="799"/>
      <c r="P232" s="799"/>
      <c r="Q232" s="799"/>
      <c r="R232" s="799"/>
      <c r="S232" s="799"/>
      <c r="T232" s="799"/>
      <c r="U232" s="799"/>
      <c r="V232" s="799"/>
      <c r="W232" s="799"/>
      <c r="X232" s="799"/>
      <c r="Y232" s="799"/>
      <c r="Z232" s="799"/>
      <c r="AA232" s="799"/>
      <c r="AB232" s="799"/>
      <c r="AC232" s="799"/>
      <c r="AD232" s="799"/>
      <c r="AE232" s="799"/>
      <c r="AF232" s="799"/>
      <c r="AG232" s="799"/>
      <c r="AH232" s="799"/>
      <c r="AI232" s="799"/>
      <c r="AJ232" s="799"/>
      <c r="AK232" s="799"/>
      <c r="AL232" s="799"/>
      <c r="AM232" s="799"/>
      <c r="AN232" s="799"/>
      <c r="AO232" s="799"/>
      <c r="AP232" s="799"/>
      <c r="AQ232" s="799"/>
      <c r="AR232" s="799"/>
      <c r="AS232" s="799"/>
      <c r="AT232" s="799"/>
      <c r="AU232" s="799"/>
      <c r="AV232" s="799"/>
      <c r="AW232" s="799"/>
      <c r="AX232" s="799"/>
      <c r="AY232" s="799"/>
      <c r="AZ232" s="799"/>
      <c r="BA232" s="799"/>
      <c r="BB232" s="799"/>
      <c r="BC232" s="799"/>
      <c r="BD232" s="799"/>
      <c r="BE232" s="799"/>
      <c r="BF232" s="799"/>
      <c r="BG232" s="799"/>
    </row>
    <row r="233">
      <c r="H233" s="799"/>
      <c r="I233" s="799"/>
      <c r="J233" s="799"/>
      <c r="K233" s="799"/>
      <c r="L233" s="799"/>
      <c r="M233" s="799"/>
      <c r="N233" s="799"/>
      <c r="O233" s="799"/>
      <c r="P233" s="799"/>
      <c r="Q233" s="799"/>
      <c r="R233" s="799"/>
      <c r="S233" s="799"/>
      <c r="T233" s="799"/>
      <c r="U233" s="799"/>
      <c r="V233" s="799"/>
      <c r="W233" s="799"/>
      <c r="X233" s="799"/>
      <c r="Y233" s="799"/>
      <c r="Z233" s="799"/>
      <c r="AA233" s="799"/>
      <c r="AB233" s="799"/>
      <c r="AC233" s="799"/>
      <c r="AD233" s="799"/>
      <c r="AE233" s="799"/>
      <c r="AF233" s="799"/>
      <c r="AG233" s="799"/>
      <c r="AH233" s="799"/>
      <c r="AI233" s="799"/>
      <c r="AJ233" s="799"/>
      <c r="AK233" s="799"/>
      <c r="AL233" s="799"/>
      <c r="AM233" s="799"/>
      <c r="AN233" s="799"/>
      <c r="AO233" s="799"/>
      <c r="AP233" s="799"/>
      <c r="AQ233" s="799"/>
      <c r="AR233" s="799"/>
      <c r="AS233" s="799"/>
      <c r="AT233" s="799"/>
      <c r="AU233" s="799"/>
      <c r="AV233" s="799"/>
      <c r="AW233" s="799"/>
      <c r="AX233" s="799"/>
      <c r="AY233" s="799"/>
      <c r="AZ233" s="799"/>
      <c r="BA233" s="799"/>
      <c r="BB233" s="799"/>
      <c r="BC233" s="799"/>
      <c r="BD233" s="799"/>
      <c r="BE233" s="799"/>
      <c r="BF233" s="799"/>
      <c r="BG233" s="799"/>
    </row>
    <row r="234">
      <c r="H234" s="799"/>
      <c r="I234" s="799"/>
      <c r="J234" s="799"/>
      <c r="K234" s="799"/>
      <c r="L234" s="799"/>
      <c r="M234" s="799"/>
      <c r="N234" s="799"/>
      <c r="O234" s="799"/>
      <c r="P234" s="799"/>
      <c r="Q234" s="799"/>
      <c r="R234" s="799"/>
      <c r="S234" s="799"/>
      <c r="T234" s="799"/>
      <c r="U234" s="799"/>
      <c r="V234" s="799"/>
      <c r="W234" s="799"/>
      <c r="X234" s="799"/>
      <c r="Y234" s="799"/>
      <c r="Z234" s="799"/>
      <c r="AA234" s="799"/>
      <c r="AB234" s="799"/>
      <c r="AC234" s="799"/>
      <c r="AD234" s="799"/>
      <c r="AE234" s="799"/>
      <c r="AF234" s="799"/>
      <c r="AG234" s="799"/>
      <c r="AH234" s="799"/>
      <c r="AI234" s="799"/>
      <c r="AJ234" s="799"/>
      <c r="AK234" s="799"/>
      <c r="AL234" s="799"/>
      <c r="AM234" s="799"/>
      <c r="AN234" s="799"/>
      <c r="AO234" s="799"/>
      <c r="AP234" s="799"/>
      <c r="AQ234" s="799"/>
      <c r="AR234" s="799"/>
      <c r="AS234" s="799"/>
      <c r="AT234" s="799"/>
      <c r="AU234" s="799"/>
      <c r="AV234" s="799"/>
      <c r="AW234" s="799"/>
      <c r="AX234" s="799"/>
      <c r="AY234" s="799"/>
      <c r="AZ234" s="799"/>
      <c r="BA234" s="799"/>
      <c r="BB234" s="799"/>
      <c r="BC234" s="799"/>
      <c r="BD234" s="799"/>
      <c r="BE234" s="799"/>
      <c r="BF234" s="799"/>
      <c r="BG234" s="799"/>
    </row>
    <row r="235">
      <c r="H235" s="799"/>
      <c r="I235" s="799"/>
      <c r="J235" s="799"/>
      <c r="K235" s="799"/>
      <c r="L235" s="799"/>
      <c r="M235" s="799"/>
      <c r="N235" s="799"/>
      <c r="O235" s="799"/>
      <c r="P235" s="799"/>
      <c r="Q235" s="799"/>
      <c r="R235" s="799"/>
      <c r="S235" s="799"/>
      <c r="T235" s="799"/>
      <c r="U235" s="799"/>
      <c r="V235" s="799"/>
      <c r="W235" s="799"/>
      <c r="X235" s="799"/>
      <c r="Y235" s="799"/>
      <c r="Z235" s="799"/>
      <c r="AA235" s="799"/>
      <c r="AB235" s="799"/>
      <c r="AC235" s="799"/>
      <c r="AD235" s="799"/>
      <c r="AE235" s="799"/>
      <c r="AF235" s="799"/>
      <c r="AG235" s="799"/>
      <c r="AH235" s="799"/>
      <c r="AI235" s="799"/>
      <c r="AJ235" s="799"/>
      <c r="AK235" s="799"/>
      <c r="AL235" s="799"/>
      <c r="AM235" s="799"/>
      <c r="AN235" s="799"/>
      <c r="AO235" s="799"/>
      <c r="AP235" s="799"/>
      <c r="AQ235" s="799"/>
      <c r="AR235" s="799"/>
      <c r="AS235" s="799"/>
      <c r="AT235" s="799"/>
      <c r="AU235" s="799"/>
      <c r="AV235" s="799"/>
      <c r="AW235" s="799"/>
      <c r="AX235" s="799"/>
      <c r="AY235" s="799"/>
      <c r="AZ235" s="799"/>
      <c r="BA235" s="799"/>
      <c r="BB235" s="799"/>
      <c r="BC235" s="799"/>
      <c r="BD235" s="799"/>
      <c r="BE235" s="799"/>
      <c r="BF235" s="799"/>
      <c r="BG235" s="799"/>
    </row>
    <row r="236">
      <c r="H236" s="799"/>
      <c r="I236" s="799"/>
      <c r="J236" s="799"/>
      <c r="K236" s="799"/>
      <c r="L236" s="799"/>
      <c r="M236" s="799"/>
      <c r="N236" s="799"/>
      <c r="O236" s="799"/>
      <c r="P236" s="799"/>
      <c r="Q236" s="799"/>
      <c r="R236" s="799"/>
      <c r="S236" s="799"/>
      <c r="T236" s="799"/>
      <c r="U236" s="799"/>
      <c r="V236" s="799"/>
      <c r="W236" s="799"/>
      <c r="X236" s="799"/>
      <c r="Y236" s="799"/>
      <c r="Z236" s="799"/>
      <c r="AA236" s="799"/>
      <c r="AB236" s="799"/>
      <c r="AC236" s="799"/>
      <c r="AD236" s="799"/>
      <c r="AE236" s="799"/>
      <c r="AF236" s="799"/>
      <c r="AG236" s="799"/>
      <c r="AH236" s="799"/>
      <c r="AI236" s="799"/>
      <c r="AJ236" s="799"/>
      <c r="AK236" s="799"/>
      <c r="AL236" s="799"/>
      <c r="AM236" s="799"/>
      <c r="AN236" s="799"/>
      <c r="AO236" s="799"/>
      <c r="AP236" s="799"/>
      <c r="AQ236" s="799"/>
      <c r="AR236" s="799"/>
      <c r="AS236" s="799"/>
      <c r="AT236" s="799"/>
      <c r="AU236" s="799"/>
      <c r="AV236" s="799"/>
      <c r="AW236" s="799"/>
      <c r="AX236" s="799"/>
      <c r="AY236" s="799"/>
      <c r="AZ236" s="799"/>
      <c r="BA236" s="799"/>
      <c r="BB236" s="799"/>
      <c r="BC236" s="799"/>
      <c r="BD236" s="799"/>
      <c r="BE236" s="799"/>
      <c r="BF236" s="799"/>
      <c r="BG236" s="799"/>
    </row>
    <row r="237">
      <c r="H237" s="799"/>
      <c r="I237" s="799"/>
      <c r="J237" s="799"/>
      <c r="K237" s="799"/>
      <c r="L237" s="799"/>
      <c r="M237" s="799"/>
      <c r="N237" s="799"/>
      <c r="O237" s="799"/>
      <c r="P237" s="799"/>
      <c r="Q237" s="799"/>
      <c r="R237" s="799"/>
      <c r="S237" s="799"/>
      <c r="T237" s="799"/>
      <c r="U237" s="799"/>
      <c r="V237" s="799"/>
      <c r="W237" s="799"/>
      <c r="X237" s="799"/>
      <c r="Y237" s="799"/>
      <c r="Z237" s="799"/>
      <c r="AA237" s="799"/>
      <c r="AB237" s="799"/>
      <c r="AC237" s="799"/>
      <c r="AD237" s="799"/>
      <c r="AE237" s="799"/>
      <c r="AF237" s="799"/>
      <c r="AG237" s="799"/>
      <c r="AH237" s="799"/>
      <c r="AI237" s="799"/>
      <c r="AJ237" s="799"/>
      <c r="AK237" s="799"/>
      <c r="AL237" s="799"/>
      <c r="AM237" s="799"/>
      <c r="AN237" s="799"/>
      <c r="AO237" s="799"/>
      <c r="AP237" s="799"/>
      <c r="AQ237" s="799"/>
      <c r="AR237" s="799"/>
      <c r="AS237" s="799"/>
      <c r="AT237" s="799"/>
      <c r="AU237" s="799"/>
      <c r="AV237" s="799"/>
      <c r="AW237" s="799"/>
      <c r="AX237" s="799"/>
      <c r="AY237" s="799"/>
      <c r="AZ237" s="799"/>
      <c r="BA237" s="799"/>
      <c r="BB237" s="799"/>
      <c r="BC237" s="799"/>
      <c r="BD237" s="799"/>
      <c r="BE237" s="799"/>
      <c r="BF237" s="799"/>
      <c r="BG237" s="799"/>
    </row>
    <row r="238">
      <c r="H238" s="799"/>
      <c r="I238" s="799"/>
      <c r="J238" s="799"/>
      <c r="K238" s="799"/>
      <c r="L238" s="799"/>
      <c r="M238" s="799"/>
      <c r="N238" s="799"/>
      <c r="O238" s="799"/>
      <c r="P238" s="799"/>
      <c r="Q238" s="799"/>
      <c r="R238" s="799"/>
      <c r="S238" s="799"/>
      <c r="T238" s="799"/>
      <c r="U238" s="799"/>
      <c r="V238" s="799"/>
      <c r="W238" s="799"/>
      <c r="X238" s="799"/>
      <c r="Y238" s="799"/>
      <c r="Z238" s="799"/>
      <c r="AA238" s="799"/>
      <c r="AB238" s="799"/>
      <c r="AC238" s="799"/>
      <c r="AD238" s="799"/>
      <c r="AE238" s="799"/>
      <c r="AF238" s="799"/>
      <c r="AG238" s="799"/>
      <c r="AH238" s="799"/>
      <c r="AI238" s="799"/>
      <c r="AJ238" s="799"/>
      <c r="AK238" s="799"/>
      <c r="AL238" s="799"/>
      <c r="AM238" s="799"/>
      <c r="AN238" s="799"/>
      <c r="AO238" s="799"/>
      <c r="AP238" s="799"/>
      <c r="AQ238" s="799"/>
      <c r="AR238" s="799"/>
      <c r="AS238" s="799"/>
      <c r="AT238" s="799"/>
      <c r="AU238" s="799"/>
      <c r="AV238" s="799"/>
      <c r="AW238" s="799"/>
      <c r="AX238" s="799"/>
      <c r="AY238" s="799"/>
      <c r="AZ238" s="799"/>
      <c r="BA238" s="799"/>
      <c r="BB238" s="799"/>
      <c r="BC238" s="799"/>
      <c r="BD238" s="799"/>
      <c r="BE238" s="799"/>
      <c r="BF238" s="799"/>
      <c r="BG238" s="799"/>
    </row>
    <row r="239">
      <c r="H239" s="799"/>
      <c r="I239" s="799"/>
      <c r="J239" s="799"/>
      <c r="K239" s="799"/>
      <c r="L239" s="799"/>
      <c r="M239" s="799"/>
      <c r="N239" s="799"/>
      <c r="O239" s="799"/>
      <c r="P239" s="799"/>
      <c r="Q239" s="799"/>
      <c r="R239" s="799"/>
      <c r="S239" s="799"/>
      <c r="T239" s="799"/>
      <c r="U239" s="799"/>
      <c r="V239" s="799"/>
      <c r="W239" s="799"/>
      <c r="X239" s="799"/>
      <c r="Y239" s="799"/>
      <c r="Z239" s="799"/>
      <c r="AA239" s="799"/>
      <c r="AB239" s="799"/>
      <c r="AC239" s="799"/>
      <c r="AD239" s="799"/>
      <c r="AE239" s="799"/>
      <c r="AF239" s="799"/>
      <c r="AG239" s="799"/>
      <c r="AH239" s="799"/>
      <c r="AI239" s="799"/>
      <c r="AJ239" s="799"/>
      <c r="AK239" s="799"/>
      <c r="AL239" s="799"/>
      <c r="AM239" s="799"/>
      <c r="AN239" s="799"/>
      <c r="AO239" s="799"/>
      <c r="AP239" s="799"/>
      <c r="AQ239" s="799"/>
      <c r="AR239" s="799"/>
      <c r="AS239" s="799"/>
      <c r="AT239" s="799"/>
      <c r="AU239" s="799"/>
      <c r="AV239" s="799"/>
      <c r="AW239" s="799"/>
      <c r="AX239" s="799"/>
      <c r="AY239" s="799"/>
      <c r="AZ239" s="799"/>
      <c r="BA239" s="799"/>
      <c r="BB239" s="799"/>
      <c r="BC239" s="799"/>
      <c r="BD239" s="799"/>
      <c r="BE239" s="799"/>
      <c r="BF239" s="799"/>
      <c r="BG239" s="799"/>
    </row>
    <row r="240">
      <c r="H240" s="799"/>
      <c r="I240" s="799"/>
      <c r="J240" s="799"/>
      <c r="K240" s="799"/>
      <c r="L240" s="799"/>
      <c r="M240" s="799"/>
      <c r="N240" s="799"/>
      <c r="O240" s="799"/>
      <c r="P240" s="799"/>
      <c r="Q240" s="799"/>
      <c r="R240" s="799"/>
      <c r="S240" s="799"/>
      <c r="T240" s="799"/>
      <c r="U240" s="799"/>
      <c r="V240" s="799"/>
      <c r="W240" s="799"/>
      <c r="X240" s="799"/>
      <c r="Y240" s="799"/>
      <c r="Z240" s="799"/>
      <c r="AA240" s="799"/>
      <c r="AB240" s="799"/>
      <c r="AC240" s="799"/>
      <c r="AD240" s="799"/>
      <c r="AE240" s="799"/>
      <c r="AF240" s="799"/>
      <c r="AG240" s="799"/>
      <c r="AH240" s="799"/>
      <c r="AI240" s="799"/>
      <c r="AJ240" s="799"/>
      <c r="AK240" s="799"/>
      <c r="AL240" s="799"/>
      <c r="AM240" s="799"/>
      <c r="AN240" s="799"/>
      <c r="AO240" s="799"/>
      <c r="AP240" s="799"/>
      <c r="AQ240" s="799"/>
      <c r="AR240" s="799"/>
      <c r="AS240" s="799"/>
      <c r="AT240" s="799"/>
      <c r="AU240" s="799"/>
      <c r="AV240" s="799"/>
      <c r="AW240" s="799"/>
      <c r="AX240" s="799"/>
      <c r="AY240" s="799"/>
      <c r="AZ240" s="799"/>
      <c r="BA240" s="799"/>
      <c r="BB240" s="799"/>
      <c r="BC240" s="799"/>
      <c r="BD240" s="799"/>
      <c r="BE240" s="799"/>
      <c r="BF240" s="799"/>
      <c r="BG240" s="799"/>
    </row>
    <row r="241">
      <c r="H241" s="799"/>
      <c r="I241" s="799"/>
      <c r="J241" s="799"/>
      <c r="K241" s="799"/>
      <c r="L241" s="799"/>
      <c r="M241" s="799"/>
      <c r="N241" s="799"/>
      <c r="O241" s="799"/>
      <c r="P241" s="799"/>
      <c r="Q241" s="799"/>
      <c r="R241" s="799"/>
      <c r="S241" s="799"/>
      <c r="T241" s="799"/>
      <c r="U241" s="799"/>
      <c r="V241" s="799"/>
      <c r="W241" s="799"/>
      <c r="X241" s="799"/>
      <c r="Y241" s="799"/>
      <c r="Z241" s="799"/>
      <c r="AA241" s="799"/>
      <c r="AB241" s="799"/>
      <c r="AC241" s="799"/>
      <c r="AD241" s="799"/>
      <c r="AE241" s="799"/>
      <c r="AF241" s="799"/>
      <c r="AG241" s="799"/>
      <c r="AH241" s="799"/>
      <c r="AI241" s="799"/>
      <c r="AJ241" s="799"/>
      <c r="AK241" s="799"/>
      <c r="AL241" s="799"/>
      <c r="AM241" s="799"/>
      <c r="AN241" s="799"/>
      <c r="AO241" s="799"/>
      <c r="AP241" s="799"/>
      <c r="AQ241" s="799"/>
      <c r="AR241" s="799"/>
      <c r="AS241" s="799"/>
      <c r="AT241" s="799"/>
      <c r="AU241" s="799"/>
      <c r="AV241" s="799"/>
      <c r="AW241" s="799"/>
      <c r="AX241" s="799"/>
      <c r="AY241" s="799"/>
      <c r="AZ241" s="799"/>
      <c r="BA241" s="799"/>
      <c r="BB241" s="799"/>
      <c r="BC241" s="799"/>
      <c r="BD241" s="799"/>
      <c r="BE241" s="799"/>
      <c r="BF241" s="799"/>
      <c r="BG241" s="799"/>
    </row>
    <row r="242">
      <c r="H242" s="799"/>
      <c r="I242" s="799"/>
      <c r="J242" s="799"/>
      <c r="K242" s="799"/>
      <c r="L242" s="799"/>
      <c r="M242" s="799"/>
      <c r="N242" s="799"/>
      <c r="O242" s="799"/>
      <c r="P242" s="799"/>
      <c r="Q242" s="799"/>
      <c r="R242" s="799"/>
      <c r="S242" s="799"/>
      <c r="T242" s="799"/>
      <c r="U242" s="799"/>
      <c r="V242" s="799"/>
      <c r="W242" s="799"/>
      <c r="X242" s="799"/>
      <c r="Y242" s="799"/>
      <c r="Z242" s="799"/>
      <c r="AA242" s="799"/>
      <c r="AB242" s="799"/>
      <c r="AC242" s="799"/>
      <c r="AD242" s="799"/>
      <c r="AE242" s="799"/>
      <c r="AF242" s="799"/>
      <c r="AG242" s="799"/>
      <c r="AH242" s="799"/>
      <c r="AI242" s="799"/>
      <c r="AJ242" s="799"/>
      <c r="AK242" s="799"/>
      <c r="AL242" s="799"/>
      <c r="AM242" s="799"/>
      <c r="AN242" s="799"/>
      <c r="AO242" s="799"/>
      <c r="AP242" s="799"/>
      <c r="AQ242" s="799"/>
      <c r="AR242" s="799"/>
      <c r="AS242" s="799"/>
      <c r="AT242" s="799"/>
      <c r="AU242" s="799"/>
      <c r="AV242" s="799"/>
      <c r="AW242" s="799"/>
      <c r="AX242" s="799"/>
      <c r="AY242" s="799"/>
      <c r="AZ242" s="799"/>
      <c r="BA242" s="799"/>
      <c r="BB242" s="799"/>
      <c r="BC242" s="799"/>
      <c r="BD242" s="799"/>
      <c r="BE242" s="799"/>
      <c r="BF242" s="799"/>
      <c r="BG242" s="799"/>
    </row>
    <row r="243">
      <c r="H243" s="799"/>
      <c r="I243" s="799"/>
      <c r="J243" s="799"/>
      <c r="K243" s="799"/>
      <c r="L243" s="799"/>
      <c r="M243" s="799"/>
      <c r="N243" s="799"/>
      <c r="O243" s="799"/>
      <c r="P243" s="799"/>
      <c r="Q243" s="799"/>
      <c r="R243" s="799"/>
      <c r="S243" s="799"/>
      <c r="T243" s="799"/>
      <c r="U243" s="799"/>
      <c r="V243" s="799"/>
      <c r="W243" s="799"/>
      <c r="X243" s="799"/>
      <c r="Y243" s="799"/>
      <c r="Z243" s="799"/>
      <c r="AA243" s="799"/>
      <c r="AB243" s="799"/>
      <c r="AC243" s="799"/>
      <c r="AD243" s="799"/>
      <c r="AE243" s="799"/>
      <c r="AF243" s="799"/>
      <c r="AG243" s="799"/>
      <c r="AH243" s="799"/>
      <c r="AI243" s="799"/>
      <c r="AJ243" s="799"/>
      <c r="AK243" s="799"/>
      <c r="AL243" s="799"/>
      <c r="AM243" s="799"/>
      <c r="AN243" s="799"/>
      <c r="AO243" s="799"/>
      <c r="AP243" s="799"/>
      <c r="AQ243" s="799"/>
      <c r="AR243" s="799"/>
      <c r="AS243" s="799"/>
      <c r="AT243" s="799"/>
      <c r="AU243" s="799"/>
      <c r="AV243" s="799"/>
      <c r="AW243" s="799"/>
      <c r="AX243" s="799"/>
      <c r="AY243" s="799"/>
      <c r="AZ243" s="799"/>
      <c r="BA243" s="799"/>
      <c r="BB243" s="799"/>
      <c r="BC243" s="799"/>
      <c r="BD243" s="799"/>
      <c r="BE243" s="799"/>
      <c r="BF243" s="799"/>
      <c r="BG243" s="799"/>
    </row>
    <row r="244">
      <c r="H244" s="799"/>
      <c r="I244" s="799"/>
      <c r="J244" s="799"/>
      <c r="K244" s="799"/>
      <c r="L244" s="799"/>
      <c r="M244" s="799"/>
      <c r="N244" s="799"/>
      <c r="O244" s="799"/>
      <c r="P244" s="799"/>
      <c r="Q244" s="799"/>
      <c r="R244" s="799"/>
      <c r="S244" s="799"/>
      <c r="T244" s="799"/>
      <c r="U244" s="799"/>
      <c r="V244" s="799"/>
      <c r="W244" s="799"/>
      <c r="X244" s="799"/>
      <c r="Y244" s="799"/>
      <c r="Z244" s="799"/>
      <c r="AA244" s="799"/>
      <c r="AB244" s="799"/>
      <c r="AC244" s="799"/>
      <c r="AD244" s="799"/>
      <c r="AE244" s="799"/>
      <c r="AF244" s="799"/>
      <c r="AG244" s="799"/>
      <c r="AH244" s="799"/>
      <c r="AI244" s="799"/>
      <c r="AJ244" s="799"/>
      <c r="AK244" s="799"/>
      <c r="AL244" s="799"/>
      <c r="AM244" s="799"/>
      <c r="AN244" s="799"/>
      <c r="AO244" s="799"/>
      <c r="AP244" s="799"/>
      <c r="AQ244" s="799"/>
      <c r="AR244" s="799"/>
      <c r="AS244" s="799"/>
      <c r="AT244" s="799"/>
      <c r="AU244" s="799"/>
      <c r="AV244" s="799"/>
      <c r="AW244" s="799"/>
      <c r="AX244" s="799"/>
      <c r="AY244" s="799"/>
      <c r="AZ244" s="799"/>
      <c r="BA244" s="799"/>
      <c r="BB244" s="799"/>
      <c r="BC244" s="799"/>
      <c r="BD244" s="799"/>
      <c r="BE244" s="799"/>
      <c r="BF244" s="799"/>
      <c r="BG244" s="799"/>
    </row>
    <row r="245">
      <c r="H245" s="799"/>
      <c r="I245" s="799"/>
      <c r="J245" s="799"/>
      <c r="K245" s="799"/>
      <c r="L245" s="799"/>
      <c r="M245" s="799"/>
      <c r="N245" s="799"/>
      <c r="O245" s="799"/>
      <c r="P245" s="799"/>
      <c r="Q245" s="799"/>
      <c r="R245" s="799"/>
      <c r="S245" s="799"/>
      <c r="T245" s="799"/>
      <c r="U245" s="799"/>
      <c r="V245" s="799"/>
      <c r="W245" s="799"/>
      <c r="X245" s="799"/>
      <c r="Y245" s="799"/>
      <c r="Z245" s="799"/>
      <c r="AA245" s="799"/>
      <c r="AB245" s="799"/>
      <c r="AC245" s="799"/>
      <c r="AD245" s="799"/>
      <c r="AE245" s="799"/>
      <c r="AF245" s="799"/>
      <c r="AG245" s="799"/>
      <c r="AH245" s="799"/>
      <c r="AI245" s="799"/>
      <c r="AJ245" s="799"/>
      <c r="AK245" s="799"/>
      <c r="AL245" s="799"/>
      <c r="AM245" s="799"/>
      <c r="AN245" s="799"/>
      <c r="AO245" s="799"/>
      <c r="AP245" s="799"/>
      <c r="AQ245" s="799"/>
      <c r="AR245" s="799"/>
      <c r="AS245" s="799"/>
      <c r="AT245" s="799"/>
      <c r="AU245" s="799"/>
      <c r="AV245" s="799"/>
      <c r="AW245" s="799"/>
      <c r="AX245" s="799"/>
      <c r="AY245" s="799"/>
      <c r="AZ245" s="799"/>
      <c r="BA245" s="799"/>
      <c r="BB245" s="799"/>
      <c r="BC245" s="799"/>
      <c r="BD245" s="799"/>
      <c r="BE245" s="799"/>
      <c r="BF245" s="799"/>
      <c r="BG245" s="799"/>
    </row>
    <row r="246">
      <c r="H246" s="799"/>
      <c r="I246" s="799"/>
      <c r="J246" s="799"/>
      <c r="K246" s="799"/>
      <c r="L246" s="799"/>
      <c r="M246" s="799"/>
      <c r="N246" s="799"/>
      <c r="O246" s="799"/>
      <c r="P246" s="799"/>
      <c r="Q246" s="799"/>
      <c r="R246" s="799"/>
      <c r="S246" s="799"/>
      <c r="T246" s="799"/>
      <c r="U246" s="799"/>
      <c r="V246" s="799"/>
      <c r="W246" s="799"/>
      <c r="X246" s="799"/>
      <c r="Y246" s="799"/>
      <c r="Z246" s="799"/>
      <c r="AA246" s="799"/>
      <c r="AB246" s="799"/>
      <c r="AC246" s="799"/>
      <c r="AD246" s="799"/>
      <c r="AE246" s="799"/>
      <c r="AF246" s="799"/>
      <c r="AG246" s="799"/>
      <c r="AH246" s="799"/>
      <c r="AI246" s="799"/>
      <c r="AJ246" s="799"/>
      <c r="AK246" s="799"/>
      <c r="AL246" s="799"/>
      <c r="AM246" s="799"/>
      <c r="AN246" s="799"/>
      <c r="AO246" s="799"/>
      <c r="AP246" s="799"/>
      <c r="AQ246" s="799"/>
      <c r="AR246" s="799"/>
      <c r="AS246" s="799"/>
      <c r="AT246" s="799"/>
      <c r="AU246" s="799"/>
      <c r="AV246" s="799"/>
      <c r="AW246" s="799"/>
      <c r="AX246" s="799"/>
      <c r="AY246" s="799"/>
      <c r="AZ246" s="799"/>
      <c r="BA246" s="799"/>
      <c r="BB246" s="799"/>
      <c r="BC246" s="799"/>
      <c r="BD246" s="799"/>
      <c r="BE246" s="799"/>
      <c r="BF246" s="799"/>
      <c r="BG246" s="799"/>
    </row>
    <row r="247">
      <c r="H247" s="799"/>
      <c r="I247" s="799"/>
      <c r="J247" s="799"/>
      <c r="K247" s="799"/>
      <c r="L247" s="799"/>
      <c r="M247" s="799"/>
      <c r="N247" s="799"/>
      <c r="O247" s="799"/>
      <c r="P247" s="799"/>
      <c r="Q247" s="799"/>
      <c r="R247" s="799"/>
      <c r="S247" s="799"/>
      <c r="T247" s="799"/>
      <c r="U247" s="799"/>
      <c r="V247" s="799"/>
      <c r="W247" s="799"/>
      <c r="X247" s="799"/>
      <c r="Y247" s="799"/>
      <c r="Z247" s="799"/>
      <c r="AA247" s="799"/>
      <c r="AB247" s="799"/>
      <c r="AC247" s="799"/>
      <c r="AD247" s="799"/>
      <c r="AE247" s="799"/>
      <c r="AF247" s="799"/>
      <c r="AG247" s="799"/>
      <c r="AH247" s="799"/>
      <c r="AI247" s="799"/>
      <c r="AJ247" s="799"/>
      <c r="AK247" s="799"/>
      <c r="AL247" s="799"/>
      <c r="AM247" s="799"/>
      <c r="AN247" s="799"/>
      <c r="AO247" s="799"/>
      <c r="AP247" s="799"/>
      <c r="AQ247" s="799"/>
      <c r="AR247" s="799"/>
      <c r="AS247" s="799"/>
      <c r="AT247" s="799"/>
      <c r="AU247" s="799"/>
      <c r="AV247" s="799"/>
      <c r="AW247" s="799"/>
      <c r="AX247" s="799"/>
      <c r="AY247" s="799"/>
      <c r="AZ247" s="799"/>
      <c r="BA247" s="799"/>
      <c r="BB247" s="799"/>
      <c r="BC247" s="799"/>
      <c r="BD247" s="799"/>
      <c r="BE247" s="799"/>
      <c r="BF247" s="799"/>
      <c r="BG247" s="799"/>
    </row>
    <row r="248">
      <c r="H248" s="799"/>
      <c r="I248" s="799"/>
      <c r="J248" s="799"/>
      <c r="K248" s="799"/>
      <c r="L248" s="799"/>
      <c r="M248" s="799"/>
      <c r="N248" s="799"/>
      <c r="O248" s="799"/>
      <c r="P248" s="799"/>
      <c r="Q248" s="799"/>
      <c r="R248" s="799"/>
      <c r="S248" s="799"/>
      <c r="T248" s="799"/>
      <c r="U248" s="799"/>
      <c r="V248" s="799"/>
      <c r="W248" s="799"/>
      <c r="X248" s="799"/>
      <c r="Y248" s="799"/>
      <c r="Z248" s="799"/>
      <c r="AA248" s="799"/>
      <c r="AB248" s="799"/>
      <c r="AC248" s="799"/>
      <c r="AD248" s="799"/>
      <c r="AE248" s="799"/>
      <c r="AF248" s="799"/>
      <c r="AG248" s="799"/>
      <c r="AH248" s="799"/>
      <c r="AI248" s="799"/>
      <c r="AJ248" s="799"/>
      <c r="AK248" s="799"/>
      <c r="AL248" s="799"/>
      <c r="AM248" s="799"/>
      <c r="AN248" s="799"/>
      <c r="AO248" s="799"/>
      <c r="AP248" s="799"/>
      <c r="AQ248" s="799"/>
      <c r="AR248" s="799"/>
      <c r="AS248" s="799"/>
      <c r="AT248" s="799"/>
      <c r="AU248" s="799"/>
      <c r="AV248" s="799"/>
      <c r="AW248" s="799"/>
      <c r="AX248" s="799"/>
      <c r="AY248" s="799"/>
      <c r="AZ248" s="799"/>
      <c r="BA248" s="799"/>
      <c r="BB248" s="799"/>
      <c r="BC248" s="799"/>
      <c r="BD248" s="799"/>
      <c r="BE248" s="799"/>
      <c r="BF248" s="799"/>
      <c r="BG248" s="799"/>
    </row>
    <row r="249">
      <c r="H249" s="799"/>
      <c r="I249" s="799"/>
      <c r="J249" s="799"/>
      <c r="K249" s="799"/>
      <c r="L249" s="799"/>
      <c r="M249" s="799"/>
      <c r="N249" s="799"/>
      <c r="O249" s="799"/>
      <c r="P249" s="799"/>
      <c r="Q249" s="799"/>
      <c r="R249" s="799"/>
      <c r="S249" s="799"/>
      <c r="T249" s="799"/>
      <c r="U249" s="799"/>
      <c r="V249" s="799"/>
      <c r="W249" s="799"/>
      <c r="X249" s="799"/>
      <c r="Y249" s="799"/>
      <c r="Z249" s="799"/>
      <c r="AA249" s="799"/>
      <c r="AB249" s="799"/>
      <c r="AC249" s="799"/>
      <c r="AD249" s="799"/>
      <c r="AE249" s="799"/>
      <c r="AF249" s="799"/>
      <c r="AG249" s="799"/>
      <c r="AH249" s="799"/>
      <c r="AI249" s="799"/>
      <c r="AJ249" s="799"/>
      <c r="AK249" s="799"/>
      <c r="AL249" s="799"/>
      <c r="AM249" s="799"/>
      <c r="AN249" s="799"/>
      <c r="AO249" s="799"/>
      <c r="AP249" s="799"/>
      <c r="AQ249" s="799"/>
      <c r="AR249" s="799"/>
      <c r="AS249" s="799"/>
      <c r="AT249" s="799"/>
      <c r="AU249" s="799"/>
      <c r="AV249" s="799"/>
      <c r="AW249" s="799"/>
      <c r="AX249" s="799"/>
      <c r="AY249" s="799"/>
      <c r="AZ249" s="799"/>
      <c r="BA249" s="799"/>
      <c r="BB249" s="799"/>
      <c r="BC249" s="799"/>
      <c r="BD249" s="799"/>
      <c r="BE249" s="799"/>
      <c r="BF249" s="799"/>
      <c r="BG249" s="799"/>
    </row>
    <row r="250">
      <c r="H250" s="799"/>
      <c r="I250" s="799"/>
      <c r="J250" s="799"/>
      <c r="K250" s="799"/>
      <c r="L250" s="799"/>
      <c r="M250" s="799"/>
      <c r="N250" s="799"/>
      <c r="O250" s="799"/>
      <c r="P250" s="799"/>
      <c r="Q250" s="799"/>
      <c r="R250" s="799"/>
      <c r="S250" s="799"/>
      <c r="T250" s="799"/>
      <c r="U250" s="799"/>
      <c r="V250" s="799"/>
      <c r="W250" s="799"/>
      <c r="X250" s="799"/>
      <c r="Y250" s="799"/>
      <c r="Z250" s="799"/>
      <c r="AA250" s="799"/>
      <c r="AB250" s="799"/>
      <c r="AC250" s="799"/>
      <c r="AD250" s="799"/>
      <c r="AE250" s="799"/>
      <c r="AF250" s="799"/>
      <c r="AG250" s="799"/>
      <c r="AH250" s="799"/>
      <c r="AI250" s="799"/>
      <c r="AJ250" s="799"/>
      <c r="AK250" s="799"/>
      <c r="AL250" s="799"/>
      <c r="AM250" s="799"/>
      <c r="AN250" s="799"/>
      <c r="AO250" s="799"/>
      <c r="AP250" s="799"/>
      <c r="AQ250" s="799"/>
      <c r="AR250" s="799"/>
      <c r="AS250" s="799"/>
      <c r="AT250" s="799"/>
      <c r="AU250" s="799"/>
      <c r="AV250" s="799"/>
      <c r="AW250" s="799"/>
      <c r="AX250" s="799"/>
      <c r="AY250" s="799"/>
      <c r="AZ250" s="799"/>
      <c r="BA250" s="799"/>
      <c r="BB250" s="799"/>
      <c r="BC250" s="799"/>
      <c r="BD250" s="799"/>
      <c r="BE250" s="799"/>
      <c r="BF250" s="799"/>
      <c r="BG250" s="799"/>
    </row>
    <row r="251">
      <c r="H251" s="799"/>
      <c r="I251" s="799"/>
      <c r="J251" s="799"/>
      <c r="K251" s="799"/>
      <c r="L251" s="799"/>
      <c r="M251" s="799"/>
      <c r="N251" s="799"/>
      <c r="O251" s="799"/>
      <c r="P251" s="799"/>
      <c r="Q251" s="799"/>
      <c r="R251" s="799"/>
      <c r="S251" s="799"/>
      <c r="T251" s="799"/>
      <c r="U251" s="799"/>
      <c r="V251" s="799"/>
      <c r="W251" s="799"/>
      <c r="X251" s="799"/>
      <c r="Y251" s="799"/>
      <c r="Z251" s="799"/>
      <c r="AA251" s="799"/>
      <c r="AB251" s="799"/>
      <c r="AC251" s="799"/>
      <c r="AD251" s="799"/>
      <c r="AE251" s="799"/>
      <c r="AF251" s="799"/>
      <c r="AG251" s="799"/>
      <c r="AH251" s="799"/>
      <c r="AI251" s="799"/>
      <c r="AJ251" s="799"/>
      <c r="AK251" s="799"/>
      <c r="AL251" s="799"/>
      <c r="AM251" s="799"/>
      <c r="AN251" s="799"/>
      <c r="AO251" s="799"/>
      <c r="AP251" s="799"/>
      <c r="AQ251" s="799"/>
      <c r="AR251" s="799"/>
      <c r="AS251" s="799"/>
      <c r="AT251" s="799"/>
      <c r="AU251" s="799"/>
      <c r="AV251" s="799"/>
      <c r="AW251" s="799"/>
      <c r="AX251" s="799"/>
      <c r="AY251" s="799"/>
      <c r="AZ251" s="799"/>
      <c r="BA251" s="799"/>
      <c r="BB251" s="799"/>
      <c r="BC251" s="799"/>
      <c r="BD251" s="799"/>
      <c r="BE251" s="799"/>
      <c r="BF251" s="799"/>
      <c r="BG251" s="799"/>
    </row>
    <row r="252">
      <c r="H252" s="799"/>
      <c r="I252" s="799"/>
      <c r="J252" s="799"/>
      <c r="K252" s="799"/>
      <c r="L252" s="799"/>
      <c r="M252" s="799"/>
      <c r="N252" s="799"/>
      <c r="O252" s="799"/>
      <c r="P252" s="799"/>
      <c r="Q252" s="799"/>
      <c r="R252" s="799"/>
      <c r="S252" s="799"/>
      <c r="T252" s="799"/>
      <c r="U252" s="799"/>
      <c r="V252" s="799"/>
      <c r="W252" s="799"/>
      <c r="X252" s="799"/>
      <c r="Y252" s="799"/>
      <c r="Z252" s="799"/>
      <c r="AA252" s="799"/>
      <c r="AB252" s="799"/>
      <c r="AC252" s="799"/>
      <c r="AD252" s="799"/>
      <c r="AE252" s="799"/>
      <c r="AF252" s="799"/>
      <c r="AG252" s="799"/>
      <c r="AH252" s="799"/>
      <c r="AI252" s="799"/>
      <c r="AJ252" s="799"/>
      <c r="AK252" s="799"/>
      <c r="AL252" s="799"/>
      <c r="AM252" s="799"/>
      <c r="AN252" s="799"/>
      <c r="AO252" s="799"/>
      <c r="AP252" s="799"/>
      <c r="AQ252" s="799"/>
      <c r="AR252" s="799"/>
      <c r="AS252" s="799"/>
      <c r="AT252" s="799"/>
      <c r="AU252" s="799"/>
      <c r="AV252" s="799"/>
      <c r="AW252" s="799"/>
      <c r="AX252" s="799"/>
      <c r="AY252" s="799"/>
      <c r="AZ252" s="799"/>
      <c r="BA252" s="799"/>
      <c r="BB252" s="799"/>
      <c r="BC252" s="799"/>
      <c r="BD252" s="799"/>
      <c r="BE252" s="799"/>
      <c r="BF252" s="799"/>
      <c r="BG252" s="799"/>
    </row>
    <row r="253">
      <c r="H253" s="799"/>
      <c r="I253" s="799"/>
      <c r="J253" s="799"/>
      <c r="K253" s="799"/>
      <c r="L253" s="799"/>
      <c r="M253" s="799"/>
      <c r="N253" s="799"/>
      <c r="O253" s="799"/>
      <c r="P253" s="799"/>
      <c r="Q253" s="799"/>
      <c r="R253" s="799"/>
      <c r="S253" s="799"/>
      <c r="T253" s="799"/>
      <c r="U253" s="799"/>
      <c r="V253" s="799"/>
      <c r="W253" s="799"/>
      <c r="X253" s="799"/>
      <c r="Y253" s="799"/>
      <c r="Z253" s="799"/>
      <c r="AA253" s="799"/>
      <c r="AB253" s="799"/>
      <c r="AC253" s="799"/>
      <c r="AD253" s="799"/>
      <c r="AE253" s="799"/>
      <c r="AF253" s="799"/>
      <c r="AG253" s="799"/>
      <c r="AH253" s="799"/>
      <c r="AI253" s="799"/>
      <c r="AJ253" s="799"/>
      <c r="AK253" s="799"/>
      <c r="AL253" s="799"/>
      <c r="AM253" s="799"/>
      <c r="AN253" s="799"/>
      <c r="AO253" s="799"/>
      <c r="AP253" s="799"/>
      <c r="AQ253" s="799"/>
      <c r="AR253" s="799"/>
      <c r="AS253" s="799"/>
      <c r="AT253" s="799"/>
      <c r="AU253" s="799"/>
      <c r="AV253" s="799"/>
      <c r="AW253" s="799"/>
      <c r="AX253" s="799"/>
      <c r="AY253" s="799"/>
      <c r="AZ253" s="799"/>
      <c r="BA253" s="799"/>
      <c r="BB253" s="799"/>
      <c r="BC253" s="799"/>
      <c r="BD253" s="799"/>
      <c r="BE253" s="799"/>
      <c r="BF253" s="799"/>
      <c r="BG253" s="799"/>
    </row>
    <row r="254">
      <c r="H254" s="799"/>
      <c r="I254" s="799"/>
      <c r="J254" s="799"/>
      <c r="K254" s="799"/>
      <c r="L254" s="799"/>
      <c r="M254" s="799"/>
      <c r="N254" s="799"/>
      <c r="O254" s="799"/>
      <c r="P254" s="799"/>
      <c r="Q254" s="799"/>
      <c r="R254" s="799"/>
      <c r="S254" s="799"/>
      <c r="T254" s="799"/>
      <c r="U254" s="799"/>
      <c r="V254" s="799"/>
      <c r="W254" s="799"/>
      <c r="X254" s="799"/>
      <c r="Y254" s="799"/>
      <c r="Z254" s="799"/>
      <c r="AA254" s="799"/>
      <c r="AB254" s="799"/>
      <c r="AC254" s="799"/>
      <c r="AD254" s="799"/>
      <c r="AE254" s="799"/>
      <c r="AF254" s="799"/>
      <c r="AG254" s="799"/>
      <c r="AH254" s="799"/>
      <c r="AI254" s="799"/>
      <c r="AJ254" s="799"/>
      <c r="AK254" s="799"/>
      <c r="AL254" s="799"/>
      <c r="AM254" s="799"/>
      <c r="AN254" s="799"/>
      <c r="AO254" s="799"/>
      <c r="AP254" s="799"/>
      <c r="AQ254" s="799"/>
      <c r="AR254" s="799"/>
      <c r="AS254" s="799"/>
      <c r="AT254" s="799"/>
      <c r="AU254" s="799"/>
      <c r="AV254" s="799"/>
      <c r="AW254" s="799"/>
      <c r="AX254" s="799"/>
      <c r="AY254" s="799"/>
      <c r="AZ254" s="799"/>
      <c r="BA254" s="799"/>
      <c r="BB254" s="799"/>
      <c r="BC254" s="799"/>
      <c r="BD254" s="799"/>
      <c r="BE254" s="799"/>
      <c r="BF254" s="799"/>
      <c r="BG254" s="799"/>
    </row>
    <row r="255">
      <c r="H255" s="799"/>
      <c r="I255" s="799"/>
      <c r="J255" s="799"/>
      <c r="K255" s="799"/>
      <c r="L255" s="799"/>
      <c r="M255" s="799"/>
      <c r="N255" s="799"/>
      <c r="O255" s="799"/>
      <c r="P255" s="799"/>
      <c r="Q255" s="799"/>
      <c r="R255" s="799"/>
      <c r="S255" s="799"/>
      <c r="T255" s="799"/>
      <c r="U255" s="799"/>
      <c r="V255" s="799"/>
      <c r="W255" s="799"/>
      <c r="X255" s="799"/>
      <c r="Y255" s="799"/>
      <c r="Z255" s="799"/>
      <c r="AA255" s="799"/>
      <c r="AB255" s="799"/>
      <c r="AC255" s="799"/>
      <c r="AD255" s="799"/>
      <c r="AE255" s="799"/>
      <c r="AF255" s="799"/>
      <c r="AG255" s="799"/>
      <c r="AH255" s="799"/>
      <c r="AI255" s="799"/>
      <c r="AJ255" s="799"/>
      <c r="AK255" s="799"/>
      <c r="AL255" s="799"/>
      <c r="AM255" s="799"/>
      <c r="AN255" s="799"/>
      <c r="AO255" s="799"/>
      <c r="AP255" s="799"/>
      <c r="AQ255" s="799"/>
      <c r="AR255" s="799"/>
      <c r="AS255" s="799"/>
      <c r="AT255" s="799"/>
      <c r="AU255" s="799"/>
      <c r="AV255" s="799"/>
      <c r="AW255" s="799"/>
      <c r="AX255" s="799"/>
      <c r="AY255" s="799"/>
      <c r="AZ255" s="799"/>
      <c r="BA255" s="799"/>
      <c r="BB255" s="799"/>
      <c r="BC255" s="799"/>
      <c r="BD255" s="799"/>
      <c r="BE255" s="799"/>
      <c r="BF255" s="799"/>
      <c r="BG255" s="799"/>
    </row>
    <row r="256">
      <c r="H256" s="799"/>
      <c r="I256" s="799"/>
      <c r="J256" s="799"/>
      <c r="K256" s="799"/>
      <c r="L256" s="799"/>
      <c r="M256" s="799"/>
      <c r="N256" s="799"/>
      <c r="O256" s="799"/>
      <c r="P256" s="799"/>
      <c r="Q256" s="799"/>
      <c r="R256" s="799"/>
      <c r="S256" s="799"/>
      <c r="T256" s="799"/>
      <c r="U256" s="799"/>
      <c r="V256" s="799"/>
      <c r="W256" s="799"/>
      <c r="X256" s="799"/>
      <c r="Y256" s="799"/>
      <c r="Z256" s="799"/>
      <c r="AA256" s="799"/>
      <c r="AB256" s="799"/>
      <c r="AC256" s="799"/>
      <c r="AD256" s="799"/>
      <c r="AE256" s="799"/>
      <c r="AF256" s="799"/>
      <c r="AG256" s="799"/>
      <c r="AH256" s="799"/>
      <c r="AI256" s="799"/>
      <c r="AJ256" s="799"/>
      <c r="AK256" s="799"/>
      <c r="AL256" s="799"/>
      <c r="AM256" s="799"/>
      <c r="AN256" s="799"/>
      <c r="AO256" s="799"/>
      <c r="AP256" s="799"/>
      <c r="AQ256" s="799"/>
      <c r="AR256" s="799"/>
      <c r="AS256" s="799"/>
      <c r="AT256" s="799"/>
      <c r="AU256" s="799"/>
      <c r="AV256" s="799"/>
      <c r="AW256" s="799"/>
      <c r="AX256" s="799"/>
      <c r="AY256" s="799"/>
      <c r="AZ256" s="799"/>
      <c r="BA256" s="799"/>
      <c r="BB256" s="799"/>
      <c r="BC256" s="799"/>
      <c r="BD256" s="799"/>
      <c r="BE256" s="799"/>
      <c r="BF256" s="799"/>
      <c r="BG256" s="799"/>
    </row>
    <row r="257">
      <c r="H257" s="799"/>
      <c r="I257" s="799"/>
      <c r="J257" s="799"/>
      <c r="K257" s="799"/>
      <c r="L257" s="799"/>
      <c r="M257" s="799"/>
      <c r="N257" s="799"/>
      <c r="O257" s="799"/>
      <c r="P257" s="799"/>
      <c r="Q257" s="799"/>
      <c r="R257" s="799"/>
      <c r="S257" s="799"/>
      <c r="T257" s="799"/>
      <c r="U257" s="799"/>
      <c r="V257" s="799"/>
      <c r="W257" s="799"/>
      <c r="X257" s="799"/>
      <c r="Y257" s="799"/>
      <c r="Z257" s="799"/>
      <c r="AA257" s="799"/>
      <c r="AB257" s="799"/>
      <c r="AC257" s="799"/>
      <c r="AD257" s="799"/>
      <c r="AE257" s="799"/>
      <c r="AF257" s="799"/>
      <c r="AG257" s="799"/>
      <c r="AH257" s="799"/>
      <c r="AI257" s="799"/>
      <c r="AJ257" s="799"/>
      <c r="AK257" s="799"/>
      <c r="AL257" s="799"/>
      <c r="AM257" s="799"/>
      <c r="AN257" s="799"/>
      <c r="AO257" s="799"/>
      <c r="AP257" s="799"/>
      <c r="AQ257" s="799"/>
      <c r="AR257" s="799"/>
      <c r="AS257" s="799"/>
      <c r="AT257" s="799"/>
      <c r="AU257" s="799"/>
      <c r="AV257" s="799"/>
      <c r="AW257" s="799"/>
      <c r="AX257" s="799"/>
      <c r="AY257" s="799"/>
      <c r="AZ257" s="799"/>
      <c r="BA257" s="799"/>
      <c r="BB257" s="799"/>
      <c r="BC257" s="799"/>
      <c r="BD257" s="799"/>
      <c r="BE257" s="799"/>
      <c r="BF257" s="799"/>
      <c r="BG257" s="799"/>
    </row>
    <row r="258">
      <c r="H258" s="799"/>
      <c r="I258" s="799"/>
      <c r="J258" s="799"/>
      <c r="K258" s="799"/>
      <c r="L258" s="799"/>
      <c r="M258" s="799"/>
      <c r="N258" s="799"/>
      <c r="O258" s="799"/>
      <c r="P258" s="799"/>
      <c r="Q258" s="799"/>
      <c r="R258" s="799"/>
      <c r="S258" s="799"/>
      <c r="T258" s="799"/>
      <c r="U258" s="799"/>
      <c r="V258" s="799"/>
      <c r="W258" s="799"/>
      <c r="X258" s="799"/>
      <c r="Y258" s="799"/>
      <c r="Z258" s="799"/>
      <c r="AA258" s="799"/>
      <c r="AB258" s="799"/>
      <c r="AC258" s="799"/>
      <c r="AD258" s="799"/>
      <c r="AE258" s="799"/>
      <c r="AF258" s="799"/>
      <c r="AG258" s="799"/>
      <c r="AH258" s="799"/>
      <c r="AI258" s="799"/>
      <c r="AJ258" s="799"/>
      <c r="AK258" s="799"/>
      <c r="AL258" s="799"/>
      <c r="AM258" s="799"/>
      <c r="AN258" s="799"/>
      <c r="AO258" s="799"/>
      <c r="AP258" s="799"/>
      <c r="AQ258" s="799"/>
      <c r="AR258" s="799"/>
      <c r="AS258" s="799"/>
      <c r="AT258" s="799"/>
      <c r="AU258" s="799"/>
      <c r="AV258" s="799"/>
      <c r="AW258" s="799"/>
      <c r="AX258" s="799"/>
      <c r="AY258" s="799"/>
      <c r="AZ258" s="799"/>
      <c r="BA258" s="799"/>
      <c r="BB258" s="799"/>
      <c r="BC258" s="799"/>
      <c r="BD258" s="799"/>
      <c r="BE258" s="799"/>
      <c r="BF258" s="799"/>
      <c r="BG258" s="799"/>
    </row>
    <row r="259">
      <c r="H259" s="799"/>
      <c r="I259" s="799"/>
      <c r="J259" s="799"/>
      <c r="K259" s="799"/>
      <c r="L259" s="799"/>
      <c r="M259" s="799"/>
      <c r="N259" s="799"/>
      <c r="O259" s="799"/>
      <c r="P259" s="799"/>
      <c r="Q259" s="799"/>
      <c r="R259" s="799"/>
      <c r="S259" s="799"/>
      <c r="T259" s="799"/>
      <c r="U259" s="799"/>
      <c r="V259" s="799"/>
      <c r="W259" s="799"/>
      <c r="X259" s="799"/>
      <c r="Y259" s="799"/>
      <c r="Z259" s="799"/>
      <c r="AA259" s="799"/>
      <c r="AB259" s="799"/>
      <c r="AC259" s="799"/>
      <c r="AD259" s="799"/>
      <c r="AE259" s="799"/>
      <c r="AF259" s="799"/>
      <c r="AG259" s="799"/>
      <c r="AH259" s="799"/>
      <c r="AI259" s="799"/>
      <c r="AJ259" s="799"/>
      <c r="AK259" s="799"/>
      <c r="AL259" s="799"/>
      <c r="AM259" s="799"/>
      <c r="AN259" s="799"/>
      <c r="AO259" s="799"/>
      <c r="AP259" s="799"/>
      <c r="AQ259" s="799"/>
      <c r="AR259" s="799"/>
      <c r="AS259" s="799"/>
      <c r="AT259" s="799"/>
      <c r="AU259" s="799"/>
      <c r="AV259" s="799"/>
      <c r="AW259" s="799"/>
      <c r="AX259" s="799"/>
      <c r="AY259" s="799"/>
      <c r="AZ259" s="799"/>
      <c r="BA259" s="799"/>
      <c r="BB259" s="799"/>
      <c r="BC259" s="799"/>
      <c r="BD259" s="799"/>
      <c r="BE259" s="799"/>
      <c r="BF259" s="799"/>
      <c r="BG259" s="799"/>
    </row>
    <row r="260">
      <c r="H260" s="799"/>
      <c r="I260" s="799"/>
      <c r="J260" s="799"/>
      <c r="K260" s="799"/>
      <c r="L260" s="799"/>
      <c r="M260" s="799"/>
      <c r="N260" s="799"/>
      <c r="O260" s="799"/>
      <c r="P260" s="799"/>
      <c r="Q260" s="799"/>
      <c r="R260" s="799"/>
      <c r="S260" s="799"/>
      <c r="T260" s="799"/>
      <c r="U260" s="799"/>
      <c r="V260" s="799"/>
      <c r="W260" s="799"/>
      <c r="X260" s="799"/>
      <c r="Y260" s="799"/>
      <c r="Z260" s="799"/>
      <c r="AA260" s="799"/>
      <c r="AB260" s="799"/>
      <c r="AC260" s="799"/>
      <c r="AD260" s="799"/>
      <c r="AE260" s="799"/>
      <c r="AF260" s="799"/>
      <c r="AG260" s="799"/>
      <c r="AH260" s="799"/>
      <c r="AI260" s="799"/>
      <c r="AJ260" s="799"/>
      <c r="AK260" s="799"/>
      <c r="AL260" s="799"/>
      <c r="AM260" s="799"/>
      <c r="AN260" s="799"/>
      <c r="AO260" s="799"/>
      <c r="AP260" s="799"/>
      <c r="AQ260" s="799"/>
      <c r="AR260" s="799"/>
      <c r="AS260" s="799"/>
      <c r="AT260" s="799"/>
      <c r="AU260" s="799"/>
      <c r="AV260" s="799"/>
      <c r="AW260" s="799"/>
      <c r="AX260" s="799"/>
      <c r="AY260" s="799"/>
      <c r="AZ260" s="799"/>
      <c r="BA260" s="799"/>
      <c r="BB260" s="799"/>
      <c r="BC260" s="799"/>
      <c r="BD260" s="799"/>
      <c r="BE260" s="799"/>
      <c r="BF260" s="799"/>
      <c r="BG260" s="799"/>
    </row>
    <row r="261">
      <c r="H261" s="799"/>
      <c r="I261" s="799"/>
      <c r="J261" s="799"/>
      <c r="K261" s="799"/>
      <c r="L261" s="799"/>
      <c r="M261" s="799"/>
      <c r="N261" s="799"/>
      <c r="O261" s="799"/>
      <c r="P261" s="799"/>
      <c r="Q261" s="799"/>
      <c r="R261" s="799"/>
      <c r="S261" s="799"/>
      <c r="T261" s="799"/>
      <c r="U261" s="799"/>
      <c r="V261" s="799"/>
      <c r="W261" s="799"/>
      <c r="X261" s="799"/>
      <c r="Y261" s="799"/>
      <c r="Z261" s="799"/>
      <c r="AA261" s="799"/>
      <c r="AB261" s="799"/>
      <c r="AC261" s="799"/>
      <c r="AD261" s="799"/>
      <c r="AE261" s="799"/>
      <c r="AF261" s="799"/>
      <c r="AG261" s="799"/>
      <c r="AH261" s="799"/>
      <c r="AI261" s="799"/>
      <c r="AJ261" s="799"/>
      <c r="AK261" s="799"/>
      <c r="AL261" s="799"/>
      <c r="AM261" s="799"/>
      <c r="AN261" s="799"/>
      <c r="AO261" s="799"/>
      <c r="AP261" s="799"/>
      <c r="AQ261" s="799"/>
      <c r="AR261" s="799"/>
      <c r="AS261" s="799"/>
      <c r="AT261" s="799"/>
      <c r="AU261" s="799"/>
      <c r="AV261" s="799"/>
      <c r="AW261" s="799"/>
      <c r="AX261" s="799"/>
      <c r="AY261" s="799"/>
      <c r="AZ261" s="799"/>
      <c r="BA261" s="799"/>
      <c r="BB261" s="799"/>
      <c r="BC261" s="799"/>
      <c r="BD261" s="799"/>
      <c r="BE261" s="799"/>
      <c r="BF261" s="799"/>
      <c r="BG261" s="799"/>
    </row>
    <row r="262">
      <c r="H262" s="799"/>
      <c r="I262" s="799"/>
      <c r="J262" s="799"/>
      <c r="K262" s="799"/>
      <c r="L262" s="799"/>
      <c r="M262" s="799"/>
      <c r="N262" s="799"/>
      <c r="O262" s="799"/>
      <c r="P262" s="799"/>
      <c r="Q262" s="799"/>
      <c r="R262" s="799"/>
      <c r="S262" s="799"/>
      <c r="T262" s="799"/>
      <c r="U262" s="799"/>
      <c r="V262" s="799"/>
      <c r="W262" s="799"/>
      <c r="X262" s="799"/>
      <c r="Y262" s="799"/>
      <c r="Z262" s="799"/>
      <c r="AA262" s="799"/>
      <c r="AB262" s="799"/>
      <c r="AC262" s="799"/>
      <c r="AD262" s="799"/>
      <c r="AE262" s="799"/>
      <c r="AF262" s="799"/>
      <c r="AG262" s="799"/>
      <c r="AH262" s="799"/>
      <c r="AI262" s="799"/>
      <c r="AJ262" s="799"/>
      <c r="AK262" s="799"/>
      <c r="AL262" s="799"/>
      <c r="AM262" s="799"/>
      <c r="AN262" s="799"/>
      <c r="AO262" s="799"/>
      <c r="AP262" s="799"/>
      <c r="AQ262" s="799"/>
      <c r="AR262" s="799"/>
      <c r="AS262" s="799"/>
      <c r="AT262" s="799"/>
      <c r="AU262" s="799"/>
      <c r="AV262" s="799"/>
      <c r="AW262" s="799"/>
      <c r="AX262" s="799"/>
      <c r="AY262" s="799"/>
      <c r="AZ262" s="799"/>
      <c r="BA262" s="799"/>
      <c r="BB262" s="799"/>
      <c r="BC262" s="799"/>
      <c r="BD262" s="799"/>
      <c r="BE262" s="799"/>
      <c r="BF262" s="799"/>
      <c r="BG262" s="799"/>
    </row>
    <row r="263">
      <c r="H263" s="799"/>
      <c r="I263" s="799"/>
      <c r="J263" s="799"/>
      <c r="K263" s="799"/>
      <c r="L263" s="799"/>
      <c r="M263" s="799"/>
      <c r="N263" s="799"/>
      <c r="O263" s="799"/>
      <c r="P263" s="799"/>
      <c r="Q263" s="799"/>
      <c r="R263" s="799"/>
      <c r="S263" s="799"/>
      <c r="T263" s="799"/>
      <c r="U263" s="799"/>
      <c r="V263" s="799"/>
      <c r="W263" s="799"/>
      <c r="X263" s="799"/>
      <c r="Y263" s="799"/>
      <c r="Z263" s="799"/>
      <c r="AA263" s="799"/>
      <c r="AB263" s="799"/>
      <c r="AC263" s="799"/>
      <c r="AD263" s="799"/>
      <c r="AE263" s="799"/>
      <c r="AF263" s="799"/>
      <c r="AG263" s="799"/>
      <c r="AH263" s="799"/>
      <c r="AI263" s="799"/>
      <c r="AJ263" s="799"/>
      <c r="AK263" s="799"/>
      <c r="AL263" s="799"/>
      <c r="AM263" s="799"/>
      <c r="AN263" s="799"/>
      <c r="AO263" s="799"/>
      <c r="AP263" s="799"/>
      <c r="AQ263" s="799"/>
      <c r="AR263" s="799"/>
      <c r="AS263" s="799"/>
      <c r="AT263" s="799"/>
      <c r="AU263" s="799"/>
      <c r="AV263" s="799"/>
      <c r="AW263" s="799"/>
      <c r="AX263" s="799"/>
      <c r="AY263" s="799"/>
      <c r="AZ263" s="799"/>
      <c r="BA263" s="799"/>
      <c r="BB263" s="799"/>
      <c r="BC263" s="799"/>
      <c r="BD263" s="799"/>
      <c r="BE263" s="799"/>
      <c r="BF263" s="799"/>
      <c r="BG263" s="799"/>
    </row>
    <row r="264">
      <c r="H264" s="799"/>
      <c r="I264" s="799"/>
      <c r="J264" s="799"/>
      <c r="K264" s="799"/>
      <c r="L264" s="799"/>
      <c r="M264" s="799"/>
      <c r="N264" s="799"/>
      <c r="O264" s="799"/>
      <c r="P264" s="799"/>
      <c r="Q264" s="799"/>
      <c r="R264" s="799"/>
      <c r="S264" s="799"/>
      <c r="T264" s="799"/>
      <c r="U264" s="799"/>
      <c r="V264" s="799"/>
      <c r="W264" s="799"/>
      <c r="X264" s="799"/>
      <c r="Y264" s="799"/>
      <c r="Z264" s="799"/>
      <c r="AA264" s="799"/>
      <c r="AB264" s="799"/>
      <c r="AC264" s="799"/>
      <c r="AD264" s="799"/>
      <c r="AE264" s="799"/>
      <c r="AF264" s="799"/>
      <c r="AG264" s="799"/>
      <c r="AH264" s="799"/>
      <c r="AI264" s="799"/>
      <c r="AJ264" s="799"/>
      <c r="AK264" s="799"/>
      <c r="AL264" s="799"/>
      <c r="AM264" s="799"/>
      <c r="AN264" s="799"/>
      <c r="AO264" s="799"/>
      <c r="AP264" s="799"/>
      <c r="AQ264" s="799"/>
      <c r="AR264" s="799"/>
      <c r="AS264" s="799"/>
      <c r="AT264" s="799"/>
      <c r="AU264" s="799"/>
      <c r="AV264" s="799"/>
      <c r="AW264" s="799"/>
      <c r="AX264" s="799"/>
      <c r="AY264" s="799"/>
      <c r="AZ264" s="799"/>
      <c r="BA264" s="799"/>
      <c r="BB264" s="799"/>
      <c r="BC264" s="799"/>
      <c r="BD264" s="799"/>
      <c r="BE264" s="799"/>
      <c r="BF264" s="799"/>
      <c r="BG264" s="799"/>
    </row>
    <row r="265">
      <c r="H265" s="799"/>
      <c r="I265" s="799"/>
      <c r="J265" s="799"/>
      <c r="K265" s="799"/>
      <c r="L265" s="799"/>
      <c r="M265" s="799"/>
      <c r="N265" s="799"/>
      <c r="O265" s="799"/>
      <c r="P265" s="799"/>
      <c r="Q265" s="799"/>
      <c r="R265" s="799"/>
      <c r="S265" s="799"/>
      <c r="T265" s="799"/>
      <c r="U265" s="799"/>
      <c r="V265" s="799"/>
      <c r="W265" s="799"/>
      <c r="X265" s="799"/>
      <c r="Y265" s="799"/>
      <c r="Z265" s="799"/>
      <c r="AA265" s="799"/>
      <c r="AB265" s="799"/>
      <c r="AC265" s="799"/>
      <c r="AD265" s="799"/>
      <c r="AE265" s="799"/>
      <c r="AF265" s="799"/>
      <c r="AG265" s="799"/>
      <c r="AH265" s="799"/>
      <c r="AI265" s="799"/>
      <c r="AJ265" s="799"/>
      <c r="AK265" s="799"/>
      <c r="AL265" s="799"/>
      <c r="AM265" s="799"/>
      <c r="AN265" s="799"/>
      <c r="AO265" s="799"/>
      <c r="AP265" s="799"/>
      <c r="AQ265" s="799"/>
      <c r="AR265" s="799"/>
      <c r="AS265" s="799"/>
      <c r="AT265" s="799"/>
      <c r="AU265" s="799"/>
      <c r="AV265" s="799"/>
      <c r="AW265" s="799"/>
      <c r="AX265" s="799"/>
      <c r="AY265" s="799"/>
      <c r="AZ265" s="799"/>
      <c r="BA265" s="799"/>
      <c r="BB265" s="799"/>
      <c r="BC265" s="799"/>
      <c r="BD265" s="799"/>
      <c r="BE265" s="799"/>
      <c r="BF265" s="799"/>
      <c r="BG265" s="799"/>
    </row>
    <row r="266">
      <c r="H266" s="799"/>
      <c r="I266" s="799"/>
      <c r="J266" s="799"/>
      <c r="K266" s="799"/>
      <c r="L266" s="799"/>
      <c r="M266" s="799"/>
      <c r="N266" s="799"/>
      <c r="O266" s="799"/>
      <c r="P266" s="799"/>
      <c r="Q266" s="799"/>
      <c r="R266" s="799"/>
      <c r="S266" s="799"/>
      <c r="T266" s="799"/>
      <c r="U266" s="799"/>
      <c r="V266" s="799"/>
      <c r="W266" s="799"/>
      <c r="X266" s="799"/>
      <c r="Y266" s="799"/>
      <c r="Z266" s="799"/>
      <c r="AA266" s="799"/>
      <c r="AB266" s="799"/>
      <c r="AC266" s="799"/>
      <c r="AD266" s="799"/>
      <c r="AE266" s="799"/>
      <c r="AF266" s="799"/>
      <c r="AG266" s="799"/>
      <c r="AH266" s="799"/>
      <c r="AI266" s="799"/>
      <c r="AJ266" s="799"/>
      <c r="AK266" s="799"/>
      <c r="AL266" s="799"/>
      <c r="AM266" s="799"/>
      <c r="AN266" s="799"/>
      <c r="AO266" s="799"/>
      <c r="AP266" s="799"/>
      <c r="AQ266" s="799"/>
      <c r="AR266" s="799"/>
      <c r="AS266" s="799"/>
      <c r="AT266" s="799"/>
      <c r="AU266" s="799"/>
      <c r="AV266" s="799"/>
      <c r="AW266" s="799"/>
      <c r="AX266" s="799"/>
      <c r="AY266" s="799"/>
      <c r="AZ266" s="799"/>
      <c r="BA266" s="799"/>
      <c r="BB266" s="799"/>
      <c r="BC266" s="799"/>
      <c r="BD266" s="799"/>
      <c r="BE266" s="799"/>
      <c r="BF266" s="799"/>
      <c r="BG266" s="799"/>
    </row>
    <row r="267">
      <c r="H267" s="799"/>
      <c r="I267" s="799"/>
      <c r="J267" s="799"/>
      <c r="K267" s="799"/>
      <c r="L267" s="799"/>
      <c r="M267" s="799"/>
      <c r="N267" s="799"/>
      <c r="O267" s="799"/>
      <c r="P267" s="799"/>
      <c r="Q267" s="799"/>
      <c r="R267" s="799"/>
      <c r="S267" s="799"/>
      <c r="T267" s="799"/>
      <c r="U267" s="799"/>
      <c r="V267" s="799"/>
      <c r="W267" s="799"/>
      <c r="X267" s="799"/>
      <c r="Y267" s="799"/>
      <c r="Z267" s="799"/>
      <c r="AA267" s="799"/>
      <c r="AB267" s="799"/>
      <c r="AC267" s="799"/>
      <c r="AD267" s="799"/>
      <c r="AE267" s="799"/>
      <c r="AF267" s="799"/>
      <c r="AG267" s="799"/>
      <c r="AH267" s="799"/>
      <c r="AI267" s="799"/>
      <c r="AJ267" s="799"/>
      <c r="AK267" s="799"/>
      <c r="AL267" s="799"/>
      <c r="AM267" s="799"/>
      <c r="AN267" s="799"/>
      <c r="AO267" s="799"/>
      <c r="AP267" s="799"/>
      <c r="AQ267" s="799"/>
      <c r="AR267" s="799"/>
      <c r="AS267" s="799"/>
      <c r="AT267" s="799"/>
      <c r="AU267" s="799"/>
      <c r="AV267" s="799"/>
      <c r="AW267" s="799"/>
      <c r="AX267" s="799"/>
      <c r="AY267" s="799"/>
      <c r="AZ267" s="799"/>
      <c r="BA267" s="799"/>
      <c r="BB267" s="799"/>
      <c r="BC267" s="799"/>
      <c r="BD267" s="799"/>
      <c r="BE267" s="799"/>
      <c r="BF267" s="799"/>
      <c r="BG267" s="799"/>
    </row>
    <row r="268">
      <c r="H268" s="799"/>
      <c r="I268" s="799"/>
      <c r="J268" s="799"/>
      <c r="K268" s="799"/>
      <c r="L268" s="799"/>
      <c r="M268" s="799"/>
      <c r="N268" s="799"/>
      <c r="O268" s="799"/>
      <c r="P268" s="799"/>
      <c r="Q268" s="799"/>
      <c r="R268" s="799"/>
      <c r="S268" s="799"/>
      <c r="T268" s="799"/>
      <c r="U268" s="799"/>
      <c r="V268" s="799"/>
      <c r="W268" s="799"/>
      <c r="X268" s="799"/>
      <c r="Y268" s="799"/>
      <c r="Z268" s="799"/>
      <c r="AA268" s="799"/>
      <c r="AB268" s="799"/>
      <c r="AC268" s="799"/>
      <c r="AD268" s="799"/>
      <c r="AE268" s="799"/>
      <c r="AF268" s="799"/>
      <c r="AG268" s="799"/>
      <c r="AH268" s="799"/>
      <c r="AI268" s="799"/>
      <c r="AJ268" s="799"/>
      <c r="AK268" s="799"/>
      <c r="AL268" s="799"/>
      <c r="AM268" s="799"/>
      <c r="AN268" s="799"/>
      <c r="AO268" s="799"/>
      <c r="AP268" s="799"/>
      <c r="AQ268" s="799"/>
      <c r="AR268" s="799"/>
      <c r="AS268" s="799"/>
      <c r="AT268" s="799"/>
      <c r="AU268" s="799"/>
      <c r="AV268" s="799"/>
      <c r="AW268" s="799"/>
      <c r="AX268" s="799"/>
      <c r="AY268" s="799"/>
      <c r="AZ268" s="799"/>
      <c r="BA268" s="799"/>
      <c r="BB268" s="799"/>
      <c r="BC268" s="799"/>
      <c r="BD268" s="799"/>
      <c r="BE268" s="799"/>
      <c r="BF268" s="799"/>
      <c r="BG268" s="799"/>
    </row>
    <row r="269">
      <c r="H269" s="799"/>
      <c r="I269" s="799"/>
      <c r="J269" s="799"/>
      <c r="K269" s="799"/>
      <c r="L269" s="799"/>
      <c r="M269" s="799"/>
      <c r="N269" s="799"/>
      <c r="O269" s="799"/>
      <c r="P269" s="799"/>
      <c r="Q269" s="799"/>
      <c r="R269" s="799"/>
      <c r="S269" s="799"/>
      <c r="T269" s="799"/>
      <c r="U269" s="799"/>
      <c r="V269" s="799"/>
      <c r="W269" s="799"/>
      <c r="X269" s="799"/>
      <c r="Y269" s="799"/>
      <c r="Z269" s="799"/>
      <c r="AA269" s="799"/>
      <c r="AB269" s="799"/>
      <c r="AC269" s="799"/>
      <c r="AD269" s="799"/>
      <c r="AE269" s="799"/>
      <c r="AF269" s="799"/>
      <c r="AG269" s="799"/>
      <c r="AH269" s="799"/>
      <c r="AI269" s="799"/>
      <c r="AJ269" s="799"/>
      <c r="AK269" s="799"/>
      <c r="AL269" s="799"/>
      <c r="AM269" s="799"/>
      <c r="AN269" s="799"/>
      <c r="AO269" s="799"/>
      <c r="AP269" s="799"/>
      <c r="AQ269" s="799"/>
      <c r="AR269" s="799"/>
      <c r="AS269" s="799"/>
      <c r="AT269" s="799"/>
      <c r="AU269" s="799"/>
      <c r="AV269" s="799"/>
      <c r="AW269" s="799"/>
      <c r="AX269" s="799"/>
      <c r="AY269" s="799"/>
      <c r="AZ269" s="799"/>
      <c r="BA269" s="799"/>
      <c r="BB269" s="799"/>
      <c r="BC269" s="799"/>
      <c r="BD269" s="799"/>
      <c r="BE269" s="799"/>
      <c r="BF269" s="799"/>
      <c r="BG269" s="799"/>
    </row>
    <row r="270">
      <c r="H270" s="799"/>
      <c r="I270" s="799"/>
      <c r="J270" s="799"/>
      <c r="K270" s="799"/>
      <c r="L270" s="799"/>
      <c r="M270" s="799"/>
      <c r="N270" s="799"/>
      <c r="O270" s="799"/>
      <c r="P270" s="799"/>
      <c r="Q270" s="799"/>
      <c r="R270" s="799"/>
      <c r="S270" s="799"/>
      <c r="T270" s="799"/>
      <c r="U270" s="799"/>
      <c r="V270" s="799"/>
      <c r="W270" s="799"/>
      <c r="X270" s="799"/>
      <c r="Y270" s="799"/>
      <c r="Z270" s="799"/>
      <c r="AA270" s="799"/>
      <c r="AB270" s="799"/>
      <c r="AC270" s="799"/>
      <c r="AD270" s="799"/>
      <c r="AE270" s="799"/>
      <c r="AF270" s="799"/>
      <c r="AG270" s="799"/>
      <c r="AH270" s="799"/>
      <c r="AI270" s="799"/>
      <c r="AJ270" s="799"/>
      <c r="AK270" s="799"/>
      <c r="AL270" s="799"/>
      <c r="AM270" s="799"/>
      <c r="AN270" s="799"/>
      <c r="AO270" s="799"/>
      <c r="AP270" s="799"/>
      <c r="AQ270" s="799"/>
      <c r="AR270" s="799"/>
      <c r="AS270" s="799"/>
      <c r="AT270" s="799"/>
      <c r="AU270" s="799"/>
      <c r="AV270" s="799"/>
      <c r="AW270" s="799"/>
      <c r="AX270" s="799"/>
      <c r="AY270" s="799"/>
      <c r="AZ270" s="799"/>
      <c r="BA270" s="799"/>
      <c r="BB270" s="799"/>
      <c r="BC270" s="799"/>
      <c r="BD270" s="799"/>
      <c r="BE270" s="799"/>
      <c r="BF270" s="799"/>
      <c r="BG270" s="799"/>
    </row>
    <row r="271">
      <c r="H271" s="799"/>
      <c r="I271" s="799"/>
      <c r="J271" s="799"/>
      <c r="K271" s="799"/>
      <c r="L271" s="799"/>
      <c r="M271" s="799"/>
      <c r="N271" s="799"/>
      <c r="O271" s="799"/>
      <c r="P271" s="799"/>
      <c r="Q271" s="799"/>
      <c r="R271" s="799"/>
      <c r="S271" s="799"/>
      <c r="T271" s="799"/>
      <c r="U271" s="799"/>
      <c r="V271" s="799"/>
      <c r="W271" s="799"/>
      <c r="X271" s="799"/>
      <c r="Y271" s="799"/>
      <c r="Z271" s="799"/>
      <c r="AA271" s="799"/>
      <c r="AB271" s="799"/>
      <c r="AC271" s="799"/>
      <c r="AD271" s="799"/>
      <c r="AE271" s="799"/>
      <c r="AF271" s="799"/>
      <c r="AG271" s="799"/>
      <c r="AH271" s="799"/>
      <c r="AI271" s="799"/>
      <c r="AJ271" s="799"/>
      <c r="AK271" s="799"/>
      <c r="AL271" s="799"/>
      <c r="AM271" s="799"/>
      <c r="AN271" s="799"/>
      <c r="AO271" s="799"/>
      <c r="AP271" s="799"/>
      <c r="AQ271" s="799"/>
      <c r="AR271" s="799"/>
      <c r="AS271" s="799"/>
      <c r="AT271" s="799"/>
      <c r="AU271" s="799"/>
      <c r="AV271" s="799"/>
      <c r="AW271" s="799"/>
      <c r="AX271" s="799"/>
      <c r="AY271" s="799"/>
      <c r="AZ271" s="799"/>
      <c r="BA271" s="799"/>
      <c r="BB271" s="799"/>
      <c r="BC271" s="799"/>
      <c r="BD271" s="799"/>
      <c r="BE271" s="799"/>
      <c r="BF271" s="799"/>
      <c r="BG271" s="799"/>
    </row>
    <row r="272">
      <c r="H272" s="799"/>
      <c r="I272" s="799"/>
      <c r="J272" s="799"/>
      <c r="K272" s="799"/>
      <c r="L272" s="799"/>
      <c r="M272" s="799"/>
      <c r="N272" s="799"/>
      <c r="O272" s="799"/>
      <c r="P272" s="799"/>
      <c r="Q272" s="799"/>
      <c r="R272" s="799"/>
      <c r="S272" s="799"/>
      <c r="T272" s="799"/>
      <c r="U272" s="799"/>
      <c r="V272" s="799"/>
      <c r="W272" s="799"/>
      <c r="X272" s="799"/>
      <c r="Y272" s="799"/>
      <c r="Z272" s="799"/>
      <c r="AA272" s="799"/>
      <c r="AB272" s="799"/>
      <c r="AC272" s="799"/>
      <c r="AD272" s="799"/>
      <c r="AE272" s="799"/>
      <c r="AF272" s="799"/>
      <c r="AG272" s="799"/>
      <c r="AH272" s="799"/>
      <c r="AI272" s="799"/>
      <c r="AJ272" s="799"/>
      <c r="AK272" s="799"/>
      <c r="AL272" s="799"/>
      <c r="AM272" s="799"/>
      <c r="AN272" s="799"/>
      <c r="AO272" s="799"/>
      <c r="AP272" s="799"/>
      <c r="AQ272" s="799"/>
      <c r="AR272" s="799"/>
      <c r="AS272" s="799"/>
      <c r="AT272" s="799"/>
      <c r="AU272" s="799"/>
      <c r="AV272" s="799"/>
      <c r="AW272" s="799"/>
      <c r="AX272" s="799"/>
      <c r="AY272" s="799"/>
      <c r="AZ272" s="799"/>
      <c r="BA272" s="799"/>
      <c r="BB272" s="799"/>
      <c r="BC272" s="799"/>
      <c r="BD272" s="799"/>
      <c r="BE272" s="799"/>
      <c r="BF272" s="799"/>
      <c r="BG272" s="799"/>
    </row>
    <row r="273">
      <c r="H273" s="799"/>
      <c r="I273" s="799"/>
      <c r="J273" s="799"/>
      <c r="K273" s="799"/>
      <c r="L273" s="799"/>
      <c r="M273" s="799"/>
      <c r="N273" s="799"/>
      <c r="O273" s="799"/>
      <c r="P273" s="799"/>
      <c r="Q273" s="799"/>
      <c r="R273" s="799"/>
      <c r="S273" s="799"/>
      <c r="T273" s="799"/>
      <c r="U273" s="799"/>
      <c r="V273" s="799"/>
      <c r="W273" s="799"/>
      <c r="X273" s="799"/>
      <c r="Y273" s="799"/>
      <c r="Z273" s="799"/>
      <c r="AA273" s="799"/>
      <c r="AB273" s="799"/>
      <c r="AC273" s="799"/>
      <c r="AD273" s="799"/>
      <c r="AE273" s="799"/>
      <c r="AF273" s="799"/>
      <c r="AG273" s="799"/>
      <c r="AH273" s="799"/>
      <c r="AI273" s="799"/>
      <c r="AJ273" s="799"/>
      <c r="AK273" s="799"/>
      <c r="AL273" s="799"/>
      <c r="AM273" s="799"/>
      <c r="AN273" s="799"/>
      <c r="AO273" s="799"/>
      <c r="AP273" s="799"/>
      <c r="AQ273" s="799"/>
      <c r="AR273" s="799"/>
      <c r="AS273" s="799"/>
      <c r="AT273" s="799"/>
      <c r="AU273" s="799"/>
      <c r="AV273" s="799"/>
      <c r="AW273" s="799"/>
      <c r="AX273" s="799"/>
      <c r="AY273" s="799"/>
      <c r="AZ273" s="799"/>
      <c r="BA273" s="799"/>
      <c r="BB273" s="799"/>
      <c r="BC273" s="799"/>
      <c r="BD273" s="799"/>
      <c r="BE273" s="799"/>
      <c r="BF273" s="799"/>
      <c r="BG273" s="799"/>
    </row>
    <row r="274">
      <c r="H274" s="799"/>
      <c r="I274" s="799"/>
      <c r="J274" s="799"/>
      <c r="K274" s="799"/>
      <c r="L274" s="799"/>
      <c r="M274" s="799"/>
      <c r="N274" s="799"/>
      <c r="O274" s="799"/>
      <c r="P274" s="799"/>
      <c r="Q274" s="799"/>
      <c r="R274" s="799"/>
      <c r="S274" s="799"/>
      <c r="T274" s="799"/>
      <c r="U274" s="799"/>
      <c r="V274" s="799"/>
      <c r="W274" s="799"/>
      <c r="X274" s="799"/>
      <c r="Y274" s="799"/>
      <c r="Z274" s="799"/>
      <c r="AA274" s="799"/>
      <c r="AB274" s="799"/>
      <c r="AC274" s="799"/>
      <c r="AD274" s="799"/>
      <c r="AE274" s="799"/>
      <c r="AF274" s="799"/>
      <c r="AG274" s="799"/>
      <c r="AH274" s="799"/>
      <c r="AI274" s="799"/>
      <c r="AJ274" s="799"/>
      <c r="AK274" s="799"/>
      <c r="AL274" s="799"/>
      <c r="AM274" s="799"/>
      <c r="AN274" s="799"/>
      <c r="AO274" s="799"/>
      <c r="AP274" s="799"/>
      <c r="AQ274" s="799"/>
      <c r="AR274" s="799"/>
      <c r="AS274" s="799"/>
      <c r="AT274" s="799"/>
      <c r="AU274" s="799"/>
      <c r="AV274" s="799"/>
      <c r="AW274" s="799"/>
      <c r="AX274" s="799"/>
      <c r="AY274" s="799"/>
      <c r="AZ274" s="799"/>
      <c r="BA274" s="799"/>
      <c r="BB274" s="799"/>
      <c r="BC274" s="799"/>
      <c r="BD274" s="799"/>
      <c r="BE274" s="799"/>
      <c r="BF274" s="799"/>
      <c r="BG274" s="799"/>
    </row>
    <row r="275">
      <c r="H275" s="799"/>
      <c r="I275" s="799"/>
      <c r="J275" s="799"/>
      <c r="K275" s="799"/>
      <c r="L275" s="799"/>
      <c r="M275" s="799"/>
      <c r="N275" s="799"/>
      <c r="O275" s="799"/>
      <c r="P275" s="799"/>
      <c r="Q275" s="799"/>
      <c r="R275" s="799"/>
      <c r="S275" s="799"/>
      <c r="T275" s="799"/>
      <c r="U275" s="799"/>
      <c r="V275" s="799"/>
      <c r="W275" s="799"/>
      <c r="X275" s="799"/>
      <c r="Y275" s="799"/>
      <c r="Z275" s="799"/>
      <c r="AA275" s="799"/>
      <c r="AB275" s="799"/>
      <c r="AC275" s="799"/>
      <c r="AD275" s="799"/>
      <c r="AE275" s="799"/>
      <c r="AF275" s="799"/>
      <c r="AG275" s="799"/>
      <c r="AH275" s="799"/>
      <c r="AI275" s="799"/>
      <c r="AJ275" s="799"/>
      <c r="AK275" s="799"/>
      <c r="AL275" s="799"/>
      <c r="AM275" s="799"/>
      <c r="AN275" s="799"/>
      <c r="AO275" s="799"/>
      <c r="AP275" s="799"/>
      <c r="AQ275" s="799"/>
      <c r="AR275" s="799"/>
      <c r="AS275" s="799"/>
      <c r="AT275" s="799"/>
      <c r="AU275" s="799"/>
      <c r="AV275" s="799"/>
      <c r="AW275" s="799"/>
      <c r="AX275" s="799"/>
      <c r="AY275" s="799"/>
      <c r="AZ275" s="799"/>
      <c r="BA275" s="799"/>
      <c r="BB275" s="799"/>
      <c r="BC275" s="799"/>
      <c r="BD275" s="799"/>
      <c r="BE275" s="799"/>
      <c r="BF275" s="799"/>
      <c r="BG275" s="799"/>
    </row>
    <row r="276">
      <c r="H276" s="799"/>
      <c r="I276" s="799"/>
      <c r="J276" s="799"/>
      <c r="K276" s="799"/>
      <c r="L276" s="799"/>
      <c r="M276" s="799"/>
      <c r="N276" s="799"/>
      <c r="O276" s="799"/>
      <c r="P276" s="799"/>
      <c r="Q276" s="799"/>
      <c r="R276" s="799"/>
      <c r="S276" s="799"/>
      <c r="T276" s="799"/>
      <c r="U276" s="799"/>
      <c r="V276" s="799"/>
      <c r="W276" s="799"/>
      <c r="X276" s="799"/>
      <c r="Y276" s="799"/>
      <c r="Z276" s="799"/>
      <c r="AA276" s="799"/>
      <c r="AB276" s="799"/>
      <c r="AC276" s="799"/>
      <c r="AD276" s="799"/>
      <c r="AE276" s="799"/>
      <c r="AF276" s="799"/>
      <c r="AG276" s="799"/>
      <c r="AH276" s="799"/>
      <c r="AI276" s="799"/>
      <c r="AJ276" s="799"/>
      <c r="AK276" s="799"/>
      <c r="AL276" s="799"/>
      <c r="AM276" s="799"/>
      <c r="AN276" s="799"/>
      <c r="AO276" s="799"/>
      <c r="AP276" s="799"/>
      <c r="AQ276" s="799"/>
      <c r="AR276" s="799"/>
      <c r="AS276" s="799"/>
      <c r="AT276" s="799"/>
      <c r="AU276" s="799"/>
      <c r="AV276" s="799"/>
      <c r="AW276" s="799"/>
      <c r="AX276" s="799"/>
      <c r="AY276" s="799"/>
      <c r="AZ276" s="799"/>
      <c r="BA276" s="799"/>
      <c r="BB276" s="799"/>
      <c r="BC276" s="799"/>
      <c r="BD276" s="799"/>
      <c r="BE276" s="799"/>
      <c r="BF276" s="799"/>
      <c r="BG276" s="799"/>
    </row>
    <row r="277">
      <c r="H277" s="799"/>
      <c r="I277" s="799"/>
      <c r="J277" s="799"/>
      <c r="K277" s="799"/>
      <c r="L277" s="799"/>
      <c r="M277" s="799"/>
      <c r="N277" s="799"/>
      <c r="O277" s="799"/>
      <c r="P277" s="799"/>
      <c r="Q277" s="799"/>
      <c r="R277" s="799"/>
      <c r="S277" s="799"/>
      <c r="T277" s="799"/>
      <c r="U277" s="799"/>
      <c r="V277" s="799"/>
      <c r="W277" s="799"/>
      <c r="X277" s="799"/>
      <c r="Y277" s="799"/>
      <c r="Z277" s="799"/>
      <c r="AA277" s="799"/>
      <c r="AB277" s="799"/>
      <c r="AC277" s="799"/>
      <c r="AD277" s="799"/>
      <c r="AE277" s="799"/>
      <c r="AF277" s="799"/>
      <c r="AG277" s="799"/>
      <c r="AH277" s="799"/>
      <c r="AI277" s="799"/>
      <c r="AJ277" s="799"/>
      <c r="AK277" s="799"/>
      <c r="AL277" s="799"/>
      <c r="AM277" s="799"/>
      <c r="AN277" s="799"/>
      <c r="AO277" s="799"/>
      <c r="AP277" s="799"/>
      <c r="AQ277" s="799"/>
      <c r="AR277" s="799"/>
      <c r="AS277" s="799"/>
      <c r="AT277" s="799"/>
      <c r="AU277" s="799"/>
      <c r="AV277" s="799"/>
      <c r="AW277" s="799"/>
      <c r="AX277" s="799"/>
      <c r="AY277" s="799"/>
      <c r="AZ277" s="799"/>
      <c r="BA277" s="799"/>
      <c r="BB277" s="799"/>
      <c r="BC277" s="799"/>
      <c r="BD277" s="799"/>
      <c r="BE277" s="799"/>
      <c r="BF277" s="799"/>
      <c r="BG277" s="799"/>
    </row>
    <row r="278">
      <c r="H278" s="799"/>
      <c r="I278" s="799"/>
      <c r="J278" s="799"/>
      <c r="K278" s="799"/>
      <c r="L278" s="799"/>
      <c r="M278" s="799"/>
      <c r="N278" s="799"/>
      <c r="O278" s="799"/>
      <c r="P278" s="799"/>
      <c r="Q278" s="799"/>
      <c r="R278" s="799"/>
      <c r="S278" s="799"/>
      <c r="T278" s="799"/>
      <c r="U278" s="799"/>
      <c r="V278" s="799"/>
      <c r="W278" s="799"/>
      <c r="X278" s="799"/>
      <c r="Y278" s="799"/>
      <c r="Z278" s="799"/>
      <c r="AA278" s="799"/>
      <c r="AB278" s="799"/>
      <c r="AC278" s="799"/>
      <c r="AD278" s="799"/>
      <c r="AE278" s="799"/>
      <c r="AF278" s="799"/>
      <c r="AG278" s="799"/>
      <c r="AH278" s="799"/>
      <c r="AI278" s="799"/>
      <c r="AJ278" s="799"/>
      <c r="AK278" s="799"/>
      <c r="AL278" s="799"/>
      <c r="AM278" s="799"/>
      <c r="AN278" s="799"/>
      <c r="AO278" s="799"/>
      <c r="AP278" s="799"/>
      <c r="AQ278" s="799"/>
      <c r="AR278" s="799"/>
      <c r="AS278" s="799"/>
      <c r="AT278" s="799"/>
      <c r="AU278" s="799"/>
      <c r="AV278" s="799"/>
      <c r="AW278" s="799"/>
      <c r="AX278" s="799"/>
      <c r="AY278" s="799"/>
      <c r="AZ278" s="799"/>
      <c r="BA278" s="799"/>
      <c r="BB278" s="799"/>
      <c r="BC278" s="799"/>
      <c r="BD278" s="799"/>
      <c r="BE278" s="799"/>
      <c r="BF278" s="799"/>
      <c r="BG278" s="799"/>
    </row>
    <row r="279">
      <c r="H279" s="799"/>
      <c r="I279" s="799"/>
      <c r="J279" s="799"/>
      <c r="K279" s="799"/>
      <c r="L279" s="799"/>
      <c r="M279" s="799"/>
      <c r="N279" s="799"/>
      <c r="O279" s="799"/>
      <c r="P279" s="799"/>
      <c r="Q279" s="799"/>
      <c r="R279" s="799"/>
      <c r="S279" s="799"/>
      <c r="T279" s="799"/>
      <c r="U279" s="799"/>
      <c r="V279" s="799"/>
      <c r="W279" s="799"/>
      <c r="X279" s="799"/>
      <c r="Y279" s="799"/>
      <c r="Z279" s="799"/>
      <c r="AA279" s="799"/>
      <c r="AB279" s="799"/>
      <c r="AC279" s="799"/>
      <c r="AD279" s="799"/>
      <c r="AE279" s="799"/>
      <c r="AF279" s="799"/>
      <c r="AG279" s="799"/>
      <c r="AH279" s="799"/>
      <c r="AI279" s="799"/>
      <c r="AJ279" s="799"/>
      <c r="AK279" s="799"/>
      <c r="AL279" s="799"/>
      <c r="AM279" s="799"/>
      <c r="AN279" s="799"/>
      <c r="AO279" s="799"/>
      <c r="AP279" s="799"/>
      <c r="AQ279" s="799"/>
      <c r="AR279" s="799"/>
      <c r="AS279" s="799"/>
      <c r="AT279" s="799"/>
      <c r="AU279" s="799"/>
      <c r="AV279" s="799"/>
      <c r="AW279" s="799"/>
      <c r="AX279" s="799"/>
      <c r="AY279" s="799"/>
      <c r="AZ279" s="799"/>
      <c r="BA279" s="799"/>
      <c r="BB279" s="799"/>
      <c r="BC279" s="799"/>
      <c r="BD279" s="799"/>
      <c r="BE279" s="799"/>
      <c r="BF279" s="799"/>
      <c r="BG279" s="799"/>
    </row>
    <row r="280">
      <c r="H280" s="799"/>
      <c r="I280" s="799"/>
      <c r="J280" s="799"/>
      <c r="K280" s="799"/>
      <c r="L280" s="799"/>
      <c r="M280" s="799"/>
      <c r="N280" s="799"/>
      <c r="O280" s="799"/>
      <c r="P280" s="799"/>
      <c r="Q280" s="799"/>
      <c r="R280" s="799"/>
      <c r="S280" s="799"/>
      <c r="T280" s="799"/>
      <c r="U280" s="799"/>
      <c r="V280" s="799"/>
      <c r="W280" s="799"/>
      <c r="X280" s="799"/>
      <c r="Y280" s="799"/>
      <c r="Z280" s="799"/>
      <c r="AA280" s="799"/>
      <c r="AB280" s="799"/>
      <c r="AC280" s="799"/>
      <c r="AD280" s="799"/>
      <c r="AE280" s="799"/>
      <c r="AF280" s="799"/>
      <c r="AG280" s="799"/>
      <c r="AH280" s="799"/>
      <c r="AI280" s="799"/>
      <c r="AJ280" s="799"/>
      <c r="AK280" s="799"/>
      <c r="AL280" s="799"/>
      <c r="AM280" s="799"/>
      <c r="AN280" s="799"/>
      <c r="AO280" s="799"/>
      <c r="AP280" s="799"/>
      <c r="AQ280" s="799"/>
      <c r="AR280" s="799"/>
      <c r="AS280" s="799"/>
      <c r="AT280" s="799"/>
      <c r="AU280" s="799"/>
      <c r="AV280" s="799"/>
      <c r="AW280" s="799"/>
      <c r="AX280" s="799"/>
      <c r="AY280" s="799"/>
      <c r="AZ280" s="799"/>
      <c r="BA280" s="799"/>
      <c r="BB280" s="799"/>
      <c r="BC280" s="799"/>
      <c r="BD280" s="799"/>
      <c r="BE280" s="799"/>
      <c r="BF280" s="799"/>
      <c r="BG280" s="799"/>
    </row>
    <row r="281">
      <c r="H281" s="799"/>
      <c r="I281" s="799"/>
      <c r="J281" s="799"/>
      <c r="K281" s="799"/>
      <c r="L281" s="799"/>
      <c r="M281" s="799"/>
      <c r="N281" s="799"/>
      <c r="O281" s="799"/>
      <c r="P281" s="799"/>
      <c r="Q281" s="799"/>
      <c r="R281" s="799"/>
      <c r="S281" s="799"/>
      <c r="T281" s="799"/>
      <c r="U281" s="799"/>
      <c r="V281" s="799"/>
      <c r="W281" s="799"/>
      <c r="X281" s="799"/>
      <c r="Y281" s="799"/>
      <c r="Z281" s="799"/>
      <c r="AA281" s="799"/>
      <c r="AB281" s="799"/>
      <c r="AC281" s="799"/>
      <c r="AD281" s="799"/>
      <c r="AE281" s="799"/>
      <c r="AF281" s="799"/>
      <c r="AG281" s="799"/>
      <c r="AH281" s="799"/>
      <c r="AI281" s="799"/>
      <c r="AJ281" s="799"/>
      <c r="AK281" s="799"/>
      <c r="AL281" s="799"/>
      <c r="AM281" s="799"/>
      <c r="AN281" s="799"/>
      <c r="AO281" s="799"/>
      <c r="AP281" s="799"/>
      <c r="AQ281" s="799"/>
      <c r="AR281" s="799"/>
      <c r="AS281" s="799"/>
      <c r="AT281" s="799"/>
      <c r="AU281" s="799"/>
      <c r="AV281" s="799"/>
      <c r="AW281" s="799"/>
      <c r="AX281" s="799"/>
      <c r="AY281" s="799"/>
      <c r="AZ281" s="799"/>
      <c r="BA281" s="799"/>
      <c r="BB281" s="799"/>
      <c r="BC281" s="799"/>
      <c r="BD281" s="799"/>
      <c r="BE281" s="799"/>
      <c r="BF281" s="799"/>
      <c r="BG281" s="799"/>
    </row>
    <row r="282">
      <c r="H282" s="799"/>
      <c r="I282" s="799"/>
      <c r="J282" s="799"/>
      <c r="K282" s="799"/>
      <c r="L282" s="799"/>
      <c r="M282" s="799"/>
      <c r="N282" s="799"/>
      <c r="O282" s="799"/>
      <c r="P282" s="799"/>
      <c r="Q282" s="799"/>
      <c r="R282" s="799"/>
      <c r="S282" s="799"/>
      <c r="T282" s="799"/>
      <c r="U282" s="799"/>
      <c r="V282" s="799"/>
      <c r="W282" s="799"/>
      <c r="X282" s="799"/>
      <c r="Y282" s="799"/>
      <c r="Z282" s="799"/>
      <c r="AA282" s="799"/>
      <c r="AB282" s="799"/>
      <c r="AC282" s="799"/>
      <c r="AD282" s="799"/>
      <c r="AE282" s="799"/>
      <c r="AF282" s="799"/>
      <c r="AG282" s="799"/>
      <c r="AH282" s="799"/>
      <c r="AI282" s="799"/>
      <c r="AJ282" s="799"/>
      <c r="AK282" s="799"/>
      <c r="AL282" s="799"/>
      <c r="AM282" s="799"/>
      <c r="AN282" s="799"/>
      <c r="AO282" s="799"/>
      <c r="AP282" s="799"/>
      <c r="AQ282" s="799"/>
      <c r="AR282" s="799"/>
      <c r="AS282" s="799"/>
      <c r="AT282" s="799"/>
      <c r="AU282" s="799"/>
      <c r="AV282" s="799"/>
      <c r="AW282" s="799"/>
      <c r="AX282" s="799"/>
      <c r="AY282" s="799"/>
      <c r="AZ282" s="799"/>
      <c r="BA282" s="799"/>
      <c r="BB282" s="799"/>
      <c r="BC282" s="799"/>
      <c r="BD282" s="799"/>
      <c r="BE282" s="799"/>
      <c r="BF282" s="799"/>
      <c r="BG282" s="799"/>
    </row>
    <row r="283">
      <c r="H283" s="799"/>
      <c r="I283" s="799"/>
      <c r="J283" s="799"/>
      <c r="K283" s="799"/>
      <c r="L283" s="799"/>
      <c r="M283" s="799"/>
      <c r="N283" s="799"/>
      <c r="O283" s="799"/>
      <c r="P283" s="799"/>
      <c r="Q283" s="799"/>
      <c r="R283" s="799"/>
      <c r="S283" s="799"/>
      <c r="T283" s="799"/>
      <c r="U283" s="799"/>
      <c r="V283" s="799"/>
      <c r="W283" s="799"/>
      <c r="X283" s="799"/>
      <c r="Y283" s="799"/>
      <c r="Z283" s="799"/>
      <c r="AA283" s="799"/>
      <c r="AB283" s="799"/>
      <c r="AC283" s="799"/>
      <c r="AD283" s="799"/>
      <c r="AE283" s="799"/>
      <c r="AF283" s="799"/>
      <c r="AG283" s="799"/>
      <c r="AH283" s="799"/>
      <c r="AI283" s="799"/>
      <c r="AJ283" s="799"/>
      <c r="AK283" s="799"/>
      <c r="AL283" s="799"/>
      <c r="AM283" s="799"/>
      <c r="AN283" s="799"/>
      <c r="AO283" s="799"/>
      <c r="AP283" s="799"/>
      <c r="AQ283" s="799"/>
      <c r="AR283" s="799"/>
      <c r="AS283" s="799"/>
      <c r="AT283" s="799"/>
      <c r="AU283" s="799"/>
      <c r="AV283" s="799"/>
      <c r="AW283" s="799"/>
      <c r="AX283" s="799"/>
      <c r="AY283" s="799"/>
      <c r="AZ283" s="799"/>
      <c r="BA283" s="799"/>
      <c r="BB283" s="799"/>
      <c r="BC283" s="799"/>
      <c r="BD283" s="799"/>
      <c r="BE283" s="799"/>
      <c r="BF283" s="799"/>
      <c r="BG283" s="799"/>
    </row>
    <row r="284">
      <c r="H284" s="799"/>
      <c r="I284" s="799"/>
      <c r="J284" s="799"/>
      <c r="K284" s="799"/>
      <c r="L284" s="799"/>
      <c r="M284" s="799"/>
      <c r="N284" s="799"/>
      <c r="O284" s="799"/>
      <c r="P284" s="799"/>
      <c r="Q284" s="799"/>
      <c r="R284" s="799"/>
      <c r="S284" s="799"/>
      <c r="T284" s="799"/>
      <c r="U284" s="799"/>
      <c r="V284" s="799"/>
      <c r="W284" s="799"/>
      <c r="X284" s="799"/>
      <c r="Y284" s="799"/>
      <c r="Z284" s="799"/>
      <c r="AA284" s="799"/>
      <c r="AB284" s="799"/>
      <c r="AC284" s="799"/>
      <c r="AD284" s="799"/>
      <c r="AE284" s="799"/>
      <c r="AF284" s="799"/>
      <c r="AG284" s="799"/>
      <c r="AH284" s="799"/>
      <c r="AI284" s="799"/>
      <c r="AJ284" s="799"/>
      <c r="AK284" s="799"/>
      <c r="AL284" s="799"/>
      <c r="AM284" s="799"/>
      <c r="AN284" s="799"/>
      <c r="AO284" s="799"/>
      <c r="AP284" s="799"/>
      <c r="AQ284" s="799"/>
      <c r="AR284" s="799"/>
      <c r="AS284" s="799"/>
      <c r="AT284" s="799"/>
      <c r="AU284" s="799"/>
      <c r="AV284" s="799"/>
      <c r="AW284" s="799"/>
      <c r="AX284" s="799"/>
      <c r="AY284" s="799"/>
      <c r="AZ284" s="799"/>
      <c r="BA284" s="799"/>
      <c r="BB284" s="799"/>
      <c r="BC284" s="799"/>
      <c r="BD284" s="799"/>
      <c r="BE284" s="799"/>
      <c r="BF284" s="799"/>
      <c r="BG284" s="799"/>
    </row>
    <row r="285">
      <c r="H285" s="799"/>
      <c r="I285" s="799"/>
      <c r="J285" s="799"/>
      <c r="K285" s="799"/>
      <c r="L285" s="799"/>
      <c r="M285" s="799"/>
      <c r="N285" s="799"/>
      <c r="O285" s="799"/>
      <c r="P285" s="799"/>
      <c r="Q285" s="799"/>
      <c r="R285" s="799"/>
      <c r="S285" s="799"/>
      <c r="T285" s="799"/>
      <c r="U285" s="799"/>
      <c r="V285" s="799"/>
      <c r="W285" s="799"/>
      <c r="X285" s="799"/>
      <c r="Y285" s="799"/>
      <c r="Z285" s="799"/>
      <c r="AA285" s="799"/>
      <c r="AB285" s="799"/>
      <c r="AC285" s="799"/>
      <c r="AD285" s="799"/>
      <c r="AE285" s="799"/>
      <c r="AF285" s="799"/>
      <c r="AG285" s="799"/>
      <c r="AH285" s="799"/>
      <c r="AI285" s="799"/>
      <c r="AJ285" s="799"/>
      <c r="AK285" s="799"/>
      <c r="AL285" s="799"/>
      <c r="AM285" s="799"/>
      <c r="AN285" s="799"/>
      <c r="AO285" s="799"/>
      <c r="AP285" s="799"/>
      <c r="AQ285" s="799"/>
      <c r="AR285" s="799"/>
      <c r="AS285" s="799"/>
      <c r="AT285" s="799"/>
      <c r="AU285" s="799"/>
      <c r="AV285" s="799"/>
      <c r="AW285" s="799"/>
      <c r="AX285" s="799"/>
      <c r="AY285" s="799"/>
      <c r="AZ285" s="799"/>
      <c r="BA285" s="799"/>
      <c r="BB285" s="799"/>
      <c r="BC285" s="799"/>
      <c r="BD285" s="799"/>
      <c r="BE285" s="799"/>
      <c r="BF285" s="799"/>
      <c r="BG285" s="799"/>
    </row>
    <row r="286">
      <c r="H286" s="799"/>
      <c r="I286" s="799"/>
      <c r="J286" s="799"/>
      <c r="K286" s="799"/>
      <c r="L286" s="799"/>
      <c r="M286" s="799"/>
      <c r="N286" s="799"/>
      <c r="O286" s="799"/>
      <c r="P286" s="799"/>
      <c r="Q286" s="799"/>
      <c r="R286" s="799"/>
      <c r="S286" s="799"/>
      <c r="T286" s="799"/>
      <c r="U286" s="799"/>
      <c r="V286" s="799"/>
      <c r="W286" s="799"/>
      <c r="X286" s="799"/>
      <c r="Y286" s="799"/>
      <c r="Z286" s="799"/>
      <c r="AA286" s="799"/>
      <c r="AB286" s="799"/>
      <c r="AC286" s="799"/>
      <c r="AD286" s="799"/>
      <c r="AE286" s="799"/>
      <c r="AF286" s="799"/>
      <c r="AG286" s="799"/>
      <c r="AH286" s="799"/>
      <c r="AI286" s="799"/>
      <c r="AJ286" s="799"/>
      <c r="AK286" s="799"/>
      <c r="AL286" s="799"/>
      <c r="AM286" s="799"/>
      <c r="AN286" s="799"/>
      <c r="AO286" s="799"/>
      <c r="AP286" s="799"/>
      <c r="AQ286" s="799"/>
      <c r="AR286" s="799"/>
      <c r="AS286" s="799"/>
      <c r="AT286" s="799"/>
      <c r="AU286" s="799"/>
      <c r="AV286" s="799"/>
      <c r="AW286" s="799"/>
      <c r="AX286" s="799"/>
      <c r="AY286" s="799"/>
      <c r="AZ286" s="799"/>
      <c r="BA286" s="799"/>
      <c r="BB286" s="799"/>
      <c r="BC286" s="799"/>
      <c r="BD286" s="799"/>
      <c r="BE286" s="799"/>
      <c r="BF286" s="799"/>
      <c r="BG286" s="799"/>
    </row>
    <row r="287">
      <c r="H287" s="799"/>
      <c r="I287" s="799"/>
      <c r="J287" s="799"/>
      <c r="K287" s="799"/>
      <c r="L287" s="799"/>
      <c r="M287" s="799"/>
      <c r="N287" s="799"/>
      <c r="O287" s="799"/>
      <c r="P287" s="799"/>
      <c r="Q287" s="799"/>
      <c r="R287" s="799"/>
      <c r="S287" s="799"/>
      <c r="T287" s="799"/>
      <c r="U287" s="799"/>
      <c r="V287" s="799"/>
      <c r="W287" s="799"/>
      <c r="X287" s="799"/>
      <c r="Y287" s="799"/>
      <c r="Z287" s="799"/>
      <c r="AA287" s="799"/>
      <c r="AB287" s="799"/>
      <c r="AC287" s="799"/>
      <c r="AD287" s="799"/>
      <c r="AE287" s="799"/>
      <c r="AF287" s="799"/>
      <c r="AG287" s="799"/>
      <c r="AH287" s="799"/>
      <c r="AI287" s="799"/>
      <c r="AJ287" s="799"/>
      <c r="AK287" s="799"/>
      <c r="AL287" s="799"/>
      <c r="AM287" s="799"/>
      <c r="AN287" s="799"/>
      <c r="AO287" s="799"/>
      <c r="AP287" s="799"/>
      <c r="AQ287" s="799"/>
      <c r="AR287" s="799"/>
      <c r="AS287" s="799"/>
      <c r="AT287" s="799"/>
      <c r="AU287" s="799"/>
      <c r="AV287" s="799"/>
      <c r="AW287" s="799"/>
      <c r="AX287" s="799"/>
      <c r="AY287" s="799"/>
      <c r="AZ287" s="799"/>
      <c r="BA287" s="799"/>
      <c r="BB287" s="799"/>
      <c r="BC287" s="799"/>
      <c r="BD287" s="799"/>
      <c r="BE287" s="799"/>
      <c r="BF287" s="799"/>
      <c r="BG287" s="799"/>
    </row>
    <row r="288">
      <c r="H288" s="799"/>
      <c r="I288" s="799"/>
      <c r="J288" s="799"/>
      <c r="K288" s="799"/>
      <c r="L288" s="799"/>
      <c r="M288" s="799"/>
      <c r="N288" s="799"/>
      <c r="O288" s="799"/>
      <c r="P288" s="799"/>
      <c r="Q288" s="799"/>
      <c r="R288" s="799"/>
      <c r="S288" s="799"/>
      <c r="T288" s="799"/>
      <c r="U288" s="799"/>
      <c r="V288" s="799"/>
      <c r="W288" s="799"/>
      <c r="X288" s="799"/>
      <c r="Y288" s="799"/>
      <c r="Z288" s="799"/>
      <c r="AA288" s="799"/>
      <c r="AB288" s="799"/>
      <c r="AC288" s="799"/>
      <c r="AD288" s="799"/>
      <c r="AE288" s="799"/>
      <c r="AF288" s="799"/>
      <c r="AG288" s="799"/>
      <c r="AH288" s="799"/>
      <c r="AI288" s="799"/>
      <c r="AJ288" s="799"/>
      <c r="AK288" s="799"/>
      <c r="AL288" s="799"/>
      <c r="AM288" s="799"/>
      <c r="AN288" s="799"/>
      <c r="AO288" s="799"/>
      <c r="AP288" s="799"/>
      <c r="AQ288" s="799"/>
      <c r="AR288" s="799"/>
      <c r="AS288" s="799"/>
      <c r="AT288" s="799"/>
      <c r="AU288" s="799"/>
      <c r="AV288" s="799"/>
      <c r="AW288" s="799"/>
      <c r="AX288" s="799"/>
      <c r="AY288" s="799"/>
      <c r="AZ288" s="799"/>
      <c r="BA288" s="799"/>
      <c r="BB288" s="799"/>
      <c r="BC288" s="799"/>
      <c r="BD288" s="799"/>
      <c r="BE288" s="799"/>
      <c r="BF288" s="799"/>
      <c r="BG288" s="799"/>
    </row>
    <row r="289">
      <c r="H289" s="799"/>
      <c r="I289" s="799"/>
      <c r="J289" s="799"/>
      <c r="K289" s="799"/>
      <c r="L289" s="799"/>
      <c r="M289" s="799"/>
      <c r="N289" s="799"/>
      <c r="O289" s="799"/>
      <c r="P289" s="799"/>
      <c r="Q289" s="799"/>
      <c r="R289" s="799"/>
      <c r="S289" s="799"/>
      <c r="T289" s="799"/>
      <c r="U289" s="799"/>
      <c r="V289" s="799"/>
      <c r="W289" s="799"/>
      <c r="X289" s="799"/>
      <c r="Y289" s="799"/>
      <c r="Z289" s="799"/>
      <c r="AA289" s="799"/>
      <c r="AB289" s="799"/>
      <c r="AC289" s="799"/>
      <c r="AD289" s="799"/>
      <c r="AE289" s="799"/>
      <c r="AF289" s="799"/>
      <c r="AG289" s="799"/>
      <c r="AH289" s="799"/>
      <c r="AI289" s="799"/>
      <c r="AJ289" s="799"/>
      <c r="AK289" s="799"/>
      <c r="AL289" s="799"/>
      <c r="AM289" s="799"/>
      <c r="AN289" s="799"/>
      <c r="AO289" s="799"/>
      <c r="AP289" s="799"/>
      <c r="AQ289" s="799"/>
      <c r="AR289" s="799"/>
      <c r="AS289" s="799"/>
      <c r="AT289" s="799"/>
      <c r="AU289" s="799"/>
      <c r="AV289" s="799"/>
      <c r="AW289" s="799"/>
      <c r="AX289" s="799"/>
      <c r="AY289" s="799"/>
      <c r="AZ289" s="799"/>
      <c r="BA289" s="799"/>
      <c r="BB289" s="799"/>
      <c r="BC289" s="799"/>
      <c r="BD289" s="799"/>
      <c r="BE289" s="799"/>
      <c r="BF289" s="799"/>
      <c r="BG289" s="799"/>
    </row>
    <row r="290">
      <c r="H290" s="799"/>
      <c r="I290" s="799"/>
      <c r="J290" s="799"/>
      <c r="K290" s="799"/>
      <c r="L290" s="799"/>
      <c r="M290" s="799"/>
      <c r="N290" s="799"/>
      <c r="O290" s="799"/>
      <c r="P290" s="799"/>
      <c r="Q290" s="799"/>
      <c r="R290" s="799"/>
      <c r="S290" s="799"/>
      <c r="T290" s="799"/>
      <c r="U290" s="799"/>
      <c r="V290" s="799"/>
      <c r="W290" s="799"/>
      <c r="X290" s="799"/>
      <c r="Y290" s="799"/>
      <c r="Z290" s="799"/>
      <c r="AA290" s="799"/>
      <c r="AB290" s="799"/>
      <c r="AC290" s="799"/>
      <c r="AD290" s="799"/>
      <c r="AE290" s="799"/>
      <c r="AF290" s="799"/>
      <c r="AG290" s="799"/>
      <c r="AH290" s="799"/>
      <c r="AI290" s="799"/>
      <c r="AJ290" s="799"/>
      <c r="AK290" s="799"/>
      <c r="AL290" s="799"/>
      <c r="AM290" s="799"/>
      <c r="AN290" s="799"/>
      <c r="AO290" s="799"/>
      <c r="AP290" s="799"/>
      <c r="AQ290" s="799"/>
      <c r="AR290" s="799"/>
      <c r="AS290" s="799"/>
      <c r="AT290" s="799"/>
      <c r="AU290" s="799"/>
      <c r="AV290" s="799"/>
      <c r="AW290" s="799"/>
      <c r="AX290" s="799"/>
      <c r="AY290" s="799"/>
      <c r="AZ290" s="799"/>
      <c r="BA290" s="799"/>
      <c r="BB290" s="799"/>
      <c r="BC290" s="799"/>
      <c r="BD290" s="799"/>
      <c r="BE290" s="799"/>
      <c r="BF290" s="799"/>
      <c r="BG290" s="799"/>
    </row>
    <row r="291">
      <c r="H291" s="799"/>
      <c r="I291" s="799"/>
      <c r="J291" s="799"/>
      <c r="K291" s="799"/>
      <c r="L291" s="799"/>
      <c r="M291" s="799"/>
      <c r="N291" s="799"/>
      <c r="O291" s="799"/>
      <c r="P291" s="799"/>
      <c r="Q291" s="799"/>
      <c r="R291" s="799"/>
      <c r="S291" s="799"/>
      <c r="T291" s="799"/>
      <c r="U291" s="799"/>
      <c r="V291" s="799"/>
      <c r="W291" s="799"/>
      <c r="X291" s="799"/>
      <c r="Y291" s="799"/>
      <c r="Z291" s="799"/>
      <c r="AA291" s="799"/>
      <c r="AB291" s="799"/>
      <c r="AC291" s="799"/>
      <c r="AD291" s="799"/>
      <c r="AE291" s="799"/>
      <c r="AF291" s="799"/>
      <c r="AG291" s="799"/>
      <c r="AH291" s="799"/>
      <c r="AI291" s="799"/>
      <c r="AJ291" s="799"/>
      <c r="AK291" s="799"/>
      <c r="AL291" s="799"/>
      <c r="AM291" s="799"/>
      <c r="AN291" s="799"/>
      <c r="AO291" s="799"/>
      <c r="AP291" s="799"/>
      <c r="AQ291" s="799"/>
      <c r="AR291" s="799"/>
      <c r="AS291" s="799"/>
      <c r="AT291" s="799"/>
      <c r="AU291" s="799"/>
      <c r="AV291" s="799"/>
      <c r="AW291" s="799"/>
      <c r="AX291" s="799"/>
      <c r="AY291" s="799"/>
      <c r="AZ291" s="799"/>
      <c r="BA291" s="799"/>
      <c r="BB291" s="799"/>
      <c r="BC291" s="799"/>
      <c r="BD291" s="799"/>
      <c r="BE291" s="799"/>
      <c r="BF291" s="799"/>
      <c r="BG291" s="799"/>
    </row>
    <row r="292">
      <c r="H292" s="799"/>
      <c r="I292" s="799"/>
      <c r="J292" s="799"/>
      <c r="K292" s="799"/>
      <c r="L292" s="799"/>
      <c r="M292" s="799"/>
      <c r="N292" s="799"/>
      <c r="O292" s="799"/>
      <c r="P292" s="799"/>
      <c r="Q292" s="799"/>
      <c r="R292" s="799"/>
      <c r="S292" s="799"/>
      <c r="T292" s="799"/>
      <c r="U292" s="799"/>
      <c r="V292" s="799"/>
      <c r="W292" s="799"/>
      <c r="X292" s="799"/>
      <c r="Y292" s="799"/>
      <c r="Z292" s="799"/>
      <c r="AA292" s="799"/>
      <c r="AB292" s="799"/>
      <c r="AC292" s="799"/>
      <c r="AD292" s="799"/>
      <c r="AE292" s="799"/>
      <c r="AF292" s="799"/>
      <c r="AG292" s="799"/>
      <c r="AH292" s="799"/>
      <c r="AI292" s="799"/>
      <c r="AJ292" s="799"/>
      <c r="AK292" s="799"/>
      <c r="AL292" s="799"/>
      <c r="AM292" s="799"/>
      <c r="AN292" s="799"/>
      <c r="AO292" s="799"/>
      <c r="AP292" s="799"/>
      <c r="AQ292" s="799"/>
      <c r="AR292" s="799"/>
      <c r="AS292" s="799"/>
      <c r="AT292" s="799"/>
      <c r="AU292" s="799"/>
      <c r="AV292" s="799"/>
      <c r="AW292" s="799"/>
      <c r="AX292" s="799"/>
      <c r="AY292" s="799"/>
      <c r="AZ292" s="799"/>
      <c r="BA292" s="799"/>
      <c r="BB292" s="799"/>
      <c r="BC292" s="799"/>
      <c r="BD292" s="799"/>
      <c r="BE292" s="799"/>
      <c r="BF292" s="799"/>
      <c r="BG292" s="799"/>
    </row>
    <row r="293">
      <c r="H293" s="799"/>
      <c r="I293" s="799"/>
      <c r="J293" s="799"/>
      <c r="K293" s="799"/>
      <c r="L293" s="799"/>
      <c r="M293" s="799"/>
      <c r="N293" s="799"/>
      <c r="O293" s="799"/>
      <c r="P293" s="799"/>
      <c r="Q293" s="799"/>
      <c r="R293" s="799"/>
      <c r="S293" s="799"/>
      <c r="T293" s="799"/>
      <c r="U293" s="799"/>
      <c r="V293" s="799"/>
      <c r="W293" s="799"/>
      <c r="X293" s="799"/>
      <c r="Y293" s="799"/>
      <c r="Z293" s="799"/>
      <c r="AA293" s="799"/>
      <c r="AB293" s="799"/>
      <c r="AC293" s="799"/>
      <c r="AD293" s="799"/>
      <c r="AE293" s="799"/>
      <c r="AF293" s="799"/>
      <c r="AG293" s="799"/>
      <c r="AH293" s="799"/>
      <c r="AI293" s="799"/>
      <c r="AJ293" s="799"/>
      <c r="AK293" s="799"/>
      <c r="AL293" s="799"/>
      <c r="AM293" s="799"/>
      <c r="AN293" s="799"/>
      <c r="AO293" s="799"/>
      <c r="AP293" s="799"/>
      <c r="AQ293" s="799"/>
      <c r="AR293" s="799"/>
      <c r="AS293" s="799"/>
      <c r="AT293" s="799"/>
      <c r="AU293" s="799"/>
      <c r="AV293" s="799"/>
      <c r="AW293" s="799"/>
      <c r="AX293" s="799"/>
      <c r="AY293" s="799"/>
      <c r="AZ293" s="799"/>
      <c r="BA293" s="799"/>
      <c r="BB293" s="799"/>
      <c r="BC293" s="799"/>
      <c r="BD293" s="799"/>
      <c r="BE293" s="799"/>
      <c r="BF293" s="799"/>
      <c r="BG293" s="799"/>
    </row>
    <row r="294">
      <c r="H294" s="799"/>
      <c r="I294" s="799"/>
      <c r="J294" s="799"/>
      <c r="K294" s="799"/>
      <c r="L294" s="799"/>
      <c r="M294" s="799"/>
      <c r="N294" s="799"/>
      <c r="O294" s="799"/>
      <c r="P294" s="799"/>
      <c r="Q294" s="799"/>
      <c r="R294" s="799"/>
      <c r="S294" s="799"/>
      <c r="T294" s="799"/>
      <c r="U294" s="799"/>
      <c r="V294" s="799"/>
      <c r="W294" s="799"/>
      <c r="X294" s="799"/>
      <c r="Y294" s="799"/>
      <c r="Z294" s="799"/>
      <c r="AA294" s="799"/>
      <c r="AB294" s="799"/>
      <c r="AC294" s="799"/>
      <c r="AD294" s="799"/>
      <c r="AE294" s="799"/>
      <c r="AF294" s="799"/>
      <c r="AG294" s="799"/>
      <c r="AH294" s="799"/>
      <c r="AI294" s="799"/>
      <c r="AJ294" s="799"/>
      <c r="AK294" s="799"/>
      <c r="AL294" s="799"/>
      <c r="AM294" s="799"/>
      <c r="AN294" s="799"/>
      <c r="AO294" s="799"/>
      <c r="AP294" s="799"/>
      <c r="AQ294" s="799"/>
      <c r="AR294" s="799"/>
      <c r="AS294" s="799"/>
      <c r="AT294" s="799"/>
      <c r="AU294" s="799"/>
      <c r="AV294" s="799"/>
      <c r="AW294" s="799"/>
      <c r="AX294" s="799"/>
      <c r="AY294" s="799"/>
      <c r="AZ294" s="799"/>
      <c r="BA294" s="799"/>
      <c r="BB294" s="799"/>
      <c r="BC294" s="799"/>
      <c r="BD294" s="799"/>
      <c r="BE294" s="799"/>
      <c r="BF294" s="799"/>
      <c r="BG294" s="799"/>
    </row>
    <row r="295">
      <c r="H295" s="799"/>
      <c r="I295" s="799"/>
      <c r="J295" s="799"/>
      <c r="K295" s="799"/>
      <c r="L295" s="799"/>
      <c r="M295" s="799"/>
      <c r="N295" s="799"/>
      <c r="O295" s="799"/>
      <c r="P295" s="799"/>
      <c r="Q295" s="799"/>
      <c r="R295" s="799"/>
      <c r="S295" s="799"/>
      <c r="T295" s="799"/>
      <c r="U295" s="799"/>
      <c r="V295" s="799"/>
      <c r="W295" s="799"/>
      <c r="X295" s="799"/>
      <c r="Y295" s="799"/>
      <c r="Z295" s="799"/>
      <c r="AA295" s="799"/>
      <c r="AB295" s="799"/>
      <c r="AC295" s="799"/>
      <c r="AD295" s="799"/>
      <c r="AE295" s="799"/>
      <c r="AF295" s="799"/>
      <c r="AG295" s="799"/>
      <c r="AH295" s="799"/>
      <c r="AI295" s="799"/>
      <c r="AJ295" s="799"/>
      <c r="AK295" s="799"/>
      <c r="AL295" s="799"/>
      <c r="AM295" s="799"/>
      <c r="AN295" s="799"/>
      <c r="AO295" s="799"/>
      <c r="AP295" s="799"/>
      <c r="AQ295" s="799"/>
      <c r="AR295" s="799"/>
      <c r="AS295" s="799"/>
      <c r="AT295" s="799"/>
      <c r="AU295" s="799"/>
      <c r="AV295" s="799"/>
      <c r="AW295" s="799"/>
      <c r="AX295" s="799"/>
      <c r="AY295" s="799"/>
      <c r="AZ295" s="799"/>
      <c r="BA295" s="799"/>
      <c r="BB295" s="799"/>
      <c r="BC295" s="799"/>
      <c r="BD295" s="799"/>
      <c r="BE295" s="799"/>
      <c r="BF295" s="799"/>
      <c r="BG295" s="799"/>
    </row>
    <row r="296">
      <c r="H296" s="799"/>
      <c r="I296" s="799"/>
      <c r="J296" s="799"/>
      <c r="K296" s="799"/>
      <c r="L296" s="799"/>
      <c r="M296" s="799"/>
      <c r="N296" s="799"/>
      <c r="O296" s="799"/>
      <c r="P296" s="799"/>
      <c r="Q296" s="799"/>
      <c r="R296" s="799"/>
      <c r="S296" s="799"/>
      <c r="T296" s="799"/>
      <c r="U296" s="799"/>
      <c r="V296" s="799"/>
      <c r="W296" s="799"/>
      <c r="X296" s="799"/>
      <c r="Y296" s="799"/>
      <c r="Z296" s="799"/>
      <c r="AA296" s="799"/>
      <c r="AB296" s="799"/>
      <c r="AC296" s="799"/>
      <c r="AD296" s="799"/>
      <c r="AE296" s="799"/>
      <c r="AF296" s="799"/>
      <c r="AG296" s="799"/>
      <c r="AH296" s="799"/>
      <c r="AI296" s="799"/>
      <c r="AJ296" s="799"/>
      <c r="AK296" s="799"/>
      <c r="AL296" s="799"/>
      <c r="AM296" s="799"/>
      <c r="AN296" s="799"/>
      <c r="AO296" s="799"/>
      <c r="AP296" s="799"/>
      <c r="AQ296" s="799"/>
      <c r="AR296" s="799"/>
      <c r="AS296" s="799"/>
      <c r="AT296" s="799"/>
      <c r="AU296" s="799"/>
      <c r="AV296" s="799"/>
      <c r="AW296" s="799"/>
      <c r="AX296" s="799"/>
      <c r="AY296" s="799"/>
      <c r="AZ296" s="799"/>
      <c r="BA296" s="799"/>
      <c r="BB296" s="799"/>
      <c r="BC296" s="799"/>
      <c r="BD296" s="799"/>
      <c r="BE296" s="799"/>
      <c r="BF296" s="799"/>
      <c r="BG296" s="799"/>
    </row>
    <row r="297">
      <c r="H297" s="799"/>
      <c r="I297" s="799"/>
      <c r="J297" s="799"/>
      <c r="K297" s="799"/>
      <c r="L297" s="799"/>
      <c r="M297" s="799"/>
      <c r="N297" s="799"/>
      <c r="O297" s="799"/>
      <c r="P297" s="799"/>
      <c r="Q297" s="799"/>
      <c r="R297" s="799"/>
      <c r="S297" s="799"/>
      <c r="T297" s="799"/>
      <c r="U297" s="799"/>
      <c r="V297" s="799"/>
      <c r="W297" s="799"/>
      <c r="X297" s="799"/>
      <c r="Y297" s="799"/>
      <c r="Z297" s="799"/>
      <c r="AA297" s="799"/>
      <c r="AB297" s="799"/>
      <c r="AC297" s="799"/>
      <c r="AD297" s="799"/>
      <c r="AE297" s="799"/>
      <c r="AF297" s="799"/>
      <c r="AG297" s="799"/>
      <c r="AH297" s="799"/>
      <c r="AI297" s="799"/>
      <c r="AJ297" s="799"/>
      <c r="AK297" s="799"/>
      <c r="AL297" s="799"/>
      <c r="AM297" s="799"/>
      <c r="AN297" s="799"/>
      <c r="AO297" s="799"/>
      <c r="AP297" s="799"/>
      <c r="AQ297" s="799"/>
      <c r="AR297" s="799"/>
      <c r="AS297" s="799"/>
      <c r="AT297" s="799"/>
      <c r="AU297" s="799"/>
      <c r="AV297" s="799"/>
      <c r="AW297" s="799"/>
      <c r="AX297" s="799"/>
      <c r="AY297" s="799"/>
      <c r="AZ297" s="799"/>
      <c r="BA297" s="799"/>
      <c r="BB297" s="799"/>
      <c r="BC297" s="799"/>
      <c r="BD297" s="799"/>
      <c r="BE297" s="799"/>
      <c r="BF297" s="799"/>
      <c r="BG297" s="799"/>
    </row>
    <row r="298">
      <c r="H298" s="799"/>
      <c r="I298" s="799"/>
      <c r="J298" s="799"/>
      <c r="K298" s="799"/>
      <c r="L298" s="799"/>
      <c r="M298" s="799"/>
      <c r="N298" s="799"/>
      <c r="O298" s="799"/>
      <c r="P298" s="799"/>
      <c r="Q298" s="799"/>
      <c r="R298" s="799"/>
      <c r="S298" s="799"/>
      <c r="T298" s="799"/>
      <c r="U298" s="799"/>
      <c r="V298" s="799"/>
      <c r="W298" s="799"/>
      <c r="X298" s="799"/>
      <c r="Y298" s="799"/>
      <c r="Z298" s="799"/>
      <c r="AA298" s="799"/>
      <c r="AB298" s="799"/>
      <c r="AC298" s="799"/>
      <c r="AD298" s="799"/>
      <c r="AE298" s="799"/>
      <c r="AF298" s="799"/>
      <c r="AG298" s="799"/>
      <c r="AH298" s="799"/>
      <c r="AI298" s="799"/>
      <c r="AJ298" s="799"/>
      <c r="AK298" s="799"/>
      <c r="AL298" s="799"/>
      <c r="AM298" s="799"/>
      <c r="AN298" s="799"/>
      <c r="AO298" s="799"/>
      <c r="AP298" s="799"/>
      <c r="AQ298" s="799"/>
      <c r="AR298" s="799"/>
      <c r="AS298" s="799"/>
      <c r="AT298" s="799"/>
      <c r="AU298" s="799"/>
      <c r="AV298" s="799"/>
      <c r="AW298" s="799"/>
      <c r="AX298" s="799"/>
      <c r="AY298" s="799"/>
      <c r="AZ298" s="799"/>
      <c r="BA298" s="799"/>
      <c r="BB298" s="799"/>
      <c r="BC298" s="799"/>
      <c r="BD298" s="799"/>
      <c r="BE298" s="799"/>
      <c r="BF298" s="799"/>
      <c r="BG298" s="799"/>
    </row>
    <row r="299">
      <c r="H299" s="799"/>
      <c r="I299" s="799"/>
      <c r="J299" s="799"/>
      <c r="K299" s="799"/>
      <c r="L299" s="799"/>
      <c r="M299" s="799"/>
      <c r="N299" s="799"/>
      <c r="O299" s="799"/>
      <c r="P299" s="799"/>
      <c r="Q299" s="799"/>
      <c r="R299" s="799"/>
      <c r="S299" s="799"/>
      <c r="T299" s="799"/>
      <c r="U299" s="799"/>
      <c r="V299" s="799"/>
      <c r="W299" s="799"/>
      <c r="X299" s="799"/>
      <c r="Y299" s="799"/>
      <c r="Z299" s="799"/>
      <c r="AA299" s="799"/>
      <c r="AB299" s="799"/>
      <c r="AC299" s="799"/>
      <c r="AD299" s="799"/>
      <c r="AE299" s="799"/>
      <c r="AF299" s="799"/>
      <c r="AG299" s="799"/>
      <c r="AH299" s="799"/>
      <c r="AI299" s="799"/>
      <c r="AJ299" s="799"/>
      <c r="AK299" s="799"/>
      <c r="AL299" s="799"/>
      <c r="AM299" s="799"/>
      <c r="AN299" s="799"/>
      <c r="AO299" s="799"/>
      <c r="AP299" s="799"/>
      <c r="AQ299" s="799"/>
      <c r="AR299" s="799"/>
      <c r="AS299" s="799"/>
      <c r="AT299" s="799"/>
      <c r="AU299" s="799"/>
      <c r="AV299" s="799"/>
      <c r="AW299" s="799"/>
      <c r="AX299" s="799"/>
      <c r="AY299" s="799"/>
      <c r="AZ299" s="799"/>
      <c r="BA299" s="799"/>
      <c r="BB299" s="799"/>
      <c r="BC299" s="799"/>
      <c r="BD299" s="799"/>
      <c r="BE299" s="799"/>
      <c r="BF299" s="799"/>
      <c r="BG299" s="799"/>
    </row>
    <row r="300">
      <c r="H300" s="799"/>
      <c r="I300" s="799"/>
      <c r="J300" s="799"/>
      <c r="K300" s="799"/>
      <c r="L300" s="799"/>
      <c r="M300" s="799"/>
      <c r="N300" s="799"/>
      <c r="O300" s="799"/>
      <c r="P300" s="799"/>
      <c r="Q300" s="799"/>
      <c r="R300" s="799"/>
      <c r="S300" s="799"/>
      <c r="T300" s="799"/>
      <c r="U300" s="799"/>
      <c r="V300" s="799"/>
      <c r="W300" s="799"/>
      <c r="X300" s="799"/>
      <c r="Y300" s="799"/>
      <c r="Z300" s="799"/>
      <c r="AA300" s="799"/>
      <c r="AB300" s="799"/>
      <c r="AC300" s="799"/>
      <c r="AD300" s="799"/>
      <c r="AE300" s="799"/>
      <c r="AF300" s="799"/>
      <c r="AG300" s="799"/>
      <c r="AH300" s="799"/>
      <c r="AI300" s="799"/>
      <c r="AJ300" s="799"/>
      <c r="AK300" s="799"/>
      <c r="AL300" s="799"/>
      <c r="AM300" s="799"/>
      <c r="AN300" s="799"/>
      <c r="AO300" s="799"/>
      <c r="AP300" s="799"/>
      <c r="AQ300" s="799"/>
      <c r="AR300" s="799"/>
      <c r="AS300" s="799"/>
      <c r="AT300" s="799"/>
      <c r="AU300" s="799"/>
      <c r="AV300" s="799"/>
      <c r="AW300" s="799"/>
      <c r="AX300" s="799"/>
      <c r="AY300" s="799"/>
      <c r="AZ300" s="799"/>
      <c r="BA300" s="799"/>
      <c r="BB300" s="799"/>
      <c r="BC300" s="799"/>
      <c r="BD300" s="799"/>
      <c r="BE300" s="799"/>
      <c r="BF300" s="799"/>
      <c r="BG300" s="799"/>
    </row>
    <row r="301">
      <c r="H301" s="799"/>
      <c r="I301" s="799"/>
      <c r="J301" s="799"/>
      <c r="K301" s="799"/>
      <c r="L301" s="799"/>
      <c r="M301" s="799"/>
      <c r="N301" s="799"/>
      <c r="O301" s="799"/>
      <c r="P301" s="799"/>
      <c r="Q301" s="799"/>
      <c r="R301" s="799"/>
      <c r="S301" s="799"/>
      <c r="T301" s="799"/>
      <c r="U301" s="799"/>
      <c r="V301" s="799"/>
      <c r="W301" s="799"/>
      <c r="X301" s="799"/>
      <c r="Y301" s="799"/>
      <c r="Z301" s="799"/>
      <c r="AA301" s="799"/>
      <c r="AB301" s="799"/>
      <c r="AC301" s="799"/>
      <c r="AD301" s="799"/>
      <c r="AE301" s="799"/>
      <c r="AF301" s="799"/>
      <c r="AG301" s="799"/>
      <c r="AH301" s="799"/>
      <c r="AI301" s="799"/>
      <c r="AJ301" s="799"/>
      <c r="AK301" s="799"/>
      <c r="AL301" s="799"/>
      <c r="AM301" s="799"/>
      <c r="AN301" s="799"/>
      <c r="AO301" s="799"/>
      <c r="AP301" s="799"/>
      <c r="AQ301" s="799"/>
      <c r="AR301" s="799"/>
      <c r="AS301" s="799"/>
      <c r="AT301" s="799"/>
      <c r="AU301" s="799"/>
      <c r="AV301" s="799"/>
      <c r="AW301" s="799"/>
      <c r="AX301" s="799"/>
      <c r="AY301" s="799"/>
      <c r="AZ301" s="799"/>
      <c r="BA301" s="799"/>
      <c r="BB301" s="799"/>
      <c r="BC301" s="799"/>
      <c r="BD301" s="799"/>
      <c r="BE301" s="799"/>
      <c r="BF301" s="799"/>
      <c r="BG301" s="799"/>
    </row>
    <row r="302">
      <c r="H302" s="799"/>
      <c r="I302" s="799"/>
      <c r="J302" s="799"/>
      <c r="K302" s="799"/>
      <c r="L302" s="799"/>
      <c r="M302" s="799"/>
      <c r="N302" s="799"/>
      <c r="O302" s="799"/>
      <c r="P302" s="799"/>
      <c r="Q302" s="799"/>
      <c r="R302" s="799"/>
      <c r="S302" s="799"/>
      <c r="T302" s="799"/>
      <c r="U302" s="799"/>
      <c r="V302" s="799"/>
      <c r="W302" s="799"/>
      <c r="X302" s="799"/>
      <c r="Y302" s="799"/>
      <c r="Z302" s="799"/>
      <c r="AA302" s="799"/>
      <c r="AB302" s="799"/>
      <c r="AC302" s="799"/>
      <c r="AD302" s="799"/>
      <c r="AE302" s="799"/>
      <c r="AF302" s="799"/>
      <c r="AG302" s="799"/>
      <c r="AH302" s="799"/>
      <c r="AI302" s="799"/>
      <c r="AJ302" s="799"/>
      <c r="AK302" s="799"/>
      <c r="AL302" s="799"/>
      <c r="AM302" s="799"/>
      <c r="AN302" s="799"/>
      <c r="AO302" s="799"/>
      <c r="AP302" s="799"/>
      <c r="AQ302" s="799"/>
      <c r="AR302" s="799"/>
      <c r="AS302" s="799"/>
      <c r="AT302" s="799"/>
      <c r="AU302" s="799"/>
      <c r="AV302" s="799"/>
      <c r="AW302" s="799"/>
      <c r="AX302" s="799"/>
      <c r="AY302" s="799"/>
      <c r="AZ302" s="799"/>
      <c r="BA302" s="799"/>
      <c r="BB302" s="799"/>
      <c r="BC302" s="799"/>
      <c r="BD302" s="799"/>
      <c r="BE302" s="799"/>
      <c r="BF302" s="799"/>
      <c r="BG302" s="799"/>
    </row>
    <row r="303">
      <c r="H303" s="799"/>
      <c r="I303" s="799"/>
      <c r="J303" s="799"/>
      <c r="K303" s="799"/>
      <c r="L303" s="799"/>
      <c r="M303" s="799"/>
      <c r="N303" s="799"/>
      <c r="O303" s="799"/>
      <c r="P303" s="799"/>
      <c r="Q303" s="799"/>
      <c r="R303" s="799"/>
      <c r="S303" s="799"/>
      <c r="T303" s="799"/>
      <c r="U303" s="799"/>
      <c r="V303" s="799"/>
      <c r="W303" s="799"/>
      <c r="X303" s="799"/>
      <c r="Y303" s="799"/>
      <c r="Z303" s="799"/>
      <c r="AA303" s="799"/>
      <c r="AB303" s="799"/>
      <c r="AC303" s="799"/>
      <c r="AD303" s="799"/>
      <c r="AE303" s="799"/>
      <c r="AF303" s="799"/>
      <c r="AG303" s="799"/>
      <c r="AH303" s="799"/>
      <c r="AI303" s="799"/>
      <c r="AJ303" s="799"/>
      <c r="AK303" s="799"/>
      <c r="AL303" s="799"/>
      <c r="AM303" s="799"/>
      <c r="AN303" s="799"/>
      <c r="AO303" s="799"/>
      <c r="AP303" s="799"/>
      <c r="AQ303" s="799"/>
      <c r="AR303" s="799"/>
      <c r="AS303" s="799"/>
      <c r="AT303" s="799"/>
      <c r="AU303" s="799"/>
      <c r="AV303" s="799"/>
      <c r="AW303" s="799"/>
      <c r="AX303" s="799"/>
      <c r="AY303" s="799"/>
      <c r="AZ303" s="799"/>
      <c r="BA303" s="799"/>
      <c r="BB303" s="799"/>
      <c r="BC303" s="799"/>
      <c r="BD303" s="799"/>
      <c r="BE303" s="799"/>
      <c r="BF303" s="799"/>
      <c r="BG303" s="799"/>
    </row>
    <row r="304">
      <c r="H304" s="799"/>
      <c r="I304" s="799"/>
      <c r="J304" s="799"/>
      <c r="K304" s="799"/>
      <c r="L304" s="799"/>
      <c r="M304" s="799"/>
      <c r="N304" s="799"/>
      <c r="O304" s="799"/>
      <c r="P304" s="799"/>
      <c r="Q304" s="799"/>
      <c r="R304" s="799"/>
      <c r="S304" s="799"/>
      <c r="T304" s="799"/>
      <c r="U304" s="799"/>
      <c r="V304" s="799"/>
      <c r="W304" s="799"/>
      <c r="X304" s="799"/>
      <c r="Y304" s="799"/>
      <c r="Z304" s="799"/>
      <c r="AA304" s="799"/>
      <c r="AB304" s="799"/>
      <c r="AC304" s="799"/>
      <c r="AD304" s="799"/>
      <c r="AE304" s="799"/>
      <c r="AF304" s="799"/>
      <c r="AG304" s="799"/>
      <c r="AH304" s="799"/>
      <c r="AI304" s="799"/>
      <c r="AJ304" s="799"/>
      <c r="AK304" s="799"/>
      <c r="AL304" s="799"/>
      <c r="AM304" s="799"/>
      <c r="AN304" s="799"/>
      <c r="AO304" s="799"/>
      <c r="AP304" s="799"/>
      <c r="AQ304" s="799"/>
      <c r="AR304" s="799"/>
      <c r="AS304" s="799"/>
      <c r="AT304" s="799"/>
      <c r="AU304" s="799"/>
      <c r="AV304" s="799"/>
      <c r="AW304" s="799"/>
      <c r="AX304" s="799"/>
      <c r="AY304" s="799"/>
      <c r="AZ304" s="799"/>
      <c r="BA304" s="799"/>
      <c r="BB304" s="799"/>
      <c r="BC304" s="799"/>
      <c r="BD304" s="799"/>
      <c r="BE304" s="799"/>
      <c r="BF304" s="799"/>
      <c r="BG304" s="799"/>
    </row>
    <row r="305">
      <c r="H305" s="799"/>
      <c r="I305" s="799"/>
      <c r="J305" s="799"/>
      <c r="K305" s="799"/>
      <c r="L305" s="799"/>
      <c r="M305" s="799"/>
      <c r="N305" s="799"/>
      <c r="O305" s="799"/>
      <c r="P305" s="799"/>
      <c r="Q305" s="799"/>
      <c r="R305" s="799"/>
      <c r="S305" s="799"/>
      <c r="T305" s="799"/>
      <c r="U305" s="799"/>
      <c r="V305" s="799"/>
      <c r="W305" s="799"/>
      <c r="X305" s="799"/>
      <c r="Y305" s="799"/>
      <c r="Z305" s="799"/>
      <c r="AA305" s="799"/>
      <c r="AB305" s="799"/>
      <c r="AC305" s="799"/>
      <c r="AD305" s="799"/>
      <c r="AE305" s="799"/>
      <c r="AF305" s="799"/>
      <c r="AG305" s="799"/>
      <c r="AH305" s="799"/>
      <c r="AI305" s="799"/>
      <c r="AJ305" s="799"/>
      <c r="AK305" s="799"/>
      <c r="AL305" s="799"/>
      <c r="AM305" s="799"/>
      <c r="AN305" s="799"/>
      <c r="AO305" s="799"/>
      <c r="AP305" s="799"/>
      <c r="AQ305" s="799"/>
      <c r="AR305" s="799"/>
      <c r="AS305" s="799"/>
      <c r="AT305" s="799"/>
      <c r="AU305" s="799"/>
      <c r="AV305" s="799"/>
      <c r="AW305" s="799"/>
      <c r="AX305" s="799"/>
      <c r="AY305" s="799"/>
      <c r="AZ305" s="799"/>
      <c r="BA305" s="799"/>
      <c r="BB305" s="799"/>
      <c r="BC305" s="799"/>
      <c r="BD305" s="799"/>
      <c r="BE305" s="799"/>
      <c r="BF305" s="799"/>
      <c r="BG305" s="799"/>
    </row>
    <row r="306">
      <c r="H306" s="799"/>
      <c r="I306" s="799"/>
      <c r="J306" s="799"/>
      <c r="K306" s="799"/>
      <c r="L306" s="799"/>
      <c r="M306" s="799"/>
      <c r="N306" s="799"/>
      <c r="O306" s="799"/>
      <c r="P306" s="799"/>
      <c r="Q306" s="799"/>
      <c r="R306" s="799"/>
      <c r="S306" s="799"/>
      <c r="T306" s="799"/>
      <c r="U306" s="799"/>
      <c r="V306" s="799"/>
      <c r="W306" s="799"/>
      <c r="X306" s="799"/>
      <c r="Y306" s="799"/>
      <c r="Z306" s="799"/>
      <c r="AA306" s="799"/>
      <c r="AB306" s="799"/>
      <c r="AC306" s="799"/>
      <c r="AD306" s="799"/>
      <c r="AE306" s="799"/>
      <c r="AF306" s="799"/>
      <c r="AG306" s="799"/>
      <c r="AH306" s="799"/>
      <c r="AI306" s="799"/>
      <c r="AJ306" s="799"/>
      <c r="AK306" s="799"/>
      <c r="AL306" s="799"/>
      <c r="AM306" s="799"/>
      <c r="AN306" s="799"/>
      <c r="AO306" s="799"/>
      <c r="AP306" s="799"/>
      <c r="AQ306" s="799"/>
      <c r="AR306" s="799"/>
      <c r="AS306" s="799"/>
      <c r="AT306" s="799"/>
      <c r="AU306" s="799"/>
      <c r="AV306" s="799"/>
      <c r="AW306" s="799"/>
      <c r="AX306" s="799"/>
      <c r="AY306" s="799"/>
      <c r="AZ306" s="799"/>
      <c r="BA306" s="799"/>
      <c r="BB306" s="799"/>
      <c r="BC306" s="799"/>
      <c r="BD306" s="799"/>
      <c r="BE306" s="799"/>
      <c r="BF306" s="799"/>
      <c r="BG306" s="799"/>
    </row>
    <row r="307">
      <c r="H307" s="799"/>
      <c r="I307" s="799"/>
      <c r="J307" s="799"/>
      <c r="K307" s="799"/>
      <c r="L307" s="799"/>
      <c r="M307" s="799"/>
      <c r="N307" s="799"/>
      <c r="O307" s="799"/>
      <c r="P307" s="799"/>
      <c r="Q307" s="799"/>
      <c r="R307" s="799"/>
      <c r="S307" s="799"/>
      <c r="T307" s="799"/>
      <c r="U307" s="799"/>
      <c r="V307" s="799"/>
      <c r="W307" s="799"/>
      <c r="X307" s="799"/>
      <c r="Y307" s="799"/>
      <c r="Z307" s="799"/>
      <c r="AA307" s="799"/>
      <c r="AB307" s="799"/>
      <c r="AC307" s="799"/>
      <c r="AD307" s="799"/>
      <c r="AE307" s="799"/>
      <c r="AF307" s="799"/>
      <c r="AG307" s="799"/>
      <c r="AH307" s="799"/>
      <c r="AI307" s="799"/>
      <c r="AJ307" s="799"/>
      <c r="AK307" s="799"/>
      <c r="AL307" s="799"/>
      <c r="AM307" s="799"/>
      <c r="AN307" s="799"/>
      <c r="AO307" s="799"/>
      <c r="AP307" s="799"/>
      <c r="AQ307" s="799"/>
      <c r="AR307" s="799"/>
      <c r="AS307" s="799"/>
      <c r="AT307" s="799"/>
      <c r="AU307" s="799"/>
      <c r="AV307" s="799"/>
      <c r="AW307" s="799"/>
      <c r="AX307" s="799"/>
      <c r="AY307" s="799"/>
      <c r="AZ307" s="799"/>
      <c r="BA307" s="799"/>
      <c r="BB307" s="799"/>
      <c r="BC307" s="799"/>
      <c r="BD307" s="799"/>
      <c r="BE307" s="799"/>
      <c r="BF307" s="799"/>
      <c r="BG307" s="799"/>
    </row>
    <row r="308">
      <c r="H308" s="799"/>
      <c r="I308" s="799"/>
      <c r="J308" s="799"/>
      <c r="K308" s="799"/>
      <c r="L308" s="799"/>
      <c r="M308" s="799"/>
      <c r="N308" s="799"/>
      <c r="O308" s="799"/>
      <c r="P308" s="799"/>
      <c r="Q308" s="799"/>
      <c r="R308" s="799"/>
      <c r="S308" s="799"/>
      <c r="T308" s="799"/>
      <c r="U308" s="799"/>
      <c r="V308" s="799"/>
      <c r="W308" s="799"/>
      <c r="X308" s="799"/>
      <c r="Y308" s="799"/>
      <c r="Z308" s="799"/>
      <c r="AA308" s="799"/>
      <c r="AB308" s="799"/>
      <c r="AC308" s="799"/>
      <c r="AD308" s="799"/>
      <c r="AE308" s="799"/>
      <c r="AF308" s="799"/>
      <c r="AG308" s="799"/>
      <c r="AH308" s="799"/>
      <c r="AI308" s="799"/>
      <c r="AJ308" s="799"/>
      <c r="AK308" s="799"/>
      <c r="AL308" s="799"/>
      <c r="AM308" s="799"/>
      <c r="AN308" s="799"/>
      <c r="AO308" s="799"/>
      <c r="AP308" s="799"/>
      <c r="AQ308" s="799"/>
      <c r="AR308" s="799"/>
      <c r="AS308" s="799"/>
      <c r="AT308" s="799"/>
      <c r="AU308" s="799"/>
      <c r="AV308" s="799"/>
      <c r="AW308" s="799"/>
      <c r="AX308" s="799"/>
      <c r="AY308" s="799"/>
      <c r="AZ308" s="799"/>
      <c r="BA308" s="799"/>
      <c r="BB308" s="799"/>
      <c r="BC308" s="799"/>
      <c r="BD308" s="799"/>
      <c r="BE308" s="799"/>
      <c r="BF308" s="799"/>
      <c r="BG308" s="799"/>
    </row>
    <row r="309">
      <c r="H309" s="799"/>
      <c r="I309" s="799"/>
      <c r="J309" s="799"/>
      <c r="K309" s="799"/>
      <c r="L309" s="799"/>
      <c r="M309" s="799"/>
      <c r="N309" s="799"/>
      <c r="O309" s="799"/>
      <c r="P309" s="799"/>
      <c r="Q309" s="799"/>
      <c r="R309" s="799"/>
      <c r="S309" s="799"/>
      <c r="T309" s="799"/>
      <c r="U309" s="799"/>
      <c r="V309" s="799"/>
      <c r="W309" s="799"/>
      <c r="X309" s="799"/>
      <c r="Y309" s="799"/>
      <c r="Z309" s="799"/>
      <c r="AA309" s="799"/>
      <c r="AB309" s="799"/>
      <c r="AC309" s="799"/>
      <c r="AD309" s="799"/>
      <c r="AE309" s="799"/>
      <c r="AF309" s="799"/>
      <c r="AG309" s="799"/>
      <c r="AH309" s="799"/>
      <c r="AI309" s="799"/>
      <c r="AJ309" s="799"/>
      <c r="AK309" s="799"/>
      <c r="AL309" s="799"/>
      <c r="AM309" s="799"/>
      <c r="AN309" s="799"/>
      <c r="AO309" s="799"/>
      <c r="AP309" s="799"/>
      <c r="AQ309" s="799"/>
      <c r="AR309" s="799"/>
      <c r="AS309" s="799"/>
      <c r="AT309" s="799"/>
      <c r="AU309" s="799"/>
      <c r="AV309" s="799"/>
      <c r="AW309" s="799"/>
      <c r="AX309" s="799"/>
      <c r="AY309" s="799"/>
      <c r="AZ309" s="799"/>
      <c r="BA309" s="799"/>
      <c r="BB309" s="799"/>
      <c r="BC309" s="799"/>
      <c r="BD309" s="799"/>
      <c r="BE309" s="799"/>
      <c r="BF309" s="799"/>
      <c r="BG309" s="799"/>
    </row>
    <row r="310">
      <c r="H310" s="799"/>
      <c r="I310" s="799"/>
      <c r="J310" s="799"/>
      <c r="K310" s="799"/>
      <c r="L310" s="799"/>
      <c r="M310" s="799"/>
      <c r="N310" s="799"/>
      <c r="O310" s="799"/>
      <c r="P310" s="799"/>
      <c r="Q310" s="799"/>
      <c r="R310" s="799"/>
      <c r="S310" s="799"/>
      <c r="T310" s="799"/>
      <c r="U310" s="799"/>
      <c r="V310" s="799"/>
      <c r="W310" s="799"/>
      <c r="X310" s="799"/>
      <c r="Y310" s="799"/>
      <c r="Z310" s="799"/>
      <c r="AA310" s="799"/>
      <c r="AB310" s="799"/>
      <c r="AC310" s="799"/>
      <c r="AD310" s="799"/>
      <c r="AE310" s="799"/>
      <c r="AF310" s="799"/>
      <c r="AG310" s="799"/>
      <c r="AH310" s="799"/>
      <c r="AI310" s="799"/>
      <c r="AJ310" s="799"/>
      <c r="AK310" s="799"/>
      <c r="AL310" s="799"/>
      <c r="AM310" s="799"/>
      <c r="AN310" s="799"/>
      <c r="AO310" s="799"/>
      <c r="AP310" s="799"/>
      <c r="AQ310" s="799"/>
      <c r="AR310" s="799"/>
      <c r="AS310" s="799"/>
      <c r="AT310" s="799"/>
      <c r="AU310" s="799"/>
      <c r="AV310" s="799"/>
      <c r="AW310" s="799"/>
      <c r="AX310" s="799"/>
      <c r="AY310" s="799"/>
      <c r="AZ310" s="799"/>
      <c r="BA310" s="799"/>
      <c r="BB310" s="799"/>
      <c r="BC310" s="799"/>
      <c r="BD310" s="799"/>
      <c r="BE310" s="799"/>
      <c r="BF310" s="799"/>
      <c r="BG310" s="799"/>
    </row>
    <row r="311">
      <c r="H311" s="799"/>
      <c r="I311" s="799"/>
      <c r="J311" s="799"/>
      <c r="K311" s="799"/>
      <c r="L311" s="799"/>
      <c r="M311" s="799"/>
      <c r="N311" s="799"/>
      <c r="O311" s="799"/>
      <c r="P311" s="799"/>
      <c r="Q311" s="799"/>
      <c r="R311" s="799"/>
      <c r="S311" s="799"/>
      <c r="T311" s="799"/>
      <c r="U311" s="799"/>
      <c r="V311" s="799"/>
      <c r="W311" s="799"/>
      <c r="X311" s="799"/>
      <c r="Y311" s="799"/>
      <c r="Z311" s="799"/>
      <c r="AA311" s="799"/>
      <c r="AB311" s="799"/>
      <c r="AC311" s="799"/>
      <c r="AD311" s="799"/>
      <c r="AE311" s="799"/>
      <c r="AF311" s="799"/>
      <c r="AG311" s="799"/>
      <c r="AH311" s="799"/>
      <c r="AI311" s="799"/>
      <c r="AJ311" s="799"/>
      <c r="AK311" s="799"/>
      <c r="AL311" s="799"/>
      <c r="AM311" s="799"/>
      <c r="AN311" s="799"/>
      <c r="AO311" s="799"/>
      <c r="AP311" s="799"/>
      <c r="AQ311" s="799"/>
      <c r="AR311" s="799"/>
      <c r="AS311" s="799"/>
      <c r="AT311" s="799"/>
      <c r="AU311" s="799"/>
      <c r="AV311" s="799"/>
      <c r="AW311" s="799"/>
      <c r="AX311" s="799"/>
      <c r="AY311" s="799"/>
      <c r="AZ311" s="799"/>
      <c r="BA311" s="799"/>
      <c r="BB311" s="799"/>
      <c r="BC311" s="799"/>
      <c r="BD311" s="799"/>
      <c r="BE311" s="799"/>
      <c r="BF311" s="799"/>
      <c r="BG311" s="799"/>
    </row>
    <row r="312">
      <c r="H312" s="799"/>
      <c r="I312" s="799"/>
      <c r="J312" s="799"/>
      <c r="K312" s="799"/>
      <c r="L312" s="799"/>
      <c r="M312" s="799"/>
      <c r="N312" s="799"/>
      <c r="O312" s="799"/>
      <c r="P312" s="799"/>
      <c r="Q312" s="799"/>
      <c r="R312" s="799"/>
      <c r="S312" s="799"/>
      <c r="T312" s="799"/>
      <c r="U312" s="799"/>
      <c r="V312" s="799"/>
      <c r="W312" s="799"/>
      <c r="X312" s="799"/>
      <c r="Y312" s="799"/>
      <c r="Z312" s="799"/>
      <c r="AA312" s="799"/>
      <c r="AB312" s="799"/>
      <c r="AC312" s="799"/>
      <c r="AD312" s="799"/>
      <c r="AE312" s="799"/>
      <c r="AF312" s="799"/>
      <c r="AG312" s="799"/>
      <c r="AH312" s="799"/>
      <c r="AI312" s="799"/>
      <c r="AJ312" s="799"/>
      <c r="AK312" s="799"/>
      <c r="AL312" s="799"/>
      <c r="AM312" s="799"/>
      <c r="AN312" s="799"/>
      <c r="AO312" s="799"/>
      <c r="AP312" s="799"/>
      <c r="AQ312" s="799"/>
      <c r="AR312" s="799"/>
      <c r="AS312" s="799"/>
      <c r="AT312" s="799"/>
      <c r="AU312" s="799"/>
      <c r="AV312" s="799"/>
      <c r="AW312" s="799"/>
      <c r="AX312" s="799"/>
      <c r="AY312" s="799"/>
      <c r="AZ312" s="799"/>
      <c r="BA312" s="799"/>
      <c r="BB312" s="799"/>
      <c r="BC312" s="799"/>
      <c r="BD312" s="799"/>
      <c r="BE312" s="799"/>
      <c r="BF312" s="799"/>
      <c r="BG312" s="799"/>
    </row>
    <row r="313">
      <c r="H313" s="799"/>
      <c r="I313" s="799"/>
      <c r="J313" s="799"/>
      <c r="K313" s="799"/>
      <c r="L313" s="799"/>
      <c r="M313" s="799"/>
      <c r="N313" s="799"/>
      <c r="O313" s="799"/>
      <c r="P313" s="799"/>
      <c r="Q313" s="799"/>
      <c r="R313" s="799"/>
      <c r="S313" s="799"/>
      <c r="T313" s="799"/>
      <c r="U313" s="799"/>
      <c r="V313" s="799"/>
      <c r="W313" s="799"/>
      <c r="X313" s="799"/>
      <c r="Y313" s="799"/>
      <c r="Z313" s="799"/>
      <c r="AA313" s="799"/>
      <c r="AB313" s="799"/>
      <c r="AC313" s="799"/>
      <c r="AD313" s="799"/>
      <c r="AE313" s="799"/>
      <c r="AF313" s="799"/>
      <c r="AG313" s="799"/>
      <c r="AH313" s="799"/>
      <c r="AI313" s="799"/>
      <c r="AJ313" s="799"/>
      <c r="AK313" s="799"/>
      <c r="AL313" s="799"/>
      <c r="AM313" s="799"/>
      <c r="AN313" s="799"/>
      <c r="AO313" s="799"/>
      <c r="AP313" s="799"/>
      <c r="AQ313" s="799"/>
      <c r="AR313" s="799"/>
      <c r="AS313" s="799"/>
      <c r="AT313" s="799"/>
      <c r="AU313" s="799"/>
      <c r="AV313" s="799"/>
      <c r="AW313" s="799"/>
      <c r="AX313" s="799"/>
      <c r="AY313" s="799"/>
      <c r="AZ313" s="799"/>
      <c r="BA313" s="799"/>
      <c r="BB313" s="799"/>
      <c r="BC313" s="799"/>
      <c r="BD313" s="799"/>
      <c r="BE313" s="799"/>
      <c r="BF313" s="799"/>
      <c r="BG313" s="799"/>
    </row>
    <row r="314">
      <c r="H314" s="799"/>
      <c r="I314" s="799"/>
      <c r="J314" s="799"/>
      <c r="K314" s="799"/>
      <c r="L314" s="799"/>
      <c r="M314" s="799"/>
      <c r="N314" s="799"/>
      <c r="O314" s="799"/>
      <c r="P314" s="799"/>
      <c r="Q314" s="799"/>
      <c r="R314" s="799"/>
      <c r="S314" s="799"/>
      <c r="T314" s="799"/>
      <c r="U314" s="799"/>
      <c r="V314" s="799"/>
      <c r="W314" s="799"/>
      <c r="X314" s="799"/>
      <c r="Y314" s="799"/>
      <c r="Z314" s="799"/>
      <c r="AA314" s="799"/>
      <c r="AB314" s="799"/>
      <c r="AC314" s="799"/>
      <c r="AD314" s="799"/>
      <c r="AE314" s="799"/>
      <c r="AF314" s="799"/>
      <c r="AG314" s="799"/>
      <c r="AH314" s="799"/>
      <c r="AI314" s="799"/>
      <c r="AJ314" s="799"/>
      <c r="AK314" s="799"/>
      <c r="AL314" s="799"/>
      <c r="AM314" s="799"/>
      <c r="AN314" s="799"/>
      <c r="AO314" s="799"/>
      <c r="AP314" s="799"/>
      <c r="AQ314" s="799"/>
      <c r="AR314" s="799"/>
      <c r="AS314" s="799"/>
      <c r="AT314" s="799"/>
      <c r="AU314" s="799"/>
      <c r="AV314" s="799"/>
      <c r="AW314" s="799"/>
      <c r="AX314" s="799"/>
      <c r="AY314" s="799"/>
      <c r="AZ314" s="799"/>
      <c r="BA314" s="799"/>
      <c r="BB314" s="799"/>
      <c r="BC314" s="799"/>
      <c r="BD314" s="799"/>
      <c r="BE314" s="799"/>
      <c r="BF314" s="799"/>
      <c r="BG314" s="799"/>
    </row>
    <row r="315">
      <c r="H315" s="799"/>
      <c r="I315" s="799"/>
      <c r="J315" s="799"/>
      <c r="K315" s="799"/>
      <c r="L315" s="799"/>
      <c r="M315" s="799"/>
      <c r="N315" s="799"/>
      <c r="O315" s="799"/>
      <c r="P315" s="799"/>
      <c r="Q315" s="799"/>
      <c r="R315" s="799"/>
      <c r="S315" s="799"/>
      <c r="T315" s="799"/>
      <c r="U315" s="799"/>
      <c r="V315" s="799"/>
      <c r="W315" s="799"/>
      <c r="X315" s="799"/>
      <c r="Y315" s="799"/>
      <c r="Z315" s="799"/>
      <c r="AA315" s="799"/>
      <c r="AB315" s="799"/>
      <c r="AC315" s="799"/>
      <c r="AD315" s="799"/>
      <c r="AE315" s="799"/>
      <c r="AF315" s="799"/>
      <c r="AG315" s="799"/>
      <c r="AH315" s="799"/>
      <c r="AI315" s="799"/>
      <c r="AJ315" s="799"/>
      <c r="AK315" s="799"/>
      <c r="AL315" s="799"/>
      <c r="AM315" s="799"/>
      <c r="AN315" s="799"/>
      <c r="AO315" s="799"/>
      <c r="AP315" s="799"/>
      <c r="AQ315" s="799"/>
      <c r="AR315" s="799"/>
      <c r="AS315" s="799"/>
      <c r="AT315" s="799"/>
      <c r="AU315" s="799"/>
      <c r="AV315" s="799"/>
      <c r="AW315" s="799"/>
      <c r="AX315" s="799"/>
      <c r="AY315" s="799"/>
      <c r="AZ315" s="799"/>
      <c r="BA315" s="799"/>
      <c r="BB315" s="799"/>
      <c r="BC315" s="799"/>
      <c r="BD315" s="799"/>
      <c r="BE315" s="799"/>
      <c r="BF315" s="799"/>
      <c r="BG315" s="799"/>
    </row>
    <row r="316">
      <c r="H316" s="799"/>
      <c r="I316" s="799"/>
      <c r="J316" s="799"/>
      <c r="K316" s="799"/>
      <c r="L316" s="799"/>
      <c r="M316" s="799"/>
      <c r="N316" s="799"/>
      <c r="O316" s="799"/>
      <c r="P316" s="799"/>
      <c r="Q316" s="799"/>
      <c r="R316" s="799"/>
      <c r="S316" s="799"/>
      <c r="T316" s="799"/>
      <c r="U316" s="799"/>
      <c r="V316" s="799"/>
      <c r="W316" s="799"/>
      <c r="X316" s="799"/>
      <c r="Y316" s="799"/>
      <c r="Z316" s="799"/>
      <c r="AA316" s="799"/>
      <c r="AB316" s="799"/>
      <c r="AC316" s="799"/>
      <c r="AD316" s="799"/>
      <c r="AE316" s="799"/>
      <c r="AF316" s="799"/>
      <c r="AG316" s="799"/>
      <c r="AH316" s="799"/>
      <c r="AI316" s="799"/>
      <c r="AJ316" s="799"/>
      <c r="AK316" s="799"/>
      <c r="AL316" s="799"/>
      <c r="AM316" s="799"/>
      <c r="AN316" s="799"/>
      <c r="AO316" s="799"/>
      <c r="AP316" s="799"/>
      <c r="AQ316" s="799"/>
      <c r="AR316" s="799"/>
      <c r="AS316" s="799"/>
      <c r="AT316" s="799"/>
      <c r="AU316" s="799"/>
      <c r="AV316" s="799"/>
      <c r="AW316" s="799"/>
      <c r="AX316" s="799"/>
      <c r="AY316" s="799"/>
      <c r="AZ316" s="799"/>
      <c r="BA316" s="799"/>
      <c r="BB316" s="799"/>
      <c r="BC316" s="799"/>
      <c r="BD316" s="799"/>
      <c r="BE316" s="799"/>
      <c r="BF316" s="799"/>
      <c r="BG316" s="799"/>
    </row>
    <row r="317">
      <c r="H317" s="799"/>
      <c r="I317" s="799"/>
      <c r="J317" s="799"/>
      <c r="K317" s="799"/>
      <c r="L317" s="799"/>
      <c r="M317" s="799"/>
      <c r="N317" s="799"/>
      <c r="O317" s="799"/>
      <c r="P317" s="799"/>
      <c r="Q317" s="799"/>
      <c r="R317" s="799"/>
      <c r="S317" s="799"/>
      <c r="T317" s="799"/>
      <c r="U317" s="799"/>
      <c r="V317" s="799"/>
      <c r="W317" s="799"/>
      <c r="X317" s="799"/>
      <c r="Y317" s="799"/>
      <c r="Z317" s="799"/>
      <c r="AA317" s="799"/>
      <c r="AB317" s="799"/>
      <c r="AC317" s="799"/>
      <c r="AD317" s="799"/>
      <c r="AE317" s="799"/>
      <c r="AF317" s="799"/>
      <c r="AG317" s="799"/>
      <c r="AH317" s="799"/>
      <c r="AI317" s="799"/>
      <c r="AJ317" s="799"/>
      <c r="AK317" s="799"/>
      <c r="AL317" s="799"/>
      <c r="AM317" s="799"/>
      <c r="AN317" s="799"/>
      <c r="AO317" s="799"/>
      <c r="AP317" s="799"/>
      <c r="AQ317" s="799"/>
      <c r="AR317" s="799"/>
      <c r="AS317" s="799"/>
      <c r="AT317" s="799"/>
      <c r="AU317" s="799"/>
      <c r="AV317" s="799"/>
      <c r="AW317" s="799"/>
      <c r="AX317" s="799"/>
      <c r="AY317" s="799"/>
      <c r="AZ317" s="799"/>
      <c r="BA317" s="799"/>
      <c r="BB317" s="799"/>
      <c r="BC317" s="799"/>
      <c r="BD317" s="799"/>
      <c r="BE317" s="799"/>
      <c r="BF317" s="799"/>
      <c r="BG317" s="799"/>
    </row>
    <row r="318">
      <c r="H318" s="799"/>
      <c r="I318" s="799"/>
      <c r="J318" s="799"/>
      <c r="K318" s="799"/>
      <c r="L318" s="799"/>
      <c r="M318" s="799"/>
      <c r="N318" s="799"/>
      <c r="O318" s="799"/>
      <c r="P318" s="799"/>
      <c r="Q318" s="799"/>
      <c r="R318" s="799"/>
      <c r="S318" s="799"/>
      <c r="T318" s="799"/>
      <c r="U318" s="799"/>
      <c r="V318" s="799"/>
      <c r="W318" s="799"/>
      <c r="X318" s="799"/>
      <c r="Y318" s="799"/>
      <c r="Z318" s="799"/>
      <c r="AA318" s="799"/>
      <c r="AB318" s="799"/>
      <c r="AC318" s="799"/>
      <c r="AD318" s="799"/>
      <c r="AE318" s="799"/>
      <c r="AF318" s="799"/>
      <c r="AG318" s="799"/>
      <c r="AH318" s="799"/>
      <c r="AI318" s="799"/>
      <c r="AJ318" s="799"/>
      <c r="AK318" s="799"/>
      <c r="AL318" s="799"/>
      <c r="AM318" s="799"/>
      <c r="AN318" s="799"/>
      <c r="AO318" s="799"/>
      <c r="AP318" s="799"/>
      <c r="AQ318" s="799"/>
      <c r="AR318" s="799"/>
      <c r="AS318" s="799"/>
      <c r="AT318" s="799"/>
      <c r="AU318" s="799"/>
      <c r="AV318" s="799"/>
      <c r="AW318" s="799"/>
      <c r="AX318" s="799"/>
      <c r="AY318" s="799"/>
      <c r="AZ318" s="799"/>
      <c r="BA318" s="799"/>
      <c r="BB318" s="799"/>
      <c r="BC318" s="799"/>
      <c r="BD318" s="799"/>
      <c r="BE318" s="799"/>
      <c r="BF318" s="799"/>
      <c r="BG318" s="799"/>
    </row>
    <row r="319">
      <c r="H319" s="799"/>
      <c r="I319" s="799"/>
      <c r="J319" s="799"/>
      <c r="K319" s="799"/>
      <c r="L319" s="799"/>
      <c r="M319" s="799"/>
      <c r="N319" s="799"/>
      <c r="O319" s="799"/>
      <c r="P319" s="799"/>
      <c r="Q319" s="799"/>
      <c r="R319" s="799"/>
      <c r="S319" s="799"/>
      <c r="T319" s="799"/>
      <c r="U319" s="799"/>
      <c r="V319" s="799"/>
      <c r="W319" s="799"/>
      <c r="X319" s="799"/>
      <c r="Y319" s="799"/>
      <c r="Z319" s="799"/>
      <c r="AA319" s="799"/>
      <c r="AB319" s="799"/>
      <c r="AC319" s="799"/>
      <c r="AD319" s="799"/>
      <c r="AE319" s="799"/>
      <c r="AF319" s="799"/>
      <c r="AG319" s="799"/>
      <c r="AH319" s="799"/>
      <c r="AI319" s="799"/>
      <c r="AJ319" s="799"/>
      <c r="AK319" s="799"/>
      <c r="AL319" s="799"/>
      <c r="AM319" s="799"/>
      <c r="AN319" s="799"/>
      <c r="AO319" s="799"/>
      <c r="AP319" s="799"/>
      <c r="AQ319" s="799"/>
      <c r="AR319" s="799"/>
      <c r="AS319" s="799"/>
      <c r="AT319" s="799"/>
      <c r="AU319" s="799"/>
      <c r="AV319" s="799"/>
      <c r="AW319" s="799"/>
      <c r="AX319" s="799"/>
      <c r="AY319" s="799"/>
      <c r="AZ319" s="799"/>
      <c r="BA319" s="799"/>
      <c r="BB319" s="799"/>
      <c r="BC319" s="799"/>
      <c r="BD319" s="799"/>
      <c r="BE319" s="799"/>
      <c r="BF319" s="799"/>
      <c r="BG319" s="799"/>
    </row>
    <row r="320">
      <c r="H320" s="799"/>
      <c r="I320" s="799"/>
      <c r="J320" s="799"/>
      <c r="K320" s="799"/>
      <c r="L320" s="799"/>
      <c r="M320" s="799"/>
      <c r="N320" s="799"/>
      <c r="O320" s="799"/>
      <c r="P320" s="799"/>
      <c r="Q320" s="799"/>
      <c r="R320" s="799"/>
      <c r="S320" s="799"/>
      <c r="T320" s="799"/>
      <c r="U320" s="799"/>
      <c r="V320" s="799"/>
      <c r="W320" s="799"/>
      <c r="X320" s="799"/>
      <c r="Y320" s="799"/>
      <c r="Z320" s="799"/>
      <c r="AA320" s="799"/>
      <c r="AB320" s="799"/>
      <c r="AC320" s="799"/>
      <c r="AD320" s="799"/>
      <c r="AE320" s="799"/>
      <c r="AF320" s="799"/>
      <c r="AG320" s="799"/>
      <c r="AH320" s="799"/>
      <c r="AI320" s="799"/>
      <c r="AJ320" s="799"/>
      <c r="AK320" s="799"/>
      <c r="AL320" s="799"/>
      <c r="AM320" s="799"/>
      <c r="AN320" s="799"/>
      <c r="AO320" s="799"/>
      <c r="AP320" s="799"/>
      <c r="AQ320" s="799"/>
      <c r="AR320" s="799"/>
      <c r="AS320" s="799"/>
      <c r="AT320" s="799"/>
      <c r="AU320" s="799"/>
      <c r="AV320" s="799"/>
      <c r="AW320" s="799"/>
      <c r="AX320" s="799"/>
      <c r="AY320" s="799"/>
      <c r="AZ320" s="799"/>
      <c r="BA320" s="799"/>
      <c r="BB320" s="799"/>
      <c r="BC320" s="799"/>
      <c r="BD320" s="799"/>
      <c r="BE320" s="799"/>
      <c r="BF320" s="799"/>
      <c r="BG320" s="799"/>
    </row>
    <row r="321">
      <c r="H321" s="799"/>
      <c r="I321" s="799"/>
      <c r="J321" s="799"/>
      <c r="K321" s="799"/>
      <c r="L321" s="799"/>
      <c r="M321" s="799"/>
      <c r="N321" s="799"/>
      <c r="O321" s="799"/>
      <c r="P321" s="799"/>
      <c r="Q321" s="799"/>
      <c r="R321" s="799"/>
      <c r="S321" s="799"/>
      <c r="T321" s="799"/>
      <c r="U321" s="799"/>
      <c r="V321" s="799"/>
      <c r="W321" s="799"/>
      <c r="X321" s="799"/>
      <c r="Y321" s="799"/>
      <c r="Z321" s="799"/>
      <c r="AA321" s="799"/>
      <c r="AB321" s="799"/>
      <c r="AC321" s="799"/>
      <c r="AD321" s="799"/>
      <c r="AE321" s="799"/>
      <c r="AF321" s="799"/>
      <c r="AG321" s="799"/>
      <c r="AH321" s="799"/>
      <c r="AI321" s="799"/>
      <c r="AJ321" s="799"/>
      <c r="AK321" s="799"/>
      <c r="AL321" s="799"/>
      <c r="AM321" s="799"/>
      <c r="AN321" s="799"/>
      <c r="AO321" s="799"/>
      <c r="AP321" s="799"/>
      <c r="AQ321" s="799"/>
      <c r="AR321" s="799"/>
      <c r="AS321" s="799"/>
      <c r="AT321" s="799"/>
      <c r="AU321" s="799"/>
      <c r="AV321" s="799"/>
      <c r="AW321" s="799"/>
      <c r="AX321" s="799"/>
      <c r="AY321" s="799"/>
      <c r="AZ321" s="799"/>
      <c r="BA321" s="799"/>
      <c r="BB321" s="799"/>
      <c r="BC321" s="799"/>
      <c r="BD321" s="799"/>
      <c r="BE321" s="799"/>
      <c r="BF321" s="799"/>
      <c r="BG321" s="799"/>
    </row>
    <row r="322">
      <c r="H322" s="799"/>
      <c r="I322" s="799"/>
      <c r="J322" s="799"/>
      <c r="K322" s="799"/>
      <c r="L322" s="799"/>
      <c r="M322" s="799"/>
      <c r="N322" s="799"/>
      <c r="O322" s="799"/>
      <c r="P322" s="799"/>
      <c r="Q322" s="799"/>
      <c r="R322" s="799"/>
      <c r="S322" s="799"/>
      <c r="T322" s="799"/>
      <c r="U322" s="799"/>
      <c r="V322" s="799"/>
      <c r="W322" s="799"/>
      <c r="X322" s="799"/>
      <c r="Y322" s="799"/>
      <c r="Z322" s="799"/>
      <c r="AA322" s="799"/>
      <c r="AB322" s="799"/>
      <c r="AC322" s="799"/>
      <c r="AD322" s="799"/>
      <c r="AE322" s="799"/>
      <c r="AF322" s="799"/>
      <c r="AG322" s="799"/>
      <c r="AH322" s="799"/>
      <c r="AI322" s="799"/>
      <c r="AJ322" s="799"/>
      <c r="AK322" s="799"/>
      <c r="AL322" s="799"/>
      <c r="AM322" s="799"/>
      <c r="AN322" s="799"/>
      <c r="AO322" s="799"/>
      <c r="AP322" s="799"/>
      <c r="AQ322" s="799"/>
      <c r="AR322" s="799"/>
      <c r="AS322" s="799"/>
      <c r="AT322" s="799"/>
      <c r="AU322" s="799"/>
      <c r="AV322" s="799"/>
      <c r="AW322" s="799"/>
      <c r="AX322" s="799"/>
      <c r="AY322" s="799"/>
      <c r="AZ322" s="799"/>
      <c r="BA322" s="799"/>
      <c r="BB322" s="799"/>
      <c r="BC322" s="799"/>
      <c r="BD322" s="799"/>
      <c r="BE322" s="799"/>
      <c r="BF322" s="799"/>
      <c r="BG322" s="799"/>
    </row>
    <row r="323">
      <c r="H323" s="799"/>
      <c r="I323" s="799"/>
      <c r="J323" s="799"/>
      <c r="K323" s="799"/>
      <c r="L323" s="799"/>
      <c r="M323" s="799"/>
      <c r="N323" s="799"/>
      <c r="O323" s="799"/>
      <c r="P323" s="799"/>
      <c r="Q323" s="799"/>
      <c r="R323" s="799"/>
      <c r="S323" s="799"/>
      <c r="T323" s="799"/>
      <c r="U323" s="799"/>
      <c r="V323" s="799"/>
      <c r="W323" s="799"/>
      <c r="X323" s="799"/>
      <c r="Y323" s="799"/>
      <c r="Z323" s="799"/>
      <c r="AA323" s="799"/>
      <c r="AB323" s="799"/>
      <c r="AC323" s="799"/>
      <c r="AD323" s="799"/>
      <c r="AE323" s="799"/>
      <c r="AF323" s="799"/>
      <c r="AG323" s="799"/>
      <c r="AH323" s="799"/>
      <c r="AI323" s="799"/>
      <c r="AJ323" s="799"/>
      <c r="AK323" s="799"/>
      <c r="AL323" s="799"/>
      <c r="AM323" s="799"/>
      <c r="AN323" s="799"/>
      <c r="AO323" s="799"/>
      <c r="AP323" s="799"/>
      <c r="AQ323" s="799"/>
      <c r="AR323" s="799"/>
      <c r="AS323" s="799"/>
      <c r="AT323" s="799"/>
      <c r="AU323" s="799"/>
      <c r="AV323" s="799"/>
      <c r="AW323" s="799"/>
      <c r="AX323" s="799"/>
      <c r="AY323" s="799"/>
      <c r="AZ323" s="799"/>
      <c r="BA323" s="799"/>
      <c r="BB323" s="799"/>
      <c r="BC323" s="799"/>
      <c r="BD323" s="799"/>
      <c r="BE323" s="799"/>
      <c r="BF323" s="799"/>
      <c r="BG323" s="799"/>
    </row>
    <row r="324">
      <c r="H324" s="799"/>
      <c r="I324" s="799"/>
      <c r="J324" s="799"/>
      <c r="K324" s="799"/>
      <c r="L324" s="799"/>
      <c r="M324" s="799"/>
      <c r="N324" s="799"/>
      <c r="O324" s="799"/>
      <c r="P324" s="799"/>
      <c r="Q324" s="799"/>
      <c r="R324" s="799"/>
      <c r="S324" s="799"/>
      <c r="T324" s="799"/>
      <c r="U324" s="799"/>
      <c r="V324" s="799"/>
      <c r="W324" s="799"/>
      <c r="X324" s="799"/>
      <c r="Y324" s="799"/>
      <c r="Z324" s="799"/>
      <c r="AA324" s="799"/>
      <c r="AB324" s="799"/>
      <c r="AC324" s="799"/>
      <c r="AD324" s="799"/>
      <c r="AE324" s="799"/>
      <c r="AF324" s="799"/>
      <c r="AG324" s="799"/>
      <c r="AH324" s="799"/>
      <c r="AI324" s="799"/>
      <c r="AJ324" s="799"/>
      <c r="AK324" s="799"/>
      <c r="AL324" s="799"/>
      <c r="AM324" s="799"/>
      <c r="AN324" s="799"/>
      <c r="AO324" s="799"/>
      <c r="AP324" s="799"/>
      <c r="AQ324" s="799"/>
      <c r="AR324" s="799"/>
      <c r="AS324" s="799"/>
      <c r="AT324" s="799"/>
      <c r="AU324" s="799"/>
      <c r="AV324" s="799"/>
      <c r="AW324" s="799"/>
      <c r="AX324" s="799"/>
      <c r="AY324" s="799"/>
      <c r="AZ324" s="799"/>
      <c r="BA324" s="799"/>
      <c r="BB324" s="799"/>
      <c r="BC324" s="799"/>
      <c r="BD324" s="799"/>
      <c r="BE324" s="799"/>
      <c r="BF324" s="799"/>
      <c r="BG324" s="799"/>
    </row>
    <row r="325">
      <c r="H325" s="799"/>
      <c r="I325" s="799"/>
      <c r="J325" s="799"/>
      <c r="K325" s="799"/>
      <c r="L325" s="799"/>
      <c r="M325" s="799"/>
      <c r="N325" s="799"/>
      <c r="O325" s="799"/>
      <c r="P325" s="799"/>
      <c r="Q325" s="799"/>
      <c r="R325" s="799"/>
      <c r="S325" s="799"/>
      <c r="T325" s="799"/>
      <c r="U325" s="799"/>
      <c r="V325" s="799"/>
      <c r="W325" s="799"/>
      <c r="X325" s="799"/>
      <c r="Y325" s="799"/>
      <c r="Z325" s="799"/>
      <c r="AA325" s="799"/>
      <c r="AB325" s="799"/>
      <c r="AC325" s="799"/>
      <c r="AD325" s="799"/>
      <c r="AE325" s="799"/>
      <c r="AF325" s="799"/>
      <c r="AG325" s="799"/>
      <c r="AH325" s="799"/>
      <c r="AI325" s="799"/>
      <c r="AJ325" s="799"/>
      <c r="AK325" s="799"/>
      <c r="AL325" s="799"/>
      <c r="AM325" s="799"/>
      <c r="AN325" s="799"/>
      <c r="AO325" s="799"/>
      <c r="AP325" s="799"/>
      <c r="AQ325" s="799"/>
      <c r="AR325" s="799"/>
      <c r="AS325" s="799"/>
      <c r="AT325" s="799"/>
      <c r="AU325" s="799"/>
      <c r="AV325" s="799"/>
      <c r="AW325" s="799"/>
      <c r="AX325" s="799"/>
      <c r="AY325" s="799"/>
      <c r="AZ325" s="799"/>
      <c r="BA325" s="799"/>
      <c r="BB325" s="799"/>
      <c r="BC325" s="799"/>
      <c r="BD325" s="799"/>
      <c r="BE325" s="799"/>
      <c r="BF325" s="799"/>
      <c r="BG325" s="799"/>
    </row>
    <row r="326">
      <c r="H326" s="799"/>
      <c r="I326" s="799"/>
      <c r="J326" s="799"/>
      <c r="K326" s="799"/>
      <c r="L326" s="799"/>
      <c r="M326" s="799"/>
      <c r="N326" s="799"/>
      <c r="O326" s="799"/>
      <c r="P326" s="799"/>
      <c r="Q326" s="799"/>
      <c r="R326" s="799"/>
      <c r="S326" s="799"/>
      <c r="T326" s="799"/>
      <c r="U326" s="799"/>
      <c r="V326" s="799"/>
      <c r="W326" s="799"/>
      <c r="X326" s="799"/>
      <c r="Y326" s="799"/>
      <c r="Z326" s="799"/>
      <c r="AA326" s="799"/>
      <c r="AB326" s="799"/>
      <c r="AC326" s="799"/>
      <c r="AD326" s="799"/>
      <c r="AE326" s="799"/>
      <c r="AF326" s="799"/>
      <c r="AG326" s="799"/>
      <c r="AH326" s="799"/>
      <c r="AI326" s="799"/>
      <c r="AJ326" s="799"/>
      <c r="AK326" s="799"/>
      <c r="AL326" s="799"/>
      <c r="AM326" s="799"/>
      <c r="AN326" s="799"/>
      <c r="AO326" s="799"/>
      <c r="AP326" s="799"/>
      <c r="AQ326" s="799"/>
      <c r="AR326" s="799"/>
      <c r="AS326" s="799"/>
      <c r="AT326" s="799"/>
      <c r="AU326" s="799"/>
      <c r="AV326" s="799"/>
      <c r="AW326" s="799"/>
      <c r="AX326" s="799"/>
      <c r="AY326" s="799"/>
      <c r="AZ326" s="799"/>
      <c r="BA326" s="799"/>
      <c r="BB326" s="799"/>
      <c r="BC326" s="799"/>
      <c r="BD326" s="799"/>
      <c r="BE326" s="799"/>
      <c r="BF326" s="799"/>
      <c r="BG326" s="799"/>
    </row>
    <row r="327">
      <c r="H327" s="799"/>
      <c r="I327" s="799"/>
      <c r="J327" s="799"/>
      <c r="K327" s="799"/>
      <c r="L327" s="799"/>
      <c r="M327" s="799"/>
      <c r="N327" s="799"/>
      <c r="O327" s="799"/>
      <c r="P327" s="799"/>
      <c r="Q327" s="799"/>
      <c r="R327" s="799"/>
      <c r="S327" s="799"/>
      <c r="T327" s="799"/>
      <c r="U327" s="799"/>
      <c r="V327" s="799"/>
      <c r="W327" s="799"/>
      <c r="X327" s="799"/>
      <c r="Y327" s="799"/>
      <c r="Z327" s="799"/>
      <c r="AA327" s="799"/>
      <c r="AB327" s="799"/>
      <c r="AC327" s="799"/>
      <c r="AD327" s="799"/>
      <c r="AE327" s="799"/>
      <c r="AF327" s="799"/>
      <c r="AG327" s="799"/>
      <c r="AH327" s="799"/>
      <c r="AI327" s="799"/>
      <c r="AJ327" s="799"/>
      <c r="AK327" s="799"/>
      <c r="AL327" s="799"/>
      <c r="AM327" s="799"/>
      <c r="AN327" s="799"/>
      <c r="AO327" s="799"/>
      <c r="AP327" s="799"/>
      <c r="AQ327" s="799"/>
      <c r="AR327" s="799"/>
      <c r="AS327" s="799"/>
      <c r="AT327" s="799"/>
      <c r="AU327" s="799"/>
      <c r="AV327" s="799"/>
      <c r="AW327" s="799"/>
      <c r="AX327" s="799"/>
      <c r="AY327" s="799"/>
      <c r="AZ327" s="799"/>
      <c r="BA327" s="799"/>
      <c r="BB327" s="799"/>
      <c r="BC327" s="799"/>
      <c r="BD327" s="799"/>
      <c r="BE327" s="799"/>
      <c r="BF327" s="799"/>
      <c r="BG327" s="799"/>
    </row>
    <row r="328">
      <c r="H328" s="799"/>
      <c r="I328" s="799"/>
      <c r="J328" s="799"/>
      <c r="K328" s="799"/>
      <c r="L328" s="799"/>
      <c r="M328" s="799"/>
      <c r="N328" s="799"/>
      <c r="O328" s="799"/>
      <c r="P328" s="799"/>
      <c r="Q328" s="799"/>
      <c r="R328" s="799"/>
      <c r="S328" s="799"/>
      <c r="T328" s="799"/>
      <c r="U328" s="799"/>
      <c r="V328" s="799"/>
      <c r="W328" s="799"/>
      <c r="X328" s="799"/>
      <c r="Y328" s="799"/>
      <c r="Z328" s="799"/>
      <c r="AA328" s="799"/>
      <c r="AB328" s="799"/>
      <c r="AC328" s="799"/>
      <c r="AD328" s="799"/>
      <c r="AE328" s="799"/>
      <c r="AF328" s="799"/>
      <c r="AG328" s="799"/>
      <c r="AH328" s="799"/>
      <c r="AI328" s="799"/>
      <c r="AJ328" s="799"/>
      <c r="AK328" s="799"/>
      <c r="AL328" s="799"/>
      <c r="AM328" s="799"/>
      <c r="AN328" s="799"/>
      <c r="AO328" s="799"/>
      <c r="AP328" s="799"/>
      <c r="AQ328" s="799"/>
      <c r="AR328" s="799"/>
      <c r="AS328" s="799"/>
      <c r="AT328" s="799"/>
      <c r="AU328" s="799"/>
      <c r="AV328" s="799"/>
      <c r="AW328" s="799"/>
      <c r="AX328" s="799"/>
      <c r="AY328" s="799"/>
      <c r="AZ328" s="799"/>
      <c r="BA328" s="799"/>
      <c r="BB328" s="799"/>
      <c r="BC328" s="799"/>
      <c r="BD328" s="799"/>
      <c r="BE328" s="799"/>
      <c r="BF328" s="799"/>
      <c r="BG328" s="799"/>
    </row>
    <row r="329">
      <c r="H329" s="799"/>
      <c r="I329" s="799"/>
      <c r="J329" s="799"/>
      <c r="K329" s="799"/>
      <c r="L329" s="799"/>
      <c r="M329" s="799"/>
      <c r="N329" s="799"/>
      <c r="O329" s="799"/>
      <c r="P329" s="799"/>
      <c r="Q329" s="799"/>
      <c r="R329" s="799"/>
      <c r="S329" s="799"/>
      <c r="T329" s="799"/>
      <c r="U329" s="799"/>
      <c r="V329" s="799"/>
      <c r="W329" s="799"/>
      <c r="X329" s="799"/>
      <c r="Y329" s="799"/>
      <c r="Z329" s="799"/>
      <c r="AA329" s="799"/>
      <c r="AB329" s="799"/>
      <c r="AC329" s="799"/>
      <c r="AD329" s="799"/>
      <c r="AE329" s="799"/>
      <c r="AF329" s="799"/>
      <c r="AG329" s="799"/>
      <c r="AH329" s="799"/>
      <c r="AI329" s="799"/>
      <c r="AJ329" s="799"/>
      <c r="AK329" s="799"/>
      <c r="AL329" s="799"/>
      <c r="AM329" s="799"/>
      <c r="AN329" s="799"/>
      <c r="AO329" s="799"/>
      <c r="AP329" s="799"/>
      <c r="AQ329" s="799"/>
      <c r="AR329" s="799"/>
      <c r="AS329" s="799"/>
      <c r="AT329" s="799"/>
      <c r="AU329" s="799"/>
      <c r="AV329" s="799"/>
      <c r="AW329" s="799"/>
      <c r="AX329" s="799"/>
      <c r="AY329" s="799"/>
      <c r="AZ329" s="799"/>
      <c r="BA329" s="799"/>
      <c r="BB329" s="799"/>
      <c r="BC329" s="799"/>
      <c r="BD329" s="799"/>
      <c r="BE329" s="799"/>
      <c r="BF329" s="799"/>
      <c r="BG329" s="799"/>
    </row>
    <row r="330">
      <c r="H330" s="799"/>
      <c r="I330" s="799"/>
      <c r="J330" s="799"/>
      <c r="K330" s="799"/>
      <c r="L330" s="799"/>
      <c r="M330" s="799"/>
      <c r="N330" s="799"/>
      <c r="O330" s="799"/>
      <c r="P330" s="799"/>
      <c r="Q330" s="799"/>
      <c r="R330" s="799"/>
      <c r="S330" s="799"/>
      <c r="T330" s="799"/>
      <c r="U330" s="799"/>
      <c r="V330" s="799"/>
      <c r="W330" s="799"/>
      <c r="X330" s="799"/>
      <c r="Y330" s="799"/>
      <c r="Z330" s="799"/>
      <c r="AA330" s="799"/>
      <c r="AB330" s="799"/>
      <c r="AC330" s="799"/>
      <c r="AD330" s="799"/>
      <c r="AE330" s="799"/>
      <c r="AF330" s="799"/>
      <c r="AG330" s="799"/>
      <c r="AH330" s="799"/>
      <c r="AI330" s="799"/>
      <c r="AJ330" s="799"/>
      <c r="AK330" s="799"/>
      <c r="AL330" s="799"/>
      <c r="AM330" s="799"/>
      <c r="AN330" s="799"/>
      <c r="AO330" s="799"/>
      <c r="AP330" s="799"/>
      <c r="AQ330" s="799"/>
      <c r="AR330" s="799"/>
      <c r="AS330" s="799"/>
      <c r="AT330" s="799"/>
      <c r="AU330" s="799"/>
      <c r="AV330" s="799"/>
      <c r="AW330" s="799"/>
      <c r="AX330" s="799"/>
      <c r="AY330" s="799"/>
      <c r="AZ330" s="799"/>
      <c r="BA330" s="799"/>
      <c r="BB330" s="799"/>
      <c r="BC330" s="799"/>
      <c r="BD330" s="799"/>
      <c r="BE330" s="799"/>
      <c r="BF330" s="799"/>
      <c r="BG330" s="799"/>
    </row>
    <row r="331">
      <c r="H331" s="799"/>
      <c r="I331" s="799"/>
      <c r="J331" s="799"/>
      <c r="K331" s="799"/>
      <c r="L331" s="799"/>
      <c r="M331" s="799"/>
      <c r="N331" s="799"/>
      <c r="O331" s="799"/>
      <c r="P331" s="799"/>
      <c r="Q331" s="799"/>
      <c r="R331" s="799"/>
      <c r="S331" s="799"/>
      <c r="T331" s="799"/>
      <c r="U331" s="799"/>
      <c r="V331" s="799"/>
      <c r="W331" s="799"/>
      <c r="X331" s="799"/>
      <c r="Y331" s="799"/>
      <c r="Z331" s="799"/>
      <c r="AA331" s="799"/>
      <c r="AB331" s="799"/>
      <c r="AC331" s="799"/>
      <c r="AD331" s="799"/>
      <c r="AE331" s="799"/>
      <c r="AF331" s="799"/>
      <c r="AG331" s="799"/>
      <c r="AH331" s="799"/>
      <c r="AI331" s="799"/>
      <c r="AJ331" s="799"/>
      <c r="AK331" s="799"/>
      <c r="AL331" s="799"/>
      <c r="AM331" s="799"/>
      <c r="AN331" s="799"/>
      <c r="AO331" s="799"/>
      <c r="AP331" s="799"/>
      <c r="AQ331" s="799"/>
      <c r="AR331" s="799"/>
      <c r="AS331" s="799"/>
      <c r="AT331" s="799"/>
      <c r="AU331" s="799"/>
      <c r="AV331" s="799"/>
      <c r="AW331" s="799"/>
      <c r="AX331" s="799"/>
      <c r="AY331" s="799"/>
      <c r="AZ331" s="799"/>
      <c r="BA331" s="799"/>
      <c r="BB331" s="799"/>
      <c r="BC331" s="799"/>
      <c r="BD331" s="799"/>
      <c r="BE331" s="799"/>
      <c r="BF331" s="799"/>
      <c r="BG331" s="799"/>
    </row>
    <row r="332">
      <c r="H332" s="799"/>
      <c r="I332" s="799"/>
      <c r="J332" s="799"/>
      <c r="K332" s="799"/>
      <c r="L332" s="799"/>
      <c r="M332" s="799"/>
      <c r="N332" s="799"/>
      <c r="O332" s="799"/>
      <c r="P332" s="799"/>
      <c r="Q332" s="799"/>
      <c r="R332" s="799"/>
      <c r="S332" s="799"/>
      <c r="T332" s="799"/>
      <c r="U332" s="799"/>
      <c r="V332" s="799"/>
      <c r="W332" s="799"/>
      <c r="X332" s="799"/>
      <c r="Y332" s="799"/>
      <c r="Z332" s="799"/>
      <c r="AA332" s="799"/>
      <c r="AB332" s="799"/>
      <c r="AC332" s="799"/>
      <c r="AD332" s="799"/>
      <c r="AE332" s="799"/>
      <c r="AF332" s="799"/>
      <c r="AG332" s="799"/>
      <c r="AH332" s="799"/>
      <c r="AI332" s="799"/>
      <c r="AJ332" s="799"/>
      <c r="AK332" s="799"/>
      <c r="AL332" s="799"/>
      <c r="AM332" s="799"/>
      <c r="AN332" s="799"/>
      <c r="AO332" s="799"/>
      <c r="AP332" s="799"/>
      <c r="AQ332" s="799"/>
      <c r="AR332" s="799"/>
      <c r="AS332" s="799"/>
      <c r="AT332" s="799"/>
      <c r="AU332" s="799"/>
      <c r="AV332" s="799"/>
      <c r="AW332" s="799"/>
      <c r="AX332" s="799"/>
      <c r="AY332" s="799"/>
      <c r="AZ332" s="799"/>
      <c r="BA332" s="799"/>
      <c r="BB332" s="799"/>
      <c r="BC332" s="799"/>
      <c r="BD332" s="799"/>
      <c r="BE332" s="799"/>
      <c r="BF332" s="799"/>
      <c r="BG332" s="799"/>
    </row>
    <row r="333">
      <c r="H333" s="799"/>
      <c r="I333" s="799"/>
      <c r="J333" s="799"/>
      <c r="K333" s="799"/>
      <c r="L333" s="799"/>
      <c r="M333" s="799"/>
      <c r="N333" s="799"/>
      <c r="O333" s="799"/>
      <c r="P333" s="799"/>
      <c r="Q333" s="799"/>
      <c r="R333" s="799"/>
      <c r="S333" s="799"/>
      <c r="T333" s="799"/>
      <c r="U333" s="799"/>
      <c r="V333" s="799"/>
      <c r="W333" s="799"/>
      <c r="X333" s="799"/>
      <c r="Y333" s="799"/>
      <c r="Z333" s="799"/>
      <c r="AA333" s="799"/>
      <c r="AB333" s="799"/>
      <c r="AC333" s="799"/>
      <c r="AD333" s="799"/>
      <c r="AE333" s="799"/>
      <c r="AF333" s="799"/>
      <c r="AG333" s="799"/>
      <c r="AH333" s="799"/>
      <c r="AI333" s="799"/>
      <c r="AJ333" s="799"/>
      <c r="AK333" s="799"/>
      <c r="AL333" s="799"/>
      <c r="AM333" s="799"/>
      <c r="AN333" s="799"/>
      <c r="AO333" s="799"/>
      <c r="AP333" s="799"/>
      <c r="AQ333" s="799"/>
      <c r="AR333" s="799"/>
      <c r="AS333" s="799"/>
      <c r="AT333" s="799"/>
      <c r="AU333" s="799"/>
      <c r="AV333" s="799"/>
      <c r="AW333" s="799"/>
      <c r="AX333" s="799"/>
      <c r="AY333" s="799"/>
      <c r="AZ333" s="799"/>
      <c r="BA333" s="799"/>
      <c r="BB333" s="799"/>
      <c r="BC333" s="799"/>
      <c r="BD333" s="799"/>
      <c r="BE333" s="799"/>
      <c r="BF333" s="799"/>
      <c r="BG333" s="799"/>
    </row>
    <row r="334">
      <c r="H334" s="799"/>
      <c r="I334" s="799"/>
      <c r="J334" s="799"/>
      <c r="K334" s="799"/>
      <c r="L334" s="799"/>
      <c r="M334" s="799"/>
      <c r="N334" s="799"/>
      <c r="O334" s="799"/>
      <c r="P334" s="799"/>
      <c r="Q334" s="799"/>
      <c r="R334" s="799"/>
      <c r="S334" s="799"/>
      <c r="T334" s="799"/>
      <c r="U334" s="799"/>
      <c r="V334" s="799"/>
      <c r="W334" s="799"/>
      <c r="X334" s="799"/>
      <c r="Y334" s="799"/>
      <c r="Z334" s="799"/>
      <c r="AA334" s="799"/>
      <c r="AB334" s="799"/>
      <c r="AC334" s="799"/>
      <c r="AD334" s="799"/>
      <c r="AE334" s="799"/>
      <c r="AF334" s="799"/>
      <c r="AG334" s="799"/>
      <c r="AH334" s="799"/>
      <c r="AI334" s="799"/>
      <c r="AJ334" s="799"/>
      <c r="AK334" s="799"/>
      <c r="AL334" s="799"/>
      <c r="AM334" s="799"/>
      <c r="AN334" s="799"/>
      <c r="AO334" s="799"/>
      <c r="AP334" s="799"/>
      <c r="AQ334" s="799"/>
      <c r="AR334" s="799"/>
      <c r="AS334" s="799"/>
      <c r="AT334" s="799"/>
      <c r="AU334" s="799"/>
      <c r="AV334" s="799"/>
      <c r="AW334" s="799"/>
      <c r="AX334" s="799"/>
      <c r="AY334" s="799"/>
      <c r="AZ334" s="799"/>
      <c r="BA334" s="799"/>
      <c r="BB334" s="799"/>
      <c r="BC334" s="799"/>
      <c r="BD334" s="799"/>
      <c r="BE334" s="799"/>
      <c r="BF334" s="799"/>
      <c r="BG334" s="799"/>
    </row>
    <row r="335">
      <c r="H335" s="799"/>
      <c r="I335" s="799"/>
      <c r="J335" s="799"/>
      <c r="K335" s="799"/>
      <c r="L335" s="799"/>
      <c r="M335" s="799"/>
      <c r="N335" s="799"/>
      <c r="O335" s="799"/>
      <c r="P335" s="799"/>
      <c r="Q335" s="799"/>
      <c r="R335" s="799"/>
      <c r="S335" s="799"/>
      <c r="T335" s="799"/>
      <c r="U335" s="799"/>
      <c r="V335" s="799"/>
      <c r="W335" s="799"/>
      <c r="X335" s="799"/>
      <c r="Y335" s="799"/>
      <c r="Z335" s="799"/>
      <c r="AA335" s="799"/>
      <c r="AB335" s="799"/>
      <c r="AC335" s="799"/>
      <c r="AD335" s="799"/>
      <c r="AE335" s="799"/>
      <c r="AF335" s="799"/>
      <c r="AG335" s="799"/>
      <c r="AH335" s="799"/>
      <c r="AI335" s="799"/>
      <c r="AJ335" s="799"/>
      <c r="AK335" s="799"/>
      <c r="AL335" s="799"/>
      <c r="AM335" s="799"/>
      <c r="AN335" s="799"/>
      <c r="AO335" s="799"/>
      <c r="AP335" s="799"/>
      <c r="AQ335" s="799"/>
      <c r="AR335" s="799"/>
      <c r="AS335" s="799"/>
      <c r="AT335" s="799"/>
      <c r="AU335" s="799"/>
      <c r="AV335" s="799"/>
      <c r="AW335" s="799"/>
      <c r="AX335" s="799"/>
      <c r="AY335" s="799"/>
      <c r="AZ335" s="799"/>
      <c r="BA335" s="799"/>
      <c r="BB335" s="799"/>
      <c r="BC335" s="799"/>
      <c r="BD335" s="799"/>
      <c r="BE335" s="799"/>
      <c r="BF335" s="799"/>
      <c r="BG335" s="799"/>
    </row>
    <row r="336">
      <c r="H336" s="799"/>
      <c r="I336" s="799"/>
      <c r="J336" s="799"/>
      <c r="K336" s="799"/>
      <c r="L336" s="799"/>
      <c r="M336" s="799"/>
      <c r="N336" s="799"/>
      <c r="O336" s="799"/>
      <c r="P336" s="799"/>
      <c r="Q336" s="799"/>
      <c r="R336" s="799"/>
      <c r="S336" s="799"/>
      <c r="T336" s="799"/>
      <c r="U336" s="799"/>
      <c r="V336" s="799"/>
      <c r="W336" s="799"/>
      <c r="X336" s="799"/>
      <c r="Y336" s="799"/>
      <c r="Z336" s="799"/>
      <c r="AA336" s="799"/>
      <c r="AB336" s="799"/>
      <c r="AC336" s="799"/>
      <c r="AD336" s="799"/>
      <c r="AE336" s="799"/>
      <c r="AF336" s="799"/>
      <c r="AG336" s="799"/>
      <c r="AH336" s="799"/>
      <c r="AI336" s="799"/>
      <c r="AJ336" s="799"/>
      <c r="AK336" s="799"/>
      <c r="AL336" s="799"/>
      <c r="AM336" s="799"/>
      <c r="AN336" s="799"/>
      <c r="AO336" s="799"/>
      <c r="AP336" s="799"/>
      <c r="AQ336" s="799"/>
      <c r="AR336" s="799"/>
      <c r="AS336" s="799"/>
      <c r="AT336" s="799"/>
      <c r="AU336" s="799"/>
      <c r="AV336" s="799"/>
      <c r="AW336" s="799"/>
      <c r="AX336" s="799"/>
      <c r="AY336" s="799"/>
      <c r="AZ336" s="799"/>
      <c r="BA336" s="799"/>
      <c r="BB336" s="799"/>
      <c r="BC336" s="799"/>
      <c r="BD336" s="799"/>
      <c r="BE336" s="799"/>
      <c r="BF336" s="799"/>
      <c r="BG336" s="799"/>
    </row>
    <row r="337">
      <c r="H337" s="799"/>
      <c r="I337" s="799"/>
      <c r="J337" s="799"/>
      <c r="K337" s="799"/>
      <c r="L337" s="799"/>
      <c r="M337" s="799"/>
      <c r="N337" s="799"/>
      <c r="O337" s="799"/>
      <c r="P337" s="799"/>
      <c r="Q337" s="799"/>
      <c r="R337" s="799"/>
      <c r="S337" s="799"/>
      <c r="T337" s="799"/>
      <c r="U337" s="799"/>
      <c r="V337" s="799"/>
      <c r="W337" s="799"/>
      <c r="X337" s="799"/>
      <c r="Y337" s="799"/>
      <c r="Z337" s="799"/>
      <c r="AA337" s="799"/>
      <c r="AB337" s="799"/>
      <c r="AC337" s="799"/>
      <c r="AD337" s="799"/>
      <c r="AE337" s="799"/>
      <c r="AF337" s="799"/>
      <c r="AG337" s="799"/>
      <c r="AH337" s="799"/>
      <c r="AI337" s="799"/>
      <c r="AJ337" s="799"/>
      <c r="AK337" s="799"/>
      <c r="AL337" s="799"/>
      <c r="AM337" s="799"/>
      <c r="AN337" s="799"/>
      <c r="AO337" s="799"/>
      <c r="AP337" s="799"/>
      <c r="AQ337" s="799"/>
      <c r="AR337" s="799"/>
      <c r="AS337" s="799"/>
      <c r="AT337" s="799"/>
      <c r="AU337" s="799"/>
      <c r="AV337" s="799"/>
      <c r="AW337" s="799"/>
      <c r="AX337" s="799"/>
      <c r="AY337" s="799"/>
      <c r="AZ337" s="799"/>
      <c r="BA337" s="799"/>
      <c r="BB337" s="799"/>
      <c r="BC337" s="799"/>
      <c r="BD337" s="799"/>
      <c r="BE337" s="799"/>
      <c r="BF337" s="799"/>
      <c r="BG337" s="799"/>
    </row>
    <row r="338">
      <c r="H338" s="799"/>
      <c r="I338" s="799"/>
      <c r="J338" s="799"/>
      <c r="K338" s="799"/>
      <c r="L338" s="799"/>
      <c r="M338" s="799"/>
      <c r="N338" s="799"/>
      <c r="O338" s="799"/>
      <c r="P338" s="799"/>
      <c r="Q338" s="799"/>
      <c r="R338" s="799"/>
      <c r="S338" s="799"/>
      <c r="T338" s="799"/>
      <c r="U338" s="799"/>
      <c r="V338" s="799"/>
      <c r="W338" s="799"/>
      <c r="X338" s="799"/>
      <c r="Y338" s="799"/>
      <c r="Z338" s="799"/>
      <c r="AA338" s="799"/>
      <c r="AB338" s="799"/>
      <c r="AC338" s="799"/>
      <c r="AD338" s="799"/>
      <c r="AE338" s="799"/>
      <c r="AF338" s="799"/>
      <c r="AG338" s="799"/>
      <c r="AH338" s="799"/>
      <c r="AI338" s="799"/>
      <c r="AJ338" s="799"/>
      <c r="AK338" s="799"/>
      <c r="AL338" s="799"/>
      <c r="AM338" s="799"/>
      <c r="AN338" s="799"/>
      <c r="AO338" s="799"/>
      <c r="AP338" s="799"/>
      <c r="AQ338" s="799"/>
      <c r="AR338" s="799"/>
      <c r="AS338" s="799"/>
      <c r="AT338" s="799"/>
      <c r="AU338" s="799"/>
      <c r="AV338" s="799"/>
      <c r="AW338" s="799"/>
      <c r="AX338" s="799"/>
      <c r="AY338" s="799"/>
      <c r="AZ338" s="799"/>
      <c r="BA338" s="799"/>
      <c r="BB338" s="799"/>
      <c r="BC338" s="799"/>
      <c r="BD338" s="799"/>
      <c r="BE338" s="799"/>
      <c r="BF338" s="799"/>
      <c r="BG338" s="799"/>
    </row>
    <row r="339">
      <c r="H339" s="799"/>
      <c r="I339" s="799"/>
      <c r="J339" s="799"/>
      <c r="K339" s="799"/>
      <c r="L339" s="799"/>
      <c r="M339" s="799"/>
      <c r="N339" s="799"/>
      <c r="O339" s="799"/>
      <c r="P339" s="799"/>
      <c r="Q339" s="799"/>
      <c r="R339" s="799"/>
      <c r="S339" s="799"/>
      <c r="T339" s="799"/>
      <c r="U339" s="799"/>
      <c r="V339" s="799"/>
      <c r="W339" s="799"/>
      <c r="X339" s="799"/>
      <c r="Y339" s="799"/>
      <c r="Z339" s="799"/>
      <c r="AA339" s="799"/>
      <c r="AB339" s="799"/>
      <c r="AC339" s="799"/>
      <c r="AD339" s="799"/>
      <c r="AE339" s="799"/>
      <c r="AF339" s="799"/>
      <c r="AG339" s="799"/>
      <c r="AH339" s="799"/>
      <c r="AI339" s="799"/>
      <c r="AJ339" s="799"/>
      <c r="AK339" s="799"/>
      <c r="AL339" s="799"/>
      <c r="AM339" s="799"/>
      <c r="AN339" s="799"/>
      <c r="AO339" s="799"/>
      <c r="AP339" s="799"/>
      <c r="AQ339" s="799"/>
      <c r="AR339" s="799"/>
      <c r="AS339" s="799"/>
      <c r="AT339" s="799"/>
      <c r="AU339" s="799"/>
      <c r="AV339" s="799"/>
      <c r="AW339" s="799"/>
      <c r="AX339" s="799"/>
      <c r="AY339" s="799"/>
      <c r="AZ339" s="799"/>
      <c r="BA339" s="799"/>
      <c r="BB339" s="799"/>
      <c r="BC339" s="799"/>
      <c r="BD339" s="799"/>
      <c r="BE339" s="799"/>
      <c r="BF339" s="799"/>
      <c r="BG339" s="799"/>
    </row>
    <row r="340">
      <c r="H340" s="799"/>
      <c r="I340" s="799"/>
      <c r="J340" s="799"/>
      <c r="K340" s="799"/>
      <c r="L340" s="799"/>
      <c r="M340" s="799"/>
      <c r="N340" s="799"/>
      <c r="O340" s="799"/>
      <c r="P340" s="799"/>
      <c r="Q340" s="799"/>
      <c r="R340" s="799"/>
      <c r="S340" s="799"/>
      <c r="T340" s="799"/>
      <c r="U340" s="799"/>
      <c r="V340" s="799"/>
      <c r="W340" s="799"/>
      <c r="X340" s="799"/>
      <c r="Y340" s="799"/>
      <c r="Z340" s="799"/>
      <c r="AA340" s="799"/>
      <c r="AB340" s="799"/>
      <c r="AC340" s="799"/>
      <c r="AD340" s="799"/>
      <c r="AE340" s="799"/>
      <c r="AF340" s="799"/>
      <c r="AG340" s="799"/>
      <c r="AH340" s="799"/>
      <c r="AI340" s="799"/>
      <c r="AJ340" s="799"/>
      <c r="AK340" s="799"/>
      <c r="AL340" s="799"/>
      <c r="AM340" s="799"/>
      <c r="AN340" s="799"/>
      <c r="AO340" s="799"/>
      <c r="AP340" s="799"/>
      <c r="AQ340" s="799"/>
      <c r="AR340" s="799"/>
      <c r="AS340" s="799"/>
      <c r="AT340" s="799"/>
      <c r="AU340" s="799"/>
      <c r="AV340" s="799"/>
      <c r="AW340" s="799"/>
      <c r="AX340" s="799"/>
      <c r="AY340" s="799"/>
      <c r="AZ340" s="799"/>
      <c r="BA340" s="799"/>
      <c r="BB340" s="799"/>
      <c r="BC340" s="799"/>
      <c r="BD340" s="799"/>
      <c r="BE340" s="799"/>
      <c r="BF340" s="799"/>
      <c r="BG340" s="799"/>
    </row>
    <row r="341">
      <c r="H341" s="799"/>
      <c r="I341" s="799"/>
      <c r="J341" s="799"/>
      <c r="K341" s="799"/>
      <c r="L341" s="799"/>
      <c r="M341" s="799"/>
      <c r="N341" s="799"/>
      <c r="O341" s="799"/>
      <c r="P341" s="799"/>
      <c r="Q341" s="799"/>
      <c r="R341" s="799"/>
      <c r="S341" s="799"/>
      <c r="T341" s="799"/>
      <c r="U341" s="799"/>
      <c r="V341" s="799"/>
      <c r="W341" s="799"/>
      <c r="X341" s="799"/>
      <c r="Y341" s="799"/>
      <c r="Z341" s="799"/>
      <c r="AA341" s="799"/>
      <c r="AB341" s="799"/>
      <c r="AC341" s="799"/>
      <c r="AD341" s="799"/>
      <c r="AE341" s="799"/>
      <c r="AF341" s="799"/>
      <c r="AG341" s="799"/>
      <c r="AH341" s="799"/>
      <c r="AI341" s="799"/>
      <c r="AJ341" s="799"/>
      <c r="AK341" s="799"/>
      <c r="AL341" s="799"/>
      <c r="AM341" s="799"/>
      <c r="AN341" s="799"/>
      <c r="AO341" s="799"/>
      <c r="AP341" s="799"/>
      <c r="AQ341" s="799"/>
      <c r="AR341" s="799"/>
      <c r="AS341" s="799"/>
      <c r="AT341" s="799"/>
      <c r="AU341" s="799"/>
      <c r="AV341" s="799"/>
      <c r="AW341" s="799"/>
      <c r="AX341" s="799"/>
      <c r="AY341" s="799"/>
      <c r="AZ341" s="799"/>
      <c r="BA341" s="799"/>
      <c r="BB341" s="799"/>
      <c r="BC341" s="799"/>
      <c r="BD341" s="799"/>
      <c r="BE341" s="799"/>
      <c r="BF341" s="799"/>
      <c r="BG341" s="799"/>
    </row>
    <row r="342">
      <c r="H342" s="799"/>
      <c r="I342" s="799"/>
      <c r="J342" s="799"/>
      <c r="K342" s="799"/>
      <c r="L342" s="799"/>
      <c r="M342" s="799"/>
      <c r="N342" s="799"/>
      <c r="O342" s="799"/>
      <c r="P342" s="799"/>
      <c r="Q342" s="799"/>
      <c r="R342" s="799"/>
      <c r="S342" s="799"/>
      <c r="T342" s="799"/>
      <c r="U342" s="799"/>
      <c r="V342" s="799"/>
      <c r="W342" s="799"/>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c r="AV342" s="799"/>
      <c r="AW342" s="799"/>
      <c r="AX342" s="799"/>
      <c r="AY342" s="799"/>
      <c r="AZ342" s="799"/>
      <c r="BA342" s="799"/>
      <c r="BB342" s="799"/>
      <c r="BC342" s="799"/>
      <c r="BD342" s="799"/>
      <c r="BE342" s="799"/>
      <c r="BF342" s="799"/>
      <c r="BG342" s="799"/>
    </row>
    <row r="343">
      <c r="H343" s="799"/>
      <c r="I343" s="799"/>
      <c r="J343" s="799"/>
      <c r="K343" s="799"/>
      <c r="L343" s="799"/>
      <c r="M343" s="799"/>
      <c r="N343" s="799"/>
      <c r="O343" s="799"/>
      <c r="P343" s="799"/>
      <c r="Q343" s="799"/>
      <c r="R343" s="799"/>
      <c r="S343" s="799"/>
      <c r="T343" s="799"/>
      <c r="U343" s="799"/>
      <c r="V343" s="799"/>
      <c r="W343" s="799"/>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c r="AV343" s="799"/>
      <c r="AW343" s="799"/>
      <c r="AX343" s="799"/>
      <c r="AY343" s="799"/>
      <c r="AZ343" s="799"/>
      <c r="BA343" s="799"/>
      <c r="BB343" s="799"/>
      <c r="BC343" s="799"/>
      <c r="BD343" s="799"/>
      <c r="BE343" s="799"/>
      <c r="BF343" s="799"/>
      <c r="BG343" s="799"/>
    </row>
    <row r="344">
      <c r="H344" s="799"/>
      <c r="I344" s="799"/>
      <c r="J344" s="799"/>
      <c r="K344" s="799"/>
      <c r="L344" s="799"/>
      <c r="M344" s="799"/>
      <c r="N344" s="799"/>
      <c r="O344" s="799"/>
      <c r="P344" s="799"/>
      <c r="Q344" s="799"/>
      <c r="R344" s="799"/>
      <c r="S344" s="799"/>
      <c r="T344" s="799"/>
      <c r="U344" s="799"/>
      <c r="V344" s="799"/>
      <c r="W344" s="799"/>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c r="AV344" s="799"/>
      <c r="AW344" s="799"/>
      <c r="AX344" s="799"/>
      <c r="AY344" s="799"/>
      <c r="AZ344" s="799"/>
      <c r="BA344" s="799"/>
      <c r="BB344" s="799"/>
      <c r="BC344" s="799"/>
      <c r="BD344" s="799"/>
      <c r="BE344" s="799"/>
      <c r="BF344" s="799"/>
      <c r="BG344" s="799"/>
    </row>
    <row r="345">
      <c r="H345" s="799"/>
      <c r="I345" s="799"/>
      <c r="J345" s="799"/>
      <c r="K345" s="799"/>
      <c r="L345" s="799"/>
      <c r="M345" s="799"/>
      <c r="N345" s="799"/>
      <c r="O345" s="799"/>
      <c r="P345" s="799"/>
      <c r="Q345" s="799"/>
      <c r="R345" s="799"/>
      <c r="S345" s="799"/>
      <c r="T345" s="799"/>
      <c r="U345" s="799"/>
      <c r="V345" s="799"/>
      <c r="W345" s="799"/>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c r="AV345" s="799"/>
      <c r="AW345" s="799"/>
      <c r="AX345" s="799"/>
      <c r="AY345" s="799"/>
      <c r="AZ345" s="799"/>
      <c r="BA345" s="799"/>
      <c r="BB345" s="799"/>
      <c r="BC345" s="799"/>
      <c r="BD345" s="799"/>
      <c r="BE345" s="799"/>
      <c r="BF345" s="799"/>
      <c r="BG345" s="799"/>
    </row>
    <row r="346">
      <c r="H346" s="799"/>
      <c r="I346" s="799"/>
      <c r="J346" s="799"/>
      <c r="K346" s="799"/>
      <c r="L346" s="799"/>
      <c r="M346" s="799"/>
      <c r="N346" s="799"/>
      <c r="O346" s="799"/>
      <c r="P346" s="799"/>
      <c r="Q346" s="799"/>
      <c r="R346" s="799"/>
      <c r="S346" s="799"/>
      <c r="T346" s="799"/>
      <c r="U346" s="799"/>
      <c r="V346" s="799"/>
      <c r="W346" s="799"/>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799"/>
      <c r="AX346" s="799"/>
      <c r="AY346" s="799"/>
      <c r="AZ346" s="799"/>
      <c r="BA346" s="799"/>
      <c r="BB346" s="799"/>
      <c r="BC346" s="799"/>
      <c r="BD346" s="799"/>
      <c r="BE346" s="799"/>
      <c r="BF346" s="799"/>
      <c r="BG346" s="799"/>
    </row>
    <row r="347">
      <c r="H347" s="799"/>
      <c r="I347" s="799"/>
      <c r="J347" s="799"/>
      <c r="K347" s="799"/>
      <c r="L347" s="799"/>
      <c r="M347" s="799"/>
      <c r="N347" s="799"/>
      <c r="O347" s="799"/>
      <c r="P347" s="799"/>
      <c r="Q347" s="799"/>
      <c r="R347" s="799"/>
      <c r="S347" s="799"/>
      <c r="T347" s="799"/>
      <c r="U347" s="799"/>
      <c r="V347" s="799"/>
      <c r="W347" s="799"/>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799"/>
      <c r="AX347" s="799"/>
      <c r="AY347" s="799"/>
      <c r="AZ347" s="799"/>
      <c r="BA347" s="799"/>
      <c r="BB347" s="799"/>
      <c r="BC347" s="799"/>
      <c r="BD347" s="799"/>
      <c r="BE347" s="799"/>
      <c r="BF347" s="799"/>
      <c r="BG347" s="799"/>
    </row>
    <row r="348">
      <c r="H348" s="799"/>
      <c r="I348" s="799"/>
      <c r="J348" s="799"/>
      <c r="K348" s="799"/>
      <c r="L348" s="799"/>
      <c r="M348" s="799"/>
      <c r="N348" s="799"/>
      <c r="O348" s="799"/>
      <c r="P348" s="799"/>
      <c r="Q348" s="799"/>
      <c r="R348" s="799"/>
      <c r="S348" s="799"/>
      <c r="T348" s="799"/>
      <c r="U348" s="799"/>
      <c r="V348" s="799"/>
      <c r="W348" s="799"/>
      <c r="X348" s="799"/>
      <c r="Y348" s="799"/>
      <c r="Z348" s="799"/>
      <c r="AA348" s="799"/>
      <c r="AB348" s="799"/>
      <c r="AC348" s="799"/>
      <c r="AD348" s="799"/>
      <c r="AE348" s="799"/>
      <c r="AF348" s="799"/>
      <c r="AG348" s="799"/>
      <c r="AH348" s="799"/>
      <c r="AI348" s="799"/>
      <c r="AJ348" s="799"/>
      <c r="AK348" s="799"/>
      <c r="AL348" s="799"/>
      <c r="AM348" s="799"/>
      <c r="AN348" s="799"/>
      <c r="AO348" s="799"/>
      <c r="AP348" s="799"/>
      <c r="AQ348" s="799"/>
      <c r="AR348" s="799"/>
      <c r="AS348" s="799"/>
      <c r="AT348" s="799"/>
      <c r="AU348" s="799"/>
      <c r="AV348" s="799"/>
      <c r="AW348" s="799"/>
      <c r="AX348" s="799"/>
      <c r="AY348" s="799"/>
      <c r="AZ348" s="799"/>
      <c r="BA348" s="799"/>
      <c r="BB348" s="799"/>
      <c r="BC348" s="799"/>
      <c r="BD348" s="799"/>
      <c r="BE348" s="799"/>
      <c r="BF348" s="799"/>
      <c r="BG348" s="799"/>
    </row>
    <row r="349">
      <c r="H349" s="799"/>
      <c r="I349" s="799"/>
      <c r="J349" s="799"/>
      <c r="K349" s="799"/>
      <c r="L349" s="799"/>
      <c r="M349" s="799"/>
      <c r="N349" s="799"/>
      <c r="O349" s="799"/>
      <c r="P349" s="799"/>
      <c r="Q349" s="799"/>
      <c r="R349" s="799"/>
      <c r="S349" s="799"/>
      <c r="T349" s="799"/>
      <c r="U349" s="799"/>
      <c r="V349" s="799"/>
      <c r="W349" s="799"/>
      <c r="X349" s="799"/>
      <c r="Y349" s="799"/>
      <c r="Z349" s="799"/>
      <c r="AA349" s="799"/>
      <c r="AB349" s="799"/>
      <c r="AC349" s="799"/>
      <c r="AD349" s="799"/>
      <c r="AE349" s="799"/>
      <c r="AF349" s="799"/>
      <c r="AG349" s="799"/>
      <c r="AH349" s="799"/>
      <c r="AI349" s="799"/>
      <c r="AJ349" s="799"/>
      <c r="AK349" s="799"/>
      <c r="AL349" s="799"/>
      <c r="AM349" s="799"/>
      <c r="AN349" s="799"/>
      <c r="AO349" s="799"/>
      <c r="AP349" s="799"/>
      <c r="AQ349" s="799"/>
      <c r="AR349" s="799"/>
      <c r="AS349" s="799"/>
      <c r="AT349" s="799"/>
      <c r="AU349" s="799"/>
      <c r="AV349" s="799"/>
      <c r="AW349" s="799"/>
      <c r="AX349" s="799"/>
      <c r="AY349" s="799"/>
      <c r="AZ349" s="799"/>
      <c r="BA349" s="799"/>
      <c r="BB349" s="799"/>
      <c r="BC349" s="799"/>
      <c r="BD349" s="799"/>
      <c r="BE349" s="799"/>
      <c r="BF349" s="799"/>
      <c r="BG349" s="799"/>
    </row>
    <row r="350">
      <c r="H350" s="799"/>
      <c r="I350" s="799"/>
      <c r="J350" s="799"/>
      <c r="K350" s="799"/>
      <c r="L350" s="799"/>
      <c r="M350" s="799"/>
      <c r="N350" s="799"/>
      <c r="O350" s="799"/>
      <c r="P350" s="799"/>
      <c r="Q350" s="799"/>
      <c r="R350" s="799"/>
      <c r="S350" s="799"/>
      <c r="T350" s="799"/>
      <c r="U350" s="799"/>
      <c r="V350" s="799"/>
      <c r="W350" s="799"/>
      <c r="X350" s="799"/>
      <c r="Y350" s="799"/>
      <c r="Z350" s="799"/>
      <c r="AA350" s="799"/>
      <c r="AB350" s="799"/>
      <c r="AC350" s="799"/>
      <c r="AD350" s="799"/>
      <c r="AE350" s="799"/>
      <c r="AF350" s="799"/>
      <c r="AG350" s="799"/>
      <c r="AH350" s="799"/>
      <c r="AI350" s="799"/>
      <c r="AJ350" s="799"/>
      <c r="AK350" s="799"/>
      <c r="AL350" s="799"/>
      <c r="AM350" s="799"/>
      <c r="AN350" s="799"/>
      <c r="AO350" s="799"/>
      <c r="AP350" s="799"/>
      <c r="AQ350" s="799"/>
      <c r="AR350" s="799"/>
      <c r="AS350" s="799"/>
      <c r="AT350" s="799"/>
      <c r="AU350" s="799"/>
      <c r="AV350" s="799"/>
      <c r="AW350" s="799"/>
      <c r="AX350" s="799"/>
      <c r="AY350" s="799"/>
      <c r="AZ350" s="799"/>
      <c r="BA350" s="799"/>
      <c r="BB350" s="799"/>
      <c r="BC350" s="799"/>
      <c r="BD350" s="799"/>
      <c r="BE350" s="799"/>
      <c r="BF350" s="799"/>
      <c r="BG350" s="799"/>
    </row>
    <row r="351">
      <c r="H351" s="799"/>
      <c r="I351" s="799"/>
      <c r="J351" s="799"/>
      <c r="K351" s="799"/>
      <c r="L351" s="799"/>
      <c r="M351" s="799"/>
      <c r="N351" s="799"/>
      <c r="O351" s="799"/>
      <c r="P351" s="799"/>
      <c r="Q351" s="799"/>
      <c r="R351" s="799"/>
      <c r="S351" s="799"/>
      <c r="T351" s="799"/>
      <c r="U351" s="799"/>
      <c r="V351" s="799"/>
      <c r="W351" s="799"/>
      <c r="X351" s="799"/>
      <c r="Y351" s="799"/>
      <c r="Z351" s="799"/>
      <c r="AA351" s="799"/>
      <c r="AB351" s="799"/>
      <c r="AC351" s="799"/>
      <c r="AD351" s="799"/>
      <c r="AE351" s="799"/>
      <c r="AF351" s="799"/>
      <c r="AG351" s="799"/>
      <c r="AH351" s="799"/>
      <c r="AI351" s="799"/>
      <c r="AJ351" s="799"/>
      <c r="AK351" s="799"/>
      <c r="AL351" s="799"/>
      <c r="AM351" s="799"/>
      <c r="AN351" s="799"/>
      <c r="AO351" s="799"/>
      <c r="AP351" s="799"/>
      <c r="AQ351" s="799"/>
      <c r="AR351" s="799"/>
      <c r="AS351" s="799"/>
      <c r="AT351" s="799"/>
      <c r="AU351" s="799"/>
      <c r="AV351" s="799"/>
      <c r="AW351" s="799"/>
      <c r="AX351" s="799"/>
      <c r="AY351" s="799"/>
      <c r="AZ351" s="799"/>
      <c r="BA351" s="799"/>
      <c r="BB351" s="799"/>
      <c r="BC351" s="799"/>
      <c r="BD351" s="799"/>
      <c r="BE351" s="799"/>
      <c r="BF351" s="799"/>
      <c r="BG351" s="799"/>
    </row>
    <row r="352">
      <c r="H352" s="799"/>
      <c r="I352" s="799"/>
      <c r="J352" s="799"/>
      <c r="K352" s="799"/>
      <c r="L352" s="799"/>
      <c r="M352" s="799"/>
      <c r="N352" s="799"/>
      <c r="O352" s="799"/>
      <c r="P352" s="799"/>
      <c r="Q352" s="799"/>
      <c r="R352" s="799"/>
      <c r="S352" s="799"/>
      <c r="T352" s="799"/>
      <c r="U352" s="799"/>
      <c r="V352" s="799"/>
      <c r="W352" s="799"/>
      <c r="X352" s="799"/>
      <c r="Y352" s="799"/>
      <c r="Z352" s="799"/>
      <c r="AA352" s="799"/>
      <c r="AB352" s="799"/>
      <c r="AC352" s="799"/>
      <c r="AD352" s="799"/>
      <c r="AE352" s="799"/>
      <c r="AF352" s="799"/>
      <c r="AG352" s="799"/>
      <c r="AH352" s="799"/>
      <c r="AI352" s="799"/>
      <c r="AJ352" s="799"/>
      <c r="AK352" s="799"/>
      <c r="AL352" s="799"/>
      <c r="AM352" s="799"/>
      <c r="AN352" s="799"/>
      <c r="AO352" s="799"/>
      <c r="AP352" s="799"/>
      <c r="AQ352" s="799"/>
      <c r="AR352" s="799"/>
      <c r="AS352" s="799"/>
      <c r="AT352" s="799"/>
      <c r="AU352" s="799"/>
      <c r="AV352" s="799"/>
      <c r="AW352" s="799"/>
      <c r="AX352" s="799"/>
      <c r="AY352" s="799"/>
      <c r="AZ352" s="799"/>
      <c r="BA352" s="799"/>
      <c r="BB352" s="799"/>
      <c r="BC352" s="799"/>
      <c r="BD352" s="799"/>
      <c r="BE352" s="799"/>
      <c r="BF352" s="799"/>
      <c r="BG352" s="799"/>
    </row>
    <row r="353">
      <c r="H353" s="799"/>
      <c r="I353" s="799"/>
      <c r="J353" s="799"/>
      <c r="K353" s="799"/>
      <c r="L353" s="799"/>
      <c r="M353" s="799"/>
      <c r="N353" s="799"/>
      <c r="O353" s="799"/>
      <c r="P353" s="799"/>
      <c r="Q353" s="799"/>
      <c r="R353" s="799"/>
      <c r="S353" s="799"/>
      <c r="T353" s="799"/>
      <c r="U353" s="799"/>
      <c r="V353" s="799"/>
      <c r="W353" s="799"/>
      <c r="X353" s="799"/>
      <c r="Y353" s="799"/>
      <c r="Z353" s="799"/>
      <c r="AA353" s="799"/>
      <c r="AB353" s="799"/>
      <c r="AC353" s="799"/>
      <c r="AD353" s="799"/>
      <c r="AE353" s="799"/>
      <c r="AF353" s="799"/>
      <c r="AG353" s="799"/>
      <c r="AH353" s="799"/>
      <c r="AI353" s="799"/>
      <c r="AJ353" s="799"/>
      <c r="AK353" s="799"/>
      <c r="AL353" s="799"/>
      <c r="AM353" s="799"/>
      <c r="AN353" s="799"/>
      <c r="AO353" s="799"/>
      <c r="AP353" s="799"/>
      <c r="AQ353" s="799"/>
      <c r="AR353" s="799"/>
      <c r="AS353" s="799"/>
      <c r="AT353" s="799"/>
      <c r="AU353" s="799"/>
      <c r="AV353" s="799"/>
      <c r="AW353" s="799"/>
      <c r="AX353" s="799"/>
      <c r="AY353" s="799"/>
      <c r="AZ353" s="799"/>
      <c r="BA353" s="799"/>
      <c r="BB353" s="799"/>
      <c r="BC353" s="799"/>
      <c r="BD353" s="799"/>
      <c r="BE353" s="799"/>
      <c r="BF353" s="799"/>
      <c r="BG353" s="799"/>
    </row>
    <row r="354">
      <c r="H354" s="799"/>
      <c r="I354" s="799"/>
      <c r="J354" s="799"/>
      <c r="K354" s="799"/>
      <c r="L354" s="799"/>
      <c r="M354" s="799"/>
      <c r="N354" s="799"/>
      <c r="O354" s="799"/>
      <c r="P354" s="799"/>
      <c r="Q354" s="799"/>
      <c r="R354" s="799"/>
      <c r="S354" s="799"/>
      <c r="T354" s="799"/>
      <c r="U354" s="799"/>
      <c r="V354" s="799"/>
      <c r="W354" s="799"/>
      <c r="X354" s="799"/>
      <c r="Y354" s="799"/>
      <c r="Z354" s="799"/>
      <c r="AA354" s="799"/>
      <c r="AB354" s="799"/>
      <c r="AC354" s="799"/>
      <c r="AD354" s="799"/>
      <c r="AE354" s="799"/>
      <c r="AF354" s="799"/>
      <c r="AG354" s="799"/>
      <c r="AH354" s="799"/>
      <c r="AI354" s="799"/>
      <c r="AJ354" s="799"/>
      <c r="AK354" s="799"/>
      <c r="AL354" s="799"/>
      <c r="AM354" s="799"/>
      <c r="AN354" s="799"/>
      <c r="AO354" s="799"/>
      <c r="AP354" s="799"/>
      <c r="AQ354" s="799"/>
      <c r="AR354" s="799"/>
      <c r="AS354" s="799"/>
      <c r="AT354" s="799"/>
      <c r="AU354" s="799"/>
      <c r="AV354" s="799"/>
      <c r="AW354" s="799"/>
      <c r="AX354" s="799"/>
      <c r="AY354" s="799"/>
      <c r="AZ354" s="799"/>
      <c r="BA354" s="799"/>
      <c r="BB354" s="799"/>
      <c r="BC354" s="799"/>
      <c r="BD354" s="799"/>
      <c r="BE354" s="799"/>
      <c r="BF354" s="799"/>
      <c r="BG354" s="799"/>
    </row>
    <row r="355">
      <c r="H355" s="799"/>
      <c r="I355" s="799"/>
      <c r="J355" s="799"/>
      <c r="K355" s="799"/>
      <c r="L355" s="799"/>
      <c r="M355" s="799"/>
      <c r="N355" s="799"/>
      <c r="O355" s="799"/>
      <c r="P355" s="799"/>
      <c r="Q355" s="799"/>
      <c r="R355" s="799"/>
      <c r="S355" s="799"/>
      <c r="T355" s="799"/>
      <c r="U355" s="799"/>
      <c r="V355" s="799"/>
      <c r="W355" s="799"/>
      <c r="X355" s="799"/>
      <c r="Y355" s="799"/>
      <c r="Z355" s="799"/>
      <c r="AA355" s="799"/>
      <c r="AB355" s="799"/>
      <c r="AC355" s="799"/>
      <c r="AD355" s="799"/>
      <c r="AE355" s="799"/>
      <c r="AF355" s="799"/>
      <c r="AG355" s="799"/>
      <c r="AH355" s="799"/>
      <c r="AI355" s="799"/>
      <c r="AJ355" s="799"/>
      <c r="AK355" s="799"/>
      <c r="AL355" s="799"/>
      <c r="AM355" s="799"/>
      <c r="AN355" s="799"/>
      <c r="AO355" s="799"/>
      <c r="AP355" s="799"/>
      <c r="AQ355" s="799"/>
      <c r="AR355" s="799"/>
      <c r="AS355" s="799"/>
      <c r="AT355" s="799"/>
      <c r="AU355" s="799"/>
      <c r="AV355" s="799"/>
      <c r="AW355" s="799"/>
      <c r="AX355" s="799"/>
      <c r="AY355" s="799"/>
      <c r="AZ355" s="799"/>
      <c r="BA355" s="799"/>
      <c r="BB355" s="799"/>
      <c r="BC355" s="799"/>
      <c r="BD355" s="799"/>
      <c r="BE355" s="799"/>
      <c r="BF355" s="799"/>
      <c r="BG355" s="799"/>
    </row>
    <row r="356">
      <c r="H356" s="799"/>
      <c r="I356" s="799"/>
      <c r="J356" s="799"/>
      <c r="K356" s="799"/>
      <c r="L356" s="799"/>
      <c r="M356" s="799"/>
      <c r="N356" s="799"/>
      <c r="O356" s="799"/>
      <c r="P356" s="799"/>
      <c r="Q356" s="799"/>
      <c r="R356" s="799"/>
      <c r="S356" s="799"/>
      <c r="T356" s="799"/>
      <c r="U356" s="799"/>
      <c r="V356" s="799"/>
      <c r="W356" s="799"/>
      <c r="X356" s="799"/>
      <c r="Y356" s="799"/>
      <c r="Z356" s="799"/>
      <c r="AA356" s="799"/>
      <c r="AB356" s="799"/>
      <c r="AC356" s="799"/>
      <c r="AD356" s="799"/>
      <c r="AE356" s="799"/>
      <c r="AF356" s="799"/>
      <c r="AG356" s="799"/>
      <c r="AH356" s="799"/>
      <c r="AI356" s="799"/>
      <c r="AJ356" s="799"/>
      <c r="AK356" s="799"/>
      <c r="AL356" s="799"/>
      <c r="AM356" s="799"/>
      <c r="AN356" s="799"/>
      <c r="AO356" s="799"/>
      <c r="AP356" s="799"/>
      <c r="AQ356" s="799"/>
      <c r="AR356" s="799"/>
      <c r="AS356" s="799"/>
      <c r="AT356" s="799"/>
      <c r="AU356" s="799"/>
      <c r="AV356" s="799"/>
      <c r="AW356" s="799"/>
      <c r="AX356" s="799"/>
      <c r="AY356" s="799"/>
      <c r="AZ356" s="799"/>
      <c r="BA356" s="799"/>
      <c r="BB356" s="799"/>
      <c r="BC356" s="799"/>
      <c r="BD356" s="799"/>
      <c r="BE356" s="799"/>
      <c r="BF356" s="799"/>
      <c r="BG356" s="799"/>
    </row>
    <row r="357">
      <c r="H357" s="799"/>
      <c r="I357" s="799"/>
      <c r="J357" s="799"/>
      <c r="K357" s="799"/>
      <c r="L357" s="799"/>
      <c r="M357" s="799"/>
      <c r="N357" s="799"/>
      <c r="O357" s="799"/>
      <c r="P357" s="799"/>
      <c r="Q357" s="799"/>
      <c r="R357" s="799"/>
      <c r="S357" s="799"/>
      <c r="T357" s="799"/>
      <c r="U357" s="799"/>
      <c r="V357" s="799"/>
      <c r="W357" s="799"/>
      <c r="X357" s="799"/>
      <c r="Y357" s="799"/>
      <c r="Z357" s="799"/>
      <c r="AA357" s="799"/>
      <c r="AB357" s="799"/>
      <c r="AC357" s="799"/>
      <c r="AD357" s="799"/>
      <c r="AE357" s="799"/>
      <c r="AF357" s="799"/>
      <c r="AG357" s="799"/>
      <c r="AH357" s="799"/>
      <c r="AI357" s="799"/>
      <c r="AJ357" s="799"/>
      <c r="AK357" s="799"/>
      <c r="AL357" s="799"/>
      <c r="AM357" s="799"/>
      <c r="AN357" s="799"/>
      <c r="AO357" s="799"/>
      <c r="AP357" s="799"/>
      <c r="AQ357" s="799"/>
      <c r="AR357" s="799"/>
      <c r="AS357" s="799"/>
      <c r="AT357" s="799"/>
      <c r="AU357" s="799"/>
      <c r="AV357" s="799"/>
      <c r="AW357" s="799"/>
      <c r="AX357" s="799"/>
      <c r="AY357" s="799"/>
      <c r="AZ357" s="799"/>
      <c r="BA357" s="799"/>
      <c r="BB357" s="799"/>
      <c r="BC357" s="799"/>
      <c r="BD357" s="799"/>
      <c r="BE357" s="799"/>
      <c r="BF357" s="799"/>
      <c r="BG357" s="799"/>
    </row>
    <row r="358">
      <c r="H358" s="799"/>
      <c r="I358" s="799"/>
      <c r="J358" s="799"/>
      <c r="K358" s="799"/>
      <c r="L358" s="799"/>
      <c r="M358" s="799"/>
      <c r="N358" s="799"/>
      <c r="O358" s="799"/>
      <c r="P358" s="799"/>
      <c r="Q358" s="799"/>
      <c r="R358" s="799"/>
      <c r="S358" s="799"/>
      <c r="T358" s="799"/>
      <c r="U358" s="799"/>
      <c r="V358" s="799"/>
      <c r="W358" s="799"/>
      <c r="X358" s="799"/>
      <c r="Y358" s="799"/>
      <c r="Z358" s="799"/>
      <c r="AA358" s="799"/>
      <c r="AB358" s="799"/>
      <c r="AC358" s="799"/>
      <c r="AD358" s="799"/>
      <c r="AE358" s="799"/>
      <c r="AF358" s="799"/>
      <c r="AG358" s="799"/>
      <c r="AH358" s="799"/>
      <c r="AI358" s="799"/>
      <c r="AJ358" s="799"/>
      <c r="AK358" s="799"/>
      <c r="AL358" s="799"/>
      <c r="AM358" s="799"/>
      <c r="AN358" s="799"/>
      <c r="AO358" s="799"/>
      <c r="AP358" s="799"/>
      <c r="AQ358" s="799"/>
      <c r="AR358" s="799"/>
      <c r="AS358" s="799"/>
      <c r="AT358" s="799"/>
      <c r="AU358" s="799"/>
      <c r="AV358" s="799"/>
      <c r="AW358" s="799"/>
      <c r="AX358" s="799"/>
      <c r="AY358" s="799"/>
      <c r="AZ358" s="799"/>
      <c r="BA358" s="799"/>
      <c r="BB358" s="799"/>
      <c r="BC358" s="799"/>
      <c r="BD358" s="799"/>
      <c r="BE358" s="799"/>
      <c r="BF358" s="799"/>
      <c r="BG358" s="799"/>
    </row>
    <row r="359">
      <c r="H359" s="799"/>
      <c r="I359" s="799"/>
      <c r="J359" s="799"/>
      <c r="K359" s="799"/>
      <c r="L359" s="799"/>
      <c r="M359" s="799"/>
      <c r="N359" s="799"/>
      <c r="O359" s="799"/>
      <c r="P359" s="799"/>
      <c r="Q359" s="799"/>
      <c r="R359" s="799"/>
      <c r="S359" s="799"/>
      <c r="T359" s="799"/>
      <c r="U359" s="799"/>
      <c r="V359" s="799"/>
      <c r="W359" s="799"/>
      <c r="X359" s="799"/>
      <c r="Y359" s="799"/>
      <c r="Z359" s="799"/>
      <c r="AA359" s="799"/>
      <c r="AB359" s="799"/>
      <c r="AC359" s="799"/>
      <c r="AD359" s="799"/>
      <c r="AE359" s="799"/>
      <c r="AF359" s="799"/>
      <c r="AG359" s="799"/>
      <c r="AH359" s="799"/>
      <c r="AI359" s="799"/>
      <c r="AJ359" s="799"/>
      <c r="AK359" s="799"/>
      <c r="AL359" s="799"/>
      <c r="AM359" s="799"/>
      <c r="AN359" s="799"/>
      <c r="AO359" s="799"/>
      <c r="AP359" s="799"/>
      <c r="AQ359" s="799"/>
      <c r="AR359" s="799"/>
      <c r="AS359" s="799"/>
      <c r="AT359" s="799"/>
      <c r="AU359" s="799"/>
      <c r="AV359" s="799"/>
      <c r="AW359" s="799"/>
      <c r="AX359" s="799"/>
      <c r="AY359" s="799"/>
      <c r="AZ359" s="799"/>
      <c r="BA359" s="799"/>
      <c r="BB359" s="799"/>
      <c r="BC359" s="799"/>
      <c r="BD359" s="799"/>
      <c r="BE359" s="799"/>
      <c r="BF359" s="799"/>
      <c r="BG359" s="799"/>
    </row>
    <row r="360">
      <c r="H360" s="799"/>
      <c r="I360" s="799"/>
      <c r="J360" s="799"/>
      <c r="K360" s="799"/>
      <c r="L360" s="799"/>
      <c r="M360" s="799"/>
      <c r="N360" s="799"/>
      <c r="O360" s="799"/>
      <c r="P360" s="799"/>
      <c r="Q360" s="799"/>
      <c r="R360" s="799"/>
      <c r="S360" s="799"/>
      <c r="T360" s="799"/>
      <c r="U360" s="799"/>
      <c r="V360" s="799"/>
      <c r="W360" s="799"/>
      <c r="X360" s="799"/>
      <c r="Y360" s="799"/>
      <c r="Z360" s="799"/>
      <c r="AA360" s="799"/>
      <c r="AB360" s="799"/>
      <c r="AC360" s="799"/>
      <c r="AD360" s="799"/>
      <c r="AE360" s="799"/>
      <c r="AF360" s="799"/>
      <c r="AG360" s="799"/>
      <c r="AH360" s="799"/>
      <c r="AI360" s="799"/>
      <c r="AJ360" s="799"/>
      <c r="AK360" s="799"/>
      <c r="AL360" s="799"/>
      <c r="AM360" s="799"/>
      <c r="AN360" s="799"/>
      <c r="AO360" s="799"/>
      <c r="AP360" s="799"/>
      <c r="AQ360" s="799"/>
      <c r="AR360" s="799"/>
      <c r="AS360" s="799"/>
      <c r="AT360" s="799"/>
      <c r="AU360" s="799"/>
      <c r="AV360" s="799"/>
      <c r="AW360" s="799"/>
      <c r="AX360" s="799"/>
      <c r="AY360" s="799"/>
      <c r="AZ360" s="799"/>
      <c r="BA360" s="799"/>
      <c r="BB360" s="799"/>
      <c r="BC360" s="799"/>
      <c r="BD360" s="799"/>
      <c r="BE360" s="799"/>
      <c r="BF360" s="799"/>
      <c r="BG360" s="799"/>
    </row>
    <row r="361">
      <c r="H361" s="799"/>
      <c r="I361" s="799"/>
      <c r="J361" s="799"/>
      <c r="K361" s="799"/>
      <c r="L361" s="799"/>
      <c r="M361" s="799"/>
      <c r="N361" s="799"/>
      <c r="O361" s="799"/>
      <c r="P361" s="799"/>
      <c r="Q361" s="799"/>
      <c r="R361" s="799"/>
      <c r="S361" s="799"/>
      <c r="T361" s="799"/>
      <c r="U361" s="799"/>
      <c r="V361" s="799"/>
      <c r="W361" s="799"/>
      <c r="X361" s="799"/>
      <c r="Y361" s="799"/>
      <c r="Z361" s="799"/>
      <c r="AA361" s="799"/>
      <c r="AB361" s="799"/>
      <c r="AC361" s="799"/>
      <c r="AD361" s="799"/>
      <c r="AE361" s="799"/>
      <c r="AF361" s="799"/>
      <c r="AG361" s="799"/>
      <c r="AH361" s="799"/>
      <c r="AI361" s="799"/>
      <c r="AJ361" s="799"/>
      <c r="AK361" s="799"/>
      <c r="AL361" s="799"/>
      <c r="AM361" s="799"/>
      <c r="AN361" s="799"/>
      <c r="AO361" s="799"/>
      <c r="AP361" s="799"/>
      <c r="AQ361" s="799"/>
      <c r="AR361" s="799"/>
      <c r="AS361" s="799"/>
      <c r="AT361" s="799"/>
      <c r="AU361" s="799"/>
      <c r="AV361" s="799"/>
      <c r="AW361" s="799"/>
      <c r="AX361" s="799"/>
      <c r="AY361" s="799"/>
      <c r="AZ361" s="799"/>
      <c r="BA361" s="799"/>
      <c r="BB361" s="799"/>
      <c r="BC361" s="799"/>
      <c r="BD361" s="799"/>
      <c r="BE361" s="799"/>
      <c r="BF361" s="799"/>
      <c r="BG361" s="799"/>
    </row>
    <row r="362">
      <c r="H362" s="799"/>
      <c r="I362" s="799"/>
      <c r="J362" s="799"/>
      <c r="K362" s="799"/>
      <c r="L362" s="799"/>
      <c r="M362" s="799"/>
      <c r="N362" s="799"/>
      <c r="O362" s="799"/>
      <c r="P362" s="799"/>
      <c r="Q362" s="799"/>
      <c r="R362" s="799"/>
      <c r="S362" s="799"/>
      <c r="T362" s="799"/>
      <c r="U362" s="799"/>
      <c r="V362" s="799"/>
      <c r="W362" s="799"/>
      <c r="X362" s="799"/>
      <c r="Y362" s="799"/>
      <c r="Z362" s="799"/>
      <c r="AA362" s="799"/>
      <c r="AB362" s="799"/>
      <c r="AC362" s="799"/>
      <c r="AD362" s="799"/>
      <c r="AE362" s="799"/>
      <c r="AF362" s="799"/>
      <c r="AG362" s="799"/>
      <c r="AH362" s="799"/>
      <c r="AI362" s="799"/>
      <c r="AJ362" s="799"/>
      <c r="AK362" s="799"/>
      <c r="AL362" s="799"/>
      <c r="AM362" s="799"/>
      <c r="AN362" s="799"/>
      <c r="AO362" s="799"/>
      <c r="AP362" s="799"/>
      <c r="AQ362" s="799"/>
      <c r="AR362" s="799"/>
      <c r="AS362" s="799"/>
      <c r="AT362" s="799"/>
      <c r="AU362" s="799"/>
      <c r="AV362" s="799"/>
      <c r="AW362" s="799"/>
      <c r="AX362" s="799"/>
      <c r="AY362" s="799"/>
      <c r="AZ362" s="799"/>
      <c r="BA362" s="799"/>
      <c r="BB362" s="799"/>
      <c r="BC362" s="799"/>
      <c r="BD362" s="799"/>
      <c r="BE362" s="799"/>
      <c r="BF362" s="799"/>
      <c r="BG362" s="799"/>
    </row>
    <row r="363">
      <c r="H363" s="799"/>
      <c r="I363" s="799"/>
      <c r="J363" s="799"/>
      <c r="K363" s="799"/>
      <c r="L363" s="799"/>
      <c r="M363" s="799"/>
      <c r="N363" s="799"/>
      <c r="O363" s="799"/>
      <c r="P363" s="799"/>
      <c r="Q363" s="799"/>
      <c r="R363" s="799"/>
      <c r="S363" s="799"/>
      <c r="T363" s="799"/>
      <c r="U363" s="799"/>
      <c r="V363" s="799"/>
      <c r="W363" s="799"/>
      <c r="X363" s="799"/>
      <c r="Y363" s="799"/>
      <c r="Z363" s="799"/>
      <c r="AA363" s="799"/>
      <c r="AB363" s="799"/>
      <c r="AC363" s="799"/>
      <c r="AD363" s="799"/>
      <c r="AE363" s="799"/>
      <c r="AF363" s="799"/>
      <c r="AG363" s="799"/>
      <c r="AH363" s="799"/>
      <c r="AI363" s="799"/>
      <c r="AJ363" s="799"/>
      <c r="AK363" s="799"/>
      <c r="AL363" s="799"/>
      <c r="AM363" s="799"/>
      <c r="AN363" s="799"/>
      <c r="AO363" s="799"/>
      <c r="AP363" s="799"/>
      <c r="AQ363" s="799"/>
      <c r="AR363" s="799"/>
      <c r="AS363" s="799"/>
      <c r="AT363" s="799"/>
      <c r="AU363" s="799"/>
      <c r="AV363" s="799"/>
      <c r="AW363" s="799"/>
      <c r="AX363" s="799"/>
      <c r="AY363" s="799"/>
      <c r="AZ363" s="799"/>
      <c r="BA363" s="799"/>
      <c r="BB363" s="799"/>
      <c r="BC363" s="799"/>
      <c r="BD363" s="799"/>
      <c r="BE363" s="799"/>
      <c r="BF363" s="799"/>
      <c r="BG363" s="799"/>
    </row>
    <row r="364">
      <c r="H364" s="799"/>
      <c r="I364" s="799"/>
      <c r="J364" s="799"/>
      <c r="K364" s="799"/>
      <c r="L364" s="799"/>
      <c r="M364" s="799"/>
      <c r="N364" s="799"/>
      <c r="O364" s="799"/>
      <c r="P364" s="799"/>
      <c r="Q364" s="799"/>
      <c r="R364" s="799"/>
      <c r="S364" s="799"/>
      <c r="T364" s="799"/>
      <c r="U364" s="799"/>
      <c r="V364" s="799"/>
      <c r="W364" s="799"/>
      <c r="X364" s="799"/>
      <c r="Y364" s="799"/>
      <c r="Z364" s="799"/>
      <c r="AA364" s="799"/>
      <c r="AB364" s="799"/>
      <c r="AC364" s="799"/>
      <c r="AD364" s="799"/>
      <c r="AE364" s="799"/>
      <c r="AF364" s="799"/>
      <c r="AG364" s="799"/>
      <c r="AH364" s="799"/>
      <c r="AI364" s="799"/>
      <c r="AJ364" s="799"/>
      <c r="AK364" s="799"/>
      <c r="AL364" s="799"/>
      <c r="AM364" s="799"/>
      <c r="AN364" s="799"/>
      <c r="AO364" s="799"/>
      <c r="AP364" s="799"/>
      <c r="AQ364" s="799"/>
      <c r="AR364" s="799"/>
      <c r="AS364" s="799"/>
      <c r="AT364" s="799"/>
      <c r="AU364" s="799"/>
      <c r="AV364" s="799"/>
      <c r="AW364" s="799"/>
      <c r="AX364" s="799"/>
      <c r="AY364" s="799"/>
      <c r="AZ364" s="799"/>
      <c r="BA364" s="799"/>
      <c r="BB364" s="799"/>
      <c r="BC364" s="799"/>
      <c r="BD364" s="799"/>
      <c r="BE364" s="799"/>
      <c r="BF364" s="799"/>
      <c r="BG364" s="799"/>
    </row>
    <row r="365">
      <c r="H365" s="799"/>
      <c r="I365" s="799"/>
      <c r="J365" s="799"/>
      <c r="K365" s="799"/>
      <c r="L365" s="799"/>
      <c r="M365" s="799"/>
      <c r="N365" s="799"/>
      <c r="O365" s="799"/>
      <c r="P365" s="799"/>
      <c r="Q365" s="799"/>
      <c r="R365" s="799"/>
      <c r="S365" s="799"/>
      <c r="T365" s="799"/>
      <c r="U365" s="799"/>
      <c r="V365" s="799"/>
      <c r="W365" s="799"/>
      <c r="X365" s="799"/>
      <c r="Y365" s="799"/>
      <c r="Z365" s="799"/>
      <c r="AA365" s="799"/>
      <c r="AB365" s="799"/>
      <c r="AC365" s="799"/>
      <c r="AD365" s="799"/>
      <c r="AE365" s="799"/>
      <c r="AF365" s="799"/>
      <c r="AG365" s="799"/>
      <c r="AH365" s="799"/>
      <c r="AI365" s="799"/>
      <c r="AJ365" s="799"/>
      <c r="AK365" s="799"/>
      <c r="AL365" s="799"/>
      <c r="AM365" s="799"/>
      <c r="AN365" s="799"/>
      <c r="AO365" s="799"/>
      <c r="AP365" s="799"/>
      <c r="AQ365" s="799"/>
      <c r="AR365" s="799"/>
      <c r="AS365" s="799"/>
      <c r="AT365" s="799"/>
      <c r="AU365" s="799"/>
      <c r="AV365" s="799"/>
      <c r="AW365" s="799"/>
      <c r="AX365" s="799"/>
      <c r="AY365" s="799"/>
      <c r="AZ365" s="799"/>
      <c r="BA365" s="799"/>
      <c r="BB365" s="799"/>
      <c r="BC365" s="799"/>
      <c r="BD365" s="799"/>
      <c r="BE365" s="799"/>
      <c r="BF365" s="799"/>
      <c r="BG365" s="799"/>
    </row>
    <row r="366">
      <c r="H366" s="799"/>
      <c r="I366" s="799"/>
      <c r="J366" s="799"/>
      <c r="K366" s="799"/>
      <c r="L366" s="799"/>
      <c r="M366" s="799"/>
      <c r="N366" s="799"/>
      <c r="O366" s="799"/>
      <c r="P366" s="799"/>
      <c r="Q366" s="799"/>
      <c r="R366" s="799"/>
      <c r="S366" s="799"/>
      <c r="T366" s="799"/>
      <c r="U366" s="799"/>
      <c r="V366" s="799"/>
      <c r="W366" s="799"/>
      <c r="X366" s="799"/>
      <c r="Y366" s="799"/>
      <c r="Z366" s="799"/>
      <c r="AA366" s="799"/>
      <c r="AB366" s="799"/>
      <c r="AC366" s="799"/>
      <c r="AD366" s="799"/>
      <c r="AE366" s="799"/>
      <c r="AF366" s="799"/>
      <c r="AG366" s="799"/>
      <c r="AH366" s="799"/>
      <c r="AI366" s="799"/>
      <c r="AJ366" s="799"/>
      <c r="AK366" s="799"/>
      <c r="AL366" s="799"/>
      <c r="AM366" s="799"/>
      <c r="AN366" s="799"/>
      <c r="AO366" s="799"/>
      <c r="AP366" s="799"/>
      <c r="AQ366" s="799"/>
      <c r="AR366" s="799"/>
      <c r="AS366" s="799"/>
      <c r="AT366" s="799"/>
      <c r="AU366" s="799"/>
      <c r="AV366" s="799"/>
      <c r="AW366" s="799"/>
      <c r="AX366" s="799"/>
      <c r="AY366" s="799"/>
      <c r="AZ366" s="799"/>
      <c r="BA366" s="799"/>
      <c r="BB366" s="799"/>
      <c r="BC366" s="799"/>
      <c r="BD366" s="799"/>
      <c r="BE366" s="799"/>
      <c r="BF366" s="799"/>
      <c r="BG366" s="799"/>
    </row>
    <row r="367">
      <c r="H367" s="799"/>
      <c r="I367" s="799"/>
      <c r="J367" s="799"/>
      <c r="K367" s="799"/>
      <c r="L367" s="799"/>
      <c r="M367" s="799"/>
      <c r="N367" s="799"/>
      <c r="O367" s="799"/>
      <c r="P367" s="799"/>
      <c r="Q367" s="799"/>
      <c r="R367" s="799"/>
      <c r="S367" s="799"/>
      <c r="T367" s="799"/>
      <c r="U367" s="799"/>
      <c r="V367" s="799"/>
      <c r="W367" s="799"/>
      <c r="X367" s="799"/>
      <c r="Y367" s="799"/>
      <c r="Z367" s="799"/>
      <c r="AA367" s="799"/>
      <c r="AB367" s="799"/>
      <c r="AC367" s="799"/>
      <c r="AD367" s="799"/>
      <c r="AE367" s="799"/>
      <c r="AF367" s="799"/>
      <c r="AG367" s="799"/>
      <c r="AH367" s="799"/>
      <c r="AI367" s="799"/>
      <c r="AJ367" s="799"/>
      <c r="AK367" s="799"/>
      <c r="AL367" s="799"/>
      <c r="AM367" s="799"/>
      <c r="AN367" s="799"/>
      <c r="AO367" s="799"/>
      <c r="AP367" s="799"/>
      <c r="AQ367" s="799"/>
      <c r="AR367" s="799"/>
      <c r="AS367" s="799"/>
      <c r="AT367" s="799"/>
      <c r="AU367" s="799"/>
      <c r="AV367" s="799"/>
      <c r="AW367" s="799"/>
      <c r="AX367" s="799"/>
      <c r="AY367" s="799"/>
      <c r="AZ367" s="799"/>
      <c r="BA367" s="799"/>
      <c r="BB367" s="799"/>
      <c r="BC367" s="799"/>
      <c r="BD367" s="799"/>
      <c r="BE367" s="799"/>
      <c r="BF367" s="799"/>
      <c r="BG367" s="799"/>
    </row>
    <row r="368">
      <c r="H368" s="799"/>
      <c r="I368" s="799"/>
      <c r="J368" s="799"/>
      <c r="K368" s="799"/>
      <c r="L368" s="799"/>
      <c r="M368" s="799"/>
      <c r="N368" s="799"/>
      <c r="O368" s="799"/>
      <c r="P368" s="799"/>
      <c r="Q368" s="799"/>
      <c r="R368" s="799"/>
      <c r="S368" s="799"/>
      <c r="T368" s="799"/>
      <c r="U368" s="799"/>
      <c r="V368" s="799"/>
      <c r="W368" s="799"/>
      <c r="X368" s="799"/>
      <c r="Y368" s="799"/>
      <c r="Z368" s="799"/>
      <c r="AA368" s="799"/>
      <c r="AB368" s="799"/>
      <c r="AC368" s="799"/>
      <c r="AD368" s="799"/>
      <c r="AE368" s="799"/>
      <c r="AF368" s="799"/>
      <c r="AG368" s="799"/>
      <c r="AH368" s="799"/>
      <c r="AI368" s="799"/>
      <c r="AJ368" s="799"/>
      <c r="AK368" s="799"/>
      <c r="AL368" s="799"/>
      <c r="AM368" s="799"/>
      <c r="AN368" s="799"/>
      <c r="AO368" s="799"/>
      <c r="AP368" s="799"/>
      <c r="AQ368" s="799"/>
      <c r="AR368" s="799"/>
      <c r="AS368" s="799"/>
      <c r="AT368" s="799"/>
      <c r="AU368" s="799"/>
      <c r="AV368" s="799"/>
      <c r="AW368" s="799"/>
      <c r="AX368" s="799"/>
      <c r="AY368" s="799"/>
      <c r="AZ368" s="799"/>
      <c r="BA368" s="799"/>
      <c r="BB368" s="799"/>
      <c r="BC368" s="799"/>
      <c r="BD368" s="799"/>
      <c r="BE368" s="799"/>
      <c r="BF368" s="799"/>
      <c r="BG368" s="799"/>
    </row>
    <row r="369">
      <c r="H369" s="799"/>
      <c r="I369" s="799"/>
      <c r="J369" s="799"/>
      <c r="K369" s="799"/>
      <c r="L369" s="799"/>
      <c r="M369" s="799"/>
      <c r="N369" s="799"/>
      <c r="O369" s="799"/>
      <c r="P369" s="799"/>
      <c r="Q369" s="799"/>
      <c r="R369" s="799"/>
      <c r="S369" s="799"/>
      <c r="T369" s="799"/>
      <c r="U369" s="799"/>
      <c r="V369" s="799"/>
      <c r="W369" s="799"/>
      <c r="X369" s="799"/>
      <c r="Y369" s="799"/>
      <c r="Z369" s="799"/>
      <c r="AA369" s="799"/>
      <c r="AB369" s="799"/>
      <c r="AC369" s="799"/>
      <c r="AD369" s="799"/>
      <c r="AE369" s="799"/>
      <c r="AF369" s="799"/>
      <c r="AG369" s="799"/>
      <c r="AH369" s="799"/>
      <c r="AI369" s="799"/>
      <c r="AJ369" s="799"/>
      <c r="AK369" s="799"/>
      <c r="AL369" s="799"/>
      <c r="AM369" s="799"/>
      <c r="AN369" s="799"/>
      <c r="AO369" s="799"/>
      <c r="AP369" s="799"/>
      <c r="AQ369" s="799"/>
      <c r="AR369" s="799"/>
      <c r="AS369" s="799"/>
      <c r="AT369" s="799"/>
      <c r="AU369" s="799"/>
      <c r="AV369" s="799"/>
      <c r="AW369" s="799"/>
      <c r="AX369" s="799"/>
      <c r="AY369" s="799"/>
      <c r="AZ369" s="799"/>
      <c r="BA369" s="799"/>
      <c r="BB369" s="799"/>
      <c r="BC369" s="799"/>
      <c r="BD369" s="799"/>
      <c r="BE369" s="799"/>
      <c r="BF369" s="799"/>
      <c r="BG369" s="799"/>
    </row>
    <row r="370">
      <c r="H370" s="799"/>
      <c r="I370" s="799"/>
      <c r="J370" s="799"/>
      <c r="K370" s="799"/>
      <c r="L370" s="799"/>
      <c r="M370" s="799"/>
      <c r="N370" s="799"/>
      <c r="O370" s="799"/>
      <c r="P370" s="799"/>
      <c r="Q370" s="799"/>
      <c r="R370" s="799"/>
      <c r="S370" s="799"/>
      <c r="T370" s="799"/>
      <c r="U370" s="799"/>
      <c r="V370" s="799"/>
      <c r="W370" s="799"/>
      <c r="X370" s="799"/>
      <c r="Y370" s="799"/>
      <c r="Z370" s="799"/>
      <c r="AA370" s="799"/>
      <c r="AB370" s="799"/>
      <c r="AC370" s="799"/>
      <c r="AD370" s="799"/>
      <c r="AE370" s="799"/>
      <c r="AF370" s="799"/>
      <c r="AG370" s="799"/>
      <c r="AH370" s="799"/>
      <c r="AI370" s="799"/>
      <c r="AJ370" s="799"/>
      <c r="AK370" s="799"/>
      <c r="AL370" s="799"/>
      <c r="AM370" s="799"/>
      <c r="AN370" s="799"/>
      <c r="AO370" s="799"/>
      <c r="AP370" s="799"/>
      <c r="AQ370" s="799"/>
      <c r="AR370" s="799"/>
      <c r="AS370" s="799"/>
      <c r="AT370" s="799"/>
      <c r="AU370" s="799"/>
      <c r="AV370" s="799"/>
      <c r="AW370" s="799"/>
      <c r="AX370" s="799"/>
      <c r="AY370" s="799"/>
      <c r="AZ370" s="799"/>
      <c r="BA370" s="799"/>
      <c r="BB370" s="799"/>
      <c r="BC370" s="799"/>
      <c r="BD370" s="799"/>
      <c r="BE370" s="799"/>
      <c r="BF370" s="799"/>
      <c r="BG370" s="799"/>
    </row>
    <row r="371">
      <c r="H371" s="799"/>
      <c r="I371" s="799"/>
      <c r="J371" s="799"/>
      <c r="K371" s="799"/>
      <c r="L371" s="799"/>
      <c r="M371" s="799"/>
      <c r="N371" s="799"/>
      <c r="O371" s="799"/>
      <c r="P371" s="799"/>
      <c r="Q371" s="799"/>
      <c r="R371" s="799"/>
      <c r="S371" s="799"/>
      <c r="T371" s="799"/>
      <c r="U371" s="799"/>
      <c r="V371" s="799"/>
      <c r="W371" s="799"/>
      <c r="X371" s="799"/>
      <c r="Y371" s="799"/>
      <c r="Z371" s="799"/>
      <c r="AA371" s="799"/>
      <c r="AB371" s="799"/>
      <c r="AC371" s="799"/>
      <c r="AD371" s="799"/>
      <c r="AE371" s="799"/>
      <c r="AF371" s="799"/>
      <c r="AG371" s="799"/>
      <c r="AH371" s="799"/>
      <c r="AI371" s="799"/>
      <c r="AJ371" s="799"/>
      <c r="AK371" s="799"/>
      <c r="AL371" s="799"/>
      <c r="AM371" s="799"/>
      <c r="AN371" s="799"/>
      <c r="AO371" s="799"/>
      <c r="AP371" s="799"/>
      <c r="AQ371" s="799"/>
      <c r="AR371" s="799"/>
      <c r="AS371" s="799"/>
      <c r="AT371" s="799"/>
      <c r="AU371" s="799"/>
      <c r="AV371" s="799"/>
      <c r="AW371" s="799"/>
      <c r="AX371" s="799"/>
      <c r="AY371" s="799"/>
      <c r="AZ371" s="799"/>
      <c r="BA371" s="799"/>
      <c r="BB371" s="799"/>
      <c r="BC371" s="799"/>
      <c r="BD371" s="799"/>
      <c r="BE371" s="799"/>
      <c r="BF371" s="799"/>
      <c r="BG371" s="799"/>
    </row>
    <row r="372">
      <c r="H372" s="799"/>
      <c r="I372" s="799"/>
      <c r="J372" s="799"/>
      <c r="K372" s="799"/>
      <c r="L372" s="799"/>
      <c r="M372" s="799"/>
      <c r="N372" s="799"/>
      <c r="O372" s="799"/>
      <c r="P372" s="799"/>
      <c r="Q372" s="799"/>
      <c r="R372" s="799"/>
      <c r="S372" s="799"/>
      <c r="T372" s="799"/>
      <c r="U372" s="799"/>
      <c r="V372" s="799"/>
      <c r="W372" s="799"/>
      <c r="X372" s="799"/>
      <c r="Y372" s="799"/>
      <c r="Z372" s="799"/>
      <c r="AA372" s="799"/>
      <c r="AB372" s="799"/>
      <c r="AC372" s="799"/>
      <c r="AD372" s="799"/>
      <c r="AE372" s="799"/>
      <c r="AF372" s="799"/>
      <c r="AG372" s="799"/>
      <c r="AH372" s="799"/>
      <c r="AI372" s="799"/>
      <c r="AJ372" s="799"/>
      <c r="AK372" s="799"/>
      <c r="AL372" s="799"/>
      <c r="AM372" s="799"/>
      <c r="AN372" s="799"/>
      <c r="AO372" s="799"/>
      <c r="AP372" s="799"/>
      <c r="AQ372" s="799"/>
      <c r="AR372" s="799"/>
      <c r="AS372" s="799"/>
      <c r="AT372" s="799"/>
      <c r="AU372" s="799"/>
      <c r="AV372" s="799"/>
      <c r="AW372" s="799"/>
      <c r="AX372" s="799"/>
      <c r="AY372" s="799"/>
      <c r="AZ372" s="799"/>
      <c r="BA372" s="799"/>
      <c r="BB372" s="799"/>
      <c r="BC372" s="799"/>
      <c r="BD372" s="799"/>
      <c r="BE372" s="799"/>
      <c r="BF372" s="799"/>
      <c r="BG372" s="799"/>
    </row>
    <row r="373">
      <c r="H373" s="799"/>
      <c r="I373" s="799"/>
      <c r="J373" s="799"/>
      <c r="K373" s="799"/>
      <c r="L373" s="799"/>
      <c r="M373" s="799"/>
      <c r="N373" s="799"/>
      <c r="O373" s="799"/>
      <c r="P373" s="799"/>
      <c r="Q373" s="799"/>
      <c r="R373" s="799"/>
      <c r="S373" s="799"/>
      <c r="T373" s="799"/>
      <c r="U373" s="799"/>
      <c r="V373" s="799"/>
      <c r="W373" s="799"/>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799"/>
      <c r="AX373" s="799"/>
      <c r="AY373" s="799"/>
      <c r="AZ373" s="799"/>
      <c r="BA373" s="799"/>
      <c r="BB373" s="799"/>
      <c r="BC373" s="799"/>
      <c r="BD373" s="799"/>
      <c r="BE373" s="799"/>
      <c r="BF373" s="799"/>
      <c r="BG373" s="799"/>
    </row>
    <row r="374">
      <c r="H374" s="799"/>
      <c r="I374" s="799"/>
      <c r="J374" s="799"/>
      <c r="K374" s="799"/>
      <c r="L374" s="799"/>
      <c r="M374" s="799"/>
      <c r="N374" s="799"/>
      <c r="O374" s="799"/>
      <c r="P374" s="799"/>
      <c r="Q374" s="799"/>
      <c r="R374" s="799"/>
      <c r="S374" s="799"/>
      <c r="T374" s="799"/>
      <c r="U374" s="799"/>
      <c r="V374" s="799"/>
      <c r="W374" s="799"/>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799"/>
      <c r="AX374" s="799"/>
      <c r="AY374" s="799"/>
      <c r="AZ374" s="799"/>
      <c r="BA374" s="799"/>
      <c r="BB374" s="799"/>
      <c r="BC374" s="799"/>
      <c r="BD374" s="799"/>
      <c r="BE374" s="799"/>
      <c r="BF374" s="799"/>
      <c r="BG374" s="799"/>
    </row>
    <row r="375">
      <c r="H375" s="799"/>
      <c r="I375" s="799"/>
      <c r="J375" s="799"/>
      <c r="K375" s="799"/>
      <c r="L375" s="799"/>
      <c r="M375" s="799"/>
      <c r="N375" s="799"/>
      <c r="O375" s="799"/>
      <c r="P375" s="799"/>
      <c r="Q375" s="799"/>
      <c r="R375" s="799"/>
      <c r="S375" s="799"/>
      <c r="T375" s="799"/>
      <c r="U375" s="799"/>
      <c r="V375" s="799"/>
      <c r="W375" s="799"/>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799"/>
      <c r="AX375" s="799"/>
      <c r="AY375" s="799"/>
      <c r="AZ375" s="799"/>
      <c r="BA375" s="799"/>
      <c r="BB375" s="799"/>
      <c r="BC375" s="799"/>
      <c r="BD375" s="799"/>
      <c r="BE375" s="799"/>
      <c r="BF375" s="799"/>
      <c r="BG375" s="799"/>
    </row>
    <row r="376">
      <c r="H376" s="799"/>
      <c r="I376" s="799"/>
      <c r="J376" s="799"/>
      <c r="K376" s="799"/>
      <c r="L376" s="799"/>
      <c r="M376" s="799"/>
      <c r="N376" s="799"/>
      <c r="O376" s="799"/>
      <c r="P376" s="799"/>
      <c r="Q376" s="799"/>
      <c r="R376" s="799"/>
      <c r="S376" s="799"/>
      <c r="T376" s="799"/>
      <c r="U376" s="799"/>
      <c r="V376" s="799"/>
      <c r="W376" s="799"/>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799"/>
      <c r="AX376" s="799"/>
      <c r="AY376" s="799"/>
      <c r="AZ376" s="799"/>
      <c r="BA376" s="799"/>
      <c r="BB376" s="799"/>
      <c r="BC376" s="799"/>
      <c r="BD376" s="799"/>
      <c r="BE376" s="799"/>
      <c r="BF376" s="799"/>
      <c r="BG376" s="799"/>
    </row>
    <row r="377">
      <c r="H377" s="799"/>
      <c r="I377" s="799"/>
      <c r="J377" s="799"/>
      <c r="K377" s="799"/>
      <c r="L377" s="799"/>
      <c r="M377" s="799"/>
      <c r="N377" s="799"/>
      <c r="O377" s="799"/>
      <c r="P377" s="799"/>
      <c r="Q377" s="799"/>
      <c r="R377" s="799"/>
      <c r="S377" s="799"/>
      <c r="T377" s="799"/>
      <c r="U377" s="799"/>
      <c r="V377" s="799"/>
      <c r="W377" s="799"/>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799"/>
      <c r="AX377" s="799"/>
      <c r="AY377" s="799"/>
      <c r="AZ377" s="799"/>
      <c r="BA377" s="799"/>
      <c r="BB377" s="799"/>
      <c r="BC377" s="799"/>
      <c r="BD377" s="799"/>
      <c r="BE377" s="799"/>
      <c r="BF377" s="799"/>
      <c r="BG377" s="799"/>
    </row>
    <row r="378">
      <c r="H378" s="799"/>
      <c r="I378" s="799"/>
      <c r="J378" s="799"/>
      <c r="K378" s="799"/>
      <c r="L378" s="799"/>
      <c r="M378" s="799"/>
      <c r="N378" s="799"/>
      <c r="O378" s="799"/>
      <c r="P378" s="799"/>
      <c r="Q378" s="799"/>
      <c r="R378" s="799"/>
      <c r="S378" s="799"/>
      <c r="T378" s="799"/>
      <c r="U378" s="799"/>
      <c r="V378" s="799"/>
      <c r="W378" s="799"/>
      <c r="X378" s="799"/>
      <c r="Y378" s="799"/>
      <c r="Z378" s="799"/>
      <c r="AA378" s="799"/>
      <c r="AB378" s="799"/>
      <c r="AC378" s="799"/>
      <c r="AD378" s="799"/>
      <c r="AE378" s="799"/>
      <c r="AF378" s="799"/>
      <c r="AG378" s="799"/>
      <c r="AH378" s="799"/>
      <c r="AI378" s="799"/>
      <c r="AJ378" s="799"/>
      <c r="AK378" s="799"/>
      <c r="AL378" s="799"/>
      <c r="AM378" s="799"/>
      <c r="AN378" s="799"/>
      <c r="AO378" s="799"/>
      <c r="AP378" s="799"/>
      <c r="AQ378" s="799"/>
      <c r="AR378" s="799"/>
      <c r="AS378" s="799"/>
      <c r="AT378" s="799"/>
      <c r="AU378" s="799"/>
      <c r="AV378" s="799"/>
      <c r="AW378" s="799"/>
      <c r="AX378" s="799"/>
      <c r="AY378" s="799"/>
      <c r="AZ378" s="799"/>
      <c r="BA378" s="799"/>
      <c r="BB378" s="799"/>
      <c r="BC378" s="799"/>
      <c r="BD378" s="799"/>
      <c r="BE378" s="799"/>
      <c r="BF378" s="799"/>
      <c r="BG378" s="799"/>
    </row>
    <row r="379">
      <c r="H379" s="799"/>
      <c r="I379" s="799"/>
      <c r="J379" s="799"/>
      <c r="K379" s="799"/>
      <c r="L379" s="799"/>
      <c r="M379" s="799"/>
      <c r="N379" s="799"/>
      <c r="O379" s="799"/>
      <c r="P379" s="799"/>
      <c r="Q379" s="799"/>
      <c r="R379" s="799"/>
      <c r="S379" s="799"/>
      <c r="T379" s="799"/>
      <c r="U379" s="799"/>
      <c r="V379" s="799"/>
      <c r="W379" s="799"/>
      <c r="X379" s="799"/>
      <c r="Y379" s="799"/>
      <c r="Z379" s="799"/>
      <c r="AA379" s="799"/>
      <c r="AB379" s="799"/>
      <c r="AC379" s="799"/>
      <c r="AD379" s="799"/>
      <c r="AE379" s="799"/>
      <c r="AF379" s="799"/>
      <c r="AG379" s="799"/>
      <c r="AH379" s="799"/>
      <c r="AI379" s="799"/>
      <c r="AJ379" s="799"/>
      <c r="AK379" s="799"/>
      <c r="AL379" s="799"/>
      <c r="AM379" s="799"/>
      <c r="AN379" s="799"/>
      <c r="AO379" s="799"/>
      <c r="AP379" s="799"/>
      <c r="AQ379" s="799"/>
      <c r="AR379" s="799"/>
      <c r="AS379" s="799"/>
      <c r="AT379" s="799"/>
      <c r="AU379" s="799"/>
      <c r="AV379" s="799"/>
      <c r="AW379" s="799"/>
      <c r="AX379" s="799"/>
      <c r="AY379" s="799"/>
      <c r="AZ379" s="799"/>
      <c r="BA379" s="799"/>
      <c r="BB379" s="799"/>
      <c r="BC379" s="799"/>
      <c r="BD379" s="799"/>
      <c r="BE379" s="799"/>
      <c r="BF379" s="799"/>
      <c r="BG379" s="799"/>
    </row>
    <row r="380">
      <c r="H380" s="799"/>
      <c r="I380" s="799"/>
      <c r="J380" s="799"/>
      <c r="K380" s="799"/>
      <c r="L380" s="799"/>
      <c r="M380" s="799"/>
      <c r="N380" s="799"/>
      <c r="O380" s="799"/>
      <c r="P380" s="799"/>
      <c r="Q380" s="799"/>
      <c r="R380" s="799"/>
      <c r="S380" s="799"/>
      <c r="T380" s="799"/>
      <c r="U380" s="799"/>
      <c r="V380" s="799"/>
      <c r="W380" s="799"/>
      <c r="X380" s="799"/>
      <c r="Y380" s="799"/>
      <c r="Z380" s="799"/>
      <c r="AA380" s="799"/>
      <c r="AB380" s="799"/>
      <c r="AC380" s="799"/>
      <c r="AD380" s="799"/>
      <c r="AE380" s="799"/>
      <c r="AF380" s="799"/>
      <c r="AG380" s="799"/>
      <c r="AH380" s="799"/>
      <c r="AI380" s="799"/>
      <c r="AJ380" s="799"/>
      <c r="AK380" s="799"/>
      <c r="AL380" s="799"/>
      <c r="AM380" s="799"/>
      <c r="AN380" s="799"/>
      <c r="AO380" s="799"/>
      <c r="AP380" s="799"/>
      <c r="AQ380" s="799"/>
      <c r="AR380" s="799"/>
      <c r="AS380" s="799"/>
      <c r="AT380" s="799"/>
      <c r="AU380" s="799"/>
      <c r="AV380" s="799"/>
      <c r="AW380" s="799"/>
      <c r="AX380" s="799"/>
      <c r="AY380" s="799"/>
      <c r="AZ380" s="799"/>
      <c r="BA380" s="799"/>
      <c r="BB380" s="799"/>
      <c r="BC380" s="799"/>
      <c r="BD380" s="799"/>
      <c r="BE380" s="799"/>
      <c r="BF380" s="799"/>
      <c r="BG380" s="799"/>
    </row>
    <row r="381">
      <c r="H381" s="799"/>
      <c r="I381" s="799"/>
      <c r="J381" s="799"/>
      <c r="K381" s="799"/>
      <c r="L381" s="799"/>
      <c r="M381" s="799"/>
      <c r="N381" s="799"/>
      <c r="O381" s="799"/>
      <c r="P381" s="799"/>
      <c r="Q381" s="799"/>
      <c r="R381" s="799"/>
      <c r="S381" s="799"/>
      <c r="T381" s="799"/>
      <c r="U381" s="799"/>
      <c r="V381" s="799"/>
      <c r="W381" s="799"/>
      <c r="X381" s="799"/>
      <c r="Y381" s="799"/>
      <c r="Z381" s="799"/>
      <c r="AA381" s="799"/>
      <c r="AB381" s="799"/>
      <c r="AC381" s="799"/>
      <c r="AD381" s="799"/>
      <c r="AE381" s="799"/>
      <c r="AF381" s="799"/>
      <c r="AG381" s="799"/>
      <c r="AH381" s="799"/>
      <c r="AI381" s="799"/>
      <c r="AJ381" s="799"/>
      <c r="AK381" s="799"/>
      <c r="AL381" s="799"/>
      <c r="AM381" s="799"/>
      <c r="AN381" s="799"/>
      <c r="AO381" s="799"/>
      <c r="AP381" s="799"/>
      <c r="AQ381" s="799"/>
      <c r="AR381" s="799"/>
      <c r="AS381" s="799"/>
      <c r="AT381" s="799"/>
      <c r="AU381" s="799"/>
      <c r="AV381" s="799"/>
      <c r="AW381" s="799"/>
      <c r="AX381" s="799"/>
      <c r="AY381" s="799"/>
      <c r="AZ381" s="799"/>
      <c r="BA381" s="799"/>
      <c r="BB381" s="799"/>
      <c r="BC381" s="799"/>
      <c r="BD381" s="799"/>
      <c r="BE381" s="799"/>
      <c r="BF381" s="799"/>
      <c r="BG381" s="799"/>
    </row>
    <row r="382">
      <c r="H382" s="799"/>
      <c r="I382" s="799"/>
      <c r="J382" s="799"/>
      <c r="K382" s="799"/>
      <c r="L382" s="799"/>
      <c r="M382" s="799"/>
      <c r="N382" s="799"/>
      <c r="O382" s="799"/>
      <c r="P382" s="799"/>
      <c r="Q382" s="799"/>
      <c r="R382" s="799"/>
      <c r="S382" s="799"/>
      <c r="T382" s="799"/>
      <c r="U382" s="799"/>
      <c r="V382" s="799"/>
      <c r="W382" s="799"/>
      <c r="X382" s="799"/>
      <c r="Y382" s="799"/>
      <c r="Z382" s="799"/>
      <c r="AA382" s="799"/>
      <c r="AB382" s="799"/>
      <c r="AC382" s="799"/>
      <c r="AD382" s="799"/>
      <c r="AE382" s="799"/>
      <c r="AF382" s="799"/>
      <c r="AG382" s="799"/>
      <c r="AH382" s="799"/>
      <c r="AI382" s="799"/>
      <c r="AJ382" s="799"/>
      <c r="AK382" s="799"/>
      <c r="AL382" s="799"/>
      <c r="AM382" s="799"/>
      <c r="AN382" s="799"/>
      <c r="AO382" s="799"/>
      <c r="AP382" s="799"/>
      <c r="AQ382" s="799"/>
      <c r="AR382" s="799"/>
      <c r="AS382" s="799"/>
      <c r="AT382" s="799"/>
      <c r="AU382" s="799"/>
      <c r="AV382" s="799"/>
      <c r="AW382" s="799"/>
      <c r="AX382" s="799"/>
      <c r="AY382" s="799"/>
      <c r="AZ382" s="799"/>
      <c r="BA382" s="799"/>
      <c r="BB382" s="799"/>
      <c r="BC382" s="799"/>
      <c r="BD382" s="799"/>
      <c r="BE382" s="799"/>
      <c r="BF382" s="799"/>
      <c r="BG382" s="799"/>
    </row>
    <row r="383">
      <c r="H383" s="799"/>
      <c r="I383" s="799"/>
      <c r="J383" s="799"/>
      <c r="K383" s="799"/>
      <c r="L383" s="799"/>
      <c r="M383" s="799"/>
      <c r="N383" s="799"/>
      <c r="O383" s="799"/>
      <c r="P383" s="799"/>
      <c r="Q383" s="799"/>
      <c r="R383" s="799"/>
      <c r="S383" s="799"/>
      <c r="T383" s="799"/>
      <c r="U383" s="799"/>
      <c r="V383" s="799"/>
      <c r="W383" s="799"/>
      <c r="X383" s="799"/>
      <c r="Y383" s="799"/>
      <c r="Z383" s="799"/>
      <c r="AA383" s="799"/>
      <c r="AB383" s="799"/>
      <c r="AC383" s="799"/>
      <c r="AD383" s="799"/>
      <c r="AE383" s="799"/>
      <c r="AF383" s="799"/>
      <c r="AG383" s="799"/>
      <c r="AH383" s="799"/>
      <c r="AI383" s="799"/>
      <c r="AJ383" s="799"/>
      <c r="AK383" s="799"/>
      <c r="AL383" s="799"/>
      <c r="AM383" s="799"/>
      <c r="AN383" s="799"/>
      <c r="AO383" s="799"/>
      <c r="AP383" s="799"/>
      <c r="AQ383" s="799"/>
      <c r="AR383" s="799"/>
      <c r="AS383" s="799"/>
      <c r="AT383" s="799"/>
      <c r="AU383" s="799"/>
      <c r="AV383" s="799"/>
      <c r="AW383" s="799"/>
      <c r="AX383" s="799"/>
      <c r="AY383" s="799"/>
      <c r="AZ383" s="799"/>
      <c r="BA383" s="799"/>
      <c r="BB383" s="799"/>
      <c r="BC383" s="799"/>
      <c r="BD383" s="799"/>
      <c r="BE383" s="799"/>
      <c r="BF383" s="799"/>
      <c r="BG383" s="799"/>
    </row>
    <row r="384">
      <c r="H384" s="799"/>
      <c r="I384" s="799"/>
      <c r="J384" s="799"/>
      <c r="K384" s="799"/>
      <c r="L384" s="799"/>
      <c r="M384" s="799"/>
      <c r="N384" s="799"/>
      <c r="O384" s="799"/>
      <c r="P384" s="799"/>
      <c r="Q384" s="799"/>
      <c r="R384" s="799"/>
      <c r="S384" s="799"/>
      <c r="T384" s="799"/>
      <c r="U384" s="799"/>
      <c r="V384" s="799"/>
      <c r="W384" s="799"/>
      <c r="X384" s="799"/>
      <c r="Y384" s="799"/>
      <c r="Z384" s="799"/>
      <c r="AA384" s="799"/>
      <c r="AB384" s="799"/>
      <c r="AC384" s="799"/>
      <c r="AD384" s="799"/>
      <c r="AE384" s="799"/>
      <c r="AF384" s="799"/>
      <c r="AG384" s="799"/>
      <c r="AH384" s="799"/>
      <c r="AI384" s="799"/>
      <c r="AJ384" s="799"/>
      <c r="AK384" s="799"/>
      <c r="AL384" s="799"/>
      <c r="AM384" s="799"/>
      <c r="AN384" s="799"/>
      <c r="AO384" s="799"/>
      <c r="AP384" s="799"/>
      <c r="AQ384" s="799"/>
      <c r="AR384" s="799"/>
      <c r="AS384" s="799"/>
      <c r="AT384" s="799"/>
      <c r="AU384" s="799"/>
      <c r="AV384" s="799"/>
      <c r="AW384" s="799"/>
      <c r="AX384" s="799"/>
      <c r="AY384" s="799"/>
      <c r="AZ384" s="799"/>
      <c r="BA384" s="799"/>
      <c r="BB384" s="799"/>
      <c r="BC384" s="799"/>
      <c r="BD384" s="799"/>
      <c r="BE384" s="799"/>
      <c r="BF384" s="799"/>
      <c r="BG384" s="799"/>
    </row>
    <row r="385">
      <c r="H385" s="799"/>
      <c r="I385" s="799"/>
      <c r="J385" s="799"/>
      <c r="K385" s="799"/>
      <c r="L385" s="799"/>
      <c r="M385" s="799"/>
      <c r="N385" s="799"/>
      <c r="O385" s="799"/>
      <c r="P385" s="799"/>
      <c r="Q385" s="799"/>
      <c r="R385" s="799"/>
      <c r="S385" s="799"/>
      <c r="T385" s="799"/>
      <c r="U385" s="799"/>
      <c r="V385" s="799"/>
      <c r="W385" s="799"/>
      <c r="X385" s="799"/>
      <c r="Y385" s="799"/>
      <c r="Z385" s="799"/>
      <c r="AA385" s="799"/>
      <c r="AB385" s="799"/>
      <c r="AC385" s="799"/>
      <c r="AD385" s="799"/>
      <c r="AE385" s="799"/>
      <c r="AF385" s="799"/>
      <c r="AG385" s="799"/>
      <c r="AH385" s="799"/>
      <c r="AI385" s="799"/>
      <c r="AJ385" s="799"/>
      <c r="AK385" s="799"/>
      <c r="AL385" s="799"/>
      <c r="AM385" s="799"/>
      <c r="AN385" s="799"/>
      <c r="AO385" s="799"/>
      <c r="AP385" s="799"/>
      <c r="AQ385" s="799"/>
      <c r="AR385" s="799"/>
      <c r="AS385" s="799"/>
      <c r="AT385" s="799"/>
      <c r="AU385" s="799"/>
      <c r="AV385" s="799"/>
      <c r="AW385" s="799"/>
      <c r="AX385" s="799"/>
      <c r="AY385" s="799"/>
      <c r="AZ385" s="799"/>
      <c r="BA385" s="799"/>
      <c r="BB385" s="799"/>
      <c r="BC385" s="799"/>
      <c r="BD385" s="799"/>
      <c r="BE385" s="799"/>
      <c r="BF385" s="799"/>
      <c r="BG385" s="799"/>
    </row>
    <row r="386">
      <c r="H386" s="799"/>
      <c r="I386" s="799"/>
      <c r="J386" s="799"/>
      <c r="K386" s="799"/>
      <c r="L386" s="799"/>
      <c r="M386" s="799"/>
      <c r="N386" s="799"/>
      <c r="O386" s="799"/>
      <c r="P386" s="799"/>
      <c r="Q386" s="799"/>
      <c r="R386" s="799"/>
      <c r="S386" s="799"/>
      <c r="T386" s="799"/>
      <c r="U386" s="799"/>
      <c r="V386" s="799"/>
      <c r="W386" s="799"/>
      <c r="X386" s="799"/>
      <c r="Y386" s="799"/>
      <c r="Z386" s="799"/>
      <c r="AA386" s="799"/>
      <c r="AB386" s="799"/>
      <c r="AC386" s="799"/>
      <c r="AD386" s="799"/>
      <c r="AE386" s="799"/>
      <c r="AF386" s="799"/>
      <c r="AG386" s="799"/>
      <c r="AH386" s="799"/>
      <c r="AI386" s="799"/>
      <c r="AJ386" s="799"/>
      <c r="AK386" s="799"/>
      <c r="AL386" s="799"/>
      <c r="AM386" s="799"/>
      <c r="AN386" s="799"/>
      <c r="AO386" s="799"/>
      <c r="AP386" s="799"/>
      <c r="AQ386" s="799"/>
      <c r="AR386" s="799"/>
      <c r="AS386" s="799"/>
      <c r="AT386" s="799"/>
      <c r="AU386" s="799"/>
      <c r="AV386" s="799"/>
      <c r="AW386" s="799"/>
      <c r="AX386" s="799"/>
      <c r="AY386" s="799"/>
      <c r="AZ386" s="799"/>
      <c r="BA386" s="799"/>
      <c r="BB386" s="799"/>
      <c r="BC386" s="799"/>
      <c r="BD386" s="799"/>
      <c r="BE386" s="799"/>
      <c r="BF386" s="799"/>
      <c r="BG386" s="799"/>
    </row>
    <row r="387">
      <c r="H387" s="799"/>
      <c r="I387" s="799"/>
      <c r="J387" s="799"/>
      <c r="K387" s="799"/>
      <c r="L387" s="799"/>
      <c r="M387" s="799"/>
      <c r="N387" s="799"/>
      <c r="O387" s="799"/>
      <c r="P387" s="799"/>
      <c r="Q387" s="799"/>
      <c r="R387" s="799"/>
      <c r="S387" s="799"/>
      <c r="T387" s="799"/>
      <c r="U387" s="799"/>
      <c r="V387" s="799"/>
      <c r="W387" s="799"/>
      <c r="X387" s="799"/>
      <c r="Y387" s="799"/>
      <c r="Z387" s="799"/>
      <c r="AA387" s="799"/>
      <c r="AB387" s="799"/>
      <c r="AC387" s="799"/>
      <c r="AD387" s="799"/>
      <c r="AE387" s="799"/>
      <c r="AF387" s="799"/>
      <c r="AG387" s="799"/>
      <c r="AH387" s="799"/>
      <c r="AI387" s="799"/>
      <c r="AJ387" s="799"/>
      <c r="AK387" s="799"/>
      <c r="AL387" s="799"/>
      <c r="AM387" s="799"/>
      <c r="AN387" s="799"/>
      <c r="AO387" s="799"/>
      <c r="AP387" s="799"/>
      <c r="AQ387" s="799"/>
      <c r="AR387" s="799"/>
      <c r="AS387" s="799"/>
      <c r="AT387" s="799"/>
      <c r="AU387" s="799"/>
      <c r="AV387" s="799"/>
      <c r="AW387" s="799"/>
      <c r="AX387" s="799"/>
      <c r="AY387" s="799"/>
      <c r="AZ387" s="799"/>
      <c r="BA387" s="799"/>
      <c r="BB387" s="799"/>
      <c r="BC387" s="799"/>
      <c r="BD387" s="799"/>
      <c r="BE387" s="799"/>
      <c r="BF387" s="799"/>
      <c r="BG387" s="799"/>
    </row>
    <row r="388">
      <c r="H388" s="799"/>
      <c r="I388" s="799"/>
      <c r="J388" s="799"/>
      <c r="K388" s="799"/>
      <c r="L388" s="799"/>
      <c r="M388" s="799"/>
      <c r="N388" s="799"/>
      <c r="O388" s="799"/>
      <c r="P388" s="799"/>
      <c r="Q388" s="799"/>
      <c r="R388" s="799"/>
      <c r="S388" s="799"/>
      <c r="T388" s="799"/>
      <c r="U388" s="799"/>
      <c r="V388" s="799"/>
      <c r="W388" s="799"/>
      <c r="X388" s="799"/>
      <c r="Y388" s="799"/>
      <c r="Z388" s="799"/>
      <c r="AA388" s="799"/>
      <c r="AB388" s="799"/>
      <c r="AC388" s="799"/>
      <c r="AD388" s="799"/>
      <c r="AE388" s="799"/>
      <c r="AF388" s="799"/>
      <c r="AG388" s="799"/>
      <c r="AH388" s="799"/>
      <c r="AI388" s="799"/>
      <c r="AJ388" s="799"/>
      <c r="AK388" s="799"/>
      <c r="AL388" s="799"/>
      <c r="AM388" s="799"/>
      <c r="AN388" s="799"/>
      <c r="AO388" s="799"/>
      <c r="AP388" s="799"/>
      <c r="AQ388" s="799"/>
      <c r="AR388" s="799"/>
      <c r="AS388" s="799"/>
      <c r="AT388" s="799"/>
      <c r="AU388" s="799"/>
      <c r="AV388" s="799"/>
      <c r="AW388" s="799"/>
      <c r="AX388" s="799"/>
      <c r="AY388" s="799"/>
      <c r="AZ388" s="799"/>
      <c r="BA388" s="799"/>
      <c r="BB388" s="799"/>
      <c r="BC388" s="799"/>
      <c r="BD388" s="799"/>
      <c r="BE388" s="799"/>
      <c r="BF388" s="799"/>
      <c r="BG388" s="799"/>
    </row>
    <row r="389">
      <c r="H389" s="799"/>
      <c r="I389" s="799"/>
      <c r="J389" s="799"/>
      <c r="K389" s="799"/>
      <c r="L389" s="799"/>
      <c r="M389" s="799"/>
      <c r="N389" s="799"/>
      <c r="O389" s="799"/>
      <c r="P389" s="799"/>
      <c r="Q389" s="799"/>
      <c r="R389" s="799"/>
      <c r="S389" s="799"/>
      <c r="T389" s="799"/>
      <c r="U389" s="799"/>
      <c r="V389" s="799"/>
      <c r="W389" s="799"/>
      <c r="X389" s="799"/>
      <c r="Y389" s="799"/>
      <c r="Z389" s="799"/>
      <c r="AA389" s="799"/>
      <c r="AB389" s="799"/>
      <c r="AC389" s="799"/>
      <c r="AD389" s="799"/>
      <c r="AE389" s="799"/>
      <c r="AF389" s="799"/>
      <c r="AG389" s="799"/>
      <c r="AH389" s="799"/>
      <c r="AI389" s="799"/>
      <c r="AJ389" s="799"/>
      <c r="AK389" s="799"/>
      <c r="AL389" s="799"/>
      <c r="AM389" s="799"/>
      <c r="AN389" s="799"/>
      <c r="AO389" s="799"/>
      <c r="AP389" s="799"/>
      <c r="AQ389" s="799"/>
      <c r="AR389" s="799"/>
      <c r="AS389" s="799"/>
      <c r="AT389" s="799"/>
      <c r="AU389" s="799"/>
      <c r="AV389" s="799"/>
      <c r="AW389" s="799"/>
      <c r="AX389" s="799"/>
      <c r="AY389" s="799"/>
      <c r="AZ389" s="799"/>
      <c r="BA389" s="799"/>
      <c r="BB389" s="799"/>
      <c r="BC389" s="799"/>
      <c r="BD389" s="799"/>
      <c r="BE389" s="799"/>
      <c r="BF389" s="799"/>
      <c r="BG389" s="799"/>
    </row>
    <row r="390">
      <c r="H390" s="799"/>
      <c r="I390" s="799"/>
      <c r="J390" s="799"/>
      <c r="K390" s="799"/>
      <c r="L390" s="799"/>
      <c r="M390" s="799"/>
      <c r="N390" s="799"/>
      <c r="O390" s="799"/>
      <c r="P390" s="799"/>
      <c r="Q390" s="799"/>
      <c r="R390" s="799"/>
      <c r="S390" s="799"/>
      <c r="T390" s="799"/>
      <c r="U390" s="799"/>
      <c r="V390" s="799"/>
      <c r="W390" s="799"/>
      <c r="X390" s="799"/>
      <c r="Y390" s="799"/>
      <c r="Z390" s="799"/>
      <c r="AA390" s="799"/>
      <c r="AB390" s="799"/>
      <c r="AC390" s="799"/>
      <c r="AD390" s="799"/>
      <c r="AE390" s="799"/>
      <c r="AF390" s="799"/>
      <c r="AG390" s="799"/>
      <c r="AH390" s="799"/>
      <c r="AI390" s="799"/>
      <c r="AJ390" s="799"/>
      <c r="AK390" s="799"/>
      <c r="AL390" s="799"/>
      <c r="AM390" s="799"/>
      <c r="AN390" s="799"/>
      <c r="AO390" s="799"/>
      <c r="AP390" s="799"/>
      <c r="AQ390" s="799"/>
      <c r="AR390" s="799"/>
      <c r="AS390" s="799"/>
      <c r="AT390" s="799"/>
      <c r="AU390" s="799"/>
      <c r="AV390" s="799"/>
      <c r="AW390" s="799"/>
      <c r="AX390" s="799"/>
      <c r="AY390" s="799"/>
      <c r="AZ390" s="799"/>
      <c r="BA390" s="799"/>
      <c r="BB390" s="799"/>
      <c r="BC390" s="799"/>
      <c r="BD390" s="799"/>
      <c r="BE390" s="799"/>
      <c r="BF390" s="799"/>
      <c r="BG390" s="799"/>
    </row>
    <row r="391">
      <c r="H391" s="799"/>
      <c r="I391" s="799"/>
      <c r="J391" s="799"/>
      <c r="K391" s="799"/>
      <c r="L391" s="799"/>
      <c r="M391" s="799"/>
      <c r="N391" s="799"/>
      <c r="O391" s="799"/>
      <c r="P391" s="799"/>
      <c r="Q391" s="799"/>
      <c r="R391" s="799"/>
      <c r="S391" s="799"/>
      <c r="T391" s="799"/>
      <c r="U391" s="799"/>
      <c r="V391" s="799"/>
      <c r="W391" s="799"/>
      <c r="X391" s="799"/>
      <c r="Y391" s="799"/>
      <c r="Z391" s="799"/>
      <c r="AA391" s="799"/>
      <c r="AB391" s="799"/>
      <c r="AC391" s="799"/>
      <c r="AD391" s="799"/>
      <c r="AE391" s="799"/>
      <c r="AF391" s="799"/>
      <c r="AG391" s="799"/>
      <c r="AH391" s="799"/>
      <c r="AI391" s="799"/>
      <c r="AJ391" s="799"/>
      <c r="AK391" s="799"/>
      <c r="AL391" s="799"/>
      <c r="AM391" s="799"/>
      <c r="AN391" s="799"/>
      <c r="AO391" s="799"/>
      <c r="AP391" s="799"/>
      <c r="AQ391" s="799"/>
      <c r="AR391" s="799"/>
      <c r="AS391" s="799"/>
      <c r="AT391" s="799"/>
      <c r="AU391" s="799"/>
      <c r="AV391" s="799"/>
      <c r="AW391" s="799"/>
      <c r="AX391" s="799"/>
      <c r="AY391" s="799"/>
      <c r="AZ391" s="799"/>
      <c r="BA391" s="799"/>
      <c r="BB391" s="799"/>
      <c r="BC391" s="799"/>
      <c r="BD391" s="799"/>
      <c r="BE391" s="799"/>
      <c r="BF391" s="799"/>
      <c r="BG391" s="799"/>
    </row>
    <row r="392">
      <c r="H392" s="799"/>
      <c r="I392" s="799"/>
      <c r="J392" s="799"/>
      <c r="K392" s="799"/>
      <c r="L392" s="799"/>
      <c r="M392" s="799"/>
      <c r="N392" s="799"/>
      <c r="O392" s="799"/>
      <c r="P392" s="799"/>
      <c r="Q392" s="799"/>
      <c r="R392" s="799"/>
      <c r="S392" s="799"/>
      <c r="T392" s="799"/>
      <c r="U392" s="799"/>
      <c r="V392" s="799"/>
      <c r="W392" s="799"/>
      <c r="X392" s="799"/>
      <c r="Y392" s="799"/>
      <c r="Z392" s="799"/>
      <c r="AA392" s="799"/>
      <c r="AB392" s="799"/>
      <c r="AC392" s="799"/>
      <c r="AD392" s="799"/>
      <c r="AE392" s="799"/>
      <c r="AF392" s="799"/>
      <c r="AG392" s="799"/>
      <c r="AH392" s="799"/>
      <c r="AI392" s="799"/>
      <c r="AJ392" s="799"/>
      <c r="AK392" s="799"/>
      <c r="AL392" s="799"/>
      <c r="AM392" s="799"/>
      <c r="AN392" s="799"/>
      <c r="AO392" s="799"/>
      <c r="AP392" s="799"/>
      <c r="AQ392" s="799"/>
      <c r="AR392" s="799"/>
      <c r="AS392" s="799"/>
      <c r="AT392" s="799"/>
      <c r="AU392" s="799"/>
      <c r="AV392" s="799"/>
      <c r="AW392" s="799"/>
      <c r="AX392" s="799"/>
      <c r="AY392" s="799"/>
      <c r="AZ392" s="799"/>
      <c r="BA392" s="799"/>
      <c r="BB392" s="799"/>
      <c r="BC392" s="799"/>
      <c r="BD392" s="799"/>
      <c r="BE392" s="799"/>
      <c r="BF392" s="799"/>
      <c r="BG392" s="799"/>
    </row>
    <row r="393">
      <c r="H393" s="799"/>
      <c r="I393" s="799"/>
      <c r="J393" s="799"/>
      <c r="K393" s="799"/>
      <c r="L393" s="799"/>
      <c r="M393" s="799"/>
      <c r="N393" s="799"/>
      <c r="O393" s="799"/>
      <c r="P393" s="799"/>
      <c r="Q393" s="799"/>
      <c r="R393" s="799"/>
      <c r="S393" s="799"/>
      <c r="T393" s="799"/>
      <c r="U393" s="799"/>
      <c r="V393" s="799"/>
      <c r="W393" s="799"/>
      <c r="X393" s="799"/>
      <c r="Y393" s="799"/>
      <c r="Z393" s="799"/>
      <c r="AA393" s="799"/>
      <c r="AB393" s="799"/>
      <c r="AC393" s="799"/>
      <c r="AD393" s="799"/>
      <c r="AE393" s="799"/>
      <c r="AF393" s="799"/>
      <c r="AG393" s="799"/>
      <c r="AH393" s="799"/>
      <c r="AI393" s="799"/>
      <c r="AJ393" s="799"/>
      <c r="AK393" s="799"/>
      <c r="AL393" s="799"/>
      <c r="AM393" s="799"/>
      <c r="AN393" s="799"/>
      <c r="AO393" s="799"/>
      <c r="AP393" s="799"/>
      <c r="AQ393" s="799"/>
      <c r="AR393" s="799"/>
      <c r="AS393" s="799"/>
      <c r="AT393" s="799"/>
      <c r="AU393" s="799"/>
      <c r="AV393" s="799"/>
      <c r="AW393" s="799"/>
      <c r="AX393" s="799"/>
      <c r="AY393" s="799"/>
      <c r="AZ393" s="799"/>
      <c r="BA393" s="799"/>
      <c r="BB393" s="799"/>
      <c r="BC393" s="799"/>
      <c r="BD393" s="799"/>
      <c r="BE393" s="799"/>
      <c r="BF393" s="799"/>
      <c r="BG393" s="799"/>
    </row>
    <row r="394">
      <c r="H394" s="799"/>
      <c r="I394" s="799"/>
      <c r="J394" s="799"/>
      <c r="K394" s="799"/>
      <c r="L394" s="799"/>
      <c r="M394" s="799"/>
      <c r="N394" s="799"/>
      <c r="O394" s="799"/>
      <c r="P394" s="799"/>
      <c r="Q394" s="799"/>
      <c r="R394" s="799"/>
      <c r="S394" s="799"/>
      <c r="T394" s="799"/>
      <c r="U394" s="799"/>
      <c r="V394" s="799"/>
      <c r="W394" s="799"/>
      <c r="X394" s="799"/>
      <c r="Y394" s="799"/>
      <c r="Z394" s="799"/>
      <c r="AA394" s="799"/>
      <c r="AB394" s="799"/>
      <c r="AC394" s="799"/>
      <c r="AD394" s="799"/>
      <c r="AE394" s="799"/>
      <c r="AF394" s="799"/>
      <c r="AG394" s="799"/>
      <c r="AH394" s="799"/>
      <c r="AI394" s="799"/>
      <c r="AJ394" s="799"/>
      <c r="AK394" s="799"/>
      <c r="AL394" s="799"/>
      <c r="AM394" s="799"/>
      <c r="AN394" s="799"/>
      <c r="AO394" s="799"/>
      <c r="AP394" s="799"/>
      <c r="AQ394" s="799"/>
      <c r="AR394" s="799"/>
      <c r="AS394" s="799"/>
      <c r="AT394" s="799"/>
      <c r="AU394" s="799"/>
      <c r="AV394" s="799"/>
      <c r="AW394" s="799"/>
      <c r="AX394" s="799"/>
      <c r="AY394" s="799"/>
      <c r="AZ394" s="799"/>
      <c r="BA394" s="799"/>
      <c r="BB394" s="799"/>
      <c r="BC394" s="799"/>
      <c r="BD394" s="799"/>
      <c r="BE394" s="799"/>
      <c r="BF394" s="799"/>
      <c r="BG394" s="799"/>
    </row>
    <row r="395">
      <c r="H395" s="799"/>
      <c r="I395" s="799"/>
      <c r="J395" s="799"/>
      <c r="K395" s="799"/>
      <c r="L395" s="799"/>
      <c r="M395" s="799"/>
      <c r="N395" s="799"/>
      <c r="O395" s="799"/>
      <c r="P395" s="799"/>
      <c r="Q395" s="799"/>
      <c r="R395" s="799"/>
      <c r="S395" s="799"/>
      <c r="T395" s="799"/>
      <c r="U395" s="799"/>
      <c r="V395" s="799"/>
      <c r="W395" s="799"/>
      <c r="X395" s="799"/>
      <c r="Y395" s="799"/>
      <c r="Z395" s="799"/>
      <c r="AA395" s="799"/>
      <c r="AB395" s="799"/>
      <c r="AC395" s="799"/>
      <c r="AD395" s="799"/>
      <c r="AE395" s="799"/>
      <c r="AF395" s="799"/>
      <c r="AG395" s="799"/>
      <c r="AH395" s="799"/>
      <c r="AI395" s="799"/>
      <c r="AJ395" s="799"/>
      <c r="AK395" s="799"/>
      <c r="AL395" s="799"/>
      <c r="AM395" s="799"/>
      <c r="AN395" s="799"/>
      <c r="AO395" s="799"/>
      <c r="AP395" s="799"/>
      <c r="AQ395" s="799"/>
      <c r="AR395" s="799"/>
      <c r="AS395" s="799"/>
      <c r="AT395" s="799"/>
      <c r="AU395" s="799"/>
      <c r="AV395" s="799"/>
      <c r="AW395" s="799"/>
      <c r="AX395" s="799"/>
      <c r="AY395" s="799"/>
      <c r="AZ395" s="799"/>
      <c r="BA395" s="799"/>
      <c r="BB395" s="799"/>
      <c r="BC395" s="799"/>
      <c r="BD395" s="799"/>
      <c r="BE395" s="799"/>
      <c r="BF395" s="799"/>
      <c r="BG395" s="799"/>
    </row>
    <row r="396">
      <c r="H396" s="799"/>
      <c r="I396" s="799"/>
      <c r="J396" s="799"/>
      <c r="K396" s="799"/>
      <c r="L396" s="799"/>
      <c r="M396" s="799"/>
      <c r="N396" s="799"/>
      <c r="O396" s="799"/>
      <c r="P396" s="799"/>
      <c r="Q396" s="799"/>
      <c r="R396" s="799"/>
      <c r="S396" s="799"/>
      <c r="T396" s="799"/>
      <c r="U396" s="799"/>
      <c r="V396" s="799"/>
      <c r="W396" s="799"/>
      <c r="X396" s="799"/>
      <c r="Y396" s="799"/>
      <c r="Z396" s="799"/>
      <c r="AA396" s="799"/>
      <c r="AB396" s="799"/>
      <c r="AC396" s="799"/>
      <c r="AD396" s="799"/>
      <c r="AE396" s="799"/>
      <c r="AF396" s="799"/>
      <c r="AG396" s="799"/>
      <c r="AH396" s="799"/>
      <c r="AI396" s="799"/>
      <c r="AJ396" s="799"/>
      <c r="AK396" s="799"/>
      <c r="AL396" s="799"/>
      <c r="AM396" s="799"/>
      <c r="AN396" s="799"/>
      <c r="AO396" s="799"/>
      <c r="AP396" s="799"/>
      <c r="AQ396" s="799"/>
      <c r="AR396" s="799"/>
      <c r="AS396" s="799"/>
      <c r="AT396" s="799"/>
      <c r="AU396" s="799"/>
      <c r="AV396" s="799"/>
      <c r="AW396" s="799"/>
      <c r="AX396" s="799"/>
      <c r="AY396" s="799"/>
      <c r="AZ396" s="799"/>
      <c r="BA396" s="799"/>
      <c r="BB396" s="799"/>
      <c r="BC396" s="799"/>
      <c r="BD396" s="799"/>
      <c r="BE396" s="799"/>
      <c r="BF396" s="799"/>
      <c r="BG396" s="799"/>
    </row>
    <row r="397">
      <c r="H397" s="799"/>
      <c r="I397" s="799"/>
      <c r="J397" s="799"/>
      <c r="K397" s="799"/>
      <c r="L397" s="799"/>
      <c r="M397" s="799"/>
      <c r="N397" s="799"/>
      <c r="O397" s="799"/>
      <c r="P397" s="799"/>
      <c r="Q397" s="799"/>
      <c r="R397" s="799"/>
      <c r="S397" s="799"/>
      <c r="T397" s="799"/>
      <c r="U397" s="799"/>
      <c r="V397" s="799"/>
      <c r="W397" s="799"/>
      <c r="X397" s="799"/>
      <c r="Y397" s="799"/>
      <c r="Z397" s="799"/>
      <c r="AA397" s="799"/>
      <c r="AB397" s="799"/>
      <c r="AC397" s="799"/>
      <c r="AD397" s="799"/>
      <c r="AE397" s="799"/>
      <c r="AF397" s="799"/>
      <c r="AG397" s="799"/>
      <c r="AH397" s="799"/>
      <c r="AI397" s="799"/>
      <c r="AJ397" s="799"/>
      <c r="AK397" s="799"/>
      <c r="AL397" s="799"/>
      <c r="AM397" s="799"/>
      <c r="AN397" s="799"/>
      <c r="AO397" s="799"/>
      <c r="AP397" s="799"/>
      <c r="AQ397" s="799"/>
      <c r="AR397" s="799"/>
      <c r="AS397" s="799"/>
      <c r="AT397" s="799"/>
      <c r="AU397" s="799"/>
      <c r="AV397" s="799"/>
      <c r="AW397" s="799"/>
      <c r="AX397" s="799"/>
      <c r="AY397" s="799"/>
      <c r="AZ397" s="799"/>
      <c r="BA397" s="799"/>
      <c r="BB397" s="799"/>
      <c r="BC397" s="799"/>
      <c r="BD397" s="799"/>
      <c r="BE397" s="799"/>
      <c r="BF397" s="799"/>
      <c r="BG397" s="799"/>
    </row>
    <row r="398">
      <c r="H398" s="799"/>
      <c r="I398" s="799"/>
      <c r="J398" s="799"/>
      <c r="K398" s="799"/>
      <c r="L398" s="799"/>
      <c r="M398" s="799"/>
      <c r="N398" s="799"/>
      <c r="O398" s="799"/>
      <c r="P398" s="799"/>
      <c r="Q398" s="799"/>
      <c r="R398" s="799"/>
      <c r="S398" s="799"/>
      <c r="T398" s="799"/>
      <c r="U398" s="799"/>
      <c r="V398" s="799"/>
      <c r="W398" s="799"/>
      <c r="X398" s="799"/>
      <c r="Y398" s="799"/>
      <c r="Z398" s="799"/>
      <c r="AA398" s="799"/>
      <c r="AB398" s="799"/>
      <c r="AC398" s="799"/>
      <c r="AD398" s="799"/>
      <c r="AE398" s="799"/>
      <c r="AF398" s="799"/>
      <c r="AG398" s="799"/>
      <c r="AH398" s="799"/>
      <c r="AI398" s="799"/>
      <c r="AJ398" s="799"/>
      <c r="AK398" s="799"/>
      <c r="AL398" s="799"/>
      <c r="AM398" s="799"/>
      <c r="AN398" s="799"/>
      <c r="AO398" s="799"/>
      <c r="AP398" s="799"/>
      <c r="AQ398" s="799"/>
      <c r="AR398" s="799"/>
      <c r="AS398" s="799"/>
      <c r="AT398" s="799"/>
      <c r="AU398" s="799"/>
      <c r="AV398" s="799"/>
      <c r="AW398" s="799"/>
      <c r="AX398" s="799"/>
      <c r="AY398" s="799"/>
      <c r="AZ398" s="799"/>
      <c r="BA398" s="799"/>
      <c r="BB398" s="799"/>
      <c r="BC398" s="799"/>
      <c r="BD398" s="799"/>
      <c r="BE398" s="799"/>
      <c r="BF398" s="799"/>
      <c r="BG398" s="799"/>
    </row>
    <row r="399">
      <c r="H399" s="799"/>
      <c r="I399" s="799"/>
      <c r="J399" s="799"/>
      <c r="K399" s="799"/>
      <c r="L399" s="799"/>
      <c r="M399" s="799"/>
      <c r="N399" s="799"/>
      <c r="O399" s="799"/>
      <c r="P399" s="799"/>
      <c r="Q399" s="799"/>
      <c r="R399" s="799"/>
      <c r="S399" s="799"/>
      <c r="T399" s="799"/>
      <c r="U399" s="799"/>
      <c r="V399" s="799"/>
      <c r="W399" s="799"/>
      <c r="X399" s="799"/>
      <c r="Y399" s="799"/>
      <c r="Z399" s="799"/>
      <c r="AA399" s="799"/>
      <c r="AB399" s="799"/>
      <c r="AC399" s="799"/>
      <c r="AD399" s="799"/>
      <c r="AE399" s="799"/>
      <c r="AF399" s="799"/>
      <c r="AG399" s="799"/>
      <c r="AH399" s="799"/>
      <c r="AI399" s="799"/>
      <c r="AJ399" s="799"/>
      <c r="AK399" s="799"/>
      <c r="AL399" s="799"/>
      <c r="AM399" s="799"/>
      <c r="AN399" s="799"/>
      <c r="AO399" s="799"/>
      <c r="AP399" s="799"/>
      <c r="AQ399" s="799"/>
      <c r="AR399" s="799"/>
      <c r="AS399" s="799"/>
      <c r="AT399" s="799"/>
      <c r="AU399" s="799"/>
      <c r="AV399" s="799"/>
      <c r="AW399" s="799"/>
      <c r="AX399" s="799"/>
      <c r="AY399" s="799"/>
      <c r="AZ399" s="799"/>
      <c r="BA399" s="799"/>
      <c r="BB399" s="799"/>
      <c r="BC399" s="799"/>
      <c r="BD399" s="799"/>
      <c r="BE399" s="799"/>
      <c r="BF399" s="799"/>
      <c r="BG399" s="799"/>
    </row>
    <row r="400">
      <c r="H400" s="799"/>
      <c r="I400" s="799"/>
      <c r="J400" s="799"/>
      <c r="K400" s="799"/>
      <c r="L400" s="799"/>
      <c r="M400" s="799"/>
      <c r="N400" s="799"/>
      <c r="O400" s="799"/>
      <c r="P400" s="799"/>
      <c r="Q400" s="799"/>
      <c r="R400" s="799"/>
      <c r="S400" s="799"/>
      <c r="T400" s="799"/>
      <c r="U400" s="799"/>
      <c r="V400" s="799"/>
      <c r="W400" s="799"/>
      <c r="X400" s="799"/>
      <c r="Y400" s="799"/>
      <c r="Z400" s="799"/>
      <c r="AA400" s="799"/>
      <c r="AB400" s="799"/>
      <c r="AC400" s="799"/>
      <c r="AD400" s="799"/>
      <c r="AE400" s="799"/>
      <c r="AF400" s="799"/>
      <c r="AG400" s="799"/>
      <c r="AH400" s="799"/>
      <c r="AI400" s="799"/>
      <c r="AJ400" s="799"/>
      <c r="AK400" s="799"/>
      <c r="AL400" s="799"/>
      <c r="AM400" s="799"/>
      <c r="AN400" s="799"/>
      <c r="AO400" s="799"/>
      <c r="AP400" s="799"/>
      <c r="AQ400" s="799"/>
      <c r="AR400" s="799"/>
      <c r="AS400" s="799"/>
      <c r="AT400" s="799"/>
      <c r="AU400" s="799"/>
      <c r="AV400" s="799"/>
      <c r="AW400" s="799"/>
      <c r="AX400" s="799"/>
      <c r="AY400" s="799"/>
      <c r="AZ400" s="799"/>
      <c r="BA400" s="799"/>
      <c r="BB400" s="799"/>
      <c r="BC400" s="799"/>
      <c r="BD400" s="799"/>
      <c r="BE400" s="799"/>
      <c r="BF400" s="799"/>
      <c r="BG400" s="799"/>
    </row>
    <row r="401">
      <c r="H401" s="799"/>
      <c r="I401" s="799"/>
      <c r="J401" s="799"/>
      <c r="K401" s="799"/>
      <c r="L401" s="799"/>
      <c r="M401" s="799"/>
      <c r="N401" s="799"/>
      <c r="O401" s="799"/>
      <c r="P401" s="799"/>
      <c r="Q401" s="799"/>
      <c r="R401" s="799"/>
      <c r="S401" s="799"/>
      <c r="T401" s="799"/>
      <c r="U401" s="799"/>
      <c r="V401" s="799"/>
      <c r="W401" s="799"/>
      <c r="X401" s="799"/>
      <c r="Y401" s="799"/>
      <c r="Z401" s="799"/>
      <c r="AA401" s="799"/>
      <c r="AB401" s="799"/>
      <c r="AC401" s="799"/>
      <c r="AD401" s="799"/>
      <c r="AE401" s="799"/>
      <c r="AF401" s="799"/>
      <c r="AG401" s="799"/>
      <c r="AH401" s="799"/>
      <c r="AI401" s="799"/>
      <c r="AJ401" s="799"/>
      <c r="AK401" s="799"/>
      <c r="AL401" s="799"/>
      <c r="AM401" s="799"/>
      <c r="AN401" s="799"/>
      <c r="AO401" s="799"/>
      <c r="AP401" s="799"/>
      <c r="AQ401" s="799"/>
      <c r="AR401" s="799"/>
      <c r="AS401" s="799"/>
      <c r="AT401" s="799"/>
      <c r="AU401" s="799"/>
      <c r="AV401" s="799"/>
      <c r="AW401" s="799"/>
      <c r="AX401" s="799"/>
      <c r="AY401" s="799"/>
      <c r="AZ401" s="799"/>
      <c r="BA401" s="799"/>
      <c r="BB401" s="799"/>
      <c r="BC401" s="799"/>
      <c r="BD401" s="799"/>
      <c r="BE401" s="799"/>
      <c r="BF401" s="799"/>
      <c r="BG401" s="799"/>
    </row>
    <row r="402">
      <c r="H402" s="799"/>
      <c r="I402" s="799"/>
      <c r="J402" s="799"/>
      <c r="K402" s="799"/>
      <c r="L402" s="799"/>
      <c r="M402" s="799"/>
      <c r="N402" s="799"/>
      <c r="O402" s="799"/>
      <c r="P402" s="799"/>
      <c r="Q402" s="799"/>
      <c r="R402" s="799"/>
      <c r="S402" s="799"/>
      <c r="T402" s="799"/>
      <c r="U402" s="799"/>
      <c r="V402" s="799"/>
      <c r="W402" s="799"/>
      <c r="X402" s="799"/>
      <c r="Y402" s="799"/>
      <c r="Z402" s="799"/>
      <c r="AA402" s="799"/>
      <c r="AB402" s="799"/>
      <c r="AC402" s="799"/>
      <c r="AD402" s="799"/>
      <c r="AE402" s="799"/>
      <c r="AF402" s="799"/>
      <c r="AG402" s="799"/>
      <c r="AH402" s="799"/>
      <c r="AI402" s="799"/>
      <c r="AJ402" s="799"/>
      <c r="AK402" s="799"/>
      <c r="AL402" s="799"/>
      <c r="AM402" s="799"/>
      <c r="AN402" s="799"/>
      <c r="AO402" s="799"/>
      <c r="AP402" s="799"/>
      <c r="AQ402" s="799"/>
      <c r="AR402" s="799"/>
      <c r="AS402" s="799"/>
      <c r="AT402" s="799"/>
      <c r="AU402" s="799"/>
      <c r="AV402" s="799"/>
      <c r="AW402" s="799"/>
      <c r="AX402" s="799"/>
      <c r="AY402" s="799"/>
      <c r="AZ402" s="799"/>
      <c r="BA402" s="799"/>
      <c r="BB402" s="799"/>
      <c r="BC402" s="799"/>
      <c r="BD402" s="799"/>
      <c r="BE402" s="799"/>
      <c r="BF402" s="799"/>
      <c r="BG402" s="799"/>
    </row>
    <row r="403">
      <c r="H403" s="799"/>
      <c r="I403" s="799"/>
      <c r="J403" s="799"/>
      <c r="K403" s="799"/>
      <c r="L403" s="799"/>
      <c r="M403" s="799"/>
      <c r="N403" s="799"/>
      <c r="O403" s="799"/>
      <c r="P403" s="799"/>
      <c r="Q403" s="799"/>
      <c r="R403" s="799"/>
      <c r="S403" s="799"/>
      <c r="T403" s="799"/>
      <c r="U403" s="799"/>
      <c r="V403" s="799"/>
      <c r="W403" s="799"/>
      <c r="X403" s="799"/>
      <c r="Y403" s="799"/>
      <c r="Z403" s="799"/>
      <c r="AA403" s="799"/>
      <c r="AB403" s="799"/>
      <c r="AC403" s="799"/>
      <c r="AD403" s="799"/>
      <c r="AE403" s="799"/>
      <c r="AF403" s="799"/>
      <c r="AG403" s="799"/>
      <c r="AH403" s="799"/>
      <c r="AI403" s="799"/>
      <c r="AJ403" s="799"/>
      <c r="AK403" s="799"/>
      <c r="AL403" s="799"/>
      <c r="AM403" s="799"/>
      <c r="AN403" s="799"/>
      <c r="AO403" s="799"/>
      <c r="AP403" s="799"/>
      <c r="AQ403" s="799"/>
      <c r="AR403" s="799"/>
      <c r="AS403" s="799"/>
      <c r="AT403" s="799"/>
      <c r="AU403" s="799"/>
      <c r="AV403" s="799"/>
      <c r="AW403" s="799"/>
      <c r="AX403" s="799"/>
      <c r="AY403" s="799"/>
      <c r="AZ403" s="799"/>
      <c r="BA403" s="799"/>
      <c r="BB403" s="799"/>
      <c r="BC403" s="799"/>
      <c r="BD403" s="799"/>
      <c r="BE403" s="799"/>
      <c r="BF403" s="799"/>
      <c r="BG403" s="799"/>
    </row>
    <row r="404">
      <c r="H404" s="799"/>
      <c r="I404" s="799"/>
      <c r="J404" s="799"/>
      <c r="K404" s="799"/>
      <c r="L404" s="799"/>
      <c r="M404" s="799"/>
      <c r="N404" s="799"/>
      <c r="O404" s="799"/>
      <c r="P404" s="799"/>
      <c r="Q404" s="799"/>
      <c r="R404" s="799"/>
      <c r="S404" s="799"/>
      <c r="T404" s="799"/>
      <c r="U404" s="799"/>
      <c r="V404" s="799"/>
      <c r="W404" s="799"/>
      <c r="X404" s="799"/>
      <c r="Y404" s="799"/>
      <c r="Z404" s="799"/>
      <c r="AA404" s="799"/>
      <c r="AB404" s="799"/>
      <c r="AC404" s="799"/>
      <c r="AD404" s="799"/>
      <c r="AE404" s="799"/>
      <c r="AF404" s="799"/>
      <c r="AG404" s="799"/>
      <c r="AH404" s="799"/>
      <c r="AI404" s="799"/>
      <c r="AJ404" s="799"/>
      <c r="AK404" s="799"/>
      <c r="AL404" s="799"/>
      <c r="AM404" s="799"/>
      <c r="AN404" s="799"/>
      <c r="AO404" s="799"/>
      <c r="AP404" s="799"/>
      <c r="AQ404" s="799"/>
      <c r="AR404" s="799"/>
      <c r="AS404" s="799"/>
      <c r="AT404" s="799"/>
      <c r="AU404" s="799"/>
      <c r="AV404" s="799"/>
      <c r="AW404" s="799"/>
      <c r="AX404" s="799"/>
      <c r="AY404" s="799"/>
      <c r="AZ404" s="799"/>
      <c r="BA404" s="799"/>
      <c r="BB404" s="799"/>
      <c r="BC404" s="799"/>
      <c r="BD404" s="799"/>
      <c r="BE404" s="799"/>
      <c r="BF404" s="799"/>
      <c r="BG404" s="799"/>
    </row>
    <row r="405">
      <c r="H405" s="799"/>
      <c r="I405" s="799"/>
      <c r="J405" s="799"/>
      <c r="K405" s="799"/>
      <c r="L405" s="799"/>
      <c r="M405" s="799"/>
      <c r="N405" s="799"/>
      <c r="O405" s="799"/>
      <c r="P405" s="799"/>
      <c r="Q405" s="799"/>
      <c r="R405" s="799"/>
      <c r="S405" s="799"/>
      <c r="T405" s="799"/>
      <c r="U405" s="799"/>
      <c r="V405" s="799"/>
      <c r="W405" s="799"/>
      <c r="X405" s="799"/>
      <c r="Y405" s="799"/>
      <c r="Z405" s="799"/>
      <c r="AA405" s="799"/>
      <c r="AB405" s="799"/>
      <c r="AC405" s="799"/>
      <c r="AD405" s="799"/>
      <c r="AE405" s="799"/>
      <c r="AF405" s="799"/>
      <c r="AG405" s="799"/>
      <c r="AH405" s="799"/>
      <c r="AI405" s="799"/>
      <c r="AJ405" s="799"/>
      <c r="AK405" s="799"/>
      <c r="AL405" s="799"/>
      <c r="AM405" s="799"/>
      <c r="AN405" s="799"/>
      <c r="AO405" s="799"/>
      <c r="AP405" s="799"/>
      <c r="AQ405" s="799"/>
      <c r="AR405" s="799"/>
      <c r="AS405" s="799"/>
      <c r="AT405" s="799"/>
      <c r="AU405" s="799"/>
      <c r="AV405" s="799"/>
      <c r="AW405" s="799"/>
      <c r="AX405" s="799"/>
      <c r="AY405" s="799"/>
      <c r="AZ405" s="799"/>
      <c r="BA405" s="799"/>
      <c r="BB405" s="799"/>
      <c r="BC405" s="799"/>
      <c r="BD405" s="799"/>
      <c r="BE405" s="799"/>
      <c r="BF405" s="799"/>
      <c r="BG405" s="799"/>
    </row>
    <row r="406">
      <c r="H406" s="799"/>
      <c r="I406" s="799"/>
      <c r="J406" s="799"/>
      <c r="K406" s="799"/>
      <c r="L406" s="799"/>
      <c r="M406" s="799"/>
      <c r="N406" s="799"/>
      <c r="O406" s="799"/>
      <c r="P406" s="799"/>
      <c r="Q406" s="799"/>
      <c r="R406" s="799"/>
      <c r="S406" s="799"/>
      <c r="T406" s="799"/>
      <c r="U406" s="799"/>
      <c r="V406" s="799"/>
      <c r="W406" s="799"/>
      <c r="X406" s="799"/>
      <c r="Y406" s="799"/>
      <c r="Z406" s="799"/>
      <c r="AA406" s="799"/>
      <c r="AB406" s="799"/>
      <c r="AC406" s="799"/>
      <c r="AD406" s="799"/>
      <c r="AE406" s="799"/>
      <c r="AF406" s="799"/>
      <c r="AG406" s="799"/>
      <c r="AH406" s="799"/>
      <c r="AI406" s="799"/>
      <c r="AJ406" s="799"/>
      <c r="AK406" s="799"/>
      <c r="AL406" s="799"/>
      <c r="AM406" s="799"/>
      <c r="AN406" s="799"/>
      <c r="AO406" s="799"/>
      <c r="AP406" s="799"/>
      <c r="AQ406" s="799"/>
      <c r="AR406" s="799"/>
      <c r="AS406" s="799"/>
      <c r="AT406" s="799"/>
      <c r="AU406" s="799"/>
      <c r="AV406" s="799"/>
      <c r="AW406" s="799"/>
      <c r="AX406" s="799"/>
      <c r="AY406" s="799"/>
      <c r="AZ406" s="799"/>
      <c r="BA406" s="799"/>
      <c r="BB406" s="799"/>
      <c r="BC406" s="799"/>
      <c r="BD406" s="799"/>
      <c r="BE406" s="799"/>
      <c r="BF406" s="799"/>
      <c r="BG406" s="799"/>
    </row>
    <row r="407">
      <c r="H407" s="799"/>
      <c r="I407" s="799"/>
      <c r="J407" s="799"/>
      <c r="K407" s="799"/>
      <c r="L407" s="799"/>
      <c r="M407" s="799"/>
      <c r="N407" s="799"/>
      <c r="O407" s="799"/>
      <c r="P407" s="799"/>
      <c r="Q407" s="799"/>
      <c r="R407" s="799"/>
      <c r="S407" s="799"/>
      <c r="T407" s="799"/>
      <c r="U407" s="799"/>
      <c r="V407" s="799"/>
      <c r="W407" s="799"/>
      <c r="X407" s="799"/>
      <c r="Y407" s="799"/>
      <c r="Z407" s="799"/>
      <c r="AA407" s="799"/>
      <c r="AB407" s="799"/>
      <c r="AC407" s="799"/>
      <c r="AD407" s="799"/>
      <c r="AE407" s="799"/>
      <c r="AF407" s="799"/>
      <c r="AG407" s="799"/>
      <c r="AH407" s="799"/>
      <c r="AI407" s="799"/>
      <c r="AJ407" s="799"/>
      <c r="AK407" s="799"/>
      <c r="AL407" s="799"/>
      <c r="AM407" s="799"/>
      <c r="AN407" s="799"/>
      <c r="AO407" s="799"/>
      <c r="AP407" s="799"/>
      <c r="AQ407" s="799"/>
      <c r="AR407" s="799"/>
      <c r="AS407" s="799"/>
      <c r="AT407" s="799"/>
      <c r="AU407" s="799"/>
      <c r="AV407" s="799"/>
      <c r="AW407" s="799"/>
      <c r="AX407" s="799"/>
      <c r="AY407" s="799"/>
      <c r="AZ407" s="799"/>
      <c r="BA407" s="799"/>
      <c r="BB407" s="799"/>
      <c r="BC407" s="799"/>
      <c r="BD407" s="799"/>
      <c r="BE407" s="799"/>
      <c r="BF407" s="799"/>
      <c r="BG407" s="799"/>
    </row>
    <row r="408">
      <c r="H408" s="799"/>
      <c r="I408" s="799"/>
      <c r="J408" s="799"/>
      <c r="K408" s="799"/>
      <c r="L408" s="799"/>
      <c r="M408" s="799"/>
      <c r="N408" s="799"/>
      <c r="O408" s="799"/>
      <c r="P408" s="799"/>
      <c r="Q408" s="799"/>
      <c r="R408" s="799"/>
      <c r="S408" s="799"/>
      <c r="T408" s="799"/>
      <c r="U408" s="799"/>
      <c r="V408" s="799"/>
      <c r="W408" s="799"/>
      <c r="X408" s="799"/>
      <c r="Y408" s="799"/>
      <c r="Z408" s="799"/>
      <c r="AA408" s="799"/>
      <c r="AB408" s="799"/>
      <c r="AC408" s="799"/>
      <c r="AD408" s="799"/>
      <c r="AE408" s="799"/>
      <c r="AF408" s="799"/>
      <c r="AG408" s="799"/>
      <c r="AH408" s="799"/>
      <c r="AI408" s="799"/>
      <c r="AJ408" s="799"/>
      <c r="AK408" s="799"/>
      <c r="AL408" s="799"/>
      <c r="AM408" s="799"/>
      <c r="AN408" s="799"/>
      <c r="AO408" s="799"/>
      <c r="AP408" s="799"/>
      <c r="AQ408" s="799"/>
      <c r="AR408" s="799"/>
      <c r="AS408" s="799"/>
      <c r="AT408" s="799"/>
      <c r="AU408" s="799"/>
      <c r="AV408" s="799"/>
      <c r="AW408" s="799"/>
      <c r="AX408" s="799"/>
      <c r="AY408" s="799"/>
      <c r="AZ408" s="799"/>
      <c r="BA408" s="799"/>
      <c r="BB408" s="799"/>
      <c r="BC408" s="799"/>
      <c r="BD408" s="799"/>
      <c r="BE408" s="799"/>
      <c r="BF408" s="799"/>
      <c r="BG408" s="799"/>
    </row>
    <row r="409">
      <c r="H409" s="799"/>
      <c r="I409" s="799"/>
      <c r="J409" s="799"/>
      <c r="K409" s="799"/>
      <c r="L409" s="799"/>
      <c r="M409" s="799"/>
      <c r="N409" s="799"/>
      <c r="O409" s="799"/>
      <c r="P409" s="799"/>
      <c r="Q409" s="799"/>
      <c r="R409" s="799"/>
      <c r="S409" s="799"/>
      <c r="T409" s="799"/>
      <c r="U409" s="799"/>
      <c r="V409" s="799"/>
      <c r="W409" s="799"/>
      <c r="X409" s="799"/>
      <c r="Y409" s="799"/>
      <c r="Z409" s="799"/>
      <c r="AA409" s="799"/>
      <c r="AB409" s="799"/>
      <c r="AC409" s="799"/>
      <c r="AD409" s="799"/>
      <c r="AE409" s="799"/>
      <c r="AF409" s="799"/>
      <c r="AG409" s="799"/>
      <c r="AH409" s="799"/>
      <c r="AI409" s="799"/>
      <c r="AJ409" s="799"/>
      <c r="AK409" s="799"/>
      <c r="AL409" s="799"/>
      <c r="AM409" s="799"/>
      <c r="AN409" s="799"/>
      <c r="AO409" s="799"/>
      <c r="AP409" s="799"/>
      <c r="AQ409" s="799"/>
      <c r="AR409" s="799"/>
      <c r="AS409" s="799"/>
      <c r="AT409" s="799"/>
      <c r="AU409" s="799"/>
      <c r="AV409" s="799"/>
      <c r="AW409" s="799"/>
      <c r="AX409" s="799"/>
      <c r="AY409" s="799"/>
      <c r="AZ409" s="799"/>
      <c r="BA409" s="799"/>
      <c r="BB409" s="799"/>
      <c r="BC409" s="799"/>
      <c r="BD409" s="799"/>
      <c r="BE409" s="799"/>
      <c r="BF409" s="799"/>
      <c r="BG409" s="799"/>
    </row>
    <row r="410">
      <c r="H410" s="799"/>
      <c r="I410" s="799"/>
      <c r="J410" s="799"/>
      <c r="K410" s="799"/>
      <c r="L410" s="799"/>
      <c r="M410" s="799"/>
      <c r="N410" s="799"/>
      <c r="O410" s="799"/>
      <c r="P410" s="799"/>
      <c r="Q410" s="799"/>
      <c r="R410" s="799"/>
      <c r="S410" s="799"/>
      <c r="T410" s="799"/>
      <c r="U410" s="799"/>
      <c r="V410" s="799"/>
      <c r="W410" s="799"/>
      <c r="X410" s="799"/>
      <c r="Y410" s="799"/>
      <c r="Z410" s="799"/>
      <c r="AA410" s="799"/>
      <c r="AB410" s="799"/>
      <c r="AC410" s="799"/>
      <c r="AD410" s="799"/>
      <c r="AE410" s="799"/>
      <c r="AF410" s="799"/>
      <c r="AG410" s="799"/>
      <c r="AH410" s="799"/>
      <c r="AI410" s="799"/>
      <c r="AJ410" s="799"/>
      <c r="AK410" s="799"/>
      <c r="AL410" s="799"/>
      <c r="AM410" s="799"/>
      <c r="AN410" s="799"/>
      <c r="AO410" s="799"/>
      <c r="AP410" s="799"/>
      <c r="AQ410" s="799"/>
      <c r="AR410" s="799"/>
      <c r="AS410" s="799"/>
      <c r="AT410" s="799"/>
      <c r="AU410" s="799"/>
      <c r="AV410" s="799"/>
      <c r="AW410" s="799"/>
      <c r="AX410" s="799"/>
      <c r="AY410" s="799"/>
      <c r="AZ410" s="799"/>
      <c r="BA410" s="799"/>
      <c r="BB410" s="799"/>
      <c r="BC410" s="799"/>
      <c r="BD410" s="799"/>
      <c r="BE410" s="799"/>
      <c r="BF410" s="799"/>
      <c r="BG410" s="799"/>
    </row>
    <row r="411">
      <c r="H411" s="799"/>
      <c r="I411" s="799"/>
      <c r="J411" s="799"/>
      <c r="K411" s="799"/>
      <c r="L411" s="799"/>
      <c r="M411" s="799"/>
      <c r="N411" s="799"/>
      <c r="O411" s="799"/>
      <c r="P411" s="799"/>
      <c r="Q411" s="799"/>
      <c r="R411" s="799"/>
      <c r="S411" s="799"/>
      <c r="T411" s="799"/>
      <c r="U411" s="799"/>
      <c r="V411" s="799"/>
      <c r="W411" s="799"/>
      <c r="X411" s="799"/>
      <c r="Y411" s="799"/>
      <c r="Z411" s="799"/>
      <c r="AA411" s="799"/>
      <c r="AB411" s="799"/>
      <c r="AC411" s="799"/>
      <c r="AD411" s="799"/>
      <c r="AE411" s="799"/>
      <c r="AF411" s="799"/>
      <c r="AG411" s="799"/>
      <c r="AH411" s="799"/>
      <c r="AI411" s="799"/>
      <c r="AJ411" s="799"/>
      <c r="AK411" s="799"/>
      <c r="AL411" s="799"/>
      <c r="AM411" s="799"/>
      <c r="AN411" s="799"/>
      <c r="AO411" s="799"/>
      <c r="AP411" s="799"/>
      <c r="AQ411" s="799"/>
      <c r="AR411" s="799"/>
      <c r="AS411" s="799"/>
      <c r="AT411" s="799"/>
      <c r="AU411" s="799"/>
      <c r="AV411" s="799"/>
      <c r="AW411" s="799"/>
      <c r="AX411" s="799"/>
      <c r="AY411" s="799"/>
      <c r="AZ411" s="799"/>
      <c r="BA411" s="799"/>
      <c r="BB411" s="799"/>
      <c r="BC411" s="799"/>
      <c r="BD411" s="799"/>
      <c r="BE411" s="799"/>
      <c r="BF411" s="799"/>
      <c r="BG411" s="799"/>
    </row>
    <row r="412">
      <c r="H412" s="799"/>
      <c r="I412" s="799"/>
      <c r="J412" s="799"/>
      <c r="K412" s="799"/>
      <c r="L412" s="799"/>
      <c r="M412" s="799"/>
      <c r="N412" s="799"/>
      <c r="O412" s="799"/>
      <c r="P412" s="799"/>
      <c r="Q412" s="799"/>
      <c r="R412" s="799"/>
      <c r="S412" s="799"/>
      <c r="T412" s="799"/>
      <c r="U412" s="799"/>
      <c r="V412" s="799"/>
      <c r="W412" s="799"/>
      <c r="X412" s="799"/>
      <c r="Y412" s="799"/>
      <c r="Z412" s="799"/>
      <c r="AA412" s="799"/>
      <c r="AB412" s="799"/>
      <c r="AC412" s="799"/>
      <c r="AD412" s="799"/>
      <c r="AE412" s="799"/>
      <c r="AF412" s="799"/>
      <c r="AG412" s="799"/>
      <c r="AH412" s="799"/>
      <c r="AI412" s="799"/>
      <c r="AJ412" s="799"/>
      <c r="AK412" s="799"/>
      <c r="AL412" s="799"/>
      <c r="AM412" s="799"/>
      <c r="AN412" s="799"/>
      <c r="AO412" s="799"/>
      <c r="AP412" s="799"/>
      <c r="AQ412" s="799"/>
      <c r="AR412" s="799"/>
      <c r="AS412" s="799"/>
      <c r="AT412" s="799"/>
      <c r="AU412" s="799"/>
      <c r="AV412" s="799"/>
      <c r="AW412" s="799"/>
      <c r="AX412" s="799"/>
      <c r="AY412" s="799"/>
      <c r="AZ412" s="799"/>
      <c r="BA412" s="799"/>
      <c r="BB412" s="799"/>
      <c r="BC412" s="799"/>
      <c r="BD412" s="799"/>
      <c r="BE412" s="799"/>
      <c r="BF412" s="799"/>
      <c r="BG412" s="799"/>
    </row>
    <row r="413">
      <c r="H413" s="799"/>
      <c r="I413" s="799"/>
      <c r="J413" s="799"/>
      <c r="K413" s="799"/>
      <c r="L413" s="799"/>
      <c r="M413" s="799"/>
      <c r="N413" s="799"/>
      <c r="O413" s="799"/>
      <c r="P413" s="799"/>
      <c r="Q413" s="799"/>
      <c r="R413" s="799"/>
      <c r="S413" s="799"/>
      <c r="T413" s="799"/>
      <c r="U413" s="799"/>
      <c r="V413" s="799"/>
      <c r="W413" s="799"/>
      <c r="X413" s="799"/>
      <c r="Y413" s="799"/>
      <c r="Z413" s="799"/>
      <c r="AA413" s="799"/>
      <c r="AB413" s="799"/>
      <c r="AC413" s="799"/>
      <c r="AD413" s="799"/>
      <c r="AE413" s="799"/>
      <c r="AF413" s="799"/>
      <c r="AG413" s="799"/>
      <c r="AH413" s="799"/>
      <c r="AI413" s="799"/>
      <c r="AJ413" s="799"/>
      <c r="AK413" s="799"/>
      <c r="AL413" s="799"/>
      <c r="AM413" s="799"/>
      <c r="AN413" s="799"/>
      <c r="AO413" s="799"/>
      <c r="AP413" s="799"/>
      <c r="AQ413" s="799"/>
      <c r="AR413" s="799"/>
      <c r="AS413" s="799"/>
      <c r="AT413" s="799"/>
      <c r="AU413" s="799"/>
      <c r="AV413" s="799"/>
      <c r="AW413" s="799"/>
      <c r="AX413" s="799"/>
      <c r="AY413" s="799"/>
      <c r="AZ413" s="799"/>
      <c r="BA413" s="799"/>
      <c r="BB413" s="799"/>
      <c r="BC413" s="799"/>
      <c r="BD413" s="799"/>
      <c r="BE413" s="799"/>
      <c r="BF413" s="799"/>
      <c r="BG413" s="799"/>
    </row>
    <row r="414">
      <c r="H414" s="799"/>
      <c r="I414" s="799"/>
      <c r="J414" s="799"/>
      <c r="K414" s="799"/>
      <c r="L414" s="799"/>
      <c r="M414" s="799"/>
      <c r="N414" s="799"/>
      <c r="O414" s="799"/>
      <c r="P414" s="799"/>
      <c r="Q414" s="799"/>
      <c r="R414" s="799"/>
      <c r="S414" s="799"/>
      <c r="T414" s="799"/>
      <c r="U414" s="799"/>
      <c r="V414" s="799"/>
      <c r="W414" s="799"/>
      <c r="X414" s="799"/>
      <c r="Y414" s="799"/>
      <c r="Z414" s="799"/>
      <c r="AA414" s="799"/>
      <c r="AB414" s="799"/>
      <c r="AC414" s="799"/>
      <c r="AD414" s="799"/>
      <c r="AE414" s="799"/>
      <c r="AF414" s="799"/>
      <c r="AG414" s="799"/>
      <c r="AH414" s="799"/>
      <c r="AI414" s="799"/>
      <c r="AJ414" s="799"/>
      <c r="AK414" s="799"/>
      <c r="AL414" s="799"/>
      <c r="AM414" s="799"/>
      <c r="AN414" s="799"/>
      <c r="AO414" s="799"/>
      <c r="AP414" s="799"/>
      <c r="AQ414" s="799"/>
      <c r="AR414" s="799"/>
      <c r="AS414" s="799"/>
      <c r="AT414" s="799"/>
      <c r="AU414" s="799"/>
      <c r="AV414" s="799"/>
      <c r="AW414" s="799"/>
      <c r="AX414" s="799"/>
      <c r="AY414" s="799"/>
      <c r="AZ414" s="799"/>
      <c r="BA414" s="799"/>
      <c r="BB414" s="799"/>
      <c r="BC414" s="799"/>
      <c r="BD414" s="799"/>
      <c r="BE414" s="799"/>
      <c r="BF414" s="799"/>
      <c r="BG414" s="799"/>
    </row>
    <row r="415">
      <c r="H415" s="799"/>
      <c r="I415" s="799"/>
      <c r="J415" s="799"/>
      <c r="K415" s="799"/>
      <c r="L415" s="799"/>
      <c r="M415" s="799"/>
      <c r="N415" s="799"/>
      <c r="O415" s="799"/>
      <c r="P415" s="799"/>
      <c r="Q415" s="799"/>
      <c r="R415" s="799"/>
      <c r="S415" s="799"/>
      <c r="T415" s="799"/>
      <c r="U415" s="799"/>
      <c r="V415" s="799"/>
      <c r="W415" s="799"/>
      <c r="X415" s="799"/>
      <c r="Y415" s="799"/>
      <c r="Z415" s="799"/>
      <c r="AA415" s="799"/>
      <c r="AB415" s="799"/>
      <c r="AC415" s="799"/>
      <c r="AD415" s="799"/>
      <c r="AE415" s="799"/>
      <c r="AF415" s="799"/>
      <c r="AG415" s="799"/>
      <c r="AH415" s="799"/>
      <c r="AI415" s="799"/>
      <c r="AJ415" s="799"/>
      <c r="AK415" s="799"/>
      <c r="AL415" s="799"/>
      <c r="AM415" s="799"/>
      <c r="AN415" s="799"/>
      <c r="AO415" s="799"/>
      <c r="AP415" s="799"/>
      <c r="AQ415" s="799"/>
      <c r="AR415" s="799"/>
      <c r="AS415" s="799"/>
      <c r="AT415" s="799"/>
      <c r="AU415" s="799"/>
      <c r="AV415" s="799"/>
      <c r="AW415" s="799"/>
      <c r="AX415" s="799"/>
      <c r="AY415" s="799"/>
      <c r="AZ415" s="799"/>
      <c r="BA415" s="799"/>
      <c r="BB415" s="799"/>
      <c r="BC415" s="799"/>
      <c r="BD415" s="799"/>
      <c r="BE415" s="799"/>
      <c r="BF415" s="799"/>
      <c r="BG415" s="799"/>
    </row>
    <row r="416">
      <c r="H416" s="799"/>
      <c r="I416" s="799"/>
      <c r="J416" s="799"/>
      <c r="K416" s="799"/>
      <c r="L416" s="799"/>
      <c r="M416" s="799"/>
      <c r="N416" s="799"/>
      <c r="O416" s="799"/>
      <c r="P416" s="799"/>
      <c r="Q416" s="799"/>
      <c r="R416" s="799"/>
      <c r="S416" s="799"/>
      <c r="T416" s="799"/>
      <c r="U416" s="799"/>
      <c r="V416" s="799"/>
      <c r="W416" s="799"/>
      <c r="X416" s="799"/>
      <c r="Y416" s="799"/>
      <c r="Z416" s="799"/>
      <c r="AA416" s="799"/>
      <c r="AB416" s="799"/>
      <c r="AC416" s="799"/>
      <c r="AD416" s="799"/>
      <c r="AE416" s="799"/>
      <c r="AF416" s="799"/>
      <c r="AG416" s="799"/>
      <c r="AH416" s="799"/>
      <c r="AI416" s="799"/>
      <c r="AJ416" s="799"/>
      <c r="AK416" s="799"/>
      <c r="AL416" s="799"/>
      <c r="AM416" s="799"/>
      <c r="AN416" s="799"/>
      <c r="AO416" s="799"/>
      <c r="AP416" s="799"/>
      <c r="AQ416" s="799"/>
      <c r="AR416" s="799"/>
      <c r="AS416" s="799"/>
      <c r="AT416" s="799"/>
      <c r="AU416" s="799"/>
      <c r="AV416" s="799"/>
      <c r="AW416" s="799"/>
      <c r="AX416" s="799"/>
      <c r="AY416" s="799"/>
      <c r="AZ416" s="799"/>
      <c r="BA416" s="799"/>
      <c r="BB416" s="799"/>
      <c r="BC416" s="799"/>
      <c r="BD416" s="799"/>
      <c r="BE416" s="799"/>
      <c r="BF416" s="799"/>
      <c r="BG416" s="799"/>
    </row>
    <row r="417">
      <c r="H417" s="799"/>
      <c r="I417" s="799"/>
      <c r="J417" s="799"/>
      <c r="K417" s="799"/>
      <c r="L417" s="799"/>
      <c r="M417" s="799"/>
      <c r="N417" s="799"/>
      <c r="O417" s="799"/>
      <c r="P417" s="799"/>
      <c r="Q417" s="799"/>
      <c r="R417" s="799"/>
      <c r="S417" s="799"/>
      <c r="T417" s="799"/>
      <c r="U417" s="799"/>
      <c r="V417" s="799"/>
      <c r="W417" s="799"/>
      <c r="X417" s="799"/>
      <c r="Y417" s="799"/>
      <c r="Z417" s="799"/>
      <c r="AA417" s="799"/>
      <c r="AB417" s="799"/>
      <c r="AC417" s="799"/>
      <c r="AD417" s="799"/>
      <c r="AE417" s="799"/>
      <c r="AF417" s="799"/>
      <c r="AG417" s="799"/>
      <c r="AH417" s="799"/>
      <c r="AI417" s="799"/>
      <c r="AJ417" s="799"/>
      <c r="AK417" s="799"/>
      <c r="AL417" s="799"/>
      <c r="AM417" s="799"/>
      <c r="AN417" s="799"/>
      <c r="AO417" s="799"/>
      <c r="AP417" s="799"/>
      <c r="AQ417" s="799"/>
      <c r="AR417" s="799"/>
      <c r="AS417" s="799"/>
      <c r="AT417" s="799"/>
      <c r="AU417" s="799"/>
      <c r="AV417" s="799"/>
      <c r="AW417" s="799"/>
      <c r="AX417" s="799"/>
      <c r="AY417" s="799"/>
      <c r="AZ417" s="799"/>
      <c r="BA417" s="799"/>
      <c r="BB417" s="799"/>
      <c r="BC417" s="799"/>
      <c r="BD417" s="799"/>
      <c r="BE417" s="799"/>
      <c r="BF417" s="799"/>
      <c r="BG417" s="799"/>
    </row>
    <row r="418">
      <c r="H418" s="799"/>
      <c r="I418" s="799"/>
      <c r="J418" s="799"/>
      <c r="K418" s="799"/>
      <c r="L418" s="799"/>
      <c r="M418" s="799"/>
      <c r="N418" s="799"/>
      <c r="O418" s="799"/>
      <c r="P418" s="799"/>
      <c r="Q418" s="799"/>
      <c r="R418" s="799"/>
      <c r="S418" s="799"/>
      <c r="T418" s="799"/>
      <c r="U418" s="799"/>
      <c r="V418" s="799"/>
      <c r="W418" s="799"/>
      <c r="X418" s="799"/>
      <c r="Y418" s="799"/>
      <c r="Z418" s="799"/>
      <c r="AA418" s="799"/>
      <c r="AB418" s="799"/>
      <c r="AC418" s="799"/>
      <c r="AD418" s="799"/>
      <c r="AE418" s="799"/>
      <c r="AF418" s="799"/>
      <c r="AG418" s="799"/>
      <c r="AH418" s="799"/>
      <c r="AI418" s="799"/>
      <c r="AJ418" s="799"/>
      <c r="AK418" s="799"/>
      <c r="AL418" s="799"/>
      <c r="AM418" s="799"/>
      <c r="AN418" s="799"/>
      <c r="AO418" s="799"/>
      <c r="AP418" s="799"/>
      <c r="AQ418" s="799"/>
      <c r="AR418" s="799"/>
      <c r="AS418" s="799"/>
      <c r="AT418" s="799"/>
      <c r="AU418" s="799"/>
      <c r="AV418" s="799"/>
      <c r="AW418" s="799"/>
      <c r="AX418" s="799"/>
      <c r="AY418" s="799"/>
      <c r="AZ418" s="799"/>
      <c r="BA418" s="799"/>
      <c r="BB418" s="799"/>
      <c r="BC418" s="799"/>
      <c r="BD418" s="799"/>
      <c r="BE418" s="799"/>
      <c r="BF418" s="799"/>
      <c r="BG418" s="799"/>
    </row>
    <row r="419">
      <c r="H419" s="799"/>
      <c r="I419" s="799"/>
      <c r="J419" s="799"/>
      <c r="K419" s="799"/>
      <c r="L419" s="799"/>
      <c r="M419" s="799"/>
      <c r="N419" s="799"/>
      <c r="O419" s="799"/>
      <c r="P419" s="799"/>
      <c r="Q419" s="799"/>
      <c r="R419" s="799"/>
      <c r="S419" s="799"/>
      <c r="T419" s="799"/>
      <c r="U419" s="799"/>
      <c r="V419" s="799"/>
      <c r="W419" s="799"/>
      <c r="X419" s="799"/>
      <c r="Y419" s="799"/>
      <c r="Z419" s="799"/>
      <c r="AA419" s="799"/>
      <c r="AB419" s="799"/>
      <c r="AC419" s="799"/>
      <c r="AD419" s="799"/>
      <c r="AE419" s="799"/>
      <c r="AF419" s="799"/>
      <c r="AG419" s="799"/>
      <c r="AH419" s="799"/>
      <c r="AI419" s="799"/>
      <c r="AJ419" s="799"/>
      <c r="AK419" s="799"/>
      <c r="AL419" s="799"/>
      <c r="AM419" s="799"/>
      <c r="AN419" s="799"/>
      <c r="AO419" s="799"/>
      <c r="AP419" s="799"/>
      <c r="AQ419" s="799"/>
      <c r="AR419" s="799"/>
      <c r="AS419" s="799"/>
      <c r="AT419" s="799"/>
      <c r="AU419" s="799"/>
      <c r="AV419" s="799"/>
      <c r="AW419" s="799"/>
      <c r="AX419" s="799"/>
      <c r="AY419" s="799"/>
      <c r="AZ419" s="799"/>
      <c r="BA419" s="799"/>
      <c r="BB419" s="799"/>
      <c r="BC419" s="799"/>
      <c r="BD419" s="799"/>
      <c r="BE419" s="799"/>
      <c r="BF419" s="799"/>
      <c r="BG419" s="799"/>
    </row>
    <row r="420">
      <c r="H420" s="799"/>
      <c r="I420" s="799"/>
      <c r="J420" s="799"/>
      <c r="K420" s="799"/>
      <c r="L420" s="799"/>
      <c r="M420" s="799"/>
      <c r="N420" s="799"/>
      <c r="O420" s="799"/>
      <c r="P420" s="799"/>
      <c r="Q420" s="799"/>
      <c r="R420" s="799"/>
      <c r="S420" s="799"/>
      <c r="T420" s="799"/>
      <c r="U420" s="799"/>
      <c r="V420" s="799"/>
      <c r="W420" s="799"/>
      <c r="X420" s="799"/>
      <c r="Y420" s="799"/>
      <c r="Z420" s="799"/>
      <c r="AA420" s="799"/>
      <c r="AB420" s="799"/>
      <c r="AC420" s="799"/>
      <c r="AD420" s="799"/>
      <c r="AE420" s="799"/>
      <c r="AF420" s="799"/>
      <c r="AG420" s="799"/>
      <c r="AH420" s="799"/>
      <c r="AI420" s="799"/>
      <c r="AJ420" s="799"/>
      <c r="AK420" s="799"/>
      <c r="AL420" s="799"/>
      <c r="AM420" s="799"/>
      <c r="AN420" s="799"/>
      <c r="AO420" s="799"/>
      <c r="AP420" s="799"/>
      <c r="AQ420" s="799"/>
      <c r="AR420" s="799"/>
      <c r="AS420" s="799"/>
      <c r="AT420" s="799"/>
      <c r="AU420" s="799"/>
      <c r="AV420" s="799"/>
      <c r="AW420" s="799"/>
      <c r="AX420" s="799"/>
      <c r="AY420" s="799"/>
      <c r="AZ420" s="799"/>
      <c r="BA420" s="799"/>
      <c r="BB420" s="799"/>
      <c r="BC420" s="799"/>
      <c r="BD420" s="799"/>
      <c r="BE420" s="799"/>
      <c r="BF420" s="799"/>
      <c r="BG420" s="799"/>
    </row>
    <row r="421">
      <c r="H421" s="799"/>
      <c r="I421" s="799"/>
      <c r="J421" s="799"/>
      <c r="K421" s="799"/>
      <c r="L421" s="799"/>
      <c r="M421" s="799"/>
      <c r="N421" s="799"/>
      <c r="O421" s="799"/>
      <c r="P421" s="799"/>
      <c r="Q421" s="799"/>
      <c r="R421" s="799"/>
      <c r="S421" s="799"/>
      <c r="T421" s="799"/>
      <c r="U421" s="799"/>
      <c r="V421" s="799"/>
      <c r="W421" s="799"/>
      <c r="X421" s="799"/>
      <c r="Y421" s="799"/>
      <c r="Z421" s="799"/>
      <c r="AA421" s="799"/>
      <c r="AB421" s="799"/>
      <c r="AC421" s="799"/>
      <c r="AD421" s="799"/>
      <c r="AE421" s="799"/>
      <c r="AF421" s="799"/>
      <c r="AG421" s="799"/>
      <c r="AH421" s="799"/>
      <c r="AI421" s="799"/>
      <c r="AJ421" s="799"/>
      <c r="AK421" s="799"/>
      <c r="AL421" s="799"/>
      <c r="AM421" s="799"/>
      <c r="AN421" s="799"/>
      <c r="AO421" s="799"/>
      <c r="AP421" s="799"/>
      <c r="AQ421" s="799"/>
      <c r="AR421" s="799"/>
      <c r="AS421" s="799"/>
      <c r="AT421" s="799"/>
      <c r="AU421" s="799"/>
      <c r="AV421" s="799"/>
      <c r="AW421" s="799"/>
      <c r="AX421" s="799"/>
      <c r="AY421" s="799"/>
      <c r="AZ421" s="799"/>
      <c r="BA421" s="799"/>
      <c r="BB421" s="799"/>
      <c r="BC421" s="799"/>
      <c r="BD421" s="799"/>
      <c r="BE421" s="799"/>
      <c r="BF421" s="799"/>
      <c r="BG421" s="799"/>
    </row>
    <row r="422">
      <c r="H422" s="799"/>
      <c r="I422" s="799"/>
      <c r="J422" s="799"/>
      <c r="K422" s="799"/>
      <c r="L422" s="799"/>
      <c r="M422" s="799"/>
      <c r="N422" s="799"/>
      <c r="O422" s="799"/>
      <c r="P422" s="799"/>
      <c r="Q422" s="799"/>
      <c r="R422" s="799"/>
      <c r="S422" s="799"/>
      <c r="T422" s="799"/>
      <c r="U422" s="799"/>
      <c r="V422" s="799"/>
      <c r="W422" s="799"/>
      <c r="X422" s="799"/>
      <c r="Y422" s="799"/>
      <c r="Z422" s="799"/>
      <c r="AA422" s="799"/>
      <c r="AB422" s="799"/>
      <c r="AC422" s="799"/>
      <c r="AD422" s="799"/>
      <c r="AE422" s="799"/>
      <c r="AF422" s="799"/>
      <c r="AG422" s="799"/>
      <c r="AH422" s="799"/>
      <c r="AI422" s="799"/>
      <c r="AJ422" s="799"/>
      <c r="AK422" s="799"/>
      <c r="AL422" s="799"/>
      <c r="AM422" s="799"/>
      <c r="AN422" s="799"/>
      <c r="AO422" s="799"/>
      <c r="AP422" s="799"/>
      <c r="AQ422" s="799"/>
      <c r="AR422" s="799"/>
      <c r="AS422" s="799"/>
      <c r="AT422" s="799"/>
      <c r="AU422" s="799"/>
      <c r="AV422" s="799"/>
      <c r="AW422" s="799"/>
      <c r="AX422" s="799"/>
      <c r="AY422" s="799"/>
      <c r="AZ422" s="799"/>
      <c r="BA422" s="799"/>
      <c r="BB422" s="799"/>
      <c r="BC422" s="799"/>
      <c r="BD422" s="799"/>
      <c r="BE422" s="799"/>
      <c r="BF422" s="799"/>
      <c r="BG422" s="799"/>
    </row>
    <row r="423">
      <c r="H423" s="799"/>
      <c r="I423" s="799"/>
      <c r="J423" s="799"/>
      <c r="K423" s="799"/>
      <c r="L423" s="799"/>
      <c r="M423" s="799"/>
      <c r="N423" s="799"/>
      <c r="O423" s="799"/>
      <c r="P423" s="799"/>
      <c r="Q423" s="799"/>
      <c r="R423" s="799"/>
      <c r="S423" s="799"/>
      <c r="T423" s="799"/>
      <c r="U423" s="799"/>
      <c r="V423" s="799"/>
      <c r="W423" s="799"/>
      <c r="X423" s="799"/>
      <c r="Y423" s="799"/>
      <c r="Z423" s="799"/>
      <c r="AA423" s="799"/>
      <c r="AB423" s="799"/>
      <c r="AC423" s="799"/>
      <c r="AD423" s="799"/>
      <c r="AE423" s="799"/>
      <c r="AF423" s="799"/>
      <c r="AG423" s="799"/>
      <c r="AH423" s="799"/>
      <c r="AI423" s="799"/>
      <c r="AJ423" s="799"/>
      <c r="AK423" s="799"/>
      <c r="AL423" s="799"/>
      <c r="AM423" s="799"/>
      <c r="AN423" s="799"/>
      <c r="AO423" s="799"/>
      <c r="AP423" s="799"/>
      <c r="AQ423" s="799"/>
      <c r="AR423" s="799"/>
      <c r="AS423" s="799"/>
      <c r="AT423" s="799"/>
      <c r="AU423" s="799"/>
      <c r="AV423" s="799"/>
      <c r="AW423" s="799"/>
      <c r="AX423" s="799"/>
      <c r="AY423" s="799"/>
      <c r="AZ423" s="799"/>
      <c r="BA423" s="799"/>
      <c r="BB423" s="799"/>
      <c r="BC423" s="799"/>
      <c r="BD423" s="799"/>
      <c r="BE423" s="799"/>
      <c r="BF423" s="799"/>
      <c r="BG423" s="799"/>
    </row>
    <row r="424">
      <c r="H424" s="799"/>
      <c r="I424" s="799"/>
      <c r="J424" s="799"/>
      <c r="K424" s="799"/>
      <c r="L424" s="799"/>
      <c r="M424" s="799"/>
      <c r="N424" s="799"/>
      <c r="O424" s="799"/>
      <c r="P424" s="799"/>
      <c r="Q424" s="799"/>
      <c r="R424" s="799"/>
      <c r="S424" s="799"/>
      <c r="T424" s="799"/>
      <c r="U424" s="799"/>
      <c r="V424" s="799"/>
      <c r="W424" s="799"/>
      <c r="X424" s="799"/>
      <c r="Y424" s="799"/>
      <c r="Z424" s="799"/>
      <c r="AA424" s="799"/>
      <c r="AB424" s="799"/>
      <c r="AC424" s="799"/>
      <c r="AD424" s="799"/>
      <c r="AE424" s="799"/>
      <c r="AF424" s="799"/>
      <c r="AG424" s="799"/>
      <c r="AH424" s="799"/>
      <c r="AI424" s="799"/>
      <c r="AJ424" s="799"/>
      <c r="AK424" s="799"/>
      <c r="AL424" s="799"/>
      <c r="AM424" s="799"/>
      <c r="AN424" s="799"/>
      <c r="AO424" s="799"/>
      <c r="AP424" s="799"/>
      <c r="AQ424" s="799"/>
      <c r="AR424" s="799"/>
      <c r="AS424" s="799"/>
      <c r="AT424" s="799"/>
      <c r="AU424" s="799"/>
      <c r="AV424" s="799"/>
      <c r="AW424" s="799"/>
      <c r="AX424" s="799"/>
      <c r="AY424" s="799"/>
      <c r="AZ424" s="799"/>
      <c r="BA424" s="799"/>
      <c r="BB424" s="799"/>
      <c r="BC424" s="799"/>
      <c r="BD424" s="799"/>
      <c r="BE424" s="799"/>
      <c r="BF424" s="799"/>
      <c r="BG424" s="799"/>
    </row>
    <row r="425">
      <c r="H425" s="799"/>
      <c r="I425" s="799"/>
      <c r="J425" s="799"/>
      <c r="K425" s="799"/>
      <c r="L425" s="799"/>
      <c r="M425" s="799"/>
      <c r="N425" s="799"/>
      <c r="O425" s="799"/>
      <c r="P425" s="799"/>
      <c r="Q425" s="799"/>
      <c r="R425" s="799"/>
      <c r="S425" s="799"/>
      <c r="T425" s="799"/>
      <c r="U425" s="799"/>
      <c r="V425" s="799"/>
      <c r="W425" s="799"/>
      <c r="X425" s="799"/>
      <c r="Y425" s="799"/>
      <c r="Z425" s="799"/>
      <c r="AA425" s="799"/>
      <c r="AB425" s="799"/>
      <c r="AC425" s="799"/>
      <c r="AD425" s="799"/>
      <c r="AE425" s="799"/>
      <c r="AF425" s="799"/>
      <c r="AG425" s="799"/>
      <c r="AH425" s="799"/>
      <c r="AI425" s="799"/>
      <c r="AJ425" s="799"/>
      <c r="AK425" s="799"/>
      <c r="AL425" s="799"/>
      <c r="AM425" s="799"/>
      <c r="AN425" s="799"/>
      <c r="AO425" s="799"/>
      <c r="AP425" s="799"/>
      <c r="AQ425" s="799"/>
      <c r="AR425" s="799"/>
      <c r="AS425" s="799"/>
      <c r="AT425" s="799"/>
      <c r="AU425" s="799"/>
      <c r="AV425" s="799"/>
      <c r="AW425" s="799"/>
      <c r="AX425" s="799"/>
      <c r="AY425" s="799"/>
      <c r="AZ425" s="799"/>
      <c r="BA425" s="799"/>
      <c r="BB425" s="799"/>
      <c r="BC425" s="799"/>
      <c r="BD425" s="799"/>
      <c r="BE425" s="799"/>
      <c r="BF425" s="799"/>
      <c r="BG425" s="799"/>
    </row>
    <row r="426">
      <c r="H426" s="799"/>
      <c r="I426" s="799"/>
      <c r="J426" s="799"/>
      <c r="K426" s="799"/>
      <c r="L426" s="799"/>
      <c r="M426" s="799"/>
      <c r="N426" s="799"/>
      <c r="O426" s="799"/>
      <c r="P426" s="799"/>
      <c r="Q426" s="799"/>
      <c r="R426" s="799"/>
      <c r="S426" s="799"/>
      <c r="T426" s="799"/>
      <c r="U426" s="799"/>
      <c r="V426" s="799"/>
      <c r="W426" s="799"/>
      <c r="X426" s="799"/>
      <c r="Y426" s="799"/>
      <c r="Z426" s="799"/>
      <c r="AA426" s="799"/>
      <c r="AB426" s="799"/>
      <c r="AC426" s="799"/>
      <c r="AD426" s="799"/>
      <c r="AE426" s="799"/>
      <c r="AF426" s="799"/>
      <c r="AG426" s="799"/>
      <c r="AH426" s="799"/>
      <c r="AI426" s="799"/>
      <c r="AJ426" s="799"/>
      <c r="AK426" s="799"/>
      <c r="AL426" s="799"/>
      <c r="AM426" s="799"/>
      <c r="AN426" s="799"/>
      <c r="AO426" s="799"/>
      <c r="AP426" s="799"/>
      <c r="AQ426" s="799"/>
      <c r="AR426" s="799"/>
      <c r="AS426" s="799"/>
      <c r="AT426" s="799"/>
      <c r="AU426" s="799"/>
      <c r="AV426" s="799"/>
      <c r="AW426" s="799"/>
      <c r="AX426" s="799"/>
      <c r="AY426" s="799"/>
      <c r="AZ426" s="799"/>
      <c r="BA426" s="799"/>
      <c r="BB426" s="799"/>
      <c r="BC426" s="799"/>
      <c r="BD426" s="799"/>
      <c r="BE426" s="799"/>
      <c r="BF426" s="799"/>
      <c r="BG426" s="799"/>
    </row>
    <row r="427">
      <c r="H427" s="799"/>
      <c r="I427" s="799"/>
      <c r="J427" s="799"/>
      <c r="K427" s="799"/>
      <c r="L427" s="799"/>
      <c r="M427" s="799"/>
      <c r="N427" s="799"/>
      <c r="O427" s="799"/>
      <c r="P427" s="799"/>
      <c r="Q427" s="799"/>
      <c r="R427" s="799"/>
      <c r="S427" s="799"/>
      <c r="T427" s="799"/>
      <c r="U427" s="799"/>
      <c r="V427" s="799"/>
      <c r="W427" s="799"/>
      <c r="X427" s="799"/>
      <c r="Y427" s="799"/>
      <c r="Z427" s="799"/>
      <c r="AA427" s="799"/>
      <c r="AB427" s="799"/>
      <c r="AC427" s="799"/>
      <c r="AD427" s="799"/>
      <c r="AE427" s="799"/>
      <c r="AF427" s="799"/>
      <c r="AG427" s="799"/>
      <c r="AH427" s="799"/>
      <c r="AI427" s="799"/>
      <c r="AJ427" s="799"/>
      <c r="AK427" s="799"/>
      <c r="AL427" s="799"/>
      <c r="AM427" s="799"/>
      <c r="AN427" s="799"/>
      <c r="AO427" s="799"/>
      <c r="AP427" s="799"/>
      <c r="AQ427" s="799"/>
      <c r="AR427" s="799"/>
      <c r="AS427" s="799"/>
      <c r="AT427" s="799"/>
      <c r="AU427" s="799"/>
      <c r="AV427" s="799"/>
      <c r="AW427" s="799"/>
      <c r="AX427" s="799"/>
      <c r="AY427" s="799"/>
      <c r="AZ427" s="799"/>
      <c r="BA427" s="799"/>
      <c r="BB427" s="799"/>
      <c r="BC427" s="799"/>
      <c r="BD427" s="799"/>
      <c r="BE427" s="799"/>
      <c r="BF427" s="799"/>
      <c r="BG427" s="799"/>
    </row>
    <row r="428">
      <c r="H428" s="799"/>
      <c r="I428" s="799"/>
      <c r="J428" s="799"/>
      <c r="K428" s="799"/>
      <c r="L428" s="799"/>
      <c r="M428" s="799"/>
      <c r="N428" s="799"/>
      <c r="O428" s="799"/>
      <c r="P428" s="799"/>
      <c r="Q428" s="799"/>
      <c r="R428" s="799"/>
      <c r="S428" s="799"/>
      <c r="T428" s="799"/>
      <c r="U428" s="799"/>
      <c r="V428" s="799"/>
      <c r="W428" s="799"/>
      <c r="X428" s="799"/>
      <c r="Y428" s="799"/>
      <c r="Z428" s="799"/>
      <c r="AA428" s="799"/>
      <c r="AB428" s="799"/>
      <c r="AC428" s="799"/>
      <c r="AD428" s="799"/>
      <c r="AE428" s="799"/>
      <c r="AF428" s="799"/>
      <c r="AG428" s="799"/>
      <c r="AH428" s="799"/>
      <c r="AI428" s="799"/>
      <c r="AJ428" s="799"/>
      <c r="AK428" s="799"/>
      <c r="AL428" s="799"/>
      <c r="AM428" s="799"/>
      <c r="AN428" s="799"/>
      <c r="AO428" s="799"/>
      <c r="AP428" s="799"/>
      <c r="AQ428" s="799"/>
      <c r="AR428" s="799"/>
      <c r="AS428" s="799"/>
      <c r="AT428" s="799"/>
      <c r="AU428" s="799"/>
      <c r="AV428" s="799"/>
      <c r="AW428" s="799"/>
      <c r="AX428" s="799"/>
      <c r="AY428" s="799"/>
      <c r="AZ428" s="799"/>
      <c r="BA428" s="799"/>
      <c r="BB428" s="799"/>
      <c r="BC428" s="799"/>
      <c r="BD428" s="799"/>
      <c r="BE428" s="799"/>
      <c r="BF428" s="799"/>
      <c r="BG428" s="799"/>
    </row>
    <row r="429">
      <c r="H429" s="799"/>
      <c r="I429" s="799"/>
      <c r="J429" s="799"/>
      <c r="K429" s="799"/>
      <c r="L429" s="799"/>
      <c r="M429" s="799"/>
      <c r="N429" s="799"/>
      <c r="O429" s="799"/>
      <c r="P429" s="799"/>
      <c r="Q429" s="799"/>
      <c r="R429" s="799"/>
      <c r="S429" s="799"/>
      <c r="T429" s="799"/>
      <c r="U429" s="799"/>
      <c r="V429" s="799"/>
      <c r="W429" s="799"/>
      <c r="X429" s="799"/>
      <c r="Y429" s="799"/>
      <c r="Z429" s="799"/>
      <c r="AA429" s="799"/>
      <c r="AB429" s="799"/>
      <c r="AC429" s="799"/>
      <c r="AD429" s="799"/>
      <c r="AE429" s="799"/>
      <c r="AF429" s="799"/>
      <c r="AG429" s="799"/>
      <c r="AH429" s="799"/>
      <c r="AI429" s="799"/>
      <c r="AJ429" s="799"/>
      <c r="AK429" s="799"/>
      <c r="AL429" s="799"/>
      <c r="AM429" s="799"/>
      <c r="AN429" s="799"/>
      <c r="AO429" s="799"/>
      <c r="AP429" s="799"/>
      <c r="AQ429" s="799"/>
      <c r="AR429" s="799"/>
      <c r="AS429" s="799"/>
      <c r="AT429" s="799"/>
      <c r="AU429" s="799"/>
      <c r="AV429" s="799"/>
      <c r="AW429" s="799"/>
      <c r="AX429" s="799"/>
      <c r="AY429" s="799"/>
      <c r="AZ429" s="799"/>
      <c r="BA429" s="799"/>
      <c r="BB429" s="799"/>
      <c r="BC429" s="799"/>
      <c r="BD429" s="799"/>
      <c r="BE429" s="799"/>
      <c r="BF429" s="799"/>
      <c r="BG429" s="799"/>
    </row>
    <row r="430">
      <c r="H430" s="799"/>
      <c r="I430" s="799"/>
      <c r="J430" s="799"/>
      <c r="K430" s="799"/>
      <c r="L430" s="799"/>
      <c r="M430" s="799"/>
      <c r="N430" s="799"/>
      <c r="O430" s="799"/>
      <c r="P430" s="799"/>
      <c r="Q430" s="799"/>
      <c r="R430" s="799"/>
      <c r="S430" s="799"/>
      <c r="T430" s="799"/>
      <c r="U430" s="799"/>
      <c r="V430" s="799"/>
      <c r="W430" s="799"/>
      <c r="X430" s="799"/>
      <c r="Y430" s="799"/>
      <c r="Z430" s="799"/>
      <c r="AA430" s="799"/>
      <c r="AB430" s="799"/>
      <c r="AC430" s="799"/>
      <c r="AD430" s="799"/>
      <c r="AE430" s="799"/>
      <c r="AF430" s="799"/>
      <c r="AG430" s="799"/>
      <c r="AH430" s="799"/>
      <c r="AI430" s="799"/>
      <c r="AJ430" s="799"/>
      <c r="AK430" s="799"/>
      <c r="AL430" s="799"/>
      <c r="AM430" s="799"/>
      <c r="AN430" s="799"/>
      <c r="AO430" s="799"/>
      <c r="AP430" s="799"/>
      <c r="AQ430" s="799"/>
      <c r="AR430" s="799"/>
      <c r="AS430" s="799"/>
      <c r="AT430" s="799"/>
      <c r="AU430" s="799"/>
      <c r="AV430" s="799"/>
      <c r="AW430" s="799"/>
      <c r="AX430" s="799"/>
      <c r="AY430" s="799"/>
      <c r="AZ430" s="799"/>
      <c r="BA430" s="799"/>
      <c r="BB430" s="799"/>
      <c r="BC430" s="799"/>
      <c r="BD430" s="799"/>
      <c r="BE430" s="799"/>
      <c r="BF430" s="799"/>
      <c r="BG430" s="799"/>
    </row>
    <row r="431">
      <c r="H431" s="799"/>
      <c r="I431" s="799"/>
      <c r="J431" s="799"/>
      <c r="K431" s="799"/>
      <c r="L431" s="799"/>
      <c r="M431" s="799"/>
      <c r="N431" s="799"/>
      <c r="O431" s="799"/>
      <c r="P431" s="799"/>
      <c r="Q431" s="799"/>
      <c r="R431" s="799"/>
      <c r="S431" s="799"/>
      <c r="T431" s="799"/>
      <c r="U431" s="799"/>
      <c r="V431" s="799"/>
      <c r="W431" s="799"/>
      <c r="X431" s="799"/>
      <c r="Y431" s="799"/>
      <c r="Z431" s="799"/>
      <c r="AA431" s="799"/>
      <c r="AB431" s="799"/>
      <c r="AC431" s="799"/>
      <c r="AD431" s="799"/>
      <c r="AE431" s="799"/>
      <c r="AF431" s="799"/>
      <c r="AG431" s="799"/>
      <c r="AH431" s="799"/>
      <c r="AI431" s="799"/>
      <c r="AJ431" s="799"/>
      <c r="AK431" s="799"/>
      <c r="AL431" s="799"/>
      <c r="AM431" s="799"/>
      <c r="AN431" s="799"/>
      <c r="AO431" s="799"/>
      <c r="AP431" s="799"/>
      <c r="AQ431" s="799"/>
      <c r="AR431" s="799"/>
      <c r="AS431" s="799"/>
      <c r="AT431" s="799"/>
      <c r="AU431" s="799"/>
      <c r="AV431" s="799"/>
      <c r="AW431" s="799"/>
      <c r="AX431" s="799"/>
      <c r="AY431" s="799"/>
      <c r="AZ431" s="799"/>
      <c r="BA431" s="799"/>
      <c r="BB431" s="799"/>
      <c r="BC431" s="799"/>
      <c r="BD431" s="799"/>
      <c r="BE431" s="799"/>
      <c r="BF431" s="799"/>
      <c r="BG431" s="799"/>
    </row>
    <row r="432">
      <c r="H432" s="799"/>
      <c r="I432" s="799"/>
      <c r="J432" s="799"/>
      <c r="K432" s="799"/>
      <c r="L432" s="799"/>
      <c r="M432" s="799"/>
      <c r="N432" s="799"/>
      <c r="O432" s="799"/>
      <c r="P432" s="799"/>
      <c r="Q432" s="799"/>
      <c r="R432" s="799"/>
      <c r="S432" s="799"/>
      <c r="T432" s="799"/>
      <c r="U432" s="799"/>
      <c r="V432" s="799"/>
      <c r="W432" s="799"/>
      <c r="X432" s="799"/>
      <c r="Y432" s="799"/>
      <c r="Z432" s="799"/>
      <c r="AA432" s="799"/>
      <c r="AB432" s="799"/>
      <c r="AC432" s="799"/>
      <c r="AD432" s="799"/>
      <c r="AE432" s="799"/>
      <c r="AF432" s="799"/>
      <c r="AG432" s="799"/>
      <c r="AH432" s="799"/>
      <c r="AI432" s="799"/>
      <c r="AJ432" s="799"/>
      <c r="AK432" s="799"/>
      <c r="AL432" s="799"/>
      <c r="AM432" s="799"/>
      <c r="AN432" s="799"/>
      <c r="AO432" s="799"/>
      <c r="AP432" s="799"/>
      <c r="AQ432" s="799"/>
      <c r="AR432" s="799"/>
      <c r="AS432" s="799"/>
      <c r="AT432" s="799"/>
      <c r="AU432" s="799"/>
      <c r="AV432" s="799"/>
      <c r="AW432" s="799"/>
      <c r="AX432" s="799"/>
      <c r="AY432" s="799"/>
      <c r="AZ432" s="799"/>
      <c r="BA432" s="799"/>
      <c r="BB432" s="799"/>
      <c r="BC432" s="799"/>
      <c r="BD432" s="799"/>
      <c r="BE432" s="799"/>
      <c r="BF432" s="799"/>
      <c r="BG432" s="799"/>
    </row>
    <row r="433">
      <c r="H433" s="799"/>
      <c r="I433" s="799"/>
      <c r="J433" s="799"/>
      <c r="K433" s="799"/>
      <c r="L433" s="799"/>
      <c r="M433" s="799"/>
      <c r="N433" s="799"/>
      <c r="O433" s="799"/>
      <c r="P433" s="799"/>
      <c r="Q433" s="799"/>
      <c r="R433" s="799"/>
      <c r="S433" s="799"/>
      <c r="T433" s="799"/>
      <c r="U433" s="799"/>
      <c r="V433" s="799"/>
      <c r="W433" s="799"/>
      <c r="X433" s="799"/>
      <c r="Y433" s="799"/>
      <c r="Z433" s="799"/>
      <c r="AA433" s="799"/>
      <c r="AB433" s="799"/>
      <c r="AC433" s="799"/>
      <c r="AD433" s="799"/>
      <c r="AE433" s="799"/>
      <c r="AF433" s="799"/>
      <c r="AG433" s="799"/>
      <c r="AH433" s="799"/>
      <c r="AI433" s="799"/>
      <c r="AJ433" s="799"/>
      <c r="AK433" s="799"/>
      <c r="AL433" s="799"/>
      <c r="AM433" s="799"/>
      <c r="AN433" s="799"/>
      <c r="AO433" s="799"/>
      <c r="AP433" s="799"/>
      <c r="AQ433" s="799"/>
      <c r="AR433" s="799"/>
      <c r="AS433" s="799"/>
      <c r="AT433" s="799"/>
      <c r="AU433" s="799"/>
      <c r="AV433" s="799"/>
      <c r="AW433" s="799"/>
      <c r="AX433" s="799"/>
      <c r="AY433" s="799"/>
      <c r="AZ433" s="799"/>
      <c r="BA433" s="799"/>
      <c r="BB433" s="799"/>
      <c r="BC433" s="799"/>
      <c r="BD433" s="799"/>
      <c r="BE433" s="799"/>
      <c r="BF433" s="799"/>
      <c r="BG433" s="799"/>
    </row>
    <row r="434">
      <c r="H434" s="799"/>
      <c r="I434" s="799"/>
      <c r="J434" s="799"/>
      <c r="K434" s="799"/>
      <c r="L434" s="799"/>
      <c r="M434" s="799"/>
      <c r="N434" s="799"/>
      <c r="O434" s="799"/>
      <c r="P434" s="799"/>
      <c r="Q434" s="799"/>
      <c r="R434" s="799"/>
      <c r="S434" s="799"/>
      <c r="T434" s="799"/>
      <c r="U434" s="799"/>
      <c r="V434" s="799"/>
      <c r="W434" s="799"/>
      <c r="X434" s="799"/>
      <c r="Y434" s="799"/>
      <c r="Z434" s="799"/>
      <c r="AA434" s="799"/>
      <c r="AB434" s="799"/>
      <c r="AC434" s="799"/>
      <c r="AD434" s="799"/>
      <c r="AE434" s="799"/>
      <c r="AF434" s="799"/>
      <c r="AG434" s="799"/>
      <c r="AH434" s="799"/>
      <c r="AI434" s="799"/>
      <c r="AJ434" s="799"/>
      <c r="AK434" s="799"/>
      <c r="AL434" s="799"/>
      <c r="AM434" s="799"/>
      <c r="AN434" s="799"/>
      <c r="AO434" s="799"/>
      <c r="AP434" s="799"/>
      <c r="AQ434" s="799"/>
      <c r="AR434" s="799"/>
      <c r="AS434" s="799"/>
      <c r="AT434" s="799"/>
      <c r="AU434" s="799"/>
      <c r="AV434" s="799"/>
      <c r="AW434" s="799"/>
      <c r="AX434" s="799"/>
      <c r="AY434" s="799"/>
      <c r="AZ434" s="799"/>
      <c r="BA434" s="799"/>
      <c r="BB434" s="799"/>
      <c r="BC434" s="799"/>
      <c r="BD434" s="799"/>
      <c r="BE434" s="799"/>
      <c r="BF434" s="799"/>
      <c r="BG434" s="799"/>
    </row>
    <row r="435">
      <c r="H435" s="799"/>
      <c r="I435" s="799"/>
      <c r="J435" s="799"/>
      <c r="K435" s="799"/>
      <c r="L435" s="799"/>
      <c r="M435" s="799"/>
      <c r="N435" s="799"/>
      <c r="O435" s="799"/>
      <c r="P435" s="799"/>
      <c r="Q435" s="799"/>
      <c r="R435" s="799"/>
      <c r="S435" s="799"/>
      <c r="T435" s="799"/>
      <c r="U435" s="799"/>
      <c r="V435" s="799"/>
      <c r="W435" s="799"/>
      <c r="X435" s="799"/>
      <c r="Y435" s="799"/>
      <c r="Z435" s="799"/>
      <c r="AA435" s="799"/>
      <c r="AB435" s="799"/>
      <c r="AC435" s="799"/>
      <c r="AD435" s="799"/>
      <c r="AE435" s="799"/>
      <c r="AF435" s="799"/>
      <c r="AG435" s="799"/>
      <c r="AH435" s="799"/>
      <c r="AI435" s="799"/>
      <c r="AJ435" s="799"/>
      <c r="AK435" s="799"/>
      <c r="AL435" s="799"/>
      <c r="AM435" s="799"/>
      <c r="AN435" s="799"/>
      <c r="AO435" s="799"/>
      <c r="AP435" s="799"/>
      <c r="AQ435" s="799"/>
      <c r="AR435" s="799"/>
      <c r="AS435" s="799"/>
      <c r="AT435" s="799"/>
      <c r="AU435" s="799"/>
      <c r="AV435" s="799"/>
      <c r="AW435" s="799"/>
      <c r="AX435" s="799"/>
      <c r="AY435" s="799"/>
      <c r="AZ435" s="799"/>
      <c r="BA435" s="799"/>
      <c r="BB435" s="799"/>
      <c r="BC435" s="799"/>
      <c r="BD435" s="799"/>
      <c r="BE435" s="799"/>
      <c r="BF435" s="799"/>
      <c r="BG435" s="799"/>
    </row>
    <row r="436">
      <c r="H436" s="799"/>
      <c r="I436" s="799"/>
      <c r="J436" s="799"/>
      <c r="K436" s="799"/>
      <c r="L436" s="799"/>
      <c r="M436" s="799"/>
      <c r="N436" s="799"/>
      <c r="O436" s="799"/>
      <c r="P436" s="799"/>
      <c r="Q436" s="799"/>
      <c r="R436" s="799"/>
      <c r="S436" s="799"/>
      <c r="T436" s="799"/>
      <c r="U436" s="799"/>
      <c r="V436" s="799"/>
      <c r="W436" s="799"/>
      <c r="X436" s="799"/>
      <c r="Y436" s="799"/>
      <c r="Z436" s="799"/>
      <c r="AA436" s="799"/>
      <c r="AB436" s="799"/>
      <c r="AC436" s="799"/>
      <c r="AD436" s="799"/>
      <c r="AE436" s="799"/>
      <c r="AF436" s="799"/>
      <c r="AG436" s="799"/>
      <c r="AH436" s="799"/>
      <c r="AI436" s="799"/>
      <c r="AJ436" s="799"/>
      <c r="AK436" s="799"/>
      <c r="AL436" s="799"/>
      <c r="AM436" s="799"/>
      <c r="AN436" s="799"/>
      <c r="AO436" s="799"/>
      <c r="AP436" s="799"/>
      <c r="AQ436" s="799"/>
      <c r="AR436" s="799"/>
      <c r="AS436" s="799"/>
      <c r="AT436" s="799"/>
      <c r="AU436" s="799"/>
      <c r="AV436" s="799"/>
      <c r="AW436" s="799"/>
      <c r="AX436" s="799"/>
      <c r="AY436" s="799"/>
      <c r="AZ436" s="799"/>
      <c r="BA436" s="799"/>
      <c r="BB436" s="799"/>
      <c r="BC436" s="799"/>
      <c r="BD436" s="799"/>
      <c r="BE436" s="799"/>
      <c r="BF436" s="799"/>
      <c r="BG436" s="799"/>
    </row>
    <row r="437">
      <c r="H437" s="799"/>
      <c r="I437" s="799"/>
      <c r="J437" s="799"/>
      <c r="K437" s="799"/>
      <c r="L437" s="799"/>
      <c r="M437" s="799"/>
      <c r="N437" s="799"/>
      <c r="O437" s="799"/>
      <c r="P437" s="799"/>
      <c r="Q437" s="799"/>
      <c r="R437" s="799"/>
      <c r="S437" s="799"/>
      <c r="T437" s="799"/>
      <c r="U437" s="799"/>
      <c r="V437" s="799"/>
      <c r="W437" s="799"/>
      <c r="X437" s="799"/>
      <c r="Y437" s="799"/>
      <c r="Z437" s="799"/>
      <c r="AA437" s="799"/>
      <c r="AB437" s="799"/>
      <c r="AC437" s="799"/>
      <c r="AD437" s="799"/>
      <c r="AE437" s="799"/>
      <c r="AF437" s="799"/>
      <c r="AG437" s="799"/>
      <c r="AH437" s="799"/>
      <c r="AI437" s="799"/>
      <c r="AJ437" s="799"/>
      <c r="AK437" s="799"/>
      <c r="AL437" s="799"/>
      <c r="AM437" s="799"/>
      <c r="AN437" s="799"/>
      <c r="AO437" s="799"/>
      <c r="AP437" s="799"/>
      <c r="AQ437" s="799"/>
      <c r="AR437" s="799"/>
      <c r="AS437" s="799"/>
      <c r="AT437" s="799"/>
      <c r="AU437" s="799"/>
      <c r="AV437" s="799"/>
      <c r="AW437" s="799"/>
      <c r="AX437" s="799"/>
      <c r="AY437" s="799"/>
      <c r="AZ437" s="799"/>
      <c r="BA437" s="799"/>
      <c r="BB437" s="799"/>
      <c r="BC437" s="799"/>
      <c r="BD437" s="799"/>
      <c r="BE437" s="799"/>
      <c r="BF437" s="799"/>
      <c r="BG437" s="799"/>
    </row>
    <row r="438">
      <c r="H438" s="799"/>
      <c r="I438" s="799"/>
      <c r="J438" s="799"/>
      <c r="K438" s="799"/>
      <c r="L438" s="799"/>
      <c r="M438" s="799"/>
      <c r="N438" s="799"/>
      <c r="O438" s="799"/>
      <c r="P438" s="799"/>
      <c r="Q438" s="799"/>
      <c r="R438" s="799"/>
      <c r="S438" s="799"/>
      <c r="T438" s="799"/>
      <c r="U438" s="799"/>
      <c r="V438" s="799"/>
      <c r="W438" s="799"/>
      <c r="X438" s="799"/>
      <c r="Y438" s="799"/>
      <c r="Z438" s="799"/>
      <c r="AA438" s="799"/>
      <c r="AB438" s="799"/>
      <c r="AC438" s="799"/>
      <c r="AD438" s="799"/>
      <c r="AE438" s="799"/>
      <c r="AF438" s="799"/>
      <c r="AG438" s="799"/>
      <c r="AH438" s="799"/>
      <c r="AI438" s="799"/>
      <c r="AJ438" s="799"/>
      <c r="AK438" s="799"/>
      <c r="AL438" s="799"/>
      <c r="AM438" s="799"/>
      <c r="AN438" s="799"/>
      <c r="AO438" s="799"/>
      <c r="AP438" s="799"/>
      <c r="AQ438" s="799"/>
      <c r="AR438" s="799"/>
      <c r="AS438" s="799"/>
      <c r="AT438" s="799"/>
      <c r="AU438" s="799"/>
      <c r="AV438" s="799"/>
      <c r="AW438" s="799"/>
      <c r="AX438" s="799"/>
      <c r="AY438" s="799"/>
      <c r="AZ438" s="799"/>
      <c r="BA438" s="799"/>
      <c r="BB438" s="799"/>
      <c r="BC438" s="799"/>
      <c r="BD438" s="799"/>
      <c r="BE438" s="799"/>
      <c r="BF438" s="799"/>
      <c r="BG438" s="799"/>
    </row>
    <row r="439">
      <c r="H439" s="799"/>
      <c r="I439" s="799"/>
      <c r="J439" s="799"/>
      <c r="K439" s="799"/>
      <c r="L439" s="799"/>
      <c r="M439" s="799"/>
      <c r="N439" s="799"/>
      <c r="O439" s="799"/>
      <c r="P439" s="799"/>
      <c r="Q439" s="799"/>
      <c r="R439" s="799"/>
      <c r="S439" s="799"/>
      <c r="T439" s="799"/>
      <c r="U439" s="799"/>
      <c r="V439" s="799"/>
      <c r="W439" s="799"/>
      <c r="X439" s="799"/>
      <c r="Y439" s="799"/>
      <c r="Z439" s="799"/>
      <c r="AA439" s="799"/>
      <c r="AB439" s="799"/>
      <c r="AC439" s="799"/>
      <c r="AD439" s="799"/>
      <c r="AE439" s="799"/>
      <c r="AF439" s="799"/>
      <c r="AG439" s="799"/>
      <c r="AH439" s="799"/>
      <c r="AI439" s="799"/>
      <c r="AJ439" s="799"/>
      <c r="AK439" s="799"/>
      <c r="AL439" s="799"/>
      <c r="AM439" s="799"/>
      <c r="AN439" s="799"/>
      <c r="AO439" s="799"/>
      <c r="AP439" s="799"/>
      <c r="AQ439" s="799"/>
      <c r="AR439" s="799"/>
      <c r="AS439" s="799"/>
      <c r="AT439" s="799"/>
      <c r="AU439" s="799"/>
      <c r="AV439" s="799"/>
      <c r="AW439" s="799"/>
      <c r="AX439" s="799"/>
      <c r="AY439" s="799"/>
      <c r="AZ439" s="799"/>
      <c r="BA439" s="799"/>
      <c r="BB439" s="799"/>
      <c r="BC439" s="799"/>
      <c r="BD439" s="799"/>
      <c r="BE439" s="799"/>
      <c r="BF439" s="799"/>
      <c r="BG439" s="799"/>
    </row>
    <row r="440">
      <c r="H440" s="799"/>
      <c r="I440" s="799"/>
      <c r="J440" s="799"/>
      <c r="K440" s="799"/>
      <c r="L440" s="799"/>
      <c r="M440" s="799"/>
      <c r="N440" s="799"/>
      <c r="O440" s="799"/>
      <c r="P440" s="799"/>
      <c r="Q440" s="799"/>
      <c r="R440" s="799"/>
      <c r="S440" s="799"/>
      <c r="T440" s="799"/>
      <c r="U440" s="799"/>
      <c r="V440" s="799"/>
      <c r="W440" s="799"/>
      <c r="X440" s="799"/>
      <c r="Y440" s="799"/>
      <c r="Z440" s="799"/>
      <c r="AA440" s="799"/>
      <c r="AB440" s="799"/>
      <c r="AC440" s="799"/>
      <c r="AD440" s="799"/>
      <c r="AE440" s="799"/>
      <c r="AF440" s="799"/>
      <c r="AG440" s="799"/>
      <c r="AH440" s="799"/>
      <c r="AI440" s="799"/>
      <c r="AJ440" s="799"/>
      <c r="AK440" s="799"/>
      <c r="AL440" s="799"/>
      <c r="AM440" s="799"/>
      <c r="AN440" s="799"/>
      <c r="AO440" s="799"/>
      <c r="AP440" s="799"/>
      <c r="AQ440" s="799"/>
      <c r="AR440" s="799"/>
      <c r="AS440" s="799"/>
      <c r="AT440" s="799"/>
      <c r="AU440" s="799"/>
      <c r="AV440" s="799"/>
      <c r="AW440" s="799"/>
      <c r="AX440" s="799"/>
      <c r="AY440" s="799"/>
      <c r="AZ440" s="799"/>
      <c r="BA440" s="799"/>
      <c r="BB440" s="799"/>
      <c r="BC440" s="799"/>
      <c r="BD440" s="799"/>
      <c r="BE440" s="799"/>
      <c r="BF440" s="799"/>
      <c r="BG440" s="799"/>
    </row>
    <row r="441">
      <c r="H441" s="799"/>
      <c r="I441" s="799"/>
      <c r="J441" s="799"/>
      <c r="K441" s="799"/>
      <c r="L441" s="799"/>
      <c r="M441" s="799"/>
      <c r="N441" s="799"/>
      <c r="O441" s="799"/>
      <c r="P441" s="799"/>
      <c r="Q441" s="799"/>
      <c r="R441" s="799"/>
      <c r="S441" s="799"/>
      <c r="T441" s="799"/>
      <c r="U441" s="799"/>
      <c r="V441" s="799"/>
      <c r="W441" s="799"/>
      <c r="X441" s="799"/>
      <c r="Y441" s="799"/>
      <c r="Z441" s="799"/>
      <c r="AA441" s="799"/>
      <c r="AB441" s="799"/>
      <c r="AC441" s="799"/>
      <c r="AD441" s="799"/>
      <c r="AE441" s="799"/>
      <c r="AF441" s="799"/>
      <c r="AG441" s="799"/>
      <c r="AH441" s="799"/>
      <c r="AI441" s="799"/>
      <c r="AJ441" s="799"/>
      <c r="AK441" s="799"/>
      <c r="AL441" s="799"/>
      <c r="AM441" s="799"/>
      <c r="AN441" s="799"/>
      <c r="AO441" s="799"/>
      <c r="AP441" s="799"/>
      <c r="AQ441" s="799"/>
      <c r="AR441" s="799"/>
      <c r="AS441" s="799"/>
      <c r="AT441" s="799"/>
      <c r="AU441" s="799"/>
      <c r="AV441" s="799"/>
      <c r="AW441" s="799"/>
      <c r="AX441" s="799"/>
      <c r="AY441" s="799"/>
      <c r="AZ441" s="799"/>
      <c r="BA441" s="799"/>
      <c r="BB441" s="799"/>
      <c r="BC441" s="799"/>
      <c r="BD441" s="799"/>
      <c r="BE441" s="799"/>
      <c r="BF441" s="799"/>
      <c r="BG441" s="799"/>
    </row>
    <row r="442">
      <c r="H442" s="799"/>
      <c r="I442" s="799"/>
      <c r="J442" s="799"/>
      <c r="K442" s="799"/>
      <c r="L442" s="799"/>
      <c r="M442" s="799"/>
      <c r="N442" s="799"/>
      <c r="O442" s="799"/>
      <c r="P442" s="799"/>
      <c r="Q442" s="799"/>
      <c r="R442" s="799"/>
      <c r="S442" s="799"/>
      <c r="T442" s="799"/>
      <c r="U442" s="799"/>
      <c r="V442" s="799"/>
      <c r="W442" s="799"/>
      <c r="X442" s="799"/>
      <c r="Y442" s="799"/>
      <c r="Z442" s="799"/>
      <c r="AA442" s="799"/>
      <c r="AB442" s="799"/>
      <c r="AC442" s="799"/>
      <c r="AD442" s="799"/>
      <c r="AE442" s="799"/>
      <c r="AF442" s="799"/>
      <c r="AG442" s="799"/>
      <c r="AH442" s="799"/>
      <c r="AI442" s="799"/>
      <c r="AJ442" s="799"/>
      <c r="AK442" s="799"/>
      <c r="AL442" s="799"/>
      <c r="AM442" s="799"/>
      <c r="AN442" s="799"/>
      <c r="AO442" s="799"/>
      <c r="AP442" s="799"/>
      <c r="AQ442" s="799"/>
      <c r="AR442" s="799"/>
      <c r="AS442" s="799"/>
      <c r="AT442" s="799"/>
      <c r="AU442" s="799"/>
      <c r="AV442" s="799"/>
      <c r="AW442" s="799"/>
      <c r="AX442" s="799"/>
      <c r="AY442" s="799"/>
      <c r="AZ442" s="799"/>
      <c r="BA442" s="799"/>
      <c r="BB442" s="799"/>
      <c r="BC442" s="799"/>
      <c r="BD442" s="799"/>
      <c r="BE442" s="799"/>
      <c r="BF442" s="799"/>
      <c r="BG442" s="799"/>
    </row>
    <row r="443">
      <c r="H443" s="799"/>
      <c r="I443" s="799"/>
      <c r="J443" s="799"/>
      <c r="K443" s="799"/>
      <c r="L443" s="799"/>
      <c r="M443" s="799"/>
      <c r="N443" s="799"/>
      <c r="O443" s="799"/>
      <c r="P443" s="799"/>
      <c r="Q443" s="799"/>
      <c r="R443" s="799"/>
      <c r="S443" s="799"/>
      <c r="T443" s="799"/>
      <c r="U443" s="799"/>
      <c r="V443" s="799"/>
      <c r="W443" s="799"/>
      <c r="X443" s="799"/>
      <c r="Y443" s="799"/>
      <c r="Z443" s="799"/>
      <c r="AA443" s="799"/>
      <c r="AB443" s="799"/>
      <c r="AC443" s="799"/>
      <c r="AD443" s="799"/>
      <c r="AE443" s="799"/>
      <c r="AF443" s="799"/>
      <c r="AG443" s="799"/>
      <c r="AH443" s="799"/>
      <c r="AI443" s="799"/>
      <c r="AJ443" s="799"/>
      <c r="AK443" s="799"/>
      <c r="AL443" s="799"/>
      <c r="AM443" s="799"/>
      <c r="AN443" s="799"/>
      <c r="AO443" s="799"/>
      <c r="AP443" s="799"/>
      <c r="AQ443" s="799"/>
      <c r="AR443" s="799"/>
      <c r="AS443" s="799"/>
      <c r="AT443" s="799"/>
      <c r="AU443" s="799"/>
      <c r="AV443" s="799"/>
      <c r="AW443" s="799"/>
      <c r="AX443" s="799"/>
      <c r="AY443" s="799"/>
      <c r="AZ443" s="799"/>
      <c r="BA443" s="799"/>
      <c r="BB443" s="799"/>
      <c r="BC443" s="799"/>
      <c r="BD443" s="799"/>
      <c r="BE443" s="799"/>
      <c r="BF443" s="799"/>
      <c r="BG443" s="799"/>
    </row>
    <row r="444">
      <c r="H444" s="799"/>
      <c r="I444" s="799"/>
      <c r="J444" s="799"/>
      <c r="K444" s="799"/>
      <c r="L444" s="799"/>
      <c r="M444" s="799"/>
      <c r="N444" s="799"/>
      <c r="O444" s="799"/>
      <c r="P444" s="799"/>
      <c r="Q444" s="799"/>
      <c r="R444" s="799"/>
      <c r="S444" s="799"/>
      <c r="T444" s="799"/>
      <c r="U444" s="799"/>
      <c r="V444" s="799"/>
      <c r="W444" s="799"/>
      <c r="X444" s="799"/>
      <c r="Y444" s="799"/>
      <c r="Z444" s="799"/>
      <c r="AA444" s="799"/>
      <c r="AB444" s="799"/>
      <c r="AC444" s="799"/>
      <c r="AD444" s="799"/>
      <c r="AE444" s="799"/>
      <c r="AF444" s="799"/>
      <c r="AG444" s="799"/>
      <c r="AH444" s="799"/>
      <c r="AI444" s="799"/>
      <c r="AJ444" s="799"/>
      <c r="AK444" s="799"/>
      <c r="AL444" s="799"/>
      <c r="AM444" s="799"/>
      <c r="AN444" s="799"/>
      <c r="AO444" s="799"/>
      <c r="AP444" s="799"/>
      <c r="AQ444" s="799"/>
      <c r="AR444" s="799"/>
      <c r="AS444" s="799"/>
      <c r="AT444" s="799"/>
      <c r="AU444" s="799"/>
      <c r="AV444" s="799"/>
      <c r="AW444" s="799"/>
      <c r="AX444" s="799"/>
      <c r="AY444" s="799"/>
      <c r="AZ444" s="799"/>
      <c r="BA444" s="799"/>
      <c r="BB444" s="799"/>
      <c r="BC444" s="799"/>
      <c r="BD444" s="799"/>
      <c r="BE444" s="799"/>
      <c r="BF444" s="799"/>
      <c r="BG444" s="799"/>
    </row>
    <row r="445">
      <c r="H445" s="799"/>
      <c r="I445" s="799"/>
      <c r="J445" s="799"/>
      <c r="K445" s="799"/>
      <c r="L445" s="799"/>
      <c r="M445" s="799"/>
      <c r="N445" s="799"/>
      <c r="O445" s="799"/>
      <c r="P445" s="799"/>
      <c r="Q445" s="799"/>
      <c r="R445" s="799"/>
      <c r="S445" s="799"/>
      <c r="T445" s="799"/>
      <c r="U445" s="799"/>
      <c r="V445" s="799"/>
      <c r="W445" s="799"/>
      <c r="X445" s="799"/>
      <c r="Y445" s="799"/>
      <c r="Z445" s="799"/>
      <c r="AA445" s="799"/>
      <c r="AB445" s="799"/>
      <c r="AC445" s="799"/>
      <c r="AD445" s="799"/>
      <c r="AE445" s="799"/>
      <c r="AF445" s="799"/>
      <c r="AG445" s="799"/>
      <c r="AH445" s="799"/>
      <c r="AI445" s="799"/>
      <c r="AJ445" s="799"/>
      <c r="AK445" s="799"/>
      <c r="AL445" s="799"/>
      <c r="AM445" s="799"/>
      <c r="AN445" s="799"/>
      <c r="AO445" s="799"/>
      <c r="AP445" s="799"/>
      <c r="AQ445" s="799"/>
      <c r="AR445" s="799"/>
      <c r="AS445" s="799"/>
      <c r="AT445" s="799"/>
      <c r="AU445" s="799"/>
      <c r="AV445" s="799"/>
      <c r="AW445" s="799"/>
      <c r="AX445" s="799"/>
      <c r="AY445" s="799"/>
      <c r="AZ445" s="799"/>
      <c r="BA445" s="799"/>
      <c r="BB445" s="799"/>
      <c r="BC445" s="799"/>
      <c r="BD445" s="799"/>
      <c r="BE445" s="799"/>
      <c r="BF445" s="799"/>
      <c r="BG445" s="799"/>
    </row>
    <row r="446">
      <c r="H446" s="799"/>
      <c r="I446" s="799"/>
      <c r="J446" s="799"/>
      <c r="K446" s="799"/>
      <c r="L446" s="799"/>
      <c r="M446" s="799"/>
      <c r="N446" s="799"/>
      <c r="O446" s="799"/>
      <c r="P446" s="799"/>
      <c r="Q446" s="799"/>
      <c r="R446" s="799"/>
      <c r="S446" s="799"/>
      <c r="T446" s="799"/>
      <c r="U446" s="799"/>
      <c r="V446" s="799"/>
      <c r="W446" s="799"/>
      <c r="X446" s="799"/>
      <c r="Y446" s="799"/>
      <c r="Z446" s="799"/>
      <c r="AA446" s="799"/>
      <c r="AB446" s="799"/>
      <c r="AC446" s="799"/>
      <c r="AD446" s="799"/>
      <c r="AE446" s="799"/>
      <c r="AF446" s="799"/>
      <c r="AG446" s="799"/>
      <c r="AH446" s="799"/>
      <c r="AI446" s="799"/>
      <c r="AJ446" s="799"/>
      <c r="AK446" s="799"/>
      <c r="AL446" s="799"/>
      <c r="AM446" s="799"/>
      <c r="AN446" s="799"/>
      <c r="AO446" s="799"/>
      <c r="AP446" s="799"/>
      <c r="AQ446" s="799"/>
      <c r="AR446" s="799"/>
      <c r="AS446" s="799"/>
      <c r="AT446" s="799"/>
      <c r="AU446" s="799"/>
      <c r="AV446" s="799"/>
      <c r="AW446" s="799"/>
      <c r="AX446" s="799"/>
      <c r="AY446" s="799"/>
      <c r="AZ446" s="799"/>
      <c r="BA446" s="799"/>
      <c r="BB446" s="799"/>
      <c r="BC446" s="799"/>
      <c r="BD446" s="799"/>
      <c r="BE446" s="799"/>
      <c r="BF446" s="799"/>
      <c r="BG446" s="799"/>
    </row>
    <row r="447">
      <c r="H447" s="799"/>
      <c r="I447" s="799"/>
      <c r="J447" s="799"/>
      <c r="K447" s="799"/>
      <c r="L447" s="799"/>
      <c r="M447" s="799"/>
      <c r="N447" s="799"/>
      <c r="O447" s="799"/>
      <c r="P447" s="799"/>
      <c r="Q447" s="799"/>
      <c r="R447" s="799"/>
      <c r="S447" s="799"/>
      <c r="T447" s="799"/>
      <c r="U447" s="799"/>
      <c r="V447" s="799"/>
      <c r="W447" s="799"/>
      <c r="X447" s="799"/>
      <c r="Y447" s="799"/>
      <c r="Z447" s="799"/>
      <c r="AA447" s="799"/>
      <c r="AB447" s="799"/>
      <c r="AC447" s="799"/>
      <c r="AD447" s="799"/>
      <c r="AE447" s="799"/>
      <c r="AF447" s="799"/>
      <c r="AG447" s="799"/>
      <c r="AH447" s="799"/>
      <c r="AI447" s="799"/>
      <c r="AJ447" s="799"/>
      <c r="AK447" s="799"/>
      <c r="AL447" s="799"/>
      <c r="AM447" s="799"/>
      <c r="AN447" s="799"/>
      <c r="AO447" s="799"/>
      <c r="AP447" s="799"/>
      <c r="AQ447" s="799"/>
      <c r="AR447" s="799"/>
      <c r="AS447" s="799"/>
      <c r="AT447" s="799"/>
      <c r="AU447" s="799"/>
      <c r="AV447" s="799"/>
      <c r="AW447" s="799"/>
      <c r="AX447" s="799"/>
      <c r="AY447" s="799"/>
      <c r="AZ447" s="799"/>
      <c r="BA447" s="799"/>
      <c r="BB447" s="799"/>
      <c r="BC447" s="799"/>
      <c r="BD447" s="799"/>
      <c r="BE447" s="799"/>
      <c r="BF447" s="799"/>
      <c r="BG447" s="799"/>
    </row>
    <row r="448">
      <c r="H448" s="799"/>
      <c r="I448" s="799"/>
      <c r="J448" s="799"/>
      <c r="K448" s="799"/>
      <c r="L448" s="799"/>
      <c r="M448" s="799"/>
      <c r="N448" s="799"/>
      <c r="O448" s="799"/>
      <c r="P448" s="799"/>
      <c r="Q448" s="799"/>
      <c r="R448" s="799"/>
      <c r="S448" s="799"/>
      <c r="T448" s="799"/>
      <c r="U448" s="799"/>
      <c r="V448" s="799"/>
      <c r="W448" s="799"/>
      <c r="X448" s="799"/>
      <c r="Y448" s="799"/>
      <c r="Z448" s="799"/>
      <c r="AA448" s="799"/>
      <c r="AB448" s="799"/>
      <c r="AC448" s="799"/>
      <c r="AD448" s="799"/>
      <c r="AE448" s="799"/>
      <c r="AF448" s="799"/>
      <c r="AG448" s="799"/>
      <c r="AH448" s="799"/>
      <c r="AI448" s="799"/>
      <c r="AJ448" s="799"/>
      <c r="AK448" s="799"/>
      <c r="AL448" s="799"/>
      <c r="AM448" s="799"/>
      <c r="AN448" s="799"/>
      <c r="AO448" s="799"/>
      <c r="AP448" s="799"/>
      <c r="AQ448" s="799"/>
      <c r="AR448" s="799"/>
      <c r="AS448" s="799"/>
      <c r="AT448" s="799"/>
      <c r="AU448" s="799"/>
      <c r="AV448" s="799"/>
      <c r="AW448" s="799"/>
      <c r="AX448" s="799"/>
      <c r="AY448" s="799"/>
      <c r="AZ448" s="799"/>
      <c r="BA448" s="799"/>
      <c r="BB448" s="799"/>
      <c r="BC448" s="799"/>
      <c r="BD448" s="799"/>
      <c r="BE448" s="799"/>
      <c r="BF448" s="799"/>
      <c r="BG448" s="799"/>
    </row>
    <row r="449">
      <c r="H449" s="799"/>
      <c r="I449" s="799"/>
      <c r="J449" s="799"/>
      <c r="K449" s="799"/>
      <c r="L449" s="799"/>
      <c r="M449" s="799"/>
      <c r="N449" s="799"/>
      <c r="O449" s="799"/>
      <c r="P449" s="799"/>
      <c r="Q449" s="799"/>
      <c r="R449" s="799"/>
      <c r="S449" s="799"/>
      <c r="T449" s="799"/>
      <c r="U449" s="799"/>
      <c r="V449" s="799"/>
      <c r="W449" s="799"/>
      <c r="X449" s="799"/>
      <c r="Y449" s="799"/>
      <c r="Z449" s="799"/>
      <c r="AA449" s="799"/>
      <c r="AB449" s="799"/>
      <c r="AC449" s="799"/>
      <c r="AD449" s="799"/>
      <c r="AE449" s="799"/>
      <c r="AF449" s="799"/>
      <c r="AG449" s="799"/>
      <c r="AH449" s="799"/>
      <c r="AI449" s="799"/>
      <c r="AJ449" s="799"/>
      <c r="AK449" s="799"/>
      <c r="AL449" s="799"/>
      <c r="AM449" s="799"/>
      <c r="AN449" s="799"/>
      <c r="AO449" s="799"/>
      <c r="AP449" s="799"/>
      <c r="AQ449" s="799"/>
      <c r="AR449" s="799"/>
      <c r="AS449" s="799"/>
      <c r="AT449" s="799"/>
      <c r="AU449" s="799"/>
      <c r="AV449" s="799"/>
      <c r="AW449" s="799"/>
      <c r="AX449" s="799"/>
      <c r="AY449" s="799"/>
      <c r="AZ449" s="799"/>
      <c r="BA449" s="799"/>
      <c r="BB449" s="799"/>
      <c r="BC449" s="799"/>
      <c r="BD449" s="799"/>
      <c r="BE449" s="799"/>
      <c r="BF449" s="799"/>
      <c r="BG449" s="799"/>
    </row>
    <row r="450">
      <c r="H450" s="799"/>
      <c r="I450" s="799"/>
      <c r="J450" s="799"/>
      <c r="K450" s="799"/>
      <c r="L450" s="799"/>
      <c r="M450" s="799"/>
      <c r="N450" s="799"/>
      <c r="O450" s="799"/>
      <c r="P450" s="799"/>
      <c r="Q450" s="799"/>
      <c r="R450" s="799"/>
      <c r="S450" s="799"/>
      <c r="T450" s="799"/>
      <c r="U450" s="799"/>
      <c r="V450" s="799"/>
      <c r="W450" s="799"/>
      <c r="X450" s="799"/>
      <c r="Y450" s="799"/>
      <c r="Z450" s="799"/>
      <c r="AA450" s="799"/>
      <c r="AB450" s="799"/>
      <c r="AC450" s="799"/>
      <c r="AD450" s="799"/>
      <c r="AE450" s="799"/>
      <c r="AF450" s="799"/>
      <c r="AG450" s="799"/>
      <c r="AH450" s="799"/>
      <c r="AI450" s="799"/>
      <c r="AJ450" s="799"/>
      <c r="AK450" s="799"/>
      <c r="AL450" s="799"/>
      <c r="AM450" s="799"/>
      <c r="AN450" s="799"/>
      <c r="AO450" s="799"/>
      <c r="AP450" s="799"/>
      <c r="AQ450" s="799"/>
      <c r="AR450" s="799"/>
      <c r="AS450" s="799"/>
      <c r="AT450" s="799"/>
      <c r="AU450" s="799"/>
      <c r="AV450" s="799"/>
      <c r="AW450" s="799"/>
      <c r="AX450" s="799"/>
      <c r="AY450" s="799"/>
      <c r="AZ450" s="799"/>
      <c r="BA450" s="799"/>
      <c r="BB450" s="799"/>
      <c r="BC450" s="799"/>
      <c r="BD450" s="799"/>
      <c r="BE450" s="799"/>
      <c r="BF450" s="799"/>
      <c r="BG450" s="799"/>
    </row>
    <row r="451">
      <c r="H451" s="799"/>
      <c r="I451" s="799"/>
      <c r="J451" s="799"/>
      <c r="K451" s="799"/>
      <c r="L451" s="799"/>
      <c r="M451" s="799"/>
      <c r="N451" s="799"/>
      <c r="O451" s="799"/>
      <c r="P451" s="799"/>
      <c r="Q451" s="799"/>
      <c r="R451" s="799"/>
      <c r="S451" s="799"/>
      <c r="T451" s="799"/>
      <c r="U451" s="799"/>
      <c r="V451" s="799"/>
      <c r="W451" s="799"/>
      <c r="X451" s="799"/>
      <c r="Y451" s="799"/>
      <c r="Z451" s="799"/>
      <c r="AA451" s="799"/>
      <c r="AB451" s="799"/>
      <c r="AC451" s="799"/>
      <c r="AD451" s="799"/>
      <c r="AE451" s="799"/>
      <c r="AF451" s="799"/>
      <c r="AG451" s="799"/>
      <c r="AH451" s="799"/>
      <c r="AI451" s="799"/>
      <c r="AJ451" s="799"/>
      <c r="AK451" s="799"/>
      <c r="AL451" s="799"/>
      <c r="AM451" s="799"/>
      <c r="AN451" s="799"/>
      <c r="AO451" s="799"/>
      <c r="AP451" s="799"/>
      <c r="AQ451" s="799"/>
      <c r="AR451" s="799"/>
      <c r="AS451" s="799"/>
      <c r="AT451" s="799"/>
      <c r="AU451" s="799"/>
      <c r="AV451" s="799"/>
      <c r="AW451" s="799"/>
      <c r="AX451" s="799"/>
      <c r="AY451" s="799"/>
      <c r="AZ451" s="799"/>
      <c r="BA451" s="799"/>
      <c r="BB451" s="799"/>
      <c r="BC451" s="799"/>
      <c r="BD451" s="799"/>
      <c r="BE451" s="799"/>
      <c r="BF451" s="799"/>
      <c r="BG451" s="799"/>
    </row>
    <row r="452">
      <c r="H452" s="799"/>
      <c r="I452" s="799"/>
      <c r="J452" s="799"/>
      <c r="K452" s="799"/>
      <c r="L452" s="799"/>
      <c r="M452" s="799"/>
      <c r="N452" s="799"/>
      <c r="O452" s="799"/>
      <c r="P452" s="799"/>
      <c r="Q452" s="799"/>
      <c r="R452" s="799"/>
      <c r="S452" s="799"/>
      <c r="T452" s="799"/>
      <c r="U452" s="799"/>
      <c r="V452" s="799"/>
      <c r="W452" s="799"/>
      <c r="X452" s="799"/>
      <c r="Y452" s="799"/>
      <c r="Z452" s="799"/>
      <c r="AA452" s="799"/>
      <c r="AB452" s="799"/>
      <c r="AC452" s="799"/>
      <c r="AD452" s="799"/>
      <c r="AE452" s="799"/>
      <c r="AF452" s="799"/>
      <c r="AG452" s="799"/>
      <c r="AH452" s="799"/>
      <c r="AI452" s="799"/>
      <c r="AJ452" s="799"/>
      <c r="AK452" s="799"/>
      <c r="AL452" s="799"/>
      <c r="AM452" s="799"/>
      <c r="AN452" s="799"/>
      <c r="AO452" s="799"/>
      <c r="AP452" s="799"/>
      <c r="AQ452" s="799"/>
      <c r="AR452" s="799"/>
      <c r="AS452" s="799"/>
      <c r="AT452" s="799"/>
      <c r="AU452" s="799"/>
      <c r="AV452" s="799"/>
      <c r="AW452" s="799"/>
      <c r="AX452" s="799"/>
      <c r="AY452" s="799"/>
      <c r="AZ452" s="799"/>
      <c r="BA452" s="799"/>
      <c r="BB452" s="799"/>
      <c r="BC452" s="799"/>
      <c r="BD452" s="799"/>
      <c r="BE452" s="799"/>
      <c r="BF452" s="799"/>
      <c r="BG452" s="799"/>
    </row>
    <row r="453">
      <c r="H453" s="799"/>
      <c r="I453" s="799"/>
      <c r="J453" s="799"/>
      <c r="K453" s="799"/>
      <c r="L453" s="799"/>
      <c r="M453" s="799"/>
      <c r="N453" s="799"/>
      <c r="O453" s="799"/>
      <c r="P453" s="799"/>
      <c r="Q453" s="799"/>
      <c r="R453" s="799"/>
      <c r="S453" s="799"/>
      <c r="T453" s="799"/>
      <c r="U453" s="799"/>
      <c r="V453" s="799"/>
      <c r="W453" s="799"/>
      <c r="X453" s="799"/>
      <c r="Y453" s="799"/>
      <c r="Z453" s="799"/>
      <c r="AA453" s="799"/>
      <c r="AB453" s="799"/>
      <c r="AC453" s="799"/>
      <c r="AD453" s="799"/>
      <c r="AE453" s="799"/>
      <c r="AF453" s="799"/>
      <c r="AG453" s="799"/>
      <c r="AH453" s="799"/>
      <c r="AI453" s="799"/>
      <c r="AJ453" s="799"/>
      <c r="AK453" s="799"/>
      <c r="AL453" s="799"/>
      <c r="AM453" s="799"/>
      <c r="AN453" s="799"/>
      <c r="AO453" s="799"/>
      <c r="AP453" s="799"/>
      <c r="AQ453" s="799"/>
      <c r="AR453" s="799"/>
      <c r="AS453" s="799"/>
      <c r="AT453" s="799"/>
      <c r="AU453" s="799"/>
      <c r="AV453" s="799"/>
      <c r="AW453" s="799"/>
      <c r="AX453" s="799"/>
      <c r="AY453" s="799"/>
      <c r="AZ453" s="799"/>
      <c r="BA453" s="799"/>
      <c r="BB453" s="799"/>
      <c r="BC453" s="799"/>
      <c r="BD453" s="799"/>
      <c r="BE453" s="799"/>
      <c r="BF453" s="799"/>
      <c r="BG453" s="799"/>
    </row>
    <row r="454">
      <c r="H454" s="799"/>
      <c r="I454" s="799"/>
      <c r="J454" s="799"/>
      <c r="K454" s="799"/>
      <c r="L454" s="799"/>
      <c r="M454" s="799"/>
      <c r="N454" s="799"/>
      <c r="O454" s="799"/>
      <c r="P454" s="799"/>
      <c r="Q454" s="799"/>
      <c r="R454" s="799"/>
      <c r="S454" s="799"/>
      <c r="T454" s="799"/>
      <c r="U454" s="799"/>
      <c r="V454" s="799"/>
      <c r="W454" s="799"/>
      <c r="X454" s="799"/>
      <c r="Y454" s="799"/>
      <c r="Z454" s="799"/>
      <c r="AA454" s="799"/>
      <c r="AB454" s="799"/>
      <c r="AC454" s="799"/>
      <c r="AD454" s="799"/>
      <c r="AE454" s="799"/>
      <c r="AF454" s="799"/>
      <c r="AG454" s="799"/>
      <c r="AH454" s="799"/>
      <c r="AI454" s="799"/>
      <c r="AJ454" s="799"/>
      <c r="AK454" s="799"/>
      <c r="AL454" s="799"/>
      <c r="AM454" s="799"/>
      <c r="AN454" s="799"/>
      <c r="AO454" s="799"/>
      <c r="AP454" s="799"/>
      <c r="AQ454" s="799"/>
      <c r="AR454" s="799"/>
      <c r="AS454" s="799"/>
      <c r="AT454" s="799"/>
      <c r="AU454" s="799"/>
      <c r="AV454" s="799"/>
      <c r="AW454" s="799"/>
      <c r="AX454" s="799"/>
      <c r="AY454" s="799"/>
      <c r="AZ454" s="799"/>
      <c r="BA454" s="799"/>
      <c r="BB454" s="799"/>
      <c r="BC454" s="799"/>
      <c r="BD454" s="799"/>
      <c r="BE454" s="799"/>
      <c r="BF454" s="799"/>
      <c r="BG454" s="799"/>
    </row>
    <row r="455">
      <c r="H455" s="799"/>
      <c r="I455" s="799"/>
      <c r="J455" s="799"/>
      <c r="K455" s="799"/>
      <c r="L455" s="799"/>
      <c r="M455" s="799"/>
      <c r="N455" s="799"/>
      <c r="O455" s="799"/>
      <c r="P455" s="799"/>
      <c r="Q455" s="799"/>
      <c r="R455" s="799"/>
      <c r="S455" s="799"/>
      <c r="T455" s="799"/>
      <c r="U455" s="799"/>
      <c r="V455" s="799"/>
      <c r="W455" s="799"/>
      <c r="X455" s="799"/>
      <c r="Y455" s="799"/>
      <c r="Z455" s="799"/>
      <c r="AA455" s="799"/>
      <c r="AB455" s="799"/>
      <c r="AC455" s="799"/>
      <c r="AD455" s="799"/>
      <c r="AE455" s="799"/>
      <c r="AF455" s="799"/>
      <c r="AG455" s="799"/>
      <c r="AH455" s="799"/>
      <c r="AI455" s="799"/>
      <c r="AJ455" s="799"/>
      <c r="AK455" s="799"/>
      <c r="AL455" s="799"/>
      <c r="AM455" s="799"/>
      <c r="AN455" s="799"/>
      <c r="AO455" s="799"/>
      <c r="AP455" s="799"/>
      <c r="AQ455" s="799"/>
      <c r="AR455" s="799"/>
      <c r="AS455" s="799"/>
      <c r="AT455" s="799"/>
      <c r="AU455" s="799"/>
      <c r="AV455" s="799"/>
      <c r="AW455" s="799"/>
      <c r="AX455" s="799"/>
      <c r="AY455" s="799"/>
      <c r="AZ455" s="799"/>
      <c r="BA455" s="799"/>
      <c r="BB455" s="799"/>
      <c r="BC455" s="799"/>
      <c r="BD455" s="799"/>
      <c r="BE455" s="799"/>
      <c r="BF455" s="799"/>
      <c r="BG455" s="799"/>
    </row>
    <row r="456">
      <c r="H456" s="799"/>
      <c r="I456" s="799"/>
      <c r="J456" s="799"/>
      <c r="K456" s="799"/>
      <c r="L456" s="799"/>
      <c r="M456" s="799"/>
      <c r="N456" s="799"/>
      <c r="O456" s="799"/>
      <c r="P456" s="799"/>
      <c r="Q456" s="799"/>
      <c r="R456" s="799"/>
      <c r="S456" s="799"/>
      <c r="T456" s="799"/>
      <c r="U456" s="799"/>
      <c r="V456" s="799"/>
      <c r="W456" s="799"/>
      <c r="X456" s="799"/>
      <c r="Y456" s="799"/>
      <c r="Z456" s="799"/>
      <c r="AA456" s="799"/>
      <c r="AB456" s="799"/>
      <c r="AC456" s="799"/>
      <c r="AD456" s="799"/>
      <c r="AE456" s="799"/>
      <c r="AF456" s="799"/>
      <c r="AG456" s="799"/>
      <c r="AH456" s="799"/>
      <c r="AI456" s="799"/>
      <c r="AJ456" s="799"/>
      <c r="AK456" s="799"/>
      <c r="AL456" s="799"/>
      <c r="AM456" s="799"/>
      <c r="AN456" s="799"/>
      <c r="AO456" s="799"/>
      <c r="AP456" s="799"/>
      <c r="AQ456" s="799"/>
      <c r="AR456" s="799"/>
      <c r="AS456" s="799"/>
      <c r="AT456" s="799"/>
      <c r="AU456" s="799"/>
      <c r="AV456" s="799"/>
      <c r="AW456" s="799"/>
      <c r="AX456" s="799"/>
      <c r="AY456" s="799"/>
      <c r="AZ456" s="799"/>
      <c r="BA456" s="799"/>
      <c r="BB456" s="799"/>
      <c r="BC456" s="799"/>
      <c r="BD456" s="799"/>
      <c r="BE456" s="799"/>
      <c r="BF456" s="799"/>
      <c r="BG456" s="799"/>
    </row>
    <row r="457">
      <c r="H457" s="799"/>
      <c r="I457" s="799"/>
      <c r="J457" s="799"/>
      <c r="K457" s="799"/>
      <c r="L457" s="799"/>
      <c r="M457" s="799"/>
      <c r="N457" s="799"/>
      <c r="O457" s="799"/>
      <c r="P457" s="799"/>
      <c r="Q457" s="799"/>
      <c r="R457" s="799"/>
      <c r="S457" s="799"/>
      <c r="T457" s="799"/>
      <c r="U457" s="799"/>
      <c r="V457" s="799"/>
      <c r="W457" s="799"/>
      <c r="X457" s="799"/>
      <c r="Y457" s="799"/>
      <c r="Z457" s="799"/>
      <c r="AA457" s="799"/>
      <c r="AB457" s="799"/>
      <c r="AC457" s="799"/>
      <c r="AD457" s="799"/>
      <c r="AE457" s="799"/>
      <c r="AF457" s="799"/>
      <c r="AG457" s="799"/>
      <c r="AH457" s="799"/>
      <c r="AI457" s="799"/>
      <c r="AJ457" s="799"/>
      <c r="AK457" s="799"/>
      <c r="AL457" s="799"/>
      <c r="AM457" s="799"/>
      <c r="AN457" s="799"/>
      <c r="AO457" s="799"/>
      <c r="AP457" s="799"/>
      <c r="AQ457" s="799"/>
      <c r="AR457" s="799"/>
      <c r="AS457" s="799"/>
      <c r="AT457" s="799"/>
      <c r="AU457" s="799"/>
      <c r="AV457" s="799"/>
      <c r="AW457" s="799"/>
      <c r="AX457" s="799"/>
      <c r="AY457" s="799"/>
      <c r="AZ457" s="799"/>
      <c r="BA457" s="799"/>
      <c r="BB457" s="799"/>
      <c r="BC457" s="799"/>
      <c r="BD457" s="799"/>
      <c r="BE457" s="799"/>
      <c r="BF457" s="799"/>
      <c r="BG457" s="799"/>
    </row>
    <row r="458">
      <c r="H458" s="799"/>
      <c r="I458" s="799"/>
      <c r="J458" s="799"/>
      <c r="K458" s="799"/>
      <c r="L458" s="799"/>
      <c r="M458" s="799"/>
      <c r="N458" s="799"/>
      <c r="O458" s="799"/>
      <c r="P458" s="799"/>
      <c r="Q458" s="799"/>
      <c r="R458" s="799"/>
      <c r="S458" s="799"/>
      <c r="T458" s="799"/>
      <c r="U458" s="799"/>
      <c r="V458" s="799"/>
      <c r="W458" s="799"/>
      <c r="X458" s="799"/>
      <c r="Y458" s="799"/>
      <c r="Z458" s="799"/>
      <c r="AA458" s="799"/>
      <c r="AB458" s="799"/>
      <c r="AC458" s="799"/>
      <c r="AD458" s="799"/>
      <c r="AE458" s="799"/>
      <c r="AF458" s="799"/>
      <c r="AG458" s="799"/>
      <c r="AH458" s="799"/>
      <c r="AI458" s="799"/>
      <c r="AJ458" s="799"/>
      <c r="AK458" s="799"/>
      <c r="AL458" s="799"/>
      <c r="AM458" s="799"/>
      <c r="AN458" s="799"/>
      <c r="AO458" s="799"/>
      <c r="AP458" s="799"/>
      <c r="AQ458" s="799"/>
      <c r="AR458" s="799"/>
      <c r="AS458" s="799"/>
      <c r="AT458" s="799"/>
      <c r="AU458" s="799"/>
      <c r="AV458" s="799"/>
      <c r="AW458" s="799"/>
      <c r="AX458" s="799"/>
      <c r="AY458" s="799"/>
      <c r="AZ458" s="799"/>
      <c r="BA458" s="799"/>
      <c r="BB458" s="799"/>
      <c r="BC458" s="799"/>
      <c r="BD458" s="799"/>
      <c r="BE458" s="799"/>
      <c r="BF458" s="799"/>
      <c r="BG458" s="799"/>
    </row>
    <row r="459">
      <c r="H459" s="799"/>
      <c r="I459" s="799"/>
      <c r="J459" s="799"/>
      <c r="K459" s="799"/>
      <c r="L459" s="799"/>
      <c r="M459" s="799"/>
      <c r="N459" s="799"/>
      <c r="O459" s="799"/>
      <c r="P459" s="799"/>
      <c r="Q459" s="799"/>
      <c r="R459" s="799"/>
      <c r="S459" s="799"/>
      <c r="T459" s="799"/>
      <c r="U459" s="799"/>
      <c r="V459" s="799"/>
      <c r="W459" s="799"/>
      <c r="X459" s="799"/>
      <c r="Y459" s="799"/>
      <c r="Z459" s="799"/>
      <c r="AA459" s="799"/>
      <c r="AB459" s="799"/>
      <c r="AC459" s="799"/>
      <c r="AD459" s="799"/>
      <c r="AE459" s="799"/>
      <c r="AF459" s="799"/>
      <c r="AG459" s="799"/>
      <c r="AH459" s="799"/>
      <c r="AI459" s="799"/>
      <c r="AJ459" s="799"/>
      <c r="AK459" s="799"/>
      <c r="AL459" s="799"/>
      <c r="AM459" s="799"/>
      <c r="AN459" s="799"/>
      <c r="AO459" s="799"/>
      <c r="AP459" s="799"/>
      <c r="AQ459" s="799"/>
      <c r="AR459" s="799"/>
      <c r="AS459" s="799"/>
      <c r="AT459" s="799"/>
      <c r="AU459" s="799"/>
      <c r="AV459" s="799"/>
      <c r="AW459" s="799"/>
      <c r="AX459" s="799"/>
      <c r="AY459" s="799"/>
      <c r="AZ459" s="799"/>
      <c r="BA459" s="799"/>
      <c r="BB459" s="799"/>
      <c r="BC459" s="799"/>
      <c r="BD459" s="799"/>
      <c r="BE459" s="799"/>
      <c r="BF459" s="799"/>
      <c r="BG459" s="799"/>
    </row>
    <row r="460">
      <c r="H460" s="799"/>
      <c r="I460" s="799"/>
      <c r="J460" s="799"/>
      <c r="K460" s="799"/>
      <c r="L460" s="799"/>
      <c r="M460" s="799"/>
      <c r="N460" s="799"/>
      <c r="O460" s="799"/>
      <c r="P460" s="799"/>
      <c r="Q460" s="799"/>
      <c r="R460" s="799"/>
      <c r="S460" s="799"/>
      <c r="T460" s="799"/>
      <c r="U460" s="799"/>
      <c r="V460" s="799"/>
      <c r="W460" s="799"/>
      <c r="X460" s="799"/>
      <c r="Y460" s="799"/>
      <c r="Z460" s="799"/>
      <c r="AA460" s="799"/>
      <c r="AB460" s="799"/>
      <c r="AC460" s="799"/>
      <c r="AD460" s="799"/>
      <c r="AE460" s="799"/>
      <c r="AF460" s="799"/>
      <c r="AG460" s="799"/>
      <c r="AH460" s="799"/>
      <c r="AI460" s="799"/>
      <c r="AJ460" s="799"/>
      <c r="AK460" s="799"/>
      <c r="AL460" s="799"/>
      <c r="AM460" s="799"/>
      <c r="AN460" s="799"/>
      <c r="AO460" s="799"/>
      <c r="AP460" s="799"/>
      <c r="AQ460" s="799"/>
      <c r="AR460" s="799"/>
      <c r="AS460" s="799"/>
      <c r="AT460" s="799"/>
      <c r="AU460" s="799"/>
      <c r="AV460" s="799"/>
      <c r="AW460" s="799"/>
      <c r="AX460" s="799"/>
      <c r="AY460" s="799"/>
      <c r="AZ460" s="799"/>
      <c r="BA460" s="799"/>
      <c r="BB460" s="799"/>
      <c r="BC460" s="799"/>
      <c r="BD460" s="799"/>
      <c r="BE460" s="799"/>
      <c r="BF460" s="799"/>
      <c r="BG460" s="799"/>
    </row>
    <row r="461">
      <c r="H461" s="799"/>
      <c r="I461" s="799"/>
      <c r="J461" s="799"/>
      <c r="K461" s="799"/>
      <c r="L461" s="799"/>
      <c r="M461" s="799"/>
      <c r="N461" s="799"/>
      <c r="O461" s="799"/>
      <c r="P461" s="799"/>
      <c r="Q461" s="799"/>
      <c r="R461" s="799"/>
      <c r="S461" s="799"/>
      <c r="T461" s="799"/>
      <c r="U461" s="799"/>
      <c r="V461" s="799"/>
      <c r="W461" s="799"/>
      <c r="X461" s="799"/>
      <c r="Y461" s="799"/>
      <c r="Z461" s="799"/>
      <c r="AA461" s="799"/>
      <c r="AB461" s="799"/>
      <c r="AC461" s="799"/>
      <c r="AD461" s="799"/>
      <c r="AE461" s="799"/>
      <c r="AF461" s="799"/>
      <c r="AG461" s="799"/>
      <c r="AH461" s="799"/>
      <c r="AI461" s="799"/>
      <c r="AJ461" s="799"/>
      <c r="AK461" s="799"/>
      <c r="AL461" s="799"/>
      <c r="AM461" s="799"/>
      <c r="AN461" s="799"/>
      <c r="AO461" s="799"/>
      <c r="AP461" s="799"/>
      <c r="AQ461" s="799"/>
      <c r="AR461" s="799"/>
      <c r="AS461" s="799"/>
      <c r="AT461" s="799"/>
      <c r="AU461" s="799"/>
      <c r="AV461" s="799"/>
      <c r="AW461" s="799"/>
      <c r="AX461" s="799"/>
      <c r="AY461" s="799"/>
      <c r="AZ461" s="799"/>
      <c r="BA461" s="799"/>
      <c r="BB461" s="799"/>
      <c r="BC461" s="799"/>
      <c r="BD461" s="799"/>
      <c r="BE461" s="799"/>
      <c r="BF461" s="799"/>
      <c r="BG461" s="799"/>
    </row>
    <row r="462">
      <c r="H462" s="799"/>
      <c r="I462" s="799"/>
      <c r="J462" s="799"/>
      <c r="K462" s="799"/>
      <c r="L462" s="799"/>
      <c r="M462" s="799"/>
      <c r="N462" s="799"/>
      <c r="O462" s="799"/>
      <c r="P462" s="799"/>
      <c r="Q462" s="799"/>
      <c r="R462" s="799"/>
      <c r="S462" s="799"/>
      <c r="T462" s="799"/>
      <c r="U462" s="799"/>
      <c r="V462" s="799"/>
      <c r="W462" s="799"/>
      <c r="X462" s="799"/>
      <c r="Y462" s="799"/>
      <c r="Z462" s="799"/>
      <c r="AA462" s="799"/>
      <c r="AB462" s="799"/>
      <c r="AC462" s="799"/>
      <c r="AD462" s="799"/>
      <c r="AE462" s="799"/>
      <c r="AF462" s="799"/>
      <c r="AG462" s="799"/>
      <c r="AH462" s="799"/>
      <c r="AI462" s="799"/>
      <c r="AJ462" s="799"/>
      <c r="AK462" s="799"/>
      <c r="AL462" s="799"/>
      <c r="AM462" s="799"/>
      <c r="AN462" s="799"/>
      <c r="AO462" s="799"/>
      <c r="AP462" s="799"/>
      <c r="AQ462" s="799"/>
      <c r="AR462" s="799"/>
      <c r="AS462" s="799"/>
      <c r="AT462" s="799"/>
      <c r="AU462" s="799"/>
      <c r="AV462" s="799"/>
      <c r="AW462" s="799"/>
      <c r="AX462" s="799"/>
      <c r="AY462" s="799"/>
      <c r="AZ462" s="799"/>
      <c r="BA462" s="799"/>
      <c r="BB462" s="799"/>
      <c r="BC462" s="799"/>
      <c r="BD462" s="799"/>
      <c r="BE462" s="799"/>
      <c r="BF462" s="799"/>
      <c r="BG462" s="799"/>
    </row>
    <row r="463">
      <c r="H463" s="799"/>
      <c r="I463" s="799"/>
      <c r="J463" s="799"/>
      <c r="K463" s="799"/>
      <c r="L463" s="799"/>
      <c r="M463" s="799"/>
      <c r="N463" s="799"/>
      <c r="O463" s="799"/>
      <c r="P463" s="799"/>
      <c r="Q463" s="799"/>
      <c r="R463" s="799"/>
      <c r="S463" s="799"/>
      <c r="T463" s="799"/>
      <c r="U463" s="799"/>
      <c r="V463" s="799"/>
      <c r="W463" s="799"/>
      <c r="X463" s="799"/>
      <c r="Y463" s="799"/>
      <c r="Z463" s="799"/>
      <c r="AA463" s="799"/>
      <c r="AB463" s="799"/>
      <c r="AC463" s="799"/>
      <c r="AD463" s="799"/>
      <c r="AE463" s="799"/>
      <c r="AF463" s="799"/>
      <c r="AG463" s="799"/>
      <c r="AH463" s="799"/>
      <c r="AI463" s="799"/>
      <c r="AJ463" s="799"/>
      <c r="AK463" s="799"/>
      <c r="AL463" s="799"/>
      <c r="AM463" s="799"/>
      <c r="AN463" s="799"/>
      <c r="AO463" s="799"/>
      <c r="AP463" s="799"/>
      <c r="AQ463" s="799"/>
      <c r="AR463" s="799"/>
      <c r="AS463" s="799"/>
      <c r="AT463" s="799"/>
      <c r="AU463" s="799"/>
      <c r="AV463" s="799"/>
      <c r="AW463" s="799"/>
      <c r="AX463" s="799"/>
      <c r="AY463" s="799"/>
      <c r="AZ463" s="799"/>
      <c r="BA463" s="799"/>
      <c r="BB463" s="799"/>
      <c r="BC463" s="799"/>
      <c r="BD463" s="799"/>
      <c r="BE463" s="799"/>
      <c r="BF463" s="799"/>
      <c r="BG463" s="799"/>
    </row>
    <row r="464">
      <c r="H464" s="799"/>
      <c r="I464" s="799"/>
      <c r="J464" s="799"/>
      <c r="K464" s="799"/>
      <c r="L464" s="799"/>
      <c r="M464" s="799"/>
      <c r="N464" s="799"/>
      <c r="O464" s="799"/>
      <c r="P464" s="799"/>
      <c r="Q464" s="799"/>
      <c r="R464" s="799"/>
      <c r="S464" s="799"/>
      <c r="T464" s="799"/>
      <c r="U464" s="799"/>
      <c r="V464" s="799"/>
      <c r="W464" s="799"/>
      <c r="X464" s="799"/>
      <c r="Y464" s="799"/>
      <c r="Z464" s="799"/>
      <c r="AA464" s="799"/>
      <c r="AB464" s="799"/>
      <c r="AC464" s="799"/>
      <c r="AD464" s="799"/>
      <c r="AE464" s="799"/>
      <c r="AF464" s="799"/>
      <c r="AG464" s="799"/>
      <c r="AH464" s="799"/>
      <c r="AI464" s="799"/>
      <c r="AJ464" s="799"/>
      <c r="AK464" s="799"/>
      <c r="AL464" s="799"/>
      <c r="AM464" s="799"/>
      <c r="AN464" s="799"/>
      <c r="AO464" s="799"/>
      <c r="AP464" s="799"/>
      <c r="AQ464" s="799"/>
      <c r="AR464" s="799"/>
      <c r="AS464" s="799"/>
      <c r="AT464" s="799"/>
      <c r="AU464" s="799"/>
      <c r="AV464" s="799"/>
      <c r="AW464" s="799"/>
      <c r="AX464" s="799"/>
      <c r="AY464" s="799"/>
      <c r="AZ464" s="799"/>
      <c r="BA464" s="799"/>
      <c r="BB464" s="799"/>
      <c r="BC464" s="799"/>
      <c r="BD464" s="799"/>
      <c r="BE464" s="799"/>
      <c r="BF464" s="799"/>
      <c r="BG464" s="799"/>
    </row>
    <row r="465">
      <c r="H465" s="799"/>
      <c r="I465" s="799"/>
      <c r="J465" s="799"/>
      <c r="K465" s="799"/>
      <c r="L465" s="799"/>
      <c r="M465" s="799"/>
      <c r="N465" s="799"/>
      <c r="O465" s="799"/>
      <c r="P465" s="799"/>
      <c r="Q465" s="799"/>
      <c r="R465" s="799"/>
      <c r="S465" s="799"/>
      <c r="T465" s="799"/>
      <c r="U465" s="799"/>
      <c r="V465" s="799"/>
      <c r="W465" s="799"/>
      <c r="X465" s="799"/>
      <c r="Y465" s="799"/>
      <c r="Z465" s="799"/>
      <c r="AA465" s="799"/>
      <c r="AB465" s="799"/>
      <c r="AC465" s="799"/>
      <c r="AD465" s="799"/>
      <c r="AE465" s="799"/>
      <c r="AF465" s="799"/>
      <c r="AG465" s="799"/>
      <c r="AH465" s="799"/>
      <c r="AI465" s="799"/>
      <c r="AJ465" s="799"/>
      <c r="AK465" s="799"/>
      <c r="AL465" s="799"/>
      <c r="AM465" s="799"/>
      <c r="AN465" s="799"/>
      <c r="AO465" s="799"/>
      <c r="AP465" s="799"/>
      <c r="AQ465" s="799"/>
      <c r="AR465" s="799"/>
      <c r="AS465" s="799"/>
      <c r="AT465" s="799"/>
      <c r="AU465" s="799"/>
      <c r="AV465" s="799"/>
      <c r="AW465" s="799"/>
      <c r="AX465" s="799"/>
      <c r="AY465" s="799"/>
      <c r="AZ465" s="799"/>
      <c r="BA465" s="799"/>
      <c r="BB465" s="799"/>
      <c r="BC465" s="799"/>
      <c r="BD465" s="799"/>
      <c r="BE465" s="799"/>
      <c r="BF465" s="799"/>
      <c r="BG465" s="799"/>
    </row>
    <row r="466">
      <c r="H466" s="799"/>
      <c r="I466" s="799"/>
      <c r="J466" s="799"/>
      <c r="K466" s="799"/>
      <c r="L466" s="799"/>
      <c r="M466" s="799"/>
      <c r="N466" s="799"/>
      <c r="O466" s="799"/>
      <c r="P466" s="799"/>
      <c r="Q466" s="799"/>
      <c r="R466" s="799"/>
      <c r="S466" s="799"/>
      <c r="T466" s="799"/>
      <c r="U466" s="799"/>
      <c r="V466" s="799"/>
      <c r="W466" s="799"/>
      <c r="X466" s="799"/>
      <c r="Y466" s="799"/>
      <c r="Z466" s="799"/>
      <c r="AA466" s="799"/>
      <c r="AB466" s="799"/>
      <c r="AC466" s="799"/>
      <c r="AD466" s="799"/>
      <c r="AE466" s="799"/>
      <c r="AF466" s="799"/>
      <c r="AG466" s="799"/>
      <c r="AH466" s="799"/>
      <c r="AI466" s="799"/>
      <c r="AJ466" s="799"/>
      <c r="AK466" s="799"/>
      <c r="AL466" s="799"/>
      <c r="AM466" s="799"/>
      <c r="AN466" s="799"/>
      <c r="AO466" s="799"/>
      <c r="AP466" s="799"/>
      <c r="AQ466" s="799"/>
      <c r="AR466" s="799"/>
      <c r="AS466" s="799"/>
      <c r="AT466" s="799"/>
      <c r="AU466" s="799"/>
      <c r="AV466" s="799"/>
      <c r="AW466" s="799"/>
      <c r="AX466" s="799"/>
      <c r="AY466" s="799"/>
      <c r="AZ466" s="799"/>
      <c r="BA466" s="799"/>
      <c r="BB466" s="799"/>
      <c r="BC466" s="799"/>
      <c r="BD466" s="799"/>
      <c r="BE466" s="799"/>
      <c r="BF466" s="799"/>
      <c r="BG466" s="799"/>
    </row>
    <row r="467">
      <c r="H467" s="799"/>
      <c r="I467" s="799"/>
      <c r="J467" s="799"/>
      <c r="K467" s="799"/>
      <c r="L467" s="799"/>
      <c r="M467" s="799"/>
      <c r="N467" s="799"/>
      <c r="O467" s="799"/>
      <c r="P467" s="799"/>
      <c r="Q467" s="799"/>
      <c r="R467" s="799"/>
      <c r="S467" s="799"/>
      <c r="T467" s="799"/>
      <c r="U467" s="799"/>
      <c r="V467" s="799"/>
      <c r="W467" s="799"/>
      <c r="X467" s="799"/>
      <c r="Y467" s="799"/>
      <c r="Z467" s="799"/>
      <c r="AA467" s="799"/>
      <c r="AB467" s="799"/>
      <c r="AC467" s="799"/>
      <c r="AD467" s="799"/>
      <c r="AE467" s="799"/>
      <c r="AF467" s="799"/>
      <c r="AG467" s="799"/>
      <c r="AH467" s="799"/>
      <c r="AI467" s="799"/>
      <c r="AJ467" s="799"/>
      <c r="AK467" s="799"/>
      <c r="AL467" s="799"/>
      <c r="AM467" s="799"/>
      <c r="AN467" s="799"/>
      <c r="AO467" s="799"/>
      <c r="AP467" s="799"/>
      <c r="AQ467" s="799"/>
      <c r="AR467" s="799"/>
      <c r="AS467" s="799"/>
      <c r="AT467" s="799"/>
      <c r="AU467" s="799"/>
      <c r="AV467" s="799"/>
      <c r="AW467" s="799"/>
      <c r="AX467" s="799"/>
      <c r="AY467" s="799"/>
      <c r="AZ467" s="799"/>
      <c r="BA467" s="799"/>
      <c r="BB467" s="799"/>
      <c r="BC467" s="799"/>
      <c r="BD467" s="799"/>
      <c r="BE467" s="799"/>
      <c r="BF467" s="799"/>
      <c r="BG467" s="799"/>
    </row>
    <row r="468">
      <c r="H468" s="799"/>
      <c r="I468" s="799"/>
      <c r="J468" s="799"/>
      <c r="K468" s="799"/>
      <c r="L468" s="799"/>
      <c r="M468" s="799"/>
      <c r="N468" s="799"/>
      <c r="O468" s="799"/>
      <c r="P468" s="799"/>
      <c r="Q468" s="799"/>
      <c r="R468" s="799"/>
      <c r="S468" s="799"/>
      <c r="T468" s="799"/>
      <c r="U468" s="799"/>
      <c r="V468" s="799"/>
      <c r="W468" s="799"/>
      <c r="X468" s="799"/>
      <c r="Y468" s="799"/>
      <c r="Z468" s="799"/>
      <c r="AA468" s="799"/>
      <c r="AB468" s="799"/>
      <c r="AC468" s="799"/>
      <c r="AD468" s="799"/>
      <c r="AE468" s="799"/>
      <c r="AF468" s="799"/>
      <c r="AG468" s="799"/>
      <c r="AH468" s="799"/>
      <c r="AI468" s="799"/>
      <c r="AJ468" s="799"/>
      <c r="AK468" s="799"/>
      <c r="AL468" s="799"/>
      <c r="AM468" s="799"/>
      <c r="AN468" s="799"/>
      <c r="AO468" s="799"/>
      <c r="AP468" s="799"/>
      <c r="AQ468" s="799"/>
      <c r="AR468" s="799"/>
      <c r="AS468" s="799"/>
      <c r="AT468" s="799"/>
      <c r="AU468" s="799"/>
      <c r="AV468" s="799"/>
      <c r="AW468" s="799"/>
      <c r="AX468" s="799"/>
      <c r="AY468" s="799"/>
      <c r="AZ468" s="799"/>
      <c r="BA468" s="799"/>
      <c r="BB468" s="799"/>
      <c r="BC468" s="799"/>
      <c r="BD468" s="799"/>
      <c r="BE468" s="799"/>
      <c r="BF468" s="799"/>
      <c r="BG468" s="799"/>
    </row>
    <row r="469">
      <c r="H469" s="799"/>
      <c r="I469" s="799"/>
      <c r="J469" s="799"/>
      <c r="K469" s="799"/>
      <c r="L469" s="799"/>
      <c r="M469" s="799"/>
      <c r="N469" s="799"/>
      <c r="O469" s="799"/>
      <c r="P469" s="799"/>
      <c r="Q469" s="799"/>
      <c r="R469" s="799"/>
      <c r="S469" s="799"/>
      <c r="T469" s="799"/>
      <c r="U469" s="799"/>
      <c r="V469" s="799"/>
      <c r="W469" s="799"/>
      <c r="X469" s="799"/>
      <c r="Y469" s="799"/>
      <c r="Z469" s="799"/>
      <c r="AA469" s="799"/>
      <c r="AB469" s="799"/>
      <c r="AC469" s="799"/>
      <c r="AD469" s="799"/>
      <c r="AE469" s="799"/>
      <c r="AF469" s="799"/>
      <c r="AG469" s="799"/>
      <c r="AH469" s="799"/>
      <c r="AI469" s="799"/>
      <c r="AJ469" s="799"/>
      <c r="AK469" s="799"/>
      <c r="AL469" s="799"/>
      <c r="AM469" s="799"/>
      <c r="AN469" s="799"/>
      <c r="AO469" s="799"/>
      <c r="AP469" s="799"/>
      <c r="AQ469" s="799"/>
      <c r="AR469" s="799"/>
      <c r="AS469" s="799"/>
      <c r="AT469" s="799"/>
      <c r="AU469" s="799"/>
      <c r="AV469" s="799"/>
      <c r="AW469" s="799"/>
      <c r="AX469" s="799"/>
      <c r="AY469" s="799"/>
      <c r="AZ469" s="799"/>
      <c r="BA469" s="799"/>
      <c r="BB469" s="799"/>
      <c r="BC469" s="799"/>
      <c r="BD469" s="799"/>
      <c r="BE469" s="799"/>
      <c r="BF469" s="799"/>
      <c r="BG469" s="799"/>
    </row>
    <row r="470">
      <c r="H470" s="799"/>
      <c r="I470" s="799"/>
      <c r="J470" s="799"/>
      <c r="K470" s="799"/>
      <c r="L470" s="799"/>
      <c r="M470" s="799"/>
      <c r="N470" s="799"/>
      <c r="O470" s="799"/>
      <c r="P470" s="799"/>
      <c r="Q470" s="799"/>
      <c r="R470" s="799"/>
      <c r="S470" s="799"/>
      <c r="T470" s="799"/>
      <c r="U470" s="799"/>
      <c r="V470" s="799"/>
      <c r="W470" s="799"/>
      <c r="X470" s="799"/>
      <c r="Y470" s="799"/>
      <c r="Z470" s="799"/>
      <c r="AA470" s="799"/>
      <c r="AB470" s="799"/>
      <c r="AC470" s="799"/>
      <c r="AD470" s="799"/>
      <c r="AE470" s="799"/>
      <c r="AF470" s="799"/>
      <c r="AG470" s="799"/>
      <c r="AH470" s="799"/>
      <c r="AI470" s="799"/>
      <c r="AJ470" s="799"/>
      <c r="AK470" s="799"/>
      <c r="AL470" s="799"/>
      <c r="AM470" s="799"/>
      <c r="AN470" s="799"/>
      <c r="AO470" s="799"/>
      <c r="AP470" s="799"/>
      <c r="AQ470" s="799"/>
      <c r="AR470" s="799"/>
      <c r="AS470" s="799"/>
      <c r="AT470" s="799"/>
      <c r="AU470" s="799"/>
      <c r="AV470" s="799"/>
      <c r="AW470" s="799"/>
      <c r="AX470" s="799"/>
      <c r="AY470" s="799"/>
      <c r="AZ470" s="799"/>
      <c r="BA470" s="799"/>
      <c r="BB470" s="799"/>
      <c r="BC470" s="799"/>
      <c r="BD470" s="799"/>
      <c r="BE470" s="799"/>
      <c r="BF470" s="799"/>
      <c r="BG470" s="799"/>
    </row>
    <row r="471">
      <c r="H471" s="799"/>
      <c r="I471" s="799"/>
      <c r="J471" s="799"/>
      <c r="K471" s="799"/>
      <c r="L471" s="799"/>
      <c r="M471" s="799"/>
      <c r="N471" s="799"/>
      <c r="O471" s="799"/>
      <c r="P471" s="799"/>
      <c r="Q471" s="799"/>
      <c r="R471" s="799"/>
      <c r="S471" s="799"/>
      <c r="T471" s="799"/>
      <c r="U471" s="799"/>
      <c r="V471" s="799"/>
      <c r="W471" s="799"/>
      <c r="X471" s="799"/>
      <c r="Y471" s="799"/>
      <c r="Z471" s="799"/>
      <c r="AA471" s="799"/>
      <c r="AB471" s="799"/>
      <c r="AC471" s="799"/>
      <c r="AD471" s="799"/>
      <c r="AE471" s="799"/>
      <c r="AF471" s="799"/>
      <c r="AG471" s="799"/>
      <c r="AH471" s="799"/>
      <c r="AI471" s="799"/>
      <c r="AJ471" s="799"/>
      <c r="AK471" s="799"/>
      <c r="AL471" s="799"/>
      <c r="AM471" s="799"/>
      <c r="AN471" s="799"/>
      <c r="AO471" s="799"/>
      <c r="AP471" s="799"/>
      <c r="AQ471" s="799"/>
      <c r="AR471" s="799"/>
      <c r="AS471" s="799"/>
      <c r="AT471" s="799"/>
      <c r="AU471" s="799"/>
      <c r="AV471" s="799"/>
      <c r="AW471" s="799"/>
      <c r="AX471" s="799"/>
      <c r="AY471" s="799"/>
      <c r="AZ471" s="799"/>
      <c r="BA471" s="799"/>
      <c r="BB471" s="799"/>
      <c r="BC471" s="799"/>
      <c r="BD471" s="799"/>
      <c r="BE471" s="799"/>
      <c r="BF471" s="799"/>
      <c r="BG471" s="799"/>
    </row>
    <row r="472">
      <c r="H472" s="799"/>
      <c r="I472" s="799"/>
      <c r="J472" s="799"/>
      <c r="K472" s="799"/>
      <c r="L472" s="799"/>
      <c r="M472" s="799"/>
      <c r="N472" s="799"/>
      <c r="O472" s="799"/>
      <c r="P472" s="799"/>
      <c r="Q472" s="799"/>
      <c r="R472" s="799"/>
      <c r="S472" s="799"/>
      <c r="T472" s="799"/>
      <c r="U472" s="799"/>
      <c r="V472" s="799"/>
      <c r="W472" s="799"/>
      <c r="X472" s="799"/>
      <c r="Y472" s="799"/>
      <c r="Z472" s="799"/>
      <c r="AA472" s="799"/>
      <c r="AB472" s="799"/>
      <c r="AC472" s="799"/>
      <c r="AD472" s="799"/>
      <c r="AE472" s="799"/>
      <c r="AF472" s="799"/>
      <c r="AG472" s="799"/>
      <c r="AH472" s="799"/>
      <c r="AI472" s="799"/>
      <c r="AJ472" s="799"/>
      <c r="AK472" s="799"/>
      <c r="AL472" s="799"/>
      <c r="AM472" s="799"/>
      <c r="AN472" s="799"/>
      <c r="AO472" s="799"/>
      <c r="AP472" s="799"/>
      <c r="AQ472" s="799"/>
      <c r="AR472" s="799"/>
      <c r="AS472" s="799"/>
      <c r="AT472" s="799"/>
      <c r="AU472" s="799"/>
      <c r="AV472" s="799"/>
      <c r="AW472" s="799"/>
      <c r="AX472" s="799"/>
      <c r="AY472" s="799"/>
      <c r="AZ472" s="799"/>
      <c r="BA472" s="799"/>
      <c r="BB472" s="799"/>
      <c r="BC472" s="799"/>
      <c r="BD472" s="799"/>
      <c r="BE472" s="799"/>
      <c r="BF472" s="799"/>
      <c r="BG472" s="799"/>
    </row>
    <row r="473">
      <c r="H473" s="799"/>
      <c r="I473" s="799"/>
      <c r="J473" s="799"/>
      <c r="K473" s="799"/>
      <c r="L473" s="799"/>
      <c r="M473" s="799"/>
      <c r="N473" s="799"/>
      <c r="O473" s="799"/>
      <c r="P473" s="799"/>
      <c r="Q473" s="799"/>
      <c r="R473" s="799"/>
      <c r="S473" s="799"/>
      <c r="T473" s="799"/>
      <c r="U473" s="799"/>
      <c r="V473" s="799"/>
      <c r="W473" s="799"/>
      <c r="X473" s="799"/>
      <c r="Y473" s="799"/>
      <c r="Z473" s="799"/>
      <c r="AA473" s="799"/>
      <c r="AB473" s="799"/>
      <c r="AC473" s="799"/>
      <c r="AD473" s="799"/>
      <c r="AE473" s="799"/>
      <c r="AF473" s="799"/>
      <c r="AG473" s="799"/>
      <c r="AH473" s="799"/>
      <c r="AI473" s="799"/>
      <c r="AJ473" s="799"/>
      <c r="AK473" s="799"/>
      <c r="AL473" s="799"/>
      <c r="AM473" s="799"/>
      <c r="AN473" s="799"/>
      <c r="AO473" s="799"/>
      <c r="AP473" s="799"/>
      <c r="AQ473" s="799"/>
      <c r="AR473" s="799"/>
      <c r="AS473" s="799"/>
      <c r="AT473" s="799"/>
      <c r="AU473" s="799"/>
      <c r="AV473" s="799"/>
      <c r="AW473" s="799"/>
      <c r="AX473" s="799"/>
      <c r="AY473" s="799"/>
      <c r="AZ473" s="799"/>
      <c r="BA473" s="799"/>
      <c r="BB473" s="799"/>
      <c r="BC473" s="799"/>
      <c r="BD473" s="799"/>
      <c r="BE473" s="799"/>
      <c r="BF473" s="799"/>
      <c r="BG473" s="799"/>
    </row>
    <row r="474">
      <c r="H474" s="799"/>
      <c r="I474" s="799"/>
      <c r="J474" s="799"/>
      <c r="K474" s="799"/>
      <c r="L474" s="799"/>
      <c r="M474" s="799"/>
      <c r="N474" s="799"/>
      <c r="O474" s="799"/>
      <c r="P474" s="799"/>
      <c r="Q474" s="799"/>
      <c r="R474" s="799"/>
      <c r="S474" s="799"/>
      <c r="T474" s="799"/>
      <c r="U474" s="799"/>
      <c r="V474" s="799"/>
      <c r="W474" s="799"/>
      <c r="X474" s="799"/>
      <c r="Y474" s="799"/>
      <c r="Z474" s="799"/>
      <c r="AA474" s="799"/>
      <c r="AB474" s="799"/>
      <c r="AC474" s="799"/>
      <c r="AD474" s="799"/>
      <c r="AE474" s="799"/>
      <c r="AF474" s="799"/>
      <c r="AG474" s="799"/>
      <c r="AH474" s="799"/>
      <c r="AI474" s="799"/>
      <c r="AJ474" s="799"/>
      <c r="AK474" s="799"/>
      <c r="AL474" s="799"/>
      <c r="AM474" s="799"/>
      <c r="AN474" s="799"/>
      <c r="AO474" s="799"/>
      <c r="AP474" s="799"/>
      <c r="AQ474" s="799"/>
      <c r="AR474" s="799"/>
      <c r="AS474" s="799"/>
      <c r="AT474" s="799"/>
      <c r="AU474" s="799"/>
      <c r="AV474" s="799"/>
      <c r="AW474" s="799"/>
      <c r="AX474" s="799"/>
      <c r="AY474" s="799"/>
      <c r="AZ474" s="799"/>
      <c r="BA474" s="799"/>
      <c r="BB474" s="799"/>
      <c r="BC474" s="799"/>
      <c r="BD474" s="799"/>
      <c r="BE474" s="799"/>
      <c r="BF474" s="799"/>
      <c r="BG474" s="799"/>
    </row>
    <row r="475">
      <c r="H475" s="799"/>
      <c r="I475" s="799"/>
      <c r="J475" s="799"/>
      <c r="K475" s="799"/>
      <c r="L475" s="799"/>
      <c r="M475" s="799"/>
      <c r="N475" s="799"/>
      <c r="O475" s="799"/>
      <c r="P475" s="799"/>
      <c r="Q475" s="799"/>
      <c r="R475" s="799"/>
      <c r="S475" s="799"/>
      <c r="T475" s="799"/>
      <c r="U475" s="799"/>
      <c r="V475" s="799"/>
      <c r="W475" s="799"/>
      <c r="X475" s="799"/>
      <c r="Y475" s="799"/>
      <c r="Z475" s="799"/>
      <c r="AA475" s="799"/>
      <c r="AB475" s="799"/>
      <c r="AC475" s="799"/>
      <c r="AD475" s="799"/>
      <c r="AE475" s="799"/>
      <c r="AF475" s="799"/>
      <c r="AG475" s="799"/>
      <c r="AH475" s="799"/>
      <c r="AI475" s="799"/>
      <c r="AJ475" s="799"/>
      <c r="AK475" s="799"/>
      <c r="AL475" s="799"/>
      <c r="AM475" s="799"/>
      <c r="AN475" s="799"/>
      <c r="AO475" s="799"/>
      <c r="AP475" s="799"/>
      <c r="AQ475" s="799"/>
      <c r="AR475" s="799"/>
      <c r="AS475" s="799"/>
      <c r="AT475" s="799"/>
      <c r="AU475" s="799"/>
      <c r="AV475" s="799"/>
      <c r="AW475" s="799"/>
      <c r="AX475" s="799"/>
      <c r="AY475" s="799"/>
      <c r="AZ475" s="799"/>
      <c r="BA475" s="799"/>
      <c r="BB475" s="799"/>
      <c r="BC475" s="799"/>
      <c r="BD475" s="799"/>
      <c r="BE475" s="799"/>
      <c r="BF475" s="799"/>
      <c r="BG475" s="799"/>
    </row>
    <row r="476">
      <c r="H476" s="799"/>
      <c r="I476" s="799"/>
      <c r="J476" s="799"/>
      <c r="K476" s="799"/>
      <c r="L476" s="799"/>
      <c r="M476" s="799"/>
      <c r="N476" s="799"/>
      <c r="O476" s="799"/>
      <c r="P476" s="799"/>
      <c r="Q476" s="799"/>
      <c r="R476" s="799"/>
      <c r="S476" s="799"/>
      <c r="T476" s="799"/>
      <c r="U476" s="799"/>
      <c r="V476" s="799"/>
      <c r="W476" s="799"/>
      <c r="X476" s="799"/>
      <c r="Y476" s="799"/>
      <c r="Z476" s="799"/>
      <c r="AA476" s="799"/>
      <c r="AB476" s="799"/>
      <c r="AC476" s="799"/>
      <c r="AD476" s="799"/>
      <c r="AE476" s="799"/>
      <c r="AF476" s="799"/>
      <c r="AG476" s="799"/>
      <c r="AH476" s="799"/>
      <c r="AI476" s="799"/>
      <c r="AJ476" s="799"/>
      <c r="AK476" s="799"/>
      <c r="AL476" s="799"/>
      <c r="AM476" s="799"/>
      <c r="AN476" s="799"/>
      <c r="AO476" s="799"/>
      <c r="AP476" s="799"/>
      <c r="AQ476" s="799"/>
      <c r="AR476" s="799"/>
      <c r="AS476" s="799"/>
      <c r="AT476" s="799"/>
      <c r="AU476" s="799"/>
      <c r="AV476" s="799"/>
      <c r="AW476" s="799"/>
      <c r="AX476" s="799"/>
      <c r="AY476" s="799"/>
      <c r="AZ476" s="799"/>
      <c r="BA476" s="799"/>
      <c r="BB476" s="799"/>
      <c r="BC476" s="799"/>
      <c r="BD476" s="799"/>
      <c r="BE476" s="799"/>
      <c r="BF476" s="799"/>
      <c r="BG476" s="799"/>
    </row>
    <row r="477">
      <c r="H477" s="799"/>
      <c r="I477" s="799"/>
      <c r="J477" s="799"/>
      <c r="K477" s="799"/>
      <c r="L477" s="799"/>
      <c r="M477" s="799"/>
      <c r="N477" s="799"/>
      <c r="O477" s="799"/>
      <c r="P477" s="799"/>
      <c r="Q477" s="799"/>
      <c r="R477" s="799"/>
      <c r="S477" s="799"/>
      <c r="T477" s="799"/>
      <c r="U477" s="799"/>
      <c r="V477" s="799"/>
      <c r="W477" s="799"/>
      <c r="X477" s="799"/>
      <c r="Y477" s="799"/>
      <c r="Z477" s="799"/>
      <c r="AA477" s="799"/>
      <c r="AB477" s="799"/>
      <c r="AC477" s="799"/>
      <c r="AD477" s="799"/>
      <c r="AE477" s="799"/>
      <c r="AF477" s="799"/>
      <c r="AG477" s="799"/>
      <c r="AH477" s="799"/>
      <c r="AI477" s="799"/>
      <c r="AJ477" s="799"/>
      <c r="AK477" s="799"/>
      <c r="AL477" s="799"/>
      <c r="AM477" s="799"/>
      <c r="AN477" s="799"/>
      <c r="AO477" s="799"/>
      <c r="AP477" s="799"/>
      <c r="AQ477" s="799"/>
      <c r="AR477" s="799"/>
      <c r="AS477" s="799"/>
      <c r="AT477" s="799"/>
      <c r="AU477" s="799"/>
      <c r="AV477" s="799"/>
      <c r="AW477" s="799"/>
      <c r="AX477" s="799"/>
      <c r="AY477" s="799"/>
      <c r="AZ477" s="799"/>
      <c r="BA477" s="799"/>
      <c r="BB477" s="799"/>
      <c r="BC477" s="799"/>
      <c r="BD477" s="799"/>
      <c r="BE477" s="799"/>
      <c r="BF477" s="799"/>
      <c r="BG477" s="799"/>
    </row>
    <row r="478">
      <c r="H478" s="799"/>
      <c r="I478" s="799"/>
      <c r="J478" s="799"/>
      <c r="K478" s="799"/>
      <c r="L478" s="799"/>
      <c r="M478" s="799"/>
      <c r="N478" s="799"/>
      <c r="O478" s="799"/>
      <c r="P478" s="799"/>
      <c r="Q478" s="799"/>
      <c r="R478" s="799"/>
      <c r="S478" s="799"/>
      <c r="T478" s="799"/>
      <c r="U478" s="799"/>
      <c r="V478" s="799"/>
      <c r="W478" s="799"/>
      <c r="X478" s="799"/>
      <c r="Y478" s="799"/>
      <c r="Z478" s="799"/>
      <c r="AA478" s="799"/>
      <c r="AB478" s="799"/>
      <c r="AC478" s="799"/>
      <c r="AD478" s="799"/>
      <c r="AE478" s="799"/>
      <c r="AF478" s="799"/>
      <c r="AG478" s="799"/>
      <c r="AH478" s="799"/>
      <c r="AI478" s="799"/>
      <c r="AJ478" s="799"/>
      <c r="AK478" s="799"/>
      <c r="AL478" s="799"/>
      <c r="AM478" s="799"/>
      <c r="AN478" s="799"/>
      <c r="AO478" s="799"/>
      <c r="AP478" s="799"/>
      <c r="AQ478" s="799"/>
      <c r="AR478" s="799"/>
      <c r="AS478" s="799"/>
      <c r="AT478" s="799"/>
      <c r="AU478" s="799"/>
      <c r="AV478" s="799"/>
      <c r="AW478" s="799"/>
      <c r="AX478" s="799"/>
      <c r="AY478" s="799"/>
      <c r="AZ478" s="799"/>
      <c r="BA478" s="799"/>
      <c r="BB478" s="799"/>
      <c r="BC478" s="799"/>
      <c r="BD478" s="799"/>
      <c r="BE478" s="799"/>
      <c r="BF478" s="799"/>
      <c r="BG478" s="799"/>
    </row>
    <row r="479">
      <c r="H479" s="799"/>
      <c r="I479" s="799"/>
      <c r="J479" s="799"/>
      <c r="K479" s="799"/>
      <c r="L479" s="799"/>
      <c r="M479" s="799"/>
      <c r="N479" s="799"/>
      <c r="O479" s="799"/>
      <c r="P479" s="799"/>
      <c r="Q479" s="799"/>
      <c r="R479" s="799"/>
      <c r="S479" s="799"/>
      <c r="T479" s="799"/>
      <c r="U479" s="799"/>
      <c r="V479" s="799"/>
      <c r="W479" s="799"/>
      <c r="X479" s="799"/>
      <c r="Y479" s="799"/>
      <c r="Z479" s="799"/>
      <c r="AA479" s="799"/>
      <c r="AB479" s="799"/>
      <c r="AC479" s="799"/>
      <c r="AD479" s="799"/>
      <c r="AE479" s="799"/>
      <c r="AF479" s="799"/>
      <c r="AG479" s="799"/>
      <c r="AH479" s="799"/>
      <c r="AI479" s="799"/>
      <c r="AJ479" s="799"/>
      <c r="AK479" s="799"/>
      <c r="AL479" s="799"/>
      <c r="AM479" s="799"/>
      <c r="AN479" s="799"/>
      <c r="AO479" s="799"/>
      <c r="AP479" s="799"/>
      <c r="AQ479" s="799"/>
      <c r="AR479" s="799"/>
      <c r="AS479" s="799"/>
      <c r="AT479" s="799"/>
      <c r="AU479" s="799"/>
      <c r="AV479" s="799"/>
      <c r="AW479" s="799"/>
      <c r="AX479" s="799"/>
      <c r="AY479" s="799"/>
      <c r="AZ479" s="799"/>
      <c r="BA479" s="799"/>
      <c r="BB479" s="799"/>
      <c r="BC479" s="799"/>
      <c r="BD479" s="799"/>
      <c r="BE479" s="799"/>
      <c r="BF479" s="799"/>
      <c r="BG479" s="799"/>
    </row>
    <row r="480">
      <c r="H480" s="799"/>
      <c r="I480" s="799"/>
      <c r="J480" s="799"/>
      <c r="K480" s="799"/>
      <c r="L480" s="799"/>
      <c r="M480" s="799"/>
      <c r="N480" s="799"/>
      <c r="O480" s="799"/>
      <c r="P480" s="799"/>
      <c r="Q480" s="799"/>
      <c r="R480" s="799"/>
      <c r="S480" s="799"/>
      <c r="T480" s="799"/>
      <c r="U480" s="799"/>
      <c r="V480" s="799"/>
      <c r="W480" s="799"/>
      <c r="X480" s="799"/>
      <c r="Y480" s="799"/>
      <c r="Z480" s="799"/>
      <c r="AA480" s="799"/>
      <c r="AB480" s="799"/>
      <c r="AC480" s="799"/>
      <c r="AD480" s="799"/>
      <c r="AE480" s="799"/>
      <c r="AF480" s="799"/>
      <c r="AG480" s="799"/>
      <c r="AH480" s="799"/>
      <c r="AI480" s="799"/>
      <c r="AJ480" s="799"/>
      <c r="AK480" s="799"/>
      <c r="AL480" s="799"/>
      <c r="AM480" s="799"/>
      <c r="AN480" s="799"/>
      <c r="AO480" s="799"/>
      <c r="AP480" s="799"/>
      <c r="AQ480" s="799"/>
      <c r="AR480" s="799"/>
      <c r="AS480" s="799"/>
      <c r="AT480" s="799"/>
      <c r="AU480" s="799"/>
      <c r="AV480" s="799"/>
      <c r="AW480" s="799"/>
      <c r="AX480" s="799"/>
      <c r="AY480" s="799"/>
      <c r="AZ480" s="799"/>
      <c r="BA480" s="799"/>
      <c r="BB480" s="799"/>
      <c r="BC480" s="799"/>
      <c r="BD480" s="799"/>
      <c r="BE480" s="799"/>
      <c r="BF480" s="799"/>
      <c r="BG480" s="799"/>
    </row>
    <row r="481">
      <c r="H481" s="799"/>
      <c r="I481" s="799"/>
      <c r="J481" s="799"/>
      <c r="K481" s="799"/>
      <c r="L481" s="799"/>
      <c r="M481" s="799"/>
      <c r="N481" s="799"/>
      <c r="O481" s="799"/>
      <c r="P481" s="799"/>
      <c r="Q481" s="799"/>
      <c r="R481" s="799"/>
      <c r="S481" s="799"/>
      <c r="T481" s="799"/>
      <c r="U481" s="799"/>
      <c r="V481" s="799"/>
      <c r="W481" s="799"/>
      <c r="X481" s="799"/>
      <c r="Y481" s="799"/>
      <c r="Z481" s="799"/>
      <c r="AA481" s="799"/>
      <c r="AB481" s="799"/>
      <c r="AC481" s="799"/>
      <c r="AD481" s="799"/>
      <c r="AE481" s="799"/>
      <c r="AF481" s="799"/>
      <c r="AG481" s="799"/>
      <c r="AH481" s="799"/>
      <c r="AI481" s="799"/>
      <c r="AJ481" s="799"/>
      <c r="AK481" s="799"/>
      <c r="AL481" s="799"/>
      <c r="AM481" s="799"/>
      <c r="AN481" s="799"/>
      <c r="AO481" s="799"/>
      <c r="AP481" s="799"/>
      <c r="AQ481" s="799"/>
      <c r="AR481" s="799"/>
      <c r="AS481" s="799"/>
      <c r="AT481" s="799"/>
      <c r="AU481" s="799"/>
      <c r="AV481" s="799"/>
      <c r="AW481" s="799"/>
      <c r="AX481" s="799"/>
      <c r="AY481" s="799"/>
      <c r="AZ481" s="799"/>
      <c r="BA481" s="799"/>
      <c r="BB481" s="799"/>
      <c r="BC481" s="799"/>
      <c r="BD481" s="799"/>
      <c r="BE481" s="799"/>
      <c r="BF481" s="799"/>
      <c r="BG481" s="799"/>
    </row>
    <row r="482">
      <c r="H482" s="799"/>
      <c r="I482" s="799"/>
      <c r="J482" s="799"/>
      <c r="K482" s="799"/>
      <c r="L482" s="799"/>
      <c r="M482" s="799"/>
      <c r="N482" s="799"/>
      <c r="O482" s="799"/>
      <c r="P482" s="799"/>
      <c r="Q482" s="799"/>
      <c r="R482" s="799"/>
      <c r="S482" s="799"/>
      <c r="T482" s="799"/>
      <c r="U482" s="799"/>
      <c r="V482" s="799"/>
      <c r="W482" s="799"/>
      <c r="X482" s="799"/>
      <c r="Y482" s="799"/>
      <c r="Z482" s="799"/>
      <c r="AA482" s="799"/>
      <c r="AB482" s="799"/>
      <c r="AC482" s="799"/>
      <c r="AD482" s="799"/>
      <c r="AE482" s="799"/>
      <c r="AF482" s="799"/>
      <c r="AG482" s="799"/>
      <c r="AH482" s="799"/>
      <c r="AI482" s="799"/>
      <c r="AJ482" s="799"/>
      <c r="AK482" s="799"/>
      <c r="AL482" s="799"/>
      <c r="AM482" s="799"/>
      <c r="AN482" s="799"/>
      <c r="AO482" s="799"/>
      <c r="AP482" s="799"/>
      <c r="AQ482" s="799"/>
      <c r="AR482" s="799"/>
      <c r="AS482" s="799"/>
      <c r="AT482" s="799"/>
      <c r="AU482" s="799"/>
      <c r="AV482" s="799"/>
      <c r="AW482" s="799"/>
      <c r="AX482" s="799"/>
      <c r="AY482" s="799"/>
      <c r="AZ482" s="799"/>
      <c r="BA482" s="799"/>
      <c r="BB482" s="799"/>
      <c r="BC482" s="799"/>
      <c r="BD482" s="799"/>
      <c r="BE482" s="799"/>
      <c r="BF482" s="799"/>
      <c r="BG482" s="799"/>
    </row>
    <row r="483">
      <c r="H483" s="799"/>
      <c r="I483" s="799"/>
      <c r="J483" s="799"/>
      <c r="K483" s="799"/>
      <c r="L483" s="799"/>
      <c r="M483" s="799"/>
      <c r="N483" s="799"/>
      <c r="O483" s="799"/>
      <c r="P483" s="799"/>
      <c r="Q483" s="799"/>
      <c r="R483" s="799"/>
      <c r="S483" s="799"/>
      <c r="T483" s="799"/>
      <c r="U483" s="799"/>
      <c r="V483" s="799"/>
      <c r="W483" s="799"/>
      <c r="X483" s="799"/>
      <c r="Y483" s="799"/>
      <c r="Z483" s="799"/>
      <c r="AA483" s="799"/>
      <c r="AB483" s="799"/>
      <c r="AC483" s="799"/>
      <c r="AD483" s="799"/>
      <c r="AE483" s="799"/>
      <c r="AF483" s="799"/>
      <c r="AG483" s="799"/>
      <c r="AH483" s="799"/>
      <c r="AI483" s="799"/>
      <c r="AJ483" s="799"/>
      <c r="AK483" s="799"/>
      <c r="AL483" s="799"/>
      <c r="AM483" s="799"/>
      <c r="AN483" s="799"/>
      <c r="AO483" s="799"/>
      <c r="AP483" s="799"/>
      <c r="AQ483" s="799"/>
      <c r="AR483" s="799"/>
      <c r="AS483" s="799"/>
      <c r="AT483" s="799"/>
      <c r="AU483" s="799"/>
      <c r="AV483" s="799"/>
      <c r="AW483" s="799"/>
      <c r="AX483" s="799"/>
      <c r="AY483" s="799"/>
      <c r="AZ483" s="799"/>
      <c r="BA483" s="799"/>
      <c r="BB483" s="799"/>
      <c r="BC483" s="799"/>
      <c r="BD483" s="799"/>
      <c r="BE483" s="799"/>
      <c r="BF483" s="799"/>
      <c r="BG483" s="799"/>
    </row>
    <row r="484">
      <c r="H484" s="799"/>
      <c r="I484" s="799"/>
      <c r="J484" s="799"/>
      <c r="K484" s="799"/>
      <c r="L484" s="799"/>
      <c r="M484" s="799"/>
      <c r="N484" s="799"/>
      <c r="O484" s="799"/>
      <c r="P484" s="799"/>
      <c r="Q484" s="799"/>
      <c r="R484" s="799"/>
      <c r="S484" s="799"/>
      <c r="T484" s="799"/>
      <c r="U484" s="799"/>
      <c r="V484" s="799"/>
      <c r="W484" s="799"/>
      <c r="X484" s="799"/>
      <c r="Y484" s="799"/>
      <c r="Z484" s="799"/>
      <c r="AA484" s="799"/>
      <c r="AB484" s="799"/>
      <c r="AC484" s="799"/>
      <c r="AD484" s="799"/>
      <c r="AE484" s="799"/>
      <c r="AF484" s="799"/>
      <c r="AG484" s="799"/>
      <c r="AH484" s="799"/>
      <c r="AI484" s="799"/>
      <c r="AJ484" s="799"/>
      <c r="AK484" s="799"/>
      <c r="AL484" s="799"/>
      <c r="AM484" s="799"/>
      <c r="AN484" s="799"/>
      <c r="AO484" s="799"/>
      <c r="AP484" s="799"/>
      <c r="AQ484" s="799"/>
      <c r="AR484" s="799"/>
      <c r="AS484" s="799"/>
      <c r="AT484" s="799"/>
      <c r="AU484" s="799"/>
      <c r="AV484" s="799"/>
      <c r="AW484" s="799"/>
      <c r="AX484" s="799"/>
      <c r="AY484" s="799"/>
      <c r="AZ484" s="799"/>
      <c r="BA484" s="799"/>
      <c r="BB484" s="799"/>
      <c r="BC484" s="799"/>
      <c r="BD484" s="799"/>
      <c r="BE484" s="799"/>
      <c r="BF484" s="799"/>
      <c r="BG484" s="799"/>
    </row>
    <row r="485">
      <c r="H485" s="799"/>
      <c r="I485" s="799"/>
      <c r="J485" s="799"/>
      <c r="K485" s="799"/>
      <c r="L485" s="799"/>
      <c r="M485" s="799"/>
      <c r="N485" s="799"/>
      <c r="O485" s="799"/>
      <c r="P485" s="799"/>
      <c r="Q485" s="799"/>
      <c r="R485" s="799"/>
      <c r="S485" s="799"/>
      <c r="T485" s="799"/>
      <c r="U485" s="799"/>
      <c r="V485" s="799"/>
      <c r="W485" s="799"/>
      <c r="X485" s="799"/>
      <c r="Y485" s="799"/>
      <c r="Z485" s="799"/>
      <c r="AA485" s="799"/>
      <c r="AB485" s="799"/>
      <c r="AC485" s="799"/>
      <c r="AD485" s="799"/>
      <c r="AE485" s="799"/>
      <c r="AF485" s="799"/>
      <c r="AG485" s="799"/>
      <c r="AH485" s="799"/>
      <c r="AI485" s="799"/>
      <c r="AJ485" s="799"/>
      <c r="AK485" s="799"/>
      <c r="AL485" s="799"/>
      <c r="AM485" s="799"/>
      <c r="AN485" s="799"/>
      <c r="AO485" s="799"/>
      <c r="AP485" s="799"/>
      <c r="AQ485" s="799"/>
      <c r="AR485" s="799"/>
      <c r="AS485" s="799"/>
      <c r="AT485" s="799"/>
      <c r="AU485" s="799"/>
      <c r="AV485" s="799"/>
      <c r="AW485" s="799"/>
      <c r="AX485" s="799"/>
      <c r="AY485" s="799"/>
      <c r="AZ485" s="799"/>
      <c r="BA485" s="799"/>
      <c r="BB485" s="799"/>
      <c r="BC485" s="799"/>
      <c r="BD485" s="799"/>
      <c r="BE485" s="799"/>
      <c r="BF485" s="799"/>
      <c r="BG485" s="799"/>
    </row>
    <row r="486">
      <c r="H486" s="799"/>
      <c r="I486" s="799"/>
      <c r="J486" s="799"/>
      <c r="K486" s="799"/>
      <c r="L486" s="799"/>
      <c r="M486" s="799"/>
      <c r="N486" s="799"/>
      <c r="O486" s="799"/>
      <c r="P486" s="799"/>
      <c r="Q486" s="799"/>
      <c r="R486" s="799"/>
      <c r="S486" s="799"/>
      <c r="T486" s="799"/>
      <c r="U486" s="799"/>
      <c r="V486" s="799"/>
      <c r="W486" s="799"/>
      <c r="X486" s="799"/>
      <c r="Y486" s="799"/>
      <c r="Z486" s="799"/>
      <c r="AA486" s="799"/>
      <c r="AB486" s="799"/>
      <c r="AC486" s="799"/>
      <c r="AD486" s="799"/>
      <c r="AE486" s="799"/>
      <c r="AF486" s="799"/>
      <c r="AG486" s="799"/>
      <c r="AH486" s="799"/>
      <c r="AI486" s="799"/>
      <c r="AJ486" s="799"/>
      <c r="AK486" s="799"/>
      <c r="AL486" s="799"/>
      <c r="AM486" s="799"/>
      <c r="AN486" s="799"/>
      <c r="AO486" s="799"/>
      <c r="AP486" s="799"/>
      <c r="AQ486" s="799"/>
      <c r="AR486" s="799"/>
      <c r="AS486" s="799"/>
      <c r="AT486" s="799"/>
      <c r="AU486" s="799"/>
      <c r="AV486" s="799"/>
      <c r="AW486" s="799"/>
      <c r="AX486" s="799"/>
      <c r="AY486" s="799"/>
      <c r="AZ486" s="799"/>
      <c r="BA486" s="799"/>
      <c r="BB486" s="799"/>
      <c r="BC486" s="799"/>
      <c r="BD486" s="799"/>
      <c r="BE486" s="799"/>
      <c r="BF486" s="799"/>
      <c r="BG486" s="799"/>
    </row>
    <row r="487">
      <c r="H487" s="799"/>
      <c r="I487" s="799"/>
      <c r="J487" s="799"/>
      <c r="K487" s="799"/>
      <c r="L487" s="799"/>
      <c r="M487" s="799"/>
      <c r="N487" s="799"/>
      <c r="O487" s="799"/>
      <c r="P487" s="799"/>
      <c r="Q487" s="799"/>
      <c r="R487" s="799"/>
      <c r="S487" s="799"/>
      <c r="T487" s="799"/>
      <c r="U487" s="799"/>
      <c r="V487" s="799"/>
      <c r="W487" s="799"/>
      <c r="X487" s="799"/>
      <c r="Y487" s="799"/>
      <c r="Z487" s="799"/>
      <c r="AA487" s="799"/>
      <c r="AB487" s="799"/>
      <c r="AC487" s="799"/>
      <c r="AD487" s="799"/>
      <c r="AE487" s="799"/>
      <c r="AF487" s="799"/>
      <c r="AG487" s="799"/>
      <c r="AH487" s="799"/>
      <c r="AI487" s="799"/>
      <c r="AJ487" s="799"/>
      <c r="AK487" s="799"/>
      <c r="AL487" s="799"/>
      <c r="AM487" s="799"/>
      <c r="AN487" s="799"/>
      <c r="AO487" s="799"/>
      <c r="AP487" s="799"/>
      <c r="AQ487" s="799"/>
      <c r="AR487" s="799"/>
      <c r="AS487" s="799"/>
      <c r="AT487" s="799"/>
      <c r="AU487" s="799"/>
      <c r="AV487" s="799"/>
      <c r="AW487" s="799"/>
      <c r="AX487" s="799"/>
      <c r="AY487" s="799"/>
      <c r="AZ487" s="799"/>
      <c r="BA487" s="799"/>
      <c r="BB487" s="799"/>
      <c r="BC487" s="799"/>
      <c r="BD487" s="799"/>
      <c r="BE487" s="799"/>
      <c r="BF487" s="799"/>
      <c r="BG487" s="799"/>
    </row>
    <row r="488">
      <c r="H488" s="799"/>
      <c r="I488" s="799"/>
      <c r="J488" s="799"/>
      <c r="K488" s="799"/>
      <c r="L488" s="799"/>
      <c r="M488" s="799"/>
      <c r="N488" s="799"/>
      <c r="O488" s="799"/>
      <c r="P488" s="799"/>
      <c r="Q488" s="799"/>
      <c r="R488" s="799"/>
      <c r="S488" s="799"/>
      <c r="T488" s="799"/>
      <c r="U488" s="799"/>
      <c r="V488" s="799"/>
      <c r="W488" s="799"/>
      <c r="X488" s="799"/>
      <c r="Y488" s="799"/>
      <c r="Z488" s="799"/>
      <c r="AA488" s="799"/>
      <c r="AB488" s="799"/>
      <c r="AC488" s="799"/>
      <c r="AD488" s="799"/>
      <c r="AE488" s="799"/>
      <c r="AF488" s="799"/>
      <c r="AG488" s="799"/>
      <c r="AH488" s="799"/>
      <c r="AI488" s="799"/>
      <c r="AJ488" s="799"/>
      <c r="AK488" s="799"/>
      <c r="AL488" s="799"/>
      <c r="AM488" s="799"/>
      <c r="AN488" s="799"/>
      <c r="AO488" s="799"/>
      <c r="AP488" s="799"/>
      <c r="AQ488" s="799"/>
      <c r="AR488" s="799"/>
      <c r="AS488" s="799"/>
      <c r="AT488" s="799"/>
      <c r="AU488" s="799"/>
      <c r="AV488" s="799"/>
      <c r="AW488" s="799"/>
      <c r="AX488" s="799"/>
      <c r="AY488" s="799"/>
      <c r="AZ488" s="799"/>
      <c r="BA488" s="799"/>
      <c r="BB488" s="799"/>
      <c r="BC488" s="799"/>
      <c r="BD488" s="799"/>
      <c r="BE488" s="799"/>
      <c r="BF488" s="799"/>
      <c r="BG488" s="799"/>
    </row>
    <row r="489">
      <c r="H489" s="799"/>
      <c r="I489" s="799"/>
      <c r="J489" s="799"/>
      <c r="K489" s="799"/>
      <c r="L489" s="799"/>
      <c r="M489" s="799"/>
      <c r="N489" s="799"/>
      <c r="O489" s="799"/>
      <c r="P489" s="799"/>
      <c r="Q489" s="799"/>
      <c r="R489" s="799"/>
      <c r="S489" s="799"/>
      <c r="T489" s="799"/>
      <c r="U489" s="799"/>
      <c r="V489" s="799"/>
      <c r="W489" s="799"/>
      <c r="X489" s="799"/>
      <c r="Y489" s="799"/>
      <c r="Z489" s="799"/>
      <c r="AA489" s="799"/>
      <c r="AB489" s="799"/>
      <c r="AC489" s="799"/>
      <c r="AD489" s="799"/>
      <c r="AE489" s="799"/>
      <c r="AF489" s="799"/>
      <c r="AG489" s="799"/>
      <c r="AH489" s="799"/>
      <c r="AI489" s="799"/>
      <c r="AJ489" s="799"/>
      <c r="AK489" s="799"/>
      <c r="AL489" s="799"/>
      <c r="AM489" s="799"/>
      <c r="AN489" s="799"/>
      <c r="AO489" s="799"/>
      <c r="AP489" s="799"/>
      <c r="AQ489" s="799"/>
      <c r="AR489" s="799"/>
      <c r="AS489" s="799"/>
      <c r="AT489" s="799"/>
      <c r="AU489" s="799"/>
      <c r="AV489" s="799"/>
      <c r="AW489" s="799"/>
      <c r="AX489" s="799"/>
      <c r="AY489" s="799"/>
      <c r="AZ489" s="799"/>
      <c r="BA489" s="799"/>
      <c r="BB489" s="799"/>
      <c r="BC489" s="799"/>
      <c r="BD489" s="799"/>
      <c r="BE489" s="799"/>
      <c r="BF489" s="799"/>
      <c r="BG489" s="799"/>
    </row>
    <row r="490">
      <c r="H490" s="799"/>
      <c r="I490" s="799"/>
      <c r="J490" s="799"/>
      <c r="K490" s="799"/>
      <c r="L490" s="799"/>
      <c r="M490" s="799"/>
      <c r="N490" s="799"/>
      <c r="O490" s="799"/>
      <c r="P490" s="799"/>
      <c r="Q490" s="799"/>
      <c r="R490" s="799"/>
      <c r="S490" s="799"/>
      <c r="T490" s="799"/>
      <c r="U490" s="799"/>
      <c r="V490" s="799"/>
      <c r="W490" s="799"/>
      <c r="X490" s="799"/>
      <c r="Y490" s="799"/>
      <c r="Z490" s="799"/>
      <c r="AA490" s="799"/>
      <c r="AB490" s="799"/>
      <c r="AC490" s="799"/>
      <c r="AD490" s="799"/>
      <c r="AE490" s="799"/>
      <c r="AF490" s="799"/>
      <c r="AG490" s="799"/>
      <c r="AH490" s="799"/>
      <c r="AI490" s="799"/>
      <c r="AJ490" s="799"/>
      <c r="AK490" s="799"/>
      <c r="AL490" s="799"/>
      <c r="AM490" s="799"/>
      <c r="AN490" s="799"/>
      <c r="AO490" s="799"/>
      <c r="AP490" s="799"/>
      <c r="AQ490" s="799"/>
      <c r="AR490" s="799"/>
      <c r="AS490" s="799"/>
      <c r="AT490" s="799"/>
      <c r="AU490" s="799"/>
      <c r="AV490" s="799"/>
      <c r="AW490" s="799"/>
      <c r="AX490" s="799"/>
      <c r="AY490" s="799"/>
      <c r="AZ490" s="799"/>
      <c r="BA490" s="799"/>
      <c r="BB490" s="799"/>
      <c r="BC490" s="799"/>
      <c r="BD490" s="799"/>
      <c r="BE490" s="799"/>
      <c r="BF490" s="799"/>
      <c r="BG490" s="799"/>
    </row>
    <row r="491">
      <c r="H491" s="799"/>
      <c r="I491" s="799"/>
      <c r="J491" s="799"/>
      <c r="K491" s="799"/>
      <c r="L491" s="799"/>
      <c r="M491" s="799"/>
      <c r="N491" s="799"/>
      <c r="O491" s="799"/>
      <c r="P491" s="799"/>
      <c r="Q491" s="799"/>
      <c r="R491" s="799"/>
      <c r="S491" s="799"/>
      <c r="T491" s="799"/>
      <c r="U491" s="799"/>
      <c r="V491" s="799"/>
      <c r="W491" s="799"/>
      <c r="X491" s="799"/>
      <c r="Y491" s="799"/>
      <c r="Z491" s="799"/>
      <c r="AA491" s="799"/>
      <c r="AB491" s="799"/>
      <c r="AC491" s="799"/>
      <c r="AD491" s="799"/>
      <c r="AE491" s="799"/>
      <c r="AF491" s="799"/>
      <c r="AG491" s="799"/>
      <c r="AH491" s="799"/>
      <c r="AI491" s="799"/>
      <c r="AJ491" s="799"/>
      <c r="AK491" s="799"/>
      <c r="AL491" s="799"/>
      <c r="AM491" s="799"/>
      <c r="AN491" s="799"/>
      <c r="AO491" s="799"/>
      <c r="AP491" s="799"/>
      <c r="AQ491" s="799"/>
      <c r="AR491" s="799"/>
      <c r="AS491" s="799"/>
      <c r="AT491" s="799"/>
      <c r="AU491" s="799"/>
      <c r="AV491" s="799"/>
      <c r="AW491" s="799"/>
      <c r="AX491" s="799"/>
      <c r="AY491" s="799"/>
      <c r="AZ491" s="799"/>
      <c r="BA491" s="799"/>
      <c r="BB491" s="799"/>
      <c r="BC491" s="799"/>
      <c r="BD491" s="799"/>
      <c r="BE491" s="799"/>
      <c r="BF491" s="799"/>
      <c r="BG491" s="799"/>
    </row>
    <row r="492">
      <c r="H492" s="799"/>
      <c r="I492" s="799"/>
      <c r="J492" s="799"/>
      <c r="K492" s="799"/>
      <c r="L492" s="799"/>
      <c r="M492" s="799"/>
      <c r="N492" s="799"/>
      <c r="O492" s="799"/>
      <c r="P492" s="799"/>
      <c r="Q492" s="799"/>
      <c r="R492" s="799"/>
      <c r="S492" s="799"/>
      <c r="T492" s="799"/>
      <c r="U492" s="799"/>
      <c r="V492" s="799"/>
      <c r="W492" s="799"/>
      <c r="X492" s="799"/>
      <c r="Y492" s="799"/>
      <c r="Z492" s="799"/>
      <c r="AA492" s="799"/>
      <c r="AB492" s="799"/>
      <c r="AC492" s="799"/>
      <c r="AD492" s="799"/>
      <c r="AE492" s="799"/>
      <c r="AF492" s="799"/>
      <c r="AG492" s="799"/>
      <c r="AH492" s="799"/>
      <c r="AI492" s="799"/>
      <c r="AJ492" s="799"/>
      <c r="AK492" s="799"/>
      <c r="AL492" s="799"/>
      <c r="AM492" s="799"/>
      <c r="AN492" s="799"/>
      <c r="AO492" s="799"/>
      <c r="AP492" s="799"/>
      <c r="AQ492" s="799"/>
      <c r="AR492" s="799"/>
      <c r="AS492" s="799"/>
      <c r="AT492" s="799"/>
      <c r="AU492" s="799"/>
      <c r="AV492" s="799"/>
      <c r="AW492" s="799"/>
      <c r="AX492" s="799"/>
      <c r="AY492" s="799"/>
      <c r="AZ492" s="799"/>
      <c r="BA492" s="799"/>
      <c r="BB492" s="799"/>
      <c r="BC492" s="799"/>
      <c r="BD492" s="799"/>
      <c r="BE492" s="799"/>
      <c r="BF492" s="799"/>
      <c r="BG492" s="799"/>
    </row>
    <row r="493">
      <c r="H493" s="799"/>
      <c r="I493" s="799"/>
      <c r="J493" s="799"/>
      <c r="K493" s="799"/>
      <c r="L493" s="799"/>
      <c r="M493" s="799"/>
      <c r="N493" s="799"/>
      <c r="O493" s="799"/>
      <c r="P493" s="799"/>
      <c r="Q493" s="799"/>
      <c r="R493" s="799"/>
      <c r="S493" s="799"/>
      <c r="T493" s="799"/>
      <c r="U493" s="799"/>
      <c r="V493" s="799"/>
      <c r="W493" s="799"/>
      <c r="X493" s="799"/>
      <c r="Y493" s="799"/>
      <c r="Z493" s="799"/>
      <c r="AA493" s="799"/>
      <c r="AB493" s="799"/>
      <c r="AC493" s="799"/>
      <c r="AD493" s="799"/>
      <c r="AE493" s="799"/>
      <c r="AF493" s="799"/>
      <c r="AG493" s="799"/>
      <c r="AH493" s="799"/>
      <c r="AI493" s="799"/>
      <c r="AJ493" s="799"/>
      <c r="AK493" s="799"/>
      <c r="AL493" s="799"/>
      <c r="AM493" s="799"/>
      <c r="AN493" s="799"/>
      <c r="AO493" s="799"/>
      <c r="AP493" s="799"/>
      <c r="AQ493" s="799"/>
      <c r="AR493" s="799"/>
      <c r="AS493" s="799"/>
      <c r="AT493" s="799"/>
      <c r="AU493" s="799"/>
      <c r="AV493" s="799"/>
      <c r="AW493" s="799"/>
      <c r="AX493" s="799"/>
      <c r="AY493" s="799"/>
      <c r="AZ493" s="799"/>
      <c r="BA493" s="799"/>
      <c r="BB493" s="799"/>
      <c r="BC493" s="799"/>
      <c r="BD493" s="799"/>
      <c r="BE493" s="799"/>
      <c r="BF493" s="799"/>
      <c r="BG493" s="799"/>
    </row>
    <row r="494">
      <c r="H494" s="799"/>
      <c r="I494" s="799"/>
      <c r="J494" s="799"/>
      <c r="K494" s="799"/>
      <c r="L494" s="799"/>
      <c r="M494" s="799"/>
      <c r="N494" s="799"/>
      <c r="O494" s="799"/>
      <c r="P494" s="799"/>
      <c r="Q494" s="799"/>
      <c r="R494" s="799"/>
      <c r="S494" s="799"/>
      <c r="T494" s="799"/>
      <c r="U494" s="799"/>
      <c r="V494" s="799"/>
      <c r="W494" s="799"/>
      <c r="X494" s="799"/>
      <c r="Y494" s="799"/>
      <c r="Z494" s="799"/>
      <c r="AA494" s="799"/>
      <c r="AB494" s="799"/>
      <c r="AC494" s="799"/>
      <c r="AD494" s="799"/>
      <c r="AE494" s="799"/>
      <c r="AF494" s="799"/>
      <c r="AG494" s="799"/>
      <c r="AH494" s="799"/>
      <c r="AI494" s="799"/>
      <c r="AJ494" s="799"/>
      <c r="AK494" s="799"/>
      <c r="AL494" s="799"/>
      <c r="AM494" s="799"/>
      <c r="AN494" s="799"/>
      <c r="AO494" s="799"/>
      <c r="AP494" s="799"/>
      <c r="AQ494" s="799"/>
      <c r="AR494" s="799"/>
      <c r="AS494" s="799"/>
      <c r="AT494" s="799"/>
      <c r="AU494" s="799"/>
      <c r="AV494" s="799"/>
      <c r="AW494" s="799"/>
      <c r="AX494" s="799"/>
      <c r="AY494" s="799"/>
      <c r="AZ494" s="799"/>
      <c r="BA494" s="799"/>
      <c r="BB494" s="799"/>
      <c r="BC494" s="799"/>
      <c r="BD494" s="799"/>
      <c r="BE494" s="799"/>
      <c r="BF494" s="799"/>
      <c r="BG494" s="799"/>
    </row>
    <row r="495">
      <c r="H495" s="799"/>
      <c r="I495" s="799"/>
      <c r="J495" s="799"/>
      <c r="K495" s="799"/>
      <c r="L495" s="799"/>
      <c r="M495" s="799"/>
      <c r="N495" s="799"/>
      <c r="O495" s="799"/>
      <c r="P495" s="799"/>
      <c r="Q495" s="799"/>
      <c r="R495" s="799"/>
      <c r="S495" s="799"/>
      <c r="T495" s="799"/>
      <c r="U495" s="799"/>
      <c r="V495" s="799"/>
      <c r="W495" s="799"/>
      <c r="X495" s="799"/>
      <c r="Y495" s="799"/>
      <c r="Z495" s="799"/>
      <c r="AA495" s="799"/>
      <c r="AB495" s="799"/>
      <c r="AC495" s="799"/>
      <c r="AD495" s="799"/>
      <c r="AE495" s="799"/>
      <c r="AF495" s="799"/>
      <c r="AG495" s="799"/>
      <c r="AH495" s="799"/>
      <c r="AI495" s="799"/>
      <c r="AJ495" s="799"/>
      <c r="AK495" s="799"/>
      <c r="AL495" s="799"/>
      <c r="AM495" s="799"/>
      <c r="AN495" s="799"/>
      <c r="AO495" s="799"/>
      <c r="AP495" s="799"/>
      <c r="AQ495" s="799"/>
      <c r="AR495" s="799"/>
      <c r="AS495" s="799"/>
      <c r="AT495" s="799"/>
      <c r="AU495" s="799"/>
      <c r="AV495" s="799"/>
      <c r="AW495" s="799"/>
      <c r="AX495" s="799"/>
      <c r="AY495" s="799"/>
      <c r="AZ495" s="799"/>
      <c r="BA495" s="799"/>
      <c r="BB495" s="799"/>
      <c r="BC495" s="799"/>
      <c r="BD495" s="799"/>
      <c r="BE495" s="799"/>
      <c r="BF495" s="799"/>
      <c r="BG495" s="799"/>
    </row>
    <row r="496">
      <c r="H496" s="799"/>
      <c r="I496" s="799"/>
      <c r="J496" s="799"/>
      <c r="K496" s="799"/>
      <c r="L496" s="799"/>
      <c r="M496" s="799"/>
      <c r="N496" s="799"/>
      <c r="O496" s="799"/>
      <c r="P496" s="799"/>
      <c r="Q496" s="799"/>
      <c r="R496" s="799"/>
      <c r="S496" s="799"/>
      <c r="T496" s="799"/>
      <c r="U496" s="799"/>
      <c r="V496" s="799"/>
      <c r="W496" s="799"/>
      <c r="X496" s="799"/>
      <c r="Y496" s="799"/>
      <c r="Z496" s="799"/>
      <c r="AA496" s="799"/>
      <c r="AB496" s="799"/>
      <c r="AC496" s="799"/>
      <c r="AD496" s="799"/>
      <c r="AE496" s="799"/>
      <c r="AF496" s="799"/>
      <c r="AG496" s="799"/>
      <c r="AH496" s="799"/>
      <c r="AI496" s="799"/>
      <c r="AJ496" s="799"/>
      <c r="AK496" s="799"/>
      <c r="AL496" s="799"/>
      <c r="AM496" s="799"/>
      <c r="AN496" s="799"/>
      <c r="AO496" s="799"/>
      <c r="AP496" s="799"/>
      <c r="AQ496" s="799"/>
      <c r="AR496" s="799"/>
      <c r="AS496" s="799"/>
      <c r="AT496" s="799"/>
      <c r="AU496" s="799"/>
      <c r="AV496" s="799"/>
      <c r="AW496" s="799"/>
      <c r="AX496" s="799"/>
      <c r="AY496" s="799"/>
      <c r="AZ496" s="799"/>
      <c r="BA496" s="799"/>
      <c r="BB496" s="799"/>
      <c r="BC496" s="799"/>
      <c r="BD496" s="799"/>
      <c r="BE496" s="799"/>
      <c r="BF496" s="799"/>
      <c r="BG496" s="799"/>
    </row>
    <row r="497">
      <c r="H497" s="799"/>
      <c r="I497" s="799"/>
      <c r="J497" s="799"/>
      <c r="K497" s="799"/>
      <c r="L497" s="799"/>
      <c r="M497" s="799"/>
      <c r="N497" s="799"/>
      <c r="O497" s="799"/>
      <c r="P497" s="799"/>
      <c r="Q497" s="799"/>
      <c r="R497" s="799"/>
      <c r="S497" s="799"/>
      <c r="T497" s="799"/>
      <c r="U497" s="799"/>
      <c r="V497" s="799"/>
      <c r="W497" s="799"/>
      <c r="X497" s="799"/>
      <c r="Y497" s="799"/>
      <c r="Z497" s="799"/>
      <c r="AA497" s="799"/>
      <c r="AB497" s="799"/>
      <c r="AC497" s="799"/>
      <c r="AD497" s="799"/>
      <c r="AE497" s="799"/>
      <c r="AF497" s="799"/>
      <c r="AG497" s="799"/>
      <c r="AH497" s="799"/>
      <c r="AI497" s="799"/>
      <c r="AJ497" s="799"/>
      <c r="AK497" s="799"/>
      <c r="AL497" s="799"/>
      <c r="AM497" s="799"/>
      <c r="AN497" s="799"/>
      <c r="AO497" s="799"/>
      <c r="AP497" s="799"/>
      <c r="AQ497" s="799"/>
      <c r="AR497" s="799"/>
      <c r="AS497" s="799"/>
      <c r="AT497" s="799"/>
      <c r="AU497" s="799"/>
      <c r="AV497" s="799"/>
      <c r="AW497" s="799"/>
      <c r="AX497" s="799"/>
      <c r="AY497" s="799"/>
      <c r="AZ497" s="799"/>
      <c r="BA497" s="799"/>
      <c r="BB497" s="799"/>
      <c r="BC497" s="799"/>
      <c r="BD497" s="799"/>
      <c r="BE497" s="799"/>
      <c r="BF497" s="799"/>
      <c r="BG497" s="799"/>
    </row>
    <row r="498">
      <c r="H498" s="799"/>
      <c r="I498" s="799"/>
      <c r="J498" s="799"/>
      <c r="K498" s="799"/>
      <c r="L498" s="799"/>
      <c r="M498" s="799"/>
      <c r="N498" s="799"/>
      <c r="O498" s="799"/>
      <c r="P498" s="799"/>
      <c r="Q498" s="799"/>
      <c r="R498" s="799"/>
      <c r="S498" s="799"/>
      <c r="T498" s="799"/>
      <c r="U498" s="799"/>
      <c r="V498" s="799"/>
      <c r="W498" s="799"/>
      <c r="X498" s="799"/>
      <c r="Y498" s="799"/>
      <c r="Z498" s="799"/>
      <c r="AA498" s="799"/>
      <c r="AB498" s="799"/>
      <c r="AC498" s="799"/>
      <c r="AD498" s="799"/>
      <c r="AE498" s="799"/>
      <c r="AF498" s="799"/>
      <c r="AG498" s="799"/>
      <c r="AH498" s="799"/>
      <c r="AI498" s="799"/>
      <c r="AJ498" s="799"/>
      <c r="AK498" s="799"/>
      <c r="AL498" s="799"/>
      <c r="AM498" s="799"/>
      <c r="AN498" s="799"/>
      <c r="AO498" s="799"/>
      <c r="AP498" s="799"/>
      <c r="AQ498" s="799"/>
      <c r="AR498" s="799"/>
      <c r="AS498" s="799"/>
      <c r="AT498" s="799"/>
      <c r="AU498" s="799"/>
      <c r="AV498" s="799"/>
      <c r="AW498" s="799"/>
      <c r="AX498" s="799"/>
      <c r="AY498" s="799"/>
      <c r="AZ498" s="799"/>
      <c r="BA498" s="799"/>
      <c r="BB498" s="799"/>
      <c r="BC498" s="799"/>
      <c r="BD498" s="799"/>
      <c r="BE498" s="799"/>
      <c r="BF498" s="799"/>
      <c r="BG498" s="799"/>
    </row>
    <row r="499">
      <c r="H499" s="799"/>
      <c r="I499" s="799"/>
      <c r="J499" s="799"/>
      <c r="K499" s="799"/>
      <c r="L499" s="799"/>
      <c r="M499" s="799"/>
      <c r="N499" s="799"/>
      <c r="O499" s="799"/>
      <c r="P499" s="799"/>
      <c r="Q499" s="799"/>
      <c r="R499" s="799"/>
      <c r="S499" s="799"/>
      <c r="T499" s="799"/>
      <c r="U499" s="799"/>
      <c r="V499" s="799"/>
      <c r="W499" s="799"/>
      <c r="X499" s="799"/>
      <c r="Y499" s="799"/>
      <c r="Z499" s="799"/>
      <c r="AA499" s="799"/>
      <c r="AB499" s="799"/>
      <c r="AC499" s="799"/>
      <c r="AD499" s="799"/>
      <c r="AE499" s="799"/>
      <c r="AF499" s="799"/>
      <c r="AG499" s="799"/>
      <c r="AH499" s="799"/>
      <c r="AI499" s="799"/>
      <c r="AJ499" s="799"/>
      <c r="AK499" s="799"/>
      <c r="AL499" s="799"/>
      <c r="AM499" s="799"/>
      <c r="AN499" s="799"/>
      <c r="AO499" s="799"/>
      <c r="AP499" s="799"/>
      <c r="AQ499" s="799"/>
      <c r="AR499" s="799"/>
      <c r="AS499" s="799"/>
      <c r="AT499" s="799"/>
      <c r="AU499" s="799"/>
      <c r="AV499" s="799"/>
      <c r="AW499" s="799"/>
      <c r="AX499" s="799"/>
      <c r="AY499" s="799"/>
      <c r="AZ499" s="799"/>
      <c r="BA499" s="799"/>
      <c r="BB499" s="799"/>
      <c r="BC499" s="799"/>
      <c r="BD499" s="799"/>
      <c r="BE499" s="799"/>
      <c r="BF499" s="799"/>
      <c r="BG499" s="799"/>
    </row>
    <row r="500">
      <c r="H500" s="799"/>
      <c r="I500" s="799"/>
      <c r="J500" s="799"/>
      <c r="K500" s="799"/>
      <c r="L500" s="799"/>
      <c r="M500" s="799"/>
      <c r="N500" s="799"/>
      <c r="O500" s="799"/>
      <c r="P500" s="799"/>
      <c r="Q500" s="799"/>
      <c r="R500" s="799"/>
      <c r="S500" s="799"/>
      <c r="T500" s="799"/>
      <c r="U500" s="799"/>
      <c r="V500" s="799"/>
      <c r="W500" s="799"/>
      <c r="X500" s="799"/>
      <c r="Y500" s="799"/>
      <c r="Z500" s="799"/>
      <c r="AA500" s="799"/>
      <c r="AB500" s="799"/>
      <c r="AC500" s="799"/>
      <c r="AD500" s="799"/>
      <c r="AE500" s="799"/>
      <c r="AF500" s="799"/>
      <c r="AG500" s="799"/>
      <c r="AH500" s="799"/>
      <c r="AI500" s="799"/>
      <c r="AJ500" s="799"/>
      <c r="AK500" s="799"/>
      <c r="AL500" s="799"/>
      <c r="AM500" s="799"/>
      <c r="AN500" s="799"/>
      <c r="AO500" s="799"/>
      <c r="AP500" s="799"/>
      <c r="AQ500" s="799"/>
      <c r="AR500" s="799"/>
      <c r="AS500" s="799"/>
      <c r="AT500" s="799"/>
      <c r="AU500" s="799"/>
      <c r="AV500" s="799"/>
      <c r="AW500" s="799"/>
      <c r="AX500" s="799"/>
      <c r="AY500" s="799"/>
      <c r="AZ500" s="799"/>
      <c r="BA500" s="799"/>
      <c r="BB500" s="799"/>
      <c r="BC500" s="799"/>
      <c r="BD500" s="799"/>
      <c r="BE500" s="799"/>
      <c r="BF500" s="799"/>
      <c r="BG500" s="799"/>
    </row>
    <row r="501">
      <c r="H501" s="799"/>
      <c r="I501" s="799"/>
      <c r="J501" s="799"/>
      <c r="K501" s="799"/>
      <c r="L501" s="799"/>
      <c r="M501" s="799"/>
      <c r="N501" s="799"/>
      <c r="O501" s="799"/>
      <c r="P501" s="799"/>
      <c r="Q501" s="799"/>
      <c r="R501" s="799"/>
      <c r="S501" s="799"/>
      <c r="T501" s="799"/>
      <c r="U501" s="799"/>
      <c r="V501" s="799"/>
      <c r="W501" s="799"/>
      <c r="X501" s="799"/>
      <c r="Y501" s="799"/>
      <c r="Z501" s="799"/>
      <c r="AA501" s="799"/>
      <c r="AB501" s="799"/>
      <c r="AC501" s="799"/>
      <c r="AD501" s="799"/>
      <c r="AE501" s="799"/>
      <c r="AF501" s="799"/>
      <c r="AG501" s="799"/>
      <c r="AH501" s="799"/>
      <c r="AI501" s="799"/>
      <c r="AJ501" s="799"/>
      <c r="AK501" s="799"/>
      <c r="AL501" s="799"/>
      <c r="AM501" s="799"/>
      <c r="AN501" s="799"/>
      <c r="AO501" s="799"/>
      <c r="AP501" s="799"/>
      <c r="AQ501" s="799"/>
      <c r="AR501" s="799"/>
      <c r="AS501" s="799"/>
      <c r="AT501" s="799"/>
      <c r="AU501" s="799"/>
      <c r="AV501" s="799"/>
      <c r="AW501" s="799"/>
      <c r="AX501" s="799"/>
      <c r="AY501" s="799"/>
      <c r="AZ501" s="799"/>
      <c r="BA501" s="799"/>
      <c r="BB501" s="799"/>
      <c r="BC501" s="799"/>
      <c r="BD501" s="799"/>
      <c r="BE501" s="799"/>
      <c r="BF501" s="799"/>
      <c r="BG501" s="799"/>
    </row>
    <row r="502">
      <c r="H502" s="799"/>
      <c r="I502" s="799"/>
      <c r="J502" s="799"/>
      <c r="K502" s="799"/>
      <c r="L502" s="799"/>
      <c r="M502" s="799"/>
      <c r="N502" s="799"/>
      <c r="O502" s="799"/>
      <c r="P502" s="799"/>
      <c r="Q502" s="799"/>
      <c r="R502" s="799"/>
      <c r="S502" s="799"/>
      <c r="T502" s="799"/>
      <c r="U502" s="799"/>
      <c r="V502" s="799"/>
      <c r="W502" s="799"/>
      <c r="X502" s="799"/>
      <c r="Y502" s="799"/>
      <c r="Z502" s="799"/>
      <c r="AA502" s="799"/>
      <c r="AB502" s="799"/>
      <c r="AC502" s="799"/>
      <c r="AD502" s="799"/>
      <c r="AE502" s="799"/>
      <c r="AF502" s="799"/>
      <c r="AG502" s="799"/>
      <c r="AH502" s="799"/>
      <c r="AI502" s="799"/>
      <c r="AJ502" s="799"/>
      <c r="AK502" s="799"/>
      <c r="AL502" s="799"/>
      <c r="AM502" s="799"/>
      <c r="AN502" s="799"/>
      <c r="AO502" s="799"/>
      <c r="AP502" s="799"/>
      <c r="AQ502" s="799"/>
      <c r="AR502" s="799"/>
      <c r="AS502" s="799"/>
      <c r="AT502" s="799"/>
      <c r="AU502" s="799"/>
      <c r="AV502" s="799"/>
      <c r="AW502" s="799"/>
      <c r="AX502" s="799"/>
      <c r="AY502" s="799"/>
      <c r="AZ502" s="799"/>
      <c r="BA502" s="799"/>
      <c r="BB502" s="799"/>
      <c r="BC502" s="799"/>
      <c r="BD502" s="799"/>
      <c r="BE502" s="799"/>
      <c r="BF502" s="799"/>
      <c r="BG502" s="799"/>
    </row>
    <row r="503">
      <c r="H503" s="799"/>
      <c r="I503" s="799"/>
      <c r="J503" s="799"/>
      <c r="K503" s="799"/>
      <c r="L503" s="799"/>
      <c r="M503" s="799"/>
      <c r="N503" s="799"/>
      <c r="O503" s="799"/>
      <c r="P503" s="799"/>
      <c r="Q503" s="799"/>
      <c r="R503" s="799"/>
      <c r="S503" s="799"/>
      <c r="T503" s="799"/>
      <c r="U503" s="799"/>
      <c r="V503" s="799"/>
      <c r="W503" s="799"/>
      <c r="X503" s="799"/>
      <c r="Y503" s="799"/>
      <c r="Z503" s="799"/>
      <c r="AA503" s="799"/>
      <c r="AB503" s="799"/>
      <c r="AC503" s="799"/>
      <c r="AD503" s="799"/>
      <c r="AE503" s="799"/>
      <c r="AF503" s="799"/>
      <c r="AG503" s="799"/>
      <c r="AH503" s="799"/>
      <c r="AI503" s="799"/>
      <c r="AJ503" s="799"/>
      <c r="AK503" s="799"/>
      <c r="AL503" s="799"/>
      <c r="AM503" s="799"/>
      <c r="AN503" s="799"/>
      <c r="AO503" s="799"/>
      <c r="AP503" s="799"/>
      <c r="AQ503" s="799"/>
      <c r="AR503" s="799"/>
      <c r="AS503" s="799"/>
      <c r="AT503" s="799"/>
      <c r="AU503" s="799"/>
      <c r="AV503" s="799"/>
      <c r="AW503" s="799"/>
      <c r="AX503" s="799"/>
      <c r="AY503" s="799"/>
      <c r="AZ503" s="799"/>
      <c r="BA503" s="799"/>
      <c r="BB503" s="799"/>
      <c r="BC503" s="799"/>
      <c r="BD503" s="799"/>
      <c r="BE503" s="799"/>
      <c r="BF503" s="799"/>
      <c r="BG503" s="799"/>
    </row>
    <row r="504">
      <c r="H504" s="799"/>
      <c r="I504" s="799"/>
      <c r="J504" s="799"/>
      <c r="K504" s="799"/>
      <c r="L504" s="799"/>
      <c r="M504" s="799"/>
      <c r="N504" s="799"/>
      <c r="O504" s="799"/>
      <c r="P504" s="799"/>
      <c r="Q504" s="799"/>
      <c r="R504" s="799"/>
      <c r="S504" s="799"/>
      <c r="T504" s="799"/>
      <c r="U504" s="799"/>
      <c r="V504" s="799"/>
      <c r="W504" s="799"/>
      <c r="X504" s="799"/>
      <c r="Y504" s="799"/>
      <c r="Z504" s="799"/>
      <c r="AA504" s="799"/>
      <c r="AB504" s="799"/>
      <c r="AC504" s="799"/>
      <c r="AD504" s="799"/>
      <c r="AE504" s="799"/>
      <c r="AF504" s="799"/>
      <c r="AG504" s="799"/>
      <c r="AH504" s="799"/>
      <c r="AI504" s="799"/>
      <c r="AJ504" s="799"/>
      <c r="AK504" s="799"/>
      <c r="AL504" s="799"/>
      <c r="AM504" s="799"/>
      <c r="AN504" s="799"/>
      <c r="AO504" s="799"/>
      <c r="AP504" s="799"/>
      <c r="AQ504" s="799"/>
      <c r="AR504" s="799"/>
      <c r="AS504" s="799"/>
      <c r="AT504" s="799"/>
      <c r="AU504" s="799"/>
      <c r="AV504" s="799"/>
      <c r="AW504" s="799"/>
      <c r="AX504" s="799"/>
      <c r="AY504" s="799"/>
      <c r="AZ504" s="799"/>
      <c r="BA504" s="799"/>
      <c r="BB504" s="799"/>
      <c r="BC504" s="799"/>
      <c r="BD504" s="799"/>
      <c r="BE504" s="799"/>
      <c r="BF504" s="799"/>
      <c r="BG504" s="799"/>
    </row>
    <row r="505">
      <c r="H505" s="799"/>
      <c r="I505" s="799"/>
      <c r="J505" s="799"/>
      <c r="K505" s="799"/>
      <c r="L505" s="799"/>
      <c r="M505" s="799"/>
      <c r="N505" s="799"/>
      <c r="O505" s="799"/>
      <c r="P505" s="799"/>
      <c r="Q505" s="799"/>
      <c r="R505" s="799"/>
      <c r="S505" s="799"/>
      <c r="T505" s="799"/>
      <c r="U505" s="799"/>
      <c r="V505" s="799"/>
      <c r="W505" s="799"/>
      <c r="X505" s="799"/>
      <c r="Y505" s="799"/>
      <c r="Z505" s="799"/>
      <c r="AA505" s="799"/>
      <c r="AB505" s="799"/>
      <c r="AC505" s="799"/>
      <c r="AD505" s="799"/>
      <c r="AE505" s="799"/>
      <c r="AF505" s="799"/>
      <c r="AG505" s="799"/>
      <c r="AH505" s="799"/>
      <c r="AI505" s="799"/>
      <c r="AJ505" s="799"/>
      <c r="AK505" s="799"/>
      <c r="AL505" s="799"/>
      <c r="AM505" s="799"/>
      <c r="AN505" s="799"/>
      <c r="AO505" s="799"/>
      <c r="AP505" s="799"/>
      <c r="AQ505" s="799"/>
      <c r="AR505" s="799"/>
      <c r="AS505" s="799"/>
      <c r="AT505" s="799"/>
      <c r="AU505" s="799"/>
      <c r="AV505" s="799"/>
      <c r="AW505" s="799"/>
      <c r="AX505" s="799"/>
      <c r="AY505" s="799"/>
      <c r="AZ505" s="799"/>
      <c r="BA505" s="799"/>
      <c r="BB505" s="799"/>
      <c r="BC505" s="799"/>
      <c r="BD505" s="799"/>
      <c r="BE505" s="799"/>
      <c r="BF505" s="799"/>
      <c r="BG505" s="799"/>
    </row>
    <row r="506">
      <c r="H506" s="799"/>
      <c r="I506" s="799"/>
      <c r="J506" s="799"/>
      <c r="K506" s="799"/>
      <c r="L506" s="799"/>
      <c r="M506" s="799"/>
      <c r="N506" s="799"/>
      <c r="O506" s="799"/>
      <c r="P506" s="799"/>
      <c r="Q506" s="799"/>
      <c r="R506" s="799"/>
      <c r="S506" s="799"/>
      <c r="T506" s="799"/>
      <c r="U506" s="799"/>
      <c r="V506" s="799"/>
      <c r="W506" s="799"/>
      <c r="X506" s="799"/>
      <c r="Y506" s="799"/>
      <c r="Z506" s="799"/>
      <c r="AA506" s="799"/>
      <c r="AB506" s="799"/>
      <c r="AC506" s="799"/>
      <c r="AD506" s="799"/>
      <c r="AE506" s="799"/>
      <c r="AF506" s="799"/>
      <c r="AG506" s="799"/>
      <c r="AH506" s="799"/>
      <c r="AI506" s="799"/>
      <c r="AJ506" s="799"/>
      <c r="AK506" s="799"/>
      <c r="AL506" s="799"/>
      <c r="AM506" s="799"/>
      <c r="AN506" s="799"/>
      <c r="AO506" s="799"/>
      <c r="AP506" s="799"/>
      <c r="AQ506" s="799"/>
      <c r="AR506" s="799"/>
      <c r="AS506" s="799"/>
      <c r="AT506" s="799"/>
      <c r="AU506" s="799"/>
      <c r="AV506" s="799"/>
      <c r="AW506" s="799"/>
      <c r="AX506" s="799"/>
      <c r="AY506" s="799"/>
      <c r="AZ506" s="799"/>
      <c r="BA506" s="799"/>
      <c r="BB506" s="799"/>
      <c r="BC506" s="799"/>
      <c r="BD506" s="799"/>
      <c r="BE506" s="799"/>
      <c r="BF506" s="799"/>
      <c r="BG506" s="799"/>
    </row>
    <row r="507">
      <c r="H507" s="799"/>
      <c r="I507" s="799"/>
      <c r="J507" s="799"/>
      <c r="K507" s="799"/>
      <c r="L507" s="799"/>
      <c r="M507" s="799"/>
      <c r="N507" s="799"/>
      <c r="O507" s="799"/>
      <c r="P507" s="799"/>
      <c r="Q507" s="799"/>
      <c r="R507" s="799"/>
      <c r="S507" s="799"/>
      <c r="T507" s="799"/>
      <c r="U507" s="799"/>
      <c r="V507" s="799"/>
      <c r="W507" s="799"/>
      <c r="X507" s="799"/>
      <c r="Y507" s="799"/>
      <c r="Z507" s="799"/>
      <c r="AA507" s="799"/>
      <c r="AB507" s="799"/>
      <c r="AC507" s="799"/>
      <c r="AD507" s="799"/>
      <c r="AE507" s="799"/>
      <c r="AF507" s="799"/>
      <c r="AG507" s="799"/>
      <c r="AH507" s="799"/>
      <c r="AI507" s="799"/>
      <c r="AJ507" s="799"/>
      <c r="AK507" s="799"/>
      <c r="AL507" s="799"/>
      <c r="AM507" s="799"/>
      <c r="AN507" s="799"/>
      <c r="AO507" s="799"/>
      <c r="AP507" s="799"/>
      <c r="AQ507" s="799"/>
      <c r="AR507" s="799"/>
      <c r="AS507" s="799"/>
      <c r="AT507" s="799"/>
      <c r="AU507" s="799"/>
      <c r="AV507" s="799"/>
      <c r="AW507" s="799"/>
      <c r="AX507" s="799"/>
      <c r="AY507" s="799"/>
      <c r="AZ507" s="799"/>
      <c r="BA507" s="799"/>
      <c r="BB507" s="799"/>
      <c r="BC507" s="799"/>
      <c r="BD507" s="799"/>
      <c r="BE507" s="799"/>
      <c r="BF507" s="799"/>
      <c r="BG507" s="799"/>
    </row>
    <row r="508">
      <c r="H508" s="799"/>
      <c r="I508" s="799"/>
      <c r="J508" s="799"/>
      <c r="K508" s="799"/>
      <c r="L508" s="799"/>
      <c r="M508" s="799"/>
      <c r="N508" s="799"/>
      <c r="O508" s="799"/>
      <c r="P508" s="799"/>
      <c r="Q508" s="799"/>
      <c r="R508" s="799"/>
      <c r="S508" s="799"/>
      <c r="T508" s="799"/>
      <c r="U508" s="799"/>
      <c r="V508" s="799"/>
      <c r="W508" s="799"/>
      <c r="X508" s="799"/>
      <c r="Y508" s="799"/>
      <c r="Z508" s="799"/>
      <c r="AA508" s="799"/>
      <c r="AB508" s="799"/>
      <c r="AC508" s="799"/>
      <c r="AD508" s="799"/>
      <c r="AE508" s="799"/>
      <c r="AF508" s="799"/>
      <c r="AG508" s="799"/>
      <c r="AH508" s="799"/>
      <c r="AI508" s="799"/>
      <c r="AJ508" s="799"/>
      <c r="AK508" s="799"/>
      <c r="AL508" s="799"/>
      <c r="AM508" s="799"/>
      <c r="AN508" s="799"/>
      <c r="AO508" s="799"/>
      <c r="AP508" s="799"/>
      <c r="AQ508" s="799"/>
      <c r="AR508" s="799"/>
      <c r="AS508" s="799"/>
      <c r="AT508" s="799"/>
      <c r="AU508" s="799"/>
      <c r="AV508" s="799"/>
      <c r="AW508" s="799"/>
      <c r="AX508" s="799"/>
      <c r="AY508" s="799"/>
      <c r="AZ508" s="799"/>
      <c r="BA508" s="799"/>
      <c r="BB508" s="799"/>
      <c r="BC508" s="799"/>
      <c r="BD508" s="799"/>
      <c r="BE508" s="799"/>
      <c r="BF508" s="799"/>
      <c r="BG508" s="799"/>
    </row>
    <row r="509">
      <c r="H509" s="799"/>
      <c r="I509" s="799"/>
      <c r="J509" s="799"/>
      <c r="K509" s="799"/>
      <c r="L509" s="799"/>
      <c r="M509" s="799"/>
      <c r="N509" s="799"/>
      <c r="O509" s="799"/>
      <c r="P509" s="799"/>
      <c r="Q509" s="799"/>
      <c r="R509" s="799"/>
      <c r="S509" s="799"/>
      <c r="T509" s="799"/>
      <c r="U509" s="799"/>
      <c r="V509" s="799"/>
      <c r="W509" s="799"/>
      <c r="X509" s="799"/>
      <c r="Y509" s="799"/>
      <c r="Z509" s="799"/>
      <c r="AA509" s="799"/>
      <c r="AB509" s="799"/>
      <c r="AC509" s="799"/>
      <c r="AD509" s="799"/>
      <c r="AE509" s="799"/>
      <c r="AF509" s="799"/>
      <c r="AG509" s="799"/>
      <c r="AH509" s="799"/>
      <c r="AI509" s="799"/>
      <c r="AJ509" s="799"/>
      <c r="AK509" s="799"/>
      <c r="AL509" s="799"/>
      <c r="AM509" s="799"/>
      <c r="AN509" s="799"/>
      <c r="AO509" s="799"/>
      <c r="AP509" s="799"/>
      <c r="AQ509" s="799"/>
      <c r="AR509" s="799"/>
      <c r="AS509" s="799"/>
      <c r="AT509" s="799"/>
      <c r="AU509" s="799"/>
      <c r="AV509" s="799"/>
      <c r="AW509" s="799"/>
      <c r="AX509" s="799"/>
      <c r="AY509" s="799"/>
      <c r="AZ509" s="799"/>
      <c r="BA509" s="799"/>
      <c r="BB509" s="799"/>
      <c r="BC509" s="799"/>
      <c r="BD509" s="799"/>
      <c r="BE509" s="799"/>
      <c r="BF509" s="799"/>
      <c r="BG509" s="799"/>
    </row>
    <row r="510">
      <c r="H510" s="799"/>
      <c r="I510" s="799"/>
      <c r="J510" s="799"/>
      <c r="K510" s="799"/>
      <c r="L510" s="799"/>
      <c r="M510" s="799"/>
      <c r="N510" s="799"/>
      <c r="O510" s="799"/>
      <c r="P510" s="799"/>
      <c r="Q510" s="799"/>
      <c r="R510" s="799"/>
      <c r="S510" s="799"/>
      <c r="T510" s="799"/>
      <c r="U510" s="799"/>
      <c r="V510" s="799"/>
      <c r="W510" s="799"/>
      <c r="X510" s="799"/>
      <c r="Y510" s="799"/>
      <c r="Z510" s="799"/>
      <c r="AA510" s="799"/>
      <c r="AB510" s="799"/>
      <c r="AC510" s="799"/>
      <c r="AD510" s="799"/>
      <c r="AE510" s="799"/>
      <c r="AF510" s="799"/>
      <c r="AG510" s="799"/>
      <c r="AH510" s="799"/>
      <c r="AI510" s="799"/>
      <c r="AJ510" s="799"/>
      <c r="AK510" s="799"/>
      <c r="AL510" s="799"/>
      <c r="AM510" s="799"/>
      <c r="AN510" s="799"/>
      <c r="AO510" s="799"/>
      <c r="AP510" s="799"/>
      <c r="AQ510" s="799"/>
      <c r="AR510" s="799"/>
      <c r="AS510" s="799"/>
      <c r="AT510" s="799"/>
      <c r="AU510" s="799"/>
      <c r="AV510" s="799"/>
      <c r="AW510" s="799"/>
      <c r="AX510" s="799"/>
      <c r="AY510" s="799"/>
      <c r="AZ510" s="799"/>
      <c r="BA510" s="799"/>
      <c r="BB510" s="799"/>
      <c r="BC510" s="799"/>
      <c r="BD510" s="799"/>
      <c r="BE510" s="799"/>
      <c r="BF510" s="799"/>
      <c r="BG510" s="799"/>
    </row>
    <row r="511">
      <c r="H511" s="799"/>
      <c r="I511" s="799"/>
      <c r="J511" s="799"/>
      <c r="K511" s="799"/>
      <c r="L511" s="799"/>
      <c r="M511" s="799"/>
      <c r="N511" s="799"/>
      <c r="O511" s="799"/>
      <c r="P511" s="799"/>
      <c r="Q511" s="799"/>
      <c r="R511" s="799"/>
      <c r="S511" s="799"/>
      <c r="T511" s="799"/>
      <c r="U511" s="799"/>
      <c r="V511" s="799"/>
      <c r="W511" s="799"/>
      <c r="X511" s="799"/>
      <c r="Y511" s="799"/>
      <c r="Z511" s="799"/>
      <c r="AA511" s="799"/>
      <c r="AB511" s="799"/>
      <c r="AC511" s="799"/>
      <c r="AD511" s="799"/>
      <c r="AE511" s="799"/>
      <c r="AF511" s="799"/>
      <c r="AG511" s="799"/>
      <c r="AH511" s="799"/>
      <c r="AI511" s="799"/>
      <c r="AJ511" s="799"/>
      <c r="AK511" s="799"/>
      <c r="AL511" s="799"/>
      <c r="AM511" s="799"/>
      <c r="AN511" s="799"/>
      <c r="AO511" s="799"/>
      <c r="AP511" s="799"/>
      <c r="AQ511" s="799"/>
      <c r="AR511" s="799"/>
      <c r="AS511" s="799"/>
      <c r="AT511" s="799"/>
      <c r="AU511" s="799"/>
      <c r="AV511" s="799"/>
      <c r="AW511" s="799"/>
      <c r="AX511" s="799"/>
      <c r="AY511" s="799"/>
      <c r="AZ511" s="799"/>
      <c r="BA511" s="799"/>
      <c r="BB511" s="799"/>
      <c r="BC511" s="799"/>
      <c r="BD511" s="799"/>
      <c r="BE511" s="799"/>
      <c r="BF511" s="799"/>
      <c r="BG511" s="799"/>
    </row>
    <row r="512">
      <c r="H512" s="799"/>
      <c r="I512" s="799"/>
      <c r="J512" s="799"/>
      <c r="K512" s="799"/>
      <c r="L512" s="799"/>
      <c r="M512" s="799"/>
      <c r="N512" s="799"/>
      <c r="O512" s="799"/>
      <c r="P512" s="799"/>
      <c r="Q512" s="799"/>
      <c r="R512" s="799"/>
      <c r="S512" s="799"/>
      <c r="T512" s="799"/>
      <c r="U512" s="799"/>
      <c r="V512" s="799"/>
      <c r="W512" s="799"/>
      <c r="X512" s="799"/>
      <c r="Y512" s="799"/>
      <c r="Z512" s="799"/>
      <c r="AA512" s="799"/>
      <c r="AB512" s="799"/>
      <c r="AC512" s="799"/>
      <c r="AD512" s="799"/>
      <c r="AE512" s="799"/>
      <c r="AF512" s="799"/>
      <c r="AG512" s="799"/>
      <c r="AH512" s="799"/>
      <c r="AI512" s="799"/>
      <c r="AJ512" s="799"/>
      <c r="AK512" s="799"/>
      <c r="AL512" s="799"/>
      <c r="AM512" s="799"/>
      <c r="AN512" s="799"/>
      <c r="AO512" s="799"/>
      <c r="AP512" s="799"/>
      <c r="AQ512" s="799"/>
      <c r="AR512" s="799"/>
      <c r="AS512" s="799"/>
      <c r="AT512" s="799"/>
      <c r="AU512" s="799"/>
      <c r="AV512" s="799"/>
      <c r="AW512" s="799"/>
      <c r="AX512" s="799"/>
      <c r="AY512" s="799"/>
      <c r="AZ512" s="799"/>
      <c r="BA512" s="799"/>
      <c r="BB512" s="799"/>
      <c r="BC512" s="799"/>
      <c r="BD512" s="799"/>
      <c r="BE512" s="799"/>
      <c r="BF512" s="799"/>
      <c r="BG512" s="799"/>
    </row>
    <row r="513">
      <c r="H513" s="799"/>
      <c r="I513" s="799"/>
      <c r="J513" s="799"/>
      <c r="K513" s="799"/>
      <c r="L513" s="799"/>
      <c r="M513" s="799"/>
      <c r="N513" s="799"/>
      <c r="O513" s="799"/>
      <c r="P513" s="799"/>
      <c r="Q513" s="799"/>
      <c r="R513" s="799"/>
      <c r="S513" s="799"/>
      <c r="T513" s="799"/>
      <c r="U513" s="799"/>
      <c r="V513" s="799"/>
      <c r="W513" s="799"/>
      <c r="X513" s="799"/>
      <c r="Y513" s="799"/>
      <c r="Z513" s="799"/>
      <c r="AA513" s="799"/>
      <c r="AB513" s="799"/>
      <c r="AC513" s="799"/>
      <c r="AD513" s="799"/>
      <c r="AE513" s="799"/>
      <c r="AF513" s="799"/>
      <c r="AG513" s="799"/>
      <c r="AH513" s="799"/>
      <c r="AI513" s="799"/>
      <c r="AJ513" s="799"/>
      <c r="AK513" s="799"/>
      <c r="AL513" s="799"/>
      <c r="AM513" s="799"/>
      <c r="AN513" s="799"/>
      <c r="AO513" s="799"/>
      <c r="AP513" s="799"/>
      <c r="AQ513" s="799"/>
      <c r="AR513" s="799"/>
      <c r="AS513" s="799"/>
      <c r="AT513" s="799"/>
      <c r="AU513" s="799"/>
      <c r="AV513" s="799"/>
      <c r="AW513" s="799"/>
      <c r="AX513" s="799"/>
      <c r="AY513" s="799"/>
      <c r="AZ513" s="799"/>
      <c r="BA513" s="799"/>
      <c r="BB513" s="799"/>
      <c r="BC513" s="799"/>
      <c r="BD513" s="799"/>
      <c r="BE513" s="799"/>
      <c r="BF513" s="799"/>
      <c r="BG513" s="799"/>
    </row>
    <row r="514">
      <c r="H514" s="799"/>
      <c r="I514" s="799"/>
      <c r="J514" s="799"/>
      <c r="K514" s="799"/>
      <c r="L514" s="799"/>
      <c r="M514" s="799"/>
      <c r="N514" s="799"/>
      <c r="O514" s="799"/>
      <c r="P514" s="799"/>
      <c r="Q514" s="799"/>
      <c r="R514" s="799"/>
      <c r="S514" s="799"/>
      <c r="T514" s="799"/>
      <c r="U514" s="799"/>
      <c r="V514" s="799"/>
      <c r="W514" s="799"/>
      <c r="X514" s="799"/>
      <c r="Y514" s="799"/>
      <c r="Z514" s="799"/>
      <c r="AA514" s="799"/>
      <c r="AB514" s="799"/>
      <c r="AC514" s="799"/>
      <c r="AD514" s="799"/>
      <c r="AE514" s="799"/>
      <c r="AF514" s="799"/>
      <c r="AG514" s="799"/>
      <c r="AH514" s="799"/>
      <c r="AI514" s="799"/>
      <c r="AJ514" s="799"/>
      <c r="AK514" s="799"/>
      <c r="AL514" s="799"/>
      <c r="AM514" s="799"/>
      <c r="AN514" s="799"/>
      <c r="AO514" s="799"/>
      <c r="AP514" s="799"/>
      <c r="AQ514" s="799"/>
      <c r="AR514" s="799"/>
      <c r="AS514" s="799"/>
      <c r="AT514" s="799"/>
      <c r="AU514" s="799"/>
      <c r="AV514" s="799"/>
      <c r="AW514" s="799"/>
      <c r="AX514" s="799"/>
      <c r="AY514" s="799"/>
      <c r="AZ514" s="799"/>
      <c r="BA514" s="799"/>
      <c r="BB514" s="799"/>
      <c r="BC514" s="799"/>
      <c r="BD514" s="799"/>
      <c r="BE514" s="799"/>
      <c r="BF514" s="799"/>
      <c r="BG514" s="799"/>
    </row>
    <row r="515">
      <c r="H515" s="799"/>
      <c r="I515" s="799"/>
      <c r="J515" s="799"/>
      <c r="K515" s="799"/>
      <c r="L515" s="799"/>
      <c r="M515" s="799"/>
      <c r="N515" s="799"/>
      <c r="O515" s="799"/>
      <c r="P515" s="799"/>
      <c r="Q515" s="799"/>
      <c r="R515" s="799"/>
      <c r="S515" s="799"/>
      <c r="T515" s="799"/>
      <c r="U515" s="799"/>
      <c r="V515" s="799"/>
      <c r="W515" s="799"/>
      <c r="X515" s="799"/>
      <c r="Y515" s="799"/>
      <c r="Z515" s="799"/>
      <c r="AA515" s="799"/>
      <c r="AB515" s="799"/>
      <c r="AC515" s="799"/>
      <c r="AD515" s="799"/>
      <c r="AE515" s="799"/>
      <c r="AF515" s="799"/>
      <c r="AG515" s="799"/>
      <c r="AH515" s="799"/>
      <c r="AI515" s="799"/>
      <c r="AJ515" s="799"/>
      <c r="AK515" s="799"/>
      <c r="AL515" s="799"/>
      <c r="AM515" s="799"/>
      <c r="AN515" s="799"/>
      <c r="AO515" s="799"/>
      <c r="AP515" s="799"/>
      <c r="AQ515" s="799"/>
      <c r="AR515" s="799"/>
      <c r="AS515" s="799"/>
      <c r="AT515" s="799"/>
      <c r="AU515" s="799"/>
      <c r="AV515" s="799"/>
      <c r="AW515" s="799"/>
      <c r="AX515" s="799"/>
      <c r="AY515" s="799"/>
      <c r="AZ515" s="799"/>
      <c r="BA515" s="799"/>
      <c r="BB515" s="799"/>
      <c r="BC515" s="799"/>
      <c r="BD515" s="799"/>
      <c r="BE515" s="799"/>
      <c r="BF515" s="799"/>
      <c r="BG515" s="799"/>
    </row>
    <row r="516">
      <c r="H516" s="799"/>
      <c r="I516" s="799"/>
      <c r="J516" s="799"/>
      <c r="K516" s="799"/>
      <c r="L516" s="799"/>
      <c r="M516" s="799"/>
      <c r="N516" s="799"/>
      <c r="O516" s="799"/>
      <c r="P516" s="799"/>
      <c r="Q516" s="799"/>
      <c r="R516" s="799"/>
      <c r="S516" s="799"/>
      <c r="T516" s="799"/>
      <c r="U516" s="799"/>
      <c r="V516" s="799"/>
      <c r="W516" s="799"/>
      <c r="X516" s="799"/>
      <c r="Y516" s="799"/>
      <c r="Z516" s="799"/>
      <c r="AA516" s="799"/>
      <c r="AB516" s="799"/>
      <c r="AC516" s="799"/>
      <c r="AD516" s="799"/>
      <c r="AE516" s="799"/>
      <c r="AF516" s="799"/>
      <c r="AG516" s="799"/>
      <c r="AH516" s="799"/>
      <c r="AI516" s="799"/>
      <c r="AJ516" s="799"/>
      <c r="AK516" s="799"/>
      <c r="AL516" s="799"/>
      <c r="AM516" s="799"/>
      <c r="AN516" s="799"/>
      <c r="AO516" s="799"/>
      <c r="AP516" s="799"/>
      <c r="AQ516" s="799"/>
      <c r="AR516" s="799"/>
      <c r="AS516" s="799"/>
      <c r="AT516" s="799"/>
      <c r="AU516" s="799"/>
      <c r="AV516" s="799"/>
      <c r="AW516" s="799"/>
      <c r="AX516" s="799"/>
      <c r="AY516" s="799"/>
      <c r="AZ516" s="799"/>
      <c r="BA516" s="799"/>
      <c r="BB516" s="799"/>
      <c r="BC516" s="799"/>
      <c r="BD516" s="799"/>
      <c r="BE516" s="799"/>
      <c r="BF516" s="799"/>
      <c r="BG516" s="799"/>
    </row>
    <row r="517">
      <c r="H517" s="799"/>
      <c r="I517" s="799"/>
      <c r="J517" s="799"/>
      <c r="K517" s="799"/>
      <c r="L517" s="799"/>
      <c r="M517" s="799"/>
      <c r="N517" s="799"/>
      <c r="O517" s="799"/>
      <c r="P517" s="799"/>
      <c r="Q517" s="799"/>
      <c r="R517" s="799"/>
      <c r="S517" s="799"/>
      <c r="T517" s="799"/>
      <c r="U517" s="799"/>
      <c r="V517" s="799"/>
      <c r="W517" s="799"/>
      <c r="X517" s="799"/>
      <c r="Y517" s="799"/>
      <c r="Z517" s="799"/>
      <c r="AA517" s="799"/>
      <c r="AB517" s="799"/>
      <c r="AC517" s="799"/>
      <c r="AD517" s="799"/>
      <c r="AE517" s="799"/>
      <c r="AF517" s="799"/>
      <c r="AG517" s="799"/>
      <c r="AH517" s="799"/>
      <c r="AI517" s="799"/>
      <c r="AJ517" s="799"/>
      <c r="AK517" s="799"/>
      <c r="AL517" s="799"/>
      <c r="AM517" s="799"/>
      <c r="AN517" s="799"/>
      <c r="AO517" s="799"/>
      <c r="AP517" s="799"/>
      <c r="AQ517" s="799"/>
      <c r="AR517" s="799"/>
      <c r="AS517" s="799"/>
      <c r="AT517" s="799"/>
      <c r="AU517" s="799"/>
      <c r="AV517" s="799"/>
      <c r="AW517" s="799"/>
      <c r="AX517" s="799"/>
      <c r="AY517" s="799"/>
      <c r="AZ517" s="799"/>
      <c r="BA517" s="799"/>
      <c r="BB517" s="799"/>
      <c r="BC517" s="799"/>
      <c r="BD517" s="799"/>
      <c r="BE517" s="799"/>
      <c r="BF517" s="799"/>
      <c r="BG517" s="799"/>
    </row>
    <row r="518">
      <c r="H518" s="799"/>
      <c r="I518" s="799"/>
      <c r="J518" s="799"/>
      <c r="K518" s="799"/>
      <c r="L518" s="799"/>
      <c r="M518" s="799"/>
      <c r="N518" s="799"/>
      <c r="O518" s="799"/>
      <c r="P518" s="799"/>
      <c r="Q518" s="799"/>
      <c r="R518" s="799"/>
      <c r="S518" s="799"/>
      <c r="T518" s="799"/>
      <c r="U518" s="799"/>
      <c r="V518" s="799"/>
      <c r="W518" s="799"/>
      <c r="X518" s="799"/>
      <c r="Y518" s="799"/>
      <c r="Z518" s="799"/>
      <c r="AA518" s="799"/>
      <c r="AB518" s="799"/>
      <c r="AC518" s="799"/>
      <c r="AD518" s="799"/>
      <c r="AE518" s="799"/>
      <c r="AF518" s="799"/>
      <c r="AG518" s="799"/>
      <c r="AH518" s="799"/>
      <c r="AI518" s="799"/>
      <c r="AJ518" s="799"/>
      <c r="AK518" s="799"/>
      <c r="AL518" s="799"/>
      <c r="AM518" s="799"/>
      <c r="AN518" s="799"/>
      <c r="AO518" s="799"/>
      <c r="AP518" s="799"/>
      <c r="AQ518" s="799"/>
      <c r="AR518" s="799"/>
      <c r="AS518" s="799"/>
      <c r="AT518" s="799"/>
      <c r="AU518" s="799"/>
      <c r="AV518" s="799"/>
      <c r="AW518" s="799"/>
      <c r="AX518" s="799"/>
      <c r="AY518" s="799"/>
      <c r="AZ518" s="799"/>
      <c r="BA518" s="799"/>
      <c r="BB518" s="799"/>
      <c r="BC518" s="799"/>
      <c r="BD518" s="799"/>
      <c r="BE518" s="799"/>
      <c r="BF518" s="799"/>
      <c r="BG518" s="799"/>
    </row>
    <row r="519">
      <c r="H519" s="799"/>
      <c r="I519" s="799"/>
      <c r="J519" s="799"/>
      <c r="K519" s="799"/>
      <c r="L519" s="799"/>
      <c r="M519" s="799"/>
      <c r="N519" s="799"/>
      <c r="O519" s="799"/>
      <c r="P519" s="799"/>
      <c r="Q519" s="799"/>
      <c r="R519" s="799"/>
      <c r="S519" s="799"/>
      <c r="T519" s="799"/>
      <c r="U519" s="799"/>
      <c r="V519" s="799"/>
      <c r="W519" s="799"/>
      <c r="X519" s="799"/>
      <c r="Y519" s="799"/>
      <c r="Z519" s="799"/>
      <c r="AA519" s="799"/>
      <c r="AB519" s="799"/>
      <c r="AC519" s="799"/>
      <c r="AD519" s="799"/>
      <c r="AE519" s="799"/>
      <c r="AF519" s="799"/>
      <c r="AG519" s="799"/>
      <c r="AH519" s="799"/>
      <c r="AI519" s="799"/>
      <c r="AJ519" s="799"/>
      <c r="AK519" s="799"/>
      <c r="AL519" s="799"/>
      <c r="AM519" s="799"/>
      <c r="AN519" s="799"/>
      <c r="AO519" s="799"/>
      <c r="AP519" s="799"/>
      <c r="AQ519" s="799"/>
      <c r="AR519" s="799"/>
      <c r="AS519" s="799"/>
      <c r="AT519" s="799"/>
      <c r="AU519" s="799"/>
      <c r="AV519" s="799"/>
      <c r="AW519" s="799"/>
      <c r="AX519" s="799"/>
      <c r="AY519" s="799"/>
      <c r="AZ519" s="799"/>
      <c r="BA519" s="799"/>
      <c r="BB519" s="799"/>
      <c r="BC519" s="799"/>
      <c r="BD519" s="799"/>
      <c r="BE519" s="799"/>
      <c r="BF519" s="799"/>
      <c r="BG519" s="799"/>
    </row>
    <row r="520">
      <c r="H520" s="799"/>
      <c r="I520" s="799"/>
      <c r="J520" s="799"/>
      <c r="K520" s="799"/>
      <c r="L520" s="799"/>
      <c r="M520" s="799"/>
      <c r="N520" s="799"/>
      <c r="O520" s="799"/>
      <c r="P520" s="799"/>
      <c r="Q520" s="799"/>
      <c r="R520" s="799"/>
      <c r="S520" s="799"/>
      <c r="T520" s="799"/>
      <c r="U520" s="799"/>
      <c r="V520" s="799"/>
      <c r="W520" s="799"/>
      <c r="X520" s="799"/>
      <c r="Y520" s="799"/>
      <c r="Z520" s="799"/>
      <c r="AA520" s="799"/>
      <c r="AB520" s="799"/>
      <c r="AC520" s="799"/>
      <c r="AD520" s="799"/>
      <c r="AE520" s="799"/>
      <c r="AF520" s="799"/>
      <c r="AG520" s="799"/>
      <c r="AH520" s="799"/>
      <c r="AI520" s="799"/>
      <c r="AJ520" s="799"/>
      <c r="AK520" s="799"/>
      <c r="AL520" s="799"/>
      <c r="AM520" s="799"/>
      <c r="AN520" s="799"/>
      <c r="AO520" s="799"/>
      <c r="AP520" s="799"/>
      <c r="AQ520" s="799"/>
      <c r="AR520" s="799"/>
      <c r="AS520" s="799"/>
      <c r="AT520" s="799"/>
      <c r="AU520" s="799"/>
      <c r="AV520" s="799"/>
      <c r="AW520" s="799"/>
      <c r="AX520" s="799"/>
      <c r="AY520" s="799"/>
      <c r="AZ520" s="799"/>
      <c r="BA520" s="799"/>
      <c r="BB520" s="799"/>
      <c r="BC520" s="799"/>
      <c r="BD520" s="799"/>
      <c r="BE520" s="799"/>
      <c r="BF520" s="799"/>
      <c r="BG520" s="799"/>
    </row>
    <row r="521">
      <c r="H521" s="799"/>
      <c r="I521" s="799"/>
      <c r="J521" s="799"/>
      <c r="K521" s="799"/>
      <c r="L521" s="799"/>
      <c r="M521" s="799"/>
      <c r="N521" s="799"/>
      <c r="O521" s="799"/>
      <c r="P521" s="799"/>
      <c r="Q521" s="799"/>
      <c r="R521" s="799"/>
      <c r="S521" s="799"/>
      <c r="T521" s="799"/>
      <c r="U521" s="799"/>
      <c r="V521" s="799"/>
      <c r="W521" s="799"/>
      <c r="X521" s="799"/>
      <c r="Y521" s="799"/>
      <c r="Z521" s="799"/>
      <c r="AA521" s="799"/>
      <c r="AB521" s="799"/>
      <c r="AC521" s="799"/>
      <c r="AD521" s="799"/>
      <c r="AE521" s="799"/>
      <c r="AF521" s="799"/>
      <c r="AG521" s="799"/>
      <c r="AH521" s="799"/>
      <c r="AI521" s="799"/>
      <c r="AJ521" s="799"/>
      <c r="AK521" s="799"/>
      <c r="AL521" s="799"/>
      <c r="AM521" s="799"/>
      <c r="AN521" s="799"/>
      <c r="AO521" s="799"/>
      <c r="AP521" s="799"/>
      <c r="AQ521" s="799"/>
      <c r="AR521" s="799"/>
      <c r="AS521" s="799"/>
      <c r="AT521" s="799"/>
      <c r="AU521" s="799"/>
      <c r="AV521" s="799"/>
      <c r="AW521" s="799"/>
      <c r="AX521" s="799"/>
      <c r="AY521" s="799"/>
      <c r="AZ521" s="799"/>
      <c r="BA521" s="799"/>
      <c r="BB521" s="799"/>
      <c r="BC521" s="799"/>
      <c r="BD521" s="799"/>
      <c r="BE521" s="799"/>
      <c r="BF521" s="799"/>
      <c r="BG521" s="799"/>
    </row>
    <row r="522">
      <c r="H522" s="799"/>
      <c r="I522" s="799"/>
      <c r="J522" s="799"/>
      <c r="K522" s="799"/>
      <c r="L522" s="799"/>
      <c r="M522" s="799"/>
      <c r="N522" s="799"/>
      <c r="O522" s="799"/>
      <c r="P522" s="799"/>
      <c r="Q522" s="799"/>
      <c r="R522" s="799"/>
      <c r="S522" s="799"/>
      <c r="T522" s="799"/>
      <c r="U522" s="799"/>
      <c r="V522" s="799"/>
      <c r="W522" s="799"/>
      <c r="X522" s="799"/>
      <c r="Y522" s="799"/>
      <c r="Z522" s="799"/>
      <c r="AA522" s="799"/>
      <c r="AB522" s="799"/>
      <c r="AC522" s="799"/>
      <c r="AD522" s="799"/>
      <c r="AE522" s="799"/>
      <c r="AF522" s="799"/>
      <c r="AG522" s="799"/>
      <c r="AH522" s="799"/>
      <c r="AI522" s="799"/>
      <c r="AJ522" s="799"/>
      <c r="AK522" s="799"/>
      <c r="AL522" s="799"/>
      <c r="AM522" s="799"/>
      <c r="AN522" s="799"/>
      <c r="AO522" s="799"/>
      <c r="AP522" s="799"/>
      <c r="AQ522" s="799"/>
      <c r="AR522" s="799"/>
      <c r="AS522" s="799"/>
      <c r="AT522" s="799"/>
      <c r="AU522" s="799"/>
      <c r="AV522" s="799"/>
      <c r="AW522" s="799"/>
      <c r="AX522" s="799"/>
      <c r="AY522" s="799"/>
      <c r="AZ522" s="799"/>
      <c r="BA522" s="799"/>
      <c r="BB522" s="799"/>
      <c r="BC522" s="799"/>
      <c r="BD522" s="799"/>
      <c r="BE522" s="799"/>
      <c r="BF522" s="799"/>
      <c r="BG522" s="799"/>
    </row>
    <row r="523">
      <c r="H523" s="799"/>
      <c r="I523" s="799"/>
      <c r="J523" s="799"/>
      <c r="K523" s="799"/>
      <c r="L523" s="799"/>
      <c r="M523" s="799"/>
      <c r="N523" s="799"/>
      <c r="O523" s="799"/>
      <c r="P523" s="799"/>
      <c r="Q523" s="799"/>
      <c r="R523" s="799"/>
      <c r="S523" s="799"/>
      <c r="T523" s="799"/>
      <c r="U523" s="799"/>
      <c r="V523" s="799"/>
      <c r="W523" s="799"/>
      <c r="X523" s="799"/>
      <c r="Y523" s="799"/>
      <c r="Z523" s="799"/>
      <c r="AA523" s="799"/>
      <c r="AB523" s="799"/>
      <c r="AC523" s="799"/>
      <c r="AD523" s="799"/>
      <c r="AE523" s="799"/>
      <c r="AF523" s="799"/>
      <c r="AG523" s="799"/>
      <c r="AH523" s="799"/>
      <c r="AI523" s="799"/>
      <c r="AJ523" s="799"/>
      <c r="AK523" s="799"/>
      <c r="AL523" s="799"/>
      <c r="AM523" s="799"/>
      <c r="AN523" s="799"/>
      <c r="AO523" s="799"/>
      <c r="AP523" s="799"/>
      <c r="AQ523" s="799"/>
      <c r="AR523" s="799"/>
      <c r="AS523" s="799"/>
      <c r="AT523" s="799"/>
      <c r="AU523" s="799"/>
      <c r="AV523" s="799"/>
      <c r="AW523" s="799"/>
      <c r="AX523" s="799"/>
      <c r="AY523" s="799"/>
      <c r="AZ523" s="799"/>
      <c r="BA523" s="799"/>
      <c r="BB523" s="799"/>
      <c r="BC523" s="799"/>
      <c r="BD523" s="799"/>
      <c r="BE523" s="799"/>
      <c r="BF523" s="799"/>
      <c r="BG523" s="799"/>
    </row>
    <row r="524">
      <c r="H524" s="799"/>
      <c r="I524" s="799"/>
      <c r="J524" s="799"/>
      <c r="K524" s="799"/>
      <c r="L524" s="799"/>
      <c r="M524" s="799"/>
      <c r="N524" s="799"/>
      <c r="O524" s="799"/>
      <c r="P524" s="799"/>
      <c r="Q524" s="799"/>
      <c r="R524" s="799"/>
      <c r="S524" s="799"/>
      <c r="T524" s="799"/>
      <c r="U524" s="799"/>
      <c r="V524" s="799"/>
      <c r="W524" s="799"/>
      <c r="X524" s="799"/>
      <c r="Y524" s="799"/>
      <c r="Z524" s="799"/>
      <c r="AA524" s="799"/>
      <c r="AB524" s="799"/>
      <c r="AC524" s="799"/>
      <c r="AD524" s="799"/>
      <c r="AE524" s="799"/>
      <c r="AF524" s="799"/>
      <c r="AG524" s="799"/>
      <c r="AH524" s="799"/>
      <c r="AI524" s="799"/>
      <c r="AJ524" s="799"/>
      <c r="AK524" s="799"/>
      <c r="AL524" s="799"/>
      <c r="AM524" s="799"/>
      <c r="AN524" s="799"/>
      <c r="AO524" s="799"/>
      <c r="AP524" s="799"/>
      <c r="AQ524" s="799"/>
      <c r="AR524" s="799"/>
      <c r="AS524" s="799"/>
      <c r="AT524" s="799"/>
      <c r="AU524" s="799"/>
      <c r="AV524" s="799"/>
      <c r="AW524" s="799"/>
      <c r="AX524" s="799"/>
      <c r="AY524" s="799"/>
      <c r="AZ524" s="799"/>
      <c r="BA524" s="799"/>
      <c r="BB524" s="799"/>
      <c r="BC524" s="799"/>
      <c r="BD524" s="799"/>
      <c r="BE524" s="799"/>
      <c r="BF524" s="799"/>
      <c r="BG524" s="799"/>
    </row>
    <row r="525">
      <c r="H525" s="799"/>
      <c r="I525" s="799"/>
      <c r="J525" s="799"/>
      <c r="K525" s="799"/>
      <c r="L525" s="799"/>
      <c r="M525" s="799"/>
      <c r="N525" s="799"/>
      <c r="O525" s="799"/>
      <c r="P525" s="799"/>
      <c r="Q525" s="799"/>
      <c r="R525" s="799"/>
      <c r="S525" s="799"/>
      <c r="T525" s="799"/>
      <c r="U525" s="799"/>
      <c r="V525" s="799"/>
      <c r="W525" s="799"/>
      <c r="X525" s="799"/>
      <c r="Y525" s="799"/>
      <c r="Z525" s="799"/>
      <c r="AA525" s="799"/>
      <c r="AB525" s="799"/>
      <c r="AC525" s="799"/>
      <c r="AD525" s="799"/>
      <c r="AE525" s="799"/>
      <c r="AF525" s="799"/>
      <c r="AG525" s="799"/>
      <c r="AH525" s="799"/>
      <c r="AI525" s="799"/>
      <c r="AJ525" s="799"/>
      <c r="AK525" s="799"/>
      <c r="AL525" s="799"/>
      <c r="AM525" s="799"/>
      <c r="AN525" s="799"/>
      <c r="AO525" s="799"/>
      <c r="AP525" s="799"/>
      <c r="AQ525" s="799"/>
      <c r="AR525" s="799"/>
      <c r="AS525" s="799"/>
      <c r="AT525" s="799"/>
      <c r="AU525" s="799"/>
      <c r="AV525" s="799"/>
      <c r="AW525" s="799"/>
      <c r="AX525" s="799"/>
      <c r="AY525" s="799"/>
      <c r="AZ525" s="799"/>
      <c r="BA525" s="799"/>
      <c r="BB525" s="799"/>
      <c r="BC525" s="799"/>
      <c r="BD525" s="799"/>
      <c r="BE525" s="799"/>
      <c r="BF525" s="799"/>
      <c r="BG525" s="799"/>
    </row>
    <row r="526">
      <c r="H526" s="799"/>
      <c r="I526" s="799"/>
      <c r="J526" s="799"/>
      <c r="K526" s="799"/>
      <c r="L526" s="799"/>
      <c r="M526" s="799"/>
      <c r="N526" s="799"/>
      <c r="O526" s="799"/>
      <c r="P526" s="799"/>
      <c r="Q526" s="799"/>
      <c r="R526" s="799"/>
      <c r="S526" s="799"/>
      <c r="T526" s="799"/>
      <c r="U526" s="799"/>
      <c r="V526" s="799"/>
      <c r="W526" s="799"/>
      <c r="X526" s="799"/>
      <c r="Y526" s="799"/>
      <c r="Z526" s="799"/>
      <c r="AA526" s="799"/>
      <c r="AB526" s="799"/>
      <c r="AC526" s="799"/>
      <c r="AD526" s="799"/>
      <c r="AE526" s="799"/>
      <c r="AF526" s="799"/>
      <c r="AG526" s="799"/>
      <c r="AH526" s="799"/>
      <c r="AI526" s="799"/>
      <c r="AJ526" s="799"/>
      <c r="AK526" s="799"/>
      <c r="AL526" s="799"/>
      <c r="AM526" s="799"/>
      <c r="AN526" s="799"/>
      <c r="AO526" s="799"/>
      <c r="AP526" s="799"/>
      <c r="AQ526" s="799"/>
      <c r="AR526" s="799"/>
      <c r="AS526" s="799"/>
      <c r="AT526" s="799"/>
      <c r="AU526" s="799"/>
      <c r="AV526" s="799"/>
      <c r="AW526" s="799"/>
      <c r="AX526" s="799"/>
      <c r="AY526" s="799"/>
      <c r="AZ526" s="799"/>
      <c r="BA526" s="799"/>
      <c r="BB526" s="799"/>
      <c r="BC526" s="799"/>
      <c r="BD526" s="799"/>
      <c r="BE526" s="799"/>
      <c r="BF526" s="799"/>
      <c r="BG526" s="799"/>
    </row>
    <row r="527">
      <c r="H527" s="799"/>
      <c r="I527" s="799"/>
      <c r="J527" s="799"/>
      <c r="K527" s="799"/>
      <c r="L527" s="799"/>
      <c r="M527" s="799"/>
      <c r="N527" s="799"/>
      <c r="O527" s="799"/>
      <c r="P527" s="799"/>
      <c r="Q527" s="799"/>
      <c r="R527" s="799"/>
      <c r="S527" s="799"/>
      <c r="T527" s="799"/>
      <c r="U527" s="799"/>
      <c r="V527" s="799"/>
      <c r="W527" s="799"/>
      <c r="X527" s="799"/>
      <c r="Y527" s="799"/>
      <c r="Z527" s="799"/>
      <c r="AA527" s="799"/>
      <c r="AB527" s="799"/>
      <c r="AC527" s="799"/>
      <c r="AD527" s="799"/>
      <c r="AE527" s="799"/>
      <c r="AF527" s="799"/>
      <c r="AG527" s="799"/>
      <c r="AH527" s="799"/>
      <c r="AI527" s="799"/>
      <c r="AJ527" s="799"/>
      <c r="AK527" s="799"/>
      <c r="AL527" s="799"/>
      <c r="AM527" s="799"/>
      <c r="AN527" s="799"/>
      <c r="AO527" s="799"/>
      <c r="AP527" s="799"/>
      <c r="AQ527" s="799"/>
      <c r="AR527" s="799"/>
      <c r="AS527" s="799"/>
      <c r="AT527" s="799"/>
      <c r="AU527" s="799"/>
      <c r="AV527" s="799"/>
      <c r="AW527" s="799"/>
      <c r="AX527" s="799"/>
      <c r="AY527" s="799"/>
      <c r="AZ527" s="799"/>
      <c r="BA527" s="799"/>
      <c r="BB527" s="799"/>
      <c r="BC527" s="799"/>
      <c r="BD527" s="799"/>
      <c r="BE527" s="799"/>
      <c r="BF527" s="799"/>
      <c r="BG527" s="799"/>
    </row>
    <row r="528">
      <c r="H528" s="799"/>
      <c r="I528" s="799"/>
      <c r="J528" s="799"/>
      <c r="K528" s="799"/>
      <c r="L528" s="799"/>
      <c r="M528" s="799"/>
      <c r="N528" s="799"/>
      <c r="O528" s="799"/>
      <c r="P528" s="799"/>
      <c r="Q528" s="799"/>
      <c r="R528" s="799"/>
      <c r="S528" s="799"/>
      <c r="T528" s="799"/>
      <c r="U528" s="799"/>
      <c r="V528" s="799"/>
      <c r="W528" s="799"/>
      <c r="X528" s="799"/>
      <c r="Y528" s="799"/>
      <c r="Z528" s="799"/>
      <c r="AA528" s="799"/>
      <c r="AB528" s="799"/>
      <c r="AC528" s="799"/>
      <c r="AD528" s="799"/>
      <c r="AE528" s="799"/>
      <c r="AF528" s="799"/>
      <c r="AG528" s="799"/>
      <c r="AH528" s="799"/>
      <c r="AI528" s="799"/>
      <c r="AJ528" s="799"/>
      <c r="AK528" s="799"/>
      <c r="AL528" s="799"/>
      <c r="AM528" s="799"/>
      <c r="AN528" s="799"/>
      <c r="AO528" s="799"/>
      <c r="AP528" s="799"/>
      <c r="AQ528" s="799"/>
      <c r="AR528" s="799"/>
      <c r="AS528" s="799"/>
      <c r="AT528" s="799"/>
      <c r="AU528" s="799"/>
      <c r="AV528" s="799"/>
      <c r="AW528" s="799"/>
      <c r="AX528" s="799"/>
      <c r="AY528" s="799"/>
      <c r="AZ528" s="799"/>
      <c r="BA528" s="799"/>
      <c r="BB528" s="799"/>
      <c r="BC528" s="799"/>
      <c r="BD528" s="799"/>
      <c r="BE528" s="799"/>
      <c r="BF528" s="799"/>
      <c r="BG528" s="799"/>
    </row>
    <row r="529">
      <c r="H529" s="799"/>
      <c r="I529" s="799"/>
      <c r="J529" s="799"/>
      <c r="K529" s="799"/>
      <c r="L529" s="799"/>
      <c r="M529" s="799"/>
      <c r="N529" s="799"/>
      <c r="O529" s="799"/>
      <c r="P529" s="799"/>
      <c r="Q529" s="799"/>
      <c r="R529" s="799"/>
      <c r="S529" s="799"/>
      <c r="T529" s="799"/>
      <c r="U529" s="799"/>
      <c r="V529" s="799"/>
      <c r="W529" s="799"/>
      <c r="X529" s="799"/>
      <c r="Y529" s="799"/>
      <c r="Z529" s="799"/>
      <c r="AA529" s="799"/>
      <c r="AB529" s="799"/>
      <c r="AC529" s="799"/>
      <c r="AD529" s="799"/>
      <c r="AE529" s="799"/>
      <c r="AF529" s="799"/>
      <c r="AG529" s="799"/>
      <c r="AH529" s="799"/>
      <c r="AI529" s="799"/>
      <c r="AJ529" s="799"/>
      <c r="AK529" s="799"/>
      <c r="AL529" s="799"/>
      <c r="AM529" s="799"/>
      <c r="AN529" s="799"/>
      <c r="AO529" s="799"/>
      <c r="AP529" s="799"/>
      <c r="AQ529" s="799"/>
      <c r="AR529" s="799"/>
      <c r="AS529" s="799"/>
      <c r="AT529" s="799"/>
      <c r="AU529" s="799"/>
      <c r="AV529" s="799"/>
      <c r="AW529" s="799"/>
      <c r="AX529" s="799"/>
      <c r="AY529" s="799"/>
      <c r="AZ529" s="799"/>
      <c r="BA529" s="799"/>
      <c r="BB529" s="799"/>
      <c r="BC529" s="799"/>
      <c r="BD529" s="799"/>
      <c r="BE529" s="799"/>
      <c r="BF529" s="799"/>
      <c r="BG529" s="799"/>
    </row>
    <row r="530">
      <c r="H530" s="799"/>
      <c r="I530" s="799"/>
      <c r="J530" s="799"/>
      <c r="K530" s="799"/>
      <c r="L530" s="799"/>
      <c r="M530" s="799"/>
      <c r="N530" s="799"/>
      <c r="O530" s="799"/>
      <c r="P530" s="799"/>
      <c r="Q530" s="799"/>
      <c r="R530" s="799"/>
      <c r="S530" s="799"/>
      <c r="T530" s="799"/>
      <c r="U530" s="799"/>
      <c r="V530" s="799"/>
      <c r="W530" s="799"/>
      <c r="X530" s="799"/>
      <c r="Y530" s="799"/>
      <c r="Z530" s="799"/>
      <c r="AA530" s="799"/>
      <c r="AB530" s="799"/>
      <c r="AC530" s="799"/>
      <c r="AD530" s="799"/>
      <c r="AE530" s="799"/>
      <c r="AF530" s="799"/>
      <c r="AG530" s="799"/>
      <c r="AH530" s="799"/>
      <c r="AI530" s="799"/>
      <c r="AJ530" s="799"/>
      <c r="AK530" s="799"/>
      <c r="AL530" s="799"/>
      <c r="AM530" s="799"/>
      <c r="AN530" s="799"/>
      <c r="AO530" s="799"/>
      <c r="AP530" s="799"/>
      <c r="AQ530" s="799"/>
      <c r="AR530" s="799"/>
      <c r="AS530" s="799"/>
      <c r="AT530" s="799"/>
      <c r="AU530" s="799"/>
      <c r="AV530" s="799"/>
      <c r="AW530" s="799"/>
      <c r="AX530" s="799"/>
      <c r="AY530" s="799"/>
      <c r="AZ530" s="799"/>
      <c r="BA530" s="799"/>
      <c r="BB530" s="799"/>
      <c r="BC530" s="799"/>
      <c r="BD530" s="799"/>
      <c r="BE530" s="799"/>
      <c r="BF530" s="799"/>
      <c r="BG530" s="799"/>
    </row>
    <row r="531">
      <c r="H531" s="799"/>
      <c r="I531" s="799"/>
      <c r="J531" s="799"/>
      <c r="K531" s="799"/>
      <c r="L531" s="799"/>
      <c r="M531" s="799"/>
      <c r="N531" s="799"/>
      <c r="O531" s="799"/>
      <c r="P531" s="799"/>
      <c r="Q531" s="799"/>
      <c r="R531" s="799"/>
      <c r="S531" s="799"/>
      <c r="T531" s="799"/>
      <c r="U531" s="799"/>
      <c r="V531" s="799"/>
      <c r="W531" s="799"/>
      <c r="X531" s="799"/>
      <c r="Y531" s="799"/>
      <c r="Z531" s="799"/>
      <c r="AA531" s="799"/>
      <c r="AB531" s="799"/>
      <c r="AC531" s="799"/>
      <c r="AD531" s="799"/>
      <c r="AE531" s="799"/>
      <c r="AF531" s="799"/>
      <c r="AG531" s="799"/>
      <c r="AH531" s="799"/>
      <c r="AI531" s="799"/>
      <c r="AJ531" s="799"/>
      <c r="AK531" s="799"/>
      <c r="AL531" s="799"/>
      <c r="AM531" s="799"/>
      <c r="AN531" s="799"/>
      <c r="AO531" s="799"/>
      <c r="AP531" s="799"/>
      <c r="AQ531" s="799"/>
      <c r="AR531" s="799"/>
      <c r="AS531" s="799"/>
      <c r="AT531" s="799"/>
      <c r="AU531" s="799"/>
      <c r="AV531" s="799"/>
      <c r="AW531" s="799"/>
      <c r="AX531" s="799"/>
      <c r="AY531" s="799"/>
      <c r="AZ531" s="799"/>
      <c r="BA531" s="799"/>
      <c r="BB531" s="799"/>
      <c r="BC531" s="799"/>
      <c r="BD531" s="799"/>
      <c r="BE531" s="799"/>
      <c r="BF531" s="799"/>
      <c r="BG531" s="799"/>
    </row>
    <row r="532">
      <c r="H532" s="799"/>
      <c r="I532" s="799"/>
      <c r="J532" s="799"/>
      <c r="K532" s="799"/>
      <c r="L532" s="799"/>
      <c r="M532" s="799"/>
      <c r="N532" s="799"/>
      <c r="O532" s="799"/>
      <c r="P532" s="799"/>
      <c r="Q532" s="799"/>
      <c r="R532" s="799"/>
      <c r="S532" s="799"/>
      <c r="T532" s="799"/>
      <c r="U532" s="799"/>
      <c r="V532" s="799"/>
      <c r="W532" s="799"/>
      <c r="X532" s="799"/>
      <c r="Y532" s="799"/>
      <c r="Z532" s="799"/>
      <c r="AA532" s="799"/>
      <c r="AB532" s="799"/>
      <c r="AC532" s="799"/>
      <c r="AD532" s="799"/>
      <c r="AE532" s="799"/>
      <c r="AF532" s="799"/>
      <c r="AG532" s="799"/>
      <c r="AH532" s="799"/>
      <c r="AI532" s="799"/>
      <c r="AJ532" s="799"/>
      <c r="AK532" s="799"/>
      <c r="AL532" s="799"/>
      <c r="AM532" s="799"/>
      <c r="AN532" s="799"/>
      <c r="AO532" s="799"/>
      <c r="AP532" s="799"/>
      <c r="AQ532" s="799"/>
      <c r="AR532" s="799"/>
      <c r="AS532" s="799"/>
      <c r="AT532" s="799"/>
      <c r="AU532" s="799"/>
      <c r="AV532" s="799"/>
      <c r="AW532" s="799"/>
      <c r="AX532" s="799"/>
      <c r="AY532" s="799"/>
      <c r="AZ532" s="799"/>
      <c r="BA532" s="799"/>
      <c r="BB532" s="799"/>
      <c r="BC532" s="799"/>
      <c r="BD532" s="799"/>
      <c r="BE532" s="799"/>
      <c r="BF532" s="799"/>
      <c r="BG532" s="799"/>
    </row>
    <row r="533">
      <c r="H533" s="799"/>
      <c r="I533" s="799"/>
      <c r="J533" s="799"/>
      <c r="K533" s="799"/>
      <c r="L533" s="799"/>
      <c r="M533" s="799"/>
      <c r="N533" s="799"/>
      <c r="O533" s="799"/>
      <c r="P533" s="799"/>
      <c r="Q533" s="799"/>
      <c r="R533" s="799"/>
      <c r="S533" s="799"/>
      <c r="T533" s="799"/>
      <c r="U533" s="799"/>
      <c r="V533" s="799"/>
      <c r="W533" s="799"/>
      <c r="X533" s="799"/>
      <c r="Y533" s="799"/>
      <c r="Z533" s="799"/>
      <c r="AA533" s="799"/>
      <c r="AB533" s="799"/>
      <c r="AC533" s="799"/>
      <c r="AD533" s="799"/>
      <c r="AE533" s="799"/>
      <c r="AF533" s="799"/>
      <c r="AG533" s="799"/>
      <c r="AH533" s="799"/>
      <c r="AI533" s="799"/>
      <c r="AJ533" s="799"/>
      <c r="AK533" s="799"/>
      <c r="AL533" s="799"/>
      <c r="AM533" s="799"/>
      <c r="AN533" s="799"/>
      <c r="AO533" s="799"/>
      <c r="AP533" s="799"/>
      <c r="AQ533" s="799"/>
      <c r="AR533" s="799"/>
      <c r="AS533" s="799"/>
      <c r="AT533" s="799"/>
      <c r="AU533" s="799"/>
      <c r="AV533" s="799"/>
      <c r="AW533" s="799"/>
      <c r="AX533" s="799"/>
      <c r="AY533" s="799"/>
      <c r="AZ533" s="799"/>
      <c r="BA533" s="799"/>
      <c r="BB533" s="799"/>
      <c r="BC533" s="799"/>
      <c r="BD533" s="799"/>
      <c r="BE533" s="799"/>
      <c r="BF533" s="799"/>
      <c r="BG533" s="799"/>
    </row>
    <row r="534">
      <c r="H534" s="799"/>
      <c r="I534" s="799"/>
      <c r="J534" s="799"/>
      <c r="K534" s="799"/>
      <c r="L534" s="799"/>
      <c r="M534" s="799"/>
      <c r="N534" s="799"/>
      <c r="O534" s="799"/>
      <c r="P534" s="799"/>
      <c r="Q534" s="799"/>
      <c r="R534" s="799"/>
      <c r="S534" s="799"/>
      <c r="T534" s="799"/>
      <c r="U534" s="799"/>
      <c r="V534" s="799"/>
      <c r="W534" s="799"/>
      <c r="X534" s="799"/>
      <c r="Y534" s="799"/>
      <c r="Z534" s="799"/>
      <c r="AA534" s="799"/>
      <c r="AB534" s="799"/>
      <c r="AC534" s="799"/>
      <c r="AD534" s="799"/>
      <c r="AE534" s="799"/>
      <c r="AF534" s="799"/>
      <c r="AG534" s="799"/>
      <c r="AH534" s="799"/>
      <c r="AI534" s="799"/>
      <c r="AJ534" s="799"/>
      <c r="AK534" s="799"/>
      <c r="AL534" s="799"/>
      <c r="AM534" s="799"/>
      <c r="AN534" s="799"/>
      <c r="AO534" s="799"/>
      <c r="AP534" s="799"/>
      <c r="AQ534" s="799"/>
      <c r="AR534" s="799"/>
      <c r="AS534" s="799"/>
      <c r="AT534" s="799"/>
      <c r="AU534" s="799"/>
      <c r="AV534" s="799"/>
      <c r="AW534" s="799"/>
      <c r="AX534" s="799"/>
      <c r="AY534" s="799"/>
      <c r="AZ534" s="799"/>
      <c r="BA534" s="799"/>
      <c r="BB534" s="799"/>
      <c r="BC534" s="799"/>
      <c r="BD534" s="799"/>
      <c r="BE534" s="799"/>
      <c r="BF534" s="799"/>
      <c r="BG534" s="799"/>
    </row>
    <row r="535">
      <c r="H535" s="799"/>
      <c r="I535" s="799"/>
      <c r="J535" s="799"/>
      <c r="K535" s="799"/>
      <c r="L535" s="799"/>
      <c r="M535" s="799"/>
      <c r="N535" s="799"/>
      <c r="O535" s="799"/>
      <c r="P535" s="799"/>
      <c r="Q535" s="799"/>
      <c r="R535" s="799"/>
      <c r="S535" s="799"/>
      <c r="T535" s="799"/>
      <c r="U535" s="799"/>
      <c r="V535" s="799"/>
      <c r="W535" s="799"/>
      <c r="X535" s="799"/>
      <c r="Y535" s="799"/>
      <c r="Z535" s="799"/>
      <c r="AA535" s="799"/>
      <c r="AB535" s="799"/>
      <c r="AC535" s="799"/>
      <c r="AD535" s="799"/>
      <c r="AE535" s="799"/>
      <c r="AF535" s="799"/>
      <c r="AG535" s="799"/>
      <c r="AH535" s="799"/>
      <c r="AI535" s="799"/>
      <c r="AJ535" s="799"/>
      <c r="AK535" s="799"/>
      <c r="AL535" s="799"/>
      <c r="AM535" s="799"/>
      <c r="AN535" s="799"/>
      <c r="AO535" s="799"/>
      <c r="AP535" s="799"/>
      <c r="AQ535" s="799"/>
      <c r="AR535" s="799"/>
      <c r="AS535" s="799"/>
      <c r="AT535" s="799"/>
      <c r="AU535" s="799"/>
      <c r="AV535" s="799"/>
      <c r="AW535" s="799"/>
      <c r="AX535" s="799"/>
      <c r="AY535" s="799"/>
      <c r="AZ535" s="799"/>
      <c r="BA535" s="799"/>
      <c r="BB535" s="799"/>
      <c r="BC535" s="799"/>
      <c r="BD535" s="799"/>
      <c r="BE535" s="799"/>
      <c r="BF535" s="799"/>
      <c r="BG535" s="799"/>
    </row>
    <row r="536">
      <c r="H536" s="799"/>
      <c r="I536" s="799"/>
      <c r="J536" s="799"/>
      <c r="K536" s="799"/>
      <c r="L536" s="799"/>
      <c r="M536" s="799"/>
      <c r="N536" s="799"/>
      <c r="O536" s="799"/>
      <c r="P536" s="799"/>
      <c r="Q536" s="799"/>
      <c r="R536" s="799"/>
      <c r="S536" s="799"/>
      <c r="T536" s="799"/>
      <c r="U536" s="799"/>
      <c r="V536" s="799"/>
      <c r="W536" s="799"/>
      <c r="X536" s="799"/>
      <c r="Y536" s="799"/>
      <c r="Z536" s="799"/>
      <c r="AA536" s="799"/>
      <c r="AB536" s="799"/>
      <c r="AC536" s="799"/>
      <c r="AD536" s="799"/>
      <c r="AE536" s="799"/>
      <c r="AF536" s="799"/>
      <c r="AG536" s="799"/>
      <c r="AH536" s="799"/>
      <c r="AI536" s="799"/>
      <c r="AJ536" s="799"/>
      <c r="AK536" s="799"/>
      <c r="AL536" s="799"/>
      <c r="AM536" s="799"/>
      <c r="AN536" s="799"/>
      <c r="AO536" s="799"/>
      <c r="AP536" s="799"/>
      <c r="AQ536" s="799"/>
      <c r="AR536" s="799"/>
      <c r="AS536" s="799"/>
      <c r="AT536" s="799"/>
      <c r="AU536" s="799"/>
      <c r="AV536" s="799"/>
      <c r="AW536" s="799"/>
      <c r="AX536" s="799"/>
      <c r="AY536" s="799"/>
      <c r="AZ536" s="799"/>
      <c r="BA536" s="799"/>
      <c r="BB536" s="799"/>
      <c r="BC536" s="799"/>
      <c r="BD536" s="799"/>
      <c r="BE536" s="799"/>
      <c r="BF536" s="799"/>
      <c r="BG536" s="799"/>
    </row>
    <row r="537">
      <c r="H537" s="799"/>
      <c r="I537" s="799"/>
      <c r="J537" s="799"/>
      <c r="K537" s="799"/>
      <c r="L537" s="799"/>
      <c r="M537" s="799"/>
      <c r="N537" s="799"/>
      <c r="O537" s="799"/>
      <c r="P537" s="799"/>
      <c r="Q537" s="799"/>
      <c r="R537" s="799"/>
      <c r="S537" s="799"/>
      <c r="T537" s="799"/>
      <c r="U537" s="799"/>
      <c r="V537" s="799"/>
      <c r="W537" s="799"/>
      <c r="X537" s="799"/>
      <c r="Y537" s="799"/>
      <c r="Z537" s="799"/>
      <c r="AA537" s="799"/>
      <c r="AB537" s="799"/>
      <c r="AC537" s="799"/>
      <c r="AD537" s="799"/>
      <c r="AE537" s="799"/>
      <c r="AF537" s="799"/>
      <c r="AG537" s="799"/>
      <c r="AH537" s="799"/>
      <c r="AI537" s="799"/>
      <c r="AJ537" s="799"/>
      <c r="AK537" s="799"/>
      <c r="AL537" s="799"/>
      <c r="AM537" s="799"/>
      <c r="AN537" s="799"/>
      <c r="AO537" s="799"/>
      <c r="AP537" s="799"/>
      <c r="AQ537" s="799"/>
      <c r="AR537" s="799"/>
      <c r="AS537" s="799"/>
      <c r="AT537" s="799"/>
      <c r="AU537" s="799"/>
      <c r="AV537" s="799"/>
      <c r="AW537" s="799"/>
      <c r="AX537" s="799"/>
      <c r="AY537" s="799"/>
      <c r="AZ537" s="799"/>
      <c r="BA537" s="799"/>
      <c r="BB537" s="799"/>
      <c r="BC537" s="799"/>
      <c r="BD537" s="799"/>
      <c r="BE537" s="799"/>
      <c r="BF537" s="799"/>
      <c r="BG537" s="799"/>
    </row>
    <row r="538">
      <c r="H538" s="799"/>
      <c r="I538" s="799"/>
      <c r="J538" s="799"/>
      <c r="K538" s="799"/>
      <c r="L538" s="799"/>
      <c r="M538" s="799"/>
      <c r="N538" s="799"/>
      <c r="O538" s="799"/>
      <c r="P538" s="799"/>
      <c r="Q538" s="799"/>
      <c r="R538" s="799"/>
      <c r="S538" s="799"/>
      <c r="T538" s="799"/>
      <c r="U538" s="799"/>
      <c r="V538" s="799"/>
      <c r="W538" s="799"/>
      <c r="X538" s="799"/>
      <c r="Y538" s="799"/>
      <c r="Z538" s="799"/>
      <c r="AA538" s="799"/>
      <c r="AB538" s="799"/>
      <c r="AC538" s="799"/>
      <c r="AD538" s="799"/>
      <c r="AE538" s="799"/>
      <c r="AF538" s="799"/>
      <c r="AG538" s="799"/>
      <c r="AH538" s="799"/>
      <c r="AI538" s="799"/>
      <c r="AJ538" s="799"/>
      <c r="AK538" s="799"/>
      <c r="AL538" s="799"/>
      <c r="AM538" s="799"/>
      <c r="AN538" s="799"/>
      <c r="AO538" s="799"/>
      <c r="AP538" s="799"/>
      <c r="AQ538" s="799"/>
      <c r="AR538" s="799"/>
      <c r="AS538" s="799"/>
      <c r="AT538" s="799"/>
      <c r="AU538" s="799"/>
      <c r="AV538" s="799"/>
      <c r="AW538" s="799"/>
      <c r="AX538" s="799"/>
      <c r="AY538" s="799"/>
      <c r="AZ538" s="799"/>
      <c r="BA538" s="799"/>
      <c r="BB538" s="799"/>
      <c r="BC538" s="799"/>
      <c r="BD538" s="799"/>
      <c r="BE538" s="799"/>
      <c r="BF538" s="799"/>
      <c r="BG538" s="799"/>
    </row>
    <row r="539">
      <c r="H539" s="799"/>
      <c r="I539" s="799"/>
      <c r="J539" s="799"/>
      <c r="K539" s="799"/>
      <c r="L539" s="799"/>
      <c r="M539" s="799"/>
      <c r="N539" s="799"/>
      <c r="O539" s="799"/>
      <c r="P539" s="799"/>
      <c r="Q539" s="799"/>
      <c r="R539" s="799"/>
      <c r="S539" s="799"/>
      <c r="T539" s="799"/>
      <c r="U539" s="799"/>
      <c r="V539" s="799"/>
      <c r="W539" s="799"/>
      <c r="X539" s="799"/>
      <c r="Y539" s="799"/>
      <c r="Z539" s="799"/>
      <c r="AA539" s="799"/>
      <c r="AB539" s="799"/>
      <c r="AC539" s="799"/>
      <c r="AD539" s="799"/>
      <c r="AE539" s="799"/>
      <c r="AF539" s="799"/>
      <c r="AG539" s="799"/>
      <c r="AH539" s="799"/>
      <c r="AI539" s="799"/>
      <c r="AJ539" s="799"/>
      <c r="AK539" s="799"/>
      <c r="AL539" s="799"/>
      <c r="AM539" s="799"/>
      <c r="AN539" s="799"/>
      <c r="AO539" s="799"/>
      <c r="AP539" s="799"/>
      <c r="AQ539" s="799"/>
      <c r="AR539" s="799"/>
      <c r="AS539" s="799"/>
      <c r="AT539" s="799"/>
      <c r="AU539" s="799"/>
      <c r="AV539" s="799"/>
      <c r="AW539" s="799"/>
      <c r="AX539" s="799"/>
      <c r="AY539" s="799"/>
      <c r="AZ539" s="799"/>
      <c r="BA539" s="799"/>
      <c r="BB539" s="799"/>
      <c r="BC539" s="799"/>
      <c r="BD539" s="799"/>
      <c r="BE539" s="799"/>
      <c r="BF539" s="799"/>
      <c r="BG539" s="799"/>
    </row>
    <row r="540">
      <c r="H540" s="799"/>
      <c r="I540" s="799"/>
      <c r="J540" s="799"/>
      <c r="K540" s="799"/>
      <c r="L540" s="799"/>
      <c r="M540" s="799"/>
      <c r="N540" s="799"/>
      <c r="O540" s="799"/>
      <c r="P540" s="799"/>
      <c r="Q540" s="799"/>
      <c r="R540" s="799"/>
      <c r="S540" s="799"/>
      <c r="T540" s="799"/>
      <c r="U540" s="799"/>
      <c r="V540" s="799"/>
      <c r="W540" s="799"/>
      <c r="X540" s="799"/>
      <c r="Y540" s="799"/>
      <c r="Z540" s="799"/>
      <c r="AA540" s="799"/>
      <c r="AB540" s="799"/>
      <c r="AC540" s="799"/>
      <c r="AD540" s="799"/>
      <c r="AE540" s="799"/>
      <c r="AF540" s="799"/>
      <c r="AG540" s="799"/>
      <c r="AH540" s="799"/>
      <c r="AI540" s="799"/>
      <c r="AJ540" s="799"/>
      <c r="AK540" s="799"/>
      <c r="AL540" s="799"/>
      <c r="AM540" s="799"/>
      <c r="AN540" s="799"/>
      <c r="AO540" s="799"/>
      <c r="AP540" s="799"/>
      <c r="AQ540" s="799"/>
      <c r="AR540" s="799"/>
      <c r="AS540" s="799"/>
      <c r="AT540" s="799"/>
      <c r="AU540" s="799"/>
      <c r="AV540" s="799"/>
      <c r="AW540" s="799"/>
      <c r="AX540" s="799"/>
      <c r="AY540" s="799"/>
      <c r="AZ540" s="799"/>
      <c r="BA540" s="799"/>
      <c r="BB540" s="799"/>
      <c r="BC540" s="799"/>
      <c r="BD540" s="799"/>
      <c r="BE540" s="799"/>
      <c r="BF540" s="799"/>
      <c r="BG540" s="799"/>
    </row>
    <row r="541">
      <c r="H541" s="799"/>
      <c r="I541" s="799"/>
      <c r="J541" s="799"/>
      <c r="K541" s="799"/>
      <c r="L541" s="799"/>
      <c r="M541" s="799"/>
      <c r="N541" s="799"/>
      <c r="O541" s="799"/>
      <c r="P541" s="799"/>
      <c r="Q541" s="799"/>
      <c r="R541" s="799"/>
      <c r="S541" s="799"/>
      <c r="T541" s="799"/>
      <c r="U541" s="799"/>
      <c r="V541" s="799"/>
      <c r="W541" s="799"/>
      <c r="X541" s="799"/>
      <c r="Y541" s="799"/>
      <c r="Z541" s="799"/>
      <c r="AA541" s="799"/>
      <c r="AB541" s="799"/>
      <c r="AC541" s="799"/>
      <c r="AD541" s="799"/>
      <c r="AE541" s="799"/>
      <c r="AF541" s="799"/>
      <c r="AG541" s="799"/>
      <c r="AH541" s="799"/>
      <c r="AI541" s="799"/>
      <c r="AJ541" s="799"/>
      <c r="AK541" s="799"/>
      <c r="AL541" s="799"/>
      <c r="AM541" s="799"/>
      <c r="AN541" s="799"/>
      <c r="AO541" s="799"/>
      <c r="AP541" s="799"/>
      <c r="AQ541" s="799"/>
      <c r="AR541" s="799"/>
      <c r="AS541" s="799"/>
      <c r="AT541" s="799"/>
      <c r="AU541" s="799"/>
      <c r="AV541" s="799"/>
      <c r="AW541" s="799"/>
      <c r="AX541" s="799"/>
      <c r="AY541" s="799"/>
      <c r="AZ541" s="799"/>
      <c r="BA541" s="799"/>
      <c r="BB541" s="799"/>
      <c r="BC541" s="799"/>
      <c r="BD541" s="799"/>
      <c r="BE541" s="799"/>
      <c r="BF541" s="799"/>
      <c r="BG541" s="799"/>
    </row>
    <row r="542">
      <c r="H542" s="799"/>
      <c r="I542" s="799"/>
      <c r="J542" s="799"/>
      <c r="K542" s="799"/>
      <c r="L542" s="799"/>
      <c r="M542" s="799"/>
      <c r="N542" s="799"/>
      <c r="O542" s="799"/>
      <c r="P542" s="799"/>
      <c r="Q542" s="799"/>
      <c r="R542" s="799"/>
      <c r="S542" s="799"/>
      <c r="T542" s="799"/>
      <c r="U542" s="799"/>
      <c r="V542" s="799"/>
      <c r="W542" s="799"/>
      <c r="X542" s="799"/>
      <c r="Y542" s="799"/>
      <c r="Z542" s="799"/>
      <c r="AA542" s="799"/>
      <c r="AB542" s="799"/>
      <c r="AC542" s="799"/>
      <c r="AD542" s="799"/>
      <c r="AE542" s="799"/>
      <c r="AF542" s="799"/>
      <c r="AG542" s="799"/>
      <c r="AH542" s="799"/>
      <c r="AI542" s="799"/>
      <c r="AJ542" s="799"/>
      <c r="AK542" s="799"/>
      <c r="AL542" s="799"/>
      <c r="AM542" s="799"/>
      <c r="AN542" s="799"/>
      <c r="AO542" s="799"/>
      <c r="AP542" s="799"/>
      <c r="AQ542" s="799"/>
      <c r="AR542" s="799"/>
      <c r="AS542" s="799"/>
      <c r="AT542" s="799"/>
      <c r="AU542" s="799"/>
      <c r="AV542" s="799"/>
      <c r="AW542" s="799"/>
      <c r="AX542" s="799"/>
      <c r="AY542" s="799"/>
      <c r="AZ542" s="799"/>
      <c r="BA542" s="799"/>
      <c r="BB542" s="799"/>
      <c r="BC542" s="799"/>
      <c r="BD542" s="799"/>
      <c r="BE542" s="799"/>
      <c r="BF542" s="799"/>
      <c r="BG542" s="799"/>
    </row>
    <row r="543">
      <c r="H543" s="799"/>
      <c r="I543" s="799"/>
      <c r="J543" s="799"/>
      <c r="K543" s="799"/>
      <c r="L543" s="799"/>
      <c r="M543" s="799"/>
      <c r="N543" s="799"/>
      <c r="O543" s="799"/>
      <c r="P543" s="799"/>
      <c r="Q543" s="799"/>
      <c r="R543" s="799"/>
      <c r="S543" s="799"/>
      <c r="T543" s="799"/>
      <c r="U543" s="799"/>
      <c r="V543" s="799"/>
      <c r="W543" s="799"/>
      <c r="X543" s="799"/>
      <c r="Y543" s="799"/>
      <c r="Z543" s="799"/>
      <c r="AA543" s="799"/>
      <c r="AB543" s="799"/>
      <c r="AC543" s="799"/>
      <c r="AD543" s="799"/>
      <c r="AE543" s="799"/>
      <c r="AF543" s="799"/>
      <c r="AG543" s="799"/>
      <c r="AH543" s="799"/>
      <c r="AI543" s="799"/>
      <c r="AJ543" s="799"/>
      <c r="AK543" s="799"/>
      <c r="AL543" s="799"/>
      <c r="AM543" s="799"/>
      <c r="AN543" s="799"/>
      <c r="AO543" s="799"/>
      <c r="AP543" s="799"/>
      <c r="AQ543" s="799"/>
      <c r="AR543" s="799"/>
      <c r="AS543" s="799"/>
      <c r="AT543" s="799"/>
      <c r="AU543" s="799"/>
      <c r="AV543" s="799"/>
      <c r="AW543" s="799"/>
      <c r="AX543" s="799"/>
      <c r="AY543" s="799"/>
      <c r="AZ543" s="799"/>
      <c r="BA543" s="799"/>
      <c r="BB543" s="799"/>
      <c r="BC543" s="799"/>
      <c r="BD543" s="799"/>
      <c r="BE543" s="799"/>
      <c r="BF543" s="799"/>
      <c r="BG543" s="799"/>
    </row>
    <row r="544">
      <c r="H544" s="799"/>
      <c r="I544" s="799"/>
      <c r="J544" s="799"/>
      <c r="K544" s="799"/>
      <c r="L544" s="799"/>
      <c r="M544" s="799"/>
      <c r="N544" s="799"/>
      <c r="O544" s="799"/>
      <c r="P544" s="799"/>
      <c r="Q544" s="799"/>
      <c r="R544" s="799"/>
      <c r="S544" s="799"/>
      <c r="T544" s="799"/>
      <c r="U544" s="799"/>
      <c r="V544" s="799"/>
      <c r="W544" s="799"/>
      <c r="X544" s="799"/>
      <c r="Y544" s="799"/>
      <c r="Z544" s="799"/>
      <c r="AA544" s="799"/>
      <c r="AB544" s="799"/>
      <c r="AC544" s="799"/>
      <c r="AD544" s="799"/>
      <c r="AE544" s="799"/>
      <c r="AF544" s="799"/>
      <c r="AG544" s="799"/>
      <c r="AH544" s="799"/>
      <c r="AI544" s="799"/>
      <c r="AJ544" s="799"/>
      <c r="AK544" s="799"/>
      <c r="AL544" s="799"/>
      <c r="AM544" s="799"/>
      <c r="AN544" s="799"/>
      <c r="AO544" s="799"/>
      <c r="AP544" s="799"/>
      <c r="AQ544" s="799"/>
      <c r="AR544" s="799"/>
      <c r="AS544" s="799"/>
      <c r="AT544" s="799"/>
      <c r="AU544" s="799"/>
      <c r="AV544" s="799"/>
      <c r="AW544" s="799"/>
      <c r="AX544" s="799"/>
      <c r="AY544" s="799"/>
      <c r="AZ544" s="799"/>
      <c r="BA544" s="799"/>
      <c r="BB544" s="799"/>
      <c r="BC544" s="799"/>
      <c r="BD544" s="799"/>
      <c r="BE544" s="799"/>
      <c r="BF544" s="799"/>
      <c r="BG544" s="799"/>
    </row>
    <row r="545">
      <c r="H545" s="799"/>
      <c r="I545" s="799"/>
      <c r="J545" s="799"/>
      <c r="K545" s="799"/>
      <c r="L545" s="799"/>
      <c r="M545" s="799"/>
      <c r="N545" s="799"/>
      <c r="O545" s="799"/>
      <c r="P545" s="799"/>
      <c r="Q545" s="799"/>
      <c r="R545" s="799"/>
      <c r="S545" s="799"/>
      <c r="T545" s="799"/>
      <c r="U545" s="799"/>
      <c r="V545" s="799"/>
      <c r="W545" s="799"/>
      <c r="X545" s="799"/>
      <c r="Y545" s="799"/>
      <c r="Z545" s="799"/>
      <c r="AA545" s="799"/>
      <c r="AB545" s="799"/>
      <c r="AC545" s="799"/>
      <c r="AD545" s="799"/>
      <c r="AE545" s="799"/>
      <c r="AF545" s="799"/>
      <c r="AG545" s="799"/>
      <c r="AH545" s="799"/>
      <c r="AI545" s="799"/>
      <c r="AJ545" s="799"/>
      <c r="AK545" s="799"/>
      <c r="AL545" s="799"/>
      <c r="AM545" s="799"/>
      <c r="AN545" s="799"/>
      <c r="AO545" s="799"/>
      <c r="AP545" s="799"/>
      <c r="AQ545" s="799"/>
      <c r="AR545" s="799"/>
      <c r="AS545" s="799"/>
      <c r="AT545" s="799"/>
      <c r="AU545" s="799"/>
      <c r="AV545" s="799"/>
      <c r="AW545" s="799"/>
      <c r="AX545" s="799"/>
      <c r="AY545" s="799"/>
      <c r="AZ545" s="799"/>
      <c r="BA545" s="799"/>
      <c r="BB545" s="799"/>
      <c r="BC545" s="799"/>
      <c r="BD545" s="799"/>
      <c r="BE545" s="799"/>
      <c r="BF545" s="799"/>
      <c r="BG545" s="799"/>
    </row>
    <row r="546">
      <c r="H546" s="799"/>
      <c r="I546" s="799"/>
      <c r="J546" s="799"/>
      <c r="K546" s="799"/>
      <c r="L546" s="799"/>
      <c r="M546" s="799"/>
      <c r="N546" s="799"/>
      <c r="O546" s="799"/>
      <c r="P546" s="799"/>
      <c r="Q546" s="799"/>
      <c r="R546" s="799"/>
      <c r="S546" s="799"/>
      <c r="T546" s="799"/>
      <c r="U546" s="799"/>
      <c r="V546" s="799"/>
      <c r="W546" s="799"/>
      <c r="X546" s="799"/>
      <c r="Y546" s="799"/>
      <c r="Z546" s="799"/>
      <c r="AA546" s="799"/>
      <c r="AB546" s="799"/>
      <c r="AC546" s="799"/>
      <c r="AD546" s="799"/>
      <c r="AE546" s="799"/>
      <c r="AF546" s="799"/>
      <c r="AG546" s="799"/>
      <c r="AH546" s="799"/>
      <c r="AI546" s="799"/>
      <c r="AJ546" s="799"/>
      <c r="AK546" s="799"/>
      <c r="AL546" s="799"/>
      <c r="AM546" s="799"/>
      <c r="AN546" s="799"/>
      <c r="AO546" s="799"/>
      <c r="AP546" s="799"/>
      <c r="AQ546" s="799"/>
      <c r="AR546" s="799"/>
      <c r="AS546" s="799"/>
      <c r="AT546" s="799"/>
      <c r="AU546" s="799"/>
      <c r="AV546" s="799"/>
      <c r="AW546" s="799"/>
      <c r="AX546" s="799"/>
      <c r="AY546" s="799"/>
      <c r="AZ546" s="799"/>
      <c r="BA546" s="799"/>
      <c r="BB546" s="799"/>
      <c r="BC546" s="799"/>
      <c r="BD546" s="799"/>
      <c r="BE546" s="799"/>
      <c r="BF546" s="799"/>
      <c r="BG546" s="799"/>
    </row>
    <row r="547">
      <c r="H547" s="799"/>
      <c r="I547" s="799"/>
      <c r="J547" s="799"/>
      <c r="K547" s="799"/>
      <c r="L547" s="799"/>
      <c r="M547" s="799"/>
      <c r="N547" s="799"/>
      <c r="O547" s="799"/>
      <c r="P547" s="799"/>
      <c r="Q547" s="799"/>
      <c r="R547" s="799"/>
      <c r="S547" s="799"/>
      <c r="T547" s="799"/>
      <c r="U547" s="799"/>
      <c r="V547" s="799"/>
      <c r="W547" s="799"/>
      <c r="X547" s="799"/>
      <c r="Y547" s="799"/>
      <c r="Z547" s="799"/>
      <c r="AA547" s="799"/>
      <c r="AB547" s="799"/>
      <c r="AC547" s="799"/>
      <c r="AD547" s="799"/>
      <c r="AE547" s="799"/>
      <c r="AF547" s="799"/>
      <c r="AG547" s="799"/>
      <c r="AH547" s="799"/>
      <c r="AI547" s="799"/>
      <c r="AJ547" s="799"/>
      <c r="AK547" s="799"/>
      <c r="AL547" s="799"/>
      <c r="AM547" s="799"/>
      <c r="AN547" s="799"/>
      <c r="AO547" s="799"/>
      <c r="AP547" s="799"/>
      <c r="AQ547" s="799"/>
      <c r="AR547" s="799"/>
      <c r="AS547" s="799"/>
      <c r="AT547" s="799"/>
      <c r="AU547" s="799"/>
      <c r="AV547" s="799"/>
      <c r="AW547" s="799"/>
      <c r="AX547" s="799"/>
      <c r="AY547" s="799"/>
      <c r="AZ547" s="799"/>
      <c r="BA547" s="799"/>
      <c r="BB547" s="799"/>
      <c r="BC547" s="799"/>
      <c r="BD547" s="799"/>
      <c r="BE547" s="799"/>
      <c r="BF547" s="799"/>
      <c r="BG547" s="799"/>
    </row>
    <row r="548">
      <c r="H548" s="799"/>
      <c r="I548" s="799"/>
      <c r="J548" s="799"/>
      <c r="K548" s="799"/>
      <c r="L548" s="799"/>
      <c r="M548" s="799"/>
      <c r="N548" s="799"/>
      <c r="O548" s="799"/>
      <c r="P548" s="799"/>
      <c r="Q548" s="799"/>
      <c r="R548" s="799"/>
      <c r="S548" s="799"/>
      <c r="T548" s="799"/>
      <c r="U548" s="799"/>
      <c r="V548" s="799"/>
      <c r="W548" s="799"/>
      <c r="X548" s="799"/>
      <c r="Y548" s="799"/>
      <c r="Z548" s="799"/>
      <c r="AA548" s="799"/>
      <c r="AB548" s="799"/>
      <c r="AC548" s="799"/>
      <c r="AD548" s="799"/>
      <c r="AE548" s="799"/>
      <c r="AF548" s="799"/>
      <c r="AG548" s="799"/>
      <c r="AH548" s="799"/>
      <c r="AI548" s="799"/>
      <c r="AJ548" s="799"/>
      <c r="AK548" s="799"/>
      <c r="AL548" s="799"/>
      <c r="AM548" s="799"/>
      <c r="AN548" s="799"/>
      <c r="AO548" s="799"/>
      <c r="AP548" s="799"/>
      <c r="AQ548" s="799"/>
      <c r="AR548" s="799"/>
      <c r="AS548" s="799"/>
      <c r="AT548" s="799"/>
      <c r="AU548" s="799"/>
      <c r="AV548" s="799"/>
      <c r="AW548" s="799"/>
      <c r="AX548" s="799"/>
      <c r="AY548" s="799"/>
      <c r="AZ548" s="799"/>
      <c r="BA548" s="799"/>
      <c r="BB548" s="799"/>
      <c r="BC548" s="799"/>
      <c r="BD548" s="799"/>
      <c r="BE548" s="799"/>
      <c r="BF548" s="799"/>
      <c r="BG548" s="799"/>
    </row>
    <row r="549">
      <c r="H549" s="799"/>
      <c r="I549" s="799"/>
      <c r="J549" s="799"/>
      <c r="K549" s="799"/>
      <c r="L549" s="799"/>
      <c r="M549" s="799"/>
      <c r="N549" s="799"/>
      <c r="O549" s="799"/>
      <c r="P549" s="799"/>
      <c r="Q549" s="799"/>
      <c r="R549" s="799"/>
      <c r="S549" s="799"/>
      <c r="T549" s="799"/>
      <c r="U549" s="799"/>
      <c r="V549" s="799"/>
      <c r="W549" s="799"/>
      <c r="X549" s="799"/>
      <c r="Y549" s="799"/>
      <c r="Z549" s="799"/>
      <c r="AA549" s="799"/>
      <c r="AB549" s="799"/>
      <c r="AC549" s="799"/>
      <c r="AD549" s="799"/>
      <c r="AE549" s="799"/>
      <c r="AF549" s="799"/>
      <c r="AG549" s="799"/>
      <c r="AH549" s="799"/>
      <c r="AI549" s="799"/>
      <c r="AJ549" s="799"/>
      <c r="AK549" s="799"/>
      <c r="AL549" s="799"/>
      <c r="AM549" s="799"/>
      <c r="AN549" s="799"/>
      <c r="AO549" s="799"/>
      <c r="AP549" s="799"/>
      <c r="AQ549" s="799"/>
      <c r="AR549" s="799"/>
      <c r="AS549" s="799"/>
      <c r="AT549" s="799"/>
      <c r="AU549" s="799"/>
      <c r="AV549" s="799"/>
      <c r="AW549" s="799"/>
      <c r="AX549" s="799"/>
      <c r="AY549" s="799"/>
      <c r="AZ549" s="799"/>
      <c r="BA549" s="799"/>
      <c r="BB549" s="799"/>
      <c r="BC549" s="799"/>
      <c r="BD549" s="799"/>
      <c r="BE549" s="799"/>
      <c r="BF549" s="799"/>
      <c r="BG549" s="799"/>
    </row>
    <row r="550">
      <c r="H550" s="799"/>
      <c r="I550" s="799"/>
      <c r="J550" s="799"/>
      <c r="K550" s="799"/>
      <c r="L550" s="799"/>
      <c r="M550" s="799"/>
      <c r="N550" s="799"/>
      <c r="O550" s="799"/>
      <c r="P550" s="799"/>
      <c r="Q550" s="799"/>
      <c r="R550" s="799"/>
      <c r="S550" s="799"/>
      <c r="T550" s="799"/>
      <c r="U550" s="799"/>
      <c r="V550" s="799"/>
      <c r="W550" s="799"/>
      <c r="X550" s="799"/>
      <c r="Y550" s="799"/>
      <c r="Z550" s="799"/>
      <c r="AA550" s="799"/>
      <c r="AB550" s="799"/>
      <c r="AC550" s="799"/>
      <c r="AD550" s="799"/>
      <c r="AE550" s="799"/>
      <c r="AF550" s="799"/>
      <c r="AG550" s="799"/>
      <c r="AH550" s="799"/>
      <c r="AI550" s="799"/>
      <c r="AJ550" s="799"/>
      <c r="AK550" s="799"/>
      <c r="AL550" s="799"/>
      <c r="AM550" s="799"/>
      <c r="AN550" s="799"/>
      <c r="AO550" s="799"/>
      <c r="AP550" s="799"/>
      <c r="AQ550" s="799"/>
      <c r="AR550" s="799"/>
      <c r="AS550" s="799"/>
      <c r="AT550" s="799"/>
      <c r="AU550" s="799"/>
      <c r="AV550" s="799"/>
      <c r="AW550" s="799"/>
      <c r="AX550" s="799"/>
      <c r="AY550" s="799"/>
      <c r="AZ550" s="799"/>
      <c r="BA550" s="799"/>
      <c r="BB550" s="799"/>
      <c r="BC550" s="799"/>
      <c r="BD550" s="799"/>
      <c r="BE550" s="799"/>
      <c r="BF550" s="799"/>
      <c r="BG550" s="799"/>
    </row>
    <row r="551">
      <c r="H551" s="799"/>
      <c r="I551" s="799"/>
      <c r="J551" s="799"/>
      <c r="K551" s="799"/>
      <c r="L551" s="799"/>
      <c r="M551" s="799"/>
      <c r="N551" s="799"/>
      <c r="O551" s="799"/>
      <c r="P551" s="799"/>
      <c r="Q551" s="799"/>
      <c r="R551" s="799"/>
      <c r="S551" s="799"/>
      <c r="T551" s="799"/>
      <c r="U551" s="799"/>
      <c r="V551" s="799"/>
      <c r="W551" s="799"/>
      <c r="X551" s="799"/>
      <c r="Y551" s="799"/>
      <c r="Z551" s="799"/>
      <c r="AA551" s="799"/>
      <c r="AB551" s="799"/>
      <c r="AC551" s="799"/>
      <c r="AD551" s="799"/>
      <c r="AE551" s="799"/>
      <c r="AF551" s="799"/>
      <c r="AG551" s="799"/>
      <c r="AH551" s="799"/>
      <c r="AI551" s="799"/>
      <c r="AJ551" s="799"/>
      <c r="AK551" s="799"/>
      <c r="AL551" s="799"/>
      <c r="AM551" s="799"/>
      <c r="AN551" s="799"/>
      <c r="AO551" s="799"/>
      <c r="AP551" s="799"/>
      <c r="AQ551" s="799"/>
      <c r="AR551" s="799"/>
      <c r="AS551" s="799"/>
      <c r="AT551" s="799"/>
      <c r="AU551" s="799"/>
      <c r="AV551" s="799"/>
      <c r="AW551" s="799"/>
      <c r="AX551" s="799"/>
      <c r="AY551" s="799"/>
      <c r="AZ551" s="799"/>
      <c r="BA551" s="799"/>
      <c r="BB551" s="799"/>
      <c r="BC551" s="799"/>
      <c r="BD551" s="799"/>
      <c r="BE551" s="799"/>
      <c r="BF551" s="799"/>
      <c r="BG551" s="799"/>
    </row>
    <row r="552">
      <c r="H552" s="799"/>
      <c r="I552" s="799"/>
      <c r="J552" s="799"/>
      <c r="K552" s="799"/>
      <c r="L552" s="799"/>
      <c r="M552" s="799"/>
      <c r="N552" s="799"/>
      <c r="O552" s="799"/>
      <c r="P552" s="799"/>
      <c r="Q552" s="799"/>
      <c r="R552" s="799"/>
      <c r="S552" s="799"/>
      <c r="T552" s="799"/>
      <c r="U552" s="799"/>
      <c r="V552" s="799"/>
      <c r="W552" s="799"/>
      <c r="X552" s="799"/>
      <c r="Y552" s="799"/>
      <c r="Z552" s="799"/>
      <c r="AA552" s="799"/>
      <c r="AB552" s="799"/>
      <c r="AC552" s="799"/>
      <c r="AD552" s="799"/>
      <c r="AE552" s="799"/>
      <c r="AF552" s="799"/>
      <c r="AG552" s="799"/>
      <c r="AH552" s="799"/>
      <c r="AI552" s="799"/>
      <c r="AJ552" s="799"/>
      <c r="AK552" s="799"/>
      <c r="AL552" s="799"/>
      <c r="AM552" s="799"/>
      <c r="AN552" s="799"/>
      <c r="AO552" s="799"/>
      <c r="AP552" s="799"/>
      <c r="AQ552" s="799"/>
      <c r="AR552" s="799"/>
      <c r="AS552" s="799"/>
      <c r="AT552" s="799"/>
      <c r="AU552" s="799"/>
      <c r="AV552" s="799"/>
      <c r="AW552" s="799"/>
      <c r="AX552" s="799"/>
      <c r="AY552" s="799"/>
      <c r="AZ552" s="799"/>
      <c r="BA552" s="799"/>
      <c r="BB552" s="799"/>
      <c r="BC552" s="799"/>
      <c r="BD552" s="799"/>
      <c r="BE552" s="799"/>
      <c r="BF552" s="799"/>
      <c r="BG552" s="799"/>
    </row>
    <row r="553">
      <c r="H553" s="799"/>
      <c r="I553" s="799"/>
      <c r="J553" s="799"/>
      <c r="K553" s="799"/>
      <c r="L553" s="799"/>
      <c r="M553" s="799"/>
      <c r="N553" s="799"/>
      <c r="O553" s="799"/>
      <c r="P553" s="799"/>
      <c r="Q553" s="799"/>
      <c r="R553" s="799"/>
      <c r="S553" s="799"/>
      <c r="T553" s="799"/>
      <c r="U553" s="799"/>
      <c r="V553" s="799"/>
      <c r="W553" s="799"/>
      <c r="X553" s="799"/>
      <c r="Y553" s="799"/>
      <c r="Z553" s="799"/>
      <c r="AA553" s="799"/>
      <c r="AB553" s="799"/>
      <c r="AC553" s="799"/>
      <c r="AD553" s="799"/>
      <c r="AE553" s="799"/>
      <c r="AF553" s="799"/>
      <c r="AG553" s="799"/>
      <c r="AH553" s="799"/>
      <c r="AI553" s="799"/>
      <c r="AJ553" s="799"/>
      <c r="AK553" s="799"/>
      <c r="AL553" s="799"/>
      <c r="AM553" s="799"/>
      <c r="AN553" s="799"/>
      <c r="AO553" s="799"/>
      <c r="AP553" s="799"/>
      <c r="AQ553" s="799"/>
      <c r="AR553" s="799"/>
      <c r="AS553" s="799"/>
      <c r="AT553" s="799"/>
      <c r="AU553" s="799"/>
      <c r="AV553" s="799"/>
      <c r="AW553" s="799"/>
      <c r="AX553" s="799"/>
      <c r="AY553" s="799"/>
      <c r="AZ553" s="799"/>
      <c r="BA553" s="799"/>
      <c r="BB553" s="799"/>
      <c r="BC553" s="799"/>
      <c r="BD553" s="799"/>
      <c r="BE553" s="799"/>
      <c r="BF553" s="799"/>
      <c r="BG553" s="799"/>
    </row>
    <row r="554">
      <c r="H554" s="799"/>
      <c r="I554" s="799"/>
      <c r="J554" s="799"/>
      <c r="K554" s="799"/>
      <c r="L554" s="799"/>
      <c r="M554" s="799"/>
      <c r="N554" s="799"/>
      <c r="O554" s="799"/>
      <c r="P554" s="799"/>
      <c r="Q554" s="799"/>
      <c r="R554" s="799"/>
      <c r="S554" s="799"/>
      <c r="T554" s="799"/>
      <c r="U554" s="799"/>
      <c r="V554" s="799"/>
      <c r="W554" s="799"/>
      <c r="X554" s="799"/>
      <c r="Y554" s="799"/>
      <c r="Z554" s="799"/>
      <c r="AA554" s="799"/>
      <c r="AB554" s="799"/>
      <c r="AC554" s="799"/>
      <c r="AD554" s="799"/>
      <c r="AE554" s="799"/>
      <c r="AF554" s="799"/>
      <c r="AG554" s="799"/>
      <c r="AH554" s="799"/>
      <c r="AI554" s="799"/>
      <c r="AJ554" s="799"/>
      <c r="AK554" s="799"/>
      <c r="AL554" s="799"/>
      <c r="AM554" s="799"/>
      <c r="AN554" s="799"/>
      <c r="AO554" s="799"/>
      <c r="AP554" s="799"/>
      <c r="AQ554" s="799"/>
      <c r="AR554" s="799"/>
      <c r="AS554" s="799"/>
      <c r="AT554" s="799"/>
      <c r="AU554" s="799"/>
      <c r="AV554" s="799"/>
      <c r="AW554" s="799"/>
      <c r="AX554" s="799"/>
      <c r="AY554" s="799"/>
      <c r="AZ554" s="799"/>
      <c r="BA554" s="799"/>
      <c r="BB554" s="799"/>
      <c r="BC554" s="799"/>
      <c r="BD554" s="799"/>
      <c r="BE554" s="799"/>
      <c r="BF554" s="799"/>
      <c r="BG554" s="799"/>
    </row>
    <row r="555">
      <c r="H555" s="799"/>
      <c r="I555" s="799"/>
      <c r="J555" s="799"/>
      <c r="K555" s="799"/>
      <c r="L555" s="799"/>
      <c r="M555" s="799"/>
      <c r="N555" s="799"/>
      <c r="O555" s="799"/>
      <c r="P555" s="799"/>
      <c r="Q555" s="799"/>
      <c r="R555" s="799"/>
      <c r="S555" s="799"/>
      <c r="T555" s="799"/>
      <c r="U555" s="799"/>
      <c r="V555" s="799"/>
      <c r="W555" s="799"/>
      <c r="X555" s="799"/>
      <c r="Y555" s="799"/>
      <c r="Z555" s="799"/>
      <c r="AA555" s="799"/>
      <c r="AB555" s="799"/>
      <c r="AC555" s="799"/>
      <c r="AD555" s="799"/>
      <c r="AE555" s="799"/>
      <c r="AF555" s="799"/>
      <c r="AG555" s="799"/>
      <c r="AH555" s="799"/>
      <c r="AI555" s="799"/>
      <c r="AJ555" s="799"/>
      <c r="AK555" s="799"/>
      <c r="AL555" s="799"/>
      <c r="AM555" s="799"/>
      <c r="AN555" s="799"/>
      <c r="AO555" s="799"/>
      <c r="AP555" s="799"/>
      <c r="AQ555" s="799"/>
      <c r="AR555" s="799"/>
      <c r="AS555" s="799"/>
      <c r="AT555" s="799"/>
      <c r="AU555" s="799"/>
      <c r="AV555" s="799"/>
      <c r="AW555" s="799"/>
      <c r="AX555" s="799"/>
      <c r="AY555" s="799"/>
      <c r="AZ555" s="799"/>
      <c r="BA555" s="799"/>
      <c r="BB555" s="799"/>
      <c r="BC555" s="799"/>
      <c r="BD555" s="799"/>
      <c r="BE555" s="799"/>
      <c r="BF555" s="799"/>
      <c r="BG555" s="799"/>
    </row>
    <row r="556">
      <c r="H556" s="799"/>
      <c r="I556" s="799"/>
      <c r="J556" s="799"/>
      <c r="K556" s="799"/>
      <c r="L556" s="799"/>
      <c r="M556" s="799"/>
      <c r="N556" s="799"/>
      <c r="O556" s="799"/>
      <c r="P556" s="799"/>
      <c r="Q556" s="799"/>
      <c r="R556" s="799"/>
      <c r="S556" s="799"/>
      <c r="T556" s="799"/>
      <c r="U556" s="799"/>
      <c r="V556" s="799"/>
      <c r="W556" s="799"/>
      <c r="X556" s="799"/>
      <c r="Y556" s="799"/>
      <c r="Z556" s="799"/>
      <c r="AA556" s="799"/>
      <c r="AB556" s="799"/>
      <c r="AC556" s="799"/>
      <c r="AD556" s="799"/>
      <c r="AE556" s="799"/>
      <c r="AF556" s="799"/>
      <c r="AG556" s="799"/>
      <c r="AH556" s="799"/>
      <c r="AI556" s="799"/>
      <c r="AJ556" s="799"/>
      <c r="AK556" s="799"/>
      <c r="AL556" s="799"/>
      <c r="AM556" s="799"/>
      <c r="AN556" s="799"/>
      <c r="AO556" s="799"/>
      <c r="AP556" s="799"/>
      <c r="AQ556" s="799"/>
      <c r="AR556" s="799"/>
      <c r="AS556" s="799"/>
      <c r="AT556" s="799"/>
      <c r="AU556" s="799"/>
      <c r="AV556" s="799"/>
      <c r="AW556" s="799"/>
      <c r="AX556" s="799"/>
      <c r="AY556" s="799"/>
      <c r="AZ556" s="799"/>
      <c r="BA556" s="799"/>
      <c r="BB556" s="799"/>
      <c r="BC556" s="799"/>
      <c r="BD556" s="799"/>
      <c r="BE556" s="799"/>
      <c r="BF556" s="799"/>
      <c r="BG556" s="799"/>
    </row>
    <row r="557">
      <c r="H557" s="799"/>
      <c r="I557" s="799"/>
      <c r="J557" s="799"/>
      <c r="K557" s="799"/>
      <c r="L557" s="799"/>
      <c r="M557" s="799"/>
      <c r="N557" s="799"/>
      <c r="O557" s="799"/>
      <c r="P557" s="799"/>
      <c r="Q557" s="799"/>
      <c r="R557" s="799"/>
      <c r="S557" s="799"/>
      <c r="T557" s="799"/>
      <c r="U557" s="799"/>
      <c r="V557" s="799"/>
      <c r="W557" s="799"/>
      <c r="X557" s="799"/>
      <c r="Y557" s="799"/>
      <c r="Z557" s="799"/>
      <c r="AA557" s="799"/>
      <c r="AB557" s="799"/>
      <c r="AC557" s="799"/>
      <c r="AD557" s="799"/>
      <c r="AE557" s="799"/>
      <c r="AF557" s="799"/>
      <c r="AG557" s="799"/>
      <c r="AH557" s="799"/>
      <c r="AI557" s="799"/>
      <c r="AJ557" s="799"/>
      <c r="AK557" s="799"/>
      <c r="AL557" s="799"/>
      <c r="AM557" s="799"/>
      <c r="AN557" s="799"/>
      <c r="AO557" s="799"/>
      <c r="AP557" s="799"/>
      <c r="AQ557" s="799"/>
      <c r="AR557" s="799"/>
      <c r="AS557" s="799"/>
      <c r="AT557" s="799"/>
      <c r="AU557" s="799"/>
      <c r="AV557" s="799"/>
      <c r="AW557" s="799"/>
      <c r="AX557" s="799"/>
      <c r="AY557" s="799"/>
      <c r="AZ557" s="799"/>
      <c r="BA557" s="799"/>
      <c r="BB557" s="799"/>
      <c r="BC557" s="799"/>
      <c r="BD557" s="799"/>
      <c r="BE557" s="799"/>
      <c r="BF557" s="799"/>
      <c r="BG557" s="799"/>
    </row>
    <row r="558">
      <c r="H558" s="799"/>
      <c r="I558" s="799"/>
      <c r="J558" s="799"/>
      <c r="K558" s="799"/>
      <c r="L558" s="799"/>
      <c r="M558" s="799"/>
      <c r="N558" s="799"/>
      <c r="O558" s="799"/>
      <c r="P558" s="799"/>
      <c r="Q558" s="799"/>
      <c r="R558" s="799"/>
      <c r="S558" s="799"/>
      <c r="T558" s="799"/>
      <c r="U558" s="799"/>
      <c r="V558" s="799"/>
      <c r="W558" s="799"/>
      <c r="X558" s="799"/>
      <c r="Y558" s="799"/>
      <c r="Z558" s="799"/>
      <c r="AA558" s="799"/>
      <c r="AB558" s="799"/>
      <c r="AC558" s="799"/>
      <c r="AD558" s="799"/>
      <c r="AE558" s="799"/>
      <c r="AF558" s="799"/>
      <c r="AG558" s="799"/>
      <c r="AH558" s="799"/>
      <c r="AI558" s="799"/>
      <c r="AJ558" s="799"/>
      <c r="AK558" s="799"/>
      <c r="AL558" s="799"/>
      <c r="AM558" s="799"/>
      <c r="AN558" s="799"/>
      <c r="AO558" s="799"/>
      <c r="AP558" s="799"/>
      <c r="AQ558" s="799"/>
      <c r="AR558" s="799"/>
      <c r="AS558" s="799"/>
      <c r="AT558" s="799"/>
      <c r="AU558" s="799"/>
      <c r="AV558" s="799"/>
      <c r="AW558" s="799"/>
      <c r="AX558" s="799"/>
      <c r="AY558" s="799"/>
      <c r="AZ558" s="799"/>
      <c r="BA558" s="799"/>
      <c r="BB558" s="799"/>
      <c r="BC558" s="799"/>
      <c r="BD558" s="799"/>
      <c r="BE558" s="799"/>
      <c r="BF558" s="799"/>
      <c r="BG558" s="799"/>
    </row>
    <row r="559">
      <c r="H559" s="799"/>
      <c r="I559" s="799"/>
      <c r="J559" s="799"/>
      <c r="K559" s="799"/>
      <c r="L559" s="799"/>
      <c r="M559" s="799"/>
      <c r="N559" s="799"/>
      <c r="O559" s="799"/>
      <c r="P559" s="799"/>
      <c r="Q559" s="799"/>
      <c r="R559" s="799"/>
      <c r="S559" s="799"/>
      <c r="T559" s="799"/>
      <c r="U559" s="799"/>
      <c r="V559" s="799"/>
      <c r="W559" s="799"/>
      <c r="X559" s="799"/>
      <c r="Y559" s="799"/>
      <c r="Z559" s="799"/>
      <c r="AA559" s="799"/>
      <c r="AB559" s="799"/>
      <c r="AC559" s="799"/>
      <c r="AD559" s="799"/>
      <c r="AE559" s="799"/>
      <c r="AF559" s="799"/>
      <c r="AG559" s="799"/>
      <c r="AH559" s="799"/>
      <c r="AI559" s="799"/>
      <c r="AJ559" s="799"/>
      <c r="AK559" s="799"/>
      <c r="AL559" s="799"/>
      <c r="AM559" s="799"/>
      <c r="AN559" s="799"/>
      <c r="AO559" s="799"/>
      <c r="AP559" s="799"/>
      <c r="AQ559" s="799"/>
      <c r="AR559" s="799"/>
      <c r="AS559" s="799"/>
      <c r="AT559" s="799"/>
      <c r="AU559" s="799"/>
      <c r="AV559" s="799"/>
      <c r="AW559" s="799"/>
      <c r="AX559" s="799"/>
      <c r="AY559" s="799"/>
      <c r="AZ559" s="799"/>
      <c r="BA559" s="799"/>
      <c r="BB559" s="799"/>
      <c r="BC559" s="799"/>
      <c r="BD559" s="799"/>
      <c r="BE559" s="799"/>
      <c r="BF559" s="799"/>
      <c r="BG559" s="799"/>
    </row>
    <row r="560">
      <c r="H560" s="799"/>
      <c r="I560" s="799"/>
      <c r="J560" s="799"/>
      <c r="K560" s="799"/>
      <c r="L560" s="799"/>
      <c r="M560" s="799"/>
      <c r="N560" s="799"/>
      <c r="O560" s="799"/>
      <c r="P560" s="799"/>
      <c r="Q560" s="799"/>
      <c r="R560" s="799"/>
      <c r="S560" s="799"/>
      <c r="T560" s="799"/>
      <c r="U560" s="799"/>
      <c r="V560" s="799"/>
      <c r="W560" s="799"/>
      <c r="X560" s="799"/>
      <c r="Y560" s="799"/>
      <c r="Z560" s="799"/>
      <c r="AA560" s="799"/>
      <c r="AB560" s="799"/>
      <c r="AC560" s="799"/>
      <c r="AD560" s="799"/>
      <c r="AE560" s="799"/>
      <c r="AF560" s="799"/>
      <c r="AG560" s="799"/>
      <c r="AH560" s="799"/>
      <c r="AI560" s="799"/>
      <c r="AJ560" s="799"/>
      <c r="AK560" s="799"/>
      <c r="AL560" s="799"/>
      <c r="AM560" s="799"/>
      <c r="AN560" s="799"/>
      <c r="AO560" s="799"/>
      <c r="AP560" s="799"/>
      <c r="AQ560" s="799"/>
      <c r="AR560" s="799"/>
      <c r="AS560" s="799"/>
      <c r="AT560" s="799"/>
      <c r="AU560" s="799"/>
      <c r="AV560" s="799"/>
      <c r="AW560" s="799"/>
      <c r="AX560" s="799"/>
      <c r="AY560" s="799"/>
      <c r="AZ560" s="799"/>
      <c r="BA560" s="799"/>
      <c r="BB560" s="799"/>
      <c r="BC560" s="799"/>
      <c r="BD560" s="799"/>
      <c r="BE560" s="799"/>
      <c r="BF560" s="799"/>
      <c r="BG560" s="799"/>
    </row>
    <row r="561">
      <c r="H561" s="799"/>
      <c r="I561" s="799"/>
      <c r="J561" s="799"/>
      <c r="K561" s="799"/>
      <c r="L561" s="799"/>
      <c r="M561" s="799"/>
      <c r="N561" s="799"/>
      <c r="O561" s="799"/>
      <c r="P561" s="799"/>
      <c r="Q561" s="799"/>
      <c r="R561" s="799"/>
      <c r="S561" s="799"/>
      <c r="T561" s="799"/>
      <c r="U561" s="799"/>
      <c r="V561" s="799"/>
      <c r="W561" s="799"/>
      <c r="X561" s="799"/>
      <c r="Y561" s="799"/>
      <c r="Z561" s="799"/>
      <c r="AA561" s="799"/>
      <c r="AB561" s="799"/>
      <c r="AC561" s="799"/>
      <c r="AD561" s="799"/>
      <c r="AE561" s="799"/>
      <c r="AF561" s="799"/>
      <c r="AG561" s="799"/>
      <c r="AH561" s="799"/>
      <c r="AI561" s="799"/>
      <c r="AJ561" s="799"/>
      <c r="AK561" s="799"/>
      <c r="AL561" s="799"/>
      <c r="AM561" s="799"/>
      <c r="AN561" s="799"/>
      <c r="AO561" s="799"/>
      <c r="AP561" s="799"/>
      <c r="AQ561" s="799"/>
      <c r="AR561" s="799"/>
      <c r="AS561" s="799"/>
      <c r="AT561" s="799"/>
      <c r="AU561" s="799"/>
      <c r="AV561" s="799"/>
      <c r="AW561" s="799"/>
      <c r="AX561" s="799"/>
      <c r="AY561" s="799"/>
      <c r="AZ561" s="799"/>
      <c r="BA561" s="799"/>
      <c r="BB561" s="799"/>
      <c r="BC561" s="799"/>
      <c r="BD561" s="799"/>
      <c r="BE561" s="799"/>
      <c r="BF561" s="799"/>
      <c r="BG561" s="799"/>
    </row>
    <row r="562">
      <c r="H562" s="799"/>
      <c r="I562" s="799"/>
      <c r="J562" s="799"/>
      <c r="K562" s="799"/>
      <c r="L562" s="799"/>
      <c r="M562" s="799"/>
      <c r="N562" s="799"/>
      <c r="O562" s="799"/>
      <c r="P562" s="799"/>
      <c r="Q562" s="799"/>
      <c r="R562" s="799"/>
      <c r="S562" s="799"/>
      <c r="T562" s="799"/>
      <c r="U562" s="799"/>
      <c r="V562" s="799"/>
      <c r="W562" s="799"/>
      <c r="X562" s="799"/>
      <c r="Y562" s="799"/>
      <c r="Z562" s="799"/>
      <c r="AA562" s="799"/>
      <c r="AB562" s="799"/>
      <c r="AC562" s="799"/>
      <c r="AD562" s="799"/>
      <c r="AE562" s="799"/>
      <c r="AF562" s="799"/>
      <c r="AG562" s="799"/>
      <c r="AH562" s="799"/>
      <c r="AI562" s="799"/>
      <c r="AJ562" s="799"/>
      <c r="AK562" s="799"/>
      <c r="AL562" s="799"/>
      <c r="AM562" s="799"/>
      <c r="AN562" s="799"/>
      <c r="AO562" s="799"/>
      <c r="AP562" s="799"/>
      <c r="AQ562" s="799"/>
      <c r="AR562" s="799"/>
      <c r="AS562" s="799"/>
      <c r="AT562" s="799"/>
      <c r="AU562" s="799"/>
      <c r="AV562" s="799"/>
      <c r="AW562" s="799"/>
      <c r="AX562" s="799"/>
      <c r="AY562" s="799"/>
      <c r="AZ562" s="799"/>
      <c r="BA562" s="799"/>
      <c r="BB562" s="799"/>
      <c r="BC562" s="799"/>
      <c r="BD562" s="799"/>
      <c r="BE562" s="799"/>
      <c r="BF562" s="799"/>
      <c r="BG562" s="799"/>
    </row>
    <row r="563">
      <c r="H563" s="799"/>
      <c r="I563" s="799"/>
      <c r="J563" s="799"/>
      <c r="K563" s="799"/>
      <c r="L563" s="799"/>
      <c r="M563" s="799"/>
      <c r="N563" s="799"/>
      <c r="O563" s="799"/>
      <c r="P563" s="799"/>
      <c r="Q563" s="799"/>
      <c r="R563" s="799"/>
      <c r="S563" s="799"/>
      <c r="T563" s="799"/>
      <c r="U563" s="799"/>
      <c r="V563" s="799"/>
      <c r="W563" s="799"/>
      <c r="X563" s="799"/>
      <c r="Y563" s="799"/>
      <c r="Z563" s="799"/>
      <c r="AA563" s="799"/>
      <c r="AB563" s="799"/>
      <c r="AC563" s="799"/>
      <c r="AD563" s="799"/>
      <c r="AE563" s="799"/>
      <c r="AF563" s="799"/>
      <c r="AG563" s="799"/>
      <c r="AH563" s="799"/>
      <c r="AI563" s="799"/>
      <c r="AJ563" s="799"/>
      <c r="AK563" s="799"/>
      <c r="AL563" s="799"/>
      <c r="AM563" s="799"/>
      <c r="AN563" s="799"/>
      <c r="AO563" s="799"/>
      <c r="AP563" s="799"/>
      <c r="AQ563" s="799"/>
      <c r="AR563" s="799"/>
      <c r="AS563" s="799"/>
      <c r="AT563" s="799"/>
      <c r="AU563" s="799"/>
      <c r="AV563" s="799"/>
      <c r="AW563" s="799"/>
      <c r="AX563" s="799"/>
      <c r="AY563" s="799"/>
      <c r="AZ563" s="799"/>
      <c r="BA563" s="799"/>
      <c r="BB563" s="799"/>
      <c r="BC563" s="799"/>
      <c r="BD563" s="799"/>
      <c r="BE563" s="799"/>
      <c r="BF563" s="799"/>
      <c r="BG563" s="799"/>
    </row>
    <row r="564">
      <c r="H564" s="799"/>
      <c r="I564" s="799"/>
      <c r="J564" s="799"/>
      <c r="K564" s="799"/>
      <c r="L564" s="799"/>
      <c r="M564" s="799"/>
      <c r="N564" s="799"/>
      <c r="O564" s="799"/>
      <c r="P564" s="799"/>
      <c r="Q564" s="799"/>
      <c r="R564" s="799"/>
      <c r="S564" s="799"/>
      <c r="T564" s="799"/>
      <c r="U564" s="799"/>
      <c r="V564" s="799"/>
      <c r="W564" s="799"/>
      <c r="X564" s="799"/>
      <c r="Y564" s="799"/>
      <c r="Z564" s="799"/>
      <c r="AA564" s="799"/>
      <c r="AB564" s="799"/>
      <c r="AC564" s="799"/>
      <c r="AD564" s="799"/>
      <c r="AE564" s="799"/>
      <c r="AF564" s="799"/>
      <c r="AG564" s="799"/>
      <c r="AH564" s="799"/>
      <c r="AI564" s="799"/>
      <c r="AJ564" s="799"/>
      <c r="AK564" s="799"/>
      <c r="AL564" s="799"/>
      <c r="AM564" s="799"/>
      <c r="AN564" s="799"/>
      <c r="AO564" s="799"/>
      <c r="AP564" s="799"/>
      <c r="AQ564" s="799"/>
      <c r="AR564" s="799"/>
      <c r="AS564" s="799"/>
      <c r="AT564" s="799"/>
      <c r="AU564" s="799"/>
      <c r="AV564" s="799"/>
      <c r="AW564" s="799"/>
      <c r="AX564" s="799"/>
      <c r="AY564" s="799"/>
      <c r="AZ564" s="799"/>
      <c r="BA564" s="799"/>
      <c r="BB564" s="799"/>
      <c r="BC564" s="799"/>
      <c r="BD564" s="799"/>
      <c r="BE564" s="799"/>
      <c r="BF564" s="799"/>
      <c r="BG564" s="799"/>
    </row>
    <row r="565">
      <c r="H565" s="799"/>
      <c r="I565" s="799"/>
      <c r="J565" s="799"/>
      <c r="K565" s="799"/>
      <c r="L565" s="799"/>
      <c r="M565" s="799"/>
      <c r="N565" s="799"/>
      <c r="O565" s="799"/>
      <c r="P565" s="799"/>
      <c r="Q565" s="799"/>
      <c r="R565" s="799"/>
      <c r="S565" s="799"/>
      <c r="T565" s="799"/>
      <c r="U565" s="799"/>
      <c r="V565" s="799"/>
      <c r="W565" s="799"/>
      <c r="X565" s="799"/>
      <c r="Y565" s="799"/>
      <c r="Z565" s="799"/>
      <c r="AA565" s="799"/>
      <c r="AB565" s="799"/>
      <c r="AC565" s="799"/>
      <c r="AD565" s="799"/>
      <c r="AE565" s="799"/>
      <c r="AF565" s="799"/>
      <c r="AG565" s="799"/>
      <c r="AH565" s="799"/>
      <c r="AI565" s="799"/>
      <c r="AJ565" s="799"/>
      <c r="AK565" s="799"/>
      <c r="AL565" s="799"/>
      <c r="AM565" s="799"/>
      <c r="AN565" s="799"/>
      <c r="AO565" s="799"/>
      <c r="AP565" s="799"/>
      <c r="AQ565" s="799"/>
      <c r="AR565" s="799"/>
      <c r="AS565" s="799"/>
      <c r="AT565" s="799"/>
      <c r="AU565" s="799"/>
      <c r="AV565" s="799"/>
      <c r="AW565" s="799"/>
      <c r="AX565" s="799"/>
      <c r="AY565" s="799"/>
      <c r="AZ565" s="799"/>
      <c r="BA565" s="799"/>
      <c r="BB565" s="799"/>
      <c r="BC565" s="799"/>
      <c r="BD565" s="799"/>
      <c r="BE565" s="799"/>
      <c r="BF565" s="799"/>
      <c r="BG565" s="799"/>
    </row>
    <row r="566">
      <c r="H566" s="799"/>
      <c r="I566" s="799"/>
      <c r="J566" s="799"/>
      <c r="K566" s="799"/>
      <c r="L566" s="799"/>
      <c r="M566" s="799"/>
      <c r="N566" s="799"/>
      <c r="O566" s="799"/>
      <c r="P566" s="799"/>
      <c r="Q566" s="799"/>
      <c r="R566" s="799"/>
      <c r="S566" s="799"/>
      <c r="T566" s="799"/>
      <c r="U566" s="799"/>
      <c r="V566" s="799"/>
      <c r="W566" s="799"/>
      <c r="X566" s="799"/>
      <c r="Y566" s="799"/>
      <c r="Z566" s="799"/>
      <c r="AA566" s="799"/>
      <c r="AB566" s="799"/>
      <c r="AC566" s="799"/>
      <c r="AD566" s="799"/>
      <c r="AE566" s="799"/>
      <c r="AF566" s="799"/>
      <c r="AG566" s="799"/>
      <c r="AH566" s="799"/>
      <c r="AI566" s="799"/>
      <c r="AJ566" s="799"/>
      <c r="AK566" s="799"/>
      <c r="AL566" s="799"/>
      <c r="AM566" s="799"/>
      <c r="AN566" s="799"/>
      <c r="AO566" s="799"/>
      <c r="AP566" s="799"/>
      <c r="AQ566" s="799"/>
      <c r="AR566" s="799"/>
      <c r="AS566" s="799"/>
      <c r="AT566" s="799"/>
      <c r="AU566" s="799"/>
      <c r="AV566" s="799"/>
      <c r="AW566" s="799"/>
      <c r="AX566" s="799"/>
      <c r="AY566" s="799"/>
      <c r="AZ566" s="799"/>
      <c r="BA566" s="799"/>
      <c r="BB566" s="799"/>
      <c r="BC566" s="799"/>
      <c r="BD566" s="799"/>
      <c r="BE566" s="799"/>
      <c r="BF566" s="799"/>
      <c r="BG566" s="799"/>
    </row>
    <row r="567">
      <c r="H567" s="799"/>
      <c r="I567" s="799"/>
      <c r="J567" s="799"/>
      <c r="K567" s="799"/>
      <c r="L567" s="799"/>
      <c r="M567" s="799"/>
      <c r="N567" s="799"/>
      <c r="O567" s="799"/>
      <c r="P567" s="799"/>
      <c r="Q567" s="799"/>
      <c r="R567" s="799"/>
      <c r="S567" s="799"/>
      <c r="T567" s="799"/>
      <c r="U567" s="799"/>
      <c r="V567" s="799"/>
      <c r="W567" s="799"/>
      <c r="X567" s="799"/>
      <c r="Y567" s="799"/>
      <c r="Z567" s="799"/>
      <c r="AA567" s="799"/>
      <c r="AB567" s="799"/>
      <c r="AC567" s="799"/>
      <c r="AD567" s="799"/>
      <c r="AE567" s="799"/>
      <c r="AF567" s="799"/>
      <c r="AG567" s="799"/>
      <c r="AH567" s="799"/>
      <c r="AI567" s="799"/>
      <c r="AJ567" s="799"/>
      <c r="AK567" s="799"/>
      <c r="AL567" s="799"/>
      <c r="AM567" s="799"/>
      <c r="AN567" s="799"/>
      <c r="AO567" s="799"/>
      <c r="AP567" s="799"/>
      <c r="AQ567" s="799"/>
      <c r="AR567" s="799"/>
      <c r="AS567" s="799"/>
      <c r="AT567" s="799"/>
      <c r="AU567" s="799"/>
      <c r="AV567" s="799"/>
      <c r="AW567" s="799"/>
      <c r="AX567" s="799"/>
      <c r="AY567" s="799"/>
      <c r="AZ567" s="799"/>
      <c r="BA567" s="799"/>
      <c r="BB567" s="799"/>
      <c r="BC567" s="799"/>
      <c r="BD567" s="799"/>
      <c r="BE567" s="799"/>
      <c r="BF567" s="799"/>
      <c r="BG567" s="799"/>
    </row>
    <row r="568">
      <c r="H568" s="799"/>
      <c r="I568" s="799"/>
      <c r="J568" s="799"/>
      <c r="K568" s="799"/>
      <c r="L568" s="799"/>
      <c r="M568" s="799"/>
      <c r="N568" s="799"/>
      <c r="O568" s="799"/>
      <c r="P568" s="799"/>
      <c r="Q568" s="799"/>
      <c r="R568" s="799"/>
      <c r="S568" s="799"/>
      <c r="T568" s="799"/>
      <c r="U568" s="799"/>
      <c r="V568" s="799"/>
      <c r="W568" s="799"/>
      <c r="X568" s="799"/>
      <c r="Y568" s="799"/>
      <c r="Z568" s="799"/>
      <c r="AA568" s="799"/>
      <c r="AB568" s="799"/>
      <c r="AC568" s="799"/>
      <c r="AD568" s="799"/>
      <c r="AE568" s="799"/>
      <c r="AF568" s="799"/>
      <c r="AG568" s="799"/>
      <c r="AH568" s="799"/>
      <c r="AI568" s="799"/>
      <c r="AJ568" s="799"/>
      <c r="AK568" s="799"/>
      <c r="AL568" s="799"/>
      <c r="AM568" s="799"/>
      <c r="AN568" s="799"/>
      <c r="AO568" s="799"/>
      <c r="AP568" s="799"/>
      <c r="AQ568" s="799"/>
      <c r="AR568" s="799"/>
      <c r="AS568" s="799"/>
      <c r="AT568" s="799"/>
      <c r="AU568" s="799"/>
      <c r="AV568" s="799"/>
      <c r="AW568" s="799"/>
      <c r="AX568" s="799"/>
      <c r="AY568" s="799"/>
      <c r="AZ568" s="799"/>
      <c r="BA568" s="799"/>
      <c r="BB568" s="799"/>
      <c r="BC568" s="799"/>
      <c r="BD568" s="799"/>
      <c r="BE568" s="799"/>
      <c r="BF568" s="799"/>
      <c r="BG568" s="799"/>
    </row>
    <row r="569">
      <c r="H569" s="799"/>
      <c r="I569" s="799"/>
      <c r="J569" s="799"/>
      <c r="K569" s="799"/>
      <c r="L569" s="799"/>
      <c r="M569" s="799"/>
      <c r="N569" s="799"/>
      <c r="O569" s="799"/>
      <c r="P569" s="799"/>
      <c r="Q569" s="799"/>
      <c r="R569" s="799"/>
      <c r="S569" s="799"/>
      <c r="T569" s="799"/>
      <c r="U569" s="799"/>
      <c r="V569" s="799"/>
      <c r="W569" s="799"/>
      <c r="X569" s="799"/>
      <c r="Y569" s="799"/>
      <c r="Z569" s="799"/>
      <c r="AA569" s="799"/>
      <c r="AB569" s="799"/>
      <c r="AC569" s="799"/>
      <c r="AD569" s="799"/>
      <c r="AE569" s="799"/>
      <c r="AF569" s="799"/>
      <c r="AG569" s="799"/>
      <c r="AH569" s="799"/>
      <c r="AI569" s="799"/>
      <c r="AJ569" s="799"/>
      <c r="AK569" s="799"/>
      <c r="AL569" s="799"/>
      <c r="AM569" s="799"/>
      <c r="AN569" s="799"/>
      <c r="AO569" s="799"/>
      <c r="AP569" s="799"/>
      <c r="AQ569" s="799"/>
      <c r="AR569" s="799"/>
      <c r="AS569" s="799"/>
      <c r="AT569" s="799"/>
      <c r="AU569" s="799"/>
      <c r="AV569" s="799"/>
      <c r="AW569" s="799"/>
      <c r="AX569" s="799"/>
      <c r="AY569" s="799"/>
      <c r="AZ569" s="799"/>
      <c r="BA569" s="799"/>
      <c r="BB569" s="799"/>
      <c r="BC569" s="799"/>
      <c r="BD569" s="799"/>
      <c r="BE569" s="799"/>
      <c r="BF569" s="799"/>
      <c r="BG569" s="799"/>
    </row>
    <row r="570">
      <c r="H570" s="799"/>
      <c r="I570" s="799"/>
      <c r="J570" s="799"/>
      <c r="K570" s="799"/>
      <c r="L570" s="799"/>
      <c r="M570" s="799"/>
      <c r="N570" s="799"/>
      <c r="O570" s="799"/>
      <c r="P570" s="799"/>
      <c r="Q570" s="799"/>
      <c r="R570" s="799"/>
      <c r="S570" s="799"/>
      <c r="T570" s="799"/>
      <c r="U570" s="799"/>
      <c r="V570" s="799"/>
      <c r="W570" s="799"/>
      <c r="X570" s="799"/>
      <c r="Y570" s="799"/>
      <c r="Z570" s="799"/>
      <c r="AA570" s="799"/>
      <c r="AB570" s="799"/>
      <c r="AC570" s="799"/>
      <c r="AD570" s="799"/>
      <c r="AE570" s="799"/>
      <c r="AF570" s="799"/>
      <c r="AG570" s="799"/>
      <c r="AH570" s="799"/>
      <c r="AI570" s="799"/>
      <c r="AJ570" s="799"/>
      <c r="AK570" s="799"/>
      <c r="AL570" s="799"/>
      <c r="AM570" s="799"/>
      <c r="AN570" s="799"/>
      <c r="AO570" s="799"/>
      <c r="AP570" s="799"/>
      <c r="AQ570" s="799"/>
      <c r="AR570" s="799"/>
      <c r="AS570" s="799"/>
      <c r="AT570" s="799"/>
      <c r="AU570" s="799"/>
      <c r="AV570" s="799"/>
      <c r="AW570" s="799"/>
      <c r="AX570" s="799"/>
      <c r="AY570" s="799"/>
      <c r="AZ570" s="799"/>
      <c r="BA570" s="799"/>
      <c r="BB570" s="799"/>
      <c r="BC570" s="799"/>
      <c r="BD570" s="799"/>
      <c r="BE570" s="799"/>
      <c r="BF570" s="799"/>
      <c r="BG570" s="799"/>
    </row>
    <row r="571">
      <c r="H571" s="799"/>
      <c r="I571" s="799"/>
      <c r="J571" s="799"/>
      <c r="K571" s="799"/>
      <c r="L571" s="799"/>
      <c r="M571" s="799"/>
      <c r="N571" s="799"/>
      <c r="O571" s="799"/>
      <c r="P571" s="799"/>
      <c r="Q571" s="799"/>
      <c r="R571" s="799"/>
      <c r="S571" s="799"/>
      <c r="T571" s="799"/>
      <c r="U571" s="799"/>
      <c r="V571" s="799"/>
      <c r="W571" s="799"/>
      <c r="X571" s="799"/>
      <c r="Y571" s="799"/>
      <c r="Z571" s="799"/>
      <c r="AA571" s="799"/>
      <c r="AB571" s="799"/>
      <c r="AC571" s="799"/>
      <c r="AD571" s="799"/>
      <c r="AE571" s="799"/>
      <c r="AF571" s="799"/>
      <c r="AG571" s="799"/>
      <c r="AH571" s="799"/>
      <c r="AI571" s="799"/>
      <c r="AJ571" s="799"/>
      <c r="AK571" s="799"/>
      <c r="AL571" s="799"/>
      <c r="AM571" s="799"/>
      <c r="AN571" s="799"/>
      <c r="AO571" s="799"/>
      <c r="AP571" s="799"/>
      <c r="AQ571" s="799"/>
      <c r="AR571" s="799"/>
      <c r="AS571" s="799"/>
      <c r="AT571" s="799"/>
      <c r="AU571" s="799"/>
      <c r="AV571" s="799"/>
      <c r="AW571" s="799"/>
      <c r="AX571" s="799"/>
      <c r="AY571" s="799"/>
      <c r="AZ571" s="799"/>
      <c r="BA571" s="799"/>
      <c r="BB571" s="799"/>
      <c r="BC571" s="799"/>
      <c r="BD571" s="799"/>
      <c r="BE571" s="799"/>
      <c r="BF571" s="799"/>
      <c r="BG571" s="799"/>
    </row>
    <row r="572">
      <c r="H572" s="799"/>
      <c r="I572" s="799"/>
      <c r="J572" s="799"/>
      <c r="K572" s="799"/>
      <c r="L572" s="799"/>
      <c r="M572" s="799"/>
      <c r="N572" s="799"/>
      <c r="O572" s="799"/>
      <c r="P572" s="799"/>
      <c r="Q572" s="799"/>
      <c r="R572" s="799"/>
      <c r="S572" s="799"/>
      <c r="T572" s="799"/>
      <c r="U572" s="799"/>
      <c r="V572" s="799"/>
      <c r="W572" s="799"/>
      <c r="X572" s="799"/>
      <c r="Y572" s="799"/>
      <c r="Z572" s="799"/>
      <c r="AA572" s="799"/>
      <c r="AB572" s="799"/>
      <c r="AC572" s="799"/>
      <c r="AD572" s="799"/>
      <c r="AE572" s="799"/>
      <c r="AF572" s="799"/>
      <c r="AG572" s="799"/>
      <c r="AH572" s="799"/>
      <c r="AI572" s="799"/>
      <c r="AJ572" s="799"/>
      <c r="AK572" s="799"/>
      <c r="AL572" s="799"/>
      <c r="AM572" s="799"/>
      <c r="AN572" s="799"/>
      <c r="AO572" s="799"/>
      <c r="AP572" s="799"/>
      <c r="AQ572" s="799"/>
      <c r="AR572" s="799"/>
      <c r="AS572" s="799"/>
      <c r="AT572" s="799"/>
      <c r="AU572" s="799"/>
      <c r="AV572" s="799"/>
      <c r="AW572" s="799"/>
      <c r="AX572" s="799"/>
      <c r="AY572" s="799"/>
      <c r="AZ572" s="799"/>
      <c r="BA572" s="799"/>
      <c r="BB572" s="799"/>
      <c r="BC572" s="799"/>
      <c r="BD572" s="799"/>
      <c r="BE572" s="799"/>
      <c r="BF572" s="799"/>
      <c r="BG572" s="799"/>
    </row>
    <row r="573">
      <c r="H573" s="799"/>
      <c r="I573" s="799"/>
      <c r="J573" s="799"/>
      <c r="K573" s="799"/>
      <c r="L573" s="799"/>
      <c r="M573" s="799"/>
      <c r="N573" s="799"/>
      <c r="O573" s="799"/>
      <c r="P573" s="799"/>
      <c r="Q573" s="799"/>
      <c r="R573" s="799"/>
      <c r="S573" s="799"/>
      <c r="T573" s="799"/>
      <c r="U573" s="799"/>
      <c r="V573" s="799"/>
      <c r="W573" s="799"/>
      <c r="X573" s="799"/>
      <c r="Y573" s="799"/>
      <c r="Z573" s="799"/>
      <c r="AA573" s="799"/>
      <c r="AB573" s="799"/>
      <c r="AC573" s="799"/>
      <c r="AD573" s="799"/>
      <c r="AE573" s="799"/>
      <c r="AF573" s="799"/>
      <c r="AG573" s="799"/>
      <c r="AH573" s="799"/>
      <c r="AI573" s="799"/>
      <c r="AJ573" s="799"/>
      <c r="AK573" s="799"/>
      <c r="AL573" s="799"/>
      <c r="AM573" s="799"/>
      <c r="AN573" s="799"/>
      <c r="AO573" s="799"/>
      <c r="AP573" s="799"/>
      <c r="AQ573" s="799"/>
      <c r="AR573" s="799"/>
      <c r="AS573" s="799"/>
      <c r="AT573" s="799"/>
      <c r="AU573" s="799"/>
      <c r="AV573" s="799"/>
      <c r="AW573" s="799"/>
      <c r="AX573" s="799"/>
      <c r="AY573" s="799"/>
      <c r="AZ573" s="799"/>
      <c r="BA573" s="799"/>
      <c r="BB573" s="799"/>
      <c r="BC573" s="799"/>
      <c r="BD573" s="799"/>
      <c r="BE573" s="799"/>
      <c r="BF573" s="799"/>
      <c r="BG573" s="799"/>
    </row>
    <row r="574">
      <c r="H574" s="799"/>
      <c r="I574" s="799"/>
      <c r="J574" s="799"/>
      <c r="K574" s="799"/>
      <c r="L574" s="799"/>
      <c r="M574" s="799"/>
      <c r="N574" s="799"/>
      <c r="O574" s="799"/>
      <c r="P574" s="799"/>
      <c r="Q574" s="799"/>
      <c r="R574" s="799"/>
      <c r="S574" s="799"/>
      <c r="T574" s="799"/>
      <c r="U574" s="799"/>
      <c r="V574" s="799"/>
      <c r="W574" s="799"/>
      <c r="X574" s="799"/>
      <c r="Y574" s="799"/>
      <c r="Z574" s="799"/>
      <c r="AA574" s="799"/>
      <c r="AB574" s="799"/>
      <c r="AC574" s="799"/>
      <c r="AD574" s="799"/>
      <c r="AE574" s="799"/>
      <c r="AF574" s="799"/>
      <c r="AG574" s="799"/>
      <c r="AH574" s="799"/>
      <c r="AI574" s="799"/>
      <c r="AJ574" s="799"/>
      <c r="AK574" s="799"/>
      <c r="AL574" s="799"/>
      <c r="AM574" s="799"/>
      <c r="AN574" s="799"/>
      <c r="AO574" s="799"/>
      <c r="AP574" s="799"/>
      <c r="AQ574" s="799"/>
      <c r="AR574" s="799"/>
      <c r="AS574" s="799"/>
      <c r="AT574" s="799"/>
      <c r="AU574" s="799"/>
      <c r="AV574" s="799"/>
      <c r="AW574" s="799"/>
      <c r="AX574" s="799"/>
      <c r="AY574" s="799"/>
      <c r="AZ574" s="799"/>
      <c r="BA574" s="799"/>
      <c r="BB574" s="799"/>
      <c r="BC574" s="799"/>
      <c r="BD574" s="799"/>
      <c r="BE574" s="799"/>
      <c r="BF574" s="799"/>
      <c r="BG574" s="799"/>
    </row>
    <row r="575">
      <c r="H575" s="799"/>
      <c r="I575" s="799"/>
      <c r="J575" s="799"/>
      <c r="K575" s="799"/>
      <c r="L575" s="799"/>
      <c r="M575" s="799"/>
      <c r="N575" s="799"/>
      <c r="O575" s="799"/>
      <c r="P575" s="799"/>
      <c r="Q575" s="799"/>
      <c r="R575" s="799"/>
      <c r="S575" s="799"/>
      <c r="T575" s="799"/>
      <c r="U575" s="799"/>
      <c r="V575" s="799"/>
      <c r="W575" s="799"/>
      <c r="X575" s="799"/>
      <c r="Y575" s="799"/>
      <c r="Z575" s="799"/>
      <c r="AA575" s="799"/>
      <c r="AB575" s="799"/>
      <c r="AC575" s="799"/>
      <c r="AD575" s="799"/>
      <c r="AE575" s="799"/>
      <c r="AF575" s="799"/>
      <c r="AG575" s="799"/>
      <c r="AH575" s="799"/>
      <c r="AI575" s="799"/>
      <c r="AJ575" s="799"/>
      <c r="AK575" s="799"/>
      <c r="AL575" s="799"/>
      <c r="AM575" s="799"/>
      <c r="AN575" s="799"/>
      <c r="AO575" s="799"/>
      <c r="AP575" s="799"/>
      <c r="AQ575" s="799"/>
      <c r="AR575" s="799"/>
      <c r="AS575" s="799"/>
      <c r="AT575" s="799"/>
      <c r="AU575" s="799"/>
      <c r="AV575" s="799"/>
      <c r="AW575" s="799"/>
      <c r="AX575" s="799"/>
      <c r="AY575" s="799"/>
      <c r="AZ575" s="799"/>
      <c r="BA575" s="799"/>
      <c r="BB575" s="799"/>
      <c r="BC575" s="799"/>
      <c r="BD575" s="799"/>
      <c r="BE575" s="799"/>
      <c r="BF575" s="799"/>
      <c r="BG575" s="799"/>
    </row>
    <row r="576">
      <c r="H576" s="799"/>
      <c r="I576" s="799"/>
      <c r="J576" s="799"/>
      <c r="K576" s="799"/>
      <c r="L576" s="799"/>
      <c r="M576" s="799"/>
      <c r="N576" s="799"/>
      <c r="O576" s="799"/>
      <c r="P576" s="799"/>
      <c r="Q576" s="799"/>
      <c r="R576" s="799"/>
      <c r="S576" s="799"/>
      <c r="T576" s="799"/>
      <c r="U576" s="799"/>
      <c r="V576" s="799"/>
      <c r="W576" s="799"/>
      <c r="X576" s="799"/>
      <c r="Y576" s="799"/>
      <c r="Z576" s="799"/>
      <c r="AA576" s="799"/>
      <c r="AB576" s="799"/>
      <c r="AC576" s="799"/>
      <c r="AD576" s="799"/>
      <c r="AE576" s="799"/>
      <c r="AF576" s="799"/>
      <c r="AG576" s="799"/>
      <c r="AH576" s="799"/>
      <c r="AI576" s="799"/>
      <c r="AJ576" s="799"/>
      <c r="AK576" s="799"/>
      <c r="AL576" s="799"/>
      <c r="AM576" s="799"/>
      <c r="AN576" s="799"/>
      <c r="AO576" s="799"/>
      <c r="AP576" s="799"/>
      <c r="AQ576" s="799"/>
      <c r="AR576" s="799"/>
      <c r="AS576" s="799"/>
      <c r="AT576" s="799"/>
      <c r="AU576" s="799"/>
      <c r="AV576" s="799"/>
      <c r="AW576" s="799"/>
      <c r="AX576" s="799"/>
      <c r="AY576" s="799"/>
      <c r="AZ576" s="799"/>
      <c r="BA576" s="799"/>
      <c r="BB576" s="799"/>
      <c r="BC576" s="799"/>
      <c r="BD576" s="799"/>
      <c r="BE576" s="799"/>
      <c r="BF576" s="799"/>
      <c r="BG576" s="799"/>
    </row>
    <row r="577">
      <c r="H577" s="799"/>
      <c r="I577" s="799"/>
      <c r="J577" s="799"/>
      <c r="K577" s="799"/>
      <c r="L577" s="799"/>
      <c r="M577" s="799"/>
      <c r="N577" s="799"/>
      <c r="O577" s="799"/>
      <c r="P577" s="799"/>
      <c r="Q577" s="799"/>
      <c r="R577" s="799"/>
      <c r="S577" s="799"/>
      <c r="T577" s="799"/>
      <c r="U577" s="799"/>
      <c r="V577" s="799"/>
      <c r="W577" s="799"/>
      <c r="X577" s="799"/>
      <c r="Y577" s="799"/>
      <c r="Z577" s="799"/>
      <c r="AA577" s="799"/>
      <c r="AB577" s="799"/>
      <c r="AC577" s="799"/>
      <c r="AD577" s="799"/>
      <c r="AE577" s="799"/>
      <c r="AF577" s="799"/>
      <c r="AG577" s="799"/>
      <c r="AH577" s="799"/>
      <c r="AI577" s="799"/>
      <c r="AJ577" s="799"/>
      <c r="AK577" s="799"/>
      <c r="AL577" s="799"/>
      <c r="AM577" s="799"/>
      <c r="AN577" s="799"/>
      <c r="AO577" s="799"/>
      <c r="AP577" s="799"/>
      <c r="AQ577" s="799"/>
      <c r="AR577" s="799"/>
      <c r="AS577" s="799"/>
      <c r="AT577" s="799"/>
      <c r="AU577" s="799"/>
      <c r="AV577" s="799"/>
      <c r="AW577" s="799"/>
      <c r="AX577" s="799"/>
      <c r="AY577" s="799"/>
      <c r="AZ577" s="799"/>
      <c r="BA577" s="799"/>
      <c r="BB577" s="799"/>
      <c r="BC577" s="799"/>
      <c r="BD577" s="799"/>
      <c r="BE577" s="799"/>
      <c r="BF577" s="799"/>
      <c r="BG577" s="799"/>
    </row>
    <row r="578">
      <c r="H578" s="799"/>
      <c r="I578" s="799"/>
      <c r="J578" s="799"/>
      <c r="K578" s="799"/>
      <c r="L578" s="799"/>
      <c r="M578" s="799"/>
      <c r="N578" s="799"/>
      <c r="O578" s="799"/>
      <c r="P578" s="799"/>
      <c r="Q578" s="799"/>
      <c r="R578" s="799"/>
      <c r="S578" s="799"/>
      <c r="T578" s="799"/>
      <c r="U578" s="799"/>
      <c r="V578" s="799"/>
      <c r="W578" s="799"/>
      <c r="X578" s="799"/>
      <c r="Y578" s="799"/>
      <c r="Z578" s="799"/>
      <c r="AA578" s="799"/>
      <c r="AB578" s="799"/>
      <c r="AC578" s="799"/>
      <c r="AD578" s="799"/>
      <c r="AE578" s="799"/>
      <c r="AF578" s="799"/>
      <c r="AG578" s="799"/>
      <c r="AH578" s="799"/>
      <c r="AI578" s="799"/>
      <c r="AJ578" s="799"/>
      <c r="AK578" s="799"/>
      <c r="AL578" s="799"/>
      <c r="AM578" s="799"/>
      <c r="AN578" s="799"/>
      <c r="AO578" s="799"/>
      <c r="AP578" s="799"/>
      <c r="AQ578" s="799"/>
      <c r="AR578" s="799"/>
      <c r="AS578" s="799"/>
      <c r="AT578" s="799"/>
      <c r="AU578" s="799"/>
      <c r="AV578" s="799"/>
      <c r="AW578" s="799"/>
      <c r="AX578" s="799"/>
      <c r="AY578" s="799"/>
      <c r="AZ578" s="799"/>
      <c r="BA578" s="799"/>
      <c r="BB578" s="799"/>
      <c r="BC578" s="799"/>
      <c r="BD578" s="799"/>
      <c r="BE578" s="799"/>
      <c r="BF578" s="799"/>
      <c r="BG578" s="799"/>
    </row>
    <row r="579">
      <c r="H579" s="799"/>
      <c r="I579" s="799"/>
      <c r="J579" s="799"/>
      <c r="K579" s="799"/>
      <c r="L579" s="799"/>
      <c r="M579" s="799"/>
      <c r="N579" s="799"/>
      <c r="O579" s="799"/>
      <c r="P579" s="799"/>
      <c r="Q579" s="799"/>
      <c r="R579" s="799"/>
      <c r="S579" s="799"/>
      <c r="T579" s="799"/>
      <c r="U579" s="799"/>
      <c r="V579" s="799"/>
      <c r="W579" s="799"/>
      <c r="X579" s="799"/>
      <c r="Y579" s="799"/>
      <c r="Z579" s="799"/>
      <c r="AA579" s="799"/>
      <c r="AB579" s="799"/>
      <c r="AC579" s="799"/>
      <c r="AD579" s="799"/>
      <c r="AE579" s="799"/>
      <c r="AF579" s="799"/>
      <c r="AG579" s="799"/>
      <c r="AH579" s="799"/>
      <c r="AI579" s="799"/>
      <c r="AJ579" s="799"/>
      <c r="AK579" s="799"/>
      <c r="AL579" s="799"/>
      <c r="AM579" s="799"/>
      <c r="AN579" s="799"/>
      <c r="AO579" s="799"/>
      <c r="AP579" s="799"/>
      <c r="AQ579" s="799"/>
      <c r="AR579" s="799"/>
      <c r="AS579" s="799"/>
      <c r="AT579" s="799"/>
      <c r="AU579" s="799"/>
      <c r="AV579" s="799"/>
      <c r="AW579" s="799"/>
      <c r="AX579" s="799"/>
      <c r="AY579" s="799"/>
      <c r="AZ579" s="799"/>
      <c r="BA579" s="799"/>
      <c r="BB579" s="799"/>
      <c r="BC579" s="799"/>
      <c r="BD579" s="799"/>
      <c r="BE579" s="799"/>
      <c r="BF579" s="799"/>
      <c r="BG579" s="799"/>
    </row>
    <row r="580">
      <c r="H580" s="799"/>
      <c r="I580" s="799"/>
      <c r="J580" s="799"/>
      <c r="K580" s="799"/>
      <c r="L580" s="799"/>
      <c r="M580" s="799"/>
      <c r="N580" s="799"/>
      <c r="O580" s="799"/>
      <c r="P580" s="799"/>
      <c r="Q580" s="799"/>
      <c r="R580" s="799"/>
      <c r="S580" s="799"/>
      <c r="T580" s="799"/>
      <c r="U580" s="799"/>
      <c r="V580" s="799"/>
      <c r="W580" s="799"/>
      <c r="X580" s="799"/>
      <c r="Y580" s="799"/>
      <c r="Z580" s="799"/>
      <c r="AA580" s="799"/>
      <c r="AB580" s="799"/>
      <c r="AC580" s="799"/>
      <c r="AD580" s="799"/>
      <c r="AE580" s="799"/>
      <c r="AF580" s="799"/>
      <c r="AG580" s="799"/>
      <c r="AH580" s="799"/>
      <c r="AI580" s="799"/>
      <c r="AJ580" s="799"/>
      <c r="AK580" s="799"/>
      <c r="AL580" s="799"/>
      <c r="AM580" s="799"/>
      <c r="AN580" s="799"/>
      <c r="AO580" s="799"/>
      <c r="AP580" s="799"/>
      <c r="AQ580" s="799"/>
      <c r="AR580" s="799"/>
      <c r="AS580" s="799"/>
      <c r="AT580" s="799"/>
      <c r="AU580" s="799"/>
      <c r="AV580" s="799"/>
      <c r="AW580" s="799"/>
      <c r="AX580" s="799"/>
      <c r="AY580" s="799"/>
      <c r="AZ580" s="799"/>
      <c r="BA580" s="799"/>
      <c r="BB580" s="799"/>
      <c r="BC580" s="799"/>
      <c r="BD580" s="799"/>
      <c r="BE580" s="799"/>
      <c r="BF580" s="799"/>
      <c r="BG580" s="799"/>
    </row>
    <row r="581">
      <c r="H581" s="799"/>
      <c r="I581" s="799"/>
      <c r="J581" s="799"/>
      <c r="K581" s="799"/>
      <c r="L581" s="799"/>
      <c r="M581" s="799"/>
      <c r="N581" s="799"/>
      <c r="O581" s="799"/>
      <c r="P581" s="799"/>
      <c r="Q581" s="799"/>
      <c r="R581" s="799"/>
      <c r="S581" s="799"/>
      <c r="T581" s="799"/>
      <c r="U581" s="799"/>
      <c r="V581" s="799"/>
      <c r="W581" s="799"/>
      <c r="X581" s="799"/>
      <c r="Y581" s="799"/>
      <c r="Z581" s="799"/>
      <c r="AA581" s="799"/>
      <c r="AB581" s="799"/>
      <c r="AC581" s="799"/>
      <c r="AD581" s="799"/>
      <c r="AE581" s="799"/>
      <c r="AF581" s="799"/>
      <c r="AG581" s="799"/>
      <c r="AH581" s="799"/>
      <c r="AI581" s="799"/>
      <c r="AJ581" s="799"/>
      <c r="AK581" s="799"/>
      <c r="AL581" s="799"/>
      <c r="AM581" s="799"/>
      <c r="AN581" s="799"/>
      <c r="AO581" s="799"/>
      <c r="AP581" s="799"/>
      <c r="AQ581" s="799"/>
      <c r="AR581" s="799"/>
      <c r="AS581" s="799"/>
      <c r="AT581" s="799"/>
      <c r="AU581" s="799"/>
      <c r="AV581" s="799"/>
      <c r="AW581" s="799"/>
      <c r="AX581" s="799"/>
      <c r="AY581" s="799"/>
      <c r="AZ581" s="799"/>
      <c r="BA581" s="799"/>
      <c r="BB581" s="799"/>
      <c r="BC581" s="799"/>
      <c r="BD581" s="799"/>
      <c r="BE581" s="799"/>
      <c r="BF581" s="799"/>
      <c r="BG581" s="799"/>
    </row>
    <row r="582">
      <c r="H582" s="799"/>
      <c r="I582" s="799"/>
      <c r="J582" s="799"/>
      <c r="K582" s="799"/>
      <c r="L582" s="799"/>
      <c r="M582" s="799"/>
      <c r="N582" s="799"/>
      <c r="O582" s="799"/>
      <c r="P582" s="799"/>
      <c r="Q582" s="799"/>
      <c r="R582" s="799"/>
      <c r="S582" s="799"/>
      <c r="T582" s="799"/>
      <c r="U582" s="799"/>
      <c r="V582" s="799"/>
      <c r="W582" s="799"/>
      <c r="X582" s="799"/>
      <c r="Y582" s="799"/>
      <c r="Z582" s="799"/>
      <c r="AA582" s="799"/>
      <c r="AB582" s="799"/>
      <c r="AC582" s="799"/>
      <c r="AD582" s="799"/>
      <c r="AE582" s="799"/>
      <c r="AF582" s="799"/>
      <c r="AG582" s="799"/>
      <c r="AH582" s="799"/>
      <c r="AI582" s="799"/>
      <c r="AJ582" s="799"/>
      <c r="AK582" s="799"/>
      <c r="AL582" s="799"/>
      <c r="AM582" s="799"/>
      <c r="AN582" s="799"/>
      <c r="AO582" s="799"/>
      <c r="AP582" s="799"/>
      <c r="AQ582" s="799"/>
      <c r="AR582" s="799"/>
      <c r="AS582" s="799"/>
      <c r="AT582" s="799"/>
      <c r="AU582" s="799"/>
      <c r="AV582" s="799"/>
      <c r="AW582" s="799"/>
      <c r="AX582" s="799"/>
      <c r="AY582" s="799"/>
      <c r="AZ582" s="799"/>
      <c r="BA582" s="799"/>
      <c r="BB582" s="799"/>
      <c r="BC582" s="799"/>
      <c r="BD582" s="799"/>
      <c r="BE582" s="799"/>
      <c r="BF582" s="799"/>
      <c r="BG582" s="799"/>
    </row>
    <row r="583">
      <c r="H583" s="799"/>
      <c r="I583" s="799"/>
      <c r="J583" s="799"/>
      <c r="K583" s="799"/>
      <c r="L583" s="799"/>
      <c r="M583" s="799"/>
      <c r="N583" s="799"/>
      <c r="O583" s="799"/>
      <c r="P583" s="799"/>
      <c r="Q583" s="799"/>
      <c r="R583" s="799"/>
      <c r="S583" s="799"/>
      <c r="T583" s="799"/>
      <c r="U583" s="799"/>
      <c r="V583" s="799"/>
      <c r="W583" s="799"/>
      <c r="X583" s="799"/>
      <c r="Y583" s="799"/>
      <c r="Z583" s="799"/>
      <c r="AA583" s="799"/>
      <c r="AB583" s="799"/>
      <c r="AC583" s="799"/>
      <c r="AD583" s="799"/>
      <c r="AE583" s="799"/>
      <c r="AF583" s="799"/>
      <c r="AG583" s="799"/>
      <c r="AH583" s="799"/>
      <c r="AI583" s="799"/>
      <c r="AJ583" s="799"/>
      <c r="AK583" s="799"/>
      <c r="AL583" s="799"/>
      <c r="AM583" s="799"/>
      <c r="AN583" s="799"/>
      <c r="AO583" s="799"/>
      <c r="AP583" s="799"/>
      <c r="AQ583" s="799"/>
      <c r="AR583" s="799"/>
      <c r="AS583" s="799"/>
      <c r="AT583" s="799"/>
      <c r="AU583" s="799"/>
      <c r="AV583" s="799"/>
      <c r="AW583" s="799"/>
      <c r="AX583" s="799"/>
      <c r="AY583" s="799"/>
      <c r="AZ583" s="799"/>
      <c r="BA583" s="799"/>
      <c r="BB583" s="799"/>
      <c r="BC583" s="799"/>
      <c r="BD583" s="799"/>
      <c r="BE583" s="799"/>
      <c r="BF583" s="799"/>
      <c r="BG583" s="799"/>
    </row>
    <row r="584">
      <c r="H584" s="799"/>
      <c r="I584" s="799"/>
      <c r="J584" s="799"/>
      <c r="K584" s="799"/>
      <c r="L584" s="799"/>
      <c r="M584" s="799"/>
      <c r="N584" s="799"/>
      <c r="O584" s="799"/>
      <c r="P584" s="799"/>
      <c r="Q584" s="799"/>
      <c r="R584" s="799"/>
      <c r="S584" s="799"/>
      <c r="T584" s="799"/>
      <c r="U584" s="799"/>
      <c r="V584" s="799"/>
      <c r="W584" s="799"/>
      <c r="X584" s="799"/>
      <c r="Y584" s="799"/>
      <c r="Z584" s="799"/>
      <c r="AA584" s="799"/>
      <c r="AB584" s="799"/>
      <c r="AC584" s="799"/>
      <c r="AD584" s="799"/>
      <c r="AE584" s="799"/>
      <c r="AF584" s="799"/>
      <c r="AG584" s="799"/>
      <c r="AH584" s="799"/>
      <c r="AI584" s="799"/>
      <c r="AJ584" s="799"/>
      <c r="AK584" s="799"/>
      <c r="AL584" s="799"/>
      <c r="AM584" s="799"/>
      <c r="AN584" s="799"/>
      <c r="AO584" s="799"/>
      <c r="AP584" s="799"/>
      <c r="AQ584" s="799"/>
      <c r="AR584" s="799"/>
      <c r="AS584" s="799"/>
      <c r="AT584" s="799"/>
      <c r="AU584" s="799"/>
      <c r="AV584" s="799"/>
      <c r="AW584" s="799"/>
      <c r="AX584" s="799"/>
      <c r="AY584" s="799"/>
      <c r="AZ584" s="799"/>
      <c r="BA584" s="799"/>
      <c r="BB584" s="799"/>
      <c r="BC584" s="799"/>
      <c r="BD584" s="799"/>
      <c r="BE584" s="799"/>
      <c r="BF584" s="799"/>
      <c r="BG584" s="799"/>
    </row>
    <row r="585">
      <c r="H585" s="799"/>
      <c r="I585" s="799"/>
      <c r="J585" s="799"/>
      <c r="K585" s="799"/>
      <c r="L585" s="799"/>
      <c r="M585" s="799"/>
      <c r="N585" s="799"/>
      <c r="O585" s="799"/>
      <c r="P585" s="799"/>
      <c r="Q585" s="799"/>
      <c r="R585" s="799"/>
      <c r="S585" s="799"/>
      <c r="T585" s="799"/>
      <c r="U585" s="799"/>
      <c r="V585" s="799"/>
      <c r="W585" s="799"/>
      <c r="X585" s="799"/>
      <c r="Y585" s="799"/>
      <c r="Z585" s="799"/>
      <c r="AA585" s="799"/>
      <c r="AB585" s="799"/>
      <c r="AC585" s="799"/>
      <c r="AD585" s="799"/>
      <c r="AE585" s="799"/>
      <c r="AF585" s="799"/>
      <c r="AG585" s="799"/>
      <c r="AH585" s="799"/>
      <c r="AI585" s="799"/>
      <c r="AJ585" s="799"/>
      <c r="AK585" s="799"/>
      <c r="AL585" s="799"/>
      <c r="AM585" s="799"/>
      <c r="AN585" s="799"/>
      <c r="AO585" s="799"/>
      <c r="AP585" s="799"/>
      <c r="AQ585" s="799"/>
      <c r="AR585" s="799"/>
      <c r="AS585" s="799"/>
      <c r="AT585" s="799"/>
      <c r="AU585" s="799"/>
      <c r="AV585" s="799"/>
      <c r="AW585" s="799"/>
      <c r="AX585" s="799"/>
      <c r="AY585" s="799"/>
      <c r="AZ585" s="799"/>
      <c r="BA585" s="799"/>
      <c r="BB585" s="799"/>
      <c r="BC585" s="799"/>
      <c r="BD585" s="799"/>
      <c r="BE585" s="799"/>
      <c r="BF585" s="799"/>
      <c r="BG585" s="799"/>
    </row>
    <row r="586">
      <c r="H586" s="799"/>
      <c r="I586" s="799"/>
      <c r="J586" s="799"/>
      <c r="K586" s="799"/>
      <c r="L586" s="799"/>
      <c r="M586" s="799"/>
      <c r="N586" s="799"/>
      <c r="O586" s="799"/>
      <c r="P586" s="799"/>
      <c r="Q586" s="799"/>
      <c r="R586" s="799"/>
      <c r="S586" s="799"/>
      <c r="T586" s="799"/>
      <c r="U586" s="799"/>
      <c r="V586" s="799"/>
      <c r="W586" s="799"/>
      <c r="X586" s="799"/>
      <c r="Y586" s="799"/>
      <c r="Z586" s="799"/>
      <c r="AA586" s="799"/>
      <c r="AB586" s="799"/>
      <c r="AC586" s="799"/>
      <c r="AD586" s="799"/>
      <c r="AE586" s="799"/>
      <c r="AF586" s="799"/>
      <c r="AG586" s="799"/>
      <c r="AH586" s="799"/>
      <c r="AI586" s="799"/>
      <c r="AJ586" s="799"/>
      <c r="AK586" s="799"/>
      <c r="AL586" s="799"/>
      <c r="AM586" s="799"/>
      <c r="AN586" s="799"/>
      <c r="AO586" s="799"/>
      <c r="AP586" s="799"/>
      <c r="AQ586" s="799"/>
      <c r="AR586" s="799"/>
      <c r="AS586" s="799"/>
      <c r="AT586" s="799"/>
      <c r="AU586" s="799"/>
      <c r="AV586" s="799"/>
      <c r="AW586" s="799"/>
      <c r="AX586" s="799"/>
      <c r="AY586" s="799"/>
      <c r="AZ586" s="799"/>
      <c r="BA586" s="799"/>
      <c r="BB586" s="799"/>
      <c r="BC586" s="799"/>
      <c r="BD586" s="799"/>
      <c r="BE586" s="799"/>
      <c r="BF586" s="799"/>
      <c r="BG586" s="799"/>
    </row>
    <row r="587">
      <c r="H587" s="799"/>
      <c r="I587" s="799"/>
      <c r="J587" s="799"/>
      <c r="K587" s="799"/>
      <c r="L587" s="799"/>
      <c r="M587" s="799"/>
      <c r="N587" s="799"/>
      <c r="O587" s="799"/>
      <c r="P587" s="799"/>
      <c r="Q587" s="799"/>
      <c r="R587" s="799"/>
      <c r="S587" s="799"/>
      <c r="T587" s="799"/>
      <c r="U587" s="799"/>
      <c r="V587" s="799"/>
      <c r="W587" s="799"/>
      <c r="X587" s="799"/>
      <c r="Y587" s="799"/>
      <c r="Z587" s="799"/>
      <c r="AA587" s="799"/>
      <c r="AB587" s="799"/>
      <c r="AC587" s="799"/>
      <c r="AD587" s="799"/>
      <c r="AE587" s="799"/>
      <c r="AF587" s="799"/>
      <c r="AG587" s="799"/>
      <c r="AH587" s="799"/>
      <c r="AI587" s="799"/>
      <c r="AJ587" s="799"/>
      <c r="AK587" s="799"/>
      <c r="AL587" s="799"/>
      <c r="AM587" s="799"/>
      <c r="AN587" s="799"/>
      <c r="AO587" s="799"/>
      <c r="AP587" s="799"/>
      <c r="AQ587" s="799"/>
      <c r="AR587" s="799"/>
      <c r="AS587" s="799"/>
      <c r="AT587" s="799"/>
      <c r="AU587" s="799"/>
      <c r="AV587" s="799"/>
      <c r="AW587" s="799"/>
      <c r="AX587" s="799"/>
      <c r="AY587" s="799"/>
      <c r="AZ587" s="799"/>
      <c r="BA587" s="799"/>
      <c r="BB587" s="799"/>
      <c r="BC587" s="799"/>
      <c r="BD587" s="799"/>
      <c r="BE587" s="799"/>
      <c r="BF587" s="799"/>
      <c r="BG587" s="799"/>
    </row>
    <row r="588">
      <c r="H588" s="799"/>
      <c r="I588" s="799"/>
      <c r="J588" s="799"/>
      <c r="K588" s="799"/>
      <c r="L588" s="799"/>
      <c r="M588" s="799"/>
      <c r="N588" s="799"/>
      <c r="O588" s="799"/>
      <c r="P588" s="799"/>
      <c r="Q588" s="799"/>
      <c r="R588" s="799"/>
      <c r="S588" s="799"/>
      <c r="T588" s="799"/>
      <c r="U588" s="799"/>
      <c r="V588" s="799"/>
      <c r="W588" s="799"/>
      <c r="X588" s="799"/>
      <c r="Y588" s="799"/>
      <c r="Z588" s="799"/>
      <c r="AA588" s="799"/>
      <c r="AB588" s="799"/>
      <c r="AC588" s="799"/>
      <c r="AD588" s="799"/>
      <c r="AE588" s="799"/>
      <c r="AF588" s="799"/>
      <c r="AG588" s="799"/>
      <c r="AH588" s="799"/>
      <c r="AI588" s="799"/>
      <c r="AJ588" s="799"/>
      <c r="AK588" s="799"/>
      <c r="AL588" s="799"/>
      <c r="AM588" s="799"/>
      <c r="AN588" s="799"/>
      <c r="AO588" s="799"/>
      <c r="AP588" s="799"/>
      <c r="AQ588" s="799"/>
      <c r="AR588" s="799"/>
      <c r="AS588" s="799"/>
      <c r="AT588" s="799"/>
      <c r="AU588" s="799"/>
      <c r="AV588" s="799"/>
      <c r="AW588" s="799"/>
      <c r="AX588" s="799"/>
      <c r="AY588" s="799"/>
      <c r="AZ588" s="799"/>
      <c r="BA588" s="799"/>
      <c r="BB588" s="799"/>
      <c r="BC588" s="799"/>
      <c r="BD588" s="799"/>
      <c r="BE588" s="799"/>
      <c r="BF588" s="799"/>
      <c r="BG588" s="799"/>
    </row>
    <row r="589">
      <c r="H589" s="799"/>
      <c r="I589" s="799"/>
      <c r="J589" s="799"/>
      <c r="K589" s="799"/>
      <c r="L589" s="799"/>
      <c r="M589" s="799"/>
      <c r="N589" s="799"/>
      <c r="O589" s="799"/>
      <c r="P589" s="799"/>
      <c r="Q589" s="799"/>
      <c r="R589" s="799"/>
      <c r="S589" s="799"/>
      <c r="T589" s="799"/>
      <c r="U589" s="799"/>
      <c r="V589" s="799"/>
      <c r="W589" s="799"/>
      <c r="X589" s="799"/>
      <c r="Y589" s="799"/>
      <c r="Z589" s="799"/>
      <c r="AA589" s="799"/>
      <c r="AB589" s="799"/>
      <c r="AC589" s="799"/>
      <c r="AD589" s="799"/>
      <c r="AE589" s="799"/>
      <c r="AF589" s="799"/>
      <c r="AG589" s="799"/>
      <c r="AH589" s="799"/>
      <c r="AI589" s="799"/>
      <c r="AJ589" s="799"/>
      <c r="AK589" s="799"/>
      <c r="AL589" s="799"/>
      <c r="AM589" s="799"/>
      <c r="AN589" s="799"/>
      <c r="AO589" s="799"/>
      <c r="AP589" s="799"/>
      <c r="AQ589" s="799"/>
      <c r="AR589" s="799"/>
      <c r="AS589" s="799"/>
      <c r="AT589" s="799"/>
      <c r="AU589" s="799"/>
      <c r="AV589" s="799"/>
      <c r="AW589" s="799"/>
      <c r="AX589" s="799"/>
      <c r="AY589" s="799"/>
      <c r="AZ589" s="799"/>
      <c r="BA589" s="799"/>
      <c r="BB589" s="799"/>
      <c r="BC589" s="799"/>
      <c r="BD589" s="799"/>
      <c r="BE589" s="799"/>
      <c r="BF589" s="799"/>
      <c r="BG589" s="799"/>
    </row>
    <row r="590">
      <c r="H590" s="799"/>
      <c r="I590" s="799"/>
      <c r="J590" s="799"/>
      <c r="K590" s="799"/>
      <c r="L590" s="799"/>
      <c r="M590" s="799"/>
      <c r="N590" s="799"/>
      <c r="O590" s="799"/>
      <c r="P590" s="799"/>
      <c r="Q590" s="799"/>
      <c r="R590" s="799"/>
      <c r="S590" s="799"/>
      <c r="T590" s="799"/>
      <c r="U590" s="799"/>
      <c r="V590" s="799"/>
      <c r="W590" s="799"/>
      <c r="X590" s="799"/>
      <c r="Y590" s="799"/>
      <c r="Z590" s="799"/>
      <c r="AA590" s="799"/>
      <c r="AB590" s="799"/>
      <c r="AC590" s="799"/>
      <c r="AD590" s="799"/>
      <c r="AE590" s="799"/>
      <c r="AF590" s="799"/>
      <c r="AG590" s="799"/>
      <c r="AH590" s="799"/>
      <c r="AI590" s="799"/>
      <c r="AJ590" s="799"/>
      <c r="AK590" s="799"/>
      <c r="AL590" s="799"/>
      <c r="AM590" s="799"/>
      <c r="AN590" s="799"/>
      <c r="AO590" s="799"/>
      <c r="AP590" s="799"/>
      <c r="AQ590" s="799"/>
      <c r="AR590" s="799"/>
      <c r="AS590" s="799"/>
      <c r="AT590" s="799"/>
      <c r="AU590" s="799"/>
      <c r="AV590" s="799"/>
      <c r="AW590" s="799"/>
      <c r="AX590" s="799"/>
      <c r="AY590" s="799"/>
      <c r="AZ590" s="799"/>
      <c r="BA590" s="799"/>
      <c r="BB590" s="799"/>
      <c r="BC590" s="799"/>
      <c r="BD590" s="799"/>
      <c r="BE590" s="799"/>
      <c r="BF590" s="799"/>
      <c r="BG590" s="799"/>
    </row>
    <row r="591">
      <c r="H591" s="799"/>
      <c r="I591" s="799"/>
      <c r="J591" s="799"/>
      <c r="K591" s="799"/>
      <c r="L591" s="799"/>
      <c r="M591" s="799"/>
      <c r="N591" s="799"/>
      <c r="O591" s="799"/>
      <c r="P591" s="799"/>
      <c r="Q591" s="799"/>
      <c r="R591" s="799"/>
      <c r="S591" s="799"/>
      <c r="T591" s="799"/>
      <c r="U591" s="799"/>
      <c r="V591" s="799"/>
      <c r="W591" s="799"/>
      <c r="X591" s="799"/>
      <c r="Y591" s="799"/>
      <c r="Z591" s="799"/>
      <c r="AA591" s="799"/>
      <c r="AB591" s="799"/>
      <c r="AC591" s="799"/>
      <c r="AD591" s="799"/>
      <c r="AE591" s="799"/>
      <c r="AF591" s="799"/>
      <c r="AG591" s="799"/>
      <c r="AH591" s="799"/>
      <c r="AI591" s="799"/>
      <c r="AJ591" s="799"/>
      <c r="AK591" s="799"/>
      <c r="AL591" s="799"/>
      <c r="AM591" s="799"/>
      <c r="AN591" s="799"/>
      <c r="AO591" s="799"/>
      <c r="AP591" s="799"/>
      <c r="AQ591" s="799"/>
      <c r="AR591" s="799"/>
      <c r="AS591" s="799"/>
      <c r="AT591" s="799"/>
      <c r="AU591" s="799"/>
      <c r="AV591" s="799"/>
      <c r="AW591" s="799"/>
      <c r="AX591" s="799"/>
      <c r="AY591" s="799"/>
      <c r="AZ591" s="799"/>
      <c r="BA591" s="799"/>
      <c r="BB591" s="799"/>
      <c r="BC591" s="799"/>
      <c r="BD591" s="799"/>
      <c r="BE591" s="799"/>
      <c r="BF591" s="799"/>
      <c r="BG591" s="799"/>
    </row>
    <row r="592">
      <c r="H592" s="799"/>
      <c r="I592" s="799"/>
      <c r="J592" s="799"/>
      <c r="K592" s="799"/>
      <c r="L592" s="799"/>
      <c r="M592" s="799"/>
      <c r="N592" s="799"/>
      <c r="O592" s="799"/>
      <c r="P592" s="799"/>
      <c r="Q592" s="799"/>
      <c r="R592" s="799"/>
      <c r="S592" s="799"/>
      <c r="T592" s="799"/>
      <c r="U592" s="799"/>
      <c r="V592" s="799"/>
      <c r="W592" s="799"/>
      <c r="X592" s="799"/>
      <c r="Y592" s="799"/>
      <c r="Z592" s="799"/>
      <c r="AA592" s="799"/>
      <c r="AB592" s="799"/>
      <c r="AC592" s="799"/>
      <c r="AD592" s="799"/>
      <c r="AE592" s="799"/>
      <c r="AF592" s="799"/>
      <c r="AG592" s="799"/>
      <c r="AH592" s="799"/>
      <c r="AI592" s="799"/>
      <c r="AJ592" s="799"/>
      <c r="AK592" s="799"/>
      <c r="AL592" s="799"/>
      <c r="AM592" s="799"/>
      <c r="AN592" s="799"/>
      <c r="AO592" s="799"/>
      <c r="AP592" s="799"/>
      <c r="AQ592" s="799"/>
      <c r="AR592" s="799"/>
      <c r="AS592" s="799"/>
      <c r="AT592" s="799"/>
      <c r="AU592" s="799"/>
      <c r="AV592" s="799"/>
      <c r="AW592" s="799"/>
      <c r="AX592" s="799"/>
      <c r="AY592" s="799"/>
      <c r="AZ592" s="799"/>
      <c r="BA592" s="799"/>
      <c r="BB592" s="799"/>
      <c r="BC592" s="799"/>
      <c r="BD592" s="799"/>
      <c r="BE592" s="799"/>
      <c r="BF592" s="799"/>
      <c r="BG592" s="799"/>
    </row>
    <row r="593">
      <c r="H593" s="799"/>
      <c r="I593" s="799"/>
      <c r="J593" s="799"/>
      <c r="K593" s="799"/>
      <c r="L593" s="799"/>
      <c r="M593" s="799"/>
      <c r="N593" s="799"/>
      <c r="O593" s="799"/>
      <c r="P593" s="799"/>
      <c r="Q593" s="799"/>
      <c r="R593" s="799"/>
      <c r="S593" s="799"/>
      <c r="T593" s="799"/>
      <c r="U593" s="799"/>
      <c r="V593" s="799"/>
      <c r="W593" s="799"/>
      <c r="X593" s="799"/>
      <c r="Y593" s="799"/>
      <c r="Z593" s="799"/>
      <c r="AA593" s="799"/>
      <c r="AB593" s="799"/>
      <c r="AC593" s="799"/>
      <c r="AD593" s="799"/>
      <c r="AE593" s="799"/>
      <c r="AF593" s="799"/>
      <c r="AG593" s="799"/>
      <c r="AH593" s="799"/>
      <c r="AI593" s="799"/>
      <c r="AJ593" s="799"/>
      <c r="AK593" s="799"/>
      <c r="AL593" s="799"/>
      <c r="AM593" s="799"/>
      <c r="AN593" s="799"/>
      <c r="AO593" s="799"/>
      <c r="AP593" s="799"/>
      <c r="AQ593" s="799"/>
      <c r="AR593" s="799"/>
      <c r="AS593" s="799"/>
      <c r="AT593" s="799"/>
      <c r="AU593" s="799"/>
      <c r="AV593" s="799"/>
      <c r="AW593" s="799"/>
      <c r="AX593" s="799"/>
      <c r="AY593" s="799"/>
      <c r="AZ593" s="799"/>
      <c r="BA593" s="799"/>
      <c r="BB593" s="799"/>
      <c r="BC593" s="799"/>
      <c r="BD593" s="799"/>
      <c r="BE593" s="799"/>
      <c r="BF593" s="799"/>
      <c r="BG593" s="799"/>
    </row>
    <row r="594">
      <c r="H594" s="799"/>
      <c r="I594" s="799"/>
      <c r="J594" s="799"/>
      <c r="K594" s="799"/>
      <c r="L594" s="799"/>
      <c r="M594" s="799"/>
      <c r="N594" s="799"/>
      <c r="O594" s="799"/>
      <c r="P594" s="799"/>
      <c r="Q594" s="799"/>
      <c r="R594" s="799"/>
      <c r="S594" s="799"/>
      <c r="T594" s="799"/>
      <c r="U594" s="799"/>
      <c r="V594" s="799"/>
      <c r="W594" s="799"/>
      <c r="X594" s="799"/>
      <c r="Y594" s="799"/>
      <c r="Z594" s="799"/>
      <c r="AA594" s="799"/>
      <c r="AB594" s="799"/>
      <c r="AC594" s="799"/>
      <c r="AD594" s="799"/>
      <c r="AE594" s="799"/>
      <c r="AF594" s="799"/>
      <c r="AG594" s="799"/>
      <c r="AH594" s="799"/>
      <c r="AI594" s="799"/>
      <c r="AJ594" s="799"/>
      <c r="AK594" s="799"/>
      <c r="AL594" s="799"/>
      <c r="AM594" s="799"/>
      <c r="AN594" s="799"/>
      <c r="AO594" s="799"/>
      <c r="AP594" s="799"/>
      <c r="AQ594" s="799"/>
      <c r="AR594" s="799"/>
      <c r="AS594" s="799"/>
      <c r="AT594" s="799"/>
      <c r="AU594" s="799"/>
      <c r="AV594" s="799"/>
      <c r="AW594" s="799"/>
      <c r="AX594" s="799"/>
      <c r="AY594" s="799"/>
      <c r="AZ594" s="799"/>
      <c r="BA594" s="799"/>
      <c r="BB594" s="799"/>
      <c r="BC594" s="799"/>
      <c r="BD594" s="799"/>
      <c r="BE594" s="799"/>
      <c r="BF594" s="799"/>
      <c r="BG594" s="799"/>
    </row>
    <row r="595">
      <c r="H595" s="799"/>
      <c r="I595" s="799"/>
      <c r="J595" s="799"/>
      <c r="K595" s="799"/>
      <c r="L595" s="799"/>
      <c r="M595" s="799"/>
      <c r="N595" s="799"/>
      <c r="O595" s="799"/>
      <c r="P595" s="799"/>
      <c r="Q595" s="799"/>
      <c r="R595" s="799"/>
      <c r="S595" s="799"/>
      <c r="T595" s="799"/>
      <c r="U595" s="799"/>
      <c r="V595" s="799"/>
      <c r="W595" s="799"/>
      <c r="X595" s="799"/>
      <c r="Y595" s="799"/>
      <c r="Z595" s="799"/>
      <c r="AA595" s="799"/>
      <c r="AB595" s="799"/>
      <c r="AC595" s="799"/>
      <c r="AD595" s="799"/>
      <c r="AE595" s="799"/>
      <c r="AF595" s="799"/>
      <c r="AG595" s="799"/>
      <c r="AH595" s="799"/>
      <c r="AI595" s="799"/>
      <c r="AJ595" s="799"/>
      <c r="AK595" s="799"/>
      <c r="AL595" s="799"/>
      <c r="AM595" s="799"/>
      <c r="AN595" s="799"/>
      <c r="AO595" s="799"/>
      <c r="AP595" s="799"/>
      <c r="AQ595" s="799"/>
      <c r="AR595" s="799"/>
      <c r="AS595" s="799"/>
      <c r="AT595" s="799"/>
      <c r="AU595" s="799"/>
      <c r="AV595" s="799"/>
      <c r="AW595" s="799"/>
      <c r="AX595" s="799"/>
      <c r="AY595" s="799"/>
      <c r="AZ595" s="799"/>
      <c r="BA595" s="799"/>
      <c r="BB595" s="799"/>
      <c r="BC595" s="799"/>
      <c r="BD595" s="799"/>
      <c r="BE595" s="799"/>
      <c r="BF595" s="799"/>
      <c r="BG595" s="799"/>
    </row>
    <row r="596">
      <c r="H596" s="799"/>
      <c r="I596" s="799"/>
      <c r="J596" s="799"/>
      <c r="K596" s="799"/>
      <c r="L596" s="799"/>
      <c r="M596" s="799"/>
      <c r="N596" s="799"/>
      <c r="O596" s="799"/>
      <c r="P596" s="799"/>
      <c r="Q596" s="799"/>
      <c r="R596" s="799"/>
      <c r="S596" s="799"/>
      <c r="T596" s="799"/>
      <c r="U596" s="799"/>
      <c r="V596" s="799"/>
      <c r="W596" s="799"/>
      <c r="X596" s="799"/>
      <c r="Y596" s="799"/>
      <c r="Z596" s="799"/>
      <c r="AA596" s="799"/>
      <c r="AB596" s="799"/>
      <c r="AC596" s="799"/>
      <c r="AD596" s="799"/>
      <c r="AE596" s="799"/>
      <c r="AF596" s="799"/>
      <c r="AG596" s="799"/>
      <c r="AH596" s="799"/>
      <c r="AI596" s="799"/>
      <c r="AJ596" s="799"/>
      <c r="AK596" s="799"/>
      <c r="AL596" s="799"/>
      <c r="AM596" s="799"/>
      <c r="AN596" s="799"/>
      <c r="AO596" s="799"/>
      <c r="AP596" s="799"/>
      <c r="AQ596" s="799"/>
      <c r="AR596" s="799"/>
      <c r="AS596" s="799"/>
      <c r="AT596" s="799"/>
      <c r="AU596" s="799"/>
      <c r="AV596" s="799"/>
      <c r="AW596" s="799"/>
      <c r="AX596" s="799"/>
      <c r="AY596" s="799"/>
      <c r="AZ596" s="799"/>
      <c r="BA596" s="799"/>
      <c r="BB596" s="799"/>
      <c r="BC596" s="799"/>
      <c r="BD596" s="799"/>
      <c r="BE596" s="799"/>
      <c r="BF596" s="799"/>
      <c r="BG596" s="799"/>
    </row>
    <row r="597">
      <c r="H597" s="799"/>
      <c r="I597" s="799"/>
      <c r="J597" s="799"/>
      <c r="K597" s="799"/>
      <c r="L597" s="799"/>
      <c r="M597" s="799"/>
      <c r="N597" s="799"/>
      <c r="O597" s="799"/>
      <c r="P597" s="799"/>
      <c r="Q597" s="799"/>
      <c r="R597" s="799"/>
      <c r="S597" s="799"/>
      <c r="T597" s="799"/>
      <c r="U597" s="799"/>
      <c r="V597" s="799"/>
      <c r="W597" s="799"/>
      <c r="X597" s="799"/>
      <c r="Y597" s="799"/>
      <c r="Z597" s="799"/>
      <c r="AA597" s="799"/>
      <c r="AB597" s="799"/>
      <c r="AC597" s="799"/>
      <c r="AD597" s="799"/>
      <c r="AE597" s="799"/>
      <c r="AF597" s="799"/>
      <c r="AG597" s="799"/>
      <c r="AH597" s="799"/>
      <c r="AI597" s="799"/>
      <c r="AJ597" s="799"/>
      <c r="AK597" s="799"/>
      <c r="AL597" s="799"/>
      <c r="AM597" s="799"/>
      <c r="AN597" s="799"/>
      <c r="AO597" s="799"/>
      <c r="AP597" s="799"/>
      <c r="AQ597" s="799"/>
      <c r="AR597" s="799"/>
      <c r="AS597" s="799"/>
      <c r="AT597" s="799"/>
      <c r="AU597" s="799"/>
      <c r="AV597" s="799"/>
      <c r="AW597" s="799"/>
      <c r="AX597" s="799"/>
      <c r="AY597" s="799"/>
      <c r="AZ597" s="799"/>
      <c r="BA597" s="799"/>
      <c r="BB597" s="799"/>
      <c r="BC597" s="799"/>
      <c r="BD597" s="799"/>
      <c r="BE597" s="799"/>
      <c r="BF597" s="799"/>
      <c r="BG597" s="799"/>
    </row>
    <row r="598">
      <c r="H598" s="799"/>
      <c r="I598" s="799"/>
      <c r="J598" s="799"/>
      <c r="K598" s="799"/>
      <c r="L598" s="799"/>
      <c r="M598" s="799"/>
      <c r="N598" s="799"/>
      <c r="O598" s="799"/>
      <c r="P598" s="799"/>
      <c r="Q598" s="799"/>
      <c r="R598" s="799"/>
      <c r="S598" s="799"/>
      <c r="T598" s="799"/>
      <c r="U598" s="799"/>
      <c r="V598" s="799"/>
      <c r="W598" s="799"/>
      <c r="X598" s="799"/>
      <c r="Y598" s="799"/>
      <c r="Z598" s="799"/>
      <c r="AA598" s="799"/>
      <c r="AB598" s="799"/>
      <c r="AC598" s="799"/>
      <c r="AD598" s="799"/>
      <c r="AE598" s="799"/>
      <c r="AF598" s="799"/>
      <c r="AG598" s="799"/>
      <c r="AH598" s="799"/>
      <c r="AI598" s="799"/>
      <c r="AJ598" s="799"/>
      <c r="AK598" s="799"/>
      <c r="AL598" s="799"/>
      <c r="AM598" s="799"/>
      <c r="AN598" s="799"/>
      <c r="AO598" s="799"/>
      <c r="AP598" s="799"/>
      <c r="AQ598" s="799"/>
      <c r="AR598" s="799"/>
      <c r="AS598" s="799"/>
      <c r="AT598" s="799"/>
      <c r="AU598" s="799"/>
      <c r="AV598" s="799"/>
      <c r="AW598" s="799"/>
      <c r="AX598" s="799"/>
      <c r="AY598" s="799"/>
      <c r="AZ598" s="799"/>
      <c r="BA598" s="799"/>
      <c r="BB598" s="799"/>
      <c r="BC598" s="799"/>
      <c r="BD598" s="799"/>
      <c r="BE598" s="799"/>
      <c r="BF598" s="799"/>
      <c r="BG598" s="799"/>
    </row>
    <row r="599">
      <c r="H599" s="799"/>
      <c r="I599" s="799"/>
      <c r="J599" s="799"/>
      <c r="K599" s="799"/>
      <c r="L599" s="799"/>
      <c r="M599" s="799"/>
      <c r="N599" s="799"/>
      <c r="O599" s="799"/>
      <c r="P599" s="799"/>
      <c r="Q599" s="799"/>
      <c r="R599" s="799"/>
      <c r="S599" s="799"/>
      <c r="T599" s="799"/>
      <c r="U599" s="799"/>
      <c r="V599" s="799"/>
      <c r="W599" s="799"/>
      <c r="X599" s="799"/>
      <c r="Y599" s="799"/>
      <c r="Z599" s="799"/>
      <c r="AA599" s="799"/>
      <c r="AB599" s="799"/>
      <c r="AC599" s="799"/>
      <c r="AD599" s="799"/>
      <c r="AE599" s="799"/>
      <c r="AF599" s="799"/>
      <c r="AG599" s="799"/>
      <c r="AH599" s="799"/>
      <c r="AI599" s="799"/>
      <c r="AJ599" s="799"/>
      <c r="AK599" s="799"/>
      <c r="AL599" s="799"/>
      <c r="AM599" s="799"/>
      <c r="AN599" s="799"/>
      <c r="AO599" s="799"/>
      <c r="AP599" s="799"/>
      <c r="AQ599" s="799"/>
      <c r="AR599" s="799"/>
      <c r="AS599" s="799"/>
      <c r="AT599" s="799"/>
      <c r="AU599" s="799"/>
      <c r="AV599" s="799"/>
      <c r="AW599" s="799"/>
      <c r="AX599" s="799"/>
      <c r="AY599" s="799"/>
      <c r="AZ599" s="799"/>
      <c r="BA599" s="799"/>
      <c r="BB599" s="799"/>
      <c r="BC599" s="799"/>
      <c r="BD599" s="799"/>
      <c r="BE599" s="799"/>
      <c r="BF599" s="799"/>
      <c r="BG599" s="799"/>
    </row>
    <row r="600">
      <c r="H600" s="799"/>
      <c r="I600" s="799"/>
      <c r="J600" s="799"/>
      <c r="K600" s="799"/>
      <c r="L600" s="799"/>
      <c r="M600" s="799"/>
      <c r="N600" s="799"/>
      <c r="O600" s="799"/>
      <c r="P600" s="799"/>
      <c r="Q600" s="799"/>
      <c r="R600" s="799"/>
      <c r="S600" s="799"/>
      <c r="T600" s="799"/>
      <c r="U600" s="799"/>
      <c r="V600" s="799"/>
      <c r="W600" s="799"/>
      <c r="X600" s="799"/>
      <c r="Y600" s="799"/>
      <c r="Z600" s="799"/>
      <c r="AA600" s="799"/>
      <c r="AB600" s="799"/>
      <c r="AC600" s="799"/>
      <c r="AD600" s="799"/>
      <c r="AE600" s="799"/>
      <c r="AF600" s="799"/>
      <c r="AG600" s="799"/>
      <c r="AH600" s="799"/>
      <c r="AI600" s="799"/>
      <c r="AJ600" s="799"/>
      <c r="AK600" s="799"/>
      <c r="AL600" s="799"/>
      <c r="AM600" s="799"/>
      <c r="AN600" s="799"/>
      <c r="AO600" s="799"/>
      <c r="AP600" s="799"/>
      <c r="AQ600" s="799"/>
      <c r="AR600" s="799"/>
      <c r="AS600" s="799"/>
      <c r="AT600" s="799"/>
      <c r="AU600" s="799"/>
      <c r="AV600" s="799"/>
      <c r="AW600" s="799"/>
      <c r="AX600" s="799"/>
      <c r="AY600" s="799"/>
      <c r="AZ600" s="799"/>
      <c r="BA600" s="799"/>
      <c r="BB600" s="799"/>
      <c r="BC600" s="799"/>
      <c r="BD600" s="799"/>
      <c r="BE600" s="799"/>
      <c r="BF600" s="799"/>
      <c r="BG600" s="799"/>
    </row>
    <row r="601">
      <c r="H601" s="799"/>
      <c r="I601" s="799"/>
      <c r="J601" s="799"/>
      <c r="K601" s="799"/>
      <c r="L601" s="799"/>
      <c r="M601" s="799"/>
      <c r="N601" s="799"/>
      <c r="O601" s="799"/>
      <c r="P601" s="799"/>
      <c r="Q601" s="799"/>
      <c r="R601" s="799"/>
      <c r="S601" s="799"/>
      <c r="T601" s="799"/>
      <c r="U601" s="799"/>
      <c r="V601" s="799"/>
      <c r="W601" s="799"/>
      <c r="X601" s="799"/>
      <c r="Y601" s="799"/>
      <c r="Z601" s="799"/>
      <c r="AA601" s="799"/>
      <c r="AB601" s="799"/>
      <c r="AC601" s="799"/>
      <c r="AD601" s="799"/>
      <c r="AE601" s="799"/>
      <c r="AF601" s="799"/>
      <c r="AG601" s="799"/>
      <c r="AH601" s="799"/>
      <c r="AI601" s="799"/>
      <c r="AJ601" s="799"/>
      <c r="AK601" s="799"/>
      <c r="AL601" s="799"/>
      <c r="AM601" s="799"/>
      <c r="AN601" s="799"/>
      <c r="AO601" s="799"/>
      <c r="AP601" s="799"/>
      <c r="AQ601" s="799"/>
      <c r="AR601" s="799"/>
      <c r="AS601" s="799"/>
      <c r="AT601" s="799"/>
      <c r="AU601" s="799"/>
      <c r="AV601" s="799"/>
      <c r="AW601" s="799"/>
      <c r="AX601" s="799"/>
      <c r="AY601" s="799"/>
      <c r="AZ601" s="799"/>
      <c r="BA601" s="799"/>
      <c r="BB601" s="799"/>
      <c r="BC601" s="799"/>
      <c r="BD601" s="799"/>
      <c r="BE601" s="799"/>
      <c r="BF601" s="799"/>
      <c r="BG601" s="799"/>
    </row>
    <row r="602">
      <c r="H602" s="799"/>
      <c r="I602" s="799"/>
      <c r="J602" s="799"/>
      <c r="K602" s="799"/>
      <c r="L602" s="799"/>
      <c r="M602" s="799"/>
      <c r="N602" s="799"/>
      <c r="O602" s="799"/>
      <c r="P602" s="799"/>
      <c r="Q602" s="799"/>
      <c r="R602" s="799"/>
      <c r="S602" s="799"/>
      <c r="T602" s="799"/>
      <c r="U602" s="799"/>
      <c r="V602" s="799"/>
      <c r="W602" s="799"/>
      <c r="X602" s="799"/>
      <c r="Y602" s="799"/>
      <c r="Z602" s="799"/>
      <c r="AA602" s="799"/>
      <c r="AB602" s="799"/>
      <c r="AC602" s="799"/>
      <c r="AD602" s="799"/>
      <c r="AE602" s="799"/>
      <c r="AF602" s="799"/>
      <c r="AG602" s="799"/>
      <c r="AH602" s="799"/>
      <c r="AI602" s="799"/>
      <c r="AJ602" s="799"/>
      <c r="AK602" s="799"/>
      <c r="AL602" s="799"/>
      <c r="AM602" s="799"/>
      <c r="AN602" s="799"/>
      <c r="AO602" s="799"/>
      <c r="AP602" s="799"/>
      <c r="AQ602" s="799"/>
      <c r="AR602" s="799"/>
      <c r="AS602" s="799"/>
      <c r="AT602" s="799"/>
      <c r="AU602" s="799"/>
      <c r="AV602" s="799"/>
      <c r="AW602" s="799"/>
      <c r="AX602" s="799"/>
      <c r="AY602" s="799"/>
      <c r="AZ602" s="799"/>
      <c r="BA602" s="799"/>
      <c r="BB602" s="799"/>
      <c r="BC602" s="799"/>
      <c r="BD602" s="799"/>
      <c r="BE602" s="799"/>
      <c r="BF602" s="799"/>
      <c r="BG602" s="799"/>
    </row>
    <row r="603">
      <c r="H603" s="799"/>
      <c r="I603" s="799"/>
      <c r="J603" s="799"/>
      <c r="K603" s="799"/>
      <c r="L603" s="799"/>
      <c r="M603" s="799"/>
      <c r="N603" s="799"/>
      <c r="O603" s="799"/>
      <c r="P603" s="799"/>
      <c r="Q603" s="799"/>
      <c r="R603" s="799"/>
      <c r="S603" s="799"/>
      <c r="T603" s="799"/>
      <c r="U603" s="799"/>
      <c r="V603" s="799"/>
      <c r="W603" s="799"/>
      <c r="X603" s="799"/>
      <c r="Y603" s="799"/>
      <c r="Z603" s="799"/>
      <c r="AA603" s="799"/>
      <c r="AB603" s="799"/>
      <c r="AC603" s="799"/>
      <c r="AD603" s="799"/>
      <c r="AE603" s="799"/>
      <c r="AF603" s="799"/>
      <c r="AG603" s="799"/>
      <c r="AH603" s="799"/>
      <c r="AI603" s="799"/>
      <c r="AJ603" s="799"/>
      <c r="AK603" s="799"/>
      <c r="AL603" s="799"/>
      <c r="AM603" s="799"/>
      <c r="AN603" s="799"/>
      <c r="AO603" s="799"/>
      <c r="AP603" s="799"/>
      <c r="AQ603" s="799"/>
      <c r="AR603" s="799"/>
      <c r="AS603" s="799"/>
      <c r="AT603" s="799"/>
      <c r="AU603" s="799"/>
      <c r="AV603" s="799"/>
      <c r="AW603" s="799"/>
      <c r="AX603" s="799"/>
      <c r="AY603" s="799"/>
      <c r="AZ603" s="799"/>
      <c r="BA603" s="799"/>
      <c r="BB603" s="799"/>
      <c r="BC603" s="799"/>
      <c r="BD603" s="799"/>
      <c r="BE603" s="799"/>
      <c r="BF603" s="799"/>
      <c r="BG603" s="799"/>
    </row>
    <row r="604">
      <c r="H604" s="799"/>
      <c r="I604" s="799"/>
      <c r="J604" s="799"/>
      <c r="K604" s="799"/>
      <c r="L604" s="799"/>
      <c r="M604" s="799"/>
      <c r="N604" s="799"/>
      <c r="O604" s="799"/>
      <c r="P604" s="799"/>
      <c r="Q604" s="799"/>
      <c r="R604" s="799"/>
      <c r="S604" s="799"/>
      <c r="T604" s="799"/>
      <c r="U604" s="799"/>
      <c r="V604" s="799"/>
      <c r="W604" s="799"/>
      <c r="X604" s="799"/>
      <c r="Y604" s="799"/>
      <c r="Z604" s="799"/>
      <c r="AA604" s="799"/>
      <c r="AB604" s="799"/>
      <c r="AC604" s="799"/>
      <c r="AD604" s="799"/>
      <c r="AE604" s="799"/>
      <c r="AF604" s="799"/>
      <c r="AG604" s="799"/>
      <c r="AH604" s="799"/>
      <c r="AI604" s="799"/>
      <c r="AJ604" s="799"/>
      <c r="AK604" s="799"/>
      <c r="AL604" s="799"/>
      <c r="AM604" s="799"/>
      <c r="AN604" s="799"/>
      <c r="AO604" s="799"/>
      <c r="AP604" s="799"/>
      <c r="AQ604" s="799"/>
      <c r="AR604" s="799"/>
      <c r="AS604" s="799"/>
      <c r="AT604" s="799"/>
      <c r="AU604" s="799"/>
      <c r="AV604" s="799"/>
      <c r="AW604" s="799"/>
      <c r="AX604" s="799"/>
      <c r="AY604" s="799"/>
      <c r="AZ604" s="799"/>
      <c r="BA604" s="799"/>
      <c r="BB604" s="799"/>
      <c r="BC604" s="799"/>
      <c r="BD604" s="799"/>
      <c r="BE604" s="799"/>
      <c r="BF604" s="799"/>
      <c r="BG604" s="799"/>
    </row>
    <row r="605">
      <c r="H605" s="799"/>
      <c r="I605" s="799"/>
      <c r="J605" s="799"/>
      <c r="K605" s="799"/>
      <c r="L605" s="799"/>
      <c r="M605" s="799"/>
      <c r="N605" s="799"/>
      <c r="O605" s="799"/>
      <c r="P605" s="799"/>
      <c r="Q605" s="799"/>
      <c r="R605" s="799"/>
      <c r="S605" s="799"/>
      <c r="T605" s="799"/>
      <c r="U605" s="799"/>
      <c r="V605" s="799"/>
      <c r="W605" s="799"/>
      <c r="X605" s="799"/>
      <c r="Y605" s="799"/>
      <c r="Z605" s="799"/>
      <c r="AA605" s="799"/>
      <c r="AB605" s="799"/>
      <c r="AC605" s="799"/>
      <c r="AD605" s="799"/>
      <c r="AE605" s="799"/>
      <c r="AF605" s="799"/>
      <c r="AG605" s="799"/>
      <c r="AH605" s="799"/>
      <c r="AI605" s="799"/>
      <c r="AJ605" s="799"/>
      <c r="AK605" s="799"/>
      <c r="AL605" s="799"/>
      <c r="AM605" s="799"/>
      <c r="AN605" s="799"/>
      <c r="AO605" s="799"/>
      <c r="AP605" s="799"/>
      <c r="AQ605" s="799"/>
      <c r="AR605" s="799"/>
      <c r="AS605" s="799"/>
      <c r="AT605" s="799"/>
      <c r="AU605" s="799"/>
      <c r="AV605" s="799"/>
      <c r="AW605" s="799"/>
      <c r="AX605" s="799"/>
      <c r="AY605" s="799"/>
      <c r="AZ605" s="799"/>
      <c r="BA605" s="799"/>
      <c r="BB605" s="799"/>
      <c r="BC605" s="799"/>
      <c r="BD605" s="799"/>
      <c r="BE605" s="799"/>
      <c r="BF605" s="799"/>
      <c r="BG605" s="799"/>
    </row>
    <row r="606">
      <c r="H606" s="799"/>
      <c r="I606" s="799"/>
      <c r="J606" s="799"/>
      <c r="K606" s="799"/>
      <c r="L606" s="799"/>
      <c r="M606" s="799"/>
      <c r="N606" s="799"/>
      <c r="O606" s="799"/>
      <c r="P606" s="799"/>
      <c r="Q606" s="799"/>
      <c r="R606" s="799"/>
      <c r="S606" s="799"/>
      <c r="T606" s="799"/>
      <c r="U606" s="799"/>
      <c r="V606" s="799"/>
      <c r="W606" s="799"/>
      <c r="X606" s="799"/>
      <c r="Y606" s="799"/>
      <c r="Z606" s="799"/>
      <c r="AA606" s="799"/>
      <c r="AB606" s="799"/>
      <c r="AC606" s="799"/>
      <c r="AD606" s="799"/>
      <c r="AE606" s="799"/>
      <c r="AF606" s="799"/>
      <c r="AG606" s="799"/>
      <c r="AH606" s="799"/>
      <c r="AI606" s="799"/>
      <c r="AJ606" s="799"/>
      <c r="AK606" s="799"/>
      <c r="AL606" s="799"/>
      <c r="AM606" s="799"/>
      <c r="AN606" s="799"/>
      <c r="AO606" s="799"/>
      <c r="AP606" s="799"/>
      <c r="AQ606" s="799"/>
      <c r="AR606" s="799"/>
      <c r="AS606" s="799"/>
      <c r="AT606" s="799"/>
      <c r="AU606" s="799"/>
      <c r="AV606" s="799"/>
      <c r="AW606" s="799"/>
      <c r="AX606" s="799"/>
      <c r="AY606" s="799"/>
      <c r="AZ606" s="799"/>
      <c r="BA606" s="799"/>
      <c r="BB606" s="799"/>
      <c r="BC606" s="799"/>
      <c r="BD606" s="799"/>
      <c r="BE606" s="799"/>
      <c r="BF606" s="799"/>
      <c r="BG606" s="799"/>
    </row>
    <row r="607">
      <c r="H607" s="799"/>
      <c r="I607" s="799"/>
      <c r="J607" s="799"/>
      <c r="K607" s="799"/>
      <c r="L607" s="799"/>
      <c r="M607" s="799"/>
      <c r="N607" s="799"/>
      <c r="O607" s="799"/>
      <c r="P607" s="799"/>
      <c r="Q607" s="799"/>
      <c r="R607" s="799"/>
      <c r="S607" s="799"/>
      <c r="T607" s="799"/>
      <c r="U607" s="799"/>
      <c r="V607" s="799"/>
      <c r="W607" s="799"/>
      <c r="X607" s="799"/>
      <c r="Y607" s="799"/>
      <c r="Z607" s="799"/>
      <c r="AA607" s="799"/>
      <c r="AB607" s="799"/>
      <c r="AC607" s="799"/>
      <c r="AD607" s="799"/>
      <c r="AE607" s="799"/>
      <c r="AF607" s="799"/>
      <c r="AG607" s="799"/>
      <c r="AH607" s="799"/>
      <c r="AI607" s="799"/>
      <c r="AJ607" s="799"/>
      <c r="AK607" s="799"/>
      <c r="AL607" s="799"/>
      <c r="AM607" s="799"/>
      <c r="AN607" s="799"/>
      <c r="AO607" s="799"/>
      <c r="AP607" s="799"/>
      <c r="AQ607" s="799"/>
      <c r="AR607" s="799"/>
      <c r="AS607" s="799"/>
      <c r="AT607" s="799"/>
      <c r="AU607" s="799"/>
      <c r="AV607" s="799"/>
      <c r="AW607" s="799"/>
      <c r="AX607" s="799"/>
      <c r="AY607" s="799"/>
      <c r="AZ607" s="799"/>
      <c r="BA607" s="799"/>
      <c r="BB607" s="799"/>
      <c r="BC607" s="799"/>
      <c r="BD607" s="799"/>
      <c r="BE607" s="799"/>
      <c r="BF607" s="799"/>
      <c r="BG607" s="799"/>
    </row>
    <row r="608">
      <c r="H608" s="799"/>
      <c r="I608" s="799"/>
      <c r="J608" s="799"/>
      <c r="K608" s="799"/>
      <c r="L608" s="799"/>
      <c r="M608" s="799"/>
      <c r="N608" s="799"/>
      <c r="O608" s="799"/>
      <c r="P608" s="799"/>
      <c r="Q608" s="799"/>
      <c r="R608" s="799"/>
      <c r="S608" s="799"/>
      <c r="T608" s="799"/>
      <c r="U608" s="799"/>
      <c r="V608" s="799"/>
      <c r="W608" s="799"/>
      <c r="X608" s="799"/>
      <c r="Y608" s="799"/>
      <c r="Z608" s="799"/>
      <c r="AA608" s="799"/>
      <c r="AB608" s="799"/>
      <c r="AC608" s="799"/>
      <c r="AD608" s="799"/>
      <c r="AE608" s="799"/>
      <c r="AF608" s="799"/>
      <c r="AG608" s="799"/>
      <c r="AH608" s="799"/>
      <c r="AI608" s="799"/>
      <c r="AJ608" s="799"/>
      <c r="AK608" s="799"/>
      <c r="AL608" s="799"/>
      <c r="AM608" s="799"/>
      <c r="AN608" s="799"/>
      <c r="AO608" s="799"/>
      <c r="AP608" s="799"/>
      <c r="AQ608" s="799"/>
      <c r="AR608" s="799"/>
      <c r="AS608" s="799"/>
      <c r="AT608" s="799"/>
      <c r="AU608" s="799"/>
      <c r="AV608" s="799"/>
      <c r="AW608" s="799"/>
      <c r="AX608" s="799"/>
      <c r="AY608" s="799"/>
      <c r="AZ608" s="799"/>
      <c r="BA608" s="799"/>
      <c r="BB608" s="799"/>
      <c r="BC608" s="799"/>
      <c r="BD608" s="799"/>
      <c r="BE608" s="799"/>
      <c r="BF608" s="799"/>
      <c r="BG608" s="799"/>
    </row>
    <row r="609">
      <c r="H609" s="799"/>
      <c r="I609" s="799"/>
      <c r="J609" s="799"/>
      <c r="K609" s="799"/>
      <c r="L609" s="799"/>
      <c r="M609" s="799"/>
      <c r="N609" s="799"/>
      <c r="O609" s="799"/>
      <c r="P609" s="799"/>
      <c r="Q609" s="799"/>
      <c r="R609" s="799"/>
      <c r="S609" s="799"/>
      <c r="T609" s="799"/>
      <c r="U609" s="799"/>
      <c r="V609" s="799"/>
      <c r="W609" s="799"/>
      <c r="X609" s="799"/>
      <c r="Y609" s="799"/>
      <c r="Z609" s="799"/>
      <c r="AA609" s="799"/>
      <c r="AB609" s="799"/>
      <c r="AC609" s="799"/>
      <c r="AD609" s="799"/>
      <c r="AE609" s="799"/>
      <c r="AF609" s="799"/>
      <c r="AG609" s="799"/>
      <c r="AH609" s="799"/>
      <c r="AI609" s="799"/>
      <c r="AJ609" s="799"/>
      <c r="AK609" s="799"/>
      <c r="AL609" s="799"/>
      <c r="AM609" s="799"/>
      <c r="AN609" s="799"/>
      <c r="AO609" s="799"/>
      <c r="AP609" s="799"/>
      <c r="AQ609" s="799"/>
      <c r="AR609" s="799"/>
      <c r="AS609" s="799"/>
      <c r="AT609" s="799"/>
      <c r="AU609" s="799"/>
      <c r="AV609" s="799"/>
      <c r="AW609" s="799"/>
      <c r="AX609" s="799"/>
      <c r="AY609" s="799"/>
      <c r="AZ609" s="799"/>
      <c r="BA609" s="799"/>
      <c r="BB609" s="799"/>
      <c r="BC609" s="799"/>
      <c r="BD609" s="799"/>
      <c r="BE609" s="799"/>
      <c r="BF609" s="799"/>
      <c r="BG609" s="799"/>
    </row>
    <row r="610">
      <c r="H610" s="799"/>
      <c r="I610" s="799"/>
      <c r="J610" s="799"/>
      <c r="K610" s="799"/>
      <c r="L610" s="799"/>
      <c r="M610" s="799"/>
      <c r="N610" s="799"/>
      <c r="O610" s="799"/>
      <c r="P610" s="799"/>
      <c r="Q610" s="799"/>
      <c r="R610" s="799"/>
      <c r="S610" s="799"/>
      <c r="T610" s="799"/>
      <c r="U610" s="799"/>
      <c r="V610" s="799"/>
      <c r="W610" s="799"/>
      <c r="X610" s="799"/>
      <c r="Y610" s="799"/>
      <c r="Z610" s="799"/>
      <c r="AA610" s="799"/>
      <c r="AB610" s="799"/>
      <c r="AC610" s="799"/>
      <c r="AD610" s="799"/>
      <c r="AE610" s="799"/>
      <c r="AF610" s="799"/>
      <c r="AG610" s="799"/>
      <c r="AH610" s="799"/>
      <c r="AI610" s="799"/>
      <c r="AJ610" s="799"/>
      <c r="AK610" s="799"/>
      <c r="AL610" s="799"/>
      <c r="AM610" s="799"/>
      <c r="AN610" s="799"/>
      <c r="AO610" s="799"/>
      <c r="AP610" s="799"/>
      <c r="AQ610" s="799"/>
      <c r="AR610" s="799"/>
      <c r="AS610" s="799"/>
      <c r="AT610" s="799"/>
      <c r="AU610" s="799"/>
      <c r="AV610" s="799"/>
      <c r="AW610" s="799"/>
      <c r="AX610" s="799"/>
      <c r="AY610" s="799"/>
      <c r="AZ610" s="799"/>
      <c r="BA610" s="799"/>
      <c r="BB610" s="799"/>
      <c r="BC610" s="799"/>
      <c r="BD610" s="799"/>
      <c r="BE610" s="799"/>
      <c r="BF610" s="799"/>
      <c r="BG610" s="799"/>
    </row>
    <row r="611">
      <c r="H611" s="799"/>
      <c r="I611" s="799"/>
      <c r="J611" s="799"/>
      <c r="K611" s="799"/>
      <c r="L611" s="799"/>
      <c r="M611" s="799"/>
      <c r="N611" s="799"/>
      <c r="O611" s="799"/>
      <c r="P611" s="799"/>
      <c r="Q611" s="799"/>
      <c r="R611" s="799"/>
      <c r="S611" s="799"/>
      <c r="T611" s="799"/>
      <c r="U611" s="799"/>
      <c r="V611" s="799"/>
      <c r="W611" s="799"/>
      <c r="X611" s="799"/>
      <c r="Y611" s="799"/>
      <c r="Z611" s="799"/>
      <c r="AA611" s="799"/>
      <c r="AB611" s="799"/>
      <c r="AC611" s="799"/>
      <c r="AD611" s="799"/>
      <c r="AE611" s="799"/>
      <c r="AF611" s="799"/>
      <c r="AG611" s="799"/>
      <c r="AH611" s="799"/>
      <c r="AI611" s="799"/>
      <c r="AJ611" s="799"/>
      <c r="AK611" s="799"/>
      <c r="AL611" s="799"/>
      <c r="AM611" s="799"/>
      <c r="AN611" s="799"/>
      <c r="AO611" s="799"/>
      <c r="AP611" s="799"/>
      <c r="AQ611" s="799"/>
      <c r="AR611" s="799"/>
      <c r="AS611" s="799"/>
      <c r="AT611" s="799"/>
      <c r="AU611" s="799"/>
      <c r="AV611" s="799"/>
      <c r="AW611" s="799"/>
      <c r="AX611" s="799"/>
      <c r="AY611" s="799"/>
      <c r="AZ611" s="799"/>
      <c r="BA611" s="799"/>
      <c r="BB611" s="799"/>
      <c r="BC611" s="799"/>
      <c r="BD611" s="799"/>
      <c r="BE611" s="799"/>
      <c r="BF611" s="799"/>
      <c r="BG611" s="799"/>
    </row>
    <row r="612">
      <c r="H612" s="799"/>
      <c r="I612" s="799"/>
      <c r="J612" s="799"/>
      <c r="K612" s="799"/>
      <c r="L612" s="799"/>
      <c r="M612" s="799"/>
      <c r="N612" s="799"/>
      <c r="O612" s="799"/>
      <c r="P612" s="799"/>
      <c r="Q612" s="799"/>
      <c r="R612" s="799"/>
      <c r="S612" s="799"/>
      <c r="T612" s="799"/>
      <c r="U612" s="799"/>
      <c r="V612" s="799"/>
      <c r="W612" s="799"/>
      <c r="X612" s="799"/>
      <c r="Y612" s="799"/>
      <c r="Z612" s="799"/>
      <c r="AA612" s="799"/>
      <c r="AB612" s="799"/>
      <c r="AC612" s="799"/>
      <c r="AD612" s="799"/>
      <c r="AE612" s="799"/>
      <c r="AF612" s="799"/>
      <c r="AG612" s="799"/>
      <c r="AH612" s="799"/>
      <c r="AI612" s="799"/>
      <c r="AJ612" s="799"/>
      <c r="AK612" s="799"/>
      <c r="AL612" s="799"/>
      <c r="AM612" s="799"/>
      <c r="AN612" s="799"/>
      <c r="AO612" s="799"/>
      <c r="AP612" s="799"/>
      <c r="AQ612" s="799"/>
      <c r="AR612" s="799"/>
      <c r="AS612" s="799"/>
      <c r="AT612" s="799"/>
      <c r="AU612" s="799"/>
      <c r="AV612" s="799"/>
      <c r="AW612" s="799"/>
      <c r="AX612" s="799"/>
      <c r="AY612" s="799"/>
      <c r="AZ612" s="799"/>
      <c r="BA612" s="799"/>
      <c r="BB612" s="799"/>
      <c r="BC612" s="799"/>
      <c r="BD612" s="799"/>
      <c r="BE612" s="799"/>
      <c r="BF612" s="799"/>
      <c r="BG612" s="799"/>
    </row>
    <row r="613">
      <c r="H613" s="799"/>
      <c r="I613" s="799"/>
      <c r="J613" s="799"/>
      <c r="K613" s="799"/>
      <c r="L613" s="799"/>
      <c r="M613" s="799"/>
      <c r="N613" s="799"/>
      <c r="O613" s="799"/>
      <c r="P613" s="799"/>
      <c r="Q613" s="799"/>
      <c r="R613" s="799"/>
      <c r="S613" s="799"/>
      <c r="T613" s="799"/>
      <c r="U613" s="799"/>
      <c r="V613" s="799"/>
      <c r="W613" s="799"/>
      <c r="X613" s="799"/>
      <c r="Y613" s="799"/>
      <c r="Z613" s="799"/>
      <c r="AA613" s="799"/>
      <c r="AB613" s="799"/>
      <c r="AC613" s="799"/>
      <c r="AD613" s="799"/>
      <c r="AE613" s="799"/>
      <c r="AF613" s="799"/>
      <c r="AG613" s="799"/>
      <c r="AH613" s="799"/>
      <c r="AI613" s="799"/>
      <c r="AJ613" s="799"/>
      <c r="AK613" s="799"/>
      <c r="AL613" s="799"/>
      <c r="AM613" s="799"/>
      <c r="AN613" s="799"/>
      <c r="AO613" s="799"/>
      <c r="AP613" s="799"/>
      <c r="AQ613" s="799"/>
      <c r="AR613" s="799"/>
      <c r="AS613" s="799"/>
      <c r="AT613" s="799"/>
      <c r="AU613" s="799"/>
      <c r="AV613" s="799"/>
      <c r="AW613" s="799"/>
      <c r="AX613" s="799"/>
      <c r="AY613" s="799"/>
      <c r="AZ613" s="799"/>
      <c r="BA613" s="799"/>
      <c r="BB613" s="799"/>
      <c r="BC613" s="799"/>
      <c r="BD613" s="799"/>
      <c r="BE613" s="799"/>
      <c r="BF613" s="799"/>
      <c r="BG613" s="799"/>
    </row>
    <row r="614">
      <c r="H614" s="799"/>
      <c r="I614" s="799"/>
      <c r="J614" s="799"/>
      <c r="K614" s="799"/>
      <c r="L614" s="799"/>
      <c r="M614" s="799"/>
      <c r="N614" s="799"/>
      <c r="O614" s="799"/>
      <c r="P614" s="799"/>
      <c r="Q614" s="799"/>
      <c r="R614" s="799"/>
      <c r="S614" s="799"/>
      <c r="T614" s="799"/>
      <c r="U614" s="799"/>
      <c r="V614" s="799"/>
      <c r="W614" s="799"/>
      <c r="X614" s="799"/>
      <c r="Y614" s="799"/>
      <c r="Z614" s="799"/>
      <c r="AA614" s="799"/>
      <c r="AB614" s="799"/>
      <c r="AC614" s="799"/>
      <c r="AD614" s="799"/>
      <c r="AE614" s="799"/>
      <c r="AF614" s="799"/>
      <c r="AG614" s="799"/>
      <c r="AH614" s="799"/>
      <c r="AI614" s="799"/>
      <c r="AJ614" s="799"/>
      <c r="AK614" s="799"/>
      <c r="AL614" s="799"/>
      <c r="AM614" s="799"/>
      <c r="AN614" s="799"/>
      <c r="AO614" s="799"/>
      <c r="AP614" s="799"/>
      <c r="AQ614" s="799"/>
      <c r="AR614" s="799"/>
      <c r="AS614" s="799"/>
      <c r="AT614" s="799"/>
      <c r="AU614" s="799"/>
      <c r="AV614" s="799"/>
      <c r="AW614" s="799"/>
      <c r="AX614" s="799"/>
      <c r="AY614" s="799"/>
      <c r="AZ614" s="799"/>
      <c r="BA614" s="799"/>
      <c r="BB614" s="799"/>
      <c r="BC614" s="799"/>
      <c r="BD614" s="799"/>
      <c r="BE614" s="799"/>
      <c r="BF614" s="799"/>
      <c r="BG614" s="799"/>
    </row>
    <row r="615">
      <c r="H615" s="799"/>
      <c r="I615" s="799"/>
      <c r="J615" s="799"/>
      <c r="K615" s="799"/>
      <c r="L615" s="799"/>
      <c r="M615" s="799"/>
      <c r="N615" s="799"/>
      <c r="O615" s="799"/>
      <c r="P615" s="799"/>
      <c r="Q615" s="799"/>
      <c r="R615" s="799"/>
      <c r="S615" s="799"/>
      <c r="T615" s="799"/>
      <c r="U615" s="799"/>
      <c r="V615" s="799"/>
      <c r="W615" s="799"/>
      <c r="X615" s="799"/>
      <c r="Y615" s="799"/>
      <c r="Z615" s="799"/>
      <c r="AA615" s="799"/>
      <c r="AB615" s="799"/>
      <c r="AC615" s="799"/>
      <c r="AD615" s="799"/>
      <c r="AE615" s="799"/>
      <c r="AF615" s="799"/>
      <c r="AG615" s="799"/>
      <c r="AH615" s="799"/>
      <c r="AI615" s="799"/>
      <c r="AJ615" s="799"/>
      <c r="AK615" s="799"/>
      <c r="AL615" s="799"/>
      <c r="AM615" s="799"/>
      <c r="AN615" s="799"/>
      <c r="AO615" s="799"/>
      <c r="AP615" s="799"/>
      <c r="AQ615" s="799"/>
      <c r="AR615" s="799"/>
      <c r="AS615" s="799"/>
      <c r="AT615" s="799"/>
      <c r="AU615" s="799"/>
      <c r="AV615" s="799"/>
      <c r="AW615" s="799"/>
      <c r="AX615" s="799"/>
      <c r="AY615" s="799"/>
      <c r="AZ615" s="799"/>
      <c r="BA615" s="799"/>
      <c r="BB615" s="799"/>
      <c r="BC615" s="799"/>
      <c r="BD615" s="799"/>
      <c r="BE615" s="799"/>
      <c r="BF615" s="799"/>
      <c r="BG615" s="799"/>
    </row>
    <row r="616">
      <c r="H616" s="799"/>
      <c r="I616" s="799"/>
      <c r="J616" s="799"/>
      <c r="K616" s="799"/>
      <c r="L616" s="799"/>
      <c r="M616" s="799"/>
      <c r="N616" s="799"/>
      <c r="O616" s="799"/>
      <c r="P616" s="799"/>
      <c r="Q616" s="799"/>
      <c r="R616" s="799"/>
      <c r="S616" s="799"/>
      <c r="T616" s="799"/>
      <c r="U616" s="799"/>
      <c r="V616" s="799"/>
      <c r="W616" s="799"/>
      <c r="X616" s="799"/>
      <c r="Y616" s="799"/>
      <c r="Z616" s="799"/>
      <c r="AA616" s="799"/>
      <c r="AB616" s="799"/>
      <c r="AC616" s="799"/>
      <c r="AD616" s="799"/>
      <c r="AE616" s="799"/>
      <c r="AF616" s="799"/>
      <c r="AG616" s="799"/>
      <c r="AH616" s="799"/>
      <c r="AI616" s="799"/>
      <c r="AJ616" s="799"/>
      <c r="AK616" s="799"/>
      <c r="AL616" s="799"/>
      <c r="AM616" s="799"/>
      <c r="AN616" s="799"/>
      <c r="AO616" s="799"/>
      <c r="AP616" s="799"/>
      <c r="AQ616" s="799"/>
      <c r="AR616" s="799"/>
      <c r="AS616" s="799"/>
      <c r="AT616" s="799"/>
      <c r="AU616" s="799"/>
      <c r="AV616" s="799"/>
      <c r="AW616" s="799"/>
      <c r="AX616" s="799"/>
      <c r="AY616" s="799"/>
      <c r="AZ616" s="799"/>
      <c r="BA616" s="799"/>
      <c r="BB616" s="799"/>
      <c r="BC616" s="799"/>
      <c r="BD616" s="799"/>
      <c r="BE616" s="799"/>
      <c r="BF616" s="799"/>
      <c r="BG616" s="799"/>
    </row>
    <row r="617">
      <c r="H617" s="799"/>
      <c r="I617" s="799"/>
      <c r="J617" s="799"/>
      <c r="K617" s="799"/>
      <c r="L617" s="799"/>
      <c r="M617" s="799"/>
      <c r="N617" s="799"/>
      <c r="O617" s="799"/>
      <c r="P617" s="799"/>
      <c r="Q617" s="799"/>
      <c r="R617" s="799"/>
      <c r="S617" s="799"/>
      <c r="T617" s="799"/>
      <c r="U617" s="799"/>
      <c r="V617" s="799"/>
      <c r="W617" s="799"/>
      <c r="X617" s="799"/>
      <c r="Y617" s="799"/>
      <c r="Z617" s="799"/>
      <c r="AA617" s="799"/>
      <c r="AB617" s="799"/>
      <c r="AC617" s="799"/>
      <c r="AD617" s="799"/>
      <c r="AE617" s="799"/>
      <c r="AF617" s="799"/>
      <c r="AG617" s="799"/>
      <c r="AH617" s="799"/>
      <c r="AI617" s="799"/>
      <c r="AJ617" s="799"/>
      <c r="AK617" s="799"/>
      <c r="AL617" s="799"/>
      <c r="AM617" s="799"/>
      <c r="AN617" s="799"/>
      <c r="AO617" s="799"/>
      <c r="AP617" s="799"/>
      <c r="AQ617" s="799"/>
      <c r="AR617" s="799"/>
      <c r="AS617" s="799"/>
      <c r="AT617" s="799"/>
      <c r="AU617" s="799"/>
      <c r="AV617" s="799"/>
      <c r="AW617" s="799"/>
      <c r="AX617" s="799"/>
      <c r="AY617" s="799"/>
      <c r="AZ617" s="799"/>
      <c r="BA617" s="799"/>
      <c r="BB617" s="799"/>
      <c r="BC617" s="799"/>
      <c r="BD617" s="799"/>
      <c r="BE617" s="799"/>
      <c r="BF617" s="799"/>
      <c r="BG617" s="799"/>
    </row>
    <row r="618">
      <c r="H618" s="799"/>
      <c r="I618" s="799"/>
      <c r="J618" s="799"/>
      <c r="K618" s="799"/>
      <c r="L618" s="799"/>
      <c r="M618" s="799"/>
      <c r="N618" s="799"/>
      <c r="O618" s="799"/>
      <c r="P618" s="799"/>
      <c r="Q618" s="799"/>
      <c r="R618" s="799"/>
      <c r="S618" s="799"/>
      <c r="T618" s="799"/>
      <c r="U618" s="799"/>
      <c r="V618" s="799"/>
      <c r="W618" s="799"/>
      <c r="X618" s="799"/>
      <c r="Y618" s="799"/>
      <c r="Z618" s="799"/>
      <c r="AA618" s="799"/>
      <c r="AB618" s="799"/>
      <c r="AC618" s="799"/>
      <c r="AD618" s="799"/>
      <c r="AE618" s="799"/>
      <c r="AF618" s="799"/>
      <c r="AG618" s="799"/>
      <c r="AH618" s="799"/>
      <c r="AI618" s="799"/>
      <c r="AJ618" s="799"/>
      <c r="AK618" s="799"/>
      <c r="AL618" s="799"/>
      <c r="AM618" s="799"/>
      <c r="AN618" s="799"/>
      <c r="AO618" s="799"/>
      <c r="AP618" s="799"/>
      <c r="AQ618" s="799"/>
      <c r="AR618" s="799"/>
      <c r="AS618" s="799"/>
      <c r="AT618" s="799"/>
      <c r="AU618" s="799"/>
      <c r="AV618" s="799"/>
      <c r="AW618" s="799"/>
      <c r="AX618" s="799"/>
      <c r="AY618" s="799"/>
      <c r="AZ618" s="799"/>
      <c r="BA618" s="799"/>
      <c r="BB618" s="799"/>
      <c r="BC618" s="799"/>
      <c r="BD618" s="799"/>
      <c r="BE618" s="799"/>
      <c r="BF618" s="799"/>
      <c r="BG618" s="799"/>
    </row>
    <row r="619">
      <c r="H619" s="799"/>
      <c r="I619" s="799"/>
      <c r="J619" s="799"/>
      <c r="K619" s="799"/>
      <c r="L619" s="799"/>
      <c r="M619" s="799"/>
      <c r="N619" s="799"/>
      <c r="O619" s="799"/>
      <c r="P619" s="799"/>
      <c r="Q619" s="799"/>
      <c r="R619" s="799"/>
      <c r="S619" s="799"/>
      <c r="T619" s="799"/>
      <c r="U619" s="799"/>
      <c r="V619" s="799"/>
      <c r="W619" s="799"/>
      <c r="X619" s="799"/>
      <c r="Y619" s="799"/>
      <c r="Z619" s="799"/>
      <c r="AA619" s="799"/>
      <c r="AB619" s="799"/>
      <c r="AC619" s="799"/>
      <c r="AD619" s="799"/>
      <c r="AE619" s="799"/>
      <c r="AF619" s="799"/>
      <c r="AG619" s="799"/>
      <c r="AH619" s="799"/>
      <c r="AI619" s="799"/>
      <c r="AJ619" s="799"/>
      <c r="AK619" s="799"/>
      <c r="AL619" s="799"/>
      <c r="AM619" s="799"/>
      <c r="AN619" s="799"/>
      <c r="AO619" s="799"/>
      <c r="AP619" s="799"/>
      <c r="AQ619" s="799"/>
      <c r="AR619" s="799"/>
      <c r="AS619" s="799"/>
      <c r="AT619" s="799"/>
      <c r="AU619" s="799"/>
      <c r="AV619" s="799"/>
      <c r="AW619" s="799"/>
      <c r="AX619" s="799"/>
      <c r="AY619" s="799"/>
      <c r="AZ619" s="799"/>
      <c r="BA619" s="799"/>
      <c r="BB619" s="799"/>
      <c r="BC619" s="799"/>
      <c r="BD619" s="799"/>
      <c r="BE619" s="799"/>
      <c r="BF619" s="799"/>
      <c r="BG619" s="799"/>
    </row>
    <row r="620">
      <c r="H620" s="799"/>
      <c r="I620" s="799"/>
      <c r="J620" s="799"/>
      <c r="K620" s="799"/>
      <c r="L620" s="799"/>
      <c r="M620" s="799"/>
      <c r="N620" s="799"/>
      <c r="O620" s="799"/>
      <c r="P620" s="799"/>
      <c r="Q620" s="799"/>
      <c r="R620" s="799"/>
      <c r="S620" s="799"/>
      <c r="T620" s="799"/>
      <c r="U620" s="799"/>
      <c r="V620" s="799"/>
      <c r="W620" s="799"/>
      <c r="X620" s="799"/>
      <c r="Y620" s="799"/>
      <c r="Z620" s="799"/>
      <c r="AA620" s="799"/>
      <c r="AB620" s="799"/>
      <c r="AC620" s="799"/>
      <c r="AD620" s="799"/>
      <c r="AE620" s="799"/>
      <c r="AF620" s="799"/>
      <c r="AG620" s="799"/>
      <c r="AH620" s="799"/>
      <c r="AI620" s="799"/>
      <c r="AJ620" s="799"/>
      <c r="AK620" s="799"/>
      <c r="AL620" s="799"/>
      <c r="AM620" s="799"/>
      <c r="AN620" s="799"/>
      <c r="AO620" s="799"/>
      <c r="AP620" s="799"/>
      <c r="AQ620" s="799"/>
      <c r="AR620" s="799"/>
      <c r="AS620" s="799"/>
      <c r="AT620" s="799"/>
      <c r="AU620" s="799"/>
      <c r="AV620" s="799"/>
      <c r="AW620" s="799"/>
      <c r="AX620" s="799"/>
      <c r="AY620" s="799"/>
      <c r="AZ620" s="799"/>
      <c r="BA620" s="799"/>
      <c r="BB620" s="799"/>
      <c r="BC620" s="799"/>
      <c r="BD620" s="799"/>
      <c r="BE620" s="799"/>
      <c r="BF620" s="799"/>
      <c r="BG620" s="799"/>
    </row>
    <row r="621">
      <c r="H621" s="799"/>
      <c r="I621" s="799"/>
      <c r="J621" s="799"/>
      <c r="K621" s="799"/>
      <c r="L621" s="799"/>
      <c r="M621" s="799"/>
      <c r="N621" s="799"/>
      <c r="O621" s="799"/>
      <c r="P621" s="799"/>
      <c r="Q621" s="799"/>
      <c r="R621" s="799"/>
      <c r="S621" s="799"/>
      <c r="T621" s="799"/>
      <c r="U621" s="799"/>
      <c r="V621" s="799"/>
      <c r="W621" s="799"/>
      <c r="X621" s="799"/>
      <c r="Y621" s="799"/>
      <c r="Z621" s="799"/>
      <c r="AA621" s="799"/>
      <c r="AB621" s="799"/>
      <c r="AC621" s="799"/>
      <c r="AD621" s="799"/>
      <c r="AE621" s="799"/>
      <c r="AF621" s="799"/>
      <c r="AG621" s="799"/>
      <c r="AH621" s="799"/>
      <c r="AI621" s="799"/>
      <c r="AJ621" s="799"/>
      <c r="AK621" s="799"/>
      <c r="AL621" s="799"/>
      <c r="AM621" s="799"/>
      <c r="AN621" s="799"/>
      <c r="AO621" s="799"/>
      <c r="AP621" s="799"/>
      <c r="AQ621" s="799"/>
      <c r="AR621" s="799"/>
      <c r="AS621" s="799"/>
      <c r="AT621" s="799"/>
      <c r="AU621" s="799"/>
      <c r="AV621" s="799"/>
      <c r="AW621" s="799"/>
      <c r="AX621" s="799"/>
      <c r="AY621" s="799"/>
      <c r="AZ621" s="799"/>
      <c r="BA621" s="799"/>
      <c r="BB621" s="799"/>
      <c r="BC621" s="799"/>
      <c r="BD621" s="799"/>
      <c r="BE621" s="799"/>
      <c r="BF621" s="799"/>
      <c r="BG621" s="799"/>
    </row>
    <row r="622">
      <c r="H622" s="799"/>
      <c r="I622" s="799"/>
      <c r="J622" s="799"/>
      <c r="K622" s="799"/>
      <c r="L622" s="799"/>
      <c r="M622" s="799"/>
      <c r="N622" s="799"/>
      <c r="O622" s="799"/>
      <c r="P622" s="799"/>
      <c r="Q622" s="799"/>
      <c r="R622" s="799"/>
      <c r="S622" s="799"/>
      <c r="T622" s="799"/>
      <c r="U622" s="799"/>
      <c r="V622" s="799"/>
      <c r="W622" s="799"/>
      <c r="X622" s="799"/>
      <c r="Y622" s="799"/>
      <c r="Z622" s="799"/>
      <c r="AA622" s="799"/>
      <c r="AB622" s="799"/>
      <c r="AC622" s="799"/>
      <c r="AD622" s="799"/>
      <c r="AE622" s="799"/>
      <c r="AF622" s="799"/>
      <c r="AG622" s="799"/>
      <c r="AH622" s="799"/>
      <c r="AI622" s="799"/>
      <c r="AJ622" s="799"/>
      <c r="AK622" s="799"/>
      <c r="AL622" s="799"/>
      <c r="AM622" s="799"/>
      <c r="AN622" s="799"/>
      <c r="AO622" s="799"/>
      <c r="AP622" s="799"/>
      <c r="AQ622" s="799"/>
      <c r="AR622" s="799"/>
      <c r="AS622" s="799"/>
      <c r="AT622" s="799"/>
      <c r="AU622" s="799"/>
      <c r="AV622" s="799"/>
      <c r="AW622" s="799"/>
      <c r="AX622" s="799"/>
      <c r="AY622" s="799"/>
      <c r="AZ622" s="799"/>
      <c r="BA622" s="799"/>
      <c r="BB622" s="799"/>
      <c r="BC622" s="799"/>
      <c r="BD622" s="799"/>
      <c r="BE622" s="799"/>
      <c r="BF622" s="799"/>
      <c r="BG622" s="799"/>
    </row>
    <row r="623">
      <c r="H623" s="799"/>
      <c r="I623" s="799"/>
      <c r="J623" s="799"/>
      <c r="K623" s="799"/>
      <c r="L623" s="799"/>
      <c r="M623" s="799"/>
      <c r="N623" s="799"/>
      <c r="O623" s="799"/>
      <c r="P623" s="799"/>
      <c r="Q623" s="799"/>
      <c r="R623" s="799"/>
      <c r="S623" s="799"/>
      <c r="T623" s="799"/>
      <c r="U623" s="799"/>
      <c r="V623" s="799"/>
      <c r="W623" s="799"/>
      <c r="X623" s="799"/>
      <c r="Y623" s="799"/>
      <c r="Z623" s="799"/>
      <c r="AA623" s="799"/>
      <c r="AB623" s="799"/>
      <c r="AC623" s="799"/>
      <c r="AD623" s="799"/>
      <c r="AE623" s="799"/>
      <c r="AF623" s="799"/>
      <c r="AG623" s="799"/>
      <c r="AH623" s="799"/>
      <c r="AI623" s="799"/>
      <c r="AJ623" s="799"/>
      <c r="AK623" s="799"/>
      <c r="AL623" s="799"/>
      <c r="AM623" s="799"/>
      <c r="AN623" s="799"/>
      <c r="AO623" s="799"/>
      <c r="AP623" s="799"/>
      <c r="AQ623" s="799"/>
      <c r="AR623" s="799"/>
      <c r="AS623" s="799"/>
      <c r="AT623" s="799"/>
      <c r="AU623" s="799"/>
      <c r="AV623" s="799"/>
      <c r="AW623" s="799"/>
      <c r="AX623" s="799"/>
      <c r="AY623" s="799"/>
      <c r="AZ623" s="799"/>
      <c r="BA623" s="799"/>
      <c r="BB623" s="799"/>
      <c r="BC623" s="799"/>
      <c r="BD623" s="799"/>
      <c r="BE623" s="799"/>
      <c r="BF623" s="799"/>
      <c r="BG623" s="799"/>
    </row>
    <row r="624">
      <c r="H624" s="799"/>
      <c r="I624" s="799"/>
      <c r="J624" s="799"/>
      <c r="K624" s="799"/>
      <c r="L624" s="799"/>
      <c r="M624" s="799"/>
      <c r="N624" s="799"/>
      <c r="O624" s="799"/>
      <c r="P624" s="799"/>
      <c r="Q624" s="799"/>
      <c r="R624" s="799"/>
      <c r="S624" s="799"/>
      <c r="T624" s="799"/>
      <c r="U624" s="799"/>
      <c r="V624" s="799"/>
      <c r="W624" s="799"/>
      <c r="X624" s="799"/>
      <c r="Y624" s="799"/>
      <c r="Z624" s="799"/>
      <c r="AA624" s="799"/>
      <c r="AB624" s="799"/>
      <c r="AC624" s="799"/>
      <c r="AD624" s="799"/>
      <c r="AE624" s="799"/>
      <c r="AF624" s="799"/>
      <c r="AG624" s="799"/>
      <c r="AH624" s="799"/>
      <c r="AI624" s="799"/>
      <c r="AJ624" s="799"/>
      <c r="AK624" s="799"/>
      <c r="AL624" s="799"/>
      <c r="AM624" s="799"/>
      <c r="AN624" s="799"/>
      <c r="AO624" s="799"/>
      <c r="AP624" s="799"/>
      <c r="AQ624" s="799"/>
      <c r="AR624" s="799"/>
      <c r="AS624" s="799"/>
      <c r="AT624" s="799"/>
      <c r="AU624" s="799"/>
      <c r="AV624" s="799"/>
      <c r="AW624" s="799"/>
      <c r="AX624" s="799"/>
      <c r="AY624" s="799"/>
      <c r="AZ624" s="799"/>
      <c r="BA624" s="799"/>
      <c r="BB624" s="799"/>
      <c r="BC624" s="799"/>
      <c r="BD624" s="799"/>
      <c r="BE624" s="799"/>
      <c r="BF624" s="799"/>
      <c r="BG624" s="799"/>
    </row>
    <row r="625">
      <c r="H625" s="799"/>
      <c r="I625" s="799"/>
      <c r="J625" s="799"/>
      <c r="K625" s="799"/>
      <c r="L625" s="799"/>
      <c r="M625" s="799"/>
      <c r="N625" s="799"/>
      <c r="O625" s="799"/>
      <c r="P625" s="799"/>
      <c r="Q625" s="799"/>
      <c r="R625" s="799"/>
      <c r="S625" s="799"/>
      <c r="T625" s="799"/>
      <c r="U625" s="799"/>
      <c r="V625" s="799"/>
      <c r="W625" s="799"/>
      <c r="X625" s="799"/>
      <c r="Y625" s="799"/>
      <c r="Z625" s="799"/>
      <c r="AA625" s="799"/>
      <c r="AB625" s="799"/>
      <c r="AC625" s="799"/>
      <c r="AD625" s="799"/>
      <c r="AE625" s="799"/>
      <c r="AF625" s="799"/>
      <c r="AG625" s="799"/>
      <c r="AH625" s="799"/>
      <c r="AI625" s="799"/>
      <c r="AJ625" s="799"/>
      <c r="AK625" s="799"/>
      <c r="AL625" s="799"/>
      <c r="AM625" s="799"/>
      <c r="AN625" s="799"/>
      <c r="AO625" s="799"/>
      <c r="AP625" s="799"/>
      <c r="AQ625" s="799"/>
      <c r="AR625" s="799"/>
      <c r="AS625" s="799"/>
      <c r="AT625" s="799"/>
      <c r="AU625" s="799"/>
      <c r="AV625" s="799"/>
      <c r="AW625" s="799"/>
      <c r="AX625" s="799"/>
      <c r="AY625" s="799"/>
      <c r="AZ625" s="799"/>
      <c r="BA625" s="799"/>
      <c r="BB625" s="799"/>
      <c r="BC625" s="799"/>
      <c r="BD625" s="799"/>
      <c r="BE625" s="799"/>
      <c r="BF625" s="799"/>
      <c r="BG625" s="799"/>
    </row>
    <row r="626">
      <c r="H626" s="799"/>
      <c r="I626" s="799"/>
      <c r="J626" s="799"/>
      <c r="K626" s="799"/>
      <c r="L626" s="799"/>
      <c r="M626" s="799"/>
      <c r="N626" s="799"/>
      <c r="O626" s="799"/>
      <c r="P626" s="799"/>
      <c r="Q626" s="799"/>
      <c r="R626" s="799"/>
      <c r="S626" s="799"/>
      <c r="T626" s="799"/>
      <c r="U626" s="799"/>
      <c r="V626" s="799"/>
      <c r="W626" s="799"/>
      <c r="X626" s="799"/>
      <c r="Y626" s="799"/>
      <c r="Z626" s="799"/>
      <c r="AA626" s="799"/>
      <c r="AB626" s="799"/>
      <c r="AC626" s="799"/>
      <c r="AD626" s="799"/>
      <c r="AE626" s="799"/>
      <c r="AF626" s="799"/>
      <c r="AG626" s="799"/>
      <c r="AH626" s="799"/>
      <c r="AI626" s="799"/>
      <c r="AJ626" s="799"/>
      <c r="AK626" s="799"/>
      <c r="AL626" s="799"/>
      <c r="AM626" s="799"/>
      <c r="AN626" s="799"/>
      <c r="AO626" s="799"/>
      <c r="AP626" s="799"/>
      <c r="AQ626" s="799"/>
      <c r="AR626" s="799"/>
      <c r="AS626" s="799"/>
      <c r="AT626" s="799"/>
      <c r="AU626" s="799"/>
      <c r="AV626" s="799"/>
      <c r="AW626" s="799"/>
      <c r="AX626" s="799"/>
      <c r="AY626" s="799"/>
      <c r="AZ626" s="799"/>
      <c r="BA626" s="799"/>
      <c r="BB626" s="799"/>
      <c r="BC626" s="799"/>
      <c r="BD626" s="799"/>
      <c r="BE626" s="799"/>
      <c r="BF626" s="799"/>
      <c r="BG626" s="799"/>
    </row>
    <row r="627">
      <c r="H627" s="799"/>
      <c r="I627" s="799"/>
      <c r="J627" s="799"/>
      <c r="K627" s="799"/>
      <c r="L627" s="799"/>
      <c r="M627" s="799"/>
      <c r="N627" s="799"/>
      <c r="O627" s="799"/>
      <c r="P627" s="799"/>
      <c r="Q627" s="799"/>
      <c r="R627" s="799"/>
      <c r="S627" s="799"/>
      <c r="T627" s="799"/>
      <c r="U627" s="799"/>
      <c r="V627" s="799"/>
      <c r="W627" s="799"/>
      <c r="X627" s="799"/>
      <c r="Y627" s="799"/>
      <c r="Z627" s="799"/>
      <c r="AA627" s="799"/>
      <c r="AB627" s="799"/>
      <c r="AC627" s="799"/>
      <c r="AD627" s="799"/>
      <c r="AE627" s="799"/>
      <c r="AF627" s="799"/>
      <c r="AG627" s="799"/>
      <c r="AH627" s="799"/>
      <c r="AI627" s="799"/>
      <c r="AJ627" s="799"/>
      <c r="AK627" s="799"/>
      <c r="AL627" s="799"/>
      <c r="AM627" s="799"/>
      <c r="AN627" s="799"/>
      <c r="AO627" s="799"/>
      <c r="AP627" s="799"/>
      <c r="AQ627" s="799"/>
      <c r="AR627" s="799"/>
      <c r="AS627" s="799"/>
      <c r="AT627" s="799"/>
      <c r="AU627" s="799"/>
      <c r="AV627" s="799"/>
      <c r="AW627" s="799"/>
      <c r="AX627" s="799"/>
      <c r="AY627" s="799"/>
      <c r="AZ627" s="799"/>
      <c r="BA627" s="799"/>
      <c r="BB627" s="799"/>
      <c r="BC627" s="799"/>
      <c r="BD627" s="799"/>
      <c r="BE627" s="799"/>
      <c r="BF627" s="799"/>
      <c r="BG627" s="799"/>
    </row>
    <row r="628">
      <c r="H628" s="799"/>
      <c r="I628" s="799"/>
      <c r="J628" s="799"/>
      <c r="K628" s="799"/>
      <c r="L628" s="799"/>
      <c r="M628" s="799"/>
      <c r="N628" s="799"/>
      <c r="O628" s="799"/>
      <c r="P628" s="799"/>
      <c r="Q628" s="799"/>
      <c r="R628" s="799"/>
      <c r="S628" s="799"/>
      <c r="T628" s="799"/>
      <c r="U628" s="799"/>
      <c r="V628" s="799"/>
      <c r="W628" s="799"/>
      <c r="X628" s="799"/>
      <c r="Y628" s="799"/>
      <c r="Z628" s="799"/>
      <c r="AA628" s="799"/>
      <c r="AB628" s="799"/>
      <c r="AC628" s="799"/>
      <c r="AD628" s="799"/>
      <c r="AE628" s="799"/>
      <c r="AF628" s="799"/>
      <c r="AG628" s="799"/>
      <c r="AH628" s="799"/>
      <c r="AI628" s="799"/>
      <c r="AJ628" s="799"/>
      <c r="AK628" s="799"/>
      <c r="AL628" s="799"/>
      <c r="AM628" s="799"/>
      <c r="AN628" s="799"/>
      <c r="AO628" s="799"/>
      <c r="AP628" s="799"/>
      <c r="AQ628" s="799"/>
      <c r="AR628" s="799"/>
      <c r="AS628" s="799"/>
      <c r="AT628" s="799"/>
      <c r="AU628" s="799"/>
      <c r="AV628" s="799"/>
      <c r="AW628" s="799"/>
      <c r="AX628" s="799"/>
      <c r="AY628" s="799"/>
      <c r="AZ628" s="799"/>
      <c r="BA628" s="799"/>
      <c r="BB628" s="799"/>
      <c r="BC628" s="799"/>
      <c r="BD628" s="799"/>
      <c r="BE628" s="799"/>
      <c r="BF628" s="799"/>
      <c r="BG628" s="799"/>
    </row>
    <row r="629">
      <c r="H629" s="799"/>
      <c r="I629" s="799"/>
      <c r="J629" s="799"/>
      <c r="K629" s="799"/>
      <c r="L629" s="799"/>
      <c r="M629" s="799"/>
      <c r="N629" s="799"/>
      <c r="O629" s="799"/>
      <c r="P629" s="799"/>
      <c r="Q629" s="799"/>
      <c r="R629" s="799"/>
      <c r="S629" s="799"/>
      <c r="T629" s="799"/>
      <c r="U629" s="799"/>
      <c r="V629" s="799"/>
      <c r="W629" s="799"/>
      <c r="X629" s="799"/>
      <c r="Y629" s="799"/>
      <c r="Z629" s="799"/>
      <c r="AA629" s="799"/>
      <c r="AB629" s="799"/>
      <c r="AC629" s="799"/>
      <c r="AD629" s="799"/>
      <c r="AE629" s="799"/>
      <c r="AF629" s="799"/>
      <c r="AG629" s="799"/>
      <c r="AH629" s="799"/>
      <c r="AI629" s="799"/>
      <c r="AJ629" s="799"/>
      <c r="AK629" s="799"/>
      <c r="AL629" s="799"/>
      <c r="AM629" s="799"/>
      <c r="AN629" s="799"/>
      <c r="AO629" s="799"/>
      <c r="AP629" s="799"/>
      <c r="AQ629" s="799"/>
      <c r="AR629" s="799"/>
      <c r="AS629" s="799"/>
      <c r="AT629" s="799"/>
      <c r="AU629" s="799"/>
      <c r="AV629" s="799"/>
      <c r="AW629" s="799"/>
      <c r="AX629" s="799"/>
      <c r="AY629" s="799"/>
      <c r="AZ629" s="799"/>
      <c r="BA629" s="799"/>
      <c r="BB629" s="799"/>
      <c r="BC629" s="799"/>
      <c r="BD629" s="799"/>
      <c r="BE629" s="799"/>
      <c r="BF629" s="799"/>
      <c r="BG629" s="799"/>
    </row>
    <row r="630">
      <c r="H630" s="799"/>
      <c r="I630" s="799"/>
      <c r="J630" s="799"/>
      <c r="K630" s="799"/>
      <c r="L630" s="799"/>
      <c r="M630" s="799"/>
      <c r="N630" s="799"/>
      <c r="O630" s="799"/>
      <c r="P630" s="799"/>
      <c r="Q630" s="799"/>
      <c r="R630" s="799"/>
      <c r="S630" s="799"/>
      <c r="T630" s="799"/>
      <c r="U630" s="799"/>
      <c r="V630" s="799"/>
      <c r="W630" s="799"/>
      <c r="X630" s="799"/>
      <c r="Y630" s="799"/>
      <c r="Z630" s="799"/>
      <c r="AA630" s="799"/>
      <c r="AB630" s="799"/>
      <c r="AC630" s="799"/>
      <c r="AD630" s="799"/>
      <c r="AE630" s="799"/>
      <c r="AF630" s="799"/>
      <c r="AG630" s="799"/>
      <c r="AH630" s="799"/>
      <c r="AI630" s="799"/>
      <c r="AJ630" s="799"/>
      <c r="AK630" s="799"/>
      <c r="AL630" s="799"/>
      <c r="AM630" s="799"/>
      <c r="AN630" s="799"/>
      <c r="AO630" s="799"/>
      <c r="AP630" s="799"/>
      <c r="AQ630" s="799"/>
      <c r="AR630" s="799"/>
      <c r="AS630" s="799"/>
      <c r="AT630" s="799"/>
      <c r="AU630" s="799"/>
      <c r="AV630" s="799"/>
      <c r="AW630" s="799"/>
      <c r="AX630" s="799"/>
      <c r="AY630" s="799"/>
      <c r="AZ630" s="799"/>
      <c r="BA630" s="799"/>
      <c r="BB630" s="799"/>
      <c r="BC630" s="799"/>
      <c r="BD630" s="799"/>
      <c r="BE630" s="799"/>
      <c r="BF630" s="799"/>
      <c r="BG630" s="799"/>
    </row>
    <row r="631">
      <c r="H631" s="799"/>
      <c r="I631" s="799"/>
      <c r="J631" s="799"/>
      <c r="K631" s="799"/>
      <c r="L631" s="799"/>
      <c r="M631" s="799"/>
      <c r="N631" s="799"/>
      <c r="O631" s="799"/>
      <c r="P631" s="799"/>
      <c r="Q631" s="799"/>
      <c r="R631" s="799"/>
      <c r="S631" s="799"/>
      <c r="T631" s="799"/>
      <c r="U631" s="799"/>
      <c r="V631" s="799"/>
      <c r="W631" s="799"/>
      <c r="X631" s="799"/>
      <c r="Y631" s="799"/>
      <c r="Z631" s="799"/>
      <c r="AA631" s="799"/>
      <c r="AB631" s="799"/>
      <c r="AC631" s="799"/>
      <c r="AD631" s="799"/>
      <c r="AE631" s="799"/>
      <c r="AF631" s="799"/>
      <c r="AG631" s="799"/>
      <c r="AH631" s="799"/>
      <c r="AI631" s="799"/>
      <c r="AJ631" s="799"/>
      <c r="AK631" s="799"/>
      <c r="AL631" s="799"/>
      <c r="AM631" s="799"/>
      <c r="AN631" s="799"/>
      <c r="AO631" s="799"/>
      <c r="AP631" s="799"/>
      <c r="AQ631" s="799"/>
      <c r="AR631" s="799"/>
      <c r="AS631" s="799"/>
      <c r="AT631" s="799"/>
      <c r="AU631" s="799"/>
      <c r="AV631" s="799"/>
      <c r="AW631" s="799"/>
      <c r="AX631" s="799"/>
      <c r="AY631" s="799"/>
      <c r="AZ631" s="799"/>
      <c r="BA631" s="799"/>
      <c r="BB631" s="799"/>
      <c r="BC631" s="799"/>
      <c r="BD631" s="799"/>
      <c r="BE631" s="799"/>
      <c r="BF631" s="799"/>
      <c r="BG631" s="799"/>
    </row>
    <row r="632">
      <c r="H632" s="799"/>
      <c r="I632" s="799"/>
      <c r="J632" s="799"/>
      <c r="K632" s="799"/>
      <c r="L632" s="799"/>
      <c r="M632" s="799"/>
      <c r="N632" s="799"/>
      <c r="O632" s="799"/>
      <c r="P632" s="799"/>
      <c r="Q632" s="799"/>
      <c r="R632" s="799"/>
      <c r="S632" s="799"/>
      <c r="T632" s="799"/>
      <c r="U632" s="799"/>
      <c r="V632" s="799"/>
      <c r="W632" s="799"/>
      <c r="X632" s="799"/>
      <c r="Y632" s="799"/>
      <c r="Z632" s="799"/>
      <c r="AA632" s="799"/>
      <c r="AB632" s="799"/>
      <c r="AC632" s="799"/>
      <c r="AD632" s="799"/>
      <c r="AE632" s="799"/>
      <c r="AF632" s="799"/>
      <c r="AG632" s="799"/>
      <c r="AH632" s="799"/>
      <c r="AI632" s="799"/>
      <c r="AJ632" s="799"/>
      <c r="AK632" s="799"/>
      <c r="AL632" s="799"/>
      <c r="AM632" s="799"/>
      <c r="AN632" s="799"/>
      <c r="AO632" s="799"/>
      <c r="AP632" s="799"/>
      <c r="AQ632" s="799"/>
      <c r="AR632" s="799"/>
      <c r="AS632" s="799"/>
      <c r="AT632" s="799"/>
      <c r="AU632" s="799"/>
      <c r="AV632" s="799"/>
      <c r="AW632" s="799"/>
      <c r="AX632" s="799"/>
      <c r="AY632" s="799"/>
      <c r="AZ632" s="799"/>
      <c r="BA632" s="799"/>
      <c r="BB632" s="799"/>
      <c r="BC632" s="799"/>
      <c r="BD632" s="799"/>
      <c r="BE632" s="799"/>
      <c r="BF632" s="799"/>
      <c r="BG632" s="799"/>
    </row>
    <row r="633">
      <c r="H633" s="799"/>
      <c r="I633" s="799"/>
      <c r="J633" s="799"/>
      <c r="K633" s="799"/>
      <c r="L633" s="799"/>
      <c r="M633" s="799"/>
      <c r="N633" s="799"/>
      <c r="O633" s="799"/>
      <c r="P633" s="799"/>
      <c r="Q633" s="799"/>
      <c r="R633" s="799"/>
      <c r="S633" s="799"/>
      <c r="T633" s="799"/>
      <c r="U633" s="799"/>
      <c r="V633" s="799"/>
      <c r="W633" s="799"/>
      <c r="X633" s="799"/>
      <c r="Y633" s="799"/>
      <c r="Z633" s="799"/>
      <c r="AA633" s="799"/>
      <c r="AB633" s="799"/>
      <c r="AC633" s="799"/>
      <c r="AD633" s="799"/>
      <c r="AE633" s="799"/>
      <c r="AF633" s="799"/>
      <c r="AG633" s="799"/>
      <c r="AH633" s="799"/>
      <c r="AI633" s="799"/>
      <c r="AJ633" s="799"/>
      <c r="AK633" s="799"/>
      <c r="AL633" s="799"/>
      <c r="AM633" s="799"/>
      <c r="AN633" s="799"/>
      <c r="AO633" s="799"/>
      <c r="AP633" s="799"/>
      <c r="AQ633" s="799"/>
      <c r="AR633" s="799"/>
      <c r="AS633" s="799"/>
      <c r="AT633" s="799"/>
      <c r="AU633" s="799"/>
      <c r="AV633" s="799"/>
      <c r="AW633" s="799"/>
      <c r="AX633" s="799"/>
      <c r="AY633" s="799"/>
      <c r="AZ633" s="799"/>
      <c r="BA633" s="799"/>
      <c r="BB633" s="799"/>
      <c r="BC633" s="799"/>
      <c r="BD633" s="799"/>
      <c r="BE633" s="799"/>
      <c r="BF633" s="799"/>
      <c r="BG633" s="799"/>
    </row>
    <row r="634">
      <c r="H634" s="799"/>
      <c r="I634" s="799"/>
      <c r="J634" s="799"/>
      <c r="K634" s="799"/>
      <c r="L634" s="799"/>
      <c r="M634" s="799"/>
      <c r="N634" s="799"/>
      <c r="O634" s="799"/>
      <c r="P634" s="799"/>
      <c r="Q634" s="799"/>
      <c r="R634" s="799"/>
      <c r="S634" s="799"/>
      <c r="T634" s="799"/>
      <c r="U634" s="799"/>
      <c r="V634" s="799"/>
      <c r="W634" s="799"/>
      <c r="X634" s="799"/>
      <c r="Y634" s="799"/>
      <c r="Z634" s="799"/>
      <c r="AA634" s="799"/>
      <c r="AB634" s="799"/>
      <c r="AC634" s="799"/>
      <c r="AD634" s="799"/>
      <c r="AE634" s="799"/>
      <c r="AF634" s="799"/>
      <c r="AG634" s="799"/>
      <c r="AH634" s="799"/>
      <c r="AI634" s="799"/>
      <c r="AJ634" s="799"/>
      <c r="AK634" s="799"/>
      <c r="AL634" s="799"/>
      <c r="AM634" s="799"/>
      <c r="AN634" s="799"/>
      <c r="AO634" s="799"/>
      <c r="AP634" s="799"/>
      <c r="AQ634" s="799"/>
      <c r="AR634" s="799"/>
      <c r="AS634" s="799"/>
      <c r="AT634" s="799"/>
      <c r="AU634" s="799"/>
      <c r="AV634" s="799"/>
      <c r="AW634" s="799"/>
      <c r="AX634" s="799"/>
      <c r="AY634" s="799"/>
      <c r="AZ634" s="799"/>
      <c r="BA634" s="799"/>
      <c r="BB634" s="799"/>
      <c r="BC634" s="799"/>
      <c r="BD634" s="799"/>
      <c r="BE634" s="799"/>
      <c r="BF634" s="799"/>
      <c r="BG634" s="799"/>
    </row>
    <row r="635">
      <c r="H635" s="799"/>
      <c r="I635" s="799"/>
      <c r="J635" s="799"/>
      <c r="K635" s="799"/>
      <c r="L635" s="799"/>
      <c r="M635" s="799"/>
      <c r="N635" s="799"/>
      <c r="O635" s="799"/>
      <c r="P635" s="799"/>
      <c r="Q635" s="799"/>
      <c r="R635" s="799"/>
      <c r="S635" s="799"/>
      <c r="T635" s="799"/>
      <c r="U635" s="799"/>
      <c r="V635" s="799"/>
      <c r="W635" s="799"/>
      <c r="X635" s="799"/>
      <c r="Y635" s="799"/>
      <c r="Z635" s="799"/>
      <c r="AA635" s="799"/>
      <c r="AB635" s="799"/>
      <c r="AC635" s="799"/>
      <c r="AD635" s="799"/>
      <c r="AE635" s="799"/>
      <c r="AF635" s="799"/>
      <c r="AG635" s="799"/>
      <c r="AH635" s="799"/>
      <c r="AI635" s="799"/>
      <c r="AJ635" s="799"/>
      <c r="AK635" s="799"/>
      <c r="AL635" s="799"/>
      <c r="AM635" s="799"/>
      <c r="AN635" s="799"/>
      <c r="AO635" s="799"/>
      <c r="AP635" s="799"/>
      <c r="AQ635" s="799"/>
      <c r="AR635" s="799"/>
      <c r="AS635" s="799"/>
      <c r="AT635" s="799"/>
      <c r="AU635" s="799"/>
      <c r="AV635" s="799"/>
      <c r="AW635" s="799"/>
      <c r="AX635" s="799"/>
      <c r="AY635" s="799"/>
      <c r="AZ635" s="799"/>
      <c r="BA635" s="799"/>
      <c r="BB635" s="799"/>
      <c r="BC635" s="799"/>
      <c r="BD635" s="799"/>
      <c r="BE635" s="799"/>
      <c r="BF635" s="799"/>
      <c r="BG635" s="799"/>
    </row>
    <row r="636">
      <c r="H636" s="799"/>
      <c r="I636" s="799"/>
      <c r="J636" s="799"/>
      <c r="K636" s="799"/>
      <c r="L636" s="799"/>
      <c r="M636" s="799"/>
      <c r="N636" s="799"/>
      <c r="O636" s="799"/>
      <c r="P636" s="799"/>
      <c r="Q636" s="799"/>
      <c r="R636" s="799"/>
      <c r="S636" s="799"/>
      <c r="T636" s="799"/>
      <c r="U636" s="799"/>
      <c r="V636" s="799"/>
      <c r="W636" s="799"/>
      <c r="X636" s="799"/>
      <c r="Y636" s="799"/>
      <c r="Z636" s="799"/>
      <c r="AA636" s="799"/>
      <c r="AB636" s="799"/>
      <c r="AC636" s="799"/>
      <c r="AD636" s="799"/>
      <c r="AE636" s="799"/>
      <c r="AF636" s="799"/>
      <c r="AG636" s="799"/>
      <c r="AH636" s="799"/>
      <c r="AI636" s="799"/>
      <c r="AJ636" s="799"/>
      <c r="AK636" s="799"/>
      <c r="AL636" s="799"/>
      <c r="AM636" s="799"/>
      <c r="AN636" s="799"/>
      <c r="AO636" s="799"/>
      <c r="AP636" s="799"/>
      <c r="AQ636" s="799"/>
      <c r="AR636" s="799"/>
      <c r="AS636" s="799"/>
      <c r="AT636" s="799"/>
      <c r="AU636" s="799"/>
      <c r="AV636" s="799"/>
      <c r="AW636" s="799"/>
      <c r="AX636" s="799"/>
      <c r="AY636" s="799"/>
      <c r="AZ636" s="799"/>
      <c r="BA636" s="799"/>
      <c r="BB636" s="799"/>
      <c r="BC636" s="799"/>
      <c r="BD636" s="799"/>
      <c r="BE636" s="799"/>
      <c r="BF636" s="799"/>
      <c r="BG636" s="799"/>
    </row>
    <row r="637">
      <c r="H637" s="799"/>
      <c r="I637" s="799"/>
      <c r="J637" s="799"/>
      <c r="K637" s="799"/>
      <c r="L637" s="799"/>
      <c r="M637" s="799"/>
      <c r="N637" s="799"/>
      <c r="O637" s="799"/>
      <c r="P637" s="799"/>
      <c r="Q637" s="799"/>
      <c r="R637" s="799"/>
      <c r="S637" s="799"/>
      <c r="T637" s="799"/>
      <c r="U637" s="799"/>
      <c r="V637" s="799"/>
      <c r="W637" s="799"/>
      <c r="X637" s="799"/>
      <c r="Y637" s="799"/>
      <c r="Z637" s="799"/>
      <c r="AA637" s="799"/>
      <c r="AB637" s="799"/>
      <c r="AC637" s="799"/>
      <c r="AD637" s="799"/>
      <c r="AE637" s="799"/>
      <c r="AF637" s="799"/>
      <c r="AG637" s="799"/>
      <c r="AH637" s="799"/>
      <c r="AI637" s="799"/>
      <c r="AJ637" s="799"/>
      <c r="AK637" s="799"/>
      <c r="AL637" s="799"/>
      <c r="AM637" s="799"/>
      <c r="AN637" s="799"/>
      <c r="AO637" s="799"/>
      <c r="AP637" s="799"/>
      <c r="AQ637" s="799"/>
      <c r="AR637" s="799"/>
      <c r="AS637" s="799"/>
      <c r="AT637" s="799"/>
      <c r="AU637" s="799"/>
      <c r="AV637" s="799"/>
      <c r="AW637" s="799"/>
      <c r="AX637" s="799"/>
      <c r="AY637" s="799"/>
      <c r="AZ637" s="799"/>
      <c r="BA637" s="799"/>
      <c r="BB637" s="799"/>
      <c r="BC637" s="799"/>
      <c r="BD637" s="799"/>
      <c r="BE637" s="799"/>
      <c r="BF637" s="799"/>
      <c r="BG637" s="799"/>
    </row>
    <row r="638">
      <c r="H638" s="799"/>
      <c r="I638" s="799"/>
      <c r="J638" s="799"/>
      <c r="K638" s="799"/>
      <c r="L638" s="799"/>
      <c r="M638" s="799"/>
      <c r="N638" s="799"/>
      <c r="O638" s="799"/>
      <c r="P638" s="799"/>
      <c r="Q638" s="799"/>
      <c r="R638" s="799"/>
      <c r="S638" s="799"/>
      <c r="T638" s="799"/>
      <c r="U638" s="799"/>
      <c r="V638" s="799"/>
      <c r="W638" s="799"/>
      <c r="X638" s="799"/>
      <c r="Y638" s="799"/>
      <c r="Z638" s="799"/>
      <c r="AA638" s="799"/>
      <c r="AB638" s="799"/>
      <c r="AC638" s="799"/>
      <c r="AD638" s="799"/>
      <c r="AE638" s="799"/>
      <c r="AF638" s="799"/>
      <c r="AG638" s="799"/>
      <c r="AH638" s="799"/>
      <c r="AI638" s="799"/>
      <c r="AJ638" s="799"/>
      <c r="AK638" s="799"/>
      <c r="AL638" s="799"/>
      <c r="AM638" s="799"/>
      <c r="AN638" s="799"/>
      <c r="AO638" s="799"/>
      <c r="AP638" s="799"/>
      <c r="AQ638" s="799"/>
      <c r="AR638" s="799"/>
      <c r="AS638" s="799"/>
      <c r="AT638" s="799"/>
      <c r="AU638" s="799"/>
      <c r="AV638" s="799"/>
      <c r="AW638" s="799"/>
      <c r="AX638" s="799"/>
      <c r="AY638" s="799"/>
      <c r="AZ638" s="799"/>
      <c r="BA638" s="799"/>
      <c r="BB638" s="799"/>
      <c r="BC638" s="799"/>
      <c r="BD638" s="799"/>
      <c r="BE638" s="799"/>
      <c r="BF638" s="799"/>
      <c r="BG638" s="799"/>
    </row>
    <row r="639">
      <c r="H639" s="799"/>
      <c r="I639" s="799"/>
      <c r="J639" s="799"/>
      <c r="K639" s="799"/>
      <c r="L639" s="799"/>
      <c r="M639" s="799"/>
      <c r="N639" s="799"/>
      <c r="O639" s="799"/>
      <c r="P639" s="799"/>
      <c r="Q639" s="799"/>
      <c r="R639" s="799"/>
      <c r="S639" s="799"/>
      <c r="T639" s="799"/>
      <c r="U639" s="799"/>
      <c r="V639" s="799"/>
      <c r="W639" s="799"/>
      <c r="X639" s="799"/>
      <c r="Y639" s="799"/>
      <c r="Z639" s="799"/>
      <c r="AA639" s="799"/>
      <c r="AB639" s="799"/>
      <c r="AC639" s="799"/>
      <c r="AD639" s="799"/>
      <c r="AE639" s="799"/>
      <c r="AF639" s="799"/>
      <c r="AG639" s="799"/>
      <c r="AH639" s="799"/>
      <c r="AI639" s="799"/>
      <c r="AJ639" s="799"/>
      <c r="AK639" s="799"/>
      <c r="AL639" s="799"/>
      <c r="AM639" s="799"/>
      <c r="AN639" s="799"/>
      <c r="AO639" s="799"/>
      <c r="AP639" s="799"/>
      <c r="AQ639" s="799"/>
      <c r="AR639" s="799"/>
      <c r="AS639" s="799"/>
      <c r="AT639" s="799"/>
      <c r="AU639" s="799"/>
      <c r="AV639" s="799"/>
      <c r="AW639" s="799"/>
      <c r="AX639" s="799"/>
      <c r="AY639" s="799"/>
      <c r="AZ639" s="799"/>
      <c r="BA639" s="799"/>
      <c r="BB639" s="799"/>
      <c r="BC639" s="799"/>
      <c r="BD639" s="799"/>
      <c r="BE639" s="799"/>
      <c r="BF639" s="799"/>
      <c r="BG639" s="799"/>
    </row>
    <row r="640">
      <c r="H640" s="799"/>
      <c r="I640" s="799"/>
      <c r="J640" s="799"/>
      <c r="K640" s="799"/>
      <c r="L640" s="799"/>
      <c r="M640" s="799"/>
      <c r="N640" s="799"/>
      <c r="O640" s="799"/>
      <c r="P640" s="799"/>
      <c r="Q640" s="799"/>
      <c r="R640" s="799"/>
      <c r="S640" s="799"/>
      <c r="T640" s="799"/>
      <c r="U640" s="799"/>
      <c r="V640" s="799"/>
      <c r="W640" s="799"/>
      <c r="X640" s="799"/>
      <c r="Y640" s="799"/>
      <c r="Z640" s="799"/>
      <c r="AA640" s="799"/>
      <c r="AB640" s="799"/>
      <c r="AC640" s="799"/>
      <c r="AD640" s="799"/>
      <c r="AE640" s="799"/>
      <c r="AF640" s="799"/>
      <c r="AG640" s="799"/>
      <c r="AH640" s="799"/>
      <c r="AI640" s="799"/>
      <c r="AJ640" s="799"/>
      <c r="AK640" s="799"/>
      <c r="AL640" s="799"/>
      <c r="AM640" s="799"/>
      <c r="AN640" s="799"/>
      <c r="AO640" s="799"/>
      <c r="AP640" s="799"/>
      <c r="AQ640" s="799"/>
      <c r="AR640" s="799"/>
      <c r="AS640" s="799"/>
      <c r="AT640" s="799"/>
      <c r="AU640" s="799"/>
      <c r="AV640" s="799"/>
      <c r="AW640" s="799"/>
      <c r="AX640" s="799"/>
      <c r="AY640" s="799"/>
      <c r="AZ640" s="799"/>
      <c r="BA640" s="799"/>
      <c r="BB640" s="799"/>
      <c r="BC640" s="799"/>
      <c r="BD640" s="799"/>
      <c r="BE640" s="799"/>
      <c r="BF640" s="799"/>
      <c r="BG640" s="799"/>
    </row>
    <row r="641">
      <c r="H641" s="799"/>
      <c r="I641" s="799"/>
      <c r="J641" s="799"/>
      <c r="K641" s="799"/>
      <c r="L641" s="799"/>
      <c r="M641" s="799"/>
      <c r="N641" s="799"/>
      <c r="O641" s="799"/>
      <c r="P641" s="799"/>
      <c r="Q641" s="799"/>
      <c r="R641" s="799"/>
      <c r="S641" s="799"/>
      <c r="T641" s="799"/>
      <c r="U641" s="799"/>
      <c r="V641" s="799"/>
      <c r="W641" s="799"/>
      <c r="X641" s="799"/>
      <c r="Y641" s="799"/>
      <c r="Z641" s="799"/>
      <c r="AA641" s="799"/>
      <c r="AB641" s="799"/>
      <c r="AC641" s="799"/>
      <c r="AD641" s="799"/>
      <c r="AE641" s="799"/>
      <c r="AF641" s="799"/>
      <c r="AG641" s="799"/>
      <c r="AH641" s="799"/>
      <c r="AI641" s="799"/>
      <c r="AJ641" s="799"/>
      <c r="AK641" s="799"/>
      <c r="AL641" s="799"/>
      <c r="AM641" s="799"/>
      <c r="AN641" s="799"/>
      <c r="AO641" s="799"/>
      <c r="AP641" s="799"/>
      <c r="AQ641" s="799"/>
      <c r="AR641" s="799"/>
      <c r="AS641" s="799"/>
      <c r="AT641" s="799"/>
      <c r="AU641" s="799"/>
      <c r="AV641" s="799"/>
      <c r="AW641" s="799"/>
      <c r="AX641" s="799"/>
      <c r="AY641" s="799"/>
      <c r="AZ641" s="799"/>
      <c r="BA641" s="799"/>
      <c r="BB641" s="799"/>
      <c r="BC641" s="799"/>
      <c r="BD641" s="799"/>
      <c r="BE641" s="799"/>
      <c r="BF641" s="799"/>
      <c r="BG641" s="799"/>
    </row>
    <row r="642">
      <c r="H642" s="799"/>
      <c r="I642" s="799"/>
      <c r="J642" s="799"/>
      <c r="K642" s="799"/>
      <c r="L642" s="799"/>
      <c r="M642" s="799"/>
      <c r="N642" s="799"/>
      <c r="O642" s="799"/>
      <c r="P642" s="799"/>
      <c r="Q642" s="799"/>
      <c r="R642" s="799"/>
      <c r="S642" s="799"/>
      <c r="T642" s="799"/>
      <c r="U642" s="799"/>
      <c r="V642" s="799"/>
      <c r="W642" s="799"/>
      <c r="X642" s="799"/>
      <c r="Y642" s="799"/>
      <c r="Z642" s="799"/>
      <c r="AA642" s="799"/>
      <c r="AB642" s="799"/>
      <c r="AC642" s="799"/>
      <c r="AD642" s="799"/>
      <c r="AE642" s="799"/>
      <c r="AF642" s="799"/>
      <c r="AG642" s="799"/>
      <c r="AH642" s="799"/>
      <c r="AI642" s="799"/>
      <c r="AJ642" s="799"/>
      <c r="AK642" s="799"/>
      <c r="AL642" s="799"/>
      <c r="AM642" s="799"/>
      <c r="AN642" s="799"/>
      <c r="AO642" s="799"/>
      <c r="AP642" s="799"/>
      <c r="AQ642" s="799"/>
      <c r="AR642" s="799"/>
      <c r="AS642" s="799"/>
      <c r="AT642" s="799"/>
      <c r="AU642" s="799"/>
      <c r="AV642" s="799"/>
      <c r="AW642" s="799"/>
      <c r="AX642" s="799"/>
      <c r="AY642" s="799"/>
      <c r="AZ642" s="799"/>
      <c r="BA642" s="799"/>
      <c r="BB642" s="799"/>
      <c r="BC642" s="799"/>
      <c r="BD642" s="799"/>
      <c r="BE642" s="799"/>
      <c r="BF642" s="799"/>
      <c r="BG642" s="799"/>
    </row>
    <row r="643">
      <c r="H643" s="799"/>
      <c r="I643" s="799"/>
      <c r="J643" s="799"/>
      <c r="K643" s="799"/>
      <c r="L643" s="799"/>
      <c r="M643" s="799"/>
      <c r="N643" s="799"/>
      <c r="O643" s="799"/>
      <c r="P643" s="799"/>
      <c r="Q643" s="799"/>
      <c r="R643" s="799"/>
      <c r="S643" s="799"/>
      <c r="T643" s="799"/>
      <c r="U643" s="799"/>
      <c r="V643" s="799"/>
      <c r="W643" s="799"/>
      <c r="X643" s="799"/>
      <c r="Y643" s="799"/>
      <c r="Z643" s="799"/>
      <c r="AA643" s="799"/>
      <c r="AB643" s="799"/>
      <c r="AC643" s="799"/>
      <c r="AD643" s="799"/>
      <c r="AE643" s="799"/>
      <c r="AF643" s="799"/>
      <c r="AG643" s="799"/>
      <c r="AH643" s="799"/>
      <c r="AI643" s="799"/>
      <c r="AJ643" s="799"/>
      <c r="AK643" s="799"/>
      <c r="AL643" s="799"/>
      <c r="AM643" s="799"/>
      <c r="AN643" s="799"/>
      <c r="AO643" s="799"/>
      <c r="AP643" s="799"/>
      <c r="AQ643" s="799"/>
      <c r="AR643" s="799"/>
      <c r="AS643" s="799"/>
      <c r="AT643" s="799"/>
      <c r="AU643" s="799"/>
      <c r="AV643" s="799"/>
      <c r="AW643" s="799"/>
      <c r="AX643" s="799"/>
      <c r="AY643" s="799"/>
      <c r="AZ643" s="799"/>
      <c r="BA643" s="799"/>
      <c r="BB643" s="799"/>
      <c r="BC643" s="799"/>
      <c r="BD643" s="799"/>
      <c r="BE643" s="799"/>
      <c r="BF643" s="799"/>
      <c r="BG643" s="799"/>
    </row>
    <row r="644">
      <c r="H644" s="799"/>
      <c r="I644" s="799"/>
      <c r="J644" s="799"/>
      <c r="K644" s="799"/>
      <c r="L644" s="799"/>
      <c r="M644" s="799"/>
      <c r="N644" s="799"/>
      <c r="O644" s="799"/>
      <c r="P644" s="799"/>
      <c r="Q644" s="799"/>
      <c r="R644" s="799"/>
      <c r="S644" s="799"/>
      <c r="T644" s="799"/>
      <c r="U644" s="799"/>
      <c r="V644" s="799"/>
      <c r="W644" s="799"/>
      <c r="X644" s="799"/>
      <c r="Y644" s="799"/>
      <c r="Z644" s="799"/>
      <c r="AA644" s="799"/>
      <c r="AB644" s="799"/>
      <c r="AC644" s="799"/>
      <c r="AD644" s="799"/>
      <c r="AE644" s="799"/>
      <c r="AF644" s="799"/>
      <c r="AG644" s="799"/>
      <c r="AH644" s="799"/>
      <c r="AI644" s="799"/>
      <c r="AJ644" s="799"/>
      <c r="AK644" s="799"/>
      <c r="AL644" s="799"/>
      <c r="AM644" s="799"/>
      <c r="AN644" s="799"/>
      <c r="AO644" s="799"/>
      <c r="AP644" s="799"/>
      <c r="AQ644" s="799"/>
      <c r="AR644" s="799"/>
      <c r="AS644" s="799"/>
      <c r="AT644" s="799"/>
      <c r="AU644" s="799"/>
      <c r="AV644" s="799"/>
      <c r="AW644" s="799"/>
      <c r="AX644" s="799"/>
      <c r="AY644" s="799"/>
      <c r="AZ644" s="799"/>
      <c r="BA644" s="799"/>
      <c r="BB644" s="799"/>
      <c r="BC644" s="799"/>
      <c r="BD644" s="799"/>
      <c r="BE644" s="799"/>
      <c r="BF644" s="799"/>
      <c r="BG644" s="799"/>
    </row>
    <row r="645">
      <c r="H645" s="799"/>
      <c r="I645" s="799"/>
      <c r="J645" s="799"/>
      <c r="K645" s="799"/>
      <c r="L645" s="799"/>
      <c r="M645" s="799"/>
      <c r="N645" s="799"/>
      <c r="O645" s="799"/>
      <c r="P645" s="799"/>
      <c r="Q645" s="799"/>
      <c r="R645" s="799"/>
      <c r="S645" s="799"/>
      <c r="T645" s="799"/>
      <c r="U645" s="799"/>
      <c r="V645" s="799"/>
      <c r="W645" s="799"/>
      <c r="X645" s="799"/>
      <c r="Y645" s="799"/>
      <c r="Z645" s="799"/>
      <c r="AA645" s="799"/>
      <c r="AB645" s="799"/>
      <c r="AC645" s="799"/>
      <c r="AD645" s="799"/>
      <c r="AE645" s="799"/>
      <c r="AF645" s="799"/>
      <c r="AG645" s="799"/>
      <c r="AH645" s="799"/>
      <c r="AI645" s="799"/>
      <c r="AJ645" s="799"/>
      <c r="AK645" s="799"/>
      <c r="AL645" s="799"/>
      <c r="AM645" s="799"/>
      <c r="AN645" s="799"/>
      <c r="AO645" s="799"/>
      <c r="AP645" s="799"/>
      <c r="AQ645" s="799"/>
      <c r="AR645" s="799"/>
      <c r="AS645" s="799"/>
      <c r="AT645" s="799"/>
      <c r="AU645" s="799"/>
      <c r="AV645" s="799"/>
      <c r="AW645" s="799"/>
      <c r="AX645" s="799"/>
      <c r="AY645" s="799"/>
      <c r="AZ645" s="799"/>
      <c r="BA645" s="799"/>
      <c r="BB645" s="799"/>
      <c r="BC645" s="799"/>
      <c r="BD645" s="799"/>
      <c r="BE645" s="799"/>
      <c r="BF645" s="799"/>
      <c r="BG645" s="799"/>
    </row>
    <row r="646">
      <c r="H646" s="799"/>
      <c r="I646" s="799"/>
      <c r="J646" s="799"/>
      <c r="K646" s="799"/>
      <c r="L646" s="799"/>
      <c r="M646" s="799"/>
      <c r="N646" s="799"/>
      <c r="O646" s="799"/>
      <c r="P646" s="799"/>
      <c r="Q646" s="799"/>
      <c r="R646" s="799"/>
      <c r="S646" s="799"/>
      <c r="T646" s="799"/>
      <c r="U646" s="799"/>
      <c r="V646" s="799"/>
      <c r="W646" s="799"/>
      <c r="X646" s="799"/>
      <c r="Y646" s="799"/>
      <c r="Z646" s="799"/>
      <c r="AA646" s="799"/>
      <c r="AB646" s="799"/>
      <c r="AC646" s="799"/>
      <c r="AD646" s="799"/>
      <c r="AE646" s="799"/>
      <c r="AF646" s="799"/>
      <c r="AG646" s="799"/>
      <c r="AH646" s="799"/>
      <c r="AI646" s="799"/>
      <c r="AJ646" s="799"/>
      <c r="AK646" s="799"/>
      <c r="AL646" s="799"/>
      <c r="AM646" s="799"/>
      <c r="AN646" s="799"/>
      <c r="AO646" s="799"/>
      <c r="AP646" s="799"/>
      <c r="AQ646" s="799"/>
      <c r="AR646" s="799"/>
      <c r="AS646" s="799"/>
      <c r="AT646" s="799"/>
      <c r="AU646" s="799"/>
      <c r="AV646" s="799"/>
      <c r="AW646" s="799"/>
      <c r="AX646" s="799"/>
      <c r="AY646" s="799"/>
      <c r="AZ646" s="799"/>
      <c r="BA646" s="799"/>
      <c r="BB646" s="799"/>
      <c r="BC646" s="799"/>
      <c r="BD646" s="799"/>
      <c r="BE646" s="799"/>
      <c r="BF646" s="799"/>
      <c r="BG646" s="799"/>
    </row>
    <row r="647">
      <c r="H647" s="799"/>
      <c r="I647" s="799"/>
      <c r="J647" s="799"/>
      <c r="K647" s="799"/>
      <c r="L647" s="799"/>
      <c r="M647" s="799"/>
      <c r="N647" s="799"/>
      <c r="O647" s="799"/>
      <c r="P647" s="799"/>
      <c r="Q647" s="799"/>
      <c r="R647" s="799"/>
      <c r="S647" s="799"/>
      <c r="T647" s="799"/>
      <c r="U647" s="799"/>
      <c r="V647" s="799"/>
      <c r="W647" s="799"/>
      <c r="X647" s="799"/>
      <c r="Y647" s="799"/>
      <c r="Z647" s="799"/>
      <c r="AA647" s="799"/>
      <c r="AB647" s="799"/>
      <c r="AC647" s="799"/>
      <c r="AD647" s="799"/>
      <c r="AE647" s="799"/>
      <c r="AF647" s="799"/>
      <c r="AG647" s="799"/>
      <c r="AH647" s="799"/>
      <c r="AI647" s="799"/>
      <c r="AJ647" s="799"/>
      <c r="AK647" s="799"/>
      <c r="AL647" s="799"/>
      <c r="AM647" s="799"/>
      <c r="AN647" s="799"/>
      <c r="AO647" s="799"/>
      <c r="AP647" s="799"/>
      <c r="AQ647" s="799"/>
      <c r="AR647" s="799"/>
      <c r="AS647" s="799"/>
      <c r="AT647" s="799"/>
      <c r="AU647" s="799"/>
      <c r="AV647" s="799"/>
      <c r="AW647" s="799"/>
      <c r="AX647" s="799"/>
      <c r="AY647" s="799"/>
      <c r="AZ647" s="799"/>
      <c r="BA647" s="799"/>
      <c r="BB647" s="799"/>
      <c r="BC647" s="799"/>
      <c r="BD647" s="799"/>
      <c r="BE647" s="799"/>
      <c r="BF647" s="799"/>
      <c r="BG647" s="799"/>
    </row>
    <row r="648">
      <c r="H648" s="799"/>
      <c r="I648" s="799"/>
      <c r="J648" s="799"/>
      <c r="K648" s="799"/>
      <c r="L648" s="799"/>
      <c r="M648" s="799"/>
      <c r="N648" s="799"/>
      <c r="O648" s="799"/>
      <c r="P648" s="799"/>
      <c r="Q648" s="799"/>
      <c r="R648" s="799"/>
      <c r="S648" s="799"/>
      <c r="T648" s="799"/>
      <c r="U648" s="799"/>
      <c r="V648" s="799"/>
      <c r="W648" s="799"/>
      <c r="X648" s="799"/>
      <c r="Y648" s="799"/>
      <c r="Z648" s="799"/>
      <c r="AA648" s="799"/>
      <c r="AB648" s="799"/>
      <c r="AC648" s="799"/>
      <c r="AD648" s="799"/>
      <c r="AE648" s="799"/>
      <c r="AF648" s="799"/>
      <c r="AG648" s="799"/>
      <c r="AH648" s="799"/>
      <c r="AI648" s="799"/>
      <c r="AJ648" s="799"/>
      <c r="AK648" s="799"/>
      <c r="AL648" s="799"/>
      <c r="AM648" s="799"/>
      <c r="AN648" s="799"/>
      <c r="AO648" s="799"/>
      <c r="AP648" s="799"/>
      <c r="AQ648" s="799"/>
      <c r="AR648" s="799"/>
      <c r="AS648" s="799"/>
      <c r="AT648" s="799"/>
      <c r="AU648" s="799"/>
      <c r="AV648" s="799"/>
      <c r="AW648" s="799"/>
      <c r="AX648" s="799"/>
      <c r="AY648" s="799"/>
      <c r="AZ648" s="799"/>
      <c r="BA648" s="799"/>
      <c r="BB648" s="799"/>
      <c r="BC648" s="799"/>
      <c r="BD648" s="799"/>
      <c r="BE648" s="799"/>
      <c r="BF648" s="799"/>
      <c r="BG648" s="799"/>
    </row>
    <row r="649">
      <c r="H649" s="799"/>
      <c r="I649" s="799"/>
      <c r="J649" s="799"/>
      <c r="K649" s="799"/>
      <c r="L649" s="799"/>
      <c r="M649" s="799"/>
      <c r="N649" s="799"/>
      <c r="O649" s="799"/>
      <c r="P649" s="799"/>
      <c r="Q649" s="799"/>
      <c r="R649" s="799"/>
      <c r="S649" s="799"/>
      <c r="T649" s="799"/>
      <c r="U649" s="799"/>
      <c r="V649" s="799"/>
      <c r="W649" s="799"/>
      <c r="X649" s="799"/>
      <c r="Y649" s="799"/>
      <c r="Z649" s="799"/>
      <c r="AA649" s="799"/>
      <c r="AB649" s="799"/>
      <c r="AC649" s="799"/>
      <c r="AD649" s="799"/>
      <c r="AE649" s="799"/>
      <c r="AF649" s="799"/>
      <c r="AG649" s="799"/>
      <c r="AH649" s="799"/>
      <c r="AI649" s="799"/>
      <c r="AJ649" s="799"/>
      <c r="AK649" s="799"/>
      <c r="AL649" s="799"/>
      <c r="AM649" s="799"/>
      <c r="AN649" s="799"/>
      <c r="AO649" s="799"/>
      <c r="AP649" s="799"/>
      <c r="AQ649" s="799"/>
      <c r="AR649" s="799"/>
      <c r="AS649" s="799"/>
      <c r="AT649" s="799"/>
      <c r="AU649" s="799"/>
      <c r="AV649" s="799"/>
      <c r="AW649" s="799"/>
      <c r="AX649" s="799"/>
      <c r="AY649" s="799"/>
      <c r="AZ649" s="799"/>
      <c r="BA649" s="799"/>
      <c r="BB649" s="799"/>
      <c r="BC649" s="799"/>
      <c r="BD649" s="799"/>
      <c r="BE649" s="799"/>
      <c r="BF649" s="799"/>
      <c r="BG649" s="799"/>
    </row>
    <row r="650">
      <c r="H650" s="799"/>
      <c r="I650" s="799"/>
      <c r="J650" s="799"/>
      <c r="K650" s="799"/>
      <c r="L650" s="799"/>
      <c r="M650" s="799"/>
      <c r="N650" s="799"/>
      <c r="O650" s="799"/>
      <c r="P650" s="799"/>
      <c r="Q650" s="799"/>
      <c r="R650" s="799"/>
      <c r="S650" s="799"/>
      <c r="T650" s="799"/>
      <c r="U650" s="799"/>
      <c r="V650" s="799"/>
      <c r="W650" s="799"/>
      <c r="X650" s="799"/>
      <c r="Y650" s="799"/>
      <c r="Z650" s="799"/>
      <c r="AA650" s="799"/>
      <c r="AB650" s="799"/>
      <c r="AC650" s="799"/>
      <c r="AD650" s="799"/>
      <c r="AE650" s="799"/>
      <c r="AF650" s="799"/>
      <c r="AG650" s="799"/>
      <c r="AH650" s="799"/>
      <c r="AI650" s="799"/>
      <c r="AJ650" s="799"/>
      <c r="AK650" s="799"/>
      <c r="AL650" s="799"/>
      <c r="AM650" s="799"/>
      <c r="AN650" s="799"/>
      <c r="AO650" s="799"/>
      <c r="AP650" s="799"/>
      <c r="AQ650" s="799"/>
      <c r="AR650" s="799"/>
      <c r="AS650" s="799"/>
      <c r="AT650" s="799"/>
      <c r="AU650" s="799"/>
      <c r="AV650" s="799"/>
      <c r="AW650" s="799"/>
      <c r="AX650" s="799"/>
      <c r="AY650" s="799"/>
      <c r="AZ650" s="799"/>
      <c r="BA650" s="799"/>
      <c r="BB650" s="799"/>
      <c r="BC650" s="799"/>
      <c r="BD650" s="799"/>
      <c r="BE650" s="799"/>
      <c r="BF650" s="799"/>
      <c r="BG650" s="799"/>
    </row>
    <row r="651">
      <c r="H651" s="799"/>
      <c r="I651" s="799"/>
      <c r="J651" s="799"/>
      <c r="K651" s="799"/>
      <c r="L651" s="799"/>
      <c r="M651" s="799"/>
      <c r="N651" s="799"/>
      <c r="O651" s="799"/>
      <c r="P651" s="799"/>
      <c r="Q651" s="799"/>
      <c r="R651" s="799"/>
      <c r="S651" s="799"/>
      <c r="T651" s="799"/>
      <c r="U651" s="799"/>
      <c r="V651" s="799"/>
      <c r="W651" s="799"/>
      <c r="X651" s="799"/>
      <c r="Y651" s="799"/>
      <c r="Z651" s="799"/>
      <c r="AA651" s="799"/>
      <c r="AB651" s="799"/>
      <c r="AC651" s="799"/>
      <c r="AD651" s="799"/>
      <c r="AE651" s="799"/>
      <c r="AF651" s="799"/>
      <c r="AG651" s="799"/>
      <c r="AH651" s="799"/>
      <c r="AI651" s="799"/>
      <c r="AJ651" s="799"/>
      <c r="AK651" s="799"/>
      <c r="AL651" s="799"/>
      <c r="AM651" s="799"/>
      <c r="AN651" s="799"/>
      <c r="AO651" s="799"/>
      <c r="AP651" s="799"/>
      <c r="AQ651" s="799"/>
      <c r="AR651" s="799"/>
      <c r="AS651" s="799"/>
      <c r="AT651" s="799"/>
      <c r="AU651" s="799"/>
      <c r="AV651" s="799"/>
      <c r="AW651" s="799"/>
      <c r="AX651" s="799"/>
      <c r="AY651" s="799"/>
      <c r="AZ651" s="799"/>
      <c r="BA651" s="799"/>
      <c r="BB651" s="799"/>
      <c r="BC651" s="799"/>
      <c r="BD651" s="799"/>
      <c r="BE651" s="799"/>
      <c r="BF651" s="799"/>
      <c r="BG651" s="799"/>
    </row>
    <row r="652">
      <c r="H652" s="799"/>
      <c r="I652" s="799"/>
      <c r="J652" s="799"/>
      <c r="K652" s="799"/>
      <c r="L652" s="799"/>
      <c r="M652" s="799"/>
      <c r="N652" s="799"/>
      <c r="O652" s="799"/>
      <c r="P652" s="799"/>
      <c r="Q652" s="799"/>
      <c r="R652" s="799"/>
      <c r="S652" s="799"/>
      <c r="T652" s="799"/>
      <c r="U652" s="799"/>
      <c r="V652" s="799"/>
      <c r="W652" s="799"/>
      <c r="X652" s="799"/>
      <c r="Y652" s="799"/>
      <c r="Z652" s="799"/>
      <c r="AA652" s="799"/>
      <c r="AB652" s="799"/>
      <c r="AC652" s="799"/>
      <c r="AD652" s="799"/>
      <c r="AE652" s="799"/>
      <c r="AF652" s="799"/>
      <c r="AG652" s="799"/>
      <c r="AH652" s="799"/>
      <c r="AI652" s="799"/>
      <c r="AJ652" s="799"/>
      <c r="AK652" s="799"/>
      <c r="AL652" s="799"/>
      <c r="AM652" s="799"/>
      <c r="AN652" s="799"/>
      <c r="AO652" s="799"/>
      <c r="AP652" s="799"/>
      <c r="AQ652" s="799"/>
      <c r="AR652" s="799"/>
      <c r="AS652" s="799"/>
      <c r="AT652" s="799"/>
      <c r="AU652" s="799"/>
      <c r="AV652" s="799"/>
      <c r="AW652" s="799"/>
      <c r="AX652" s="799"/>
      <c r="AY652" s="799"/>
      <c r="AZ652" s="799"/>
      <c r="BA652" s="799"/>
      <c r="BB652" s="799"/>
      <c r="BC652" s="799"/>
      <c r="BD652" s="799"/>
      <c r="BE652" s="799"/>
      <c r="BF652" s="799"/>
      <c r="BG652" s="799"/>
    </row>
    <row r="653">
      <c r="H653" s="799"/>
      <c r="I653" s="799"/>
      <c r="J653" s="799"/>
      <c r="K653" s="799"/>
      <c r="L653" s="799"/>
      <c r="M653" s="799"/>
      <c r="N653" s="799"/>
      <c r="O653" s="799"/>
      <c r="P653" s="799"/>
      <c r="Q653" s="799"/>
      <c r="R653" s="799"/>
      <c r="S653" s="799"/>
      <c r="T653" s="799"/>
      <c r="U653" s="799"/>
      <c r="V653" s="799"/>
      <c r="W653" s="799"/>
      <c r="X653" s="799"/>
      <c r="Y653" s="799"/>
      <c r="Z653" s="799"/>
      <c r="AA653" s="799"/>
      <c r="AB653" s="799"/>
      <c r="AC653" s="799"/>
      <c r="AD653" s="799"/>
      <c r="AE653" s="799"/>
      <c r="AF653" s="799"/>
      <c r="AG653" s="799"/>
      <c r="AH653" s="799"/>
      <c r="AI653" s="799"/>
      <c r="AJ653" s="799"/>
      <c r="AK653" s="799"/>
      <c r="AL653" s="799"/>
      <c r="AM653" s="799"/>
      <c r="AN653" s="799"/>
      <c r="AO653" s="799"/>
      <c r="AP653" s="799"/>
      <c r="AQ653" s="799"/>
      <c r="AR653" s="799"/>
      <c r="AS653" s="799"/>
      <c r="AT653" s="799"/>
      <c r="AU653" s="799"/>
      <c r="AV653" s="799"/>
      <c r="AW653" s="799"/>
      <c r="AX653" s="799"/>
      <c r="AY653" s="799"/>
      <c r="AZ653" s="799"/>
      <c r="BA653" s="799"/>
      <c r="BB653" s="799"/>
      <c r="BC653" s="799"/>
      <c r="BD653" s="799"/>
      <c r="BE653" s="799"/>
      <c r="BF653" s="799"/>
      <c r="BG653" s="799"/>
    </row>
    <row r="654">
      <c r="H654" s="799"/>
      <c r="I654" s="799"/>
      <c r="J654" s="799"/>
      <c r="K654" s="799"/>
      <c r="L654" s="799"/>
      <c r="M654" s="799"/>
      <c r="N654" s="799"/>
      <c r="O654" s="799"/>
      <c r="P654" s="799"/>
      <c r="Q654" s="799"/>
      <c r="R654" s="799"/>
      <c r="S654" s="799"/>
      <c r="T654" s="799"/>
      <c r="U654" s="799"/>
      <c r="V654" s="799"/>
      <c r="W654" s="799"/>
      <c r="X654" s="799"/>
      <c r="Y654" s="799"/>
      <c r="Z654" s="799"/>
      <c r="AA654" s="799"/>
      <c r="AB654" s="799"/>
      <c r="AC654" s="799"/>
      <c r="AD654" s="799"/>
      <c r="AE654" s="799"/>
      <c r="AF654" s="799"/>
      <c r="AG654" s="799"/>
      <c r="AH654" s="799"/>
      <c r="AI654" s="799"/>
      <c r="AJ654" s="799"/>
      <c r="AK654" s="799"/>
      <c r="AL654" s="799"/>
      <c r="AM654" s="799"/>
      <c r="AN654" s="799"/>
      <c r="AO654" s="799"/>
      <c r="AP654" s="799"/>
      <c r="AQ654" s="799"/>
      <c r="AR654" s="799"/>
      <c r="AS654" s="799"/>
      <c r="AT654" s="799"/>
      <c r="AU654" s="799"/>
      <c r="AV654" s="799"/>
      <c r="AW654" s="799"/>
      <c r="AX654" s="799"/>
      <c r="AY654" s="799"/>
      <c r="AZ654" s="799"/>
      <c r="BA654" s="799"/>
      <c r="BB654" s="799"/>
      <c r="BC654" s="799"/>
      <c r="BD654" s="799"/>
      <c r="BE654" s="799"/>
      <c r="BF654" s="799"/>
      <c r="BG654" s="799"/>
    </row>
    <row r="655">
      <c r="H655" s="799"/>
      <c r="I655" s="799"/>
      <c r="J655" s="799"/>
      <c r="K655" s="799"/>
      <c r="L655" s="799"/>
      <c r="M655" s="799"/>
      <c r="N655" s="799"/>
      <c r="O655" s="799"/>
      <c r="P655" s="799"/>
      <c r="Q655" s="799"/>
      <c r="R655" s="799"/>
      <c r="S655" s="799"/>
      <c r="T655" s="799"/>
      <c r="U655" s="799"/>
      <c r="V655" s="799"/>
      <c r="W655" s="799"/>
      <c r="X655" s="799"/>
      <c r="Y655" s="799"/>
      <c r="Z655" s="799"/>
      <c r="AA655" s="799"/>
      <c r="AB655" s="799"/>
      <c r="AC655" s="799"/>
      <c r="AD655" s="799"/>
      <c r="AE655" s="799"/>
      <c r="AF655" s="799"/>
      <c r="AG655" s="799"/>
      <c r="AH655" s="799"/>
      <c r="AI655" s="799"/>
      <c r="AJ655" s="799"/>
      <c r="AK655" s="799"/>
      <c r="AL655" s="799"/>
      <c r="AM655" s="799"/>
      <c r="AN655" s="799"/>
      <c r="AO655" s="799"/>
      <c r="AP655" s="799"/>
      <c r="AQ655" s="799"/>
      <c r="AR655" s="799"/>
      <c r="AS655" s="799"/>
      <c r="AT655" s="799"/>
      <c r="AU655" s="799"/>
      <c r="AV655" s="799"/>
      <c r="AW655" s="799"/>
      <c r="AX655" s="799"/>
      <c r="AY655" s="799"/>
      <c r="AZ655" s="799"/>
      <c r="BA655" s="799"/>
      <c r="BB655" s="799"/>
      <c r="BC655" s="799"/>
      <c r="BD655" s="799"/>
      <c r="BE655" s="799"/>
      <c r="BF655" s="799"/>
      <c r="BG655" s="799"/>
    </row>
    <row r="656">
      <c r="H656" s="799"/>
      <c r="I656" s="799"/>
      <c r="J656" s="799"/>
      <c r="K656" s="799"/>
      <c r="L656" s="799"/>
      <c r="M656" s="799"/>
      <c r="N656" s="799"/>
      <c r="O656" s="799"/>
      <c r="P656" s="799"/>
      <c r="Q656" s="799"/>
      <c r="R656" s="799"/>
      <c r="S656" s="799"/>
      <c r="T656" s="799"/>
      <c r="U656" s="799"/>
      <c r="V656" s="799"/>
      <c r="W656" s="799"/>
      <c r="X656" s="799"/>
      <c r="Y656" s="799"/>
      <c r="Z656" s="799"/>
      <c r="AA656" s="799"/>
      <c r="AB656" s="799"/>
      <c r="AC656" s="799"/>
      <c r="AD656" s="799"/>
      <c r="AE656" s="799"/>
      <c r="AF656" s="799"/>
      <c r="AG656" s="799"/>
      <c r="AH656" s="799"/>
      <c r="AI656" s="799"/>
      <c r="AJ656" s="799"/>
      <c r="AK656" s="799"/>
      <c r="AL656" s="799"/>
      <c r="AM656" s="799"/>
      <c r="AN656" s="799"/>
      <c r="AO656" s="799"/>
      <c r="AP656" s="799"/>
      <c r="AQ656" s="799"/>
      <c r="AR656" s="799"/>
      <c r="AS656" s="799"/>
      <c r="AT656" s="799"/>
      <c r="AU656" s="799"/>
      <c r="AV656" s="799"/>
      <c r="AW656" s="799"/>
      <c r="AX656" s="799"/>
      <c r="AY656" s="799"/>
      <c r="AZ656" s="799"/>
      <c r="BA656" s="799"/>
      <c r="BB656" s="799"/>
      <c r="BC656" s="799"/>
      <c r="BD656" s="799"/>
      <c r="BE656" s="799"/>
      <c r="BF656" s="799"/>
      <c r="BG656" s="799"/>
    </row>
    <row r="657">
      <c r="H657" s="799"/>
      <c r="I657" s="799"/>
      <c r="J657" s="799"/>
      <c r="K657" s="799"/>
      <c r="L657" s="799"/>
      <c r="M657" s="799"/>
      <c r="N657" s="799"/>
      <c r="O657" s="799"/>
      <c r="P657" s="799"/>
      <c r="Q657" s="799"/>
      <c r="R657" s="799"/>
      <c r="S657" s="799"/>
      <c r="T657" s="799"/>
      <c r="U657" s="799"/>
      <c r="V657" s="799"/>
      <c r="W657" s="799"/>
      <c r="X657" s="799"/>
      <c r="Y657" s="799"/>
      <c r="Z657" s="799"/>
      <c r="AA657" s="799"/>
      <c r="AB657" s="799"/>
      <c r="AC657" s="799"/>
      <c r="AD657" s="799"/>
      <c r="AE657" s="799"/>
      <c r="AF657" s="799"/>
      <c r="AG657" s="799"/>
      <c r="AH657" s="799"/>
      <c r="AI657" s="799"/>
      <c r="AJ657" s="799"/>
      <c r="AK657" s="799"/>
      <c r="AL657" s="799"/>
      <c r="AM657" s="799"/>
      <c r="AN657" s="799"/>
      <c r="AO657" s="799"/>
      <c r="AP657" s="799"/>
      <c r="AQ657" s="799"/>
      <c r="AR657" s="799"/>
      <c r="AS657" s="799"/>
      <c r="AT657" s="799"/>
      <c r="AU657" s="799"/>
      <c r="AV657" s="799"/>
      <c r="AW657" s="799"/>
      <c r="AX657" s="799"/>
      <c r="AY657" s="799"/>
      <c r="AZ657" s="799"/>
      <c r="BA657" s="799"/>
      <c r="BB657" s="799"/>
      <c r="BC657" s="799"/>
      <c r="BD657" s="799"/>
      <c r="BE657" s="799"/>
      <c r="BF657" s="799"/>
      <c r="BG657" s="799"/>
    </row>
    <row r="658">
      <c r="H658" s="799"/>
      <c r="I658" s="799"/>
      <c r="J658" s="799"/>
      <c r="K658" s="799"/>
      <c r="L658" s="799"/>
      <c r="M658" s="799"/>
      <c r="N658" s="799"/>
      <c r="O658" s="799"/>
      <c r="P658" s="799"/>
      <c r="Q658" s="799"/>
      <c r="R658" s="799"/>
      <c r="S658" s="799"/>
      <c r="T658" s="799"/>
      <c r="U658" s="799"/>
      <c r="V658" s="799"/>
      <c r="W658" s="799"/>
      <c r="X658" s="799"/>
      <c r="Y658" s="799"/>
      <c r="Z658" s="799"/>
      <c r="AA658" s="799"/>
      <c r="AB658" s="799"/>
      <c r="AC658" s="799"/>
      <c r="AD658" s="799"/>
      <c r="AE658" s="799"/>
      <c r="AF658" s="799"/>
      <c r="AG658" s="799"/>
      <c r="AH658" s="799"/>
      <c r="AI658" s="799"/>
      <c r="AJ658" s="799"/>
      <c r="AK658" s="799"/>
      <c r="AL658" s="799"/>
      <c r="AM658" s="799"/>
      <c r="AN658" s="799"/>
      <c r="AO658" s="799"/>
      <c r="AP658" s="799"/>
      <c r="AQ658" s="799"/>
      <c r="AR658" s="799"/>
      <c r="AS658" s="799"/>
      <c r="AT658" s="799"/>
      <c r="AU658" s="799"/>
      <c r="AV658" s="799"/>
      <c r="AW658" s="799"/>
      <c r="AX658" s="799"/>
      <c r="AY658" s="799"/>
      <c r="AZ658" s="799"/>
      <c r="BA658" s="799"/>
      <c r="BB658" s="799"/>
      <c r="BC658" s="799"/>
      <c r="BD658" s="799"/>
      <c r="BE658" s="799"/>
      <c r="BF658" s="799"/>
      <c r="BG658" s="799"/>
    </row>
    <row r="659">
      <c r="H659" s="799"/>
      <c r="I659" s="799"/>
      <c r="J659" s="799"/>
      <c r="K659" s="799"/>
      <c r="L659" s="799"/>
      <c r="M659" s="799"/>
      <c r="N659" s="799"/>
      <c r="O659" s="799"/>
      <c r="P659" s="799"/>
      <c r="Q659" s="799"/>
      <c r="R659" s="799"/>
      <c r="S659" s="799"/>
      <c r="T659" s="799"/>
      <c r="U659" s="799"/>
      <c r="V659" s="799"/>
      <c r="W659" s="799"/>
      <c r="X659" s="799"/>
      <c r="Y659" s="799"/>
      <c r="Z659" s="799"/>
      <c r="AA659" s="799"/>
      <c r="AB659" s="799"/>
      <c r="AC659" s="799"/>
      <c r="AD659" s="799"/>
      <c r="AE659" s="799"/>
      <c r="AF659" s="799"/>
      <c r="AG659" s="799"/>
      <c r="AH659" s="799"/>
      <c r="AI659" s="799"/>
      <c r="AJ659" s="799"/>
      <c r="AK659" s="799"/>
      <c r="AL659" s="799"/>
      <c r="AM659" s="799"/>
      <c r="AN659" s="799"/>
      <c r="AO659" s="799"/>
      <c r="AP659" s="799"/>
      <c r="AQ659" s="799"/>
      <c r="AR659" s="799"/>
      <c r="AS659" s="799"/>
      <c r="AT659" s="799"/>
      <c r="AU659" s="799"/>
      <c r="AV659" s="799"/>
      <c r="AW659" s="799"/>
      <c r="AX659" s="799"/>
      <c r="AY659" s="799"/>
      <c r="AZ659" s="799"/>
      <c r="BA659" s="799"/>
      <c r="BB659" s="799"/>
      <c r="BC659" s="799"/>
      <c r="BD659" s="799"/>
      <c r="BE659" s="799"/>
      <c r="BF659" s="799"/>
      <c r="BG659" s="799"/>
    </row>
    <row r="660">
      <c r="H660" s="799"/>
      <c r="I660" s="799"/>
      <c r="J660" s="799"/>
      <c r="K660" s="799"/>
      <c r="L660" s="799"/>
      <c r="M660" s="799"/>
      <c r="N660" s="799"/>
      <c r="O660" s="799"/>
      <c r="P660" s="799"/>
      <c r="Q660" s="799"/>
      <c r="R660" s="799"/>
      <c r="S660" s="799"/>
      <c r="T660" s="799"/>
      <c r="U660" s="799"/>
      <c r="V660" s="799"/>
      <c r="W660" s="799"/>
      <c r="X660" s="799"/>
      <c r="Y660" s="799"/>
      <c r="Z660" s="799"/>
      <c r="AA660" s="799"/>
      <c r="AB660" s="799"/>
      <c r="AC660" s="799"/>
      <c r="AD660" s="799"/>
      <c r="AE660" s="799"/>
      <c r="AF660" s="799"/>
      <c r="AG660" s="799"/>
      <c r="AH660" s="799"/>
      <c r="AI660" s="799"/>
      <c r="AJ660" s="799"/>
      <c r="AK660" s="799"/>
      <c r="AL660" s="799"/>
      <c r="AM660" s="799"/>
      <c r="AN660" s="799"/>
      <c r="AO660" s="799"/>
      <c r="AP660" s="799"/>
      <c r="AQ660" s="799"/>
      <c r="AR660" s="799"/>
      <c r="AS660" s="799"/>
      <c r="AT660" s="799"/>
      <c r="AU660" s="799"/>
      <c r="AV660" s="799"/>
      <c r="AW660" s="799"/>
      <c r="AX660" s="799"/>
      <c r="AY660" s="799"/>
      <c r="AZ660" s="799"/>
      <c r="BA660" s="799"/>
      <c r="BB660" s="799"/>
      <c r="BC660" s="799"/>
      <c r="BD660" s="799"/>
      <c r="BE660" s="799"/>
      <c r="BF660" s="799"/>
      <c r="BG660" s="799"/>
    </row>
    <row r="661">
      <c r="H661" s="799"/>
      <c r="I661" s="799"/>
      <c r="J661" s="799"/>
      <c r="K661" s="799"/>
      <c r="L661" s="799"/>
      <c r="M661" s="799"/>
      <c r="N661" s="799"/>
      <c r="O661" s="799"/>
      <c r="P661" s="799"/>
      <c r="Q661" s="799"/>
      <c r="R661" s="799"/>
      <c r="S661" s="799"/>
      <c r="T661" s="799"/>
      <c r="U661" s="799"/>
      <c r="V661" s="799"/>
      <c r="W661" s="799"/>
      <c r="X661" s="799"/>
      <c r="Y661" s="799"/>
      <c r="Z661" s="799"/>
      <c r="AA661" s="799"/>
      <c r="AB661" s="799"/>
      <c r="AC661" s="799"/>
      <c r="AD661" s="799"/>
      <c r="AE661" s="799"/>
      <c r="AF661" s="799"/>
      <c r="AG661" s="799"/>
      <c r="AH661" s="799"/>
      <c r="AI661" s="799"/>
      <c r="AJ661" s="799"/>
      <c r="AK661" s="799"/>
      <c r="AL661" s="799"/>
      <c r="AM661" s="799"/>
      <c r="AN661" s="799"/>
      <c r="AO661" s="799"/>
      <c r="AP661" s="799"/>
      <c r="AQ661" s="799"/>
      <c r="AR661" s="799"/>
      <c r="AS661" s="799"/>
      <c r="AT661" s="799"/>
      <c r="AU661" s="799"/>
      <c r="AV661" s="799"/>
      <c r="AW661" s="799"/>
      <c r="AX661" s="799"/>
      <c r="AY661" s="799"/>
      <c r="AZ661" s="799"/>
      <c r="BA661" s="799"/>
      <c r="BB661" s="799"/>
      <c r="BC661" s="799"/>
      <c r="BD661" s="799"/>
      <c r="BE661" s="799"/>
      <c r="BF661" s="799"/>
      <c r="BG661" s="799"/>
    </row>
    <row r="662">
      <c r="H662" s="799"/>
      <c r="I662" s="799"/>
      <c r="J662" s="799"/>
      <c r="K662" s="799"/>
      <c r="L662" s="799"/>
      <c r="M662" s="799"/>
      <c r="N662" s="799"/>
      <c r="O662" s="799"/>
      <c r="P662" s="799"/>
      <c r="Q662" s="799"/>
      <c r="R662" s="799"/>
      <c r="S662" s="799"/>
      <c r="T662" s="799"/>
      <c r="U662" s="799"/>
      <c r="V662" s="799"/>
      <c r="W662" s="799"/>
      <c r="X662" s="799"/>
      <c r="Y662" s="799"/>
      <c r="Z662" s="799"/>
      <c r="AA662" s="799"/>
      <c r="AB662" s="799"/>
      <c r="AC662" s="799"/>
      <c r="AD662" s="799"/>
      <c r="AE662" s="799"/>
      <c r="AF662" s="799"/>
      <c r="AG662" s="799"/>
      <c r="AH662" s="799"/>
      <c r="AI662" s="799"/>
      <c r="AJ662" s="799"/>
      <c r="AK662" s="799"/>
      <c r="AL662" s="799"/>
      <c r="AM662" s="799"/>
      <c r="AN662" s="799"/>
      <c r="AO662" s="799"/>
      <c r="AP662" s="799"/>
      <c r="AQ662" s="799"/>
      <c r="AR662" s="799"/>
      <c r="AS662" s="799"/>
      <c r="AT662" s="799"/>
      <c r="AU662" s="799"/>
      <c r="AV662" s="799"/>
      <c r="AW662" s="799"/>
      <c r="AX662" s="799"/>
      <c r="AY662" s="799"/>
      <c r="AZ662" s="799"/>
      <c r="BA662" s="799"/>
      <c r="BB662" s="799"/>
      <c r="BC662" s="799"/>
      <c r="BD662" s="799"/>
      <c r="BE662" s="799"/>
      <c r="BF662" s="799"/>
      <c r="BG662" s="799"/>
    </row>
    <row r="663">
      <c r="H663" s="799"/>
      <c r="I663" s="799"/>
      <c r="J663" s="799"/>
      <c r="K663" s="799"/>
      <c r="L663" s="799"/>
      <c r="M663" s="799"/>
      <c r="N663" s="799"/>
      <c r="O663" s="799"/>
      <c r="P663" s="799"/>
      <c r="Q663" s="799"/>
      <c r="R663" s="799"/>
      <c r="S663" s="799"/>
      <c r="T663" s="799"/>
      <c r="U663" s="799"/>
      <c r="V663" s="799"/>
      <c r="W663" s="799"/>
      <c r="X663" s="799"/>
      <c r="Y663" s="799"/>
      <c r="Z663" s="799"/>
      <c r="AA663" s="799"/>
      <c r="AB663" s="799"/>
      <c r="AC663" s="799"/>
      <c r="AD663" s="799"/>
      <c r="AE663" s="799"/>
      <c r="AF663" s="799"/>
      <c r="AG663" s="799"/>
      <c r="AH663" s="799"/>
      <c r="AI663" s="799"/>
      <c r="AJ663" s="799"/>
      <c r="AK663" s="799"/>
      <c r="AL663" s="799"/>
      <c r="AM663" s="799"/>
      <c r="AN663" s="799"/>
      <c r="AO663" s="799"/>
      <c r="AP663" s="799"/>
      <c r="AQ663" s="799"/>
      <c r="AR663" s="799"/>
      <c r="AS663" s="799"/>
      <c r="AT663" s="799"/>
      <c r="AU663" s="799"/>
      <c r="AV663" s="799"/>
      <c r="AW663" s="799"/>
      <c r="AX663" s="799"/>
      <c r="AY663" s="799"/>
      <c r="AZ663" s="799"/>
      <c r="BA663" s="799"/>
      <c r="BB663" s="799"/>
      <c r="BC663" s="799"/>
      <c r="BD663" s="799"/>
      <c r="BE663" s="799"/>
      <c r="BF663" s="799"/>
      <c r="BG663" s="799"/>
    </row>
    <row r="664">
      <c r="H664" s="799"/>
      <c r="I664" s="799"/>
      <c r="J664" s="799"/>
      <c r="K664" s="799"/>
      <c r="L664" s="799"/>
      <c r="M664" s="799"/>
      <c r="N664" s="799"/>
      <c r="O664" s="799"/>
      <c r="P664" s="799"/>
      <c r="Q664" s="799"/>
      <c r="R664" s="799"/>
      <c r="S664" s="799"/>
      <c r="T664" s="799"/>
      <c r="U664" s="799"/>
      <c r="V664" s="799"/>
      <c r="W664" s="799"/>
      <c r="X664" s="799"/>
      <c r="Y664" s="799"/>
      <c r="Z664" s="799"/>
      <c r="AA664" s="799"/>
      <c r="AB664" s="799"/>
      <c r="AC664" s="799"/>
      <c r="AD664" s="799"/>
      <c r="AE664" s="799"/>
      <c r="AF664" s="799"/>
      <c r="AG664" s="799"/>
      <c r="AH664" s="799"/>
      <c r="AI664" s="799"/>
      <c r="AJ664" s="799"/>
      <c r="AK664" s="799"/>
      <c r="AL664" s="799"/>
      <c r="AM664" s="799"/>
      <c r="AN664" s="799"/>
      <c r="AO664" s="799"/>
      <c r="AP664" s="799"/>
      <c r="AQ664" s="799"/>
      <c r="AR664" s="799"/>
      <c r="AS664" s="799"/>
      <c r="AT664" s="799"/>
      <c r="AU664" s="799"/>
      <c r="AV664" s="799"/>
      <c r="AW664" s="799"/>
      <c r="AX664" s="799"/>
      <c r="AY664" s="799"/>
      <c r="AZ664" s="799"/>
      <c r="BA664" s="799"/>
      <c r="BB664" s="799"/>
      <c r="BC664" s="799"/>
      <c r="BD664" s="799"/>
      <c r="BE664" s="799"/>
      <c r="BF664" s="799"/>
      <c r="BG664" s="799"/>
    </row>
    <row r="665">
      <c r="H665" s="799"/>
      <c r="I665" s="799"/>
      <c r="J665" s="799"/>
      <c r="K665" s="799"/>
      <c r="L665" s="799"/>
      <c r="M665" s="799"/>
      <c r="N665" s="799"/>
      <c r="O665" s="799"/>
      <c r="P665" s="799"/>
      <c r="Q665" s="799"/>
      <c r="R665" s="799"/>
      <c r="S665" s="799"/>
      <c r="T665" s="799"/>
      <c r="U665" s="799"/>
      <c r="V665" s="799"/>
      <c r="W665" s="799"/>
      <c r="X665" s="799"/>
      <c r="Y665" s="799"/>
      <c r="Z665" s="799"/>
      <c r="AA665" s="799"/>
      <c r="AB665" s="799"/>
      <c r="AC665" s="799"/>
      <c r="AD665" s="799"/>
      <c r="AE665" s="799"/>
      <c r="AF665" s="799"/>
      <c r="AG665" s="799"/>
      <c r="AH665" s="799"/>
      <c r="AI665" s="799"/>
      <c r="AJ665" s="799"/>
      <c r="AK665" s="799"/>
      <c r="AL665" s="799"/>
      <c r="AM665" s="799"/>
      <c r="AN665" s="799"/>
      <c r="AO665" s="799"/>
      <c r="AP665" s="799"/>
      <c r="AQ665" s="799"/>
      <c r="AR665" s="799"/>
      <c r="AS665" s="799"/>
      <c r="AT665" s="799"/>
      <c r="AU665" s="799"/>
      <c r="AV665" s="799"/>
      <c r="AW665" s="799"/>
      <c r="AX665" s="799"/>
      <c r="AY665" s="799"/>
      <c r="AZ665" s="799"/>
      <c r="BA665" s="799"/>
      <c r="BB665" s="799"/>
      <c r="BC665" s="799"/>
      <c r="BD665" s="799"/>
      <c r="BE665" s="799"/>
      <c r="BF665" s="799"/>
      <c r="BG665" s="799"/>
    </row>
    <row r="666">
      <c r="H666" s="799"/>
      <c r="I666" s="799"/>
      <c r="J666" s="799"/>
      <c r="K666" s="799"/>
      <c r="L666" s="799"/>
      <c r="M666" s="799"/>
      <c r="N666" s="799"/>
      <c r="O666" s="799"/>
      <c r="P666" s="799"/>
      <c r="Q666" s="799"/>
      <c r="R666" s="799"/>
      <c r="S666" s="799"/>
      <c r="T666" s="799"/>
      <c r="U666" s="799"/>
      <c r="V666" s="799"/>
      <c r="W666" s="799"/>
      <c r="X666" s="799"/>
      <c r="Y666" s="799"/>
      <c r="Z666" s="799"/>
      <c r="AA666" s="799"/>
      <c r="AB666" s="799"/>
      <c r="AC666" s="799"/>
      <c r="AD666" s="799"/>
      <c r="AE666" s="799"/>
      <c r="AF666" s="799"/>
      <c r="AG666" s="799"/>
      <c r="AH666" s="799"/>
      <c r="AI666" s="799"/>
      <c r="AJ666" s="799"/>
      <c r="AK666" s="799"/>
      <c r="AL666" s="799"/>
      <c r="AM666" s="799"/>
      <c r="AN666" s="799"/>
      <c r="AO666" s="799"/>
      <c r="AP666" s="799"/>
      <c r="AQ666" s="799"/>
      <c r="AR666" s="799"/>
      <c r="AS666" s="799"/>
      <c r="AT666" s="799"/>
      <c r="AU666" s="799"/>
      <c r="AV666" s="799"/>
      <c r="AW666" s="799"/>
      <c r="AX666" s="799"/>
      <c r="AY666" s="799"/>
      <c r="AZ666" s="799"/>
      <c r="BA666" s="799"/>
      <c r="BB666" s="799"/>
      <c r="BC666" s="799"/>
      <c r="BD666" s="799"/>
      <c r="BE666" s="799"/>
      <c r="BF666" s="799"/>
      <c r="BG666" s="799"/>
    </row>
    <row r="667">
      <c r="H667" s="799"/>
      <c r="I667" s="799"/>
      <c r="J667" s="799"/>
      <c r="K667" s="799"/>
      <c r="L667" s="799"/>
      <c r="M667" s="799"/>
      <c r="N667" s="799"/>
      <c r="O667" s="799"/>
      <c r="P667" s="799"/>
      <c r="Q667" s="799"/>
      <c r="R667" s="799"/>
      <c r="S667" s="799"/>
      <c r="T667" s="799"/>
      <c r="U667" s="799"/>
      <c r="V667" s="799"/>
      <c r="W667" s="799"/>
      <c r="X667" s="799"/>
      <c r="Y667" s="799"/>
      <c r="Z667" s="799"/>
      <c r="AA667" s="799"/>
      <c r="AB667" s="799"/>
      <c r="AC667" s="799"/>
      <c r="AD667" s="799"/>
      <c r="AE667" s="799"/>
      <c r="AF667" s="799"/>
      <c r="AG667" s="799"/>
      <c r="AH667" s="799"/>
      <c r="AI667" s="799"/>
      <c r="AJ667" s="799"/>
      <c r="AK667" s="799"/>
      <c r="AL667" s="799"/>
      <c r="AM667" s="799"/>
      <c r="AN667" s="799"/>
      <c r="AO667" s="799"/>
      <c r="AP667" s="799"/>
      <c r="AQ667" s="799"/>
      <c r="AR667" s="799"/>
      <c r="AS667" s="799"/>
      <c r="AT667" s="799"/>
      <c r="AU667" s="799"/>
      <c r="AV667" s="799"/>
      <c r="AW667" s="799"/>
      <c r="AX667" s="799"/>
      <c r="AY667" s="799"/>
      <c r="AZ667" s="799"/>
      <c r="BA667" s="799"/>
      <c r="BB667" s="799"/>
      <c r="BC667" s="799"/>
      <c r="BD667" s="799"/>
      <c r="BE667" s="799"/>
      <c r="BF667" s="799"/>
      <c r="BG667" s="799"/>
    </row>
    <row r="668">
      <c r="H668" s="799"/>
      <c r="I668" s="799"/>
      <c r="J668" s="799"/>
      <c r="K668" s="799"/>
      <c r="L668" s="799"/>
      <c r="M668" s="799"/>
      <c r="N668" s="799"/>
      <c r="O668" s="799"/>
      <c r="P668" s="799"/>
      <c r="Q668" s="799"/>
      <c r="R668" s="799"/>
      <c r="S668" s="799"/>
      <c r="T668" s="799"/>
      <c r="U668" s="799"/>
      <c r="V668" s="799"/>
      <c r="W668" s="799"/>
      <c r="X668" s="799"/>
      <c r="Y668" s="799"/>
      <c r="Z668" s="799"/>
      <c r="AA668" s="799"/>
      <c r="AB668" s="799"/>
      <c r="AC668" s="799"/>
      <c r="AD668" s="799"/>
      <c r="AE668" s="799"/>
      <c r="AF668" s="799"/>
      <c r="AG668" s="799"/>
      <c r="AH668" s="799"/>
      <c r="AI668" s="799"/>
      <c r="AJ668" s="799"/>
      <c r="AK668" s="799"/>
      <c r="AL668" s="799"/>
      <c r="AM668" s="799"/>
      <c r="AN668" s="799"/>
      <c r="AO668" s="799"/>
      <c r="AP668" s="799"/>
      <c r="AQ668" s="799"/>
      <c r="AR668" s="799"/>
      <c r="AS668" s="799"/>
      <c r="AT668" s="799"/>
      <c r="AU668" s="799"/>
      <c r="AV668" s="799"/>
      <c r="AW668" s="799"/>
      <c r="AX668" s="799"/>
      <c r="AY668" s="799"/>
      <c r="AZ668" s="799"/>
      <c r="BA668" s="799"/>
      <c r="BB668" s="799"/>
      <c r="BC668" s="799"/>
      <c r="BD668" s="799"/>
      <c r="BE668" s="799"/>
      <c r="BF668" s="799"/>
      <c r="BG668" s="799"/>
    </row>
    <row r="669">
      <c r="H669" s="799"/>
      <c r="I669" s="799"/>
      <c r="J669" s="799"/>
      <c r="K669" s="799"/>
      <c r="L669" s="799"/>
      <c r="M669" s="799"/>
      <c r="N669" s="799"/>
      <c r="O669" s="799"/>
      <c r="P669" s="799"/>
      <c r="Q669" s="799"/>
      <c r="R669" s="799"/>
      <c r="S669" s="799"/>
      <c r="T669" s="799"/>
      <c r="U669" s="799"/>
      <c r="V669" s="799"/>
      <c r="W669" s="799"/>
      <c r="X669" s="799"/>
      <c r="Y669" s="799"/>
      <c r="Z669" s="799"/>
      <c r="AA669" s="799"/>
      <c r="AB669" s="799"/>
      <c r="AC669" s="799"/>
      <c r="AD669" s="799"/>
      <c r="AE669" s="799"/>
      <c r="AF669" s="799"/>
      <c r="AG669" s="799"/>
      <c r="AH669" s="799"/>
      <c r="AI669" s="799"/>
      <c r="AJ669" s="799"/>
      <c r="AK669" s="799"/>
      <c r="AL669" s="799"/>
      <c r="AM669" s="799"/>
      <c r="AN669" s="799"/>
      <c r="AO669" s="799"/>
      <c r="AP669" s="799"/>
      <c r="AQ669" s="799"/>
      <c r="AR669" s="799"/>
      <c r="AS669" s="799"/>
      <c r="AT669" s="799"/>
      <c r="AU669" s="799"/>
      <c r="AV669" s="799"/>
      <c r="AW669" s="799"/>
      <c r="AX669" s="799"/>
      <c r="AY669" s="799"/>
      <c r="AZ669" s="799"/>
      <c r="BA669" s="799"/>
      <c r="BB669" s="799"/>
      <c r="BC669" s="799"/>
      <c r="BD669" s="799"/>
      <c r="BE669" s="799"/>
      <c r="BF669" s="799"/>
      <c r="BG669" s="799"/>
    </row>
    <row r="670">
      <c r="H670" s="799"/>
      <c r="I670" s="799"/>
      <c r="J670" s="799"/>
      <c r="K670" s="799"/>
      <c r="L670" s="799"/>
      <c r="M670" s="799"/>
      <c r="N670" s="799"/>
      <c r="O670" s="799"/>
      <c r="P670" s="799"/>
      <c r="Q670" s="799"/>
      <c r="R670" s="799"/>
      <c r="S670" s="799"/>
      <c r="T670" s="799"/>
      <c r="U670" s="799"/>
      <c r="V670" s="799"/>
      <c r="W670" s="799"/>
      <c r="X670" s="799"/>
      <c r="Y670" s="799"/>
      <c r="Z670" s="799"/>
      <c r="AA670" s="799"/>
      <c r="AB670" s="799"/>
      <c r="AC670" s="799"/>
      <c r="AD670" s="799"/>
      <c r="AE670" s="799"/>
      <c r="AF670" s="799"/>
      <c r="AG670" s="799"/>
      <c r="AH670" s="799"/>
      <c r="AI670" s="799"/>
      <c r="AJ670" s="799"/>
      <c r="AK670" s="799"/>
      <c r="AL670" s="799"/>
      <c r="AM670" s="799"/>
      <c r="AN670" s="799"/>
      <c r="AO670" s="799"/>
      <c r="AP670" s="799"/>
      <c r="AQ670" s="799"/>
      <c r="AR670" s="799"/>
      <c r="AS670" s="799"/>
      <c r="AT670" s="799"/>
      <c r="AU670" s="799"/>
      <c r="AV670" s="799"/>
      <c r="AW670" s="799"/>
      <c r="AX670" s="799"/>
      <c r="AY670" s="799"/>
      <c r="AZ670" s="799"/>
      <c r="BA670" s="799"/>
      <c r="BB670" s="799"/>
      <c r="BC670" s="799"/>
      <c r="BD670" s="799"/>
      <c r="BE670" s="799"/>
      <c r="BF670" s="799"/>
      <c r="BG670" s="799"/>
    </row>
    <row r="671">
      <c r="H671" s="799"/>
      <c r="I671" s="799"/>
      <c r="J671" s="799"/>
      <c r="K671" s="799"/>
      <c r="L671" s="799"/>
      <c r="M671" s="799"/>
      <c r="N671" s="799"/>
      <c r="O671" s="799"/>
      <c r="P671" s="799"/>
      <c r="Q671" s="799"/>
      <c r="R671" s="799"/>
      <c r="S671" s="799"/>
      <c r="T671" s="799"/>
      <c r="U671" s="799"/>
      <c r="V671" s="799"/>
      <c r="W671" s="799"/>
      <c r="X671" s="799"/>
      <c r="Y671" s="799"/>
      <c r="Z671" s="799"/>
      <c r="AA671" s="799"/>
      <c r="AB671" s="799"/>
      <c r="AC671" s="799"/>
      <c r="AD671" s="799"/>
      <c r="AE671" s="799"/>
      <c r="AF671" s="799"/>
      <c r="AG671" s="799"/>
      <c r="AH671" s="799"/>
      <c r="AI671" s="799"/>
      <c r="AJ671" s="799"/>
      <c r="AK671" s="799"/>
      <c r="AL671" s="799"/>
      <c r="AM671" s="799"/>
      <c r="AN671" s="799"/>
      <c r="AO671" s="799"/>
      <c r="AP671" s="799"/>
      <c r="AQ671" s="799"/>
      <c r="AR671" s="799"/>
      <c r="AS671" s="799"/>
      <c r="AT671" s="799"/>
      <c r="AU671" s="799"/>
      <c r="AV671" s="799"/>
      <c r="AW671" s="799"/>
      <c r="AX671" s="799"/>
      <c r="AY671" s="799"/>
      <c r="AZ671" s="799"/>
      <c r="BA671" s="799"/>
      <c r="BB671" s="799"/>
      <c r="BC671" s="799"/>
      <c r="BD671" s="799"/>
      <c r="BE671" s="799"/>
      <c r="BF671" s="799"/>
      <c r="BG671" s="799"/>
    </row>
    <row r="672">
      <c r="H672" s="799"/>
      <c r="I672" s="799"/>
      <c r="J672" s="799"/>
      <c r="K672" s="799"/>
      <c r="L672" s="799"/>
      <c r="M672" s="799"/>
      <c r="N672" s="799"/>
      <c r="O672" s="799"/>
      <c r="P672" s="799"/>
      <c r="Q672" s="799"/>
      <c r="R672" s="799"/>
      <c r="S672" s="799"/>
      <c r="T672" s="799"/>
      <c r="U672" s="799"/>
      <c r="V672" s="799"/>
      <c r="W672" s="799"/>
      <c r="X672" s="799"/>
      <c r="Y672" s="799"/>
      <c r="Z672" s="799"/>
      <c r="AA672" s="799"/>
      <c r="AB672" s="799"/>
      <c r="AC672" s="799"/>
      <c r="AD672" s="799"/>
      <c r="AE672" s="799"/>
      <c r="AF672" s="799"/>
      <c r="AG672" s="799"/>
      <c r="AH672" s="799"/>
      <c r="AI672" s="799"/>
      <c r="AJ672" s="799"/>
      <c r="AK672" s="799"/>
      <c r="AL672" s="799"/>
      <c r="AM672" s="799"/>
      <c r="AN672" s="799"/>
      <c r="AO672" s="799"/>
      <c r="AP672" s="799"/>
      <c r="AQ672" s="799"/>
      <c r="AR672" s="799"/>
      <c r="AS672" s="799"/>
      <c r="AT672" s="799"/>
      <c r="AU672" s="799"/>
      <c r="AV672" s="799"/>
      <c r="AW672" s="799"/>
      <c r="AX672" s="799"/>
      <c r="AY672" s="799"/>
      <c r="AZ672" s="799"/>
      <c r="BA672" s="799"/>
      <c r="BB672" s="799"/>
      <c r="BC672" s="799"/>
      <c r="BD672" s="799"/>
      <c r="BE672" s="799"/>
      <c r="BF672" s="799"/>
      <c r="BG672" s="799"/>
    </row>
    <row r="673">
      <c r="H673" s="799"/>
      <c r="I673" s="799"/>
      <c r="J673" s="799"/>
      <c r="K673" s="799"/>
      <c r="L673" s="799"/>
      <c r="M673" s="799"/>
      <c r="N673" s="799"/>
      <c r="O673" s="799"/>
      <c r="P673" s="799"/>
      <c r="Q673" s="799"/>
      <c r="R673" s="799"/>
      <c r="S673" s="799"/>
      <c r="T673" s="799"/>
      <c r="U673" s="799"/>
      <c r="V673" s="799"/>
      <c r="W673" s="799"/>
      <c r="X673" s="799"/>
      <c r="Y673" s="799"/>
      <c r="Z673" s="799"/>
      <c r="AA673" s="799"/>
      <c r="AB673" s="799"/>
      <c r="AC673" s="799"/>
      <c r="AD673" s="799"/>
      <c r="AE673" s="799"/>
      <c r="AF673" s="799"/>
      <c r="AG673" s="799"/>
      <c r="AH673" s="799"/>
      <c r="AI673" s="799"/>
      <c r="AJ673" s="799"/>
      <c r="AK673" s="799"/>
      <c r="AL673" s="799"/>
      <c r="AM673" s="799"/>
      <c r="AN673" s="799"/>
      <c r="AO673" s="799"/>
      <c r="AP673" s="799"/>
      <c r="AQ673" s="799"/>
      <c r="AR673" s="799"/>
      <c r="AS673" s="799"/>
      <c r="AT673" s="799"/>
      <c r="AU673" s="799"/>
      <c r="AV673" s="799"/>
      <c r="AW673" s="799"/>
      <c r="AX673" s="799"/>
      <c r="AY673" s="799"/>
      <c r="AZ673" s="799"/>
      <c r="BA673" s="799"/>
      <c r="BB673" s="799"/>
      <c r="BC673" s="799"/>
      <c r="BD673" s="799"/>
      <c r="BE673" s="799"/>
      <c r="BF673" s="799"/>
      <c r="BG673" s="799"/>
    </row>
    <row r="674">
      <c r="H674" s="799"/>
      <c r="I674" s="799"/>
      <c r="J674" s="799"/>
      <c r="K674" s="799"/>
      <c r="L674" s="799"/>
      <c r="M674" s="799"/>
      <c r="N674" s="799"/>
      <c r="O674" s="799"/>
      <c r="P674" s="799"/>
      <c r="Q674" s="799"/>
      <c r="R674" s="799"/>
      <c r="S674" s="799"/>
      <c r="T674" s="799"/>
      <c r="U674" s="799"/>
      <c r="V674" s="799"/>
      <c r="W674" s="799"/>
      <c r="X674" s="799"/>
      <c r="Y674" s="799"/>
      <c r="Z674" s="799"/>
      <c r="AA674" s="799"/>
      <c r="AB674" s="799"/>
      <c r="AC674" s="799"/>
      <c r="AD674" s="799"/>
      <c r="AE674" s="799"/>
      <c r="AF674" s="799"/>
      <c r="AG674" s="799"/>
      <c r="AH674" s="799"/>
      <c r="AI674" s="799"/>
      <c r="AJ674" s="799"/>
      <c r="AK674" s="799"/>
      <c r="AL674" s="799"/>
      <c r="AM674" s="799"/>
      <c r="AN674" s="799"/>
      <c r="AO674" s="799"/>
      <c r="AP674" s="799"/>
      <c r="AQ674" s="799"/>
      <c r="AR674" s="799"/>
      <c r="AS674" s="799"/>
      <c r="AT674" s="799"/>
      <c r="AU674" s="799"/>
      <c r="AV674" s="799"/>
      <c r="AW674" s="799"/>
      <c r="AX674" s="799"/>
      <c r="AY674" s="799"/>
      <c r="AZ674" s="799"/>
      <c r="BA674" s="799"/>
      <c r="BB674" s="799"/>
      <c r="BC674" s="799"/>
      <c r="BD674" s="799"/>
      <c r="BE674" s="799"/>
      <c r="BF674" s="799"/>
      <c r="BG674" s="799"/>
    </row>
    <row r="675">
      <c r="H675" s="799"/>
      <c r="I675" s="799"/>
      <c r="J675" s="799"/>
      <c r="K675" s="799"/>
      <c r="L675" s="799"/>
      <c r="M675" s="799"/>
      <c r="N675" s="799"/>
      <c r="O675" s="799"/>
      <c r="P675" s="799"/>
      <c r="Q675" s="799"/>
      <c r="R675" s="799"/>
      <c r="S675" s="799"/>
      <c r="T675" s="799"/>
      <c r="U675" s="799"/>
      <c r="V675" s="799"/>
      <c r="W675" s="799"/>
      <c r="X675" s="799"/>
      <c r="Y675" s="799"/>
      <c r="Z675" s="799"/>
      <c r="AA675" s="799"/>
      <c r="AB675" s="799"/>
      <c r="AC675" s="799"/>
      <c r="AD675" s="799"/>
      <c r="AE675" s="799"/>
      <c r="AF675" s="799"/>
      <c r="AG675" s="799"/>
      <c r="AH675" s="799"/>
      <c r="AI675" s="799"/>
      <c r="AJ675" s="799"/>
      <c r="AK675" s="799"/>
      <c r="AL675" s="799"/>
      <c r="AM675" s="799"/>
      <c r="AN675" s="799"/>
      <c r="AO675" s="799"/>
      <c r="AP675" s="799"/>
      <c r="AQ675" s="799"/>
      <c r="AR675" s="799"/>
      <c r="AS675" s="799"/>
      <c r="AT675" s="799"/>
      <c r="AU675" s="799"/>
      <c r="AV675" s="799"/>
      <c r="AW675" s="799"/>
      <c r="AX675" s="799"/>
      <c r="AY675" s="799"/>
      <c r="AZ675" s="799"/>
      <c r="BA675" s="799"/>
      <c r="BB675" s="799"/>
      <c r="BC675" s="799"/>
      <c r="BD675" s="799"/>
      <c r="BE675" s="799"/>
      <c r="BF675" s="799"/>
      <c r="BG675" s="799"/>
    </row>
    <row r="676">
      <c r="H676" s="799"/>
      <c r="I676" s="799"/>
      <c r="J676" s="799"/>
      <c r="K676" s="799"/>
      <c r="L676" s="799"/>
      <c r="M676" s="799"/>
      <c r="N676" s="799"/>
      <c r="O676" s="799"/>
      <c r="P676" s="799"/>
      <c r="Q676" s="799"/>
      <c r="R676" s="799"/>
      <c r="S676" s="799"/>
      <c r="T676" s="799"/>
      <c r="U676" s="799"/>
      <c r="V676" s="799"/>
      <c r="W676" s="799"/>
      <c r="X676" s="799"/>
      <c r="Y676" s="799"/>
      <c r="Z676" s="799"/>
      <c r="AA676" s="799"/>
      <c r="AB676" s="799"/>
      <c r="AC676" s="799"/>
      <c r="AD676" s="799"/>
      <c r="AE676" s="799"/>
      <c r="AF676" s="799"/>
      <c r="AG676" s="799"/>
      <c r="AH676" s="799"/>
      <c r="AI676" s="799"/>
      <c r="AJ676" s="799"/>
      <c r="AK676" s="799"/>
      <c r="AL676" s="799"/>
      <c r="AM676" s="799"/>
      <c r="AN676" s="799"/>
      <c r="AO676" s="799"/>
      <c r="AP676" s="799"/>
      <c r="AQ676" s="799"/>
      <c r="AR676" s="799"/>
      <c r="AS676" s="799"/>
      <c r="AT676" s="799"/>
      <c r="AU676" s="799"/>
      <c r="AV676" s="799"/>
      <c r="AW676" s="799"/>
      <c r="AX676" s="799"/>
      <c r="AY676" s="799"/>
      <c r="AZ676" s="799"/>
      <c r="BA676" s="799"/>
      <c r="BB676" s="799"/>
      <c r="BC676" s="799"/>
      <c r="BD676" s="799"/>
      <c r="BE676" s="799"/>
      <c r="BF676" s="799"/>
      <c r="BG676" s="799"/>
    </row>
    <row r="677">
      <c r="H677" s="799"/>
      <c r="I677" s="799"/>
      <c r="J677" s="799"/>
      <c r="K677" s="799"/>
      <c r="L677" s="799"/>
      <c r="M677" s="799"/>
      <c r="N677" s="799"/>
      <c r="O677" s="799"/>
      <c r="P677" s="799"/>
      <c r="Q677" s="799"/>
      <c r="R677" s="799"/>
      <c r="S677" s="799"/>
      <c r="T677" s="799"/>
      <c r="U677" s="799"/>
      <c r="V677" s="799"/>
      <c r="W677" s="799"/>
      <c r="X677" s="799"/>
      <c r="Y677" s="799"/>
      <c r="Z677" s="799"/>
      <c r="AA677" s="799"/>
      <c r="AB677" s="799"/>
      <c r="AC677" s="799"/>
      <c r="AD677" s="799"/>
      <c r="AE677" s="799"/>
      <c r="AF677" s="799"/>
      <c r="AG677" s="799"/>
      <c r="AH677" s="799"/>
      <c r="AI677" s="799"/>
      <c r="AJ677" s="799"/>
      <c r="AK677" s="799"/>
      <c r="AL677" s="799"/>
      <c r="AM677" s="799"/>
      <c r="AN677" s="799"/>
      <c r="AO677" s="799"/>
      <c r="AP677" s="799"/>
      <c r="AQ677" s="799"/>
      <c r="AR677" s="799"/>
      <c r="AS677" s="799"/>
      <c r="AT677" s="799"/>
      <c r="AU677" s="799"/>
      <c r="AV677" s="799"/>
      <c r="AW677" s="799"/>
      <c r="AX677" s="799"/>
      <c r="AY677" s="799"/>
      <c r="AZ677" s="799"/>
      <c r="BA677" s="799"/>
      <c r="BB677" s="799"/>
      <c r="BC677" s="799"/>
      <c r="BD677" s="799"/>
      <c r="BE677" s="799"/>
      <c r="BF677" s="799"/>
      <c r="BG677" s="799"/>
    </row>
    <row r="678">
      <c r="H678" s="799"/>
      <c r="I678" s="799"/>
      <c r="J678" s="799"/>
      <c r="K678" s="799"/>
      <c r="L678" s="799"/>
      <c r="M678" s="799"/>
      <c r="N678" s="799"/>
      <c r="O678" s="799"/>
      <c r="P678" s="799"/>
      <c r="Q678" s="799"/>
      <c r="R678" s="799"/>
      <c r="S678" s="799"/>
      <c r="T678" s="799"/>
      <c r="U678" s="799"/>
      <c r="V678" s="799"/>
      <c r="W678" s="799"/>
      <c r="X678" s="799"/>
      <c r="Y678" s="799"/>
      <c r="Z678" s="799"/>
      <c r="AA678" s="799"/>
      <c r="AB678" s="799"/>
      <c r="AC678" s="799"/>
      <c r="AD678" s="799"/>
      <c r="AE678" s="799"/>
      <c r="AF678" s="799"/>
      <c r="AG678" s="799"/>
      <c r="AH678" s="799"/>
      <c r="AI678" s="799"/>
      <c r="AJ678" s="799"/>
      <c r="AK678" s="799"/>
      <c r="AL678" s="799"/>
      <c r="AM678" s="799"/>
      <c r="AN678" s="799"/>
      <c r="AO678" s="799"/>
      <c r="AP678" s="799"/>
      <c r="AQ678" s="799"/>
      <c r="AR678" s="799"/>
      <c r="AS678" s="799"/>
      <c r="AT678" s="799"/>
      <c r="AU678" s="799"/>
      <c r="AV678" s="799"/>
      <c r="AW678" s="799"/>
      <c r="AX678" s="799"/>
      <c r="AY678" s="799"/>
      <c r="AZ678" s="799"/>
      <c r="BA678" s="799"/>
      <c r="BB678" s="799"/>
      <c r="BC678" s="799"/>
      <c r="BD678" s="799"/>
      <c r="BE678" s="799"/>
      <c r="BF678" s="799"/>
      <c r="BG678" s="799"/>
    </row>
    <row r="679">
      <c r="H679" s="799"/>
      <c r="I679" s="799"/>
      <c r="J679" s="799"/>
      <c r="K679" s="799"/>
      <c r="L679" s="799"/>
      <c r="M679" s="799"/>
      <c r="N679" s="799"/>
      <c r="O679" s="799"/>
      <c r="P679" s="799"/>
      <c r="Q679" s="799"/>
      <c r="R679" s="799"/>
      <c r="S679" s="799"/>
      <c r="T679" s="799"/>
      <c r="U679" s="799"/>
      <c r="V679" s="799"/>
      <c r="W679" s="799"/>
      <c r="X679" s="799"/>
      <c r="Y679" s="799"/>
      <c r="Z679" s="799"/>
      <c r="AA679" s="799"/>
      <c r="AB679" s="799"/>
      <c r="AC679" s="799"/>
      <c r="AD679" s="799"/>
      <c r="AE679" s="799"/>
      <c r="AF679" s="799"/>
      <c r="AG679" s="799"/>
      <c r="AH679" s="799"/>
      <c r="AI679" s="799"/>
      <c r="AJ679" s="799"/>
      <c r="AK679" s="799"/>
      <c r="AL679" s="799"/>
      <c r="AM679" s="799"/>
      <c r="AN679" s="799"/>
      <c r="AO679" s="799"/>
      <c r="AP679" s="799"/>
      <c r="AQ679" s="799"/>
      <c r="AR679" s="799"/>
      <c r="AS679" s="799"/>
      <c r="AT679" s="799"/>
      <c r="AU679" s="799"/>
      <c r="AV679" s="799"/>
      <c r="AW679" s="799"/>
      <c r="AX679" s="799"/>
      <c r="AY679" s="799"/>
      <c r="AZ679" s="799"/>
      <c r="BA679" s="799"/>
      <c r="BB679" s="799"/>
      <c r="BC679" s="799"/>
      <c r="BD679" s="799"/>
      <c r="BE679" s="799"/>
      <c r="BF679" s="799"/>
      <c r="BG679" s="799"/>
    </row>
    <row r="680">
      <c r="H680" s="799"/>
      <c r="I680" s="799"/>
      <c r="J680" s="799"/>
      <c r="K680" s="799"/>
      <c r="L680" s="799"/>
      <c r="M680" s="799"/>
      <c r="N680" s="799"/>
      <c r="O680" s="799"/>
      <c r="P680" s="799"/>
      <c r="Q680" s="799"/>
      <c r="R680" s="799"/>
      <c r="S680" s="799"/>
      <c r="T680" s="799"/>
      <c r="U680" s="799"/>
      <c r="V680" s="799"/>
      <c r="W680" s="799"/>
      <c r="X680" s="799"/>
      <c r="Y680" s="799"/>
      <c r="Z680" s="799"/>
      <c r="AA680" s="799"/>
      <c r="AB680" s="799"/>
      <c r="AC680" s="799"/>
      <c r="AD680" s="799"/>
      <c r="AE680" s="799"/>
      <c r="AF680" s="799"/>
      <c r="AG680" s="799"/>
      <c r="AH680" s="799"/>
      <c r="AI680" s="799"/>
      <c r="AJ680" s="799"/>
      <c r="AK680" s="799"/>
      <c r="AL680" s="799"/>
      <c r="AM680" s="799"/>
      <c r="AN680" s="799"/>
      <c r="AO680" s="799"/>
      <c r="AP680" s="799"/>
      <c r="AQ680" s="799"/>
      <c r="AR680" s="799"/>
      <c r="AS680" s="799"/>
      <c r="AT680" s="799"/>
      <c r="AU680" s="799"/>
      <c r="AV680" s="799"/>
      <c r="AW680" s="799"/>
      <c r="AX680" s="799"/>
      <c r="AY680" s="799"/>
      <c r="AZ680" s="799"/>
      <c r="BA680" s="799"/>
      <c r="BB680" s="799"/>
      <c r="BC680" s="799"/>
      <c r="BD680" s="799"/>
      <c r="BE680" s="799"/>
      <c r="BF680" s="799"/>
      <c r="BG680" s="799"/>
    </row>
    <row r="681">
      <c r="H681" s="799"/>
      <c r="I681" s="799"/>
      <c r="J681" s="799"/>
      <c r="K681" s="799"/>
      <c r="L681" s="799"/>
      <c r="M681" s="799"/>
      <c r="N681" s="799"/>
      <c r="O681" s="799"/>
      <c r="P681" s="799"/>
      <c r="Q681" s="799"/>
      <c r="R681" s="799"/>
      <c r="S681" s="799"/>
      <c r="T681" s="799"/>
      <c r="U681" s="799"/>
      <c r="V681" s="799"/>
      <c r="W681" s="799"/>
      <c r="X681" s="799"/>
      <c r="Y681" s="799"/>
      <c r="Z681" s="799"/>
      <c r="AA681" s="799"/>
      <c r="AB681" s="799"/>
      <c r="AC681" s="799"/>
      <c r="AD681" s="799"/>
      <c r="AE681" s="799"/>
      <c r="AF681" s="799"/>
      <c r="AG681" s="799"/>
      <c r="AH681" s="799"/>
      <c r="AI681" s="799"/>
      <c r="AJ681" s="799"/>
      <c r="AK681" s="799"/>
      <c r="AL681" s="799"/>
      <c r="AM681" s="799"/>
      <c r="AN681" s="799"/>
      <c r="AO681" s="799"/>
      <c r="AP681" s="799"/>
      <c r="AQ681" s="799"/>
      <c r="AR681" s="799"/>
      <c r="AS681" s="799"/>
      <c r="AT681" s="799"/>
      <c r="AU681" s="799"/>
      <c r="AV681" s="799"/>
      <c r="AW681" s="799"/>
      <c r="AX681" s="799"/>
      <c r="AY681" s="799"/>
      <c r="AZ681" s="799"/>
      <c r="BA681" s="799"/>
      <c r="BB681" s="799"/>
      <c r="BC681" s="799"/>
      <c r="BD681" s="799"/>
      <c r="BE681" s="799"/>
      <c r="BF681" s="799"/>
      <c r="BG681" s="799"/>
    </row>
    <row r="682">
      <c r="H682" s="799"/>
      <c r="I682" s="799"/>
      <c r="J682" s="799"/>
      <c r="K682" s="799"/>
      <c r="L682" s="799"/>
      <c r="M682" s="799"/>
      <c r="N682" s="799"/>
      <c r="O682" s="799"/>
      <c r="P682" s="799"/>
      <c r="Q682" s="799"/>
      <c r="R682" s="799"/>
      <c r="S682" s="799"/>
      <c r="T682" s="799"/>
      <c r="U682" s="799"/>
      <c r="V682" s="799"/>
      <c r="W682" s="799"/>
      <c r="X682" s="799"/>
      <c r="Y682" s="799"/>
      <c r="Z682" s="799"/>
      <c r="AA682" s="799"/>
      <c r="AB682" s="799"/>
      <c r="AC682" s="799"/>
      <c r="AD682" s="799"/>
      <c r="AE682" s="799"/>
      <c r="AF682" s="799"/>
      <c r="AG682" s="799"/>
      <c r="AH682" s="799"/>
      <c r="AI682" s="799"/>
      <c r="AJ682" s="799"/>
      <c r="AK682" s="799"/>
      <c r="AL682" s="799"/>
      <c r="AM682" s="799"/>
      <c r="AN682" s="799"/>
      <c r="AO682" s="799"/>
      <c r="AP682" s="799"/>
      <c r="AQ682" s="799"/>
      <c r="AR682" s="799"/>
      <c r="AS682" s="799"/>
      <c r="AT682" s="799"/>
      <c r="AU682" s="799"/>
      <c r="AV682" s="799"/>
      <c r="AW682" s="799"/>
      <c r="AX682" s="799"/>
      <c r="AY682" s="799"/>
      <c r="AZ682" s="799"/>
      <c r="BA682" s="799"/>
      <c r="BB682" s="799"/>
      <c r="BC682" s="799"/>
      <c r="BD682" s="799"/>
      <c r="BE682" s="799"/>
      <c r="BF682" s="799"/>
      <c r="BG682" s="799"/>
    </row>
    <row r="683">
      <c r="H683" s="799"/>
      <c r="I683" s="799"/>
      <c r="J683" s="799"/>
      <c r="K683" s="799"/>
      <c r="L683" s="799"/>
      <c r="M683" s="799"/>
      <c r="N683" s="799"/>
      <c r="O683" s="799"/>
      <c r="P683" s="799"/>
      <c r="Q683" s="799"/>
      <c r="R683" s="799"/>
      <c r="S683" s="799"/>
      <c r="T683" s="799"/>
      <c r="U683" s="799"/>
      <c r="V683" s="799"/>
      <c r="W683" s="799"/>
      <c r="X683" s="799"/>
      <c r="Y683" s="799"/>
      <c r="Z683" s="799"/>
      <c r="AA683" s="799"/>
      <c r="AB683" s="799"/>
      <c r="AC683" s="799"/>
      <c r="AD683" s="799"/>
      <c r="AE683" s="799"/>
      <c r="AF683" s="799"/>
      <c r="AG683" s="799"/>
      <c r="AH683" s="799"/>
      <c r="AI683" s="799"/>
      <c r="AJ683" s="799"/>
      <c r="AK683" s="799"/>
      <c r="AL683" s="799"/>
      <c r="AM683" s="799"/>
      <c r="AN683" s="799"/>
      <c r="AO683" s="799"/>
      <c r="AP683" s="799"/>
      <c r="AQ683" s="799"/>
      <c r="AR683" s="799"/>
      <c r="AS683" s="799"/>
      <c r="AT683" s="799"/>
      <c r="AU683" s="799"/>
      <c r="AV683" s="799"/>
      <c r="AW683" s="799"/>
      <c r="AX683" s="799"/>
      <c r="AY683" s="799"/>
      <c r="AZ683" s="799"/>
      <c r="BA683" s="799"/>
      <c r="BB683" s="799"/>
      <c r="BC683" s="799"/>
      <c r="BD683" s="799"/>
      <c r="BE683" s="799"/>
      <c r="BF683" s="799"/>
      <c r="BG683" s="799"/>
    </row>
    <row r="684">
      <c r="H684" s="799"/>
      <c r="I684" s="799"/>
      <c r="J684" s="799"/>
      <c r="K684" s="799"/>
      <c r="L684" s="799"/>
      <c r="M684" s="799"/>
      <c r="N684" s="799"/>
      <c r="O684" s="799"/>
      <c r="P684" s="799"/>
      <c r="Q684" s="799"/>
      <c r="R684" s="799"/>
      <c r="S684" s="799"/>
      <c r="T684" s="799"/>
      <c r="U684" s="799"/>
      <c r="V684" s="799"/>
      <c r="W684" s="799"/>
      <c r="X684" s="799"/>
      <c r="Y684" s="799"/>
      <c r="Z684" s="799"/>
      <c r="AA684" s="799"/>
      <c r="AB684" s="799"/>
      <c r="AC684" s="799"/>
      <c r="AD684" s="799"/>
      <c r="AE684" s="799"/>
      <c r="AF684" s="799"/>
      <c r="AG684" s="799"/>
      <c r="AH684" s="799"/>
      <c r="AI684" s="799"/>
      <c r="AJ684" s="799"/>
      <c r="AK684" s="799"/>
      <c r="AL684" s="799"/>
      <c r="AM684" s="799"/>
      <c r="AN684" s="799"/>
      <c r="AO684" s="799"/>
      <c r="AP684" s="799"/>
      <c r="AQ684" s="799"/>
      <c r="AR684" s="799"/>
      <c r="AS684" s="799"/>
      <c r="AT684" s="799"/>
      <c r="AU684" s="799"/>
      <c r="AV684" s="799"/>
      <c r="AW684" s="799"/>
      <c r="AX684" s="799"/>
      <c r="AY684" s="799"/>
      <c r="AZ684" s="799"/>
      <c r="BA684" s="799"/>
      <c r="BB684" s="799"/>
      <c r="BC684" s="799"/>
      <c r="BD684" s="799"/>
      <c r="BE684" s="799"/>
      <c r="BF684" s="799"/>
      <c r="BG684" s="799"/>
    </row>
    <row r="685">
      <c r="H685" s="799"/>
      <c r="I685" s="799"/>
      <c r="J685" s="799"/>
      <c r="K685" s="799"/>
      <c r="L685" s="799"/>
      <c r="M685" s="799"/>
      <c r="N685" s="799"/>
      <c r="O685" s="799"/>
      <c r="P685" s="799"/>
      <c r="Q685" s="799"/>
      <c r="R685" s="799"/>
      <c r="S685" s="799"/>
      <c r="T685" s="799"/>
      <c r="U685" s="799"/>
      <c r="V685" s="799"/>
      <c r="W685" s="799"/>
      <c r="X685" s="799"/>
      <c r="Y685" s="799"/>
      <c r="Z685" s="799"/>
      <c r="AA685" s="799"/>
      <c r="AB685" s="799"/>
      <c r="AC685" s="799"/>
      <c r="AD685" s="799"/>
      <c r="AE685" s="799"/>
      <c r="AF685" s="799"/>
      <c r="AG685" s="799"/>
      <c r="AH685" s="799"/>
      <c r="AI685" s="799"/>
      <c r="AJ685" s="799"/>
      <c r="AK685" s="799"/>
      <c r="AL685" s="799"/>
      <c r="AM685" s="799"/>
      <c r="AN685" s="799"/>
      <c r="AO685" s="799"/>
      <c r="AP685" s="799"/>
      <c r="AQ685" s="799"/>
      <c r="AR685" s="799"/>
      <c r="AS685" s="799"/>
      <c r="AT685" s="799"/>
      <c r="AU685" s="799"/>
      <c r="AV685" s="799"/>
      <c r="AW685" s="799"/>
      <c r="AX685" s="799"/>
      <c r="AY685" s="799"/>
      <c r="AZ685" s="799"/>
      <c r="BA685" s="799"/>
      <c r="BB685" s="799"/>
      <c r="BC685" s="799"/>
      <c r="BD685" s="799"/>
      <c r="BE685" s="799"/>
      <c r="BF685" s="799"/>
      <c r="BG685" s="799"/>
    </row>
    <row r="686">
      <c r="H686" s="799"/>
      <c r="I686" s="799"/>
      <c r="J686" s="799"/>
      <c r="K686" s="799"/>
      <c r="L686" s="799"/>
      <c r="M686" s="799"/>
      <c r="N686" s="799"/>
      <c r="O686" s="799"/>
      <c r="P686" s="799"/>
      <c r="Q686" s="799"/>
      <c r="R686" s="799"/>
      <c r="S686" s="799"/>
      <c r="T686" s="799"/>
      <c r="U686" s="799"/>
      <c r="V686" s="799"/>
      <c r="W686" s="799"/>
      <c r="X686" s="799"/>
      <c r="Y686" s="799"/>
      <c r="Z686" s="799"/>
      <c r="AA686" s="799"/>
      <c r="AB686" s="799"/>
      <c r="AC686" s="799"/>
      <c r="AD686" s="799"/>
      <c r="AE686" s="799"/>
      <c r="AF686" s="799"/>
      <c r="AG686" s="799"/>
      <c r="AH686" s="799"/>
      <c r="AI686" s="799"/>
      <c r="AJ686" s="799"/>
      <c r="AK686" s="799"/>
      <c r="AL686" s="799"/>
      <c r="AM686" s="799"/>
      <c r="AN686" s="799"/>
      <c r="AO686" s="799"/>
      <c r="AP686" s="799"/>
      <c r="AQ686" s="799"/>
      <c r="AR686" s="799"/>
      <c r="AS686" s="799"/>
      <c r="AT686" s="799"/>
      <c r="AU686" s="799"/>
      <c r="AV686" s="799"/>
      <c r="AW686" s="799"/>
      <c r="AX686" s="799"/>
      <c r="AY686" s="799"/>
      <c r="AZ686" s="799"/>
      <c r="BA686" s="799"/>
      <c r="BB686" s="799"/>
      <c r="BC686" s="799"/>
      <c r="BD686" s="799"/>
      <c r="BE686" s="799"/>
      <c r="BF686" s="799"/>
      <c r="BG686" s="799"/>
    </row>
    <row r="687">
      <c r="H687" s="799"/>
      <c r="I687" s="799"/>
      <c r="J687" s="799"/>
      <c r="K687" s="799"/>
      <c r="L687" s="799"/>
      <c r="M687" s="799"/>
      <c r="N687" s="799"/>
      <c r="O687" s="799"/>
      <c r="P687" s="799"/>
      <c r="Q687" s="799"/>
      <c r="R687" s="799"/>
      <c r="S687" s="799"/>
      <c r="T687" s="799"/>
      <c r="U687" s="799"/>
      <c r="V687" s="799"/>
      <c r="W687" s="799"/>
      <c r="X687" s="799"/>
      <c r="Y687" s="799"/>
      <c r="Z687" s="799"/>
      <c r="AA687" s="799"/>
      <c r="AB687" s="799"/>
      <c r="AC687" s="799"/>
      <c r="AD687" s="799"/>
      <c r="AE687" s="799"/>
      <c r="AF687" s="799"/>
      <c r="AG687" s="799"/>
      <c r="AH687" s="799"/>
      <c r="AI687" s="799"/>
      <c r="AJ687" s="799"/>
      <c r="AK687" s="799"/>
      <c r="AL687" s="799"/>
      <c r="AM687" s="799"/>
      <c r="AN687" s="799"/>
      <c r="AO687" s="799"/>
      <c r="AP687" s="799"/>
      <c r="AQ687" s="799"/>
      <c r="AR687" s="799"/>
      <c r="AS687" s="799"/>
      <c r="AT687" s="799"/>
      <c r="AU687" s="799"/>
      <c r="AV687" s="799"/>
      <c r="AW687" s="799"/>
      <c r="AX687" s="799"/>
      <c r="AY687" s="799"/>
      <c r="AZ687" s="799"/>
      <c r="BA687" s="799"/>
      <c r="BB687" s="799"/>
      <c r="BC687" s="799"/>
      <c r="BD687" s="799"/>
      <c r="BE687" s="799"/>
      <c r="BF687" s="799"/>
      <c r="BG687" s="799"/>
    </row>
    <row r="688">
      <c r="H688" s="799"/>
      <c r="I688" s="799"/>
      <c r="J688" s="799"/>
      <c r="K688" s="799"/>
      <c r="L688" s="799"/>
      <c r="M688" s="799"/>
      <c r="N688" s="799"/>
      <c r="O688" s="799"/>
      <c r="P688" s="799"/>
      <c r="Q688" s="799"/>
      <c r="R688" s="799"/>
      <c r="S688" s="799"/>
      <c r="T688" s="799"/>
      <c r="U688" s="799"/>
      <c r="V688" s="799"/>
      <c r="W688" s="799"/>
      <c r="X688" s="799"/>
      <c r="Y688" s="799"/>
      <c r="Z688" s="799"/>
      <c r="AA688" s="799"/>
      <c r="AB688" s="799"/>
      <c r="AC688" s="799"/>
      <c r="AD688" s="799"/>
      <c r="AE688" s="799"/>
      <c r="AF688" s="799"/>
      <c r="AG688" s="799"/>
      <c r="AH688" s="799"/>
      <c r="AI688" s="799"/>
      <c r="AJ688" s="799"/>
      <c r="AK688" s="799"/>
      <c r="AL688" s="799"/>
      <c r="AM688" s="799"/>
      <c r="AN688" s="799"/>
      <c r="AO688" s="799"/>
      <c r="AP688" s="799"/>
      <c r="AQ688" s="799"/>
      <c r="AR688" s="799"/>
      <c r="AS688" s="799"/>
      <c r="AT688" s="799"/>
      <c r="AU688" s="799"/>
      <c r="AV688" s="799"/>
      <c r="AW688" s="799"/>
      <c r="AX688" s="799"/>
      <c r="AY688" s="799"/>
      <c r="AZ688" s="799"/>
      <c r="BA688" s="799"/>
      <c r="BB688" s="799"/>
      <c r="BC688" s="799"/>
      <c r="BD688" s="799"/>
      <c r="BE688" s="799"/>
      <c r="BF688" s="799"/>
      <c r="BG688" s="799"/>
    </row>
    <row r="689">
      <c r="H689" s="799"/>
      <c r="I689" s="799"/>
      <c r="J689" s="799"/>
      <c r="K689" s="799"/>
      <c r="L689" s="799"/>
      <c r="M689" s="799"/>
      <c r="N689" s="799"/>
      <c r="O689" s="799"/>
      <c r="P689" s="799"/>
      <c r="Q689" s="799"/>
      <c r="R689" s="799"/>
      <c r="S689" s="799"/>
      <c r="T689" s="799"/>
      <c r="U689" s="799"/>
      <c r="V689" s="799"/>
      <c r="W689" s="799"/>
      <c r="X689" s="799"/>
      <c r="Y689" s="799"/>
      <c r="Z689" s="799"/>
      <c r="AA689" s="799"/>
      <c r="AB689" s="799"/>
      <c r="AC689" s="799"/>
      <c r="AD689" s="799"/>
      <c r="AE689" s="799"/>
      <c r="AF689" s="799"/>
      <c r="AG689" s="799"/>
      <c r="AH689" s="799"/>
      <c r="AI689" s="799"/>
      <c r="AJ689" s="799"/>
      <c r="AK689" s="799"/>
      <c r="AL689" s="799"/>
      <c r="AM689" s="799"/>
      <c r="AN689" s="799"/>
      <c r="AO689" s="799"/>
      <c r="AP689" s="799"/>
      <c r="AQ689" s="799"/>
      <c r="AR689" s="799"/>
      <c r="AS689" s="799"/>
      <c r="AT689" s="799"/>
      <c r="AU689" s="799"/>
      <c r="AV689" s="799"/>
      <c r="AW689" s="799"/>
      <c r="AX689" s="799"/>
      <c r="AY689" s="799"/>
      <c r="AZ689" s="799"/>
      <c r="BA689" s="799"/>
      <c r="BB689" s="799"/>
      <c r="BC689" s="799"/>
      <c r="BD689" s="799"/>
      <c r="BE689" s="799"/>
      <c r="BF689" s="799"/>
      <c r="BG689" s="799"/>
    </row>
    <row r="690">
      <c r="H690" s="799"/>
      <c r="I690" s="799"/>
      <c r="J690" s="799"/>
      <c r="K690" s="799"/>
      <c r="L690" s="799"/>
      <c r="M690" s="799"/>
      <c r="N690" s="799"/>
      <c r="O690" s="799"/>
      <c r="P690" s="799"/>
      <c r="Q690" s="799"/>
      <c r="R690" s="799"/>
      <c r="S690" s="799"/>
      <c r="T690" s="799"/>
      <c r="U690" s="799"/>
      <c r="V690" s="799"/>
      <c r="W690" s="799"/>
      <c r="X690" s="799"/>
      <c r="Y690" s="799"/>
      <c r="Z690" s="799"/>
      <c r="AA690" s="799"/>
      <c r="AB690" s="799"/>
      <c r="AC690" s="799"/>
      <c r="AD690" s="799"/>
      <c r="AE690" s="799"/>
      <c r="AF690" s="799"/>
      <c r="AG690" s="799"/>
      <c r="AH690" s="799"/>
      <c r="AI690" s="799"/>
      <c r="AJ690" s="799"/>
      <c r="AK690" s="799"/>
      <c r="AL690" s="799"/>
      <c r="AM690" s="799"/>
      <c r="AN690" s="799"/>
      <c r="AO690" s="799"/>
      <c r="AP690" s="799"/>
      <c r="AQ690" s="799"/>
      <c r="AR690" s="799"/>
      <c r="AS690" s="799"/>
      <c r="AT690" s="799"/>
      <c r="AU690" s="799"/>
      <c r="AV690" s="799"/>
      <c r="AW690" s="799"/>
      <c r="AX690" s="799"/>
      <c r="AY690" s="799"/>
      <c r="AZ690" s="799"/>
      <c r="BA690" s="799"/>
      <c r="BB690" s="799"/>
      <c r="BC690" s="799"/>
      <c r="BD690" s="799"/>
      <c r="BE690" s="799"/>
      <c r="BF690" s="799"/>
      <c r="BG690" s="799"/>
    </row>
    <row r="691">
      <c r="H691" s="799"/>
      <c r="I691" s="799"/>
      <c r="J691" s="799"/>
      <c r="K691" s="799"/>
      <c r="L691" s="799"/>
      <c r="M691" s="799"/>
      <c r="N691" s="799"/>
      <c r="O691" s="799"/>
      <c r="P691" s="799"/>
      <c r="Q691" s="799"/>
      <c r="R691" s="799"/>
      <c r="S691" s="799"/>
      <c r="T691" s="799"/>
      <c r="U691" s="799"/>
      <c r="V691" s="799"/>
      <c r="W691" s="799"/>
      <c r="X691" s="799"/>
      <c r="Y691" s="799"/>
      <c r="Z691" s="799"/>
      <c r="AA691" s="799"/>
      <c r="AB691" s="799"/>
      <c r="AC691" s="799"/>
      <c r="AD691" s="799"/>
      <c r="AE691" s="799"/>
      <c r="AF691" s="799"/>
      <c r="AG691" s="799"/>
      <c r="AH691" s="799"/>
      <c r="AI691" s="799"/>
      <c r="AJ691" s="799"/>
      <c r="AK691" s="799"/>
      <c r="AL691" s="799"/>
      <c r="AM691" s="799"/>
      <c r="AN691" s="799"/>
      <c r="AO691" s="799"/>
      <c r="AP691" s="799"/>
      <c r="AQ691" s="799"/>
      <c r="AR691" s="799"/>
      <c r="AS691" s="799"/>
      <c r="AT691" s="799"/>
      <c r="AU691" s="799"/>
      <c r="AV691" s="799"/>
      <c r="AW691" s="799"/>
      <c r="AX691" s="799"/>
      <c r="AY691" s="799"/>
      <c r="AZ691" s="799"/>
      <c r="BA691" s="799"/>
      <c r="BB691" s="799"/>
      <c r="BC691" s="799"/>
      <c r="BD691" s="799"/>
      <c r="BE691" s="799"/>
      <c r="BF691" s="799"/>
      <c r="BG691" s="799"/>
    </row>
    <row r="692">
      <c r="H692" s="799"/>
      <c r="I692" s="799"/>
      <c r="J692" s="799"/>
      <c r="K692" s="799"/>
      <c r="L692" s="799"/>
      <c r="M692" s="799"/>
      <c r="N692" s="799"/>
      <c r="O692" s="799"/>
      <c r="P692" s="799"/>
      <c r="Q692" s="799"/>
      <c r="R692" s="799"/>
      <c r="S692" s="799"/>
      <c r="T692" s="799"/>
      <c r="U692" s="799"/>
      <c r="V692" s="799"/>
      <c r="W692" s="799"/>
      <c r="X692" s="799"/>
      <c r="Y692" s="799"/>
      <c r="Z692" s="799"/>
      <c r="AA692" s="799"/>
      <c r="AB692" s="799"/>
      <c r="AC692" s="799"/>
      <c r="AD692" s="799"/>
      <c r="AE692" s="799"/>
      <c r="AF692" s="799"/>
      <c r="AG692" s="799"/>
      <c r="AH692" s="799"/>
      <c r="AI692" s="799"/>
      <c r="AJ692" s="799"/>
      <c r="AK692" s="799"/>
      <c r="AL692" s="799"/>
      <c r="AM692" s="799"/>
      <c r="AN692" s="799"/>
      <c r="AO692" s="799"/>
      <c r="AP692" s="799"/>
      <c r="AQ692" s="799"/>
      <c r="AR692" s="799"/>
      <c r="AS692" s="799"/>
      <c r="AT692" s="799"/>
      <c r="AU692" s="799"/>
      <c r="AV692" s="799"/>
      <c r="AW692" s="799"/>
      <c r="AX692" s="799"/>
      <c r="AY692" s="799"/>
      <c r="AZ692" s="799"/>
      <c r="BA692" s="799"/>
      <c r="BB692" s="799"/>
      <c r="BC692" s="799"/>
      <c r="BD692" s="799"/>
      <c r="BE692" s="799"/>
      <c r="BF692" s="799"/>
      <c r="BG692" s="799"/>
    </row>
    <row r="693">
      <c r="H693" s="799"/>
      <c r="I693" s="799"/>
      <c r="J693" s="799"/>
      <c r="K693" s="799"/>
      <c r="L693" s="799"/>
      <c r="M693" s="799"/>
      <c r="N693" s="799"/>
      <c r="O693" s="799"/>
      <c r="P693" s="799"/>
      <c r="Q693" s="799"/>
      <c r="R693" s="799"/>
      <c r="S693" s="799"/>
      <c r="T693" s="799"/>
      <c r="U693" s="799"/>
      <c r="V693" s="799"/>
      <c r="W693" s="799"/>
      <c r="X693" s="799"/>
      <c r="Y693" s="799"/>
      <c r="Z693" s="799"/>
      <c r="AA693" s="799"/>
      <c r="AB693" s="799"/>
      <c r="AC693" s="799"/>
      <c r="AD693" s="799"/>
      <c r="AE693" s="799"/>
      <c r="AF693" s="799"/>
      <c r="AG693" s="799"/>
      <c r="AH693" s="799"/>
      <c r="AI693" s="799"/>
      <c r="AJ693" s="799"/>
      <c r="AK693" s="799"/>
      <c r="AL693" s="799"/>
      <c r="AM693" s="799"/>
      <c r="AN693" s="799"/>
      <c r="AO693" s="799"/>
      <c r="AP693" s="799"/>
      <c r="AQ693" s="799"/>
      <c r="AR693" s="799"/>
      <c r="AS693" s="799"/>
      <c r="AT693" s="799"/>
      <c r="AU693" s="799"/>
      <c r="AV693" s="799"/>
      <c r="AW693" s="799"/>
      <c r="AX693" s="799"/>
      <c r="AY693" s="799"/>
      <c r="AZ693" s="799"/>
      <c r="BA693" s="799"/>
      <c r="BB693" s="799"/>
      <c r="BC693" s="799"/>
      <c r="BD693" s="799"/>
      <c r="BE693" s="799"/>
      <c r="BF693" s="799"/>
      <c r="BG693" s="799"/>
    </row>
    <row r="694">
      <c r="H694" s="799"/>
      <c r="I694" s="799"/>
      <c r="J694" s="799"/>
      <c r="K694" s="799"/>
      <c r="L694" s="799"/>
      <c r="M694" s="799"/>
      <c r="N694" s="799"/>
      <c r="O694" s="799"/>
      <c r="P694" s="799"/>
      <c r="Q694" s="799"/>
      <c r="R694" s="799"/>
      <c r="S694" s="799"/>
      <c r="T694" s="799"/>
      <c r="U694" s="799"/>
      <c r="V694" s="799"/>
      <c r="W694" s="799"/>
      <c r="X694" s="799"/>
      <c r="Y694" s="799"/>
      <c r="Z694" s="799"/>
      <c r="AA694" s="799"/>
      <c r="AB694" s="799"/>
      <c r="AC694" s="799"/>
      <c r="AD694" s="799"/>
      <c r="AE694" s="799"/>
      <c r="AF694" s="799"/>
      <c r="AG694" s="799"/>
      <c r="AH694" s="799"/>
      <c r="AI694" s="799"/>
      <c r="AJ694" s="799"/>
      <c r="AK694" s="799"/>
      <c r="AL694" s="799"/>
      <c r="AM694" s="799"/>
      <c r="AN694" s="799"/>
      <c r="AO694" s="799"/>
      <c r="AP694" s="799"/>
      <c r="AQ694" s="799"/>
      <c r="AR694" s="799"/>
      <c r="AS694" s="799"/>
      <c r="AT694" s="799"/>
      <c r="AU694" s="799"/>
      <c r="AV694" s="799"/>
      <c r="AW694" s="799"/>
      <c r="AX694" s="799"/>
      <c r="AY694" s="799"/>
      <c r="AZ694" s="799"/>
      <c r="BA694" s="799"/>
      <c r="BB694" s="799"/>
      <c r="BC694" s="799"/>
      <c r="BD694" s="799"/>
      <c r="BE694" s="799"/>
      <c r="BF694" s="799"/>
      <c r="BG694" s="799"/>
    </row>
    <row r="695">
      <c r="H695" s="799"/>
      <c r="I695" s="799"/>
      <c r="J695" s="799"/>
      <c r="K695" s="799"/>
      <c r="L695" s="799"/>
      <c r="M695" s="799"/>
      <c r="N695" s="799"/>
      <c r="O695" s="799"/>
      <c r="P695" s="799"/>
      <c r="Q695" s="799"/>
      <c r="R695" s="799"/>
      <c r="S695" s="799"/>
      <c r="T695" s="799"/>
      <c r="U695" s="799"/>
      <c r="V695" s="799"/>
      <c r="W695" s="799"/>
      <c r="X695" s="799"/>
      <c r="Y695" s="799"/>
      <c r="Z695" s="799"/>
      <c r="AA695" s="799"/>
      <c r="AB695" s="799"/>
      <c r="AC695" s="799"/>
      <c r="AD695" s="799"/>
      <c r="AE695" s="799"/>
      <c r="AF695" s="799"/>
      <c r="AG695" s="799"/>
      <c r="AH695" s="799"/>
      <c r="AI695" s="799"/>
      <c r="AJ695" s="799"/>
      <c r="AK695" s="799"/>
      <c r="AL695" s="799"/>
      <c r="AM695" s="799"/>
      <c r="AN695" s="799"/>
      <c r="AO695" s="799"/>
      <c r="AP695" s="799"/>
      <c r="AQ695" s="799"/>
      <c r="AR695" s="799"/>
      <c r="AS695" s="799"/>
      <c r="AT695" s="799"/>
      <c r="AU695" s="799"/>
      <c r="AV695" s="799"/>
      <c r="AW695" s="799"/>
      <c r="AX695" s="799"/>
      <c r="AY695" s="799"/>
      <c r="AZ695" s="799"/>
      <c r="BA695" s="799"/>
      <c r="BB695" s="799"/>
      <c r="BC695" s="799"/>
      <c r="BD695" s="799"/>
      <c r="BE695" s="799"/>
      <c r="BF695" s="799"/>
      <c r="BG695" s="799"/>
    </row>
    <row r="696">
      <c r="H696" s="799"/>
      <c r="I696" s="799"/>
      <c r="J696" s="799"/>
      <c r="K696" s="799"/>
      <c r="L696" s="799"/>
      <c r="M696" s="799"/>
      <c r="N696" s="799"/>
      <c r="O696" s="799"/>
      <c r="P696" s="799"/>
      <c r="Q696" s="799"/>
      <c r="R696" s="799"/>
      <c r="S696" s="799"/>
      <c r="T696" s="799"/>
      <c r="U696" s="799"/>
      <c r="V696" s="799"/>
      <c r="W696" s="799"/>
      <c r="X696" s="799"/>
      <c r="Y696" s="799"/>
      <c r="Z696" s="799"/>
      <c r="AA696" s="799"/>
      <c r="AB696" s="799"/>
      <c r="AC696" s="799"/>
      <c r="AD696" s="799"/>
      <c r="AE696" s="799"/>
      <c r="AF696" s="799"/>
      <c r="AG696" s="799"/>
      <c r="AH696" s="799"/>
      <c r="AI696" s="799"/>
      <c r="AJ696" s="799"/>
      <c r="AK696" s="799"/>
      <c r="AL696" s="799"/>
      <c r="AM696" s="799"/>
      <c r="AN696" s="799"/>
      <c r="AO696" s="799"/>
      <c r="AP696" s="799"/>
      <c r="AQ696" s="799"/>
      <c r="AR696" s="799"/>
      <c r="AS696" s="799"/>
      <c r="AT696" s="799"/>
      <c r="AU696" s="799"/>
      <c r="AV696" s="799"/>
      <c r="AW696" s="799"/>
      <c r="AX696" s="799"/>
      <c r="AY696" s="799"/>
      <c r="AZ696" s="799"/>
      <c r="BA696" s="799"/>
      <c r="BB696" s="799"/>
      <c r="BC696" s="799"/>
      <c r="BD696" s="799"/>
      <c r="BE696" s="799"/>
      <c r="BF696" s="799"/>
      <c r="BG696" s="799"/>
    </row>
    <row r="697">
      <c r="H697" s="799"/>
      <c r="I697" s="799"/>
      <c r="J697" s="799"/>
      <c r="K697" s="799"/>
      <c r="L697" s="799"/>
      <c r="M697" s="799"/>
      <c r="N697" s="799"/>
      <c r="O697" s="799"/>
      <c r="P697" s="799"/>
      <c r="Q697" s="799"/>
      <c r="R697" s="799"/>
      <c r="S697" s="799"/>
      <c r="T697" s="799"/>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799"/>
      <c r="AX697" s="799"/>
      <c r="AY697" s="799"/>
      <c r="AZ697" s="799"/>
      <c r="BA697" s="799"/>
      <c r="BB697" s="799"/>
      <c r="BC697" s="799"/>
      <c r="BD697" s="799"/>
      <c r="BE697" s="799"/>
      <c r="BF697" s="799"/>
      <c r="BG697" s="799"/>
    </row>
    <row r="698">
      <c r="H698" s="799"/>
      <c r="I698" s="799"/>
      <c r="J698" s="799"/>
      <c r="K698" s="799"/>
      <c r="L698" s="799"/>
      <c r="M698" s="799"/>
      <c r="N698" s="799"/>
      <c r="O698" s="799"/>
      <c r="P698" s="799"/>
      <c r="Q698" s="799"/>
      <c r="R698" s="799"/>
      <c r="S698" s="799"/>
      <c r="T698" s="799"/>
      <c r="U698" s="799"/>
      <c r="V698" s="799"/>
      <c r="W698" s="799"/>
      <c r="X698" s="799"/>
      <c r="Y698" s="799"/>
      <c r="Z698" s="799"/>
      <c r="AA698" s="799"/>
      <c r="AB698" s="799"/>
      <c r="AC698" s="799"/>
      <c r="AD698" s="799"/>
      <c r="AE698" s="799"/>
      <c r="AF698" s="799"/>
      <c r="AG698" s="799"/>
      <c r="AH698" s="799"/>
      <c r="AI698" s="799"/>
      <c r="AJ698" s="799"/>
      <c r="AK698" s="799"/>
      <c r="AL698" s="799"/>
      <c r="AM698" s="799"/>
      <c r="AN698" s="799"/>
      <c r="AO698" s="799"/>
      <c r="AP698" s="799"/>
      <c r="AQ698" s="799"/>
      <c r="AR698" s="799"/>
      <c r="AS698" s="799"/>
      <c r="AT698" s="799"/>
      <c r="AU698" s="799"/>
      <c r="AV698" s="799"/>
      <c r="AW698" s="799"/>
      <c r="AX698" s="799"/>
      <c r="AY698" s="799"/>
      <c r="AZ698" s="799"/>
      <c r="BA698" s="799"/>
      <c r="BB698" s="799"/>
      <c r="BC698" s="799"/>
      <c r="BD698" s="799"/>
      <c r="BE698" s="799"/>
      <c r="BF698" s="799"/>
      <c r="BG698" s="799"/>
    </row>
    <row r="699">
      <c r="H699" s="799"/>
      <c r="I699" s="799"/>
      <c r="J699" s="799"/>
      <c r="K699" s="799"/>
      <c r="L699" s="799"/>
      <c r="M699" s="799"/>
      <c r="N699" s="799"/>
      <c r="O699" s="799"/>
      <c r="P699" s="799"/>
      <c r="Q699" s="799"/>
      <c r="R699" s="799"/>
      <c r="S699" s="799"/>
      <c r="T699" s="799"/>
      <c r="U699" s="799"/>
      <c r="V699" s="799"/>
      <c r="W699" s="799"/>
      <c r="X699" s="799"/>
      <c r="Y699" s="799"/>
      <c r="Z699" s="799"/>
      <c r="AA699" s="799"/>
      <c r="AB699" s="799"/>
      <c r="AC699" s="799"/>
      <c r="AD699" s="799"/>
      <c r="AE699" s="799"/>
      <c r="AF699" s="799"/>
      <c r="AG699" s="799"/>
      <c r="AH699" s="799"/>
      <c r="AI699" s="799"/>
      <c r="AJ699" s="799"/>
      <c r="AK699" s="799"/>
      <c r="AL699" s="799"/>
      <c r="AM699" s="799"/>
      <c r="AN699" s="799"/>
      <c r="AO699" s="799"/>
      <c r="AP699" s="799"/>
      <c r="AQ699" s="799"/>
      <c r="AR699" s="799"/>
      <c r="AS699" s="799"/>
      <c r="AT699" s="799"/>
      <c r="AU699" s="799"/>
      <c r="AV699" s="799"/>
      <c r="AW699" s="799"/>
      <c r="AX699" s="799"/>
      <c r="AY699" s="799"/>
      <c r="AZ699" s="799"/>
      <c r="BA699" s="799"/>
      <c r="BB699" s="799"/>
      <c r="BC699" s="799"/>
      <c r="BD699" s="799"/>
      <c r="BE699" s="799"/>
      <c r="BF699" s="799"/>
      <c r="BG699" s="799"/>
    </row>
    <row r="700">
      <c r="H700" s="799"/>
      <c r="I700" s="799"/>
      <c r="J700" s="799"/>
      <c r="K700" s="799"/>
      <c r="L700" s="799"/>
      <c r="M700" s="799"/>
      <c r="N700" s="799"/>
      <c r="O700" s="799"/>
      <c r="P700" s="799"/>
      <c r="Q700" s="799"/>
      <c r="R700" s="799"/>
      <c r="S700" s="799"/>
      <c r="T700" s="799"/>
      <c r="U700" s="799"/>
      <c r="V700" s="799"/>
      <c r="W700" s="799"/>
      <c r="X700" s="799"/>
      <c r="Y700" s="799"/>
      <c r="Z700" s="799"/>
      <c r="AA700" s="799"/>
      <c r="AB700" s="799"/>
      <c r="AC700" s="799"/>
      <c r="AD700" s="799"/>
      <c r="AE700" s="799"/>
      <c r="AF700" s="799"/>
      <c r="AG700" s="799"/>
      <c r="AH700" s="799"/>
      <c r="AI700" s="799"/>
      <c r="AJ700" s="799"/>
      <c r="AK700" s="799"/>
      <c r="AL700" s="799"/>
      <c r="AM700" s="799"/>
      <c r="AN700" s="799"/>
      <c r="AO700" s="799"/>
      <c r="AP700" s="799"/>
      <c r="AQ700" s="799"/>
      <c r="AR700" s="799"/>
      <c r="AS700" s="799"/>
      <c r="AT700" s="799"/>
      <c r="AU700" s="799"/>
      <c r="AV700" s="799"/>
      <c r="AW700" s="799"/>
      <c r="AX700" s="799"/>
      <c r="AY700" s="799"/>
      <c r="AZ700" s="799"/>
      <c r="BA700" s="799"/>
      <c r="BB700" s="799"/>
      <c r="BC700" s="799"/>
      <c r="BD700" s="799"/>
      <c r="BE700" s="799"/>
      <c r="BF700" s="799"/>
      <c r="BG700" s="799"/>
    </row>
    <row r="701">
      <c r="H701" s="799"/>
      <c r="I701" s="799"/>
      <c r="J701" s="799"/>
      <c r="K701" s="799"/>
      <c r="L701" s="799"/>
      <c r="M701" s="799"/>
      <c r="N701" s="799"/>
      <c r="O701" s="799"/>
      <c r="P701" s="799"/>
      <c r="Q701" s="799"/>
      <c r="R701" s="799"/>
      <c r="S701" s="799"/>
      <c r="T701" s="799"/>
      <c r="U701" s="799"/>
      <c r="V701" s="799"/>
      <c r="W701" s="799"/>
      <c r="X701" s="799"/>
      <c r="Y701" s="799"/>
      <c r="Z701" s="799"/>
      <c r="AA701" s="799"/>
      <c r="AB701" s="799"/>
      <c r="AC701" s="799"/>
      <c r="AD701" s="799"/>
      <c r="AE701" s="799"/>
      <c r="AF701" s="799"/>
      <c r="AG701" s="799"/>
      <c r="AH701" s="799"/>
      <c r="AI701" s="799"/>
      <c r="AJ701" s="799"/>
      <c r="AK701" s="799"/>
      <c r="AL701" s="799"/>
      <c r="AM701" s="799"/>
      <c r="AN701" s="799"/>
      <c r="AO701" s="799"/>
      <c r="AP701" s="799"/>
      <c r="AQ701" s="799"/>
      <c r="AR701" s="799"/>
      <c r="AS701" s="799"/>
      <c r="AT701" s="799"/>
      <c r="AU701" s="799"/>
      <c r="AV701" s="799"/>
      <c r="AW701" s="799"/>
      <c r="AX701" s="799"/>
      <c r="AY701" s="799"/>
      <c r="AZ701" s="799"/>
      <c r="BA701" s="799"/>
      <c r="BB701" s="799"/>
      <c r="BC701" s="799"/>
      <c r="BD701" s="799"/>
      <c r="BE701" s="799"/>
      <c r="BF701" s="799"/>
      <c r="BG701" s="799"/>
    </row>
    <row r="702">
      <c r="H702" s="799"/>
      <c r="I702" s="799"/>
      <c r="J702" s="799"/>
      <c r="K702" s="799"/>
      <c r="L702" s="799"/>
      <c r="M702" s="799"/>
      <c r="N702" s="799"/>
      <c r="O702" s="799"/>
      <c r="P702" s="799"/>
      <c r="Q702" s="799"/>
      <c r="R702" s="799"/>
      <c r="S702" s="799"/>
      <c r="T702" s="799"/>
      <c r="U702" s="799"/>
      <c r="V702" s="799"/>
      <c r="W702" s="799"/>
      <c r="X702" s="799"/>
      <c r="Y702" s="799"/>
      <c r="Z702" s="799"/>
      <c r="AA702" s="799"/>
      <c r="AB702" s="799"/>
      <c r="AC702" s="799"/>
      <c r="AD702" s="799"/>
      <c r="AE702" s="799"/>
      <c r="AF702" s="799"/>
      <c r="AG702" s="799"/>
      <c r="AH702" s="799"/>
      <c r="AI702" s="799"/>
      <c r="AJ702" s="799"/>
      <c r="AK702" s="799"/>
      <c r="AL702" s="799"/>
      <c r="AM702" s="799"/>
      <c r="AN702" s="799"/>
      <c r="AO702" s="799"/>
      <c r="AP702" s="799"/>
      <c r="AQ702" s="799"/>
      <c r="AR702" s="799"/>
      <c r="AS702" s="799"/>
      <c r="AT702" s="799"/>
      <c r="AU702" s="799"/>
      <c r="AV702" s="799"/>
      <c r="AW702" s="799"/>
      <c r="AX702" s="799"/>
      <c r="AY702" s="799"/>
      <c r="AZ702" s="799"/>
      <c r="BA702" s="799"/>
      <c r="BB702" s="799"/>
      <c r="BC702" s="799"/>
      <c r="BD702" s="799"/>
      <c r="BE702" s="799"/>
      <c r="BF702" s="799"/>
      <c r="BG702" s="799"/>
    </row>
    <row r="703">
      <c r="H703" s="799"/>
      <c r="I703" s="799"/>
      <c r="J703" s="799"/>
      <c r="K703" s="799"/>
      <c r="L703" s="799"/>
      <c r="M703" s="799"/>
      <c r="N703" s="799"/>
      <c r="O703" s="799"/>
      <c r="P703" s="799"/>
      <c r="Q703" s="799"/>
      <c r="R703" s="799"/>
      <c r="S703" s="799"/>
      <c r="T703" s="799"/>
      <c r="U703" s="799"/>
      <c r="V703" s="799"/>
      <c r="W703" s="799"/>
      <c r="X703" s="799"/>
      <c r="Y703" s="799"/>
      <c r="Z703" s="799"/>
      <c r="AA703" s="799"/>
      <c r="AB703" s="799"/>
      <c r="AC703" s="799"/>
      <c r="AD703" s="799"/>
      <c r="AE703" s="799"/>
      <c r="AF703" s="799"/>
      <c r="AG703" s="799"/>
      <c r="AH703" s="799"/>
      <c r="AI703" s="799"/>
      <c r="AJ703" s="799"/>
      <c r="AK703" s="799"/>
      <c r="AL703" s="799"/>
      <c r="AM703" s="799"/>
      <c r="AN703" s="799"/>
      <c r="AO703" s="799"/>
      <c r="AP703" s="799"/>
      <c r="AQ703" s="799"/>
      <c r="AR703" s="799"/>
      <c r="AS703" s="799"/>
      <c r="AT703" s="799"/>
      <c r="AU703" s="799"/>
      <c r="AV703" s="799"/>
      <c r="AW703" s="799"/>
      <c r="AX703" s="799"/>
      <c r="AY703" s="799"/>
      <c r="AZ703" s="799"/>
      <c r="BA703" s="799"/>
      <c r="BB703" s="799"/>
      <c r="BC703" s="799"/>
      <c r="BD703" s="799"/>
      <c r="BE703" s="799"/>
      <c r="BF703" s="799"/>
      <c r="BG703" s="799"/>
    </row>
    <row r="704">
      <c r="H704" s="799"/>
      <c r="I704" s="799"/>
      <c r="J704" s="799"/>
      <c r="K704" s="799"/>
      <c r="L704" s="799"/>
      <c r="M704" s="799"/>
      <c r="N704" s="799"/>
      <c r="O704" s="799"/>
      <c r="P704" s="799"/>
      <c r="Q704" s="799"/>
      <c r="R704" s="799"/>
      <c r="S704" s="799"/>
      <c r="T704" s="799"/>
      <c r="U704" s="799"/>
      <c r="V704" s="799"/>
      <c r="W704" s="799"/>
      <c r="X704" s="799"/>
      <c r="Y704" s="799"/>
      <c r="Z704" s="799"/>
      <c r="AA704" s="799"/>
      <c r="AB704" s="799"/>
      <c r="AC704" s="799"/>
      <c r="AD704" s="799"/>
      <c r="AE704" s="799"/>
      <c r="AF704" s="799"/>
      <c r="AG704" s="799"/>
      <c r="AH704" s="799"/>
      <c r="AI704" s="799"/>
      <c r="AJ704" s="799"/>
      <c r="AK704" s="799"/>
      <c r="AL704" s="799"/>
      <c r="AM704" s="799"/>
      <c r="AN704" s="799"/>
      <c r="AO704" s="799"/>
      <c r="AP704" s="799"/>
      <c r="AQ704" s="799"/>
      <c r="AR704" s="799"/>
      <c r="AS704" s="799"/>
      <c r="AT704" s="799"/>
      <c r="AU704" s="799"/>
      <c r="AV704" s="799"/>
      <c r="AW704" s="799"/>
      <c r="AX704" s="799"/>
      <c r="AY704" s="799"/>
      <c r="AZ704" s="799"/>
      <c r="BA704" s="799"/>
      <c r="BB704" s="799"/>
      <c r="BC704" s="799"/>
      <c r="BD704" s="799"/>
      <c r="BE704" s="799"/>
      <c r="BF704" s="799"/>
      <c r="BG704" s="799"/>
    </row>
    <row r="705">
      <c r="H705" s="799"/>
      <c r="I705" s="799"/>
      <c r="J705" s="799"/>
      <c r="K705" s="799"/>
      <c r="L705" s="799"/>
      <c r="M705" s="799"/>
      <c r="N705" s="799"/>
      <c r="O705" s="799"/>
      <c r="P705" s="799"/>
      <c r="Q705" s="799"/>
      <c r="R705" s="799"/>
      <c r="S705" s="799"/>
      <c r="T705" s="799"/>
      <c r="U705" s="799"/>
      <c r="V705" s="799"/>
      <c r="W705" s="799"/>
      <c r="X705" s="799"/>
      <c r="Y705" s="799"/>
      <c r="Z705" s="799"/>
      <c r="AA705" s="799"/>
      <c r="AB705" s="799"/>
      <c r="AC705" s="799"/>
      <c r="AD705" s="799"/>
      <c r="AE705" s="799"/>
      <c r="AF705" s="799"/>
      <c r="AG705" s="799"/>
      <c r="AH705" s="799"/>
      <c r="AI705" s="799"/>
      <c r="AJ705" s="799"/>
      <c r="AK705" s="799"/>
      <c r="AL705" s="799"/>
      <c r="AM705" s="799"/>
      <c r="AN705" s="799"/>
      <c r="AO705" s="799"/>
      <c r="AP705" s="799"/>
      <c r="AQ705" s="799"/>
      <c r="AR705" s="799"/>
      <c r="AS705" s="799"/>
      <c r="AT705" s="799"/>
      <c r="AU705" s="799"/>
      <c r="AV705" s="799"/>
      <c r="AW705" s="799"/>
      <c r="AX705" s="799"/>
      <c r="AY705" s="799"/>
      <c r="AZ705" s="799"/>
      <c r="BA705" s="799"/>
      <c r="BB705" s="799"/>
      <c r="BC705" s="799"/>
      <c r="BD705" s="799"/>
      <c r="BE705" s="799"/>
      <c r="BF705" s="799"/>
      <c r="BG705" s="799"/>
    </row>
    <row r="706">
      <c r="H706" s="799"/>
      <c r="I706" s="799"/>
      <c r="J706" s="799"/>
      <c r="K706" s="799"/>
      <c r="L706" s="799"/>
      <c r="M706" s="799"/>
      <c r="N706" s="799"/>
      <c r="O706" s="799"/>
      <c r="P706" s="799"/>
      <c r="Q706" s="799"/>
      <c r="R706" s="799"/>
      <c r="S706" s="799"/>
      <c r="T706" s="799"/>
      <c r="U706" s="799"/>
      <c r="V706" s="799"/>
      <c r="W706" s="799"/>
      <c r="X706" s="799"/>
      <c r="Y706" s="799"/>
      <c r="Z706" s="799"/>
      <c r="AA706" s="799"/>
      <c r="AB706" s="799"/>
      <c r="AC706" s="799"/>
      <c r="AD706" s="799"/>
      <c r="AE706" s="799"/>
      <c r="AF706" s="799"/>
      <c r="AG706" s="799"/>
      <c r="AH706" s="799"/>
      <c r="AI706" s="799"/>
      <c r="AJ706" s="799"/>
      <c r="AK706" s="799"/>
      <c r="AL706" s="799"/>
      <c r="AM706" s="799"/>
      <c r="AN706" s="799"/>
      <c r="AO706" s="799"/>
      <c r="AP706" s="799"/>
      <c r="AQ706" s="799"/>
      <c r="AR706" s="799"/>
      <c r="AS706" s="799"/>
      <c r="AT706" s="799"/>
      <c r="AU706" s="799"/>
      <c r="AV706" s="799"/>
      <c r="AW706" s="799"/>
      <c r="AX706" s="799"/>
      <c r="AY706" s="799"/>
      <c r="AZ706" s="799"/>
      <c r="BA706" s="799"/>
      <c r="BB706" s="799"/>
      <c r="BC706" s="799"/>
      <c r="BD706" s="799"/>
      <c r="BE706" s="799"/>
      <c r="BF706" s="799"/>
      <c r="BG706" s="799"/>
    </row>
    <row r="707">
      <c r="H707" s="799"/>
      <c r="I707" s="799"/>
      <c r="J707" s="799"/>
      <c r="K707" s="799"/>
      <c r="L707" s="799"/>
      <c r="M707" s="799"/>
      <c r="N707" s="799"/>
      <c r="O707" s="799"/>
      <c r="P707" s="799"/>
      <c r="Q707" s="799"/>
      <c r="R707" s="799"/>
      <c r="S707" s="799"/>
      <c r="T707" s="799"/>
      <c r="U707" s="799"/>
      <c r="V707" s="799"/>
      <c r="W707" s="799"/>
      <c r="X707" s="799"/>
      <c r="Y707" s="799"/>
      <c r="Z707" s="799"/>
      <c r="AA707" s="799"/>
      <c r="AB707" s="799"/>
      <c r="AC707" s="799"/>
      <c r="AD707" s="799"/>
      <c r="AE707" s="799"/>
      <c r="AF707" s="799"/>
      <c r="AG707" s="799"/>
      <c r="AH707" s="799"/>
      <c r="AI707" s="799"/>
      <c r="AJ707" s="799"/>
      <c r="AK707" s="799"/>
      <c r="AL707" s="799"/>
      <c r="AM707" s="799"/>
      <c r="AN707" s="799"/>
      <c r="AO707" s="799"/>
      <c r="AP707" s="799"/>
      <c r="AQ707" s="799"/>
      <c r="AR707" s="799"/>
      <c r="AS707" s="799"/>
      <c r="AT707" s="799"/>
      <c r="AU707" s="799"/>
      <c r="AV707" s="799"/>
      <c r="AW707" s="799"/>
      <c r="AX707" s="799"/>
      <c r="AY707" s="799"/>
      <c r="AZ707" s="799"/>
      <c r="BA707" s="799"/>
      <c r="BB707" s="799"/>
      <c r="BC707" s="799"/>
      <c r="BD707" s="799"/>
      <c r="BE707" s="799"/>
      <c r="BF707" s="799"/>
      <c r="BG707" s="799"/>
    </row>
    <row r="708">
      <c r="H708" s="799"/>
      <c r="I708" s="799"/>
      <c r="J708" s="799"/>
      <c r="K708" s="799"/>
      <c r="L708" s="799"/>
      <c r="M708" s="799"/>
      <c r="N708" s="799"/>
      <c r="O708" s="799"/>
      <c r="P708" s="799"/>
      <c r="Q708" s="799"/>
      <c r="R708" s="799"/>
      <c r="S708" s="799"/>
      <c r="T708" s="799"/>
      <c r="U708" s="799"/>
      <c r="V708" s="799"/>
      <c r="W708" s="799"/>
      <c r="X708" s="799"/>
      <c r="Y708" s="799"/>
      <c r="Z708" s="799"/>
      <c r="AA708" s="799"/>
      <c r="AB708" s="799"/>
      <c r="AC708" s="799"/>
      <c r="AD708" s="799"/>
      <c r="AE708" s="799"/>
      <c r="AF708" s="799"/>
      <c r="AG708" s="799"/>
      <c r="AH708" s="799"/>
      <c r="AI708" s="799"/>
      <c r="AJ708" s="799"/>
      <c r="AK708" s="799"/>
      <c r="AL708" s="799"/>
      <c r="AM708" s="799"/>
      <c r="AN708" s="799"/>
      <c r="AO708" s="799"/>
      <c r="AP708" s="799"/>
      <c r="AQ708" s="799"/>
      <c r="AR708" s="799"/>
      <c r="AS708" s="799"/>
      <c r="AT708" s="799"/>
      <c r="AU708" s="799"/>
      <c r="AV708" s="799"/>
      <c r="AW708" s="799"/>
      <c r="AX708" s="799"/>
      <c r="AY708" s="799"/>
      <c r="AZ708" s="799"/>
      <c r="BA708" s="799"/>
      <c r="BB708" s="799"/>
      <c r="BC708" s="799"/>
      <c r="BD708" s="799"/>
      <c r="BE708" s="799"/>
      <c r="BF708" s="799"/>
      <c r="BG708" s="799"/>
    </row>
    <row r="709">
      <c r="H709" s="799"/>
      <c r="I709" s="799"/>
      <c r="J709" s="799"/>
      <c r="K709" s="799"/>
      <c r="L709" s="799"/>
      <c r="M709" s="799"/>
      <c r="N709" s="799"/>
      <c r="O709" s="799"/>
      <c r="P709" s="799"/>
      <c r="Q709" s="799"/>
      <c r="R709" s="799"/>
      <c r="S709" s="799"/>
      <c r="T709" s="799"/>
      <c r="U709" s="799"/>
      <c r="V709" s="799"/>
      <c r="W709" s="799"/>
      <c r="X709" s="799"/>
      <c r="Y709" s="799"/>
      <c r="Z709" s="799"/>
      <c r="AA709" s="799"/>
      <c r="AB709" s="799"/>
      <c r="AC709" s="799"/>
      <c r="AD709" s="799"/>
      <c r="AE709" s="799"/>
      <c r="AF709" s="799"/>
      <c r="AG709" s="799"/>
      <c r="AH709" s="799"/>
      <c r="AI709" s="799"/>
      <c r="AJ709" s="799"/>
      <c r="AK709" s="799"/>
      <c r="AL709" s="799"/>
      <c r="AM709" s="799"/>
      <c r="AN709" s="799"/>
      <c r="AO709" s="799"/>
      <c r="AP709" s="799"/>
      <c r="AQ709" s="799"/>
      <c r="AR709" s="799"/>
      <c r="AS709" s="799"/>
      <c r="AT709" s="799"/>
      <c r="AU709" s="799"/>
      <c r="AV709" s="799"/>
      <c r="AW709" s="799"/>
      <c r="AX709" s="799"/>
      <c r="AY709" s="799"/>
      <c r="AZ709" s="799"/>
      <c r="BA709" s="799"/>
      <c r="BB709" s="799"/>
      <c r="BC709" s="799"/>
      <c r="BD709" s="799"/>
      <c r="BE709" s="799"/>
      <c r="BF709" s="799"/>
      <c r="BG709" s="799"/>
    </row>
    <row r="710">
      <c r="H710" s="799"/>
      <c r="I710" s="799"/>
      <c r="J710" s="799"/>
      <c r="K710" s="799"/>
      <c r="L710" s="799"/>
      <c r="M710" s="799"/>
      <c r="N710" s="799"/>
      <c r="O710" s="799"/>
      <c r="P710" s="799"/>
      <c r="Q710" s="799"/>
      <c r="R710" s="799"/>
      <c r="S710" s="799"/>
      <c r="T710" s="799"/>
      <c r="U710" s="799"/>
      <c r="V710" s="799"/>
      <c r="W710" s="799"/>
      <c r="X710" s="799"/>
      <c r="Y710" s="799"/>
      <c r="Z710" s="799"/>
      <c r="AA710" s="799"/>
      <c r="AB710" s="799"/>
      <c r="AC710" s="799"/>
      <c r="AD710" s="799"/>
      <c r="AE710" s="799"/>
      <c r="AF710" s="799"/>
      <c r="AG710" s="799"/>
      <c r="AH710" s="799"/>
      <c r="AI710" s="799"/>
      <c r="AJ710" s="799"/>
      <c r="AK710" s="799"/>
      <c r="AL710" s="799"/>
      <c r="AM710" s="799"/>
      <c r="AN710" s="799"/>
      <c r="AO710" s="799"/>
      <c r="AP710" s="799"/>
      <c r="AQ710" s="799"/>
      <c r="AR710" s="799"/>
      <c r="AS710" s="799"/>
      <c r="AT710" s="799"/>
      <c r="AU710" s="799"/>
      <c r="AV710" s="799"/>
      <c r="AW710" s="799"/>
      <c r="AX710" s="799"/>
      <c r="AY710" s="799"/>
      <c r="AZ710" s="799"/>
      <c r="BA710" s="799"/>
      <c r="BB710" s="799"/>
      <c r="BC710" s="799"/>
      <c r="BD710" s="799"/>
      <c r="BE710" s="799"/>
      <c r="BF710" s="799"/>
      <c r="BG710" s="799"/>
    </row>
    <row r="711">
      <c r="H711" s="799"/>
      <c r="I711" s="799"/>
      <c r="J711" s="799"/>
      <c r="K711" s="799"/>
      <c r="L711" s="799"/>
      <c r="M711" s="799"/>
      <c r="N711" s="799"/>
      <c r="O711" s="799"/>
      <c r="P711" s="799"/>
      <c r="Q711" s="799"/>
      <c r="R711" s="799"/>
      <c r="S711" s="799"/>
      <c r="T711" s="799"/>
      <c r="U711" s="799"/>
      <c r="V711" s="799"/>
      <c r="W711" s="799"/>
      <c r="X711" s="799"/>
      <c r="Y711" s="799"/>
      <c r="Z711" s="799"/>
      <c r="AA711" s="799"/>
      <c r="AB711" s="799"/>
      <c r="AC711" s="799"/>
      <c r="AD711" s="799"/>
      <c r="AE711" s="799"/>
      <c r="AF711" s="799"/>
      <c r="AG711" s="799"/>
      <c r="AH711" s="799"/>
      <c r="AI711" s="799"/>
      <c r="AJ711" s="799"/>
      <c r="AK711" s="799"/>
      <c r="AL711" s="799"/>
      <c r="AM711" s="799"/>
      <c r="AN711" s="799"/>
      <c r="AO711" s="799"/>
      <c r="AP711" s="799"/>
      <c r="AQ711" s="799"/>
      <c r="AR711" s="799"/>
      <c r="AS711" s="799"/>
      <c r="AT711" s="799"/>
      <c r="AU711" s="799"/>
      <c r="AV711" s="799"/>
      <c r="AW711" s="799"/>
      <c r="AX711" s="799"/>
      <c r="AY711" s="799"/>
      <c r="AZ711" s="799"/>
      <c r="BA711" s="799"/>
      <c r="BB711" s="799"/>
      <c r="BC711" s="799"/>
      <c r="BD711" s="799"/>
      <c r="BE711" s="799"/>
      <c r="BF711" s="799"/>
      <c r="BG711" s="799"/>
    </row>
    <row r="712">
      <c r="H712" s="799"/>
      <c r="I712" s="799"/>
      <c r="J712" s="799"/>
      <c r="K712" s="799"/>
      <c r="L712" s="799"/>
      <c r="M712" s="799"/>
      <c r="N712" s="799"/>
      <c r="O712" s="799"/>
      <c r="P712" s="799"/>
      <c r="Q712" s="799"/>
      <c r="R712" s="799"/>
      <c r="S712" s="799"/>
      <c r="T712" s="799"/>
      <c r="U712" s="799"/>
      <c r="V712" s="799"/>
      <c r="W712" s="799"/>
      <c r="X712" s="799"/>
      <c r="Y712" s="799"/>
      <c r="Z712" s="799"/>
      <c r="AA712" s="799"/>
      <c r="AB712" s="799"/>
      <c r="AC712" s="799"/>
      <c r="AD712" s="799"/>
      <c r="AE712" s="799"/>
      <c r="AF712" s="799"/>
      <c r="AG712" s="799"/>
      <c r="AH712" s="799"/>
      <c r="AI712" s="799"/>
      <c r="AJ712" s="799"/>
      <c r="AK712" s="799"/>
      <c r="AL712" s="799"/>
      <c r="AM712" s="799"/>
      <c r="AN712" s="799"/>
      <c r="AO712" s="799"/>
      <c r="AP712" s="799"/>
      <c r="AQ712" s="799"/>
      <c r="AR712" s="799"/>
      <c r="AS712" s="799"/>
      <c r="AT712" s="799"/>
      <c r="AU712" s="799"/>
      <c r="AV712" s="799"/>
      <c r="AW712" s="799"/>
      <c r="AX712" s="799"/>
      <c r="AY712" s="799"/>
      <c r="AZ712" s="799"/>
      <c r="BA712" s="799"/>
      <c r="BB712" s="799"/>
      <c r="BC712" s="799"/>
      <c r="BD712" s="799"/>
      <c r="BE712" s="799"/>
      <c r="BF712" s="799"/>
      <c r="BG712" s="799"/>
    </row>
    <row r="713">
      <c r="H713" s="799"/>
      <c r="I713" s="799"/>
      <c r="J713" s="799"/>
      <c r="K713" s="799"/>
      <c r="L713" s="799"/>
      <c r="M713" s="799"/>
      <c r="N713" s="799"/>
      <c r="O713" s="799"/>
      <c r="P713" s="799"/>
      <c r="Q713" s="799"/>
      <c r="R713" s="799"/>
      <c r="S713" s="799"/>
      <c r="T713" s="799"/>
      <c r="U713" s="799"/>
      <c r="V713" s="799"/>
      <c r="W713" s="799"/>
      <c r="X713" s="799"/>
      <c r="Y713" s="799"/>
      <c r="Z713" s="799"/>
      <c r="AA713" s="799"/>
      <c r="AB713" s="799"/>
      <c r="AC713" s="799"/>
      <c r="AD713" s="799"/>
      <c r="AE713" s="799"/>
      <c r="AF713" s="799"/>
      <c r="AG713" s="799"/>
      <c r="AH713" s="799"/>
      <c r="AI713" s="799"/>
      <c r="AJ713" s="799"/>
      <c r="AK713" s="799"/>
      <c r="AL713" s="799"/>
      <c r="AM713" s="799"/>
      <c r="AN713" s="799"/>
      <c r="AO713" s="799"/>
      <c r="AP713" s="799"/>
      <c r="AQ713" s="799"/>
      <c r="AR713" s="799"/>
      <c r="AS713" s="799"/>
      <c r="AT713" s="799"/>
      <c r="AU713" s="799"/>
      <c r="AV713" s="799"/>
      <c r="AW713" s="799"/>
      <c r="AX713" s="799"/>
      <c r="AY713" s="799"/>
      <c r="AZ713" s="799"/>
      <c r="BA713" s="799"/>
      <c r="BB713" s="799"/>
      <c r="BC713" s="799"/>
      <c r="BD713" s="799"/>
      <c r="BE713" s="799"/>
      <c r="BF713" s="799"/>
      <c r="BG713" s="799"/>
    </row>
    <row r="714">
      <c r="H714" s="799"/>
      <c r="I714" s="799"/>
      <c r="J714" s="799"/>
      <c r="K714" s="799"/>
      <c r="L714" s="799"/>
      <c r="M714" s="799"/>
      <c r="N714" s="799"/>
      <c r="O714" s="799"/>
      <c r="P714" s="799"/>
      <c r="Q714" s="799"/>
      <c r="R714" s="799"/>
      <c r="S714" s="799"/>
      <c r="T714" s="799"/>
      <c r="U714" s="799"/>
      <c r="V714" s="799"/>
      <c r="W714" s="799"/>
      <c r="X714" s="799"/>
      <c r="Y714" s="799"/>
      <c r="Z714" s="799"/>
      <c r="AA714" s="799"/>
      <c r="AB714" s="799"/>
      <c r="AC714" s="799"/>
      <c r="AD714" s="799"/>
      <c r="AE714" s="799"/>
      <c r="AF714" s="799"/>
      <c r="AG714" s="799"/>
      <c r="AH714" s="799"/>
      <c r="AI714" s="799"/>
      <c r="AJ714" s="799"/>
      <c r="AK714" s="799"/>
      <c r="AL714" s="799"/>
      <c r="AM714" s="799"/>
      <c r="AN714" s="799"/>
      <c r="AO714" s="799"/>
      <c r="AP714" s="799"/>
      <c r="AQ714" s="799"/>
      <c r="AR714" s="799"/>
      <c r="AS714" s="799"/>
      <c r="AT714" s="799"/>
      <c r="AU714" s="799"/>
      <c r="AV714" s="799"/>
      <c r="AW714" s="799"/>
      <c r="AX714" s="799"/>
      <c r="AY714" s="799"/>
      <c r="AZ714" s="799"/>
      <c r="BA714" s="799"/>
      <c r="BB714" s="799"/>
      <c r="BC714" s="799"/>
      <c r="BD714" s="799"/>
      <c r="BE714" s="799"/>
      <c r="BF714" s="799"/>
      <c r="BG714" s="799"/>
    </row>
    <row r="715">
      <c r="H715" s="799"/>
      <c r="I715" s="799"/>
      <c r="J715" s="799"/>
      <c r="K715" s="799"/>
      <c r="L715" s="799"/>
      <c r="M715" s="799"/>
      <c r="N715" s="799"/>
      <c r="O715" s="799"/>
      <c r="P715" s="799"/>
      <c r="Q715" s="799"/>
      <c r="R715" s="799"/>
      <c r="S715" s="799"/>
      <c r="T715" s="799"/>
      <c r="U715" s="799"/>
      <c r="V715" s="799"/>
      <c r="W715" s="799"/>
      <c r="X715" s="799"/>
      <c r="Y715" s="799"/>
      <c r="Z715" s="799"/>
      <c r="AA715" s="799"/>
      <c r="AB715" s="799"/>
      <c r="AC715" s="799"/>
      <c r="AD715" s="799"/>
      <c r="AE715" s="799"/>
      <c r="AF715" s="799"/>
      <c r="AG715" s="799"/>
      <c r="AH715" s="799"/>
      <c r="AI715" s="799"/>
      <c r="AJ715" s="799"/>
      <c r="AK715" s="799"/>
      <c r="AL715" s="799"/>
      <c r="AM715" s="799"/>
      <c r="AN715" s="799"/>
      <c r="AO715" s="799"/>
      <c r="AP715" s="799"/>
      <c r="AQ715" s="799"/>
      <c r="AR715" s="799"/>
      <c r="AS715" s="799"/>
      <c r="AT715" s="799"/>
      <c r="AU715" s="799"/>
      <c r="AV715" s="799"/>
      <c r="AW715" s="799"/>
      <c r="AX715" s="799"/>
      <c r="AY715" s="799"/>
      <c r="AZ715" s="799"/>
      <c r="BA715" s="799"/>
      <c r="BB715" s="799"/>
      <c r="BC715" s="799"/>
      <c r="BD715" s="799"/>
      <c r="BE715" s="799"/>
      <c r="BF715" s="799"/>
      <c r="BG715" s="799"/>
    </row>
    <row r="716">
      <c r="H716" s="799"/>
      <c r="I716" s="799"/>
      <c r="J716" s="799"/>
      <c r="K716" s="799"/>
      <c r="L716" s="799"/>
      <c r="M716" s="799"/>
      <c r="N716" s="799"/>
      <c r="O716" s="799"/>
      <c r="P716" s="799"/>
      <c r="Q716" s="799"/>
      <c r="R716" s="799"/>
      <c r="S716" s="799"/>
      <c r="T716" s="799"/>
      <c r="U716" s="799"/>
      <c r="V716" s="799"/>
      <c r="W716" s="799"/>
      <c r="X716" s="799"/>
      <c r="Y716" s="799"/>
      <c r="Z716" s="799"/>
      <c r="AA716" s="799"/>
      <c r="AB716" s="799"/>
      <c r="AC716" s="799"/>
      <c r="AD716" s="799"/>
      <c r="AE716" s="799"/>
      <c r="AF716" s="799"/>
      <c r="AG716" s="799"/>
      <c r="AH716" s="799"/>
      <c r="AI716" s="799"/>
      <c r="AJ716" s="799"/>
      <c r="AK716" s="799"/>
      <c r="AL716" s="799"/>
      <c r="AM716" s="799"/>
      <c r="AN716" s="799"/>
      <c r="AO716" s="799"/>
      <c r="AP716" s="799"/>
      <c r="AQ716" s="799"/>
      <c r="AR716" s="799"/>
      <c r="AS716" s="799"/>
      <c r="AT716" s="799"/>
      <c r="AU716" s="799"/>
      <c r="AV716" s="799"/>
      <c r="AW716" s="799"/>
      <c r="AX716" s="799"/>
      <c r="AY716" s="799"/>
      <c r="AZ716" s="799"/>
      <c r="BA716" s="799"/>
      <c r="BB716" s="799"/>
      <c r="BC716" s="799"/>
      <c r="BD716" s="799"/>
      <c r="BE716" s="799"/>
      <c r="BF716" s="799"/>
      <c r="BG716" s="799"/>
    </row>
    <row r="717">
      <c r="H717" s="799"/>
      <c r="I717" s="799"/>
      <c r="J717" s="799"/>
      <c r="K717" s="799"/>
      <c r="L717" s="799"/>
      <c r="M717" s="799"/>
      <c r="N717" s="799"/>
      <c r="O717" s="799"/>
      <c r="P717" s="799"/>
      <c r="Q717" s="799"/>
      <c r="R717" s="799"/>
      <c r="S717" s="799"/>
      <c r="T717" s="799"/>
      <c r="U717" s="799"/>
      <c r="V717" s="799"/>
      <c r="W717" s="799"/>
      <c r="X717" s="799"/>
      <c r="Y717" s="799"/>
      <c r="Z717" s="799"/>
      <c r="AA717" s="799"/>
      <c r="AB717" s="799"/>
      <c r="AC717" s="799"/>
      <c r="AD717" s="799"/>
      <c r="AE717" s="799"/>
      <c r="AF717" s="799"/>
      <c r="AG717" s="799"/>
      <c r="AH717" s="799"/>
      <c r="AI717" s="799"/>
      <c r="AJ717" s="799"/>
      <c r="AK717" s="799"/>
      <c r="AL717" s="799"/>
      <c r="AM717" s="799"/>
      <c r="AN717" s="799"/>
      <c r="AO717" s="799"/>
      <c r="AP717" s="799"/>
      <c r="AQ717" s="799"/>
      <c r="AR717" s="799"/>
      <c r="AS717" s="799"/>
      <c r="AT717" s="799"/>
      <c r="AU717" s="799"/>
      <c r="AV717" s="799"/>
      <c r="AW717" s="799"/>
      <c r="AX717" s="799"/>
      <c r="AY717" s="799"/>
      <c r="AZ717" s="799"/>
      <c r="BA717" s="799"/>
      <c r="BB717" s="799"/>
      <c r="BC717" s="799"/>
      <c r="BD717" s="799"/>
      <c r="BE717" s="799"/>
      <c r="BF717" s="799"/>
      <c r="BG717" s="799"/>
    </row>
    <row r="718">
      <c r="H718" s="799"/>
      <c r="I718" s="799"/>
      <c r="J718" s="799"/>
      <c r="K718" s="799"/>
      <c r="L718" s="799"/>
      <c r="M718" s="799"/>
      <c r="N718" s="799"/>
      <c r="O718" s="799"/>
      <c r="P718" s="799"/>
      <c r="Q718" s="799"/>
      <c r="R718" s="799"/>
      <c r="S718" s="799"/>
      <c r="T718" s="799"/>
      <c r="U718" s="799"/>
      <c r="V718" s="799"/>
      <c r="W718" s="799"/>
      <c r="X718" s="799"/>
      <c r="Y718" s="799"/>
      <c r="Z718" s="799"/>
      <c r="AA718" s="799"/>
      <c r="AB718" s="799"/>
      <c r="AC718" s="799"/>
      <c r="AD718" s="799"/>
      <c r="AE718" s="799"/>
      <c r="AF718" s="799"/>
      <c r="AG718" s="799"/>
      <c r="AH718" s="799"/>
      <c r="AI718" s="799"/>
      <c r="AJ718" s="799"/>
      <c r="AK718" s="799"/>
      <c r="AL718" s="799"/>
      <c r="AM718" s="799"/>
      <c r="AN718" s="799"/>
      <c r="AO718" s="799"/>
      <c r="AP718" s="799"/>
      <c r="AQ718" s="799"/>
      <c r="AR718" s="799"/>
      <c r="AS718" s="799"/>
      <c r="AT718" s="799"/>
      <c r="AU718" s="799"/>
      <c r="AV718" s="799"/>
      <c r="AW718" s="799"/>
      <c r="AX718" s="799"/>
      <c r="AY718" s="799"/>
      <c r="AZ718" s="799"/>
      <c r="BA718" s="799"/>
      <c r="BB718" s="799"/>
      <c r="BC718" s="799"/>
      <c r="BD718" s="799"/>
      <c r="BE718" s="799"/>
      <c r="BF718" s="799"/>
      <c r="BG718" s="799"/>
    </row>
    <row r="719">
      <c r="H719" s="799"/>
      <c r="I719" s="799"/>
      <c r="J719" s="799"/>
      <c r="K719" s="799"/>
      <c r="L719" s="799"/>
      <c r="M719" s="799"/>
      <c r="N719" s="799"/>
      <c r="O719" s="799"/>
      <c r="P719" s="799"/>
      <c r="Q719" s="799"/>
      <c r="R719" s="799"/>
      <c r="S719" s="799"/>
      <c r="T719" s="799"/>
      <c r="U719" s="799"/>
      <c r="V719" s="799"/>
      <c r="W719" s="799"/>
      <c r="X719" s="799"/>
      <c r="Y719" s="799"/>
      <c r="Z719" s="799"/>
      <c r="AA719" s="799"/>
      <c r="AB719" s="799"/>
      <c r="AC719" s="799"/>
      <c r="AD719" s="799"/>
      <c r="AE719" s="799"/>
      <c r="AF719" s="799"/>
      <c r="AG719" s="799"/>
      <c r="AH719" s="799"/>
      <c r="AI719" s="799"/>
      <c r="AJ719" s="799"/>
      <c r="AK719" s="799"/>
      <c r="AL719" s="799"/>
      <c r="AM719" s="799"/>
      <c r="AN719" s="799"/>
      <c r="AO719" s="799"/>
      <c r="AP719" s="799"/>
      <c r="AQ719" s="799"/>
      <c r="AR719" s="799"/>
      <c r="AS719" s="799"/>
      <c r="AT719" s="799"/>
      <c r="AU719" s="799"/>
      <c r="AV719" s="799"/>
      <c r="AW719" s="799"/>
      <c r="AX719" s="799"/>
      <c r="AY719" s="799"/>
      <c r="AZ719" s="799"/>
      <c r="BA719" s="799"/>
      <c r="BB719" s="799"/>
      <c r="BC719" s="799"/>
      <c r="BD719" s="799"/>
      <c r="BE719" s="799"/>
      <c r="BF719" s="799"/>
      <c r="BG719" s="799"/>
    </row>
    <row r="720">
      <c r="H720" s="799"/>
      <c r="I720" s="799"/>
      <c r="J720" s="799"/>
      <c r="K720" s="799"/>
      <c r="L720" s="799"/>
      <c r="M720" s="799"/>
      <c r="N720" s="799"/>
      <c r="O720" s="799"/>
      <c r="P720" s="799"/>
      <c r="Q720" s="799"/>
      <c r="R720" s="799"/>
      <c r="S720" s="799"/>
      <c r="T720" s="799"/>
      <c r="U720" s="799"/>
      <c r="V720" s="799"/>
      <c r="W720" s="799"/>
      <c r="X720" s="799"/>
      <c r="Y720" s="799"/>
      <c r="Z720" s="799"/>
      <c r="AA720" s="799"/>
      <c r="AB720" s="799"/>
      <c r="AC720" s="799"/>
      <c r="AD720" s="799"/>
      <c r="AE720" s="799"/>
      <c r="AF720" s="799"/>
      <c r="AG720" s="799"/>
      <c r="AH720" s="799"/>
      <c r="AI720" s="799"/>
      <c r="AJ720" s="799"/>
      <c r="AK720" s="799"/>
      <c r="AL720" s="799"/>
      <c r="AM720" s="799"/>
      <c r="AN720" s="799"/>
      <c r="AO720" s="799"/>
      <c r="AP720" s="799"/>
      <c r="AQ720" s="799"/>
      <c r="AR720" s="799"/>
      <c r="AS720" s="799"/>
      <c r="AT720" s="799"/>
      <c r="AU720" s="799"/>
      <c r="AV720" s="799"/>
      <c r="AW720" s="799"/>
      <c r="AX720" s="799"/>
      <c r="AY720" s="799"/>
      <c r="AZ720" s="799"/>
      <c r="BA720" s="799"/>
      <c r="BB720" s="799"/>
      <c r="BC720" s="799"/>
      <c r="BD720" s="799"/>
      <c r="BE720" s="799"/>
      <c r="BF720" s="799"/>
      <c r="BG720" s="799"/>
    </row>
    <row r="721">
      <c r="H721" s="799"/>
      <c r="I721" s="799"/>
      <c r="J721" s="799"/>
      <c r="K721" s="799"/>
      <c r="L721" s="799"/>
      <c r="M721" s="799"/>
      <c r="N721" s="799"/>
      <c r="O721" s="799"/>
      <c r="P721" s="799"/>
      <c r="Q721" s="799"/>
      <c r="R721" s="799"/>
      <c r="S721" s="799"/>
      <c r="T721" s="799"/>
      <c r="U721" s="799"/>
      <c r="V721" s="799"/>
      <c r="W721" s="799"/>
      <c r="X721" s="799"/>
      <c r="Y721" s="799"/>
      <c r="Z721" s="799"/>
      <c r="AA721" s="799"/>
      <c r="AB721" s="799"/>
      <c r="AC721" s="799"/>
      <c r="AD721" s="799"/>
      <c r="AE721" s="799"/>
      <c r="AF721" s="799"/>
      <c r="AG721" s="799"/>
      <c r="AH721" s="799"/>
      <c r="AI721" s="799"/>
      <c r="AJ721" s="799"/>
      <c r="AK721" s="799"/>
      <c r="AL721" s="799"/>
      <c r="AM721" s="799"/>
      <c r="AN721" s="799"/>
      <c r="AO721" s="799"/>
      <c r="AP721" s="799"/>
      <c r="AQ721" s="799"/>
      <c r="AR721" s="799"/>
      <c r="AS721" s="799"/>
      <c r="AT721" s="799"/>
      <c r="AU721" s="799"/>
      <c r="AV721" s="799"/>
      <c r="AW721" s="799"/>
      <c r="AX721" s="799"/>
      <c r="AY721" s="799"/>
      <c r="AZ721" s="799"/>
      <c r="BA721" s="799"/>
      <c r="BB721" s="799"/>
      <c r="BC721" s="799"/>
      <c r="BD721" s="799"/>
      <c r="BE721" s="799"/>
      <c r="BF721" s="799"/>
      <c r="BG721" s="799"/>
    </row>
    <row r="722">
      <c r="H722" s="799"/>
      <c r="I722" s="799"/>
      <c r="J722" s="799"/>
      <c r="K722" s="799"/>
      <c r="L722" s="799"/>
      <c r="M722" s="799"/>
      <c r="N722" s="799"/>
      <c r="O722" s="799"/>
      <c r="P722" s="799"/>
      <c r="Q722" s="799"/>
      <c r="R722" s="799"/>
      <c r="S722" s="799"/>
      <c r="T722" s="799"/>
      <c r="U722" s="799"/>
      <c r="V722" s="799"/>
      <c r="W722" s="799"/>
      <c r="X722" s="799"/>
      <c r="Y722" s="799"/>
      <c r="Z722" s="799"/>
      <c r="AA722" s="799"/>
      <c r="AB722" s="799"/>
      <c r="AC722" s="799"/>
      <c r="AD722" s="799"/>
      <c r="AE722" s="799"/>
      <c r="AF722" s="799"/>
      <c r="AG722" s="799"/>
      <c r="AH722" s="799"/>
      <c r="AI722" s="799"/>
      <c r="AJ722" s="799"/>
      <c r="AK722" s="799"/>
      <c r="AL722" s="799"/>
      <c r="AM722" s="799"/>
      <c r="AN722" s="799"/>
      <c r="AO722" s="799"/>
      <c r="AP722" s="799"/>
      <c r="AQ722" s="799"/>
      <c r="AR722" s="799"/>
      <c r="AS722" s="799"/>
      <c r="AT722" s="799"/>
      <c r="AU722" s="799"/>
      <c r="AV722" s="799"/>
      <c r="AW722" s="799"/>
      <c r="AX722" s="799"/>
      <c r="AY722" s="799"/>
      <c r="AZ722" s="799"/>
      <c r="BA722" s="799"/>
      <c r="BB722" s="799"/>
      <c r="BC722" s="799"/>
      <c r="BD722" s="799"/>
      <c r="BE722" s="799"/>
      <c r="BF722" s="799"/>
      <c r="BG722" s="799"/>
    </row>
    <row r="723">
      <c r="H723" s="799"/>
      <c r="I723" s="799"/>
      <c r="J723" s="799"/>
      <c r="K723" s="799"/>
      <c r="L723" s="799"/>
      <c r="M723" s="799"/>
      <c r="N723" s="799"/>
      <c r="O723" s="799"/>
      <c r="P723" s="799"/>
      <c r="Q723" s="799"/>
      <c r="R723" s="799"/>
      <c r="S723" s="799"/>
      <c r="T723" s="799"/>
      <c r="U723" s="799"/>
      <c r="V723" s="799"/>
      <c r="W723" s="799"/>
      <c r="X723" s="799"/>
      <c r="Y723" s="799"/>
      <c r="Z723" s="799"/>
      <c r="AA723" s="799"/>
      <c r="AB723" s="799"/>
      <c r="AC723" s="799"/>
      <c r="AD723" s="799"/>
      <c r="AE723" s="799"/>
      <c r="AF723" s="799"/>
      <c r="AG723" s="799"/>
      <c r="AH723" s="799"/>
      <c r="AI723" s="799"/>
      <c r="AJ723" s="799"/>
      <c r="AK723" s="799"/>
      <c r="AL723" s="799"/>
      <c r="AM723" s="799"/>
      <c r="AN723" s="799"/>
      <c r="AO723" s="799"/>
      <c r="AP723" s="799"/>
      <c r="AQ723" s="799"/>
      <c r="AR723" s="799"/>
      <c r="AS723" s="799"/>
      <c r="AT723" s="799"/>
      <c r="AU723" s="799"/>
      <c r="AV723" s="799"/>
      <c r="AW723" s="799"/>
      <c r="AX723" s="799"/>
      <c r="AY723" s="799"/>
      <c r="AZ723" s="799"/>
      <c r="BA723" s="799"/>
      <c r="BB723" s="799"/>
      <c r="BC723" s="799"/>
      <c r="BD723" s="799"/>
      <c r="BE723" s="799"/>
      <c r="BF723" s="799"/>
      <c r="BG723" s="799"/>
    </row>
    <row r="724">
      <c r="H724" s="799"/>
      <c r="I724" s="799"/>
      <c r="J724" s="799"/>
      <c r="K724" s="799"/>
      <c r="L724" s="799"/>
      <c r="M724" s="799"/>
      <c r="N724" s="799"/>
      <c r="O724" s="799"/>
      <c r="P724" s="799"/>
      <c r="Q724" s="799"/>
      <c r="R724" s="799"/>
      <c r="S724" s="799"/>
      <c r="T724" s="799"/>
      <c r="U724" s="799"/>
      <c r="V724" s="799"/>
      <c r="W724" s="799"/>
      <c r="X724" s="799"/>
      <c r="Y724" s="799"/>
      <c r="Z724" s="799"/>
      <c r="AA724" s="799"/>
      <c r="AB724" s="799"/>
      <c r="AC724" s="799"/>
      <c r="AD724" s="799"/>
      <c r="AE724" s="799"/>
      <c r="AF724" s="799"/>
      <c r="AG724" s="799"/>
      <c r="AH724" s="799"/>
      <c r="AI724" s="799"/>
      <c r="AJ724" s="799"/>
      <c r="AK724" s="799"/>
      <c r="AL724" s="799"/>
      <c r="AM724" s="799"/>
      <c r="AN724" s="799"/>
      <c r="AO724" s="799"/>
      <c r="AP724" s="799"/>
      <c r="AQ724" s="799"/>
      <c r="AR724" s="799"/>
      <c r="AS724" s="799"/>
      <c r="AT724" s="799"/>
      <c r="AU724" s="799"/>
      <c r="AV724" s="799"/>
      <c r="AW724" s="799"/>
      <c r="AX724" s="799"/>
      <c r="AY724" s="799"/>
      <c r="AZ724" s="799"/>
      <c r="BA724" s="799"/>
      <c r="BB724" s="799"/>
      <c r="BC724" s="799"/>
      <c r="BD724" s="799"/>
      <c r="BE724" s="799"/>
      <c r="BF724" s="799"/>
      <c r="BG724" s="799"/>
    </row>
    <row r="725">
      <c r="H725" s="799"/>
      <c r="I725" s="799"/>
      <c r="J725" s="799"/>
      <c r="K725" s="799"/>
      <c r="L725" s="799"/>
      <c r="M725" s="799"/>
      <c r="N725" s="799"/>
      <c r="O725" s="799"/>
      <c r="P725" s="799"/>
      <c r="Q725" s="799"/>
      <c r="R725" s="799"/>
      <c r="S725" s="799"/>
      <c r="T725" s="799"/>
      <c r="U725" s="799"/>
      <c r="V725" s="799"/>
      <c r="W725" s="799"/>
      <c r="X725" s="799"/>
      <c r="Y725" s="799"/>
      <c r="Z725" s="799"/>
      <c r="AA725" s="799"/>
      <c r="AB725" s="799"/>
      <c r="AC725" s="799"/>
      <c r="AD725" s="799"/>
      <c r="AE725" s="799"/>
      <c r="AF725" s="799"/>
      <c r="AG725" s="799"/>
      <c r="AH725" s="799"/>
      <c r="AI725" s="799"/>
      <c r="AJ725" s="799"/>
      <c r="AK725" s="799"/>
      <c r="AL725" s="799"/>
      <c r="AM725" s="799"/>
      <c r="AN725" s="799"/>
      <c r="AO725" s="799"/>
      <c r="AP725" s="799"/>
      <c r="AQ725" s="799"/>
      <c r="AR725" s="799"/>
      <c r="AS725" s="799"/>
      <c r="AT725" s="799"/>
      <c r="AU725" s="799"/>
      <c r="AV725" s="799"/>
      <c r="AW725" s="799"/>
      <c r="AX725" s="799"/>
      <c r="AY725" s="799"/>
      <c r="AZ725" s="799"/>
      <c r="BA725" s="799"/>
      <c r="BB725" s="799"/>
      <c r="BC725" s="799"/>
      <c r="BD725" s="799"/>
      <c r="BE725" s="799"/>
      <c r="BF725" s="799"/>
      <c r="BG725" s="799"/>
    </row>
    <row r="726">
      <c r="H726" s="799"/>
      <c r="I726" s="799"/>
      <c r="J726" s="799"/>
      <c r="K726" s="799"/>
      <c r="L726" s="799"/>
      <c r="M726" s="799"/>
      <c r="N726" s="799"/>
      <c r="O726" s="799"/>
      <c r="P726" s="799"/>
      <c r="Q726" s="799"/>
      <c r="R726" s="799"/>
      <c r="S726" s="799"/>
      <c r="T726" s="799"/>
      <c r="U726" s="799"/>
      <c r="V726" s="799"/>
      <c r="W726" s="799"/>
      <c r="X726" s="799"/>
      <c r="Y726" s="799"/>
      <c r="Z726" s="799"/>
      <c r="AA726" s="799"/>
      <c r="AB726" s="799"/>
      <c r="AC726" s="799"/>
      <c r="AD726" s="799"/>
      <c r="AE726" s="799"/>
      <c r="AF726" s="799"/>
      <c r="AG726" s="799"/>
      <c r="AH726" s="799"/>
      <c r="AI726" s="799"/>
      <c r="AJ726" s="799"/>
      <c r="AK726" s="799"/>
      <c r="AL726" s="799"/>
      <c r="AM726" s="799"/>
      <c r="AN726" s="799"/>
      <c r="AO726" s="799"/>
      <c r="AP726" s="799"/>
      <c r="AQ726" s="799"/>
      <c r="AR726" s="799"/>
      <c r="AS726" s="799"/>
      <c r="AT726" s="799"/>
      <c r="AU726" s="799"/>
      <c r="AV726" s="799"/>
      <c r="AW726" s="799"/>
      <c r="AX726" s="799"/>
      <c r="AY726" s="799"/>
      <c r="AZ726" s="799"/>
      <c r="BA726" s="799"/>
      <c r="BB726" s="799"/>
      <c r="BC726" s="799"/>
      <c r="BD726" s="799"/>
      <c r="BE726" s="799"/>
      <c r="BF726" s="799"/>
      <c r="BG726" s="799"/>
    </row>
    <row r="727">
      <c r="H727" s="799"/>
      <c r="I727" s="799"/>
      <c r="J727" s="799"/>
      <c r="K727" s="799"/>
      <c r="L727" s="799"/>
      <c r="M727" s="799"/>
      <c r="N727" s="799"/>
      <c r="O727" s="799"/>
      <c r="P727" s="799"/>
      <c r="Q727" s="799"/>
      <c r="R727" s="799"/>
      <c r="S727" s="799"/>
      <c r="T727" s="799"/>
      <c r="U727" s="799"/>
      <c r="V727" s="799"/>
      <c r="W727" s="799"/>
      <c r="X727" s="799"/>
      <c r="Y727" s="799"/>
      <c r="Z727" s="799"/>
      <c r="AA727" s="799"/>
      <c r="AB727" s="799"/>
      <c r="AC727" s="799"/>
      <c r="AD727" s="799"/>
      <c r="AE727" s="799"/>
      <c r="AF727" s="799"/>
      <c r="AG727" s="799"/>
      <c r="AH727" s="799"/>
      <c r="AI727" s="799"/>
      <c r="AJ727" s="799"/>
      <c r="AK727" s="799"/>
      <c r="AL727" s="799"/>
      <c r="AM727" s="799"/>
      <c r="AN727" s="799"/>
      <c r="AO727" s="799"/>
      <c r="AP727" s="799"/>
      <c r="AQ727" s="799"/>
      <c r="AR727" s="799"/>
      <c r="AS727" s="799"/>
      <c r="AT727" s="799"/>
      <c r="AU727" s="799"/>
      <c r="AV727" s="799"/>
      <c r="AW727" s="799"/>
      <c r="AX727" s="799"/>
      <c r="AY727" s="799"/>
      <c r="AZ727" s="799"/>
      <c r="BA727" s="799"/>
      <c r="BB727" s="799"/>
      <c r="BC727" s="799"/>
      <c r="BD727" s="799"/>
      <c r="BE727" s="799"/>
      <c r="BF727" s="799"/>
      <c r="BG727" s="799"/>
    </row>
    <row r="728">
      <c r="H728" s="799"/>
      <c r="I728" s="799"/>
      <c r="J728" s="799"/>
      <c r="K728" s="799"/>
      <c r="L728" s="799"/>
      <c r="M728" s="799"/>
      <c r="N728" s="799"/>
      <c r="O728" s="799"/>
      <c r="P728" s="799"/>
      <c r="Q728" s="799"/>
      <c r="R728" s="799"/>
      <c r="S728" s="799"/>
      <c r="T728" s="799"/>
      <c r="U728" s="799"/>
      <c r="V728" s="799"/>
      <c r="W728" s="799"/>
      <c r="X728" s="799"/>
      <c r="Y728" s="799"/>
      <c r="Z728" s="799"/>
      <c r="AA728" s="799"/>
      <c r="AB728" s="799"/>
      <c r="AC728" s="799"/>
      <c r="AD728" s="799"/>
      <c r="AE728" s="799"/>
      <c r="AF728" s="799"/>
      <c r="AG728" s="799"/>
      <c r="AH728" s="799"/>
      <c r="AI728" s="799"/>
      <c r="AJ728" s="799"/>
      <c r="AK728" s="799"/>
      <c r="AL728" s="799"/>
      <c r="AM728" s="799"/>
      <c r="AN728" s="799"/>
      <c r="AO728" s="799"/>
      <c r="AP728" s="799"/>
      <c r="AQ728" s="799"/>
      <c r="AR728" s="799"/>
      <c r="AS728" s="799"/>
      <c r="AT728" s="799"/>
      <c r="AU728" s="799"/>
      <c r="AV728" s="799"/>
      <c r="AW728" s="799"/>
      <c r="AX728" s="799"/>
      <c r="AY728" s="799"/>
      <c r="AZ728" s="799"/>
      <c r="BA728" s="799"/>
      <c r="BB728" s="799"/>
      <c r="BC728" s="799"/>
      <c r="BD728" s="799"/>
      <c r="BE728" s="799"/>
      <c r="BF728" s="799"/>
      <c r="BG728" s="799"/>
    </row>
    <row r="729">
      <c r="H729" s="799"/>
      <c r="I729" s="799"/>
      <c r="J729" s="799"/>
      <c r="K729" s="799"/>
      <c r="L729" s="799"/>
      <c r="M729" s="799"/>
      <c r="N729" s="799"/>
      <c r="O729" s="799"/>
      <c r="P729" s="799"/>
      <c r="Q729" s="799"/>
      <c r="R729" s="799"/>
      <c r="S729" s="799"/>
      <c r="T729" s="799"/>
      <c r="U729" s="799"/>
      <c r="V729" s="799"/>
      <c r="W729" s="799"/>
      <c r="X729" s="799"/>
      <c r="Y729" s="799"/>
      <c r="Z729" s="799"/>
      <c r="AA729" s="799"/>
      <c r="AB729" s="799"/>
      <c r="AC729" s="799"/>
      <c r="AD729" s="799"/>
      <c r="AE729" s="799"/>
      <c r="AF729" s="799"/>
      <c r="AG729" s="799"/>
      <c r="AH729" s="799"/>
      <c r="AI729" s="799"/>
      <c r="AJ729" s="799"/>
      <c r="AK729" s="799"/>
      <c r="AL729" s="799"/>
      <c r="AM729" s="799"/>
      <c r="AN729" s="799"/>
      <c r="AO729" s="799"/>
      <c r="AP729" s="799"/>
      <c r="AQ729" s="799"/>
      <c r="AR729" s="799"/>
      <c r="AS729" s="799"/>
      <c r="AT729" s="799"/>
      <c r="AU729" s="799"/>
      <c r="AV729" s="799"/>
      <c r="AW729" s="799"/>
      <c r="AX729" s="799"/>
      <c r="AY729" s="799"/>
      <c r="AZ729" s="799"/>
      <c r="BA729" s="799"/>
      <c r="BB729" s="799"/>
      <c r="BC729" s="799"/>
      <c r="BD729" s="799"/>
      <c r="BE729" s="799"/>
      <c r="BF729" s="799"/>
      <c r="BG729" s="799"/>
    </row>
    <row r="730">
      <c r="H730" s="799"/>
      <c r="I730" s="799"/>
      <c r="J730" s="799"/>
      <c r="K730" s="799"/>
      <c r="L730" s="799"/>
      <c r="M730" s="799"/>
      <c r="N730" s="799"/>
      <c r="O730" s="799"/>
      <c r="P730" s="799"/>
      <c r="Q730" s="799"/>
      <c r="R730" s="799"/>
      <c r="S730" s="799"/>
      <c r="T730" s="799"/>
      <c r="U730" s="799"/>
      <c r="V730" s="799"/>
      <c r="W730" s="799"/>
      <c r="X730" s="799"/>
      <c r="Y730" s="799"/>
      <c r="Z730" s="799"/>
      <c r="AA730" s="799"/>
      <c r="AB730" s="799"/>
      <c r="AC730" s="799"/>
      <c r="AD730" s="799"/>
      <c r="AE730" s="799"/>
      <c r="AF730" s="799"/>
      <c r="AG730" s="799"/>
      <c r="AH730" s="799"/>
      <c r="AI730" s="799"/>
      <c r="AJ730" s="799"/>
      <c r="AK730" s="799"/>
      <c r="AL730" s="799"/>
      <c r="AM730" s="799"/>
      <c r="AN730" s="799"/>
      <c r="AO730" s="799"/>
      <c r="AP730" s="799"/>
      <c r="AQ730" s="799"/>
      <c r="AR730" s="799"/>
      <c r="AS730" s="799"/>
      <c r="AT730" s="799"/>
      <c r="AU730" s="799"/>
      <c r="AV730" s="799"/>
      <c r="AW730" s="799"/>
      <c r="AX730" s="799"/>
      <c r="AY730" s="799"/>
      <c r="AZ730" s="799"/>
      <c r="BA730" s="799"/>
      <c r="BB730" s="799"/>
      <c r="BC730" s="799"/>
      <c r="BD730" s="799"/>
      <c r="BE730" s="799"/>
      <c r="BF730" s="799"/>
      <c r="BG730" s="799"/>
    </row>
    <row r="731">
      <c r="H731" s="799"/>
      <c r="I731" s="799"/>
      <c r="J731" s="799"/>
      <c r="K731" s="799"/>
      <c r="L731" s="799"/>
      <c r="M731" s="799"/>
      <c r="N731" s="799"/>
      <c r="O731" s="799"/>
      <c r="P731" s="799"/>
      <c r="Q731" s="799"/>
      <c r="R731" s="799"/>
      <c r="S731" s="799"/>
      <c r="T731" s="799"/>
      <c r="U731" s="799"/>
      <c r="V731" s="799"/>
      <c r="W731" s="799"/>
      <c r="X731" s="799"/>
      <c r="Y731" s="799"/>
      <c r="Z731" s="799"/>
      <c r="AA731" s="799"/>
      <c r="AB731" s="799"/>
      <c r="AC731" s="799"/>
      <c r="AD731" s="799"/>
      <c r="AE731" s="799"/>
      <c r="AF731" s="799"/>
      <c r="AG731" s="799"/>
      <c r="AH731" s="799"/>
      <c r="AI731" s="799"/>
      <c r="AJ731" s="799"/>
      <c r="AK731" s="799"/>
      <c r="AL731" s="799"/>
      <c r="AM731" s="799"/>
      <c r="AN731" s="799"/>
      <c r="AO731" s="799"/>
      <c r="AP731" s="799"/>
      <c r="AQ731" s="799"/>
      <c r="AR731" s="799"/>
      <c r="AS731" s="799"/>
      <c r="AT731" s="799"/>
      <c r="AU731" s="799"/>
      <c r="AV731" s="799"/>
      <c r="AW731" s="799"/>
      <c r="AX731" s="799"/>
      <c r="AY731" s="799"/>
      <c r="AZ731" s="799"/>
      <c r="BA731" s="799"/>
      <c r="BB731" s="799"/>
      <c r="BC731" s="799"/>
      <c r="BD731" s="799"/>
      <c r="BE731" s="799"/>
      <c r="BF731" s="799"/>
      <c r="BG731" s="799"/>
    </row>
    <row r="732">
      <c r="H732" s="799"/>
      <c r="I732" s="799"/>
      <c r="J732" s="799"/>
      <c r="K732" s="799"/>
      <c r="L732" s="799"/>
      <c r="M732" s="799"/>
      <c r="N732" s="799"/>
      <c r="O732" s="799"/>
      <c r="P732" s="799"/>
      <c r="Q732" s="799"/>
      <c r="R732" s="799"/>
      <c r="S732" s="799"/>
      <c r="T732" s="799"/>
      <c r="U732" s="799"/>
      <c r="V732" s="799"/>
      <c r="W732" s="799"/>
      <c r="X732" s="799"/>
      <c r="Y732" s="799"/>
      <c r="Z732" s="799"/>
      <c r="AA732" s="799"/>
      <c r="AB732" s="799"/>
      <c r="AC732" s="799"/>
      <c r="AD732" s="799"/>
      <c r="AE732" s="799"/>
      <c r="AF732" s="799"/>
      <c r="AG732" s="799"/>
      <c r="AH732" s="799"/>
      <c r="AI732" s="799"/>
      <c r="AJ732" s="799"/>
      <c r="AK732" s="799"/>
      <c r="AL732" s="799"/>
      <c r="AM732" s="799"/>
      <c r="AN732" s="799"/>
      <c r="AO732" s="799"/>
      <c r="AP732" s="799"/>
      <c r="AQ732" s="799"/>
      <c r="AR732" s="799"/>
      <c r="AS732" s="799"/>
      <c r="AT732" s="799"/>
      <c r="AU732" s="799"/>
      <c r="AV732" s="799"/>
      <c r="AW732" s="799"/>
      <c r="AX732" s="799"/>
      <c r="AY732" s="799"/>
      <c r="AZ732" s="799"/>
      <c r="BA732" s="799"/>
      <c r="BB732" s="799"/>
      <c r="BC732" s="799"/>
      <c r="BD732" s="799"/>
      <c r="BE732" s="799"/>
      <c r="BF732" s="799"/>
      <c r="BG732" s="799"/>
    </row>
    <row r="733">
      <c r="H733" s="799"/>
      <c r="I733" s="799"/>
      <c r="J733" s="799"/>
      <c r="K733" s="799"/>
      <c r="L733" s="799"/>
      <c r="M733" s="799"/>
      <c r="N733" s="799"/>
      <c r="O733" s="799"/>
      <c r="P733" s="799"/>
      <c r="Q733" s="799"/>
      <c r="R733" s="799"/>
      <c r="S733" s="799"/>
      <c r="T733" s="799"/>
      <c r="U733" s="799"/>
      <c r="V733" s="799"/>
      <c r="W733" s="799"/>
      <c r="X733" s="799"/>
      <c r="Y733" s="799"/>
      <c r="Z733" s="799"/>
      <c r="AA733" s="799"/>
      <c r="AB733" s="799"/>
      <c r="AC733" s="799"/>
      <c r="AD733" s="799"/>
      <c r="AE733" s="799"/>
      <c r="AF733" s="799"/>
      <c r="AG733" s="799"/>
      <c r="AH733" s="799"/>
      <c r="AI733" s="799"/>
      <c r="AJ733" s="799"/>
      <c r="AK733" s="799"/>
      <c r="AL733" s="799"/>
      <c r="AM733" s="799"/>
      <c r="AN733" s="799"/>
      <c r="AO733" s="799"/>
      <c r="AP733" s="799"/>
      <c r="AQ733" s="799"/>
      <c r="AR733" s="799"/>
      <c r="AS733" s="799"/>
      <c r="AT733" s="799"/>
      <c r="AU733" s="799"/>
      <c r="AV733" s="799"/>
      <c r="AW733" s="799"/>
      <c r="AX733" s="799"/>
      <c r="AY733" s="799"/>
      <c r="AZ733" s="799"/>
      <c r="BA733" s="799"/>
      <c r="BB733" s="799"/>
      <c r="BC733" s="799"/>
      <c r="BD733" s="799"/>
      <c r="BE733" s="799"/>
      <c r="BF733" s="799"/>
      <c r="BG733" s="799"/>
    </row>
    <row r="734">
      <c r="H734" s="799"/>
      <c r="I734" s="799"/>
      <c r="J734" s="799"/>
      <c r="K734" s="799"/>
      <c r="L734" s="799"/>
      <c r="M734" s="799"/>
      <c r="N734" s="799"/>
      <c r="O734" s="799"/>
      <c r="P734" s="799"/>
      <c r="Q734" s="799"/>
      <c r="R734" s="799"/>
      <c r="S734" s="799"/>
      <c r="T734" s="799"/>
      <c r="U734" s="799"/>
      <c r="V734" s="799"/>
      <c r="W734" s="799"/>
      <c r="X734" s="799"/>
      <c r="Y734" s="799"/>
      <c r="Z734" s="799"/>
      <c r="AA734" s="799"/>
      <c r="AB734" s="799"/>
      <c r="AC734" s="799"/>
      <c r="AD734" s="799"/>
      <c r="AE734" s="799"/>
      <c r="AF734" s="799"/>
      <c r="AG734" s="799"/>
      <c r="AH734" s="799"/>
      <c r="AI734" s="799"/>
      <c r="AJ734" s="799"/>
      <c r="AK734" s="799"/>
      <c r="AL734" s="799"/>
      <c r="AM734" s="799"/>
      <c r="AN734" s="799"/>
      <c r="AO734" s="799"/>
      <c r="AP734" s="799"/>
      <c r="AQ734" s="799"/>
      <c r="AR734" s="799"/>
      <c r="AS734" s="799"/>
      <c r="AT734" s="799"/>
      <c r="AU734" s="799"/>
      <c r="AV734" s="799"/>
      <c r="AW734" s="799"/>
      <c r="AX734" s="799"/>
      <c r="AY734" s="799"/>
      <c r="AZ734" s="799"/>
      <c r="BA734" s="799"/>
      <c r="BB734" s="799"/>
      <c r="BC734" s="799"/>
      <c r="BD734" s="799"/>
      <c r="BE734" s="799"/>
      <c r="BF734" s="799"/>
      <c r="BG734" s="799"/>
    </row>
    <row r="735">
      <c r="H735" s="799"/>
      <c r="I735" s="799"/>
      <c r="J735" s="799"/>
      <c r="K735" s="799"/>
      <c r="L735" s="799"/>
      <c r="M735" s="799"/>
      <c r="N735" s="799"/>
      <c r="O735" s="799"/>
      <c r="P735" s="799"/>
      <c r="Q735" s="799"/>
      <c r="R735" s="799"/>
      <c r="S735" s="799"/>
      <c r="T735" s="799"/>
      <c r="U735" s="799"/>
      <c r="V735" s="799"/>
      <c r="W735" s="799"/>
      <c r="X735" s="799"/>
      <c r="Y735" s="799"/>
      <c r="Z735" s="799"/>
      <c r="AA735" s="799"/>
      <c r="AB735" s="799"/>
      <c r="AC735" s="799"/>
      <c r="AD735" s="799"/>
      <c r="AE735" s="799"/>
      <c r="AF735" s="799"/>
      <c r="AG735" s="799"/>
      <c r="AH735" s="799"/>
      <c r="AI735" s="799"/>
      <c r="AJ735" s="799"/>
      <c r="AK735" s="799"/>
      <c r="AL735" s="799"/>
      <c r="AM735" s="799"/>
      <c r="AN735" s="799"/>
      <c r="AO735" s="799"/>
      <c r="AP735" s="799"/>
      <c r="AQ735" s="799"/>
      <c r="AR735" s="799"/>
      <c r="AS735" s="799"/>
      <c r="AT735" s="799"/>
      <c r="AU735" s="799"/>
      <c r="AV735" s="799"/>
      <c r="AW735" s="799"/>
      <c r="AX735" s="799"/>
      <c r="AY735" s="799"/>
      <c r="AZ735" s="799"/>
      <c r="BA735" s="799"/>
      <c r="BB735" s="799"/>
      <c r="BC735" s="799"/>
      <c r="BD735" s="799"/>
      <c r="BE735" s="799"/>
      <c r="BF735" s="799"/>
      <c r="BG735" s="799"/>
    </row>
    <row r="736">
      <c r="H736" s="799"/>
      <c r="I736" s="799"/>
      <c r="J736" s="799"/>
      <c r="K736" s="799"/>
      <c r="L736" s="799"/>
      <c r="M736" s="799"/>
      <c r="N736" s="799"/>
      <c r="O736" s="799"/>
      <c r="P736" s="799"/>
      <c r="Q736" s="799"/>
      <c r="R736" s="799"/>
      <c r="S736" s="799"/>
      <c r="T736" s="799"/>
      <c r="U736" s="799"/>
      <c r="V736" s="799"/>
      <c r="W736" s="799"/>
      <c r="X736" s="799"/>
      <c r="Y736" s="799"/>
      <c r="Z736" s="799"/>
      <c r="AA736" s="799"/>
      <c r="AB736" s="799"/>
      <c r="AC736" s="799"/>
      <c r="AD736" s="799"/>
      <c r="AE736" s="799"/>
      <c r="AF736" s="799"/>
      <c r="AG736" s="799"/>
      <c r="AH736" s="799"/>
      <c r="AI736" s="799"/>
      <c r="AJ736" s="799"/>
      <c r="AK736" s="799"/>
      <c r="AL736" s="799"/>
      <c r="AM736" s="799"/>
      <c r="AN736" s="799"/>
      <c r="AO736" s="799"/>
      <c r="AP736" s="799"/>
      <c r="AQ736" s="799"/>
      <c r="AR736" s="799"/>
      <c r="AS736" s="799"/>
      <c r="AT736" s="799"/>
      <c r="AU736" s="799"/>
      <c r="AV736" s="799"/>
      <c r="AW736" s="799"/>
      <c r="AX736" s="799"/>
      <c r="AY736" s="799"/>
      <c r="AZ736" s="799"/>
      <c r="BA736" s="799"/>
      <c r="BB736" s="799"/>
      <c r="BC736" s="799"/>
      <c r="BD736" s="799"/>
      <c r="BE736" s="799"/>
      <c r="BF736" s="799"/>
      <c r="BG736" s="799"/>
    </row>
    <row r="737">
      <c r="H737" s="799"/>
      <c r="I737" s="799"/>
      <c r="J737" s="799"/>
      <c r="K737" s="799"/>
      <c r="L737" s="799"/>
      <c r="M737" s="799"/>
      <c r="N737" s="799"/>
      <c r="O737" s="799"/>
      <c r="P737" s="799"/>
      <c r="Q737" s="799"/>
      <c r="R737" s="799"/>
      <c r="S737" s="799"/>
      <c r="T737" s="799"/>
      <c r="U737" s="799"/>
      <c r="V737" s="799"/>
      <c r="W737" s="799"/>
      <c r="X737" s="799"/>
      <c r="Y737" s="799"/>
      <c r="Z737" s="799"/>
      <c r="AA737" s="799"/>
      <c r="AB737" s="799"/>
      <c r="AC737" s="799"/>
      <c r="AD737" s="799"/>
      <c r="AE737" s="799"/>
      <c r="AF737" s="799"/>
      <c r="AG737" s="799"/>
      <c r="AH737" s="799"/>
      <c r="AI737" s="799"/>
      <c r="AJ737" s="799"/>
      <c r="AK737" s="799"/>
      <c r="AL737" s="799"/>
      <c r="AM737" s="799"/>
      <c r="AN737" s="799"/>
      <c r="AO737" s="799"/>
      <c r="AP737" s="799"/>
      <c r="AQ737" s="799"/>
      <c r="AR737" s="799"/>
      <c r="AS737" s="799"/>
      <c r="AT737" s="799"/>
      <c r="AU737" s="799"/>
      <c r="AV737" s="799"/>
      <c r="AW737" s="799"/>
      <c r="AX737" s="799"/>
      <c r="AY737" s="799"/>
      <c r="AZ737" s="799"/>
      <c r="BA737" s="799"/>
      <c r="BB737" s="799"/>
      <c r="BC737" s="799"/>
      <c r="BD737" s="799"/>
      <c r="BE737" s="799"/>
      <c r="BF737" s="799"/>
      <c r="BG737" s="799"/>
    </row>
    <row r="738">
      <c r="H738" s="799"/>
      <c r="I738" s="799"/>
      <c r="J738" s="799"/>
      <c r="K738" s="799"/>
      <c r="L738" s="799"/>
      <c r="M738" s="799"/>
      <c r="N738" s="799"/>
      <c r="O738" s="799"/>
      <c r="P738" s="799"/>
      <c r="Q738" s="799"/>
      <c r="R738" s="799"/>
      <c r="S738" s="799"/>
      <c r="T738" s="799"/>
      <c r="U738" s="799"/>
      <c r="V738" s="799"/>
      <c r="W738" s="799"/>
      <c r="X738" s="799"/>
      <c r="Y738" s="799"/>
      <c r="Z738" s="799"/>
      <c r="AA738" s="799"/>
      <c r="AB738" s="799"/>
      <c r="AC738" s="799"/>
      <c r="AD738" s="799"/>
      <c r="AE738" s="799"/>
      <c r="AF738" s="799"/>
      <c r="AG738" s="799"/>
      <c r="AH738" s="799"/>
      <c r="AI738" s="799"/>
      <c r="AJ738" s="799"/>
      <c r="AK738" s="799"/>
      <c r="AL738" s="799"/>
      <c r="AM738" s="799"/>
      <c r="AN738" s="799"/>
      <c r="AO738" s="799"/>
      <c r="AP738" s="799"/>
      <c r="AQ738" s="799"/>
      <c r="AR738" s="799"/>
      <c r="AS738" s="799"/>
      <c r="AT738" s="799"/>
      <c r="AU738" s="799"/>
      <c r="AV738" s="799"/>
      <c r="AW738" s="799"/>
      <c r="AX738" s="799"/>
      <c r="AY738" s="799"/>
      <c r="AZ738" s="799"/>
      <c r="BA738" s="799"/>
      <c r="BB738" s="799"/>
      <c r="BC738" s="799"/>
      <c r="BD738" s="799"/>
      <c r="BE738" s="799"/>
      <c r="BF738" s="799"/>
      <c r="BG738" s="799"/>
    </row>
    <row r="739">
      <c r="H739" s="799"/>
      <c r="I739" s="799"/>
      <c r="J739" s="799"/>
      <c r="K739" s="799"/>
      <c r="L739" s="799"/>
      <c r="M739" s="799"/>
      <c r="N739" s="799"/>
      <c r="O739" s="799"/>
      <c r="P739" s="799"/>
      <c r="Q739" s="799"/>
      <c r="R739" s="799"/>
      <c r="S739" s="799"/>
      <c r="T739" s="799"/>
      <c r="U739" s="799"/>
      <c r="V739" s="799"/>
      <c r="W739" s="799"/>
      <c r="X739" s="799"/>
      <c r="Y739" s="799"/>
      <c r="Z739" s="799"/>
      <c r="AA739" s="799"/>
      <c r="AB739" s="799"/>
      <c r="AC739" s="799"/>
      <c r="AD739" s="799"/>
      <c r="AE739" s="799"/>
      <c r="AF739" s="799"/>
      <c r="AG739" s="799"/>
      <c r="AH739" s="799"/>
      <c r="AI739" s="799"/>
      <c r="AJ739" s="799"/>
      <c r="AK739" s="799"/>
      <c r="AL739" s="799"/>
      <c r="AM739" s="799"/>
      <c r="AN739" s="799"/>
      <c r="AO739" s="799"/>
      <c r="AP739" s="799"/>
      <c r="AQ739" s="799"/>
      <c r="AR739" s="799"/>
      <c r="AS739" s="799"/>
      <c r="AT739" s="799"/>
      <c r="AU739" s="799"/>
      <c r="AV739" s="799"/>
      <c r="AW739" s="799"/>
      <c r="AX739" s="799"/>
      <c r="AY739" s="799"/>
      <c r="AZ739" s="799"/>
      <c r="BA739" s="799"/>
      <c r="BB739" s="799"/>
      <c r="BC739" s="799"/>
      <c r="BD739" s="799"/>
      <c r="BE739" s="799"/>
      <c r="BF739" s="799"/>
      <c r="BG739" s="799"/>
    </row>
    <row r="740">
      <c r="H740" s="799"/>
      <c r="I740" s="799"/>
      <c r="J740" s="799"/>
      <c r="K740" s="799"/>
      <c r="L740" s="799"/>
      <c r="M740" s="799"/>
      <c r="N740" s="799"/>
      <c r="O740" s="799"/>
      <c r="P740" s="799"/>
      <c r="Q740" s="799"/>
      <c r="R740" s="799"/>
      <c r="S740" s="799"/>
      <c r="T740" s="799"/>
      <c r="U740" s="799"/>
      <c r="V740" s="799"/>
      <c r="W740" s="799"/>
      <c r="X740" s="799"/>
      <c r="Y740" s="799"/>
      <c r="Z740" s="799"/>
      <c r="AA740" s="799"/>
      <c r="AB740" s="799"/>
      <c r="AC740" s="799"/>
      <c r="AD740" s="799"/>
      <c r="AE740" s="799"/>
      <c r="AF740" s="799"/>
      <c r="AG740" s="799"/>
      <c r="AH740" s="799"/>
      <c r="AI740" s="799"/>
      <c r="AJ740" s="799"/>
      <c r="AK740" s="799"/>
      <c r="AL740" s="799"/>
      <c r="AM740" s="799"/>
      <c r="AN740" s="799"/>
      <c r="AO740" s="799"/>
      <c r="AP740" s="799"/>
      <c r="AQ740" s="799"/>
      <c r="AR740" s="799"/>
      <c r="AS740" s="799"/>
      <c r="AT740" s="799"/>
      <c r="AU740" s="799"/>
      <c r="AV740" s="799"/>
      <c r="AW740" s="799"/>
      <c r="AX740" s="799"/>
      <c r="AY740" s="799"/>
      <c r="AZ740" s="799"/>
      <c r="BA740" s="799"/>
      <c r="BB740" s="799"/>
      <c r="BC740" s="799"/>
      <c r="BD740" s="799"/>
      <c r="BE740" s="799"/>
      <c r="BF740" s="799"/>
      <c r="BG740" s="799"/>
    </row>
    <row r="741">
      <c r="H741" s="799"/>
      <c r="I741" s="799"/>
      <c r="J741" s="799"/>
      <c r="K741" s="799"/>
      <c r="L741" s="799"/>
      <c r="M741" s="799"/>
      <c r="N741" s="799"/>
      <c r="O741" s="799"/>
      <c r="P741" s="799"/>
      <c r="Q741" s="799"/>
      <c r="R741" s="799"/>
      <c r="S741" s="799"/>
      <c r="T741" s="799"/>
      <c r="U741" s="799"/>
      <c r="V741" s="799"/>
      <c r="W741" s="799"/>
      <c r="X741" s="799"/>
      <c r="Y741" s="799"/>
      <c r="Z741" s="799"/>
      <c r="AA741" s="799"/>
      <c r="AB741" s="799"/>
      <c r="AC741" s="799"/>
      <c r="AD741" s="799"/>
      <c r="AE741" s="799"/>
      <c r="AF741" s="799"/>
      <c r="AG741" s="799"/>
      <c r="AH741" s="799"/>
      <c r="AI741" s="799"/>
      <c r="AJ741" s="799"/>
      <c r="AK741" s="799"/>
      <c r="AL741" s="799"/>
      <c r="AM741" s="799"/>
      <c r="AN741" s="799"/>
      <c r="AO741" s="799"/>
      <c r="AP741" s="799"/>
      <c r="AQ741" s="799"/>
      <c r="AR741" s="799"/>
      <c r="AS741" s="799"/>
      <c r="AT741" s="799"/>
      <c r="AU741" s="799"/>
      <c r="AV741" s="799"/>
      <c r="AW741" s="799"/>
      <c r="AX741" s="799"/>
      <c r="AY741" s="799"/>
      <c r="AZ741" s="799"/>
      <c r="BA741" s="799"/>
      <c r="BB741" s="799"/>
      <c r="BC741" s="799"/>
      <c r="BD741" s="799"/>
      <c r="BE741" s="799"/>
      <c r="BF741" s="799"/>
      <c r="BG741" s="799"/>
    </row>
    <row r="742">
      <c r="H742" s="799"/>
      <c r="I742" s="799"/>
      <c r="J742" s="799"/>
      <c r="K742" s="799"/>
      <c r="L742" s="799"/>
      <c r="M742" s="799"/>
      <c r="N742" s="799"/>
      <c r="O742" s="799"/>
      <c r="P742" s="799"/>
      <c r="Q742" s="799"/>
      <c r="R742" s="799"/>
      <c r="S742" s="799"/>
      <c r="T742" s="799"/>
      <c r="U742" s="799"/>
      <c r="V742" s="799"/>
      <c r="W742" s="799"/>
      <c r="X742" s="799"/>
      <c r="Y742" s="799"/>
      <c r="Z742" s="799"/>
      <c r="AA742" s="799"/>
      <c r="AB742" s="799"/>
      <c r="AC742" s="799"/>
      <c r="AD742" s="799"/>
      <c r="AE742" s="799"/>
      <c r="AF742" s="799"/>
      <c r="AG742" s="799"/>
      <c r="AH742" s="799"/>
      <c r="AI742" s="799"/>
      <c r="AJ742" s="799"/>
      <c r="AK742" s="799"/>
      <c r="AL742" s="799"/>
      <c r="AM742" s="799"/>
      <c r="AN742" s="799"/>
      <c r="AO742" s="799"/>
      <c r="AP742" s="799"/>
      <c r="AQ742" s="799"/>
      <c r="AR742" s="799"/>
      <c r="AS742" s="799"/>
      <c r="AT742" s="799"/>
      <c r="AU742" s="799"/>
      <c r="AV742" s="799"/>
      <c r="AW742" s="799"/>
      <c r="AX742" s="799"/>
      <c r="AY742" s="799"/>
      <c r="AZ742" s="799"/>
      <c r="BA742" s="799"/>
      <c r="BB742" s="799"/>
      <c r="BC742" s="799"/>
      <c r="BD742" s="799"/>
      <c r="BE742" s="799"/>
      <c r="BF742" s="799"/>
      <c r="BG742" s="799"/>
    </row>
    <row r="743">
      <c r="H743" s="799"/>
      <c r="I743" s="799"/>
      <c r="J743" s="799"/>
      <c r="K743" s="799"/>
      <c r="L743" s="799"/>
      <c r="M743" s="799"/>
      <c r="N743" s="799"/>
      <c r="O743" s="799"/>
      <c r="P743" s="799"/>
      <c r="Q743" s="799"/>
      <c r="R743" s="799"/>
      <c r="S743" s="799"/>
      <c r="T743" s="799"/>
      <c r="U743" s="799"/>
      <c r="V743" s="799"/>
      <c r="W743" s="799"/>
      <c r="X743" s="799"/>
      <c r="Y743" s="799"/>
      <c r="Z743" s="799"/>
      <c r="AA743" s="799"/>
      <c r="AB743" s="799"/>
      <c r="AC743" s="799"/>
      <c r="AD743" s="799"/>
      <c r="AE743" s="799"/>
      <c r="AF743" s="799"/>
      <c r="AG743" s="799"/>
      <c r="AH743" s="799"/>
      <c r="AI743" s="799"/>
      <c r="AJ743" s="799"/>
      <c r="AK743" s="799"/>
      <c r="AL743" s="799"/>
      <c r="AM743" s="799"/>
      <c r="AN743" s="799"/>
      <c r="AO743" s="799"/>
      <c r="AP743" s="799"/>
      <c r="AQ743" s="799"/>
      <c r="AR743" s="799"/>
      <c r="AS743" s="799"/>
      <c r="AT743" s="799"/>
      <c r="AU743" s="799"/>
      <c r="AV743" s="799"/>
      <c r="AW743" s="799"/>
      <c r="AX743" s="799"/>
      <c r="AY743" s="799"/>
      <c r="AZ743" s="799"/>
      <c r="BA743" s="799"/>
      <c r="BB743" s="799"/>
      <c r="BC743" s="799"/>
      <c r="BD743" s="799"/>
      <c r="BE743" s="799"/>
      <c r="BF743" s="799"/>
      <c r="BG743" s="799"/>
    </row>
    <row r="744">
      <c r="H744" s="799"/>
      <c r="I744" s="799"/>
      <c r="J744" s="799"/>
      <c r="K744" s="799"/>
      <c r="L744" s="799"/>
      <c r="M744" s="799"/>
      <c r="N744" s="799"/>
      <c r="O744" s="799"/>
      <c r="P744" s="799"/>
      <c r="Q744" s="799"/>
      <c r="R744" s="799"/>
      <c r="S744" s="799"/>
      <c r="T744" s="799"/>
      <c r="U744" s="799"/>
      <c r="V744" s="799"/>
      <c r="W744" s="799"/>
      <c r="X744" s="799"/>
      <c r="Y744" s="799"/>
      <c r="Z744" s="799"/>
      <c r="AA744" s="799"/>
      <c r="AB744" s="799"/>
      <c r="AC744" s="799"/>
      <c r="AD744" s="799"/>
      <c r="AE744" s="799"/>
      <c r="AF744" s="799"/>
      <c r="AG744" s="799"/>
      <c r="AH744" s="799"/>
      <c r="AI744" s="799"/>
      <c r="AJ744" s="799"/>
      <c r="AK744" s="799"/>
      <c r="AL744" s="799"/>
      <c r="AM744" s="799"/>
      <c r="AN744" s="799"/>
      <c r="AO744" s="799"/>
      <c r="AP744" s="799"/>
      <c r="AQ744" s="799"/>
      <c r="AR744" s="799"/>
      <c r="AS744" s="799"/>
      <c r="AT744" s="799"/>
      <c r="AU744" s="799"/>
      <c r="AV744" s="799"/>
      <c r="AW744" s="799"/>
      <c r="AX744" s="799"/>
      <c r="AY744" s="799"/>
      <c r="AZ744" s="799"/>
      <c r="BA744" s="799"/>
      <c r="BB744" s="799"/>
      <c r="BC744" s="799"/>
      <c r="BD744" s="799"/>
      <c r="BE744" s="799"/>
      <c r="BF744" s="799"/>
      <c r="BG744" s="799"/>
    </row>
    <row r="745">
      <c r="H745" s="799"/>
      <c r="I745" s="799"/>
      <c r="J745" s="799"/>
      <c r="K745" s="799"/>
      <c r="L745" s="799"/>
      <c r="M745" s="799"/>
      <c r="N745" s="799"/>
      <c r="O745" s="799"/>
      <c r="P745" s="799"/>
      <c r="Q745" s="799"/>
      <c r="R745" s="799"/>
      <c r="S745" s="799"/>
      <c r="T745" s="799"/>
      <c r="U745" s="799"/>
      <c r="V745" s="799"/>
      <c r="W745" s="799"/>
      <c r="X745" s="799"/>
      <c r="Y745" s="799"/>
      <c r="Z745" s="799"/>
      <c r="AA745" s="799"/>
      <c r="AB745" s="799"/>
      <c r="AC745" s="799"/>
      <c r="AD745" s="799"/>
      <c r="AE745" s="799"/>
      <c r="AF745" s="799"/>
      <c r="AG745" s="799"/>
      <c r="AH745" s="799"/>
      <c r="AI745" s="799"/>
      <c r="AJ745" s="799"/>
      <c r="AK745" s="799"/>
      <c r="AL745" s="799"/>
      <c r="AM745" s="799"/>
      <c r="AN745" s="799"/>
      <c r="AO745" s="799"/>
      <c r="AP745" s="799"/>
      <c r="AQ745" s="799"/>
      <c r="AR745" s="799"/>
      <c r="AS745" s="799"/>
      <c r="AT745" s="799"/>
      <c r="AU745" s="799"/>
      <c r="AV745" s="799"/>
      <c r="AW745" s="799"/>
      <c r="AX745" s="799"/>
      <c r="AY745" s="799"/>
      <c r="AZ745" s="799"/>
      <c r="BA745" s="799"/>
      <c r="BB745" s="799"/>
      <c r="BC745" s="799"/>
      <c r="BD745" s="799"/>
      <c r="BE745" s="799"/>
      <c r="BF745" s="799"/>
      <c r="BG745" s="799"/>
    </row>
    <row r="746">
      <c r="H746" s="799"/>
      <c r="I746" s="799"/>
      <c r="J746" s="799"/>
      <c r="K746" s="799"/>
      <c r="L746" s="799"/>
      <c r="M746" s="799"/>
      <c r="N746" s="799"/>
      <c r="O746" s="799"/>
      <c r="P746" s="799"/>
      <c r="Q746" s="799"/>
      <c r="R746" s="799"/>
      <c r="S746" s="799"/>
      <c r="T746" s="799"/>
      <c r="U746" s="799"/>
      <c r="V746" s="799"/>
      <c r="W746" s="799"/>
      <c r="X746" s="799"/>
      <c r="Y746" s="799"/>
      <c r="Z746" s="799"/>
      <c r="AA746" s="799"/>
      <c r="AB746" s="799"/>
      <c r="AC746" s="799"/>
      <c r="AD746" s="799"/>
      <c r="AE746" s="799"/>
      <c r="AF746" s="799"/>
      <c r="AG746" s="799"/>
      <c r="AH746" s="799"/>
      <c r="AI746" s="799"/>
      <c r="AJ746" s="799"/>
      <c r="AK746" s="799"/>
      <c r="AL746" s="799"/>
      <c r="AM746" s="799"/>
      <c r="AN746" s="799"/>
      <c r="AO746" s="799"/>
      <c r="AP746" s="799"/>
      <c r="AQ746" s="799"/>
      <c r="AR746" s="799"/>
      <c r="AS746" s="799"/>
      <c r="AT746" s="799"/>
      <c r="AU746" s="799"/>
      <c r="AV746" s="799"/>
      <c r="AW746" s="799"/>
      <c r="AX746" s="799"/>
      <c r="AY746" s="799"/>
      <c r="AZ746" s="799"/>
      <c r="BA746" s="799"/>
      <c r="BB746" s="799"/>
      <c r="BC746" s="799"/>
      <c r="BD746" s="799"/>
      <c r="BE746" s="799"/>
      <c r="BF746" s="799"/>
      <c r="BG746" s="799"/>
    </row>
    <row r="747">
      <c r="H747" s="799"/>
      <c r="I747" s="799"/>
      <c r="J747" s="799"/>
      <c r="K747" s="799"/>
      <c r="L747" s="799"/>
      <c r="M747" s="799"/>
      <c r="N747" s="799"/>
      <c r="O747" s="799"/>
      <c r="P747" s="799"/>
      <c r="Q747" s="799"/>
      <c r="R747" s="799"/>
      <c r="S747" s="799"/>
      <c r="T747" s="799"/>
      <c r="U747" s="799"/>
      <c r="V747" s="799"/>
      <c r="W747" s="799"/>
      <c r="X747" s="799"/>
      <c r="Y747" s="799"/>
      <c r="Z747" s="799"/>
      <c r="AA747" s="799"/>
      <c r="AB747" s="799"/>
      <c r="AC747" s="799"/>
      <c r="AD747" s="799"/>
      <c r="AE747" s="799"/>
      <c r="AF747" s="799"/>
      <c r="AG747" s="799"/>
      <c r="AH747" s="799"/>
      <c r="AI747" s="799"/>
      <c r="AJ747" s="799"/>
      <c r="AK747" s="799"/>
      <c r="AL747" s="799"/>
      <c r="AM747" s="799"/>
      <c r="AN747" s="799"/>
      <c r="AO747" s="799"/>
      <c r="AP747" s="799"/>
      <c r="AQ747" s="799"/>
      <c r="AR747" s="799"/>
      <c r="AS747" s="799"/>
      <c r="AT747" s="799"/>
      <c r="AU747" s="799"/>
      <c r="AV747" s="799"/>
      <c r="AW747" s="799"/>
      <c r="AX747" s="799"/>
      <c r="AY747" s="799"/>
      <c r="AZ747" s="799"/>
      <c r="BA747" s="799"/>
      <c r="BB747" s="799"/>
      <c r="BC747" s="799"/>
      <c r="BD747" s="799"/>
      <c r="BE747" s="799"/>
      <c r="BF747" s="799"/>
      <c r="BG747" s="799"/>
    </row>
    <row r="748">
      <c r="H748" s="799"/>
      <c r="I748" s="799"/>
      <c r="J748" s="799"/>
      <c r="K748" s="799"/>
      <c r="L748" s="799"/>
      <c r="M748" s="799"/>
      <c r="N748" s="799"/>
      <c r="O748" s="799"/>
      <c r="P748" s="799"/>
      <c r="Q748" s="799"/>
      <c r="R748" s="799"/>
      <c r="S748" s="799"/>
      <c r="T748" s="799"/>
      <c r="U748" s="799"/>
      <c r="V748" s="799"/>
      <c r="W748" s="799"/>
      <c r="X748" s="799"/>
      <c r="Y748" s="799"/>
      <c r="Z748" s="799"/>
      <c r="AA748" s="799"/>
      <c r="AB748" s="799"/>
      <c r="AC748" s="799"/>
      <c r="AD748" s="799"/>
      <c r="AE748" s="799"/>
      <c r="AF748" s="799"/>
      <c r="AG748" s="799"/>
      <c r="AH748" s="799"/>
      <c r="AI748" s="799"/>
      <c r="AJ748" s="799"/>
      <c r="AK748" s="799"/>
      <c r="AL748" s="799"/>
      <c r="AM748" s="799"/>
      <c r="AN748" s="799"/>
      <c r="AO748" s="799"/>
      <c r="AP748" s="799"/>
      <c r="AQ748" s="799"/>
      <c r="AR748" s="799"/>
      <c r="AS748" s="799"/>
      <c r="AT748" s="799"/>
      <c r="AU748" s="799"/>
      <c r="AV748" s="799"/>
      <c r="AW748" s="799"/>
      <c r="AX748" s="799"/>
      <c r="AY748" s="799"/>
      <c r="AZ748" s="799"/>
      <c r="BA748" s="799"/>
      <c r="BB748" s="799"/>
      <c r="BC748" s="799"/>
      <c r="BD748" s="799"/>
      <c r="BE748" s="799"/>
      <c r="BF748" s="799"/>
      <c r="BG748" s="799"/>
    </row>
    <row r="749">
      <c r="H749" s="799"/>
      <c r="I749" s="799"/>
      <c r="J749" s="799"/>
      <c r="K749" s="799"/>
      <c r="L749" s="799"/>
      <c r="M749" s="799"/>
      <c r="N749" s="799"/>
      <c r="O749" s="799"/>
      <c r="P749" s="799"/>
      <c r="Q749" s="799"/>
      <c r="R749" s="799"/>
      <c r="S749" s="799"/>
      <c r="T749" s="799"/>
      <c r="U749" s="799"/>
      <c r="V749" s="799"/>
      <c r="W749" s="799"/>
      <c r="X749" s="799"/>
      <c r="Y749" s="799"/>
      <c r="Z749" s="799"/>
      <c r="AA749" s="799"/>
      <c r="AB749" s="799"/>
      <c r="AC749" s="799"/>
      <c r="AD749" s="799"/>
      <c r="AE749" s="799"/>
      <c r="AF749" s="799"/>
      <c r="AG749" s="799"/>
      <c r="AH749" s="799"/>
      <c r="AI749" s="799"/>
      <c r="AJ749" s="799"/>
      <c r="AK749" s="799"/>
      <c r="AL749" s="799"/>
      <c r="AM749" s="799"/>
      <c r="AN749" s="799"/>
      <c r="AO749" s="799"/>
      <c r="AP749" s="799"/>
      <c r="AQ749" s="799"/>
      <c r="AR749" s="799"/>
      <c r="AS749" s="799"/>
      <c r="AT749" s="799"/>
      <c r="AU749" s="799"/>
      <c r="AV749" s="799"/>
      <c r="AW749" s="799"/>
      <c r="AX749" s="799"/>
      <c r="AY749" s="799"/>
      <c r="AZ749" s="799"/>
      <c r="BA749" s="799"/>
      <c r="BB749" s="799"/>
      <c r="BC749" s="799"/>
      <c r="BD749" s="799"/>
      <c r="BE749" s="799"/>
      <c r="BF749" s="799"/>
      <c r="BG749" s="799"/>
    </row>
    <row r="750">
      <c r="H750" s="799"/>
      <c r="I750" s="799"/>
      <c r="J750" s="799"/>
      <c r="K750" s="799"/>
      <c r="L750" s="799"/>
      <c r="M750" s="799"/>
      <c r="N750" s="799"/>
      <c r="O750" s="799"/>
      <c r="P750" s="799"/>
      <c r="Q750" s="799"/>
      <c r="R750" s="799"/>
      <c r="S750" s="799"/>
      <c r="T750" s="799"/>
      <c r="U750" s="799"/>
      <c r="V750" s="799"/>
      <c r="W750" s="799"/>
      <c r="X750" s="799"/>
      <c r="Y750" s="799"/>
      <c r="Z750" s="799"/>
      <c r="AA750" s="799"/>
      <c r="AB750" s="799"/>
      <c r="AC750" s="799"/>
      <c r="AD750" s="799"/>
      <c r="AE750" s="799"/>
      <c r="AF750" s="799"/>
      <c r="AG750" s="799"/>
      <c r="AH750" s="799"/>
      <c r="AI750" s="799"/>
      <c r="AJ750" s="799"/>
      <c r="AK750" s="799"/>
      <c r="AL750" s="799"/>
      <c r="AM750" s="799"/>
      <c r="AN750" s="799"/>
      <c r="AO750" s="799"/>
      <c r="AP750" s="799"/>
      <c r="AQ750" s="799"/>
      <c r="AR750" s="799"/>
      <c r="AS750" s="799"/>
      <c r="AT750" s="799"/>
      <c r="AU750" s="799"/>
      <c r="AV750" s="799"/>
      <c r="AW750" s="799"/>
      <c r="AX750" s="799"/>
      <c r="AY750" s="799"/>
      <c r="AZ750" s="799"/>
      <c r="BA750" s="799"/>
      <c r="BB750" s="799"/>
      <c r="BC750" s="799"/>
      <c r="BD750" s="799"/>
      <c r="BE750" s="799"/>
      <c r="BF750" s="799"/>
      <c r="BG750" s="799"/>
    </row>
    <row r="751">
      <c r="H751" s="799"/>
      <c r="I751" s="799"/>
      <c r="J751" s="799"/>
      <c r="K751" s="799"/>
      <c r="L751" s="799"/>
      <c r="M751" s="799"/>
      <c r="N751" s="799"/>
      <c r="O751" s="799"/>
      <c r="P751" s="799"/>
      <c r="Q751" s="799"/>
      <c r="R751" s="799"/>
      <c r="S751" s="799"/>
      <c r="T751" s="799"/>
      <c r="U751" s="799"/>
      <c r="V751" s="799"/>
      <c r="W751" s="799"/>
      <c r="X751" s="799"/>
      <c r="Y751" s="799"/>
      <c r="Z751" s="799"/>
      <c r="AA751" s="799"/>
      <c r="AB751" s="799"/>
      <c r="AC751" s="799"/>
      <c r="AD751" s="799"/>
      <c r="AE751" s="799"/>
      <c r="AF751" s="799"/>
      <c r="AG751" s="799"/>
      <c r="AH751" s="799"/>
      <c r="AI751" s="799"/>
      <c r="AJ751" s="799"/>
      <c r="AK751" s="799"/>
      <c r="AL751" s="799"/>
      <c r="AM751" s="799"/>
      <c r="AN751" s="799"/>
      <c r="AO751" s="799"/>
      <c r="AP751" s="799"/>
      <c r="AQ751" s="799"/>
      <c r="AR751" s="799"/>
      <c r="AS751" s="799"/>
      <c r="AT751" s="799"/>
      <c r="AU751" s="799"/>
      <c r="AV751" s="799"/>
      <c r="AW751" s="799"/>
      <c r="AX751" s="799"/>
      <c r="AY751" s="799"/>
      <c r="AZ751" s="799"/>
      <c r="BA751" s="799"/>
      <c r="BB751" s="799"/>
      <c r="BC751" s="799"/>
      <c r="BD751" s="799"/>
      <c r="BE751" s="799"/>
      <c r="BF751" s="799"/>
      <c r="BG751" s="799"/>
    </row>
    <row r="752">
      <c r="H752" s="799"/>
      <c r="I752" s="799"/>
      <c r="J752" s="799"/>
      <c r="K752" s="799"/>
      <c r="L752" s="799"/>
      <c r="M752" s="799"/>
      <c r="N752" s="799"/>
      <c r="O752" s="799"/>
      <c r="P752" s="799"/>
      <c r="Q752" s="799"/>
      <c r="R752" s="799"/>
      <c r="S752" s="799"/>
      <c r="T752" s="799"/>
      <c r="U752" s="799"/>
      <c r="V752" s="799"/>
      <c r="W752" s="799"/>
      <c r="X752" s="799"/>
      <c r="Y752" s="799"/>
      <c r="Z752" s="799"/>
      <c r="AA752" s="799"/>
      <c r="AB752" s="799"/>
      <c r="AC752" s="799"/>
      <c r="AD752" s="799"/>
      <c r="AE752" s="799"/>
      <c r="AF752" s="799"/>
      <c r="AG752" s="799"/>
      <c r="AH752" s="799"/>
      <c r="AI752" s="799"/>
      <c r="AJ752" s="799"/>
      <c r="AK752" s="799"/>
      <c r="AL752" s="799"/>
      <c r="AM752" s="799"/>
      <c r="AN752" s="799"/>
      <c r="AO752" s="799"/>
      <c r="AP752" s="799"/>
      <c r="AQ752" s="799"/>
      <c r="AR752" s="799"/>
      <c r="AS752" s="799"/>
      <c r="AT752" s="799"/>
      <c r="AU752" s="799"/>
      <c r="AV752" s="799"/>
      <c r="AW752" s="799"/>
      <c r="AX752" s="799"/>
      <c r="AY752" s="799"/>
      <c r="AZ752" s="799"/>
      <c r="BA752" s="799"/>
      <c r="BB752" s="799"/>
      <c r="BC752" s="799"/>
      <c r="BD752" s="799"/>
      <c r="BE752" s="799"/>
      <c r="BF752" s="799"/>
      <c r="BG752" s="799"/>
    </row>
    <row r="753">
      <c r="H753" s="799"/>
      <c r="I753" s="799"/>
      <c r="J753" s="799"/>
      <c r="K753" s="799"/>
      <c r="L753" s="799"/>
      <c r="M753" s="799"/>
      <c r="N753" s="799"/>
      <c r="O753" s="799"/>
      <c r="P753" s="799"/>
      <c r="Q753" s="799"/>
      <c r="R753" s="799"/>
      <c r="S753" s="799"/>
      <c r="T753" s="799"/>
      <c r="U753" s="799"/>
      <c r="V753" s="799"/>
      <c r="W753" s="799"/>
      <c r="X753" s="799"/>
      <c r="Y753" s="799"/>
      <c r="Z753" s="799"/>
      <c r="AA753" s="799"/>
      <c r="AB753" s="799"/>
      <c r="AC753" s="799"/>
      <c r="AD753" s="799"/>
      <c r="AE753" s="799"/>
      <c r="AF753" s="799"/>
      <c r="AG753" s="799"/>
      <c r="AH753" s="799"/>
      <c r="AI753" s="799"/>
      <c r="AJ753" s="799"/>
      <c r="AK753" s="799"/>
      <c r="AL753" s="799"/>
      <c r="AM753" s="799"/>
      <c r="AN753" s="799"/>
      <c r="AO753" s="799"/>
      <c r="AP753" s="799"/>
      <c r="AQ753" s="799"/>
      <c r="AR753" s="799"/>
      <c r="AS753" s="799"/>
      <c r="AT753" s="799"/>
      <c r="AU753" s="799"/>
      <c r="AV753" s="799"/>
      <c r="AW753" s="799"/>
      <c r="AX753" s="799"/>
      <c r="AY753" s="799"/>
      <c r="AZ753" s="799"/>
      <c r="BA753" s="799"/>
      <c r="BB753" s="799"/>
      <c r="BC753" s="799"/>
      <c r="BD753" s="799"/>
      <c r="BE753" s="799"/>
      <c r="BF753" s="799"/>
      <c r="BG753" s="799"/>
    </row>
    <row r="754">
      <c r="H754" s="799"/>
      <c r="I754" s="799"/>
      <c r="J754" s="799"/>
      <c r="K754" s="799"/>
      <c r="L754" s="799"/>
      <c r="M754" s="799"/>
      <c r="N754" s="799"/>
      <c r="O754" s="799"/>
      <c r="P754" s="799"/>
      <c r="Q754" s="799"/>
      <c r="R754" s="799"/>
      <c r="S754" s="799"/>
      <c r="T754" s="799"/>
      <c r="U754" s="799"/>
      <c r="V754" s="799"/>
      <c r="W754" s="799"/>
      <c r="X754" s="799"/>
      <c r="Y754" s="799"/>
      <c r="Z754" s="799"/>
      <c r="AA754" s="799"/>
      <c r="AB754" s="799"/>
      <c r="AC754" s="799"/>
      <c r="AD754" s="799"/>
      <c r="AE754" s="799"/>
      <c r="AF754" s="799"/>
      <c r="AG754" s="799"/>
      <c r="AH754" s="799"/>
      <c r="AI754" s="799"/>
      <c r="AJ754" s="799"/>
      <c r="AK754" s="799"/>
      <c r="AL754" s="799"/>
      <c r="AM754" s="799"/>
      <c r="AN754" s="799"/>
      <c r="AO754" s="799"/>
      <c r="AP754" s="799"/>
      <c r="AQ754" s="799"/>
      <c r="AR754" s="799"/>
      <c r="AS754" s="799"/>
      <c r="AT754" s="799"/>
      <c r="AU754" s="799"/>
      <c r="AV754" s="799"/>
      <c r="AW754" s="799"/>
      <c r="AX754" s="799"/>
      <c r="AY754" s="799"/>
      <c r="AZ754" s="799"/>
      <c r="BA754" s="799"/>
      <c r="BB754" s="799"/>
      <c r="BC754" s="799"/>
      <c r="BD754" s="799"/>
      <c r="BE754" s="799"/>
      <c r="BF754" s="799"/>
      <c r="BG754" s="799"/>
    </row>
    <row r="755">
      <c r="H755" s="799"/>
      <c r="I755" s="799"/>
      <c r="J755" s="799"/>
      <c r="K755" s="799"/>
      <c r="L755" s="799"/>
      <c r="M755" s="799"/>
      <c r="N755" s="799"/>
      <c r="O755" s="799"/>
      <c r="P755" s="799"/>
      <c r="Q755" s="799"/>
      <c r="R755" s="799"/>
      <c r="S755" s="799"/>
      <c r="T755" s="799"/>
      <c r="U755" s="799"/>
      <c r="V755" s="799"/>
      <c r="W755" s="799"/>
      <c r="X755" s="799"/>
      <c r="Y755" s="799"/>
      <c r="Z755" s="799"/>
      <c r="AA755" s="799"/>
      <c r="AB755" s="799"/>
      <c r="AC755" s="799"/>
      <c r="AD755" s="799"/>
      <c r="AE755" s="799"/>
      <c r="AF755" s="799"/>
      <c r="AG755" s="799"/>
      <c r="AH755" s="799"/>
      <c r="AI755" s="799"/>
      <c r="AJ755" s="799"/>
      <c r="AK755" s="799"/>
      <c r="AL755" s="799"/>
      <c r="AM755" s="799"/>
      <c r="AN755" s="799"/>
      <c r="AO755" s="799"/>
      <c r="AP755" s="799"/>
      <c r="AQ755" s="799"/>
      <c r="AR755" s="799"/>
      <c r="AS755" s="799"/>
      <c r="AT755" s="799"/>
      <c r="AU755" s="799"/>
      <c r="AV755" s="799"/>
      <c r="AW755" s="799"/>
      <c r="AX755" s="799"/>
      <c r="AY755" s="799"/>
      <c r="AZ755" s="799"/>
      <c r="BA755" s="799"/>
      <c r="BB755" s="799"/>
      <c r="BC755" s="799"/>
      <c r="BD755" s="799"/>
      <c r="BE755" s="799"/>
      <c r="BF755" s="799"/>
      <c r="BG755" s="799"/>
    </row>
    <row r="756">
      <c r="H756" s="799"/>
      <c r="I756" s="799"/>
      <c r="J756" s="799"/>
      <c r="K756" s="799"/>
      <c r="L756" s="799"/>
      <c r="M756" s="799"/>
      <c r="N756" s="799"/>
      <c r="O756" s="799"/>
      <c r="P756" s="799"/>
      <c r="Q756" s="799"/>
      <c r="R756" s="799"/>
      <c r="S756" s="799"/>
      <c r="T756" s="799"/>
      <c r="U756" s="799"/>
      <c r="V756" s="799"/>
      <c r="W756" s="799"/>
      <c r="X756" s="799"/>
      <c r="Y756" s="799"/>
      <c r="Z756" s="799"/>
      <c r="AA756" s="799"/>
      <c r="AB756" s="799"/>
      <c r="AC756" s="799"/>
      <c r="AD756" s="799"/>
      <c r="AE756" s="799"/>
      <c r="AF756" s="799"/>
      <c r="AG756" s="799"/>
      <c r="AH756" s="799"/>
      <c r="AI756" s="799"/>
      <c r="AJ756" s="799"/>
      <c r="AK756" s="799"/>
      <c r="AL756" s="799"/>
      <c r="AM756" s="799"/>
      <c r="AN756" s="799"/>
      <c r="AO756" s="799"/>
      <c r="AP756" s="799"/>
      <c r="AQ756" s="799"/>
      <c r="AR756" s="799"/>
      <c r="AS756" s="799"/>
      <c r="AT756" s="799"/>
      <c r="AU756" s="799"/>
      <c r="AV756" s="799"/>
      <c r="AW756" s="799"/>
      <c r="AX756" s="799"/>
      <c r="AY756" s="799"/>
      <c r="AZ756" s="799"/>
      <c r="BA756" s="799"/>
      <c r="BB756" s="799"/>
      <c r="BC756" s="799"/>
      <c r="BD756" s="799"/>
      <c r="BE756" s="799"/>
      <c r="BF756" s="799"/>
      <c r="BG756" s="799"/>
    </row>
    <row r="757">
      <c r="H757" s="799"/>
      <c r="I757" s="799"/>
      <c r="J757" s="799"/>
      <c r="K757" s="799"/>
      <c r="L757" s="799"/>
      <c r="M757" s="799"/>
      <c r="N757" s="799"/>
      <c r="O757" s="799"/>
      <c r="P757" s="799"/>
      <c r="Q757" s="799"/>
      <c r="R757" s="799"/>
      <c r="S757" s="799"/>
      <c r="T757" s="799"/>
      <c r="U757" s="799"/>
      <c r="V757" s="799"/>
      <c r="W757" s="799"/>
      <c r="X757" s="799"/>
      <c r="Y757" s="799"/>
      <c r="Z757" s="799"/>
      <c r="AA757" s="799"/>
      <c r="AB757" s="799"/>
      <c r="AC757" s="799"/>
      <c r="AD757" s="799"/>
      <c r="AE757" s="799"/>
      <c r="AF757" s="799"/>
      <c r="AG757" s="799"/>
      <c r="AH757" s="799"/>
      <c r="AI757" s="799"/>
      <c r="AJ757" s="799"/>
      <c r="AK757" s="799"/>
      <c r="AL757" s="799"/>
      <c r="AM757" s="799"/>
      <c r="AN757" s="799"/>
      <c r="AO757" s="799"/>
      <c r="AP757" s="799"/>
      <c r="AQ757" s="799"/>
      <c r="AR757" s="799"/>
      <c r="AS757" s="799"/>
      <c r="AT757" s="799"/>
      <c r="AU757" s="799"/>
      <c r="AV757" s="799"/>
      <c r="AW757" s="799"/>
      <c r="AX757" s="799"/>
      <c r="AY757" s="799"/>
      <c r="AZ757" s="799"/>
      <c r="BA757" s="799"/>
      <c r="BB757" s="799"/>
      <c r="BC757" s="799"/>
      <c r="BD757" s="799"/>
      <c r="BE757" s="799"/>
      <c r="BF757" s="799"/>
      <c r="BG757" s="799"/>
    </row>
    <row r="758">
      <c r="H758" s="799"/>
      <c r="I758" s="799"/>
      <c r="J758" s="799"/>
      <c r="K758" s="799"/>
      <c r="L758" s="799"/>
      <c r="M758" s="799"/>
      <c r="N758" s="799"/>
      <c r="O758" s="799"/>
      <c r="P758" s="799"/>
      <c r="Q758" s="799"/>
      <c r="R758" s="799"/>
      <c r="S758" s="799"/>
      <c r="T758" s="799"/>
      <c r="U758" s="799"/>
      <c r="V758" s="799"/>
      <c r="W758" s="799"/>
      <c r="X758" s="799"/>
      <c r="Y758" s="799"/>
      <c r="Z758" s="799"/>
      <c r="AA758" s="799"/>
      <c r="AB758" s="799"/>
      <c r="AC758" s="799"/>
      <c r="AD758" s="799"/>
      <c r="AE758" s="799"/>
      <c r="AF758" s="799"/>
      <c r="AG758" s="799"/>
      <c r="AH758" s="799"/>
      <c r="AI758" s="799"/>
      <c r="AJ758" s="799"/>
      <c r="AK758" s="799"/>
      <c r="AL758" s="799"/>
      <c r="AM758" s="799"/>
      <c r="AN758" s="799"/>
      <c r="AO758" s="799"/>
      <c r="AP758" s="799"/>
      <c r="AQ758" s="799"/>
      <c r="AR758" s="799"/>
      <c r="AS758" s="799"/>
      <c r="AT758" s="799"/>
      <c r="AU758" s="799"/>
      <c r="AV758" s="799"/>
      <c r="AW758" s="799"/>
      <c r="AX758" s="799"/>
      <c r="AY758" s="799"/>
      <c r="AZ758" s="799"/>
      <c r="BA758" s="799"/>
      <c r="BB758" s="799"/>
      <c r="BC758" s="799"/>
      <c r="BD758" s="799"/>
      <c r="BE758" s="799"/>
      <c r="BF758" s="799"/>
      <c r="BG758" s="799"/>
    </row>
    <row r="759">
      <c r="H759" s="799"/>
      <c r="I759" s="799"/>
      <c r="J759" s="799"/>
      <c r="K759" s="799"/>
      <c r="L759" s="799"/>
      <c r="M759" s="799"/>
      <c r="N759" s="799"/>
      <c r="O759" s="799"/>
      <c r="P759" s="799"/>
      <c r="Q759" s="799"/>
      <c r="R759" s="799"/>
      <c r="S759" s="799"/>
      <c r="T759" s="799"/>
      <c r="U759" s="799"/>
      <c r="V759" s="799"/>
      <c r="W759" s="799"/>
      <c r="X759" s="799"/>
      <c r="Y759" s="799"/>
      <c r="Z759" s="799"/>
      <c r="AA759" s="799"/>
      <c r="AB759" s="799"/>
      <c r="AC759" s="799"/>
      <c r="AD759" s="799"/>
      <c r="AE759" s="799"/>
      <c r="AF759" s="799"/>
      <c r="AG759" s="799"/>
      <c r="AH759" s="799"/>
      <c r="AI759" s="799"/>
      <c r="AJ759" s="799"/>
      <c r="AK759" s="799"/>
      <c r="AL759" s="799"/>
      <c r="AM759" s="799"/>
      <c r="AN759" s="799"/>
      <c r="AO759" s="799"/>
      <c r="AP759" s="799"/>
      <c r="AQ759" s="799"/>
      <c r="AR759" s="799"/>
      <c r="AS759" s="799"/>
      <c r="AT759" s="799"/>
      <c r="AU759" s="799"/>
      <c r="AV759" s="799"/>
      <c r="AW759" s="799"/>
      <c r="AX759" s="799"/>
      <c r="AY759" s="799"/>
      <c r="AZ759" s="799"/>
      <c r="BA759" s="799"/>
      <c r="BB759" s="799"/>
      <c r="BC759" s="799"/>
      <c r="BD759" s="799"/>
      <c r="BE759" s="799"/>
      <c r="BF759" s="799"/>
      <c r="BG759" s="799"/>
    </row>
    <row r="760">
      <c r="H760" s="799"/>
      <c r="I760" s="799"/>
      <c r="J760" s="799"/>
      <c r="K760" s="799"/>
      <c r="L760" s="799"/>
      <c r="M760" s="799"/>
      <c r="N760" s="799"/>
      <c r="O760" s="799"/>
      <c r="P760" s="799"/>
      <c r="Q760" s="799"/>
      <c r="R760" s="799"/>
      <c r="S760" s="799"/>
      <c r="T760" s="799"/>
      <c r="U760" s="799"/>
      <c r="V760" s="799"/>
      <c r="W760" s="799"/>
      <c r="X760" s="799"/>
      <c r="Y760" s="799"/>
      <c r="Z760" s="799"/>
      <c r="AA760" s="799"/>
      <c r="AB760" s="799"/>
      <c r="AC760" s="799"/>
      <c r="AD760" s="799"/>
      <c r="AE760" s="799"/>
      <c r="AF760" s="799"/>
      <c r="AG760" s="799"/>
      <c r="AH760" s="799"/>
      <c r="AI760" s="799"/>
      <c r="AJ760" s="799"/>
      <c r="AK760" s="799"/>
      <c r="AL760" s="799"/>
      <c r="AM760" s="799"/>
      <c r="AN760" s="799"/>
      <c r="AO760" s="799"/>
      <c r="AP760" s="799"/>
      <c r="AQ760" s="799"/>
      <c r="AR760" s="799"/>
      <c r="AS760" s="799"/>
      <c r="AT760" s="799"/>
      <c r="AU760" s="799"/>
      <c r="AV760" s="799"/>
      <c r="AW760" s="799"/>
      <c r="AX760" s="799"/>
      <c r="AY760" s="799"/>
      <c r="AZ760" s="799"/>
      <c r="BA760" s="799"/>
      <c r="BB760" s="799"/>
      <c r="BC760" s="799"/>
      <c r="BD760" s="799"/>
      <c r="BE760" s="799"/>
      <c r="BF760" s="799"/>
      <c r="BG760" s="799"/>
    </row>
    <row r="761">
      <c r="H761" s="799"/>
      <c r="I761" s="799"/>
      <c r="J761" s="799"/>
      <c r="K761" s="799"/>
      <c r="L761" s="799"/>
      <c r="M761" s="799"/>
      <c r="N761" s="799"/>
      <c r="O761" s="799"/>
      <c r="P761" s="799"/>
      <c r="Q761" s="799"/>
      <c r="R761" s="799"/>
      <c r="S761" s="799"/>
      <c r="T761" s="799"/>
      <c r="U761" s="799"/>
      <c r="V761" s="799"/>
      <c r="W761" s="799"/>
      <c r="X761" s="799"/>
      <c r="Y761" s="799"/>
      <c r="Z761" s="799"/>
      <c r="AA761" s="799"/>
      <c r="AB761" s="799"/>
      <c r="AC761" s="799"/>
      <c r="AD761" s="799"/>
      <c r="AE761" s="799"/>
      <c r="AF761" s="799"/>
      <c r="AG761" s="799"/>
      <c r="AH761" s="799"/>
      <c r="AI761" s="799"/>
      <c r="AJ761" s="799"/>
      <c r="AK761" s="799"/>
      <c r="AL761" s="799"/>
      <c r="AM761" s="799"/>
      <c r="AN761" s="799"/>
      <c r="AO761" s="799"/>
      <c r="AP761" s="799"/>
      <c r="AQ761" s="799"/>
      <c r="AR761" s="799"/>
      <c r="AS761" s="799"/>
      <c r="AT761" s="799"/>
      <c r="AU761" s="799"/>
      <c r="AV761" s="799"/>
      <c r="AW761" s="799"/>
      <c r="AX761" s="799"/>
      <c r="AY761" s="799"/>
      <c r="AZ761" s="799"/>
      <c r="BA761" s="799"/>
      <c r="BB761" s="799"/>
      <c r="BC761" s="799"/>
      <c r="BD761" s="799"/>
      <c r="BE761" s="799"/>
      <c r="BF761" s="799"/>
      <c r="BG761" s="799"/>
    </row>
    <row r="762">
      <c r="H762" s="799"/>
      <c r="I762" s="799"/>
      <c r="J762" s="799"/>
      <c r="K762" s="799"/>
      <c r="L762" s="799"/>
      <c r="M762" s="799"/>
      <c r="N762" s="799"/>
      <c r="O762" s="799"/>
      <c r="P762" s="799"/>
      <c r="Q762" s="799"/>
      <c r="R762" s="799"/>
      <c r="S762" s="799"/>
      <c r="T762" s="799"/>
      <c r="U762" s="799"/>
      <c r="V762" s="799"/>
      <c r="W762" s="799"/>
      <c r="X762" s="799"/>
      <c r="Y762" s="799"/>
      <c r="Z762" s="799"/>
      <c r="AA762" s="799"/>
      <c r="AB762" s="799"/>
      <c r="AC762" s="799"/>
      <c r="AD762" s="799"/>
      <c r="AE762" s="799"/>
      <c r="AF762" s="799"/>
      <c r="AG762" s="799"/>
      <c r="AH762" s="799"/>
      <c r="AI762" s="799"/>
      <c r="AJ762" s="799"/>
      <c r="AK762" s="799"/>
      <c r="AL762" s="799"/>
      <c r="AM762" s="799"/>
      <c r="AN762" s="799"/>
      <c r="AO762" s="799"/>
      <c r="AP762" s="799"/>
      <c r="AQ762" s="799"/>
      <c r="AR762" s="799"/>
      <c r="AS762" s="799"/>
      <c r="AT762" s="799"/>
      <c r="AU762" s="799"/>
      <c r="AV762" s="799"/>
      <c r="AW762" s="799"/>
      <c r="AX762" s="799"/>
      <c r="AY762" s="799"/>
      <c r="AZ762" s="799"/>
      <c r="BA762" s="799"/>
      <c r="BB762" s="799"/>
      <c r="BC762" s="799"/>
      <c r="BD762" s="799"/>
      <c r="BE762" s="799"/>
      <c r="BF762" s="799"/>
      <c r="BG762" s="799"/>
    </row>
    <row r="763">
      <c r="H763" s="799"/>
      <c r="I763" s="799"/>
      <c r="J763" s="799"/>
      <c r="K763" s="799"/>
      <c r="L763" s="799"/>
      <c r="M763" s="799"/>
      <c r="N763" s="799"/>
      <c r="O763" s="799"/>
      <c r="P763" s="799"/>
      <c r="Q763" s="799"/>
      <c r="R763" s="799"/>
      <c r="S763" s="799"/>
      <c r="T763" s="799"/>
      <c r="U763" s="799"/>
      <c r="V763" s="799"/>
      <c r="W763" s="799"/>
      <c r="X763" s="799"/>
      <c r="Y763" s="799"/>
      <c r="Z763" s="799"/>
      <c r="AA763" s="799"/>
      <c r="AB763" s="799"/>
      <c r="AC763" s="799"/>
      <c r="AD763" s="799"/>
      <c r="AE763" s="799"/>
      <c r="AF763" s="799"/>
      <c r="AG763" s="799"/>
      <c r="AH763" s="799"/>
      <c r="AI763" s="799"/>
      <c r="AJ763" s="799"/>
      <c r="AK763" s="799"/>
      <c r="AL763" s="799"/>
      <c r="AM763" s="799"/>
      <c r="AN763" s="799"/>
      <c r="AO763" s="799"/>
      <c r="AP763" s="799"/>
      <c r="AQ763" s="799"/>
      <c r="AR763" s="799"/>
      <c r="AS763" s="799"/>
      <c r="AT763" s="799"/>
      <c r="AU763" s="799"/>
      <c r="AV763" s="799"/>
      <c r="AW763" s="799"/>
      <c r="AX763" s="799"/>
      <c r="AY763" s="799"/>
      <c r="AZ763" s="799"/>
      <c r="BA763" s="799"/>
      <c r="BB763" s="799"/>
      <c r="BC763" s="799"/>
      <c r="BD763" s="799"/>
      <c r="BE763" s="799"/>
      <c r="BF763" s="799"/>
      <c r="BG763" s="799"/>
    </row>
    <row r="764">
      <c r="H764" s="799"/>
      <c r="I764" s="799"/>
      <c r="J764" s="799"/>
      <c r="K764" s="799"/>
      <c r="L764" s="799"/>
      <c r="M764" s="799"/>
      <c r="N764" s="799"/>
      <c r="O764" s="799"/>
      <c r="P764" s="799"/>
      <c r="Q764" s="799"/>
      <c r="R764" s="799"/>
      <c r="S764" s="799"/>
      <c r="T764" s="799"/>
      <c r="U764" s="799"/>
      <c r="V764" s="799"/>
      <c r="W764" s="799"/>
      <c r="X764" s="799"/>
      <c r="Y764" s="799"/>
      <c r="Z764" s="799"/>
      <c r="AA764" s="799"/>
      <c r="AB764" s="799"/>
      <c r="AC764" s="799"/>
      <c r="AD764" s="799"/>
      <c r="AE764" s="799"/>
      <c r="AF764" s="799"/>
      <c r="AG764" s="799"/>
      <c r="AH764" s="799"/>
      <c r="AI764" s="799"/>
      <c r="AJ764" s="799"/>
      <c r="AK764" s="799"/>
      <c r="AL764" s="799"/>
      <c r="AM764" s="799"/>
      <c r="AN764" s="799"/>
      <c r="AO764" s="799"/>
      <c r="AP764" s="799"/>
      <c r="AQ764" s="799"/>
      <c r="AR764" s="799"/>
      <c r="AS764" s="799"/>
      <c r="AT764" s="799"/>
      <c r="AU764" s="799"/>
      <c r="AV764" s="799"/>
      <c r="AW764" s="799"/>
      <c r="AX764" s="799"/>
      <c r="AY764" s="799"/>
      <c r="AZ764" s="799"/>
      <c r="BA764" s="799"/>
      <c r="BB764" s="799"/>
      <c r="BC764" s="799"/>
      <c r="BD764" s="799"/>
      <c r="BE764" s="799"/>
      <c r="BF764" s="799"/>
      <c r="BG764" s="799"/>
    </row>
    <row r="765">
      <c r="H765" s="799"/>
      <c r="I765" s="799"/>
      <c r="J765" s="799"/>
      <c r="K765" s="799"/>
      <c r="L765" s="799"/>
      <c r="M765" s="799"/>
      <c r="N765" s="799"/>
      <c r="O765" s="799"/>
      <c r="P765" s="799"/>
      <c r="Q765" s="799"/>
      <c r="R765" s="799"/>
      <c r="S765" s="799"/>
      <c r="T765" s="799"/>
      <c r="U765" s="799"/>
      <c r="V765" s="799"/>
      <c r="W765" s="799"/>
      <c r="X765" s="799"/>
      <c r="Y765" s="799"/>
      <c r="Z765" s="799"/>
      <c r="AA765" s="799"/>
      <c r="AB765" s="799"/>
      <c r="AC765" s="799"/>
      <c r="AD765" s="799"/>
      <c r="AE765" s="799"/>
      <c r="AF765" s="799"/>
      <c r="AG765" s="799"/>
      <c r="AH765" s="799"/>
      <c r="AI765" s="799"/>
      <c r="AJ765" s="799"/>
      <c r="AK765" s="799"/>
      <c r="AL765" s="799"/>
      <c r="AM765" s="799"/>
      <c r="AN765" s="799"/>
      <c r="AO765" s="799"/>
      <c r="AP765" s="799"/>
      <c r="AQ765" s="799"/>
      <c r="AR765" s="799"/>
      <c r="AS765" s="799"/>
      <c r="AT765" s="799"/>
      <c r="AU765" s="799"/>
      <c r="AV765" s="799"/>
      <c r="AW765" s="799"/>
      <c r="AX765" s="799"/>
      <c r="AY765" s="799"/>
      <c r="AZ765" s="799"/>
      <c r="BA765" s="799"/>
      <c r="BB765" s="799"/>
      <c r="BC765" s="799"/>
      <c r="BD765" s="799"/>
      <c r="BE765" s="799"/>
      <c r="BF765" s="799"/>
      <c r="BG765" s="799"/>
    </row>
    <row r="766">
      <c r="H766" s="799"/>
      <c r="I766" s="799"/>
      <c r="J766" s="799"/>
      <c r="K766" s="799"/>
      <c r="L766" s="799"/>
      <c r="M766" s="799"/>
      <c r="N766" s="799"/>
      <c r="O766" s="799"/>
      <c r="P766" s="799"/>
      <c r="Q766" s="799"/>
      <c r="R766" s="799"/>
      <c r="S766" s="799"/>
      <c r="T766" s="799"/>
      <c r="U766" s="799"/>
      <c r="V766" s="799"/>
      <c r="W766" s="799"/>
      <c r="X766" s="799"/>
      <c r="Y766" s="799"/>
      <c r="Z766" s="799"/>
      <c r="AA766" s="799"/>
      <c r="AB766" s="799"/>
      <c r="AC766" s="799"/>
      <c r="AD766" s="799"/>
      <c r="AE766" s="799"/>
      <c r="AF766" s="799"/>
      <c r="AG766" s="799"/>
      <c r="AH766" s="799"/>
      <c r="AI766" s="799"/>
      <c r="AJ766" s="799"/>
      <c r="AK766" s="799"/>
      <c r="AL766" s="799"/>
      <c r="AM766" s="799"/>
      <c r="AN766" s="799"/>
      <c r="AO766" s="799"/>
      <c r="AP766" s="799"/>
      <c r="AQ766" s="799"/>
      <c r="AR766" s="799"/>
      <c r="AS766" s="799"/>
      <c r="AT766" s="799"/>
      <c r="AU766" s="799"/>
      <c r="AV766" s="799"/>
      <c r="AW766" s="799"/>
      <c r="AX766" s="799"/>
      <c r="AY766" s="799"/>
      <c r="AZ766" s="799"/>
      <c r="BA766" s="799"/>
      <c r="BB766" s="799"/>
      <c r="BC766" s="799"/>
      <c r="BD766" s="799"/>
      <c r="BE766" s="799"/>
      <c r="BF766" s="799"/>
      <c r="BG766" s="799"/>
    </row>
    <row r="767">
      <c r="H767" s="799"/>
      <c r="I767" s="799"/>
      <c r="J767" s="799"/>
      <c r="K767" s="799"/>
      <c r="L767" s="799"/>
      <c r="M767" s="799"/>
      <c r="N767" s="799"/>
      <c r="O767" s="799"/>
      <c r="P767" s="799"/>
      <c r="Q767" s="799"/>
      <c r="R767" s="799"/>
      <c r="S767" s="799"/>
      <c r="T767" s="799"/>
      <c r="U767" s="799"/>
      <c r="V767" s="799"/>
      <c r="W767" s="799"/>
      <c r="X767" s="799"/>
      <c r="Y767" s="799"/>
      <c r="Z767" s="799"/>
      <c r="AA767" s="799"/>
      <c r="AB767" s="799"/>
      <c r="AC767" s="799"/>
      <c r="AD767" s="799"/>
      <c r="AE767" s="799"/>
      <c r="AF767" s="799"/>
      <c r="AG767" s="799"/>
      <c r="AH767" s="799"/>
      <c r="AI767" s="799"/>
      <c r="AJ767" s="799"/>
      <c r="AK767" s="799"/>
      <c r="AL767" s="799"/>
      <c r="AM767" s="799"/>
      <c r="AN767" s="799"/>
      <c r="AO767" s="799"/>
      <c r="AP767" s="799"/>
      <c r="AQ767" s="799"/>
      <c r="AR767" s="799"/>
      <c r="AS767" s="799"/>
      <c r="AT767" s="799"/>
      <c r="AU767" s="799"/>
      <c r="AV767" s="799"/>
      <c r="AW767" s="799"/>
      <c r="AX767" s="799"/>
      <c r="AY767" s="799"/>
      <c r="AZ767" s="799"/>
      <c r="BA767" s="799"/>
      <c r="BB767" s="799"/>
      <c r="BC767" s="799"/>
      <c r="BD767" s="799"/>
      <c r="BE767" s="799"/>
      <c r="BF767" s="799"/>
      <c r="BG767" s="799"/>
    </row>
    <row r="768">
      <c r="H768" s="799"/>
      <c r="I768" s="799"/>
      <c r="J768" s="799"/>
      <c r="K768" s="799"/>
      <c r="L768" s="799"/>
      <c r="M768" s="799"/>
      <c r="N768" s="799"/>
      <c r="O768" s="799"/>
      <c r="P768" s="799"/>
      <c r="Q768" s="799"/>
      <c r="R768" s="799"/>
      <c r="S768" s="799"/>
      <c r="T768" s="799"/>
      <c r="U768" s="799"/>
      <c r="V768" s="799"/>
      <c r="W768" s="799"/>
      <c r="X768" s="799"/>
      <c r="Y768" s="799"/>
      <c r="Z768" s="799"/>
      <c r="AA768" s="799"/>
      <c r="AB768" s="799"/>
      <c r="AC768" s="799"/>
      <c r="AD768" s="799"/>
      <c r="AE768" s="799"/>
      <c r="AF768" s="799"/>
      <c r="AG768" s="799"/>
      <c r="AH768" s="799"/>
      <c r="AI768" s="799"/>
      <c r="AJ768" s="799"/>
      <c r="AK768" s="799"/>
      <c r="AL768" s="799"/>
      <c r="AM768" s="799"/>
      <c r="AN768" s="799"/>
      <c r="AO768" s="799"/>
      <c r="AP768" s="799"/>
      <c r="AQ768" s="799"/>
      <c r="AR768" s="799"/>
      <c r="AS768" s="799"/>
      <c r="AT768" s="799"/>
      <c r="AU768" s="799"/>
      <c r="AV768" s="799"/>
      <c r="AW768" s="799"/>
      <c r="AX768" s="799"/>
      <c r="AY768" s="799"/>
      <c r="AZ768" s="799"/>
      <c r="BA768" s="799"/>
      <c r="BB768" s="799"/>
      <c r="BC768" s="799"/>
      <c r="BD768" s="799"/>
      <c r="BE768" s="799"/>
      <c r="BF768" s="799"/>
      <c r="BG768" s="799"/>
    </row>
    <row r="769">
      <c r="H769" s="799"/>
      <c r="I769" s="799"/>
      <c r="J769" s="799"/>
      <c r="K769" s="799"/>
      <c r="L769" s="799"/>
      <c r="M769" s="799"/>
      <c r="N769" s="799"/>
      <c r="O769" s="799"/>
      <c r="P769" s="799"/>
      <c r="Q769" s="799"/>
      <c r="R769" s="799"/>
      <c r="S769" s="799"/>
      <c r="T769" s="799"/>
      <c r="U769" s="799"/>
      <c r="V769" s="799"/>
      <c r="W769" s="799"/>
      <c r="X769" s="799"/>
      <c r="Y769" s="799"/>
      <c r="Z769" s="799"/>
      <c r="AA769" s="799"/>
      <c r="AB769" s="799"/>
      <c r="AC769" s="799"/>
      <c r="AD769" s="799"/>
      <c r="AE769" s="799"/>
      <c r="AF769" s="799"/>
      <c r="AG769" s="799"/>
      <c r="AH769" s="799"/>
      <c r="AI769" s="799"/>
      <c r="AJ769" s="799"/>
      <c r="AK769" s="799"/>
      <c r="AL769" s="799"/>
      <c r="AM769" s="799"/>
      <c r="AN769" s="799"/>
      <c r="AO769" s="799"/>
      <c r="AP769" s="799"/>
      <c r="AQ769" s="799"/>
      <c r="AR769" s="799"/>
      <c r="AS769" s="799"/>
      <c r="AT769" s="799"/>
      <c r="AU769" s="799"/>
      <c r="AV769" s="799"/>
      <c r="AW769" s="799"/>
      <c r="AX769" s="799"/>
      <c r="AY769" s="799"/>
      <c r="AZ769" s="799"/>
      <c r="BA769" s="799"/>
      <c r="BB769" s="799"/>
      <c r="BC769" s="799"/>
      <c r="BD769" s="799"/>
      <c r="BE769" s="799"/>
      <c r="BF769" s="799"/>
      <c r="BG769" s="799"/>
    </row>
    <row r="770">
      <c r="H770" s="799"/>
      <c r="I770" s="799"/>
      <c r="J770" s="799"/>
      <c r="K770" s="799"/>
      <c r="L770" s="799"/>
      <c r="M770" s="799"/>
      <c r="N770" s="799"/>
      <c r="O770" s="799"/>
      <c r="P770" s="799"/>
      <c r="Q770" s="799"/>
      <c r="R770" s="799"/>
      <c r="S770" s="799"/>
      <c r="T770" s="799"/>
      <c r="U770" s="799"/>
      <c r="V770" s="799"/>
      <c r="W770" s="799"/>
      <c r="X770" s="799"/>
      <c r="Y770" s="799"/>
      <c r="Z770" s="799"/>
      <c r="AA770" s="799"/>
      <c r="AB770" s="799"/>
      <c r="AC770" s="799"/>
      <c r="AD770" s="799"/>
      <c r="AE770" s="799"/>
      <c r="AF770" s="799"/>
      <c r="AG770" s="799"/>
      <c r="AH770" s="799"/>
      <c r="AI770" s="799"/>
      <c r="AJ770" s="799"/>
      <c r="AK770" s="799"/>
      <c r="AL770" s="799"/>
      <c r="AM770" s="799"/>
      <c r="AN770" s="799"/>
      <c r="AO770" s="799"/>
      <c r="AP770" s="799"/>
      <c r="AQ770" s="799"/>
      <c r="AR770" s="799"/>
      <c r="AS770" s="799"/>
      <c r="AT770" s="799"/>
      <c r="AU770" s="799"/>
      <c r="AV770" s="799"/>
      <c r="AW770" s="799"/>
      <c r="AX770" s="799"/>
      <c r="AY770" s="799"/>
      <c r="AZ770" s="799"/>
      <c r="BA770" s="799"/>
      <c r="BB770" s="799"/>
      <c r="BC770" s="799"/>
      <c r="BD770" s="799"/>
      <c r="BE770" s="799"/>
      <c r="BF770" s="799"/>
      <c r="BG770" s="799"/>
    </row>
    <row r="771">
      <c r="H771" s="799"/>
      <c r="I771" s="799"/>
      <c r="J771" s="799"/>
      <c r="K771" s="799"/>
      <c r="L771" s="799"/>
      <c r="M771" s="799"/>
      <c r="N771" s="799"/>
      <c r="O771" s="799"/>
      <c r="P771" s="799"/>
      <c r="Q771" s="799"/>
      <c r="R771" s="799"/>
      <c r="S771" s="799"/>
      <c r="T771" s="799"/>
      <c r="U771" s="799"/>
      <c r="V771" s="799"/>
      <c r="W771" s="799"/>
      <c r="X771" s="799"/>
      <c r="Y771" s="799"/>
      <c r="Z771" s="799"/>
      <c r="AA771" s="799"/>
      <c r="AB771" s="799"/>
      <c r="AC771" s="799"/>
      <c r="AD771" s="799"/>
      <c r="AE771" s="799"/>
      <c r="AF771" s="799"/>
      <c r="AG771" s="799"/>
      <c r="AH771" s="799"/>
      <c r="AI771" s="799"/>
      <c r="AJ771" s="799"/>
      <c r="AK771" s="799"/>
      <c r="AL771" s="799"/>
      <c r="AM771" s="799"/>
      <c r="AN771" s="799"/>
      <c r="AO771" s="799"/>
      <c r="AP771" s="799"/>
      <c r="AQ771" s="799"/>
      <c r="AR771" s="799"/>
      <c r="AS771" s="799"/>
      <c r="AT771" s="799"/>
      <c r="AU771" s="799"/>
      <c r="AV771" s="799"/>
      <c r="AW771" s="799"/>
      <c r="AX771" s="799"/>
      <c r="AY771" s="799"/>
      <c r="AZ771" s="799"/>
      <c r="BA771" s="799"/>
      <c r="BB771" s="799"/>
      <c r="BC771" s="799"/>
      <c r="BD771" s="799"/>
      <c r="BE771" s="799"/>
      <c r="BF771" s="799"/>
      <c r="BG771" s="799"/>
    </row>
    <row r="772">
      <c r="H772" s="799"/>
      <c r="I772" s="799"/>
      <c r="J772" s="799"/>
      <c r="K772" s="799"/>
      <c r="L772" s="799"/>
      <c r="M772" s="799"/>
      <c r="N772" s="799"/>
      <c r="O772" s="799"/>
      <c r="P772" s="799"/>
      <c r="Q772" s="799"/>
      <c r="R772" s="799"/>
      <c r="S772" s="799"/>
      <c r="T772" s="799"/>
      <c r="U772" s="799"/>
      <c r="V772" s="799"/>
      <c r="W772" s="799"/>
      <c r="X772" s="799"/>
      <c r="Y772" s="799"/>
      <c r="Z772" s="799"/>
      <c r="AA772" s="799"/>
      <c r="AB772" s="799"/>
      <c r="AC772" s="799"/>
      <c r="AD772" s="799"/>
      <c r="AE772" s="799"/>
      <c r="AF772" s="799"/>
      <c r="AG772" s="799"/>
      <c r="AH772" s="799"/>
      <c r="AI772" s="799"/>
      <c r="AJ772" s="799"/>
      <c r="AK772" s="799"/>
      <c r="AL772" s="799"/>
      <c r="AM772" s="799"/>
      <c r="AN772" s="799"/>
      <c r="AO772" s="799"/>
      <c r="AP772" s="799"/>
      <c r="AQ772" s="799"/>
      <c r="AR772" s="799"/>
      <c r="AS772" s="799"/>
      <c r="AT772" s="799"/>
      <c r="AU772" s="799"/>
      <c r="AV772" s="799"/>
      <c r="AW772" s="799"/>
      <c r="AX772" s="799"/>
      <c r="AY772" s="799"/>
      <c r="AZ772" s="799"/>
      <c r="BA772" s="799"/>
      <c r="BB772" s="799"/>
      <c r="BC772" s="799"/>
      <c r="BD772" s="799"/>
      <c r="BE772" s="799"/>
      <c r="BF772" s="799"/>
      <c r="BG772" s="799"/>
    </row>
    <row r="773">
      <c r="H773" s="799"/>
      <c r="I773" s="799"/>
      <c r="J773" s="799"/>
      <c r="K773" s="799"/>
      <c r="L773" s="799"/>
      <c r="M773" s="799"/>
      <c r="N773" s="799"/>
      <c r="O773" s="799"/>
      <c r="P773" s="799"/>
      <c r="Q773" s="799"/>
      <c r="R773" s="799"/>
      <c r="S773" s="799"/>
      <c r="T773" s="799"/>
      <c r="U773" s="799"/>
      <c r="V773" s="799"/>
      <c r="W773" s="799"/>
      <c r="X773" s="799"/>
      <c r="Y773" s="799"/>
      <c r="Z773" s="799"/>
      <c r="AA773" s="799"/>
      <c r="AB773" s="799"/>
      <c r="AC773" s="799"/>
      <c r="AD773" s="799"/>
      <c r="AE773" s="799"/>
      <c r="AF773" s="799"/>
      <c r="AG773" s="799"/>
      <c r="AH773" s="799"/>
      <c r="AI773" s="799"/>
      <c r="AJ773" s="799"/>
      <c r="AK773" s="799"/>
      <c r="AL773" s="799"/>
      <c r="AM773" s="799"/>
      <c r="AN773" s="799"/>
      <c r="AO773" s="799"/>
      <c r="AP773" s="799"/>
      <c r="AQ773" s="799"/>
      <c r="AR773" s="799"/>
      <c r="AS773" s="799"/>
      <c r="AT773" s="799"/>
      <c r="AU773" s="799"/>
      <c r="AV773" s="799"/>
      <c r="AW773" s="799"/>
      <c r="AX773" s="799"/>
      <c r="AY773" s="799"/>
      <c r="AZ773" s="799"/>
      <c r="BA773" s="799"/>
      <c r="BB773" s="799"/>
      <c r="BC773" s="799"/>
      <c r="BD773" s="799"/>
      <c r="BE773" s="799"/>
      <c r="BF773" s="799"/>
      <c r="BG773" s="799"/>
    </row>
    <row r="774">
      <c r="H774" s="799"/>
      <c r="I774" s="799"/>
      <c r="J774" s="799"/>
      <c r="K774" s="799"/>
      <c r="L774" s="799"/>
      <c r="M774" s="799"/>
      <c r="N774" s="799"/>
      <c r="O774" s="799"/>
      <c r="P774" s="799"/>
      <c r="Q774" s="799"/>
      <c r="R774" s="799"/>
      <c r="S774" s="799"/>
      <c r="T774" s="799"/>
      <c r="U774" s="799"/>
      <c r="V774" s="799"/>
      <c r="W774" s="799"/>
      <c r="X774" s="799"/>
      <c r="Y774" s="799"/>
      <c r="Z774" s="799"/>
      <c r="AA774" s="799"/>
      <c r="AB774" s="799"/>
      <c r="AC774" s="799"/>
      <c r="AD774" s="799"/>
      <c r="AE774" s="799"/>
      <c r="AF774" s="799"/>
      <c r="AG774" s="799"/>
      <c r="AH774" s="799"/>
      <c r="AI774" s="799"/>
      <c r="AJ774" s="799"/>
      <c r="AK774" s="799"/>
      <c r="AL774" s="799"/>
      <c r="AM774" s="799"/>
      <c r="AN774" s="799"/>
      <c r="AO774" s="799"/>
      <c r="AP774" s="799"/>
      <c r="AQ774" s="799"/>
      <c r="AR774" s="799"/>
      <c r="AS774" s="799"/>
      <c r="AT774" s="799"/>
      <c r="AU774" s="799"/>
      <c r="AV774" s="799"/>
      <c r="AW774" s="799"/>
      <c r="AX774" s="799"/>
      <c r="AY774" s="799"/>
      <c r="AZ774" s="799"/>
      <c r="BA774" s="799"/>
      <c r="BB774" s="799"/>
      <c r="BC774" s="799"/>
      <c r="BD774" s="799"/>
      <c r="BE774" s="799"/>
      <c r="BF774" s="799"/>
      <c r="BG774" s="799"/>
    </row>
    <row r="775">
      <c r="H775" s="799"/>
      <c r="I775" s="799"/>
      <c r="J775" s="799"/>
      <c r="K775" s="799"/>
      <c r="L775" s="799"/>
      <c r="M775" s="799"/>
      <c r="N775" s="799"/>
      <c r="O775" s="799"/>
      <c r="P775" s="799"/>
      <c r="Q775" s="799"/>
      <c r="R775" s="799"/>
      <c r="S775" s="799"/>
      <c r="T775" s="799"/>
      <c r="U775" s="799"/>
      <c r="V775" s="799"/>
      <c r="W775" s="799"/>
      <c r="X775" s="799"/>
      <c r="Y775" s="799"/>
      <c r="Z775" s="799"/>
      <c r="AA775" s="799"/>
      <c r="AB775" s="799"/>
      <c r="AC775" s="799"/>
      <c r="AD775" s="799"/>
      <c r="AE775" s="799"/>
      <c r="AF775" s="799"/>
      <c r="AG775" s="799"/>
      <c r="AH775" s="799"/>
      <c r="AI775" s="799"/>
      <c r="AJ775" s="799"/>
      <c r="AK775" s="799"/>
      <c r="AL775" s="799"/>
      <c r="AM775" s="799"/>
      <c r="AN775" s="799"/>
      <c r="AO775" s="799"/>
      <c r="AP775" s="799"/>
      <c r="AQ775" s="799"/>
      <c r="AR775" s="799"/>
      <c r="AS775" s="799"/>
      <c r="AT775" s="799"/>
      <c r="AU775" s="799"/>
      <c r="AV775" s="799"/>
      <c r="AW775" s="799"/>
      <c r="AX775" s="799"/>
      <c r="AY775" s="799"/>
      <c r="AZ775" s="799"/>
      <c r="BA775" s="799"/>
      <c r="BB775" s="799"/>
      <c r="BC775" s="799"/>
      <c r="BD775" s="799"/>
      <c r="BE775" s="799"/>
      <c r="BF775" s="799"/>
      <c r="BG775" s="799"/>
    </row>
    <row r="776">
      <c r="H776" s="799"/>
      <c r="I776" s="799"/>
      <c r="J776" s="799"/>
      <c r="K776" s="799"/>
      <c r="L776" s="799"/>
      <c r="M776" s="799"/>
      <c r="N776" s="799"/>
      <c r="O776" s="799"/>
      <c r="P776" s="799"/>
      <c r="Q776" s="799"/>
      <c r="R776" s="799"/>
      <c r="S776" s="799"/>
      <c r="T776" s="799"/>
      <c r="U776" s="799"/>
      <c r="V776" s="799"/>
      <c r="W776" s="799"/>
      <c r="X776" s="799"/>
      <c r="Y776" s="799"/>
      <c r="Z776" s="799"/>
      <c r="AA776" s="799"/>
      <c r="AB776" s="799"/>
      <c r="AC776" s="799"/>
      <c r="AD776" s="799"/>
      <c r="AE776" s="799"/>
      <c r="AF776" s="799"/>
      <c r="AG776" s="799"/>
      <c r="AH776" s="799"/>
      <c r="AI776" s="799"/>
      <c r="AJ776" s="799"/>
      <c r="AK776" s="799"/>
      <c r="AL776" s="799"/>
      <c r="AM776" s="799"/>
      <c r="AN776" s="799"/>
      <c r="AO776" s="799"/>
      <c r="AP776" s="799"/>
      <c r="AQ776" s="799"/>
      <c r="AR776" s="799"/>
      <c r="AS776" s="799"/>
      <c r="AT776" s="799"/>
      <c r="AU776" s="799"/>
      <c r="AV776" s="799"/>
      <c r="AW776" s="799"/>
      <c r="AX776" s="799"/>
      <c r="AY776" s="799"/>
      <c r="AZ776" s="799"/>
      <c r="BA776" s="799"/>
      <c r="BB776" s="799"/>
      <c r="BC776" s="799"/>
      <c r="BD776" s="799"/>
      <c r="BE776" s="799"/>
      <c r="BF776" s="799"/>
      <c r="BG776" s="799"/>
    </row>
    <row r="777">
      <c r="H777" s="799"/>
      <c r="I777" s="799"/>
      <c r="J777" s="799"/>
      <c r="K777" s="799"/>
      <c r="L777" s="799"/>
      <c r="M777" s="799"/>
      <c r="N777" s="799"/>
      <c r="O777" s="799"/>
      <c r="P777" s="799"/>
      <c r="Q777" s="799"/>
      <c r="R777" s="799"/>
      <c r="S777" s="799"/>
      <c r="T777" s="799"/>
      <c r="U777" s="799"/>
      <c r="V777" s="799"/>
      <c r="W777" s="799"/>
      <c r="X777" s="799"/>
      <c r="Y777" s="799"/>
      <c r="Z777" s="799"/>
      <c r="AA777" s="799"/>
      <c r="AB777" s="799"/>
      <c r="AC777" s="799"/>
      <c r="AD777" s="799"/>
      <c r="AE777" s="799"/>
      <c r="AF777" s="799"/>
      <c r="AG777" s="799"/>
      <c r="AH777" s="799"/>
      <c r="AI777" s="799"/>
      <c r="AJ777" s="799"/>
      <c r="AK777" s="799"/>
      <c r="AL777" s="799"/>
      <c r="AM777" s="799"/>
      <c r="AN777" s="799"/>
      <c r="AO777" s="799"/>
      <c r="AP777" s="799"/>
      <c r="AQ777" s="799"/>
      <c r="AR777" s="799"/>
      <c r="AS777" s="799"/>
      <c r="AT777" s="799"/>
      <c r="AU777" s="799"/>
      <c r="AV777" s="799"/>
      <c r="AW777" s="799"/>
      <c r="AX777" s="799"/>
      <c r="AY777" s="799"/>
      <c r="AZ777" s="799"/>
      <c r="BA777" s="799"/>
      <c r="BB777" s="799"/>
      <c r="BC777" s="799"/>
      <c r="BD777" s="799"/>
      <c r="BE777" s="799"/>
      <c r="BF777" s="799"/>
      <c r="BG777" s="799"/>
    </row>
    <row r="778">
      <c r="H778" s="799"/>
      <c r="I778" s="799"/>
      <c r="J778" s="799"/>
      <c r="K778" s="799"/>
      <c r="L778" s="799"/>
      <c r="M778" s="799"/>
      <c r="N778" s="799"/>
      <c r="O778" s="799"/>
      <c r="P778" s="799"/>
      <c r="Q778" s="799"/>
      <c r="R778" s="799"/>
      <c r="S778" s="799"/>
      <c r="T778" s="799"/>
      <c r="U778" s="799"/>
      <c r="V778" s="799"/>
      <c r="W778" s="799"/>
      <c r="X778" s="799"/>
      <c r="Y778" s="799"/>
      <c r="Z778" s="799"/>
      <c r="AA778" s="799"/>
      <c r="AB778" s="799"/>
      <c r="AC778" s="799"/>
      <c r="AD778" s="799"/>
      <c r="AE778" s="799"/>
      <c r="AF778" s="799"/>
      <c r="AG778" s="799"/>
      <c r="AH778" s="799"/>
      <c r="AI778" s="799"/>
      <c r="AJ778" s="799"/>
      <c r="AK778" s="799"/>
      <c r="AL778" s="799"/>
      <c r="AM778" s="799"/>
      <c r="AN778" s="799"/>
      <c r="AO778" s="799"/>
      <c r="AP778" s="799"/>
      <c r="AQ778" s="799"/>
      <c r="AR778" s="799"/>
      <c r="AS778" s="799"/>
      <c r="AT778" s="799"/>
      <c r="AU778" s="799"/>
      <c r="AV778" s="799"/>
      <c r="AW778" s="799"/>
      <c r="AX778" s="799"/>
      <c r="AY778" s="799"/>
      <c r="AZ778" s="799"/>
      <c r="BA778" s="799"/>
      <c r="BB778" s="799"/>
      <c r="BC778" s="799"/>
      <c r="BD778" s="799"/>
      <c r="BE778" s="799"/>
      <c r="BF778" s="799"/>
      <c r="BG778" s="799"/>
    </row>
    <row r="779">
      <c r="H779" s="799"/>
      <c r="I779" s="799"/>
      <c r="J779" s="799"/>
      <c r="K779" s="799"/>
      <c r="L779" s="799"/>
      <c r="M779" s="799"/>
      <c r="N779" s="799"/>
      <c r="O779" s="799"/>
      <c r="P779" s="799"/>
      <c r="Q779" s="799"/>
      <c r="R779" s="799"/>
      <c r="S779" s="799"/>
      <c r="T779" s="799"/>
      <c r="U779" s="799"/>
      <c r="V779" s="799"/>
      <c r="W779" s="799"/>
      <c r="X779" s="799"/>
      <c r="Y779" s="799"/>
      <c r="Z779" s="799"/>
      <c r="AA779" s="799"/>
      <c r="AB779" s="799"/>
      <c r="AC779" s="799"/>
      <c r="AD779" s="799"/>
      <c r="AE779" s="799"/>
      <c r="AF779" s="799"/>
      <c r="AG779" s="799"/>
      <c r="AH779" s="799"/>
      <c r="AI779" s="799"/>
      <c r="AJ779" s="799"/>
      <c r="AK779" s="799"/>
      <c r="AL779" s="799"/>
      <c r="AM779" s="799"/>
      <c r="AN779" s="799"/>
      <c r="AO779" s="799"/>
      <c r="AP779" s="799"/>
      <c r="AQ779" s="799"/>
      <c r="AR779" s="799"/>
      <c r="AS779" s="799"/>
      <c r="AT779" s="799"/>
      <c r="AU779" s="799"/>
      <c r="AV779" s="799"/>
      <c r="AW779" s="799"/>
      <c r="AX779" s="799"/>
      <c r="AY779" s="799"/>
      <c r="AZ779" s="799"/>
      <c r="BA779" s="799"/>
      <c r="BB779" s="799"/>
      <c r="BC779" s="799"/>
      <c r="BD779" s="799"/>
      <c r="BE779" s="799"/>
      <c r="BF779" s="799"/>
      <c r="BG779" s="799"/>
    </row>
    <row r="780">
      <c r="H780" s="799"/>
      <c r="I780" s="799"/>
      <c r="J780" s="799"/>
      <c r="K780" s="799"/>
      <c r="L780" s="799"/>
      <c r="M780" s="799"/>
      <c r="N780" s="799"/>
      <c r="O780" s="799"/>
      <c r="P780" s="799"/>
      <c r="Q780" s="799"/>
      <c r="R780" s="799"/>
      <c r="S780" s="799"/>
      <c r="T780" s="799"/>
      <c r="U780" s="799"/>
      <c r="V780" s="799"/>
      <c r="W780" s="799"/>
      <c r="X780" s="799"/>
      <c r="Y780" s="799"/>
      <c r="Z780" s="799"/>
      <c r="AA780" s="799"/>
      <c r="AB780" s="799"/>
      <c r="AC780" s="799"/>
      <c r="AD780" s="799"/>
      <c r="AE780" s="799"/>
      <c r="AF780" s="799"/>
      <c r="AG780" s="799"/>
      <c r="AH780" s="799"/>
      <c r="AI780" s="799"/>
      <c r="AJ780" s="799"/>
      <c r="AK780" s="799"/>
      <c r="AL780" s="799"/>
      <c r="AM780" s="799"/>
      <c r="AN780" s="799"/>
      <c r="AO780" s="799"/>
      <c r="AP780" s="799"/>
      <c r="AQ780" s="799"/>
      <c r="AR780" s="799"/>
      <c r="AS780" s="799"/>
      <c r="AT780" s="799"/>
      <c r="AU780" s="799"/>
      <c r="AV780" s="799"/>
      <c r="AW780" s="799"/>
      <c r="AX780" s="799"/>
      <c r="AY780" s="799"/>
      <c r="AZ780" s="799"/>
      <c r="BA780" s="799"/>
      <c r="BB780" s="799"/>
      <c r="BC780" s="799"/>
      <c r="BD780" s="799"/>
      <c r="BE780" s="799"/>
      <c r="BF780" s="799"/>
      <c r="BG780" s="799"/>
    </row>
    <row r="781">
      <c r="H781" s="799"/>
      <c r="I781" s="799"/>
      <c r="J781" s="799"/>
      <c r="K781" s="799"/>
      <c r="L781" s="799"/>
      <c r="M781" s="799"/>
      <c r="N781" s="799"/>
      <c r="O781" s="799"/>
      <c r="P781" s="799"/>
      <c r="Q781" s="799"/>
      <c r="R781" s="799"/>
      <c r="S781" s="799"/>
      <c r="T781" s="799"/>
      <c r="U781" s="799"/>
      <c r="V781" s="799"/>
      <c r="W781" s="799"/>
      <c r="X781" s="799"/>
      <c r="Y781" s="799"/>
      <c r="Z781" s="799"/>
      <c r="AA781" s="799"/>
      <c r="AB781" s="799"/>
      <c r="AC781" s="799"/>
      <c r="AD781" s="799"/>
      <c r="AE781" s="799"/>
      <c r="AF781" s="799"/>
      <c r="AG781" s="799"/>
      <c r="AH781" s="799"/>
      <c r="AI781" s="799"/>
      <c r="AJ781" s="799"/>
      <c r="AK781" s="799"/>
      <c r="AL781" s="799"/>
      <c r="AM781" s="799"/>
      <c r="AN781" s="799"/>
      <c r="AO781" s="799"/>
      <c r="AP781" s="799"/>
      <c r="AQ781" s="799"/>
      <c r="AR781" s="799"/>
      <c r="AS781" s="799"/>
      <c r="AT781" s="799"/>
      <c r="AU781" s="799"/>
      <c r="AV781" s="799"/>
      <c r="AW781" s="799"/>
      <c r="AX781" s="799"/>
      <c r="AY781" s="799"/>
      <c r="AZ781" s="799"/>
      <c r="BA781" s="799"/>
      <c r="BB781" s="799"/>
      <c r="BC781" s="799"/>
      <c r="BD781" s="799"/>
      <c r="BE781" s="799"/>
      <c r="BF781" s="799"/>
      <c r="BG781" s="799"/>
    </row>
    <row r="782">
      <c r="H782" s="799"/>
      <c r="I782" s="799"/>
      <c r="J782" s="799"/>
      <c r="K782" s="799"/>
      <c r="L782" s="799"/>
      <c r="M782" s="799"/>
      <c r="N782" s="799"/>
      <c r="O782" s="799"/>
      <c r="P782" s="799"/>
      <c r="Q782" s="799"/>
      <c r="R782" s="799"/>
      <c r="S782" s="799"/>
      <c r="T782" s="799"/>
      <c r="U782" s="799"/>
      <c r="V782" s="799"/>
      <c r="W782" s="799"/>
      <c r="X782" s="799"/>
      <c r="Y782" s="799"/>
      <c r="Z782" s="799"/>
      <c r="AA782" s="799"/>
      <c r="AB782" s="799"/>
      <c r="AC782" s="799"/>
      <c r="AD782" s="799"/>
      <c r="AE782" s="799"/>
      <c r="AF782" s="799"/>
      <c r="AG782" s="799"/>
      <c r="AH782" s="799"/>
      <c r="AI782" s="799"/>
      <c r="AJ782" s="799"/>
      <c r="AK782" s="799"/>
      <c r="AL782" s="799"/>
      <c r="AM782" s="799"/>
      <c r="AN782" s="799"/>
      <c r="AO782" s="799"/>
      <c r="AP782" s="799"/>
      <c r="AQ782" s="799"/>
      <c r="AR782" s="799"/>
      <c r="AS782" s="799"/>
      <c r="AT782" s="799"/>
      <c r="AU782" s="799"/>
      <c r="AV782" s="799"/>
      <c r="AW782" s="799"/>
      <c r="AX782" s="799"/>
      <c r="AY782" s="799"/>
      <c r="AZ782" s="799"/>
      <c r="BA782" s="799"/>
      <c r="BB782" s="799"/>
      <c r="BC782" s="799"/>
      <c r="BD782" s="799"/>
      <c r="BE782" s="799"/>
      <c r="BF782" s="799"/>
      <c r="BG782" s="799"/>
    </row>
    <row r="783">
      <c r="H783" s="799"/>
      <c r="I783" s="799"/>
      <c r="J783" s="799"/>
      <c r="K783" s="799"/>
      <c r="L783" s="799"/>
      <c r="M783" s="799"/>
      <c r="N783" s="799"/>
      <c r="O783" s="799"/>
      <c r="P783" s="799"/>
      <c r="Q783" s="799"/>
      <c r="R783" s="799"/>
      <c r="S783" s="799"/>
      <c r="T783" s="799"/>
      <c r="U783" s="799"/>
      <c r="V783" s="799"/>
      <c r="W783" s="799"/>
      <c r="X783" s="799"/>
      <c r="Y783" s="799"/>
      <c r="Z783" s="799"/>
      <c r="AA783" s="799"/>
      <c r="AB783" s="799"/>
      <c r="AC783" s="799"/>
      <c r="AD783" s="799"/>
      <c r="AE783" s="799"/>
      <c r="AF783" s="799"/>
      <c r="AG783" s="799"/>
      <c r="AH783" s="799"/>
      <c r="AI783" s="799"/>
      <c r="AJ783" s="799"/>
      <c r="AK783" s="799"/>
      <c r="AL783" s="799"/>
      <c r="AM783" s="799"/>
      <c r="AN783" s="799"/>
      <c r="AO783" s="799"/>
      <c r="AP783" s="799"/>
      <c r="AQ783" s="799"/>
      <c r="AR783" s="799"/>
      <c r="AS783" s="799"/>
      <c r="AT783" s="799"/>
      <c r="AU783" s="799"/>
      <c r="AV783" s="799"/>
      <c r="AW783" s="799"/>
      <c r="AX783" s="799"/>
      <c r="AY783" s="799"/>
      <c r="AZ783" s="799"/>
      <c r="BA783" s="799"/>
      <c r="BB783" s="799"/>
      <c r="BC783" s="799"/>
      <c r="BD783" s="799"/>
      <c r="BE783" s="799"/>
      <c r="BF783" s="799"/>
      <c r="BG783" s="799"/>
    </row>
    <row r="784">
      <c r="H784" s="799"/>
      <c r="I784" s="799"/>
      <c r="J784" s="799"/>
      <c r="K784" s="799"/>
      <c r="L784" s="799"/>
      <c r="M784" s="799"/>
      <c r="N784" s="799"/>
      <c r="O784" s="799"/>
      <c r="P784" s="799"/>
      <c r="Q784" s="799"/>
      <c r="R784" s="799"/>
      <c r="S784" s="799"/>
      <c r="T784" s="799"/>
      <c r="U784" s="799"/>
      <c r="V784" s="799"/>
      <c r="W784" s="799"/>
      <c r="X784" s="799"/>
      <c r="Y784" s="799"/>
      <c r="Z784" s="799"/>
      <c r="AA784" s="799"/>
      <c r="AB784" s="799"/>
      <c r="AC784" s="799"/>
      <c r="AD784" s="799"/>
      <c r="AE784" s="799"/>
      <c r="AF784" s="799"/>
      <c r="AG784" s="799"/>
      <c r="AH784" s="799"/>
      <c r="AI784" s="799"/>
      <c r="AJ784" s="799"/>
      <c r="AK784" s="799"/>
      <c r="AL784" s="799"/>
      <c r="AM784" s="799"/>
      <c r="AN784" s="799"/>
      <c r="AO784" s="799"/>
      <c r="AP784" s="799"/>
      <c r="AQ784" s="799"/>
      <c r="AR784" s="799"/>
      <c r="AS784" s="799"/>
      <c r="AT784" s="799"/>
      <c r="AU784" s="799"/>
      <c r="AV784" s="799"/>
      <c r="AW784" s="799"/>
      <c r="AX784" s="799"/>
      <c r="AY784" s="799"/>
      <c r="AZ784" s="799"/>
      <c r="BA784" s="799"/>
      <c r="BB784" s="799"/>
      <c r="BC784" s="799"/>
      <c r="BD784" s="799"/>
      <c r="BE784" s="799"/>
      <c r="BF784" s="799"/>
      <c r="BG784" s="799"/>
    </row>
    <row r="785">
      <c r="H785" s="799"/>
      <c r="I785" s="799"/>
      <c r="J785" s="799"/>
      <c r="K785" s="799"/>
      <c r="L785" s="799"/>
      <c r="M785" s="799"/>
      <c r="N785" s="799"/>
      <c r="O785" s="799"/>
      <c r="P785" s="799"/>
      <c r="Q785" s="799"/>
      <c r="R785" s="799"/>
      <c r="S785" s="799"/>
      <c r="T785" s="799"/>
      <c r="U785" s="799"/>
      <c r="V785" s="799"/>
      <c r="W785" s="799"/>
      <c r="X785" s="799"/>
      <c r="Y785" s="799"/>
      <c r="Z785" s="799"/>
      <c r="AA785" s="799"/>
      <c r="AB785" s="799"/>
      <c r="AC785" s="799"/>
      <c r="AD785" s="799"/>
      <c r="AE785" s="799"/>
      <c r="AF785" s="799"/>
      <c r="AG785" s="799"/>
      <c r="AH785" s="799"/>
      <c r="AI785" s="799"/>
      <c r="AJ785" s="799"/>
      <c r="AK785" s="799"/>
      <c r="AL785" s="799"/>
      <c r="AM785" s="799"/>
      <c r="AN785" s="799"/>
      <c r="AO785" s="799"/>
      <c r="AP785" s="799"/>
      <c r="AQ785" s="799"/>
      <c r="AR785" s="799"/>
      <c r="AS785" s="799"/>
      <c r="AT785" s="799"/>
      <c r="AU785" s="799"/>
      <c r="AV785" s="799"/>
      <c r="AW785" s="799"/>
      <c r="AX785" s="799"/>
      <c r="AY785" s="799"/>
      <c r="AZ785" s="799"/>
      <c r="BA785" s="799"/>
      <c r="BB785" s="799"/>
      <c r="BC785" s="799"/>
      <c r="BD785" s="799"/>
      <c r="BE785" s="799"/>
      <c r="BF785" s="799"/>
      <c r="BG785" s="799"/>
    </row>
    <row r="786">
      <c r="H786" s="799"/>
      <c r="I786" s="799"/>
      <c r="J786" s="799"/>
      <c r="K786" s="799"/>
      <c r="L786" s="799"/>
      <c r="M786" s="799"/>
      <c r="N786" s="799"/>
      <c r="O786" s="799"/>
      <c r="P786" s="799"/>
      <c r="Q786" s="799"/>
      <c r="R786" s="799"/>
      <c r="S786" s="799"/>
      <c r="T786" s="799"/>
      <c r="U786" s="799"/>
      <c r="V786" s="799"/>
      <c r="W786" s="799"/>
      <c r="X786" s="799"/>
      <c r="Y786" s="799"/>
      <c r="Z786" s="799"/>
      <c r="AA786" s="799"/>
      <c r="AB786" s="799"/>
      <c r="AC786" s="799"/>
      <c r="AD786" s="799"/>
      <c r="AE786" s="799"/>
      <c r="AF786" s="799"/>
      <c r="AG786" s="799"/>
      <c r="AH786" s="799"/>
      <c r="AI786" s="799"/>
      <c r="AJ786" s="799"/>
      <c r="AK786" s="799"/>
      <c r="AL786" s="799"/>
      <c r="AM786" s="799"/>
      <c r="AN786" s="799"/>
      <c r="AO786" s="799"/>
      <c r="AP786" s="799"/>
      <c r="AQ786" s="799"/>
      <c r="AR786" s="799"/>
      <c r="AS786" s="799"/>
      <c r="AT786" s="799"/>
      <c r="AU786" s="799"/>
      <c r="AV786" s="799"/>
      <c r="AW786" s="799"/>
      <c r="AX786" s="799"/>
      <c r="AY786" s="799"/>
      <c r="AZ786" s="799"/>
      <c r="BA786" s="799"/>
      <c r="BB786" s="799"/>
      <c r="BC786" s="799"/>
      <c r="BD786" s="799"/>
      <c r="BE786" s="799"/>
      <c r="BF786" s="799"/>
      <c r="BG786" s="799"/>
    </row>
    <row r="787">
      <c r="H787" s="799"/>
      <c r="I787" s="799"/>
      <c r="J787" s="799"/>
      <c r="K787" s="799"/>
      <c r="L787" s="799"/>
      <c r="M787" s="799"/>
      <c r="N787" s="799"/>
      <c r="O787" s="799"/>
      <c r="P787" s="799"/>
      <c r="Q787" s="799"/>
      <c r="R787" s="799"/>
      <c r="S787" s="799"/>
      <c r="T787" s="799"/>
      <c r="U787" s="799"/>
      <c r="V787" s="799"/>
      <c r="W787" s="799"/>
      <c r="X787" s="799"/>
      <c r="Y787" s="799"/>
      <c r="Z787" s="799"/>
      <c r="AA787" s="799"/>
      <c r="AB787" s="799"/>
      <c r="AC787" s="799"/>
      <c r="AD787" s="799"/>
      <c r="AE787" s="799"/>
      <c r="AF787" s="799"/>
      <c r="AG787" s="799"/>
      <c r="AH787" s="799"/>
      <c r="AI787" s="799"/>
      <c r="AJ787" s="799"/>
      <c r="AK787" s="799"/>
      <c r="AL787" s="799"/>
      <c r="AM787" s="799"/>
      <c r="AN787" s="799"/>
      <c r="AO787" s="799"/>
      <c r="AP787" s="799"/>
      <c r="AQ787" s="799"/>
      <c r="AR787" s="799"/>
      <c r="AS787" s="799"/>
      <c r="AT787" s="799"/>
      <c r="AU787" s="799"/>
      <c r="AV787" s="799"/>
      <c r="AW787" s="799"/>
      <c r="AX787" s="799"/>
      <c r="AY787" s="799"/>
      <c r="AZ787" s="799"/>
      <c r="BA787" s="799"/>
      <c r="BB787" s="799"/>
      <c r="BC787" s="799"/>
      <c r="BD787" s="799"/>
      <c r="BE787" s="799"/>
      <c r="BF787" s="799"/>
      <c r="BG787" s="799"/>
    </row>
    <row r="788">
      <c r="H788" s="799"/>
      <c r="I788" s="799"/>
      <c r="J788" s="799"/>
      <c r="K788" s="799"/>
      <c r="L788" s="799"/>
      <c r="M788" s="799"/>
      <c r="N788" s="799"/>
      <c r="O788" s="799"/>
      <c r="P788" s="799"/>
      <c r="Q788" s="799"/>
      <c r="R788" s="799"/>
      <c r="S788" s="799"/>
      <c r="T788" s="799"/>
      <c r="U788" s="799"/>
      <c r="V788" s="799"/>
      <c r="W788" s="799"/>
      <c r="X788" s="799"/>
      <c r="Y788" s="799"/>
      <c r="Z788" s="799"/>
      <c r="AA788" s="799"/>
      <c r="AB788" s="799"/>
      <c r="AC788" s="799"/>
      <c r="AD788" s="799"/>
      <c r="AE788" s="799"/>
      <c r="AF788" s="799"/>
      <c r="AG788" s="799"/>
      <c r="AH788" s="799"/>
      <c r="AI788" s="799"/>
      <c r="AJ788" s="799"/>
      <c r="AK788" s="799"/>
      <c r="AL788" s="799"/>
      <c r="AM788" s="799"/>
      <c r="AN788" s="799"/>
      <c r="AO788" s="799"/>
      <c r="AP788" s="799"/>
      <c r="AQ788" s="799"/>
      <c r="AR788" s="799"/>
      <c r="AS788" s="799"/>
      <c r="AT788" s="799"/>
      <c r="AU788" s="799"/>
      <c r="AV788" s="799"/>
      <c r="AW788" s="799"/>
      <c r="AX788" s="799"/>
      <c r="AY788" s="799"/>
      <c r="AZ788" s="799"/>
      <c r="BA788" s="799"/>
      <c r="BB788" s="799"/>
      <c r="BC788" s="799"/>
      <c r="BD788" s="799"/>
      <c r="BE788" s="799"/>
      <c r="BF788" s="799"/>
      <c r="BG788" s="799"/>
    </row>
    <row r="789">
      <c r="H789" s="799"/>
      <c r="I789" s="799"/>
      <c r="J789" s="799"/>
      <c r="K789" s="799"/>
      <c r="L789" s="799"/>
      <c r="M789" s="799"/>
      <c r="N789" s="799"/>
      <c r="O789" s="799"/>
      <c r="P789" s="799"/>
      <c r="Q789" s="799"/>
      <c r="R789" s="799"/>
      <c r="S789" s="799"/>
      <c r="T789" s="799"/>
      <c r="U789" s="799"/>
      <c r="V789" s="799"/>
      <c r="W789" s="799"/>
      <c r="X789" s="799"/>
      <c r="Y789" s="799"/>
      <c r="Z789" s="799"/>
      <c r="AA789" s="799"/>
      <c r="AB789" s="799"/>
      <c r="AC789" s="799"/>
      <c r="AD789" s="799"/>
      <c r="AE789" s="799"/>
      <c r="AF789" s="799"/>
      <c r="AG789" s="799"/>
      <c r="AH789" s="799"/>
      <c r="AI789" s="799"/>
      <c r="AJ789" s="799"/>
      <c r="AK789" s="799"/>
      <c r="AL789" s="799"/>
      <c r="AM789" s="799"/>
      <c r="AN789" s="799"/>
      <c r="AO789" s="799"/>
      <c r="AP789" s="799"/>
      <c r="AQ789" s="799"/>
      <c r="AR789" s="799"/>
      <c r="AS789" s="799"/>
      <c r="AT789" s="799"/>
      <c r="AU789" s="799"/>
      <c r="AV789" s="799"/>
      <c r="AW789" s="799"/>
      <c r="AX789" s="799"/>
      <c r="AY789" s="799"/>
      <c r="AZ789" s="799"/>
      <c r="BA789" s="799"/>
      <c r="BB789" s="799"/>
      <c r="BC789" s="799"/>
      <c r="BD789" s="799"/>
      <c r="BE789" s="799"/>
      <c r="BF789" s="799"/>
      <c r="BG789" s="799"/>
    </row>
    <row r="790">
      <c r="H790" s="799"/>
      <c r="I790" s="799"/>
      <c r="J790" s="799"/>
      <c r="K790" s="799"/>
      <c r="L790" s="799"/>
      <c r="M790" s="799"/>
      <c r="N790" s="799"/>
      <c r="O790" s="799"/>
      <c r="P790" s="799"/>
      <c r="Q790" s="799"/>
      <c r="R790" s="799"/>
      <c r="S790" s="799"/>
      <c r="T790" s="799"/>
      <c r="U790" s="799"/>
      <c r="V790" s="799"/>
      <c r="W790" s="799"/>
      <c r="X790" s="799"/>
      <c r="Y790" s="799"/>
      <c r="Z790" s="799"/>
      <c r="AA790" s="799"/>
      <c r="AB790" s="799"/>
      <c r="AC790" s="799"/>
      <c r="AD790" s="799"/>
      <c r="AE790" s="799"/>
      <c r="AF790" s="799"/>
      <c r="AG790" s="799"/>
      <c r="AH790" s="799"/>
      <c r="AI790" s="799"/>
      <c r="AJ790" s="799"/>
      <c r="AK790" s="799"/>
      <c r="AL790" s="799"/>
      <c r="AM790" s="799"/>
      <c r="AN790" s="799"/>
      <c r="AO790" s="799"/>
      <c r="AP790" s="799"/>
      <c r="AQ790" s="799"/>
      <c r="AR790" s="799"/>
      <c r="AS790" s="799"/>
      <c r="AT790" s="799"/>
      <c r="AU790" s="799"/>
      <c r="AV790" s="799"/>
      <c r="AW790" s="799"/>
      <c r="AX790" s="799"/>
      <c r="AY790" s="799"/>
      <c r="AZ790" s="799"/>
      <c r="BA790" s="799"/>
      <c r="BB790" s="799"/>
      <c r="BC790" s="799"/>
      <c r="BD790" s="799"/>
      <c r="BE790" s="799"/>
      <c r="BF790" s="799"/>
      <c r="BG790" s="799"/>
    </row>
    <row r="791">
      <c r="H791" s="799"/>
      <c r="I791" s="799"/>
      <c r="J791" s="799"/>
      <c r="K791" s="799"/>
      <c r="L791" s="799"/>
      <c r="M791" s="799"/>
      <c r="N791" s="799"/>
      <c r="O791" s="799"/>
      <c r="P791" s="799"/>
      <c r="Q791" s="799"/>
      <c r="R791" s="799"/>
      <c r="S791" s="799"/>
      <c r="T791" s="799"/>
      <c r="U791" s="799"/>
      <c r="V791" s="799"/>
      <c r="W791" s="799"/>
      <c r="X791" s="799"/>
      <c r="Y791" s="799"/>
      <c r="Z791" s="799"/>
      <c r="AA791" s="799"/>
      <c r="AB791" s="799"/>
      <c r="AC791" s="799"/>
      <c r="AD791" s="799"/>
      <c r="AE791" s="799"/>
      <c r="AF791" s="799"/>
      <c r="AG791" s="799"/>
      <c r="AH791" s="799"/>
      <c r="AI791" s="799"/>
      <c r="AJ791" s="799"/>
      <c r="AK791" s="799"/>
      <c r="AL791" s="799"/>
      <c r="AM791" s="799"/>
      <c r="AN791" s="799"/>
      <c r="AO791" s="799"/>
      <c r="AP791" s="799"/>
      <c r="AQ791" s="799"/>
      <c r="AR791" s="799"/>
      <c r="AS791" s="799"/>
      <c r="AT791" s="799"/>
      <c r="AU791" s="799"/>
      <c r="AV791" s="799"/>
      <c r="AW791" s="799"/>
      <c r="AX791" s="799"/>
      <c r="AY791" s="799"/>
      <c r="AZ791" s="799"/>
      <c r="BA791" s="799"/>
      <c r="BB791" s="799"/>
      <c r="BC791" s="799"/>
      <c r="BD791" s="799"/>
      <c r="BE791" s="799"/>
      <c r="BF791" s="799"/>
      <c r="BG791" s="799"/>
    </row>
    <row r="792">
      <c r="H792" s="799"/>
      <c r="I792" s="799"/>
      <c r="J792" s="799"/>
      <c r="K792" s="799"/>
      <c r="L792" s="799"/>
      <c r="M792" s="799"/>
      <c r="N792" s="799"/>
      <c r="O792" s="799"/>
      <c r="P792" s="799"/>
      <c r="Q792" s="799"/>
      <c r="R792" s="799"/>
      <c r="S792" s="799"/>
      <c r="T792" s="799"/>
      <c r="U792" s="799"/>
      <c r="V792" s="799"/>
      <c r="W792" s="799"/>
      <c r="X792" s="799"/>
      <c r="Y792" s="799"/>
      <c r="Z792" s="799"/>
      <c r="AA792" s="799"/>
      <c r="AB792" s="799"/>
      <c r="AC792" s="799"/>
      <c r="AD792" s="799"/>
      <c r="AE792" s="799"/>
      <c r="AF792" s="799"/>
      <c r="AG792" s="799"/>
      <c r="AH792" s="799"/>
      <c r="AI792" s="799"/>
      <c r="AJ792" s="799"/>
      <c r="AK792" s="799"/>
      <c r="AL792" s="799"/>
      <c r="AM792" s="799"/>
      <c r="AN792" s="799"/>
      <c r="AO792" s="799"/>
      <c r="AP792" s="799"/>
      <c r="AQ792" s="799"/>
      <c r="AR792" s="799"/>
      <c r="AS792" s="799"/>
      <c r="AT792" s="799"/>
      <c r="AU792" s="799"/>
      <c r="AV792" s="799"/>
      <c r="AW792" s="799"/>
      <c r="AX792" s="799"/>
      <c r="AY792" s="799"/>
      <c r="AZ792" s="799"/>
      <c r="BA792" s="799"/>
      <c r="BB792" s="799"/>
      <c r="BC792" s="799"/>
      <c r="BD792" s="799"/>
      <c r="BE792" s="799"/>
      <c r="BF792" s="799"/>
      <c r="BG792" s="799"/>
    </row>
    <row r="793">
      <c r="H793" s="799"/>
      <c r="I793" s="799"/>
      <c r="J793" s="799"/>
      <c r="K793" s="799"/>
      <c r="L793" s="799"/>
      <c r="M793" s="799"/>
      <c r="N793" s="799"/>
      <c r="O793" s="799"/>
      <c r="P793" s="799"/>
      <c r="Q793" s="799"/>
      <c r="R793" s="799"/>
      <c r="S793" s="799"/>
      <c r="T793" s="799"/>
      <c r="U793" s="799"/>
      <c r="V793" s="799"/>
      <c r="W793" s="799"/>
      <c r="X793" s="799"/>
      <c r="Y793" s="799"/>
      <c r="Z793" s="799"/>
      <c r="AA793" s="799"/>
      <c r="AB793" s="799"/>
      <c r="AC793" s="799"/>
      <c r="AD793" s="799"/>
      <c r="AE793" s="799"/>
      <c r="AF793" s="799"/>
      <c r="AG793" s="799"/>
      <c r="AH793" s="799"/>
      <c r="AI793" s="799"/>
      <c r="AJ793" s="799"/>
      <c r="AK793" s="799"/>
      <c r="AL793" s="799"/>
      <c r="AM793" s="799"/>
      <c r="AN793" s="799"/>
      <c r="AO793" s="799"/>
      <c r="AP793" s="799"/>
      <c r="AQ793" s="799"/>
      <c r="AR793" s="799"/>
      <c r="AS793" s="799"/>
      <c r="AT793" s="799"/>
      <c r="AU793" s="799"/>
      <c r="AV793" s="799"/>
      <c r="AW793" s="799"/>
      <c r="AX793" s="799"/>
      <c r="AY793" s="799"/>
      <c r="AZ793" s="799"/>
      <c r="BA793" s="799"/>
      <c r="BB793" s="799"/>
      <c r="BC793" s="799"/>
      <c r="BD793" s="799"/>
      <c r="BE793" s="799"/>
      <c r="BF793" s="799"/>
      <c r="BG793" s="799"/>
    </row>
    <row r="794">
      <c r="H794" s="799"/>
      <c r="I794" s="799"/>
      <c r="J794" s="799"/>
      <c r="K794" s="799"/>
      <c r="L794" s="799"/>
      <c r="M794" s="799"/>
      <c r="N794" s="799"/>
      <c r="O794" s="799"/>
      <c r="P794" s="799"/>
      <c r="Q794" s="799"/>
      <c r="R794" s="799"/>
      <c r="S794" s="799"/>
      <c r="T794" s="799"/>
      <c r="U794" s="799"/>
      <c r="V794" s="799"/>
      <c r="W794" s="799"/>
      <c r="X794" s="799"/>
      <c r="Y794" s="799"/>
      <c r="Z794" s="799"/>
      <c r="AA794" s="799"/>
      <c r="AB794" s="799"/>
      <c r="AC794" s="799"/>
      <c r="AD794" s="799"/>
      <c r="AE794" s="799"/>
      <c r="AF794" s="799"/>
      <c r="AG794" s="799"/>
      <c r="AH794" s="799"/>
      <c r="AI794" s="799"/>
      <c r="AJ794" s="799"/>
      <c r="AK794" s="799"/>
      <c r="AL794" s="799"/>
      <c r="AM794" s="799"/>
      <c r="AN794" s="799"/>
      <c r="AO794" s="799"/>
      <c r="AP794" s="799"/>
      <c r="AQ794" s="799"/>
      <c r="AR794" s="799"/>
      <c r="AS794" s="799"/>
      <c r="AT794" s="799"/>
      <c r="AU794" s="799"/>
      <c r="AV794" s="799"/>
      <c r="AW794" s="799"/>
      <c r="AX794" s="799"/>
      <c r="AY794" s="799"/>
      <c r="AZ794" s="799"/>
      <c r="BA794" s="799"/>
      <c r="BB794" s="799"/>
      <c r="BC794" s="799"/>
      <c r="BD794" s="799"/>
      <c r="BE794" s="799"/>
      <c r="BF794" s="799"/>
      <c r="BG794" s="799"/>
    </row>
    <row r="795">
      <c r="H795" s="799"/>
      <c r="I795" s="799"/>
      <c r="J795" s="799"/>
      <c r="K795" s="799"/>
      <c r="L795" s="799"/>
      <c r="M795" s="799"/>
      <c r="N795" s="799"/>
      <c r="O795" s="799"/>
      <c r="P795" s="799"/>
      <c r="Q795" s="799"/>
      <c r="R795" s="799"/>
      <c r="S795" s="799"/>
      <c r="T795" s="799"/>
      <c r="U795" s="799"/>
      <c r="V795" s="799"/>
      <c r="W795" s="799"/>
      <c r="X795" s="799"/>
      <c r="Y795" s="799"/>
      <c r="Z795" s="799"/>
      <c r="AA795" s="799"/>
      <c r="AB795" s="799"/>
      <c r="AC795" s="799"/>
      <c r="AD795" s="799"/>
      <c r="AE795" s="799"/>
      <c r="AF795" s="799"/>
      <c r="AG795" s="799"/>
      <c r="AH795" s="799"/>
      <c r="AI795" s="799"/>
      <c r="AJ795" s="799"/>
      <c r="AK795" s="799"/>
      <c r="AL795" s="799"/>
      <c r="AM795" s="799"/>
      <c r="AN795" s="799"/>
      <c r="AO795" s="799"/>
      <c r="AP795" s="799"/>
      <c r="AQ795" s="799"/>
      <c r="AR795" s="799"/>
      <c r="AS795" s="799"/>
      <c r="AT795" s="799"/>
      <c r="AU795" s="799"/>
      <c r="AV795" s="799"/>
      <c r="AW795" s="799"/>
      <c r="AX795" s="799"/>
      <c r="AY795" s="799"/>
      <c r="AZ795" s="799"/>
      <c r="BA795" s="799"/>
      <c r="BB795" s="799"/>
      <c r="BC795" s="799"/>
      <c r="BD795" s="799"/>
      <c r="BE795" s="799"/>
      <c r="BF795" s="799"/>
      <c r="BG795" s="799"/>
    </row>
    <row r="796">
      <c r="H796" s="799"/>
      <c r="I796" s="799"/>
      <c r="J796" s="799"/>
      <c r="K796" s="799"/>
      <c r="L796" s="799"/>
      <c r="M796" s="799"/>
      <c r="N796" s="799"/>
      <c r="O796" s="799"/>
      <c r="P796" s="799"/>
      <c r="Q796" s="799"/>
      <c r="R796" s="799"/>
      <c r="S796" s="799"/>
      <c r="T796" s="799"/>
      <c r="U796" s="799"/>
      <c r="V796" s="799"/>
      <c r="W796" s="799"/>
      <c r="X796" s="799"/>
      <c r="Y796" s="799"/>
      <c r="Z796" s="799"/>
      <c r="AA796" s="799"/>
      <c r="AB796" s="799"/>
      <c r="AC796" s="799"/>
      <c r="AD796" s="799"/>
      <c r="AE796" s="799"/>
      <c r="AF796" s="799"/>
      <c r="AG796" s="799"/>
      <c r="AH796" s="799"/>
      <c r="AI796" s="799"/>
      <c r="AJ796" s="799"/>
      <c r="AK796" s="799"/>
      <c r="AL796" s="799"/>
      <c r="AM796" s="799"/>
      <c r="AN796" s="799"/>
      <c r="AO796" s="799"/>
      <c r="AP796" s="799"/>
      <c r="AQ796" s="799"/>
      <c r="AR796" s="799"/>
      <c r="AS796" s="799"/>
      <c r="AT796" s="799"/>
      <c r="AU796" s="799"/>
      <c r="AV796" s="799"/>
      <c r="AW796" s="799"/>
      <c r="AX796" s="799"/>
      <c r="AY796" s="799"/>
      <c r="AZ796" s="799"/>
      <c r="BA796" s="799"/>
      <c r="BB796" s="799"/>
      <c r="BC796" s="799"/>
      <c r="BD796" s="799"/>
      <c r="BE796" s="799"/>
      <c r="BF796" s="799"/>
      <c r="BG796" s="799"/>
    </row>
    <row r="797">
      <c r="H797" s="799"/>
      <c r="I797" s="799"/>
      <c r="J797" s="799"/>
      <c r="K797" s="799"/>
      <c r="L797" s="799"/>
      <c r="M797" s="799"/>
      <c r="N797" s="799"/>
      <c r="O797" s="799"/>
      <c r="P797" s="799"/>
      <c r="Q797" s="799"/>
      <c r="R797" s="799"/>
      <c r="S797" s="799"/>
      <c r="T797" s="799"/>
      <c r="U797" s="799"/>
      <c r="V797" s="799"/>
      <c r="W797" s="799"/>
      <c r="X797" s="799"/>
      <c r="Y797" s="799"/>
      <c r="Z797" s="799"/>
      <c r="AA797" s="799"/>
      <c r="AB797" s="799"/>
      <c r="AC797" s="799"/>
      <c r="AD797" s="799"/>
      <c r="AE797" s="799"/>
      <c r="AF797" s="799"/>
      <c r="AG797" s="799"/>
      <c r="AH797" s="799"/>
      <c r="AI797" s="799"/>
      <c r="AJ797" s="799"/>
      <c r="AK797" s="799"/>
      <c r="AL797" s="799"/>
      <c r="AM797" s="799"/>
      <c r="AN797" s="799"/>
      <c r="AO797" s="799"/>
      <c r="AP797" s="799"/>
      <c r="AQ797" s="799"/>
      <c r="AR797" s="799"/>
      <c r="AS797" s="799"/>
      <c r="AT797" s="799"/>
      <c r="AU797" s="799"/>
      <c r="AV797" s="799"/>
      <c r="AW797" s="799"/>
      <c r="AX797" s="799"/>
      <c r="AY797" s="799"/>
      <c r="AZ797" s="799"/>
      <c r="BA797" s="799"/>
      <c r="BB797" s="799"/>
      <c r="BC797" s="799"/>
      <c r="BD797" s="799"/>
      <c r="BE797" s="799"/>
      <c r="BF797" s="799"/>
      <c r="BG797" s="799"/>
    </row>
    <row r="798">
      <c r="H798" s="799"/>
      <c r="I798" s="799"/>
      <c r="J798" s="799"/>
      <c r="K798" s="799"/>
      <c r="L798" s="799"/>
      <c r="M798" s="799"/>
      <c r="N798" s="799"/>
      <c r="O798" s="799"/>
      <c r="P798" s="799"/>
      <c r="Q798" s="799"/>
      <c r="R798" s="799"/>
      <c r="S798" s="799"/>
      <c r="T798" s="799"/>
      <c r="U798" s="799"/>
      <c r="V798" s="799"/>
      <c r="W798" s="799"/>
      <c r="X798" s="799"/>
      <c r="Y798" s="799"/>
      <c r="Z798" s="799"/>
      <c r="AA798" s="799"/>
      <c r="AB798" s="799"/>
      <c r="AC798" s="799"/>
      <c r="AD798" s="799"/>
      <c r="AE798" s="799"/>
      <c r="AF798" s="799"/>
      <c r="AG798" s="799"/>
      <c r="AH798" s="799"/>
      <c r="AI798" s="799"/>
      <c r="AJ798" s="799"/>
      <c r="AK798" s="799"/>
      <c r="AL798" s="799"/>
      <c r="AM798" s="799"/>
      <c r="AN798" s="799"/>
      <c r="AO798" s="799"/>
      <c r="AP798" s="799"/>
      <c r="AQ798" s="799"/>
      <c r="AR798" s="799"/>
      <c r="AS798" s="799"/>
      <c r="AT798" s="799"/>
      <c r="AU798" s="799"/>
      <c r="AV798" s="799"/>
      <c r="AW798" s="799"/>
      <c r="AX798" s="799"/>
      <c r="AY798" s="799"/>
      <c r="AZ798" s="799"/>
      <c r="BA798" s="799"/>
      <c r="BB798" s="799"/>
      <c r="BC798" s="799"/>
      <c r="BD798" s="799"/>
      <c r="BE798" s="799"/>
      <c r="BF798" s="799"/>
      <c r="BG798" s="799"/>
    </row>
    <row r="799">
      <c r="H799" s="799"/>
      <c r="I799" s="799"/>
      <c r="J799" s="799"/>
      <c r="K799" s="799"/>
      <c r="L799" s="799"/>
      <c r="M799" s="799"/>
      <c r="N799" s="799"/>
      <c r="O799" s="799"/>
      <c r="P799" s="799"/>
      <c r="Q799" s="799"/>
      <c r="R799" s="799"/>
      <c r="S799" s="799"/>
      <c r="T799" s="799"/>
      <c r="U799" s="799"/>
      <c r="V799" s="799"/>
      <c r="W799" s="799"/>
      <c r="X799" s="799"/>
      <c r="Y799" s="799"/>
      <c r="Z799" s="799"/>
      <c r="AA799" s="799"/>
      <c r="AB799" s="799"/>
      <c r="AC799" s="799"/>
      <c r="AD799" s="799"/>
      <c r="AE799" s="799"/>
      <c r="AF799" s="799"/>
      <c r="AG799" s="799"/>
      <c r="AH799" s="799"/>
      <c r="AI799" s="799"/>
      <c r="AJ799" s="799"/>
      <c r="AK799" s="799"/>
      <c r="AL799" s="799"/>
      <c r="AM799" s="799"/>
      <c r="AN799" s="799"/>
      <c r="AO799" s="799"/>
      <c r="AP799" s="799"/>
      <c r="AQ799" s="799"/>
      <c r="AR799" s="799"/>
      <c r="AS799" s="799"/>
      <c r="AT799" s="799"/>
      <c r="AU799" s="799"/>
      <c r="AV799" s="799"/>
      <c r="AW799" s="799"/>
      <c r="AX799" s="799"/>
      <c r="AY799" s="799"/>
      <c r="AZ799" s="799"/>
      <c r="BA799" s="799"/>
      <c r="BB799" s="799"/>
      <c r="BC799" s="799"/>
      <c r="BD799" s="799"/>
      <c r="BE799" s="799"/>
      <c r="BF799" s="799"/>
      <c r="BG799" s="799"/>
    </row>
    <row r="800">
      <c r="H800" s="799"/>
      <c r="I800" s="799"/>
      <c r="J800" s="799"/>
      <c r="K800" s="799"/>
      <c r="L800" s="799"/>
      <c r="M800" s="799"/>
      <c r="N800" s="799"/>
      <c r="O800" s="799"/>
      <c r="P800" s="799"/>
      <c r="Q800" s="799"/>
      <c r="R800" s="799"/>
      <c r="S800" s="799"/>
      <c r="T800" s="799"/>
      <c r="U800" s="799"/>
      <c r="V800" s="799"/>
      <c r="W800" s="799"/>
      <c r="X800" s="799"/>
      <c r="Y800" s="799"/>
      <c r="Z800" s="799"/>
      <c r="AA800" s="799"/>
      <c r="AB800" s="799"/>
      <c r="AC800" s="799"/>
      <c r="AD800" s="799"/>
      <c r="AE800" s="799"/>
      <c r="AF800" s="799"/>
      <c r="AG800" s="799"/>
      <c r="AH800" s="799"/>
      <c r="AI800" s="799"/>
      <c r="AJ800" s="799"/>
      <c r="AK800" s="799"/>
      <c r="AL800" s="799"/>
      <c r="AM800" s="799"/>
      <c r="AN800" s="799"/>
      <c r="AO800" s="799"/>
      <c r="AP800" s="799"/>
      <c r="AQ800" s="799"/>
      <c r="AR800" s="799"/>
      <c r="AS800" s="799"/>
      <c r="AT800" s="799"/>
      <c r="AU800" s="799"/>
      <c r="AV800" s="799"/>
      <c r="AW800" s="799"/>
      <c r="AX800" s="799"/>
      <c r="AY800" s="799"/>
      <c r="AZ800" s="799"/>
      <c r="BA800" s="799"/>
      <c r="BB800" s="799"/>
      <c r="BC800" s="799"/>
      <c r="BD800" s="799"/>
      <c r="BE800" s="799"/>
      <c r="BF800" s="799"/>
      <c r="BG800" s="799"/>
    </row>
    <row r="801">
      <c r="H801" s="799"/>
      <c r="I801" s="799"/>
      <c r="J801" s="799"/>
      <c r="K801" s="799"/>
      <c r="L801" s="799"/>
      <c r="M801" s="799"/>
      <c r="N801" s="799"/>
      <c r="O801" s="799"/>
      <c r="P801" s="799"/>
      <c r="Q801" s="799"/>
      <c r="R801" s="799"/>
      <c r="S801" s="799"/>
      <c r="T801" s="799"/>
      <c r="U801" s="799"/>
      <c r="V801" s="799"/>
      <c r="W801" s="799"/>
      <c r="X801" s="799"/>
      <c r="Y801" s="799"/>
      <c r="Z801" s="799"/>
      <c r="AA801" s="799"/>
      <c r="AB801" s="799"/>
      <c r="AC801" s="799"/>
      <c r="AD801" s="799"/>
      <c r="AE801" s="799"/>
      <c r="AF801" s="799"/>
      <c r="AG801" s="799"/>
      <c r="AH801" s="799"/>
      <c r="AI801" s="799"/>
      <c r="AJ801" s="799"/>
      <c r="AK801" s="799"/>
      <c r="AL801" s="799"/>
      <c r="AM801" s="799"/>
      <c r="AN801" s="799"/>
      <c r="AO801" s="799"/>
      <c r="AP801" s="799"/>
      <c r="AQ801" s="799"/>
      <c r="AR801" s="799"/>
      <c r="AS801" s="799"/>
      <c r="AT801" s="799"/>
      <c r="AU801" s="799"/>
      <c r="AV801" s="799"/>
      <c r="AW801" s="799"/>
      <c r="AX801" s="799"/>
      <c r="AY801" s="799"/>
      <c r="AZ801" s="799"/>
      <c r="BA801" s="799"/>
      <c r="BB801" s="799"/>
      <c r="BC801" s="799"/>
      <c r="BD801" s="799"/>
      <c r="BE801" s="799"/>
      <c r="BF801" s="799"/>
      <c r="BG801" s="799"/>
    </row>
    <row r="802">
      <c r="H802" s="799"/>
      <c r="I802" s="799"/>
      <c r="J802" s="799"/>
      <c r="K802" s="799"/>
      <c r="L802" s="799"/>
      <c r="M802" s="799"/>
      <c r="N802" s="799"/>
      <c r="O802" s="799"/>
      <c r="P802" s="799"/>
      <c r="Q802" s="799"/>
      <c r="R802" s="799"/>
      <c r="S802" s="799"/>
      <c r="T802" s="799"/>
      <c r="U802" s="799"/>
      <c r="V802" s="799"/>
      <c r="W802" s="799"/>
      <c r="X802" s="799"/>
      <c r="Y802" s="799"/>
      <c r="Z802" s="799"/>
      <c r="AA802" s="799"/>
      <c r="AB802" s="799"/>
      <c r="AC802" s="799"/>
      <c r="AD802" s="799"/>
      <c r="AE802" s="799"/>
      <c r="AF802" s="799"/>
      <c r="AG802" s="799"/>
      <c r="AH802" s="799"/>
      <c r="AI802" s="799"/>
      <c r="AJ802" s="799"/>
      <c r="AK802" s="799"/>
      <c r="AL802" s="799"/>
      <c r="AM802" s="799"/>
      <c r="AN802" s="799"/>
      <c r="AO802" s="799"/>
      <c r="AP802" s="799"/>
      <c r="AQ802" s="799"/>
      <c r="AR802" s="799"/>
      <c r="AS802" s="799"/>
      <c r="AT802" s="799"/>
      <c r="AU802" s="799"/>
      <c r="AV802" s="799"/>
      <c r="AW802" s="799"/>
      <c r="AX802" s="799"/>
      <c r="AY802" s="799"/>
      <c r="AZ802" s="799"/>
      <c r="BA802" s="799"/>
      <c r="BB802" s="799"/>
      <c r="BC802" s="799"/>
      <c r="BD802" s="799"/>
      <c r="BE802" s="799"/>
      <c r="BF802" s="799"/>
      <c r="BG802" s="799"/>
    </row>
    <row r="803">
      <c r="H803" s="799"/>
      <c r="I803" s="799"/>
      <c r="J803" s="799"/>
      <c r="K803" s="799"/>
      <c r="L803" s="799"/>
      <c r="M803" s="799"/>
      <c r="N803" s="799"/>
      <c r="O803" s="799"/>
      <c r="P803" s="799"/>
      <c r="Q803" s="799"/>
      <c r="R803" s="799"/>
      <c r="S803" s="799"/>
      <c r="T803" s="799"/>
      <c r="U803" s="799"/>
      <c r="V803" s="799"/>
      <c r="W803" s="799"/>
      <c r="X803" s="799"/>
      <c r="Y803" s="799"/>
      <c r="Z803" s="799"/>
      <c r="AA803" s="799"/>
      <c r="AB803" s="799"/>
      <c r="AC803" s="799"/>
      <c r="AD803" s="799"/>
      <c r="AE803" s="799"/>
      <c r="AF803" s="799"/>
      <c r="AG803" s="799"/>
      <c r="AH803" s="799"/>
      <c r="AI803" s="799"/>
      <c r="AJ803" s="799"/>
      <c r="AK803" s="799"/>
      <c r="AL803" s="799"/>
      <c r="AM803" s="799"/>
      <c r="AN803" s="799"/>
      <c r="AO803" s="799"/>
      <c r="AP803" s="799"/>
      <c r="AQ803" s="799"/>
      <c r="AR803" s="799"/>
      <c r="AS803" s="799"/>
      <c r="AT803" s="799"/>
      <c r="AU803" s="799"/>
      <c r="AV803" s="799"/>
      <c r="AW803" s="799"/>
      <c r="AX803" s="799"/>
      <c r="AY803" s="799"/>
      <c r="AZ803" s="799"/>
      <c r="BA803" s="799"/>
      <c r="BB803" s="799"/>
      <c r="BC803" s="799"/>
      <c r="BD803" s="799"/>
      <c r="BE803" s="799"/>
      <c r="BF803" s="799"/>
      <c r="BG803" s="799"/>
    </row>
    <row r="804">
      <c r="H804" s="799"/>
      <c r="I804" s="799"/>
      <c r="J804" s="799"/>
      <c r="K804" s="799"/>
      <c r="L804" s="799"/>
      <c r="M804" s="799"/>
      <c r="N804" s="799"/>
      <c r="O804" s="799"/>
      <c r="P804" s="799"/>
      <c r="Q804" s="799"/>
      <c r="R804" s="799"/>
      <c r="S804" s="799"/>
      <c r="T804" s="799"/>
      <c r="U804" s="799"/>
      <c r="V804" s="799"/>
      <c r="W804" s="799"/>
      <c r="X804" s="799"/>
      <c r="Y804" s="799"/>
      <c r="Z804" s="799"/>
      <c r="AA804" s="799"/>
      <c r="AB804" s="799"/>
      <c r="AC804" s="799"/>
      <c r="AD804" s="799"/>
      <c r="AE804" s="799"/>
      <c r="AF804" s="799"/>
      <c r="AG804" s="799"/>
      <c r="AH804" s="799"/>
      <c r="AI804" s="799"/>
      <c r="AJ804" s="799"/>
      <c r="AK804" s="799"/>
      <c r="AL804" s="799"/>
      <c r="AM804" s="799"/>
      <c r="AN804" s="799"/>
      <c r="AO804" s="799"/>
      <c r="AP804" s="799"/>
      <c r="AQ804" s="799"/>
      <c r="AR804" s="799"/>
      <c r="AS804" s="799"/>
      <c r="AT804" s="799"/>
      <c r="AU804" s="799"/>
      <c r="AV804" s="799"/>
      <c r="AW804" s="799"/>
      <c r="AX804" s="799"/>
      <c r="AY804" s="799"/>
      <c r="AZ804" s="799"/>
      <c r="BA804" s="799"/>
      <c r="BB804" s="799"/>
      <c r="BC804" s="799"/>
      <c r="BD804" s="799"/>
      <c r="BE804" s="799"/>
      <c r="BF804" s="799"/>
      <c r="BG804" s="799"/>
    </row>
    <row r="805">
      <c r="H805" s="799"/>
      <c r="I805" s="799"/>
      <c r="J805" s="799"/>
      <c r="K805" s="799"/>
      <c r="L805" s="799"/>
      <c r="M805" s="799"/>
      <c r="N805" s="799"/>
      <c r="O805" s="799"/>
      <c r="P805" s="799"/>
      <c r="Q805" s="799"/>
      <c r="R805" s="799"/>
      <c r="S805" s="799"/>
      <c r="T805" s="799"/>
      <c r="U805" s="799"/>
      <c r="V805" s="799"/>
      <c r="W805" s="799"/>
      <c r="X805" s="799"/>
      <c r="Y805" s="799"/>
      <c r="Z805" s="799"/>
      <c r="AA805" s="799"/>
      <c r="AB805" s="799"/>
      <c r="AC805" s="799"/>
      <c r="AD805" s="799"/>
      <c r="AE805" s="799"/>
      <c r="AF805" s="799"/>
      <c r="AG805" s="799"/>
      <c r="AH805" s="799"/>
      <c r="AI805" s="799"/>
      <c r="AJ805" s="799"/>
      <c r="AK805" s="799"/>
      <c r="AL805" s="799"/>
      <c r="AM805" s="799"/>
      <c r="AN805" s="799"/>
      <c r="AO805" s="799"/>
      <c r="AP805" s="799"/>
      <c r="AQ805" s="799"/>
      <c r="AR805" s="799"/>
      <c r="AS805" s="799"/>
      <c r="AT805" s="799"/>
      <c r="AU805" s="799"/>
      <c r="AV805" s="799"/>
      <c r="AW805" s="799"/>
      <c r="AX805" s="799"/>
      <c r="AY805" s="799"/>
      <c r="AZ805" s="799"/>
      <c r="BA805" s="799"/>
      <c r="BB805" s="799"/>
      <c r="BC805" s="799"/>
      <c r="BD805" s="799"/>
      <c r="BE805" s="799"/>
      <c r="BF805" s="799"/>
      <c r="BG805" s="799"/>
    </row>
    <row r="806">
      <c r="H806" s="799"/>
      <c r="I806" s="799"/>
      <c r="J806" s="799"/>
      <c r="K806" s="799"/>
      <c r="L806" s="799"/>
      <c r="M806" s="799"/>
      <c r="N806" s="799"/>
      <c r="O806" s="799"/>
      <c r="P806" s="799"/>
      <c r="Q806" s="799"/>
      <c r="R806" s="799"/>
      <c r="S806" s="799"/>
      <c r="T806" s="799"/>
      <c r="U806" s="799"/>
      <c r="V806" s="799"/>
      <c r="W806" s="799"/>
      <c r="X806" s="799"/>
      <c r="Y806" s="799"/>
      <c r="Z806" s="799"/>
      <c r="AA806" s="799"/>
      <c r="AB806" s="799"/>
      <c r="AC806" s="799"/>
      <c r="AD806" s="799"/>
      <c r="AE806" s="799"/>
      <c r="AF806" s="799"/>
      <c r="AG806" s="799"/>
      <c r="AH806" s="799"/>
      <c r="AI806" s="799"/>
      <c r="AJ806" s="799"/>
      <c r="AK806" s="799"/>
      <c r="AL806" s="799"/>
      <c r="AM806" s="799"/>
      <c r="AN806" s="799"/>
      <c r="AO806" s="799"/>
      <c r="AP806" s="799"/>
      <c r="AQ806" s="799"/>
      <c r="AR806" s="799"/>
      <c r="AS806" s="799"/>
      <c r="AT806" s="799"/>
      <c r="AU806" s="799"/>
      <c r="AV806" s="799"/>
      <c r="AW806" s="799"/>
      <c r="AX806" s="799"/>
      <c r="AY806" s="799"/>
      <c r="AZ806" s="799"/>
      <c r="BA806" s="799"/>
      <c r="BB806" s="799"/>
      <c r="BC806" s="799"/>
      <c r="BD806" s="799"/>
      <c r="BE806" s="799"/>
      <c r="BF806" s="799"/>
      <c r="BG806" s="799"/>
    </row>
    <row r="807">
      <c r="H807" s="799"/>
      <c r="I807" s="799"/>
      <c r="J807" s="799"/>
      <c r="K807" s="799"/>
      <c r="L807" s="799"/>
      <c r="M807" s="799"/>
      <c r="N807" s="799"/>
      <c r="O807" s="799"/>
      <c r="P807" s="799"/>
      <c r="Q807" s="799"/>
      <c r="R807" s="799"/>
      <c r="S807" s="799"/>
      <c r="T807" s="799"/>
      <c r="U807" s="799"/>
      <c r="V807" s="799"/>
      <c r="W807" s="799"/>
      <c r="X807" s="799"/>
      <c r="Y807" s="799"/>
      <c r="Z807" s="799"/>
      <c r="AA807" s="799"/>
      <c r="AB807" s="799"/>
      <c r="AC807" s="799"/>
      <c r="AD807" s="799"/>
      <c r="AE807" s="799"/>
      <c r="AF807" s="799"/>
      <c r="AG807" s="799"/>
      <c r="AH807" s="799"/>
      <c r="AI807" s="799"/>
      <c r="AJ807" s="799"/>
      <c r="AK807" s="799"/>
      <c r="AL807" s="799"/>
      <c r="AM807" s="799"/>
      <c r="AN807" s="799"/>
      <c r="AO807" s="799"/>
      <c r="AP807" s="799"/>
      <c r="AQ807" s="799"/>
      <c r="AR807" s="799"/>
      <c r="AS807" s="799"/>
      <c r="AT807" s="799"/>
      <c r="AU807" s="799"/>
      <c r="AV807" s="799"/>
      <c r="AW807" s="799"/>
      <c r="AX807" s="799"/>
      <c r="AY807" s="799"/>
      <c r="AZ807" s="799"/>
      <c r="BA807" s="799"/>
      <c r="BB807" s="799"/>
      <c r="BC807" s="799"/>
      <c r="BD807" s="799"/>
      <c r="BE807" s="799"/>
      <c r="BF807" s="799"/>
      <c r="BG807" s="799"/>
    </row>
    <row r="808">
      <c r="H808" s="799"/>
      <c r="I808" s="799"/>
      <c r="J808" s="799"/>
      <c r="K808" s="799"/>
      <c r="L808" s="799"/>
      <c r="M808" s="799"/>
      <c r="N808" s="799"/>
      <c r="O808" s="799"/>
      <c r="P808" s="799"/>
      <c r="Q808" s="799"/>
      <c r="R808" s="799"/>
      <c r="S808" s="799"/>
      <c r="T808" s="799"/>
      <c r="U808" s="799"/>
      <c r="V808" s="799"/>
      <c r="W808" s="799"/>
      <c r="X808" s="799"/>
      <c r="Y808" s="799"/>
      <c r="Z808" s="799"/>
      <c r="AA808" s="799"/>
      <c r="AB808" s="799"/>
      <c r="AC808" s="799"/>
      <c r="AD808" s="799"/>
      <c r="AE808" s="799"/>
      <c r="AF808" s="799"/>
      <c r="AG808" s="799"/>
      <c r="AH808" s="799"/>
      <c r="AI808" s="799"/>
      <c r="AJ808" s="799"/>
      <c r="AK808" s="799"/>
      <c r="AL808" s="799"/>
      <c r="AM808" s="799"/>
      <c r="AN808" s="799"/>
      <c r="AO808" s="799"/>
      <c r="AP808" s="799"/>
      <c r="AQ808" s="799"/>
      <c r="AR808" s="799"/>
      <c r="AS808" s="799"/>
      <c r="AT808" s="799"/>
      <c r="AU808" s="799"/>
      <c r="AV808" s="799"/>
      <c r="AW808" s="799"/>
      <c r="AX808" s="799"/>
      <c r="AY808" s="799"/>
      <c r="AZ808" s="799"/>
      <c r="BA808" s="799"/>
      <c r="BB808" s="799"/>
      <c r="BC808" s="799"/>
      <c r="BD808" s="799"/>
      <c r="BE808" s="799"/>
      <c r="BF808" s="799"/>
      <c r="BG808" s="799"/>
    </row>
    <row r="809">
      <c r="H809" s="799"/>
      <c r="I809" s="799"/>
      <c r="J809" s="799"/>
      <c r="K809" s="799"/>
      <c r="L809" s="799"/>
      <c r="M809" s="799"/>
      <c r="N809" s="799"/>
      <c r="O809" s="799"/>
      <c r="P809" s="799"/>
      <c r="Q809" s="799"/>
      <c r="R809" s="799"/>
      <c r="S809" s="799"/>
      <c r="T809" s="799"/>
      <c r="U809" s="799"/>
      <c r="V809" s="799"/>
      <c r="W809" s="799"/>
      <c r="X809" s="799"/>
      <c r="Y809" s="799"/>
      <c r="Z809" s="799"/>
      <c r="AA809" s="799"/>
      <c r="AB809" s="799"/>
      <c r="AC809" s="799"/>
      <c r="AD809" s="799"/>
      <c r="AE809" s="799"/>
      <c r="AF809" s="799"/>
      <c r="AG809" s="799"/>
      <c r="AH809" s="799"/>
      <c r="AI809" s="799"/>
      <c r="AJ809" s="799"/>
      <c r="AK809" s="799"/>
      <c r="AL809" s="799"/>
      <c r="AM809" s="799"/>
      <c r="AN809" s="799"/>
      <c r="AO809" s="799"/>
      <c r="AP809" s="799"/>
      <c r="AQ809" s="799"/>
      <c r="AR809" s="799"/>
      <c r="AS809" s="799"/>
      <c r="AT809" s="799"/>
      <c r="AU809" s="799"/>
      <c r="AV809" s="799"/>
      <c r="AW809" s="799"/>
      <c r="AX809" s="799"/>
      <c r="AY809" s="799"/>
      <c r="AZ809" s="799"/>
      <c r="BA809" s="799"/>
      <c r="BB809" s="799"/>
      <c r="BC809" s="799"/>
      <c r="BD809" s="799"/>
      <c r="BE809" s="799"/>
      <c r="BF809" s="799"/>
      <c r="BG809" s="799"/>
    </row>
    <row r="810">
      <c r="H810" s="799"/>
      <c r="I810" s="799"/>
      <c r="J810" s="799"/>
      <c r="K810" s="799"/>
      <c r="L810" s="799"/>
      <c r="M810" s="799"/>
      <c r="N810" s="799"/>
      <c r="O810" s="799"/>
      <c r="P810" s="799"/>
      <c r="Q810" s="799"/>
      <c r="R810" s="799"/>
      <c r="S810" s="799"/>
      <c r="T810" s="799"/>
      <c r="U810" s="799"/>
      <c r="V810" s="799"/>
      <c r="W810" s="799"/>
      <c r="X810" s="799"/>
      <c r="Y810" s="799"/>
      <c r="Z810" s="799"/>
      <c r="AA810" s="799"/>
      <c r="AB810" s="799"/>
      <c r="AC810" s="799"/>
      <c r="AD810" s="799"/>
      <c r="AE810" s="799"/>
      <c r="AF810" s="799"/>
      <c r="AG810" s="799"/>
      <c r="AH810" s="799"/>
      <c r="AI810" s="799"/>
      <c r="AJ810" s="799"/>
      <c r="AK810" s="799"/>
      <c r="AL810" s="799"/>
      <c r="AM810" s="799"/>
      <c r="AN810" s="799"/>
      <c r="AO810" s="799"/>
      <c r="AP810" s="799"/>
      <c r="AQ810" s="799"/>
      <c r="AR810" s="799"/>
      <c r="AS810" s="799"/>
      <c r="AT810" s="799"/>
      <c r="AU810" s="799"/>
      <c r="AV810" s="799"/>
      <c r="AW810" s="799"/>
      <c r="AX810" s="799"/>
      <c r="AY810" s="799"/>
      <c r="AZ810" s="799"/>
      <c r="BA810" s="799"/>
      <c r="BB810" s="799"/>
      <c r="BC810" s="799"/>
      <c r="BD810" s="799"/>
      <c r="BE810" s="799"/>
      <c r="BF810" s="799"/>
      <c r="BG810" s="799"/>
    </row>
    <row r="811">
      <c r="H811" s="799"/>
      <c r="I811" s="799"/>
      <c r="J811" s="799"/>
      <c r="K811" s="799"/>
      <c r="L811" s="799"/>
      <c r="M811" s="799"/>
      <c r="N811" s="799"/>
      <c r="O811" s="799"/>
      <c r="P811" s="799"/>
      <c r="Q811" s="799"/>
      <c r="R811" s="799"/>
      <c r="S811" s="799"/>
      <c r="T811" s="799"/>
      <c r="U811" s="799"/>
      <c r="V811" s="799"/>
      <c r="W811" s="799"/>
      <c r="X811" s="799"/>
      <c r="Y811" s="799"/>
      <c r="Z811" s="799"/>
      <c r="AA811" s="799"/>
      <c r="AB811" s="799"/>
      <c r="AC811" s="799"/>
      <c r="AD811" s="799"/>
      <c r="AE811" s="799"/>
      <c r="AF811" s="799"/>
      <c r="AG811" s="799"/>
      <c r="AH811" s="799"/>
      <c r="AI811" s="799"/>
      <c r="AJ811" s="799"/>
      <c r="AK811" s="799"/>
      <c r="AL811" s="799"/>
      <c r="AM811" s="799"/>
      <c r="AN811" s="799"/>
      <c r="AO811" s="799"/>
      <c r="AP811" s="799"/>
      <c r="AQ811" s="799"/>
      <c r="AR811" s="799"/>
      <c r="AS811" s="799"/>
      <c r="AT811" s="799"/>
      <c r="AU811" s="799"/>
      <c r="AV811" s="799"/>
      <c r="AW811" s="799"/>
      <c r="AX811" s="799"/>
      <c r="AY811" s="799"/>
      <c r="AZ811" s="799"/>
      <c r="BA811" s="799"/>
      <c r="BB811" s="799"/>
      <c r="BC811" s="799"/>
      <c r="BD811" s="799"/>
      <c r="BE811" s="799"/>
      <c r="BF811" s="799"/>
      <c r="BG811" s="799"/>
    </row>
    <row r="812">
      <c r="H812" s="799"/>
      <c r="I812" s="799"/>
      <c r="J812" s="799"/>
      <c r="K812" s="799"/>
      <c r="L812" s="799"/>
      <c r="M812" s="799"/>
      <c r="N812" s="799"/>
      <c r="O812" s="799"/>
      <c r="P812" s="799"/>
      <c r="Q812" s="799"/>
      <c r="R812" s="799"/>
      <c r="S812" s="799"/>
      <c r="T812" s="799"/>
      <c r="U812" s="799"/>
      <c r="V812" s="799"/>
      <c r="W812" s="799"/>
      <c r="X812" s="799"/>
      <c r="Y812" s="799"/>
      <c r="Z812" s="799"/>
      <c r="AA812" s="799"/>
      <c r="AB812" s="799"/>
      <c r="AC812" s="799"/>
      <c r="AD812" s="799"/>
      <c r="AE812" s="799"/>
      <c r="AF812" s="799"/>
      <c r="AG812" s="799"/>
      <c r="AH812" s="799"/>
      <c r="AI812" s="799"/>
      <c r="AJ812" s="799"/>
      <c r="AK812" s="799"/>
      <c r="AL812" s="799"/>
      <c r="AM812" s="799"/>
      <c r="AN812" s="799"/>
      <c r="AO812" s="799"/>
      <c r="AP812" s="799"/>
      <c r="AQ812" s="799"/>
      <c r="AR812" s="799"/>
      <c r="AS812" s="799"/>
      <c r="AT812" s="799"/>
      <c r="AU812" s="799"/>
      <c r="AV812" s="799"/>
      <c r="AW812" s="799"/>
      <c r="AX812" s="799"/>
      <c r="AY812" s="799"/>
      <c r="AZ812" s="799"/>
      <c r="BA812" s="799"/>
      <c r="BB812" s="799"/>
      <c r="BC812" s="799"/>
      <c r="BD812" s="799"/>
      <c r="BE812" s="799"/>
      <c r="BF812" s="799"/>
      <c r="BG812" s="799"/>
    </row>
    <row r="813">
      <c r="H813" s="799"/>
      <c r="I813" s="799"/>
      <c r="J813" s="799"/>
      <c r="K813" s="799"/>
      <c r="L813" s="799"/>
      <c r="M813" s="799"/>
      <c r="N813" s="799"/>
      <c r="O813" s="799"/>
      <c r="P813" s="799"/>
      <c r="Q813" s="799"/>
      <c r="R813" s="799"/>
      <c r="S813" s="799"/>
      <c r="T813" s="799"/>
      <c r="U813" s="799"/>
      <c r="V813" s="799"/>
      <c r="W813" s="799"/>
      <c r="X813" s="799"/>
      <c r="Y813" s="799"/>
      <c r="Z813" s="799"/>
      <c r="AA813" s="799"/>
      <c r="AB813" s="799"/>
      <c r="AC813" s="799"/>
      <c r="AD813" s="799"/>
      <c r="AE813" s="799"/>
      <c r="AF813" s="799"/>
      <c r="AG813" s="799"/>
      <c r="AH813" s="799"/>
      <c r="AI813" s="799"/>
      <c r="AJ813" s="799"/>
      <c r="AK813" s="799"/>
      <c r="AL813" s="799"/>
      <c r="AM813" s="799"/>
      <c r="AN813" s="799"/>
      <c r="AO813" s="799"/>
      <c r="AP813" s="799"/>
      <c r="AQ813" s="799"/>
      <c r="AR813" s="799"/>
      <c r="AS813" s="799"/>
      <c r="AT813" s="799"/>
      <c r="AU813" s="799"/>
      <c r="AV813" s="799"/>
      <c r="AW813" s="799"/>
      <c r="AX813" s="799"/>
      <c r="AY813" s="799"/>
      <c r="AZ813" s="799"/>
      <c r="BA813" s="799"/>
      <c r="BB813" s="799"/>
      <c r="BC813" s="799"/>
      <c r="BD813" s="799"/>
      <c r="BE813" s="799"/>
      <c r="BF813" s="799"/>
      <c r="BG813" s="799"/>
    </row>
    <row r="814">
      <c r="H814" s="799"/>
      <c r="I814" s="799"/>
      <c r="J814" s="799"/>
      <c r="K814" s="799"/>
      <c r="L814" s="799"/>
      <c r="M814" s="799"/>
      <c r="N814" s="799"/>
      <c r="O814" s="799"/>
      <c r="P814" s="799"/>
      <c r="Q814" s="799"/>
      <c r="R814" s="799"/>
      <c r="S814" s="799"/>
      <c r="T814" s="799"/>
      <c r="U814" s="799"/>
      <c r="V814" s="799"/>
      <c r="W814" s="799"/>
      <c r="X814" s="799"/>
      <c r="Y814" s="799"/>
      <c r="Z814" s="799"/>
      <c r="AA814" s="799"/>
      <c r="AB814" s="799"/>
      <c r="AC814" s="799"/>
      <c r="AD814" s="799"/>
      <c r="AE814" s="799"/>
      <c r="AF814" s="799"/>
      <c r="AG814" s="799"/>
      <c r="AH814" s="799"/>
      <c r="AI814" s="799"/>
      <c r="AJ814" s="799"/>
      <c r="AK814" s="799"/>
      <c r="AL814" s="799"/>
      <c r="AM814" s="799"/>
      <c r="AN814" s="799"/>
      <c r="AO814" s="799"/>
      <c r="AP814" s="799"/>
      <c r="AQ814" s="799"/>
      <c r="AR814" s="799"/>
      <c r="AS814" s="799"/>
      <c r="AT814" s="799"/>
      <c r="AU814" s="799"/>
      <c r="AV814" s="799"/>
      <c r="AW814" s="799"/>
      <c r="AX814" s="799"/>
      <c r="AY814" s="799"/>
      <c r="AZ814" s="799"/>
      <c r="BA814" s="799"/>
      <c r="BB814" s="799"/>
      <c r="BC814" s="799"/>
      <c r="BD814" s="799"/>
      <c r="BE814" s="799"/>
      <c r="BF814" s="799"/>
      <c r="BG814" s="799"/>
    </row>
    <row r="815">
      <c r="H815" s="799"/>
      <c r="I815" s="799"/>
      <c r="J815" s="799"/>
      <c r="K815" s="799"/>
      <c r="L815" s="799"/>
      <c r="M815" s="799"/>
      <c r="N815" s="799"/>
      <c r="O815" s="799"/>
      <c r="P815" s="799"/>
      <c r="Q815" s="799"/>
      <c r="R815" s="799"/>
      <c r="S815" s="799"/>
      <c r="T815" s="799"/>
      <c r="U815" s="799"/>
      <c r="V815" s="799"/>
      <c r="W815" s="799"/>
      <c r="X815" s="799"/>
      <c r="Y815" s="799"/>
      <c r="Z815" s="799"/>
      <c r="AA815" s="799"/>
      <c r="AB815" s="799"/>
      <c r="AC815" s="799"/>
      <c r="AD815" s="799"/>
      <c r="AE815" s="799"/>
      <c r="AF815" s="799"/>
      <c r="AG815" s="799"/>
      <c r="AH815" s="799"/>
      <c r="AI815" s="799"/>
      <c r="AJ815" s="799"/>
      <c r="AK815" s="799"/>
      <c r="AL815" s="799"/>
      <c r="AM815" s="799"/>
      <c r="AN815" s="799"/>
      <c r="AO815" s="799"/>
      <c r="AP815" s="799"/>
      <c r="AQ815" s="799"/>
      <c r="AR815" s="799"/>
      <c r="AS815" s="799"/>
      <c r="AT815" s="799"/>
      <c r="AU815" s="799"/>
      <c r="AV815" s="799"/>
      <c r="AW815" s="799"/>
      <c r="AX815" s="799"/>
      <c r="AY815" s="799"/>
      <c r="AZ815" s="799"/>
      <c r="BA815" s="799"/>
      <c r="BB815" s="799"/>
      <c r="BC815" s="799"/>
      <c r="BD815" s="799"/>
      <c r="BE815" s="799"/>
      <c r="BF815" s="799"/>
      <c r="BG815" s="799"/>
    </row>
    <row r="816">
      <c r="H816" s="799"/>
      <c r="I816" s="799"/>
      <c r="J816" s="799"/>
      <c r="K816" s="799"/>
      <c r="L816" s="799"/>
      <c r="M816" s="799"/>
      <c r="N816" s="799"/>
      <c r="O816" s="799"/>
      <c r="P816" s="799"/>
      <c r="Q816" s="799"/>
      <c r="R816" s="799"/>
      <c r="S816" s="799"/>
      <c r="T816" s="799"/>
      <c r="U816" s="799"/>
      <c r="V816" s="799"/>
      <c r="W816" s="799"/>
      <c r="X816" s="799"/>
      <c r="Y816" s="799"/>
      <c r="Z816" s="799"/>
      <c r="AA816" s="799"/>
      <c r="AB816" s="799"/>
      <c r="AC816" s="799"/>
      <c r="AD816" s="799"/>
      <c r="AE816" s="799"/>
      <c r="AF816" s="799"/>
      <c r="AG816" s="799"/>
      <c r="AH816" s="799"/>
      <c r="AI816" s="799"/>
      <c r="AJ816" s="799"/>
      <c r="AK816" s="799"/>
      <c r="AL816" s="799"/>
      <c r="AM816" s="799"/>
      <c r="AN816" s="799"/>
      <c r="AO816" s="799"/>
      <c r="AP816" s="799"/>
      <c r="AQ816" s="799"/>
      <c r="AR816" s="799"/>
      <c r="AS816" s="799"/>
      <c r="AT816" s="799"/>
      <c r="AU816" s="799"/>
      <c r="AV816" s="799"/>
      <c r="AW816" s="799"/>
      <c r="AX816" s="799"/>
      <c r="AY816" s="799"/>
      <c r="AZ816" s="799"/>
      <c r="BA816" s="799"/>
      <c r="BB816" s="799"/>
      <c r="BC816" s="799"/>
      <c r="BD816" s="799"/>
      <c r="BE816" s="799"/>
      <c r="BF816" s="799"/>
      <c r="BG816" s="799"/>
    </row>
    <row r="817">
      <c r="H817" s="799"/>
      <c r="I817" s="799"/>
      <c r="J817" s="799"/>
      <c r="K817" s="799"/>
      <c r="L817" s="799"/>
      <c r="M817" s="799"/>
      <c r="N817" s="799"/>
      <c r="O817" s="799"/>
      <c r="P817" s="799"/>
      <c r="Q817" s="799"/>
      <c r="R817" s="799"/>
      <c r="S817" s="799"/>
      <c r="T817" s="799"/>
      <c r="U817" s="799"/>
      <c r="V817" s="799"/>
      <c r="W817" s="799"/>
      <c r="X817" s="799"/>
      <c r="Y817" s="799"/>
      <c r="Z817" s="799"/>
      <c r="AA817" s="799"/>
      <c r="AB817" s="799"/>
      <c r="AC817" s="799"/>
      <c r="AD817" s="799"/>
      <c r="AE817" s="799"/>
      <c r="AF817" s="799"/>
      <c r="AG817" s="799"/>
      <c r="AH817" s="799"/>
      <c r="AI817" s="799"/>
      <c r="AJ817" s="799"/>
      <c r="AK817" s="799"/>
      <c r="AL817" s="799"/>
      <c r="AM817" s="799"/>
      <c r="AN817" s="799"/>
      <c r="AO817" s="799"/>
      <c r="AP817" s="799"/>
      <c r="AQ817" s="799"/>
      <c r="AR817" s="799"/>
      <c r="AS817" s="799"/>
      <c r="AT817" s="799"/>
      <c r="AU817" s="799"/>
      <c r="AV817" s="799"/>
      <c r="AW817" s="799"/>
      <c r="AX817" s="799"/>
      <c r="AY817" s="799"/>
      <c r="AZ817" s="799"/>
      <c r="BA817" s="799"/>
      <c r="BB817" s="799"/>
      <c r="BC817" s="799"/>
      <c r="BD817" s="799"/>
      <c r="BE817" s="799"/>
      <c r="BF817" s="799"/>
      <c r="BG817" s="799"/>
    </row>
    <row r="818">
      <c r="H818" s="799"/>
      <c r="I818" s="799"/>
      <c r="J818" s="799"/>
      <c r="K818" s="799"/>
      <c r="L818" s="799"/>
      <c r="M818" s="799"/>
      <c r="N818" s="799"/>
      <c r="O818" s="799"/>
      <c r="P818" s="799"/>
      <c r="Q818" s="799"/>
      <c r="R818" s="799"/>
      <c r="S818" s="799"/>
      <c r="T818" s="799"/>
      <c r="U818" s="799"/>
      <c r="V818" s="799"/>
      <c r="W818" s="799"/>
      <c r="X818" s="799"/>
      <c r="Y818" s="799"/>
      <c r="Z818" s="799"/>
      <c r="AA818" s="799"/>
      <c r="AB818" s="799"/>
      <c r="AC818" s="799"/>
      <c r="AD818" s="799"/>
      <c r="AE818" s="799"/>
      <c r="AF818" s="799"/>
      <c r="AG818" s="799"/>
      <c r="AH818" s="799"/>
      <c r="AI818" s="799"/>
      <c r="AJ818" s="799"/>
      <c r="AK818" s="799"/>
      <c r="AL818" s="799"/>
      <c r="AM818" s="799"/>
      <c r="AN818" s="799"/>
      <c r="AO818" s="799"/>
      <c r="AP818" s="799"/>
      <c r="AQ818" s="799"/>
      <c r="AR818" s="799"/>
      <c r="AS818" s="799"/>
      <c r="AT818" s="799"/>
      <c r="AU818" s="799"/>
      <c r="AV818" s="799"/>
      <c r="AW818" s="799"/>
      <c r="AX818" s="799"/>
      <c r="AY818" s="799"/>
      <c r="AZ818" s="799"/>
      <c r="BA818" s="799"/>
      <c r="BB818" s="799"/>
      <c r="BC818" s="799"/>
      <c r="BD818" s="799"/>
      <c r="BE818" s="799"/>
      <c r="BF818" s="799"/>
      <c r="BG818" s="799"/>
    </row>
    <row r="819">
      <c r="H819" s="799"/>
      <c r="I819" s="799"/>
      <c r="J819" s="799"/>
      <c r="K819" s="799"/>
      <c r="L819" s="799"/>
      <c r="M819" s="799"/>
      <c r="N819" s="799"/>
      <c r="O819" s="799"/>
      <c r="P819" s="799"/>
      <c r="Q819" s="799"/>
      <c r="R819" s="799"/>
      <c r="S819" s="799"/>
      <c r="T819" s="799"/>
      <c r="U819" s="799"/>
      <c r="V819" s="799"/>
      <c r="W819" s="799"/>
      <c r="X819" s="799"/>
      <c r="Y819" s="799"/>
      <c r="Z819" s="799"/>
      <c r="AA819" s="799"/>
      <c r="AB819" s="799"/>
      <c r="AC819" s="799"/>
      <c r="AD819" s="799"/>
      <c r="AE819" s="799"/>
      <c r="AF819" s="799"/>
      <c r="AG819" s="799"/>
      <c r="AH819" s="799"/>
      <c r="AI819" s="799"/>
      <c r="AJ819" s="799"/>
      <c r="AK819" s="799"/>
      <c r="AL819" s="799"/>
      <c r="AM819" s="799"/>
      <c r="AN819" s="799"/>
      <c r="AO819" s="799"/>
      <c r="AP819" s="799"/>
      <c r="AQ819" s="799"/>
      <c r="AR819" s="799"/>
      <c r="AS819" s="799"/>
      <c r="AT819" s="799"/>
      <c r="AU819" s="799"/>
      <c r="AV819" s="799"/>
      <c r="AW819" s="799"/>
      <c r="AX819" s="799"/>
      <c r="AY819" s="799"/>
      <c r="AZ819" s="799"/>
      <c r="BA819" s="799"/>
      <c r="BB819" s="799"/>
      <c r="BC819" s="799"/>
      <c r="BD819" s="799"/>
      <c r="BE819" s="799"/>
      <c r="BF819" s="799"/>
      <c r="BG819" s="799"/>
    </row>
    <row r="820">
      <c r="H820" s="799"/>
      <c r="I820" s="799"/>
      <c r="J820" s="799"/>
      <c r="K820" s="799"/>
      <c r="L820" s="799"/>
      <c r="M820" s="799"/>
      <c r="N820" s="799"/>
      <c r="O820" s="799"/>
      <c r="P820" s="799"/>
      <c r="Q820" s="799"/>
      <c r="R820" s="799"/>
      <c r="S820" s="799"/>
      <c r="T820" s="799"/>
      <c r="U820" s="799"/>
      <c r="V820" s="799"/>
      <c r="W820" s="799"/>
      <c r="X820" s="799"/>
      <c r="Y820" s="799"/>
      <c r="Z820" s="799"/>
      <c r="AA820" s="799"/>
      <c r="AB820" s="799"/>
      <c r="AC820" s="799"/>
      <c r="AD820" s="799"/>
      <c r="AE820" s="799"/>
      <c r="AF820" s="799"/>
      <c r="AG820" s="799"/>
      <c r="AH820" s="799"/>
      <c r="AI820" s="799"/>
      <c r="AJ820" s="799"/>
      <c r="AK820" s="799"/>
      <c r="AL820" s="799"/>
      <c r="AM820" s="799"/>
      <c r="AN820" s="799"/>
      <c r="AO820" s="799"/>
      <c r="AP820" s="799"/>
      <c r="AQ820" s="799"/>
      <c r="AR820" s="799"/>
      <c r="AS820" s="799"/>
      <c r="AT820" s="799"/>
      <c r="AU820" s="799"/>
      <c r="AV820" s="799"/>
      <c r="AW820" s="799"/>
      <c r="AX820" s="799"/>
      <c r="AY820" s="799"/>
      <c r="AZ820" s="799"/>
      <c r="BA820" s="799"/>
      <c r="BB820" s="799"/>
      <c r="BC820" s="799"/>
      <c r="BD820" s="799"/>
      <c r="BE820" s="799"/>
      <c r="BF820" s="799"/>
      <c r="BG820" s="799"/>
    </row>
    <row r="821">
      <c r="H821" s="799"/>
      <c r="I821" s="799"/>
      <c r="J821" s="799"/>
      <c r="K821" s="799"/>
      <c r="L821" s="799"/>
      <c r="M821" s="799"/>
      <c r="N821" s="799"/>
      <c r="O821" s="799"/>
      <c r="P821" s="799"/>
      <c r="Q821" s="799"/>
      <c r="R821" s="799"/>
      <c r="S821" s="799"/>
      <c r="T821" s="799"/>
      <c r="U821" s="799"/>
      <c r="V821" s="799"/>
      <c r="W821" s="799"/>
      <c r="X821" s="799"/>
      <c r="Y821" s="799"/>
      <c r="Z821" s="799"/>
      <c r="AA821" s="799"/>
      <c r="AB821" s="799"/>
      <c r="AC821" s="799"/>
      <c r="AD821" s="799"/>
      <c r="AE821" s="799"/>
      <c r="AF821" s="799"/>
      <c r="AG821" s="799"/>
      <c r="AH821" s="799"/>
      <c r="AI821" s="799"/>
      <c r="AJ821" s="799"/>
      <c r="AK821" s="799"/>
      <c r="AL821" s="799"/>
      <c r="AM821" s="799"/>
      <c r="AN821" s="799"/>
      <c r="AO821" s="799"/>
      <c r="AP821" s="799"/>
      <c r="AQ821" s="799"/>
      <c r="AR821" s="799"/>
      <c r="AS821" s="799"/>
      <c r="AT821" s="799"/>
      <c r="AU821" s="799"/>
      <c r="AV821" s="799"/>
      <c r="AW821" s="799"/>
      <c r="AX821" s="799"/>
      <c r="AY821" s="799"/>
      <c r="AZ821" s="799"/>
      <c r="BA821" s="799"/>
      <c r="BB821" s="799"/>
      <c r="BC821" s="799"/>
      <c r="BD821" s="799"/>
      <c r="BE821" s="799"/>
      <c r="BF821" s="799"/>
      <c r="BG821" s="799"/>
    </row>
    <row r="822">
      <c r="H822" s="799"/>
      <c r="I822" s="799"/>
      <c r="J822" s="799"/>
      <c r="K822" s="799"/>
      <c r="L822" s="799"/>
      <c r="M822" s="799"/>
      <c r="N822" s="799"/>
      <c r="O822" s="799"/>
      <c r="P822" s="799"/>
      <c r="Q822" s="799"/>
      <c r="R822" s="799"/>
      <c r="S822" s="799"/>
      <c r="T822" s="799"/>
      <c r="U822" s="799"/>
      <c r="V822" s="799"/>
      <c r="W822" s="799"/>
      <c r="X822" s="799"/>
      <c r="Y822" s="799"/>
      <c r="Z822" s="799"/>
      <c r="AA822" s="799"/>
      <c r="AB822" s="799"/>
      <c r="AC822" s="799"/>
      <c r="AD822" s="799"/>
      <c r="AE822" s="799"/>
      <c r="AF822" s="799"/>
      <c r="AG822" s="799"/>
      <c r="AH822" s="799"/>
      <c r="AI822" s="799"/>
      <c r="AJ822" s="799"/>
      <c r="AK822" s="799"/>
      <c r="AL822" s="799"/>
      <c r="AM822" s="799"/>
      <c r="AN822" s="799"/>
      <c r="AO822" s="799"/>
      <c r="AP822" s="799"/>
      <c r="AQ822" s="799"/>
      <c r="AR822" s="799"/>
      <c r="AS822" s="799"/>
      <c r="AT822" s="799"/>
      <c r="AU822" s="799"/>
      <c r="AV822" s="799"/>
      <c r="AW822" s="799"/>
      <c r="AX822" s="799"/>
      <c r="AY822" s="799"/>
      <c r="AZ822" s="799"/>
      <c r="BA822" s="799"/>
      <c r="BB822" s="799"/>
      <c r="BC822" s="799"/>
      <c r="BD822" s="799"/>
      <c r="BE822" s="799"/>
      <c r="BF822" s="799"/>
      <c r="BG822" s="799"/>
    </row>
    <row r="823">
      <c r="H823" s="799"/>
      <c r="I823" s="799"/>
      <c r="J823" s="799"/>
      <c r="K823" s="799"/>
      <c r="L823" s="799"/>
      <c r="M823" s="799"/>
      <c r="N823" s="799"/>
      <c r="O823" s="799"/>
      <c r="P823" s="799"/>
      <c r="Q823" s="799"/>
      <c r="R823" s="799"/>
      <c r="S823" s="799"/>
      <c r="T823" s="799"/>
      <c r="U823" s="799"/>
      <c r="V823" s="799"/>
      <c r="W823" s="799"/>
      <c r="X823" s="799"/>
      <c r="Y823" s="799"/>
      <c r="Z823" s="799"/>
      <c r="AA823" s="799"/>
      <c r="AB823" s="799"/>
      <c r="AC823" s="799"/>
      <c r="AD823" s="799"/>
      <c r="AE823" s="799"/>
      <c r="AF823" s="799"/>
      <c r="AG823" s="799"/>
      <c r="AH823" s="799"/>
      <c r="AI823" s="799"/>
      <c r="AJ823" s="799"/>
      <c r="AK823" s="799"/>
      <c r="AL823" s="799"/>
      <c r="AM823" s="799"/>
      <c r="AN823" s="799"/>
      <c r="AO823" s="799"/>
      <c r="AP823" s="799"/>
      <c r="AQ823" s="799"/>
      <c r="AR823" s="799"/>
      <c r="AS823" s="799"/>
      <c r="AT823" s="799"/>
      <c r="AU823" s="799"/>
      <c r="AV823" s="799"/>
      <c r="AW823" s="799"/>
      <c r="AX823" s="799"/>
      <c r="AY823" s="799"/>
      <c r="AZ823" s="799"/>
      <c r="BA823" s="799"/>
      <c r="BB823" s="799"/>
      <c r="BC823" s="799"/>
      <c r="BD823" s="799"/>
      <c r="BE823" s="799"/>
      <c r="BF823" s="799"/>
      <c r="BG823" s="799"/>
    </row>
    <row r="824">
      <c r="H824" s="799"/>
      <c r="I824" s="799"/>
      <c r="J824" s="799"/>
      <c r="K824" s="799"/>
      <c r="L824" s="799"/>
      <c r="M824" s="799"/>
      <c r="N824" s="799"/>
      <c r="O824" s="799"/>
      <c r="P824" s="799"/>
      <c r="Q824" s="799"/>
      <c r="R824" s="799"/>
      <c r="S824" s="799"/>
      <c r="T824" s="799"/>
      <c r="U824" s="799"/>
      <c r="V824" s="799"/>
      <c r="W824" s="799"/>
      <c r="X824" s="799"/>
      <c r="Y824" s="799"/>
      <c r="Z824" s="799"/>
      <c r="AA824" s="799"/>
      <c r="AB824" s="799"/>
      <c r="AC824" s="799"/>
      <c r="AD824" s="799"/>
      <c r="AE824" s="799"/>
      <c r="AF824" s="799"/>
      <c r="AG824" s="799"/>
      <c r="AH824" s="799"/>
      <c r="AI824" s="799"/>
      <c r="AJ824" s="799"/>
      <c r="AK824" s="799"/>
      <c r="AL824" s="799"/>
      <c r="AM824" s="799"/>
      <c r="AN824" s="799"/>
      <c r="AO824" s="799"/>
      <c r="AP824" s="799"/>
      <c r="AQ824" s="799"/>
      <c r="AR824" s="799"/>
      <c r="AS824" s="799"/>
      <c r="AT824" s="799"/>
      <c r="AU824" s="799"/>
      <c r="AV824" s="799"/>
      <c r="AW824" s="799"/>
      <c r="AX824" s="799"/>
      <c r="AY824" s="799"/>
      <c r="AZ824" s="799"/>
      <c r="BA824" s="799"/>
      <c r="BB824" s="799"/>
      <c r="BC824" s="799"/>
      <c r="BD824" s="799"/>
      <c r="BE824" s="799"/>
      <c r="BF824" s="799"/>
      <c r="BG824" s="799"/>
    </row>
    <row r="825">
      <c r="H825" s="799"/>
      <c r="I825" s="799"/>
      <c r="J825" s="799"/>
      <c r="K825" s="799"/>
      <c r="L825" s="799"/>
      <c r="M825" s="799"/>
      <c r="N825" s="799"/>
      <c r="O825" s="799"/>
      <c r="P825" s="799"/>
      <c r="Q825" s="799"/>
      <c r="R825" s="799"/>
      <c r="S825" s="799"/>
      <c r="T825" s="799"/>
      <c r="U825" s="799"/>
      <c r="V825" s="799"/>
      <c r="W825" s="799"/>
      <c r="X825" s="799"/>
      <c r="Y825" s="799"/>
      <c r="Z825" s="799"/>
      <c r="AA825" s="799"/>
      <c r="AB825" s="799"/>
      <c r="AC825" s="799"/>
      <c r="AD825" s="799"/>
      <c r="AE825" s="799"/>
      <c r="AF825" s="799"/>
      <c r="AG825" s="799"/>
      <c r="AH825" s="799"/>
      <c r="AI825" s="799"/>
      <c r="AJ825" s="799"/>
      <c r="AK825" s="799"/>
      <c r="AL825" s="799"/>
      <c r="AM825" s="799"/>
      <c r="AN825" s="799"/>
      <c r="AO825" s="799"/>
      <c r="AP825" s="799"/>
      <c r="AQ825" s="799"/>
      <c r="AR825" s="799"/>
      <c r="AS825" s="799"/>
      <c r="AT825" s="799"/>
      <c r="AU825" s="799"/>
      <c r="AV825" s="799"/>
      <c r="AW825" s="799"/>
      <c r="AX825" s="799"/>
      <c r="AY825" s="799"/>
      <c r="AZ825" s="799"/>
      <c r="BA825" s="799"/>
      <c r="BB825" s="799"/>
      <c r="BC825" s="799"/>
      <c r="BD825" s="799"/>
      <c r="BE825" s="799"/>
      <c r="BF825" s="799"/>
      <c r="BG825" s="799"/>
    </row>
    <row r="826">
      <c r="H826" s="799"/>
      <c r="I826" s="799"/>
      <c r="J826" s="799"/>
      <c r="K826" s="799"/>
      <c r="L826" s="799"/>
      <c r="M826" s="799"/>
      <c r="N826" s="799"/>
      <c r="O826" s="799"/>
      <c r="P826" s="799"/>
      <c r="Q826" s="799"/>
      <c r="R826" s="799"/>
      <c r="S826" s="799"/>
      <c r="T826" s="799"/>
      <c r="U826" s="799"/>
      <c r="V826" s="799"/>
      <c r="W826" s="799"/>
      <c r="X826" s="799"/>
      <c r="Y826" s="799"/>
      <c r="Z826" s="799"/>
      <c r="AA826" s="799"/>
      <c r="AB826" s="799"/>
      <c r="AC826" s="799"/>
      <c r="AD826" s="799"/>
      <c r="AE826" s="799"/>
      <c r="AF826" s="799"/>
      <c r="AG826" s="799"/>
      <c r="AH826" s="799"/>
      <c r="AI826" s="799"/>
      <c r="AJ826" s="799"/>
      <c r="AK826" s="799"/>
      <c r="AL826" s="799"/>
      <c r="AM826" s="799"/>
      <c r="AN826" s="799"/>
      <c r="AO826" s="799"/>
      <c r="AP826" s="799"/>
      <c r="AQ826" s="799"/>
      <c r="AR826" s="799"/>
      <c r="AS826" s="799"/>
      <c r="AT826" s="799"/>
      <c r="AU826" s="799"/>
      <c r="AV826" s="799"/>
      <c r="AW826" s="799"/>
      <c r="AX826" s="799"/>
      <c r="AY826" s="799"/>
      <c r="AZ826" s="799"/>
      <c r="BA826" s="799"/>
      <c r="BB826" s="799"/>
      <c r="BC826" s="799"/>
      <c r="BD826" s="799"/>
      <c r="BE826" s="799"/>
      <c r="BF826" s="799"/>
      <c r="BG826" s="799"/>
    </row>
    <row r="827">
      <c r="H827" s="799"/>
      <c r="I827" s="799"/>
      <c r="J827" s="799"/>
      <c r="K827" s="799"/>
      <c r="L827" s="799"/>
      <c r="M827" s="799"/>
      <c r="N827" s="799"/>
      <c r="O827" s="799"/>
      <c r="P827" s="799"/>
      <c r="Q827" s="799"/>
      <c r="R827" s="799"/>
      <c r="S827" s="799"/>
      <c r="T827" s="799"/>
      <c r="U827" s="799"/>
      <c r="V827" s="799"/>
      <c r="W827" s="799"/>
      <c r="X827" s="799"/>
      <c r="Y827" s="799"/>
      <c r="Z827" s="799"/>
      <c r="AA827" s="799"/>
      <c r="AB827" s="799"/>
      <c r="AC827" s="799"/>
      <c r="AD827" s="799"/>
      <c r="AE827" s="799"/>
      <c r="AF827" s="799"/>
      <c r="AG827" s="799"/>
      <c r="AH827" s="799"/>
      <c r="AI827" s="799"/>
      <c r="AJ827" s="799"/>
      <c r="AK827" s="799"/>
      <c r="AL827" s="799"/>
      <c r="AM827" s="799"/>
      <c r="AN827" s="799"/>
      <c r="AO827" s="799"/>
      <c r="AP827" s="799"/>
      <c r="AQ827" s="799"/>
      <c r="AR827" s="799"/>
      <c r="AS827" s="799"/>
      <c r="AT827" s="799"/>
      <c r="AU827" s="799"/>
      <c r="AV827" s="799"/>
      <c r="AW827" s="799"/>
      <c r="AX827" s="799"/>
      <c r="AY827" s="799"/>
      <c r="AZ827" s="799"/>
      <c r="BA827" s="799"/>
      <c r="BB827" s="799"/>
      <c r="BC827" s="799"/>
      <c r="BD827" s="799"/>
      <c r="BE827" s="799"/>
      <c r="BF827" s="799"/>
      <c r="BG827" s="799"/>
    </row>
    <row r="828">
      <c r="H828" s="799"/>
      <c r="I828" s="799"/>
      <c r="J828" s="799"/>
      <c r="K828" s="799"/>
      <c r="L828" s="799"/>
      <c r="M828" s="799"/>
      <c r="N828" s="799"/>
      <c r="O828" s="799"/>
      <c r="P828" s="799"/>
      <c r="Q828" s="799"/>
      <c r="R828" s="799"/>
      <c r="S828" s="799"/>
      <c r="T828" s="799"/>
      <c r="U828" s="799"/>
      <c r="V828" s="799"/>
      <c r="W828" s="799"/>
      <c r="X828" s="799"/>
      <c r="Y828" s="799"/>
      <c r="Z828" s="799"/>
      <c r="AA828" s="799"/>
      <c r="AB828" s="799"/>
      <c r="AC828" s="799"/>
      <c r="AD828" s="799"/>
      <c r="AE828" s="799"/>
      <c r="AF828" s="799"/>
      <c r="AG828" s="799"/>
      <c r="AH828" s="799"/>
      <c r="AI828" s="799"/>
      <c r="AJ828" s="799"/>
      <c r="AK828" s="799"/>
      <c r="AL828" s="799"/>
      <c r="AM828" s="799"/>
      <c r="AN828" s="799"/>
      <c r="AO828" s="799"/>
      <c r="AP828" s="799"/>
      <c r="AQ828" s="799"/>
      <c r="AR828" s="799"/>
      <c r="AS828" s="799"/>
      <c r="AT828" s="799"/>
      <c r="AU828" s="799"/>
      <c r="AV828" s="799"/>
      <c r="AW828" s="799"/>
      <c r="AX828" s="799"/>
      <c r="AY828" s="799"/>
      <c r="AZ828" s="799"/>
      <c r="BA828" s="799"/>
      <c r="BB828" s="799"/>
      <c r="BC828" s="799"/>
      <c r="BD828" s="799"/>
      <c r="BE828" s="799"/>
      <c r="BF828" s="799"/>
      <c r="BG828" s="799"/>
    </row>
    <row r="829">
      <c r="H829" s="799"/>
      <c r="I829" s="799"/>
      <c r="J829" s="799"/>
      <c r="K829" s="799"/>
      <c r="L829" s="799"/>
      <c r="M829" s="799"/>
      <c r="N829" s="799"/>
      <c r="O829" s="799"/>
      <c r="P829" s="799"/>
      <c r="Q829" s="799"/>
      <c r="R829" s="799"/>
      <c r="S829" s="799"/>
      <c r="T829" s="799"/>
      <c r="U829" s="799"/>
      <c r="V829" s="799"/>
      <c r="W829" s="799"/>
      <c r="X829" s="799"/>
      <c r="Y829" s="799"/>
      <c r="Z829" s="799"/>
      <c r="AA829" s="799"/>
      <c r="AB829" s="799"/>
      <c r="AC829" s="799"/>
      <c r="AD829" s="799"/>
      <c r="AE829" s="799"/>
      <c r="AF829" s="799"/>
      <c r="AG829" s="799"/>
      <c r="AH829" s="799"/>
      <c r="AI829" s="799"/>
      <c r="AJ829" s="799"/>
      <c r="AK829" s="799"/>
      <c r="AL829" s="799"/>
      <c r="AM829" s="799"/>
      <c r="AN829" s="799"/>
      <c r="AO829" s="799"/>
      <c r="AP829" s="799"/>
      <c r="AQ829" s="799"/>
      <c r="AR829" s="799"/>
      <c r="AS829" s="799"/>
      <c r="AT829" s="799"/>
      <c r="AU829" s="799"/>
      <c r="AV829" s="799"/>
      <c r="AW829" s="799"/>
      <c r="AX829" s="799"/>
      <c r="AY829" s="799"/>
      <c r="AZ829" s="799"/>
      <c r="BA829" s="799"/>
      <c r="BB829" s="799"/>
      <c r="BC829" s="799"/>
      <c r="BD829" s="799"/>
      <c r="BE829" s="799"/>
      <c r="BF829" s="799"/>
      <c r="BG829" s="799"/>
    </row>
    <row r="830">
      <c r="H830" s="799"/>
      <c r="I830" s="799"/>
      <c r="J830" s="799"/>
      <c r="K830" s="799"/>
      <c r="L830" s="799"/>
      <c r="M830" s="799"/>
      <c r="N830" s="799"/>
      <c r="O830" s="799"/>
      <c r="P830" s="799"/>
      <c r="Q830" s="799"/>
      <c r="R830" s="799"/>
      <c r="S830" s="799"/>
      <c r="T830" s="799"/>
      <c r="U830" s="799"/>
      <c r="V830" s="799"/>
      <c r="W830" s="799"/>
      <c r="X830" s="799"/>
      <c r="Y830" s="799"/>
      <c r="Z830" s="799"/>
      <c r="AA830" s="799"/>
      <c r="AB830" s="799"/>
      <c r="AC830" s="799"/>
      <c r="AD830" s="799"/>
      <c r="AE830" s="799"/>
      <c r="AF830" s="799"/>
      <c r="AG830" s="799"/>
      <c r="AH830" s="799"/>
      <c r="AI830" s="799"/>
      <c r="AJ830" s="799"/>
      <c r="AK830" s="799"/>
      <c r="AL830" s="799"/>
      <c r="AM830" s="799"/>
      <c r="AN830" s="799"/>
      <c r="AO830" s="799"/>
      <c r="AP830" s="799"/>
      <c r="AQ830" s="799"/>
      <c r="AR830" s="799"/>
      <c r="AS830" s="799"/>
      <c r="AT830" s="799"/>
      <c r="AU830" s="799"/>
      <c r="AV830" s="799"/>
      <c r="AW830" s="799"/>
      <c r="AX830" s="799"/>
      <c r="AY830" s="799"/>
      <c r="AZ830" s="799"/>
      <c r="BA830" s="799"/>
      <c r="BB830" s="799"/>
      <c r="BC830" s="799"/>
      <c r="BD830" s="799"/>
      <c r="BE830" s="799"/>
      <c r="BF830" s="799"/>
      <c r="BG830" s="799"/>
    </row>
    <row r="831">
      <c r="H831" s="799"/>
      <c r="I831" s="799"/>
      <c r="J831" s="799"/>
      <c r="K831" s="799"/>
      <c r="L831" s="799"/>
      <c r="M831" s="799"/>
      <c r="N831" s="799"/>
      <c r="O831" s="799"/>
      <c r="P831" s="799"/>
      <c r="Q831" s="799"/>
      <c r="R831" s="799"/>
      <c r="S831" s="799"/>
      <c r="T831" s="799"/>
      <c r="U831" s="799"/>
      <c r="V831" s="799"/>
      <c r="W831" s="799"/>
      <c r="X831" s="799"/>
      <c r="Y831" s="799"/>
      <c r="Z831" s="799"/>
      <c r="AA831" s="799"/>
      <c r="AB831" s="799"/>
      <c r="AC831" s="799"/>
      <c r="AD831" s="799"/>
      <c r="AE831" s="799"/>
      <c r="AF831" s="799"/>
      <c r="AG831" s="799"/>
      <c r="AH831" s="799"/>
      <c r="AI831" s="799"/>
      <c r="AJ831" s="799"/>
      <c r="AK831" s="799"/>
      <c r="AL831" s="799"/>
      <c r="AM831" s="799"/>
      <c r="AN831" s="799"/>
      <c r="AO831" s="799"/>
      <c r="AP831" s="799"/>
      <c r="AQ831" s="799"/>
      <c r="AR831" s="799"/>
      <c r="AS831" s="799"/>
      <c r="AT831" s="799"/>
      <c r="AU831" s="799"/>
      <c r="AV831" s="799"/>
      <c r="AW831" s="799"/>
      <c r="AX831" s="799"/>
      <c r="AY831" s="799"/>
      <c r="AZ831" s="799"/>
      <c r="BA831" s="799"/>
      <c r="BB831" s="799"/>
      <c r="BC831" s="799"/>
      <c r="BD831" s="799"/>
      <c r="BE831" s="799"/>
      <c r="BF831" s="799"/>
      <c r="BG831" s="799"/>
    </row>
    <row r="832">
      <c r="H832" s="799"/>
      <c r="I832" s="799"/>
      <c r="J832" s="799"/>
      <c r="K832" s="799"/>
      <c r="L832" s="799"/>
      <c r="M832" s="799"/>
      <c r="N832" s="799"/>
      <c r="O832" s="799"/>
      <c r="P832" s="799"/>
      <c r="Q832" s="799"/>
      <c r="R832" s="799"/>
      <c r="S832" s="799"/>
      <c r="T832" s="799"/>
      <c r="U832" s="799"/>
      <c r="V832" s="799"/>
      <c r="W832" s="799"/>
      <c r="X832" s="799"/>
      <c r="Y832" s="799"/>
      <c r="Z832" s="799"/>
      <c r="AA832" s="799"/>
      <c r="AB832" s="799"/>
      <c r="AC832" s="799"/>
      <c r="AD832" s="799"/>
      <c r="AE832" s="799"/>
      <c r="AF832" s="799"/>
      <c r="AG832" s="799"/>
      <c r="AH832" s="799"/>
      <c r="AI832" s="799"/>
      <c r="AJ832" s="799"/>
      <c r="AK832" s="799"/>
      <c r="AL832" s="799"/>
      <c r="AM832" s="799"/>
      <c r="AN832" s="799"/>
      <c r="AO832" s="799"/>
      <c r="AP832" s="799"/>
      <c r="AQ832" s="799"/>
      <c r="AR832" s="799"/>
      <c r="AS832" s="799"/>
      <c r="AT832" s="799"/>
      <c r="AU832" s="799"/>
      <c r="AV832" s="799"/>
      <c r="AW832" s="799"/>
      <c r="AX832" s="799"/>
      <c r="AY832" s="799"/>
      <c r="AZ832" s="799"/>
      <c r="BA832" s="799"/>
      <c r="BB832" s="799"/>
      <c r="BC832" s="799"/>
      <c r="BD832" s="799"/>
      <c r="BE832" s="799"/>
      <c r="BF832" s="799"/>
      <c r="BG832" s="799"/>
    </row>
    <row r="833">
      <c r="H833" s="799"/>
      <c r="I833" s="799"/>
      <c r="J833" s="799"/>
      <c r="K833" s="799"/>
      <c r="L833" s="799"/>
      <c r="M833" s="799"/>
      <c r="N833" s="799"/>
      <c r="O833" s="799"/>
      <c r="P833" s="799"/>
      <c r="Q833" s="799"/>
      <c r="R833" s="799"/>
      <c r="S833" s="799"/>
      <c r="T833" s="799"/>
      <c r="U833" s="799"/>
      <c r="V833" s="799"/>
      <c r="W833" s="799"/>
      <c r="X833" s="799"/>
      <c r="Y833" s="799"/>
      <c r="Z833" s="799"/>
      <c r="AA833" s="799"/>
      <c r="AB833" s="799"/>
      <c r="AC833" s="799"/>
      <c r="AD833" s="799"/>
      <c r="AE833" s="799"/>
      <c r="AF833" s="799"/>
      <c r="AG833" s="799"/>
      <c r="AH833" s="799"/>
      <c r="AI833" s="799"/>
      <c r="AJ833" s="799"/>
      <c r="AK833" s="799"/>
      <c r="AL833" s="799"/>
      <c r="AM833" s="799"/>
      <c r="AN833" s="799"/>
      <c r="AO833" s="799"/>
      <c r="AP833" s="799"/>
      <c r="AQ833" s="799"/>
      <c r="AR833" s="799"/>
      <c r="AS833" s="799"/>
      <c r="AT833" s="799"/>
      <c r="AU833" s="799"/>
      <c r="AV833" s="799"/>
      <c r="AW833" s="799"/>
      <c r="AX833" s="799"/>
      <c r="AY833" s="799"/>
      <c r="AZ833" s="799"/>
      <c r="BA833" s="799"/>
      <c r="BB833" s="799"/>
      <c r="BC833" s="799"/>
      <c r="BD833" s="799"/>
      <c r="BE833" s="799"/>
      <c r="BF833" s="799"/>
      <c r="BG833" s="799"/>
    </row>
    <row r="834">
      <c r="H834" s="799"/>
      <c r="I834" s="799"/>
      <c r="J834" s="799"/>
      <c r="K834" s="799"/>
      <c r="L834" s="799"/>
      <c r="M834" s="799"/>
      <c r="N834" s="799"/>
      <c r="O834" s="799"/>
      <c r="P834" s="799"/>
      <c r="Q834" s="799"/>
      <c r="R834" s="799"/>
      <c r="S834" s="799"/>
      <c r="T834" s="799"/>
      <c r="U834" s="799"/>
      <c r="V834" s="799"/>
      <c r="W834" s="799"/>
      <c r="X834" s="799"/>
      <c r="Y834" s="799"/>
      <c r="Z834" s="799"/>
      <c r="AA834" s="799"/>
      <c r="AB834" s="799"/>
      <c r="AC834" s="799"/>
      <c r="AD834" s="799"/>
      <c r="AE834" s="799"/>
      <c r="AF834" s="799"/>
      <c r="AG834" s="799"/>
      <c r="AH834" s="799"/>
      <c r="AI834" s="799"/>
      <c r="AJ834" s="799"/>
      <c r="AK834" s="799"/>
      <c r="AL834" s="799"/>
      <c r="AM834" s="799"/>
      <c r="AN834" s="799"/>
      <c r="AO834" s="799"/>
      <c r="AP834" s="799"/>
      <c r="AQ834" s="799"/>
      <c r="AR834" s="799"/>
      <c r="AS834" s="799"/>
      <c r="AT834" s="799"/>
      <c r="AU834" s="799"/>
      <c r="AV834" s="799"/>
      <c r="AW834" s="799"/>
      <c r="AX834" s="799"/>
      <c r="AY834" s="799"/>
      <c r="AZ834" s="799"/>
      <c r="BA834" s="799"/>
      <c r="BB834" s="799"/>
      <c r="BC834" s="799"/>
      <c r="BD834" s="799"/>
      <c r="BE834" s="799"/>
      <c r="BF834" s="799"/>
      <c r="BG834" s="799"/>
    </row>
    <row r="835">
      <c r="H835" s="799"/>
      <c r="I835" s="799"/>
      <c r="J835" s="799"/>
      <c r="K835" s="799"/>
      <c r="L835" s="799"/>
      <c r="M835" s="799"/>
      <c r="N835" s="799"/>
      <c r="O835" s="799"/>
      <c r="P835" s="799"/>
      <c r="Q835" s="799"/>
      <c r="R835" s="799"/>
      <c r="S835" s="799"/>
      <c r="T835" s="799"/>
      <c r="U835" s="799"/>
      <c r="V835" s="799"/>
      <c r="W835" s="799"/>
      <c r="X835" s="799"/>
      <c r="Y835" s="799"/>
      <c r="Z835" s="799"/>
      <c r="AA835" s="799"/>
      <c r="AB835" s="799"/>
      <c r="AC835" s="799"/>
      <c r="AD835" s="799"/>
      <c r="AE835" s="799"/>
      <c r="AF835" s="799"/>
      <c r="AG835" s="799"/>
      <c r="AH835" s="799"/>
      <c r="AI835" s="799"/>
      <c r="AJ835" s="799"/>
      <c r="AK835" s="799"/>
      <c r="AL835" s="799"/>
      <c r="AM835" s="799"/>
      <c r="AN835" s="799"/>
      <c r="AO835" s="799"/>
      <c r="AP835" s="799"/>
      <c r="AQ835" s="799"/>
      <c r="AR835" s="799"/>
      <c r="AS835" s="799"/>
      <c r="AT835" s="799"/>
      <c r="AU835" s="799"/>
      <c r="AV835" s="799"/>
      <c r="AW835" s="799"/>
      <c r="AX835" s="799"/>
      <c r="AY835" s="799"/>
      <c r="AZ835" s="799"/>
      <c r="BA835" s="799"/>
      <c r="BB835" s="799"/>
      <c r="BC835" s="799"/>
      <c r="BD835" s="799"/>
      <c r="BE835" s="799"/>
      <c r="BF835" s="799"/>
      <c r="BG835" s="799"/>
    </row>
    <row r="836">
      <c r="H836" s="799"/>
      <c r="I836" s="799"/>
      <c r="J836" s="799"/>
      <c r="K836" s="799"/>
      <c r="L836" s="799"/>
      <c r="M836" s="799"/>
      <c r="N836" s="799"/>
      <c r="O836" s="799"/>
      <c r="P836" s="799"/>
      <c r="Q836" s="799"/>
      <c r="R836" s="799"/>
      <c r="S836" s="799"/>
      <c r="T836" s="799"/>
      <c r="U836" s="799"/>
      <c r="V836" s="799"/>
      <c r="W836" s="799"/>
      <c r="X836" s="799"/>
      <c r="Y836" s="799"/>
      <c r="Z836" s="799"/>
      <c r="AA836" s="799"/>
      <c r="AB836" s="799"/>
      <c r="AC836" s="799"/>
      <c r="AD836" s="799"/>
      <c r="AE836" s="799"/>
      <c r="AF836" s="799"/>
      <c r="AG836" s="799"/>
      <c r="AH836" s="799"/>
      <c r="AI836" s="799"/>
      <c r="AJ836" s="799"/>
      <c r="AK836" s="799"/>
      <c r="AL836" s="799"/>
      <c r="AM836" s="799"/>
      <c r="AN836" s="799"/>
      <c r="AO836" s="799"/>
      <c r="AP836" s="799"/>
      <c r="AQ836" s="799"/>
      <c r="AR836" s="799"/>
      <c r="AS836" s="799"/>
      <c r="AT836" s="799"/>
      <c r="AU836" s="799"/>
      <c r="AV836" s="799"/>
      <c r="AW836" s="799"/>
      <c r="AX836" s="799"/>
      <c r="AY836" s="799"/>
      <c r="AZ836" s="799"/>
      <c r="BA836" s="799"/>
      <c r="BB836" s="799"/>
      <c r="BC836" s="799"/>
      <c r="BD836" s="799"/>
      <c r="BE836" s="799"/>
      <c r="BF836" s="799"/>
      <c r="BG836" s="799"/>
    </row>
    <row r="837">
      <c r="H837" s="799"/>
      <c r="I837" s="799"/>
      <c r="J837" s="799"/>
      <c r="K837" s="799"/>
      <c r="L837" s="799"/>
      <c r="M837" s="799"/>
      <c r="N837" s="799"/>
      <c r="O837" s="799"/>
      <c r="P837" s="799"/>
      <c r="Q837" s="799"/>
      <c r="R837" s="799"/>
      <c r="S837" s="799"/>
      <c r="T837" s="799"/>
      <c r="U837" s="799"/>
      <c r="V837" s="799"/>
      <c r="W837" s="799"/>
      <c r="X837" s="799"/>
      <c r="Y837" s="799"/>
      <c r="Z837" s="799"/>
      <c r="AA837" s="799"/>
      <c r="AB837" s="799"/>
      <c r="AC837" s="799"/>
      <c r="AD837" s="799"/>
      <c r="AE837" s="799"/>
      <c r="AF837" s="799"/>
      <c r="AG837" s="799"/>
      <c r="AH837" s="799"/>
      <c r="AI837" s="799"/>
      <c r="AJ837" s="799"/>
      <c r="AK837" s="799"/>
      <c r="AL837" s="799"/>
      <c r="AM837" s="799"/>
      <c r="AN837" s="799"/>
      <c r="AO837" s="799"/>
      <c r="AP837" s="799"/>
      <c r="AQ837" s="799"/>
      <c r="AR837" s="799"/>
      <c r="AS837" s="799"/>
      <c r="AT837" s="799"/>
      <c r="AU837" s="799"/>
      <c r="AV837" s="799"/>
      <c r="AW837" s="799"/>
      <c r="AX837" s="799"/>
      <c r="AY837" s="799"/>
      <c r="AZ837" s="799"/>
      <c r="BA837" s="799"/>
      <c r="BB837" s="799"/>
      <c r="BC837" s="799"/>
      <c r="BD837" s="799"/>
      <c r="BE837" s="799"/>
      <c r="BF837" s="799"/>
      <c r="BG837" s="799"/>
    </row>
    <row r="838">
      <c r="H838" s="799"/>
      <c r="I838" s="799"/>
      <c r="J838" s="799"/>
      <c r="K838" s="799"/>
      <c r="L838" s="799"/>
      <c r="M838" s="799"/>
      <c r="N838" s="799"/>
      <c r="O838" s="799"/>
      <c r="P838" s="799"/>
      <c r="Q838" s="799"/>
      <c r="R838" s="799"/>
      <c r="S838" s="799"/>
      <c r="T838" s="799"/>
      <c r="U838" s="799"/>
      <c r="V838" s="799"/>
      <c r="W838" s="799"/>
      <c r="X838" s="799"/>
      <c r="Y838" s="799"/>
      <c r="Z838" s="799"/>
      <c r="AA838" s="799"/>
      <c r="AB838" s="799"/>
      <c r="AC838" s="799"/>
      <c r="AD838" s="799"/>
      <c r="AE838" s="799"/>
      <c r="AF838" s="799"/>
      <c r="AG838" s="799"/>
      <c r="AH838" s="799"/>
      <c r="AI838" s="799"/>
      <c r="AJ838" s="799"/>
      <c r="AK838" s="799"/>
      <c r="AL838" s="799"/>
      <c r="AM838" s="799"/>
      <c r="AN838" s="799"/>
      <c r="AO838" s="799"/>
      <c r="AP838" s="799"/>
      <c r="AQ838" s="799"/>
      <c r="AR838" s="799"/>
      <c r="AS838" s="799"/>
      <c r="AT838" s="799"/>
      <c r="AU838" s="799"/>
      <c r="AV838" s="799"/>
      <c r="AW838" s="799"/>
      <c r="AX838" s="799"/>
      <c r="AY838" s="799"/>
      <c r="AZ838" s="799"/>
      <c r="BA838" s="799"/>
      <c r="BB838" s="799"/>
      <c r="BC838" s="799"/>
      <c r="BD838" s="799"/>
      <c r="BE838" s="799"/>
      <c r="BF838" s="799"/>
      <c r="BG838" s="799"/>
    </row>
    <row r="839">
      <c r="H839" s="799"/>
      <c r="I839" s="799"/>
      <c r="J839" s="799"/>
      <c r="K839" s="799"/>
      <c r="L839" s="799"/>
      <c r="M839" s="799"/>
      <c r="N839" s="799"/>
      <c r="O839" s="799"/>
      <c r="P839" s="799"/>
      <c r="Q839" s="799"/>
      <c r="R839" s="799"/>
      <c r="S839" s="799"/>
      <c r="T839" s="799"/>
      <c r="U839" s="799"/>
      <c r="V839" s="799"/>
      <c r="W839" s="799"/>
      <c r="X839" s="799"/>
      <c r="Y839" s="799"/>
      <c r="Z839" s="799"/>
      <c r="AA839" s="799"/>
      <c r="AB839" s="799"/>
      <c r="AC839" s="799"/>
      <c r="AD839" s="799"/>
      <c r="AE839" s="799"/>
      <c r="AF839" s="799"/>
      <c r="AG839" s="799"/>
      <c r="AH839" s="799"/>
      <c r="AI839" s="799"/>
      <c r="AJ839" s="799"/>
      <c r="AK839" s="799"/>
      <c r="AL839" s="799"/>
      <c r="AM839" s="799"/>
      <c r="AN839" s="799"/>
      <c r="AO839" s="799"/>
      <c r="AP839" s="799"/>
      <c r="AQ839" s="799"/>
      <c r="AR839" s="799"/>
      <c r="AS839" s="799"/>
      <c r="AT839" s="799"/>
      <c r="AU839" s="799"/>
      <c r="AV839" s="799"/>
      <c r="AW839" s="799"/>
      <c r="AX839" s="799"/>
      <c r="AY839" s="799"/>
      <c r="AZ839" s="799"/>
      <c r="BA839" s="799"/>
      <c r="BB839" s="799"/>
      <c r="BC839" s="799"/>
      <c r="BD839" s="799"/>
      <c r="BE839" s="799"/>
      <c r="BF839" s="799"/>
      <c r="BG839" s="799"/>
    </row>
    <row r="840">
      <c r="H840" s="799"/>
      <c r="I840" s="799"/>
      <c r="J840" s="799"/>
      <c r="K840" s="799"/>
      <c r="L840" s="799"/>
      <c r="M840" s="799"/>
      <c r="N840" s="799"/>
      <c r="O840" s="799"/>
      <c r="P840" s="799"/>
      <c r="Q840" s="799"/>
      <c r="R840" s="799"/>
      <c r="S840" s="799"/>
      <c r="T840" s="799"/>
      <c r="U840" s="799"/>
      <c r="V840" s="799"/>
      <c r="W840" s="799"/>
      <c r="X840" s="799"/>
      <c r="Y840" s="799"/>
      <c r="Z840" s="799"/>
      <c r="AA840" s="799"/>
      <c r="AB840" s="799"/>
      <c r="AC840" s="799"/>
      <c r="AD840" s="799"/>
      <c r="AE840" s="799"/>
      <c r="AF840" s="799"/>
      <c r="AG840" s="799"/>
      <c r="AH840" s="799"/>
      <c r="AI840" s="799"/>
      <c r="AJ840" s="799"/>
      <c r="AK840" s="799"/>
      <c r="AL840" s="799"/>
      <c r="AM840" s="799"/>
      <c r="AN840" s="799"/>
      <c r="AO840" s="799"/>
      <c r="AP840" s="799"/>
      <c r="AQ840" s="799"/>
      <c r="AR840" s="799"/>
      <c r="AS840" s="799"/>
      <c r="AT840" s="799"/>
      <c r="AU840" s="799"/>
      <c r="AV840" s="799"/>
      <c r="AW840" s="799"/>
      <c r="AX840" s="799"/>
      <c r="AY840" s="799"/>
      <c r="AZ840" s="799"/>
      <c r="BA840" s="799"/>
      <c r="BB840" s="799"/>
      <c r="BC840" s="799"/>
      <c r="BD840" s="799"/>
      <c r="BE840" s="799"/>
      <c r="BF840" s="799"/>
      <c r="BG840" s="799"/>
    </row>
    <row r="841">
      <c r="H841" s="799"/>
      <c r="I841" s="799"/>
      <c r="J841" s="799"/>
      <c r="K841" s="799"/>
      <c r="L841" s="799"/>
      <c r="M841" s="799"/>
      <c r="N841" s="799"/>
      <c r="O841" s="799"/>
      <c r="P841" s="799"/>
      <c r="Q841" s="799"/>
      <c r="R841" s="799"/>
      <c r="S841" s="799"/>
      <c r="T841" s="799"/>
      <c r="U841" s="799"/>
      <c r="V841" s="799"/>
      <c r="W841" s="799"/>
      <c r="X841" s="799"/>
      <c r="Y841" s="799"/>
      <c r="Z841" s="799"/>
      <c r="AA841" s="799"/>
      <c r="AB841" s="799"/>
      <c r="AC841" s="799"/>
      <c r="AD841" s="799"/>
      <c r="AE841" s="799"/>
      <c r="AF841" s="799"/>
      <c r="AG841" s="799"/>
      <c r="AH841" s="799"/>
      <c r="AI841" s="799"/>
      <c r="AJ841" s="799"/>
      <c r="AK841" s="799"/>
      <c r="AL841" s="799"/>
      <c r="AM841" s="799"/>
      <c r="AN841" s="799"/>
      <c r="AO841" s="799"/>
      <c r="AP841" s="799"/>
      <c r="AQ841" s="799"/>
      <c r="AR841" s="799"/>
      <c r="AS841" s="799"/>
      <c r="AT841" s="799"/>
      <c r="AU841" s="799"/>
      <c r="AV841" s="799"/>
      <c r="AW841" s="799"/>
      <c r="AX841" s="799"/>
      <c r="AY841" s="799"/>
      <c r="AZ841" s="799"/>
      <c r="BA841" s="799"/>
      <c r="BB841" s="799"/>
      <c r="BC841" s="799"/>
      <c r="BD841" s="799"/>
      <c r="BE841" s="799"/>
      <c r="BF841" s="799"/>
      <c r="BG841" s="799"/>
    </row>
    <row r="842">
      <c r="H842" s="799"/>
      <c r="I842" s="799"/>
      <c r="J842" s="799"/>
      <c r="K842" s="799"/>
      <c r="L842" s="799"/>
      <c r="M842" s="799"/>
      <c r="N842" s="799"/>
      <c r="O842" s="799"/>
      <c r="P842" s="799"/>
      <c r="Q842" s="799"/>
      <c r="R842" s="799"/>
      <c r="S842" s="799"/>
      <c r="T842" s="799"/>
      <c r="U842" s="799"/>
      <c r="V842" s="799"/>
      <c r="W842" s="799"/>
      <c r="X842" s="799"/>
      <c r="Y842" s="799"/>
      <c r="Z842" s="799"/>
      <c r="AA842" s="799"/>
      <c r="AB842" s="799"/>
      <c r="AC842" s="799"/>
      <c r="AD842" s="799"/>
      <c r="AE842" s="799"/>
      <c r="AF842" s="799"/>
      <c r="AG842" s="799"/>
      <c r="AH842" s="799"/>
      <c r="AI842" s="799"/>
      <c r="AJ842" s="799"/>
      <c r="AK842" s="799"/>
      <c r="AL842" s="799"/>
      <c r="AM842" s="799"/>
      <c r="AN842" s="799"/>
      <c r="AO842" s="799"/>
      <c r="AP842" s="799"/>
      <c r="AQ842" s="799"/>
      <c r="AR842" s="799"/>
      <c r="AS842" s="799"/>
      <c r="AT842" s="799"/>
      <c r="AU842" s="799"/>
      <c r="AV842" s="799"/>
      <c r="AW842" s="799"/>
      <c r="AX842" s="799"/>
      <c r="AY842" s="799"/>
      <c r="AZ842" s="799"/>
      <c r="BA842" s="799"/>
      <c r="BB842" s="799"/>
      <c r="BC842" s="799"/>
      <c r="BD842" s="799"/>
      <c r="BE842" s="799"/>
      <c r="BF842" s="799"/>
      <c r="BG842" s="799"/>
    </row>
    <row r="843">
      <c r="H843" s="799"/>
      <c r="I843" s="799"/>
      <c r="J843" s="799"/>
      <c r="K843" s="799"/>
      <c r="L843" s="799"/>
      <c r="M843" s="799"/>
      <c r="N843" s="799"/>
      <c r="O843" s="799"/>
      <c r="P843" s="799"/>
      <c r="Q843" s="799"/>
      <c r="R843" s="799"/>
      <c r="S843" s="799"/>
      <c r="T843" s="799"/>
      <c r="U843" s="799"/>
      <c r="V843" s="799"/>
      <c r="W843" s="799"/>
      <c r="X843" s="799"/>
      <c r="Y843" s="799"/>
      <c r="Z843" s="799"/>
      <c r="AA843" s="799"/>
      <c r="AB843" s="799"/>
      <c r="AC843" s="799"/>
      <c r="AD843" s="799"/>
      <c r="AE843" s="799"/>
      <c r="AF843" s="799"/>
      <c r="AG843" s="799"/>
      <c r="AH843" s="799"/>
      <c r="AI843" s="799"/>
      <c r="AJ843" s="799"/>
      <c r="AK843" s="799"/>
      <c r="AL843" s="799"/>
      <c r="AM843" s="799"/>
      <c r="AN843" s="799"/>
      <c r="AO843" s="799"/>
      <c r="AP843" s="799"/>
      <c r="AQ843" s="799"/>
      <c r="AR843" s="799"/>
      <c r="AS843" s="799"/>
      <c r="AT843" s="799"/>
      <c r="AU843" s="799"/>
      <c r="AV843" s="799"/>
      <c r="AW843" s="799"/>
      <c r="AX843" s="799"/>
      <c r="AY843" s="799"/>
      <c r="AZ843" s="799"/>
      <c r="BA843" s="799"/>
      <c r="BB843" s="799"/>
      <c r="BC843" s="799"/>
      <c r="BD843" s="799"/>
      <c r="BE843" s="799"/>
      <c r="BF843" s="799"/>
      <c r="BG843" s="799"/>
    </row>
    <row r="844">
      <c r="H844" s="799"/>
      <c r="I844" s="799"/>
      <c r="J844" s="799"/>
      <c r="K844" s="799"/>
      <c r="L844" s="799"/>
      <c r="M844" s="799"/>
      <c r="N844" s="799"/>
      <c r="O844" s="799"/>
      <c r="P844" s="799"/>
      <c r="Q844" s="799"/>
      <c r="R844" s="799"/>
      <c r="S844" s="799"/>
      <c r="T844" s="799"/>
      <c r="U844" s="799"/>
      <c r="V844" s="799"/>
      <c r="W844" s="799"/>
      <c r="X844" s="799"/>
      <c r="Y844" s="799"/>
      <c r="Z844" s="799"/>
      <c r="AA844" s="799"/>
      <c r="AB844" s="799"/>
      <c r="AC844" s="799"/>
      <c r="AD844" s="799"/>
      <c r="AE844" s="799"/>
      <c r="AF844" s="799"/>
      <c r="AG844" s="799"/>
      <c r="AH844" s="799"/>
      <c r="AI844" s="799"/>
      <c r="AJ844" s="799"/>
      <c r="AK844" s="799"/>
      <c r="AL844" s="799"/>
      <c r="AM844" s="799"/>
      <c r="AN844" s="799"/>
      <c r="AO844" s="799"/>
      <c r="AP844" s="799"/>
      <c r="AQ844" s="799"/>
      <c r="AR844" s="799"/>
      <c r="AS844" s="799"/>
      <c r="AT844" s="799"/>
      <c r="AU844" s="799"/>
      <c r="AV844" s="799"/>
      <c r="AW844" s="799"/>
      <c r="AX844" s="799"/>
      <c r="AY844" s="799"/>
      <c r="AZ844" s="799"/>
      <c r="BA844" s="799"/>
      <c r="BB844" s="799"/>
      <c r="BC844" s="799"/>
      <c r="BD844" s="799"/>
      <c r="BE844" s="799"/>
      <c r="BF844" s="799"/>
      <c r="BG844" s="799"/>
    </row>
    <row r="845">
      <c r="H845" s="799"/>
      <c r="I845" s="799"/>
      <c r="J845" s="799"/>
      <c r="K845" s="799"/>
      <c r="L845" s="799"/>
      <c r="M845" s="799"/>
      <c r="N845" s="799"/>
      <c r="O845" s="799"/>
      <c r="P845" s="799"/>
      <c r="Q845" s="799"/>
      <c r="R845" s="799"/>
      <c r="S845" s="799"/>
      <c r="T845" s="799"/>
      <c r="U845" s="799"/>
      <c r="V845" s="799"/>
      <c r="W845" s="799"/>
      <c r="X845" s="799"/>
      <c r="Y845" s="799"/>
      <c r="Z845" s="799"/>
      <c r="AA845" s="799"/>
      <c r="AB845" s="799"/>
      <c r="AC845" s="799"/>
      <c r="AD845" s="799"/>
      <c r="AE845" s="799"/>
      <c r="AF845" s="799"/>
      <c r="AG845" s="799"/>
      <c r="AH845" s="799"/>
      <c r="AI845" s="799"/>
      <c r="AJ845" s="799"/>
      <c r="AK845" s="799"/>
      <c r="AL845" s="799"/>
      <c r="AM845" s="799"/>
      <c r="AN845" s="799"/>
      <c r="AO845" s="799"/>
      <c r="AP845" s="799"/>
      <c r="AQ845" s="799"/>
      <c r="AR845" s="799"/>
      <c r="AS845" s="799"/>
      <c r="AT845" s="799"/>
      <c r="AU845" s="799"/>
      <c r="AV845" s="799"/>
      <c r="AW845" s="799"/>
      <c r="AX845" s="799"/>
      <c r="AY845" s="799"/>
      <c r="AZ845" s="799"/>
      <c r="BA845" s="799"/>
      <c r="BB845" s="799"/>
      <c r="BC845" s="799"/>
      <c r="BD845" s="799"/>
      <c r="BE845" s="799"/>
      <c r="BF845" s="799"/>
      <c r="BG845" s="799"/>
    </row>
    <row r="846">
      <c r="H846" s="799"/>
      <c r="I846" s="799"/>
      <c r="J846" s="799"/>
      <c r="K846" s="799"/>
      <c r="L846" s="799"/>
      <c r="M846" s="799"/>
      <c r="N846" s="799"/>
      <c r="O846" s="799"/>
      <c r="P846" s="799"/>
      <c r="Q846" s="799"/>
      <c r="R846" s="799"/>
      <c r="S846" s="799"/>
      <c r="T846" s="799"/>
      <c r="U846" s="799"/>
      <c r="V846" s="799"/>
      <c r="W846" s="799"/>
      <c r="X846" s="799"/>
      <c r="Y846" s="799"/>
      <c r="Z846" s="799"/>
      <c r="AA846" s="799"/>
      <c r="AB846" s="799"/>
      <c r="AC846" s="799"/>
      <c r="AD846" s="799"/>
      <c r="AE846" s="799"/>
      <c r="AF846" s="799"/>
      <c r="AG846" s="799"/>
      <c r="AH846" s="799"/>
      <c r="AI846" s="799"/>
      <c r="AJ846" s="799"/>
      <c r="AK846" s="799"/>
      <c r="AL846" s="799"/>
      <c r="AM846" s="799"/>
      <c r="AN846" s="799"/>
      <c r="AO846" s="799"/>
      <c r="AP846" s="799"/>
      <c r="AQ846" s="799"/>
      <c r="AR846" s="799"/>
      <c r="AS846" s="799"/>
      <c r="AT846" s="799"/>
      <c r="AU846" s="799"/>
      <c r="AV846" s="799"/>
      <c r="AW846" s="799"/>
      <c r="AX846" s="799"/>
      <c r="AY846" s="799"/>
      <c r="AZ846" s="799"/>
      <c r="BA846" s="799"/>
      <c r="BB846" s="799"/>
      <c r="BC846" s="799"/>
      <c r="BD846" s="799"/>
      <c r="BE846" s="799"/>
      <c r="BF846" s="799"/>
      <c r="BG846" s="799"/>
    </row>
    <row r="847">
      <c r="H847" s="799"/>
      <c r="I847" s="799"/>
      <c r="J847" s="799"/>
      <c r="K847" s="799"/>
      <c r="L847" s="799"/>
      <c r="M847" s="799"/>
      <c r="N847" s="799"/>
      <c r="O847" s="799"/>
      <c r="P847" s="799"/>
      <c r="Q847" s="799"/>
      <c r="R847" s="799"/>
      <c r="S847" s="799"/>
      <c r="T847" s="799"/>
      <c r="U847" s="799"/>
      <c r="V847" s="799"/>
      <c r="W847" s="799"/>
      <c r="X847" s="799"/>
      <c r="Y847" s="799"/>
      <c r="Z847" s="799"/>
      <c r="AA847" s="799"/>
      <c r="AB847" s="799"/>
      <c r="AC847" s="799"/>
      <c r="AD847" s="799"/>
      <c r="AE847" s="799"/>
      <c r="AF847" s="799"/>
      <c r="AG847" s="799"/>
      <c r="AH847" s="799"/>
      <c r="AI847" s="799"/>
      <c r="AJ847" s="799"/>
      <c r="AK847" s="799"/>
      <c r="AL847" s="799"/>
      <c r="AM847" s="799"/>
      <c r="AN847" s="799"/>
      <c r="AO847" s="799"/>
      <c r="AP847" s="799"/>
      <c r="AQ847" s="799"/>
      <c r="AR847" s="799"/>
      <c r="AS847" s="799"/>
      <c r="AT847" s="799"/>
      <c r="AU847" s="799"/>
      <c r="AV847" s="799"/>
      <c r="AW847" s="799"/>
      <c r="AX847" s="799"/>
      <c r="AY847" s="799"/>
      <c r="AZ847" s="799"/>
      <c r="BA847" s="799"/>
      <c r="BB847" s="799"/>
      <c r="BC847" s="799"/>
      <c r="BD847" s="799"/>
      <c r="BE847" s="799"/>
      <c r="BF847" s="799"/>
      <c r="BG847" s="799"/>
    </row>
    <row r="848">
      <c r="H848" s="799"/>
      <c r="I848" s="799"/>
      <c r="J848" s="799"/>
      <c r="K848" s="799"/>
      <c r="L848" s="799"/>
      <c r="M848" s="799"/>
      <c r="N848" s="799"/>
      <c r="O848" s="799"/>
      <c r="P848" s="799"/>
      <c r="Q848" s="799"/>
      <c r="R848" s="799"/>
      <c r="S848" s="799"/>
      <c r="T848" s="799"/>
      <c r="U848" s="799"/>
      <c r="V848" s="799"/>
      <c r="W848" s="799"/>
      <c r="X848" s="799"/>
      <c r="Y848" s="799"/>
      <c r="Z848" s="799"/>
      <c r="AA848" s="799"/>
      <c r="AB848" s="799"/>
      <c r="AC848" s="799"/>
      <c r="AD848" s="799"/>
      <c r="AE848" s="799"/>
      <c r="AF848" s="799"/>
      <c r="AG848" s="799"/>
      <c r="AH848" s="799"/>
      <c r="AI848" s="799"/>
      <c r="AJ848" s="799"/>
      <c r="AK848" s="799"/>
      <c r="AL848" s="799"/>
      <c r="AM848" s="799"/>
      <c r="AN848" s="799"/>
      <c r="AO848" s="799"/>
      <c r="AP848" s="799"/>
      <c r="AQ848" s="799"/>
      <c r="AR848" s="799"/>
      <c r="AS848" s="799"/>
      <c r="AT848" s="799"/>
      <c r="AU848" s="799"/>
      <c r="AV848" s="799"/>
      <c r="AW848" s="799"/>
      <c r="AX848" s="799"/>
      <c r="AY848" s="799"/>
      <c r="AZ848" s="799"/>
      <c r="BA848" s="799"/>
      <c r="BB848" s="799"/>
      <c r="BC848" s="799"/>
      <c r="BD848" s="799"/>
      <c r="BE848" s="799"/>
      <c r="BF848" s="799"/>
      <c r="BG848" s="799"/>
    </row>
    <row r="849">
      <c r="H849" s="799"/>
      <c r="I849" s="799"/>
      <c r="J849" s="799"/>
      <c r="K849" s="799"/>
      <c r="L849" s="799"/>
      <c r="M849" s="799"/>
      <c r="N849" s="799"/>
      <c r="O849" s="799"/>
      <c r="P849" s="799"/>
      <c r="Q849" s="799"/>
      <c r="R849" s="799"/>
      <c r="S849" s="799"/>
      <c r="T849" s="799"/>
      <c r="U849" s="799"/>
      <c r="V849" s="799"/>
      <c r="W849" s="799"/>
      <c r="X849" s="799"/>
      <c r="Y849" s="799"/>
      <c r="Z849" s="799"/>
      <c r="AA849" s="799"/>
      <c r="AB849" s="799"/>
      <c r="AC849" s="799"/>
      <c r="AD849" s="799"/>
      <c r="AE849" s="799"/>
      <c r="AF849" s="799"/>
      <c r="AG849" s="799"/>
      <c r="AH849" s="799"/>
      <c r="AI849" s="799"/>
      <c r="AJ849" s="799"/>
      <c r="AK849" s="799"/>
      <c r="AL849" s="799"/>
      <c r="AM849" s="799"/>
      <c r="AN849" s="799"/>
      <c r="AO849" s="799"/>
      <c r="AP849" s="799"/>
      <c r="AQ849" s="799"/>
      <c r="AR849" s="799"/>
      <c r="AS849" s="799"/>
      <c r="AT849" s="799"/>
      <c r="AU849" s="799"/>
      <c r="AV849" s="799"/>
      <c r="AW849" s="799"/>
      <c r="AX849" s="799"/>
      <c r="AY849" s="799"/>
      <c r="AZ849" s="799"/>
      <c r="BA849" s="799"/>
      <c r="BB849" s="799"/>
      <c r="BC849" s="799"/>
      <c r="BD849" s="799"/>
      <c r="BE849" s="799"/>
      <c r="BF849" s="799"/>
      <c r="BG849" s="799"/>
    </row>
    <row r="850">
      <c r="H850" s="799"/>
      <c r="I850" s="799"/>
      <c r="J850" s="799"/>
      <c r="K850" s="799"/>
      <c r="L850" s="799"/>
      <c r="M850" s="799"/>
      <c r="N850" s="799"/>
      <c r="O850" s="799"/>
      <c r="P850" s="799"/>
      <c r="Q850" s="799"/>
      <c r="R850" s="799"/>
      <c r="S850" s="799"/>
      <c r="T850" s="799"/>
      <c r="U850" s="799"/>
      <c r="V850" s="799"/>
      <c r="W850" s="799"/>
      <c r="X850" s="799"/>
      <c r="Y850" s="799"/>
      <c r="Z850" s="799"/>
      <c r="AA850" s="799"/>
      <c r="AB850" s="799"/>
      <c r="AC850" s="799"/>
      <c r="AD850" s="799"/>
      <c r="AE850" s="799"/>
      <c r="AF850" s="799"/>
      <c r="AG850" s="799"/>
      <c r="AH850" s="799"/>
      <c r="AI850" s="799"/>
      <c r="AJ850" s="799"/>
      <c r="AK850" s="799"/>
      <c r="AL850" s="799"/>
      <c r="AM850" s="799"/>
      <c r="AN850" s="799"/>
      <c r="AO850" s="799"/>
      <c r="AP850" s="799"/>
      <c r="AQ850" s="799"/>
      <c r="AR850" s="799"/>
      <c r="AS850" s="799"/>
      <c r="AT850" s="799"/>
      <c r="AU850" s="799"/>
      <c r="AV850" s="799"/>
      <c r="AW850" s="799"/>
      <c r="AX850" s="799"/>
      <c r="AY850" s="799"/>
      <c r="AZ850" s="799"/>
      <c r="BA850" s="799"/>
      <c r="BB850" s="799"/>
      <c r="BC850" s="799"/>
      <c r="BD850" s="799"/>
      <c r="BE850" s="799"/>
      <c r="BF850" s="799"/>
      <c r="BG850" s="799"/>
    </row>
    <row r="851">
      <c r="H851" s="799"/>
      <c r="I851" s="799"/>
      <c r="J851" s="799"/>
      <c r="K851" s="799"/>
      <c r="L851" s="799"/>
      <c r="M851" s="799"/>
      <c r="N851" s="799"/>
      <c r="O851" s="799"/>
      <c r="P851" s="799"/>
      <c r="Q851" s="799"/>
      <c r="R851" s="799"/>
      <c r="S851" s="799"/>
      <c r="T851" s="799"/>
      <c r="U851" s="799"/>
      <c r="V851" s="799"/>
      <c r="W851" s="799"/>
      <c r="X851" s="799"/>
      <c r="Y851" s="799"/>
      <c r="Z851" s="799"/>
      <c r="AA851" s="799"/>
      <c r="AB851" s="799"/>
      <c r="AC851" s="799"/>
      <c r="AD851" s="799"/>
      <c r="AE851" s="799"/>
      <c r="AF851" s="799"/>
      <c r="AG851" s="799"/>
      <c r="AH851" s="799"/>
      <c r="AI851" s="799"/>
      <c r="AJ851" s="799"/>
      <c r="AK851" s="799"/>
      <c r="AL851" s="799"/>
      <c r="AM851" s="799"/>
      <c r="AN851" s="799"/>
      <c r="AO851" s="799"/>
      <c r="AP851" s="799"/>
      <c r="AQ851" s="799"/>
      <c r="AR851" s="799"/>
      <c r="AS851" s="799"/>
      <c r="AT851" s="799"/>
      <c r="AU851" s="799"/>
      <c r="AV851" s="799"/>
      <c r="AW851" s="799"/>
      <c r="AX851" s="799"/>
      <c r="AY851" s="799"/>
      <c r="AZ851" s="799"/>
      <c r="BA851" s="799"/>
      <c r="BB851" s="799"/>
      <c r="BC851" s="799"/>
      <c r="BD851" s="799"/>
      <c r="BE851" s="799"/>
      <c r="BF851" s="799"/>
      <c r="BG851" s="799"/>
    </row>
    <row r="852">
      <c r="H852" s="799"/>
      <c r="I852" s="799"/>
      <c r="J852" s="799"/>
      <c r="K852" s="799"/>
      <c r="L852" s="799"/>
      <c r="M852" s="799"/>
      <c r="N852" s="799"/>
      <c r="O852" s="799"/>
      <c r="P852" s="799"/>
      <c r="Q852" s="799"/>
      <c r="R852" s="799"/>
      <c r="S852" s="799"/>
      <c r="T852" s="799"/>
      <c r="U852" s="799"/>
      <c r="V852" s="799"/>
      <c r="W852" s="799"/>
      <c r="X852" s="799"/>
      <c r="Y852" s="799"/>
      <c r="Z852" s="799"/>
      <c r="AA852" s="799"/>
      <c r="AB852" s="799"/>
      <c r="AC852" s="799"/>
      <c r="AD852" s="799"/>
      <c r="AE852" s="799"/>
      <c r="AF852" s="799"/>
      <c r="AG852" s="799"/>
      <c r="AH852" s="799"/>
      <c r="AI852" s="799"/>
      <c r="AJ852" s="799"/>
      <c r="AK852" s="799"/>
      <c r="AL852" s="799"/>
      <c r="AM852" s="799"/>
      <c r="AN852" s="799"/>
      <c r="AO852" s="799"/>
      <c r="AP852" s="799"/>
      <c r="AQ852" s="799"/>
      <c r="AR852" s="799"/>
      <c r="AS852" s="799"/>
      <c r="AT852" s="799"/>
      <c r="AU852" s="799"/>
      <c r="AV852" s="799"/>
      <c r="AW852" s="799"/>
      <c r="AX852" s="799"/>
      <c r="AY852" s="799"/>
      <c r="AZ852" s="799"/>
      <c r="BA852" s="799"/>
      <c r="BB852" s="799"/>
      <c r="BC852" s="799"/>
      <c r="BD852" s="799"/>
      <c r="BE852" s="799"/>
      <c r="BF852" s="799"/>
      <c r="BG852" s="799"/>
    </row>
    <row r="853">
      <c r="H853" s="799"/>
      <c r="I853" s="799"/>
      <c r="J853" s="799"/>
      <c r="K853" s="799"/>
      <c r="L853" s="799"/>
      <c r="M853" s="799"/>
      <c r="N853" s="799"/>
      <c r="O853" s="799"/>
      <c r="P853" s="799"/>
      <c r="Q853" s="799"/>
      <c r="R853" s="799"/>
      <c r="S853" s="799"/>
      <c r="T853" s="799"/>
      <c r="U853" s="799"/>
      <c r="V853" s="799"/>
      <c r="W853" s="799"/>
      <c r="X853" s="799"/>
      <c r="Y853" s="799"/>
      <c r="Z853" s="799"/>
      <c r="AA853" s="799"/>
      <c r="AB853" s="799"/>
      <c r="AC853" s="799"/>
      <c r="AD853" s="799"/>
      <c r="AE853" s="799"/>
      <c r="AF853" s="799"/>
      <c r="AG853" s="799"/>
      <c r="AH853" s="799"/>
      <c r="AI853" s="799"/>
      <c r="AJ853" s="799"/>
      <c r="AK853" s="799"/>
      <c r="AL853" s="799"/>
      <c r="AM853" s="799"/>
      <c r="AN853" s="799"/>
      <c r="AO853" s="799"/>
      <c r="AP853" s="799"/>
      <c r="AQ853" s="799"/>
      <c r="AR853" s="799"/>
      <c r="AS853" s="799"/>
      <c r="AT853" s="799"/>
      <c r="AU853" s="799"/>
      <c r="AV853" s="799"/>
      <c r="AW853" s="799"/>
      <c r="AX853" s="799"/>
      <c r="AY853" s="799"/>
      <c r="AZ853" s="799"/>
      <c r="BA853" s="799"/>
      <c r="BB853" s="799"/>
      <c r="BC853" s="799"/>
      <c r="BD853" s="799"/>
      <c r="BE853" s="799"/>
      <c r="BF853" s="799"/>
      <c r="BG853" s="799"/>
    </row>
    <row r="854">
      <c r="H854" s="799"/>
      <c r="I854" s="799"/>
      <c r="J854" s="799"/>
      <c r="K854" s="799"/>
      <c r="L854" s="799"/>
      <c r="M854" s="799"/>
      <c r="N854" s="799"/>
      <c r="O854" s="799"/>
      <c r="P854" s="799"/>
      <c r="Q854" s="799"/>
      <c r="R854" s="799"/>
      <c r="S854" s="799"/>
      <c r="T854" s="799"/>
      <c r="U854" s="799"/>
      <c r="V854" s="799"/>
      <c r="W854" s="799"/>
      <c r="X854" s="799"/>
      <c r="Y854" s="799"/>
      <c r="Z854" s="799"/>
      <c r="AA854" s="799"/>
      <c r="AB854" s="799"/>
      <c r="AC854" s="799"/>
      <c r="AD854" s="799"/>
      <c r="AE854" s="799"/>
      <c r="AF854" s="799"/>
      <c r="AG854" s="799"/>
      <c r="AH854" s="799"/>
      <c r="AI854" s="799"/>
      <c r="AJ854" s="799"/>
      <c r="AK854" s="799"/>
      <c r="AL854" s="799"/>
      <c r="AM854" s="799"/>
      <c r="AN854" s="799"/>
      <c r="AO854" s="799"/>
      <c r="AP854" s="799"/>
      <c r="AQ854" s="799"/>
      <c r="AR854" s="799"/>
      <c r="AS854" s="799"/>
      <c r="AT854" s="799"/>
      <c r="AU854" s="799"/>
      <c r="AV854" s="799"/>
      <c r="AW854" s="799"/>
      <c r="AX854" s="799"/>
      <c r="AY854" s="799"/>
      <c r="AZ854" s="799"/>
      <c r="BA854" s="799"/>
      <c r="BB854" s="799"/>
      <c r="BC854" s="799"/>
      <c r="BD854" s="799"/>
      <c r="BE854" s="799"/>
      <c r="BF854" s="799"/>
      <c r="BG854" s="799"/>
    </row>
    <row r="855">
      <c r="H855" s="799"/>
      <c r="I855" s="799"/>
      <c r="J855" s="799"/>
      <c r="K855" s="799"/>
      <c r="L855" s="799"/>
      <c r="M855" s="799"/>
      <c r="N855" s="799"/>
      <c r="O855" s="799"/>
      <c r="P855" s="799"/>
      <c r="Q855" s="799"/>
      <c r="R855" s="799"/>
      <c r="S855" s="799"/>
      <c r="T855" s="799"/>
      <c r="U855" s="799"/>
      <c r="V855" s="799"/>
      <c r="W855" s="799"/>
      <c r="X855" s="799"/>
      <c r="Y855" s="799"/>
      <c r="Z855" s="799"/>
      <c r="AA855" s="799"/>
      <c r="AB855" s="799"/>
      <c r="AC855" s="799"/>
      <c r="AD855" s="799"/>
      <c r="AE855" s="799"/>
      <c r="AF855" s="799"/>
      <c r="AG855" s="799"/>
      <c r="AH855" s="799"/>
      <c r="AI855" s="799"/>
      <c r="AJ855" s="799"/>
      <c r="AK855" s="799"/>
      <c r="AL855" s="799"/>
      <c r="AM855" s="799"/>
      <c r="AN855" s="799"/>
      <c r="AO855" s="799"/>
      <c r="AP855" s="799"/>
      <c r="AQ855" s="799"/>
      <c r="AR855" s="799"/>
      <c r="AS855" s="799"/>
      <c r="AT855" s="799"/>
      <c r="AU855" s="799"/>
      <c r="AV855" s="799"/>
      <c r="AW855" s="799"/>
      <c r="AX855" s="799"/>
      <c r="AY855" s="799"/>
      <c r="AZ855" s="799"/>
      <c r="BA855" s="799"/>
      <c r="BB855" s="799"/>
      <c r="BC855" s="799"/>
      <c r="BD855" s="799"/>
      <c r="BE855" s="799"/>
      <c r="BF855" s="799"/>
      <c r="BG855" s="799"/>
    </row>
    <row r="856">
      <c r="H856" s="799"/>
      <c r="I856" s="799"/>
      <c r="J856" s="799"/>
      <c r="K856" s="799"/>
      <c r="L856" s="799"/>
      <c r="M856" s="799"/>
      <c r="N856" s="799"/>
      <c r="O856" s="799"/>
      <c r="P856" s="799"/>
      <c r="Q856" s="799"/>
      <c r="R856" s="799"/>
      <c r="S856" s="799"/>
      <c r="T856" s="799"/>
      <c r="U856" s="799"/>
      <c r="V856" s="799"/>
      <c r="W856" s="799"/>
      <c r="X856" s="799"/>
      <c r="Y856" s="799"/>
      <c r="Z856" s="799"/>
      <c r="AA856" s="799"/>
      <c r="AB856" s="799"/>
      <c r="AC856" s="799"/>
      <c r="AD856" s="799"/>
      <c r="AE856" s="799"/>
      <c r="AF856" s="799"/>
      <c r="AG856" s="799"/>
      <c r="AH856" s="799"/>
      <c r="AI856" s="799"/>
      <c r="AJ856" s="799"/>
      <c r="AK856" s="799"/>
      <c r="AL856" s="799"/>
      <c r="AM856" s="799"/>
      <c r="AN856" s="799"/>
      <c r="AO856" s="799"/>
      <c r="AP856" s="799"/>
      <c r="AQ856" s="799"/>
      <c r="AR856" s="799"/>
      <c r="AS856" s="799"/>
      <c r="AT856" s="799"/>
      <c r="AU856" s="799"/>
      <c r="AV856" s="799"/>
      <c r="AW856" s="799"/>
      <c r="AX856" s="799"/>
      <c r="AY856" s="799"/>
      <c r="AZ856" s="799"/>
      <c r="BA856" s="799"/>
      <c r="BB856" s="799"/>
      <c r="BC856" s="799"/>
      <c r="BD856" s="799"/>
      <c r="BE856" s="799"/>
      <c r="BF856" s="799"/>
      <c r="BG856" s="799"/>
    </row>
    <row r="857">
      <c r="H857" s="799"/>
      <c r="I857" s="799"/>
      <c r="J857" s="799"/>
      <c r="K857" s="799"/>
      <c r="L857" s="799"/>
      <c r="M857" s="799"/>
      <c r="N857" s="799"/>
      <c r="O857" s="799"/>
      <c r="P857" s="799"/>
      <c r="Q857" s="799"/>
      <c r="R857" s="799"/>
      <c r="S857" s="799"/>
      <c r="T857" s="799"/>
      <c r="U857" s="799"/>
      <c r="V857" s="799"/>
      <c r="W857" s="799"/>
      <c r="X857" s="799"/>
      <c r="Y857" s="799"/>
      <c r="Z857" s="799"/>
      <c r="AA857" s="799"/>
      <c r="AB857" s="799"/>
      <c r="AC857" s="799"/>
      <c r="AD857" s="799"/>
      <c r="AE857" s="799"/>
      <c r="AF857" s="799"/>
      <c r="AG857" s="799"/>
      <c r="AH857" s="799"/>
      <c r="AI857" s="799"/>
      <c r="AJ857" s="799"/>
      <c r="AK857" s="799"/>
      <c r="AL857" s="799"/>
      <c r="AM857" s="799"/>
      <c r="AN857" s="799"/>
      <c r="AO857" s="799"/>
      <c r="AP857" s="799"/>
      <c r="AQ857" s="799"/>
      <c r="AR857" s="799"/>
      <c r="AS857" s="799"/>
      <c r="AT857" s="799"/>
      <c r="AU857" s="799"/>
      <c r="AV857" s="799"/>
      <c r="AW857" s="799"/>
      <c r="AX857" s="799"/>
      <c r="AY857" s="799"/>
      <c r="AZ857" s="799"/>
      <c r="BA857" s="799"/>
      <c r="BB857" s="799"/>
      <c r="BC857" s="799"/>
      <c r="BD857" s="799"/>
      <c r="BE857" s="799"/>
      <c r="BF857" s="799"/>
      <c r="BG857" s="799"/>
    </row>
    <row r="858">
      <c r="H858" s="799"/>
      <c r="I858" s="799"/>
      <c r="J858" s="799"/>
      <c r="K858" s="799"/>
      <c r="L858" s="799"/>
      <c r="M858" s="799"/>
      <c r="N858" s="799"/>
      <c r="O858" s="799"/>
      <c r="P858" s="799"/>
      <c r="Q858" s="799"/>
      <c r="R858" s="799"/>
      <c r="S858" s="799"/>
      <c r="T858" s="799"/>
      <c r="U858" s="799"/>
      <c r="V858" s="799"/>
      <c r="W858" s="799"/>
      <c r="X858" s="799"/>
      <c r="Y858" s="799"/>
      <c r="Z858" s="799"/>
      <c r="AA858" s="799"/>
      <c r="AB858" s="799"/>
      <c r="AC858" s="799"/>
      <c r="AD858" s="799"/>
      <c r="AE858" s="799"/>
      <c r="AF858" s="799"/>
      <c r="AG858" s="799"/>
      <c r="AH858" s="799"/>
      <c r="AI858" s="799"/>
      <c r="AJ858" s="799"/>
      <c r="AK858" s="799"/>
      <c r="AL858" s="799"/>
      <c r="AM858" s="799"/>
      <c r="AN858" s="799"/>
      <c r="AO858" s="799"/>
      <c r="AP858" s="799"/>
      <c r="AQ858" s="799"/>
      <c r="AR858" s="799"/>
      <c r="AS858" s="799"/>
      <c r="AT858" s="799"/>
      <c r="AU858" s="799"/>
      <c r="AV858" s="799"/>
      <c r="AW858" s="799"/>
      <c r="AX858" s="799"/>
      <c r="AY858" s="799"/>
      <c r="AZ858" s="799"/>
      <c r="BA858" s="799"/>
      <c r="BB858" s="799"/>
      <c r="BC858" s="799"/>
      <c r="BD858" s="799"/>
      <c r="BE858" s="799"/>
      <c r="BF858" s="799"/>
      <c r="BG858" s="799"/>
    </row>
    <row r="859">
      <c r="H859" s="799"/>
      <c r="I859" s="799"/>
      <c r="J859" s="799"/>
      <c r="K859" s="799"/>
      <c r="L859" s="799"/>
      <c r="M859" s="799"/>
      <c r="N859" s="799"/>
      <c r="O859" s="799"/>
      <c r="P859" s="799"/>
      <c r="Q859" s="799"/>
      <c r="R859" s="799"/>
      <c r="S859" s="799"/>
      <c r="T859" s="799"/>
      <c r="U859" s="799"/>
      <c r="V859" s="799"/>
      <c r="W859" s="799"/>
      <c r="X859" s="799"/>
      <c r="Y859" s="799"/>
      <c r="Z859" s="799"/>
      <c r="AA859" s="799"/>
      <c r="AB859" s="799"/>
      <c r="AC859" s="799"/>
      <c r="AD859" s="799"/>
      <c r="AE859" s="799"/>
      <c r="AF859" s="799"/>
      <c r="AG859" s="799"/>
      <c r="AH859" s="799"/>
      <c r="AI859" s="799"/>
      <c r="AJ859" s="799"/>
      <c r="AK859" s="799"/>
      <c r="AL859" s="799"/>
      <c r="AM859" s="799"/>
      <c r="AN859" s="799"/>
      <c r="AO859" s="799"/>
      <c r="AP859" s="799"/>
      <c r="AQ859" s="799"/>
      <c r="AR859" s="799"/>
      <c r="AS859" s="799"/>
      <c r="AT859" s="799"/>
      <c r="AU859" s="799"/>
      <c r="AV859" s="799"/>
      <c r="AW859" s="799"/>
      <c r="AX859" s="799"/>
      <c r="AY859" s="799"/>
      <c r="AZ859" s="799"/>
      <c r="BA859" s="799"/>
      <c r="BB859" s="799"/>
      <c r="BC859" s="799"/>
      <c r="BD859" s="799"/>
      <c r="BE859" s="799"/>
      <c r="BF859" s="799"/>
      <c r="BG859" s="799"/>
    </row>
    <row r="860">
      <c r="H860" s="799"/>
      <c r="I860" s="799"/>
      <c r="J860" s="799"/>
      <c r="K860" s="799"/>
      <c r="L860" s="799"/>
      <c r="M860" s="799"/>
      <c r="N860" s="799"/>
      <c r="O860" s="799"/>
      <c r="P860" s="799"/>
      <c r="Q860" s="799"/>
      <c r="R860" s="799"/>
      <c r="S860" s="799"/>
      <c r="T860" s="799"/>
      <c r="U860" s="799"/>
      <c r="V860" s="799"/>
      <c r="W860" s="799"/>
      <c r="X860" s="799"/>
      <c r="Y860" s="799"/>
      <c r="Z860" s="799"/>
      <c r="AA860" s="799"/>
      <c r="AB860" s="799"/>
      <c r="AC860" s="799"/>
      <c r="AD860" s="799"/>
      <c r="AE860" s="799"/>
      <c r="AF860" s="799"/>
      <c r="AG860" s="799"/>
      <c r="AH860" s="799"/>
      <c r="AI860" s="799"/>
      <c r="AJ860" s="799"/>
      <c r="AK860" s="799"/>
      <c r="AL860" s="799"/>
      <c r="AM860" s="799"/>
      <c r="AN860" s="799"/>
      <c r="AO860" s="799"/>
      <c r="AP860" s="799"/>
      <c r="AQ860" s="799"/>
      <c r="AR860" s="799"/>
      <c r="AS860" s="799"/>
      <c r="AT860" s="799"/>
      <c r="AU860" s="799"/>
      <c r="AV860" s="799"/>
      <c r="AW860" s="799"/>
      <c r="AX860" s="799"/>
      <c r="AY860" s="799"/>
      <c r="AZ860" s="799"/>
      <c r="BA860" s="799"/>
      <c r="BB860" s="799"/>
      <c r="BC860" s="799"/>
      <c r="BD860" s="799"/>
      <c r="BE860" s="799"/>
      <c r="BF860" s="799"/>
      <c r="BG860" s="799"/>
    </row>
    <row r="861">
      <c r="H861" s="799"/>
      <c r="I861" s="799"/>
      <c r="J861" s="799"/>
      <c r="K861" s="799"/>
      <c r="L861" s="799"/>
      <c r="M861" s="799"/>
      <c r="N861" s="799"/>
      <c r="O861" s="799"/>
      <c r="P861" s="799"/>
      <c r="Q861" s="799"/>
      <c r="R861" s="799"/>
      <c r="S861" s="799"/>
      <c r="T861" s="799"/>
      <c r="U861" s="799"/>
      <c r="V861" s="799"/>
      <c r="W861" s="799"/>
      <c r="X861" s="799"/>
      <c r="Y861" s="799"/>
      <c r="Z861" s="799"/>
      <c r="AA861" s="799"/>
      <c r="AB861" s="799"/>
      <c r="AC861" s="799"/>
      <c r="AD861" s="799"/>
      <c r="AE861" s="799"/>
      <c r="AF861" s="799"/>
      <c r="AG861" s="799"/>
      <c r="AH861" s="799"/>
      <c r="AI861" s="799"/>
      <c r="AJ861" s="799"/>
      <c r="AK861" s="799"/>
      <c r="AL861" s="799"/>
      <c r="AM861" s="799"/>
      <c r="AN861" s="799"/>
      <c r="AO861" s="799"/>
      <c r="AP861" s="799"/>
      <c r="AQ861" s="799"/>
      <c r="AR861" s="799"/>
      <c r="AS861" s="799"/>
      <c r="AT861" s="799"/>
      <c r="AU861" s="799"/>
      <c r="AV861" s="799"/>
      <c r="AW861" s="799"/>
      <c r="AX861" s="799"/>
      <c r="AY861" s="799"/>
      <c r="AZ861" s="799"/>
      <c r="BA861" s="799"/>
      <c r="BB861" s="799"/>
      <c r="BC861" s="799"/>
      <c r="BD861" s="799"/>
      <c r="BE861" s="799"/>
      <c r="BF861" s="799"/>
      <c r="BG861" s="799"/>
    </row>
    <row r="862">
      <c r="H862" s="799"/>
      <c r="I862" s="799"/>
      <c r="J862" s="799"/>
      <c r="K862" s="799"/>
      <c r="L862" s="799"/>
      <c r="M862" s="799"/>
      <c r="N862" s="799"/>
      <c r="O862" s="799"/>
      <c r="P862" s="799"/>
      <c r="Q862" s="799"/>
      <c r="R862" s="799"/>
      <c r="S862" s="799"/>
      <c r="T862" s="799"/>
      <c r="U862" s="799"/>
      <c r="V862" s="799"/>
      <c r="W862" s="799"/>
      <c r="X862" s="799"/>
      <c r="Y862" s="799"/>
      <c r="Z862" s="799"/>
      <c r="AA862" s="799"/>
      <c r="AB862" s="799"/>
      <c r="AC862" s="799"/>
      <c r="AD862" s="799"/>
      <c r="AE862" s="799"/>
      <c r="AF862" s="799"/>
      <c r="AG862" s="799"/>
      <c r="AH862" s="799"/>
      <c r="AI862" s="799"/>
      <c r="AJ862" s="799"/>
      <c r="AK862" s="799"/>
      <c r="AL862" s="799"/>
      <c r="AM862" s="799"/>
      <c r="AN862" s="799"/>
      <c r="AO862" s="799"/>
      <c r="AP862" s="799"/>
      <c r="AQ862" s="799"/>
      <c r="AR862" s="799"/>
      <c r="AS862" s="799"/>
      <c r="AT862" s="799"/>
      <c r="AU862" s="799"/>
      <c r="AV862" s="799"/>
      <c r="AW862" s="799"/>
      <c r="AX862" s="799"/>
      <c r="AY862" s="799"/>
      <c r="AZ862" s="799"/>
      <c r="BA862" s="799"/>
      <c r="BB862" s="799"/>
      <c r="BC862" s="799"/>
      <c r="BD862" s="799"/>
      <c r="BE862" s="799"/>
      <c r="BF862" s="799"/>
      <c r="BG862" s="799"/>
    </row>
    <row r="863">
      <c r="H863" s="799"/>
      <c r="I863" s="799"/>
      <c r="J863" s="799"/>
      <c r="K863" s="799"/>
      <c r="L863" s="799"/>
      <c r="M863" s="799"/>
      <c r="N863" s="799"/>
      <c r="O863" s="799"/>
      <c r="P863" s="799"/>
      <c r="Q863" s="799"/>
      <c r="R863" s="799"/>
      <c r="S863" s="799"/>
      <c r="T863" s="799"/>
      <c r="U863" s="799"/>
      <c r="V863" s="799"/>
      <c r="W863" s="799"/>
      <c r="X863" s="799"/>
      <c r="Y863" s="799"/>
      <c r="Z863" s="799"/>
      <c r="AA863" s="799"/>
      <c r="AB863" s="799"/>
      <c r="AC863" s="799"/>
      <c r="AD863" s="799"/>
      <c r="AE863" s="799"/>
      <c r="AF863" s="799"/>
      <c r="AG863" s="799"/>
      <c r="AH863" s="799"/>
      <c r="AI863" s="799"/>
      <c r="AJ863" s="799"/>
      <c r="AK863" s="799"/>
      <c r="AL863" s="799"/>
      <c r="AM863" s="799"/>
      <c r="AN863" s="799"/>
      <c r="AO863" s="799"/>
      <c r="AP863" s="799"/>
      <c r="AQ863" s="799"/>
      <c r="AR863" s="799"/>
      <c r="AS863" s="799"/>
      <c r="AT863" s="799"/>
      <c r="AU863" s="799"/>
      <c r="AV863" s="799"/>
      <c r="AW863" s="799"/>
      <c r="AX863" s="799"/>
      <c r="AY863" s="799"/>
      <c r="AZ863" s="799"/>
      <c r="BA863" s="799"/>
      <c r="BB863" s="799"/>
      <c r="BC863" s="799"/>
      <c r="BD863" s="799"/>
      <c r="BE863" s="799"/>
      <c r="BF863" s="799"/>
      <c r="BG863" s="799"/>
    </row>
    <row r="864">
      <c r="H864" s="799"/>
      <c r="I864" s="799"/>
      <c r="J864" s="799"/>
      <c r="K864" s="799"/>
      <c r="L864" s="799"/>
      <c r="M864" s="799"/>
      <c r="N864" s="799"/>
      <c r="O864" s="799"/>
      <c r="P864" s="799"/>
      <c r="Q864" s="799"/>
      <c r="R864" s="799"/>
      <c r="S864" s="799"/>
      <c r="T864" s="799"/>
      <c r="U864" s="799"/>
      <c r="V864" s="799"/>
      <c r="W864" s="799"/>
      <c r="X864" s="799"/>
      <c r="Y864" s="799"/>
      <c r="Z864" s="799"/>
      <c r="AA864" s="799"/>
      <c r="AB864" s="799"/>
      <c r="AC864" s="799"/>
      <c r="AD864" s="799"/>
      <c r="AE864" s="799"/>
      <c r="AF864" s="799"/>
      <c r="AG864" s="799"/>
      <c r="AH864" s="799"/>
      <c r="AI864" s="799"/>
      <c r="AJ864" s="799"/>
      <c r="AK864" s="799"/>
      <c r="AL864" s="799"/>
      <c r="AM864" s="799"/>
      <c r="AN864" s="799"/>
      <c r="AO864" s="799"/>
      <c r="AP864" s="799"/>
      <c r="AQ864" s="799"/>
      <c r="AR864" s="799"/>
      <c r="AS864" s="799"/>
      <c r="AT864" s="799"/>
      <c r="AU864" s="799"/>
      <c r="AV864" s="799"/>
      <c r="AW864" s="799"/>
      <c r="AX864" s="799"/>
      <c r="AY864" s="799"/>
      <c r="AZ864" s="799"/>
      <c r="BA864" s="799"/>
      <c r="BB864" s="799"/>
      <c r="BC864" s="799"/>
      <c r="BD864" s="799"/>
      <c r="BE864" s="799"/>
      <c r="BF864" s="799"/>
      <c r="BG864" s="799"/>
    </row>
    <row r="865">
      <c r="H865" s="799"/>
      <c r="I865" s="799"/>
      <c r="J865" s="799"/>
      <c r="K865" s="799"/>
      <c r="L865" s="799"/>
      <c r="M865" s="799"/>
      <c r="N865" s="799"/>
      <c r="O865" s="799"/>
      <c r="P865" s="799"/>
      <c r="Q865" s="799"/>
      <c r="R865" s="799"/>
      <c r="S865" s="799"/>
      <c r="T865" s="799"/>
      <c r="U865" s="799"/>
      <c r="V865" s="799"/>
      <c r="W865" s="799"/>
      <c r="X865" s="799"/>
      <c r="Y865" s="799"/>
      <c r="Z865" s="799"/>
      <c r="AA865" s="799"/>
      <c r="AB865" s="799"/>
      <c r="AC865" s="799"/>
      <c r="AD865" s="799"/>
      <c r="AE865" s="799"/>
      <c r="AF865" s="799"/>
      <c r="AG865" s="799"/>
      <c r="AH865" s="799"/>
      <c r="AI865" s="799"/>
      <c r="AJ865" s="799"/>
      <c r="AK865" s="799"/>
      <c r="AL865" s="799"/>
      <c r="AM865" s="799"/>
      <c r="AN865" s="799"/>
      <c r="AO865" s="799"/>
      <c r="AP865" s="799"/>
      <c r="AQ865" s="799"/>
      <c r="AR865" s="799"/>
      <c r="AS865" s="799"/>
      <c r="AT865" s="799"/>
      <c r="AU865" s="799"/>
      <c r="AV865" s="799"/>
      <c r="AW865" s="799"/>
      <c r="AX865" s="799"/>
      <c r="AY865" s="799"/>
      <c r="AZ865" s="799"/>
      <c r="BA865" s="799"/>
      <c r="BB865" s="799"/>
      <c r="BC865" s="799"/>
      <c r="BD865" s="799"/>
      <c r="BE865" s="799"/>
      <c r="BF865" s="799"/>
      <c r="BG865" s="799"/>
    </row>
    <row r="866">
      <c r="H866" s="799"/>
      <c r="I866" s="799"/>
      <c r="J866" s="799"/>
      <c r="K866" s="799"/>
      <c r="L866" s="799"/>
      <c r="M866" s="799"/>
      <c r="N866" s="799"/>
      <c r="O866" s="799"/>
      <c r="P866" s="799"/>
      <c r="Q866" s="799"/>
      <c r="R866" s="799"/>
      <c r="S866" s="799"/>
      <c r="T866" s="799"/>
      <c r="U866" s="799"/>
      <c r="V866" s="799"/>
      <c r="W866" s="799"/>
      <c r="X866" s="799"/>
      <c r="Y866" s="799"/>
      <c r="Z866" s="799"/>
      <c r="AA866" s="799"/>
      <c r="AB866" s="799"/>
      <c r="AC866" s="799"/>
      <c r="AD866" s="799"/>
      <c r="AE866" s="799"/>
      <c r="AF866" s="799"/>
      <c r="AG866" s="799"/>
      <c r="AH866" s="799"/>
      <c r="AI866" s="799"/>
      <c r="AJ866" s="799"/>
      <c r="AK866" s="799"/>
      <c r="AL866" s="799"/>
      <c r="AM866" s="799"/>
      <c r="AN866" s="799"/>
      <c r="AO866" s="799"/>
      <c r="AP866" s="799"/>
      <c r="AQ866" s="799"/>
      <c r="AR866" s="799"/>
      <c r="AS866" s="799"/>
      <c r="AT866" s="799"/>
      <c r="AU866" s="799"/>
      <c r="AV866" s="799"/>
      <c r="AW866" s="799"/>
      <c r="AX866" s="799"/>
      <c r="AY866" s="799"/>
      <c r="AZ866" s="799"/>
      <c r="BA866" s="799"/>
      <c r="BB866" s="799"/>
      <c r="BC866" s="799"/>
      <c r="BD866" s="799"/>
      <c r="BE866" s="799"/>
      <c r="BF866" s="799"/>
      <c r="BG866" s="799"/>
    </row>
    <row r="867">
      <c r="H867" s="799"/>
      <c r="I867" s="799"/>
      <c r="J867" s="799"/>
      <c r="K867" s="799"/>
      <c r="L867" s="799"/>
      <c r="M867" s="799"/>
      <c r="N867" s="799"/>
      <c r="O867" s="799"/>
      <c r="P867" s="799"/>
      <c r="Q867" s="799"/>
      <c r="R867" s="799"/>
      <c r="S867" s="799"/>
      <c r="T867" s="799"/>
      <c r="U867" s="799"/>
      <c r="V867" s="799"/>
      <c r="W867" s="799"/>
      <c r="X867" s="799"/>
      <c r="Y867" s="799"/>
      <c r="Z867" s="799"/>
      <c r="AA867" s="799"/>
      <c r="AB867" s="799"/>
      <c r="AC867" s="799"/>
      <c r="AD867" s="799"/>
      <c r="AE867" s="799"/>
      <c r="AF867" s="799"/>
      <c r="AG867" s="799"/>
      <c r="AH867" s="799"/>
      <c r="AI867" s="799"/>
      <c r="AJ867" s="799"/>
      <c r="AK867" s="799"/>
      <c r="AL867" s="799"/>
      <c r="AM867" s="799"/>
      <c r="AN867" s="799"/>
      <c r="AO867" s="799"/>
      <c r="AP867" s="799"/>
      <c r="AQ867" s="799"/>
      <c r="AR867" s="799"/>
      <c r="AS867" s="799"/>
      <c r="AT867" s="799"/>
      <c r="AU867" s="799"/>
      <c r="AV867" s="799"/>
      <c r="AW867" s="799"/>
      <c r="AX867" s="799"/>
      <c r="AY867" s="799"/>
      <c r="AZ867" s="799"/>
      <c r="BA867" s="799"/>
      <c r="BB867" s="799"/>
      <c r="BC867" s="799"/>
      <c r="BD867" s="799"/>
      <c r="BE867" s="799"/>
      <c r="BF867" s="799"/>
      <c r="BG867" s="799"/>
    </row>
    <row r="868">
      <c r="H868" s="799"/>
      <c r="I868" s="799"/>
      <c r="J868" s="799"/>
      <c r="K868" s="799"/>
      <c r="L868" s="799"/>
      <c r="M868" s="799"/>
      <c r="N868" s="799"/>
      <c r="O868" s="799"/>
      <c r="P868" s="799"/>
      <c r="Q868" s="799"/>
      <c r="R868" s="799"/>
      <c r="S868" s="799"/>
      <c r="T868" s="799"/>
      <c r="U868" s="799"/>
      <c r="V868" s="799"/>
      <c r="W868" s="799"/>
      <c r="X868" s="799"/>
      <c r="Y868" s="799"/>
      <c r="Z868" s="799"/>
      <c r="AA868" s="799"/>
      <c r="AB868" s="799"/>
      <c r="AC868" s="799"/>
      <c r="AD868" s="799"/>
      <c r="AE868" s="799"/>
      <c r="AF868" s="799"/>
      <c r="AG868" s="799"/>
      <c r="AH868" s="799"/>
      <c r="AI868" s="799"/>
      <c r="AJ868" s="799"/>
      <c r="AK868" s="799"/>
      <c r="AL868" s="799"/>
      <c r="AM868" s="799"/>
      <c r="AN868" s="799"/>
      <c r="AO868" s="799"/>
      <c r="AP868" s="799"/>
      <c r="AQ868" s="799"/>
      <c r="AR868" s="799"/>
      <c r="AS868" s="799"/>
      <c r="AT868" s="799"/>
      <c r="AU868" s="799"/>
      <c r="AV868" s="799"/>
      <c r="AW868" s="799"/>
      <c r="AX868" s="799"/>
      <c r="AY868" s="799"/>
      <c r="AZ868" s="799"/>
      <c r="BA868" s="799"/>
      <c r="BB868" s="799"/>
      <c r="BC868" s="799"/>
      <c r="BD868" s="799"/>
      <c r="BE868" s="799"/>
      <c r="BF868" s="799"/>
      <c r="BG868" s="799"/>
    </row>
    <row r="869">
      <c r="H869" s="799"/>
      <c r="I869" s="799"/>
      <c r="J869" s="799"/>
      <c r="K869" s="799"/>
      <c r="L869" s="799"/>
      <c r="M869" s="799"/>
      <c r="N869" s="799"/>
      <c r="O869" s="799"/>
      <c r="P869" s="799"/>
      <c r="Q869" s="799"/>
      <c r="R869" s="799"/>
      <c r="S869" s="799"/>
      <c r="T869" s="799"/>
      <c r="U869" s="799"/>
      <c r="V869" s="799"/>
      <c r="W869" s="799"/>
      <c r="X869" s="799"/>
      <c r="Y869" s="799"/>
      <c r="Z869" s="799"/>
      <c r="AA869" s="799"/>
      <c r="AB869" s="799"/>
      <c r="AC869" s="799"/>
      <c r="AD869" s="799"/>
      <c r="AE869" s="799"/>
      <c r="AF869" s="799"/>
      <c r="AG869" s="799"/>
      <c r="AH869" s="799"/>
      <c r="AI869" s="799"/>
      <c r="AJ869" s="799"/>
      <c r="AK869" s="799"/>
      <c r="AL869" s="799"/>
      <c r="AM869" s="799"/>
      <c r="AN869" s="799"/>
      <c r="AO869" s="799"/>
      <c r="AP869" s="799"/>
      <c r="AQ869" s="799"/>
      <c r="AR869" s="799"/>
      <c r="AS869" s="799"/>
      <c r="AT869" s="799"/>
      <c r="AU869" s="799"/>
      <c r="AV869" s="799"/>
      <c r="AW869" s="799"/>
      <c r="AX869" s="799"/>
      <c r="AY869" s="799"/>
      <c r="AZ869" s="799"/>
      <c r="BA869" s="799"/>
      <c r="BB869" s="799"/>
      <c r="BC869" s="799"/>
      <c r="BD869" s="799"/>
      <c r="BE869" s="799"/>
      <c r="BF869" s="799"/>
      <c r="BG869" s="799"/>
    </row>
    <row r="870">
      <c r="H870" s="799"/>
      <c r="I870" s="799"/>
      <c r="J870" s="799"/>
      <c r="K870" s="799"/>
      <c r="L870" s="799"/>
      <c r="M870" s="799"/>
      <c r="N870" s="799"/>
      <c r="O870" s="799"/>
      <c r="P870" s="799"/>
      <c r="Q870" s="799"/>
      <c r="R870" s="799"/>
      <c r="S870" s="799"/>
      <c r="T870" s="799"/>
      <c r="U870" s="799"/>
      <c r="V870" s="799"/>
      <c r="W870" s="799"/>
      <c r="X870" s="799"/>
      <c r="Y870" s="799"/>
      <c r="Z870" s="799"/>
      <c r="AA870" s="799"/>
      <c r="AB870" s="799"/>
      <c r="AC870" s="799"/>
      <c r="AD870" s="799"/>
      <c r="AE870" s="799"/>
      <c r="AF870" s="799"/>
      <c r="AG870" s="799"/>
      <c r="AH870" s="799"/>
      <c r="AI870" s="799"/>
      <c r="AJ870" s="799"/>
      <c r="AK870" s="799"/>
      <c r="AL870" s="799"/>
      <c r="AM870" s="799"/>
      <c r="AN870" s="799"/>
      <c r="AO870" s="799"/>
      <c r="AP870" s="799"/>
      <c r="AQ870" s="799"/>
      <c r="AR870" s="799"/>
      <c r="AS870" s="799"/>
      <c r="AT870" s="799"/>
      <c r="AU870" s="799"/>
      <c r="AV870" s="799"/>
      <c r="AW870" s="799"/>
      <c r="AX870" s="799"/>
      <c r="AY870" s="799"/>
      <c r="AZ870" s="799"/>
      <c r="BA870" s="799"/>
      <c r="BB870" s="799"/>
      <c r="BC870" s="799"/>
      <c r="BD870" s="799"/>
      <c r="BE870" s="799"/>
      <c r="BF870" s="799"/>
      <c r="BG870" s="799"/>
    </row>
    <row r="871">
      <c r="H871" s="799"/>
      <c r="I871" s="799"/>
      <c r="J871" s="799"/>
      <c r="K871" s="799"/>
      <c r="L871" s="799"/>
      <c r="M871" s="799"/>
      <c r="N871" s="799"/>
      <c r="O871" s="799"/>
      <c r="P871" s="799"/>
      <c r="Q871" s="799"/>
      <c r="R871" s="799"/>
      <c r="S871" s="799"/>
      <c r="T871" s="799"/>
      <c r="U871" s="799"/>
      <c r="V871" s="799"/>
      <c r="W871" s="799"/>
      <c r="X871" s="799"/>
      <c r="Y871" s="799"/>
      <c r="Z871" s="799"/>
      <c r="AA871" s="799"/>
      <c r="AB871" s="799"/>
      <c r="AC871" s="799"/>
      <c r="AD871" s="799"/>
      <c r="AE871" s="799"/>
      <c r="AF871" s="799"/>
      <c r="AG871" s="799"/>
      <c r="AH871" s="799"/>
      <c r="AI871" s="799"/>
      <c r="AJ871" s="799"/>
      <c r="AK871" s="799"/>
      <c r="AL871" s="799"/>
      <c r="AM871" s="799"/>
      <c r="AN871" s="799"/>
      <c r="AO871" s="799"/>
      <c r="AP871" s="799"/>
      <c r="AQ871" s="799"/>
      <c r="AR871" s="799"/>
      <c r="AS871" s="799"/>
      <c r="AT871" s="799"/>
      <c r="AU871" s="799"/>
      <c r="AV871" s="799"/>
      <c r="AW871" s="799"/>
      <c r="AX871" s="799"/>
      <c r="AY871" s="799"/>
      <c r="AZ871" s="799"/>
      <c r="BA871" s="799"/>
      <c r="BB871" s="799"/>
      <c r="BC871" s="799"/>
      <c r="BD871" s="799"/>
      <c r="BE871" s="799"/>
      <c r="BF871" s="799"/>
      <c r="BG871" s="799"/>
    </row>
    <row r="872">
      <c r="H872" s="799"/>
      <c r="I872" s="799"/>
      <c r="J872" s="799"/>
      <c r="K872" s="799"/>
      <c r="L872" s="799"/>
      <c r="M872" s="799"/>
      <c r="N872" s="799"/>
      <c r="O872" s="799"/>
      <c r="P872" s="799"/>
      <c r="Q872" s="799"/>
      <c r="R872" s="799"/>
      <c r="S872" s="799"/>
      <c r="T872" s="799"/>
      <c r="U872" s="799"/>
      <c r="V872" s="799"/>
      <c r="W872" s="799"/>
      <c r="X872" s="799"/>
      <c r="Y872" s="799"/>
      <c r="Z872" s="799"/>
      <c r="AA872" s="799"/>
      <c r="AB872" s="799"/>
      <c r="AC872" s="799"/>
      <c r="AD872" s="799"/>
      <c r="AE872" s="799"/>
      <c r="AF872" s="799"/>
      <c r="AG872" s="799"/>
      <c r="AH872" s="799"/>
      <c r="AI872" s="799"/>
      <c r="AJ872" s="799"/>
      <c r="AK872" s="799"/>
      <c r="AL872" s="799"/>
      <c r="AM872" s="799"/>
      <c r="AN872" s="799"/>
      <c r="AO872" s="799"/>
      <c r="AP872" s="799"/>
      <c r="AQ872" s="799"/>
      <c r="AR872" s="799"/>
      <c r="AS872" s="799"/>
      <c r="AT872" s="799"/>
      <c r="AU872" s="799"/>
      <c r="AV872" s="799"/>
      <c r="AW872" s="799"/>
      <c r="AX872" s="799"/>
      <c r="AY872" s="799"/>
      <c r="AZ872" s="799"/>
      <c r="BA872" s="799"/>
      <c r="BB872" s="799"/>
      <c r="BC872" s="799"/>
      <c r="BD872" s="799"/>
      <c r="BE872" s="799"/>
      <c r="BF872" s="799"/>
      <c r="BG872" s="799"/>
    </row>
    <row r="873">
      <c r="H873" s="799"/>
      <c r="I873" s="799"/>
      <c r="J873" s="799"/>
      <c r="K873" s="799"/>
      <c r="L873" s="799"/>
      <c r="M873" s="799"/>
      <c r="N873" s="799"/>
      <c r="O873" s="799"/>
      <c r="P873" s="799"/>
      <c r="Q873" s="799"/>
      <c r="R873" s="799"/>
      <c r="S873" s="799"/>
      <c r="T873" s="799"/>
      <c r="U873" s="799"/>
      <c r="V873" s="799"/>
      <c r="W873" s="799"/>
      <c r="X873" s="799"/>
      <c r="Y873" s="799"/>
      <c r="Z873" s="799"/>
      <c r="AA873" s="799"/>
      <c r="AB873" s="799"/>
      <c r="AC873" s="799"/>
      <c r="AD873" s="799"/>
      <c r="AE873" s="799"/>
      <c r="AF873" s="799"/>
      <c r="AG873" s="799"/>
      <c r="AH873" s="799"/>
      <c r="AI873" s="799"/>
      <c r="AJ873" s="799"/>
      <c r="AK873" s="799"/>
      <c r="AL873" s="799"/>
      <c r="AM873" s="799"/>
      <c r="AN873" s="799"/>
      <c r="AO873" s="799"/>
      <c r="AP873" s="799"/>
      <c r="AQ873" s="799"/>
      <c r="AR873" s="799"/>
      <c r="AS873" s="799"/>
      <c r="AT873" s="799"/>
      <c r="AU873" s="799"/>
      <c r="AV873" s="799"/>
      <c r="AW873" s="799"/>
      <c r="AX873" s="799"/>
      <c r="AY873" s="799"/>
      <c r="AZ873" s="799"/>
      <c r="BA873" s="799"/>
      <c r="BB873" s="799"/>
      <c r="BC873" s="799"/>
      <c r="BD873" s="799"/>
      <c r="BE873" s="799"/>
      <c r="BF873" s="799"/>
      <c r="BG873" s="799"/>
    </row>
    <row r="874">
      <c r="H874" s="799"/>
      <c r="I874" s="799"/>
      <c r="J874" s="799"/>
      <c r="K874" s="799"/>
      <c r="L874" s="799"/>
      <c r="M874" s="799"/>
      <c r="N874" s="799"/>
      <c r="O874" s="799"/>
      <c r="P874" s="799"/>
      <c r="Q874" s="799"/>
      <c r="R874" s="799"/>
      <c r="S874" s="799"/>
      <c r="T874" s="799"/>
      <c r="U874" s="799"/>
      <c r="V874" s="799"/>
      <c r="W874" s="799"/>
      <c r="X874" s="799"/>
      <c r="Y874" s="799"/>
      <c r="Z874" s="799"/>
      <c r="AA874" s="799"/>
      <c r="AB874" s="799"/>
      <c r="AC874" s="799"/>
      <c r="AD874" s="799"/>
      <c r="AE874" s="799"/>
      <c r="AF874" s="799"/>
      <c r="AG874" s="799"/>
      <c r="AH874" s="799"/>
      <c r="AI874" s="799"/>
      <c r="AJ874" s="799"/>
      <c r="AK874" s="799"/>
      <c r="AL874" s="799"/>
      <c r="AM874" s="799"/>
      <c r="AN874" s="799"/>
      <c r="AO874" s="799"/>
      <c r="AP874" s="799"/>
      <c r="AQ874" s="799"/>
      <c r="AR874" s="799"/>
      <c r="AS874" s="799"/>
      <c r="AT874" s="799"/>
      <c r="AU874" s="799"/>
      <c r="AV874" s="799"/>
      <c r="AW874" s="799"/>
      <c r="AX874" s="799"/>
      <c r="AY874" s="799"/>
      <c r="AZ874" s="799"/>
      <c r="BA874" s="799"/>
      <c r="BB874" s="799"/>
      <c r="BC874" s="799"/>
      <c r="BD874" s="799"/>
      <c r="BE874" s="799"/>
      <c r="BF874" s="799"/>
      <c r="BG874" s="799"/>
    </row>
    <row r="875">
      <c r="H875" s="799"/>
      <c r="I875" s="799"/>
      <c r="J875" s="799"/>
      <c r="K875" s="799"/>
      <c r="L875" s="799"/>
      <c r="M875" s="799"/>
      <c r="N875" s="799"/>
      <c r="O875" s="799"/>
      <c r="P875" s="799"/>
      <c r="Q875" s="799"/>
      <c r="R875" s="799"/>
      <c r="S875" s="799"/>
      <c r="T875" s="799"/>
      <c r="U875" s="799"/>
      <c r="V875" s="799"/>
      <c r="W875" s="799"/>
      <c r="X875" s="799"/>
      <c r="Y875" s="799"/>
      <c r="Z875" s="799"/>
      <c r="AA875" s="799"/>
      <c r="AB875" s="799"/>
      <c r="AC875" s="799"/>
      <c r="AD875" s="799"/>
      <c r="AE875" s="799"/>
      <c r="AF875" s="799"/>
      <c r="AG875" s="799"/>
      <c r="AH875" s="799"/>
      <c r="AI875" s="799"/>
      <c r="AJ875" s="799"/>
      <c r="AK875" s="799"/>
      <c r="AL875" s="799"/>
      <c r="AM875" s="799"/>
      <c r="AN875" s="799"/>
      <c r="AO875" s="799"/>
      <c r="AP875" s="799"/>
      <c r="AQ875" s="799"/>
      <c r="AR875" s="799"/>
      <c r="AS875" s="799"/>
      <c r="AT875" s="799"/>
      <c r="AU875" s="799"/>
      <c r="AV875" s="799"/>
      <c r="AW875" s="799"/>
      <c r="AX875" s="799"/>
      <c r="AY875" s="799"/>
      <c r="AZ875" s="799"/>
      <c r="BA875" s="799"/>
      <c r="BB875" s="799"/>
      <c r="BC875" s="799"/>
      <c r="BD875" s="799"/>
      <c r="BE875" s="799"/>
      <c r="BF875" s="799"/>
      <c r="BG875" s="799"/>
    </row>
    <row r="876">
      <c r="H876" s="799"/>
      <c r="I876" s="799"/>
      <c r="J876" s="799"/>
      <c r="K876" s="799"/>
      <c r="L876" s="799"/>
      <c r="M876" s="799"/>
      <c r="N876" s="799"/>
      <c r="O876" s="799"/>
      <c r="P876" s="799"/>
      <c r="Q876" s="799"/>
      <c r="R876" s="799"/>
      <c r="S876" s="799"/>
      <c r="T876" s="799"/>
      <c r="U876" s="799"/>
      <c r="V876" s="799"/>
      <c r="W876" s="799"/>
      <c r="X876" s="799"/>
      <c r="Y876" s="799"/>
      <c r="Z876" s="799"/>
      <c r="AA876" s="799"/>
      <c r="AB876" s="799"/>
      <c r="AC876" s="799"/>
      <c r="AD876" s="799"/>
      <c r="AE876" s="799"/>
      <c r="AF876" s="799"/>
      <c r="AG876" s="799"/>
      <c r="AH876" s="799"/>
      <c r="AI876" s="799"/>
      <c r="AJ876" s="799"/>
      <c r="AK876" s="799"/>
      <c r="AL876" s="799"/>
      <c r="AM876" s="799"/>
      <c r="AN876" s="799"/>
      <c r="AO876" s="799"/>
      <c r="AP876" s="799"/>
      <c r="AQ876" s="799"/>
      <c r="AR876" s="799"/>
      <c r="AS876" s="799"/>
      <c r="AT876" s="799"/>
      <c r="AU876" s="799"/>
      <c r="AV876" s="799"/>
      <c r="AW876" s="799"/>
      <c r="AX876" s="799"/>
      <c r="AY876" s="799"/>
      <c r="AZ876" s="799"/>
      <c r="BA876" s="799"/>
      <c r="BB876" s="799"/>
      <c r="BC876" s="799"/>
      <c r="BD876" s="799"/>
      <c r="BE876" s="799"/>
      <c r="BF876" s="799"/>
      <c r="BG876" s="799"/>
    </row>
    <row r="877">
      <c r="H877" s="799"/>
      <c r="I877" s="799"/>
      <c r="J877" s="799"/>
      <c r="K877" s="799"/>
      <c r="L877" s="799"/>
      <c r="M877" s="799"/>
      <c r="N877" s="799"/>
      <c r="O877" s="799"/>
      <c r="P877" s="799"/>
      <c r="Q877" s="799"/>
      <c r="R877" s="799"/>
      <c r="S877" s="799"/>
      <c r="T877" s="799"/>
      <c r="U877" s="799"/>
      <c r="V877" s="799"/>
      <c r="W877" s="799"/>
      <c r="X877" s="799"/>
      <c r="Y877" s="799"/>
      <c r="Z877" s="799"/>
      <c r="AA877" s="799"/>
      <c r="AB877" s="799"/>
      <c r="AC877" s="799"/>
      <c r="AD877" s="799"/>
      <c r="AE877" s="799"/>
      <c r="AF877" s="799"/>
      <c r="AG877" s="799"/>
      <c r="AH877" s="799"/>
      <c r="AI877" s="799"/>
      <c r="AJ877" s="799"/>
      <c r="AK877" s="799"/>
      <c r="AL877" s="799"/>
      <c r="AM877" s="799"/>
      <c r="AN877" s="799"/>
      <c r="AO877" s="799"/>
      <c r="AP877" s="799"/>
      <c r="AQ877" s="799"/>
      <c r="AR877" s="799"/>
      <c r="AS877" s="799"/>
      <c r="AT877" s="799"/>
      <c r="AU877" s="799"/>
      <c r="AV877" s="799"/>
      <c r="AW877" s="799"/>
      <c r="AX877" s="799"/>
      <c r="AY877" s="799"/>
      <c r="AZ877" s="799"/>
      <c r="BA877" s="799"/>
      <c r="BB877" s="799"/>
      <c r="BC877" s="799"/>
      <c r="BD877" s="799"/>
      <c r="BE877" s="799"/>
      <c r="BF877" s="799"/>
      <c r="BG877" s="799"/>
    </row>
    <row r="878">
      <c r="H878" s="799"/>
      <c r="I878" s="799"/>
      <c r="J878" s="799"/>
      <c r="K878" s="799"/>
      <c r="L878" s="799"/>
      <c r="M878" s="799"/>
      <c r="N878" s="799"/>
      <c r="O878" s="799"/>
      <c r="P878" s="799"/>
      <c r="Q878" s="799"/>
      <c r="R878" s="799"/>
      <c r="S878" s="799"/>
      <c r="T878" s="799"/>
      <c r="U878" s="799"/>
      <c r="V878" s="799"/>
      <c r="W878" s="799"/>
      <c r="X878" s="799"/>
      <c r="Y878" s="799"/>
      <c r="Z878" s="799"/>
      <c r="AA878" s="799"/>
      <c r="AB878" s="799"/>
      <c r="AC878" s="799"/>
      <c r="AD878" s="799"/>
      <c r="AE878" s="799"/>
      <c r="AF878" s="799"/>
      <c r="AG878" s="799"/>
      <c r="AH878" s="799"/>
      <c r="AI878" s="799"/>
      <c r="AJ878" s="799"/>
      <c r="AK878" s="799"/>
      <c r="AL878" s="799"/>
      <c r="AM878" s="799"/>
      <c r="AN878" s="799"/>
      <c r="AO878" s="799"/>
      <c r="AP878" s="799"/>
      <c r="AQ878" s="799"/>
      <c r="AR878" s="799"/>
      <c r="AS878" s="799"/>
      <c r="AT878" s="799"/>
      <c r="AU878" s="799"/>
      <c r="AV878" s="799"/>
      <c r="AW878" s="799"/>
      <c r="AX878" s="799"/>
      <c r="AY878" s="799"/>
      <c r="AZ878" s="799"/>
      <c r="BA878" s="799"/>
      <c r="BB878" s="799"/>
      <c r="BC878" s="799"/>
      <c r="BD878" s="799"/>
      <c r="BE878" s="799"/>
      <c r="BF878" s="799"/>
      <c r="BG878" s="799"/>
    </row>
    <row r="879">
      <c r="H879" s="799"/>
      <c r="I879" s="799"/>
      <c r="J879" s="799"/>
      <c r="K879" s="799"/>
      <c r="L879" s="799"/>
      <c r="M879" s="799"/>
      <c r="N879" s="799"/>
      <c r="O879" s="799"/>
      <c r="P879" s="799"/>
      <c r="Q879" s="799"/>
      <c r="R879" s="799"/>
      <c r="S879" s="799"/>
      <c r="T879" s="799"/>
      <c r="U879" s="799"/>
      <c r="V879" s="799"/>
      <c r="W879" s="799"/>
      <c r="X879" s="799"/>
      <c r="Y879" s="799"/>
      <c r="Z879" s="799"/>
      <c r="AA879" s="799"/>
      <c r="AB879" s="799"/>
      <c r="AC879" s="799"/>
      <c r="AD879" s="799"/>
      <c r="AE879" s="799"/>
      <c r="AF879" s="799"/>
      <c r="AG879" s="799"/>
      <c r="AH879" s="799"/>
      <c r="AI879" s="799"/>
      <c r="AJ879" s="799"/>
      <c r="AK879" s="799"/>
      <c r="AL879" s="799"/>
      <c r="AM879" s="799"/>
      <c r="AN879" s="799"/>
      <c r="AO879" s="799"/>
      <c r="AP879" s="799"/>
      <c r="AQ879" s="799"/>
      <c r="AR879" s="799"/>
      <c r="AS879" s="799"/>
      <c r="AT879" s="799"/>
      <c r="AU879" s="799"/>
      <c r="AV879" s="799"/>
      <c r="AW879" s="799"/>
      <c r="AX879" s="799"/>
      <c r="AY879" s="799"/>
      <c r="AZ879" s="799"/>
      <c r="BA879" s="799"/>
      <c r="BB879" s="799"/>
      <c r="BC879" s="799"/>
      <c r="BD879" s="799"/>
      <c r="BE879" s="799"/>
      <c r="BF879" s="799"/>
      <c r="BG879" s="799"/>
    </row>
    <row r="880">
      <c r="H880" s="799"/>
      <c r="I880" s="799"/>
      <c r="J880" s="799"/>
      <c r="K880" s="799"/>
      <c r="L880" s="799"/>
      <c r="M880" s="799"/>
      <c r="N880" s="799"/>
      <c r="O880" s="799"/>
      <c r="P880" s="799"/>
      <c r="Q880" s="799"/>
      <c r="R880" s="799"/>
      <c r="S880" s="799"/>
      <c r="T880" s="799"/>
      <c r="U880" s="799"/>
      <c r="V880" s="799"/>
      <c r="W880" s="799"/>
      <c r="X880" s="799"/>
      <c r="Y880" s="799"/>
      <c r="Z880" s="799"/>
      <c r="AA880" s="799"/>
      <c r="AB880" s="799"/>
      <c r="AC880" s="799"/>
      <c r="AD880" s="799"/>
      <c r="AE880" s="799"/>
      <c r="AF880" s="799"/>
      <c r="AG880" s="799"/>
      <c r="AH880" s="799"/>
      <c r="AI880" s="799"/>
      <c r="AJ880" s="799"/>
      <c r="AK880" s="799"/>
      <c r="AL880" s="799"/>
      <c r="AM880" s="799"/>
      <c r="AN880" s="799"/>
      <c r="AO880" s="799"/>
      <c r="AP880" s="799"/>
      <c r="AQ880" s="799"/>
      <c r="AR880" s="799"/>
      <c r="AS880" s="799"/>
      <c r="AT880" s="799"/>
      <c r="AU880" s="799"/>
      <c r="AV880" s="799"/>
      <c r="AW880" s="799"/>
      <c r="AX880" s="799"/>
      <c r="AY880" s="799"/>
      <c r="AZ880" s="799"/>
      <c r="BA880" s="799"/>
      <c r="BB880" s="799"/>
      <c r="BC880" s="799"/>
      <c r="BD880" s="799"/>
      <c r="BE880" s="799"/>
      <c r="BF880" s="799"/>
      <c r="BG880" s="799"/>
    </row>
    <row r="881">
      <c r="H881" s="799"/>
      <c r="I881" s="799"/>
      <c r="J881" s="799"/>
      <c r="K881" s="799"/>
      <c r="L881" s="799"/>
      <c r="M881" s="799"/>
      <c r="N881" s="799"/>
      <c r="O881" s="799"/>
      <c r="P881" s="799"/>
      <c r="Q881" s="799"/>
      <c r="R881" s="799"/>
      <c r="S881" s="799"/>
      <c r="T881" s="799"/>
      <c r="U881" s="799"/>
      <c r="V881" s="799"/>
      <c r="W881" s="799"/>
      <c r="X881" s="799"/>
      <c r="Y881" s="799"/>
      <c r="Z881" s="799"/>
      <c r="AA881" s="799"/>
      <c r="AB881" s="799"/>
      <c r="AC881" s="799"/>
      <c r="AD881" s="799"/>
      <c r="AE881" s="799"/>
      <c r="AF881" s="799"/>
      <c r="AG881" s="799"/>
      <c r="AH881" s="799"/>
      <c r="AI881" s="799"/>
      <c r="AJ881" s="799"/>
      <c r="AK881" s="799"/>
      <c r="AL881" s="799"/>
      <c r="AM881" s="799"/>
      <c r="AN881" s="799"/>
      <c r="AO881" s="799"/>
      <c r="AP881" s="799"/>
      <c r="AQ881" s="799"/>
      <c r="AR881" s="799"/>
      <c r="AS881" s="799"/>
      <c r="AT881" s="799"/>
      <c r="AU881" s="799"/>
      <c r="AV881" s="799"/>
      <c r="AW881" s="799"/>
      <c r="AX881" s="799"/>
      <c r="AY881" s="799"/>
      <c r="AZ881" s="799"/>
      <c r="BA881" s="799"/>
      <c r="BB881" s="799"/>
      <c r="BC881" s="799"/>
      <c r="BD881" s="799"/>
      <c r="BE881" s="799"/>
      <c r="BF881" s="799"/>
      <c r="BG881" s="799"/>
    </row>
    <row r="882">
      <c r="H882" s="799"/>
      <c r="I882" s="799"/>
      <c r="J882" s="799"/>
      <c r="K882" s="799"/>
      <c r="L882" s="799"/>
      <c r="M882" s="799"/>
      <c r="N882" s="799"/>
      <c r="O882" s="799"/>
      <c r="P882" s="799"/>
      <c r="Q882" s="799"/>
      <c r="R882" s="799"/>
      <c r="S882" s="799"/>
      <c r="T882" s="799"/>
      <c r="U882" s="799"/>
      <c r="V882" s="799"/>
      <c r="W882" s="799"/>
      <c r="X882" s="799"/>
      <c r="Y882" s="799"/>
      <c r="Z882" s="799"/>
      <c r="AA882" s="799"/>
      <c r="AB882" s="799"/>
      <c r="AC882" s="799"/>
      <c r="AD882" s="799"/>
      <c r="AE882" s="799"/>
      <c r="AF882" s="799"/>
      <c r="AG882" s="799"/>
      <c r="AH882" s="799"/>
      <c r="AI882" s="799"/>
      <c r="AJ882" s="799"/>
      <c r="AK882" s="799"/>
      <c r="AL882" s="799"/>
      <c r="AM882" s="799"/>
      <c r="AN882" s="799"/>
      <c r="AO882" s="799"/>
      <c r="AP882" s="799"/>
      <c r="AQ882" s="799"/>
      <c r="AR882" s="799"/>
      <c r="AS882" s="799"/>
      <c r="AT882" s="799"/>
      <c r="AU882" s="799"/>
      <c r="AV882" s="799"/>
      <c r="AW882" s="799"/>
      <c r="AX882" s="799"/>
      <c r="AY882" s="799"/>
      <c r="AZ882" s="799"/>
      <c r="BA882" s="799"/>
      <c r="BB882" s="799"/>
      <c r="BC882" s="799"/>
      <c r="BD882" s="799"/>
      <c r="BE882" s="799"/>
      <c r="BF882" s="799"/>
      <c r="BG882" s="799"/>
    </row>
    <row r="883">
      <c r="H883" s="799"/>
      <c r="I883" s="799"/>
      <c r="J883" s="799"/>
      <c r="K883" s="799"/>
      <c r="L883" s="799"/>
      <c r="M883" s="799"/>
      <c r="N883" s="799"/>
      <c r="O883" s="799"/>
      <c r="P883" s="799"/>
      <c r="Q883" s="799"/>
      <c r="R883" s="799"/>
      <c r="S883" s="799"/>
      <c r="T883" s="799"/>
      <c r="U883" s="799"/>
      <c r="V883" s="799"/>
      <c r="W883" s="799"/>
      <c r="X883" s="799"/>
      <c r="Y883" s="799"/>
      <c r="Z883" s="799"/>
      <c r="AA883" s="799"/>
      <c r="AB883" s="799"/>
      <c r="AC883" s="799"/>
      <c r="AD883" s="799"/>
      <c r="AE883" s="799"/>
      <c r="AF883" s="799"/>
      <c r="AG883" s="799"/>
      <c r="AH883" s="799"/>
      <c r="AI883" s="799"/>
      <c r="AJ883" s="799"/>
      <c r="AK883" s="799"/>
      <c r="AL883" s="799"/>
      <c r="AM883" s="799"/>
      <c r="AN883" s="799"/>
      <c r="AO883" s="799"/>
      <c r="AP883" s="799"/>
      <c r="AQ883" s="799"/>
      <c r="AR883" s="799"/>
      <c r="AS883" s="799"/>
      <c r="AT883" s="799"/>
      <c r="AU883" s="799"/>
      <c r="AV883" s="799"/>
      <c r="AW883" s="799"/>
      <c r="AX883" s="799"/>
      <c r="AY883" s="799"/>
      <c r="AZ883" s="799"/>
      <c r="BA883" s="799"/>
      <c r="BB883" s="799"/>
      <c r="BC883" s="799"/>
      <c r="BD883" s="799"/>
      <c r="BE883" s="799"/>
      <c r="BF883" s="799"/>
      <c r="BG883" s="799"/>
    </row>
    <row r="884">
      <c r="H884" s="799"/>
      <c r="I884" s="799"/>
      <c r="J884" s="799"/>
      <c r="K884" s="799"/>
      <c r="L884" s="799"/>
      <c r="M884" s="799"/>
      <c r="N884" s="799"/>
      <c r="O884" s="799"/>
      <c r="P884" s="799"/>
      <c r="Q884" s="799"/>
      <c r="R884" s="799"/>
      <c r="S884" s="799"/>
      <c r="T884" s="799"/>
      <c r="U884" s="799"/>
      <c r="V884" s="799"/>
      <c r="W884" s="799"/>
      <c r="X884" s="799"/>
      <c r="Y884" s="799"/>
      <c r="Z884" s="799"/>
      <c r="AA884" s="799"/>
      <c r="AB884" s="799"/>
      <c r="AC884" s="799"/>
      <c r="AD884" s="799"/>
      <c r="AE884" s="799"/>
      <c r="AF884" s="799"/>
      <c r="AG884" s="799"/>
      <c r="AH884" s="799"/>
      <c r="AI884" s="799"/>
      <c r="AJ884" s="799"/>
      <c r="AK884" s="799"/>
      <c r="AL884" s="799"/>
      <c r="AM884" s="799"/>
      <c r="AN884" s="799"/>
      <c r="AO884" s="799"/>
      <c r="AP884" s="799"/>
      <c r="AQ884" s="799"/>
      <c r="AR884" s="799"/>
      <c r="AS884" s="799"/>
      <c r="AT884" s="799"/>
      <c r="AU884" s="799"/>
      <c r="AV884" s="799"/>
      <c r="AW884" s="799"/>
      <c r="AX884" s="799"/>
      <c r="AY884" s="799"/>
      <c r="AZ884" s="799"/>
      <c r="BA884" s="799"/>
      <c r="BB884" s="799"/>
      <c r="BC884" s="799"/>
      <c r="BD884" s="799"/>
      <c r="BE884" s="799"/>
      <c r="BF884" s="799"/>
      <c r="BG884" s="799"/>
    </row>
    <row r="885">
      <c r="H885" s="799"/>
      <c r="I885" s="799"/>
      <c r="J885" s="799"/>
      <c r="K885" s="799"/>
      <c r="L885" s="799"/>
      <c r="M885" s="799"/>
      <c r="N885" s="799"/>
      <c r="O885" s="799"/>
      <c r="P885" s="799"/>
      <c r="Q885" s="799"/>
      <c r="R885" s="799"/>
      <c r="S885" s="799"/>
      <c r="T885" s="799"/>
      <c r="U885" s="799"/>
      <c r="V885" s="799"/>
      <c r="W885" s="799"/>
      <c r="X885" s="799"/>
      <c r="Y885" s="799"/>
      <c r="Z885" s="799"/>
      <c r="AA885" s="799"/>
      <c r="AB885" s="799"/>
      <c r="AC885" s="799"/>
      <c r="AD885" s="799"/>
      <c r="AE885" s="799"/>
      <c r="AF885" s="799"/>
      <c r="AG885" s="799"/>
      <c r="AH885" s="799"/>
      <c r="AI885" s="799"/>
      <c r="AJ885" s="799"/>
      <c r="AK885" s="799"/>
      <c r="AL885" s="799"/>
      <c r="AM885" s="799"/>
      <c r="AN885" s="799"/>
      <c r="AO885" s="799"/>
      <c r="AP885" s="799"/>
      <c r="AQ885" s="799"/>
      <c r="AR885" s="799"/>
      <c r="AS885" s="799"/>
      <c r="AT885" s="799"/>
      <c r="AU885" s="799"/>
      <c r="AV885" s="799"/>
      <c r="AW885" s="799"/>
      <c r="AX885" s="799"/>
      <c r="AY885" s="799"/>
      <c r="AZ885" s="799"/>
      <c r="BA885" s="799"/>
      <c r="BB885" s="799"/>
      <c r="BC885" s="799"/>
      <c r="BD885" s="799"/>
      <c r="BE885" s="799"/>
      <c r="BF885" s="799"/>
      <c r="BG885" s="799"/>
    </row>
    <row r="886">
      <c r="H886" s="799"/>
      <c r="I886" s="799"/>
      <c r="J886" s="799"/>
      <c r="K886" s="799"/>
      <c r="L886" s="799"/>
      <c r="M886" s="799"/>
      <c r="N886" s="799"/>
      <c r="O886" s="799"/>
      <c r="P886" s="799"/>
      <c r="Q886" s="799"/>
      <c r="R886" s="799"/>
      <c r="S886" s="799"/>
      <c r="T886" s="799"/>
      <c r="U886" s="799"/>
      <c r="V886" s="799"/>
      <c r="W886" s="799"/>
      <c r="X886" s="799"/>
      <c r="Y886" s="799"/>
      <c r="Z886" s="799"/>
      <c r="AA886" s="799"/>
      <c r="AB886" s="799"/>
      <c r="AC886" s="799"/>
      <c r="AD886" s="799"/>
      <c r="AE886" s="799"/>
      <c r="AF886" s="799"/>
      <c r="AG886" s="799"/>
      <c r="AH886" s="799"/>
      <c r="AI886" s="799"/>
      <c r="AJ886" s="799"/>
      <c r="AK886" s="799"/>
      <c r="AL886" s="799"/>
      <c r="AM886" s="799"/>
      <c r="AN886" s="799"/>
      <c r="AO886" s="799"/>
      <c r="AP886" s="799"/>
      <c r="AQ886" s="799"/>
      <c r="AR886" s="799"/>
      <c r="AS886" s="799"/>
      <c r="AT886" s="799"/>
      <c r="AU886" s="799"/>
      <c r="AV886" s="799"/>
      <c r="AW886" s="799"/>
      <c r="AX886" s="799"/>
      <c r="AY886" s="799"/>
      <c r="AZ886" s="799"/>
      <c r="BA886" s="799"/>
      <c r="BB886" s="799"/>
      <c r="BC886" s="799"/>
      <c r="BD886" s="799"/>
      <c r="BE886" s="799"/>
      <c r="BF886" s="799"/>
      <c r="BG886" s="799"/>
    </row>
    <row r="887">
      <c r="H887" s="799"/>
      <c r="I887" s="799"/>
      <c r="J887" s="799"/>
      <c r="K887" s="799"/>
      <c r="L887" s="799"/>
      <c r="M887" s="799"/>
      <c r="N887" s="799"/>
      <c r="O887" s="799"/>
      <c r="P887" s="799"/>
      <c r="Q887" s="799"/>
      <c r="R887" s="799"/>
      <c r="S887" s="799"/>
      <c r="T887" s="799"/>
      <c r="U887" s="799"/>
      <c r="V887" s="799"/>
      <c r="W887" s="799"/>
      <c r="X887" s="799"/>
      <c r="Y887" s="799"/>
      <c r="Z887" s="799"/>
      <c r="AA887" s="799"/>
      <c r="AB887" s="799"/>
      <c r="AC887" s="799"/>
      <c r="AD887" s="799"/>
      <c r="AE887" s="799"/>
      <c r="AF887" s="799"/>
      <c r="AG887" s="799"/>
      <c r="AH887" s="799"/>
      <c r="AI887" s="799"/>
      <c r="AJ887" s="799"/>
      <c r="AK887" s="799"/>
      <c r="AL887" s="799"/>
      <c r="AM887" s="799"/>
      <c r="AN887" s="799"/>
      <c r="AO887" s="799"/>
      <c r="AP887" s="799"/>
      <c r="AQ887" s="799"/>
      <c r="AR887" s="799"/>
      <c r="AS887" s="799"/>
      <c r="AT887" s="799"/>
      <c r="AU887" s="799"/>
      <c r="AV887" s="799"/>
      <c r="AW887" s="799"/>
      <c r="AX887" s="799"/>
      <c r="AY887" s="799"/>
      <c r="AZ887" s="799"/>
      <c r="BA887" s="799"/>
      <c r="BB887" s="799"/>
      <c r="BC887" s="799"/>
      <c r="BD887" s="799"/>
      <c r="BE887" s="799"/>
      <c r="BF887" s="799"/>
      <c r="BG887" s="799"/>
    </row>
    <row r="888">
      <c r="H888" s="799"/>
      <c r="I888" s="799"/>
      <c r="J888" s="799"/>
      <c r="K888" s="799"/>
      <c r="L888" s="799"/>
      <c r="M888" s="799"/>
      <c r="N888" s="799"/>
      <c r="O888" s="799"/>
      <c r="P888" s="799"/>
      <c r="Q888" s="799"/>
      <c r="R888" s="799"/>
      <c r="S888" s="799"/>
      <c r="T888" s="799"/>
      <c r="U888" s="799"/>
      <c r="V888" s="799"/>
      <c r="W888" s="799"/>
      <c r="X888" s="799"/>
      <c r="Y888" s="799"/>
      <c r="Z888" s="799"/>
      <c r="AA888" s="799"/>
      <c r="AB888" s="799"/>
      <c r="AC888" s="799"/>
      <c r="AD888" s="799"/>
      <c r="AE888" s="799"/>
      <c r="AF888" s="799"/>
      <c r="AG888" s="799"/>
      <c r="AH888" s="799"/>
      <c r="AI888" s="799"/>
      <c r="AJ888" s="799"/>
      <c r="AK888" s="799"/>
      <c r="AL888" s="799"/>
      <c r="AM888" s="799"/>
      <c r="AN888" s="799"/>
      <c r="AO888" s="799"/>
      <c r="AP888" s="799"/>
      <c r="AQ888" s="799"/>
      <c r="AR888" s="799"/>
      <c r="AS888" s="799"/>
      <c r="AT888" s="799"/>
      <c r="AU888" s="799"/>
      <c r="AV888" s="799"/>
      <c r="AW888" s="799"/>
      <c r="AX888" s="799"/>
      <c r="AY888" s="799"/>
      <c r="AZ888" s="799"/>
      <c r="BA888" s="799"/>
      <c r="BB888" s="799"/>
      <c r="BC888" s="799"/>
      <c r="BD888" s="799"/>
      <c r="BE888" s="799"/>
      <c r="BF888" s="799"/>
      <c r="BG888" s="799"/>
    </row>
    <row r="889">
      <c r="H889" s="799"/>
      <c r="I889" s="799"/>
      <c r="J889" s="799"/>
      <c r="K889" s="799"/>
      <c r="L889" s="799"/>
      <c r="M889" s="799"/>
      <c r="N889" s="799"/>
      <c r="O889" s="799"/>
      <c r="P889" s="799"/>
      <c r="Q889" s="799"/>
      <c r="R889" s="799"/>
      <c r="S889" s="799"/>
      <c r="T889" s="799"/>
      <c r="U889" s="799"/>
      <c r="V889" s="799"/>
      <c r="W889" s="799"/>
      <c r="X889" s="799"/>
      <c r="Y889" s="799"/>
      <c r="Z889" s="799"/>
      <c r="AA889" s="799"/>
      <c r="AB889" s="799"/>
      <c r="AC889" s="799"/>
      <c r="AD889" s="799"/>
      <c r="AE889" s="799"/>
      <c r="AF889" s="799"/>
      <c r="AG889" s="799"/>
      <c r="AH889" s="799"/>
      <c r="AI889" s="799"/>
      <c r="AJ889" s="799"/>
      <c r="AK889" s="799"/>
      <c r="AL889" s="799"/>
      <c r="AM889" s="799"/>
      <c r="AN889" s="799"/>
      <c r="AO889" s="799"/>
      <c r="AP889" s="799"/>
      <c r="AQ889" s="799"/>
      <c r="AR889" s="799"/>
      <c r="AS889" s="799"/>
      <c r="AT889" s="799"/>
      <c r="AU889" s="799"/>
      <c r="AV889" s="799"/>
      <c r="AW889" s="799"/>
      <c r="AX889" s="799"/>
      <c r="AY889" s="799"/>
      <c r="AZ889" s="799"/>
      <c r="BA889" s="799"/>
      <c r="BB889" s="799"/>
      <c r="BC889" s="799"/>
      <c r="BD889" s="799"/>
      <c r="BE889" s="799"/>
      <c r="BF889" s="799"/>
      <c r="BG889" s="799"/>
    </row>
    <row r="890">
      <c r="H890" s="799"/>
      <c r="I890" s="799"/>
      <c r="J890" s="799"/>
      <c r="K890" s="799"/>
      <c r="L890" s="799"/>
      <c r="M890" s="799"/>
      <c r="N890" s="799"/>
      <c r="O890" s="799"/>
      <c r="P890" s="799"/>
      <c r="Q890" s="799"/>
      <c r="R890" s="799"/>
      <c r="S890" s="799"/>
      <c r="T890" s="799"/>
      <c r="U890" s="799"/>
      <c r="V890" s="799"/>
      <c r="W890" s="799"/>
      <c r="X890" s="799"/>
      <c r="Y890" s="799"/>
      <c r="Z890" s="799"/>
      <c r="AA890" s="799"/>
      <c r="AB890" s="799"/>
      <c r="AC890" s="799"/>
      <c r="AD890" s="799"/>
      <c r="AE890" s="799"/>
      <c r="AF890" s="799"/>
      <c r="AG890" s="799"/>
      <c r="AH890" s="799"/>
      <c r="AI890" s="799"/>
      <c r="AJ890" s="799"/>
      <c r="AK890" s="799"/>
      <c r="AL890" s="799"/>
      <c r="AM890" s="799"/>
      <c r="AN890" s="799"/>
      <c r="AO890" s="799"/>
      <c r="AP890" s="799"/>
      <c r="AQ890" s="799"/>
      <c r="AR890" s="799"/>
      <c r="AS890" s="799"/>
      <c r="AT890" s="799"/>
      <c r="AU890" s="799"/>
      <c r="AV890" s="799"/>
      <c r="AW890" s="799"/>
      <c r="AX890" s="799"/>
      <c r="AY890" s="799"/>
      <c r="AZ890" s="799"/>
      <c r="BA890" s="799"/>
      <c r="BB890" s="799"/>
      <c r="BC890" s="799"/>
      <c r="BD890" s="799"/>
      <c r="BE890" s="799"/>
      <c r="BF890" s="799"/>
      <c r="BG890" s="799"/>
    </row>
    <row r="891">
      <c r="H891" s="799"/>
      <c r="I891" s="799"/>
      <c r="J891" s="799"/>
      <c r="K891" s="799"/>
      <c r="L891" s="799"/>
      <c r="M891" s="799"/>
      <c r="N891" s="799"/>
      <c r="O891" s="799"/>
      <c r="P891" s="799"/>
      <c r="Q891" s="799"/>
      <c r="R891" s="799"/>
      <c r="S891" s="799"/>
      <c r="T891" s="799"/>
      <c r="U891" s="799"/>
      <c r="V891" s="799"/>
      <c r="W891" s="799"/>
      <c r="X891" s="799"/>
      <c r="Y891" s="799"/>
      <c r="Z891" s="799"/>
      <c r="AA891" s="799"/>
      <c r="AB891" s="799"/>
      <c r="AC891" s="799"/>
      <c r="AD891" s="799"/>
      <c r="AE891" s="799"/>
      <c r="AF891" s="799"/>
      <c r="AG891" s="799"/>
      <c r="AH891" s="799"/>
      <c r="AI891" s="799"/>
      <c r="AJ891" s="799"/>
      <c r="AK891" s="799"/>
      <c r="AL891" s="799"/>
      <c r="AM891" s="799"/>
      <c r="AN891" s="799"/>
      <c r="AO891" s="799"/>
      <c r="AP891" s="799"/>
      <c r="AQ891" s="799"/>
      <c r="AR891" s="799"/>
      <c r="AS891" s="799"/>
      <c r="AT891" s="799"/>
      <c r="AU891" s="799"/>
      <c r="AV891" s="799"/>
      <c r="AW891" s="799"/>
      <c r="AX891" s="799"/>
      <c r="AY891" s="799"/>
      <c r="AZ891" s="799"/>
      <c r="BA891" s="799"/>
      <c r="BB891" s="799"/>
      <c r="BC891" s="799"/>
      <c r="BD891" s="799"/>
      <c r="BE891" s="799"/>
      <c r="BF891" s="799"/>
      <c r="BG891" s="799"/>
    </row>
    <row r="892">
      <c r="H892" s="799"/>
      <c r="I892" s="799"/>
      <c r="J892" s="799"/>
      <c r="K892" s="799"/>
      <c r="L892" s="799"/>
      <c r="M892" s="799"/>
      <c r="N892" s="799"/>
      <c r="O892" s="799"/>
      <c r="P892" s="799"/>
      <c r="Q892" s="799"/>
      <c r="R892" s="799"/>
      <c r="S892" s="799"/>
      <c r="T892" s="799"/>
      <c r="U892" s="799"/>
      <c r="V892" s="799"/>
      <c r="W892" s="799"/>
      <c r="X892" s="799"/>
      <c r="Y892" s="799"/>
      <c r="Z892" s="799"/>
      <c r="AA892" s="799"/>
      <c r="AB892" s="799"/>
      <c r="AC892" s="799"/>
      <c r="AD892" s="799"/>
      <c r="AE892" s="799"/>
      <c r="AF892" s="799"/>
      <c r="AG892" s="799"/>
      <c r="AH892" s="799"/>
      <c r="AI892" s="799"/>
      <c r="AJ892" s="799"/>
      <c r="AK892" s="799"/>
      <c r="AL892" s="799"/>
      <c r="AM892" s="799"/>
      <c r="AN892" s="799"/>
      <c r="AO892" s="799"/>
      <c r="AP892" s="799"/>
      <c r="AQ892" s="799"/>
      <c r="AR892" s="799"/>
      <c r="AS892" s="799"/>
      <c r="AT892" s="799"/>
      <c r="AU892" s="799"/>
      <c r="AV892" s="799"/>
      <c r="AW892" s="799"/>
      <c r="AX892" s="799"/>
      <c r="AY892" s="799"/>
      <c r="AZ892" s="799"/>
      <c r="BA892" s="799"/>
      <c r="BB892" s="799"/>
      <c r="BC892" s="799"/>
      <c r="BD892" s="799"/>
      <c r="BE892" s="799"/>
      <c r="BF892" s="799"/>
      <c r="BG892" s="799"/>
    </row>
    <row r="893">
      <c r="H893" s="799"/>
      <c r="I893" s="799"/>
      <c r="J893" s="799"/>
      <c r="K893" s="799"/>
      <c r="L893" s="799"/>
      <c r="M893" s="799"/>
      <c r="N893" s="799"/>
      <c r="O893" s="799"/>
      <c r="P893" s="799"/>
      <c r="Q893" s="799"/>
      <c r="R893" s="799"/>
      <c r="S893" s="799"/>
      <c r="T893" s="799"/>
      <c r="U893" s="799"/>
      <c r="V893" s="799"/>
      <c r="W893" s="799"/>
      <c r="X893" s="799"/>
      <c r="Y893" s="799"/>
      <c r="Z893" s="799"/>
      <c r="AA893" s="799"/>
      <c r="AB893" s="799"/>
      <c r="AC893" s="799"/>
      <c r="AD893" s="799"/>
      <c r="AE893" s="799"/>
      <c r="AF893" s="799"/>
      <c r="AG893" s="799"/>
      <c r="AH893" s="799"/>
      <c r="AI893" s="799"/>
      <c r="AJ893" s="799"/>
      <c r="AK893" s="799"/>
      <c r="AL893" s="799"/>
      <c r="AM893" s="799"/>
      <c r="AN893" s="799"/>
      <c r="AO893" s="799"/>
      <c r="AP893" s="799"/>
      <c r="AQ893" s="799"/>
      <c r="AR893" s="799"/>
      <c r="AS893" s="799"/>
      <c r="AT893" s="799"/>
      <c r="AU893" s="799"/>
      <c r="AV893" s="799"/>
      <c r="AW893" s="799"/>
      <c r="AX893" s="799"/>
      <c r="AY893" s="799"/>
      <c r="AZ893" s="799"/>
      <c r="BA893" s="799"/>
      <c r="BB893" s="799"/>
      <c r="BC893" s="799"/>
      <c r="BD893" s="799"/>
      <c r="BE893" s="799"/>
      <c r="BF893" s="799"/>
      <c r="BG893" s="799"/>
    </row>
    <row r="894">
      <c r="H894" s="799"/>
      <c r="I894" s="799"/>
      <c r="J894" s="799"/>
      <c r="K894" s="799"/>
      <c r="L894" s="799"/>
      <c r="M894" s="799"/>
      <c r="N894" s="799"/>
      <c r="O894" s="799"/>
      <c r="P894" s="799"/>
      <c r="Q894" s="799"/>
      <c r="R894" s="799"/>
      <c r="S894" s="799"/>
      <c r="T894" s="799"/>
      <c r="U894" s="799"/>
      <c r="V894" s="799"/>
      <c r="W894" s="799"/>
      <c r="X894" s="799"/>
      <c r="Y894" s="799"/>
      <c r="Z894" s="799"/>
      <c r="AA894" s="799"/>
      <c r="AB894" s="799"/>
      <c r="AC894" s="799"/>
      <c r="AD894" s="799"/>
      <c r="AE894" s="799"/>
      <c r="AF894" s="799"/>
      <c r="AG894" s="799"/>
      <c r="AH894" s="799"/>
      <c r="AI894" s="799"/>
      <c r="AJ894" s="799"/>
      <c r="AK894" s="799"/>
      <c r="AL894" s="799"/>
      <c r="AM894" s="799"/>
      <c r="AN894" s="799"/>
      <c r="AO894" s="799"/>
      <c r="AP894" s="799"/>
      <c r="AQ894" s="799"/>
      <c r="AR894" s="799"/>
      <c r="AS894" s="799"/>
      <c r="AT894" s="799"/>
      <c r="AU894" s="799"/>
      <c r="AV894" s="799"/>
      <c r="AW894" s="799"/>
      <c r="AX894" s="799"/>
      <c r="AY894" s="799"/>
      <c r="AZ894" s="799"/>
      <c r="BA894" s="799"/>
      <c r="BB894" s="799"/>
      <c r="BC894" s="799"/>
      <c r="BD894" s="799"/>
      <c r="BE894" s="799"/>
      <c r="BF894" s="799"/>
      <c r="BG894" s="799"/>
    </row>
    <row r="895">
      <c r="H895" s="799"/>
      <c r="I895" s="799"/>
      <c r="J895" s="799"/>
      <c r="K895" s="799"/>
      <c r="L895" s="799"/>
      <c r="M895" s="799"/>
      <c r="N895" s="799"/>
      <c r="O895" s="799"/>
      <c r="P895" s="799"/>
      <c r="Q895" s="799"/>
      <c r="R895" s="799"/>
      <c r="S895" s="799"/>
      <c r="T895" s="799"/>
      <c r="U895" s="799"/>
      <c r="V895" s="799"/>
      <c r="W895" s="799"/>
      <c r="X895" s="799"/>
      <c r="Y895" s="799"/>
      <c r="Z895" s="799"/>
      <c r="AA895" s="799"/>
      <c r="AB895" s="799"/>
      <c r="AC895" s="799"/>
      <c r="AD895" s="799"/>
      <c r="AE895" s="799"/>
      <c r="AF895" s="799"/>
      <c r="AG895" s="799"/>
      <c r="AH895" s="799"/>
      <c r="AI895" s="799"/>
      <c r="AJ895" s="799"/>
      <c r="AK895" s="799"/>
      <c r="AL895" s="799"/>
      <c r="AM895" s="799"/>
      <c r="AN895" s="799"/>
      <c r="AO895" s="799"/>
      <c r="AP895" s="799"/>
      <c r="AQ895" s="799"/>
      <c r="AR895" s="799"/>
      <c r="AS895" s="799"/>
      <c r="AT895" s="799"/>
      <c r="AU895" s="799"/>
      <c r="AV895" s="799"/>
      <c r="AW895" s="799"/>
      <c r="AX895" s="799"/>
      <c r="AY895" s="799"/>
      <c r="AZ895" s="799"/>
      <c r="BA895" s="799"/>
      <c r="BB895" s="799"/>
      <c r="BC895" s="799"/>
      <c r="BD895" s="799"/>
      <c r="BE895" s="799"/>
      <c r="BF895" s="799"/>
      <c r="BG895" s="799"/>
    </row>
    <row r="896">
      <c r="H896" s="799"/>
      <c r="I896" s="799"/>
      <c r="J896" s="799"/>
      <c r="K896" s="799"/>
      <c r="L896" s="799"/>
      <c r="M896" s="799"/>
      <c r="N896" s="799"/>
      <c r="O896" s="799"/>
      <c r="P896" s="799"/>
      <c r="Q896" s="799"/>
      <c r="R896" s="799"/>
      <c r="S896" s="799"/>
      <c r="T896" s="799"/>
      <c r="U896" s="799"/>
      <c r="V896" s="799"/>
      <c r="W896" s="799"/>
      <c r="X896" s="799"/>
      <c r="Y896" s="799"/>
      <c r="Z896" s="799"/>
      <c r="AA896" s="799"/>
      <c r="AB896" s="799"/>
      <c r="AC896" s="799"/>
      <c r="AD896" s="799"/>
      <c r="AE896" s="799"/>
      <c r="AF896" s="799"/>
      <c r="AG896" s="799"/>
      <c r="AH896" s="799"/>
      <c r="AI896" s="799"/>
      <c r="AJ896" s="799"/>
      <c r="AK896" s="799"/>
      <c r="AL896" s="799"/>
      <c r="AM896" s="799"/>
      <c r="AN896" s="799"/>
      <c r="AO896" s="799"/>
      <c r="AP896" s="799"/>
      <c r="AQ896" s="799"/>
      <c r="AR896" s="799"/>
      <c r="AS896" s="799"/>
      <c r="AT896" s="799"/>
      <c r="AU896" s="799"/>
      <c r="AV896" s="799"/>
      <c r="AW896" s="799"/>
      <c r="AX896" s="799"/>
      <c r="AY896" s="799"/>
      <c r="AZ896" s="799"/>
      <c r="BA896" s="799"/>
      <c r="BB896" s="799"/>
      <c r="BC896" s="799"/>
      <c r="BD896" s="799"/>
      <c r="BE896" s="799"/>
      <c r="BF896" s="799"/>
      <c r="BG896" s="799"/>
    </row>
    <row r="897">
      <c r="H897" s="799"/>
      <c r="I897" s="799"/>
      <c r="J897" s="799"/>
      <c r="K897" s="799"/>
      <c r="L897" s="799"/>
      <c r="M897" s="799"/>
      <c r="N897" s="799"/>
      <c r="O897" s="799"/>
      <c r="P897" s="799"/>
      <c r="Q897" s="799"/>
      <c r="R897" s="799"/>
      <c r="S897" s="799"/>
      <c r="T897" s="799"/>
      <c r="U897" s="799"/>
      <c r="V897" s="799"/>
      <c r="W897" s="799"/>
      <c r="X897" s="799"/>
      <c r="Y897" s="799"/>
      <c r="Z897" s="799"/>
      <c r="AA897" s="799"/>
      <c r="AB897" s="799"/>
      <c r="AC897" s="799"/>
      <c r="AD897" s="799"/>
      <c r="AE897" s="799"/>
      <c r="AF897" s="799"/>
      <c r="AG897" s="799"/>
      <c r="AH897" s="799"/>
      <c r="AI897" s="799"/>
      <c r="AJ897" s="799"/>
      <c r="AK897" s="799"/>
      <c r="AL897" s="799"/>
      <c r="AM897" s="799"/>
      <c r="AN897" s="799"/>
      <c r="AO897" s="799"/>
      <c r="AP897" s="799"/>
      <c r="AQ897" s="799"/>
      <c r="AR897" s="799"/>
      <c r="AS897" s="799"/>
      <c r="AT897" s="799"/>
      <c r="AU897" s="799"/>
      <c r="AV897" s="799"/>
      <c r="AW897" s="799"/>
      <c r="AX897" s="799"/>
      <c r="AY897" s="799"/>
      <c r="AZ897" s="799"/>
      <c r="BA897" s="799"/>
      <c r="BB897" s="799"/>
      <c r="BC897" s="799"/>
      <c r="BD897" s="799"/>
      <c r="BE897" s="799"/>
      <c r="BF897" s="799"/>
      <c r="BG897" s="799"/>
    </row>
    <row r="898">
      <c r="H898" s="799"/>
      <c r="I898" s="799"/>
      <c r="J898" s="799"/>
      <c r="K898" s="799"/>
      <c r="L898" s="799"/>
      <c r="M898" s="799"/>
      <c r="N898" s="799"/>
      <c r="O898" s="799"/>
      <c r="P898" s="799"/>
      <c r="Q898" s="799"/>
      <c r="R898" s="799"/>
      <c r="S898" s="799"/>
      <c r="T898" s="799"/>
      <c r="U898" s="799"/>
      <c r="V898" s="799"/>
      <c r="W898" s="799"/>
      <c r="X898" s="799"/>
      <c r="Y898" s="799"/>
      <c r="Z898" s="799"/>
      <c r="AA898" s="799"/>
      <c r="AB898" s="799"/>
      <c r="AC898" s="799"/>
      <c r="AD898" s="799"/>
      <c r="AE898" s="799"/>
      <c r="AF898" s="799"/>
      <c r="AG898" s="799"/>
      <c r="AH898" s="799"/>
      <c r="AI898" s="799"/>
      <c r="AJ898" s="799"/>
      <c r="AK898" s="799"/>
      <c r="AL898" s="799"/>
      <c r="AM898" s="799"/>
      <c r="AN898" s="799"/>
      <c r="AO898" s="799"/>
      <c r="AP898" s="799"/>
      <c r="AQ898" s="799"/>
      <c r="AR898" s="799"/>
      <c r="AS898" s="799"/>
      <c r="AT898" s="799"/>
      <c r="AU898" s="799"/>
      <c r="AV898" s="799"/>
      <c r="AW898" s="799"/>
      <c r="AX898" s="799"/>
      <c r="AY898" s="799"/>
      <c r="AZ898" s="799"/>
      <c r="BA898" s="799"/>
      <c r="BB898" s="799"/>
      <c r="BC898" s="799"/>
      <c r="BD898" s="799"/>
      <c r="BE898" s="799"/>
      <c r="BF898" s="799"/>
      <c r="BG898" s="799"/>
    </row>
    <row r="899">
      <c r="H899" s="799"/>
      <c r="I899" s="799"/>
      <c r="J899" s="799"/>
      <c r="K899" s="799"/>
      <c r="L899" s="799"/>
      <c r="M899" s="799"/>
      <c r="N899" s="799"/>
      <c r="O899" s="799"/>
      <c r="P899" s="799"/>
      <c r="Q899" s="799"/>
      <c r="R899" s="799"/>
      <c r="S899" s="799"/>
      <c r="T899" s="799"/>
      <c r="U899" s="799"/>
      <c r="V899" s="799"/>
      <c r="W899" s="799"/>
      <c r="X899" s="799"/>
      <c r="Y899" s="799"/>
      <c r="Z899" s="799"/>
      <c r="AA899" s="799"/>
      <c r="AB899" s="799"/>
      <c r="AC899" s="799"/>
      <c r="AD899" s="799"/>
      <c r="AE899" s="799"/>
      <c r="AF899" s="799"/>
      <c r="AG899" s="799"/>
      <c r="AH899" s="799"/>
      <c r="AI899" s="799"/>
      <c r="AJ899" s="799"/>
      <c r="AK899" s="799"/>
      <c r="AL899" s="799"/>
      <c r="AM899" s="799"/>
      <c r="AN899" s="799"/>
      <c r="AO899" s="799"/>
      <c r="AP899" s="799"/>
      <c r="AQ899" s="799"/>
      <c r="AR899" s="799"/>
      <c r="AS899" s="799"/>
      <c r="AT899" s="799"/>
      <c r="AU899" s="799"/>
      <c r="AV899" s="799"/>
      <c r="AW899" s="799"/>
      <c r="AX899" s="799"/>
      <c r="AY899" s="799"/>
      <c r="AZ899" s="799"/>
      <c r="BA899" s="799"/>
      <c r="BB899" s="799"/>
      <c r="BC899" s="799"/>
      <c r="BD899" s="799"/>
      <c r="BE899" s="799"/>
      <c r="BF899" s="799"/>
      <c r="BG899" s="799"/>
    </row>
    <row r="900">
      <c r="H900" s="799"/>
      <c r="I900" s="799"/>
      <c r="J900" s="799"/>
      <c r="K900" s="799"/>
      <c r="L900" s="799"/>
      <c r="M900" s="799"/>
      <c r="N900" s="799"/>
      <c r="O900" s="799"/>
      <c r="P900" s="799"/>
      <c r="Q900" s="799"/>
      <c r="R900" s="799"/>
      <c r="S900" s="799"/>
      <c r="T900" s="799"/>
      <c r="U900" s="799"/>
      <c r="V900" s="799"/>
      <c r="W900" s="799"/>
      <c r="X900" s="799"/>
      <c r="Y900" s="799"/>
      <c r="Z900" s="799"/>
      <c r="AA900" s="799"/>
      <c r="AB900" s="799"/>
      <c r="AC900" s="799"/>
      <c r="AD900" s="799"/>
      <c r="AE900" s="799"/>
      <c r="AF900" s="799"/>
      <c r="AG900" s="799"/>
      <c r="AH900" s="799"/>
      <c r="AI900" s="799"/>
      <c r="AJ900" s="799"/>
      <c r="AK900" s="799"/>
      <c r="AL900" s="799"/>
      <c r="AM900" s="799"/>
      <c r="AN900" s="799"/>
      <c r="AO900" s="799"/>
      <c r="AP900" s="799"/>
      <c r="AQ900" s="799"/>
      <c r="AR900" s="799"/>
      <c r="AS900" s="799"/>
      <c r="AT900" s="799"/>
      <c r="AU900" s="799"/>
      <c r="AV900" s="799"/>
      <c r="AW900" s="799"/>
      <c r="AX900" s="799"/>
      <c r="AY900" s="799"/>
      <c r="AZ900" s="799"/>
      <c r="BA900" s="799"/>
      <c r="BB900" s="799"/>
      <c r="BC900" s="799"/>
      <c r="BD900" s="799"/>
      <c r="BE900" s="799"/>
      <c r="BF900" s="799"/>
      <c r="BG900" s="799"/>
    </row>
    <row r="901">
      <c r="H901" s="799"/>
      <c r="I901" s="799"/>
      <c r="J901" s="799"/>
      <c r="K901" s="799"/>
      <c r="L901" s="799"/>
      <c r="M901" s="799"/>
      <c r="N901" s="799"/>
      <c r="O901" s="799"/>
      <c r="P901" s="799"/>
      <c r="Q901" s="799"/>
      <c r="R901" s="799"/>
      <c r="S901" s="799"/>
      <c r="T901" s="799"/>
      <c r="U901" s="799"/>
      <c r="V901" s="799"/>
      <c r="W901" s="799"/>
      <c r="X901" s="799"/>
      <c r="Y901" s="799"/>
      <c r="Z901" s="799"/>
      <c r="AA901" s="799"/>
      <c r="AB901" s="799"/>
      <c r="AC901" s="799"/>
      <c r="AD901" s="799"/>
      <c r="AE901" s="799"/>
      <c r="AF901" s="799"/>
      <c r="AG901" s="799"/>
      <c r="AH901" s="799"/>
      <c r="AI901" s="799"/>
      <c r="AJ901" s="799"/>
      <c r="AK901" s="799"/>
      <c r="AL901" s="799"/>
      <c r="AM901" s="799"/>
      <c r="AN901" s="799"/>
      <c r="AO901" s="799"/>
      <c r="AP901" s="799"/>
      <c r="AQ901" s="799"/>
      <c r="AR901" s="799"/>
      <c r="AS901" s="799"/>
      <c r="AT901" s="799"/>
      <c r="AU901" s="799"/>
      <c r="AV901" s="799"/>
      <c r="AW901" s="799"/>
      <c r="AX901" s="799"/>
      <c r="AY901" s="799"/>
      <c r="AZ901" s="799"/>
      <c r="BA901" s="799"/>
      <c r="BB901" s="799"/>
      <c r="BC901" s="799"/>
      <c r="BD901" s="799"/>
      <c r="BE901" s="799"/>
      <c r="BF901" s="799"/>
      <c r="BG901" s="799"/>
    </row>
    <row r="902">
      <c r="H902" s="799"/>
      <c r="I902" s="799"/>
      <c r="J902" s="799"/>
      <c r="K902" s="799"/>
      <c r="L902" s="799"/>
      <c r="M902" s="799"/>
      <c r="N902" s="799"/>
      <c r="O902" s="799"/>
      <c r="P902" s="799"/>
      <c r="Q902" s="799"/>
      <c r="R902" s="799"/>
      <c r="S902" s="799"/>
      <c r="T902" s="799"/>
      <c r="U902" s="799"/>
      <c r="V902" s="799"/>
      <c r="W902" s="799"/>
      <c r="X902" s="799"/>
      <c r="Y902" s="799"/>
      <c r="Z902" s="799"/>
      <c r="AA902" s="799"/>
      <c r="AB902" s="799"/>
      <c r="AC902" s="799"/>
      <c r="AD902" s="799"/>
      <c r="AE902" s="799"/>
      <c r="AF902" s="799"/>
      <c r="AG902" s="799"/>
      <c r="AH902" s="799"/>
      <c r="AI902" s="799"/>
      <c r="AJ902" s="799"/>
      <c r="AK902" s="799"/>
      <c r="AL902" s="799"/>
      <c r="AM902" s="799"/>
      <c r="AN902" s="799"/>
      <c r="AO902" s="799"/>
      <c r="AP902" s="799"/>
      <c r="AQ902" s="799"/>
      <c r="AR902" s="799"/>
      <c r="AS902" s="799"/>
      <c r="AT902" s="799"/>
      <c r="AU902" s="799"/>
      <c r="AV902" s="799"/>
      <c r="AW902" s="799"/>
      <c r="AX902" s="799"/>
      <c r="AY902" s="799"/>
      <c r="AZ902" s="799"/>
      <c r="BA902" s="799"/>
      <c r="BB902" s="799"/>
      <c r="BC902" s="799"/>
      <c r="BD902" s="799"/>
      <c r="BE902" s="799"/>
      <c r="BF902" s="799"/>
      <c r="BG902" s="799"/>
    </row>
    <row r="903">
      <c r="H903" s="799"/>
      <c r="I903" s="799"/>
      <c r="J903" s="799"/>
      <c r="K903" s="799"/>
      <c r="L903" s="799"/>
      <c r="M903" s="799"/>
      <c r="N903" s="799"/>
      <c r="O903" s="799"/>
      <c r="P903" s="799"/>
      <c r="Q903" s="799"/>
      <c r="R903" s="799"/>
      <c r="S903" s="799"/>
      <c r="T903" s="799"/>
      <c r="U903" s="799"/>
      <c r="V903" s="799"/>
      <c r="W903" s="799"/>
      <c r="X903" s="799"/>
      <c r="Y903" s="799"/>
      <c r="Z903" s="799"/>
      <c r="AA903" s="799"/>
      <c r="AB903" s="799"/>
      <c r="AC903" s="799"/>
      <c r="AD903" s="799"/>
      <c r="AE903" s="799"/>
      <c r="AF903" s="799"/>
      <c r="AG903" s="799"/>
      <c r="AH903" s="799"/>
      <c r="AI903" s="799"/>
      <c r="AJ903" s="799"/>
      <c r="AK903" s="799"/>
      <c r="AL903" s="799"/>
      <c r="AM903" s="799"/>
      <c r="AN903" s="799"/>
      <c r="AO903" s="799"/>
      <c r="AP903" s="799"/>
      <c r="AQ903" s="799"/>
      <c r="AR903" s="799"/>
      <c r="AS903" s="799"/>
      <c r="AT903" s="799"/>
      <c r="AU903" s="799"/>
      <c r="AV903" s="799"/>
      <c r="AW903" s="799"/>
      <c r="AX903" s="799"/>
      <c r="AY903" s="799"/>
      <c r="AZ903" s="799"/>
      <c r="BA903" s="799"/>
      <c r="BB903" s="799"/>
      <c r="BC903" s="799"/>
      <c r="BD903" s="799"/>
      <c r="BE903" s="799"/>
      <c r="BF903" s="799"/>
      <c r="BG903" s="799"/>
    </row>
    <row r="904">
      <c r="H904" s="799"/>
      <c r="I904" s="799"/>
      <c r="J904" s="799"/>
      <c r="K904" s="799"/>
      <c r="L904" s="799"/>
      <c r="M904" s="799"/>
      <c r="N904" s="799"/>
      <c r="O904" s="799"/>
      <c r="P904" s="799"/>
      <c r="Q904" s="799"/>
      <c r="R904" s="799"/>
      <c r="S904" s="799"/>
      <c r="T904" s="799"/>
      <c r="U904" s="799"/>
      <c r="V904" s="799"/>
      <c r="W904" s="799"/>
      <c r="X904" s="799"/>
      <c r="Y904" s="799"/>
      <c r="Z904" s="799"/>
      <c r="AA904" s="799"/>
      <c r="AB904" s="799"/>
      <c r="AC904" s="799"/>
      <c r="AD904" s="799"/>
      <c r="AE904" s="799"/>
      <c r="AF904" s="799"/>
      <c r="AG904" s="799"/>
      <c r="AH904" s="799"/>
      <c r="AI904" s="799"/>
      <c r="AJ904" s="799"/>
      <c r="AK904" s="799"/>
      <c r="AL904" s="799"/>
      <c r="AM904" s="799"/>
      <c r="AN904" s="799"/>
      <c r="AO904" s="799"/>
      <c r="AP904" s="799"/>
      <c r="AQ904" s="799"/>
      <c r="AR904" s="799"/>
      <c r="AS904" s="799"/>
      <c r="AT904" s="799"/>
      <c r="AU904" s="799"/>
      <c r="AV904" s="799"/>
      <c r="AW904" s="799"/>
      <c r="AX904" s="799"/>
      <c r="AY904" s="799"/>
      <c r="AZ904" s="799"/>
      <c r="BA904" s="799"/>
      <c r="BB904" s="799"/>
      <c r="BC904" s="799"/>
      <c r="BD904" s="799"/>
      <c r="BE904" s="799"/>
      <c r="BF904" s="799"/>
      <c r="BG904" s="799"/>
    </row>
    <row r="905">
      <c r="H905" s="799"/>
      <c r="I905" s="799"/>
      <c r="J905" s="799"/>
      <c r="K905" s="799"/>
      <c r="L905" s="799"/>
      <c r="M905" s="799"/>
      <c r="N905" s="799"/>
      <c r="O905" s="799"/>
      <c r="P905" s="799"/>
      <c r="Q905" s="799"/>
      <c r="R905" s="799"/>
      <c r="S905" s="799"/>
      <c r="T905" s="799"/>
      <c r="U905" s="799"/>
      <c r="V905" s="799"/>
      <c r="W905" s="799"/>
      <c r="X905" s="799"/>
      <c r="Y905" s="799"/>
      <c r="Z905" s="799"/>
      <c r="AA905" s="799"/>
      <c r="AB905" s="799"/>
      <c r="AC905" s="799"/>
      <c r="AD905" s="799"/>
      <c r="AE905" s="799"/>
      <c r="AF905" s="799"/>
      <c r="AG905" s="799"/>
      <c r="AH905" s="799"/>
      <c r="AI905" s="799"/>
      <c r="AJ905" s="799"/>
      <c r="AK905" s="799"/>
      <c r="AL905" s="799"/>
      <c r="AM905" s="799"/>
      <c r="AN905" s="799"/>
      <c r="AO905" s="799"/>
      <c r="AP905" s="799"/>
      <c r="AQ905" s="799"/>
      <c r="AR905" s="799"/>
      <c r="AS905" s="799"/>
      <c r="AT905" s="799"/>
      <c r="AU905" s="799"/>
      <c r="AV905" s="799"/>
      <c r="AW905" s="799"/>
      <c r="AX905" s="799"/>
      <c r="AY905" s="799"/>
      <c r="AZ905" s="799"/>
      <c r="BA905" s="799"/>
      <c r="BB905" s="799"/>
      <c r="BC905" s="799"/>
      <c r="BD905" s="799"/>
      <c r="BE905" s="799"/>
      <c r="BF905" s="799"/>
      <c r="BG905" s="799"/>
    </row>
    <row r="906">
      <c r="H906" s="799"/>
      <c r="I906" s="799"/>
      <c r="J906" s="799"/>
      <c r="K906" s="799"/>
      <c r="L906" s="799"/>
      <c r="M906" s="799"/>
      <c r="N906" s="799"/>
      <c r="O906" s="799"/>
      <c r="P906" s="799"/>
      <c r="Q906" s="799"/>
      <c r="R906" s="799"/>
      <c r="S906" s="799"/>
      <c r="T906" s="799"/>
      <c r="U906" s="799"/>
      <c r="V906" s="799"/>
      <c r="W906" s="799"/>
      <c r="X906" s="799"/>
      <c r="Y906" s="799"/>
      <c r="Z906" s="799"/>
      <c r="AA906" s="799"/>
      <c r="AB906" s="799"/>
      <c r="AC906" s="799"/>
      <c r="AD906" s="799"/>
      <c r="AE906" s="799"/>
      <c r="AF906" s="799"/>
      <c r="AG906" s="799"/>
      <c r="AH906" s="799"/>
      <c r="AI906" s="799"/>
      <c r="AJ906" s="799"/>
      <c r="AK906" s="799"/>
      <c r="AL906" s="799"/>
      <c r="AM906" s="799"/>
      <c r="AN906" s="799"/>
      <c r="AO906" s="799"/>
      <c r="AP906" s="799"/>
      <c r="AQ906" s="799"/>
      <c r="AR906" s="799"/>
      <c r="AS906" s="799"/>
      <c r="AT906" s="799"/>
      <c r="AU906" s="799"/>
      <c r="AV906" s="799"/>
      <c r="AW906" s="799"/>
      <c r="AX906" s="799"/>
      <c r="AY906" s="799"/>
      <c r="AZ906" s="799"/>
      <c r="BA906" s="799"/>
      <c r="BB906" s="799"/>
      <c r="BC906" s="799"/>
      <c r="BD906" s="799"/>
      <c r="BE906" s="799"/>
      <c r="BF906" s="799"/>
      <c r="BG906" s="799"/>
    </row>
    <row r="907">
      <c r="H907" s="799"/>
      <c r="I907" s="799"/>
      <c r="J907" s="799"/>
      <c r="K907" s="799"/>
      <c r="L907" s="799"/>
      <c r="M907" s="799"/>
      <c r="N907" s="799"/>
      <c r="O907" s="799"/>
      <c r="P907" s="799"/>
      <c r="Q907" s="799"/>
      <c r="R907" s="799"/>
      <c r="S907" s="799"/>
      <c r="T907" s="799"/>
      <c r="U907" s="799"/>
      <c r="V907" s="799"/>
      <c r="W907" s="799"/>
      <c r="X907" s="799"/>
      <c r="Y907" s="799"/>
      <c r="Z907" s="799"/>
      <c r="AA907" s="799"/>
      <c r="AB907" s="799"/>
      <c r="AC907" s="799"/>
      <c r="AD907" s="799"/>
      <c r="AE907" s="799"/>
      <c r="AF907" s="799"/>
      <c r="AG907" s="799"/>
      <c r="AH907" s="799"/>
      <c r="AI907" s="799"/>
      <c r="AJ907" s="799"/>
      <c r="AK907" s="799"/>
      <c r="AL907" s="799"/>
      <c r="AM907" s="799"/>
      <c r="AN907" s="799"/>
      <c r="AO907" s="799"/>
      <c r="AP907" s="799"/>
      <c r="AQ907" s="799"/>
      <c r="AR907" s="799"/>
      <c r="AS907" s="799"/>
      <c r="AT907" s="799"/>
      <c r="AU907" s="799"/>
      <c r="AV907" s="799"/>
      <c r="AW907" s="799"/>
      <c r="AX907" s="799"/>
      <c r="AY907" s="799"/>
      <c r="AZ907" s="799"/>
      <c r="BA907" s="799"/>
      <c r="BB907" s="799"/>
      <c r="BC907" s="799"/>
      <c r="BD907" s="799"/>
      <c r="BE907" s="799"/>
      <c r="BF907" s="799"/>
      <c r="BG907" s="799"/>
    </row>
    <row r="908">
      <c r="H908" s="799"/>
      <c r="I908" s="799"/>
      <c r="J908" s="799"/>
      <c r="K908" s="799"/>
      <c r="L908" s="799"/>
      <c r="M908" s="799"/>
      <c r="N908" s="799"/>
      <c r="O908" s="799"/>
      <c r="P908" s="799"/>
      <c r="Q908" s="799"/>
      <c r="R908" s="799"/>
      <c r="S908" s="799"/>
      <c r="T908" s="799"/>
      <c r="U908" s="799"/>
      <c r="V908" s="799"/>
      <c r="W908" s="799"/>
      <c r="X908" s="799"/>
      <c r="Y908" s="799"/>
      <c r="Z908" s="799"/>
      <c r="AA908" s="799"/>
      <c r="AB908" s="799"/>
      <c r="AC908" s="799"/>
      <c r="AD908" s="799"/>
      <c r="AE908" s="799"/>
      <c r="AF908" s="799"/>
      <c r="AG908" s="799"/>
      <c r="AH908" s="799"/>
      <c r="AI908" s="799"/>
      <c r="AJ908" s="799"/>
      <c r="AK908" s="799"/>
      <c r="AL908" s="799"/>
      <c r="AM908" s="799"/>
      <c r="AN908" s="799"/>
      <c r="AO908" s="799"/>
      <c r="AP908" s="799"/>
      <c r="AQ908" s="799"/>
      <c r="AR908" s="799"/>
      <c r="AS908" s="799"/>
      <c r="AT908" s="799"/>
      <c r="AU908" s="799"/>
      <c r="AV908" s="799"/>
      <c r="AW908" s="799"/>
      <c r="AX908" s="799"/>
      <c r="AY908" s="799"/>
      <c r="AZ908" s="799"/>
      <c r="BA908" s="799"/>
      <c r="BB908" s="799"/>
      <c r="BC908" s="799"/>
      <c r="BD908" s="799"/>
      <c r="BE908" s="799"/>
      <c r="BF908" s="799"/>
      <c r="BG908" s="799"/>
    </row>
    <row r="909">
      <c r="H909" s="799"/>
      <c r="I909" s="799"/>
      <c r="J909" s="799"/>
      <c r="K909" s="799"/>
      <c r="L909" s="799"/>
      <c r="M909" s="799"/>
      <c r="N909" s="799"/>
      <c r="O909" s="799"/>
      <c r="P909" s="799"/>
      <c r="Q909" s="799"/>
      <c r="R909" s="799"/>
      <c r="S909" s="799"/>
      <c r="T909" s="799"/>
      <c r="U909" s="799"/>
      <c r="V909" s="799"/>
      <c r="W909" s="799"/>
      <c r="X909" s="799"/>
      <c r="Y909" s="799"/>
      <c r="Z909" s="799"/>
      <c r="AA909" s="799"/>
      <c r="AB909" s="799"/>
      <c r="AC909" s="799"/>
      <c r="AD909" s="799"/>
      <c r="AE909" s="799"/>
      <c r="AF909" s="799"/>
      <c r="AG909" s="799"/>
      <c r="AH909" s="799"/>
      <c r="AI909" s="799"/>
      <c r="AJ909" s="799"/>
      <c r="AK909" s="799"/>
      <c r="AL909" s="799"/>
      <c r="AM909" s="799"/>
      <c r="AN909" s="799"/>
      <c r="AO909" s="799"/>
      <c r="AP909" s="799"/>
      <c r="AQ909" s="799"/>
      <c r="AR909" s="799"/>
      <c r="AS909" s="799"/>
      <c r="AT909" s="799"/>
      <c r="AU909" s="799"/>
      <c r="AV909" s="799"/>
      <c r="AW909" s="799"/>
      <c r="AX909" s="799"/>
      <c r="AY909" s="799"/>
      <c r="AZ909" s="799"/>
      <c r="BA909" s="799"/>
      <c r="BB909" s="799"/>
      <c r="BC909" s="799"/>
      <c r="BD909" s="799"/>
      <c r="BE909" s="799"/>
      <c r="BF909" s="799"/>
      <c r="BG909" s="799"/>
    </row>
    <row r="910">
      <c r="H910" s="799"/>
      <c r="I910" s="799"/>
      <c r="J910" s="799"/>
      <c r="K910" s="799"/>
      <c r="L910" s="799"/>
      <c r="M910" s="799"/>
      <c r="N910" s="799"/>
      <c r="O910" s="799"/>
      <c r="P910" s="799"/>
      <c r="Q910" s="799"/>
      <c r="R910" s="799"/>
      <c r="S910" s="799"/>
      <c r="T910" s="799"/>
      <c r="U910" s="799"/>
      <c r="V910" s="799"/>
      <c r="W910" s="799"/>
      <c r="X910" s="799"/>
      <c r="Y910" s="799"/>
      <c r="Z910" s="799"/>
      <c r="AA910" s="799"/>
      <c r="AB910" s="799"/>
      <c r="AC910" s="799"/>
      <c r="AD910" s="799"/>
      <c r="AE910" s="799"/>
      <c r="AF910" s="799"/>
      <c r="AG910" s="799"/>
      <c r="AH910" s="799"/>
      <c r="AI910" s="799"/>
      <c r="AJ910" s="799"/>
      <c r="AK910" s="799"/>
      <c r="AL910" s="799"/>
      <c r="AM910" s="799"/>
      <c r="AN910" s="799"/>
      <c r="AO910" s="799"/>
      <c r="AP910" s="799"/>
      <c r="AQ910" s="799"/>
      <c r="AR910" s="799"/>
      <c r="AS910" s="799"/>
      <c r="AT910" s="799"/>
      <c r="AU910" s="799"/>
      <c r="AV910" s="799"/>
      <c r="AW910" s="799"/>
      <c r="AX910" s="799"/>
      <c r="AY910" s="799"/>
      <c r="AZ910" s="799"/>
      <c r="BA910" s="799"/>
      <c r="BB910" s="799"/>
      <c r="BC910" s="799"/>
      <c r="BD910" s="799"/>
      <c r="BE910" s="799"/>
      <c r="BF910" s="799"/>
      <c r="BG910" s="799"/>
    </row>
    <row r="911">
      <c r="H911" s="799"/>
      <c r="I911" s="799"/>
      <c r="J911" s="799"/>
      <c r="K911" s="799"/>
      <c r="L911" s="799"/>
      <c r="M911" s="799"/>
      <c r="N911" s="799"/>
      <c r="O911" s="799"/>
      <c r="P911" s="799"/>
      <c r="Q911" s="799"/>
      <c r="R911" s="799"/>
      <c r="S911" s="799"/>
      <c r="T911" s="799"/>
      <c r="U911" s="799"/>
      <c r="V911" s="799"/>
      <c r="W911" s="799"/>
      <c r="X911" s="799"/>
      <c r="Y911" s="799"/>
      <c r="Z911" s="799"/>
      <c r="AA911" s="799"/>
      <c r="AB911" s="799"/>
      <c r="AC911" s="799"/>
      <c r="AD911" s="799"/>
      <c r="AE911" s="799"/>
      <c r="AF911" s="799"/>
      <c r="AG911" s="799"/>
      <c r="AH911" s="799"/>
      <c r="AI911" s="799"/>
      <c r="AJ911" s="799"/>
      <c r="AK911" s="799"/>
      <c r="AL911" s="799"/>
      <c r="AM911" s="799"/>
      <c r="AN911" s="799"/>
      <c r="AO911" s="799"/>
      <c r="AP911" s="799"/>
      <c r="AQ911" s="799"/>
      <c r="AR911" s="799"/>
      <c r="AS911" s="799"/>
      <c r="AT911" s="799"/>
      <c r="AU911" s="799"/>
      <c r="AV911" s="799"/>
      <c r="AW911" s="799"/>
      <c r="AX911" s="799"/>
      <c r="AY911" s="799"/>
      <c r="AZ911" s="799"/>
      <c r="BA911" s="799"/>
      <c r="BB911" s="799"/>
      <c r="BC911" s="799"/>
      <c r="BD911" s="799"/>
      <c r="BE911" s="799"/>
      <c r="BF911" s="799"/>
      <c r="BG911" s="799"/>
    </row>
    <row r="912">
      <c r="H912" s="799"/>
      <c r="I912" s="799"/>
      <c r="J912" s="799"/>
      <c r="K912" s="799"/>
      <c r="L912" s="799"/>
      <c r="M912" s="799"/>
      <c r="N912" s="799"/>
      <c r="O912" s="799"/>
      <c r="P912" s="799"/>
      <c r="Q912" s="799"/>
      <c r="R912" s="799"/>
      <c r="S912" s="799"/>
      <c r="T912" s="799"/>
      <c r="U912" s="799"/>
      <c r="V912" s="799"/>
      <c r="W912" s="799"/>
      <c r="X912" s="799"/>
      <c r="Y912" s="799"/>
      <c r="Z912" s="799"/>
      <c r="AA912" s="799"/>
      <c r="AB912" s="799"/>
      <c r="AC912" s="799"/>
      <c r="AD912" s="799"/>
      <c r="AE912" s="799"/>
      <c r="AF912" s="799"/>
      <c r="AG912" s="799"/>
      <c r="AH912" s="799"/>
      <c r="AI912" s="799"/>
      <c r="AJ912" s="799"/>
      <c r="AK912" s="799"/>
      <c r="AL912" s="799"/>
      <c r="AM912" s="799"/>
      <c r="AN912" s="799"/>
      <c r="AO912" s="799"/>
      <c r="AP912" s="799"/>
      <c r="AQ912" s="799"/>
      <c r="AR912" s="799"/>
      <c r="AS912" s="799"/>
      <c r="AT912" s="799"/>
      <c r="AU912" s="799"/>
      <c r="AV912" s="799"/>
      <c r="AW912" s="799"/>
      <c r="AX912" s="799"/>
      <c r="AY912" s="799"/>
      <c r="AZ912" s="799"/>
      <c r="BA912" s="799"/>
      <c r="BB912" s="799"/>
      <c r="BC912" s="799"/>
      <c r="BD912" s="799"/>
      <c r="BE912" s="799"/>
      <c r="BF912" s="799"/>
      <c r="BG912" s="799"/>
    </row>
    <row r="913">
      <c r="H913" s="799"/>
      <c r="I913" s="799"/>
      <c r="J913" s="799"/>
      <c r="K913" s="799"/>
      <c r="L913" s="799"/>
      <c r="M913" s="799"/>
      <c r="N913" s="799"/>
      <c r="O913" s="799"/>
      <c r="P913" s="799"/>
      <c r="Q913" s="799"/>
      <c r="R913" s="799"/>
      <c r="S913" s="799"/>
      <c r="T913" s="799"/>
      <c r="U913" s="799"/>
      <c r="V913" s="799"/>
      <c r="W913" s="799"/>
      <c r="X913" s="799"/>
      <c r="Y913" s="799"/>
      <c r="Z913" s="799"/>
      <c r="AA913" s="799"/>
      <c r="AB913" s="799"/>
      <c r="AC913" s="799"/>
      <c r="AD913" s="799"/>
      <c r="AE913" s="799"/>
      <c r="AF913" s="799"/>
      <c r="AG913" s="799"/>
      <c r="AH913" s="799"/>
      <c r="AI913" s="799"/>
      <c r="AJ913" s="799"/>
      <c r="AK913" s="799"/>
      <c r="AL913" s="799"/>
      <c r="AM913" s="799"/>
      <c r="AN913" s="799"/>
      <c r="AO913" s="799"/>
      <c r="AP913" s="799"/>
      <c r="AQ913" s="799"/>
      <c r="AR913" s="799"/>
      <c r="AS913" s="799"/>
      <c r="AT913" s="799"/>
      <c r="AU913" s="799"/>
      <c r="AV913" s="799"/>
      <c r="AW913" s="799"/>
      <c r="AX913" s="799"/>
      <c r="AY913" s="799"/>
      <c r="AZ913" s="799"/>
      <c r="BA913" s="799"/>
      <c r="BB913" s="799"/>
      <c r="BC913" s="799"/>
      <c r="BD913" s="799"/>
      <c r="BE913" s="799"/>
      <c r="BF913" s="799"/>
      <c r="BG913" s="799"/>
    </row>
    <row r="914">
      <c r="H914" s="799"/>
      <c r="I914" s="799"/>
      <c r="J914" s="799"/>
      <c r="K914" s="799"/>
      <c r="L914" s="799"/>
      <c r="M914" s="799"/>
      <c r="N914" s="799"/>
      <c r="O914" s="799"/>
      <c r="P914" s="799"/>
      <c r="Q914" s="799"/>
      <c r="R914" s="799"/>
      <c r="S914" s="799"/>
      <c r="T914" s="799"/>
      <c r="U914" s="799"/>
      <c r="V914" s="799"/>
      <c r="W914" s="799"/>
      <c r="X914" s="799"/>
      <c r="Y914" s="799"/>
      <c r="Z914" s="799"/>
      <c r="AA914" s="799"/>
      <c r="AB914" s="799"/>
      <c r="AC914" s="799"/>
      <c r="AD914" s="799"/>
      <c r="AE914" s="799"/>
      <c r="AF914" s="799"/>
      <c r="AG914" s="799"/>
      <c r="AH914" s="799"/>
      <c r="AI914" s="799"/>
      <c r="AJ914" s="799"/>
      <c r="AK914" s="799"/>
      <c r="AL914" s="799"/>
      <c r="AM914" s="799"/>
      <c r="AN914" s="799"/>
      <c r="AO914" s="799"/>
      <c r="AP914" s="799"/>
      <c r="AQ914" s="799"/>
      <c r="AR914" s="799"/>
      <c r="AS914" s="799"/>
      <c r="AT914" s="799"/>
      <c r="AU914" s="799"/>
      <c r="AV914" s="799"/>
      <c r="AW914" s="799"/>
      <c r="AX914" s="799"/>
      <c r="AY914" s="799"/>
      <c r="AZ914" s="799"/>
      <c r="BA914" s="799"/>
      <c r="BB914" s="799"/>
      <c r="BC914" s="799"/>
      <c r="BD914" s="799"/>
      <c r="BE914" s="799"/>
      <c r="BF914" s="799"/>
      <c r="BG914" s="799"/>
    </row>
    <row r="915">
      <c r="H915" s="799"/>
      <c r="I915" s="799"/>
      <c r="J915" s="799"/>
      <c r="K915" s="799"/>
      <c r="L915" s="799"/>
      <c r="M915" s="799"/>
      <c r="N915" s="799"/>
      <c r="O915" s="799"/>
      <c r="P915" s="799"/>
      <c r="Q915" s="799"/>
      <c r="R915" s="799"/>
      <c r="S915" s="799"/>
      <c r="T915" s="799"/>
      <c r="U915" s="799"/>
      <c r="V915" s="799"/>
      <c r="W915" s="799"/>
      <c r="X915" s="799"/>
      <c r="Y915" s="799"/>
      <c r="Z915" s="799"/>
      <c r="AA915" s="799"/>
      <c r="AB915" s="799"/>
      <c r="AC915" s="799"/>
      <c r="AD915" s="799"/>
      <c r="AE915" s="799"/>
      <c r="AF915" s="799"/>
      <c r="AG915" s="799"/>
      <c r="AH915" s="799"/>
      <c r="AI915" s="799"/>
      <c r="AJ915" s="799"/>
      <c r="AK915" s="799"/>
      <c r="AL915" s="799"/>
      <c r="AM915" s="799"/>
      <c r="AN915" s="799"/>
      <c r="AO915" s="799"/>
      <c r="AP915" s="799"/>
      <c r="AQ915" s="799"/>
      <c r="AR915" s="799"/>
      <c r="AS915" s="799"/>
      <c r="AT915" s="799"/>
      <c r="AU915" s="799"/>
      <c r="AV915" s="799"/>
      <c r="AW915" s="799"/>
      <c r="AX915" s="799"/>
      <c r="AY915" s="799"/>
      <c r="AZ915" s="799"/>
      <c r="BA915" s="799"/>
      <c r="BB915" s="799"/>
      <c r="BC915" s="799"/>
      <c r="BD915" s="799"/>
      <c r="BE915" s="799"/>
      <c r="BF915" s="799"/>
      <c r="BG915" s="799"/>
    </row>
    <row r="916">
      <c r="H916" s="799"/>
      <c r="I916" s="799"/>
      <c r="J916" s="799"/>
      <c r="K916" s="799"/>
      <c r="L916" s="799"/>
      <c r="M916" s="799"/>
      <c r="N916" s="799"/>
      <c r="O916" s="799"/>
      <c r="P916" s="799"/>
      <c r="Q916" s="799"/>
      <c r="R916" s="799"/>
      <c r="S916" s="799"/>
      <c r="T916" s="799"/>
      <c r="U916" s="799"/>
      <c r="V916" s="799"/>
      <c r="W916" s="799"/>
      <c r="X916" s="799"/>
      <c r="Y916" s="799"/>
      <c r="Z916" s="799"/>
      <c r="AA916" s="799"/>
      <c r="AB916" s="799"/>
      <c r="AC916" s="799"/>
      <c r="AD916" s="799"/>
      <c r="AE916" s="799"/>
      <c r="AF916" s="799"/>
      <c r="AG916" s="799"/>
      <c r="AH916" s="799"/>
      <c r="AI916" s="799"/>
      <c r="AJ916" s="799"/>
      <c r="AK916" s="799"/>
      <c r="AL916" s="799"/>
      <c r="AM916" s="799"/>
      <c r="AN916" s="799"/>
      <c r="AO916" s="799"/>
      <c r="AP916" s="799"/>
      <c r="AQ916" s="799"/>
      <c r="AR916" s="799"/>
      <c r="AS916" s="799"/>
      <c r="AT916" s="799"/>
      <c r="AU916" s="799"/>
      <c r="AV916" s="799"/>
      <c r="AW916" s="799"/>
      <c r="AX916" s="799"/>
      <c r="AY916" s="799"/>
      <c r="AZ916" s="799"/>
      <c r="BA916" s="799"/>
      <c r="BB916" s="799"/>
      <c r="BC916" s="799"/>
      <c r="BD916" s="799"/>
      <c r="BE916" s="799"/>
      <c r="BF916" s="799"/>
      <c r="BG916" s="799"/>
    </row>
    <row r="917">
      <c r="H917" s="799"/>
      <c r="I917" s="799"/>
      <c r="J917" s="799"/>
      <c r="K917" s="799"/>
      <c r="L917" s="799"/>
      <c r="M917" s="799"/>
      <c r="N917" s="799"/>
      <c r="O917" s="799"/>
      <c r="P917" s="799"/>
      <c r="Q917" s="799"/>
      <c r="R917" s="799"/>
      <c r="S917" s="799"/>
      <c r="T917" s="799"/>
      <c r="U917" s="799"/>
      <c r="V917" s="799"/>
      <c r="W917" s="799"/>
      <c r="X917" s="799"/>
      <c r="Y917" s="799"/>
      <c r="Z917" s="799"/>
      <c r="AA917" s="799"/>
      <c r="AB917" s="799"/>
      <c r="AC917" s="799"/>
      <c r="AD917" s="799"/>
      <c r="AE917" s="799"/>
      <c r="AF917" s="799"/>
      <c r="AG917" s="799"/>
      <c r="AH917" s="799"/>
      <c r="AI917" s="799"/>
      <c r="AJ917" s="799"/>
      <c r="AK917" s="799"/>
      <c r="AL917" s="799"/>
      <c r="AM917" s="799"/>
      <c r="AN917" s="799"/>
      <c r="AO917" s="799"/>
      <c r="AP917" s="799"/>
      <c r="AQ917" s="799"/>
      <c r="AR917" s="799"/>
      <c r="AS917" s="799"/>
      <c r="AT917" s="799"/>
      <c r="AU917" s="799"/>
      <c r="AV917" s="799"/>
      <c r="AW917" s="799"/>
      <c r="AX917" s="799"/>
      <c r="AY917" s="799"/>
      <c r="AZ917" s="799"/>
      <c r="BA917" s="799"/>
      <c r="BB917" s="799"/>
      <c r="BC917" s="799"/>
      <c r="BD917" s="799"/>
      <c r="BE917" s="799"/>
      <c r="BF917" s="799"/>
      <c r="BG917" s="799"/>
    </row>
    <row r="918">
      <c r="H918" s="799"/>
      <c r="I918" s="799"/>
      <c r="J918" s="799"/>
      <c r="K918" s="799"/>
      <c r="L918" s="799"/>
      <c r="M918" s="799"/>
      <c r="N918" s="799"/>
      <c r="O918" s="799"/>
      <c r="P918" s="799"/>
      <c r="Q918" s="799"/>
      <c r="R918" s="799"/>
      <c r="S918" s="799"/>
      <c r="T918" s="799"/>
      <c r="U918" s="799"/>
      <c r="V918" s="799"/>
      <c r="W918" s="799"/>
      <c r="X918" s="799"/>
      <c r="Y918" s="799"/>
      <c r="Z918" s="799"/>
      <c r="AA918" s="799"/>
      <c r="AB918" s="799"/>
      <c r="AC918" s="799"/>
      <c r="AD918" s="799"/>
      <c r="AE918" s="799"/>
      <c r="AF918" s="799"/>
      <c r="AG918" s="799"/>
      <c r="AH918" s="799"/>
      <c r="AI918" s="799"/>
      <c r="AJ918" s="799"/>
      <c r="AK918" s="799"/>
      <c r="AL918" s="799"/>
      <c r="AM918" s="799"/>
      <c r="AN918" s="799"/>
      <c r="AO918" s="799"/>
      <c r="AP918" s="799"/>
      <c r="AQ918" s="799"/>
      <c r="AR918" s="799"/>
      <c r="AS918" s="799"/>
      <c r="AT918" s="799"/>
      <c r="AU918" s="799"/>
      <c r="AV918" s="799"/>
      <c r="AW918" s="799"/>
      <c r="AX918" s="799"/>
      <c r="AY918" s="799"/>
      <c r="AZ918" s="799"/>
      <c r="BA918" s="799"/>
      <c r="BB918" s="799"/>
      <c r="BC918" s="799"/>
      <c r="BD918" s="799"/>
      <c r="BE918" s="799"/>
      <c r="BF918" s="799"/>
      <c r="BG918" s="799"/>
    </row>
    <row r="919">
      <c r="H919" s="799"/>
      <c r="I919" s="799"/>
      <c r="J919" s="799"/>
      <c r="K919" s="799"/>
      <c r="L919" s="799"/>
      <c r="M919" s="799"/>
      <c r="N919" s="799"/>
      <c r="O919" s="799"/>
      <c r="P919" s="799"/>
      <c r="Q919" s="799"/>
      <c r="R919" s="799"/>
      <c r="S919" s="799"/>
      <c r="T919" s="799"/>
      <c r="U919" s="799"/>
      <c r="V919" s="799"/>
      <c r="W919" s="799"/>
      <c r="X919" s="799"/>
      <c r="Y919" s="799"/>
      <c r="Z919" s="799"/>
      <c r="AA919" s="799"/>
      <c r="AB919" s="799"/>
      <c r="AC919" s="799"/>
      <c r="AD919" s="799"/>
      <c r="AE919" s="799"/>
      <c r="AF919" s="799"/>
      <c r="AG919" s="799"/>
      <c r="AH919" s="799"/>
      <c r="AI919" s="799"/>
      <c r="AJ919" s="799"/>
      <c r="AK919" s="799"/>
      <c r="AL919" s="799"/>
      <c r="AM919" s="799"/>
      <c r="AN919" s="799"/>
      <c r="AO919" s="799"/>
      <c r="AP919" s="799"/>
      <c r="AQ919" s="799"/>
      <c r="AR919" s="799"/>
      <c r="AS919" s="799"/>
      <c r="AT919" s="799"/>
      <c r="AU919" s="799"/>
      <c r="AV919" s="799"/>
      <c r="AW919" s="799"/>
      <c r="AX919" s="799"/>
      <c r="AY919" s="799"/>
      <c r="AZ919" s="799"/>
      <c r="BA919" s="799"/>
      <c r="BB919" s="799"/>
      <c r="BC919" s="799"/>
      <c r="BD919" s="799"/>
      <c r="BE919" s="799"/>
      <c r="BF919" s="799"/>
      <c r="BG919" s="799"/>
    </row>
    <row r="920">
      <c r="H920" s="799"/>
      <c r="I920" s="799"/>
      <c r="J920" s="799"/>
      <c r="K920" s="799"/>
      <c r="L920" s="799"/>
      <c r="M920" s="799"/>
      <c r="N920" s="799"/>
      <c r="O920" s="799"/>
      <c r="P920" s="799"/>
      <c r="Q920" s="799"/>
      <c r="R920" s="799"/>
      <c r="S920" s="799"/>
      <c r="T920" s="799"/>
      <c r="U920" s="799"/>
      <c r="V920" s="799"/>
      <c r="W920" s="799"/>
      <c r="X920" s="799"/>
      <c r="Y920" s="799"/>
      <c r="Z920" s="799"/>
      <c r="AA920" s="799"/>
      <c r="AB920" s="799"/>
      <c r="AC920" s="799"/>
      <c r="AD920" s="799"/>
      <c r="AE920" s="799"/>
      <c r="AF920" s="799"/>
      <c r="AG920" s="799"/>
      <c r="AH920" s="799"/>
      <c r="AI920" s="799"/>
      <c r="AJ920" s="799"/>
      <c r="AK920" s="799"/>
      <c r="AL920" s="799"/>
      <c r="AM920" s="799"/>
      <c r="AN920" s="799"/>
      <c r="AO920" s="799"/>
      <c r="AP920" s="799"/>
      <c r="AQ920" s="799"/>
      <c r="AR920" s="799"/>
      <c r="AS920" s="799"/>
      <c r="AT920" s="799"/>
      <c r="AU920" s="799"/>
      <c r="AV920" s="799"/>
      <c r="AW920" s="799"/>
      <c r="AX920" s="799"/>
      <c r="AY920" s="799"/>
      <c r="AZ920" s="799"/>
      <c r="BA920" s="799"/>
      <c r="BB920" s="799"/>
      <c r="BC920" s="799"/>
      <c r="BD920" s="799"/>
      <c r="BE920" s="799"/>
      <c r="BF920" s="799"/>
      <c r="BG920" s="799"/>
    </row>
    <row r="921">
      <c r="H921" s="799"/>
      <c r="I921" s="799"/>
      <c r="J921" s="799"/>
      <c r="K921" s="799"/>
      <c r="L921" s="799"/>
      <c r="M921" s="799"/>
      <c r="N921" s="799"/>
      <c r="O921" s="799"/>
      <c r="P921" s="799"/>
      <c r="Q921" s="799"/>
      <c r="R921" s="799"/>
      <c r="S921" s="799"/>
      <c r="T921" s="799"/>
      <c r="U921" s="799"/>
      <c r="V921" s="799"/>
      <c r="W921" s="799"/>
      <c r="X921" s="799"/>
      <c r="Y921" s="799"/>
      <c r="Z921" s="799"/>
      <c r="AA921" s="799"/>
      <c r="AB921" s="799"/>
      <c r="AC921" s="799"/>
      <c r="AD921" s="799"/>
      <c r="AE921" s="799"/>
      <c r="AF921" s="799"/>
      <c r="AG921" s="799"/>
      <c r="AH921" s="799"/>
      <c r="AI921" s="799"/>
      <c r="AJ921" s="799"/>
      <c r="AK921" s="799"/>
      <c r="AL921" s="799"/>
      <c r="AM921" s="799"/>
      <c r="AN921" s="799"/>
      <c r="AO921" s="799"/>
      <c r="AP921" s="799"/>
      <c r="AQ921" s="799"/>
      <c r="AR921" s="799"/>
      <c r="AS921" s="799"/>
      <c r="AT921" s="799"/>
      <c r="AU921" s="799"/>
      <c r="AV921" s="799"/>
      <c r="AW921" s="799"/>
      <c r="AX921" s="799"/>
      <c r="AY921" s="799"/>
      <c r="AZ921" s="799"/>
      <c r="BA921" s="799"/>
      <c r="BB921" s="799"/>
      <c r="BC921" s="799"/>
      <c r="BD921" s="799"/>
      <c r="BE921" s="799"/>
      <c r="BF921" s="799"/>
      <c r="BG921" s="799"/>
    </row>
    <row r="922">
      <c r="H922" s="799"/>
      <c r="I922" s="799"/>
      <c r="J922" s="799"/>
      <c r="K922" s="799"/>
      <c r="L922" s="799"/>
      <c r="M922" s="799"/>
      <c r="N922" s="799"/>
      <c r="O922" s="799"/>
      <c r="P922" s="799"/>
      <c r="Q922" s="799"/>
      <c r="R922" s="799"/>
      <c r="S922" s="799"/>
      <c r="T922" s="799"/>
      <c r="U922" s="799"/>
      <c r="V922" s="799"/>
      <c r="W922" s="799"/>
      <c r="X922" s="799"/>
      <c r="Y922" s="799"/>
      <c r="Z922" s="799"/>
      <c r="AA922" s="799"/>
      <c r="AB922" s="799"/>
      <c r="AC922" s="799"/>
      <c r="AD922" s="799"/>
      <c r="AE922" s="799"/>
      <c r="AF922" s="799"/>
      <c r="AG922" s="799"/>
      <c r="AH922" s="799"/>
      <c r="AI922" s="799"/>
      <c r="AJ922" s="799"/>
      <c r="AK922" s="799"/>
      <c r="AL922" s="799"/>
      <c r="AM922" s="799"/>
      <c r="AN922" s="799"/>
      <c r="AO922" s="799"/>
      <c r="AP922" s="799"/>
      <c r="AQ922" s="799"/>
      <c r="AR922" s="799"/>
      <c r="AS922" s="799"/>
      <c r="AT922" s="799"/>
      <c r="AU922" s="799"/>
      <c r="AV922" s="799"/>
      <c r="AW922" s="799"/>
      <c r="AX922" s="799"/>
      <c r="AY922" s="799"/>
      <c r="AZ922" s="799"/>
      <c r="BA922" s="799"/>
      <c r="BB922" s="799"/>
      <c r="BC922" s="799"/>
      <c r="BD922" s="799"/>
      <c r="BE922" s="799"/>
      <c r="BF922" s="799"/>
      <c r="BG922" s="799"/>
    </row>
    <row r="923">
      <c r="H923" s="799"/>
      <c r="I923" s="799"/>
      <c r="J923" s="799"/>
      <c r="K923" s="799"/>
      <c r="L923" s="799"/>
      <c r="M923" s="799"/>
      <c r="N923" s="799"/>
      <c r="O923" s="799"/>
      <c r="P923" s="799"/>
      <c r="Q923" s="799"/>
      <c r="R923" s="799"/>
      <c r="S923" s="799"/>
      <c r="T923" s="799"/>
      <c r="U923" s="799"/>
      <c r="V923" s="799"/>
      <c r="W923" s="799"/>
      <c r="X923" s="799"/>
      <c r="Y923" s="799"/>
      <c r="Z923" s="799"/>
      <c r="AA923" s="799"/>
      <c r="AB923" s="799"/>
      <c r="AC923" s="799"/>
      <c r="AD923" s="799"/>
      <c r="AE923" s="799"/>
      <c r="AF923" s="799"/>
      <c r="AG923" s="799"/>
      <c r="AH923" s="799"/>
      <c r="AI923" s="799"/>
      <c r="AJ923" s="799"/>
      <c r="AK923" s="799"/>
      <c r="AL923" s="799"/>
      <c r="AM923" s="799"/>
      <c r="AN923" s="799"/>
      <c r="AO923" s="799"/>
      <c r="AP923" s="799"/>
      <c r="AQ923" s="799"/>
      <c r="AR923" s="799"/>
      <c r="AS923" s="799"/>
      <c r="AT923" s="799"/>
      <c r="AU923" s="799"/>
      <c r="AV923" s="799"/>
      <c r="AW923" s="799"/>
      <c r="AX923" s="799"/>
      <c r="AY923" s="799"/>
      <c r="AZ923" s="799"/>
      <c r="BA923" s="799"/>
      <c r="BB923" s="799"/>
      <c r="BC923" s="799"/>
      <c r="BD923" s="799"/>
      <c r="BE923" s="799"/>
      <c r="BF923" s="799"/>
      <c r="BG923" s="799"/>
    </row>
    <row r="924">
      <c r="H924" s="799"/>
      <c r="I924" s="799"/>
      <c r="J924" s="799"/>
      <c r="K924" s="799"/>
      <c r="L924" s="799"/>
      <c r="M924" s="799"/>
      <c r="N924" s="799"/>
      <c r="O924" s="799"/>
      <c r="P924" s="799"/>
      <c r="Q924" s="799"/>
      <c r="R924" s="799"/>
      <c r="S924" s="799"/>
      <c r="T924" s="799"/>
      <c r="U924" s="799"/>
      <c r="V924" s="799"/>
      <c r="W924" s="799"/>
      <c r="X924" s="799"/>
      <c r="Y924" s="799"/>
      <c r="Z924" s="799"/>
      <c r="AA924" s="799"/>
      <c r="AB924" s="799"/>
      <c r="AC924" s="799"/>
      <c r="AD924" s="799"/>
      <c r="AE924" s="799"/>
      <c r="AF924" s="799"/>
      <c r="AG924" s="799"/>
      <c r="AH924" s="799"/>
      <c r="AI924" s="799"/>
      <c r="AJ924" s="799"/>
      <c r="AK924" s="799"/>
      <c r="AL924" s="799"/>
      <c r="AM924" s="799"/>
      <c r="AN924" s="799"/>
      <c r="AO924" s="799"/>
      <c r="AP924" s="799"/>
      <c r="AQ924" s="799"/>
      <c r="AR924" s="799"/>
      <c r="AS924" s="799"/>
      <c r="AT924" s="799"/>
      <c r="AU924" s="799"/>
      <c r="AV924" s="799"/>
      <c r="AW924" s="799"/>
      <c r="AX924" s="799"/>
      <c r="AY924" s="799"/>
      <c r="AZ924" s="799"/>
      <c r="BA924" s="799"/>
      <c r="BB924" s="799"/>
      <c r="BC924" s="799"/>
      <c r="BD924" s="799"/>
      <c r="BE924" s="799"/>
      <c r="BF924" s="799"/>
      <c r="BG924" s="799"/>
    </row>
    <row r="925">
      <c r="H925" s="799"/>
      <c r="I925" s="799"/>
      <c r="J925" s="799"/>
      <c r="K925" s="799"/>
      <c r="L925" s="799"/>
      <c r="M925" s="799"/>
      <c r="N925" s="799"/>
      <c r="O925" s="799"/>
      <c r="P925" s="799"/>
      <c r="Q925" s="799"/>
      <c r="R925" s="799"/>
      <c r="S925" s="799"/>
      <c r="T925" s="799"/>
      <c r="U925" s="799"/>
      <c r="V925" s="799"/>
      <c r="W925" s="799"/>
      <c r="X925" s="799"/>
      <c r="Y925" s="799"/>
      <c r="Z925" s="799"/>
      <c r="AA925" s="799"/>
      <c r="AB925" s="799"/>
      <c r="AC925" s="799"/>
      <c r="AD925" s="799"/>
      <c r="AE925" s="799"/>
      <c r="AF925" s="799"/>
      <c r="AG925" s="799"/>
      <c r="AH925" s="799"/>
      <c r="AI925" s="799"/>
      <c r="AJ925" s="799"/>
      <c r="AK925" s="799"/>
      <c r="AL925" s="799"/>
      <c r="AM925" s="799"/>
      <c r="AN925" s="799"/>
      <c r="AO925" s="799"/>
      <c r="AP925" s="799"/>
      <c r="AQ925" s="799"/>
      <c r="AR925" s="799"/>
      <c r="AS925" s="799"/>
      <c r="AT925" s="799"/>
      <c r="AU925" s="799"/>
      <c r="AV925" s="799"/>
      <c r="AW925" s="799"/>
      <c r="AX925" s="799"/>
      <c r="AY925" s="799"/>
      <c r="AZ925" s="799"/>
      <c r="BA925" s="799"/>
      <c r="BB925" s="799"/>
      <c r="BC925" s="799"/>
      <c r="BD925" s="799"/>
      <c r="BE925" s="799"/>
      <c r="BF925" s="799"/>
      <c r="BG925" s="799"/>
    </row>
    <row r="926">
      <c r="H926" s="799"/>
      <c r="I926" s="799"/>
      <c r="J926" s="799"/>
      <c r="K926" s="799"/>
      <c r="L926" s="799"/>
      <c r="M926" s="799"/>
      <c r="N926" s="799"/>
      <c r="O926" s="799"/>
      <c r="P926" s="799"/>
      <c r="Q926" s="799"/>
      <c r="R926" s="799"/>
      <c r="S926" s="799"/>
      <c r="T926" s="799"/>
      <c r="U926" s="799"/>
      <c r="V926" s="799"/>
      <c r="W926" s="799"/>
      <c r="X926" s="799"/>
      <c r="Y926" s="799"/>
      <c r="Z926" s="799"/>
      <c r="AA926" s="799"/>
      <c r="AB926" s="799"/>
      <c r="AC926" s="799"/>
      <c r="AD926" s="799"/>
      <c r="AE926" s="799"/>
      <c r="AF926" s="799"/>
      <c r="AG926" s="799"/>
      <c r="AH926" s="799"/>
      <c r="AI926" s="799"/>
      <c r="AJ926" s="799"/>
      <c r="AK926" s="799"/>
      <c r="AL926" s="799"/>
      <c r="AM926" s="799"/>
      <c r="AN926" s="799"/>
      <c r="AO926" s="799"/>
      <c r="AP926" s="799"/>
      <c r="AQ926" s="799"/>
      <c r="AR926" s="799"/>
      <c r="AS926" s="799"/>
      <c r="AT926" s="799"/>
      <c r="AU926" s="799"/>
      <c r="AV926" s="799"/>
      <c r="AW926" s="799"/>
      <c r="AX926" s="799"/>
      <c r="AY926" s="799"/>
      <c r="AZ926" s="799"/>
      <c r="BA926" s="799"/>
      <c r="BB926" s="799"/>
      <c r="BC926" s="799"/>
      <c r="BD926" s="799"/>
      <c r="BE926" s="799"/>
      <c r="BF926" s="799"/>
      <c r="BG926" s="799"/>
    </row>
    <row r="927">
      <c r="H927" s="799"/>
      <c r="I927" s="799"/>
      <c r="J927" s="799"/>
      <c r="K927" s="799"/>
      <c r="L927" s="799"/>
      <c r="M927" s="799"/>
      <c r="N927" s="799"/>
      <c r="O927" s="799"/>
      <c r="P927" s="799"/>
      <c r="Q927" s="799"/>
      <c r="R927" s="799"/>
      <c r="S927" s="799"/>
      <c r="T927" s="799"/>
      <c r="U927" s="799"/>
      <c r="V927" s="799"/>
      <c r="W927" s="799"/>
      <c r="X927" s="799"/>
      <c r="Y927" s="799"/>
      <c r="Z927" s="799"/>
      <c r="AA927" s="799"/>
      <c r="AB927" s="799"/>
      <c r="AC927" s="799"/>
      <c r="AD927" s="799"/>
      <c r="AE927" s="799"/>
      <c r="AF927" s="799"/>
      <c r="AG927" s="799"/>
      <c r="AH927" s="799"/>
      <c r="AI927" s="799"/>
      <c r="AJ927" s="799"/>
      <c r="AK927" s="799"/>
      <c r="AL927" s="799"/>
      <c r="AM927" s="799"/>
      <c r="AN927" s="799"/>
      <c r="AO927" s="799"/>
      <c r="AP927" s="799"/>
      <c r="AQ927" s="799"/>
      <c r="AR927" s="799"/>
      <c r="AS927" s="799"/>
      <c r="AT927" s="799"/>
      <c r="AU927" s="799"/>
      <c r="AV927" s="799"/>
      <c r="AW927" s="799"/>
      <c r="AX927" s="799"/>
      <c r="AY927" s="799"/>
      <c r="AZ927" s="799"/>
      <c r="BA927" s="799"/>
      <c r="BB927" s="799"/>
      <c r="BC927" s="799"/>
      <c r="BD927" s="799"/>
      <c r="BE927" s="799"/>
      <c r="BF927" s="799"/>
      <c r="BG927" s="799"/>
    </row>
    <row r="928">
      <c r="H928" s="799"/>
      <c r="I928" s="799"/>
      <c r="J928" s="799"/>
      <c r="K928" s="799"/>
      <c r="L928" s="799"/>
      <c r="M928" s="799"/>
      <c r="N928" s="799"/>
      <c r="O928" s="799"/>
      <c r="P928" s="799"/>
      <c r="Q928" s="799"/>
      <c r="R928" s="799"/>
      <c r="S928" s="799"/>
      <c r="T928" s="799"/>
      <c r="U928" s="799"/>
      <c r="V928" s="799"/>
      <c r="W928" s="799"/>
      <c r="X928" s="799"/>
      <c r="Y928" s="799"/>
      <c r="Z928" s="799"/>
      <c r="AA928" s="799"/>
      <c r="AB928" s="799"/>
      <c r="AC928" s="799"/>
      <c r="AD928" s="799"/>
      <c r="AE928" s="799"/>
      <c r="AF928" s="799"/>
      <c r="AG928" s="799"/>
      <c r="AH928" s="799"/>
      <c r="AI928" s="799"/>
      <c r="AJ928" s="799"/>
      <c r="AK928" s="799"/>
      <c r="AL928" s="799"/>
      <c r="AM928" s="799"/>
      <c r="AN928" s="799"/>
      <c r="AO928" s="799"/>
      <c r="AP928" s="799"/>
      <c r="AQ928" s="799"/>
      <c r="AR928" s="799"/>
      <c r="AS928" s="799"/>
      <c r="AT928" s="799"/>
      <c r="AU928" s="799"/>
      <c r="AV928" s="799"/>
      <c r="AW928" s="799"/>
      <c r="AX928" s="799"/>
      <c r="AY928" s="799"/>
      <c r="AZ928" s="799"/>
      <c r="BA928" s="799"/>
      <c r="BB928" s="799"/>
      <c r="BC928" s="799"/>
      <c r="BD928" s="799"/>
      <c r="BE928" s="799"/>
      <c r="BF928" s="799"/>
      <c r="BG928" s="799"/>
    </row>
    <row r="929">
      <c r="H929" s="799"/>
      <c r="I929" s="799"/>
      <c r="J929" s="799"/>
      <c r="K929" s="799"/>
      <c r="L929" s="799"/>
      <c r="M929" s="799"/>
      <c r="N929" s="799"/>
      <c r="O929" s="799"/>
      <c r="P929" s="799"/>
      <c r="Q929" s="799"/>
      <c r="R929" s="799"/>
      <c r="S929" s="799"/>
      <c r="T929" s="799"/>
      <c r="U929" s="799"/>
      <c r="V929" s="799"/>
      <c r="W929" s="799"/>
      <c r="X929" s="799"/>
      <c r="Y929" s="799"/>
      <c r="Z929" s="799"/>
      <c r="AA929" s="799"/>
      <c r="AB929" s="799"/>
      <c r="AC929" s="799"/>
      <c r="AD929" s="799"/>
      <c r="AE929" s="799"/>
      <c r="AF929" s="799"/>
      <c r="AG929" s="799"/>
      <c r="AH929" s="799"/>
      <c r="AI929" s="799"/>
      <c r="AJ929" s="799"/>
      <c r="AK929" s="799"/>
      <c r="AL929" s="799"/>
      <c r="AM929" s="799"/>
      <c r="AN929" s="799"/>
      <c r="AO929" s="799"/>
      <c r="AP929" s="799"/>
      <c r="AQ929" s="799"/>
      <c r="AR929" s="799"/>
      <c r="AS929" s="799"/>
      <c r="AT929" s="799"/>
      <c r="AU929" s="799"/>
      <c r="AV929" s="799"/>
      <c r="AW929" s="799"/>
      <c r="AX929" s="799"/>
      <c r="AY929" s="799"/>
      <c r="AZ929" s="799"/>
      <c r="BA929" s="799"/>
      <c r="BB929" s="799"/>
      <c r="BC929" s="799"/>
      <c r="BD929" s="799"/>
      <c r="BE929" s="799"/>
      <c r="BF929" s="799"/>
      <c r="BG929" s="799"/>
    </row>
    <row r="930">
      <c r="H930" s="799"/>
      <c r="I930" s="799"/>
      <c r="J930" s="799"/>
      <c r="K930" s="799"/>
      <c r="L930" s="799"/>
      <c r="M930" s="799"/>
      <c r="N930" s="799"/>
      <c r="O930" s="799"/>
      <c r="P930" s="799"/>
      <c r="Q930" s="799"/>
      <c r="R930" s="799"/>
      <c r="S930" s="799"/>
      <c r="T930" s="799"/>
      <c r="U930" s="799"/>
      <c r="V930" s="799"/>
      <c r="W930" s="799"/>
      <c r="X930" s="799"/>
      <c r="Y930" s="799"/>
      <c r="Z930" s="799"/>
      <c r="AA930" s="799"/>
      <c r="AB930" s="799"/>
      <c r="AC930" s="799"/>
      <c r="AD930" s="799"/>
      <c r="AE930" s="799"/>
      <c r="AF930" s="799"/>
      <c r="AG930" s="799"/>
      <c r="AH930" s="799"/>
      <c r="AI930" s="799"/>
      <c r="AJ930" s="799"/>
      <c r="AK930" s="799"/>
      <c r="AL930" s="799"/>
      <c r="AM930" s="799"/>
      <c r="AN930" s="799"/>
      <c r="AO930" s="799"/>
      <c r="AP930" s="799"/>
      <c r="AQ930" s="799"/>
      <c r="AR930" s="799"/>
      <c r="AS930" s="799"/>
      <c r="AT930" s="799"/>
      <c r="AU930" s="799"/>
      <c r="AV930" s="799"/>
      <c r="AW930" s="799"/>
      <c r="AX930" s="799"/>
      <c r="AY930" s="799"/>
      <c r="AZ930" s="799"/>
      <c r="BA930" s="799"/>
      <c r="BB930" s="799"/>
      <c r="BC930" s="799"/>
      <c r="BD930" s="799"/>
      <c r="BE930" s="799"/>
      <c r="BF930" s="799"/>
      <c r="BG930" s="799"/>
    </row>
    <row r="931">
      <c r="H931" s="799"/>
      <c r="I931" s="799"/>
      <c r="J931" s="799"/>
      <c r="K931" s="799"/>
      <c r="L931" s="799"/>
      <c r="M931" s="799"/>
      <c r="N931" s="799"/>
      <c r="O931" s="799"/>
      <c r="P931" s="799"/>
      <c r="Q931" s="799"/>
      <c r="R931" s="799"/>
      <c r="S931" s="799"/>
      <c r="T931" s="799"/>
      <c r="U931" s="799"/>
      <c r="V931" s="799"/>
      <c r="W931" s="799"/>
      <c r="X931" s="799"/>
      <c r="Y931" s="799"/>
      <c r="Z931" s="799"/>
      <c r="AA931" s="799"/>
      <c r="AB931" s="799"/>
      <c r="AC931" s="799"/>
      <c r="AD931" s="799"/>
      <c r="AE931" s="799"/>
      <c r="AF931" s="799"/>
      <c r="AG931" s="799"/>
      <c r="AH931" s="799"/>
      <c r="AI931" s="799"/>
      <c r="AJ931" s="799"/>
      <c r="AK931" s="799"/>
      <c r="AL931" s="799"/>
      <c r="AM931" s="799"/>
      <c r="AN931" s="799"/>
      <c r="AO931" s="799"/>
      <c r="AP931" s="799"/>
      <c r="AQ931" s="799"/>
      <c r="AR931" s="799"/>
      <c r="AS931" s="799"/>
      <c r="AT931" s="799"/>
      <c r="AU931" s="799"/>
      <c r="AV931" s="799"/>
      <c r="AW931" s="799"/>
      <c r="AX931" s="799"/>
      <c r="AY931" s="799"/>
      <c r="AZ931" s="799"/>
      <c r="BA931" s="799"/>
      <c r="BB931" s="799"/>
      <c r="BC931" s="799"/>
      <c r="BD931" s="799"/>
      <c r="BE931" s="799"/>
      <c r="BF931" s="799"/>
      <c r="BG931" s="799"/>
    </row>
    <row r="932">
      <c r="H932" s="799"/>
      <c r="I932" s="799"/>
      <c r="J932" s="799"/>
      <c r="K932" s="799"/>
      <c r="L932" s="799"/>
      <c r="M932" s="799"/>
      <c r="N932" s="799"/>
      <c r="O932" s="799"/>
      <c r="P932" s="799"/>
      <c r="Q932" s="799"/>
      <c r="R932" s="799"/>
      <c r="S932" s="799"/>
      <c r="T932" s="799"/>
      <c r="U932" s="799"/>
      <c r="V932" s="799"/>
      <c r="W932" s="799"/>
      <c r="X932" s="799"/>
      <c r="Y932" s="799"/>
      <c r="Z932" s="799"/>
      <c r="AA932" s="799"/>
      <c r="AB932" s="799"/>
      <c r="AC932" s="799"/>
      <c r="AD932" s="799"/>
      <c r="AE932" s="799"/>
      <c r="AF932" s="799"/>
      <c r="AG932" s="799"/>
      <c r="AH932" s="799"/>
      <c r="AI932" s="799"/>
      <c r="AJ932" s="799"/>
      <c r="AK932" s="799"/>
      <c r="AL932" s="799"/>
      <c r="AM932" s="799"/>
      <c r="AN932" s="799"/>
      <c r="AO932" s="799"/>
      <c r="AP932" s="799"/>
      <c r="AQ932" s="799"/>
      <c r="AR932" s="799"/>
      <c r="AS932" s="799"/>
      <c r="AT932" s="799"/>
      <c r="AU932" s="799"/>
      <c r="AV932" s="799"/>
      <c r="AW932" s="799"/>
      <c r="AX932" s="799"/>
      <c r="AY932" s="799"/>
      <c r="AZ932" s="799"/>
      <c r="BA932" s="799"/>
      <c r="BB932" s="799"/>
      <c r="BC932" s="799"/>
      <c r="BD932" s="799"/>
      <c r="BE932" s="799"/>
      <c r="BF932" s="799"/>
      <c r="BG932" s="799"/>
    </row>
    <row r="933">
      <c r="H933" s="799"/>
      <c r="I933" s="799"/>
      <c r="J933" s="799"/>
      <c r="K933" s="799"/>
      <c r="L933" s="799"/>
      <c r="M933" s="799"/>
      <c r="N933" s="799"/>
      <c r="O933" s="799"/>
      <c r="P933" s="799"/>
      <c r="Q933" s="799"/>
      <c r="R933" s="799"/>
      <c r="S933" s="799"/>
      <c r="T933" s="799"/>
      <c r="U933" s="799"/>
      <c r="V933" s="799"/>
      <c r="W933" s="799"/>
      <c r="X933" s="799"/>
      <c r="Y933" s="799"/>
      <c r="Z933" s="799"/>
      <c r="AA933" s="799"/>
      <c r="AB933" s="799"/>
      <c r="AC933" s="799"/>
      <c r="AD933" s="799"/>
      <c r="AE933" s="799"/>
      <c r="AF933" s="799"/>
      <c r="AG933" s="799"/>
      <c r="AH933" s="799"/>
      <c r="AI933" s="799"/>
      <c r="AJ933" s="799"/>
      <c r="AK933" s="799"/>
      <c r="AL933" s="799"/>
      <c r="AM933" s="799"/>
      <c r="AN933" s="799"/>
      <c r="AO933" s="799"/>
      <c r="AP933" s="799"/>
      <c r="AQ933" s="799"/>
      <c r="AR933" s="799"/>
      <c r="AS933" s="799"/>
      <c r="AT933" s="799"/>
      <c r="AU933" s="799"/>
      <c r="AV933" s="799"/>
      <c r="AW933" s="799"/>
      <c r="AX933" s="799"/>
      <c r="AY933" s="799"/>
      <c r="AZ933" s="799"/>
      <c r="BA933" s="799"/>
      <c r="BB933" s="799"/>
      <c r="BC933" s="799"/>
      <c r="BD933" s="799"/>
      <c r="BE933" s="799"/>
      <c r="BF933" s="799"/>
      <c r="BG933" s="799"/>
    </row>
    <row r="934">
      <c r="H934" s="799"/>
      <c r="I934" s="799"/>
      <c r="J934" s="799"/>
      <c r="K934" s="799"/>
      <c r="L934" s="799"/>
      <c r="M934" s="799"/>
      <c r="N934" s="799"/>
      <c r="O934" s="799"/>
      <c r="P934" s="799"/>
      <c r="Q934" s="799"/>
      <c r="R934" s="799"/>
      <c r="S934" s="799"/>
      <c r="T934" s="799"/>
      <c r="U934" s="799"/>
      <c r="V934" s="799"/>
      <c r="W934" s="799"/>
      <c r="X934" s="799"/>
      <c r="Y934" s="799"/>
      <c r="Z934" s="799"/>
      <c r="AA934" s="799"/>
      <c r="AB934" s="799"/>
      <c r="AC934" s="799"/>
      <c r="AD934" s="799"/>
      <c r="AE934" s="799"/>
      <c r="AF934" s="799"/>
      <c r="AG934" s="799"/>
      <c r="AH934" s="799"/>
      <c r="AI934" s="799"/>
      <c r="AJ934" s="799"/>
      <c r="AK934" s="799"/>
      <c r="AL934" s="799"/>
      <c r="AM934" s="799"/>
      <c r="AN934" s="799"/>
      <c r="AO934" s="799"/>
      <c r="AP934" s="799"/>
      <c r="AQ934" s="799"/>
      <c r="AR934" s="799"/>
      <c r="AS934" s="799"/>
      <c r="AT934" s="799"/>
      <c r="AU934" s="799"/>
      <c r="AV934" s="799"/>
      <c r="AW934" s="799"/>
      <c r="AX934" s="799"/>
      <c r="AY934" s="799"/>
      <c r="AZ934" s="799"/>
      <c r="BA934" s="799"/>
      <c r="BB934" s="799"/>
      <c r="BC934" s="799"/>
      <c r="BD934" s="799"/>
      <c r="BE934" s="799"/>
      <c r="BF934" s="799"/>
      <c r="BG934" s="799"/>
    </row>
    <row r="935">
      <c r="H935" s="799"/>
      <c r="I935" s="799"/>
      <c r="J935" s="799"/>
      <c r="K935" s="799"/>
      <c r="L935" s="799"/>
      <c r="M935" s="799"/>
      <c r="N935" s="799"/>
      <c r="O935" s="799"/>
      <c r="P935" s="799"/>
      <c r="Q935" s="799"/>
      <c r="R935" s="799"/>
      <c r="S935" s="799"/>
      <c r="T935" s="799"/>
      <c r="U935" s="799"/>
      <c r="V935" s="799"/>
      <c r="W935" s="799"/>
      <c r="X935" s="799"/>
      <c r="Y935" s="799"/>
      <c r="Z935" s="799"/>
      <c r="AA935" s="799"/>
      <c r="AB935" s="799"/>
      <c r="AC935" s="799"/>
      <c r="AD935" s="799"/>
      <c r="AE935" s="799"/>
      <c r="AF935" s="799"/>
      <c r="AG935" s="799"/>
      <c r="AH935" s="799"/>
      <c r="AI935" s="799"/>
      <c r="AJ935" s="799"/>
      <c r="AK935" s="799"/>
      <c r="AL935" s="799"/>
      <c r="AM935" s="799"/>
      <c r="AN935" s="799"/>
      <c r="AO935" s="799"/>
      <c r="AP935" s="799"/>
      <c r="AQ935" s="799"/>
      <c r="AR935" s="799"/>
      <c r="AS935" s="799"/>
      <c r="AT935" s="799"/>
      <c r="AU935" s="799"/>
      <c r="AV935" s="799"/>
      <c r="AW935" s="799"/>
      <c r="AX935" s="799"/>
      <c r="AY935" s="799"/>
      <c r="AZ935" s="799"/>
      <c r="BA935" s="799"/>
      <c r="BB935" s="799"/>
      <c r="BC935" s="799"/>
      <c r="BD935" s="799"/>
      <c r="BE935" s="799"/>
      <c r="BF935" s="799"/>
      <c r="BG935" s="799"/>
    </row>
    <row r="936">
      <c r="H936" s="799"/>
      <c r="I936" s="799"/>
      <c r="J936" s="799"/>
      <c r="K936" s="799"/>
      <c r="L936" s="799"/>
      <c r="M936" s="799"/>
      <c r="N936" s="799"/>
      <c r="O936" s="799"/>
      <c r="P936" s="799"/>
      <c r="Q936" s="799"/>
      <c r="R936" s="799"/>
      <c r="S936" s="799"/>
      <c r="T936" s="799"/>
      <c r="U936" s="799"/>
      <c r="V936" s="799"/>
      <c r="W936" s="799"/>
      <c r="X936" s="799"/>
      <c r="Y936" s="799"/>
      <c r="Z936" s="799"/>
      <c r="AA936" s="799"/>
      <c r="AB936" s="799"/>
      <c r="AC936" s="799"/>
      <c r="AD936" s="799"/>
      <c r="AE936" s="799"/>
      <c r="AF936" s="799"/>
      <c r="AG936" s="799"/>
      <c r="AH936" s="799"/>
      <c r="AI936" s="799"/>
      <c r="AJ936" s="799"/>
      <c r="AK936" s="799"/>
      <c r="AL936" s="799"/>
      <c r="AM936" s="799"/>
      <c r="AN936" s="799"/>
      <c r="AO936" s="799"/>
      <c r="AP936" s="799"/>
      <c r="AQ936" s="799"/>
      <c r="AR936" s="799"/>
      <c r="AS936" s="799"/>
      <c r="AT936" s="799"/>
      <c r="AU936" s="799"/>
      <c r="AV936" s="799"/>
      <c r="AW936" s="799"/>
      <c r="AX936" s="799"/>
      <c r="AY936" s="799"/>
      <c r="AZ936" s="799"/>
      <c r="BA936" s="799"/>
      <c r="BB936" s="799"/>
      <c r="BC936" s="799"/>
      <c r="BD936" s="799"/>
      <c r="BE936" s="799"/>
      <c r="BF936" s="799"/>
      <c r="BG936" s="799"/>
    </row>
    <row r="937">
      <c r="H937" s="799"/>
      <c r="I937" s="799"/>
      <c r="J937" s="799"/>
      <c r="K937" s="799"/>
      <c r="L937" s="799"/>
      <c r="M937" s="799"/>
      <c r="N937" s="799"/>
      <c r="O937" s="799"/>
      <c r="P937" s="799"/>
      <c r="Q937" s="799"/>
      <c r="R937" s="799"/>
      <c r="S937" s="799"/>
      <c r="T937" s="799"/>
      <c r="U937" s="799"/>
      <c r="V937" s="799"/>
      <c r="W937" s="799"/>
      <c r="X937" s="799"/>
      <c r="Y937" s="799"/>
      <c r="Z937" s="799"/>
      <c r="AA937" s="799"/>
      <c r="AB937" s="799"/>
      <c r="AC937" s="799"/>
      <c r="AD937" s="799"/>
      <c r="AE937" s="799"/>
      <c r="AF937" s="799"/>
      <c r="AG937" s="799"/>
      <c r="AH937" s="799"/>
      <c r="AI937" s="799"/>
      <c r="AJ937" s="799"/>
      <c r="AK937" s="799"/>
      <c r="AL937" s="799"/>
      <c r="AM937" s="799"/>
      <c r="AN937" s="799"/>
      <c r="AO937" s="799"/>
      <c r="AP937" s="799"/>
      <c r="AQ937" s="799"/>
      <c r="AR937" s="799"/>
      <c r="AS937" s="799"/>
      <c r="AT937" s="799"/>
      <c r="AU937" s="799"/>
      <c r="AV937" s="799"/>
      <c r="AW937" s="799"/>
      <c r="AX937" s="799"/>
      <c r="AY937" s="799"/>
      <c r="AZ937" s="799"/>
      <c r="BA937" s="799"/>
      <c r="BB937" s="799"/>
      <c r="BC937" s="799"/>
      <c r="BD937" s="799"/>
      <c r="BE937" s="799"/>
      <c r="BF937" s="799"/>
      <c r="BG937" s="799"/>
    </row>
    <row r="938">
      <c r="H938" s="799"/>
      <c r="I938" s="799"/>
      <c r="J938" s="799"/>
      <c r="K938" s="799"/>
      <c r="L938" s="799"/>
      <c r="M938" s="799"/>
      <c r="N938" s="799"/>
      <c r="O938" s="799"/>
      <c r="P938" s="799"/>
      <c r="Q938" s="799"/>
      <c r="R938" s="799"/>
      <c r="S938" s="799"/>
      <c r="T938" s="799"/>
      <c r="U938" s="799"/>
      <c r="V938" s="799"/>
      <c r="W938" s="799"/>
      <c r="X938" s="799"/>
      <c r="Y938" s="799"/>
      <c r="Z938" s="799"/>
      <c r="AA938" s="799"/>
      <c r="AB938" s="799"/>
      <c r="AC938" s="799"/>
      <c r="AD938" s="799"/>
      <c r="AE938" s="799"/>
      <c r="AF938" s="799"/>
      <c r="AG938" s="799"/>
      <c r="AH938" s="799"/>
      <c r="AI938" s="799"/>
      <c r="AJ938" s="799"/>
      <c r="AK938" s="799"/>
      <c r="AL938" s="799"/>
      <c r="AM938" s="799"/>
      <c r="AN938" s="799"/>
      <c r="AO938" s="799"/>
      <c r="AP938" s="799"/>
      <c r="AQ938" s="799"/>
      <c r="AR938" s="799"/>
      <c r="AS938" s="799"/>
      <c r="AT938" s="799"/>
      <c r="AU938" s="799"/>
      <c r="AV938" s="799"/>
      <c r="AW938" s="799"/>
      <c r="AX938" s="799"/>
      <c r="AY938" s="799"/>
      <c r="AZ938" s="799"/>
      <c r="BA938" s="799"/>
      <c r="BB938" s="799"/>
      <c r="BC938" s="799"/>
      <c r="BD938" s="799"/>
      <c r="BE938" s="799"/>
      <c r="BF938" s="799"/>
      <c r="BG938" s="799"/>
    </row>
    <row r="939">
      <c r="H939" s="799"/>
      <c r="I939" s="799"/>
      <c r="J939" s="799"/>
      <c r="K939" s="799"/>
      <c r="L939" s="799"/>
      <c r="M939" s="799"/>
      <c r="N939" s="799"/>
      <c r="O939" s="799"/>
      <c r="P939" s="799"/>
      <c r="Q939" s="799"/>
      <c r="R939" s="799"/>
      <c r="S939" s="799"/>
      <c r="T939" s="799"/>
      <c r="U939" s="799"/>
      <c r="V939" s="799"/>
      <c r="W939" s="799"/>
      <c r="X939" s="799"/>
      <c r="Y939" s="799"/>
      <c r="Z939" s="799"/>
      <c r="AA939" s="799"/>
      <c r="AB939" s="799"/>
      <c r="AC939" s="799"/>
      <c r="AD939" s="799"/>
      <c r="AE939" s="799"/>
      <c r="AF939" s="799"/>
      <c r="AG939" s="799"/>
      <c r="AH939" s="799"/>
      <c r="AI939" s="799"/>
      <c r="AJ939" s="799"/>
      <c r="AK939" s="799"/>
      <c r="AL939" s="799"/>
      <c r="AM939" s="799"/>
      <c r="AN939" s="799"/>
      <c r="AO939" s="799"/>
      <c r="AP939" s="799"/>
      <c r="AQ939" s="799"/>
      <c r="AR939" s="799"/>
      <c r="AS939" s="799"/>
      <c r="AT939" s="799"/>
      <c r="AU939" s="799"/>
      <c r="AV939" s="799"/>
      <c r="AW939" s="799"/>
      <c r="AX939" s="799"/>
      <c r="AY939" s="799"/>
      <c r="AZ939" s="799"/>
      <c r="BA939" s="799"/>
      <c r="BB939" s="799"/>
      <c r="BC939" s="799"/>
      <c r="BD939" s="799"/>
      <c r="BE939" s="799"/>
      <c r="BF939" s="799"/>
      <c r="BG939" s="799"/>
    </row>
    <row r="940">
      <c r="H940" s="799"/>
      <c r="I940" s="799"/>
      <c r="J940" s="799"/>
      <c r="K940" s="799"/>
      <c r="L940" s="799"/>
      <c r="M940" s="799"/>
      <c r="N940" s="799"/>
      <c r="O940" s="799"/>
      <c r="P940" s="799"/>
      <c r="Q940" s="799"/>
      <c r="R940" s="799"/>
      <c r="S940" s="799"/>
      <c r="T940" s="799"/>
      <c r="U940" s="799"/>
      <c r="V940" s="799"/>
      <c r="W940" s="799"/>
      <c r="X940" s="799"/>
      <c r="Y940" s="799"/>
      <c r="Z940" s="799"/>
      <c r="AA940" s="799"/>
      <c r="AB940" s="799"/>
      <c r="AC940" s="799"/>
      <c r="AD940" s="799"/>
      <c r="AE940" s="799"/>
      <c r="AF940" s="799"/>
      <c r="AG940" s="799"/>
      <c r="AH940" s="799"/>
      <c r="AI940" s="799"/>
      <c r="AJ940" s="799"/>
      <c r="AK940" s="799"/>
      <c r="AL940" s="799"/>
      <c r="AM940" s="799"/>
      <c r="AN940" s="799"/>
      <c r="AO940" s="799"/>
      <c r="AP940" s="799"/>
      <c r="AQ940" s="799"/>
      <c r="AR940" s="799"/>
      <c r="AS940" s="799"/>
      <c r="AT940" s="799"/>
      <c r="AU940" s="799"/>
      <c r="AV940" s="799"/>
      <c r="AW940" s="799"/>
      <c r="AX940" s="799"/>
      <c r="AY940" s="799"/>
      <c r="AZ940" s="799"/>
      <c r="BA940" s="799"/>
      <c r="BB940" s="799"/>
      <c r="BC940" s="799"/>
      <c r="BD940" s="799"/>
      <c r="BE940" s="799"/>
      <c r="BF940" s="799"/>
      <c r="BG940" s="799"/>
    </row>
    <row r="941">
      <c r="H941" s="799"/>
      <c r="I941" s="799"/>
      <c r="J941" s="799"/>
      <c r="K941" s="799"/>
      <c r="L941" s="799"/>
      <c r="M941" s="799"/>
      <c r="N941" s="799"/>
      <c r="O941" s="799"/>
      <c r="P941" s="799"/>
      <c r="Q941" s="799"/>
      <c r="R941" s="799"/>
      <c r="S941" s="799"/>
      <c r="T941" s="799"/>
      <c r="U941" s="799"/>
      <c r="V941" s="799"/>
      <c r="W941" s="799"/>
      <c r="X941" s="799"/>
      <c r="Y941" s="799"/>
      <c r="Z941" s="799"/>
      <c r="AA941" s="799"/>
      <c r="AB941" s="799"/>
      <c r="AC941" s="799"/>
      <c r="AD941" s="799"/>
      <c r="AE941" s="799"/>
      <c r="AF941" s="799"/>
      <c r="AG941" s="799"/>
      <c r="AH941" s="799"/>
      <c r="AI941" s="799"/>
      <c r="AJ941" s="799"/>
      <c r="AK941" s="799"/>
      <c r="AL941" s="799"/>
      <c r="AM941" s="799"/>
      <c r="AN941" s="799"/>
      <c r="AO941" s="799"/>
      <c r="AP941" s="799"/>
      <c r="AQ941" s="799"/>
      <c r="AR941" s="799"/>
      <c r="AS941" s="799"/>
      <c r="AT941" s="799"/>
      <c r="AU941" s="799"/>
      <c r="AV941" s="799"/>
      <c r="AW941" s="799"/>
      <c r="AX941" s="799"/>
      <c r="AY941" s="799"/>
      <c r="AZ941" s="799"/>
      <c r="BA941" s="799"/>
      <c r="BB941" s="799"/>
      <c r="BC941" s="799"/>
      <c r="BD941" s="799"/>
      <c r="BE941" s="799"/>
      <c r="BF941" s="799"/>
      <c r="BG941" s="799"/>
    </row>
    <row r="942">
      <c r="H942" s="799"/>
      <c r="I942" s="799"/>
      <c r="J942" s="799"/>
      <c r="K942" s="799"/>
      <c r="L942" s="799"/>
      <c r="M942" s="799"/>
      <c r="N942" s="799"/>
      <c r="O942" s="799"/>
      <c r="P942" s="799"/>
      <c r="Q942" s="799"/>
      <c r="R942" s="799"/>
      <c r="S942" s="799"/>
      <c r="T942" s="799"/>
      <c r="U942" s="799"/>
      <c r="V942" s="799"/>
      <c r="W942" s="799"/>
      <c r="X942" s="799"/>
      <c r="Y942" s="799"/>
      <c r="Z942" s="799"/>
      <c r="AA942" s="799"/>
      <c r="AB942" s="799"/>
      <c r="AC942" s="799"/>
      <c r="AD942" s="799"/>
      <c r="AE942" s="799"/>
      <c r="AF942" s="799"/>
      <c r="AG942" s="799"/>
      <c r="AH942" s="799"/>
      <c r="AI942" s="799"/>
      <c r="AJ942" s="799"/>
      <c r="AK942" s="799"/>
      <c r="AL942" s="799"/>
      <c r="AM942" s="799"/>
      <c r="AN942" s="799"/>
      <c r="AO942" s="799"/>
      <c r="AP942" s="799"/>
      <c r="AQ942" s="799"/>
      <c r="AR942" s="799"/>
      <c r="AS942" s="799"/>
      <c r="AT942" s="799"/>
      <c r="AU942" s="799"/>
      <c r="AV942" s="799"/>
      <c r="AW942" s="799"/>
      <c r="AX942" s="799"/>
      <c r="AY942" s="799"/>
      <c r="AZ942" s="799"/>
      <c r="BA942" s="799"/>
      <c r="BB942" s="799"/>
      <c r="BC942" s="799"/>
      <c r="BD942" s="799"/>
      <c r="BE942" s="799"/>
      <c r="BF942" s="799"/>
      <c r="BG942" s="799"/>
    </row>
    <row r="943">
      <c r="H943" s="799"/>
      <c r="I943" s="799"/>
      <c r="J943" s="799"/>
      <c r="K943" s="799"/>
      <c r="L943" s="799"/>
      <c r="M943" s="799"/>
      <c r="N943" s="799"/>
      <c r="O943" s="799"/>
      <c r="P943" s="799"/>
      <c r="Q943" s="799"/>
      <c r="R943" s="799"/>
      <c r="S943" s="799"/>
      <c r="T943" s="799"/>
      <c r="U943" s="799"/>
      <c r="V943" s="799"/>
      <c r="W943" s="799"/>
      <c r="X943" s="799"/>
      <c r="Y943" s="799"/>
      <c r="Z943" s="799"/>
      <c r="AA943" s="799"/>
      <c r="AB943" s="799"/>
      <c r="AC943" s="799"/>
      <c r="AD943" s="799"/>
      <c r="AE943" s="799"/>
      <c r="AF943" s="799"/>
      <c r="AG943" s="799"/>
      <c r="AH943" s="799"/>
      <c r="AI943" s="799"/>
      <c r="AJ943" s="799"/>
      <c r="AK943" s="799"/>
      <c r="AL943" s="799"/>
      <c r="AM943" s="799"/>
      <c r="AN943" s="799"/>
      <c r="AO943" s="799"/>
      <c r="AP943" s="799"/>
      <c r="AQ943" s="799"/>
      <c r="AR943" s="799"/>
      <c r="AS943" s="799"/>
      <c r="AT943" s="799"/>
      <c r="AU943" s="799"/>
      <c r="AV943" s="799"/>
      <c r="AW943" s="799"/>
      <c r="AX943" s="799"/>
      <c r="AY943" s="799"/>
      <c r="AZ943" s="799"/>
      <c r="BA943" s="799"/>
      <c r="BB943" s="799"/>
      <c r="BC943" s="799"/>
      <c r="BD943" s="799"/>
      <c r="BE943" s="799"/>
      <c r="BF943" s="799"/>
      <c r="BG943" s="799"/>
    </row>
    <row r="944">
      <c r="H944" s="799"/>
      <c r="I944" s="799"/>
      <c r="J944" s="799"/>
      <c r="K944" s="799"/>
      <c r="L944" s="799"/>
      <c r="M944" s="799"/>
      <c r="N944" s="799"/>
      <c r="O944" s="799"/>
      <c r="P944" s="799"/>
      <c r="Q944" s="799"/>
      <c r="R944" s="799"/>
      <c r="S944" s="799"/>
      <c r="T944" s="799"/>
      <c r="U944" s="799"/>
      <c r="V944" s="799"/>
      <c r="W944" s="799"/>
      <c r="X944" s="799"/>
      <c r="Y944" s="799"/>
      <c r="Z944" s="799"/>
      <c r="AA944" s="799"/>
      <c r="AB944" s="799"/>
      <c r="AC944" s="799"/>
      <c r="AD944" s="799"/>
      <c r="AE944" s="799"/>
      <c r="AF944" s="799"/>
      <c r="AG944" s="799"/>
      <c r="AH944" s="799"/>
      <c r="AI944" s="799"/>
      <c r="AJ944" s="799"/>
      <c r="AK944" s="799"/>
      <c r="AL944" s="799"/>
      <c r="AM944" s="799"/>
      <c r="AN944" s="799"/>
      <c r="AO944" s="799"/>
      <c r="AP944" s="799"/>
      <c r="AQ944" s="799"/>
      <c r="AR944" s="799"/>
      <c r="AS944" s="799"/>
      <c r="AT944" s="799"/>
      <c r="AU944" s="799"/>
      <c r="AV944" s="799"/>
      <c r="AW944" s="799"/>
      <c r="AX944" s="799"/>
      <c r="AY944" s="799"/>
      <c r="AZ944" s="799"/>
      <c r="BA944" s="799"/>
      <c r="BB944" s="799"/>
      <c r="BC944" s="799"/>
      <c r="BD944" s="799"/>
      <c r="BE944" s="799"/>
      <c r="BF944" s="799"/>
      <c r="BG944" s="799"/>
    </row>
    <row r="945">
      <c r="H945" s="799"/>
      <c r="I945" s="799"/>
      <c r="J945" s="799"/>
      <c r="K945" s="799"/>
      <c r="L945" s="799"/>
      <c r="M945" s="799"/>
      <c r="N945" s="799"/>
      <c r="O945" s="799"/>
      <c r="P945" s="799"/>
      <c r="Q945" s="799"/>
      <c r="R945" s="799"/>
      <c r="S945" s="799"/>
      <c r="T945" s="799"/>
      <c r="U945" s="799"/>
      <c r="V945" s="799"/>
      <c r="W945" s="799"/>
      <c r="X945" s="799"/>
      <c r="Y945" s="799"/>
      <c r="Z945" s="799"/>
      <c r="AA945" s="799"/>
      <c r="AB945" s="799"/>
      <c r="AC945" s="799"/>
      <c r="AD945" s="799"/>
      <c r="AE945" s="799"/>
      <c r="AF945" s="799"/>
      <c r="AG945" s="799"/>
      <c r="AH945" s="799"/>
      <c r="AI945" s="799"/>
      <c r="AJ945" s="799"/>
      <c r="AK945" s="799"/>
      <c r="AL945" s="799"/>
      <c r="AM945" s="799"/>
      <c r="AN945" s="799"/>
      <c r="AO945" s="799"/>
      <c r="AP945" s="799"/>
      <c r="AQ945" s="799"/>
      <c r="AR945" s="799"/>
      <c r="AS945" s="799"/>
      <c r="AT945" s="799"/>
      <c r="AU945" s="799"/>
      <c r="AV945" s="799"/>
      <c r="AW945" s="799"/>
      <c r="AX945" s="799"/>
      <c r="AY945" s="799"/>
      <c r="AZ945" s="799"/>
      <c r="BA945" s="799"/>
      <c r="BB945" s="799"/>
      <c r="BC945" s="799"/>
      <c r="BD945" s="799"/>
      <c r="BE945" s="799"/>
      <c r="BF945" s="799"/>
      <c r="BG945" s="799"/>
    </row>
    <row r="946">
      <c r="H946" s="799"/>
      <c r="I946" s="799"/>
      <c r="J946" s="799"/>
      <c r="K946" s="799"/>
      <c r="L946" s="799"/>
      <c r="M946" s="799"/>
      <c r="N946" s="799"/>
      <c r="O946" s="799"/>
      <c r="P946" s="799"/>
      <c r="Q946" s="799"/>
      <c r="R946" s="799"/>
      <c r="S946" s="799"/>
      <c r="T946" s="799"/>
      <c r="U946" s="799"/>
      <c r="V946" s="799"/>
      <c r="W946" s="799"/>
      <c r="X946" s="799"/>
      <c r="Y946" s="799"/>
      <c r="Z946" s="799"/>
      <c r="AA946" s="799"/>
      <c r="AB946" s="799"/>
      <c r="AC946" s="799"/>
      <c r="AD946" s="799"/>
      <c r="AE946" s="799"/>
      <c r="AF946" s="799"/>
      <c r="AG946" s="799"/>
      <c r="AH946" s="799"/>
      <c r="AI946" s="799"/>
      <c r="AJ946" s="799"/>
      <c r="AK946" s="799"/>
      <c r="AL946" s="799"/>
      <c r="AM946" s="799"/>
      <c r="AN946" s="799"/>
      <c r="AO946" s="799"/>
      <c r="AP946" s="799"/>
      <c r="AQ946" s="799"/>
      <c r="AR946" s="799"/>
      <c r="AS946" s="799"/>
      <c r="AT946" s="799"/>
      <c r="AU946" s="799"/>
      <c r="AV946" s="799"/>
      <c r="AW946" s="799"/>
      <c r="AX946" s="799"/>
      <c r="AY946" s="799"/>
      <c r="AZ946" s="799"/>
      <c r="BA946" s="799"/>
      <c r="BB946" s="799"/>
      <c r="BC946" s="799"/>
      <c r="BD946" s="799"/>
      <c r="BE946" s="799"/>
      <c r="BF946" s="799"/>
      <c r="BG946" s="799"/>
    </row>
    <row r="947">
      <c r="H947" s="799"/>
      <c r="I947" s="799"/>
      <c r="J947" s="799"/>
      <c r="K947" s="799"/>
      <c r="L947" s="799"/>
      <c r="M947" s="799"/>
      <c r="N947" s="799"/>
      <c r="O947" s="799"/>
      <c r="P947" s="799"/>
      <c r="Q947" s="799"/>
      <c r="R947" s="799"/>
      <c r="S947" s="799"/>
      <c r="T947" s="799"/>
      <c r="U947" s="799"/>
      <c r="V947" s="799"/>
      <c r="W947" s="799"/>
      <c r="X947" s="799"/>
      <c r="Y947" s="799"/>
      <c r="Z947" s="799"/>
      <c r="AA947" s="799"/>
      <c r="AB947" s="799"/>
      <c r="AC947" s="799"/>
      <c r="AD947" s="799"/>
      <c r="AE947" s="799"/>
      <c r="AF947" s="799"/>
      <c r="AG947" s="799"/>
      <c r="AH947" s="799"/>
      <c r="AI947" s="799"/>
      <c r="AJ947" s="799"/>
      <c r="AK947" s="799"/>
      <c r="AL947" s="799"/>
      <c r="AM947" s="799"/>
      <c r="AN947" s="799"/>
      <c r="AO947" s="799"/>
      <c r="AP947" s="799"/>
      <c r="AQ947" s="799"/>
      <c r="AR947" s="799"/>
      <c r="AS947" s="799"/>
      <c r="AT947" s="799"/>
      <c r="AU947" s="799"/>
      <c r="AV947" s="799"/>
      <c r="AW947" s="799"/>
      <c r="AX947" s="799"/>
      <c r="AY947" s="799"/>
      <c r="AZ947" s="799"/>
      <c r="BA947" s="799"/>
      <c r="BB947" s="799"/>
      <c r="BC947" s="799"/>
      <c r="BD947" s="799"/>
      <c r="BE947" s="799"/>
      <c r="BF947" s="799"/>
      <c r="BG947" s="799"/>
    </row>
    <row r="948">
      <c r="H948" s="799"/>
      <c r="I948" s="799"/>
      <c r="J948" s="799"/>
      <c r="K948" s="799"/>
      <c r="L948" s="799"/>
      <c r="M948" s="799"/>
      <c r="N948" s="799"/>
      <c r="O948" s="799"/>
      <c r="P948" s="799"/>
      <c r="Q948" s="799"/>
      <c r="R948" s="799"/>
      <c r="S948" s="799"/>
      <c r="T948" s="799"/>
      <c r="U948" s="799"/>
      <c r="V948" s="799"/>
      <c r="W948" s="799"/>
      <c r="X948" s="799"/>
      <c r="Y948" s="799"/>
      <c r="Z948" s="799"/>
      <c r="AA948" s="799"/>
      <c r="AB948" s="799"/>
      <c r="AC948" s="799"/>
      <c r="AD948" s="799"/>
      <c r="AE948" s="799"/>
      <c r="AF948" s="799"/>
      <c r="AG948" s="799"/>
      <c r="AH948" s="799"/>
      <c r="AI948" s="799"/>
      <c r="AJ948" s="799"/>
      <c r="AK948" s="799"/>
      <c r="AL948" s="799"/>
      <c r="AM948" s="799"/>
      <c r="AN948" s="799"/>
      <c r="AO948" s="799"/>
      <c r="AP948" s="799"/>
      <c r="AQ948" s="799"/>
      <c r="AR948" s="799"/>
      <c r="AS948" s="799"/>
      <c r="AT948" s="799"/>
      <c r="AU948" s="799"/>
      <c r="AV948" s="799"/>
      <c r="AW948" s="799"/>
      <c r="AX948" s="799"/>
      <c r="AY948" s="799"/>
      <c r="AZ948" s="799"/>
      <c r="BA948" s="799"/>
      <c r="BB948" s="799"/>
      <c r="BC948" s="799"/>
      <c r="BD948" s="799"/>
      <c r="BE948" s="799"/>
      <c r="BF948" s="799"/>
      <c r="BG948" s="799"/>
    </row>
    <row r="949">
      <c r="H949" s="799"/>
      <c r="I949" s="799"/>
      <c r="J949" s="799"/>
      <c r="K949" s="799"/>
      <c r="L949" s="799"/>
      <c r="M949" s="799"/>
      <c r="N949" s="799"/>
      <c r="O949" s="799"/>
      <c r="P949" s="799"/>
      <c r="Q949" s="799"/>
      <c r="R949" s="799"/>
      <c r="S949" s="799"/>
      <c r="T949" s="799"/>
      <c r="U949" s="799"/>
      <c r="V949" s="799"/>
      <c r="W949" s="799"/>
      <c r="X949" s="799"/>
      <c r="Y949" s="799"/>
      <c r="Z949" s="799"/>
      <c r="AA949" s="799"/>
      <c r="AB949" s="799"/>
      <c r="AC949" s="799"/>
      <c r="AD949" s="799"/>
      <c r="AE949" s="799"/>
      <c r="AF949" s="799"/>
      <c r="AG949" s="799"/>
      <c r="AH949" s="799"/>
      <c r="AI949" s="799"/>
      <c r="AJ949" s="799"/>
      <c r="AK949" s="799"/>
      <c r="AL949" s="799"/>
      <c r="AM949" s="799"/>
      <c r="AN949" s="799"/>
      <c r="AO949" s="799"/>
      <c r="AP949" s="799"/>
      <c r="AQ949" s="799"/>
      <c r="AR949" s="799"/>
      <c r="AS949" s="799"/>
      <c r="AT949" s="799"/>
      <c r="AU949" s="799"/>
      <c r="AV949" s="799"/>
      <c r="AW949" s="799"/>
      <c r="AX949" s="799"/>
      <c r="AY949" s="799"/>
      <c r="AZ949" s="799"/>
      <c r="BA949" s="799"/>
      <c r="BB949" s="799"/>
      <c r="BC949" s="799"/>
      <c r="BD949" s="799"/>
      <c r="BE949" s="799"/>
      <c r="BF949" s="799"/>
      <c r="BG949" s="799"/>
    </row>
    <row r="950">
      <c r="H950" s="799"/>
      <c r="I950" s="799"/>
      <c r="J950" s="799"/>
      <c r="K950" s="799"/>
      <c r="L950" s="799"/>
      <c r="M950" s="799"/>
      <c r="N950" s="799"/>
      <c r="O950" s="799"/>
      <c r="P950" s="799"/>
      <c r="Q950" s="799"/>
      <c r="R950" s="799"/>
      <c r="S950" s="799"/>
      <c r="T950" s="799"/>
      <c r="U950" s="799"/>
      <c r="V950" s="799"/>
      <c r="W950" s="799"/>
      <c r="X950" s="799"/>
      <c r="Y950" s="799"/>
      <c r="Z950" s="799"/>
      <c r="AA950" s="799"/>
      <c r="AB950" s="799"/>
      <c r="AC950" s="799"/>
      <c r="AD950" s="799"/>
      <c r="AE950" s="799"/>
      <c r="AF950" s="799"/>
      <c r="AG950" s="799"/>
      <c r="AH950" s="799"/>
      <c r="AI950" s="799"/>
      <c r="AJ950" s="799"/>
      <c r="AK950" s="799"/>
      <c r="AL950" s="799"/>
      <c r="AM950" s="799"/>
      <c r="AN950" s="799"/>
      <c r="AO950" s="799"/>
      <c r="AP950" s="799"/>
      <c r="AQ950" s="799"/>
      <c r="AR950" s="799"/>
      <c r="AS950" s="799"/>
      <c r="AT950" s="799"/>
      <c r="AU950" s="799"/>
      <c r="AV950" s="799"/>
      <c r="AW950" s="799"/>
      <c r="AX950" s="799"/>
      <c r="AY950" s="799"/>
      <c r="AZ950" s="799"/>
      <c r="BA950" s="799"/>
      <c r="BB950" s="799"/>
      <c r="BC950" s="799"/>
      <c r="BD950" s="799"/>
      <c r="BE950" s="799"/>
      <c r="BF950" s="799"/>
      <c r="BG950" s="799"/>
    </row>
    <row r="951">
      <c r="H951" s="799"/>
      <c r="I951" s="799"/>
      <c r="J951" s="799"/>
      <c r="K951" s="799"/>
      <c r="L951" s="799"/>
      <c r="M951" s="799"/>
      <c r="N951" s="799"/>
      <c r="O951" s="799"/>
      <c r="P951" s="799"/>
      <c r="Q951" s="799"/>
      <c r="R951" s="799"/>
      <c r="S951" s="799"/>
      <c r="T951" s="799"/>
      <c r="U951" s="799"/>
      <c r="V951" s="799"/>
      <c r="W951" s="799"/>
      <c r="X951" s="799"/>
      <c r="Y951" s="799"/>
      <c r="Z951" s="799"/>
      <c r="AA951" s="799"/>
      <c r="AB951" s="799"/>
      <c r="AC951" s="799"/>
      <c r="AD951" s="799"/>
      <c r="AE951" s="799"/>
      <c r="AF951" s="799"/>
      <c r="AG951" s="799"/>
      <c r="AH951" s="799"/>
      <c r="AI951" s="799"/>
      <c r="AJ951" s="799"/>
      <c r="AK951" s="799"/>
      <c r="AL951" s="799"/>
      <c r="AM951" s="799"/>
      <c r="AN951" s="799"/>
      <c r="AO951" s="799"/>
      <c r="AP951" s="799"/>
      <c r="AQ951" s="799"/>
      <c r="AR951" s="799"/>
      <c r="AS951" s="799"/>
      <c r="AT951" s="799"/>
      <c r="AU951" s="799"/>
      <c r="AV951" s="799"/>
      <c r="AW951" s="799"/>
      <c r="AX951" s="799"/>
      <c r="AY951" s="799"/>
      <c r="AZ951" s="799"/>
      <c r="BA951" s="799"/>
      <c r="BB951" s="799"/>
      <c r="BC951" s="799"/>
      <c r="BD951" s="799"/>
      <c r="BE951" s="799"/>
      <c r="BF951" s="799"/>
      <c r="BG951" s="799"/>
    </row>
    <row r="952">
      <c r="H952" s="799"/>
      <c r="I952" s="799"/>
      <c r="J952" s="799"/>
      <c r="K952" s="799"/>
      <c r="L952" s="799"/>
      <c r="M952" s="799"/>
      <c r="N952" s="799"/>
      <c r="O952" s="799"/>
      <c r="P952" s="799"/>
      <c r="Q952" s="799"/>
      <c r="R952" s="799"/>
      <c r="S952" s="799"/>
      <c r="T952" s="799"/>
      <c r="U952" s="799"/>
      <c r="V952" s="799"/>
      <c r="W952" s="799"/>
      <c r="X952" s="799"/>
      <c r="Y952" s="799"/>
      <c r="Z952" s="799"/>
      <c r="AA952" s="799"/>
      <c r="AB952" s="799"/>
      <c r="AC952" s="799"/>
      <c r="AD952" s="799"/>
      <c r="AE952" s="799"/>
      <c r="AF952" s="799"/>
      <c r="AG952" s="799"/>
      <c r="AH952" s="799"/>
      <c r="AI952" s="799"/>
      <c r="AJ952" s="799"/>
      <c r="AK952" s="799"/>
      <c r="AL952" s="799"/>
      <c r="AM952" s="799"/>
      <c r="AN952" s="799"/>
      <c r="AO952" s="799"/>
      <c r="AP952" s="799"/>
      <c r="AQ952" s="799"/>
      <c r="AR952" s="799"/>
      <c r="AS952" s="799"/>
      <c r="AT952" s="799"/>
      <c r="AU952" s="799"/>
      <c r="AV952" s="799"/>
      <c r="AW952" s="799"/>
      <c r="AX952" s="799"/>
      <c r="AY952" s="799"/>
      <c r="AZ952" s="799"/>
      <c r="BA952" s="799"/>
      <c r="BB952" s="799"/>
      <c r="BC952" s="799"/>
      <c r="BD952" s="799"/>
      <c r="BE952" s="799"/>
      <c r="BF952" s="799"/>
      <c r="BG952" s="799"/>
    </row>
    <row r="953">
      <c r="H953" s="799"/>
      <c r="I953" s="799"/>
      <c r="J953" s="799"/>
      <c r="K953" s="799"/>
      <c r="L953" s="799"/>
      <c r="M953" s="799"/>
      <c r="N953" s="799"/>
      <c r="O953" s="799"/>
      <c r="P953" s="799"/>
      <c r="Q953" s="799"/>
      <c r="R953" s="799"/>
      <c r="S953" s="799"/>
      <c r="T953" s="799"/>
      <c r="U953" s="799"/>
      <c r="V953" s="799"/>
      <c r="W953" s="799"/>
      <c r="X953" s="799"/>
      <c r="Y953" s="799"/>
      <c r="Z953" s="799"/>
      <c r="AA953" s="799"/>
      <c r="AB953" s="799"/>
      <c r="AC953" s="799"/>
      <c r="AD953" s="799"/>
      <c r="AE953" s="799"/>
      <c r="AF953" s="799"/>
      <c r="AG953" s="799"/>
      <c r="AH953" s="799"/>
      <c r="AI953" s="799"/>
      <c r="AJ953" s="799"/>
      <c r="AK953" s="799"/>
      <c r="AL953" s="799"/>
      <c r="AM953" s="799"/>
      <c r="AN953" s="799"/>
      <c r="AO953" s="799"/>
      <c r="AP953" s="799"/>
      <c r="AQ953" s="799"/>
      <c r="AR953" s="799"/>
      <c r="AS953" s="799"/>
      <c r="AT953" s="799"/>
      <c r="AU953" s="799"/>
      <c r="AV953" s="799"/>
      <c r="AW953" s="799"/>
      <c r="AX953" s="799"/>
      <c r="AY953" s="799"/>
      <c r="AZ953" s="799"/>
      <c r="BA953" s="799"/>
      <c r="BB953" s="799"/>
      <c r="BC953" s="799"/>
      <c r="BD953" s="799"/>
      <c r="BE953" s="799"/>
      <c r="BF953" s="799"/>
      <c r="BG953" s="799"/>
    </row>
    <row r="954">
      <c r="H954" s="799"/>
      <c r="I954" s="799"/>
      <c r="J954" s="799"/>
      <c r="K954" s="799"/>
      <c r="L954" s="799"/>
      <c r="M954" s="799"/>
      <c r="N954" s="799"/>
      <c r="O954" s="799"/>
      <c r="P954" s="799"/>
      <c r="Q954" s="799"/>
      <c r="R954" s="799"/>
      <c r="S954" s="799"/>
      <c r="T954" s="799"/>
      <c r="U954" s="799"/>
      <c r="V954" s="799"/>
      <c r="W954" s="799"/>
      <c r="X954" s="799"/>
      <c r="Y954" s="799"/>
      <c r="Z954" s="799"/>
      <c r="AA954" s="799"/>
      <c r="AB954" s="799"/>
      <c r="AC954" s="799"/>
      <c r="AD954" s="799"/>
      <c r="AE954" s="799"/>
      <c r="AF954" s="799"/>
      <c r="AG954" s="799"/>
      <c r="AH954" s="799"/>
      <c r="AI954" s="799"/>
      <c r="AJ954" s="799"/>
      <c r="AK954" s="799"/>
      <c r="AL954" s="799"/>
      <c r="AM954" s="799"/>
      <c r="AN954" s="799"/>
      <c r="AO954" s="799"/>
      <c r="AP954" s="799"/>
      <c r="AQ954" s="799"/>
      <c r="AR954" s="799"/>
      <c r="AS954" s="799"/>
      <c r="AT954" s="799"/>
      <c r="AU954" s="799"/>
      <c r="AV954" s="799"/>
      <c r="AW954" s="799"/>
      <c r="AX954" s="799"/>
      <c r="AY954" s="799"/>
      <c r="AZ954" s="799"/>
      <c r="BA954" s="799"/>
      <c r="BB954" s="799"/>
      <c r="BC954" s="799"/>
      <c r="BD954" s="799"/>
      <c r="BE954" s="799"/>
      <c r="BF954" s="799"/>
      <c r="BG954" s="799"/>
    </row>
    <row r="955">
      <c r="H955" s="799"/>
      <c r="I955" s="799"/>
      <c r="J955" s="799"/>
      <c r="K955" s="799"/>
      <c r="L955" s="799"/>
      <c r="M955" s="799"/>
      <c r="N955" s="799"/>
      <c r="O955" s="799"/>
      <c r="P955" s="799"/>
      <c r="Q955" s="799"/>
      <c r="R955" s="799"/>
      <c r="S955" s="799"/>
      <c r="T955" s="799"/>
      <c r="U955" s="799"/>
      <c r="V955" s="799"/>
      <c r="W955" s="799"/>
      <c r="X955" s="799"/>
      <c r="Y955" s="799"/>
      <c r="Z955" s="799"/>
      <c r="AA955" s="799"/>
      <c r="AB955" s="799"/>
      <c r="AC955" s="799"/>
      <c r="AD955" s="799"/>
      <c r="AE955" s="799"/>
      <c r="AF955" s="799"/>
      <c r="AG955" s="799"/>
      <c r="AH955" s="799"/>
      <c r="AI955" s="799"/>
      <c r="AJ955" s="799"/>
      <c r="AK955" s="799"/>
      <c r="AL955" s="799"/>
      <c r="AM955" s="799"/>
      <c r="AN955" s="799"/>
      <c r="AO955" s="799"/>
      <c r="AP955" s="799"/>
      <c r="AQ955" s="799"/>
      <c r="AR955" s="799"/>
      <c r="AS955" s="799"/>
      <c r="AT955" s="799"/>
      <c r="AU955" s="799"/>
      <c r="AV955" s="799"/>
      <c r="AW955" s="799"/>
      <c r="AX955" s="799"/>
      <c r="AY955" s="799"/>
      <c r="AZ955" s="799"/>
      <c r="BA955" s="799"/>
      <c r="BB955" s="799"/>
      <c r="BC955" s="799"/>
      <c r="BD955" s="799"/>
      <c r="BE955" s="799"/>
      <c r="BF955" s="799"/>
      <c r="BG955" s="799"/>
    </row>
    <row r="956">
      <c r="H956" s="799"/>
      <c r="I956" s="799"/>
      <c r="J956" s="799"/>
      <c r="K956" s="799"/>
      <c r="L956" s="799"/>
      <c r="M956" s="799"/>
      <c r="N956" s="799"/>
      <c r="O956" s="799"/>
      <c r="P956" s="799"/>
      <c r="Q956" s="799"/>
      <c r="R956" s="799"/>
      <c r="S956" s="799"/>
      <c r="T956" s="799"/>
      <c r="U956" s="799"/>
      <c r="V956" s="799"/>
      <c r="W956" s="799"/>
      <c r="X956" s="799"/>
      <c r="Y956" s="799"/>
      <c r="Z956" s="799"/>
      <c r="AA956" s="799"/>
      <c r="AB956" s="799"/>
      <c r="AC956" s="799"/>
      <c r="AD956" s="799"/>
      <c r="AE956" s="799"/>
      <c r="AF956" s="799"/>
      <c r="AG956" s="799"/>
      <c r="AH956" s="799"/>
      <c r="AI956" s="799"/>
      <c r="AJ956" s="799"/>
      <c r="AK956" s="799"/>
      <c r="AL956" s="799"/>
      <c r="AM956" s="799"/>
      <c r="AN956" s="799"/>
      <c r="AO956" s="799"/>
      <c r="AP956" s="799"/>
      <c r="AQ956" s="799"/>
      <c r="AR956" s="799"/>
      <c r="AS956" s="799"/>
      <c r="AT956" s="799"/>
      <c r="AU956" s="799"/>
      <c r="AV956" s="799"/>
      <c r="AW956" s="799"/>
      <c r="AX956" s="799"/>
      <c r="AY956" s="799"/>
      <c r="AZ956" s="799"/>
      <c r="BA956" s="799"/>
      <c r="BB956" s="799"/>
      <c r="BC956" s="799"/>
      <c r="BD956" s="799"/>
      <c r="BE956" s="799"/>
      <c r="BF956" s="799"/>
      <c r="BG956" s="799"/>
    </row>
    <row r="957">
      <c r="H957" s="799"/>
      <c r="I957" s="799"/>
      <c r="J957" s="799"/>
      <c r="K957" s="799"/>
      <c r="L957" s="799"/>
      <c r="M957" s="799"/>
      <c r="N957" s="799"/>
      <c r="O957" s="799"/>
      <c r="P957" s="799"/>
      <c r="Q957" s="799"/>
      <c r="R957" s="799"/>
      <c r="S957" s="799"/>
      <c r="T957" s="799"/>
      <c r="U957" s="799"/>
      <c r="V957" s="799"/>
      <c r="W957" s="799"/>
      <c r="X957" s="799"/>
      <c r="Y957" s="799"/>
      <c r="Z957" s="799"/>
      <c r="AA957" s="799"/>
      <c r="AB957" s="799"/>
      <c r="AC957" s="799"/>
      <c r="AD957" s="799"/>
      <c r="AE957" s="799"/>
      <c r="AF957" s="799"/>
      <c r="AG957" s="799"/>
      <c r="AH957" s="799"/>
      <c r="AI957" s="799"/>
      <c r="AJ957" s="799"/>
      <c r="AK957" s="799"/>
      <c r="AL957" s="799"/>
      <c r="AM957" s="799"/>
      <c r="AN957" s="799"/>
      <c r="AO957" s="799"/>
      <c r="AP957" s="799"/>
      <c r="AQ957" s="799"/>
      <c r="AR957" s="799"/>
      <c r="AS957" s="799"/>
      <c r="AT957" s="799"/>
      <c r="AU957" s="799"/>
      <c r="AV957" s="799"/>
      <c r="AW957" s="799"/>
      <c r="AX957" s="799"/>
      <c r="AY957" s="799"/>
      <c r="AZ957" s="799"/>
      <c r="BA957" s="799"/>
      <c r="BB957" s="799"/>
      <c r="BC957" s="799"/>
      <c r="BD957" s="799"/>
      <c r="BE957" s="799"/>
      <c r="BF957" s="799"/>
      <c r="BG957" s="799"/>
    </row>
    <row r="958">
      <c r="H958" s="799"/>
      <c r="I958" s="799"/>
      <c r="J958" s="799"/>
      <c r="K958" s="799"/>
      <c r="L958" s="799"/>
      <c r="M958" s="799"/>
      <c r="N958" s="799"/>
      <c r="O958" s="799"/>
      <c r="P958" s="799"/>
      <c r="Q958" s="799"/>
      <c r="R958" s="799"/>
      <c r="S958" s="799"/>
      <c r="T958" s="799"/>
      <c r="U958" s="799"/>
      <c r="V958" s="799"/>
      <c r="W958" s="799"/>
      <c r="X958" s="799"/>
      <c r="Y958" s="799"/>
      <c r="Z958" s="799"/>
      <c r="AA958" s="799"/>
      <c r="AB958" s="799"/>
      <c r="AC958" s="799"/>
      <c r="AD958" s="799"/>
      <c r="AE958" s="799"/>
      <c r="AF958" s="799"/>
      <c r="AG958" s="799"/>
      <c r="AH958" s="799"/>
      <c r="AI958" s="799"/>
      <c r="AJ958" s="799"/>
      <c r="AK958" s="799"/>
      <c r="AL958" s="799"/>
      <c r="AM958" s="799"/>
      <c r="AN958" s="799"/>
      <c r="AO958" s="799"/>
      <c r="AP958" s="799"/>
      <c r="AQ958" s="799"/>
      <c r="AR958" s="799"/>
      <c r="AS958" s="799"/>
      <c r="AT958" s="799"/>
      <c r="AU958" s="799"/>
      <c r="AV958" s="799"/>
      <c r="AW958" s="799"/>
      <c r="AX958" s="799"/>
      <c r="AY958" s="799"/>
      <c r="AZ958" s="799"/>
      <c r="BA958" s="799"/>
      <c r="BB958" s="799"/>
      <c r="BC958" s="799"/>
      <c r="BD958" s="799"/>
      <c r="BE958" s="799"/>
      <c r="BF958" s="799"/>
      <c r="BG958" s="799"/>
    </row>
    <row r="959">
      <c r="H959" s="799"/>
      <c r="I959" s="799"/>
      <c r="J959" s="799"/>
      <c r="K959" s="799"/>
      <c r="L959" s="799"/>
      <c r="M959" s="799"/>
      <c r="N959" s="799"/>
      <c r="O959" s="799"/>
      <c r="P959" s="799"/>
      <c r="Q959" s="799"/>
      <c r="R959" s="799"/>
      <c r="S959" s="799"/>
      <c r="T959" s="799"/>
      <c r="U959" s="799"/>
      <c r="V959" s="799"/>
      <c r="W959" s="799"/>
      <c r="X959" s="799"/>
      <c r="Y959" s="799"/>
      <c r="Z959" s="799"/>
      <c r="AA959" s="799"/>
      <c r="AB959" s="799"/>
      <c r="AC959" s="799"/>
      <c r="AD959" s="799"/>
      <c r="AE959" s="799"/>
      <c r="AF959" s="799"/>
      <c r="AG959" s="799"/>
      <c r="AH959" s="799"/>
      <c r="AI959" s="799"/>
      <c r="AJ959" s="799"/>
      <c r="AK959" s="799"/>
      <c r="AL959" s="799"/>
      <c r="AM959" s="799"/>
      <c r="AN959" s="799"/>
      <c r="AO959" s="799"/>
      <c r="AP959" s="799"/>
      <c r="AQ959" s="799"/>
      <c r="AR959" s="799"/>
      <c r="AS959" s="799"/>
      <c r="AT959" s="799"/>
      <c r="AU959" s="799"/>
      <c r="AV959" s="799"/>
      <c r="AW959" s="799"/>
      <c r="AX959" s="799"/>
      <c r="AY959" s="799"/>
      <c r="AZ959" s="799"/>
      <c r="BA959" s="799"/>
      <c r="BB959" s="799"/>
      <c r="BC959" s="799"/>
      <c r="BD959" s="799"/>
      <c r="BE959" s="799"/>
      <c r="BF959" s="799"/>
      <c r="BG959" s="799"/>
    </row>
    <row r="960">
      <c r="H960" s="799"/>
      <c r="I960" s="799"/>
      <c r="J960" s="799"/>
      <c r="K960" s="799"/>
      <c r="L960" s="799"/>
      <c r="M960" s="799"/>
      <c r="N960" s="799"/>
      <c r="O960" s="799"/>
      <c r="P960" s="799"/>
      <c r="Q960" s="799"/>
      <c r="R960" s="799"/>
      <c r="S960" s="799"/>
      <c r="T960" s="799"/>
      <c r="U960" s="799"/>
      <c r="V960" s="799"/>
      <c r="W960" s="799"/>
      <c r="X960" s="799"/>
      <c r="Y960" s="799"/>
      <c r="Z960" s="799"/>
      <c r="AA960" s="799"/>
      <c r="AB960" s="799"/>
      <c r="AC960" s="799"/>
      <c r="AD960" s="799"/>
      <c r="AE960" s="799"/>
      <c r="AF960" s="799"/>
      <c r="AG960" s="799"/>
      <c r="AH960" s="799"/>
      <c r="AI960" s="799"/>
      <c r="AJ960" s="799"/>
      <c r="AK960" s="799"/>
      <c r="AL960" s="799"/>
      <c r="AM960" s="799"/>
      <c r="AN960" s="799"/>
      <c r="AO960" s="799"/>
      <c r="AP960" s="799"/>
      <c r="AQ960" s="799"/>
      <c r="AR960" s="799"/>
      <c r="AS960" s="799"/>
      <c r="AT960" s="799"/>
      <c r="AU960" s="799"/>
      <c r="AV960" s="799"/>
      <c r="AW960" s="799"/>
      <c r="AX960" s="799"/>
      <c r="AY960" s="799"/>
      <c r="AZ960" s="799"/>
      <c r="BA960" s="799"/>
      <c r="BB960" s="799"/>
      <c r="BC960" s="799"/>
      <c r="BD960" s="799"/>
      <c r="BE960" s="799"/>
      <c r="BF960" s="799"/>
      <c r="BG960" s="799"/>
    </row>
    <row r="961">
      <c r="H961" s="799"/>
      <c r="I961" s="799"/>
      <c r="J961" s="799"/>
      <c r="K961" s="799"/>
      <c r="L961" s="799"/>
      <c r="M961" s="799"/>
      <c r="N961" s="799"/>
      <c r="O961" s="799"/>
      <c r="P961" s="799"/>
      <c r="Q961" s="799"/>
      <c r="R961" s="799"/>
      <c r="S961" s="799"/>
      <c r="T961" s="799"/>
      <c r="U961" s="799"/>
      <c r="V961" s="799"/>
      <c r="W961" s="799"/>
      <c r="X961" s="799"/>
      <c r="Y961" s="799"/>
      <c r="Z961" s="799"/>
      <c r="AA961" s="799"/>
      <c r="AB961" s="799"/>
      <c r="AC961" s="799"/>
      <c r="AD961" s="799"/>
      <c r="AE961" s="799"/>
      <c r="AF961" s="799"/>
      <c r="AG961" s="799"/>
      <c r="AH961" s="799"/>
      <c r="AI961" s="799"/>
      <c r="AJ961" s="799"/>
      <c r="AK961" s="799"/>
      <c r="AL961" s="799"/>
      <c r="AM961" s="799"/>
      <c r="AN961" s="799"/>
      <c r="AO961" s="799"/>
      <c r="AP961" s="799"/>
      <c r="AQ961" s="799"/>
      <c r="AR961" s="799"/>
      <c r="AS961" s="799"/>
      <c r="AT961" s="799"/>
      <c r="AU961" s="799"/>
      <c r="AV961" s="799"/>
      <c r="AW961" s="799"/>
      <c r="AX961" s="799"/>
      <c r="AY961" s="799"/>
      <c r="AZ961" s="799"/>
      <c r="BA961" s="799"/>
      <c r="BB961" s="799"/>
      <c r="BC961" s="799"/>
      <c r="BD961" s="799"/>
      <c r="BE961" s="799"/>
      <c r="BF961" s="799"/>
      <c r="BG961" s="799"/>
    </row>
    <row r="962">
      <c r="H962" s="799"/>
      <c r="I962" s="799"/>
      <c r="J962" s="799"/>
      <c r="K962" s="799"/>
      <c r="L962" s="799"/>
      <c r="M962" s="799"/>
      <c r="N962" s="799"/>
      <c r="O962" s="799"/>
      <c r="P962" s="799"/>
      <c r="Q962" s="799"/>
      <c r="R962" s="799"/>
      <c r="S962" s="799"/>
      <c r="T962" s="799"/>
      <c r="U962" s="799"/>
      <c r="V962" s="799"/>
      <c r="W962" s="799"/>
      <c r="X962" s="799"/>
      <c r="Y962" s="799"/>
      <c r="Z962" s="799"/>
      <c r="AA962" s="799"/>
      <c r="AB962" s="799"/>
      <c r="AC962" s="799"/>
      <c r="AD962" s="799"/>
      <c r="AE962" s="799"/>
      <c r="AF962" s="799"/>
      <c r="AG962" s="799"/>
      <c r="AH962" s="799"/>
      <c r="AI962" s="799"/>
      <c r="AJ962" s="799"/>
      <c r="AK962" s="799"/>
      <c r="AL962" s="799"/>
      <c r="AM962" s="799"/>
      <c r="AN962" s="799"/>
      <c r="AO962" s="799"/>
      <c r="AP962" s="799"/>
      <c r="AQ962" s="799"/>
      <c r="AR962" s="799"/>
      <c r="AS962" s="799"/>
      <c r="AT962" s="799"/>
      <c r="AU962" s="799"/>
      <c r="AV962" s="799"/>
      <c r="AW962" s="799"/>
      <c r="AX962" s="799"/>
      <c r="AY962" s="799"/>
      <c r="AZ962" s="799"/>
      <c r="BA962" s="799"/>
      <c r="BB962" s="799"/>
      <c r="BC962" s="799"/>
      <c r="BD962" s="799"/>
      <c r="BE962" s="799"/>
      <c r="BF962" s="799"/>
      <c r="BG962" s="799"/>
    </row>
    <row r="963">
      <c r="H963" s="799"/>
      <c r="I963" s="799"/>
      <c r="J963" s="799"/>
      <c r="K963" s="799"/>
      <c r="L963" s="799"/>
      <c r="M963" s="799"/>
      <c r="N963" s="799"/>
      <c r="O963" s="799"/>
      <c r="P963" s="799"/>
      <c r="Q963" s="799"/>
      <c r="R963" s="799"/>
      <c r="S963" s="799"/>
      <c r="T963" s="799"/>
      <c r="U963" s="799"/>
      <c r="V963" s="799"/>
      <c r="W963" s="799"/>
      <c r="X963" s="799"/>
      <c r="Y963" s="799"/>
      <c r="Z963" s="799"/>
      <c r="AA963" s="799"/>
      <c r="AB963" s="799"/>
      <c r="AC963" s="799"/>
      <c r="AD963" s="799"/>
      <c r="AE963" s="799"/>
      <c r="AF963" s="799"/>
      <c r="AG963" s="799"/>
      <c r="AH963" s="799"/>
      <c r="AI963" s="799"/>
      <c r="AJ963" s="799"/>
      <c r="AK963" s="799"/>
      <c r="AL963" s="799"/>
      <c r="AM963" s="799"/>
      <c r="AN963" s="799"/>
      <c r="AO963" s="799"/>
      <c r="AP963" s="799"/>
      <c r="AQ963" s="799"/>
      <c r="AR963" s="799"/>
      <c r="AS963" s="799"/>
      <c r="AT963" s="799"/>
      <c r="AU963" s="799"/>
      <c r="AV963" s="799"/>
      <c r="AW963" s="799"/>
      <c r="AX963" s="799"/>
      <c r="AY963" s="799"/>
      <c r="AZ963" s="799"/>
      <c r="BA963" s="799"/>
      <c r="BB963" s="799"/>
      <c r="BC963" s="799"/>
      <c r="BD963" s="799"/>
      <c r="BE963" s="799"/>
      <c r="BF963" s="799"/>
      <c r="BG963" s="799"/>
    </row>
    <row r="964">
      <c r="H964" s="799"/>
      <c r="I964" s="799"/>
      <c r="J964" s="799"/>
      <c r="K964" s="799"/>
      <c r="L964" s="799"/>
      <c r="M964" s="799"/>
      <c r="N964" s="799"/>
      <c r="O964" s="799"/>
      <c r="P964" s="799"/>
      <c r="Q964" s="799"/>
      <c r="R964" s="799"/>
      <c r="S964" s="799"/>
      <c r="T964" s="799"/>
      <c r="U964" s="799"/>
      <c r="V964" s="799"/>
      <c r="W964" s="799"/>
      <c r="X964" s="799"/>
      <c r="Y964" s="799"/>
      <c r="Z964" s="799"/>
      <c r="AA964" s="799"/>
      <c r="AB964" s="799"/>
      <c r="AC964" s="799"/>
      <c r="AD964" s="799"/>
      <c r="AE964" s="799"/>
      <c r="AF964" s="799"/>
      <c r="AG964" s="799"/>
      <c r="AH964" s="799"/>
      <c r="AI964" s="799"/>
      <c r="AJ964" s="799"/>
      <c r="AK964" s="799"/>
      <c r="AL964" s="799"/>
      <c r="AM964" s="799"/>
      <c r="AN964" s="799"/>
      <c r="AO964" s="799"/>
      <c r="AP964" s="799"/>
      <c r="AQ964" s="799"/>
      <c r="AR964" s="799"/>
      <c r="AS964" s="799"/>
      <c r="AT964" s="799"/>
      <c r="AU964" s="799"/>
      <c r="AV964" s="799"/>
      <c r="AW964" s="799"/>
      <c r="AX964" s="799"/>
      <c r="AY964" s="799"/>
      <c r="AZ964" s="799"/>
      <c r="BA964" s="799"/>
      <c r="BB964" s="799"/>
      <c r="BC964" s="799"/>
      <c r="BD964" s="799"/>
      <c r="BE964" s="799"/>
      <c r="BF964" s="799"/>
      <c r="BG964" s="799"/>
    </row>
    <row r="965">
      <c r="H965" s="799"/>
      <c r="I965" s="799"/>
      <c r="J965" s="799"/>
      <c r="K965" s="799"/>
      <c r="L965" s="799"/>
      <c r="M965" s="799"/>
      <c r="N965" s="799"/>
      <c r="O965" s="799"/>
      <c r="P965" s="799"/>
      <c r="Q965" s="799"/>
      <c r="R965" s="799"/>
      <c r="S965" s="799"/>
      <c r="T965" s="799"/>
      <c r="U965" s="799"/>
      <c r="V965" s="799"/>
      <c r="W965" s="799"/>
      <c r="X965" s="799"/>
      <c r="Y965" s="799"/>
      <c r="Z965" s="799"/>
      <c r="AA965" s="799"/>
      <c r="AB965" s="799"/>
      <c r="AC965" s="799"/>
      <c r="AD965" s="799"/>
      <c r="AE965" s="799"/>
      <c r="AF965" s="799"/>
      <c r="AG965" s="799"/>
      <c r="AH965" s="799"/>
      <c r="AI965" s="799"/>
      <c r="AJ965" s="799"/>
      <c r="AK965" s="799"/>
      <c r="AL965" s="799"/>
      <c r="AM965" s="799"/>
      <c r="AN965" s="799"/>
      <c r="AO965" s="799"/>
      <c r="AP965" s="799"/>
      <c r="AQ965" s="799"/>
      <c r="AR965" s="799"/>
      <c r="AS965" s="799"/>
      <c r="AT965" s="799"/>
      <c r="AU965" s="799"/>
      <c r="AV965" s="799"/>
      <c r="AW965" s="799"/>
      <c r="AX965" s="799"/>
      <c r="AY965" s="799"/>
      <c r="AZ965" s="799"/>
      <c r="BA965" s="799"/>
      <c r="BB965" s="799"/>
      <c r="BC965" s="799"/>
      <c r="BD965" s="799"/>
      <c r="BE965" s="799"/>
      <c r="BF965" s="799"/>
      <c r="BG965" s="799"/>
    </row>
    <row r="966">
      <c r="H966" s="799"/>
      <c r="I966" s="799"/>
      <c r="J966" s="799"/>
      <c r="K966" s="799"/>
      <c r="L966" s="799"/>
      <c r="M966" s="799"/>
      <c r="N966" s="799"/>
      <c r="O966" s="799"/>
      <c r="P966" s="799"/>
      <c r="Q966" s="799"/>
      <c r="R966" s="799"/>
      <c r="S966" s="799"/>
      <c r="T966" s="799"/>
      <c r="U966" s="799"/>
      <c r="V966" s="799"/>
      <c r="W966" s="799"/>
      <c r="X966" s="799"/>
      <c r="Y966" s="799"/>
      <c r="Z966" s="799"/>
      <c r="AA966" s="799"/>
      <c r="AB966" s="799"/>
      <c r="AC966" s="799"/>
      <c r="AD966" s="799"/>
      <c r="AE966" s="799"/>
      <c r="AF966" s="799"/>
      <c r="AG966" s="799"/>
      <c r="AH966" s="799"/>
      <c r="AI966" s="799"/>
      <c r="AJ966" s="799"/>
      <c r="AK966" s="799"/>
      <c r="AL966" s="799"/>
      <c r="AM966" s="799"/>
      <c r="AN966" s="799"/>
      <c r="AO966" s="799"/>
      <c r="AP966" s="799"/>
      <c r="AQ966" s="799"/>
      <c r="AR966" s="799"/>
      <c r="AS966" s="799"/>
      <c r="AT966" s="799"/>
      <c r="AU966" s="799"/>
      <c r="AV966" s="799"/>
      <c r="AW966" s="799"/>
      <c r="AX966" s="799"/>
      <c r="AY966" s="799"/>
      <c r="AZ966" s="799"/>
      <c r="BA966" s="799"/>
      <c r="BB966" s="799"/>
      <c r="BC966" s="799"/>
      <c r="BD966" s="799"/>
      <c r="BE966" s="799"/>
      <c r="BF966" s="799"/>
      <c r="BG966" s="799"/>
    </row>
    <row r="967">
      <c r="H967" s="799"/>
      <c r="I967" s="799"/>
      <c r="J967" s="799"/>
      <c r="K967" s="799"/>
      <c r="L967" s="799"/>
      <c r="M967" s="799"/>
      <c r="N967" s="799"/>
      <c r="O967" s="799"/>
      <c r="P967" s="799"/>
      <c r="Q967" s="799"/>
      <c r="R967" s="799"/>
      <c r="S967" s="799"/>
      <c r="T967" s="799"/>
      <c r="U967" s="799"/>
      <c r="V967" s="799"/>
      <c r="W967" s="799"/>
      <c r="X967" s="799"/>
      <c r="Y967" s="799"/>
      <c r="Z967" s="799"/>
      <c r="AA967" s="799"/>
      <c r="AB967" s="799"/>
      <c r="AC967" s="799"/>
      <c r="AD967" s="799"/>
      <c r="AE967" s="799"/>
      <c r="AF967" s="799"/>
      <c r="AG967" s="799"/>
      <c r="AH967" s="799"/>
      <c r="AI967" s="799"/>
      <c r="AJ967" s="799"/>
      <c r="AK967" s="799"/>
      <c r="AL967" s="799"/>
      <c r="AM967" s="799"/>
      <c r="AN967" s="799"/>
      <c r="AO967" s="799"/>
      <c r="AP967" s="799"/>
      <c r="AQ967" s="799"/>
      <c r="AR967" s="799"/>
      <c r="AS967" s="799"/>
      <c r="AT967" s="799"/>
      <c r="AU967" s="799"/>
      <c r="AV967" s="799"/>
      <c r="AW967" s="799"/>
      <c r="AX967" s="799"/>
      <c r="AY967" s="799"/>
      <c r="AZ967" s="799"/>
      <c r="BA967" s="799"/>
      <c r="BB967" s="799"/>
      <c r="BC967" s="799"/>
      <c r="BD967" s="799"/>
      <c r="BE967" s="799"/>
      <c r="BF967" s="799"/>
      <c r="BG967" s="799"/>
    </row>
    <row r="968">
      <c r="H968" s="799"/>
      <c r="I968" s="799"/>
      <c r="J968" s="799"/>
      <c r="K968" s="799"/>
      <c r="L968" s="799"/>
      <c r="M968" s="799"/>
      <c r="N968" s="799"/>
      <c r="O968" s="799"/>
      <c r="P968" s="799"/>
      <c r="Q968" s="799"/>
      <c r="R968" s="799"/>
      <c r="S968" s="799"/>
      <c r="T968" s="799"/>
      <c r="U968" s="799"/>
      <c r="V968" s="799"/>
      <c r="W968" s="799"/>
      <c r="X968" s="799"/>
      <c r="Y968" s="799"/>
      <c r="Z968" s="799"/>
      <c r="AA968" s="799"/>
      <c r="AB968" s="799"/>
      <c r="AC968" s="799"/>
      <c r="AD968" s="799"/>
      <c r="AE968" s="799"/>
      <c r="AF968" s="799"/>
      <c r="AG968" s="799"/>
      <c r="AH968" s="799"/>
      <c r="AI968" s="799"/>
      <c r="AJ968" s="799"/>
      <c r="AK968" s="799"/>
      <c r="AL968" s="799"/>
      <c r="AM968" s="799"/>
      <c r="AN968" s="799"/>
      <c r="AO968" s="799"/>
      <c r="AP968" s="799"/>
      <c r="AQ968" s="799"/>
      <c r="AR968" s="799"/>
      <c r="AS968" s="799"/>
      <c r="AT968" s="799"/>
      <c r="AU968" s="799"/>
      <c r="AV968" s="799"/>
      <c r="AW968" s="799"/>
      <c r="AX968" s="799"/>
      <c r="AY968" s="799"/>
      <c r="AZ968" s="799"/>
      <c r="BA968" s="799"/>
      <c r="BB968" s="799"/>
      <c r="BC968" s="799"/>
      <c r="BD968" s="799"/>
      <c r="BE968" s="799"/>
      <c r="BF968" s="799"/>
      <c r="BG968" s="799"/>
    </row>
    <row r="969">
      <c r="H969" s="799"/>
      <c r="I969" s="799"/>
      <c r="J969" s="799"/>
      <c r="K969" s="799"/>
      <c r="L969" s="799"/>
      <c r="M969" s="799"/>
      <c r="N969" s="799"/>
      <c r="O969" s="799"/>
      <c r="P969" s="799"/>
      <c r="Q969" s="799"/>
      <c r="R969" s="799"/>
      <c r="S969" s="799"/>
      <c r="T969" s="799"/>
      <c r="U969" s="799"/>
      <c r="V969" s="799"/>
      <c r="W969" s="799"/>
      <c r="X969" s="799"/>
      <c r="Y969" s="799"/>
      <c r="Z969" s="799"/>
      <c r="AA969" s="799"/>
      <c r="AB969" s="799"/>
      <c r="AC969" s="799"/>
      <c r="AD969" s="799"/>
      <c r="AE969" s="799"/>
      <c r="AF969" s="799"/>
      <c r="AG969" s="799"/>
      <c r="AH969" s="799"/>
      <c r="AI969" s="799"/>
      <c r="AJ969" s="799"/>
      <c r="AK969" s="799"/>
      <c r="AL969" s="799"/>
      <c r="AM969" s="799"/>
      <c r="AN969" s="799"/>
      <c r="AO969" s="799"/>
      <c r="AP969" s="799"/>
      <c r="AQ969" s="799"/>
      <c r="AR969" s="799"/>
      <c r="AS969" s="799"/>
      <c r="AT969" s="799"/>
      <c r="AU969" s="799"/>
      <c r="AV969" s="799"/>
      <c r="AW969" s="799"/>
      <c r="AX969" s="799"/>
      <c r="AY969" s="799"/>
      <c r="AZ969" s="799"/>
      <c r="BA969" s="799"/>
      <c r="BB969" s="799"/>
      <c r="BC969" s="799"/>
      <c r="BD969" s="799"/>
      <c r="BE969" s="799"/>
      <c r="BF969" s="799"/>
      <c r="BG969" s="799"/>
    </row>
    <row r="970">
      <c r="H970" s="799"/>
      <c r="I970" s="799"/>
      <c r="J970" s="799"/>
      <c r="K970" s="799"/>
      <c r="L970" s="799"/>
      <c r="M970" s="799"/>
      <c r="N970" s="799"/>
      <c r="O970" s="799"/>
      <c r="P970" s="799"/>
      <c r="Q970" s="799"/>
      <c r="R970" s="799"/>
      <c r="S970" s="799"/>
      <c r="T970" s="799"/>
      <c r="U970" s="799"/>
      <c r="V970" s="799"/>
      <c r="W970" s="799"/>
      <c r="X970" s="799"/>
      <c r="Y970" s="799"/>
      <c r="Z970" s="799"/>
      <c r="AA970" s="799"/>
      <c r="AB970" s="799"/>
      <c r="AC970" s="799"/>
      <c r="AD970" s="799"/>
      <c r="AE970" s="799"/>
      <c r="AF970" s="799"/>
      <c r="AG970" s="799"/>
      <c r="AH970" s="799"/>
      <c r="AI970" s="799"/>
      <c r="AJ970" s="799"/>
      <c r="AK970" s="799"/>
      <c r="AL970" s="799"/>
      <c r="AM970" s="799"/>
      <c r="AN970" s="799"/>
      <c r="AO970" s="799"/>
      <c r="AP970" s="799"/>
      <c r="AQ970" s="799"/>
      <c r="AR970" s="799"/>
      <c r="AS970" s="799"/>
      <c r="AT970" s="799"/>
      <c r="AU970" s="799"/>
      <c r="AV970" s="799"/>
      <c r="AW970" s="799"/>
      <c r="AX970" s="799"/>
      <c r="AY970" s="799"/>
      <c r="AZ970" s="799"/>
      <c r="BA970" s="799"/>
      <c r="BB970" s="799"/>
      <c r="BC970" s="799"/>
      <c r="BD970" s="799"/>
      <c r="BE970" s="799"/>
      <c r="BF970" s="799"/>
      <c r="BG970" s="799"/>
    </row>
    <row r="971">
      <c r="H971" s="799"/>
      <c r="I971" s="799"/>
      <c r="J971" s="799"/>
      <c r="K971" s="799"/>
      <c r="L971" s="799"/>
      <c r="M971" s="799"/>
      <c r="N971" s="799"/>
      <c r="O971" s="799"/>
      <c r="P971" s="799"/>
      <c r="Q971" s="799"/>
      <c r="R971" s="799"/>
      <c r="S971" s="799"/>
      <c r="T971" s="799"/>
      <c r="U971" s="799"/>
      <c r="V971" s="799"/>
      <c r="W971" s="799"/>
      <c r="X971" s="799"/>
      <c r="Y971" s="799"/>
      <c r="Z971" s="799"/>
      <c r="AA971" s="799"/>
      <c r="AB971" s="799"/>
      <c r="AC971" s="799"/>
      <c r="AD971" s="799"/>
      <c r="AE971" s="799"/>
      <c r="AF971" s="799"/>
      <c r="AG971" s="799"/>
      <c r="AH971" s="799"/>
      <c r="AI971" s="799"/>
      <c r="AJ971" s="799"/>
      <c r="AK971" s="799"/>
      <c r="AL971" s="799"/>
      <c r="AM971" s="799"/>
      <c r="AN971" s="799"/>
      <c r="AO971" s="799"/>
      <c r="AP971" s="799"/>
      <c r="AQ971" s="799"/>
      <c r="AR971" s="799"/>
      <c r="AS971" s="799"/>
      <c r="AT971" s="799"/>
      <c r="AU971" s="799"/>
      <c r="AV971" s="799"/>
      <c r="AW971" s="799"/>
      <c r="AX971" s="799"/>
      <c r="AY971" s="799"/>
      <c r="AZ971" s="799"/>
      <c r="BA971" s="799"/>
      <c r="BB971" s="799"/>
      <c r="BC971" s="799"/>
      <c r="BD971" s="799"/>
      <c r="BE971" s="799"/>
      <c r="BF971" s="799"/>
      <c r="BG971" s="799"/>
    </row>
    <row r="972">
      <c r="H972" s="799"/>
      <c r="I972" s="799"/>
      <c r="J972" s="799"/>
      <c r="K972" s="799"/>
      <c r="L972" s="799"/>
      <c r="M972" s="799"/>
      <c r="N972" s="799"/>
      <c r="O972" s="799"/>
      <c r="P972" s="799"/>
      <c r="Q972" s="799"/>
      <c r="R972" s="799"/>
      <c r="S972" s="799"/>
      <c r="T972" s="799"/>
      <c r="U972" s="799"/>
      <c r="V972" s="799"/>
      <c r="W972" s="799"/>
      <c r="X972" s="799"/>
      <c r="Y972" s="799"/>
      <c r="Z972" s="799"/>
      <c r="AA972" s="799"/>
      <c r="AB972" s="799"/>
      <c r="AC972" s="799"/>
      <c r="AD972" s="799"/>
      <c r="AE972" s="799"/>
      <c r="AF972" s="799"/>
      <c r="AG972" s="799"/>
      <c r="AH972" s="799"/>
      <c r="AI972" s="799"/>
      <c r="AJ972" s="799"/>
      <c r="AK972" s="799"/>
      <c r="AL972" s="799"/>
      <c r="AM972" s="799"/>
      <c r="AN972" s="799"/>
      <c r="AO972" s="799"/>
      <c r="AP972" s="799"/>
      <c r="AQ972" s="799"/>
      <c r="AR972" s="799"/>
      <c r="AS972" s="799"/>
      <c r="AT972" s="799"/>
      <c r="AU972" s="799"/>
      <c r="AV972" s="799"/>
      <c r="AW972" s="799"/>
      <c r="AX972" s="799"/>
      <c r="AY972" s="799"/>
      <c r="AZ972" s="799"/>
      <c r="BA972" s="799"/>
      <c r="BB972" s="799"/>
      <c r="BC972" s="799"/>
      <c r="BD972" s="799"/>
      <c r="BE972" s="799"/>
      <c r="BF972" s="799"/>
      <c r="BG972" s="799"/>
    </row>
    <row r="973">
      <c r="H973" s="799"/>
      <c r="I973" s="799"/>
      <c r="J973" s="799"/>
      <c r="K973" s="799"/>
      <c r="L973" s="799"/>
      <c r="M973" s="799"/>
      <c r="N973" s="799"/>
      <c r="O973" s="799"/>
      <c r="P973" s="799"/>
      <c r="Q973" s="799"/>
      <c r="R973" s="799"/>
      <c r="S973" s="799"/>
      <c r="T973" s="799"/>
      <c r="U973" s="799"/>
      <c r="V973" s="799"/>
      <c r="W973" s="799"/>
      <c r="X973" s="799"/>
      <c r="Y973" s="799"/>
      <c r="Z973" s="799"/>
      <c r="AA973" s="799"/>
      <c r="AB973" s="799"/>
      <c r="AC973" s="799"/>
      <c r="AD973" s="799"/>
      <c r="AE973" s="799"/>
      <c r="AF973" s="799"/>
      <c r="AG973" s="799"/>
      <c r="AH973" s="799"/>
      <c r="AI973" s="799"/>
      <c r="AJ973" s="799"/>
      <c r="AK973" s="799"/>
      <c r="AL973" s="799"/>
      <c r="AM973" s="799"/>
      <c r="AN973" s="799"/>
      <c r="AO973" s="799"/>
      <c r="AP973" s="799"/>
      <c r="AQ973" s="799"/>
      <c r="AR973" s="799"/>
      <c r="AS973" s="799"/>
      <c r="AT973" s="799"/>
      <c r="AU973" s="799"/>
      <c r="AV973" s="799"/>
      <c r="AW973" s="799"/>
      <c r="AX973" s="799"/>
      <c r="AY973" s="799"/>
      <c r="AZ973" s="799"/>
      <c r="BA973" s="799"/>
      <c r="BB973" s="799"/>
      <c r="BC973" s="799"/>
      <c r="BD973" s="799"/>
      <c r="BE973" s="799"/>
      <c r="BF973" s="799"/>
      <c r="BG973" s="799"/>
    </row>
    <row r="974">
      <c r="H974" s="799"/>
      <c r="I974" s="799"/>
      <c r="J974" s="799"/>
      <c r="K974" s="799"/>
      <c r="L974" s="799"/>
      <c r="M974" s="799"/>
      <c r="N974" s="799"/>
      <c r="O974" s="799"/>
      <c r="P974" s="799"/>
      <c r="Q974" s="799"/>
      <c r="R974" s="799"/>
      <c r="S974" s="799"/>
      <c r="T974" s="799"/>
      <c r="U974" s="799"/>
      <c r="V974" s="799"/>
      <c r="W974" s="799"/>
      <c r="X974" s="799"/>
      <c r="Y974" s="799"/>
      <c r="Z974" s="799"/>
      <c r="AA974" s="799"/>
      <c r="AB974" s="799"/>
      <c r="AC974" s="799"/>
      <c r="AD974" s="799"/>
      <c r="AE974" s="799"/>
      <c r="AF974" s="799"/>
      <c r="AG974" s="799"/>
      <c r="AH974" s="799"/>
      <c r="AI974" s="799"/>
      <c r="AJ974" s="799"/>
      <c r="AK974" s="799"/>
      <c r="AL974" s="799"/>
      <c r="AM974" s="799"/>
      <c r="AN974" s="799"/>
      <c r="AO974" s="799"/>
      <c r="AP974" s="799"/>
      <c r="AQ974" s="799"/>
      <c r="AR974" s="799"/>
      <c r="AS974" s="799"/>
      <c r="AT974" s="799"/>
      <c r="AU974" s="799"/>
      <c r="AV974" s="799"/>
      <c r="AW974" s="799"/>
      <c r="AX974" s="799"/>
      <c r="AY974" s="799"/>
      <c r="AZ974" s="799"/>
      <c r="BA974" s="799"/>
      <c r="BB974" s="799"/>
      <c r="BC974" s="799"/>
      <c r="BD974" s="799"/>
      <c r="BE974" s="799"/>
      <c r="BF974" s="799"/>
      <c r="BG974" s="799"/>
    </row>
    <row r="975">
      <c r="H975" s="799"/>
      <c r="I975" s="799"/>
      <c r="J975" s="799"/>
      <c r="K975" s="799"/>
      <c r="L975" s="799"/>
      <c r="M975" s="799"/>
      <c r="N975" s="799"/>
      <c r="O975" s="799"/>
      <c r="P975" s="799"/>
      <c r="Q975" s="799"/>
      <c r="R975" s="799"/>
      <c r="S975" s="799"/>
      <c r="T975" s="799"/>
      <c r="U975" s="799"/>
      <c r="V975" s="799"/>
      <c r="W975" s="799"/>
      <c r="X975" s="799"/>
      <c r="Y975" s="799"/>
      <c r="Z975" s="799"/>
      <c r="AA975" s="799"/>
      <c r="AB975" s="799"/>
      <c r="AC975" s="799"/>
      <c r="AD975" s="799"/>
      <c r="AE975" s="799"/>
      <c r="AF975" s="799"/>
      <c r="AG975" s="799"/>
      <c r="AH975" s="799"/>
      <c r="AI975" s="799"/>
      <c r="AJ975" s="799"/>
      <c r="AK975" s="799"/>
      <c r="AL975" s="799"/>
      <c r="AM975" s="799"/>
      <c r="AN975" s="799"/>
      <c r="AO975" s="799"/>
      <c r="AP975" s="799"/>
      <c r="AQ975" s="799"/>
      <c r="AR975" s="799"/>
      <c r="AS975" s="799"/>
      <c r="AT975" s="799"/>
      <c r="AU975" s="799"/>
      <c r="AV975" s="799"/>
      <c r="AW975" s="799"/>
      <c r="AX975" s="799"/>
      <c r="AY975" s="799"/>
      <c r="AZ975" s="799"/>
      <c r="BA975" s="799"/>
      <c r="BB975" s="799"/>
      <c r="BC975" s="799"/>
      <c r="BD975" s="799"/>
      <c r="BE975" s="799"/>
      <c r="BF975" s="799"/>
      <c r="BG975" s="799"/>
    </row>
    <row r="976">
      <c r="H976" s="799"/>
      <c r="I976" s="799"/>
      <c r="J976" s="799"/>
      <c r="K976" s="799"/>
      <c r="L976" s="799"/>
      <c r="M976" s="799"/>
      <c r="N976" s="799"/>
      <c r="O976" s="799"/>
      <c r="P976" s="799"/>
      <c r="Q976" s="799"/>
      <c r="R976" s="799"/>
      <c r="S976" s="799"/>
      <c r="T976" s="799"/>
      <c r="U976" s="799"/>
      <c r="V976" s="799"/>
      <c r="W976" s="799"/>
      <c r="X976" s="799"/>
      <c r="Y976" s="799"/>
      <c r="Z976" s="799"/>
      <c r="AA976" s="799"/>
      <c r="AB976" s="799"/>
      <c r="AC976" s="799"/>
      <c r="AD976" s="799"/>
      <c r="AE976" s="799"/>
      <c r="AF976" s="799"/>
      <c r="AG976" s="799"/>
      <c r="AH976" s="799"/>
      <c r="AI976" s="799"/>
      <c r="AJ976" s="799"/>
      <c r="AK976" s="799"/>
      <c r="AL976" s="799"/>
      <c r="AM976" s="799"/>
      <c r="AN976" s="799"/>
      <c r="AO976" s="799"/>
      <c r="AP976" s="799"/>
      <c r="AQ976" s="799"/>
      <c r="AR976" s="799"/>
      <c r="AS976" s="799"/>
      <c r="AT976" s="799"/>
      <c r="AU976" s="799"/>
      <c r="AV976" s="799"/>
      <c r="AW976" s="799"/>
      <c r="AX976" s="799"/>
      <c r="AY976" s="799"/>
      <c r="AZ976" s="799"/>
      <c r="BA976" s="799"/>
      <c r="BB976" s="799"/>
      <c r="BC976" s="799"/>
      <c r="BD976" s="799"/>
      <c r="BE976" s="799"/>
      <c r="BF976" s="799"/>
      <c r="BG976" s="799"/>
    </row>
    <row r="977">
      <c r="H977" s="799"/>
      <c r="I977" s="799"/>
      <c r="J977" s="799"/>
      <c r="K977" s="799"/>
      <c r="L977" s="799"/>
      <c r="M977" s="799"/>
      <c r="N977" s="799"/>
      <c r="O977" s="799"/>
      <c r="P977" s="799"/>
      <c r="Q977" s="799"/>
      <c r="R977" s="799"/>
      <c r="S977" s="799"/>
      <c r="T977" s="799"/>
      <c r="U977" s="799"/>
      <c r="V977" s="799"/>
      <c r="W977" s="799"/>
      <c r="X977" s="799"/>
      <c r="Y977" s="799"/>
      <c r="Z977" s="799"/>
      <c r="AA977" s="799"/>
      <c r="AB977" s="799"/>
      <c r="AC977" s="799"/>
      <c r="AD977" s="799"/>
      <c r="AE977" s="799"/>
      <c r="AF977" s="799"/>
      <c r="AG977" s="799"/>
      <c r="AH977" s="799"/>
      <c r="AI977" s="799"/>
      <c r="AJ977" s="799"/>
      <c r="AK977" s="799"/>
      <c r="AL977" s="799"/>
      <c r="AM977" s="799"/>
      <c r="AN977" s="799"/>
      <c r="AO977" s="799"/>
      <c r="AP977" s="799"/>
      <c r="AQ977" s="799"/>
      <c r="AR977" s="799"/>
      <c r="AS977" s="799"/>
      <c r="AT977" s="799"/>
      <c r="AU977" s="799"/>
      <c r="AV977" s="799"/>
      <c r="AW977" s="799"/>
      <c r="AX977" s="799"/>
      <c r="AY977" s="799"/>
      <c r="AZ977" s="799"/>
      <c r="BA977" s="799"/>
      <c r="BB977" s="799"/>
      <c r="BC977" s="799"/>
      <c r="BD977" s="799"/>
      <c r="BE977" s="799"/>
      <c r="BF977" s="799"/>
      <c r="BG977" s="799"/>
    </row>
    <row r="978">
      <c r="H978" s="799"/>
      <c r="I978" s="799"/>
      <c r="J978" s="799"/>
      <c r="K978" s="799"/>
      <c r="L978" s="799"/>
      <c r="M978" s="799"/>
      <c r="N978" s="799"/>
      <c r="O978" s="799"/>
      <c r="P978" s="799"/>
      <c r="Q978" s="799"/>
      <c r="R978" s="799"/>
      <c r="S978" s="799"/>
      <c r="T978" s="799"/>
      <c r="U978" s="799"/>
      <c r="V978" s="799"/>
      <c r="W978" s="799"/>
      <c r="X978" s="799"/>
      <c r="Y978" s="799"/>
      <c r="Z978" s="799"/>
      <c r="AA978" s="799"/>
      <c r="AB978" s="799"/>
      <c r="AC978" s="799"/>
      <c r="AD978" s="799"/>
      <c r="AE978" s="799"/>
      <c r="AF978" s="799"/>
      <c r="AG978" s="799"/>
      <c r="AH978" s="799"/>
      <c r="AI978" s="799"/>
      <c r="AJ978" s="799"/>
      <c r="AK978" s="799"/>
      <c r="AL978" s="799"/>
      <c r="AM978" s="799"/>
      <c r="AN978" s="799"/>
      <c r="AO978" s="799"/>
      <c r="AP978" s="799"/>
      <c r="AQ978" s="799"/>
      <c r="AR978" s="799"/>
      <c r="AS978" s="799"/>
      <c r="AT978" s="799"/>
      <c r="AU978" s="799"/>
      <c r="AV978" s="799"/>
      <c r="AW978" s="799"/>
      <c r="AX978" s="799"/>
      <c r="AY978" s="799"/>
      <c r="AZ978" s="799"/>
      <c r="BA978" s="799"/>
      <c r="BB978" s="799"/>
      <c r="BC978" s="799"/>
      <c r="BD978" s="799"/>
      <c r="BE978" s="799"/>
      <c r="BF978" s="799"/>
      <c r="BG978" s="799"/>
    </row>
    <row r="979">
      <c r="H979" s="799"/>
      <c r="I979" s="799"/>
      <c r="J979" s="799"/>
      <c r="K979" s="799"/>
      <c r="L979" s="799"/>
      <c r="M979" s="799"/>
      <c r="N979" s="799"/>
      <c r="O979" s="799"/>
      <c r="P979" s="799"/>
      <c r="Q979" s="799"/>
      <c r="R979" s="799"/>
      <c r="S979" s="799"/>
      <c r="T979" s="799"/>
      <c r="U979" s="799"/>
      <c r="V979" s="799"/>
      <c r="W979" s="799"/>
      <c r="X979" s="799"/>
      <c r="Y979" s="799"/>
      <c r="Z979" s="799"/>
      <c r="AA979" s="799"/>
      <c r="AB979" s="799"/>
      <c r="AC979" s="799"/>
      <c r="AD979" s="799"/>
      <c r="AE979" s="799"/>
      <c r="AF979" s="799"/>
      <c r="AG979" s="799"/>
      <c r="AH979" s="799"/>
      <c r="AI979" s="799"/>
      <c r="AJ979" s="799"/>
      <c r="AK979" s="799"/>
      <c r="AL979" s="799"/>
      <c r="AM979" s="799"/>
      <c r="AN979" s="799"/>
      <c r="AO979" s="799"/>
      <c r="AP979" s="799"/>
      <c r="AQ979" s="799"/>
      <c r="AR979" s="799"/>
      <c r="AS979" s="799"/>
      <c r="AT979" s="799"/>
      <c r="AU979" s="799"/>
      <c r="AV979" s="799"/>
      <c r="AW979" s="799"/>
      <c r="AX979" s="799"/>
      <c r="AY979" s="799"/>
      <c r="AZ979" s="799"/>
      <c r="BA979" s="799"/>
      <c r="BB979" s="799"/>
      <c r="BC979" s="799"/>
      <c r="BD979" s="799"/>
      <c r="BE979" s="799"/>
      <c r="BF979" s="799"/>
      <c r="BG979" s="799"/>
    </row>
    <row r="980">
      <c r="H980" s="799"/>
      <c r="I980" s="799"/>
      <c r="J980" s="799"/>
      <c r="K980" s="799"/>
      <c r="L980" s="799"/>
      <c r="M980" s="799"/>
      <c r="N980" s="799"/>
      <c r="O980" s="799"/>
      <c r="P980" s="799"/>
      <c r="Q980" s="799"/>
      <c r="R980" s="799"/>
      <c r="S980" s="799"/>
      <c r="T980" s="799"/>
      <c r="U980" s="799"/>
      <c r="V980" s="799"/>
      <c r="W980" s="799"/>
      <c r="X980" s="799"/>
      <c r="Y980" s="799"/>
      <c r="Z980" s="799"/>
      <c r="AA980" s="799"/>
      <c r="AB980" s="799"/>
      <c r="AC980" s="799"/>
      <c r="AD980" s="799"/>
      <c r="AE980" s="799"/>
      <c r="AF980" s="799"/>
      <c r="AG980" s="799"/>
      <c r="AH980" s="799"/>
      <c r="AI980" s="799"/>
      <c r="AJ980" s="799"/>
      <c r="AK980" s="799"/>
      <c r="AL980" s="799"/>
      <c r="AM980" s="799"/>
      <c r="AN980" s="799"/>
      <c r="AO980" s="799"/>
      <c r="AP980" s="799"/>
      <c r="AQ980" s="799"/>
      <c r="AR980" s="799"/>
      <c r="AS980" s="799"/>
      <c r="AT980" s="799"/>
      <c r="AU980" s="799"/>
      <c r="AV980" s="799"/>
      <c r="AW980" s="799"/>
      <c r="AX980" s="799"/>
      <c r="AY980" s="799"/>
      <c r="AZ980" s="799"/>
      <c r="BA980" s="799"/>
      <c r="BB980" s="799"/>
      <c r="BC980" s="799"/>
      <c r="BD980" s="799"/>
      <c r="BE980" s="799"/>
      <c r="BF980" s="799"/>
      <c r="BG980" s="799"/>
    </row>
    <row r="981">
      <c r="H981" s="799"/>
      <c r="I981" s="799"/>
      <c r="J981" s="799"/>
      <c r="K981" s="799"/>
      <c r="L981" s="799"/>
      <c r="M981" s="799"/>
      <c r="N981" s="799"/>
      <c r="O981" s="799"/>
      <c r="P981" s="799"/>
      <c r="Q981" s="799"/>
      <c r="R981" s="799"/>
      <c r="S981" s="799"/>
      <c r="T981" s="799"/>
      <c r="U981" s="799"/>
      <c r="V981" s="799"/>
      <c r="W981" s="799"/>
      <c r="X981" s="799"/>
      <c r="Y981" s="799"/>
      <c r="Z981" s="799"/>
      <c r="AA981" s="799"/>
      <c r="AB981" s="799"/>
      <c r="AC981" s="799"/>
      <c r="AD981" s="799"/>
      <c r="AE981" s="799"/>
      <c r="AF981" s="799"/>
      <c r="AG981" s="799"/>
      <c r="AH981" s="799"/>
      <c r="AI981" s="799"/>
      <c r="AJ981" s="799"/>
      <c r="AK981" s="799"/>
      <c r="AL981" s="799"/>
      <c r="AM981" s="799"/>
      <c r="AN981" s="799"/>
      <c r="AO981" s="799"/>
      <c r="AP981" s="799"/>
      <c r="AQ981" s="799"/>
      <c r="AR981" s="799"/>
      <c r="AS981" s="799"/>
      <c r="AT981" s="799"/>
      <c r="AU981" s="799"/>
      <c r="AV981" s="799"/>
      <c r="AW981" s="799"/>
      <c r="AX981" s="799"/>
      <c r="AY981" s="799"/>
      <c r="AZ981" s="799"/>
      <c r="BA981" s="799"/>
      <c r="BB981" s="799"/>
      <c r="BC981" s="799"/>
      <c r="BD981" s="799"/>
      <c r="BE981" s="799"/>
      <c r="BF981" s="799"/>
      <c r="BG981" s="799"/>
    </row>
    <row r="982">
      <c r="H982" s="799"/>
      <c r="I982" s="799"/>
      <c r="J982" s="799"/>
      <c r="K982" s="799"/>
      <c r="L982" s="799"/>
      <c r="M982" s="799"/>
      <c r="N982" s="799"/>
      <c r="O982" s="799"/>
      <c r="P982" s="799"/>
      <c r="Q982" s="799"/>
      <c r="R982" s="799"/>
      <c r="S982" s="799"/>
      <c r="T982" s="799"/>
      <c r="U982" s="799"/>
      <c r="V982" s="799"/>
      <c r="W982" s="799"/>
      <c r="X982" s="799"/>
      <c r="Y982" s="799"/>
      <c r="Z982" s="799"/>
      <c r="AA982" s="799"/>
      <c r="AB982" s="799"/>
      <c r="AC982" s="799"/>
      <c r="AD982" s="799"/>
      <c r="AE982" s="799"/>
      <c r="AF982" s="799"/>
      <c r="AG982" s="799"/>
      <c r="AH982" s="799"/>
      <c r="AI982" s="799"/>
      <c r="AJ982" s="799"/>
      <c r="AK982" s="799"/>
      <c r="AL982" s="799"/>
      <c r="AM982" s="799"/>
      <c r="AN982" s="799"/>
      <c r="AO982" s="799"/>
      <c r="AP982" s="799"/>
      <c r="AQ982" s="799"/>
      <c r="AR982" s="799"/>
      <c r="AS982" s="799"/>
      <c r="AT982" s="799"/>
      <c r="AU982" s="799"/>
      <c r="AV982" s="799"/>
      <c r="AW982" s="799"/>
      <c r="AX982" s="799"/>
      <c r="AY982" s="799"/>
      <c r="AZ982" s="799"/>
      <c r="BA982" s="799"/>
      <c r="BB982" s="799"/>
      <c r="BC982" s="799"/>
      <c r="BD982" s="799"/>
      <c r="BE982" s="799"/>
      <c r="BF982" s="799"/>
      <c r="BG982" s="799"/>
    </row>
    <row r="983">
      <c r="H983" s="799"/>
      <c r="I983" s="799"/>
      <c r="J983" s="799"/>
      <c r="K983" s="799"/>
      <c r="L983" s="799"/>
      <c r="M983" s="799"/>
      <c r="N983" s="799"/>
      <c r="O983" s="799"/>
      <c r="P983" s="799"/>
      <c r="Q983" s="799"/>
      <c r="R983" s="799"/>
      <c r="S983" s="799"/>
      <c r="T983" s="799"/>
      <c r="U983" s="799"/>
      <c r="V983" s="799"/>
      <c r="W983" s="799"/>
      <c r="X983" s="799"/>
      <c r="Y983" s="799"/>
      <c r="Z983" s="799"/>
      <c r="AA983" s="799"/>
      <c r="AB983" s="799"/>
      <c r="AC983" s="799"/>
      <c r="AD983" s="799"/>
      <c r="AE983" s="799"/>
      <c r="AF983" s="799"/>
      <c r="AG983" s="799"/>
      <c r="AH983" s="799"/>
      <c r="AI983" s="799"/>
      <c r="AJ983" s="799"/>
      <c r="AK983" s="799"/>
      <c r="AL983" s="799"/>
      <c r="AM983" s="799"/>
      <c r="AN983" s="799"/>
      <c r="AO983" s="799"/>
      <c r="AP983" s="799"/>
      <c r="AQ983" s="799"/>
      <c r="AR983" s="799"/>
      <c r="AS983" s="799"/>
      <c r="AT983" s="799"/>
      <c r="AU983" s="799"/>
      <c r="AV983" s="799"/>
      <c r="AW983" s="799"/>
      <c r="AX983" s="799"/>
      <c r="AY983" s="799"/>
      <c r="AZ983" s="799"/>
      <c r="BA983" s="799"/>
      <c r="BB983" s="799"/>
      <c r="BC983" s="799"/>
      <c r="BD983" s="799"/>
      <c r="BE983" s="799"/>
      <c r="BF983" s="799"/>
      <c r="BG983" s="799"/>
    </row>
    <row r="984">
      <c r="H984" s="799"/>
      <c r="I984" s="799"/>
      <c r="J984" s="799"/>
      <c r="K984" s="799"/>
      <c r="L984" s="799"/>
      <c r="M984" s="799"/>
      <c r="N984" s="799"/>
      <c r="O984" s="799"/>
      <c r="P984" s="799"/>
      <c r="Q984" s="799"/>
      <c r="R984" s="799"/>
      <c r="S984" s="799"/>
      <c r="T984" s="799"/>
      <c r="U984" s="799"/>
      <c r="V984" s="799"/>
      <c r="W984" s="799"/>
      <c r="X984" s="799"/>
      <c r="Y984" s="799"/>
      <c r="Z984" s="799"/>
      <c r="AA984" s="799"/>
      <c r="AB984" s="799"/>
      <c r="AC984" s="799"/>
      <c r="AD984" s="799"/>
      <c r="AE984" s="799"/>
      <c r="AF984" s="799"/>
      <c r="AG984" s="799"/>
      <c r="AH984" s="799"/>
      <c r="AI984" s="799"/>
      <c r="AJ984" s="799"/>
      <c r="AK984" s="799"/>
      <c r="AL984" s="799"/>
      <c r="AM984" s="799"/>
      <c r="AN984" s="799"/>
      <c r="AO984" s="799"/>
      <c r="AP984" s="799"/>
      <c r="AQ984" s="799"/>
      <c r="AR984" s="799"/>
      <c r="AS984" s="799"/>
      <c r="AT984" s="799"/>
      <c r="AU984" s="799"/>
      <c r="AV984" s="799"/>
      <c r="AW984" s="799"/>
      <c r="AX984" s="799"/>
      <c r="AY984" s="799"/>
      <c r="AZ984" s="799"/>
      <c r="BA984" s="799"/>
      <c r="BB984" s="799"/>
      <c r="BC984" s="799"/>
      <c r="BD984" s="799"/>
      <c r="BE984" s="799"/>
      <c r="BF984" s="799"/>
      <c r="BG984" s="799"/>
    </row>
    <row r="985">
      <c r="H985" s="799"/>
      <c r="I985" s="799"/>
      <c r="J985" s="799"/>
      <c r="K985" s="799"/>
      <c r="L985" s="799"/>
      <c r="M985" s="799"/>
      <c r="N985" s="799"/>
      <c r="O985" s="799"/>
      <c r="P985" s="799"/>
      <c r="Q985" s="799"/>
      <c r="R985" s="799"/>
      <c r="S985" s="799"/>
      <c r="T985" s="799"/>
      <c r="U985" s="799"/>
      <c r="V985" s="799"/>
      <c r="W985" s="799"/>
      <c r="X985" s="799"/>
      <c r="Y985" s="799"/>
      <c r="Z985" s="799"/>
      <c r="AA985" s="799"/>
      <c r="AB985" s="799"/>
      <c r="AC985" s="799"/>
      <c r="AD985" s="799"/>
      <c r="AE985" s="799"/>
      <c r="AF985" s="799"/>
      <c r="AG985" s="799"/>
      <c r="AH985" s="799"/>
      <c r="AI985" s="799"/>
      <c r="AJ985" s="799"/>
      <c r="AK985" s="799"/>
      <c r="AL985" s="799"/>
      <c r="AM985" s="799"/>
      <c r="AN985" s="799"/>
      <c r="AO985" s="799"/>
      <c r="AP985" s="799"/>
      <c r="AQ985" s="799"/>
      <c r="AR985" s="799"/>
      <c r="AS985" s="799"/>
      <c r="AT985" s="799"/>
      <c r="AU985" s="799"/>
      <c r="AV985" s="799"/>
      <c r="AW985" s="799"/>
      <c r="AX985" s="799"/>
      <c r="AY985" s="799"/>
      <c r="AZ985" s="799"/>
      <c r="BA985" s="799"/>
      <c r="BB985" s="799"/>
      <c r="BC985" s="799"/>
      <c r="BD985" s="799"/>
      <c r="BE985" s="799"/>
      <c r="BF985" s="799"/>
      <c r="BG985" s="799"/>
    </row>
    <row r="986">
      <c r="H986" s="799"/>
      <c r="I986" s="799"/>
      <c r="J986" s="799"/>
      <c r="K986" s="799"/>
      <c r="L986" s="799"/>
      <c r="M986" s="799"/>
      <c r="N986" s="799"/>
      <c r="O986" s="799"/>
      <c r="P986" s="799"/>
      <c r="Q986" s="799"/>
      <c r="R986" s="799"/>
      <c r="S986" s="799"/>
      <c r="T986" s="799"/>
      <c r="U986" s="799"/>
      <c r="V986" s="799"/>
      <c r="W986" s="799"/>
      <c r="X986" s="799"/>
      <c r="Y986" s="799"/>
      <c r="Z986" s="799"/>
      <c r="AA986" s="799"/>
      <c r="AB986" s="799"/>
      <c r="AC986" s="799"/>
      <c r="AD986" s="799"/>
      <c r="AE986" s="799"/>
      <c r="AF986" s="799"/>
      <c r="AG986" s="799"/>
      <c r="AH986" s="799"/>
      <c r="AI986" s="799"/>
      <c r="AJ986" s="799"/>
      <c r="AK986" s="799"/>
      <c r="AL986" s="799"/>
      <c r="AM986" s="799"/>
      <c r="AN986" s="799"/>
      <c r="AO986" s="799"/>
      <c r="AP986" s="799"/>
      <c r="AQ986" s="799"/>
      <c r="AR986" s="799"/>
      <c r="AS986" s="799"/>
      <c r="AT986" s="799"/>
      <c r="AU986" s="799"/>
      <c r="AV986" s="799"/>
      <c r="AW986" s="799"/>
      <c r="AX986" s="799"/>
      <c r="AY986" s="799"/>
      <c r="AZ986" s="799"/>
      <c r="BA986" s="799"/>
      <c r="BB986" s="799"/>
      <c r="BC986" s="799"/>
      <c r="BD986" s="799"/>
      <c r="BE986" s="799"/>
      <c r="BF986" s="799"/>
      <c r="BG986" s="799"/>
    </row>
    <row r="987">
      <c r="H987" s="799"/>
      <c r="I987" s="799"/>
      <c r="J987" s="799"/>
      <c r="K987" s="799"/>
      <c r="L987" s="799"/>
      <c r="M987" s="799"/>
      <c r="N987" s="799"/>
      <c r="O987" s="799"/>
      <c r="P987" s="799"/>
      <c r="Q987" s="799"/>
      <c r="R987" s="799"/>
      <c r="S987" s="799"/>
      <c r="T987" s="799"/>
      <c r="U987" s="799"/>
      <c r="V987" s="799"/>
      <c r="W987" s="799"/>
      <c r="X987" s="799"/>
      <c r="Y987" s="799"/>
      <c r="Z987" s="799"/>
      <c r="AA987" s="799"/>
      <c r="AB987" s="799"/>
      <c r="AC987" s="799"/>
      <c r="AD987" s="799"/>
      <c r="AE987" s="799"/>
      <c r="AF987" s="799"/>
      <c r="AG987" s="799"/>
      <c r="AH987" s="799"/>
      <c r="AI987" s="799"/>
      <c r="AJ987" s="799"/>
      <c r="AK987" s="799"/>
      <c r="AL987" s="799"/>
      <c r="AM987" s="799"/>
      <c r="AN987" s="799"/>
      <c r="AO987" s="799"/>
      <c r="AP987" s="799"/>
      <c r="AQ987" s="799"/>
      <c r="AR987" s="799"/>
      <c r="AS987" s="799"/>
      <c r="AT987" s="799"/>
      <c r="AU987" s="799"/>
      <c r="AV987" s="799"/>
      <c r="AW987" s="799"/>
      <c r="AX987" s="799"/>
      <c r="AY987" s="799"/>
      <c r="AZ987" s="799"/>
      <c r="BA987" s="799"/>
      <c r="BB987" s="799"/>
      <c r="BC987" s="799"/>
      <c r="BD987" s="799"/>
      <c r="BE987" s="799"/>
      <c r="BF987" s="799"/>
      <c r="BG987" s="799"/>
    </row>
    <row r="988">
      <c r="H988" s="799"/>
      <c r="I988" s="799"/>
      <c r="J988" s="799"/>
      <c r="K988" s="799"/>
      <c r="L988" s="799"/>
      <c r="M988" s="799"/>
      <c r="N988" s="799"/>
      <c r="O988" s="799"/>
      <c r="P988" s="799"/>
      <c r="Q988" s="799"/>
      <c r="R988" s="799"/>
      <c r="S988" s="799"/>
      <c r="T988" s="799"/>
      <c r="U988" s="799"/>
      <c r="V988" s="799"/>
      <c r="W988" s="799"/>
      <c r="X988" s="799"/>
      <c r="Y988" s="799"/>
      <c r="Z988" s="799"/>
      <c r="AA988" s="799"/>
      <c r="AB988" s="799"/>
      <c r="AC988" s="799"/>
      <c r="AD988" s="799"/>
      <c r="AE988" s="799"/>
      <c r="AF988" s="799"/>
      <c r="AG988" s="799"/>
      <c r="AH988" s="799"/>
      <c r="AI988" s="799"/>
      <c r="AJ988" s="799"/>
      <c r="AK988" s="799"/>
      <c r="AL988" s="799"/>
      <c r="AM988" s="799"/>
      <c r="AN988" s="799"/>
      <c r="AO988" s="799"/>
      <c r="AP988" s="799"/>
      <c r="AQ988" s="799"/>
      <c r="AR988" s="799"/>
      <c r="AS988" s="799"/>
      <c r="AT988" s="799"/>
      <c r="AU988" s="799"/>
      <c r="AV988" s="799"/>
      <c r="AW988" s="799"/>
      <c r="AX988" s="799"/>
      <c r="AY988" s="799"/>
      <c r="AZ988" s="799"/>
      <c r="BA988" s="799"/>
      <c r="BB988" s="799"/>
      <c r="BC988" s="799"/>
      <c r="BD988" s="799"/>
      <c r="BE988" s="799"/>
      <c r="BF988" s="799"/>
      <c r="BG988" s="799"/>
    </row>
    <row r="989">
      <c r="H989" s="799"/>
      <c r="I989" s="799"/>
      <c r="J989" s="799"/>
      <c r="K989" s="799"/>
      <c r="L989" s="799"/>
      <c r="M989" s="799"/>
      <c r="N989" s="799"/>
      <c r="O989" s="799"/>
      <c r="P989" s="799"/>
      <c r="Q989" s="799"/>
      <c r="R989" s="799"/>
      <c r="S989" s="799"/>
      <c r="T989" s="799"/>
      <c r="U989" s="799"/>
      <c r="V989" s="799"/>
      <c r="W989" s="799"/>
      <c r="X989" s="799"/>
      <c r="Y989" s="799"/>
      <c r="Z989" s="799"/>
      <c r="AA989" s="799"/>
      <c r="AB989" s="799"/>
      <c r="AC989" s="799"/>
      <c r="AD989" s="799"/>
      <c r="AE989" s="799"/>
      <c r="AF989" s="799"/>
      <c r="AG989" s="799"/>
      <c r="AH989" s="799"/>
      <c r="AI989" s="799"/>
      <c r="AJ989" s="799"/>
      <c r="AK989" s="799"/>
      <c r="AL989" s="799"/>
      <c r="AM989" s="799"/>
      <c r="AN989" s="799"/>
      <c r="AO989" s="799"/>
      <c r="AP989" s="799"/>
      <c r="AQ989" s="799"/>
      <c r="AR989" s="799"/>
      <c r="AS989" s="799"/>
      <c r="AT989" s="799"/>
      <c r="AU989" s="799"/>
      <c r="AV989" s="799"/>
      <c r="AW989" s="799"/>
      <c r="AX989" s="799"/>
      <c r="AY989" s="799"/>
      <c r="AZ989" s="799"/>
      <c r="BA989" s="799"/>
      <c r="BB989" s="799"/>
      <c r="BC989" s="799"/>
      <c r="BD989" s="799"/>
      <c r="BE989" s="799"/>
      <c r="BF989" s="799"/>
      <c r="BG989" s="799"/>
    </row>
    <row r="990">
      <c r="H990" s="799"/>
      <c r="I990" s="799"/>
      <c r="J990" s="799"/>
      <c r="K990" s="799"/>
      <c r="L990" s="799"/>
      <c r="M990" s="799"/>
      <c r="N990" s="799"/>
      <c r="O990" s="799"/>
      <c r="P990" s="799"/>
      <c r="Q990" s="799"/>
      <c r="R990" s="799"/>
      <c r="S990" s="799"/>
      <c r="T990" s="799"/>
      <c r="U990" s="799"/>
      <c r="V990" s="799"/>
      <c r="W990" s="799"/>
      <c r="X990" s="799"/>
      <c r="Y990" s="799"/>
      <c r="Z990" s="799"/>
      <c r="AA990" s="799"/>
      <c r="AB990" s="799"/>
      <c r="AC990" s="799"/>
      <c r="AD990" s="799"/>
      <c r="AE990" s="799"/>
      <c r="AF990" s="799"/>
      <c r="AG990" s="799"/>
      <c r="AH990" s="799"/>
      <c r="AI990" s="799"/>
      <c r="AJ990" s="799"/>
      <c r="AK990" s="799"/>
      <c r="AL990" s="799"/>
      <c r="AM990" s="799"/>
      <c r="AN990" s="799"/>
      <c r="AO990" s="799"/>
      <c r="AP990" s="799"/>
      <c r="AQ990" s="799"/>
      <c r="AR990" s="799"/>
      <c r="AS990" s="799"/>
      <c r="AT990" s="799"/>
      <c r="AU990" s="799"/>
      <c r="AV990" s="799"/>
      <c r="AW990" s="799"/>
      <c r="AX990" s="799"/>
      <c r="AY990" s="799"/>
      <c r="AZ990" s="799"/>
      <c r="BA990" s="799"/>
      <c r="BB990" s="799"/>
      <c r="BC990" s="799"/>
      <c r="BD990" s="799"/>
      <c r="BE990" s="799"/>
      <c r="BF990" s="799"/>
      <c r="BG990" s="799"/>
    </row>
    <row r="991">
      <c r="H991" s="799"/>
      <c r="I991" s="799"/>
      <c r="J991" s="799"/>
      <c r="K991" s="799"/>
      <c r="L991" s="799"/>
      <c r="M991" s="799"/>
      <c r="N991" s="799"/>
      <c r="O991" s="799"/>
      <c r="P991" s="799"/>
      <c r="Q991" s="799"/>
      <c r="R991" s="799"/>
      <c r="S991" s="799"/>
      <c r="T991" s="799"/>
      <c r="U991" s="799"/>
      <c r="V991" s="799"/>
      <c r="W991" s="799"/>
      <c r="X991" s="799"/>
      <c r="Y991" s="799"/>
      <c r="Z991" s="799"/>
      <c r="AA991" s="799"/>
      <c r="AB991" s="799"/>
      <c r="AC991" s="799"/>
      <c r="AD991" s="799"/>
      <c r="AE991" s="799"/>
      <c r="AF991" s="799"/>
      <c r="AG991" s="799"/>
      <c r="AH991" s="799"/>
      <c r="AI991" s="799"/>
      <c r="AJ991" s="799"/>
      <c r="AK991" s="799"/>
      <c r="AL991" s="799"/>
      <c r="AM991" s="799"/>
      <c r="AN991" s="799"/>
      <c r="AO991" s="799"/>
      <c r="AP991" s="799"/>
      <c r="AQ991" s="799"/>
      <c r="AR991" s="799"/>
      <c r="AS991" s="799"/>
      <c r="AT991" s="799"/>
      <c r="AU991" s="799"/>
      <c r="AV991" s="799"/>
      <c r="AW991" s="799"/>
      <c r="AX991" s="799"/>
      <c r="AY991" s="799"/>
      <c r="AZ991" s="799"/>
      <c r="BA991" s="799"/>
      <c r="BB991" s="799"/>
      <c r="BC991" s="799"/>
      <c r="BD991" s="799"/>
      <c r="BE991" s="799"/>
      <c r="BF991" s="799"/>
      <c r="BG991" s="799"/>
    </row>
    <row r="992">
      <c r="H992" s="799"/>
      <c r="I992" s="799"/>
      <c r="J992" s="799"/>
      <c r="K992" s="799"/>
      <c r="L992" s="799"/>
      <c r="M992" s="799"/>
      <c r="N992" s="799"/>
      <c r="O992" s="799"/>
      <c r="P992" s="799"/>
      <c r="Q992" s="799"/>
      <c r="R992" s="799"/>
      <c r="S992" s="799"/>
      <c r="T992" s="799"/>
      <c r="U992" s="799"/>
      <c r="V992" s="799"/>
      <c r="W992" s="799"/>
      <c r="X992" s="799"/>
      <c r="Y992" s="799"/>
      <c r="Z992" s="799"/>
      <c r="AA992" s="799"/>
      <c r="AB992" s="799"/>
      <c r="AC992" s="799"/>
      <c r="AD992" s="799"/>
      <c r="AE992" s="799"/>
      <c r="AF992" s="799"/>
      <c r="AG992" s="799"/>
      <c r="AH992" s="799"/>
      <c r="AI992" s="799"/>
      <c r="AJ992" s="799"/>
      <c r="AK992" s="799"/>
      <c r="AL992" s="799"/>
      <c r="AM992" s="799"/>
      <c r="AN992" s="799"/>
      <c r="AO992" s="799"/>
      <c r="AP992" s="799"/>
      <c r="AQ992" s="799"/>
      <c r="AR992" s="799"/>
      <c r="AS992" s="799"/>
      <c r="AT992" s="799"/>
      <c r="AU992" s="799"/>
      <c r="AV992" s="799"/>
      <c r="AW992" s="799"/>
      <c r="AX992" s="799"/>
      <c r="AY992" s="799"/>
      <c r="AZ992" s="799"/>
      <c r="BA992" s="799"/>
      <c r="BB992" s="799"/>
      <c r="BC992" s="799"/>
      <c r="BD992" s="799"/>
      <c r="BE992" s="799"/>
      <c r="BF992" s="799"/>
      <c r="BG992" s="799"/>
    </row>
    <row r="993">
      <c r="H993" s="799"/>
      <c r="I993" s="799"/>
      <c r="J993" s="799"/>
      <c r="K993" s="799"/>
      <c r="L993" s="799"/>
    </row>
    <row r="994">
      <c r="H994" s="799"/>
      <c r="I994" s="799"/>
      <c r="J994" s="799"/>
      <c r="K994" s="799"/>
      <c r="L994" s="799"/>
    </row>
    <row r="995">
      <c r="H995" s="799"/>
      <c r="I995" s="799"/>
      <c r="J995" s="799"/>
      <c r="K995" s="799"/>
      <c r="L995" s="799"/>
    </row>
    <row r="996">
      <c r="H996" s="799"/>
      <c r="I996" s="799"/>
      <c r="J996" s="799"/>
      <c r="K996" s="799"/>
      <c r="L996" s="799"/>
    </row>
    <row r="997">
      <c r="H997" s="799"/>
      <c r="I997" s="799"/>
      <c r="J997" s="799"/>
      <c r="K997" s="799"/>
      <c r="L997" s="799"/>
    </row>
    <row r="998">
      <c r="H998" s="799"/>
      <c r="I998" s="799"/>
      <c r="J998" s="799"/>
      <c r="K998" s="799"/>
      <c r="L998" s="799"/>
    </row>
    <row r="999">
      <c r="H999" s="799"/>
      <c r="I999" s="799"/>
      <c r="J999" s="799"/>
      <c r="K999" s="799"/>
      <c r="L999" s="799"/>
    </row>
    <row r="1000">
      <c r="H1000" s="799"/>
      <c r="I1000" s="799"/>
      <c r="J1000" s="799"/>
      <c r="K1000" s="799"/>
      <c r="L1000" s="799"/>
    </row>
  </sheetData>
  <mergeCells count="124">
    <mergeCell ref="Z11:Z12"/>
    <mergeCell ref="Z13:Z14"/>
    <mergeCell ref="Z8:Z9"/>
    <mergeCell ref="Z16:Z17"/>
    <mergeCell ref="Z1:Z2"/>
    <mergeCell ref="AB1:AC1"/>
    <mergeCell ref="Z3:Z4"/>
    <mergeCell ref="V6:V9"/>
    <mergeCell ref="Z6:Z7"/>
    <mergeCell ref="V11:V14"/>
    <mergeCell ref="V16:V19"/>
    <mergeCell ref="Z18:Z19"/>
    <mergeCell ref="K12:K13"/>
    <mergeCell ref="K14:K17"/>
    <mergeCell ref="L14:L17"/>
    <mergeCell ref="H10:H11"/>
    <mergeCell ref="I10:I11"/>
    <mergeCell ref="K10:K11"/>
    <mergeCell ref="L10:L11"/>
    <mergeCell ref="L12:L13"/>
    <mergeCell ref="H13:H14"/>
    <mergeCell ref="I13:I14"/>
    <mergeCell ref="C17:D18"/>
    <mergeCell ref="E17:F18"/>
    <mergeCell ref="A13:B15"/>
    <mergeCell ref="C13:D15"/>
    <mergeCell ref="E13:F15"/>
    <mergeCell ref="A16:B16"/>
    <mergeCell ref="C16:D16"/>
    <mergeCell ref="E16:F16"/>
    <mergeCell ref="A17:B18"/>
    <mergeCell ref="C25:D26"/>
    <mergeCell ref="E25:F26"/>
    <mergeCell ref="A21:B21"/>
    <mergeCell ref="C21:D21"/>
    <mergeCell ref="E21:F21"/>
    <mergeCell ref="A22:B23"/>
    <mergeCell ref="C22:D23"/>
    <mergeCell ref="E22:F23"/>
    <mergeCell ref="A25:B26"/>
    <mergeCell ref="A39:D39"/>
    <mergeCell ref="A40:D40"/>
    <mergeCell ref="E40:F40"/>
    <mergeCell ref="A41:D41"/>
    <mergeCell ref="E41:F41"/>
    <mergeCell ref="A42:D42"/>
    <mergeCell ref="E42:F42"/>
    <mergeCell ref="A46:G46"/>
    <mergeCell ref="A27:F34"/>
    <mergeCell ref="A35:F36"/>
    <mergeCell ref="A37:D37"/>
    <mergeCell ref="E37:F37"/>
    <mergeCell ref="A38:D38"/>
    <mergeCell ref="E38:F38"/>
    <mergeCell ref="E39:F39"/>
    <mergeCell ref="H23:M24"/>
    <mergeCell ref="A24:B24"/>
    <mergeCell ref="C24:D24"/>
    <mergeCell ref="E24:F24"/>
    <mergeCell ref="A19:F20"/>
    <mergeCell ref="H19:H20"/>
    <mergeCell ref="I19:I20"/>
    <mergeCell ref="P21:T21"/>
    <mergeCell ref="P22:S22"/>
    <mergeCell ref="P23:S23"/>
    <mergeCell ref="P24:S24"/>
    <mergeCell ref="N23:N25"/>
    <mergeCell ref="J25:K25"/>
    <mergeCell ref="P25:S25"/>
    <mergeCell ref="J26:K26"/>
    <mergeCell ref="N26:N27"/>
    <mergeCell ref="P26:S26"/>
    <mergeCell ref="P27:S27"/>
    <mergeCell ref="P30:R31"/>
    <mergeCell ref="S30:T31"/>
    <mergeCell ref="H33:I33"/>
    <mergeCell ref="H34:I34"/>
    <mergeCell ref="H35:I35"/>
    <mergeCell ref="J27:K27"/>
    <mergeCell ref="J28:K28"/>
    <mergeCell ref="N28:N29"/>
    <mergeCell ref="J29:K29"/>
    <mergeCell ref="L30:L31"/>
    <mergeCell ref="M30:M31"/>
    <mergeCell ref="N30:N31"/>
    <mergeCell ref="A1:B1"/>
    <mergeCell ref="C1:D1"/>
    <mergeCell ref="E1:F1"/>
    <mergeCell ref="N1:P1"/>
    <mergeCell ref="R1:T1"/>
    <mergeCell ref="V1:V4"/>
    <mergeCell ref="E2:F3"/>
    <mergeCell ref="A4:F4"/>
    <mergeCell ref="H7:H8"/>
    <mergeCell ref="I7:I8"/>
    <mergeCell ref="K7:K8"/>
    <mergeCell ref="L7:L8"/>
    <mergeCell ref="H1:L1"/>
    <mergeCell ref="H2:I2"/>
    <mergeCell ref="K2:L2"/>
    <mergeCell ref="H4:H5"/>
    <mergeCell ref="I4:I5"/>
    <mergeCell ref="K4:K5"/>
    <mergeCell ref="L4:L5"/>
    <mergeCell ref="A2:B3"/>
    <mergeCell ref="C2:D3"/>
    <mergeCell ref="A5:B6"/>
    <mergeCell ref="C5:D6"/>
    <mergeCell ref="E5:F6"/>
    <mergeCell ref="C7:D7"/>
    <mergeCell ref="E7:F7"/>
    <mergeCell ref="A7:B7"/>
    <mergeCell ref="A8:B9"/>
    <mergeCell ref="C8:D9"/>
    <mergeCell ref="E8:F9"/>
    <mergeCell ref="A10:B12"/>
    <mergeCell ref="C10:D12"/>
    <mergeCell ref="E10:F12"/>
    <mergeCell ref="H16:H17"/>
    <mergeCell ref="I16:I17"/>
    <mergeCell ref="N16:N17"/>
    <mergeCell ref="P28:S28"/>
    <mergeCell ref="P29:R29"/>
    <mergeCell ref="S29:T29"/>
  </mergeCells>
  <conditionalFormatting sqref="X19">
    <cfRule type="expression" dxfId="26" priority="1">
      <formula>X20&lt;&gt;1</formula>
    </cfRule>
  </conditionalFormatting>
  <conditionalFormatting sqref="X9">
    <cfRule type="expression" dxfId="26" priority="2">
      <formula>X20&lt;&gt;1</formula>
    </cfRule>
  </conditionalFormatting>
  <conditionalFormatting sqref="X14">
    <cfRule type="expression" dxfId="26" priority="3">
      <formula>X20&lt;&gt;1</formula>
    </cfRule>
  </conditionalFormatting>
  <conditionalFormatting sqref="Z3 Z8 Z13 Z18">
    <cfRule type="cellIs" dxfId="27" priority="4" operator="greaterThan">
      <formula>0</formula>
    </cfRule>
  </conditionalFormatting>
  <conditionalFormatting sqref="Z3 Z8 Z13 Z18">
    <cfRule type="cellIs" dxfId="28" priority="5" operator="lessThan">
      <formula>0</formula>
    </cfRule>
  </conditionalFormatting>
  <conditionalFormatting sqref="E13 L14 N30 S30">
    <cfRule type="cellIs" dxfId="12" priority="6" operator="lessThan">
      <formula>0</formula>
    </cfRule>
  </conditionalFormatting>
  <conditionalFormatting sqref="E13 L14 N30 S30">
    <cfRule type="cellIs" dxfId="21" priority="7" operator="greaterThan">
      <formula>0</formula>
    </cfRule>
  </conditionalFormatting>
  <conditionalFormatting sqref="E13 L14 N30 S30">
    <cfRule type="cellIs" dxfId="29" priority="8" operator="lessThan">
      <formula>0</formula>
    </cfRule>
  </conditionalFormatting>
  <conditionalFormatting sqref="E13 L14 N30 S30">
    <cfRule type="cellIs" dxfId="30" priority="9" operator="greaterThan">
      <formula>0</formula>
    </cfRule>
  </conditionalFormatting>
  <conditionalFormatting sqref="A22 C22:D23 E22 A25 E25">
    <cfRule type="cellIs" dxfId="30" priority="10" operator="lessThan">
      <formula>0</formula>
    </cfRule>
  </conditionalFormatting>
  <dataValidations>
    <dataValidation type="list" allowBlank="1" sqref="A17">
      <formula1>"Simple Avg.,Value Stocks,Growth"</formula1>
    </dataValidation>
  </dataValidations>
  <hyperlinks>
    <hyperlink r:id="rId1" ref="V25"/>
    <hyperlink r:id="rId2" ref="V28"/>
    <hyperlink r:id="rId3" ref="H34"/>
    <hyperlink r:id="rId4" ref="H35"/>
    <hyperlink r:id="rId5" ref="I46"/>
    <hyperlink r:id="rId6" ref="Q49"/>
    <hyperlink r:id="rId7" ref="AD49"/>
    <hyperlink r:id="rId8" ref="AK53"/>
    <hyperlink r:id="rId9" ref="AL53"/>
    <hyperlink r:id="rId10" ref="AK54"/>
    <hyperlink r:id="rId11" ref="AL54"/>
    <hyperlink r:id="rId12" ref="AK55"/>
    <hyperlink r:id="rId13" ref="AL55"/>
    <hyperlink r:id="rId14" ref="AK56"/>
    <hyperlink r:id="rId15" ref="AL56"/>
    <hyperlink r:id="rId16" ref="AK57"/>
    <hyperlink r:id="rId17" ref="AL57"/>
    <hyperlink r:id="rId18" ref="BA61"/>
    <hyperlink r:id="rId19" ref="BB61"/>
    <hyperlink r:id="rId20" ref="BA62"/>
    <hyperlink r:id="rId21" ref="BB62"/>
    <hyperlink r:id="rId22" ref="BA63"/>
    <hyperlink r:id="rId23" ref="BB63"/>
    <hyperlink r:id="rId24" ref="BA64"/>
    <hyperlink r:id="rId25" ref="BB64"/>
    <hyperlink r:id="rId26" ref="BA65"/>
    <hyperlink r:id="rId27" ref="BB65"/>
    <hyperlink r:id="rId28" ref="AM69"/>
    <hyperlink r:id="rId29" ref="AN69"/>
    <hyperlink r:id="rId30" ref="AM70"/>
    <hyperlink r:id="rId31" ref="AN70"/>
    <hyperlink r:id="rId32" ref="AM71"/>
    <hyperlink r:id="rId33" ref="AN71"/>
    <hyperlink r:id="rId34" ref="AM72"/>
    <hyperlink r:id="rId35" ref="AN72"/>
    <hyperlink r:id="rId36" ref="AM73"/>
    <hyperlink r:id="rId37" ref="AN73"/>
  </hyperlinks>
  <drawing r:id="rId3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BC9D"/>
    <outlinePr summaryBelow="0" summaryRight="0"/>
  </sheetPr>
  <sheetViews>
    <sheetView workbookViewId="0"/>
  </sheetViews>
  <sheetFormatPr customHeight="1" defaultColWidth="12.63" defaultRowHeight="15.75"/>
  <cols>
    <col customWidth="1" min="4" max="4" width="14.13"/>
    <col customWidth="1" min="6" max="6" width="11.63"/>
    <col customWidth="1" min="7" max="7" width="6.13"/>
    <col customWidth="1" min="8" max="8" width="32.38"/>
    <col customWidth="1" min="9" max="9" width="29.13"/>
    <col customWidth="1" min="10" max="10" width="5.13"/>
    <col customWidth="1" min="11" max="11" width="26.25"/>
    <col customWidth="1" min="12" max="12" width="21.75"/>
    <col customWidth="1" min="13" max="13" width="13.38"/>
    <col customWidth="1" min="14" max="14" width="23.25"/>
    <col customWidth="1" min="15" max="15" width="17.13"/>
    <col customWidth="1" min="16" max="16" width="13.13"/>
    <col customWidth="1" min="17" max="17" width="10.0"/>
    <col customWidth="1" min="19" max="19" width="18.88"/>
    <col customWidth="1" min="20" max="20" width="32.25"/>
    <col customWidth="1" min="21" max="22" width="14.0"/>
    <col customWidth="1" min="23" max="23" width="22.88"/>
    <col customWidth="1" min="24" max="24" width="12.0"/>
    <col customWidth="1" min="25" max="25" width="6.38"/>
    <col customWidth="1" min="26" max="26" width="14.0"/>
    <col customWidth="1" min="27" max="27" width="7.88"/>
    <col customWidth="1" min="28" max="28" width="14.0"/>
    <col customWidth="1" min="29" max="29" width="12.38"/>
    <col customWidth="1" min="30" max="59" width="14.0"/>
  </cols>
  <sheetData>
    <row r="1">
      <c r="A1" s="553" t="s">
        <v>71</v>
      </c>
      <c r="B1" s="13"/>
      <c r="C1" s="554" t="s">
        <v>72</v>
      </c>
      <c r="D1" s="13"/>
      <c r="E1" s="554" t="s">
        <v>86</v>
      </c>
      <c r="F1" s="14"/>
      <c r="H1" s="555" t="s">
        <v>652</v>
      </c>
      <c r="I1" s="5"/>
      <c r="J1" s="5"/>
      <c r="K1" s="5"/>
      <c r="L1" s="6"/>
      <c r="N1" s="556" t="s">
        <v>653</v>
      </c>
      <c r="Q1" s="557"/>
      <c r="R1" s="558" t="s">
        <v>654</v>
      </c>
      <c r="V1" s="559" t="s">
        <v>77</v>
      </c>
      <c r="W1" s="1149" t="s">
        <v>71</v>
      </c>
      <c r="X1" s="1150" t="s">
        <v>114</v>
      </c>
      <c r="Y1" s="562"/>
      <c r="Z1" s="1151">
        <v>51.9846075759899</v>
      </c>
      <c r="AA1" s="564"/>
      <c r="AB1" s="556" t="s">
        <v>655</v>
      </c>
      <c r="AD1" s="565"/>
      <c r="AE1" s="565"/>
      <c r="AF1" s="565"/>
      <c r="AG1" s="565"/>
      <c r="AH1" s="565"/>
      <c r="AI1" s="565"/>
      <c r="AJ1" s="565"/>
      <c r="AK1" s="565"/>
      <c r="AL1" s="565"/>
      <c r="AM1" s="565"/>
      <c r="AP1" s="566"/>
      <c r="AQ1" s="566"/>
      <c r="AR1" s="566"/>
      <c r="AS1" s="566"/>
      <c r="AT1" s="566"/>
      <c r="AU1" s="566"/>
      <c r="AV1" s="566"/>
      <c r="AW1" s="566"/>
      <c r="AX1" s="566"/>
      <c r="AY1" s="566"/>
      <c r="AZ1" s="566"/>
      <c r="BA1" s="566"/>
      <c r="BB1" s="566"/>
      <c r="BC1" s="566"/>
      <c r="BD1" s="566"/>
      <c r="BE1" s="566"/>
      <c r="BF1" s="566"/>
      <c r="BG1" s="566"/>
    </row>
    <row r="2">
      <c r="A2" s="567" t="s">
        <v>114</v>
      </c>
      <c r="C2" s="568" t="s">
        <v>1300</v>
      </c>
      <c r="E2" s="568" t="s">
        <v>530</v>
      </c>
      <c r="F2" s="17"/>
      <c r="H2" s="1152" t="s">
        <v>656</v>
      </c>
      <c r="I2" s="14"/>
      <c r="J2" s="570"/>
      <c r="K2" s="1153" t="s">
        <v>77</v>
      </c>
      <c r="L2" s="6"/>
      <c r="N2" s="572" t="s">
        <v>625</v>
      </c>
      <c r="O2" s="572" t="s">
        <v>657</v>
      </c>
      <c r="P2" s="573" t="s">
        <v>658</v>
      </c>
      <c r="Q2" s="557"/>
      <c r="R2" s="572" t="s">
        <v>625</v>
      </c>
      <c r="S2" s="572" t="s">
        <v>659</v>
      </c>
      <c r="T2" s="574" t="s">
        <v>660</v>
      </c>
      <c r="V2" s="34"/>
      <c r="W2" s="575" t="s">
        <v>661</v>
      </c>
      <c r="X2" s="1154">
        <v>63.92</v>
      </c>
      <c r="Y2" s="577"/>
      <c r="Z2" s="17"/>
      <c r="AA2" s="564"/>
      <c r="AB2" s="565"/>
      <c r="AC2" s="565"/>
      <c r="AD2" s="565"/>
      <c r="AE2" s="565"/>
      <c r="AF2" s="565"/>
      <c r="AG2" s="565"/>
      <c r="AH2" s="565"/>
      <c r="AI2" s="565"/>
      <c r="AJ2" s="565"/>
      <c r="AK2" s="565"/>
      <c r="AL2" s="565"/>
      <c r="AM2" s="565"/>
      <c r="AP2" s="574"/>
      <c r="AQ2" s="574"/>
      <c r="AR2" s="574"/>
      <c r="AS2" s="574"/>
      <c r="AT2" s="574"/>
      <c r="AU2" s="574"/>
      <c r="AV2" s="574"/>
      <c r="AW2" s="574"/>
      <c r="AX2" s="574"/>
      <c r="AY2" s="574"/>
      <c r="AZ2" s="574"/>
      <c r="BA2" s="574"/>
      <c r="BB2" s="574"/>
      <c r="BC2" s="574"/>
      <c r="BD2" s="574"/>
      <c r="BE2" s="574"/>
      <c r="BF2" s="574"/>
      <c r="BG2" s="574"/>
    </row>
    <row r="3" ht="20.25" customHeight="1">
      <c r="A3" s="29"/>
      <c r="B3" s="30"/>
      <c r="C3" s="30"/>
      <c r="D3" s="30"/>
      <c r="E3" s="30"/>
      <c r="F3" s="31"/>
      <c r="H3" s="1155" t="s">
        <v>629</v>
      </c>
      <c r="I3" s="1156" t="s">
        <v>662</v>
      </c>
      <c r="J3" s="570"/>
      <c r="K3" s="1157" t="s">
        <v>663</v>
      </c>
      <c r="L3" s="712" t="s">
        <v>664</v>
      </c>
      <c r="N3" s="572">
        <v>2024.0</v>
      </c>
      <c r="O3" s="582">
        <v>9.747E9</v>
      </c>
      <c r="P3" s="1158">
        <v>0.0223410950283197</v>
      </c>
      <c r="Q3" s="570"/>
      <c r="R3" s="584">
        <v>1.0</v>
      </c>
      <c r="S3" s="1159">
        <v>9.863825417524572E9</v>
      </c>
      <c r="T3" s="1159">
        <v>9.391348112303112E9</v>
      </c>
      <c r="V3" s="34"/>
      <c r="W3" s="586" t="s">
        <v>665</v>
      </c>
      <c r="X3" s="1160">
        <v>2.2470683218219154</v>
      </c>
      <c r="Y3" s="588"/>
      <c r="Z3" s="1161">
        <v>-0.18672391151455106</v>
      </c>
      <c r="AA3" s="590"/>
      <c r="AB3" s="590"/>
      <c r="AC3" s="590"/>
      <c r="AD3" s="590"/>
      <c r="AE3" s="590"/>
      <c r="AF3" s="590"/>
      <c r="AG3" s="590"/>
      <c r="AH3" s="590"/>
      <c r="AI3" s="590"/>
      <c r="AJ3" s="590"/>
      <c r="AK3" s="590"/>
      <c r="AL3" s="590"/>
      <c r="AM3" s="590"/>
      <c r="AP3" s="585"/>
      <c r="AQ3" s="585"/>
      <c r="AR3" s="585"/>
      <c r="AS3" s="585"/>
      <c r="AT3" s="585"/>
      <c r="AU3" s="585"/>
      <c r="AV3" s="585"/>
      <c r="AW3" s="585"/>
      <c r="AX3" s="585"/>
      <c r="AY3" s="585"/>
      <c r="AZ3" s="585"/>
      <c r="BA3" s="585"/>
      <c r="BB3" s="585"/>
      <c r="BC3" s="585"/>
      <c r="BD3" s="585"/>
      <c r="BE3" s="585"/>
      <c r="BF3" s="585"/>
      <c r="BG3" s="585"/>
    </row>
    <row r="4">
      <c r="A4" s="591" t="s">
        <v>77</v>
      </c>
      <c r="B4" s="30"/>
      <c r="C4" s="30"/>
      <c r="D4" s="30"/>
      <c r="E4" s="30"/>
      <c r="F4" s="31"/>
      <c r="H4" s="592">
        <v>0.61</v>
      </c>
      <c r="I4" s="593">
        <v>1.1311E10</v>
      </c>
      <c r="J4" s="570"/>
      <c r="K4" s="594">
        <v>9.366E9</v>
      </c>
      <c r="L4" s="593">
        <v>4.2064E10</v>
      </c>
      <c r="N4" s="572">
        <v>2023.0</v>
      </c>
      <c r="O4" s="582">
        <v>9.534E9</v>
      </c>
      <c r="P4" s="1158">
        <v>-0.15313554805471666</v>
      </c>
      <c r="Q4" s="570"/>
      <c r="R4" s="584">
        <v>2.0</v>
      </c>
      <c r="S4" s="1159">
        <v>9.982051079040094E9</v>
      </c>
      <c r="T4" s="1159">
        <v>9.048673372982376E9</v>
      </c>
      <c r="V4" s="29"/>
      <c r="W4" s="595" t="s">
        <v>666</v>
      </c>
      <c r="X4" s="596">
        <v>0.07187121282444657</v>
      </c>
      <c r="Y4" s="597"/>
      <c r="Z4" s="31"/>
      <c r="AA4" s="590"/>
      <c r="AB4" s="590"/>
      <c r="AC4" s="590"/>
      <c r="AD4" s="590"/>
      <c r="AE4" s="590"/>
      <c r="AF4" s="590"/>
      <c r="AG4" s="590"/>
      <c r="AH4" s="590"/>
      <c r="AI4" s="590"/>
      <c r="AJ4" s="590"/>
      <c r="AK4" s="590"/>
      <c r="AL4" s="590"/>
      <c r="AM4" s="590"/>
      <c r="AP4" s="585"/>
      <c r="AQ4" s="585"/>
      <c r="AR4" s="585"/>
      <c r="AS4" s="585"/>
      <c r="AT4" s="585"/>
      <c r="AU4" s="585"/>
      <c r="AV4" s="585"/>
      <c r="AW4" s="585"/>
      <c r="AX4" s="585"/>
      <c r="AY4" s="585"/>
      <c r="AZ4" s="585"/>
      <c r="BA4" s="585"/>
      <c r="BB4" s="585"/>
      <c r="BC4" s="585"/>
      <c r="BD4" s="585"/>
      <c r="BE4" s="585"/>
      <c r="BF4" s="585"/>
      <c r="BG4" s="585"/>
    </row>
    <row r="5">
      <c r="A5" s="598" t="s">
        <v>667</v>
      </c>
      <c r="B5" s="13"/>
      <c r="C5" s="599" t="s">
        <v>668</v>
      </c>
      <c r="D5" s="13"/>
      <c r="E5" s="599" t="s">
        <v>669</v>
      </c>
      <c r="F5" s="14"/>
      <c r="H5" s="34"/>
      <c r="I5" s="17"/>
      <c r="J5" s="570"/>
      <c r="K5" s="29"/>
      <c r="L5" s="31"/>
      <c r="N5" s="572">
        <v>2022.0</v>
      </c>
      <c r="O5" s="582">
        <v>1.1258E10</v>
      </c>
      <c r="P5" s="1158">
        <v>0.29895004038306217</v>
      </c>
      <c r="Q5" s="570"/>
      <c r="R5" s="584">
        <v>3.0</v>
      </c>
      <c r="S5" s="1159">
        <v>1.0101693767565844E10</v>
      </c>
      <c r="T5" s="1159">
        <v>8.718502267385397E9</v>
      </c>
      <c r="V5" s="600"/>
      <c r="W5" s="600"/>
      <c r="X5" s="601"/>
      <c r="Y5" s="590"/>
      <c r="Z5" s="1162">
        <v>25.933700177633014</v>
      </c>
      <c r="AA5" s="590"/>
      <c r="AB5" s="590"/>
      <c r="AC5" s="590"/>
      <c r="AD5" s="590"/>
      <c r="AE5" s="590"/>
      <c r="AF5" s="590"/>
      <c r="AG5" s="590"/>
      <c r="AH5" s="590"/>
      <c r="AI5" s="590"/>
      <c r="AJ5" s="590"/>
      <c r="AK5" s="590"/>
      <c r="AL5" s="590"/>
      <c r="AM5" s="1163" t="s">
        <v>670</v>
      </c>
      <c r="AP5" s="585"/>
      <c r="AQ5" s="585"/>
      <c r="AR5" s="585"/>
      <c r="AS5" s="585"/>
      <c r="AT5" s="585"/>
      <c r="AU5" s="585"/>
      <c r="AV5" s="585"/>
      <c r="AW5" s="585"/>
      <c r="AX5" s="585"/>
      <c r="AY5" s="585"/>
      <c r="AZ5" s="585"/>
      <c r="BA5" s="585"/>
      <c r="BB5" s="585"/>
      <c r="BC5" s="585"/>
      <c r="BD5" s="585"/>
      <c r="BE5" s="585"/>
      <c r="BF5" s="585"/>
      <c r="BG5" s="585"/>
    </row>
    <row r="6">
      <c r="A6" s="34"/>
      <c r="F6" s="17"/>
      <c r="H6" s="1157" t="s">
        <v>671</v>
      </c>
      <c r="I6" s="712" t="s">
        <v>672</v>
      </c>
      <c r="J6" s="570"/>
      <c r="K6" s="1157" t="s">
        <v>673</v>
      </c>
      <c r="L6" s="712" t="s">
        <v>674</v>
      </c>
      <c r="N6" s="572">
        <v>2021.0</v>
      </c>
      <c r="O6" s="582">
        <v>8.667E9</v>
      </c>
      <c r="P6" s="1158">
        <v>0.029701793988356897</v>
      </c>
      <c r="Q6" s="570"/>
      <c r="R6" s="584">
        <v>4.0</v>
      </c>
      <c r="S6" s="1159">
        <v>1.0222770467278704E10</v>
      </c>
      <c r="T6" s="1159">
        <v>8.400378558625244E9</v>
      </c>
      <c r="V6" s="604" t="s">
        <v>675</v>
      </c>
      <c r="W6" s="605" t="s">
        <v>676</v>
      </c>
      <c r="X6" s="606">
        <v>0.011985782038019144</v>
      </c>
      <c r="Y6" s="607"/>
      <c r="Z6" s="1164">
        <v>51.86740035526603</v>
      </c>
      <c r="AA6" s="607"/>
      <c r="AB6" s="605" t="s">
        <v>625</v>
      </c>
      <c r="AC6" s="1165">
        <v>1.0</v>
      </c>
      <c r="AD6" s="1165">
        <v>2.0</v>
      </c>
      <c r="AE6" s="1165">
        <v>3.0</v>
      </c>
      <c r="AF6" s="1165">
        <v>4.0</v>
      </c>
      <c r="AG6" s="1165">
        <v>5.0</v>
      </c>
      <c r="AH6" s="1165">
        <v>6.0</v>
      </c>
      <c r="AI6" s="1165">
        <v>7.0</v>
      </c>
      <c r="AJ6" s="1165">
        <v>8.0</v>
      </c>
      <c r="AK6" s="1165">
        <v>9.0</v>
      </c>
      <c r="AL6" s="1165">
        <v>10.0</v>
      </c>
      <c r="AM6" s="1166">
        <v>10.0</v>
      </c>
      <c r="AP6" s="585"/>
      <c r="AQ6" s="585"/>
      <c r="AR6" s="585"/>
      <c r="AS6" s="585"/>
      <c r="AT6" s="585"/>
      <c r="AU6" s="585"/>
      <c r="AV6" s="585"/>
      <c r="AW6" s="585"/>
      <c r="AX6" s="585"/>
      <c r="AY6" s="585"/>
      <c r="AZ6" s="585"/>
      <c r="BA6" s="585"/>
      <c r="BB6" s="585"/>
      <c r="BC6" s="585"/>
      <c r="BD6" s="585"/>
      <c r="BE6" s="585"/>
      <c r="BF6" s="585"/>
      <c r="BG6" s="585"/>
    </row>
    <row r="7">
      <c r="A7" s="611" t="s">
        <v>677</v>
      </c>
      <c r="B7" s="30"/>
      <c r="C7" s="611" t="s">
        <v>678</v>
      </c>
      <c r="D7" s="30"/>
      <c r="E7" s="611" t="s">
        <v>679</v>
      </c>
      <c r="F7" s="31"/>
      <c r="H7" s="612">
        <v>7.407334643091028</v>
      </c>
      <c r="I7" s="1167">
        <v>0.03630182578927349</v>
      </c>
      <c r="J7" s="570"/>
      <c r="K7" s="614">
        <v>4.337651821862348E9</v>
      </c>
      <c r="L7" s="1168">
        <v>-5.089183745954293E11</v>
      </c>
      <c r="N7" s="572">
        <v>2020.0</v>
      </c>
      <c r="O7" s="582">
        <v>8.417E9</v>
      </c>
      <c r="P7" s="1158">
        <v>0.38460273071228823</v>
      </c>
      <c r="Q7" s="570"/>
      <c r="R7" s="584">
        <v>5.0</v>
      </c>
      <c r="S7" s="1159">
        <v>1.0345298365924206E10</v>
      </c>
      <c r="T7" s="1159">
        <v>8.0938626571434E9</v>
      </c>
      <c r="V7" s="616"/>
      <c r="W7" s="617" t="s">
        <v>680</v>
      </c>
      <c r="X7" s="618">
        <v>0.0083900474266134</v>
      </c>
      <c r="Y7" s="619"/>
      <c r="AA7" s="619"/>
      <c r="AB7" s="620"/>
      <c r="AC7" s="620"/>
      <c r="AD7" s="620"/>
      <c r="AE7" s="620"/>
      <c r="AF7" s="620"/>
      <c r="AG7" s="620"/>
      <c r="AH7" s="620"/>
      <c r="AI7" s="620"/>
      <c r="AJ7" s="620"/>
      <c r="AK7" s="620"/>
      <c r="AL7" s="620"/>
      <c r="AM7" s="621"/>
      <c r="AP7" s="585"/>
      <c r="AQ7" s="585"/>
      <c r="AR7" s="585"/>
      <c r="AS7" s="585"/>
      <c r="AT7" s="585"/>
      <c r="AU7" s="585"/>
      <c r="AV7" s="585"/>
      <c r="AW7" s="585"/>
      <c r="AX7" s="585"/>
      <c r="AY7" s="585"/>
      <c r="AZ7" s="585"/>
      <c r="BA7" s="585"/>
      <c r="BB7" s="585"/>
      <c r="BC7" s="585"/>
      <c r="BD7" s="585"/>
      <c r="BE7" s="585"/>
      <c r="BF7" s="585"/>
      <c r="BG7" s="585"/>
    </row>
    <row r="8">
      <c r="A8" s="622">
        <v>51.9846075759899</v>
      </c>
      <c r="C8" s="623">
        <v>54.5865</v>
      </c>
      <c r="E8" s="623">
        <v>27.848888888888894</v>
      </c>
      <c r="F8" s="17"/>
      <c r="H8" s="34"/>
      <c r="I8" s="17"/>
      <c r="J8" s="570"/>
      <c r="K8" s="29"/>
      <c r="L8" s="31"/>
      <c r="N8" s="572">
        <v>2019.0</v>
      </c>
      <c r="O8" s="624">
        <v>6.079E9</v>
      </c>
      <c r="P8" s="1158">
        <v>0.119315043270116</v>
      </c>
      <c r="Q8" s="625">
        <v>6079.0</v>
      </c>
      <c r="R8" s="584">
        <v>6.0</v>
      </c>
      <c r="S8" s="1159">
        <v>1.0469294857256449E10</v>
      </c>
      <c r="T8" s="1159">
        <v>7.798531013276324E9</v>
      </c>
      <c r="V8" s="616"/>
      <c r="W8" s="617" t="s">
        <v>681</v>
      </c>
      <c r="X8" s="1170">
        <v>28.445953057704042</v>
      </c>
      <c r="Y8" s="619"/>
      <c r="Z8" s="1171">
        <v>-0.18855756640697705</v>
      </c>
      <c r="AA8" s="619"/>
      <c r="AB8" s="617" t="s">
        <v>665</v>
      </c>
      <c r="AC8" s="1172">
        <v>2.2740011929518102</v>
      </c>
      <c r="AD8" s="1172">
        <v>2.301256875604726</v>
      </c>
      <c r="AE8" s="1172">
        <v>2.328839238929217</v>
      </c>
      <c r="AF8" s="1172">
        <v>2.3567521984486093</v>
      </c>
      <c r="AG8" s="1172">
        <v>2.3849997166168366</v>
      </c>
      <c r="AH8" s="1172">
        <v>2.4050099773517113</v>
      </c>
      <c r="AI8" s="1172">
        <v>2.425188125123171</v>
      </c>
      <c r="AJ8" s="1172">
        <v>2.445535568511414</v>
      </c>
      <c r="AK8" s="1172">
        <v>2.466053727914695</v>
      </c>
      <c r="AL8" s="1172">
        <v>2.486744035648476</v>
      </c>
      <c r="AM8" s="1173">
        <v>70.73780410458205</v>
      </c>
      <c r="AP8" s="585"/>
      <c r="AQ8" s="585"/>
      <c r="AR8" s="585"/>
      <c r="AS8" s="585"/>
      <c r="AT8" s="585"/>
      <c r="AU8" s="585"/>
      <c r="AV8" s="585"/>
      <c r="AW8" s="585"/>
      <c r="AX8" s="585"/>
      <c r="AY8" s="585"/>
      <c r="AZ8" s="585"/>
      <c r="BA8" s="585"/>
      <c r="BB8" s="585"/>
      <c r="BC8" s="585"/>
      <c r="BD8" s="585"/>
      <c r="BE8" s="585"/>
      <c r="BF8" s="585"/>
      <c r="BG8" s="585"/>
    </row>
    <row r="9">
      <c r="F9" s="17"/>
      <c r="H9" s="1157" t="s">
        <v>682</v>
      </c>
      <c r="I9" s="712" t="s">
        <v>683</v>
      </c>
      <c r="J9" s="570"/>
      <c r="K9" s="631" t="s">
        <v>684</v>
      </c>
      <c r="L9" s="632" t="s">
        <v>685</v>
      </c>
      <c r="N9" s="572">
        <v>2018.0</v>
      </c>
      <c r="O9" s="624">
        <v>5.431E9</v>
      </c>
      <c r="P9" s="1158">
        <v>-0.16880930517294154</v>
      </c>
      <c r="Q9" s="625">
        <v>5431.0</v>
      </c>
      <c r="R9" s="584">
        <v>7.0</v>
      </c>
      <c r="S9" s="1159">
        <v>1.0594777543507278E10</v>
      </c>
      <c r="T9" s="1159">
        <v>7.513975531986239E9</v>
      </c>
      <c r="V9" s="633"/>
      <c r="W9" s="634" t="s">
        <v>686</v>
      </c>
      <c r="X9" s="635">
        <v>0.5</v>
      </c>
      <c r="Y9" s="636"/>
      <c r="Z9" s="30"/>
      <c r="AA9" s="636"/>
      <c r="AB9" s="634" t="s">
        <v>687</v>
      </c>
      <c r="AC9" s="1174">
        <v>2.1215246437673025</v>
      </c>
      <c r="AD9" s="1174">
        <v>2.0029950893805895</v>
      </c>
      <c r="AE9" s="1174">
        <v>1.8910877796632413</v>
      </c>
      <c r="AF9" s="1174">
        <v>1.7854327298912964</v>
      </c>
      <c r="AG9" s="1174">
        <v>1.6856806263825335</v>
      </c>
      <c r="AH9" s="1174">
        <v>1.5858468316402181</v>
      </c>
      <c r="AI9" s="1174">
        <v>1.4919256554667235</v>
      </c>
      <c r="AJ9" s="1174">
        <v>1.4035669252733927</v>
      </c>
      <c r="AK9" s="1174">
        <v>1.3204412073101086</v>
      </c>
      <c r="AL9" s="1174">
        <v>1.2422385784154595</v>
      </c>
      <c r="AM9" s="1175">
        <v>35.336660288075166</v>
      </c>
      <c r="AP9" s="585"/>
      <c r="AQ9" s="585"/>
      <c r="AR9" s="585"/>
      <c r="AS9" s="585"/>
      <c r="AT9" s="585"/>
      <c r="AU9" s="585"/>
      <c r="AV9" s="585"/>
      <c r="AW9" s="585"/>
      <c r="AX9" s="585"/>
      <c r="AY9" s="585"/>
      <c r="AZ9" s="585"/>
      <c r="BA9" s="585"/>
      <c r="BB9" s="585"/>
      <c r="BC9" s="585"/>
      <c r="BD9" s="585"/>
      <c r="BE9" s="585"/>
      <c r="BF9" s="585"/>
      <c r="BG9" s="585"/>
    </row>
    <row r="10">
      <c r="A10" s="598" t="s">
        <v>688</v>
      </c>
      <c r="B10" s="13"/>
      <c r="C10" s="640" t="s">
        <v>77</v>
      </c>
      <c r="D10" s="13"/>
      <c r="E10" s="641" t="s">
        <v>689</v>
      </c>
      <c r="F10" s="14"/>
      <c r="H10" s="1176">
        <v>0.076965</v>
      </c>
      <c r="I10" s="1177">
        <v>0.02867844237352606</v>
      </c>
      <c r="J10" s="570"/>
      <c r="K10" s="644">
        <v>0.017122545768598778</v>
      </c>
      <c r="L10" s="1178">
        <v>0.011985782038019144</v>
      </c>
      <c r="N10" s="572">
        <v>2017.0</v>
      </c>
      <c r="O10" s="624">
        <v>6.534E9</v>
      </c>
      <c r="P10" s="1158">
        <v>-0.18068965517241378</v>
      </c>
      <c r="Q10" s="625">
        <v>6534.0</v>
      </c>
      <c r="R10" s="584">
        <v>8.0</v>
      </c>
      <c r="S10" s="1159">
        <v>1.0721764237885057E10</v>
      </c>
      <c r="T10" s="1159">
        <v>7.239803008947445E9</v>
      </c>
      <c r="V10" s="646"/>
      <c r="W10" s="647"/>
      <c r="X10" s="648"/>
      <c r="Y10" s="648"/>
      <c r="Z10" s="1162">
        <v>15.514183643281235</v>
      </c>
      <c r="AA10" s="648"/>
      <c r="AB10" s="647"/>
      <c r="AC10" s="647"/>
      <c r="AD10" s="647"/>
      <c r="AE10" s="647"/>
      <c r="AF10" s="647"/>
      <c r="AG10" s="647"/>
      <c r="AH10" s="647"/>
      <c r="AI10" s="647"/>
      <c r="AJ10" s="647"/>
      <c r="AK10" s="647"/>
      <c r="AL10" s="647"/>
      <c r="AM10" s="649"/>
      <c r="AP10" s="585"/>
      <c r="AQ10" s="585"/>
      <c r="AR10" s="585"/>
      <c r="AS10" s="585"/>
      <c r="AT10" s="585"/>
      <c r="AU10" s="585"/>
      <c r="AV10" s="585"/>
      <c r="AW10" s="585"/>
      <c r="AX10" s="585"/>
      <c r="AY10" s="585"/>
      <c r="AZ10" s="585"/>
      <c r="BA10" s="585"/>
      <c r="BB10" s="585"/>
      <c r="BC10" s="585"/>
      <c r="BD10" s="585"/>
      <c r="BE10" s="585"/>
      <c r="BF10" s="585"/>
      <c r="BG10" s="585"/>
    </row>
    <row r="11">
      <c r="A11" s="34"/>
      <c r="F11" s="17"/>
      <c r="H11" s="29"/>
      <c r="I11" s="31"/>
      <c r="J11" s="570"/>
      <c r="K11" s="34"/>
      <c r="L11" s="17"/>
      <c r="N11" s="572">
        <v>2016.0</v>
      </c>
      <c r="O11" s="624">
        <v>7.975E9</v>
      </c>
      <c r="P11" s="1158">
        <v>-0.028505299062005118</v>
      </c>
      <c r="Q11" s="1169">
        <v>7975.0</v>
      </c>
      <c r="R11" s="584">
        <v>9.0</v>
      </c>
      <c r="S11" s="1159">
        <v>1.0850272967103376E10</v>
      </c>
      <c r="T11" s="1159">
        <v>6.975634587208882E9</v>
      </c>
      <c r="V11" s="650" t="s">
        <v>690</v>
      </c>
      <c r="W11" s="651" t="s">
        <v>676</v>
      </c>
      <c r="X11" s="652">
        <v>0.01498222754752393</v>
      </c>
      <c r="Y11" s="653"/>
      <c r="Z11" s="1179">
        <v>62.05673457312494</v>
      </c>
      <c r="AA11" s="653"/>
      <c r="AB11" s="655"/>
      <c r="AC11" s="655"/>
      <c r="AD11" s="655"/>
      <c r="AE11" s="655"/>
      <c r="AF11" s="655"/>
      <c r="AG11" s="655"/>
      <c r="AH11" s="655"/>
      <c r="AI11" s="655"/>
      <c r="AJ11" s="655"/>
      <c r="AK11" s="655"/>
      <c r="AL11" s="655"/>
      <c r="AM11" s="656"/>
      <c r="AP11" s="585"/>
      <c r="AQ11" s="585"/>
      <c r="AR11" s="585"/>
      <c r="AS11" s="585"/>
      <c r="AT11" s="585"/>
      <c r="AU11" s="585"/>
      <c r="AV11" s="585"/>
      <c r="AW11" s="585"/>
      <c r="AX11" s="585"/>
      <c r="AY11" s="585"/>
      <c r="AZ11" s="585"/>
      <c r="BA11" s="585"/>
      <c r="BB11" s="585"/>
      <c r="BC11" s="585"/>
      <c r="BD11" s="585"/>
      <c r="BE11" s="585"/>
      <c r="BF11" s="585"/>
      <c r="BG11" s="585"/>
    </row>
    <row r="12">
      <c r="A12" s="29"/>
      <c r="B12" s="30"/>
      <c r="C12" s="30"/>
      <c r="D12" s="30"/>
      <c r="E12" s="30"/>
      <c r="F12" s="31"/>
      <c r="H12" s="1157" t="s">
        <v>691</v>
      </c>
      <c r="I12" s="712" t="s">
        <v>692</v>
      </c>
      <c r="J12" s="570"/>
      <c r="K12" s="657" t="s">
        <v>77</v>
      </c>
      <c r="L12" s="658" t="s">
        <v>689</v>
      </c>
      <c r="N12" s="572">
        <v>2015.0</v>
      </c>
      <c r="O12" s="624">
        <v>8.209E9</v>
      </c>
      <c r="P12" s="583"/>
      <c r="Q12" s="1169">
        <v>8209.0</v>
      </c>
      <c r="R12" s="584" t="s">
        <v>693</v>
      </c>
      <c r="S12" s="1159">
        <v>-8.545676600600121E11</v>
      </c>
      <c r="T12" s="1159">
        <v>-5.494010837052877E11</v>
      </c>
      <c r="V12" s="659"/>
      <c r="W12" s="660" t="s">
        <v>680</v>
      </c>
      <c r="X12" s="661">
        <v>0.01048755928326675</v>
      </c>
      <c r="Y12" s="662"/>
      <c r="AA12" s="662"/>
      <c r="AB12" s="663"/>
      <c r="AC12" s="663"/>
      <c r="AD12" s="663"/>
      <c r="AE12" s="663"/>
      <c r="AF12" s="663"/>
      <c r="AG12" s="663"/>
      <c r="AH12" s="663"/>
      <c r="AI12" s="663"/>
      <c r="AJ12" s="663"/>
      <c r="AK12" s="663"/>
      <c r="AL12" s="663"/>
      <c r="AM12" s="664"/>
      <c r="AP12" s="585"/>
      <c r="AQ12" s="585"/>
      <c r="AR12" s="585"/>
      <c r="AS12" s="585"/>
      <c r="AT12" s="585"/>
      <c r="AU12" s="585"/>
      <c r="AV12" s="585"/>
      <c r="AW12" s="585"/>
      <c r="AX12" s="585"/>
      <c r="AY12" s="585"/>
      <c r="AZ12" s="585"/>
      <c r="BA12" s="585"/>
      <c r="BB12" s="585"/>
      <c r="BC12" s="585"/>
      <c r="BD12" s="585"/>
      <c r="BE12" s="585"/>
      <c r="BF12" s="585"/>
      <c r="BG12" s="585"/>
    </row>
    <row r="13">
      <c r="A13" s="665">
        <v>0.7</v>
      </c>
      <c r="B13" s="13"/>
      <c r="C13" s="1180">
        <v>40.697315959642424</v>
      </c>
      <c r="D13" s="13"/>
      <c r="E13" s="1181">
        <v>0.5706195480651942</v>
      </c>
      <c r="F13" s="14"/>
      <c r="H13" s="1182">
        <v>2.772627044534413E11</v>
      </c>
      <c r="I13" s="1168">
        <v>3.2698E10</v>
      </c>
      <c r="K13" s="34"/>
      <c r="L13" s="17"/>
      <c r="N13" s="572"/>
      <c r="O13" s="669"/>
      <c r="P13" s="570"/>
      <c r="Q13" s="583"/>
      <c r="R13" s="670" t="s">
        <v>0</v>
      </c>
      <c r="S13" s="670"/>
      <c r="T13" s="786">
        <v>-4.762203745954293E11</v>
      </c>
      <c r="V13" s="659"/>
      <c r="W13" s="660" t="s">
        <v>681</v>
      </c>
      <c r="X13" s="672">
        <v>35.55744132213005</v>
      </c>
      <c r="Y13" s="662"/>
      <c r="Z13" s="1183">
        <v>-0.029149959744603566</v>
      </c>
      <c r="AA13" s="662"/>
      <c r="AB13" s="660" t="s">
        <v>665</v>
      </c>
      <c r="AC13" s="1184">
        <v>2.280734410734284</v>
      </c>
      <c r="AD13" s="1184">
        <v>2.314904892651373</v>
      </c>
      <c r="AE13" s="1184">
        <v>2.3495873245039527</v>
      </c>
      <c r="AF13" s="1184">
        <v>2.384789376442449</v>
      </c>
      <c r="AG13" s="1184">
        <v>2.4205188335332273</v>
      </c>
      <c r="AH13" s="1184">
        <v>2.4459041682961704</v>
      </c>
      <c r="AI13" s="1184">
        <v>2.471555733262366</v>
      </c>
      <c r="AJ13" s="1184">
        <v>2.497476320536853</v>
      </c>
      <c r="AK13" s="1184">
        <v>2.523668751507038</v>
      </c>
      <c r="AL13" s="1184">
        <v>2.550135877149796</v>
      </c>
      <c r="AM13" s="1185">
        <v>90.67630681521253</v>
      </c>
      <c r="AP13" s="677"/>
      <c r="AQ13" s="677"/>
      <c r="AR13" s="677"/>
      <c r="AS13" s="677"/>
      <c r="AT13" s="677"/>
      <c r="AU13" s="677"/>
      <c r="AV13" s="677"/>
      <c r="AW13" s="677"/>
      <c r="AX13" s="677"/>
      <c r="AY13" s="677"/>
      <c r="AZ13" s="677"/>
      <c r="BA13" s="677"/>
      <c r="BB13" s="677"/>
      <c r="BC13" s="677"/>
      <c r="BD13" s="677"/>
      <c r="BE13" s="677"/>
      <c r="BF13" s="677"/>
      <c r="BG13" s="677"/>
    </row>
    <row r="14" ht="19.5" customHeight="1">
      <c r="A14" s="34"/>
      <c r="F14" s="17"/>
      <c r="H14" s="34"/>
      <c r="I14" s="17"/>
      <c r="K14" s="678">
        <v>-117.32577797747905</v>
      </c>
      <c r="L14" s="1186">
        <v>2.8355096679830893</v>
      </c>
      <c r="V14" s="680"/>
      <c r="W14" s="681" t="s">
        <v>686</v>
      </c>
      <c r="X14" s="682">
        <v>0.25</v>
      </c>
      <c r="Y14" s="683"/>
      <c r="Z14" s="684"/>
      <c r="AA14" s="683"/>
      <c r="AB14" s="1187" t="s">
        <v>687</v>
      </c>
      <c r="AC14" s="1188">
        <v>2.1278063851760782</v>
      </c>
      <c r="AD14" s="1188">
        <v>2.014874211356937</v>
      </c>
      <c r="AE14" s="1188">
        <v>1.907935851623687</v>
      </c>
      <c r="AF14" s="1188">
        <v>1.8066731875333606</v>
      </c>
      <c r="AG14" s="1188">
        <v>1.7107849846074092</v>
      </c>
      <c r="AH14" s="1188">
        <v>1.6128121763799403</v>
      </c>
      <c r="AI14" s="1188">
        <v>1.5204500505224594</v>
      </c>
      <c r="AJ14" s="1188">
        <v>1.433377295874998</v>
      </c>
      <c r="AK14" s="1188">
        <v>1.3512910020450373</v>
      </c>
      <c r="AL14" s="1188">
        <v>1.2739056056369413</v>
      </c>
      <c r="AM14" s="1189">
        <v>45.29682382236809</v>
      </c>
    </row>
    <row r="15" ht="18.0" customHeight="1">
      <c r="A15" s="29"/>
      <c r="B15" s="30"/>
      <c r="C15" s="30"/>
      <c r="D15" s="30"/>
      <c r="E15" s="30"/>
      <c r="F15" s="31"/>
      <c r="H15" s="1157" t="s">
        <v>694</v>
      </c>
      <c r="I15" s="712" t="s">
        <v>695</v>
      </c>
      <c r="J15" s="570"/>
      <c r="K15" s="34"/>
      <c r="L15" s="17"/>
      <c r="N15" s="631" t="s">
        <v>684</v>
      </c>
      <c r="V15" s="688"/>
      <c r="W15" s="689"/>
      <c r="X15" s="690"/>
      <c r="Y15" s="690"/>
      <c r="Z15" s="1162">
        <v>10.536723755075647</v>
      </c>
      <c r="AA15" s="690"/>
      <c r="AB15" s="689"/>
      <c r="AC15" s="689"/>
      <c r="AD15" s="689"/>
      <c r="AE15" s="689"/>
      <c r="AF15" s="689"/>
      <c r="AG15" s="689"/>
      <c r="AH15" s="689"/>
      <c r="AI15" s="689"/>
      <c r="AJ15" s="689"/>
      <c r="AK15" s="689"/>
      <c r="AL15" s="689"/>
      <c r="AM15" s="691"/>
    </row>
    <row r="16">
      <c r="A16" s="692" t="s">
        <v>87</v>
      </c>
      <c r="B16" s="13"/>
      <c r="C16" s="693" t="s">
        <v>696</v>
      </c>
      <c r="D16" s="13"/>
      <c r="E16" s="693" t="s">
        <v>697</v>
      </c>
      <c r="F16" s="14"/>
      <c r="H16" s="1176">
        <v>0.8945092086506355</v>
      </c>
      <c r="I16" s="1177">
        <v>0.10549079134936447</v>
      </c>
      <c r="J16" s="570"/>
      <c r="K16" s="34"/>
      <c r="L16" s="17"/>
      <c r="N16" s="644">
        <v>0.03597454399111843</v>
      </c>
      <c r="V16" s="695" t="s">
        <v>699</v>
      </c>
      <c r="W16" s="696" t="s">
        <v>676</v>
      </c>
      <c r="X16" s="697">
        <v>0.008989336528514358</v>
      </c>
      <c r="Y16" s="698"/>
      <c r="Z16" s="1190">
        <v>42.14689502030259</v>
      </c>
      <c r="AA16" s="698"/>
      <c r="AB16" s="700"/>
      <c r="AC16" s="700"/>
      <c r="AD16" s="700"/>
      <c r="AE16" s="700"/>
      <c r="AF16" s="700"/>
      <c r="AG16" s="700"/>
      <c r="AH16" s="700"/>
      <c r="AI16" s="700"/>
      <c r="AJ16" s="700"/>
      <c r="AK16" s="700"/>
      <c r="AL16" s="700"/>
      <c r="AM16" s="701"/>
      <c r="AP16" s="702"/>
      <c r="AQ16" s="702"/>
      <c r="AR16" s="702"/>
      <c r="AS16" s="702"/>
      <c r="AT16" s="702"/>
      <c r="AU16" s="702"/>
      <c r="AV16" s="702"/>
      <c r="AW16" s="702"/>
      <c r="AX16" s="702"/>
      <c r="AY16" s="702"/>
      <c r="AZ16" s="702"/>
      <c r="BA16" s="702"/>
      <c r="BB16" s="702"/>
      <c r="BC16" s="702"/>
      <c r="BD16" s="702"/>
      <c r="BE16" s="702"/>
      <c r="BF16" s="702"/>
      <c r="BG16" s="702"/>
    </row>
    <row r="17">
      <c r="A17" s="703" t="s">
        <v>113</v>
      </c>
      <c r="C17" s="622">
        <v>50.351603434482826</v>
      </c>
      <c r="E17" s="622">
        <v>40.697315959642424</v>
      </c>
      <c r="H17" s="29"/>
      <c r="I17" s="31"/>
      <c r="J17" s="570"/>
      <c r="K17" s="29"/>
      <c r="L17" s="31"/>
      <c r="N17" s="34"/>
      <c r="V17" s="659"/>
      <c r="W17" s="706" t="s">
        <v>680</v>
      </c>
      <c r="X17" s="707">
        <v>0.00629253556996005</v>
      </c>
      <c r="Y17" s="708"/>
      <c r="AA17" s="708"/>
      <c r="AB17" s="709"/>
      <c r="AC17" s="709"/>
      <c r="AD17" s="709"/>
      <c r="AE17" s="709"/>
      <c r="AF17" s="709"/>
      <c r="AG17" s="709"/>
      <c r="AH17" s="709"/>
      <c r="AI17" s="709"/>
      <c r="AJ17" s="709"/>
      <c r="AK17" s="709"/>
      <c r="AL17" s="709"/>
      <c r="AM17" s="710"/>
      <c r="AP17" s="711"/>
      <c r="AQ17" s="711"/>
      <c r="AR17" s="711"/>
      <c r="AS17" s="711"/>
      <c r="AT17" s="711"/>
      <c r="AU17" s="711"/>
      <c r="AV17" s="711"/>
      <c r="AW17" s="711"/>
      <c r="AX17" s="711"/>
      <c r="AY17" s="711"/>
      <c r="AZ17" s="711"/>
      <c r="BA17" s="711"/>
      <c r="BB17" s="711"/>
      <c r="BC17" s="711"/>
      <c r="BD17" s="711"/>
      <c r="BE17" s="711"/>
      <c r="BF17" s="711"/>
      <c r="BG17" s="711"/>
    </row>
    <row r="18" ht="21.75" customHeight="1">
      <c r="H18" s="1157" t="s">
        <v>656</v>
      </c>
      <c r="I18" s="712" t="s">
        <v>701</v>
      </c>
      <c r="J18" s="570"/>
      <c r="K18" s="1191">
        <v>98.32962315341335</v>
      </c>
      <c r="L18" s="714" t="s">
        <v>702</v>
      </c>
      <c r="V18" s="659"/>
      <c r="W18" s="706" t="s">
        <v>681</v>
      </c>
      <c r="X18" s="717">
        <v>21.33446479327803</v>
      </c>
      <c r="Y18" s="718"/>
      <c r="Z18" s="1192">
        <v>-0.34063055349964666</v>
      </c>
      <c r="AA18" s="718"/>
      <c r="AB18" s="1193" t="s">
        <v>665</v>
      </c>
      <c r="AC18" s="1194">
        <v>2.2672679751693363</v>
      </c>
      <c r="AD18" s="1194">
        <v>2.287649209998457</v>
      </c>
      <c r="AE18" s="1194">
        <v>2.308213658606323</v>
      </c>
      <c r="AF18" s="1194">
        <v>2.3289629679632484</v>
      </c>
      <c r="AG18" s="1194">
        <v>2.3498987998447176</v>
      </c>
      <c r="AH18" s="1194">
        <v>2.364685621628547</v>
      </c>
      <c r="AI18" s="1194">
        <v>2.379565490014418</v>
      </c>
      <c r="AJ18" s="1194">
        <v>2.394538990501383</v>
      </c>
      <c r="AK18" s="1194">
        <v>2.4096067122727693</v>
      </c>
      <c r="AL18" s="1194">
        <v>2.4247692482193606</v>
      </c>
      <c r="AM18" s="1195">
        <v>51.73115415795919</v>
      </c>
      <c r="AP18" s="723"/>
      <c r="AQ18" s="723"/>
      <c r="AR18" s="723"/>
      <c r="AS18" s="723"/>
      <c r="AT18" s="723"/>
      <c r="AU18" s="723"/>
      <c r="AV18" s="723"/>
      <c r="AW18" s="723"/>
      <c r="AX18" s="723"/>
      <c r="AY18" s="723"/>
      <c r="AZ18" s="723"/>
      <c r="BA18" s="723"/>
      <c r="BB18" s="723"/>
      <c r="BC18" s="723"/>
      <c r="BD18" s="723"/>
      <c r="BE18" s="723"/>
      <c r="BF18" s="723"/>
      <c r="BG18" s="723"/>
    </row>
    <row r="19">
      <c r="A19" s="724" t="s">
        <v>703</v>
      </c>
      <c r="H19" s="1176">
        <v>0.07187121282444657</v>
      </c>
      <c r="I19" s="725">
        <v>0.050309848977112596</v>
      </c>
      <c r="J19" s="570"/>
      <c r="V19" s="680"/>
      <c r="W19" s="727" t="s">
        <v>686</v>
      </c>
      <c r="X19" s="728">
        <v>0.25</v>
      </c>
      <c r="Y19" s="729"/>
      <c r="Z19" s="684"/>
      <c r="AA19" s="729"/>
      <c r="AB19" s="1196" t="s">
        <v>687</v>
      </c>
      <c r="AC19" s="1197">
        <v>2.115242902358527</v>
      </c>
      <c r="AD19" s="1197">
        <v>1.9911510889666297</v>
      </c>
      <c r="AE19" s="1197">
        <v>1.87433918566625</v>
      </c>
      <c r="AF19" s="1197">
        <v>1.7643801127855536</v>
      </c>
      <c r="AG19" s="1197">
        <v>1.660871845501436</v>
      </c>
      <c r="AH19" s="1197">
        <v>1.5592572322773373</v>
      </c>
      <c r="AI19" s="1197">
        <v>1.4638595524359375</v>
      </c>
      <c r="AJ19" s="1197">
        <v>1.3742984447333315</v>
      </c>
      <c r="AK19" s="1197">
        <v>1.2902168189930285</v>
      </c>
      <c r="AL19" s="1197">
        <v>1.211279432347389</v>
      </c>
      <c r="AM19" s="1198">
        <v>25.841998404237167</v>
      </c>
      <c r="AP19" s="733"/>
      <c r="AQ19" s="733"/>
      <c r="AR19" s="733"/>
      <c r="AS19" s="733"/>
      <c r="AT19" s="733"/>
      <c r="AU19" s="733"/>
      <c r="AV19" s="733"/>
      <c r="AW19" s="733"/>
      <c r="AX19" s="733"/>
      <c r="AY19" s="733"/>
      <c r="AZ19" s="733"/>
      <c r="BA19" s="733"/>
      <c r="BB19" s="733"/>
      <c r="BC19" s="733"/>
      <c r="BD19" s="733"/>
      <c r="BE19" s="733"/>
      <c r="BF19" s="733"/>
      <c r="BG19" s="733"/>
    </row>
    <row r="20">
      <c r="A20" s="34"/>
      <c r="H20" s="29"/>
      <c r="I20" s="31"/>
      <c r="J20" s="570"/>
      <c r="K20" s="1199" t="s">
        <v>705</v>
      </c>
      <c r="L20" s="1200" t="s">
        <v>706</v>
      </c>
      <c r="V20" s="739"/>
      <c r="W20" s="739"/>
      <c r="X20" s="1201">
        <v>1.0</v>
      </c>
      <c r="Y20" s="739"/>
      <c r="Z20" s="739"/>
      <c r="AA20" s="739"/>
      <c r="AB20" s="739"/>
      <c r="AC20" s="739"/>
      <c r="AD20" s="739"/>
      <c r="AE20" s="739"/>
      <c r="AF20" s="739"/>
      <c r="AG20" s="739"/>
      <c r="AH20" s="739"/>
      <c r="AI20" s="739"/>
      <c r="AJ20" s="739"/>
      <c r="AK20" s="739"/>
      <c r="AL20" s="739"/>
      <c r="AM20" s="739"/>
      <c r="AP20" s="733"/>
      <c r="AQ20" s="733"/>
      <c r="AR20" s="733"/>
      <c r="AS20" s="733"/>
      <c r="AT20" s="733"/>
      <c r="AU20" s="733"/>
      <c r="AV20" s="733"/>
      <c r="AW20" s="733"/>
      <c r="AX20" s="733"/>
      <c r="AY20" s="733"/>
      <c r="AZ20" s="733"/>
      <c r="BA20" s="733"/>
      <c r="BB20" s="733"/>
      <c r="BC20" s="733"/>
      <c r="BD20" s="733"/>
      <c r="BE20" s="733"/>
      <c r="BF20" s="733"/>
      <c r="BG20" s="733"/>
    </row>
    <row r="21" ht="24.0" customHeight="1">
      <c r="A21" s="740" t="s">
        <v>76</v>
      </c>
      <c r="B21" s="13"/>
      <c r="C21" s="741" t="s">
        <v>708</v>
      </c>
      <c r="D21" s="13"/>
      <c r="E21" s="741" t="s">
        <v>709</v>
      </c>
      <c r="F21" s="14"/>
      <c r="H21" s="742"/>
      <c r="I21" s="570"/>
      <c r="J21" s="570"/>
      <c r="P21" s="694" t="s">
        <v>698</v>
      </c>
      <c r="U21" s="702"/>
      <c r="V21" s="702"/>
      <c r="W21" s="702"/>
      <c r="X21" s="733"/>
      <c r="Y21" s="733"/>
      <c r="Z21" s="733"/>
      <c r="AA21" s="733"/>
      <c r="AB21" s="733"/>
      <c r="AC21" s="733"/>
      <c r="AD21" s="733"/>
      <c r="AE21" s="733"/>
      <c r="AF21" s="733"/>
      <c r="AG21" s="733"/>
      <c r="AH21" s="733"/>
      <c r="AI21" s="733"/>
      <c r="AJ21" s="733"/>
      <c r="AK21" s="733"/>
      <c r="AL21" s="733"/>
      <c r="AM21" s="733"/>
      <c r="AN21" s="733"/>
      <c r="AO21" s="733"/>
      <c r="AP21" s="733"/>
      <c r="AQ21" s="733"/>
      <c r="AR21" s="733"/>
      <c r="AS21" s="733"/>
      <c r="AT21" s="733"/>
      <c r="AU21" s="733"/>
      <c r="AV21" s="733"/>
      <c r="AW21" s="733"/>
      <c r="AX21" s="733"/>
      <c r="AY21" s="733"/>
      <c r="AZ21" s="733"/>
      <c r="BA21" s="733"/>
      <c r="BB21" s="733"/>
      <c r="BC21" s="733"/>
      <c r="BD21" s="733"/>
      <c r="BE21" s="733"/>
      <c r="BF21" s="733"/>
      <c r="BG21" s="733"/>
    </row>
    <row r="22">
      <c r="A22" s="1202">
        <v>63.92</v>
      </c>
      <c r="C22" s="1203">
        <v>0.16</v>
      </c>
      <c r="E22" s="1203">
        <v>26.55</v>
      </c>
      <c r="F22" s="17"/>
      <c r="H22" s="570"/>
      <c r="I22" s="570"/>
      <c r="J22" s="570"/>
      <c r="P22" s="704" t="s">
        <v>700</v>
      </c>
      <c r="Q22" s="13"/>
      <c r="R22" s="13"/>
      <c r="S22" s="13"/>
      <c r="T22" s="1204" t="s">
        <v>114</v>
      </c>
      <c r="U22" s="711"/>
      <c r="V22" s="711"/>
      <c r="W22" s="711"/>
      <c r="X22" s="733"/>
      <c r="Y22" s="733"/>
      <c r="Z22" s="733"/>
      <c r="AA22" s="733"/>
      <c r="AB22" s="733"/>
      <c r="AC22" s="733"/>
      <c r="AD22" s="733"/>
      <c r="AE22" s="733"/>
      <c r="AF22" s="733"/>
      <c r="AG22" s="733"/>
      <c r="AH22" s="733"/>
      <c r="AI22" s="733"/>
      <c r="AJ22" s="733"/>
      <c r="AK22" s="733"/>
      <c r="AL22" s="733"/>
      <c r="AM22" s="733"/>
      <c r="AN22" s="733"/>
      <c r="AO22" s="733"/>
      <c r="AP22" s="733"/>
      <c r="AQ22" s="733"/>
      <c r="AR22" s="733"/>
      <c r="AS22" s="733"/>
      <c r="AT22" s="733"/>
      <c r="AU22" s="733"/>
      <c r="AV22" s="733"/>
      <c r="AW22" s="733"/>
      <c r="AX22" s="733"/>
      <c r="AY22" s="733"/>
      <c r="AZ22" s="733"/>
      <c r="BA22" s="733"/>
      <c r="BB22" s="733"/>
      <c r="BC22" s="733"/>
      <c r="BD22" s="733"/>
      <c r="BE22" s="733"/>
      <c r="BF22" s="733"/>
      <c r="BG22" s="733"/>
    </row>
    <row r="23">
      <c r="A23" s="34"/>
      <c r="F23" s="17"/>
      <c r="H23" s="239" t="s">
        <v>718</v>
      </c>
      <c r="I23" s="13"/>
      <c r="J23" s="13"/>
      <c r="K23" s="13"/>
      <c r="L23" s="13"/>
      <c r="M23" s="14"/>
      <c r="N23" s="756" t="s">
        <v>77</v>
      </c>
      <c r="P23" s="715" t="s">
        <v>301</v>
      </c>
      <c r="T23" s="726">
        <v>2.41</v>
      </c>
      <c r="U23" s="723"/>
      <c r="V23" s="723"/>
      <c r="W23" s="723"/>
      <c r="X23" s="733"/>
      <c r="Y23" s="733"/>
      <c r="Z23" s="733"/>
      <c r="AA23" s="733"/>
      <c r="AB23" s="733"/>
      <c r="AC23" s="733"/>
      <c r="AD23" s="733"/>
      <c r="AE23" s="733"/>
      <c r="AF23" s="733"/>
      <c r="AG23" s="733"/>
      <c r="AH23" s="733"/>
      <c r="AI23" s="733"/>
      <c r="AJ23" s="733"/>
      <c r="AK23" s="733"/>
      <c r="AL23" s="733"/>
      <c r="AM23" s="733"/>
      <c r="AN23" s="733"/>
      <c r="AO23" s="733"/>
      <c r="AP23" s="733"/>
      <c r="AQ23" s="733"/>
      <c r="AR23" s="733"/>
      <c r="AS23" s="733"/>
      <c r="AT23" s="733"/>
      <c r="AU23" s="733"/>
      <c r="AV23" s="733"/>
      <c r="AW23" s="733"/>
      <c r="AX23" s="733"/>
      <c r="AY23" s="733"/>
      <c r="AZ23" s="733"/>
      <c r="BA23" s="733"/>
      <c r="BB23" s="733"/>
      <c r="BC23" s="733"/>
      <c r="BD23" s="733"/>
      <c r="BE23" s="733"/>
      <c r="BF23" s="733"/>
      <c r="BG23" s="733"/>
    </row>
    <row r="24">
      <c r="A24" s="768" t="s">
        <v>724</v>
      </c>
      <c r="C24" s="255" t="s">
        <v>83</v>
      </c>
      <c r="E24" s="255" t="s">
        <v>725</v>
      </c>
      <c r="F24" s="17"/>
      <c r="H24" s="29"/>
      <c r="I24" s="30"/>
      <c r="J24" s="30"/>
      <c r="K24" s="30"/>
      <c r="L24" s="30"/>
      <c r="M24" s="31"/>
      <c r="N24" s="769"/>
      <c r="P24" s="715" t="s">
        <v>971</v>
      </c>
      <c r="T24" s="726">
        <v>7.0</v>
      </c>
      <c r="U24" s="733"/>
      <c r="V24" s="733"/>
      <c r="W24" s="733"/>
      <c r="X24" s="779"/>
      <c r="Y24" s="779"/>
      <c r="Z24" s="779"/>
      <c r="AA24" s="779"/>
      <c r="AB24" s="779"/>
      <c r="AC24" s="779"/>
      <c r="AD24" s="779"/>
      <c r="AE24" s="779"/>
      <c r="AF24" s="779"/>
      <c r="AG24" s="779"/>
      <c r="AH24" s="779"/>
      <c r="AI24" s="779"/>
      <c r="AJ24" s="779"/>
      <c r="AK24" s="779"/>
      <c r="AL24" s="779"/>
      <c r="AM24" s="779"/>
      <c r="AN24" s="779"/>
      <c r="AO24" s="779"/>
      <c r="AP24" s="779"/>
      <c r="AQ24" s="779"/>
      <c r="AR24" s="779"/>
      <c r="AS24" s="779"/>
      <c r="AT24" s="779"/>
      <c r="AU24" s="779"/>
      <c r="AV24" s="779"/>
      <c r="AW24" s="779"/>
      <c r="AX24" s="779"/>
      <c r="AY24" s="779"/>
      <c r="AZ24" s="779"/>
      <c r="BA24" s="779"/>
      <c r="BB24" s="779"/>
      <c r="BC24" s="779"/>
      <c r="BD24" s="779"/>
      <c r="BE24" s="779"/>
      <c r="BF24" s="779"/>
      <c r="BG24" s="779"/>
    </row>
    <row r="25">
      <c r="A25" s="1202">
        <v>57.47</v>
      </c>
      <c r="C25" s="780"/>
      <c r="E25" s="1205">
        <v>73.53</v>
      </c>
      <c r="F25" s="17"/>
      <c r="H25" s="782" t="s">
        <v>71</v>
      </c>
      <c r="I25" s="783" t="s">
        <v>730</v>
      </c>
      <c r="J25" s="783" t="s">
        <v>76</v>
      </c>
      <c r="L25" s="783" t="s">
        <v>301</v>
      </c>
      <c r="M25" s="783" t="s">
        <v>300</v>
      </c>
      <c r="N25" s="87"/>
      <c r="P25" s="715" t="s">
        <v>707</v>
      </c>
      <c r="T25" s="736">
        <v>6.0</v>
      </c>
      <c r="U25" s="733"/>
      <c r="V25" s="1206" t="s">
        <v>972</v>
      </c>
      <c r="W25" s="733"/>
      <c r="X25" s="767"/>
      <c r="Y25" s="767"/>
      <c r="Z25" s="767"/>
      <c r="AA25" s="767"/>
      <c r="AB25" s="767"/>
      <c r="AC25" s="767"/>
      <c r="AD25" s="767"/>
      <c r="AE25" s="767"/>
      <c r="AF25" s="767"/>
      <c r="AG25" s="767"/>
      <c r="AH25" s="767"/>
      <c r="AI25" s="767"/>
      <c r="AJ25" s="767"/>
      <c r="AK25" s="767"/>
      <c r="AL25" s="767"/>
      <c r="AM25" s="767"/>
      <c r="AN25" s="767"/>
      <c r="AO25" s="767"/>
      <c r="AP25" s="767"/>
      <c r="AQ25" s="767"/>
      <c r="AR25" s="767"/>
      <c r="AS25" s="767"/>
      <c r="AT25" s="767"/>
      <c r="AU25" s="767"/>
      <c r="AV25" s="767"/>
      <c r="AW25" s="767"/>
      <c r="AX25" s="767"/>
      <c r="AY25" s="767"/>
      <c r="AZ25" s="767"/>
      <c r="BA25" s="767"/>
      <c r="BB25" s="767"/>
      <c r="BC25" s="767"/>
      <c r="BD25" s="767"/>
      <c r="BE25" s="767"/>
      <c r="BF25" s="767"/>
      <c r="BG25" s="767"/>
    </row>
    <row r="26">
      <c r="A26" s="29"/>
      <c r="B26" s="30"/>
      <c r="C26" s="30"/>
      <c r="D26" s="30"/>
      <c r="E26" s="30"/>
      <c r="F26" s="31"/>
      <c r="H26" s="794" t="s">
        <v>1301</v>
      </c>
      <c r="I26" s="1207" t="s">
        <v>1302</v>
      </c>
      <c r="J26" s="1208">
        <v>32.66</v>
      </c>
      <c r="L26" s="1208">
        <v>1.65</v>
      </c>
      <c r="M26" s="1209">
        <v>19.77</v>
      </c>
      <c r="N26" s="798">
        <v>54.5865</v>
      </c>
      <c r="P26" s="715" t="s">
        <v>710</v>
      </c>
      <c r="T26" s="726">
        <v>1.0</v>
      </c>
      <c r="U26" s="733"/>
      <c r="V26" s="733" t="s">
        <v>974</v>
      </c>
      <c r="W26" s="733"/>
      <c r="X26" s="767"/>
      <c r="Y26" s="767"/>
      <c r="Z26" s="767"/>
      <c r="AA26" s="767"/>
      <c r="AB26" s="767"/>
      <c r="AC26" s="767"/>
      <c r="AD26" s="767"/>
      <c r="AE26" s="767"/>
      <c r="AF26" s="767"/>
      <c r="AG26" s="767"/>
      <c r="AH26" s="767"/>
      <c r="AI26" s="767"/>
      <c r="AJ26" s="767"/>
      <c r="AK26" s="767"/>
      <c r="AL26" s="767"/>
      <c r="AM26" s="767"/>
      <c r="AN26" s="767"/>
      <c r="AO26" s="767"/>
      <c r="AP26" s="767"/>
      <c r="AQ26" s="767"/>
      <c r="AR26" s="767"/>
      <c r="AS26" s="767"/>
      <c r="AT26" s="767"/>
      <c r="AU26" s="767"/>
      <c r="AV26" s="767"/>
      <c r="AW26" s="767"/>
      <c r="AX26" s="767"/>
      <c r="AY26" s="767"/>
      <c r="AZ26" s="767"/>
      <c r="BA26" s="767"/>
      <c r="BB26" s="767"/>
      <c r="BC26" s="767"/>
      <c r="BD26" s="767"/>
      <c r="BE26" s="767"/>
      <c r="BF26" s="767"/>
      <c r="BG26" s="767"/>
    </row>
    <row r="27">
      <c r="A27" s="804"/>
      <c r="F27" s="17"/>
      <c r="H27" s="794" t="s">
        <v>310</v>
      </c>
      <c r="I27" s="1207" t="s">
        <v>1303</v>
      </c>
      <c r="J27" s="1208">
        <v>162.0</v>
      </c>
      <c r="L27" s="1208">
        <v>6.79</v>
      </c>
      <c r="M27" s="1209">
        <v>23.88</v>
      </c>
      <c r="N27" s="769"/>
      <c r="P27" s="747" t="s">
        <v>711</v>
      </c>
      <c r="T27" s="726">
        <v>4.4</v>
      </c>
      <c r="U27" s="799"/>
      <c r="V27" s="733"/>
      <c r="W27" s="733"/>
    </row>
    <row r="28">
      <c r="A28" s="34"/>
      <c r="F28" s="17"/>
      <c r="H28" s="794" t="s">
        <v>340</v>
      </c>
      <c r="I28" s="1207" t="s">
        <v>1304</v>
      </c>
      <c r="J28" s="1208">
        <v>54.06</v>
      </c>
      <c r="L28" s="1208">
        <v>1.56</v>
      </c>
      <c r="M28" s="1209">
        <v>34.73</v>
      </c>
      <c r="N28" s="756" t="s">
        <v>689</v>
      </c>
      <c r="P28" s="747" t="s">
        <v>719</v>
      </c>
      <c r="T28" s="757">
        <v>4.95</v>
      </c>
      <c r="U28" s="733"/>
      <c r="V28" s="1206" t="s">
        <v>977</v>
      </c>
      <c r="W28" s="733"/>
    </row>
    <row r="29">
      <c r="A29" s="34"/>
      <c r="F29" s="17"/>
      <c r="H29" s="811" t="s">
        <v>1305</v>
      </c>
      <c r="I29" s="1207" t="s">
        <v>1306</v>
      </c>
      <c r="J29" s="1208">
        <v>78.21</v>
      </c>
      <c r="L29" s="1208">
        <v>3.65</v>
      </c>
      <c r="M29" s="1209">
        <v>21.42</v>
      </c>
      <c r="N29" s="87"/>
      <c r="P29" s="770" t="s">
        <v>77</v>
      </c>
      <c r="Q29" s="13"/>
      <c r="R29" s="14"/>
      <c r="S29" s="771" t="s">
        <v>689</v>
      </c>
      <c r="T29" s="14"/>
      <c r="U29" s="779"/>
      <c r="V29" s="779"/>
      <c r="W29" s="779"/>
    </row>
    <row r="30">
      <c r="A30" s="34"/>
      <c r="F30" s="17"/>
      <c r="H30" s="817" t="s">
        <v>749</v>
      </c>
      <c r="I30" s="1210">
        <v>24.95</v>
      </c>
      <c r="J30" s="819" t="s">
        <v>750</v>
      </c>
      <c r="K30" s="1210">
        <v>60.1295</v>
      </c>
      <c r="L30" s="817" t="s">
        <v>751</v>
      </c>
      <c r="M30" s="1211">
        <v>2.41</v>
      </c>
      <c r="N30" s="1186">
        <v>0.14601846057571966</v>
      </c>
      <c r="P30" s="1212">
        <v>27.848888888888894</v>
      </c>
      <c r="R30" s="17"/>
      <c r="S30" s="1181">
        <v>0.5643165067445417</v>
      </c>
      <c r="T30" s="14"/>
      <c r="U30" s="767"/>
      <c r="V30" s="767"/>
      <c r="W30" s="767"/>
    </row>
    <row r="31">
      <c r="A31" s="34"/>
      <c r="F31" s="17"/>
      <c r="H31" s="825" t="s">
        <v>754</v>
      </c>
      <c r="I31" s="826">
        <v>22.65</v>
      </c>
      <c r="J31" s="827" t="s">
        <v>755</v>
      </c>
      <c r="K31" s="1213">
        <v>54.5865</v>
      </c>
      <c r="L31" s="29"/>
      <c r="M31" s="87"/>
      <c r="N31" s="31"/>
      <c r="P31" s="29"/>
      <c r="Q31" s="30"/>
      <c r="R31" s="31"/>
      <c r="S31" s="30"/>
      <c r="T31" s="31"/>
      <c r="U31" s="767"/>
      <c r="V31" s="767"/>
      <c r="W31" s="767"/>
    </row>
    <row r="32">
      <c r="A32" s="34"/>
      <c r="F32" s="17"/>
      <c r="N32" s="799"/>
    </row>
    <row r="33">
      <c r="A33" s="34"/>
      <c r="F33" s="17"/>
      <c r="H33" s="1214" t="s">
        <v>980</v>
      </c>
      <c r="J33" s="799"/>
      <c r="M33" s="743"/>
      <c r="N33" s="799"/>
      <c r="O33" s="799"/>
    </row>
    <row r="34">
      <c r="A34" s="29"/>
      <c r="B34" s="30"/>
      <c r="C34" s="30"/>
      <c r="D34" s="30"/>
      <c r="E34" s="30"/>
      <c r="F34" s="31"/>
      <c r="H34" s="1215" t="s">
        <v>981</v>
      </c>
      <c r="J34" s="799"/>
      <c r="K34" s="111"/>
      <c r="N34" s="799"/>
      <c r="O34" s="799"/>
      <c r="P34" s="1216" t="s">
        <v>740</v>
      </c>
      <c r="Q34" s="806"/>
      <c r="R34" s="806"/>
      <c r="S34" s="807"/>
      <c r="T34" s="808"/>
    </row>
    <row r="35">
      <c r="A35" s="239" t="s">
        <v>771</v>
      </c>
      <c r="B35" s="13"/>
      <c r="C35" s="13"/>
      <c r="D35" s="13"/>
      <c r="E35" s="13"/>
      <c r="F35" s="14"/>
      <c r="H35" s="1215" t="s">
        <v>982</v>
      </c>
      <c r="J35" s="799"/>
      <c r="N35" s="799"/>
      <c r="O35" s="799"/>
      <c r="P35" s="1217" t="s">
        <v>744</v>
      </c>
      <c r="Q35" s="269"/>
      <c r="R35" s="269"/>
      <c r="S35" s="813"/>
      <c r="T35" s="814"/>
    </row>
    <row r="36">
      <c r="A36" s="34"/>
      <c r="F36" s="17"/>
      <c r="H36" s="799"/>
      <c r="I36" s="799"/>
      <c r="J36" s="799"/>
      <c r="K36" s="488"/>
      <c r="L36" s="488"/>
      <c r="M36" s="488"/>
      <c r="O36" s="799"/>
      <c r="P36" s="1217" t="s">
        <v>752</v>
      </c>
      <c r="Q36" s="269"/>
      <c r="R36" s="269"/>
      <c r="S36" s="813"/>
      <c r="T36" s="814"/>
    </row>
    <row r="37">
      <c r="A37" s="768" t="s">
        <v>780</v>
      </c>
      <c r="E37" s="255" t="s">
        <v>661</v>
      </c>
      <c r="H37" s="799"/>
      <c r="I37" s="799"/>
      <c r="J37" s="799"/>
      <c r="M37" s="743"/>
      <c r="N37" s="799"/>
      <c r="O37" s="799"/>
      <c r="P37" s="1217" t="s">
        <v>756</v>
      </c>
      <c r="Q37" s="269"/>
      <c r="R37" s="269"/>
      <c r="S37" s="813"/>
      <c r="T37" s="814"/>
    </row>
    <row r="38">
      <c r="A38" s="859" t="s">
        <v>785</v>
      </c>
      <c r="E38" s="860"/>
      <c r="I38" s="799"/>
      <c r="J38" s="799"/>
      <c r="M38" s="743"/>
      <c r="N38" s="799"/>
      <c r="O38" s="799"/>
      <c r="P38" s="1218" t="s">
        <v>760</v>
      </c>
      <c r="Q38" s="269"/>
      <c r="R38" s="269"/>
      <c r="S38" s="813"/>
      <c r="T38" s="814"/>
    </row>
    <row r="39">
      <c r="A39" s="859" t="s">
        <v>792</v>
      </c>
      <c r="E39" s="864"/>
      <c r="H39" s="799"/>
      <c r="I39" s="799"/>
      <c r="J39" s="799"/>
      <c r="K39" s="744"/>
      <c r="L39" s="799"/>
      <c r="M39" s="799"/>
      <c r="N39" s="799"/>
      <c r="O39" s="799"/>
      <c r="P39" s="1218" t="s">
        <v>764</v>
      </c>
      <c r="Q39" s="269"/>
      <c r="R39" s="269"/>
      <c r="S39" s="813"/>
      <c r="T39" s="814"/>
    </row>
    <row r="40">
      <c r="A40" s="870" t="s">
        <v>798</v>
      </c>
      <c r="E40" s="864"/>
      <c r="H40" s="799"/>
      <c r="I40" s="799"/>
      <c r="J40" s="799"/>
      <c r="K40" s="799"/>
      <c r="L40" s="799"/>
      <c r="M40" s="799"/>
      <c r="N40" s="799"/>
      <c r="O40" s="799"/>
      <c r="P40" s="1219" t="s">
        <v>768</v>
      </c>
      <c r="Q40" s="269"/>
      <c r="R40" s="269"/>
      <c r="S40" s="813"/>
      <c r="T40" s="814"/>
    </row>
    <row r="41">
      <c r="A41" s="870"/>
      <c r="E41" s="864"/>
      <c r="H41" s="799"/>
      <c r="I41" s="799"/>
      <c r="J41" s="799"/>
      <c r="L41" s="799"/>
      <c r="M41" s="799"/>
      <c r="N41" s="799"/>
      <c r="O41" s="799"/>
      <c r="P41" s="1218" t="s">
        <v>772</v>
      </c>
      <c r="Q41" s="269"/>
      <c r="R41" s="269"/>
      <c r="S41" s="813"/>
      <c r="T41" s="814"/>
    </row>
    <row r="42">
      <c r="A42" s="255" t="s">
        <v>803</v>
      </c>
      <c r="E42" s="786" t="e">
        <v>#DIV/0!</v>
      </c>
      <c r="H42" s="799"/>
      <c r="I42" s="799"/>
      <c r="J42" s="799"/>
      <c r="K42" s="799"/>
      <c r="L42" s="799"/>
      <c r="M42" s="799"/>
      <c r="N42" s="799"/>
      <c r="O42" s="799"/>
      <c r="P42" s="1218" t="s">
        <v>776</v>
      </c>
      <c r="Q42" s="269"/>
      <c r="R42" s="269"/>
      <c r="S42" s="269"/>
      <c r="T42" s="814"/>
    </row>
    <row r="43">
      <c r="H43" s="799"/>
      <c r="I43" s="799"/>
      <c r="J43" s="799"/>
      <c r="K43" s="799"/>
      <c r="L43" s="799"/>
      <c r="M43" s="799"/>
      <c r="N43" s="799"/>
      <c r="O43" s="799"/>
      <c r="P43" s="1218" t="s">
        <v>781</v>
      </c>
      <c r="Q43" s="269"/>
      <c r="R43" s="269"/>
      <c r="S43" s="269"/>
      <c r="T43" s="814"/>
    </row>
    <row r="44">
      <c r="H44" s="799"/>
      <c r="I44" s="799"/>
      <c r="J44" s="799"/>
      <c r="K44" s="799"/>
      <c r="L44" s="799"/>
      <c r="M44" s="799"/>
      <c r="N44" s="799"/>
      <c r="O44" s="799"/>
      <c r="P44" s="861" t="s">
        <v>787</v>
      </c>
      <c r="Q44" s="862"/>
      <c r="R44" s="862"/>
      <c r="S44" s="862"/>
      <c r="T44" s="863"/>
    </row>
    <row r="45" ht="17.25" customHeight="1">
      <c r="H45" s="799"/>
      <c r="I45" s="799"/>
      <c r="J45" s="799"/>
      <c r="K45" s="799"/>
      <c r="L45" s="799"/>
      <c r="M45" s="799"/>
      <c r="N45" s="799"/>
      <c r="O45" s="799"/>
    </row>
    <row r="46">
      <c r="A46" s="910" t="s">
        <v>826</v>
      </c>
      <c r="H46" s="911" t="s">
        <v>827</v>
      </c>
      <c r="I46" s="912" t="s">
        <v>828</v>
      </c>
      <c r="J46" s="913"/>
      <c r="K46" s="913"/>
      <c r="L46" s="799"/>
      <c r="M46" s="799"/>
      <c r="N46" s="799"/>
      <c r="O46" s="799"/>
    </row>
    <row r="47">
      <c r="A47" s="1220" t="s">
        <v>983</v>
      </c>
      <c r="B47" s="1221"/>
      <c r="C47" s="1221"/>
      <c r="D47" s="1221"/>
      <c r="E47" s="1221"/>
      <c r="F47" s="1221"/>
      <c r="G47" s="1221"/>
      <c r="H47" s="1222"/>
      <c r="I47" s="1223"/>
      <c r="J47" s="913"/>
      <c r="K47" s="913"/>
      <c r="L47" s="913"/>
      <c r="M47" s="913"/>
      <c r="N47" s="913"/>
      <c r="O47" s="913"/>
      <c r="P47" s="480"/>
      <c r="Q47" s="480"/>
      <c r="R47" s="480"/>
      <c r="S47" s="480"/>
      <c r="T47" s="480"/>
      <c r="U47" s="480"/>
      <c r="V47" s="480"/>
      <c r="W47" s="480"/>
      <c r="X47" s="480"/>
      <c r="Y47" s="480"/>
      <c r="Z47" s="480"/>
      <c r="AA47" s="480"/>
      <c r="AB47" s="480"/>
      <c r="AC47" s="480"/>
      <c r="AD47" s="480"/>
      <c r="AE47" s="480"/>
      <c r="AF47" s="480"/>
      <c r="AG47" s="480"/>
      <c r="AH47" s="480"/>
      <c r="AI47" s="480"/>
      <c r="AJ47" s="480"/>
      <c r="AK47" s="480"/>
      <c r="AL47" s="480"/>
      <c r="AM47" s="480"/>
      <c r="AN47" s="480"/>
      <c r="AO47" s="480"/>
      <c r="AP47" s="480"/>
      <c r="AQ47" s="480"/>
      <c r="AR47" s="480"/>
      <c r="AS47" s="480"/>
      <c r="AT47" s="480"/>
      <c r="AU47" s="480"/>
      <c r="AV47" s="480"/>
      <c r="AW47" s="480"/>
      <c r="AX47" s="480"/>
      <c r="AY47" s="480"/>
      <c r="AZ47" s="480"/>
      <c r="BA47" s="480"/>
      <c r="BB47" s="480"/>
      <c r="BC47" s="480"/>
      <c r="BD47" s="480"/>
      <c r="BE47" s="480"/>
      <c r="BF47" s="480"/>
      <c r="BG47" s="480"/>
    </row>
    <row r="48">
      <c r="A48" s="1224" t="s">
        <v>984</v>
      </c>
      <c r="B48" s="1224" t="s">
        <v>985</v>
      </c>
      <c r="C48" s="1225" t="s">
        <v>986</v>
      </c>
      <c r="D48" s="1224" t="s">
        <v>987</v>
      </c>
      <c r="E48" s="1224" t="s">
        <v>988</v>
      </c>
      <c r="F48" s="1224" t="s">
        <v>989</v>
      </c>
      <c r="G48" s="1224" t="s">
        <v>990</v>
      </c>
      <c r="H48" s="1226" t="s">
        <v>991</v>
      </c>
      <c r="I48" s="1227" t="s">
        <v>992</v>
      </c>
      <c r="J48" s="1226" t="s">
        <v>993</v>
      </c>
      <c r="K48" s="1226" t="s">
        <v>994</v>
      </c>
      <c r="L48" s="1226" t="s">
        <v>995</v>
      </c>
      <c r="M48" s="1226" t="s">
        <v>996</v>
      </c>
      <c r="N48" s="1226" t="s">
        <v>997</v>
      </c>
      <c r="O48" s="1226" t="s">
        <v>998</v>
      </c>
      <c r="P48" s="1228" t="s">
        <v>999</v>
      </c>
      <c r="Q48" s="1228" t="s">
        <v>1000</v>
      </c>
      <c r="R48" s="1228" t="s">
        <v>1001</v>
      </c>
      <c r="S48" s="1228" t="s">
        <v>1002</v>
      </c>
      <c r="T48" s="1229" t="s">
        <v>1003</v>
      </c>
      <c r="U48" s="1228" t="s">
        <v>1004</v>
      </c>
      <c r="V48" s="1228" t="s">
        <v>1005</v>
      </c>
      <c r="W48" s="1228" t="s">
        <v>1006</v>
      </c>
      <c r="X48" s="1228" t="s">
        <v>1007</v>
      </c>
      <c r="Y48" s="1228" t="s">
        <v>1008</v>
      </c>
      <c r="Z48" s="1228" t="s">
        <v>1009</v>
      </c>
      <c r="AA48" s="1228" t="s">
        <v>1010</v>
      </c>
      <c r="AB48" s="1228" t="s">
        <v>1011</v>
      </c>
      <c r="AC48" s="1229" t="s">
        <v>1012</v>
      </c>
      <c r="AD48" s="1228" t="s">
        <v>1013</v>
      </c>
      <c r="AE48" s="1228" t="s">
        <v>1014</v>
      </c>
      <c r="AF48" s="1228" t="s">
        <v>1015</v>
      </c>
      <c r="AG48" s="1228" t="s">
        <v>1016</v>
      </c>
      <c r="AH48" s="1228" t="s">
        <v>1017</v>
      </c>
      <c r="AI48" s="1228" t="s">
        <v>1018</v>
      </c>
      <c r="AJ48" s="1228" t="s">
        <v>1019</v>
      </c>
      <c r="AK48" s="1230"/>
      <c r="AL48" s="1230"/>
      <c r="AM48" s="1230"/>
      <c r="AN48" s="1230"/>
      <c r="AO48" s="1230"/>
      <c r="AP48" s="1230"/>
      <c r="AQ48" s="1230"/>
      <c r="AR48" s="1230"/>
      <c r="AS48" s="1230"/>
      <c r="AT48" s="1230"/>
      <c r="AU48" s="1230"/>
      <c r="AV48" s="1230"/>
      <c r="AW48" s="1230"/>
      <c r="AX48" s="1230"/>
      <c r="AY48" s="1230"/>
      <c r="AZ48" s="1230"/>
      <c r="BA48" s="1230"/>
      <c r="BB48" s="1230"/>
      <c r="BC48" s="1230"/>
      <c r="BD48" s="1230"/>
      <c r="BE48" s="1230"/>
      <c r="BF48" s="1230"/>
      <c r="BG48" s="1230"/>
    </row>
    <row r="49">
      <c r="A49" s="1224" t="s">
        <v>114</v>
      </c>
      <c r="B49" s="1224">
        <v>63.92</v>
      </c>
      <c r="C49" s="1225">
        <v>0.62</v>
      </c>
      <c r="D49" s="1224">
        <v>1.465107E7</v>
      </c>
      <c r="E49" s="1224">
        <v>2.75354576E11</v>
      </c>
      <c r="F49" s="1224">
        <v>1.94</v>
      </c>
      <c r="G49" s="1224" t="s">
        <v>1307</v>
      </c>
      <c r="H49" s="1226">
        <v>0.16</v>
      </c>
      <c r="I49" s="1227" t="s">
        <v>1300</v>
      </c>
      <c r="J49" s="1226" t="s">
        <v>1021</v>
      </c>
      <c r="K49" s="1226">
        <v>21344.0</v>
      </c>
      <c r="L49" s="1226" t="s">
        <v>1308</v>
      </c>
      <c r="M49" s="1226">
        <v>1.912161E8</v>
      </c>
      <c r="N49" s="1226" t="s">
        <v>1222</v>
      </c>
      <c r="O49" s="1226" t="s">
        <v>1223</v>
      </c>
      <c r="P49" s="1228" t="s">
        <v>1309</v>
      </c>
      <c r="Q49" s="1231" t="s">
        <v>1310</v>
      </c>
      <c r="R49" s="1228" t="s">
        <v>1311</v>
      </c>
      <c r="S49" s="1228" t="s">
        <v>1312</v>
      </c>
      <c r="T49" s="1229" t="s">
        <v>530</v>
      </c>
      <c r="U49" s="1228" t="s">
        <v>1029</v>
      </c>
      <c r="V49" s="1228">
        <v>79100.0</v>
      </c>
      <c r="W49" s="1228" t="s">
        <v>1313</v>
      </c>
      <c r="X49" s="1228" t="s">
        <v>1314</v>
      </c>
      <c r="Y49" s="1228" t="s">
        <v>1315</v>
      </c>
      <c r="Z49" s="1228" t="s">
        <v>1316</v>
      </c>
      <c r="AA49" s="1228">
        <v>30313.0</v>
      </c>
      <c r="AB49" s="1232">
        <v>-34.40962</v>
      </c>
      <c r="AC49" s="1233">
        <v>98.32962315341335</v>
      </c>
      <c r="AD49" s="1231" t="s">
        <v>1317</v>
      </c>
      <c r="AE49" s="1234">
        <v>7188.0</v>
      </c>
      <c r="AF49" s="1228" t="b">
        <v>0</v>
      </c>
      <c r="AG49" s="1228" t="b">
        <v>0</v>
      </c>
      <c r="AH49" s="1228" t="b">
        <v>1</v>
      </c>
      <c r="AI49" s="1228" t="b">
        <v>0</v>
      </c>
      <c r="AJ49" s="1228" t="b">
        <v>0</v>
      </c>
      <c r="AK49" s="1230"/>
      <c r="AL49" s="1230"/>
      <c r="AM49" s="1230"/>
      <c r="AN49" s="1230"/>
      <c r="AO49" s="1230"/>
      <c r="AP49" s="1230"/>
      <c r="AQ49" s="1230"/>
      <c r="AR49" s="1230"/>
      <c r="AS49" s="1230"/>
      <c r="AT49" s="1230"/>
      <c r="AU49" s="1230"/>
      <c r="AV49" s="1230"/>
      <c r="AW49" s="1230"/>
      <c r="AX49" s="1230"/>
      <c r="AY49" s="1230"/>
      <c r="AZ49" s="1230"/>
      <c r="BA49" s="1230"/>
      <c r="BB49" s="1230"/>
      <c r="BC49" s="1230"/>
      <c r="BD49" s="1230"/>
      <c r="BE49" s="1230"/>
      <c r="BF49" s="1230"/>
      <c r="BG49" s="1230"/>
    </row>
    <row r="50">
      <c r="A50" s="1221"/>
      <c r="B50" s="1221"/>
      <c r="C50" s="1221"/>
      <c r="D50" s="1221"/>
      <c r="E50" s="1221"/>
      <c r="F50" s="1221"/>
      <c r="G50" s="1221"/>
      <c r="H50" s="1222"/>
      <c r="I50" s="1223"/>
      <c r="J50" s="913"/>
      <c r="K50" s="913"/>
      <c r="L50" s="913"/>
      <c r="M50" s="913"/>
      <c r="N50" s="913"/>
      <c r="O50" s="913"/>
      <c r="P50" s="480"/>
      <c r="Q50" s="480"/>
      <c r="R50" s="480"/>
      <c r="S50" s="480"/>
      <c r="T50" s="480"/>
      <c r="U50" s="480"/>
      <c r="V50" s="480"/>
      <c r="W50" s="480"/>
      <c r="X50" s="480"/>
      <c r="Y50" s="480"/>
      <c r="Z50" s="480"/>
      <c r="AA50" s="480"/>
      <c r="AB50" s="480"/>
      <c r="AC50" s="480"/>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c r="BE50" s="480"/>
      <c r="BF50" s="480"/>
      <c r="BG50" s="480"/>
    </row>
    <row r="51">
      <c r="A51" s="1220" t="s">
        <v>1036</v>
      </c>
      <c r="B51" s="480"/>
      <c r="C51" s="480"/>
      <c r="D51" s="480"/>
      <c r="E51" s="480"/>
      <c r="F51" s="480"/>
      <c r="G51" s="480"/>
      <c r="H51" s="913"/>
      <c r="I51" s="913"/>
      <c r="J51" s="913"/>
      <c r="K51" s="913"/>
      <c r="L51" s="913"/>
      <c r="M51" s="913"/>
      <c r="N51" s="913"/>
      <c r="O51" s="913"/>
      <c r="P51" s="913"/>
      <c r="Q51" s="913"/>
      <c r="R51" s="913"/>
      <c r="S51" s="913"/>
      <c r="T51" s="913"/>
      <c r="U51" s="913"/>
      <c r="V51" s="913"/>
      <c r="W51" s="913"/>
      <c r="X51" s="913"/>
      <c r="Y51" s="913"/>
      <c r="Z51" s="913"/>
      <c r="AA51" s="913"/>
      <c r="AB51" s="913"/>
      <c r="AC51" s="913"/>
      <c r="AD51" s="913"/>
      <c r="AE51" s="913"/>
      <c r="AF51" s="913"/>
      <c r="AG51" s="913"/>
      <c r="AH51" s="913"/>
      <c r="AI51" s="913"/>
      <c r="AJ51" s="913"/>
      <c r="AK51" s="913"/>
      <c r="AL51" s="913"/>
      <c r="AM51" s="913"/>
      <c r="AN51" s="913"/>
      <c r="AO51" s="913"/>
      <c r="AP51" s="913"/>
      <c r="AQ51" s="913"/>
      <c r="AR51" s="913"/>
      <c r="AS51" s="913"/>
      <c r="AT51" s="913"/>
      <c r="AU51" s="913"/>
      <c r="AV51" s="913"/>
      <c r="AW51" s="913"/>
      <c r="AX51" s="913"/>
      <c r="AY51" s="913"/>
      <c r="AZ51" s="913"/>
      <c r="BA51" s="913"/>
      <c r="BB51" s="913"/>
      <c r="BC51" s="913"/>
      <c r="BD51" s="913"/>
      <c r="BE51" s="913"/>
      <c r="BF51" s="913"/>
      <c r="BG51" s="913"/>
    </row>
    <row r="52">
      <c r="A52" s="1235" t="s">
        <v>1037</v>
      </c>
      <c r="B52" s="1220" t="s">
        <v>984</v>
      </c>
      <c r="C52" s="1220" t="s">
        <v>1038</v>
      </c>
      <c r="D52" s="1220" t="s">
        <v>994</v>
      </c>
      <c r="E52" s="1220" t="s">
        <v>1039</v>
      </c>
      <c r="F52" s="1220" t="s">
        <v>1040</v>
      </c>
      <c r="G52" s="1220" t="s">
        <v>1041</v>
      </c>
      <c r="H52" s="1236" t="s">
        <v>1042</v>
      </c>
      <c r="I52" s="1236" t="s">
        <v>1043</v>
      </c>
      <c r="J52" s="1236" t="s">
        <v>1044</v>
      </c>
      <c r="K52" s="1236" t="s">
        <v>1045</v>
      </c>
      <c r="L52" s="1236" t="s">
        <v>1046</v>
      </c>
      <c r="M52" s="1236" t="s">
        <v>1047</v>
      </c>
      <c r="N52" s="1236" t="s">
        <v>1048</v>
      </c>
      <c r="O52" s="1236" t="s">
        <v>1049</v>
      </c>
      <c r="P52" s="1236" t="s">
        <v>1050</v>
      </c>
      <c r="Q52" s="1236" t="s">
        <v>1051</v>
      </c>
      <c r="R52" s="1236" t="s">
        <v>1052</v>
      </c>
      <c r="S52" s="1236" t="s">
        <v>1053</v>
      </c>
      <c r="T52" s="1236" t="s">
        <v>1054</v>
      </c>
      <c r="U52" s="1236" t="s">
        <v>1055</v>
      </c>
      <c r="V52" s="1236" t="s">
        <v>1056</v>
      </c>
      <c r="W52" s="1236" t="s">
        <v>1057</v>
      </c>
      <c r="X52" s="1236" t="s">
        <v>1058</v>
      </c>
      <c r="Y52" s="1237" t="s">
        <v>1059</v>
      </c>
      <c r="Z52" s="1236" t="s">
        <v>1060</v>
      </c>
      <c r="AA52" s="1236" t="s">
        <v>1061</v>
      </c>
      <c r="AB52" s="1236" t="s">
        <v>1062</v>
      </c>
      <c r="AC52" s="1236" t="s">
        <v>1063</v>
      </c>
      <c r="AD52" s="1236" t="s">
        <v>1064</v>
      </c>
      <c r="AE52" s="1236" t="s">
        <v>1065</v>
      </c>
      <c r="AF52" s="1236" t="s">
        <v>1066</v>
      </c>
      <c r="AG52" s="1236" t="s">
        <v>1067</v>
      </c>
      <c r="AH52" s="1237" t="s">
        <v>1068</v>
      </c>
      <c r="AI52" s="1236" t="s">
        <v>1069</v>
      </c>
      <c r="AJ52" s="1236" t="s">
        <v>1070</v>
      </c>
      <c r="AK52" s="1236" t="s">
        <v>1071</v>
      </c>
      <c r="AL52" s="1236" t="s">
        <v>1072</v>
      </c>
      <c r="AM52" s="913"/>
      <c r="AN52" s="913"/>
      <c r="AO52" s="913"/>
      <c r="AP52" s="913"/>
      <c r="AQ52" s="913"/>
      <c r="AR52" s="913"/>
      <c r="AS52" s="913"/>
      <c r="AT52" s="913"/>
      <c r="AU52" s="913"/>
      <c r="AV52" s="913"/>
      <c r="AW52" s="913"/>
      <c r="AX52" s="913"/>
      <c r="AY52" s="913"/>
      <c r="AZ52" s="913"/>
      <c r="BA52" s="913"/>
      <c r="BB52" s="913"/>
      <c r="BC52" s="913"/>
      <c r="BD52" s="913"/>
      <c r="BE52" s="913"/>
      <c r="BF52" s="913"/>
      <c r="BG52" s="913"/>
    </row>
    <row r="53">
      <c r="A53" s="1238">
        <v>45291.0</v>
      </c>
      <c r="B53" s="1220" t="s">
        <v>114</v>
      </c>
      <c r="C53" s="1220" t="s">
        <v>1021</v>
      </c>
      <c r="D53" s="1220">
        <v>21344.0</v>
      </c>
      <c r="E53" s="1238">
        <v>45342.0</v>
      </c>
      <c r="F53" s="1239">
        <v>45342.55652777778</v>
      </c>
      <c r="G53" s="1220">
        <v>2023.0</v>
      </c>
      <c r="H53" s="1236" t="s">
        <v>1073</v>
      </c>
      <c r="I53" s="1240">
        <v>4.5754E10</v>
      </c>
      <c r="J53" s="1240">
        <v>1.852E10</v>
      </c>
      <c r="K53" s="1240">
        <v>2.7234E10</v>
      </c>
      <c r="L53" s="1240">
        <v>0.5952266469</v>
      </c>
      <c r="M53" s="1240">
        <v>0.0</v>
      </c>
      <c r="N53" s="1240">
        <v>2.54E8</v>
      </c>
      <c r="O53" s="1240">
        <v>7.609E9</v>
      </c>
      <c r="P53" s="1240">
        <v>7.863E9</v>
      </c>
      <c r="Q53" s="1240">
        <v>8.06E9</v>
      </c>
      <c r="R53" s="1240">
        <v>1.5923E10</v>
      </c>
      <c r="S53" s="1240">
        <v>3.4443E10</v>
      </c>
      <c r="T53" s="1240">
        <v>9.07E8</v>
      </c>
      <c r="U53" s="1240">
        <v>1.527E9</v>
      </c>
      <c r="V53" s="1240">
        <v>1.128E9</v>
      </c>
      <c r="W53" s="1240">
        <v>1.5621E10</v>
      </c>
      <c r="X53" s="1240">
        <v>0.3414127727</v>
      </c>
      <c r="Y53" s="1241">
        <v>1.1311E10</v>
      </c>
      <c r="Z53" s="1240">
        <v>0.2472133584</v>
      </c>
      <c r="AA53" s="1240">
        <v>1.641E9</v>
      </c>
      <c r="AB53" s="1240">
        <v>1.2952E10</v>
      </c>
      <c r="AC53" s="1240">
        <v>0.2830790751</v>
      </c>
      <c r="AD53" s="1240">
        <v>2.249E9</v>
      </c>
      <c r="AE53" s="1240">
        <v>1.0714E10</v>
      </c>
      <c r="AF53" s="1240">
        <v>0.2341653189</v>
      </c>
      <c r="AG53" s="1240">
        <v>2.48</v>
      </c>
      <c r="AH53" s="1241">
        <v>2.47</v>
      </c>
      <c r="AI53" s="1240">
        <v>4.323E9</v>
      </c>
      <c r="AJ53" s="1240">
        <v>4.339E9</v>
      </c>
      <c r="AK53" s="1242" t="s">
        <v>1318</v>
      </c>
      <c r="AL53" s="1242" t="s">
        <v>1319</v>
      </c>
      <c r="AM53" s="913"/>
      <c r="AN53" s="913"/>
      <c r="AO53" s="913"/>
      <c r="AP53" s="913"/>
      <c r="AQ53" s="913"/>
      <c r="AR53" s="913"/>
      <c r="AS53" s="913"/>
      <c r="AT53" s="913"/>
      <c r="AU53" s="913"/>
      <c r="AV53" s="913"/>
      <c r="AW53" s="913"/>
      <c r="AX53" s="913"/>
      <c r="AY53" s="913"/>
      <c r="AZ53" s="913"/>
      <c r="BA53" s="913"/>
      <c r="BB53" s="913"/>
      <c r="BC53" s="913"/>
      <c r="BD53" s="913"/>
      <c r="BE53" s="913"/>
      <c r="BF53" s="913"/>
      <c r="BG53" s="913"/>
    </row>
    <row r="54">
      <c r="A54" s="1238">
        <v>44926.0</v>
      </c>
      <c r="B54" s="1220" t="s">
        <v>114</v>
      </c>
      <c r="C54" s="1220" t="s">
        <v>1021</v>
      </c>
      <c r="D54" s="1220">
        <v>21344.0</v>
      </c>
      <c r="E54" s="1238">
        <v>44978.0</v>
      </c>
      <c r="F54" s="1239">
        <v>44978.66898148148</v>
      </c>
      <c r="G54" s="1220">
        <v>2022.0</v>
      </c>
      <c r="H54" s="1236" t="s">
        <v>1073</v>
      </c>
      <c r="I54" s="1240">
        <v>4.3004E10</v>
      </c>
      <c r="J54" s="1240">
        <v>1.8E10</v>
      </c>
      <c r="K54" s="1240">
        <v>2.5004E10</v>
      </c>
      <c r="L54" s="1240">
        <v>0.5814342852</v>
      </c>
      <c r="M54" s="1240">
        <v>0.0</v>
      </c>
      <c r="N54" s="1240">
        <v>3.56E8</v>
      </c>
      <c r="O54" s="1240">
        <v>7.086E9</v>
      </c>
      <c r="P54" s="1240">
        <v>1.288E10</v>
      </c>
      <c r="Q54" s="1240">
        <v>1.215E9</v>
      </c>
      <c r="R54" s="1240">
        <v>1.4095E10</v>
      </c>
      <c r="S54" s="1240">
        <v>3.2095E10</v>
      </c>
      <c r="T54" s="1240">
        <v>4.49E8</v>
      </c>
      <c r="U54" s="1240">
        <v>8.82E8</v>
      </c>
      <c r="V54" s="1240">
        <v>1.26E9</v>
      </c>
      <c r="W54" s="1240">
        <v>1.3807E10</v>
      </c>
      <c r="X54" s="1240">
        <v>0.3215514836</v>
      </c>
      <c r="Y54" s="1240">
        <v>1.0909E10</v>
      </c>
      <c r="Z54" s="1240">
        <v>0.2536740768</v>
      </c>
      <c r="AA54" s="1240">
        <v>7.77E8</v>
      </c>
      <c r="AB54" s="1240">
        <v>1.1686E10</v>
      </c>
      <c r="AC54" s="1240">
        <v>0.2717421635</v>
      </c>
      <c r="AD54" s="1240">
        <v>2.115E9</v>
      </c>
      <c r="AE54" s="1240">
        <v>9.542E9</v>
      </c>
      <c r="AF54" s="1240">
        <v>0.2218863362</v>
      </c>
      <c r="AG54" s="1240">
        <v>2.2</v>
      </c>
      <c r="AH54" s="1240">
        <v>2.19</v>
      </c>
      <c r="AI54" s="1240">
        <v>4.328E9</v>
      </c>
      <c r="AJ54" s="1240">
        <v>4.35E9</v>
      </c>
      <c r="AK54" s="1242" t="s">
        <v>1320</v>
      </c>
      <c r="AL54" s="1242" t="s">
        <v>1321</v>
      </c>
      <c r="AM54" s="913"/>
      <c r="AN54" s="913"/>
      <c r="AO54" s="913"/>
      <c r="AP54" s="913"/>
      <c r="AQ54" s="913"/>
      <c r="AR54" s="913"/>
      <c r="AS54" s="913"/>
      <c r="AT54" s="913"/>
      <c r="AU54" s="913"/>
      <c r="AV54" s="913"/>
      <c r="AW54" s="913"/>
      <c r="AX54" s="913"/>
      <c r="AY54" s="913"/>
      <c r="AZ54" s="913"/>
      <c r="BA54" s="913"/>
      <c r="BB54" s="913"/>
      <c r="BC54" s="913"/>
      <c r="BD54" s="913"/>
      <c r="BE54" s="913"/>
      <c r="BF54" s="913"/>
      <c r="BG54" s="913"/>
    </row>
    <row r="55">
      <c r="A55" s="1238">
        <v>44561.0</v>
      </c>
      <c r="B55" s="1220" t="s">
        <v>114</v>
      </c>
      <c r="C55" s="1220" t="s">
        <v>1021</v>
      </c>
      <c r="D55" s="1220">
        <v>21344.0</v>
      </c>
      <c r="E55" s="1238">
        <v>44614.0</v>
      </c>
      <c r="F55" s="1239">
        <v>44614.656805555554</v>
      </c>
      <c r="G55" s="1220">
        <v>2021.0</v>
      </c>
      <c r="H55" s="1236" t="s">
        <v>1073</v>
      </c>
      <c r="I55" s="1240">
        <v>3.8655E10</v>
      </c>
      <c r="J55" s="1240">
        <v>1.5357E10</v>
      </c>
      <c r="K55" s="1240">
        <v>2.3298E10</v>
      </c>
      <c r="L55" s="1240">
        <v>0.6027163368</v>
      </c>
      <c r="M55" s="1240">
        <v>0.0</v>
      </c>
      <c r="N55" s="1240">
        <v>3.37E8</v>
      </c>
      <c r="O55" s="1240">
        <v>6.672E9</v>
      </c>
      <c r="P55" s="1240">
        <v>1.2144E10</v>
      </c>
      <c r="Q55" s="1240">
        <v>8.46E8</v>
      </c>
      <c r="R55" s="1240">
        <v>1.299E10</v>
      </c>
      <c r="S55" s="1240">
        <v>2.8347E10</v>
      </c>
      <c r="T55" s="1240">
        <v>2.76E8</v>
      </c>
      <c r="U55" s="1240">
        <v>1.597E9</v>
      </c>
      <c r="V55" s="1240">
        <v>1.452E9</v>
      </c>
      <c r="W55" s="1240">
        <v>1.4537E10</v>
      </c>
      <c r="X55" s="1240">
        <v>0.4192213168</v>
      </c>
      <c r="Y55" s="1240">
        <v>1.0308E10</v>
      </c>
      <c r="Z55" s="1240">
        <v>0.2666666667</v>
      </c>
      <c r="AA55" s="1240">
        <v>2.117E9</v>
      </c>
      <c r="AB55" s="1240">
        <v>1.2425E10</v>
      </c>
      <c r="AC55" s="1240">
        <v>0.321433191</v>
      </c>
      <c r="AD55" s="1240">
        <v>2.621E9</v>
      </c>
      <c r="AE55" s="1240">
        <v>9.771E9</v>
      </c>
      <c r="AF55" s="1240">
        <v>0.252774544</v>
      </c>
      <c r="AG55" s="1240">
        <v>2.26</v>
      </c>
      <c r="AH55" s="1240">
        <v>2.25</v>
      </c>
      <c r="AI55" s="1240">
        <v>4.315E9</v>
      </c>
      <c r="AJ55" s="1240">
        <v>4.34E9</v>
      </c>
      <c r="AK55" s="1242" t="s">
        <v>1322</v>
      </c>
      <c r="AL55" s="1242" t="s">
        <v>1323</v>
      </c>
      <c r="AM55" s="913"/>
      <c r="AN55" s="913"/>
      <c r="AO55" s="913"/>
      <c r="AP55" s="913"/>
      <c r="AQ55" s="913"/>
      <c r="AR55" s="913"/>
      <c r="AS55" s="913"/>
      <c r="AT55" s="913"/>
      <c r="AU55" s="913"/>
      <c r="AV55" s="913"/>
      <c r="AW55" s="913"/>
      <c r="AX55" s="913"/>
      <c r="AY55" s="913"/>
      <c r="AZ55" s="913"/>
      <c r="BA55" s="913"/>
      <c r="BB55" s="913"/>
      <c r="BC55" s="913"/>
      <c r="BD55" s="913"/>
      <c r="BE55" s="913"/>
      <c r="BF55" s="913"/>
      <c r="BG55" s="913"/>
    </row>
    <row r="56">
      <c r="A56" s="1238">
        <v>44196.0</v>
      </c>
      <c r="B56" s="1220" t="s">
        <v>114</v>
      </c>
      <c r="C56" s="1220" t="s">
        <v>1021</v>
      </c>
      <c r="D56" s="1220">
        <v>21344.0</v>
      </c>
      <c r="E56" s="1238">
        <v>44252.0</v>
      </c>
      <c r="F56" s="1239">
        <v>44252.57450231481</v>
      </c>
      <c r="G56" s="1220">
        <v>2020.0</v>
      </c>
      <c r="H56" s="1236" t="s">
        <v>1073</v>
      </c>
      <c r="I56" s="1240">
        <v>3.3014E10</v>
      </c>
      <c r="J56" s="1240">
        <v>1.3433E10</v>
      </c>
      <c r="K56" s="1240">
        <v>1.9581E10</v>
      </c>
      <c r="L56" s="1240">
        <v>0.5931120131</v>
      </c>
      <c r="M56" s="1240">
        <v>0.0</v>
      </c>
      <c r="N56" s="1240">
        <v>1.26E8</v>
      </c>
      <c r="O56" s="1240">
        <v>5.415E9</v>
      </c>
      <c r="P56" s="1240">
        <v>9.731E9</v>
      </c>
      <c r="Q56" s="1240">
        <v>8.53E8</v>
      </c>
      <c r="R56" s="1240">
        <v>1.0584E10</v>
      </c>
      <c r="S56" s="1240">
        <v>2.4017E10</v>
      </c>
      <c r="T56" s="1240">
        <v>3.7E8</v>
      </c>
      <c r="U56" s="1240">
        <v>1.437E9</v>
      </c>
      <c r="V56" s="1240">
        <v>1.536E9</v>
      </c>
      <c r="W56" s="1240">
        <v>1.2659E10</v>
      </c>
      <c r="X56" s="1240">
        <v>0.385351669</v>
      </c>
      <c r="Y56" s="1240">
        <v>8.997E9</v>
      </c>
      <c r="Z56" s="1240">
        <v>0.2725207488</v>
      </c>
      <c r="AA56" s="1240">
        <v>7.52E8</v>
      </c>
      <c r="AB56" s="1240">
        <v>9.749E9</v>
      </c>
      <c r="AC56" s="1240">
        <v>0.2952989641</v>
      </c>
      <c r="AD56" s="1240">
        <v>1.981E9</v>
      </c>
      <c r="AE56" s="1240">
        <v>7.747E9</v>
      </c>
      <c r="AF56" s="1240">
        <v>0.2346580239</v>
      </c>
      <c r="AG56" s="1240">
        <v>1.8</v>
      </c>
      <c r="AH56" s="1240">
        <v>1.79</v>
      </c>
      <c r="AI56" s="1240">
        <v>4.295E9</v>
      </c>
      <c r="AJ56" s="1240">
        <v>4.323E9</v>
      </c>
      <c r="AK56" s="1242" t="s">
        <v>1324</v>
      </c>
      <c r="AL56" s="1242" t="s">
        <v>1325</v>
      </c>
      <c r="AM56" s="913"/>
      <c r="AN56" s="913"/>
      <c r="AO56" s="913"/>
      <c r="AP56" s="913"/>
      <c r="AQ56" s="913"/>
      <c r="AR56" s="913"/>
      <c r="AS56" s="913"/>
      <c r="AT56" s="913"/>
      <c r="AU56" s="913"/>
      <c r="AV56" s="913"/>
      <c r="AW56" s="913"/>
      <c r="AX56" s="913"/>
      <c r="AY56" s="913"/>
      <c r="AZ56" s="913"/>
      <c r="BA56" s="913"/>
      <c r="BB56" s="913"/>
      <c r="BC56" s="913"/>
      <c r="BD56" s="913"/>
      <c r="BE56" s="913"/>
      <c r="BF56" s="913"/>
      <c r="BG56" s="913"/>
    </row>
    <row r="57">
      <c r="A57" s="1238">
        <v>43830.0</v>
      </c>
      <c r="B57" s="1220" t="s">
        <v>114</v>
      </c>
      <c r="C57" s="1220" t="s">
        <v>1021</v>
      </c>
      <c r="D57" s="1220">
        <v>21344.0</v>
      </c>
      <c r="E57" s="1238">
        <v>43885.0</v>
      </c>
      <c r="F57" s="1239">
        <v>43885.672418981485</v>
      </c>
      <c r="G57" s="1220">
        <v>2019.0</v>
      </c>
      <c r="H57" s="1236" t="s">
        <v>1073</v>
      </c>
      <c r="I57" s="1240">
        <v>3.7266E10</v>
      </c>
      <c r="J57" s="1240">
        <v>1.4619E10</v>
      </c>
      <c r="K57" s="1240">
        <v>2.2647E10</v>
      </c>
      <c r="L57" s="1240">
        <v>0.6077121237</v>
      </c>
      <c r="M57" s="1240">
        <v>0.0</v>
      </c>
      <c r="N57" s="1240">
        <v>2.01E8</v>
      </c>
      <c r="O57" s="1240">
        <v>7.119E9</v>
      </c>
      <c r="P57" s="1240">
        <v>1.2103E10</v>
      </c>
      <c r="Q57" s="1240">
        <v>4.58E8</v>
      </c>
      <c r="R57" s="1240">
        <v>1.2561E10</v>
      </c>
      <c r="S57" s="1240">
        <v>2.718E10</v>
      </c>
      <c r="T57" s="1240">
        <v>5.63E8</v>
      </c>
      <c r="U57" s="1240">
        <v>9.46E8</v>
      </c>
      <c r="V57" s="1240">
        <v>1.365E9</v>
      </c>
      <c r="W57" s="1240">
        <v>1.3045E10</v>
      </c>
      <c r="X57" s="1240">
        <v>0.3514463586</v>
      </c>
      <c r="Y57" s="1240">
        <v>1.0086E10</v>
      </c>
      <c r="Z57" s="1240">
        <v>0.2706488488</v>
      </c>
      <c r="AA57" s="1240">
        <v>7.0E8</v>
      </c>
      <c r="AB57" s="1240">
        <v>1.0786E10</v>
      </c>
      <c r="AC57" s="1240">
        <v>0.2894327269</v>
      </c>
      <c r="AD57" s="1240">
        <v>1.801E9</v>
      </c>
      <c r="AE57" s="1240">
        <v>8.92E9</v>
      </c>
      <c r="AF57" s="1240">
        <v>0.2393602748</v>
      </c>
      <c r="AG57" s="1240">
        <v>2.09</v>
      </c>
      <c r="AH57" s="1240">
        <v>2.07</v>
      </c>
      <c r="AI57" s="1240">
        <v>4.276E9</v>
      </c>
      <c r="AJ57" s="1240">
        <v>4.314E9</v>
      </c>
      <c r="AK57" s="1242" t="s">
        <v>1326</v>
      </c>
      <c r="AL57" s="1242" t="s">
        <v>1327</v>
      </c>
      <c r="AM57" s="913"/>
      <c r="AN57" s="913"/>
      <c r="AO57" s="913"/>
      <c r="AP57" s="913"/>
      <c r="AQ57" s="913"/>
      <c r="AR57" s="913"/>
      <c r="AS57" s="913"/>
      <c r="AT57" s="913"/>
      <c r="AU57" s="913"/>
      <c r="AV57" s="913"/>
      <c r="AW57" s="913"/>
      <c r="AX57" s="913"/>
      <c r="AY57" s="913"/>
      <c r="AZ57" s="913"/>
      <c r="BA57" s="913"/>
      <c r="BB57" s="913"/>
      <c r="BC57" s="913"/>
      <c r="BD57" s="913"/>
      <c r="BE57" s="913"/>
      <c r="BF57" s="913"/>
      <c r="BG57" s="913"/>
    </row>
    <row r="58">
      <c r="A58" s="480"/>
      <c r="B58" s="480"/>
      <c r="C58" s="480"/>
      <c r="D58" s="480"/>
      <c r="E58" s="480"/>
      <c r="F58" s="480"/>
      <c r="G58" s="480"/>
      <c r="H58" s="913"/>
      <c r="I58" s="913"/>
      <c r="J58" s="913"/>
      <c r="K58" s="913"/>
      <c r="L58" s="913"/>
      <c r="M58" s="913"/>
      <c r="N58" s="913"/>
      <c r="O58" s="913"/>
      <c r="P58" s="913"/>
      <c r="Q58" s="913"/>
      <c r="R58" s="913"/>
      <c r="S58" s="913"/>
      <c r="T58" s="913"/>
      <c r="U58" s="913"/>
      <c r="V58" s="913"/>
      <c r="W58" s="913"/>
      <c r="X58" s="913"/>
      <c r="Y58" s="913"/>
      <c r="Z58" s="913"/>
      <c r="AA58" s="913"/>
      <c r="AB58" s="913"/>
      <c r="AC58" s="913"/>
      <c r="AD58" s="913"/>
      <c r="AE58" s="913"/>
      <c r="AF58" s="913"/>
      <c r="AG58" s="913"/>
      <c r="AH58" s="913"/>
      <c r="AI58" s="913"/>
      <c r="AJ58" s="913"/>
      <c r="AK58" s="913"/>
      <c r="AL58" s="913"/>
      <c r="AM58" s="913"/>
      <c r="AN58" s="913"/>
      <c r="AO58" s="913"/>
      <c r="AP58" s="913"/>
      <c r="AQ58" s="913"/>
      <c r="AR58" s="913"/>
      <c r="AS58" s="913"/>
      <c r="AT58" s="913"/>
      <c r="AU58" s="913"/>
      <c r="AV58" s="913"/>
      <c r="AW58" s="913"/>
      <c r="AX58" s="913"/>
      <c r="AY58" s="913"/>
      <c r="AZ58" s="913"/>
      <c r="BA58" s="913"/>
      <c r="BB58" s="913"/>
      <c r="BC58" s="913"/>
      <c r="BD58" s="913"/>
      <c r="BE58" s="913"/>
      <c r="BF58" s="913"/>
      <c r="BG58" s="913"/>
    </row>
    <row r="59">
      <c r="A59" s="1220" t="s">
        <v>1084</v>
      </c>
      <c r="B59" s="480"/>
      <c r="C59" s="480"/>
      <c r="D59" s="480"/>
      <c r="E59" s="480"/>
      <c r="F59" s="480"/>
      <c r="G59" s="480"/>
      <c r="H59" s="913"/>
      <c r="I59" s="913"/>
      <c r="J59" s="913"/>
      <c r="K59" s="913"/>
      <c r="L59" s="913"/>
      <c r="M59" s="913"/>
      <c r="N59" s="913"/>
      <c r="O59" s="913"/>
      <c r="P59" s="913"/>
      <c r="Q59" s="913"/>
      <c r="R59" s="913"/>
      <c r="S59" s="913"/>
      <c r="T59" s="913"/>
      <c r="U59" s="913"/>
      <c r="V59" s="913"/>
      <c r="W59" s="913"/>
      <c r="X59" s="913"/>
      <c r="Y59" s="913"/>
      <c r="Z59" s="913"/>
      <c r="AA59" s="913"/>
      <c r="AB59" s="913"/>
      <c r="AC59" s="913"/>
      <c r="AD59" s="913"/>
      <c r="AE59" s="913"/>
      <c r="AF59" s="913"/>
      <c r="AG59" s="913"/>
      <c r="AH59" s="913"/>
      <c r="AI59" s="913"/>
      <c r="AJ59" s="913"/>
      <c r="AK59" s="913"/>
      <c r="AL59" s="913"/>
      <c r="AM59" s="913"/>
      <c r="AN59" s="913"/>
      <c r="AO59" s="913"/>
      <c r="AP59" s="913"/>
      <c r="AQ59" s="913"/>
      <c r="AR59" s="913"/>
      <c r="AS59" s="913"/>
      <c r="AT59" s="913"/>
      <c r="AU59" s="913"/>
      <c r="AV59" s="913"/>
      <c r="AW59" s="913"/>
      <c r="AX59" s="913"/>
      <c r="AY59" s="913"/>
      <c r="AZ59" s="913"/>
      <c r="BA59" s="913"/>
      <c r="BB59" s="913"/>
      <c r="BC59" s="913"/>
      <c r="BD59" s="913"/>
      <c r="BE59" s="913"/>
      <c r="BF59" s="913"/>
      <c r="BG59" s="913"/>
    </row>
    <row r="60">
      <c r="A60" s="1243" t="s">
        <v>1037</v>
      </c>
      <c r="B60" s="1220" t="s">
        <v>984</v>
      </c>
      <c r="C60" s="1220" t="s">
        <v>1038</v>
      </c>
      <c r="D60" s="1220" t="s">
        <v>994</v>
      </c>
      <c r="E60" s="1220" t="s">
        <v>1039</v>
      </c>
      <c r="F60" s="1220" t="s">
        <v>1040</v>
      </c>
      <c r="G60" s="1220" t="s">
        <v>1041</v>
      </c>
      <c r="H60" s="1236" t="s">
        <v>1042</v>
      </c>
      <c r="I60" s="1237" t="s">
        <v>1085</v>
      </c>
      <c r="J60" s="1236" t="s">
        <v>1086</v>
      </c>
      <c r="K60" s="1236" t="s">
        <v>1087</v>
      </c>
      <c r="L60" s="1236" t="s">
        <v>1088</v>
      </c>
      <c r="M60" s="1236" t="s">
        <v>1089</v>
      </c>
      <c r="N60" s="1236" t="s">
        <v>1090</v>
      </c>
      <c r="O60" s="1236" t="s">
        <v>1091</v>
      </c>
      <c r="P60" s="1236" t="s">
        <v>1092</v>
      </c>
      <c r="Q60" s="1236" t="s">
        <v>1093</v>
      </c>
      <c r="R60" s="1236" t="s">
        <v>1094</v>
      </c>
      <c r="S60" s="1236" t="s">
        <v>1095</v>
      </c>
      <c r="T60" s="1236" t="s">
        <v>1096</v>
      </c>
      <c r="U60" s="1236" t="s">
        <v>1097</v>
      </c>
      <c r="V60" s="1236" t="s">
        <v>1098</v>
      </c>
      <c r="W60" s="1236" t="s">
        <v>1099</v>
      </c>
      <c r="X60" s="1236" t="s">
        <v>1100</v>
      </c>
      <c r="Y60" s="1236" t="s">
        <v>1101</v>
      </c>
      <c r="Z60" s="1236" t="s">
        <v>1102</v>
      </c>
      <c r="AA60" s="1236" t="s">
        <v>1103</v>
      </c>
      <c r="AB60" s="1236" t="s">
        <v>1104</v>
      </c>
      <c r="AC60" s="1236" t="s">
        <v>1105</v>
      </c>
      <c r="AD60" s="1236" t="s">
        <v>1106</v>
      </c>
      <c r="AE60" s="1236" t="s">
        <v>1107</v>
      </c>
      <c r="AF60" s="1236" t="s">
        <v>1108</v>
      </c>
      <c r="AG60" s="1236" t="s">
        <v>1109</v>
      </c>
      <c r="AH60" s="1236" t="s">
        <v>1110</v>
      </c>
      <c r="AI60" s="1236" t="s">
        <v>1111</v>
      </c>
      <c r="AJ60" s="1236" t="s">
        <v>1112</v>
      </c>
      <c r="AK60" s="1236" t="s">
        <v>1113</v>
      </c>
      <c r="AL60" s="1236" t="s">
        <v>1114</v>
      </c>
      <c r="AM60" s="1236" t="s">
        <v>1115</v>
      </c>
      <c r="AN60" s="1236" t="s">
        <v>1116</v>
      </c>
      <c r="AO60" s="1236" t="s">
        <v>1117</v>
      </c>
      <c r="AP60" s="1236" t="s">
        <v>1118</v>
      </c>
      <c r="AQ60" s="1236" t="s">
        <v>1119</v>
      </c>
      <c r="AR60" s="1236" t="s">
        <v>1120</v>
      </c>
      <c r="AS60" s="1236" t="s">
        <v>1121</v>
      </c>
      <c r="AT60" s="1236" t="s">
        <v>1122</v>
      </c>
      <c r="AU60" s="1236" t="s">
        <v>1123</v>
      </c>
      <c r="AV60" s="1236" t="s">
        <v>1124</v>
      </c>
      <c r="AW60" s="1236" t="s">
        <v>1125</v>
      </c>
      <c r="AX60" s="1236" t="s">
        <v>1126</v>
      </c>
      <c r="AY60" s="1237" t="s">
        <v>1127</v>
      </c>
      <c r="AZ60" s="1236" t="s">
        <v>1128</v>
      </c>
      <c r="BA60" s="1236" t="s">
        <v>1071</v>
      </c>
      <c r="BB60" s="1236" t="s">
        <v>1072</v>
      </c>
      <c r="BC60" s="913"/>
      <c r="BD60" s="913"/>
      <c r="BE60" s="913"/>
      <c r="BF60" s="913"/>
      <c r="BG60" s="913"/>
    </row>
    <row r="61">
      <c r="A61" s="1238">
        <v>45291.0</v>
      </c>
      <c r="B61" s="1220" t="s">
        <v>114</v>
      </c>
      <c r="C61" s="1220" t="s">
        <v>1021</v>
      </c>
      <c r="D61" s="1220">
        <v>21344.0</v>
      </c>
      <c r="E61" s="1238">
        <v>45342.0</v>
      </c>
      <c r="F61" s="1239">
        <v>45342.55652777778</v>
      </c>
      <c r="G61" s="1220">
        <v>2023.0</v>
      </c>
      <c r="H61" s="1236" t="s">
        <v>1073</v>
      </c>
      <c r="I61" s="1241">
        <v>9.366E9</v>
      </c>
      <c r="J61" s="1240">
        <v>4.297E9</v>
      </c>
      <c r="K61" s="1240">
        <v>1.3663E10</v>
      </c>
      <c r="L61" s="1240">
        <v>3.41E9</v>
      </c>
      <c r="M61" s="1240">
        <v>4.424E9</v>
      </c>
      <c r="N61" s="1240">
        <v>5.235E9</v>
      </c>
      <c r="O61" s="1240">
        <v>2.6732E10</v>
      </c>
      <c r="P61" s="1240">
        <v>9.236E9</v>
      </c>
      <c r="Q61" s="1240">
        <v>1.8358E10</v>
      </c>
      <c r="R61" s="1240">
        <v>1.4865E10</v>
      </c>
      <c r="S61" s="1240">
        <v>3.3223E10</v>
      </c>
      <c r="T61" s="1240">
        <v>1.9789E10</v>
      </c>
      <c r="U61" s="1240">
        <v>1.561E9</v>
      </c>
      <c r="V61" s="1240">
        <v>7.162E9</v>
      </c>
      <c r="W61" s="1240">
        <v>7.0971E10</v>
      </c>
      <c r="X61" s="1240">
        <v>0.0</v>
      </c>
      <c r="Y61" s="1240">
        <v>9.7703E10</v>
      </c>
      <c r="Z61" s="1240">
        <v>5.59E9</v>
      </c>
      <c r="AA61" s="1240">
        <v>6.517E9</v>
      </c>
      <c r="AB61" s="1240">
        <v>1.569E9</v>
      </c>
      <c r="AC61" s="1240">
        <v>0.0</v>
      </c>
      <c r="AD61" s="1240">
        <v>9.895E9</v>
      </c>
      <c r="AE61" s="1240">
        <v>2.3571E10</v>
      </c>
      <c r="AF61" s="1240">
        <v>3.6548E10</v>
      </c>
      <c r="AG61" s="1240">
        <v>-1.001E9</v>
      </c>
      <c r="AH61" s="1240">
        <v>2.639E9</v>
      </c>
      <c r="AI61" s="1240">
        <v>7.465E9</v>
      </c>
      <c r="AJ61" s="1240">
        <v>4.6652E10</v>
      </c>
      <c r="AK61" s="1240">
        <v>0.0</v>
      </c>
      <c r="AL61" s="1240">
        <v>1.001E9</v>
      </c>
      <c r="AM61" s="1240">
        <v>7.0223E10</v>
      </c>
      <c r="AN61" s="1240">
        <v>0.0</v>
      </c>
      <c r="AO61" s="1240">
        <v>1.76E9</v>
      </c>
      <c r="AP61" s="1240">
        <v>7.3782E10</v>
      </c>
      <c r="AQ61" s="1240">
        <v>-1.4275E10</v>
      </c>
      <c r="AR61" s="1240">
        <v>-3.5326E10</v>
      </c>
      <c r="AS61" s="1240">
        <v>2.5941E10</v>
      </c>
      <c r="AT61" s="1240">
        <v>2.748E10</v>
      </c>
      <c r="AU61" s="1240">
        <v>9.7703E10</v>
      </c>
      <c r="AV61" s="1240">
        <v>1.539E9</v>
      </c>
      <c r="AW61" s="1240">
        <v>9.7703E10</v>
      </c>
      <c r="AX61" s="1240">
        <v>2.4086E10</v>
      </c>
      <c r="AY61" s="1241">
        <v>4.2064E10</v>
      </c>
      <c r="AZ61" s="1240">
        <v>3.2698E10</v>
      </c>
      <c r="BA61" s="1242" t="s">
        <v>1318</v>
      </c>
      <c r="BB61" s="1242" t="s">
        <v>1319</v>
      </c>
      <c r="BC61" s="913"/>
      <c r="BD61" s="913"/>
      <c r="BE61" s="913"/>
      <c r="BF61" s="913"/>
      <c r="BG61" s="913"/>
    </row>
    <row r="62">
      <c r="A62" s="1238">
        <v>44926.0</v>
      </c>
      <c r="B62" s="1220" t="s">
        <v>114</v>
      </c>
      <c r="C62" s="1220" t="s">
        <v>1021</v>
      </c>
      <c r="D62" s="1220">
        <v>21344.0</v>
      </c>
      <c r="E62" s="1238">
        <v>44978.0</v>
      </c>
      <c r="F62" s="1239">
        <v>44978.66898148148</v>
      </c>
      <c r="G62" s="1220">
        <v>2022.0</v>
      </c>
      <c r="H62" s="1236" t="s">
        <v>1073</v>
      </c>
      <c r="I62" s="1240">
        <v>9.519E9</v>
      </c>
      <c r="J62" s="1240">
        <v>2.112E9</v>
      </c>
      <c r="K62" s="1240">
        <v>1.1631E10</v>
      </c>
      <c r="L62" s="1240">
        <v>3.487E9</v>
      </c>
      <c r="M62" s="1240">
        <v>4.233E9</v>
      </c>
      <c r="N62" s="1240">
        <v>6.48E9</v>
      </c>
      <c r="O62" s="1240">
        <v>2.2591E10</v>
      </c>
      <c r="P62" s="1240">
        <v>9.841E9</v>
      </c>
      <c r="Q62" s="1240">
        <v>1.8782E10</v>
      </c>
      <c r="R62" s="1240">
        <v>1.4849E10</v>
      </c>
      <c r="S62" s="1240">
        <v>3.3631E10</v>
      </c>
      <c r="T62" s="1240">
        <v>1.8765E10</v>
      </c>
      <c r="U62" s="1240">
        <v>1.746E9</v>
      </c>
      <c r="V62" s="1240">
        <v>6.189E9</v>
      </c>
      <c r="W62" s="1240">
        <v>7.0172E10</v>
      </c>
      <c r="X62" s="1240">
        <v>0.0</v>
      </c>
      <c r="Y62" s="1240">
        <v>9.2763E10</v>
      </c>
      <c r="Z62" s="1240">
        <v>5.307E9</v>
      </c>
      <c r="AA62" s="1240">
        <v>2.772E9</v>
      </c>
      <c r="AB62" s="1240">
        <v>1.203E9</v>
      </c>
      <c r="AC62" s="1240">
        <v>0.0</v>
      </c>
      <c r="AD62" s="1240">
        <v>1.0442E10</v>
      </c>
      <c r="AE62" s="1240">
        <v>1.9724E10</v>
      </c>
      <c r="AF62" s="1240">
        <v>3.749E10</v>
      </c>
      <c r="AG62" s="1240">
        <v>0.0</v>
      </c>
      <c r="AH62" s="1240">
        <v>2.914E9</v>
      </c>
      <c r="AI62" s="1240">
        <v>6.809E9</v>
      </c>
      <c r="AJ62" s="1240">
        <v>4.7213E10</v>
      </c>
      <c r="AK62" s="1240">
        <v>0.0</v>
      </c>
      <c r="AL62" s="1240">
        <v>1.113E9</v>
      </c>
      <c r="AM62" s="1240">
        <v>6.6937E10</v>
      </c>
      <c r="AN62" s="1240">
        <v>0.0</v>
      </c>
      <c r="AO62" s="1240">
        <v>1.76E9</v>
      </c>
      <c r="AP62" s="1240">
        <v>7.1019E10</v>
      </c>
      <c r="AQ62" s="1240">
        <v>-1.4895E10</v>
      </c>
      <c r="AR62" s="1240">
        <v>-3.3779E10</v>
      </c>
      <c r="AS62" s="1240">
        <v>2.4105E10</v>
      </c>
      <c r="AT62" s="1240">
        <v>2.5826E10</v>
      </c>
      <c r="AU62" s="1240">
        <v>9.2763E10</v>
      </c>
      <c r="AV62" s="1240">
        <v>1.721E9</v>
      </c>
      <c r="AW62" s="1240">
        <v>9.2763E10</v>
      </c>
      <c r="AX62" s="1240">
        <v>2.0877E10</v>
      </c>
      <c r="AY62" s="1240">
        <v>3.9149E10</v>
      </c>
      <c r="AZ62" s="1240">
        <v>2.963E10</v>
      </c>
      <c r="BA62" s="1242" t="s">
        <v>1320</v>
      </c>
      <c r="BB62" s="1242" t="s">
        <v>1321</v>
      </c>
      <c r="BC62" s="913"/>
      <c r="BD62" s="913"/>
      <c r="BE62" s="913"/>
      <c r="BF62" s="913"/>
      <c r="BG62" s="913"/>
    </row>
    <row r="63">
      <c r="A63" s="1238">
        <v>44561.0</v>
      </c>
      <c r="B63" s="1220" t="s">
        <v>114</v>
      </c>
      <c r="C63" s="1220" t="s">
        <v>1021</v>
      </c>
      <c r="D63" s="1220">
        <v>21344.0</v>
      </c>
      <c r="E63" s="1238">
        <v>44614.0</v>
      </c>
      <c r="F63" s="1239">
        <v>44614.656805555554</v>
      </c>
      <c r="G63" s="1220">
        <v>2021.0</v>
      </c>
      <c r="H63" s="1236" t="s">
        <v>1073</v>
      </c>
      <c r="I63" s="1240">
        <v>9.684E9</v>
      </c>
      <c r="J63" s="1240">
        <v>2.941E9</v>
      </c>
      <c r="K63" s="1240">
        <v>1.2625E10</v>
      </c>
      <c r="L63" s="1240">
        <v>3.512E9</v>
      </c>
      <c r="M63" s="1240">
        <v>3.414E9</v>
      </c>
      <c r="N63" s="1240">
        <v>5.988E9</v>
      </c>
      <c r="O63" s="1240">
        <v>2.2545E10</v>
      </c>
      <c r="P63" s="1240">
        <v>9.92E9</v>
      </c>
      <c r="Q63" s="1240">
        <v>1.9363E10</v>
      </c>
      <c r="R63" s="1240">
        <v>1.525E10</v>
      </c>
      <c r="S63" s="1240">
        <v>3.4613E10</v>
      </c>
      <c r="T63" s="1240">
        <v>1.8416E10</v>
      </c>
      <c r="U63" s="1240">
        <v>2.129E9</v>
      </c>
      <c r="V63" s="1240">
        <v>6.731E9</v>
      </c>
      <c r="W63" s="1240">
        <v>7.1809E10</v>
      </c>
      <c r="X63" s="1240">
        <v>0.0</v>
      </c>
      <c r="Y63" s="1240">
        <v>9.4354E10</v>
      </c>
      <c r="Z63" s="1240">
        <v>4.602E9</v>
      </c>
      <c r="AA63" s="1240">
        <v>4.645E9</v>
      </c>
      <c r="AB63" s="1240">
        <v>6.86E8</v>
      </c>
      <c r="AC63" s="1240">
        <v>0.0</v>
      </c>
      <c r="AD63" s="1240">
        <v>1.0017E10</v>
      </c>
      <c r="AE63" s="1240">
        <v>1.995E10</v>
      </c>
      <c r="AF63" s="1240">
        <v>3.9277E10</v>
      </c>
      <c r="AG63" s="1240">
        <v>0.0</v>
      </c>
      <c r="AH63" s="1240">
        <v>2.821E9</v>
      </c>
      <c r="AI63" s="1240">
        <v>7.446E9</v>
      </c>
      <c r="AJ63" s="1240">
        <v>4.9544E10</v>
      </c>
      <c r="AK63" s="1240">
        <v>0.0</v>
      </c>
      <c r="AL63" s="1240">
        <v>1.161E9</v>
      </c>
      <c r="AM63" s="1240">
        <v>6.9494E10</v>
      </c>
      <c r="AN63" s="1240">
        <v>0.0</v>
      </c>
      <c r="AO63" s="1240">
        <v>1.76E9</v>
      </c>
      <c r="AP63" s="1240">
        <v>6.9094E10</v>
      </c>
      <c r="AQ63" s="1240">
        <v>-1.433E10</v>
      </c>
      <c r="AR63" s="1240">
        <v>-3.3525E10</v>
      </c>
      <c r="AS63" s="1240">
        <v>2.2999E10</v>
      </c>
      <c r="AT63" s="1240">
        <v>2.486E10</v>
      </c>
      <c r="AU63" s="1240">
        <v>9.4354E10</v>
      </c>
      <c r="AV63" s="1240">
        <v>1.861E9</v>
      </c>
      <c r="AW63" s="1240">
        <v>9.4354E10</v>
      </c>
      <c r="AX63" s="1240">
        <v>2.1357E10</v>
      </c>
      <c r="AY63" s="1240">
        <v>4.2761E10</v>
      </c>
      <c r="AZ63" s="1240">
        <v>3.3077E10</v>
      </c>
      <c r="BA63" s="1242" t="s">
        <v>1322</v>
      </c>
      <c r="BB63" s="1242" t="s">
        <v>1323</v>
      </c>
      <c r="BC63" s="913"/>
      <c r="BD63" s="913"/>
      <c r="BE63" s="913"/>
      <c r="BF63" s="913"/>
      <c r="BG63" s="913"/>
    </row>
    <row r="64">
      <c r="A64" s="1238">
        <v>44196.0</v>
      </c>
      <c r="B64" s="1220" t="s">
        <v>114</v>
      </c>
      <c r="C64" s="1220" t="s">
        <v>1021</v>
      </c>
      <c r="D64" s="1220">
        <v>21344.0</v>
      </c>
      <c r="E64" s="1238">
        <v>44252.0</v>
      </c>
      <c r="F64" s="1239">
        <v>44252.57450231481</v>
      </c>
      <c r="G64" s="1220">
        <v>2020.0</v>
      </c>
      <c r="H64" s="1236" t="s">
        <v>1073</v>
      </c>
      <c r="I64" s="1240">
        <v>6.795E9</v>
      </c>
      <c r="J64" s="1240">
        <v>4.119E9</v>
      </c>
      <c r="K64" s="1240">
        <v>1.0914E10</v>
      </c>
      <c r="L64" s="1240">
        <v>3.144E9</v>
      </c>
      <c r="M64" s="1240">
        <v>3.266E9</v>
      </c>
      <c r="N64" s="1240">
        <v>3.832E9</v>
      </c>
      <c r="O64" s="1240">
        <v>1.924E10</v>
      </c>
      <c r="P64" s="1240">
        <v>1.0777E10</v>
      </c>
      <c r="Q64" s="1240">
        <v>1.7506E10</v>
      </c>
      <c r="R64" s="1240">
        <v>1.1044E10</v>
      </c>
      <c r="S64" s="1240">
        <v>2.855E10</v>
      </c>
      <c r="T64" s="1240">
        <v>2.0085E10</v>
      </c>
      <c r="U64" s="1240">
        <v>2.46E9</v>
      </c>
      <c r="V64" s="1240">
        <v>6.184E9</v>
      </c>
      <c r="W64" s="1240">
        <v>6.8056E10</v>
      </c>
      <c r="X64" s="1240">
        <v>0.0</v>
      </c>
      <c r="Y64" s="1240">
        <v>8.7296E10</v>
      </c>
      <c r="Z64" s="1240">
        <v>3.517E9</v>
      </c>
      <c r="AA64" s="1240">
        <v>2.99E9</v>
      </c>
      <c r="AB64" s="1240">
        <v>7.88E8</v>
      </c>
      <c r="AC64" s="1240">
        <v>0.0</v>
      </c>
      <c r="AD64" s="1240">
        <v>7.306E9</v>
      </c>
      <c r="AE64" s="1240">
        <v>1.4601E10</v>
      </c>
      <c r="AF64" s="1240">
        <v>4.1425E10</v>
      </c>
      <c r="AG64" s="1240">
        <v>0.0</v>
      </c>
      <c r="AH64" s="1240">
        <v>1.833E9</v>
      </c>
      <c r="AI64" s="1240">
        <v>8.153E9</v>
      </c>
      <c r="AJ64" s="1240">
        <v>5.1411E10</v>
      </c>
      <c r="AK64" s="1240">
        <v>0.0</v>
      </c>
      <c r="AL64" s="1240">
        <v>1.3E9</v>
      </c>
      <c r="AM64" s="1240">
        <v>6.6012E10</v>
      </c>
      <c r="AN64" s="1240">
        <v>0.0</v>
      </c>
      <c r="AO64" s="1240">
        <v>1.76E9</v>
      </c>
      <c r="AP64" s="1240">
        <v>6.6555E10</v>
      </c>
      <c r="AQ64" s="1240">
        <v>-1.4601E10</v>
      </c>
      <c r="AR64" s="1240">
        <v>-3.4415E10</v>
      </c>
      <c r="AS64" s="1240">
        <v>1.9299E10</v>
      </c>
      <c r="AT64" s="1240">
        <v>2.1284E10</v>
      </c>
      <c r="AU64" s="1240">
        <v>8.7296E10</v>
      </c>
      <c r="AV64" s="1240">
        <v>1.985E9</v>
      </c>
      <c r="AW64" s="1240">
        <v>8.7296E10</v>
      </c>
      <c r="AX64" s="1240">
        <v>2.4204E10</v>
      </c>
      <c r="AY64" s="1240">
        <v>4.2793E10</v>
      </c>
      <c r="AZ64" s="1240">
        <v>3.5998E10</v>
      </c>
      <c r="BA64" s="1242" t="s">
        <v>1324</v>
      </c>
      <c r="BB64" s="1242" t="s">
        <v>1325</v>
      </c>
      <c r="BC64" s="913"/>
      <c r="BD64" s="913"/>
      <c r="BE64" s="913"/>
      <c r="BF64" s="913"/>
      <c r="BG64" s="913"/>
    </row>
    <row r="65">
      <c r="A65" s="1238">
        <v>43830.0</v>
      </c>
      <c r="B65" s="1220" t="s">
        <v>114</v>
      </c>
      <c r="C65" s="1220" t="s">
        <v>1021</v>
      </c>
      <c r="D65" s="1220">
        <v>21344.0</v>
      </c>
      <c r="E65" s="1238">
        <v>43885.0</v>
      </c>
      <c r="F65" s="1239">
        <v>43885.672418981485</v>
      </c>
      <c r="G65" s="1220">
        <v>2019.0</v>
      </c>
      <c r="H65" s="1236" t="s">
        <v>1073</v>
      </c>
      <c r="I65" s="1240">
        <v>6.48E9</v>
      </c>
      <c r="J65" s="1240">
        <v>4.695E9</v>
      </c>
      <c r="K65" s="1240">
        <v>1.1175E10</v>
      </c>
      <c r="L65" s="1240">
        <v>3.971E9</v>
      </c>
      <c r="M65" s="1240">
        <v>3.379E9</v>
      </c>
      <c r="N65" s="1240">
        <v>3.772E9</v>
      </c>
      <c r="O65" s="1240">
        <v>2.0411E10</v>
      </c>
      <c r="P65" s="1240">
        <v>1.0838E10</v>
      </c>
      <c r="Q65" s="1240">
        <v>1.6764E10</v>
      </c>
      <c r="R65" s="1240">
        <v>1.0002E10</v>
      </c>
      <c r="S65" s="1240">
        <v>2.6766E10</v>
      </c>
      <c r="T65" s="1240">
        <v>1.9879E10</v>
      </c>
      <c r="U65" s="1240">
        <v>2.412E9</v>
      </c>
      <c r="V65" s="1240">
        <v>6.075E9</v>
      </c>
      <c r="W65" s="1240">
        <v>6.597E10</v>
      </c>
      <c r="X65" s="1240">
        <v>0.0</v>
      </c>
      <c r="Y65" s="1240">
        <v>8.6381E10</v>
      </c>
      <c r="Z65" s="1240">
        <v>3.804E9</v>
      </c>
      <c r="AA65" s="1240">
        <v>1.5247E10</v>
      </c>
      <c r="AB65" s="1240">
        <v>4.14E8</v>
      </c>
      <c r="AC65" s="1240">
        <v>0.0</v>
      </c>
      <c r="AD65" s="1240">
        <v>7.508E9</v>
      </c>
      <c r="AE65" s="1240">
        <v>2.6973E10</v>
      </c>
      <c r="AF65" s="1240">
        <v>2.8627E10</v>
      </c>
      <c r="AG65" s="1240">
        <v>0.0</v>
      </c>
      <c r="AH65" s="1240">
        <v>2.284E9</v>
      </c>
      <c r="AI65" s="1240">
        <v>7.399E9</v>
      </c>
      <c r="AJ65" s="1240">
        <v>3.831E10</v>
      </c>
      <c r="AK65" s="1240">
        <v>0.0</v>
      </c>
      <c r="AL65" s="1240">
        <v>1.111E9</v>
      </c>
      <c r="AM65" s="1240">
        <v>6.5283E10</v>
      </c>
      <c r="AN65" s="1240">
        <v>0.0</v>
      </c>
      <c r="AO65" s="1240">
        <v>1.76E9</v>
      </c>
      <c r="AP65" s="1240">
        <v>6.581E10</v>
      </c>
      <c r="AQ65" s="1240">
        <v>-1.3499E10</v>
      </c>
      <c r="AR65" s="1240">
        <v>-3.509E10</v>
      </c>
      <c r="AS65" s="1240">
        <v>1.8981E10</v>
      </c>
      <c r="AT65" s="1240">
        <v>2.1098E10</v>
      </c>
      <c r="AU65" s="1240">
        <v>8.6381E10</v>
      </c>
      <c r="AV65" s="1240">
        <v>2.117E9</v>
      </c>
      <c r="AW65" s="1240">
        <v>8.6381E10</v>
      </c>
      <c r="AX65" s="1240">
        <v>2.4574E10</v>
      </c>
      <c r="AY65" s="1240">
        <v>4.2763E10</v>
      </c>
      <c r="AZ65" s="1240">
        <v>3.6283E10</v>
      </c>
      <c r="BA65" s="1242" t="s">
        <v>1326</v>
      </c>
      <c r="BB65" s="1242" t="s">
        <v>1327</v>
      </c>
      <c r="BC65" s="913"/>
      <c r="BD65" s="913"/>
      <c r="BE65" s="913"/>
      <c r="BF65" s="913"/>
      <c r="BG65" s="913"/>
    </row>
    <row r="66">
      <c r="A66" s="480"/>
      <c r="B66" s="480"/>
      <c r="C66" s="480"/>
      <c r="D66" s="480"/>
      <c r="E66" s="480"/>
      <c r="F66" s="480"/>
      <c r="G66" s="480"/>
      <c r="H66" s="913"/>
      <c r="I66" s="913"/>
      <c r="J66" s="913"/>
      <c r="K66" s="913"/>
      <c r="L66" s="913"/>
      <c r="M66" s="913"/>
      <c r="N66" s="913"/>
      <c r="O66" s="913"/>
      <c r="P66" s="913"/>
      <c r="Q66" s="913"/>
      <c r="R66" s="913"/>
      <c r="S66" s="913"/>
      <c r="T66" s="913"/>
      <c r="U66" s="913"/>
      <c r="V66" s="913"/>
      <c r="W66" s="913"/>
      <c r="X66" s="913"/>
      <c r="Y66" s="913"/>
      <c r="Z66" s="913"/>
      <c r="AA66" s="913"/>
      <c r="AB66" s="913"/>
      <c r="AC66" s="913"/>
      <c r="AD66" s="913"/>
      <c r="AE66" s="913"/>
      <c r="AF66" s="913"/>
      <c r="AG66" s="913"/>
      <c r="AH66" s="913"/>
      <c r="AI66" s="913"/>
      <c r="AJ66" s="913"/>
      <c r="AK66" s="913"/>
      <c r="AL66" s="913"/>
      <c r="AM66" s="913"/>
      <c r="AN66" s="913"/>
      <c r="AO66" s="913"/>
      <c r="AP66" s="913"/>
      <c r="AQ66" s="913"/>
      <c r="AR66" s="913"/>
      <c r="AS66" s="913"/>
      <c r="AT66" s="913"/>
      <c r="AU66" s="913"/>
      <c r="AV66" s="913"/>
      <c r="AW66" s="913"/>
      <c r="AX66" s="913"/>
      <c r="AY66" s="913"/>
      <c r="AZ66" s="913"/>
      <c r="BA66" s="913"/>
      <c r="BB66" s="913"/>
      <c r="BC66" s="913"/>
      <c r="BD66" s="913"/>
      <c r="BE66" s="913"/>
      <c r="BF66" s="913"/>
      <c r="BG66" s="913"/>
    </row>
    <row r="67">
      <c r="A67" s="1220" t="s">
        <v>1129</v>
      </c>
      <c r="B67" s="480"/>
      <c r="C67" s="480"/>
      <c r="D67" s="480"/>
      <c r="E67" s="480"/>
      <c r="F67" s="480"/>
      <c r="G67" s="480"/>
      <c r="H67" s="913"/>
      <c r="I67" s="913"/>
      <c r="J67" s="913"/>
      <c r="K67" s="913"/>
      <c r="L67" s="913"/>
      <c r="M67" s="913"/>
      <c r="N67" s="913"/>
      <c r="O67" s="913"/>
      <c r="P67" s="913"/>
      <c r="Q67" s="913"/>
      <c r="R67" s="913"/>
      <c r="S67" s="913"/>
      <c r="T67" s="913"/>
      <c r="U67" s="913"/>
      <c r="V67" s="913"/>
      <c r="W67" s="913"/>
      <c r="X67" s="913"/>
      <c r="Y67" s="913"/>
      <c r="Z67" s="913"/>
      <c r="AA67" s="913"/>
      <c r="AB67" s="913"/>
      <c r="AC67" s="913"/>
      <c r="AD67" s="913"/>
      <c r="AE67" s="913"/>
      <c r="AF67" s="913"/>
      <c r="AG67" s="913"/>
      <c r="AH67" s="913"/>
      <c r="AI67" s="913"/>
      <c r="AJ67" s="913"/>
      <c r="AK67" s="913"/>
      <c r="AL67" s="913"/>
      <c r="AM67" s="913"/>
      <c r="AN67" s="913"/>
      <c r="AO67" s="913"/>
      <c r="AP67" s="913"/>
      <c r="AQ67" s="913"/>
      <c r="AR67" s="913"/>
      <c r="AS67" s="913"/>
      <c r="AT67" s="913"/>
      <c r="AU67" s="913"/>
      <c r="AV67" s="913"/>
      <c r="AW67" s="913"/>
      <c r="AX67" s="913"/>
      <c r="AY67" s="913"/>
      <c r="AZ67" s="913"/>
      <c r="BA67" s="913"/>
      <c r="BB67" s="913"/>
      <c r="BC67" s="913"/>
      <c r="BD67" s="913"/>
      <c r="BE67" s="913"/>
      <c r="BF67" s="913"/>
      <c r="BG67" s="913"/>
    </row>
    <row r="68">
      <c r="A68" s="1243" t="s">
        <v>1037</v>
      </c>
      <c r="B68" s="1220" t="s">
        <v>984</v>
      </c>
      <c r="C68" s="1220" t="s">
        <v>1038</v>
      </c>
      <c r="D68" s="1220" t="s">
        <v>994</v>
      </c>
      <c r="E68" s="1220" t="s">
        <v>1039</v>
      </c>
      <c r="F68" s="1220" t="s">
        <v>1040</v>
      </c>
      <c r="G68" s="1220" t="s">
        <v>1041</v>
      </c>
      <c r="H68" s="1236" t="s">
        <v>1042</v>
      </c>
      <c r="I68" s="1237" t="s">
        <v>1065</v>
      </c>
      <c r="J68" s="1236" t="s">
        <v>1056</v>
      </c>
      <c r="K68" s="1236" t="s">
        <v>1130</v>
      </c>
      <c r="L68" s="1236" t="s">
        <v>1131</v>
      </c>
      <c r="M68" s="1236" t="s">
        <v>1132</v>
      </c>
      <c r="N68" s="1236" t="s">
        <v>1133</v>
      </c>
      <c r="O68" s="1236" t="s">
        <v>1089</v>
      </c>
      <c r="P68" s="1236" t="s">
        <v>1134</v>
      </c>
      <c r="Q68" s="1236" t="s">
        <v>1135</v>
      </c>
      <c r="R68" s="1236" t="s">
        <v>1136</v>
      </c>
      <c r="S68" s="1236" t="s">
        <v>1137</v>
      </c>
      <c r="T68" s="1236" t="s">
        <v>1138</v>
      </c>
      <c r="U68" s="1236" t="s">
        <v>1139</v>
      </c>
      <c r="V68" s="1236" t="s">
        <v>1140</v>
      </c>
      <c r="W68" s="1236" t="s">
        <v>1141</v>
      </c>
      <c r="X68" s="1236" t="s">
        <v>1142</v>
      </c>
      <c r="Y68" s="1236" t="s">
        <v>1143</v>
      </c>
      <c r="Z68" s="1236" t="s">
        <v>1144</v>
      </c>
      <c r="AA68" s="1236" t="s">
        <v>1145</v>
      </c>
      <c r="AB68" s="1236" t="s">
        <v>1146</v>
      </c>
      <c r="AC68" s="1236" t="s">
        <v>1147</v>
      </c>
      <c r="AD68" s="1236" t="s">
        <v>1148</v>
      </c>
      <c r="AE68" s="1236" t="s">
        <v>1149</v>
      </c>
      <c r="AF68" s="1236" t="s">
        <v>1150</v>
      </c>
      <c r="AG68" s="1236" t="s">
        <v>1151</v>
      </c>
      <c r="AH68" s="1236" t="s">
        <v>1152</v>
      </c>
      <c r="AI68" s="1236" t="s">
        <v>1153</v>
      </c>
      <c r="AJ68" s="1236" t="s">
        <v>1154</v>
      </c>
      <c r="AK68" s="1236" t="s">
        <v>1155</v>
      </c>
      <c r="AL68" s="1237" t="s">
        <v>1156</v>
      </c>
      <c r="AM68" s="1236" t="s">
        <v>1071</v>
      </c>
      <c r="AN68" s="1236" t="s">
        <v>1072</v>
      </c>
      <c r="AO68" s="913"/>
      <c r="AP68" s="913"/>
      <c r="AQ68" s="913"/>
      <c r="AR68" s="913"/>
      <c r="AS68" s="913"/>
      <c r="AT68" s="913"/>
      <c r="AU68" s="913"/>
      <c r="AV68" s="913"/>
      <c r="AW68" s="913"/>
      <c r="AX68" s="913"/>
      <c r="AY68" s="913"/>
      <c r="AZ68" s="913"/>
      <c r="BA68" s="913"/>
      <c r="BB68" s="913"/>
      <c r="BC68" s="913"/>
      <c r="BD68" s="913"/>
      <c r="BE68" s="913"/>
      <c r="BF68" s="913"/>
      <c r="BG68" s="913"/>
    </row>
    <row r="69">
      <c r="A69" s="1238">
        <v>45291.0</v>
      </c>
      <c r="B69" s="1220" t="s">
        <v>114</v>
      </c>
      <c r="C69" s="1220" t="s">
        <v>1021</v>
      </c>
      <c r="D69" s="1220">
        <v>21344.0</v>
      </c>
      <c r="E69" s="1238">
        <v>45342.0</v>
      </c>
      <c r="F69" s="1239">
        <v>45342.55652777778</v>
      </c>
      <c r="G69" s="1220">
        <v>2023.0</v>
      </c>
      <c r="H69" s="1236" t="s">
        <v>1073</v>
      </c>
      <c r="I69" s="1241">
        <v>1.0714E10</v>
      </c>
      <c r="J69" s="1240">
        <v>1.128E9</v>
      </c>
      <c r="K69" s="1240">
        <v>-2000000.0</v>
      </c>
      <c r="L69" s="1240">
        <v>2.54E8</v>
      </c>
      <c r="M69" s="1240">
        <v>-8.46E8</v>
      </c>
      <c r="N69" s="1240">
        <v>0.0</v>
      </c>
      <c r="O69" s="1240">
        <v>0.0</v>
      </c>
      <c r="P69" s="1240">
        <v>8.41E8</v>
      </c>
      <c r="Q69" s="1240">
        <v>-1.687E9</v>
      </c>
      <c r="R69" s="1240">
        <v>3.51E8</v>
      </c>
      <c r="S69" s="1240">
        <v>1.1599E10</v>
      </c>
      <c r="T69" s="1240">
        <v>-1.852E9</v>
      </c>
      <c r="U69" s="1240">
        <v>4.42E8</v>
      </c>
      <c r="V69" s="1240">
        <v>-6.698E9</v>
      </c>
      <c r="W69" s="1240">
        <v>4.354E9</v>
      </c>
      <c r="X69" s="1240">
        <v>4.05E8</v>
      </c>
      <c r="Y69" s="1240">
        <v>-3.349E9</v>
      </c>
      <c r="Z69" s="1240">
        <v>1.857E9</v>
      </c>
      <c r="AA69" s="1240">
        <v>5.39E8</v>
      </c>
      <c r="AB69" s="1240">
        <v>-2.289E9</v>
      </c>
      <c r="AC69" s="1240">
        <v>-7.952E9</v>
      </c>
      <c r="AD69" s="1240">
        <v>-4.65E8</v>
      </c>
      <c r="AE69" s="1240">
        <v>-8.31E9</v>
      </c>
      <c r="AF69" s="1240">
        <v>-7.3E7</v>
      </c>
      <c r="AG69" s="1240">
        <v>-1.33E8</v>
      </c>
      <c r="AH69" s="1240">
        <v>9.692E9</v>
      </c>
      <c r="AI69" s="1240">
        <v>9.825E9</v>
      </c>
      <c r="AJ69" s="1240">
        <v>1.1599E10</v>
      </c>
      <c r="AK69" s="1240">
        <v>-1.852E9</v>
      </c>
      <c r="AL69" s="1241">
        <v>9.747E9</v>
      </c>
      <c r="AM69" s="1242" t="s">
        <v>1318</v>
      </c>
      <c r="AN69" s="1242" t="s">
        <v>1319</v>
      </c>
      <c r="AO69" s="913"/>
      <c r="AP69" s="913"/>
      <c r="AQ69" s="913"/>
      <c r="AR69" s="913"/>
      <c r="AS69" s="913"/>
      <c r="AT69" s="913"/>
      <c r="AU69" s="913"/>
      <c r="AV69" s="913"/>
      <c r="AW69" s="913"/>
      <c r="AX69" s="913"/>
      <c r="AY69" s="913"/>
      <c r="AZ69" s="913"/>
      <c r="BA69" s="913"/>
      <c r="BB69" s="913"/>
      <c r="BC69" s="913"/>
      <c r="BD69" s="913"/>
      <c r="BE69" s="913"/>
      <c r="BF69" s="913"/>
      <c r="BG69" s="913"/>
    </row>
    <row r="70">
      <c r="A70" s="1238">
        <v>44926.0</v>
      </c>
      <c r="B70" s="1220" t="s">
        <v>114</v>
      </c>
      <c r="C70" s="1220" t="s">
        <v>1021</v>
      </c>
      <c r="D70" s="1220">
        <v>21344.0</v>
      </c>
      <c r="E70" s="1238">
        <v>44978.0</v>
      </c>
      <c r="F70" s="1239">
        <v>44978.66898148148</v>
      </c>
      <c r="G70" s="1220">
        <v>2022.0</v>
      </c>
      <c r="H70" s="1236" t="s">
        <v>1073</v>
      </c>
      <c r="I70" s="1240">
        <v>9.571E9</v>
      </c>
      <c r="J70" s="1240">
        <v>1.26E9</v>
      </c>
      <c r="K70" s="1240">
        <v>-1.22E8</v>
      </c>
      <c r="L70" s="1240">
        <v>3.56E8</v>
      </c>
      <c r="M70" s="1240">
        <v>-6.05E8</v>
      </c>
      <c r="N70" s="1240">
        <v>-6.9E7</v>
      </c>
      <c r="O70" s="1240">
        <v>-9.6E8</v>
      </c>
      <c r="P70" s="1240">
        <v>7.59E8</v>
      </c>
      <c r="Q70" s="1240">
        <v>-3.35E8</v>
      </c>
      <c r="R70" s="1240">
        <v>5.58E8</v>
      </c>
      <c r="S70" s="1240">
        <v>1.1018E10</v>
      </c>
      <c r="T70" s="1240">
        <v>-1.484E9</v>
      </c>
      <c r="U70" s="1240">
        <v>3.85E8</v>
      </c>
      <c r="V70" s="1240">
        <v>-3.751E9</v>
      </c>
      <c r="W70" s="1240">
        <v>4.771E9</v>
      </c>
      <c r="X70" s="1240">
        <v>-6.84E8</v>
      </c>
      <c r="Y70" s="1240">
        <v>-7.63E8</v>
      </c>
      <c r="Z70" s="1240">
        <v>-9.58E8</v>
      </c>
      <c r="AA70" s="1240">
        <v>8.37E8</v>
      </c>
      <c r="AB70" s="1240">
        <v>-1.418E9</v>
      </c>
      <c r="AC70" s="1240">
        <v>-7.616E9</v>
      </c>
      <c r="AD70" s="1240">
        <v>-1.095E9</v>
      </c>
      <c r="AE70" s="1240">
        <v>-1.025E10</v>
      </c>
      <c r="AF70" s="1240">
        <v>-2.05E8</v>
      </c>
      <c r="AG70" s="1240">
        <v>-2.0E8</v>
      </c>
      <c r="AH70" s="1240">
        <v>9.825E9</v>
      </c>
      <c r="AI70" s="1240">
        <v>1.0025E10</v>
      </c>
      <c r="AJ70" s="1240">
        <v>1.1018E10</v>
      </c>
      <c r="AK70" s="1240">
        <v>-1.484E9</v>
      </c>
      <c r="AL70" s="1241">
        <v>9.534E9</v>
      </c>
      <c r="AM70" s="1242" t="s">
        <v>1320</v>
      </c>
      <c r="AN70" s="1242" t="s">
        <v>1321</v>
      </c>
      <c r="AO70" s="913"/>
      <c r="AP70" s="913"/>
      <c r="AQ70" s="913"/>
      <c r="AR70" s="913"/>
      <c r="AS70" s="913"/>
      <c r="AT70" s="913"/>
      <c r="AU70" s="913"/>
      <c r="AV70" s="913"/>
      <c r="AW70" s="913"/>
      <c r="AX70" s="913"/>
      <c r="AY70" s="913"/>
      <c r="AZ70" s="913"/>
      <c r="BA70" s="913"/>
      <c r="BB70" s="913"/>
      <c r="BC70" s="913"/>
      <c r="BD70" s="913"/>
      <c r="BE70" s="913"/>
      <c r="BF70" s="913"/>
      <c r="BG70" s="913"/>
    </row>
    <row r="71">
      <c r="A71" s="1238">
        <v>44561.0</v>
      </c>
      <c r="B71" s="1220" t="s">
        <v>114</v>
      </c>
      <c r="C71" s="1220" t="s">
        <v>1021</v>
      </c>
      <c r="D71" s="1220">
        <v>21344.0</v>
      </c>
      <c r="E71" s="1238">
        <v>44614.0</v>
      </c>
      <c r="F71" s="1239">
        <v>44614.656805555554</v>
      </c>
      <c r="G71" s="1220">
        <v>2021.0</v>
      </c>
      <c r="H71" s="1236" t="s">
        <v>1073</v>
      </c>
      <c r="I71" s="1240">
        <v>9.804E9</v>
      </c>
      <c r="J71" s="1240">
        <v>1.452E9</v>
      </c>
      <c r="K71" s="1240">
        <v>8.94E8</v>
      </c>
      <c r="L71" s="1240">
        <v>3.37E8</v>
      </c>
      <c r="M71" s="1240">
        <v>1.325E9</v>
      </c>
      <c r="N71" s="1240">
        <v>-2.25E8</v>
      </c>
      <c r="O71" s="1240">
        <v>-1.35E8</v>
      </c>
      <c r="P71" s="1240">
        <v>2.843E9</v>
      </c>
      <c r="Q71" s="1240">
        <v>-1.158E9</v>
      </c>
      <c r="R71" s="1240">
        <v>-1.187E9</v>
      </c>
      <c r="S71" s="1240">
        <v>1.2625E10</v>
      </c>
      <c r="T71" s="1240">
        <v>-1.367E9</v>
      </c>
      <c r="U71" s="1240">
        <v>-2.586E9</v>
      </c>
      <c r="V71" s="1240">
        <v>-6.03E9</v>
      </c>
      <c r="W71" s="1240">
        <v>7.059E9</v>
      </c>
      <c r="X71" s="1240">
        <v>1.59E8</v>
      </c>
      <c r="Y71" s="1240">
        <v>-2.765E9</v>
      </c>
      <c r="Z71" s="1240">
        <v>2.28E8</v>
      </c>
      <c r="AA71" s="1240">
        <v>7.02E8</v>
      </c>
      <c r="AB71" s="1240">
        <v>-1.11E8</v>
      </c>
      <c r="AC71" s="1240">
        <v>-7.252E9</v>
      </c>
      <c r="AD71" s="1240">
        <v>-3.53E8</v>
      </c>
      <c r="AE71" s="1240">
        <v>-6.786E9</v>
      </c>
      <c r="AF71" s="1240">
        <v>-1.59E8</v>
      </c>
      <c r="AG71" s="1240">
        <v>2.915E9</v>
      </c>
      <c r="AH71" s="1240">
        <v>1.0025E10</v>
      </c>
      <c r="AI71" s="1240">
        <v>7.11E9</v>
      </c>
      <c r="AJ71" s="1240">
        <v>1.2625E10</v>
      </c>
      <c r="AK71" s="1240">
        <v>-1.367E9</v>
      </c>
      <c r="AL71" s="1241">
        <v>1.1258E10</v>
      </c>
      <c r="AM71" s="1242" t="s">
        <v>1322</v>
      </c>
      <c r="AN71" s="1242" t="s">
        <v>1323</v>
      </c>
      <c r="AO71" s="913"/>
      <c r="AP71" s="913"/>
      <c r="AQ71" s="913"/>
      <c r="AR71" s="913"/>
      <c r="AS71" s="913"/>
      <c r="AT71" s="913"/>
      <c r="AU71" s="913"/>
      <c r="AV71" s="913"/>
      <c r="AW71" s="913"/>
      <c r="AX71" s="913"/>
      <c r="AY71" s="913"/>
      <c r="AZ71" s="913"/>
      <c r="BA71" s="913"/>
      <c r="BB71" s="913"/>
      <c r="BC71" s="913"/>
      <c r="BD71" s="913"/>
      <c r="BE71" s="913"/>
      <c r="BF71" s="913"/>
      <c r="BG71" s="913"/>
    </row>
    <row r="72">
      <c r="A72" s="1238">
        <v>44196.0</v>
      </c>
      <c r="B72" s="1220" t="s">
        <v>114</v>
      </c>
      <c r="C72" s="1220" t="s">
        <v>1021</v>
      </c>
      <c r="D72" s="1220">
        <v>21344.0</v>
      </c>
      <c r="E72" s="1238">
        <v>44252.0</v>
      </c>
      <c r="F72" s="1239">
        <v>44252.57450231481</v>
      </c>
      <c r="G72" s="1220">
        <v>2020.0</v>
      </c>
      <c r="H72" s="1236" t="s">
        <v>1073</v>
      </c>
      <c r="I72" s="1240">
        <v>7.768E9</v>
      </c>
      <c r="J72" s="1240">
        <v>1.536E9</v>
      </c>
      <c r="K72" s="1240">
        <v>-1.8E7</v>
      </c>
      <c r="L72" s="1240">
        <v>1.26E8</v>
      </c>
      <c r="M72" s="1240">
        <v>6.9E8</v>
      </c>
      <c r="N72" s="1240">
        <v>8.82E8</v>
      </c>
      <c r="O72" s="1240">
        <v>9.9E7</v>
      </c>
      <c r="P72" s="1240">
        <v>-8.6E8</v>
      </c>
      <c r="Q72" s="1240">
        <v>5.69E8</v>
      </c>
      <c r="R72" s="1240">
        <v>-2.58E8</v>
      </c>
      <c r="S72" s="1240">
        <v>9.844E9</v>
      </c>
      <c r="T72" s="1240">
        <v>-1.177E9</v>
      </c>
      <c r="U72" s="1240">
        <v>-8.63E8</v>
      </c>
      <c r="V72" s="1240">
        <v>-1.3583E10</v>
      </c>
      <c r="W72" s="1240">
        <v>1.3835E10</v>
      </c>
      <c r="X72" s="1240">
        <v>3.11E8</v>
      </c>
      <c r="Y72" s="1240">
        <v>-1.477E9</v>
      </c>
      <c r="Z72" s="1240">
        <v>-1.862E9</v>
      </c>
      <c r="AA72" s="1240">
        <v>6.47E8</v>
      </c>
      <c r="AB72" s="1240">
        <v>-1.18E8</v>
      </c>
      <c r="AC72" s="1240">
        <v>-7.047E9</v>
      </c>
      <c r="AD72" s="1240">
        <v>3.1E8</v>
      </c>
      <c r="AE72" s="1240">
        <v>-8.07E9</v>
      </c>
      <c r="AF72" s="1240">
        <v>7.6E7</v>
      </c>
      <c r="AG72" s="1240">
        <v>3.73E8</v>
      </c>
      <c r="AH72" s="1240">
        <v>7.11E9</v>
      </c>
      <c r="AI72" s="1240">
        <v>6.737E9</v>
      </c>
      <c r="AJ72" s="1240">
        <v>9.844E9</v>
      </c>
      <c r="AK72" s="1240">
        <v>-1.177E9</v>
      </c>
      <c r="AL72" s="1241">
        <v>8.667E9</v>
      </c>
      <c r="AM72" s="1242" t="s">
        <v>1324</v>
      </c>
      <c r="AN72" s="1242" t="s">
        <v>1325</v>
      </c>
      <c r="AO72" s="913"/>
      <c r="AP72" s="913"/>
      <c r="AQ72" s="913"/>
      <c r="AR72" s="913"/>
      <c r="AS72" s="913"/>
      <c r="AT72" s="913"/>
      <c r="AU72" s="913"/>
      <c r="AV72" s="913"/>
      <c r="AW72" s="913"/>
      <c r="AX72" s="913"/>
      <c r="AY72" s="913"/>
      <c r="AZ72" s="913"/>
      <c r="BA72" s="913"/>
      <c r="BB72" s="913"/>
      <c r="BC72" s="913"/>
      <c r="BD72" s="913"/>
      <c r="BE72" s="913"/>
      <c r="BF72" s="913"/>
      <c r="BG72" s="913"/>
    </row>
    <row r="73">
      <c r="A73" s="1238">
        <v>43830.0</v>
      </c>
      <c r="B73" s="1220" t="s">
        <v>114</v>
      </c>
      <c r="C73" s="1220" t="s">
        <v>1021</v>
      </c>
      <c r="D73" s="1220">
        <v>21344.0</v>
      </c>
      <c r="E73" s="1238">
        <v>43885.0</v>
      </c>
      <c r="F73" s="1239">
        <v>43885.672418981485</v>
      </c>
      <c r="G73" s="1220">
        <v>2019.0</v>
      </c>
      <c r="H73" s="1236" t="s">
        <v>1073</v>
      </c>
      <c r="I73" s="1240">
        <v>8.985E9</v>
      </c>
      <c r="J73" s="1240">
        <v>1.365E9</v>
      </c>
      <c r="K73" s="1240">
        <v>-2.8E8</v>
      </c>
      <c r="L73" s="1240">
        <v>2.01E8</v>
      </c>
      <c r="M73" s="1240">
        <v>3.66E8</v>
      </c>
      <c r="N73" s="1240">
        <v>-1.58E8</v>
      </c>
      <c r="O73" s="1240">
        <v>-1.83E8</v>
      </c>
      <c r="P73" s="1240">
        <v>1.318E9</v>
      </c>
      <c r="Q73" s="1240">
        <v>-6.11E8</v>
      </c>
      <c r="R73" s="1240">
        <v>-1.66E8</v>
      </c>
      <c r="S73" s="1240">
        <v>1.0471E10</v>
      </c>
      <c r="T73" s="1240">
        <v>-2.054E9</v>
      </c>
      <c r="U73" s="1240">
        <v>-5.113E9</v>
      </c>
      <c r="V73" s="1240">
        <v>-4.704E9</v>
      </c>
      <c r="W73" s="1240">
        <v>6.973E9</v>
      </c>
      <c r="X73" s="1240">
        <v>9.22E8</v>
      </c>
      <c r="Y73" s="1240">
        <v>-3.976E9</v>
      </c>
      <c r="Z73" s="1240">
        <v>-1.841E9</v>
      </c>
      <c r="AA73" s="1240">
        <v>1.012E9</v>
      </c>
      <c r="AB73" s="1240">
        <v>-1.103E9</v>
      </c>
      <c r="AC73" s="1240">
        <v>-6.845E9</v>
      </c>
      <c r="AD73" s="1240">
        <v>-2.27E8</v>
      </c>
      <c r="AE73" s="1240">
        <v>-9.004E9</v>
      </c>
      <c r="AF73" s="1240">
        <v>-7.2E7</v>
      </c>
      <c r="AG73" s="1240">
        <v>-2.581E9</v>
      </c>
      <c r="AH73" s="1240">
        <v>6.737E9</v>
      </c>
      <c r="AI73" s="1240">
        <v>9.318E9</v>
      </c>
      <c r="AJ73" s="1240">
        <v>1.0471E10</v>
      </c>
      <c r="AK73" s="1240">
        <v>-2.054E9</v>
      </c>
      <c r="AL73" s="1241">
        <v>8.417E9</v>
      </c>
      <c r="AM73" s="1242" t="s">
        <v>1326</v>
      </c>
      <c r="AN73" s="1242" t="s">
        <v>1327</v>
      </c>
      <c r="AO73" s="913"/>
      <c r="AP73" s="913"/>
      <c r="AQ73" s="913"/>
      <c r="AR73" s="913"/>
      <c r="AS73" s="913"/>
      <c r="AT73" s="913"/>
      <c r="AU73" s="913"/>
      <c r="AV73" s="913"/>
      <c r="AW73" s="913"/>
      <c r="AX73" s="913"/>
      <c r="AY73" s="913"/>
      <c r="AZ73" s="913"/>
      <c r="BA73" s="913"/>
      <c r="BB73" s="913"/>
      <c r="BC73" s="913"/>
      <c r="BD73" s="913"/>
      <c r="BE73" s="913"/>
      <c r="BF73" s="913"/>
      <c r="BG73" s="913"/>
    </row>
    <row r="74">
      <c r="A74" s="480"/>
      <c r="B74" s="480"/>
      <c r="C74" s="480"/>
      <c r="D74" s="480"/>
      <c r="E74" s="480"/>
      <c r="F74" s="480"/>
      <c r="G74" s="480"/>
      <c r="H74" s="913"/>
      <c r="I74" s="913"/>
      <c r="J74" s="913"/>
      <c r="K74" s="913"/>
      <c r="L74" s="913"/>
      <c r="M74" s="913"/>
      <c r="N74" s="913"/>
      <c r="O74" s="913"/>
      <c r="P74" s="913"/>
      <c r="Q74" s="913"/>
      <c r="R74" s="913"/>
      <c r="S74" s="913"/>
      <c r="T74" s="913"/>
      <c r="U74" s="913"/>
      <c r="V74" s="913"/>
      <c r="W74" s="913"/>
      <c r="X74" s="913"/>
      <c r="Y74" s="913"/>
      <c r="Z74" s="913"/>
      <c r="AA74" s="913"/>
      <c r="AB74" s="913"/>
      <c r="AC74" s="913"/>
      <c r="AD74" s="913"/>
      <c r="AE74" s="913"/>
      <c r="AF74" s="913"/>
      <c r="AG74" s="913"/>
      <c r="AH74" s="913"/>
      <c r="AI74" s="913"/>
      <c r="AJ74" s="913"/>
      <c r="AK74" s="913"/>
      <c r="AL74" s="913"/>
      <c r="AM74" s="913"/>
      <c r="AN74" s="913"/>
      <c r="AO74" s="913"/>
      <c r="AP74" s="913"/>
      <c r="AQ74" s="913"/>
      <c r="AR74" s="913"/>
      <c r="AS74" s="913"/>
      <c r="AT74" s="913"/>
      <c r="AU74" s="913"/>
      <c r="AV74" s="913"/>
      <c r="AW74" s="913"/>
      <c r="AX74" s="913"/>
      <c r="AY74" s="913"/>
      <c r="AZ74" s="913"/>
      <c r="BA74" s="913"/>
      <c r="BB74" s="913"/>
      <c r="BC74" s="913"/>
      <c r="BD74" s="913"/>
      <c r="BE74" s="913"/>
      <c r="BF74" s="913"/>
      <c r="BG74" s="913"/>
    </row>
    <row r="75">
      <c r="A75" s="1220" t="s">
        <v>1157</v>
      </c>
      <c r="B75" s="480"/>
      <c r="C75" s="480"/>
      <c r="D75" s="480"/>
      <c r="E75" s="480"/>
      <c r="F75" s="480"/>
      <c r="G75" s="480"/>
      <c r="H75" s="913"/>
      <c r="I75" s="913"/>
      <c r="J75" s="913"/>
      <c r="K75" s="913"/>
      <c r="L75" s="913"/>
      <c r="M75" s="913"/>
      <c r="N75" s="913"/>
      <c r="O75" s="913"/>
      <c r="P75" s="913"/>
      <c r="Q75" s="913"/>
      <c r="R75" s="913"/>
      <c r="S75" s="913"/>
      <c r="T75" s="913"/>
      <c r="U75" s="913"/>
      <c r="V75" s="913"/>
      <c r="W75" s="913"/>
      <c r="X75" s="913"/>
      <c r="Y75" s="913"/>
      <c r="Z75" s="913"/>
      <c r="AA75" s="913"/>
      <c r="AB75" s="913"/>
      <c r="AC75" s="913"/>
      <c r="AD75" s="913"/>
      <c r="AE75" s="913"/>
      <c r="AF75" s="913"/>
      <c r="AG75" s="913"/>
      <c r="AH75" s="913"/>
      <c r="AI75" s="913"/>
      <c r="AJ75" s="913"/>
      <c r="AK75" s="913"/>
      <c r="AL75" s="913"/>
      <c r="AM75" s="913"/>
      <c r="AN75" s="913"/>
      <c r="AO75" s="913"/>
      <c r="AP75" s="913"/>
      <c r="AQ75" s="913"/>
      <c r="AR75" s="913"/>
      <c r="AS75" s="913"/>
      <c r="AT75" s="913"/>
      <c r="AU75" s="913"/>
      <c r="AV75" s="913"/>
      <c r="AW75" s="913"/>
      <c r="AX75" s="913"/>
      <c r="AY75" s="913"/>
      <c r="AZ75" s="913"/>
      <c r="BA75" s="913"/>
      <c r="BB75" s="913"/>
      <c r="BC75" s="913"/>
      <c r="BD75" s="913"/>
      <c r="BE75" s="913"/>
      <c r="BF75" s="913"/>
      <c r="BG75" s="913"/>
    </row>
    <row r="76">
      <c r="A76" s="1220" t="s">
        <v>984</v>
      </c>
      <c r="B76" s="1220" t="s">
        <v>1037</v>
      </c>
      <c r="C76" s="1220" t="s">
        <v>1041</v>
      </c>
      <c r="D76" s="1220" t="s">
        <v>1042</v>
      </c>
      <c r="E76" s="1220" t="s">
        <v>1158</v>
      </c>
      <c r="F76" s="1220" t="s">
        <v>1159</v>
      </c>
      <c r="G76" s="1220" t="s">
        <v>1160</v>
      </c>
      <c r="H76" s="1236" t="s">
        <v>1161</v>
      </c>
      <c r="I76" s="1236" t="s">
        <v>1162</v>
      </c>
      <c r="J76" s="1236" t="s">
        <v>1163</v>
      </c>
      <c r="K76" s="1236" t="s">
        <v>1164</v>
      </c>
      <c r="L76" s="1236" t="s">
        <v>1165</v>
      </c>
      <c r="M76" s="1236" t="s">
        <v>1166</v>
      </c>
      <c r="N76" s="1236" t="s">
        <v>1167</v>
      </c>
      <c r="O76" s="1236" t="s">
        <v>1168</v>
      </c>
      <c r="P76" s="1236" t="s">
        <v>1169</v>
      </c>
      <c r="Q76" s="1236" t="s">
        <v>1170</v>
      </c>
      <c r="R76" s="1236" t="s">
        <v>1171</v>
      </c>
      <c r="S76" s="1236" t="s">
        <v>1172</v>
      </c>
      <c r="T76" s="1236" t="s">
        <v>1173</v>
      </c>
      <c r="U76" s="1236" t="s">
        <v>1174</v>
      </c>
      <c r="V76" s="1236" t="s">
        <v>1175</v>
      </c>
      <c r="W76" s="1236" t="s">
        <v>1176</v>
      </c>
      <c r="X76" s="1236" t="s">
        <v>1177</v>
      </c>
      <c r="Y76" s="1236" t="s">
        <v>1178</v>
      </c>
      <c r="Z76" s="1236" t="s">
        <v>1179</v>
      </c>
      <c r="AA76" s="1236" t="s">
        <v>1180</v>
      </c>
      <c r="AB76" s="1237" t="s">
        <v>1181</v>
      </c>
      <c r="AC76" s="1236" t="s">
        <v>1182</v>
      </c>
      <c r="AD76" s="1236" t="s">
        <v>1183</v>
      </c>
      <c r="AE76" s="1236" t="s">
        <v>1184</v>
      </c>
      <c r="AF76" s="1236" t="s">
        <v>1185</v>
      </c>
      <c r="AG76" s="1236" t="s">
        <v>1186</v>
      </c>
      <c r="AH76" s="1236" t="s">
        <v>1187</v>
      </c>
      <c r="AI76" s="1236" t="s">
        <v>1188</v>
      </c>
      <c r="AJ76" s="1236" t="s">
        <v>1189</v>
      </c>
      <c r="AK76" s="1236" t="s">
        <v>1190</v>
      </c>
      <c r="AL76" s="1236" t="s">
        <v>1191</v>
      </c>
      <c r="AM76" s="1236" t="s">
        <v>1192</v>
      </c>
      <c r="AN76" s="1236" t="s">
        <v>1193</v>
      </c>
      <c r="AO76" s="1236" t="s">
        <v>1194</v>
      </c>
      <c r="AP76" s="1236" t="s">
        <v>1195</v>
      </c>
      <c r="AQ76" s="1236" t="s">
        <v>1196</v>
      </c>
      <c r="AR76" s="1236" t="s">
        <v>1197</v>
      </c>
      <c r="AS76" s="1236" t="s">
        <v>1198</v>
      </c>
      <c r="AT76" s="1236" t="s">
        <v>1199</v>
      </c>
      <c r="AU76" s="1236" t="s">
        <v>1200</v>
      </c>
      <c r="AV76" s="1236" t="s">
        <v>1201</v>
      </c>
      <c r="AW76" s="1236" t="s">
        <v>1202</v>
      </c>
      <c r="AX76" s="1236" t="s">
        <v>1203</v>
      </c>
      <c r="AY76" s="1236" t="s">
        <v>1204</v>
      </c>
      <c r="AZ76" s="1236" t="s">
        <v>1205</v>
      </c>
      <c r="BA76" s="1236" t="s">
        <v>1206</v>
      </c>
      <c r="BB76" s="1236" t="s">
        <v>1207</v>
      </c>
      <c r="BC76" s="1236" t="s">
        <v>1208</v>
      </c>
      <c r="BD76" s="1236" t="s">
        <v>1209</v>
      </c>
      <c r="BE76" s="1236" t="s">
        <v>1210</v>
      </c>
      <c r="BF76" s="1236" t="s">
        <v>1211</v>
      </c>
      <c r="BG76" s="913"/>
    </row>
    <row r="77">
      <c r="A77" s="1220" t="s">
        <v>114</v>
      </c>
      <c r="B77" s="1238">
        <v>45291.0</v>
      </c>
      <c r="C77" s="1220">
        <v>2023.0</v>
      </c>
      <c r="D77" s="1220" t="s">
        <v>1073</v>
      </c>
      <c r="E77" s="1244">
        <v>1.1341054685842773</v>
      </c>
      <c r="F77" s="1244">
        <v>0.9464172075855924</v>
      </c>
      <c r="G77" s="1244">
        <v>0.39735267913962075</v>
      </c>
      <c r="H77" s="1240">
        <v>27.203086068977576</v>
      </c>
      <c r="I77" s="1240">
        <v>87.19006479481642</v>
      </c>
      <c r="J77" s="1240">
        <v>114.393150863794</v>
      </c>
      <c r="K77" s="1240">
        <v>110.17008639308855</v>
      </c>
      <c r="L77" s="1240">
        <v>4.223064470705452</v>
      </c>
      <c r="M77" s="1240">
        <v>0.5952266468505486</v>
      </c>
      <c r="N77" s="1240">
        <v>0.24721335839489444</v>
      </c>
      <c r="O77" s="1240">
        <v>0.28307907505354724</v>
      </c>
      <c r="P77" s="1240">
        <v>0.23416531887922368</v>
      </c>
      <c r="Q77" s="1240">
        <v>0.17364113650401483</v>
      </c>
      <c r="R77" s="1240">
        <v>0.10965886410857395</v>
      </c>
      <c r="S77" s="1240">
        <v>0.41301414748853166</v>
      </c>
      <c r="T77" s="1240">
        <v>0.15257918307883236</v>
      </c>
      <c r="U77" s="1240">
        <v>0.827208153180976</v>
      </c>
      <c r="V77" s="1240">
        <v>1.1450800106091414</v>
      </c>
      <c r="W77" s="1240">
        <v>0.24721335839489444</v>
      </c>
      <c r="X77" s="1240">
        <v>0.43052925703407263</v>
      </c>
      <c r="Y77" s="1240">
        <v>1.6215257700165762</v>
      </c>
      <c r="Z77" s="1240">
        <v>0.5781128024980484</v>
      </c>
      <c r="AA77" s="1240">
        <v>0.6185427542092493</v>
      </c>
      <c r="AB77" s="1241">
        <v>7.407334643091028</v>
      </c>
      <c r="AC77" s="1240">
        <v>0.2757464815519209</v>
      </c>
      <c r="AD77" s="1240">
        <v>3.766354419644578</v>
      </c>
      <c r="AE77" s="1240">
        <v>13.417595307917889</v>
      </c>
      <c r="AF77" s="1240">
        <v>3.3130590339892665</v>
      </c>
      <c r="AG77" s="1240">
        <v>4.18625678119349</v>
      </c>
      <c r="AH77" s="1240">
        <v>4.953876136855782</v>
      </c>
      <c r="AI77" s="1240">
        <v>0.4682967769669304</v>
      </c>
      <c r="AJ77" s="1240">
        <v>2.683090446449225</v>
      </c>
      <c r="AK77" s="1240">
        <v>2.254684247050659</v>
      </c>
      <c r="AL77" s="1240">
        <v>3.160536664353458</v>
      </c>
      <c r="AM77" s="1240">
        <v>0.7422064588389023</v>
      </c>
      <c r="AN77" s="1240">
        <v>0.25350789002054464</v>
      </c>
      <c r="AO77" s="1240">
        <v>0.8403310630226744</v>
      </c>
      <c r="AP77" s="1240">
        <v>0.2757464815519209</v>
      </c>
      <c r="AQ77" s="1240">
        <v>1.7798066595059077</v>
      </c>
      <c r="AR77" s="1240">
        <v>6.262958963282937</v>
      </c>
      <c r="AS77" s="1240">
        <v>1.1830885352917178</v>
      </c>
      <c r="AT77" s="1240">
        <v>0.7422064588389023</v>
      </c>
      <c r="AU77" s="1240">
        <v>9.82053081993755</v>
      </c>
      <c r="AV77" s="1240">
        <v>9.82053081993755</v>
      </c>
      <c r="AW77" s="1240">
        <v>5.567915154959129</v>
      </c>
      <c r="AX77" s="1240">
        <v>23.77771047227926</v>
      </c>
      <c r="AY77" s="1240">
        <v>26.136697445367805</v>
      </c>
      <c r="AZ77" s="1240">
        <v>21.963478748167944</v>
      </c>
      <c r="BA77" s="1240">
        <v>21.963478748167944</v>
      </c>
      <c r="BB77" s="1240">
        <v>1.8682486799648002</v>
      </c>
      <c r="BC77" s="1240">
        <v>5.567915154959129</v>
      </c>
      <c r="BD77" s="1240">
        <v>0.03121437868057936</v>
      </c>
      <c r="BE77" s="1240">
        <v>18.4016637859292</v>
      </c>
      <c r="BF77" s="1240">
        <v>9.82053081993755</v>
      </c>
      <c r="BG77" s="913"/>
    </row>
    <row r="78">
      <c r="A78" s="1220" t="s">
        <v>114</v>
      </c>
      <c r="B78" s="1238">
        <v>44926.0</v>
      </c>
      <c r="C78" s="1220">
        <v>2022.0</v>
      </c>
      <c r="D78" s="1220" t="s">
        <v>1073</v>
      </c>
      <c r="E78" s="1244">
        <v>1.1453559115798013</v>
      </c>
      <c r="F78" s="1244">
        <v>0.9307442709389576</v>
      </c>
      <c r="G78" s="1244">
        <v>0.4826100182518759</v>
      </c>
      <c r="H78" s="1240">
        <v>29.596200353455494</v>
      </c>
      <c r="I78" s="1240">
        <v>85.83583333333334</v>
      </c>
      <c r="J78" s="1240">
        <v>115.43203368678883</v>
      </c>
      <c r="K78" s="1240">
        <v>107.61416666666668</v>
      </c>
      <c r="L78" s="1240">
        <v>7.817867020122151</v>
      </c>
      <c r="M78" s="1240">
        <v>0.5814342851827737</v>
      </c>
      <c r="N78" s="1240">
        <v>0.2536740768300623</v>
      </c>
      <c r="O78" s="1240">
        <v>0.27174216351967256</v>
      </c>
      <c r="P78" s="1240">
        <v>0.2218863361547763</v>
      </c>
      <c r="Q78" s="1240">
        <v>0.1809857949683382</v>
      </c>
      <c r="R78" s="1240">
        <v>0.10286428856332805</v>
      </c>
      <c r="S78" s="1240">
        <v>0.3958514830947936</v>
      </c>
      <c r="T78" s="1240">
        <v>0.14935856186420954</v>
      </c>
      <c r="U78" s="1240">
        <v>0.8165326031148382</v>
      </c>
      <c r="V78" s="1240">
        <v>1.0712255935466128</v>
      </c>
      <c r="W78" s="1240">
        <v>0.2536740768300623</v>
      </c>
      <c r="X78" s="1240">
        <v>0.42203249140282223</v>
      </c>
      <c r="Y78" s="1240">
        <v>1.6241028832192492</v>
      </c>
      <c r="Z78" s="1240">
        <v>0.6014516715717073</v>
      </c>
      <c r="AA78" s="1240">
        <v>0.6189173807190059</v>
      </c>
      <c r="AB78" s="1240">
        <v>12.368480725623582</v>
      </c>
      <c r="AC78" s="1240">
        <v>0.2814375846126338</v>
      </c>
      <c r="AD78" s="1240">
        <v>3.8482887367766025</v>
      </c>
      <c r="AE78" s="1240">
        <v>12.332664181244622</v>
      </c>
      <c r="AF78" s="1240">
        <v>3.391746749576032</v>
      </c>
      <c r="AG78" s="1240">
        <v>4.252303330970943</v>
      </c>
      <c r="AH78" s="1240">
        <v>4.3698811096433285</v>
      </c>
      <c r="AI78" s="1240">
        <v>0.46359000894753294</v>
      </c>
      <c r="AJ78" s="1240">
        <v>2.5457486136783736</v>
      </c>
      <c r="AK78" s="1240">
        <v>2.2028650646950094</v>
      </c>
      <c r="AL78" s="1240">
        <v>2.687384473197782</v>
      </c>
      <c r="AM78" s="1240">
        <v>0.7981555229511633</v>
      </c>
      <c r="AN78" s="1240">
        <v>0.25620872476978884</v>
      </c>
      <c r="AO78" s="1240">
        <v>0.8653113087674714</v>
      </c>
      <c r="AP78" s="1240">
        <v>0.2814375846126338</v>
      </c>
      <c r="AQ78" s="1240">
        <v>3.974747474747475</v>
      </c>
      <c r="AR78" s="1240">
        <v>7.4245283018867925</v>
      </c>
      <c r="AS78" s="1240">
        <v>1.2107692307692308</v>
      </c>
      <c r="AT78" s="1240">
        <v>0.7981555229511633</v>
      </c>
      <c r="AU78" s="1240">
        <v>11.421036299522921</v>
      </c>
      <c r="AV78" s="1240">
        <v>11.421036299522921</v>
      </c>
      <c r="AW78" s="1240">
        <v>6.401824946516603</v>
      </c>
      <c r="AX78" s="1240">
        <v>28.851821421085727</v>
      </c>
      <c r="AY78" s="1240">
        <v>28.876031046779946</v>
      </c>
      <c r="AZ78" s="1240">
        <v>24.98675621709929</v>
      </c>
      <c r="BA78" s="1240">
        <v>24.98675621709929</v>
      </c>
      <c r="BB78" s="1240">
        <v>-10.867519401942365</v>
      </c>
      <c r="BC78" s="1240">
        <v>6.401824946516603</v>
      </c>
      <c r="BD78" s="1240">
        <v>0.027663956160765946</v>
      </c>
      <c r="BE78" s="1240">
        <v>22.085469689288043</v>
      </c>
      <c r="BF78" s="1240">
        <v>11.421036299522921</v>
      </c>
      <c r="BG78" s="913"/>
    </row>
    <row r="79">
      <c r="A79" s="1220" t="s">
        <v>114</v>
      </c>
      <c r="B79" s="1238">
        <v>44561.0</v>
      </c>
      <c r="C79" s="1220">
        <v>2021.0</v>
      </c>
      <c r="D79" s="1220" t="s">
        <v>1073</v>
      </c>
      <c r="E79" s="1244">
        <v>1.130075187969925</v>
      </c>
      <c r="F79" s="1244">
        <v>0.9589473684210527</v>
      </c>
      <c r="G79" s="1244">
        <v>0.48541353383458646</v>
      </c>
      <c r="H79" s="1240">
        <v>33.1620747639374</v>
      </c>
      <c r="I79" s="1240">
        <v>81.14280132838445</v>
      </c>
      <c r="J79" s="1240">
        <v>114.30487609232185</v>
      </c>
      <c r="K79" s="1240">
        <v>109.37878491892947</v>
      </c>
      <c r="L79" s="1240">
        <v>4.926091173392379</v>
      </c>
      <c r="M79" s="1240">
        <v>0.6027163368257664</v>
      </c>
      <c r="N79" s="1240">
        <v>0.26666666666666666</v>
      </c>
      <c r="O79" s="1240">
        <v>0.3214331910490234</v>
      </c>
      <c r="P79" s="1240">
        <v>0.2527745440434614</v>
      </c>
      <c r="Q79" s="1240">
        <v>0.2109456740442656</v>
      </c>
      <c r="R79" s="1240">
        <v>0.1035568179409458</v>
      </c>
      <c r="S79" s="1240">
        <v>0.42484455845906344</v>
      </c>
      <c r="T79" s="1240">
        <v>0.13854093865921188</v>
      </c>
      <c r="U79" s="1240">
        <v>0.7863983903420523</v>
      </c>
      <c r="V79" s="1240">
        <v>1.2053744664338377</v>
      </c>
      <c r="W79" s="1240">
        <v>0.26666666666666666</v>
      </c>
      <c r="X79" s="1240">
        <v>0.45319753269601715</v>
      </c>
      <c r="Y79" s="1240">
        <v>1.8592547502065306</v>
      </c>
      <c r="Z79" s="1240">
        <v>0.6236766751206742</v>
      </c>
      <c r="AA79" s="1240">
        <v>0.6502585158150852</v>
      </c>
      <c r="AB79" s="1240">
        <v>6.45460237946149</v>
      </c>
      <c r="AC79" s="1240">
        <v>0.2952456677813896</v>
      </c>
      <c r="AD79" s="1240">
        <v>4.102526196791165</v>
      </c>
      <c r="AE79" s="1240">
        <v>11.006548974943053</v>
      </c>
      <c r="AF79" s="1240">
        <v>3.337027379400261</v>
      </c>
      <c r="AG79" s="1240">
        <v>4.498242530755712</v>
      </c>
      <c r="AH79" s="1240">
        <v>3.896673387096774</v>
      </c>
      <c r="AI79" s="1240">
        <v>0.40968056468194247</v>
      </c>
      <c r="AJ79" s="1240">
        <v>2.925840092699884</v>
      </c>
      <c r="AK79" s="1240">
        <v>2.6090382387022015</v>
      </c>
      <c r="AL79" s="1240">
        <v>2.925840092699884</v>
      </c>
      <c r="AM79" s="1240">
        <v>0.7421962951591444</v>
      </c>
      <c r="AN79" s="1240">
        <v>0.32660716595524514</v>
      </c>
      <c r="AO79" s="1240">
        <v>0.8917227722772277</v>
      </c>
      <c r="AP79" s="1240">
        <v>0.2952456677813896</v>
      </c>
      <c r="AQ79" s="1240">
        <v>2.7179763186221746</v>
      </c>
      <c r="AR79" s="1240">
        <v>9.23555230431602</v>
      </c>
      <c r="AS79" s="1240">
        <v>1.4647870982712612</v>
      </c>
      <c r="AT79" s="1240">
        <v>0.7421962951591444</v>
      </c>
      <c r="AU79" s="1240">
        <v>11.108793860602635</v>
      </c>
      <c r="AV79" s="1240">
        <v>11.108793860602635</v>
      </c>
      <c r="AW79" s="1240">
        <v>6.609523994308628</v>
      </c>
      <c r="AX79" s="1240">
        <v>26.147901954764098</v>
      </c>
      <c r="AY79" s="1240">
        <v>22.694186356368803</v>
      </c>
      <c r="AZ79" s="1240">
        <v>20.23692277227723</v>
      </c>
      <c r="BA79" s="1240">
        <v>20.23692277227723</v>
      </c>
      <c r="BB79" s="1240">
        <v>1.023178772142944</v>
      </c>
      <c r="BC79" s="1240">
        <v>6.609523994308628</v>
      </c>
      <c r="BD79" s="1240">
        <v>0.028384544826699474</v>
      </c>
      <c r="BE79" s="1240">
        <v>19.85059847286235</v>
      </c>
      <c r="BF79" s="1240">
        <v>11.108793860602635</v>
      </c>
      <c r="BG79" s="913"/>
    </row>
    <row r="80">
      <c r="A80" s="1220" t="s">
        <v>114</v>
      </c>
      <c r="B80" s="1238">
        <v>44196.0</v>
      </c>
      <c r="C80" s="1220">
        <v>2020.0</v>
      </c>
      <c r="D80" s="1220" t="s">
        <v>1073</v>
      </c>
      <c r="E80" s="1244">
        <v>1.317717964522978</v>
      </c>
      <c r="F80" s="1244">
        <v>1.0940346551606055</v>
      </c>
      <c r="G80" s="1244">
        <v>0.4653790836244093</v>
      </c>
      <c r="H80" s="1240">
        <v>34.759798873205305</v>
      </c>
      <c r="I80" s="1240">
        <v>88.74339313630611</v>
      </c>
      <c r="J80" s="1240">
        <v>123.50319200951142</v>
      </c>
      <c r="K80" s="1240">
        <v>95.5635375567632</v>
      </c>
      <c r="L80" s="1240">
        <v>27.93965445274823</v>
      </c>
      <c r="M80" s="1240">
        <v>0.5931120130853578</v>
      </c>
      <c r="N80" s="1240">
        <v>0.2725207487732477</v>
      </c>
      <c r="O80" s="1240">
        <v>0.2952989640758466</v>
      </c>
      <c r="P80" s="1240">
        <v>0.23465802386866177</v>
      </c>
      <c r="Q80" s="1240">
        <v>0.20320032823879372</v>
      </c>
      <c r="R80" s="1240">
        <v>0.08874404325513197</v>
      </c>
      <c r="S80" s="1240">
        <v>0.40141976268200424</v>
      </c>
      <c r="T80" s="1240">
        <v>0.12376367012861958</v>
      </c>
      <c r="U80" s="1240">
        <v>0.7946456046774029</v>
      </c>
      <c r="V80" s="1240">
        <v>1.0835834166944538</v>
      </c>
      <c r="W80" s="1240">
        <v>0.2725207487732477</v>
      </c>
      <c r="X80" s="1240">
        <v>0.49389433651026393</v>
      </c>
      <c r="Y80" s="1240">
        <v>2.234053577905591</v>
      </c>
      <c r="Z80" s="1240">
        <v>0.6752322294022617</v>
      </c>
      <c r="AA80" s="1240">
        <v>0.6907905277662063</v>
      </c>
      <c r="AB80" s="1240">
        <v>6.260960334029227</v>
      </c>
      <c r="AC80" s="1240">
        <v>0.2283196103444277</v>
      </c>
      <c r="AD80" s="1240">
        <v>4.523343178403026</v>
      </c>
      <c r="AE80" s="1240">
        <v>10.500636132315522</v>
      </c>
      <c r="AF80" s="1240">
        <v>3.8194483935172023</v>
      </c>
      <c r="AG80" s="1240">
        <v>4.11298224127373</v>
      </c>
      <c r="AH80" s="1240">
        <v>3.063375707525285</v>
      </c>
      <c r="AI80" s="1240">
        <v>0.37818456744868034</v>
      </c>
      <c r="AJ80" s="1240">
        <v>2.2919674039580906</v>
      </c>
      <c r="AK80" s="1240">
        <v>2.017927823050058</v>
      </c>
      <c r="AL80" s="1240">
        <v>2.541094295692666</v>
      </c>
      <c r="AM80" s="1240">
        <v>0.9096424422357041</v>
      </c>
      <c r="AN80" s="1240">
        <v>0.29817653116859516</v>
      </c>
      <c r="AO80" s="1240">
        <v>0.8804347826086957</v>
      </c>
      <c r="AP80" s="1240">
        <v>0.2283196103444277</v>
      </c>
      <c r="AQ80" s="1240">
        <v>3.292307692307692</v>
      </c>
      <c r="AR80" s="1240">
        <v>8.363636363636363</v>
      </c>
      <c r="AS80" s="1240">
        <v>1.1969844357976653</v>
      </c>
      <c r="AT80" s="1240">
        <v>0.9096424422357041</v>
      </c>
      <c r="AU80" s="1240">
        <v>12.204663454064978</v>
      </c>
      <c r="AV80" s="1240">
        <v>12.204663454064978</v>
      </c>
      <c r="AW80" s="1240">
        <v>7.134482340825104</v>
      </c>
      <c r="AX80" s="1240">
        <v>30.40374338453595</v>
      </c>
      <c r="AY80" s="1240">
        <v>27.17639321564555</v>
      </c>
      <c r="AZ80" s="1240">
        <v>23.927041852905326</v>
      </c>
      <c r="BA80" s="1240">
        <v>23.927041852905326</v>
      </c>
      <c r="BB80" s="1240">
        <v>-2.191166333575178</v>
      </c>
      <c r="BC80" s="1240">
        <v>7.134482340825104</v>
      </c>
      <c r="BD80" s="1240">
        <v>0.029918764631409477</v>
      </c>
      <c r="BE80" s="1240">
        <v>21.450019748795324</v>
      </c>
      <c r="BF80" s="1240">
        <v>12.204663454064978</v>
      </c>
      <c r="BG80" s="913"/>
    </row>
    <row r="81">
      <c r="A81" s="1220" t="s">
        <v>114</v>
      </c>
      <c r="B81" s="1238">
        <v>43830.0</v>
      </c>
      <c r="C81" s="1220">
        <v>2019.0</v>
      </c>
      <c r="D81" s="1220" t="s">
        <v>1073</v>
      </c>
      <c r="E81" s="1244">
        <v>0.7567196826456086</v>
      </c>
      <c r="F81" s="1244">
        <v>0.6314462610758907</v>
      </c>
      <c r="G81" s="1244">
        <v>0.24024024024024024</v>
      </c>
      <c r="H81" s="1240">
        <v>38.89376375248216</v>
      </c>
      <c r="I81" s="1240">
        <v>84.36520965866337</v>
      </c>
      <c r="J81" s="1240">
        <v>123.25897341114553</v>
      </c>
      <c r="K81" s="1240">
        <v>94.9764005745947</v>
      </c>
      <c r="L81" s="1240">
        <v>28.282572836550827</v>
      </c>
      <c r="M81" s="1240">
        <v>0.6077121236515859</v>
      </c>
      <c r="N81" s="1240">
        <v>0.27064884881661566</v>
      </c>
      <c r="O81" s="1240">
        <v>0.28943272688241295</v>
      </c>
      <c r="P81" s="1240">
        <v>0.23936027478130198</v>
      </c>
      <c r="Q81" s="1240">
        <v>0.16697570925273503</v>
      </c>
      <c r="R81" s="1240">
        <v>0.10326344913812065</v>
      </c>
      <c r="S81" s="1240">
        <v>0.4699436278383647</v>
      </c>
      <c r="T81" s="1240">
        <v>0.16977511446269863</v>
      </c>
      <c r="U81" s="1240">
        <v>0.8269979603189319</v>
      </c>
      <c r="V81" s="1240">
        <v>1.0694031330557208</v>
      </c>
      <c r="W81" s="1240">
        <v>0.27064884881661566</v>
      </c>
      <c r="X81" s="1240">
        <v>0.49505099501047684</v>
      </c>
      <c r="Y81" s="1240">
        <v>2.2529371476739897</v>
      </c>
      <c r="Z81" s="1240">
        <v>0.5917801148461191</v>
      </c>
      <c r="AA81" s="1240">
        <v>0.6925855143819643</v>
      </c>
      <c r="AB81" s="1240">
        <v>10.661733615221987</v>
      </c>
      <c r="AC81" s="1240">
        <v>0.24486121179524356</v>
      </c>
      <c r="AD81" s="1240">
        <v>4.550919340393024</v>
      </c>
      <c r="AE81" s="1240">
        <v>9.384537899773356</v>
      </c>
      <c r="AF81" s="1240">
        <v>3.843059936908517</v>
      </c>
      <c r="AG81" s="1240">
        <v>4.326427937259544</v>
      </c>
      <c r="AH81" s="1240">
        <v>3.4384572799409483</v>
      </c>
      <c r="AI81" s="1240">
        <v>0.43141431564811705</v>
      </c>
      <c r="AJ81" s="1240">
        <v>2.4487839101964455</v>
      </c>
      <c r="AK81" s="1240">
        <v>1.9684284377923293</v>
      </c>
      <c r="AL81" s="1240">
        <v>2.613423760523854</v>
      </c>
      <c r="AM81" s="1240">
        <v>0.7673766816143498</v>
      </c>
      <c r="AN81" s="1240">
        <v>0.28097998175280414</v>
      </c>
      <c r="AO81" s="1240">
        <v>0.8038391748639099</v>
      </c>
      <c r="AP81" s="1240">
        <v>0.24486121179524356</v>
      </c>
      <c r="AQ81" s="1240">
        <v>0.6867580507640847</v>
      </c>
      <c r="AR81" s="1240">
        <v>5.097857838364168</v>
      </c>
      <c r="AS81" s="1240">
        <v>1.176649061692325</v>
      </c>
      <c r="AT81" s="1240">
        <v>0.7673766816143498</v>
      </c>
      <c r="AU81" s="1240">
        <v>12.469132290184922</v>
      </c>
      <c r="AV81" s="1240">
        <v>12.469132290184922</v>
      </c>
      <c r="AW81" s="1240">
        <v>6.351006279182096</v>
      </c>
      <c r="AX81" s="1240">
        <v>26.533251121076233</v>
      </c>
      <c r="AY81" s="1240">
        <v>28.118878460259</v>
      </c>
      <c r="AZ81" s="1240">
        <v>22.60305605959316</v>
      </c>
      <c r="BA81" s="1240">
        <v>22.60305605959316</v>
      </c>
      <c r="BB81" s="1240">
        <v>0.6907794688418124</v>
      </c>
      <c r="BC81" s="1240">
        <v>6.351006279182096</v>
      </c>
      <c r="BD81" s="1240">
        <v>0.028921321330456832</v>
      </c>
      <c r="BE81" s="1240">
        <v>20.92446147949406</v>
      </c>
      <c r="BF81" s="1240">
        <v>12.469132290184922</v>
      </c>
      <c r="BG81" s="913"/>
    </row>
    <row r="82">
      <c r="H82" s="799"/>
      <c r="I82" s="799"/>
      <c r="J82" s="799"/>
      <c r="K82" s="799"/>
      <c r="L82" s="799"/>
      <c r="M82" s="799"/>
      <c r="N82" s="799"/>
      <c r="O82" s="799"/>
      <c r="P82" s="799"/>
      <c r="Q82" s="799"/>
      <c r="R82" s="799"/>
      <c r="S82" s="799"/>
      <c r="T82" s="799"/>
      <c r="U82" s="799"/>
      <c r="V82" s="799"/>
      <c r="W82" s="799"/>
      <c r="X82" s="799"/>
      <c r="Y82" s="799"/>
      <c r="Z82" s="799"/>
      <c r="AA82" s="799"/>
      <c r="AB82" s="799"/>
      <c r="AC82" s="799"/>
      <c r="AD82" s="799"/>
      <c r="AE82" s="799"/>
      <c r="AF82" s="799"/>
      <c r="AG82" s="799"/>
      <c r="AH82" s="799"/>
      <c r="AI82" s="799"/>
      <c r="AJ82" s="799"/>
      <c r="AK82" s="799"/>
      <c r="AL82" s="799"/>
      <c r="AM82" s="799"/>
      <c r="AN82" s="799"/>
      <c r="AO82" s="799"/>
      <c r="AP82" s="799"/>
      <c r="AQ82" s="799"/>
      <c r="AR82" s="799"/>
      <c r="AS82" s="799"/>
      <c r="AT82" s="799"/>
      <c r="AU82" s="799"/>
      <c r="AV82" s="799"/>
      <c r="AW82" s="799"/>
      <c r="AX82" s="799"/>
      <c r="AY82" s="799"/>
      <c r="AZ82" s="799"/>
      <c r="BA82" s="799"/>
      <c r="BB82" s="799"/>
      <c r="BC82" s="799"/>
      <c r="BD82" s="799"/>
      <c r="BE82" s="799"/>
      <c r="BF82" s="799"/>
      <c r="BG82" s="799"/>
    </row>
    <row r="83">
      <c r="H83" s="799"/>
      <c r="I83" s="799"/>
      <c r="J83" s="799"/>
      <c r="K83" s="799"/>
      <c r="L83" s="799"/>
      <c r="M83" s="799"/>
      <c r="N83" s="799"/>
      <c r="O83" s="799"/>
      <c r="P83" s="799"/>
      <c r="Q83" s="799"/>
      <c r="R83" s="799"/>
      <c r="S83" s="799"/>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799"/>
      <c r="AR83" s="799"/>
      <c r="AS83" s="799"/>
      <c r="AT83" s="799"/>
      <c r="AU83" s="799"/>
      <c r="AV83" s="799"/>
      <c r="AW83" s="799"/>
      <c r="AX83" s="799"/>
      <c r="AY83" s="799"/>
      <c r="AZ83" s="799"/>
      <c r="BA83" s="799"/>
      <c r="BB83" s="799"/>
      <c r="BC83" s="799"/>
      <c r="BD83" s="799"/>
      <c r="BE83" s="799"/>
      <c r="BF83" s="799"/>
      <c r="BG83" s="799"/>
    </row>
    <row r="84">
      <c r="H84" s="799"/>
      <c r="I84" s="799"/>
      <c r="J84" s="799"/>
      <c r="K84" s="799"/>
      <c r="L84" s="799"/>
      <c r="M84" s="799"/>
      <c r="N84" s="799"/>
      <c r="O84" s="799"/>
      <c r="P84" s="799"/>
      <c r="Q84" s="799"/>
      <c r="R84" s="799"/>
      <c r="S84" s="799"/>
      <c r="T84" s="799"/>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799"/>
      <c r="AR84" s="799"/>
      <c r="AS84" s="799"/>
      <c r="AT84" s="799"/>
      <c r="AU84" s="799"/>
      <c r="AV84" s="799"/>
      <c r="AW84" s="799"/>
      <c r="AX84" s="799"/>
      <c r="AY84" s="799"/>
      <c r="AZ84" s="799"/>
      <c r="BA84" s="799"/>
      <c r="BB84" s="799"/>
      <c r="BC84" s="799"/>
      <c r="BD84" s="799"/>
      <c r="BE84" s="799"/>
      <c r="BF84" s="799"/>
      <c r="BG84" s="799"/>
    </row>
    <row r="85">
      <c r="H85" s="799"/>
      <c r="I85" s="799"/>
      <c r="J85" s="799"/>
      <c r="K85" s="799"/>
      <c r="L85" s="799"/>
      <c r="M85" s="799"/>
      <c r="N85" s="799"/>
      <c r="O85" s="799"/>
      <c r="P85" s="799"/>
      <c r="Q85" s="799"/>
      <c r="R85" s="799"/>
      <c r="S85" s="799"/>
      <c r="T85" s="799"/>
      <c r="U85" s="799"/>
      <c r="V85" s="799"/>
      <c r="W85" s="799"/>
      <c r="X85" s="799"/>
      <c r="Y85" s="799"/>
      <c r="Z85" s="799"/>
      <c r="AA85" s="799"/>
      <c r="AB85" s="799"/>
      <c r="AC85" s="799"/>
      <c r="AD85" s="799"/>
      <c r="AE85" s="799"/>
      <c r="AF85" s="1245"/>
      <c r="AG85" s="799"/>
      <c r="AH85" s="799"/>
      <c r="AI85" s="799"/>
      <c r="AJ85" s="799"/>
      <c r="AK85" s="799"/>
      <c r="AL85" s="799"/>
      <c r="AM85" s="799"/>
      <c r="AN85" s="799"/>
      <c r="AO85" s="799"/>
      <c r="AP85" s="799"/>
      <c r="AQ85" s="799"/>
      <c r="AR85" s="799"/>
      <c r="AS85" s="799"/>
      <c r="AT85" s="799"/>
      <c r="AU85" s="799"/>
      <c r="AV85" s="799"/>
      <c r="AW85" s="799"/>
      <c r="AX85" s="799"/>
      <c r="AY85" s="799"/>
      <c r="AZ85" s="799"/>
      <c r="BA85" s="799"/>
      <c r="BB85" s="799"/>
      <c r="BC85" s="799"/>
      <c r="BD85" s="799"/>
      <c r="BE85" s="799"/>
      <c r="BF85" s="799"/>
      <c r="BG85" s="799"/>
    </row>
    <row r="86">
      <c r="A86" s="1246"/>
      <c r="H86" s="799"/>
      <c r="I86" s="799"/>
      <c r="J86" s="799"/>
      <c r="K86" s="799"/>
      <c r="L86" s="799"/>
      <c r="M86" s="799"/>
      <c r="N86" s="799"/>
      <c r="O86" s="799"/>
      <c r="P86" s="799"/>
      <c r="Q86" s="799"/>
      <c r="R86" s="799"/>
      <c r="S86" s="799"/>
      <c r="T86" s="799"/>
      <c r="U86" s="799"/>
      <c r="V86" s="799"/>
      <c r="W86" s="799"/>
      <c r="X86" s="799"/>
      <c r="Y86" s="799"/>
      <c r="Z86" s="799"/>
      <c r="AA86" s="799"/>
      <c r="AB86" s="799"/>
      <c r="AC86" s="799"/>
      <c r="AD86" s="799"/>
      <c r="AE86" s="799"/>
      <c r="AF86" s="799"/>
      <c r="AG86" s="799"/>
      <c r="AH86" s="799"/>
      <c r="AI86" s="799"/>
      <c r="AJ86" s="799"/>
      <c r="AK86" s="799"/>
      <c r="AL86" s="799"/>
      <c r="AM86" s="799"/>
      <c r="AN86" s="799"/>
      <c r="AO86" s="799"/>
      <c r="AP86" s="799"/>
      <c r="AQ86" s="799"/>
      <c r="AR86" s="799"/>
      <c r="AS86" s="799"/>
      <c r="AT86" s="799"/>
      <c r="AU86" s="799"/>
      <c r="AV86" s="799"/>
      <c r="AW86" s="799"/>
      <c r="AX86" s="799"/>
      <c r="AY86" s="799"/>
      <c r="AZ86" s="799"/>
      <c r="BA86" s="799"/>
      <c r="BB86" s="799"/>
      <c r="BC86" s="799"/>
      <c r="BD86" s="799"/>
      <c r="BE86" s="799"/>
      <c r="BF86" s="799"/>
      <c r="BG86" s="799"/>
    </row>
    <row r="87">
      <c r="H87" s="799"/>
      <c r="I87" s="799"/>
      <c r="J87" s="799"/>
      <c r="K87" s="799"/>
      <c r="L87" s="799"/>
      <c r="M87" s="799"/>
      <c r="N87" s="799"/>
      <c r="O87" s="799"/>
      <c r="P87" s="799"/>
      <c r="Q87" s="799"/>
      <c r="R87" s="799"/>
      <c r="S87" s="799"/>
      <c r="T87" s="799"/>
      <c r="U87" s="799"/>
      <c r="V87" s="799"/>
      <c r="W87" s="799"/>
      <c r="X87" s="799"/>
      <c r="Y87" s="799"/>
      <c r="Z87" s="799"/>
      <c r="AA87" s="799"/>
      <c r="AB87" s="799"/>
      <c r="AC87" s="799"/>
      <c r="AD87" s="799"/>
      <c r="AE87" s="799"/>
      <c r="AF87" s="799"/>
      <c r="AG87" s="799"/>
      <c r="AH87" s="799"/>
      <c r="AI87" s="799"/>
      <c r="AJ87" s="799"/>
      <c r="AK87" s="799"/>
      <c r="AL87" s="799"/>
      <c r="AM87" s="799"/>
      <c r="AN87" s="799"/>
      <c r="AO87" s="799"/>
      <c r="AP87" s="799"/>
      <c r="AQ87" s="799"/>
      <c r="AR87" s="799"/>
      <c r="AS87" s="799"/>
      <c r="AT87" s="799"/>
      <c r="AU87" s="799"/>
      <c r="AV87" s="799"/>
      <c r="AW87" s="799"/>
      <c r="AX87" s="799"/>
      <c r="AY87" s="799"/>
      <c r="AZ87" s="799"/>
      <c r="BA87" s="799"/>
      <c r="BB87" s="799"/>
      <c r="BC87" s="799"/>
      <c r="BD87" s="799"/>
      <c r="BE87" s="799"/>
      <c r="BF87" s="799"/>
      <c r="BG87" s="799"/>
    </row>
    <row r="88">
      <c r="H88" s="799"/>
      <c r="I88" s="799"/>
      <c r="J88" s="799"/>
      <c r="K88" s="799"/>
      <c r="L88" s="799"/>
      <c r="M88" s="799"/>
      <c r="N88" s="799"/>
      <c r="O88" s="799"/>
      <c r="P88" s="799"/>
      <c r="Q88" s="799"/>
      <c r="R88" s="799"/>
      <c r="S88" s="799"/>
      <c r="T88" s="799"/>
      <c r="U88" s="799"/>
      <c r="V88" s="799"/>
      <c r="W88" s="799"/>
      <c r="X88" s="799"/>
      <c r="Y88" s="799"/>
      <c r="Z88" s="799"/>
      <c r="AA88" s="799"/>
      <c r="AB88" s="799"/>
      <c r="AC88" s="799"/>
      <c r="AD88" s="799"/>
      <c r="AE88" s="799"/>
      <c r="AF88" s="799"/>
      <c r="AG88" s="799"/>
      <c r="AH88" s="799"/>
      <c r="AI88" s="799"/>
      <c r="AJ88" s="799"/>
      <c r="AK88" s="799"/>
      <c r="AL88" s="799"/>
      <c r="AM88" s="799"/>
      <c r="AN88" s="799"/>
      <c r="AO88" s="799"/>
      <c r="AP88" s="799"/>
      <c r="AQ88" s="799"/>
      <c r="AR88" s="799"/>
      <c r="AS88" s="799"/>
      <c r="AT88" s="799"/>
      <c r="AU88" s="799"/>
      <c r="AV88" s="799"/>
      <c r="AW88" s="799"/>
      <c r="AX88" s="799"/>
      <c r="AY88" s="799"/>
      <c r="AZ88" s="799"/>
      <c r="BA88" s="799"/>
      <c r="BB88" s="799"/>
      <c r="BC88" s="799"/>
      <c r="BD88" s="799"/>
      <c r="BE88" s="799"/>
      <c r="BF88" s="799"/>
      <c r="BG88" s="799"/>
    </row>
    <row r="89">
      <c r="H89" s="799"/>
      <c r="I89" s="799"/>
      <c r="J89" s="799"/>
      <c r="K89" s="799"/>
      <c r="L89" s="799"/>
      <c r="M89" s="799"/>
      <c r="N89" s="799"/>
      <c r="O89" s="799"/>
      <c r="P89" s="799"/>
      <c r="Q89" s="799"/>
      <c r="R89" s="799"/>
      <c r="S89" s="799"/>
      <c r="T89" s="799"/>
      <c r="U89" s="799"/>
      <c r="V89" s="799"/>
      <c r="W89" s="799"/>
      <c r="X89" s="799"/>
      <c r="Y89" s="799"/>
      <c r="Z89" s="799"/>
      <c r="AA89" s="799"/>
      <c r="AB89" s="799"/>
      <c r="AC89" s="799"/>
      <c r="AD89" s="799"/>
      <c r="AE89" s="799"/>
      <c r="AF89" s="799"/>
      <c r="AG89" s="799"/>
      <c r="AH89" s="799"/>
      <c r="AI89" s="799"/>
      <c r="AJ89" s="799"/>
      <c r="AK89" s="799"/>
      <c r="AL89" s="799"/>
      <c r="AM89" s="799"/>
      <c r="AN89" s="799"/>
      <c r="AO89" s="799"/>
      <c r="AP89" s="799"/>
      <c r="AQ89" s="799"/>
      <c r="AR89" s="799"/>
      <c r="AS89" s="799"/>
      <c r="AT89" s="799"/>
      <c r="AU89" s="799"/>
      <c r="AV89" s="799"/>
      <c r="AW89" s="799"/>
      <c r="AX89" s="799"/>
      <c r="AY89" s="799"/>
      <c r="AZ89" s="799"/>
      <c r="BA89" s="799"/>
      <c r="BB89" s="799"/>
      <c r="BC89" s="799"/>
      <c r="BD89" s="799"/>
      <c r="BE89" s="799"/>
      <c r="BF89" s="799"/>
      <c r="BG89" s="799"/>
    </row>
    <row r="90">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799"/>
      <c r="AQ90" s="799"/>
      <c r="AR90" s="799"/>
      <c r="AS90" s="799"/>
      <c r="AT90" s="799"/>
      <c r="AU90" s="799"/>
      <c r="AV90" s="799"/>
      <c r="AW90" s="799"/>
      <c r="AX90" s="799"/>
      <c r="AY90" s="799"/>
      <c r="AZ90" s="799"/>
      <c r="BA90" s="799"/>
      <c r="BB90" s="799"/>
      <c r="BC90" s="799"/>
      <c r="BD90" s="799"/>
      <c r="BE90" s="799"/>
      <c r="BF90" s="799"/>
      <c r="BG90" s="799"/>
    </row>
    <row r="91">
      <c r="H91" s="799"/>
      <c r="I91" s="799"/>
      <c r="J91" s="799"/>
      <c r="K91" s="799"/>
      <c r="L91" s="799"/>
      <c r="M91" s="799"/>
      <c r="N91" s="799"/>
      <c r="O91" s="799"/>
      <c r="P91" s="799"/>
      <c r="Q91" s="799"/>
      <c r="R91" s="799"/>
      <c r="S91" s="799"/>
      <c r="T91" s="799"/>
      <c r="U91" s="799"/>
      <c r="V91" s="799"/>
      <c r="W91" s="799"/>
      <c r="X91" s="799"/>
      <c r="Y91" s="799"/>
      <c r="Z91" s="799"/>
      <c r="AA91" s="799"/>
      <c r="AB91" s="799"/>
      <c r="AC91" s="799"/>
      <c r="AD91" s="799"/>
      <c r="AE91" s="799"/>
      <c r="AF91" s="799"/>
      <c r="AG91" s="799"/>
      <c r="AH91" s="799"/>
      <c r="AI91" s="799"/>
      <c r="AJ91" s="799"/>
      <c r="AK91" s="799"/>
      <c r="AL91" s="799"/>
      <c r="AM91" s="799"/>
      <c r="AN91" s="799"/>
      <c r="AO91" s="799"/>
      <c r="AP91" s="799"/>
      <c r="AQ91" s="799"/>
      <c r="AR91" s="799"/>
      <c r="AS91" s="799"/>
      <c r="AT91" s="799"/>
      <c r="AU91" s="799"/>
      <c r="AV91" s="799"/>
      <c r="AW91" s="799"/>
      <c r="AX91" s="799"/>
      <c r="AY91" s="799"/>
      <c r="AZ91" s="799"/>
      <c r="BA91" s="799"/>
      <c r="BB91" s="799"/>
      <c r="BC91" s="799"/>
      <c r="BD91" s="799"/>
      <c r="BE91" s="799"/>
      <c r="BF91" s="799"/>
      <c r="BG91" s="799"/>
    </row>
    <row r="92">
      <c r="H92" s="799"/>
      <c r="I92" s="799"/>
      <c r="J92" s="799"/>
      <c r="K92" s="799"/>
      <c r="L92" s="799"/>
      <c r="M92" s="799"/>
      <c r="N92" s="799"/>
      <c r="O92" s="799"/>
      <c r="P92" s="799"/>
      <c r="Q92" s="799"/>
      <c r="R92" s="799"/>
      <c r="S92" s="799"/>
      <c r="T92" s="799"/>
      <c r="U92" s="799"/>
      <c r="V92" s="799"/>
      <c r="W92" s="799"/>
      <c r="X92" s="799"/>
      <c r="Y92" s="799"/>
      <c r="Z92" s="799"/>
      <c r="AA92" s="799"/>
      <c r="AB92" s="799"/>
      <c r="AC92" s="799"/>
      <c r="AD92" s="799"/>
      <c r="AE92" s="799"/>
      <c r="AF92" s="799"/>
      <c r="AG92" s="799"/>
      <c r="AH92" s="799"/>
      <c r="AI92" s="799"/>
      <c r="AJ92" s="799"/>
      <c r="AK92" s="799"/>
      <c r="AL92" s="799"/>
      <c r="AM92" s="799"/>
      <c r="AN92" s="799"/>
      <c r="AO92" s="799"/>
      <c r="AP92" s="799"/>
      <c r="AQ92" s="799"/>
      <c r="AR92" s="799"/>
      <c r="AS92" s="799"/>
      <c r="AT92" s="799"/>
      <c r="AU92" s="799"/>
      <c r="AV92" s="799"/>
      <c r="AW92" s="799"/>
      <c r="AX92" s="799"/>
      <c r="AY92" s="799"/>
      <c r="AZ92" s="799"/>
      <c r="BA92" s="799"/>
      <c r="BB92" s="799"/>
      <c r="BC92" s="799"/>
      <c r="BD92" s="799"/>
      <c r="BE92" s="799"/>
      <c r="BF92" s="799"/>
      <c r="BG92" s="799"/>
    </row>
    <row r="93">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c r="AY93" s="799"/>
      <c r="AZ93" s="799"/>
      <c r="BA93" s="799"/>
      <c r="BB93" s="799"/>
      <c r="BC93" s="799"/>
      <c r="BD93" s="799"/>
      <c r="BE93" s="799"/>
      <c r="BF93" s="799"/>
      <c r="BG93" s="799"/>
    </row>
    <row r="94">
      <c r="H94" s="799"/>
      <c r="I94" s="799"/>
      <c r="J94" s="799"/>
      <c r="K94" s="799"/>
      <c r="L94" s="799"/>
      <c r="M94" s="799"/>
      <c r="N94" s="799"/>
      <c r="O94" s="799"/>
      <c r="P94" s="799"/>
      <c r="Q94" s="799"/>
      <c r="R94" s="799"/>
      <c r="S94" s="799"/>
      <c r="T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799"/>
      <c r="AY94" s="799"/>
      <c r="AZ94" s="799"/>
      <c r="BA94" s="799"/>
      <c r="BB94" s="799"/>
      <c r="BC94" s="799"/>
      <c r="BD94" s="799"/>
      <c r="BE94" s="799"/>
      <c r="BF94" s="799"/>
      <c r="BG94" s="799"/>
    </row>
    <row r="95">
      <c r="H95" s="799"/>
      <c r="I95" s="799"/>
      <c r="J95" s="799"/>
      <c r="K95" s="799"/>
      <c r="L95" s="799"/>
      <c r="M95" s="799"/>
      <c r="N95" s="799"/>
      <c r="O95" s="799"/>
      <c r="P95" s="799"/>
      <c r="Q95" s="799"/>
      <c r="R95" s="799"/>
      <c r="S95" s="799"/>
      <c r="T95" s="799"/>
      <c r="U95" s="799"/>
      <c r="V95" s="799"/>
      <c r="W95" s="799"/>
      <c r="X95" s="799"/>
      <c r="Y95" s="799"/>
      <c r="Z95" s="799"/>
      <c r="AA95" s="799"/>
      <c r="AB95" s="799"/>
      <c r="AC95" s="799"/>
      <c r="AD95" s="799"/>
      <c r="AE95" s="799"/>
      <c r="AF95" s="799"/>
      <c r="AG95" s="799"/>
      <c r="AH95" s="799"/>
      <c r="AI95" s="799"/>
      <c r="AJ95" s="799"/>
      <c r="AK95" s="799"/>
      <c r="AL95" s="799"/>
      <c r="AM95" s="799"/>
      <c r="AN95" s="799"/>
      <c r="AO95" s="799"/>
      <c r="AP95" s="799"/>
      <c r="AQ95" s="799"/>
      <c r="AR95" s="799"/>
      <c r="AS95" s="799"/>
      <c r="AT95" s="799"/>
      <c r="AU95" s="799"/>
      <c r="AV95" s="799"/>
      <c r="AW95" s="799"/>
      <c r="AX95" s="799"/>
      <c r="AY95" s="799"/>
      <c r="AZ95" s="799"/>
      <c r="BA95" s="799"/>
      <c r="BB95" s="799"/>
      <c r="BC95" s="799"/>
      <c r="BD95" s="799"/>
      <c r="BE95" s="799"/>
      <c r="BF95" s="799"/>
      <c r="BG95" s="799"/>
    </row>
    <row r="96">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row>
    <row r="97">
      <c r="H97" s="799"/>
      <c r="I97" s="799"/>
      <c r="J97" s="799"/>
      <c r="K97" s="799"/>
      <c r="L97" s="799"/>
      <c r="M97" s="799"/>
      <c r="N97" s="799"/>
      <c r="O97" s="799"/>
      <c r="P97" s="799"/>
      <c r="Q97" s="799"/>
      <c r="R97" s="799"/>
      <c r="S97" s="799"/>
      <c r="T97" s="799"/>
      <c r="U97" s="799"/>
      <c r="V97" s="799"/>
      <c r="W97" s="799"/>
      <c r="X97" s="799"/>
      <c r="Y97" s="799"/>
      <c r="Z97" s="799"/>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799"/>
      <c r="AX97" s="799"/>
      <c r="AY97" s="799"/>
      <c r="AZ97" s="799"/>
      <c r="BA97" s="799"/>
      <c r="BB97" s="799"/>
      <c r="BC97" s="799"/>
      <c r="BD97" s="799"/>
      <c r="BE97" s="799"/>
      <c r="BF97" s="799"/>
      <c r="BG97" s="799"/>
    </row>
    <row r="98">
      <c r="H98" s="799"/>
      <c r="I98" s="799"/>
      <c r="J98" s="799"/>
      <c r="K98" s="799"/>
      <c r="L98" s="799"/>
      <c r="M98" s="799"/>
      <c r="N98" s="799"/>
      <c r="O98" s="799"/>
      <c r="P98" s="799"/>
      <c r="Q98" s="799"/>
      <c r="R98" s="799"/>
      <c r="S98" s="799"/>
      <c r="T98" s="799"/>
      <c r="U98" s="799"/>
      <c r="V98" s="799"/>
      <c r="W98" s="799"/>
      <c r="X98" s="799"/>
      <c r="Y98" s="799"/>
      <c r="Z98" s="799"/>
      <c r="AA98" s="799"/>
      <c r="AB98" s="799"/>
      <c r="AC98" s="799"/>
      <c r="AD98" s="799"/>
      <c r="AE98" s="799"/>
      <c r="AF98" s="799"/>
      <c r="AG98" s="799"/>
      <c r="AH98" s="799"/>
      <c r="AI98" s="799"/>
      <c r="AJ98" s="799"/>
      <c r="AK98" s="799"/>
      <c r="AL98" s="799"/>
      <c r="AM98" s="799"/>
      <c r="AN98" s="799"/>
      <c r="AO98" s="799"/>
      <c r="AP98" s="799"/>
      <c r="AQ98" s="799"/>
      <c r="AR98" s="799"/>
      <c r="AS98" s="799"/>
      <c r="AT98" s="799"/>
      <c r="AU98" s="799"/>
      <c r="AV98" s="799"/>
      <c r="AW98" s="799"/>
      <c r="AX98" s="799"/>
      <c r="AY98" s="799"/>
      <c r="AZ98" s="799"/>
      <c r="BA98" s="799"/>
      <c r="BB98" s="799"/>
      <c r="BC98" s="799"/>
      <c r="BD98" s="799"/>
      <c r="BE98" s="799"/>
      <c r="BF98" s="799"/>
      <c r="BG98" s="799"/>
    </row>
    <row r="99">
      <c r="H99" s="799"/>
      <c r="I99" s="799"/>
      <c r="J99" s="799"/>
      <c r="K99" s="799"/>
      <c r="L99" s="799"/>
      <c r="M99" s="799"/>
      <c r="N99" s="799"/>
      <c r="O99" s="799"/>
      <c r="P99" s="799"/>
      <c r="Q99" s="799"/>
      <c r="R99" s="799"/>
      <c r="S99" s="799"/>
      <c r="T99" s="799"/>
      <c r="U99" s="799"/>
      <c r="V99" s="799"/>
      <c r="W99" s="799"/>
      <c r="X99" s="799"/>
      <c r="Y99" s="799"/>
      <c r="Z99" s="799"/>
      <c r="AA99" s="799"/>
      <c r="AB99" s="799"/>
      <c r="AC99" s="799"/>
      <c r="AD99" s="799"/>
      <c r="AE99" s="799"/>
      <c r="AF99" s="799"/>
      <c r="AG99" s="799"/>
      <c r="AH99" s="799"/>
      <c r="AI99" s="799"/>
      <c r="AJ99" s="799"/>
      <c r="AK99" s="799"/>
      <c r="AL99" s="799"/>
      <c r="AM99" s="799"/>
      <c r="AN99" s="799"/>
      <c r="AO99" s="799"/>
      <c r="AP99" s="799"/>
      <c r="AQ99" s="799"/>
      <c r="AR99" s="799"/>
      <c r="AS99" s="799"/>
      <c r="AT99" s="799"/>
      <c r="AU99" s="799"/>
      <c r="AV99" s="799"/>
      <c r="AW99" s="799"/>
      <c r="AX99" s="799"/>
      <c r="AY99" s="799"/>
      <c r="AZ99" s="799"/>
      <c r="BA99" s="799"/>
      <c r="BB99" s="799"/>
      <c r="BC99" s="799"/>
      <c r="BD99" s="799"/>
      <c r="BE99" s="799"/>
      <c r="BF99" s="799"/>
      <c r="BG99" s="799"/>
    </row>
    <row r="100">
      <c r="H100" s="799"/>
      <c r="I100" s="799"/>
      <c r="J100" s="799"/>
      <c r="K100" s="799"/>
      <c r="L100" s="799"/>
      <c r="M100" s="799"/>
      <c r="N100" s="799"/>
      <c r="O100" s="799"/>
      <c r="P100" s="799"/>
      <c r="Q100" s="799"/>
      <c r="R100" s="799"/>
      <c r="S100" s="799"/>
      <c r="T100" s="799"/>
      <c r="U100" s="799"/>
      <c r="V100" s="799"/>
      <c r="W100" s="799"/>
      <c r="X100" s="799"/>
      <c r="Y100" s="799"/>
      <c r="Z100" s="799"/>
      <c r="AA100" s="799"/>
      <c r="AB100" s="799"/>
      <c r="AC100" s="799"/>
      <c r="AD100" s="799"/>
      <c r="AE100" s="799"/>
      <c r="AF100" s="799"/>
      <c r="AG100" s="799"/>
      <c r="AH100" s="799"/>
      <c r="AI100" s="799"/>
      <c r="AJ100" s="799"/>
      <c r="AK100" s="799"/>
      <c r="AL100" s="799"/>
      <c r="AM100" s="799"/>
      <c r="AN100" s="799"/>
      <c r="AO100" s="799"/>
      <c r="AP100" s="799"/>
      <c r="AQ100" s="799"/>
      <c r="AR100" s="799"/>
      <c r="AS100" s="799"/>
      <c r="AT100" s="799"/>
      <c r="AU100" s="799"/>
      <c r="AV100" s="799"/>
      <c r="AW100" s="799"/>
      <c r="AX100" s="799"/>
      <c r="AY100" s="799"/>
      <c r="AZ100" s="799"/>
      <c r="BA100" s="799"/>
      <c r="BB100" s="799"/>
      <c r="BC100" s="799"/>
      <c r="BD100" s="799"/>
      <c r="BE100" s="799"/>
      <c r="BF100" s="799"/>
      <c r="BG100" s="799"/>
    </row>
    <row r="101">
      <c r="H101" s="799"/>
      <c r="I101" s="799"/>
      <c r="J101" s="799"/>
      <c r="K101" s="799"/>
      <c r="L101" s="799"/>
      <c r="M101" s="799"/>
      <c r="N101" s="799"/>
      <c r="O101" s="799"/>
      <c r="P101" s="799"/>
      <c r="Q101" s="799"/>
      <c r="R101" s="799"/>
      <c r="S101" s="799"/>
      <c r="T101" s="799"/>
      <c r="U101" s="799"/>
      <c r="V101" s="799"/>
      <c r="W101" s="799"/>
      <c r="X101" s="799"/>
      <c r="Y101" s="799"/>
      <c r="Z101" s="799"/>
      <c r="AA101" s="799"/>
      <c r="AB101" s="799"/>
      <c r="AC101" s="799"/>
      <c r="AD101" s="799"/>
      <c r="AE101" s="799"/>
      <c r="AF101" s="799"/>
      <c r="AG101" s="799"/>
      <c r="AH101" s="799"/>
      <c r="AI101" s="799"/>
      <c r="AJ101" s="799"/>
      <c r="AK101" s="799"/>
      <c r="AL101" s="799"/>
      <c r="AM101" s="799"/>
      <c r="AN101" s="799"/>
      <c r="AO101" s="799"/>
      <c r="AP101" s="799"/>
      <c r="AQ101" s="799"/>
      <c r="AR101" s="799"/>
      <c r="AS101" s="799"/>
      <c r="AT101" s="799"/>
      <c r="AU101" s="799"/>
      <c r="AV101" s="799"/>
      <c r="AW101" s="799"/>
      <c r="AX101" s="799"/>
      <c r="AY101" s="799"/>
      <c r="AZ101" s="799"/>
      <c r="BA101" s="799"/>
      <c r="BB101" s="799"/>
      <c r="BC101" s="799"/>
      <c r="BD101" s="799"/>
      <c r="BE101" s="799"/>
      <c r="BF101" s="799"/>
      <c r="BG101" s="799"/>
    </row>
    <row r="102">
      <c r="H102" s="799"/>
      <c r="I102" s="799"/>
      <c r="J102" s="799"/>
      <c r="K102" s="799"/>
      <c r="L102" s="799"/>
      <c r="M102" s="799"/>
      <c r="N102" s="799"/>
      <c r="O102" s="799"/>
      <c r="P102" s="799"/>
      <c r="Q102" s="799"/>
      <c r="R102" s="799"/>
      <c r="S102" s="799"/>
      <c r="T102" s="799"/>
      <c r="U102" s="799"/>
      <c r="V102" s="799"/>
      <c r="W102" s="799"/>
      <c r="X102" s="799"/>
      <c r="Y102" s="799"/>
      <c r="Z102" s="799"/>
      <c r="AA102" s="799"/>
      <c r="AB102" s="799"/>
      <c r="AC102" s="799"/>
      <c r="AD102" s="799"/>
      <c r="AE102" s="799"/>
      <c r="AF102" s="799"/>
      <c r="AG102" s="799"/>
      <c r="AH102" s="799"/>
      <c r="AI102" s="799"/>
      <c r="AJ102" s="799"/>
      <c r="AK102" s="799"/>
      <c r="AL102" s="799"/>
      <c r="AM102" s="799"/>
      <c r="AN102" s="799"/>
      <c r="AO102" s="799"/>
      <c r="AP102" s="799"/>
      <c r="AQ102" s="799"/>
      <c r="AR102" s="799"/>
      <c r="AS102" s="799"/>
      <c r="AT102" s="799"/>
      <c r="AU102" s="799"/>
      <c r="AV102" s="799"/>
      <c r="AW102" s="799"/>
      <c r="AX102" s="799"/>
      <c r="AY102" s="799"/>
      <c r="AZ102" s="799"/>
      <c r="BA102" s="799"/>
      <c r="BB102" s="799"/>
      <c r="BC102" s="799"/>
      <c r="BD102" s="799"/>
      <c r="BE102" s="799"/>
      <c r="BF102" s="799"/>
      <c r="BG102" s="799"/>
    </row>
    <row r="103">
      <c r="H103" s="799"/>
      <c r="I103" s="799"/>
      <c r="J103" s="799"/>
      <c r="K103" s="799"/>
      <c r="L103" s="799"/>
      <c r="M103" s="799"/>
      <c r="N103" s="799"/>
      <c r="O103" s="799"/>
      <c r="P103" s="799"/>
      <c r="Q103" s="799"/>
      <c r="R103" s="799"/>
      <c r="S103" s="799"/>
      <c r="T103" s="799"/>
      <c r="U103" s="799"/>
      <c r="V103" s="799"/>
      <c r="W103" s="799"/>
      <c r="X103" s="799"/>
      <c r="Y103" s="799"/>
      <c r="Z103" s="799"/>
      <c r="AA103" s="799"/>
      <c r="AB103" s="799"/>
      <c r="AC103" s="799"/>
      <c r="AD103" s="799"/>
      <c r="AE103" s="799"/>
      <c r="AF103" s="799"/>
      <c r="AG103" s="799"/>
      <c r="AH103" s="799"/>
      <c r="AI103" s="799"/>
      <c r="AJ103" s="799"/>
      <c r="AK103" s="799"/>
      <c r="AL103" s="799"/>
      <c r="AM103" s="799"/>
      <c r="AN103" s="799"/>
      <c r="AO103" s="799"/>
      <c r="AP103" s="799"/>
      <c r="AQ103" s="799"/>
      <c r="AR103" s="799"/>
      <c r="AS103" s="799"/>
      <c r="AT103" s="799"/>
      <c r="AU103" s="799"/>
      <c r="AV103" s="799"/>
      <c r="AW103" s="799"/>
      <c r="AX103" s="799"/>
      <c r="AY103" s="799"/>
      <c r="AZ103" s="799"/>
      <c r="BA103" s="799"/>
      <c r="BB103" s="799"/>
      <c r="BC103" s="799"/>
      <c r="BD103" s="799"/>
      <c r="BE103" s="799"/>
      <c r="BF103" s="799"/>
      <c r="BG103" s="799"/>
    </row>
    <row r="104">
      <c r="H104" s="799"/>
      <c r="I104" s="799"/>
      <c r="J104" s="799"/>
      <c r="K104" s="799"/>
      <c r="L104" s="799"/>
      <c r="M104" s="799"/>
      <c r="N104" s="799"/>
      <c r="O104" s="799"/>
      <c r="P104" s="799"/>
      <c r="Q104" s="799"/>
      <c r="R104" s="799"/>
      <c r="S104" s="799"/>
      <c r="T104" s="799"/>
      <c r="U104" s="799"/>
      <c r="V104" s="799"/>
      <c r="W104" s="799"/>
      <c r="X104" s="799"/>
      <c r="Y104" s="799"/>
      <c r="Z104" s="799"/>
      <c r="AA104" s="799"/>
      <c r="AB104" s="799"/>
      <c r="AC104" s="799"/>
      <c r="AD104" s="799"/>
      <c r="AE104" s="799"/>
      <c r="AF104" s="799"/>
      <c r="AG104" s="799"/>
      <c r="AH104" s="799"/>
      <c r="AI104" s="799"/>
      <c r="AJ104" s="799"/>
      <c r="AK104" s="799"/>
      <c r="AL104" s="799"/>
      <c r="AM104" s="799"/>
      <c r="AN104" s="799"/>
      <c r="AO104" s="799"/>
      <c r="AP104" s="799"/>
      <c r="AQ104" s="799"/>
      <c r="AR104" s="799"/>
      <c r="AS104" s="799"/>
      <c r="AT104" s="799"/>
      <c r="AU104" s="799"/>
      <c r="AV104" s="799"/>
      <c r="AW104" s="799"/>
      <c r="AX104" s="799"/>
      <c r="AY104" s="799"/>
      <c r="AZ104" s="799"/>
      <c r="BA104" s="799"/>
      <c r="BB104" s="799"/>
      <c r="BC104" s="799"/>
      <c r="BD104" s="799"/>
      <c r="BE104" s="799"/>
      <c r="BF104" s="799"/>
      <c r="BG104" s="799"/>
    </row>
    <row r="105">
      <c r="H105" s="799"/>
      <c r="I105" s="799"/>
      <c r="J105" s="799"/>
      <c r="K105" s="799"/>
      <c r="L105" s="799"/>
      <c r="M105" s="799"/>
      <c r="N105" s="799"/>
      <c r="O105" s="799"/>
      <c r="P105" s="799"/>
      <c r="Q105" s="799"/>
      <c r="R105" s="799"/>
      <c r="S105" s="799"/>
      <c r="T105" s="799"/>
      <c r="U105" s="799"/>
      <c r="V105" s="799"/>
      <c r="W105" s="799"/>
      <c r="X105" s="799"/>
      <c r="Y105" s="799"/>
      <c r="Z105" s="799"/>
      <c r="AA105" s="799"/>
      <c r="AB105" s="799"/>
      <c r="AC105" s="799"/>
      <c r="AD105" s="799"/>
      <c r="AE105" s="799"/>
      <c r="AF105" s="799"/>
      <c r="AG105" s="799"/>
      <c r="AH105" s="799"/>
      <c r="AI105" s="799"/>
      <c r="AJ105" s="799"/>
      <c r="AK105" s="799"/>
      <c r="AL105" s="799"/>
      <c r="AM105" s="799"/>
      <c r="AN105" s="799"/>
      <c r="AO105" s="799"/>
      <c r="AP105" s="799"/>
      <c r="AQ105" s="799"/>
      <c r="AR105" s="799"/>
      <c r="AS105" s="799"/>
      <c r="AT105" s="799"/>
      <c r="AU105" s="799"/>
      <c r="AV105" s="799"/>
      <c r="AW105" s="799"/>
      <c r="AX105" s="799"/>
      <c r="AY105" s="799"/>
      <c r="AZ105" s="799"/>
      <c r="BA105" s="799"/>
      <c r="BB105" s="799"/>
      <c r="BC105" s="799"/>
      <c r="BD105" s="799"/>
      <c r="BE105" s="799"/>
      <c r="BF105" s="799"/>
      <c r="BG105" s="799"/>
    </row>
    <row r="106">
      <c r="H106" s="799"/>
      <c r="I106" s="799"/>
      <c r="J106" s="799"/>
      <c r="K106" s="799"/>
      <c r="L106" s="799"/>
      <c r="M106" s="799"/>
      <c r="N106" s="799"/>
      <c r="O106" s="799"/>
      <c r="P106" s="799"/>
      <c r="Q106" s="799"/>
      <c r="R106" s="799"/>
      <c r="S106" s="799"/>
      <c r="T106" s="799"/>
      <c r="U106" s="799"/>
      <c r="V106" s="799"/>
      <c r="W106" s="799"/>
      <c r="X106" s="799"/>
      <c r="Y106" s="799"/>
      <c r="Z106" s="799"/>
      <c r="AA106" s="799"/>
      <c r="AB106" s="799"/>
      <c r="AC106" s="799"/>
      <c r="AD106" s="799"/>
      <c r="AE106" s="799"/>
      <c r="AF106" s="799"/>
      <c r="AG106" s="799"/>
      <c r="AH106" s="799"/>
      <c r="AI106" s="799"/>
      <c r="AJ106" s="799"/>
      <c r="AK106" s="799"/>
      <c r="AL106" s="799"/>
      <c r="AM106" s="799"/>
      <c r="AN106" s="799"/>
      <c r="AO106" s="799"/>
      <c r="AP106" s="799"/>
      <c r="AQ106" s="799"/>
      <c r="AR106" s="799"/>
      <c r="AS106" s="799"/>
      <c r="AT106" s="799"/>
      <c r="AU106" s="799"/>
      <c r="AV106" s="799"/>
      <c r="AW106" s="799"/>
      <c r="AX106" s="799"/>
      <c r="AY106" s="799"/>
      <c r="AZ106" s="799"/>
      <c r="BA106" s="799"/>
      <c r="BB106" s="799"/>
      <c r="BC106" s="799"/>
      <c r="BD106" s="799"/>
      <c r="BE106" s="799"/>
      <c r="BF106" s="799"/>
      <c r="BG106" s="799"/>
    </row>
    <row r="107">
      <c r="H107" s="799"/>
      <c r="I107" s="799"/>
      <c r="J107" s="799"/>
      <c r="K107" s="799"/>
      <c r="L107" s="799"/>
      <c r="M107" s="799"/>
      <c r="N107" s="799"/>
      <c r="O107" s="799"/>
      <c r="P107" s="799"/>
      <c r="Q107" s="799"/>
      <c r="R107" s="799"/>
      <c r="S107" s="799"/>
      <c r="T107" s="799"/>
      <c r="U107" s="799"/>
      <c r="V107" s="799"/>
      <c r="W107" s="799"/>
      <c r="X107" s="799"/>
      <c r="Y107" s="799"/>
      <c r="Z107" s="799"/>
      <c r="AA107" s="799"/>
      <c r="AB107" s="799"/>
      <c r="AC107" s="799"/>
      <c r="AD107" s="799"/>
      <c r="AE107" s="799"/>
      <c r="AF107" s="799"/>
      <c r="AG107" s="799"/>
      <c r="AH107" s="799"/>
      <c r="AI107" s="799"/>
      <c r="AJ107" s="799"/>
      <c r="AK107" s="799"/>
      <c r="AL107" s="799"/>
      <c r="AM107" s="799"/>
      <c r="AN107" s="799"/>
      <c r="AO107" s="799"/>
      <c r="AP107" s="799"/>
      <c r="AQ107" s="799"/>
      <c r="AR107" s="799"/>
      <c r="AS107" s="799"/>
      <c r="AT107" s="799"/>
      <c r="AU107" s="799"/>
      <c r="AV107" s="799"/>
      <c r="AW107" s="799"/>
      <c r="AX107" s="799"/>
      <c r="AY107" s="799"/>
      <c r="AZ107" s="799"/>
      <c r="BA107" s="799"/>
      <c r="BB107" s="799"/>
      <c r="BC107" s="799"/>
      <c r="BD107" s="799"/>
      <c r="BE107" s="799"/>
      <c r="BF107" s="799"/>
      <c r="BG107" s="799"/>
    </row>
    <row r="108">
      <c r="H108" s="799"/>
      <c r="I108" s="799"/>
      <c r="J108" s="799"/>
      <c r="K108" s="799"/>
      <c r="L108" s="799"/>
      <c r="M108" s="799"/>
      <c r="N108" s="799"/>
      <c r="O108" s="799"/>
      <c r="P108" s="799"/>
      <c r="Q108" s="799"/>
      <c r="R108" s="799"/>
      <c r="S108" s="799"/>
      <c r="T108" s="799"/>
      <c r="U108" s="799"/>
      <c r="V108" s="799"/>
      <c r="W108" s="799"/>
      <c r="X108" s="799"/>
      <c r="Y108" s="799"/>
      <c r="Z108" s="799"/>
      <c r="AA108" s="799"/>
      <c r="AB108" s="799"/>
      <c r="AC108" s="799"/>
      <c r="AD108" s="799"/>
      <c r="AE108" s="799"/>
      <c r="AF108" s="799"/>
      <c r="AG108" s="799"/>
      <c r="AH108" s="799"/>
      <c r="AI108" s="799"/>
      <c r="AJ108" s="799"/>
      <c r="AK108" s="799"/>
      <c r="AL108" s="799"/>
      <c r="AM108" s="799"/>
      <c r="AN108" s="799"/>
      <c r="AO108" s="799"/>
      <c r="AP108" s="799"/>
      <c r="AQ108" s="799"/>
      <c r="AR108" s="799"/>
      <c r="AS108" s="799"/>
      <c r="AT108" s="799"/>
      <c r="AU108" s="799"/>
      <c r="AV108" s="799"/>
      <c r="AW108" s="799"/>
      <c r="AX108" s="799"/>
      <c r="AY108" s="799"/>
      <c r="AZ108" s="799"/>
      <c r="BA108" s="799"/>
      <c r="BB108" s="799"/>
      <c r="BC108" s="799"/>
      <c r="BD108" s="799"/>
      <c r="BE108" s="799"/>
      <c r="BF108" s="799"/>
      <c r="BG108" s="799"/>
    </row>
    <row r="109">
      <c r="H109" s="799"/>
      <c r="I109" s="799"/>
      <c r="J109" s="799"/>
      <c r="K109" s="799"/>
      <c r="L109" s="799"/>
      <c r="M109" s="799"/>
      <c r="N109" s="799"/>
      <c r="O109" s="799"/>
      <c r="P109" s="799"/>
      <c r="Q109" s="799"/>
      <c r="R109" s="799"/>
      <c r="S109" s="799"/>
      <c r="T109" s="799"/>
      <c r="U109" s="799"/>
      <c r="V109" s="799"/>
      <c r="W109" s="799"/>
      <c r="X109" s="799"/>
      <c r="Y109" s="799"/>
      <c r="Z109" s="799"/>
      <c r="AA109" s="799"/>
      <c r="AB109" s="799"/>
      <c r="AC109" s="799"/>
      <c r="AD109" s="799"/>
      <c r="AE109" s="799"/>
      <c r="AF109" s="799"/>
      <c r="AG109" s="799"/>
      <c r="AH109" s="799"/>
      <c r="AI109" s="799"/>
      <c r="AJ109" s="799"/>
      <c r="AK109" s="799"/>
      <c r="AL109" s="799"/>
      <c r="AM109" s="799"/>
      <c r="AN109" s="799"/>
      <c r="AO109" s="799"/>
      <c r="AP109" s="799"/>
      <c r="AQ109" s="799"/>
      <c r="AR109" s="799"/>
      <c r="AS109" s="799"/>
      <c r="AT109" s="799"/>
      <c r="AU109" s="799"/>
      <c r="AV109" s="799"/>
      <c r="AW109" s="799"/>
      <c r="AX109" s="799"/>
      <c r="AY109" s="799"/>
      <c r="AZ109" s="799"/>
      <c r="BA109" s="799"/>
      <c r="BB109" s="799"/>
      <c r="BC109" s="799"/>
      <c r="BD109" s="799"/>
      <c r="BE109" s="799"/>
      <c r="BF109" s="799"/>
      <c r="BG109" s="799"/>
    </row>
    <row r="110">
      <c r="H110" s="799"/>
      <c r="I110" s="799"/>
      <c r="J110" s="799"/>
      <c r="K110" s="799"/>
      <c r="L110" s="799"/>
      <c r="M110" s="799"/>
      <c r="N110" s="799"/>
      <c r="O110" s="799"/>
      <c r="P110" s="799"/>
      <c r="Q110" s="799"/>
      <c r="R110" s="799"/>
      <c r="S110" s="799"/>
      <c r="T110" s="799"/>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c r="AP110" s="799"/>
      <c r="AQ110" s="799"/>
      <c r="AR110" s="799"/>
      <c r="AS110" s="799"/>
      <c r="AT110" s="799"/>
      <c r="AU110" s="799"/>
      <c r="AV110" s="799"/>
      <c r="AW110" s="799"/>
      <c r="AX110" s="799"/>
      <c r="AY110" s="799"/>
      <c r="AZ110" s="799"/>
      <c r="BA110" s="799"/>
      <c r="BB110" s="799"/>
      <c r="BC110" s="799"/>
      <c r="BD110" s="799"/>
      <c r="BE110" s="799"/>
      <c r="BF110" s="799"/>
      <c r="BG110" s="799"/>
    </row>
    <row r="111">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row>
    <row r="112">
      <c r="H112" s="799"/>
      <c r="I112" s="799"/>
      <c r="J112" s="799"/>
      <c r="K112" s="799"/>
      <c r="L112" s="799"/>
      <c r="M112" s="799"/>
      <c r="N112" s="799"/>
      <c r="O112" s="799"/>
      <c r="P112" s="799"/>
      <c r="Q112" s="799"/>
      <c r="R112" s="799"/>
      <c r="S112" s="799"/>
      <c r="T112" s="799"/>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c r="AP112" s="799"/>
      <c r="AQ112" s="799"/>
      <c r="AR112" s="799"/>
      <c r="AS112" s="799"/>
      <c r="AT112" s="799"/>
      <c r="AU112" s="799"/>
      <c r="AV112" s="799"/>
      <c r="AW112" s="799"/>
      <c r="AX112" s="799"/>
      <c r="AY112" s="799"/>
      <c r="AZ112" s="799"/>
      <c r="BA112" s="799"/>
      <c r="BB112" s="799"/>
      <c r="BC112" s="799"/>
      <c r="BD112" s="799"/>
      <c r="BE112" s="799"/>
      <c r="BF112" s="799"/>
      <c r="BG112" s="799"/>
    </row>
    <row r="113">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row>
    <row r="114">
      <c r="H114" s="799"/>
      <c r="I114" s="799"/>
      <c r="J114" s="799"/>
      <c r="K114" s="799"/>
      <c r="L114" s="799"/>
      <c r="M114" s="799"/>
      <c r="N114" s="799"/>
      <c r="O114" s="799"/>
      <c r="P114" s="799"/>
      <c r="Q114" s="799"/>
      <c r="R114" s="799"/>
      <c r="S114" s="799"/>
      <c r="T114" s="799"/>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c r="AP114" s="799"/>
      <c r="AQ114" s="799"/>
      <c r="AR114" s="799"/>
      <c r="AS114" s="799"/>
      <c r="AT114" s="799"/>
      <c r="AU114" s="799"/>
      <c r="AV114" s="799"/>
      <c r="AW114" s="799"/>
      <c r="AX114" s="799"/>
      <c r="AY114" s="799"/>
      <c r="AZ114" s="799"/>
      <c r="BA114" s="799"/>
      <c r="BB114" s="799"/>
      <c r="BC114" s="799"/>
      <c r="BD114" s="799"/>
      <c r="BE114" s="799"/>
      <c r="BF114" s="799"/>
      <c r="BG114" s="799"/>
    </row>
    <row r="115">
      <c r="H115" s="799"/>
      <c r="I115" s="799"/>
      <c r="J115" s="799"/>
      <c r="K115" s="799"/>
      <c r="L115" s="799"/>
      <c r="M115" s="799"/>
      <c r="N115" s="799"/>
      <c r="O115" s="799"/>
      <c r="P115" s="799"/>
      <c r="Q115" s="799"/>
      <c r="R115" s="799"/>
      <c r="S115" s="799"/>
      <c r="T115" s="799"/>
      <c r="U115" s="799"/>
      <c r="V115" s="799"/>
      <c r="W115" s="799"/>
      <c r="X115" s="799"/>
      <c r="Y115" s="799"/>
      <c r="Z115" s="799"/>
      <c r="AA115" s="799"/>
      <c r="AB115" s="799"/>
      <c r="AC115" s="799"/>
      <c r="AD115" s="799"/>
      <c r="AE115" s="799"/>
      <c r="AF115" s="799"/>
      <c r="AG115" s="799"/>
      <c r="AH115" s="799"/>
      <c r="AI115" s="799"/>
      <c r="AJ115" s="799"/>
      <c r="AK115" s="799"/>
      <c r="AL115" s="799"/>
      <c r="AM115" s="799"/>
      <c r="AN115" s="799"/>
      <c r="AO115" s="799"/>
      <c r="AP115" s="799"/>
      <c r="AQ115" s="799"/>
      <c r="AR115" s="799"/>
      <c r="AS115" s="799"/>
      <c r="AT115" s="799"/>
      <c r="AU115" s="799"/>
      <c r="AV115" s="799"/>
      <c r="AW115" s="799"/>
      <c r="AX115" s="799"/>
      <c r="AY115" s="799"/>
      <c r="AZ115" s="799"/>
      <c r="BA115" s="799"/>
      <c r="BB115" s="799"/>
      <c r="BC115" s="799"/>
      <c r="BD115" s="799"/>
      <c r="BE115" s="799"/>
      <c r="BF115" s="799"/>
      <c r="BG115" s="799"/>
    </row>
    <row r="116">
      <c r="H116" s="799"/>
      <c r="I116" s="799"/>
      <c r="J116" s="799"/>
      <c r="K116" s="799"/>
      <c r="L116" s="799"/>
      <c r="M116" s="799"/>
      <c r="N116" s="799"/>
      <c r="O116" s="799"/>
      <c r="P116" s="799"/>
      <c r="Q116" s="799"/>
      <c r="R116" s="799"/>
      <c r="S116" s="799"/>
      <c r="T116" s="799"/>
      <c r="U116" s="799"/>
      <c r="V116" s="799"/>
      <c r="W116" s="799"/>
      <c r="X116" s="799"/>
      <c r="Y116" s="799"/>
      <c r="Z116" s="799"/>
      <c r="AA116" s="799"/>
      <c r="AB116" s="799"/>
      <c r="AC116" s="799"/>
      <c r="AD116" s="799"/>
      <c r="AE116" s="799"/>
      <c r="AF116" s="799"/>
      <c r="AG116" s="799"/>
      <c r="AH116" s="799"/>
      <c r="AI116" s="799"/>
      <c r="AJ116" s="799"/>
      <c r="AK116" s="799"/>
      <c r="AL116" s="799"/>
      <c r="AM116" s="799"/>
      <c r="AN116" s="799"/>
      <c r="AO116" s="799"/>
      <c r="AP116" s="799"/>
      <c r="AQ116" s="799"/>
      <c r="AR116" s="799"/>
      <c r="AS116" s="799"/>
      <c r="AT116" s="799"/>
      <c r="AU116" s="799"/>
      <c r="AV116" s="799"/>
      <c r="AW116" s="799"/>
      <c r="AX116" s="799"/>
      <c r="AY116" s="799"/>
      <c r="AZ116" s="799"/>
      <c r="BA116" s="799"/>
      <c r="BB116" s="799"/>
      <c r="BC116" s="799"/>
      <c r="BD116" s="799"/>
      <c r="BE116" s="799"/>
      <c r="BF116" s="799"/>
      <c r="BG116" s="799"/>
    </row>
    <row r="117">
      <c r="H117" s="799"/>
      <c r="I117" s="799"/>
      <c r="J117" s="799"/>
      <c r="K117" s="799"/>
      <c r="L117" s="799"/>
      <c r="M117" s="799"/>
      <c r="N117" s="799"/>
      <c r="O117" s="799"/>
      <c r="P117" s="799"/>
      <c r="Q117" s="799"/>
      <c r="R117" s="799"/>
      <c r="S117" s="799"/>
      <c r="T117" s="799"/>
      <c r="U117" s="799"/>
      <c r="V117" s="799"/>
      <c r="W117" s="799"/>
      <c r="X117" s="799"/>
      <c r="Y117" s="799"/>
      <c r="Z117" s="799"/>
      <c r="AA117" s="799"/>
      <c r="AB117" s="799"/>
      <c r="AC117" s="799"/>
      <c r="AD117" s="799"/>
      <c r="AE117" s="799"/>
      <c r="AF117" s="799"/>
      <c r="AG117" s="799"/>
      <c r="AH117" s="799"/>
      <c r="AI117" s="799"/>
      <c r="AJ117" s="799"/>
      <c r="AK117" s="799"/>
      <c r="AL117" s="799"/>
      <c r="AM117" s="799"/>
      <c r="AN117" s="799"/>
      <c r="AO117" s="799"/>
      <c r="AP117" s="799"/>
      <c r="AQ117" s="799"/>
      <c r="AR117" s="799"/>
      <c r="AS117" s="799"/>
      <c r="AT117" s="799"/>
      <c r="AU117" s="799"/>
      <c r="AV117" s="799"/>
      <c r="AW117" s="799"/>
      <c r="AX117" s="799"/>
      <c r="AY117" s="799"/>
      <c r="AZ117" s="799"/>
      <c r="BA117" s="799"/>
      <c r="BB117" s="799"/>
      <c r="BC117" s="799"/>
      <c r="BD117" s="799"/>
      <c r="BE117" s="799"/>
      <c r="BF117" s="799"/>
      <c r="BG117" s="799"/>
    </row>
    <row r="118">
      <c r="H118" s="799"/>
      <c r="I118" s="799"/>
      <c r="J118" s="799"/>
      <c r="K118" s="799"/>
      <c r="L118" s="799"/>
      <c r="M118" s="799"/>
      <c r="N118" s="799"/>
      <c r="O118" s="799"/>
      <c r="P118" s="799"/>
      <c r="Q118" s="799"/>
      <c r="R118" s="799"/>
      <c r="S118" s="799"/>
      <c r="T118" s="799"/>
      <c r="U118" s="799"/>
      <c r="V118" s="799"/>
      <c r="W118" s="799"/>
      <c r="X118" s="799"/>
      <c r="Y118" s="799"/>
      <c r="Z118" s="799"/>
      <c r="AA118" s="799"/>
      <c r="AB118" s="799"/>
      <c r="AC118" s="799"/>
      <c r="AD118" s="799"/>
      <c r="AE118" s="799"/>
      <c r="AF118" s="799"/>
      <c r="AG118" s="799"/>
      <c r="AH118" s="799"/>
      <c r="AI118" s="799"/>
      <c r="AJ118" s="799"/>
      <c r="AK118" s="799"/>
      <c r="AL118" s="799"/>
      <c r="AM118" s="799"/>
      <c r="AN118" s="799"/>
      <c r="AO118" s="799"/>
      <c r="AP118" s="799"/>
      <c r="AQ118" s="799"/>
      <c r="AR118" s="799"/>
      <c r="AS118" s="799"/>
      <c r="AT118" s="799"/>
      <c r="AU118" s="799"/>
      <c r="AV118" s="799"/>
      <c r="AW118" s="799"/>
      <c r="AX118" s="799"/>
      <c r="AY118" s="799"/>
      <c r="AZ118" s="799"/>
      <c r="BA118" s="799"/>
      <c r="BB118" s="799"/>
      <c r="BC118" s="799"/>
      <c r="BD118" s="799"/>
      <c r="BE118" s="799"/>
      <c r="BF118" s="799"/>
      <c r="BG118" s="799"/>
    </row>
    <row r="119">
      <c r="H119" s="799"/>
      <c r="I119" s="799"/>
      <c r="J119" s="799"/>
      <c r="K119" s="799"/>
      <c r="L119" s="799"/>
      <c r="M119" s="799"/>
      <c r="N119" s="799"/>
      <c r="O119" s="799"/>
      <c r="P119" s="799"/>
      <c r="Q119" s="799"/>
      <c r="R119" s="799"/>
      <c r="S119" s="799"/>
      <c r="T119" s="799"/>
      <c r="U119" s="799"/>
      <c r="V119" s="799"/>
      <c r="W119" s="799"/>
      <c r="X119" s="799"/>
      <c r="Y119" s="799"/>
      <c r="Z119" s="799"/>
      <c r="AA119" s="799"/>
      <c r="AB119" s="799"/>
      <c r="AC119" s="799"/>
      <c r="AD119" s="799"/>
      <c r="AE119" s="799"/>
      <c r="AF119" s="799"/>
      <c r="AG119" s="799"/>
      <c r="AH119" s="799"/>
      <c r="AI119" s="799"/>
      <c r="AJ119" s="799"/>
      <c r="AK119" s="799"/>
      <c r="AL119" s="799"/>
      <c r="AM119" s="799"/>
      <c r="AN119" s="799"/>
      <c r="AO119" s="799"/>
      <c r="AP119" s="799"/>
      <c r="AQ119" s="799"/>
      <c r="AR119" s="799"/>
      <c r="AS119" s="799"/>
      <c r="AT119" s="799"/>
      <c r="AU119" s="799"/>
      <c r="AV119" s="799"/>
      <c r="AW119" s="799"/>
      <c r="AX119" s="799"/>
      <c r="AY119" s="799"/>
      <c r="AZ119" s="799"/>
      <c r="BA119" s="799"/>
      <c r="BB119" s="799"/>
      <c r="BC119" s="799"/>
      <c r="BD119" s="799"/>
      <c r="BE119" s="799"/>
      <c r="BF119" s="799"/>
      <c r="BG119" s="799"/>
    </row>
    <row r="120">
      <c r="H120" s="799"/>
      <c r="I120" s="799"/>
      <c r="J120" s="799"/>
      <c r="K120" s="799"/>
      <c r="L120" s="799"/>
      <c r="M120" s="799"/>
      <c r="N120" s="799"/>
      <c r="O120" s="799"/>
      <c r="P120" s="799"/>
      <c r="Q120" s="799"/>
      <c r="R120" s="799"/>
      <c r="S120" s="799"/>
      <c r="T120" s="799"/>
      <c r="U120" s="799"/>
      <c r="V120" s="799"/>
      <c r="W120" s="799"/>
      <c r="X120" s="799"/>
      <c r="Y120" s="799"/>
      <c r="Z120" s="799"/>
      <c r="AA120" s="799"/>
      <c r="AB120" s="799"/>
      <c r="AC120" s="799"/>
      <c r="AD120" s="799"/>
      <c r="AE120" s="799"/>
      <c r="AF120" s="799"/>
      <c r="AG120" s="799"/>
      <c r="AH120" s="799"/>
      <c r="AI120" s="799"/>
      <c r="AJ120" s="799"/>
      <c r="AK120" s="799"/>
      <c r="AL120" s="799"/>
      <c r="AM120" s="799"/>
      <c r="AN120" s="799"/>
      <c r="AO120" s="799"/>
      <c r="AP120" s="799"/>
      <c r="AQ120" s="799"/>
      <c r="AR120" s="799"/>
      <c r="AS120" s="799"/>
      <c r="AT120" s="799"/>
      <c r="AU120" s="799"/>
      <c r="AV120" s="799"/>
      <c r="AW120" s="799"/>
      <c r="AX120" s="799"/>
      <c r="AY120" s="799"/>
      <c r="AZ120" s="799"/>
      <c r="BA120" s="799"/>
      <c r="BB120" s="799"/>
      <c r="BC120" s="799"/>
      <c r="BD120" s="799"/>
      <c r="BE120" s="799"/>
      <c r="BF120" s="799"/>
      <c r="BG120" s="799"/>
    </row>
    <row r="121">
      <c r="H121" s="799"/>
      <c r="I121" s="799"/>
      <c r="J121" s="799"/>
      <c r="K121" s="799"/>
      <c r="L121" s="799"/>
      <c r="M121" s="799"/>
      <c r="N121" s="799"/>
      <c r="O121" s="799"/>
      <c r="P121" s="799"/>
      <c r="Q121" s="799"/>
      <c r="R121" s="799"/>
      <c r="S121" s="799"/>
      <c r="T121" s="799"/>
      <c r="U121" s="799"/>
      <c r="V121" s="799"/>
      <c r="W121" s="799"/>
      <c r="X121" s="799"/>
      <c r="Y121" s="799"/>
      <c r="Z121" s="799"/>
      <c r="AA121" s="799"/>
      <c r="AB121" s="799"/>
      <c r="AC121" s="799"/>
      <c r="AD121" s="799"/>
      <c r="AE121" s="799"/>
      <c r="AF121" s="799"/>
      <c r="AG121" s="799"/>
      <c r="AH121" s="799"/>
      <c r="AI121" s="799"/>
      <c r="AJ121" s="799"/>
      <c r="AK121" s="799"/>
      <c r="AL121" s="799"/>
      <c r="AM121" s="799"/>
      <c r="AN121" s="799"/>
      <c r="AO121" s="799"/>
      <c r="AP121" s="799"/>
      <c r="AQ121" s="799"/>
      <c r="AR121" s="799"/>
      <c r="AS121" s="799"/>
      <c r="AT121" s="799"/>
      <c r="AU121" s="799"/>
      <c r="AV121" s="799"/>
      <c r="AW121" s="799"/>
      <c r="AX121" s="799"/>
      <c r="AY121" s="799"/>
      <c r="AZ121" s="799"/>
      <c r="BA121" s="799"/>
      <c r="BB121" s="799"/>
      <c r="BC121" s="799"/>
      <c r="BD121" s="799"/>
      <c r="BE121" s="799"/>
      <c r="BF121" s="799"/>
      <c r="BG121" s="799"/>
    </row>
    <row r="122">
      <c r="H122" s="799"/>
      <c r="I122" s="799"/>
      <c r="J122" s="799"/>
      <c r="K122" s="799"/>
      <c r="L122" s="799"/>
      <c r="M122" s="799"/>
      <c r="N122" s="799"/>
      <c r="O122" s="799"/>
      <c r="P122" s="799"/>
      <c r="Q122" s="799"/>
      <c r="R122" s="799"/>
      <c r="S122" s="799"/>
      <c r="T122" s="799"/>
      <c r="U122" s="799"/>
      <c r="V122" s="799"/>
      <c r="W122" s="799"/>
      <c r="X122" s="799"/>
      <c r="Y122" s="799"/>
      <c r="Z122" s="799"/>
      <c r="AA122" s="799"/>
      <c r="AB122" s="799"/>
      <c r="AC122" s="799"/>
      <c r="AD122" s="799"/>
      <c r="AE122" s="799"/>
      <c r="AF122" s="799"/>
      <c r="AG122" s="799"/>
      <c r="AH122" s="799"/>
      <c r="AI122" s="799"/>
      <c r="AJ122" s="799"/>
      <c r="AK122" s="799"/>
      <c r="AL122" s="799"/>
      <c r="AM122" s="799"/>
      <c r="AN122" s="799"/>
      <c r="AO122" s="799"/>
      <c r="AP122" s="799"/>
      <c r="AQ122" s="799"/>
      <c r="AR122" s="799"/>
      <c r="AS122" s="799"/>
      <c r="AT122" s="799"/>
      <c r="AU122" s="799"/>
      <c r="AV122" s="799"/>
      <c r="AW122" s="799"/>
      <c r="AX122" s="799"/>
      <c r="AY122" s="799"/>
      <c r="AZ122" s="799"/>
      <c r="BA122" s="799"/>
      <c r="BB122" s="799"/>
      <c r="BC122" s="799"/>
      <c r="BD122" s="799"/>
      <c r="BE122" s="799"/>
      <c r="BF122" s="799"/>
      <c r="BG122" s="799"/>
    </row>
    <row r="123">
      <c r="H123" s="799"/>
      <c r="I123" s="799"/>
      <c r="J123" s="799"/>
      <c r="K123" s="799"/>
      <c r="L123" s="799"/>
      <c r="M123" s="799"/>
      <c r="N123" s="799"/>
      <c r="O123" s="799"/>
      <c r="P123" s="799"/>
      <c r="Q123" s="799"/>
      <c r="R123" s="799"/>
      <c r="S123" s="799"/>
      <c r="T123" s="799"/>
      <c r="U123" s="799"/>
      <c r="V123" s="799"/>
      <c r="W123" s="799"/>
      <c r="X123" s="799"/>
      <c r="Y123" s="799"/>
      <c r="Z123" s="799"/>
      <c r="AA123" s="799"/>
      <c r="AB123" s="799"/>
      <c r="AC123" s="799"/>
      <c r="AD123" s="799"/>
      <c r="AE123" s="799"/>
      <c r="AF123" s="799"/>
      <c r="AG123" s="799"/>
      <c r="AH123" s="799"/>
      <c r="AI123" s="799"/>
      <c r="AJ123" s="799"/>
      <c r="AK123" s="799"/>
      <c r="AL123" s="799"/>
      <c r="AM123" s="799"/>
      <c r="AN123" s="799"/>
      <c r="AO123" s="799"/>
      <c r="AP123" s="799"/>
      <c r="AQ123" s="799"/>
      <c r="AR123" s="799"/>
      <c r="AS123" s="799"/>
      <c r="AT123" s="799"/>
      <c r="AU123" s="799"/>
      <c r="AV123" s="799"/>
      <c r="AW123" s="799"/>
      <c r="AX123" s="799"/>
      <c r="AY123" s="799"/>
      <c r="AZ123" s="799"/>
      <c r="BA123" s="799"/>
      <c r="BB123" s="799"/>
      <c r="BC123" s="799"/>
      <c r="BD123" s="799"/>
      <c r="BE123" s="799"/>
      <c r="BF123" s="799"/>
      <c r="BG123" s="799"/>
    </row>
    <row r="124">
      <c r="H124" s="799"/>
      <c r="I124" s="799"/>
      <c r="J124" s="799"/>
      <c r="K124" s="799"/>
      <c r="L124" s="799"/>
      <c r="M124" s="799"/>
      <c r="N124" s="799"/>
      <c r="O124" s="799"/>
      <c r="P124" s="799"/>
      <c r="Q124" s="799"/>
      <c r="R124" s="799"/>
      <c r="S124" s="799"/>
      <c r="T124" s="799"/>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799"/>
      <c r="BF124" s="799"/>
      <c r="BG124" s="799"/>
    </row>
    <row r="125">
      <c r="H125" s="799"/>
      <c r="I125" s="799"/>
      <c r="J125" s="799"/>
      <c r="K125" s="799"/>
      <c r="L125" s="799"/>
      <c r="M125" s="799"/>
      <c r="N125" s="799"/>
      <c r="O125" s="799"/>
      <c r="P125" s="799"/>
      <c r="Q125" s="799"/>
      <c r="R125" s="799"/>
      <c r="S125" s="799"/>
      <c r="T125" s="799"/>
      <c r="U125" s="799"/>
      <c r="V125" s="799"/>
      <c r="W125" s="799"/>
      <c r="X125" s="799"/>
      <c r="Y125" s="799"/>
      <c r="Z125" s="799"/>
      <c r="AA125" s="799"/>
      <c r="AB125" s="799"/>
      <c r="AC125" s="799"/>
      <c r="AD125" s="799"/>
      <c r="AE125" s="799"/>
      <c r="AF125" s="799"/>
      <c r="AG125" s="799"/>
      <c r="AH125" s="799"/>
      <c r="AI125" s="799"/>
      <c r="AJ125" s="799"/>
      <c r="AK125" s="799"/>
      <c r="AL125" s="799"/>
      <c r="AM125" s="799"/>
      <c r="AN125" s="799"/>
      <c r="AO125" s="799"/>
      <c r="AP125" s="799"/>
      <c r="AQ125" s="799"/>
      <c r="AR125" s="799"/>
      <c r="AS125" s="799"/>
      <c r="AT125" s="799"/>
      <c r="AU125" s="799"/>
      <c r="AV125" s="799"/>
      <c r="AW125" s="799"/>
      <c r="AX125" s="799"/>
      <c r="AY125" s="799"/>
      <c r="AZ125" s="799"/>
      <c r="BA125" s="799"/>
      <c r="BB125" s="799"/>
      <c r="BC125" s="799"/>
      <c r="BD125" s="799"/>
      <c r="BE125" s="799"/>
      <c r="BF125" s="799"/>
      <c r="BG125" s="799"/>
    </row>
    <row r="126">
      <c r="H126" s="799"/>
      <c r="I126" s="799"/>
      <c r="J126" s="799"/>
      <c r="K126" s="799"/>
      <c r="L126" s="799"/>
      <c r="M126" s="799"/>
      <c r="N126" s="799"/>
      <c r="O126" s="799"/>
      <c r="P126" s="799"/>
      <c r="Q126" s="799"/>
      <c r="R126" s="799"/>
      <c r="S126" s="799"/>
      <c r="T126" s="799"/>
      <c r="U126" s="799"/>
      <c r="V126" s="799"/>
      <c r="W126" s="799"/>
      <c r="X126" s="799"/>
      <c r="Y126" s="799"/>
      <c r="Z126" s="799"/>
      <c r="AA126" s="799"/>
      <c r="AB126" s="799"/>
      <c r="AC126" s="799"/>
      <c r="AD126" s="799"/>
      <c r="AE126" s="799"/>
      <c r="AF126" s="799"/>
      <c r="AG126" s="799"/>
      <c r="AH126" s="799"/>
      <c r="AI126" s="799"/>
      <c r="AJ126" s="799"/>
      <c r="AK126" s="799"/>
      <c r="AL126" s="799"/>
      <c r="AM126" s="799"/>
      <c r="AN126" s="799"/>
      <c r="AO126" s="799"/>
      <c r="AP126" s="799"/>
      <c r="AQ126" s="799"/>
      <c r="AR126" s="799"/>
      <c r="AS126" s="799"/>
      <c r="AT126" s="799"/>
      <c r="AU126" s="799"/>
      <c r="AV126" s="799"/>
      <c r="AW126" s="799"/>
      <c r="AX126" s="799"/>
      <c r="AY126" s="799"/>
      <c r="AZ126" s="799"/>
      <c r="BA126" s="799"/>
      <c r="BB126" s="799"/>
      <c r="BC126" s="799"/>
      <c r="BD126" s="799"/>
      <c r="BE126" s="799"/>
      <c r="BF126" s="799"/>
      <c r="BG126" s="799"/>
    </row>
    <row r="127">
      <c r="H127" s="799"/>
      <c r="I127" s="799"/>
      <c r="J127" s="799"/>
      <c r="K127" s="799"/>
      <c r="L127" s="799"/>
      <c r="M127" s="799"/>
      <c r="N127" s="799"/>
      <c r="O127" s="799"/>
      <c r="P127" s="799"/>
      <c r="Q127" s="799"/>
      <c r="R127" s="799"/>
      <c r="S127" s="799"/>
      <c r="T127" s="799"/>
      <c r="U127" s="799"/>
      <c r="V127" s="799"/>
      <c r="W127" s="799"/>
      <c r="X127" s="799"/>
      <c r="Y127" s="799"/>
      <c r="Z127" s="799"/>
      <c r="AA127" s="799"/>
      <c r="AB127" s="799"/>
      <c r="AC127" s="799"/>
      <c r="AD127" s="799"/>
      <c r="AE127" s="799"/>
      <c r="AF127" s="799"/>
      <c r="AG127" s="799"/>
      <c r="AH127" s="799"/>
      <c r="AI127" s="799"/>
      <c r="AJ127" s="799"/>
      <c r="AK127" s="799"/>
      <c r="AL127" s="799"/>
      <c r="AM127" s="799"/>
      <c r="AN127" s="799"/>
      <c r="AO127" s="799"/>
      <c r="AP127" s="799"/>
      <c r="AQ127" s="799"/>
      <c r="AR127" s="799"/>
      <c r="AS127" s="799"/>
      <c r="AT127" s="799"/>
      <c r="AU127" s="799"/>
      <c r="AV127" s="799"/>
      <c r="AW127" s="799"/>
      <c r="AX127" s="799"/>
      <c r="AY127" s="799"/>
      <c r="AZ127" s="799"/>
      <c r="BA127" s="799"/>
      <c r="BB127" s="799"/>
      <c r="BC127" s="799"/>
      <c r="BD127" s="799"/>
      <c r="BE127" s="799"/>
      <c r="BF127" s="799"/>
      <c r="BG127" s="799"/>
    </row>
    <row r="128">
      <c r="H128" s="799"/>
      <c r="I128" s="799"/>
      <c r="J128" s="799"/>
      <c r="K128" s="799"/>
      <c r="L128" s="799"/>
      <c r="M128" s="799"/>
      <c r="N128" s="799"/>
      <c r="O128" s="799"/>
      <c r="P128" s="799"/>
      <c r="Q128" s="799"/>
      <c r="R128" s="799"/>
      <c r="S128" s="799"/>
      <c r="T128" s="799"/>
      <c r="U128" s="799"/>
      <c r="V128" s="799"/>
      <c r="W128" s="799"/>
      <c r="X128" s="799"/>
      <c r="Y128" s="799"/>
      <c r="Z128" s="799"/>
      <c r="AA128" s="799"/>
      <c r="AB128" s="799"/>
      <c r="AC128" s="799"/>
      <c r="AD128" s="799"/>
      <c r="AE128" s="799"/>
      <c r="AF128" s="799"/>
      <c r="AG128" s="799"/>
      <c r="AH128" s="799"/>
      <c r="AI128" s="799"/>
      <c r="AJ128" s="799"/>
      <c r="AK128" s="799"/>
      <c r="AL128" s="799"/>
      <c r="AM128" s="799"/>
      <c r="AN128" s="799"/>
      <c r="AO128" s="799"/>
      <c r="AP128" s="799"/>
      <c r="AQ128" s="799"/>
      <c r="AR128" s="799"/>
      <c r="AS128" s="799"/>
      <c r="AT128" s="799"/>
      <c r="AU128" s="799"/>
      <c r="AV128" s="799"/>
      <c r="AW128" s="799"/>
      <c r="AX128" s="799"/>
      <c r="AY128" s="799"/>
      <c r="AZ128" s="799"/>
      <c r="BA128" s="799"/>
      <c r="BB128" s="799"/>
      <c r="BC128" s="799"/>
      <c r="BD128" s="799"/>
      <c r="BE128" s="799"/>
      <c r="BF128" s="799"/>
      <c r="BG128" s="799"/>
    </row>
    <row r="12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799"/>
      <c r="AE129" s="799"/>
      <c r="AF129" s="799"/>
      <c r="AG129" s="799"/>
      <c r="AH129" s="799"/>
      <c r="AI129" s="799"/>
      <c r="AJ129" s="799"/>
      <c r="AK129" s="799"/>
      <c r="AL129" s="799"/>
      <c r="AM129" s="799"/>
      <c r="AN129" s="799"/>
      <c r="AO129" s="799"/>
      <c r="AP129" s="799"/>
      <c r="AQ129" s="799"/>
      <c r="AR129" s="799"/>
      <c r="AS129" s="799"/>
      <c r="AT129" s="799"/>
      <c r="AU129" s="799"/>
      <c r="AV129" s="799"/>
      <c r="AW129" s="799"/>
      <c r="AX129" s="799"/>
      <c r="AY129" s="799"/>
      <c r="AZ129" s="799"/>
      <c r="BA129" s="799"/>
      <c r="BB129" s="799"/>
      <c r="BC129" s="799"/>
      <c r="BD129" s="799"/>
      <c r="BE129" s="799"/>
      <c r="BF129" s="799"/>
      <c r="BG129" s="799"/>
    </row>
    <row r="130">
      <c r="H130" s="799"/>
      <c r="I130" s="799"/>
      <c r="J130" s="799"/>
      <c r="K130" s="799"/>
      <c r="L130" s="799"/>
      <c r="M130" s="799"/>
      <c r="N130" s="799"/>
      <c r="O130" s="799"/>
      <c r="P130" s="799"/>
      <c r="Q130" s="799"/>
      <c r="R130" s="799"/>
      <c r="S130" s="799"/>
      <c r="T130" s="799"/>
      <c r="U130" s="799"/>
      <c r="V130" s="799"/>
      <c r="W130" s="799"/>
      <c r="X130" s="799"/>
      <c r="Y130" s="799"/>
      <c r="Z130" s="799"/>
      <c r="AA130" s="799"/>
      <c r="AB130" s="799"/>
      <c r="AC130" s="799"/>
      <c r="AD130" s="799"/>
      <c r="AE130" s="799"/>
      <c r="AF130" s="799"/>
      <c r="AG130" s="799"/>
      <c r="AH130" s="799"/>
      <c r="AI130" s="799"/>
      <c r="AJ130" s="799"/>
      <c r="AK130" s="799"/>
      <c r="AL130" s="799"/>
      <c r="AM130" s="799"/>
      <c r="AN130" s="799"/>
      <c r="AO130" s="799"/>
      <c r="AP130" s="799"/>
      <c r="AQ130" s="799"/>
      <c r="AR130" s="799"/>
      <c r="AS130" s="799"/>
      <c r="AT130" s="799"/>
      <c r="AU130" s="799"/>
      <c r="AV130" s="799"/>
      <c r="AW130" s="799"/>
      <c r="AX130" s="799"/>
      <c r="AY130" s="799"/>
      <c r="AZ130" s="799"/>
      <c r="BA130" s="799"/>
      <c r="BB130" s="799"/>
      <c r="BC130" s="799"/>
      <c r="BD130" s="799"/>
      <c r="BE130" s="799"/>
      <c r="BF130" s="799"/>
      <c r="BG130" s="799"/>
    </row>
    <row r="131">
      <c r="H131" s="799"/>
      <c r="I131" s="799"/>
      <c r="J131" s="799"/>
      <c r="K131" s="799"/>
      <c r="L131" s="799"/>
      <c r="M131" s="799"/>
      <c r="N131" s="799"/>
      <c r="O131" s="799"/>
      <c r="P131" s="799"/>
      <c r="Q131" s="799"/>
      <c r="R131" s="799"/>
      <c r="S131" s="799"/>
      <c r="T131" s="799"/>
      <c r="U131" s="799"/>
      <c r="V131" s="799"/>
      <c r="W131" s="799"/>
      <c r="X131" s="799"/>
      <c r="Y131" s="799"/>
      <c r="Z131" s="799"/>
      <c r="AA131" s="799"/>
      <c r="AB131" s="799"/>
      <c r="AC131" s="799"/>
      <c r="AD131" s="799"/>
      <c r="AE131" s="799"/>
      <c r="AF131" s="799"/>
      <c r="AG131" s="799"/>
      <c r="AH131" s="799"/>
      <c r="AI131" s="799"/>
      <c r="AJ131" s="799"/>
      <c r="AK131" s="799"/>
      <c r="AL131" s="799"/>
      <c r="AM131" s="799"/>
      <c r="AN131" s="799"/>
      <c r="AO131" s="799"/>
      <c r="AP131" s="799"/>
      <c r="AQ131" s="799"/>
      <c r="AR131" s="799"/>
      <c r="AS131" s="799"/>
      <c r="AT131" s="799"/>
      <c r="AU131" s="799"/>
      <c r="AV131" s="799"/>
      <c r="AW131" s="799"/>
      <c r="AX131" s="799"/>
      <c r="AY131" s="799"/>
      <c r="AZ131" s="799"/>
      <c r="BA131" s="799"/>
      <c r="BB131" s="799"/>
      <c r="BC131" s="799"/>
      <c r="BD131" s="799"/>
      <c r="BE131" s="799"/>
      <c r="BF131" s="799"/>
      <c r="BG131" s="799"/>
    </row>
    <row r="132">
      <c r="H132" s="799"/>
      <c r="I132" s="799"/>
      <c r="J132" s="799"/>
      <c r="K132" s="799"/>
      <c r="L132" s="799"/>
      <c r="M132" s="799"/>
      <c r="N132" s="799"/>
      <c r="O132" s="799"/>
      <c r="P132" s="799"/>
      <c r="Q132" s="799"/>
      <c r="R132" s="799"/>
      <c r="S132" s="799"/>
      <c r="T132" s="799"/>
      <c r="U132" s="799"/>
      <c r="V132" s="799"/>
      <c r="W132" s="799"/>
      <c r="X132" s="799"/>
      <c r="Y132" s="799"/>
      <c r="Z132" s="799"/>
      <c r="AA132" s="799"/>
      <c r="AB132" s="799"/>
      <c r="AC132" s="799"/>
      <c r="AD132" s="799"/>
      <c r="AE132" s="799"/>
      <c r="AF132" s="799"/>
      <c r="AG132" s="799"/>
      <c r="AH132" s="799"/>
      <c r="AI132" s="799"/>
      <c r="AJ132" s="799"/>
      <c r="AK132" s="799"/>
      <c r="AL132" s="799"/>
      <c r="AM132" s="799"/>
      <c r="AN132" s="799"/>
      <c r="AO132" s="799"/>
      <c r="AP132" s="799"/>
      <c r="AQ132" s="799"/>
      <c r="AR132" s="799"/>
      <c r="AS132" s="799"/>
      <c r="AT132" s="799"/>
      <c r="AU132" s="799"/>
      <c r="AV132" s="799"/>
      <c r="AW132" s="799"/>
      <c r="AX132" s="799"/>
      <c r="AY132" s="799"/>
      <c r="AZ132" s="799"/>
      <c r="BA132" s="799"/>
      <c r="BB132" s="799"/>
      <c r="BC132" s="799"/>
      <c r="BD132" s="799"/>
      <c r="BE132" s="799"/>
      <c r="BF132" s="799"/>
      <c r="BG132" s="799"/>
    </row>
    <row r="133">
      <c r="H133" s="799"/>
      <c r="I133" s="799"/>
      <c r="J133" s="799"/>
      <c r="K133" s="799"/>
      <c r="L133" s="799"/>
      <c r="M133" s="799"/>
      <c r="N133" s="799"/>
      <c r="O133" s="799"/>
      <c r="P133" s="799"/>
      <c r="Q133" s="799"/>
      <c r="R133" s="799"/>
      <c r="S133" s="799"/>
      <c r="T133" s="799"/>
      <c r="U133" s="799"/>
      <c r="V133" s="799"/>
      <c r="W133" s="799"/>
      <c r="X133" s="799"/>
      <c r="Y133" s="799"/>
      <c r="Z133" s="799"/>
      <c r="AA133" s="799"/>
      <c r="AB133" s="799"/>
      <c r="AC133" s="799"/>
      <c r="AD133" s="799"/>
      <c r="AE133" s="799"/>
      <c r="AF133" s="799"/>
      <c r="AG133" s="799"/>
      <c r="AH133" s="799"/>
      <c r="AI133" s="799"/>
      <c r="AJ133" s="799"/>
      <c r="AK133" s="799"/>
      <c r="AL133" s="799"/>
      <c r="AM133" s="799"/>
      <c r="AN133" s="799"/>
      <c r="AO133" s="799"/>
      <c r="AP133" s="799"/>
      <c r="AQ133" s="799"/>
      <c r="AR133" s="799"/>
      <c r="AS133" s="799"/>
      <c r="AT133" s="799"/>
      <c r="AU133" s="799"/>
      <c r="AV133" s="799"/>
      <c r="AW133" s="799"/>
      <c r="AX133" s="799"/>
      <c r="AY133" s="799"/>
      <c r="AZ133" s="799"/>
      <c r="BA133" s="799"/>
      <c r="BB133" s="799"/>
      <c r="BC133" s="799"/>
      <c r="BD133" s="799"/>
      <c r="BE133" s="799"/>
      <c r="BF133" s="799"/>
      <c r="BG133" s="799"/>
    </row>
    <row r="134">
      <c r="H134" s="799"/>
      <c r="I134" s="799"/>
      <c r="J134" s="799"/>
      <c r="K134" s="799"/>
      <c r="L134" s="799"/>
      <c r="M134" s="799"/>
      <c r="N134" s="799"/>
      <c r="O134" s="799"/>
      <c r="P134" s="799"/>
      <c r="Q134" s="799"/>
      <c r="R134" s="799"/>
      <c r="S134" s="799"/>
      <c r="T134" s="799"/>
      <c r="U134" s="799"/>
      <c r="V134" s="799"/>
      <c r="W134" s="799"/>
      <c r="X134" s="799"/>
      <c r="Y134" s="799"/>
      <c r="Z134" s="799"/>
      <c r="AA134" s="799"/>
      <c r="AB134" s="799"/>
      <c r="AC134" s="799"/>
      <c r="AD134" s="799"/>
      <c r="AE134" s="799"/>
      <c r="AF134" s="799"/>
      <c r="AG134" s="799"/>
      <c r="AH134" s="799"/>
      <c r="AI134" s="799"/>
      <c r="AJ134" s="799"/>
      <c r="AK134" s="799"/>
      <c r="AL134" s="799"/>
      <c r="AM134" s="799"/>
      <c r="AN134" s="799"/>
      <c r="AO134" s="799"/>
      <c r="AP134" s="799"/>
      <c r="AQ134" s="799"/>
      <c r="AR134" s="799"/>
      <c r="AS134" s="799"/>
      <c r="AT134" s="799"/>
      <c r="AU134" s="799"/>
      <c r="AV134" s="799"/>
      <c r="AW134" s="799"/>
      <c r="AX134" s="799"/>
      <c r="AY134" s="799"/>
      <c r="AZ134" s="799"/>
      <c r="BA134" s="799"/>
      <c r="BB134" s="799"/>
      <c r="BC134" s="799"/>
      <c r="BD134" s="799"/>
      <c r="BE134" s="799"/>
      <c r="BF134" s="799"/>
      <c r="BG134" s="799"/>
    </row>
    <row r="135">
      <c r="H135" s="799"/>
      <c r="I135" s="799"/>
      <c r="J135" s="799"/>
      <c r="K135" s="799"/>
      <c r="L135" s="799"/>
      <c r="M135" s="799"/>
      <c r="N135" s="799"/>
      <c r="O135" s="799"/>
      <c r="P135" s="799"/>
      <c r="Q135" s="799"/>
      <c r="R135" s="799"/>
      <c r="S135" s="799"/>
      <c r="T135" s="799"/>
      <c r="U135" s="799"/>
      <c r="V135" s="799"/>
      <c r="W135" s="799"/>
      <c r="X135" s="799"/>
      <c r="Y135" s="799"/>
      <c r="Z135" s="799"/>
      <c r="AA135" s="799"/>
      <c r="AB135" s="799"/>
      <c r="AC135" s="799"/>
      <c r="AD135" s="799"/>
      <c r="AE135" s="799"/>
      <c r="AF135" s="799"/>
      <c r="AG135" s="799"/>
      <c r="AH135" s="799"/>
      <c r="AI135" s="799"/>
      <c r="AJ135" s="799"/>
      <c r="AK135" s="799"/>
      <c r="AL135" s="799"/>
      <c r="AM135" s="799"/>
      <c r="AN135" s="799"/>
      <c r="AO135" s="799"/>
      <c r="AP135" s="799"/>
      <c r="AQ135" s="799"/>
      <c r="AR135" s="799"/>
      <c r="AS135" s="799"/>
      <c r="AT135" s="799"/>
      <c r="AU135" s="799"/>
      <c r="AV135" s="799"/>
      <c r="AW135" s="799"/>
      <c r="AX135" s="799"/>
      <c r="AY135" s="799"/>
      <c r="AZ135" s="799"/>
      <c r="BA135" s="799"/>
      <c r="BB135" s="799"/>
      <c r="BC135" s="799"/>
      <c r="BD135" s="799"/>
      <c r="BE135" s="799"/>
      <c r="BF135" s="799"/>
      <c r="BG135" s="799"/>
    </row>
    <row r="136">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row>
    <row r="137">
      <c r="H137" s="799"/>
      <c r="I137" s="799"/>
      <c r="J137" s="799"/>
      <c r="K137" s="799"/>
      <c r="L137" s="799"/>
      <c r="M137" s="799"/>
      <c r="N137" s="799"/>
      <c r="O137" s="799"/>
      <c r="P137" s="799"/>
      <c r="Q137" s="799"/>
      <c r="R137" s="799"/>
      <c r="S137" s="799"/>
      <c r="T137" s="799"/>
      <c r="U137" s="799"/>
      <c r="V137" s="799"/>
      <c r="W137" s="799"/>
      <c r="X137" s="799"/>
      <c r="Y137" s="799"/>
      <c r="Z137" s="799"/>
      <c r="AA137" s="799"/>
      <c r="AB137" s="799"/>
      <c r="AC137" s="799"/>
      <c r="AD137" s="799"/>
      <c r="AE137" s="799"/>
      <c r="AF137" s="799"/>
      <c r="AG137" s="799"/>
      <c r="AH137" s="799"/>
      <c r="AI137" s="799"/>
      <c r="AJ137" s="799"/>
      <c r="AK137" s="799"/>
      <c r="AL137" s="799"/>
      <c r="AM137" s="799"/>
      <c r="AN137" s="799"/>
      <c r="AO137" s="799"/>
      <c r="AP137" s="799"/>
      <c r="AQ137" s="799"/>
      <c r="AR137" s="799"/>
      <c r="AS137" s="799"/>
      <c r="AT137" s="799"/>
      <c r="AU137" s="799"/>
      <c r="AV137" s="799"/>
      <c r="AW137" s="799"/>
      <c r="AX137" s="799"/>
      <c r="AY137" s="799"/>
      <c r="AZ137" s="799"/>
      <c r="BA137" s="799"/>
      <c r="BB137" s="799"/>
      <c r="BC137" s="799"/>
      <c r="BD137" s="799"/>
      <c r="BE137" s="799"/>
      <c r="BF137" s="799"/>
      <c r="BG137" s="799"/>
    </row>
    <row r="138">
      <c r="H138" s="799"/>
      <c r="I138" s="799"/>
      <c r="J138" s="799"/>
      <c r="K138" s="799"/>
      <c r="L138" s="799"/>
      <c r="M138" s="799"/>
      <c r="N138" s="799"/>
      <c r="O138" s="799"/>
      <c r="P138" s="799"/>
      <c r="Q138" s="799"/>
      <c r="R138" s="799"/>
      <c r="S138" s="799"/>
      <c r="T138" s="799"/>
      <c r="U138" s="799"/>
      <c r="V138" s="799"/>
      <c r="W138" s="799"/>
      <c r="X138" s="799"/>
      <c r="Y138" s="799"/>
      <c r="Z138" s="799"/>
      <c r="AA138" s="799"/>
      <c r="AB138" s="799"/>
      <c r="AC138" s="799"/>
      <c r="AD138" s="799"/>
      <c r="AE138" s="799"/>
      <c r="AF138" s="799"/>
      <c r="AG138" s="799"/>
      <c r="AH138" s="799"/>
      <c r="AI138" s="799"/>
      <c r="AJ138" s="799"/>
      <c r="AK138" s="799"/>
      <c r="AL138" s="799"/>
      <c r="AM138" s="799"/>
      <c r="AN138" s="799"/>
      <c r="AO138" s="799"/>
      <c r="AP138" s="799"/>
      <c r="AQ138" s="799"/>
      <c r="AR138" s="799"/>
      <c r="AS138" s="799"/>
      <c r="AT138" s="799"/>
      <c r="AU138" s="799"/>
      <c r="AV138" s="799"/>
      <c r="AW138" s="799"/>
      <c r="AX138" s="799"/>
      <c r="AY138" s="799"/>
      <c r="AZ138" s="799"/>
      <c r="BA138" s="799"/>
      <c r="BB138" s="799"/>
      <c r="BC138" s="799"/>
      <c r="BD138" s="799"/>
      <c r="BE138" s="799"/>
      <c r="BF138" s="799"/>
      <c r="BG138" s="799"/>
    </row>
    <row r="139">
      <c r="H139" s="799"/>
      <c r="I139" s="799"/>
      <c r="J139" s="799"/>
      <c r="K139" s="799"/>
      <c r="L139" s="799"/>
      <c r="M139" s="799"/>
      <c r="N139" s="799"/>
      <c r="O139" s="799"/>
      <c r="P139" s="799"/>
      <c r="Q139" s="799"/>
      <c r="R139" s="799"/>
      <c r="S139" s="799"/>
      <c r="T139" s="799"/>
      <c r="U139" s="799"/>
      <c r="V139" s="799"/>
      <c r="W139" s="799"/>
      <c r="X139" s="799"/>
      <c r="Y139" s="799"/>
      <c r="Z139" s="799"/>
      <c r="AA139" s="799"/>
      <c r="AB139" s="799"/>
      <c r="AC139" s="799"/>
      <c r="AD139" s="799"/>
      <c r="AE139" s="799"/>
      <c r="AF139" s="799"/>
      <c r="AG139" s="799"/>
      <c r="AH139" s="799"/>
      <c r="AI139" s="799"/>
      <c r="AJ139" s="799"/>
      <c r="AK139" s="799"/>
      <c r="AL139" s="799"/>
      <c r="AM139" s="799"/>
      <c r="AN139" s="799"/>
      <c r="AO139" s="799"/>
      <c r="AP139" s="799"/>
      <c r="AQ139" s="799"/>
      <c r="AR139" s="799"/>
      <c r="AS139" s="799"/>
      <c r="AT139" s="799"/>
      <c r="AU139" s="799"/>
      <c r="AV139" s="799"/>
      <c r="AW139" s="799"/>
      <c r="AX139" s="799"/>
      <c r="AY139" s="799"/>
      <c r="AZ139" s="799"/>
      <c r="BA139" s="799"/>
      <c r="BB139" s="799"/>
      <c r="BC139" s="799"/>
      <c r="BD139" s="799"/>
      <c r="BE139" s="799"/>
      <c r="BF139" s="799"/>
      <c r="BG139" s="799"/>
    </row>
    <row r="140">
      <c r="H140" s="799"/>
      <c r="I140" s="799"/>
      <c r="J140" s="799"/>
      <c r="K140" s="799"/>
      <c r="L140" s="799"/>
      <c r="M140" s="799"/>
      <c r="N140" s="799"/>
      <c r="O140" s="799"/>
      <c r="P140" s="799"/>
      <c r="Q140" s="799"/>
      <c r="R140" s="799"/>
      <c r="S140" s="799"/>
      <c r="T140" s="799"/>
      <c r="U140" s="799"/>
      <c r="V140" s="799"/>
      <c r="W140" s="799"/>
      <c r="X140" s="799"/>
      <c r="Y140" s="799"/>
      <c r="Z140" s="799"/>
      <c r="AA140" s="799"/>
      <c r="AB140" s="799"/>
      <c r="AC140" s="799"/>
      <c r="AD140" s="799"/>
      <c r="AE140" s="799"/>
      <c r="AF140" s="799"/>
      <c r="AG140" s="799"/>
      <c r="AH140" s="799"/>
      <c r="AI140" s="799"/>
      <c r="AJ140" s="799"/>
      <c r="AK140" s="799"/>
      <c r="AL140" s="799"/>
      <c r="AM140" s="799"/>
      <c r="AN140" s="799"/>
      <c r="AO140" s="799"/>
      <c r="AP140" s="799"/>
      <c r="AQ140" s="799"/>
      <c r="AR140" s="799"/>
      <c r="AS140" s="799"/>
      <c r="AT140" s="799"/>
      <c r="AU140" s="799"/>
      <c r="AV140" s="799"/>
      <c r="AW140" s="799"/>
      <c r="AX140" s="799"/>
      <c r="AY140" s="799"/>
      <c r="AZ140" s="799"/>
      <c r="BA140" s="799"/>
      <c r="BB140" s="799"/>
      <c r="BC140" s="799"/>
      <c r="BD140" s="799"/>
      <c r="BE140" s="799"/>
      <c r="BF140" s="799"/>
      <c r="BG140" s="799"/>
    </row>
    <row r="141">
      <c r="H141" s="799"/>
      <c r="I141" s="799"/>
      <c r="J141" s="799"/>
      <c r="K141" s="799"/>
      <c r="L141" s="799"/>
      <c r="M141" s="799"/>
      <c r="N141" s="799"/>
      <c r="O141" s="799"/>
      <c r="P141" s="799"/>
      <c r="Q141" s="799"/>
      <c r="R141" s="799"/>
      <c r="S141" s="799"/>
      <c r="T141" s="799"/>
      <c r="U141" s="799"/>
      <c r="V141" s="799"/>
      <c r="W141" s="799"/>
      <c r="X141" s="799"/>
      <c r="Y141" s="799"/>
      <c r="Z141" s="799"/>
      <c r="AA141" s="799"/>
      <c r="AB141" s="799"/>
      <c r="AC141" s="799"/>
      <c r="AD141" s="799"/>
      <c r="AE141" s="799"/>
      <c r="AF141" s="799"/>
      <c r="AG141" s="799"/>
      <c r="AH141" s="799"/>
      <c r="AI141" s="799"/>
      <c r="AJ141" s="799"/>
      <c r="AK141" s="799"/>
      <c r="AL141" s="799"/>
      <c r="AM141" s="799"/>
      <c r="AN141" s="799"/>
      <c r="AO141" s="799"/>
      <c r="AP141" s="799"/>
      <c r="AQ141" s="799"/>
      <c r="AR141" s="799"/>
      <c r="AS141" s="799"/>
      <c r="AT141" s="799"/>
      <c r="AU141" s="799"/>
      <c r="AV141" s="799"/>
      <c r="AW141" s="799"/>
      <c r="AX141" s="799"/>
      <c r="AY141" s="799"/>
      <c r="AZ141" s="799"/>
      <c r="BA141" s="799"/>
      <c r="BB141" s="799"/>
      <c r="BC141" s="799"/>
      <c r="BD141" s="799"/>
      <c r="BE141" s="799"/>
      <c r="BF141" s="799"/>
      <c r="BG141" s="799"/>
    </row>
    <row r="142">
      <c r="H142" s="799"/>
      <c r="I142" s="799"/>
      <c r="J142" s="799"/>
      <c r="K142" s="799"/>
      <c r="L142" s="799"/>
      <c r="M142" s="799"/>
      <c r="N142" s="799"/>
      <c r="O142" s="799"/>
      <c r="P142" s="799"/>
      <c r="Q142" s="799"/>
      <c r="R142" s="799"/>
      <c r="S142" s="799"/>
      <c r="T142" s="799"/>
      <c r="U142" s="799"/>
      <c r="V142" s="799"/>
      <c r="W142" s="799"/>
      <c r="X142" s="799"/>
      <c r="Y142" s="799"/>
      <c r="Z142" s="799"/>
      <c r="AA142" s="799"/>
      <c r="AB142" s="799"/>
      <c r="AC142" s="799"/>
      <c r="AD142" s="799"/>
      <c r="AE142" s="799"/>
      <c r="AF142" s="799"/>
      <c r="AG142" s="799"/>
      <c r="AH142" s="799"/>
      <c r="AI142" s="799"/>
      <c r="AJ142" s="799"/>
      <c r="AK142" s="799"/>
      <c r="AL142" s="799"/>
      <c r="AM142" s="799"/>
      <c r="AN142" s="799"/>
      <c r="AO142" s="799"/>
      <c r="AP142" s="799"/>
      <c r="AQ142" s="799"/>
      <c r="AR142" s="799"/>
      <c r="AS142" s="799"/>
      <c r="AT142" s="799"/>
      <c r="AU142" s="799"/>
      <c r="AV142" s="799"/>
      <c r="AW142" s="799"/>
      <c r="AX142" s="799"/>
      <c r="AY142" s="799"/>
      <c r="AZ142" s="799"/>
      <c r="BA142" s="799"/>
      <c r="BB142" s="799"/>
      <c r="BC142" s="799"/>
      <c r="BD142" s="799"/>
      <c r="BE142" s="799"/>
      <c r="BF142" s="799"/>
      <c r="BG142" s="799"/>
    </row>
    <row r="143">
      <c r="H143" s="799"/>
      <c r="I143" s="799"/>
      <c r="J143" s="799"/>
      <c r="K143" s="799"/>
      <c r="L143" s="799"/>
      <c r="M143" s="799"/>
      <c r="N143" s="799"/>
      <c r="O143" s="799"/>
      <c r="P143" s="799"/>
      <c r="Q143" s="799"/>
      <c r="R143" s="799"/>
      <c r="S143" s="799"/>
      <c r="T143" s="799"/>
      <c r="U143" s="799"/>
      <c r="V143" s="799"/>
      <c r="W143" s="799"/>
      <c r="X143" s="799"/>
      <c r="Y143" s="799"/>
      <c r="Z143" s="799"/>
      <c r="AA143" s="799"/>
      <c r="AB143" s="799"/>
      <c r="AC143" s="799"/>
      <c r="AD143" s="799"/>
      <c r="AE143" s="799"/>
      <c r="AF143" s="799"/>
      <c r="AG143" s="799"/>
      <c r="AH143" s="799"/>
      <c r="AI143" s="799"/>
      <c r="AJ143" s="799"/>
      <c r="AK143" s="799"/>
      <c r="AL143" s="799"/>
      <c r="AM143" s="799"/>
      <c r="AN143" s="799"/>
      <c r="AO143" s="799"/>
      <c r="AP143" s="799"/>
      <c r="AQ143" s="799"/>
      <c r="AR143" s="799"/>
      <c r="AS143" s="799"/>
      <c r="AT143" s="799"/>
      <c r="AU143" s="799"/>
      <c r="AV143" s="799"/>
      <c r="AW143" s="799"/>
      <c r="AX143" s="799"/>
      <c r="AY143" s="799"/>
      <c r="AZ143" s="799"/>
      <c r="BA143" s="799"/>
      <c r="BB143" s="799"/>
      <c r="BC143" s="799"/>
      <c r="BD143" s="799"/>
      <c r="BE143" s="799"/>
      <c r="BF143" s="799"/>
      <c r="BG143" s="799"/>
    </row>
    <row r="144">
      <c r="H144" s="799"/>
      <c r="I144" s="799"/>
      <c r="J144" s="799"/>
      <c r="K144" s="799"/>
      <c r="L144" s="799"/>
      <c r="M144" s="799"/>
      <c r="N144" s="799"/>
      <c r="O144" s="799"/>
      <c r="P144" s="799"/>
      <c r="Q144" s="799"/>
      <c r="R144" s="799"/>
      <c r="S144" s="799"/>
      <c r="T144" s="799"/>
      <c r="U144" s="799"/>
      <c r="V144" s="799"/>
      <c r="W144" s="799"/>
      <c r="X144" s="799"/>
      <c r="Y144" s="799"/>
      <c r="Z144" s="799"/>
      <c r="AA144" s="799"/>
      <c r="AB144" s="799"/>
      <c r="AC144" s="799"/>
      <c r="AD144" s="799"/>
      <c r="AE144" s="799"/>
      <c r="AF144" s="799"/>
      <c r="AG144" s="799"/>
      <c r="AH144" s="799"/>
      <c r="AI144" s="799"/>
      <c r="AJ144" s="799"/>
      <c r="AK144" s="799"/>
      <c r="AL144" s="799"/>
      <c r="AM144" s="799"/>
      <c r="AN144" s="799"/>
      <c r="AO144" s="799"/>
      <c r="AP144" s="799"/>
      <c r="AQ144" s="799"/>
      <c r="AR144" s="799"/>
      <c r="AS144" s="799"/>
      <c r="AT144" s="799"/>
      <c r="AU144" s="799"/>
      <c r="AV144" s="799"/>
      <c r="AW144" s="799"/>
      <c r="AX144" s="799"/>
      <c r="AY144" s="799"/>
      <c r="AZ144" s="799"/>
      <c r="BA144" s="799"/>
      <c r="BB144" s="799"/>
      <c r="BC144" s="799"/>
      <c r="BD144" s="799"/>
      <c r="BE144" s="799"/>
      <c r="BF144" s="799"/>
      <c r="BG144" s="799"/>
    </row>
    <row r="145">
      <c r="H145" s="799"/>
      <c r="I145" s="799"/>
      <c r="J145" s="799"/>
      <c r="K145" s="799"/>
      <c r="L145" s="799"/>
      <c r="M145" s="799"/>
      <c r="N145" s="799"/>
      <c r="O145" s="799"/>
      <c r="P145" s="799"/>
      <c r="Q145" s="799"/>
      <c r="R145" s="799"/>
      <c r="S145" s="799"/>
      <c r="T145" s="799"/>
      <c r="U145" s="799"/>
      <c r="V145" s="799"/>
      <c r="W145" s="799"/>
      <c r="X145" s="799"/>
      <c r="Y145" s="799"/>
      <c r="Z145" s="799"/>
      <c r="AA145" s="799"/>
      <c r="AB145" s="799"/>
      <c r="AC145" s="799"/>
      <c r="AD145" s="799"/>
      <c r="AE145" s="799"/>
      <c r="AF145" s="799"/>
      <c r="AG145" s="799"/>
      <c r="AH145" s="799"/>
      <c r="AI145" s="799"/>
      <c r="AJ145" s="799"/>
      <c r="AK145" s="799"/>
      <c r="AL145" s="799"/>
      <c r="AM145" s="799"/>
      <c r="AN145" s="799"/>
      <c r="AO145" s="799"/>
      <c r="AP145" s="799"/>
      <c r="AQ145" s="799"/>
      <c r="AR145" s="799"/>
      <c r="AS145" s="799"/>
      <c r="AT145" s="799"/>
      <c r="AU145" s="799"/>
      <c r="AV145" s="799"/>
      <c r="AW145" s="799"/>
      <c r="AX145" s="799"/>
      <c r="AY145" s="799"/>
      <c r="AZ145" s="799"/>
      <c r="BA145" s="799"/>
      <c r="BB145" s="799"/>
      <c r="BC145" s="799"/>
      <c r="BD145" s="799"/>
      <c r="BE145" s="799"/>
      <c r="BF145" s="799"/>
      <c r="BG145" s="799"/>
    </row>
    <row r="146">
      <c r="H146" s="799"/>
      <c r="I146" s="799"/>
      <c r="J146" s="799"/>
      <c r="K146" s="799"/>
      <c r="L146" s="799"/>
      <c r="M146" s="799"/>
      <c r="N146" s="799"/>
      <c r="O146" s="799"/>
      <c r="P146" s="799"/>
      <c r="Q146" s="799"/>
      <c r="R146" s="799"/>
      <c r="S146" s="799"/>
      <c r="T146" s="799"/>
      <c r="U146" s="799"/>
      <c r="V146" s="799"/>
      <c r="W146" s="799"/>
      <c r="X146" s="799"/>
      <c r="Y146" s="799"/>
      <c r="Z146" s="799"/>
      <c r="AA146" s="799"/>
      <c r="AB146" s="799"/>
      <c r="AC146" s="799"/>
      <c r="AD146" s="799"/>
      <c r="AE146" s="799"/>
      <c r="AF146" s="799"/>
      <c r="AG146" s="799"/>
      <c r="AH146" s="799"/>
      <c r="AI146" s="799"/>
      <c r="AJ146" s="799"/>
      <c r="AK146" s="799"/>
      <c r="AL146" s="799"/>
      <c r="AM146" s="799"/>
      <c r="AN146" s="799"/>
      <c r="AO146" s="799"/>
      <c r="AP146" s="799"/>
      <c r="AQ146" s="799"/>
      <c r="AR146" s="799"/>
      <c r="AS146" s="799"/>
      <c r="AT146" s="799"/>
      <c r="AU146" s="799"/>
      <c r="AV146" s="799"/>
      <c r="AW146" s="799"/>
      <c r="AX146" s="799"/>
      <c r="AY146" s="799"/>
      <c r="AZ146" s="799"/>
      <c r="BA146" s="799"/>
      <c r="BB146" s="799"/>
      <c r="BC146" s="799"/>
      <c r="BD146" s="799"/>
      <c r="BE146" s="799"/>
      <c r="BF146" s="799"/>
      <c r="BG146" s="799"/>
    </row>
    <row r="147">
      <c r="H147" s="799"/>
      <c r="I147" s="799"/>
      <c r="J147" s="799"/>
      <c r="K147" s="799"/>
      <c r="L147" s="799"/>
      <c r="M147" s="799"/>
      <c r="N147" s="799"/>
      <c r="O147" s="799"/>
      <c r="P147" s="799"/>
      <c r="Q147" s="799"/>
      <c r="R147" s="799"/>
      <c r="S147" s="799"/>
      <c r="T147" s="799"/>
      <c r="U147" s="799"/>
      <c r="V147" s="799"/>
      <c r="W147" s="799"/>
      <c r="X147" s="799"/>
      <c r="Y147" s="799"/>
      <c r="Z147" s="799"/>
      <c r="AA147" s="799"/>
      <c r="AB147" s="799"/>
      <c r="AC147" s="799"/>
      <c r="AD147" s="799"/>
      <c r="AE147" s="799"/>
      <c r="AF147" s="799"/>
      <c r="AG147" s="799"/>
      <c r="AH147" s="799"/>
      <c r="AI147" s="799"/>
      <c r="AJ147" s="799"/>
      <c r="AK147" s="799"/>
      <c r="AL147" s="799"/>
      <c r="AM147" s="799"/>
      <c r="AN147" s="799"/>
      <c r="AO147" s="799"/>
      <c r="AP147" s="799"/>
      <c r="AQ147" s="799"/>
      <c r="AR147" s="799"/>
      <c r="AS147" s="799"/>
      <c r="AT147" s="799"/>
      <c r="AU147" s="799"/>
      <c r="AV147" s="799"/>
      <c r="AW147" s="799"/>
      <c r="AX147" s="799"/>
      <c r="AY147" s="799"/>
      <c r="AZ147" s="799"/>
      <c r="BA147" s="799"/>
      <c r="BB147" s="799"/>
      <c r="BC147" s="799"/>
      <c r="BD147" s="799"/>
      <c r="BE147" s="799"/>
      <c r="BF147" s="799"/>
      <c r="BG147" s="799"/>
    </row>
    <row r="148">
      <c r="H148" s="799"/>
      <c r="I148" s="799"/>
      <c r="J148" s="799"/>
      <c r="K148" s="799"/>
      <c r="L148" s="799"/>
      <c r="M148" s="799"/>
      <c r="N148" s="799"/>
      <c r="O148" s="799"/>
      <c r="P148" s="799"/>
      <c r="Q148" s="799"/>
      <c r="R148" s="799"/>
      <c r="S148" s="799"/>
      <c r="T148" s="799"/>
      <c r="U148" s="799"/>
      <c r="V148" s="799"/>
      <c r="W148" s="799"/>
      <c r="X148" s="799"/>
      <c r="Y148" s="799"/>
      <c r="Z148" s="799"/>
      <c r="AA148" s="799"/>
      <c r="AB148" s="799"/>
      <c r="AC148" s="799"/>
      <c r="AD148" s="799"/>
      <c r="AE148" s="799"/>
      <c r="AF148" s="799"/>
      <c r="AG148" s="799"/>
      <c r="AH148" s="799"/>
      <c r="AI148" s="799"/>
      <c r="AJ148" s="799"/>
      <c r="AK148" s="799"/>
      <c r="AL148" s="799"/>
      <c r="AM148" s="799"/>
      <c r="AN148" s="799"/>
      <c r="AO148" s="799"/>
      <c r="AP148" s="799"/>
      <c r="AQ148" s="799"/>
      <c r="AR148" s="799"/>
      <c r="AS148" s="799"/>
      <c r="AT148" s="799"/>
      <c r="AU148" s="799"/>
      <c r="AV148" s="799"/>
      <c r="AW148" s="799"/>
      <c r="AX148" s="799"/>
      <c r="AY148" s="799"/>
      <c r="AZ148" s="799"/>
      <c r="BA148" s="799"/>
      <c r="BB148" s="799"/>
      <c r="BC148" s="799"/>
      <c r="BD148" s="799"/>
      <c r="BE148" s="799"/>
      <c r="BF148" s="799"/>
      <c r="BG148" s="799"/>
    </row>
    <row r="149">
      <c r="H149" s="799"/>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799"/>
      <c r="AL149" s="799"/>
      <c r="AM149" s="799"/>
      <c r="AN149" s="799"/>
      <c r="AO149" s="799"/>
      <c r="AP149" s="799"/>
      <c r="AQ149" s="799"/>
      <c r="AR149" s="799"/>
      <c r="AS149" s="799"/>
      <c r="AT149" s="799"/>
      <c r="AU149" s="799"/>
      <c r="AV149" s="799"/>
      <c r="AW149" s="799"/>
      <c r="AX149" s="799"/>
      <c r="AY149" s="799"/>
      <c r="AZ149" s="799"/>
      <c r="BA149" s="799"/>
      <c r="BB149" s="799"/>
      <c r="BC149" s="799"/>
      <c r="BD149" s="799"/>
      <c r="BE149" s="799"/>
      <c r="BF149" s="799"/>
      <c r="BG149" s="799"/>
    </row>
    <row r="150">
      <c r="H150" s="799"/>
      <c r="I150" s="799"/>
      <c r="J150" s="799"/>
      <c r="K150" s="799"/>
      <c r="L150" s="799"/>
      <c r="M150" s="799"/>
      <c r="N150" s="799"/>
      <c r="O150" s="799"/>
      <c r="P150" s="799"/>
      <c r="Q150" s="799"/>
      <c r="R150" s="799"/>
      <c r="S150" s="799"/>
      <c r="T150" s="799"/>
      <c r="U150" s="799"/>
      <c r="V150" s="799"/>
      <c r="W150" s="799"/>
      <c r="X150" s="799"/>
      <c r="Y150" s="799"/>
      <c r="Z150" s="799"/>
      <c r="AA150" s="799"/>
      <c r="AB150" s="799"/>
      <c r="AC150" s="799"/>
      <c r="AD150" s="799"/>
      <c r="AE150" s="799"/>
      <c r="AF150" s="799"/>
      <c r="AG150" s="799"/>
      <c r="AH150" s="799"/>
      <c r="AI150" s="799"/>
      <c r="AJ150" s="799"/>
      <c r="AK150" s="799"/>
      <c r="AL150" s="799"/>
      <c r="AM150" s="799"/>
      <c r="AN150" s="799"/>
      <c r="AO150" s="799"/>
      <c r="AP150" s="799"/>
      <c r="AQ150" s="799"/>
      <c r="AR150" s="799"/>
      <c r="AS150" s="799"/>
      <c r="AT150" s="799"/>
      <c r="AU150" s="799"/>
      <c r="AV150" s="799"/>
      <c r="AW150" s="799"/>
      <c r="AX150" s="799"/>
      <c r="AY150" s="799"/>
      <c r="AZ150" s="799"/>
      <c r="BA150" s="799"/>
      <c r="BB150" s="799"/>
      <c r="BC150" s="799"/>
      <c r="BD150" s="799"/>
      <c r="BE150" s="799"/>
      <c r="BF150" s="799"/>
      <c r="BG150" s="799"/>
    </row>
    <row r="151">
      <c r="H151" s="799"/>
      <c r="I151" s="799"/>
      <c r="J151" s="799"/>
      <c r="K151" s="799"/>
      <c r="L151" s="799"/>
      <c r="M151" s="799"/>
      <c r="N151" s="799"/>
      <c r="O151" s="799"/>
      <c r="P151" s="799"/>
      <c r="Q151" s="799"/>
      <c r="R151" s="799"/>
      <c r="S151" s="799"/>
      <c r="T151" s="799"/>
      <c r="U151" s="799"/>
      <c r="V151" s="799"/>
      <c r="W151" s="799"/>
      <c r="X151" s="799"/>
      <c r="Y151" s="799"/>
      <c r="Z151" s="799"/>
      <c r="AA151" s="799"/>
      <c r="AB151" s="799"/>
      <c r="AC151" s="799"/>
      <c r="AD151" s="799"/>
      <c r="AE151" s="799"/>
      <c r="AF151" s="799"/>
      <c r="AG151" s="799"/>
      <c r="AH151" s="799"/>
      <c r="AI151" s="799"/>
      <c r="AJ151" s="799"/>
      <c r="AK151" s="799"/>
      <c r="AL151" s="799"/>
      <c r="AM151" s="799"/>
      <c r="AN151" s="799"/>
      <c r="AO151" s="799"/>
      <c r="AP151" s="799"/>
      <c r="AQ151" s="799"/>
      <c r="AR151" s="799"/>
      <c r="AS151" s="799"/>
      <c r="AT151" s="799"/>
      <c r="AU151" s="799"/>
      <c r="AV151" s="799"/>
      <c r="AW151" s="799"/>
      <c r="AX151" s="799"/>
      <c r="AY151" s="799"/>
      <c r="AZ151" s="799"/>
      <c r="BA151" s="799"/>
      <c r="BB151" s="799"/>
      <c r="BC151" s="799"/>
      <c r="BD151" s="799"/>
      <c r="BE151" s="799"/>
      <c r="BF151" s="799"/>
      <c r="BG151" s="799"/>
    </row>
    <row r="152">
      <c r="H152" s="799"/>
      <c r="I152" s="799"/>
      <c r="J152" s="799"/>
      <c r="K152" s="799"/>
      <c r="L152" s="799"/>
      <c r="M152" s="799"/>
      <c r="N152" s="799"/>
      <c r="O152" s="799"/>
      <c r="P152" s="799"/>
      <c r="Q152" s="799"/>
      <c r="R152" s="799"/>
      <c r="S152" s="799"/>
      <c r="T152" s="799"/>
      <c r="U152" s="799"/>
      <c r="V152" s="799"/>
      <c r="W152" s="799"/>
      <c r="X152" s="799"/>
      <c r="Y152" s="799"/>
      <c r="Z152" s="799"/>
      <c r="AA152" s="799"/>
      <c r="AB152" s="799"/>
      <c r="AC152" s="799"/>
      <c r="AD152" s="799"/>
      <c r="AE152" s="799"/>
      <c r="AF152" s="799"/>
      <c r="AG152" s="799"/>
      <c r="AH152" s="799"/>
      <c r="AI152" s="799"/>
      <c r="AJ152" s="799"/>
      <c r="AK152" s="799"/>
      <c r="AL152" s="799"/>
      <c r="AM152" s="799"/>
      <c r="AN152" s="799"/>
      <c r="AO152" s="799"/>
      <c r="AP152" s="799"/>
      <c r="AQ152" s="799"/>
      <c r="AR152" s="799"/>
      <c r="AS152" s="799"/>
      <c r="AT152" s="799"/>
      <c r="AU152" s="799"/>
      <c r="AV152" s="799"/>
      <c r="AW152" s="799"/>
      <c r="AX152" s="799"/>
      <c r="AY152" s="799"/>
      <c r="AZ152" s="799"/>
      <c r="BA152" s="799"/>
      <c r="BB152" s="799"/>
      <c r="BC152" s="799"/>
      <c r="BD152" s="799"/>
      <c r="BE152" s="799"/>
      <c r="BF152" s="799"/>
      <c r="BG152" s="799"/>
    </row>
    <row r="153">
      <c r="H153" s="799"/>
      <c r="I153" s="799"/>
      <c r="J153" s="799"/>
      <c r="K153" s="799"/>
      <c r="L153" s="799"/>
      <c r="M153" s="799"/>
      <c r="N153" s="799"/>
      <c r="O153" s="799"/>
      <c r="P153" s="799"/>
      <c r="Q153" s="799"/>
      <c r="R153" s="799"/>
      <c r="S153" s="799"/>
      <c r="T153" s="799"/>
      <c r="U153" s="799"/>
      <c r="V153" s="799"/>
      <c r="W153" s="799"/>
      <c r="X153" s="799"/>
      <c r="Y153" s="799"/>
      <c r="Z153" s="799"/>
      <c r="AA153" s="799"/>
      <c r="AB153" s="799"/>
      <c r="AC153" s="799"/>
      <c r="AD153" s="799"/>
      <c r="AE153" s="799"/>
      <c r="AF153" s="799"/>
      <c r="AG153" s="799"/>
      <c r="AH153" s="799"/>
      <c r="AI153" s="799"/>
      <c r="AJ153" s="799"/>
      <c r="AK153" s="799"/>
      <c r="AL153" s="799"/>
      <c r="AM153" s="799"/>
      <c r="AN153" s="799"/>
      <c r="AO153" s="799"/>
      <c r="AP153" s="799"/>
      <c r="AQ153" s="799"/>
      <c r="AR153" s="799"/>
      <c r="AS153" s="799"/>
      <c r="AT153" s="799"/>
      <c r="AU153" s="799"/>
      <c r="AV153" s="799"/>
      <c r="AW153" s="799"/>
      <c r="AX153" s="799"/>
      <c r="AY153" s="799"/>
      <c r="AZ153" s="799"/>
      <c r="BA153" s="799"/>
      <c r="BB153" s="799"/>
      <c r="BC153" s="799"/>
      <c r="BD153" s="799"/>
      <c r="BE153" s="799"/>
      <c r="BF153" s="799"/>
      <c r="BG153" s="799"/>
    </row>
    <row r="154">
      <c r="H154" s="799"/>
      <c r="I154" s="799"/>
      <c r="J154" s="799"/>
      <c r="K154" s="799"/>
      <c r="L154" s="799"/>
      <c r="M154" s="799"/>
      <c r="N154" s="799"/>
      <c r="O154" s="799"/>
      <c r="P154" s="799"/>
      <c r="Q154" s="799"/>
      <c r="R154" s="799"/>
      <c r="S154" s="799"/>
      <c r="T154" s="799"/>
      <c r="U154" s="799"/>
      <c r="V154" s="799"/>
      <c r="W154" s="799"/>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row>
    <row r="155">
      <c r="H155" s="799"/>
      <c r="I155" s="799"/>
      <c r="J155" s="799"/>
      <c r="K155" s="799"/>
      <c r="L155" s="799"/>
      <c r="M155" s="799"/>
      <c r="N155" s="799"/>
      <c r="O155" s="799"/>
      <c r="P155" s="799"/>
      <c r="Q155" s="799"/>
      <c r="R155" s="799"/>
      <c r="S155" s="799"/>
      <c r="T155" s="799"/>
      <c r="U155" s="799"/>
      <c r="V155" s="799"/>
      <c r="W155" s="799"/>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row>
    <row r="156">
      <c r="H156" s="799"/>
      <c r="I156" s="799"/>
      <c r="J156" s="799"/>
      <c r="K156" s="799"/>
      <c r="L156" s="799"/>
      <c r="M156" s="799"/>
      <c r="N156" s="799"/>
      <c r="O156" s="799"/>
      <c r="P156" s="799"/>
      <c r="Q156" s="799"/>
      <c r="R156" s="799"/>
      <c r="S156" s="799"/>
      <c r="T156" s="799"/>
      <c r="U156" s="799"/>
      <c r="V156" s="799"/>
      <c r="W156" s="799"/>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row>
    <row r="157">
      <c r="H157" s="799"/>
      <c r="I157" s="799"/>
      <c r="J157" s="799"/>
      <c r="K157" s="799"/>
      <c r="L157" s="799"/>
      <c r="M157" s="799"/>
      <c r="N157" s="799"/>
      <c r="O157" s="799"/>
      <c r="P157" s="799"/>
      <c r="Q157" s="799"/>
      <c r="R157" s="799"/>
      <c r="S157" s="799"/>
      <c r="T157" s="799"/>
      <c r="U157" s="799"/>
      <c r="V157" s="799"/>
      <c r="W157" s="799"/>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row>
    <row r="158">
      <c r="H158" s="799"/>
      <c r="I158" s="799"/>
      <c r="J158" s="799"/>
      <c r="K158" s="799"/>
      <c r="L158" s="799"/>
      <c r="M158" s="799"/>
      <c r="N158" s="799"/>
      <c r="O158" s="799"/>
      <c r="P158" s="799"/>
      <c r="Q158" s="799"/>
      <c r="R158" s="799"/>
      <c r="S158" s="799"/>
      <c r="T158" s="799"/>
      <c r="U158" s="799"/>
      <c r="V158" s="799"/>
      <c r="W158" s="799"/>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row>
    <row r="159">
      <c r="H159" s="799"/>
      <c r="I159" s="799"/>
      <c r="J159" s="799"/>
      <c r="K159" s="799"/>
      <c r="L159" s="799"/>
      <c r="M159" s="799"/>
      <c r="N159" s="799"/>
      <c r="O159" s="799"/>
      <c r="P159" s="799"/>
      <c r="Q159" s="799"/>
      <c r="R159" s="799"/>
      <c r="S159" s="799"/>
      <c r="T159" s="799"/>
      <c r="U159" s="799"/>
      <c r="V159" s="799"/>
      <c r="W159" s="799"/>
      <c r="X159" s="799"/>
      <c r="Y159" s="799"/>
      <c r="Z159" s="799"/>
      <c r="AA159" s="799"/>
      <c r="AB159" s="799"/>
      <c r="AC159" s="799"/>
      <c r="AD159" s="799"/>
      <c r="AE159" s="799"/>
      <c r="AF159" s="799"/>
      <c r="AG159" s="799"/>
      <c r="AH159" s="799"/>
      <c r="AI159" s="799"/>
      <c r="AJ159" s="799"/>
      <c r="AK159" s="799"/>
      <c r="AL159" s="799"/>
      <c r="AM159" s="799"/>
      <c r="AN159" s="799"/>
      <c r="AO159" s="799"/>
      <c r="AP159" s="799"/>
      <c r="AQ159" s="799"/>
      <c r="AR159" s="799"/>
      <c r="AS159" s="799"/>
      <c r="AT159" s="799"/>
      <c r="AU159" s="799"/>
      <c r="AV159" s="799"/>
      <c r="AW159" s="799"/>
      <c r="AX159" s="799"/>
      <c r="AY159" s="799"/>
      <c r="AZ159" s="799"/>
      <c r="BA159" s="799"/>
      <c r="BB159" s="799"/>
      <c r="BC159" s="799"/>
      <c r="BD159" s="799"/>
      <c r="BE159" s="799"/>
      <c r="BF159" s="799"/>
      <c r="BG159" s="799"/>
    </row>
    <row r="160">
      <c r="H160" s="799"/>
      <c r="I160" s="799"/>
      <c r="J160" s="799"/>
      <c r="K160" s="799"/>
      <c r="L160" s="799"/>
      <c r="M160" s="799"/>
      <c r="N160" s="799"/>
      <c r="O160" s="799"/>
      <c r="P160" s="799"/>
      <c r="Q160" s="799"/>
      <c r="R160" s="799"/>
      <c r="S160" s="799"/>
      <c r="T160" s="799"/>
      <c r="U160" s="799"/>
      <c r="V160" s="799"/>
      <c r="W160" s="799"/>
      <c r="X160" s="799"/>
      <c r="Y160" s="799"/>
      <c r="Z160" s="799"/>
      <c r="AA160" s="799"/>
      <c r="AB160" s="799"/>
      <c r="AC160" s="799"/>
      <c r="AD160" s="799"/>
      <c r="AE160" s="799"/>
      <c r="AF160" s="799"/>
      <c r="AG160" s="799"/>
      <c r="AH160" s="799"/>
      <c r="AI160" s="799"/>
      <c r="AJ160" s="799"/>
      <c r="AK160" s="799"/>
      <c r="AL160" s="799"/>
      <c r="AM160" s="799"/>
      <c r="AN160" s="799"/>
      <c r="AO160" s="799"/>
      <c r="AP160" s="799"/>
      <c r="AQ160" s="799"/>
      <c r="AR160" s="799"/>
      <c r="AS160" s="799"/>
      <c r="AT160" s="799"/>
      <c r="AU160" s="799"/>
      <c r="AV160" s="799"/>
      <c r="AW160" s="799"/>
      <c r="AX160" s="799"/>
      <c r="AY160" s="799"/>
      <c r="AZ160" s="799"/>
      <c r="BA160" s="799"/>
      <c r="BB160" s="799"/>
      <c r="BC160" s="799"/>
      <c r="BD160" s="799"/>
      <c r="BE160" s="799"/>
      <c r="BF160" s="799"/>
      <c r="BG160" s="799"/>
    </row>
    <row r="161">
      <c r="H161" s="799"/>
      <c r="I161" s="799"/>
      <c r="J161" s="799"/>
      <c r="K161" s="799"/>
      <c r="L161" s="799"/>
      <c r="M161" s="799"/>
      <c r="N161" s="799"/>
      <c r="O161" s="799"/>
      <c r="P161" s="799"/>
      <c r="Q161" s="799"/>
      <c r="R161" s="799"/>
      <c r="S161" s="799"/>
      <c r="T161" s="799"/>
      <c r="U161" s="799"/>
      <c r="V161" s="799"/>
      <c r="W161" s="799"/>
      <c r="X161" s="799"/>
      <c r="Y161" s="799"/>
      <c r="Z161" s="799"/>
      <c r="AA161" s="799"/>
      <c r="AB161" s="799"/>
      <c r="AC161" s="799"/>
      <c r="AD161" s="799"/>
      <c r="AE161" s="799"/>
      <c r="AF161" s="799"/>
      <c r="AG161" s="799"/>
      <c r="AH161" s="799"/>
      <c r="AI161" s="799"/>
      <c r="AJ161" s="799"/>
      <c r="AK161" s="799"/>
      <c r="AL161" s="799"/>
      <c r="AM161" s="799"/>
      <c r="AN161" s="799"/>
      <c r="AO161" s="799"/>
      <c r="AP161" s="799"/>
      <c r="AQ161" s="799"/>
      <c r="AR161" s="799"/>
      <c r="AS161" s="799"/>
      <c r="AT161" s="799"/>
      <c r="AU161" s="799"/>
      <c r="AV161" s="799"/>
      <c r="AW161" s="799"/>
      <c r="AX161" s="799"/>
      <c r="AY161" s="799"/>
      <c r="AZ161" s="799"/>
      <c r="BA161" s="799"/>
      <c r="BB161" s="799"/>
      <c r="BC161" s="799"/>
      <c r="BD161" s="799"/>
      <c r="BE161" s="799"/>
      <c r="BF161" s="799"/>
      <c r="BG161" s="799"/>
    </row>
    <row r="162">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row>
    <row r="163">
      <c r="H163" s="799"/>
      <c r="I163" s="799"/>
      <c r="J163" s="799"/>
      <c r="K163" s="799"/>
      <c r="L163" s="799"/>
      <c r="M163" s="799"/>
      <c r="N163" s="799"/>
      <c r="O163" s="799"/>
      <c r="P163" s="799"/>
      <c r="Q163" s="799"/>
      <c r="R163" s="799"/>
      <c r="S163" s="799"/>
      <c r="T163" s="799"/>
      <c r="U163" s="799"/>
      <c r="V163" s="799"/>
      <c r="W163" s="799"/>
      <c r="X163" s="799"/>
      <c r="Y163" s="799"/>
      <c r="Z163" s="799"/>
      <c r="AA163" s="799"/>
      <c r="AB163" s="799"/>
      <c r="AC163" s="799"/>
      <c r="AD163" s="799"/>
      <c r="AE163" s="799"/>
      <c r="AF163" s="799"/>
      <c r="AG163" s="799"/>
      <c r="AH163" s="799"/>
      <c r="AI163" s="799"/>
      <c r="AJ163" s="799"/>
      <c r="AK163" s="799"/>
      <c r="AL163" s="799"/>
      <c r="AM163" s="799"/>
      <c r="AN163" s="799"/>
      <c r="AO163" s="799"/>
      <c r="AP163" s="799"/>
      <c r="AQ163" s="799"/>
      <c r="AR163" s="799"/>
      <c r="AS163" s="799"/>
      <c r="AT163" s="799"/>
      <c r="AU163" s="799"/>
      <c r="AV163" s="799"/>
      <c r="AW163" s="799"/>
      <c r="AX163" s="799"/>
      <c r="AY163" s="799"/>
      <c r="AZ163" s="799"/>
      <c r="BA163" s="799"/>
      <c r="BB163" s="799"/>
      <c r="BC163" s="799"/>
      <c r="BD163" s="799"/>
      <c r="BE163" s="799"/>
      <c r="BF163" s="799"/>
      <c r="BG163" s="799"/>
    </row>
    <row r="164">
      <c r="H164" s="799"/>
      <c r="I164" s="799"/>
      <c r="J164" s="799"/>
      <c r="K164" s="799"/>
      <c r="L164" s="799"/>
      <c r="M164" s="799"/>
      <c r="N164" s="799"/>
      <c r="O164" s="799"/>
      <c r="P164" s="799"/>
      <c r="Q164" s="799"/>
      <c r="R164" s="799"/>
      <c r="S164" s="799"/>
      <c r="T164" s="799"/>
      <c r="U164" s="799"/>
      <c r="V164" s="799"/>
      <c r="W164" s="799"/>
      <c r="X164" s="799"/>
      <c r="Y164" s="799"/>
      <c r="Z164" s="799"/>
      <c r="AA164" s="799"/>
      <c r="AB164" s="799"/>
      <c r="AC164" s="799"/>
      <c r="AD164" s="799"/>
      <c r="AE164" s="799"/>
      <c r="AF164" s="799"/>
      <c r="AG164" s="799"/>
      <c r="AH164" s="799"/>
      <c r="AI164" s="799"/>
      <c r="AJ164" s="799"/>
      <c r="AK164" s="799"/>
      <c r="AL164" s="799"/>
      <c r="AM164" s="799"/>
      <c r="AN164" s="799"/>
      <c r="AO164" s="799"/>
      <c r="AP164" s="799"/>
      <c r="AQ164" s="799"/>
      <c r="AR164" s="799"/>
      <c r="AS164" s="799"/>
      <c r="AT164" s="799"/>
      <c r="AU164" s="799"/>
      <c r="AV164" s="799"/>
      <c r="AW164" s="799"/>
      <c r="AX164" s="799"/>
      <c r="AY164" s="799"/>
      <c r="AZ164" s="799"/>
      <c r="BA164" s="799"/>
      <c r="BB164" s="799"/>
      <c r="BC164" s="799"/>
      <c r="BD164" s="799"/>
      <c r="BE164" s="799"/>
      <c r="BF164" s="799"/>
      <c r="BG164" s="799"/>
    </row>
    <row r="165">
      <c r="H165" s="799"/>
      <c r="I165" s="799"/>
      <c r="J165" s="799"/>
      <c r="K165" s="799"/>
      <c r="L165" s="799"/>
      <c r="M165" s="799"/>
      <c r="N165" s="799"/>
      <c r="O165" s="799"/>
      <c r="P165" s="799"/>
      <c r="Q165" s="799"/>
      <c r="R165" s="799"/>
      <c r="S165" s="799"/>
      <c r="T165" s="799"/>
      <c r="U165" s="799"/>
      <c r="V165" s="799"/>
      <c r="W165" s="799"/>
      <c r="X165" s="799"/>
      <c r="Y165" s="799"/>
      <c r="Z165" s="799"/>
      <c r="AA165" s="799"/>
      <c r="AB165" s="799"/>
      <c r="AC165" s="799"/>
      <c r="AD165" s="799"/>
      <c r="AE165" s="799"/>
      <c r="AF165" s="799"/>
      <c r="AG165" s="799"/>
      <c r="AH165" s="799"/>
      <c r="AI165" s="799"/>
      <c r="AJ165" s="799"/>
      <c r="AK165" s="799"/>
      <c r="AL165" s="799"/>
      <c r="AM165" s="799"/>
      <c r="AN165" s="799"/>
      <c r="AO165" s="799"/>
      <c r="AP165" s="799"/>
      <c r="AQ165" s="799"/>
      <c r="AR165" s="799"/>
      <c r="AS165" s="799"/>
      <c r="AT165" s="799"/>
      <c r="AU165" s="799"/>
      <c r="AV165" s="799"/>
      <c r="AW165" s="799"/>
      <c r="AX165" s="799"/>
      <c r="AY165" s="799"/>
      <c r="AZ165" s="799"/>
      <c r="BA165" s="799"/>
      <c r="BB165" s="799"/>
      <c r="BC165" s="799"/>
      <c r="BD165" s="799"/>
      <c r="BE165" s="799"/>
      <c r="BF165" s="799"/>
      <c r="BG165" s="799"/>
    </row>
    <row r="166">
      <c r="H166" s="799"/>
      <c r="I166" s="799"/>
      <c r="J166" s="799"/>
      <c r="K166" s="799"/>
      <c r="L166" s="799"/>
      <c r="M166" s="799"/>
      <c r="N166" s="799"/>
      <c r="O166" s="799"/>
      <c r="P166" s="799"/>
      <c r="Q166" s="799"/>
      <c r="R166" s="799"/>
      <c r="S166" s="799"/>
      <c r="T166" s="799"/>
      <c r="U166" s="799"/>
      <c r="V166" s="799"/>
      <c r="W166" s="799"/>
      <c r="X166" s="799"/>
      <c r="Y166" s="799"/>
      <c r="Z166" s="799"/>
      <c r="AA166" s="799"/>
      <c r="AB166" s="799"/>
      <c r="AC166" s="799"/>
      <c r="AD166" s="799"/>
      <c r="AE166" s="799"/>
      <c r="AF166" s="799"/>
      <c r="AG166" s="799"/>
      <c r="AH166" s="799"/>
      <c r="AI166" s="799"/>
      <c r="AJ166" s="799"/>
      <c r="AK166" s="799"/>
      <c r="AL166" s="799"/>
      <c r="AM166" s="799"/>
      <c r="AN166" s="799"/>
      <c r="AO166" s="799"/>
      <c r="AP166" s="799"/>
      <c r="AQ166" s="799"/>
      <c r="AR166" s="799"/>
      <c r="AS166" s="799"/>
      <c r="AT166" s="799"/>
      <c r="AU166" s="799"/>
      <c r="AV166" s="799"/>
      <c r="AW166" s="799"/>
      <c r="AX166" s="799"/>
      <c r="AY166" s="799"/>
      <c r="AZ166" s="799"/>
      <c r="BA166" s="799"/>
      <c r="BB166" s="799"/>
      <c r="BC166" s="799"/>
      <c r="BD166" s="799"/>
      <c r="BE166" s="799"/>
      <c r="BF166" s="799"/>
      <c r="BG166" s="799"/>
    </row>
    <row r="167">
      <c r="H167" s="799"/>
      <c r="I167" s="799"/>
      <c r="J167" s="799"/>
      <c r="K167" s="799"/>
      <c r="L167" s="799"/>
      <c r="M167" s="799"/>
      <c r="N167" s="799"/>
      <c r="O167" s="799"/>
      <c r="P167" s="799"/>
      <c r="Q167" s="799"/>
      <c r="R167" s="799"/>
      <c r="S167" s="799"/>
      <c r="T167" s="799"/>
      <c r="U167" s="799"/>
      <c r="V167" s="799"/>
      <c r="W167" s="799"/>
      <c r="X167" s="799"/>
      <c r="Y167" s="799"/>
      <c r="Z167" s="799"/>
      <c r="AA167" s="799"/>
      <c r="AB167" s="799"/>
      <c r="AC167" s="799"/>
      <c r="AD167" s="799"/>
      <c r="AE167" s="799"/>
      <c r="AF167" s="799"/>
      <c r="AG167" s="799"/>
      <c r="AH167" s="799"/>
      <c r="AI167" s="799"/>
      <c r="AJ167" s="799"/>
      <c r="AK167" s="799"/>
      <c r="AL167" s="799"/>
      <c r="AM167" s="799"/>
      <c r="AN167" s="799"/>
      <c r="AO167" s="799"/>
      <c r="AP167" s="799"/>
      <c r="AQ167" s="799"/>
      <c r="AR167" s="799"/>
      <c r="AS167" s="799"/>
      <c r="AT167" s="799"/>
      <c r="AU167" s="799"/>
      <c r="AV167" s="799"/>
      <c r="AW167" s="799"/>
      <c r="AX167" s="799"/>
      <c r="AY167" s="799"/>
      <c r="AZ167" s="799"/>
      <c r="BA167" s="799"/>
      <c r="BB167" s="799"/>
      <c r="BC167" s="799"/>
      <c r="BD167" s="799"/>
      <c r="BE167" s="799"/>
      <c r="BF167" s="799"/>
      <c r="BG167" s="799"/>
    </row>
    <row r="168">
      <c r="H168" s="799"/>
      <c r="I168" s="799"/>
      <c r="J168" s="799"/>
      <c r="K168" s="799"/>
      <c r="L168" s="799"/>
      <c r="M168" s="799"/>
      <c r="N168" s="799"/>
      <c r="O168" s="799"/>
      <c r="P168" s="799"/>
      <c r="Q168" s="799"/>
      <c r="R168" s="799"/>
      <c r="S168" s="799"/>
      <c r="T168" s="799"/>
      <c r="U168" s="799"/>
      <c r="V168" s="799"/>
      <c r="W168" s="799"/>
      <c r="X168" s="799"/>
      <c r="Y168" s="799"/>
      <c r="Z168" s="799"/>
      <c r="AA168" s="799"/>
      <c r="AB168" s="799"/>
      <c r="AC168" s="799"/>
      <c r="AD168" s="799"/>
      <c r="AE168" s="799"/>
      <c r="AF168" s="799"/>
      <c r="AG168" s="799"/>
      <c r="AH168" s="799"/>
      <c r="AI168" s="799"/>
      <c r="AJ168" s="799"/>
      <c r="AK168" s="799"/>
      <c r="AL168" s="799"/>
      <c r="AM168" s="799"/>
      <c r="AN168" s="799"/>
      <c r="AO168" s="799"/>
      <c r="AP168" s="799"/>
      <c r="AQ168" s="799"/>
      <c r="AR168" s="799"/>
      <c r="AS168" s="799"/>
      <c r="AT168" s="799"/>
      <c r="AU168" s="799"/>
      <c r="AV168" s="799"/>
      <c r="AW168" s="799"/>
      <c r="AX168" s="799"/>
      <c r="AY168" s="799"/>
      <c r="AZ168" s="799"/>
      <c r="BA168" s="799"/>
      <c r="BB168" s="799"/>
      <c r="BC168" s="799"/>
      <c r="BD168" s="799"/>
      <c r="BE168" s="799"/>
      <c r="BF168" s="799"/>
      <c r="BG168" s="799"/>
    </row>
    <row r="169">
      <c r="H169" s="799"/>
      <c r="I169" s="799"/>
      <c r="J169" s="799"/>
      <c r="K169" s="799"/>
      <c r="L169" s="799"/>
      <c r="M169" s="799"/>
      <c r="N169" s="799"/>
      <c r="O169" s="799"/>
      <c r="P169" s="799"/>
      <c r="Q169" s="799"/>
      <c r="R169" s="799"/>
      <c r="S169" s="799"/>
      <c r="T169" s="799"/>
      <c r="U169" s="799"/>
      <c r="V169" s="799"/>
      <c r="W169" s="799"/>
      <c r="X169" s="799"/>
      <c r="Y169" s="799"/>
      <c r="Z169" s="799"/>
      <c r="AA169" s="799"/>
      <c r="AB169" s="799"/>
      <c r="AC169" s="799"/>
      <c r="AD169" s="799"/>
      <c r="AE169" s="799"/>
      <c r="AF169" s="799"/>
      <c r="AG169" s="799"/>
      <c r="AH169" s="799"/>
      <c r="AI169" s="799"/>
      <c r="AJ169" s="799"/>
      <c r="AK169" s="799"/>
      <c r="AL169" s="799"/>
      <c r="AM169" s="799"/>
      <c r="AN169" s="799"/>
      <c r="AO169" s="799"/>
      <c r="AP169" s="799"/>
      <c r="AQ169" s="799"/>
      <c r="AR169" s="799"/>
      <c r="AS169" s="799"/>
      <c r="AT169" s="799"/>
      <c r="AU169" s="799"/>
      <c r="AV169" s="799"/>
      <c r="AW169" s="799"/>
      <c r="AX169" s="799"/>
      <c r="AY169" s="799"/>
      <c r="AZ169" s="799"/>
      <c r="BA169" s="799"/>
      <c r="BB169" s="799"/>
      <c r="BC169" s="799"/>
      <c r="BD169" s="799"/>
      <c r="BE169" s="799"/>
      <c r="BF169" s="799"/>
      <c r="BG169" s="799"/>
    </row>
    <row r="170">
      <c r="H170" s="799"/>
      <c r="I170" s="799"/>
      <c r="J170" s="799"/>
      <c r="K170" s="799"/>
      <c r="L170" s="799"/>
      <c r="M170" s="799"/>
      <c r="N170" s="799"/>
      <c r="O170" s="799"/>
      <c r="P170" s="799"/>
      <c r="Q170" s="799"/>
      <c r="R170" s="799"/>
      <c r="S170" s="799"/>
      <c r="T170" s="799"/>
      <c r="U170" s="799"/>
      <c r="V170" s="799"/>
      <c r="W170" s="799"/>
      <c r="X170" s="799"/>
      <c r="Y170" s="799"/>
      <c r="Z170" s="799"/>
      <c r="AA170" s="799"/>
      <c r="AB170" s="799"/>
      <c r="AC170" s="799"/>
      <c r="AD170" s="799"/>
      <c r="AE170" s="799"/>
      <c r="AF170" s="799"/>
      <c r="AG170" s="799"/>
      <c r="AH170" s="799"/>
      <c r="AI170" s="799"/>
      <c r="AJ170" s="799"/>
      <c r="AK170" s="799"/>
      <c r="AL170" s="799"/>
      <c r="AM170" s="799"/>
      <c r="AN170" s="799"/>
      <c r="AO170" s="799"/>
      <c r="AP170" s="799"/>
      <c r="AQ170" s="799"/>
      <c r="AR170" s="799"/>
      <c r="AS170" s="799"/>
      <c r="AT170" s="799"/>
      <c r="AU170" s="799"/>
      <c r="AV170" s="799"/>
      <c r="AW170" s="799"/>
      <c r="AX170" s="799"/>
      <c r="AY170" s="799"/>
      <c r="AZ170" s="799"/>
      <c r="BA170" s="799"/>
      <c r="BB170" s="799"/>
      <c r="BC170" s="799"/>
      <c r="BD170" s="799"/>
      <c r="BE170" s="799"/>
      <c r="BF170" s="799"/>
      <c r="BG170" s="799"/>
    </row>
    <row r="171">
      <c r="H171" s="799"/>
      <c r="I171" s="799"/>
      <c r="J171" s="799"/>
      <c r="K171" s="799"/>
      <c r="L171" s="799"/>
      <c r="M171" s="799"/>
      <c r="N171" s="799"/>
      <c r="O171" s="799"/>
      <c r="P171" s="799"/>
      <c r="Q171" s="799"/>
      <c r="R171" s="799"/>
      <c r="S171" s="799"/>
      <c r="T171" s="799"/>
      <c r="U171" s="799"/>
      <c r="V171" s="799"/>
      <c r="W171" s="799"/>
      <c r="X171" s="799"/>
      <c r="Y171" s="799"/>
      <c r="Z171" s="799"/>
      <c r="AA171" s="799"/>
      <c r="AB171" s="799"/>
      <c r="AC171" s="799"/>
      <c r="AD171" s="799"/>
      <c r="AE171" s="799"/>
      <c r="AF171" s="799"/>
      <c r="AG171" s="799"/>
      <c r="AH171" s="799"/>
      <c r="AI171" s="799"/>
      <c r="AJ171" s="799"/>
      <c r="AK171" s="799"/>
      <c r="AL171" s="799"/>
      <c r="AM171" s="799"/>
      <c r="AN171" s="799"/>
      <c r="AO171" s="799"/>
      <c r="AP171" s="799"/>
      <c r="AQ171" s="799"/>
      <c r="AR171" s="799"/>
      <c r="AS171" s="799"/>
      <c r="AT171" s="799"/>
      <c r="AU171" s="799"/>
      <c r="AV171" s="799"/>
      <c r="AW171" s="799"/>
      <c r="AX171" s="799"/>
      <c r="AY171" s="799"/>
      <c r="AZ171" s="799"/>
      <c r="BA171" s="799"/>
      <c r="BB171" s="799"/>
      <c r="BC171" s="799"/>
      <c r="BD171" s="799"/>
      <c r="BE171" s="799"/>
      <c r="BF171" s="799"/>
      <c r="BG171" s="799"/>
    </row>
    <row r="172">
      <c r="H172" s="799"/>
      <c r="I172" s="799"/>
      <c r="J172" s="799"/>
      <c r="K172" s="799"/>
      <c r="L172" s="799"/>
      <c r="M172" s="799"/>
      <c r="N172" s="799"/>
      <c r="O172" s="799"/>
      <c r="P172" s="799"/>
      <c r="Q172" s="799"/>
      <c r="R172" s="799"/>
      <c r="S172" s="799"/>
      <c r="T172" s="799"/>
      <c r="U172" s="799"/>
      <c r="V172" s="799"/>
      <c r="W172" s="799"/>
      <c r="X172" s="799"/>
      <c r="Y172" s="799"/>
      <c r="Z172" s="799"/>
      <c r="AA172" s="799"/>
      <c r="AB172" s="799"/>
      <c r="AC172" s="799"/>
      <c r="AD172" s="799"/>
      <c r="AE172" s="799"/>
      <c r="AF172" s="799"/>
      <c r="AG172" s="799"/>
      <c r="AH172" s="799"/>
      <c r="AI172" s="799"/>
      <c r="AJ172" s="799"/>
      <c r="AK172" s="799"/>
      <c r="AL172" s="799"/>
      <c r="AM172" s="799"/>
      <c r="AN172" s="799"/>
      <c r="AO172" s="799"/>
      <c r="AP172" s="799"/>
      <c r="AQ172" s="799"/>
      <c r="AR172" s="799"/>
      <c r="AS172" s="799"/>
      <c r="AT172" s="799"/>
      <c r="AU172" s="799"/>
      <c r="AV172" s="799"/>
      <c r="AW172" s="799"/>
      <c r="AX172" s="799"/>
      <c r="AY172" s="799"/>
      <c r="AZ172" s="799"/>
      <c r="BA172" s="799"/>
      <c r="BB172" s="799"/>
      <c r="BC172" s="799"/>
      <c r="BD172" s="799"/>
      <c r="BE172" s="799"/>
      <c r="BF172" s="799"/>
      <c r="BG172" s="799"/>
    </row>
    <row r="173">
      <c r="H173" s="799"/>
      <c r="I173" s="799"/>
      <c r="J173" s="799"/>
      <c r="K173" s="799"/>
      <c r="L173" s="799"/>
      <c r="M173" s="799"/>
      <c r="N173" s="799"/>
      <c r="O173" s="799"/>
      <c r="P173" s="799"/>
      <c r="Q173" s="799"/>
      <c r="R173" s="799"/>
      <c r="S173" s="799"/>
      <c r="T173" s="799"/>
      <c r="U173" s="799"/>
      <c r="V173" s="799"/>
      <c r="W173" s="799"/>
      <c r="X173" s="799"/>
      <c r="Y173" s="799"/>
      <c r="Z173" s="799"/>
      <c r="AA173" s="799"/>
      <c r="AB173" s="799"/>
      <c r="AC173" s="799"/>
      <c r="AD173" s="799"/>
      <c r="AE173" s="799"/>
      <c r="AF173" s="799"/>
      <c r="AG173" s="799"/>
      <c r="AH173" s="799"/>
      <c r="AI173" s="799"/>
      <c r="AJ173" s="799"/>
      <c r="AK173" s="799"/>
      <c r="AL173" s="799"/>
      <c r="AM173" s="799"/>
      <c r="AN173" s="799"/>
      <c r="AO173" s="799"/>
      <c r="AP173" s="799"/>
      <c r="AQ173" s="799"/>
      <c r="AR173" s="799"/>
      <c r="AS173" s="799"/>
      <c r="AT173" s="799"/>
      <c r="AU173" s="799"/>
      <c r="AV173" s="799"/>
      <c r="AW173" s="799"/>
      <c r="AX173" s="799"/>
      <c r="AY173" s="799"/>
      <c r="AZ173" s="799"/>
      <c r="BA173" s="799"/>
      <c r="BB173" s="799"/>
      <c r="BC173" s="799"/>
      <c r="BD173" s="799"/>
      <c r="BE173" s="799"/>
      <c r="BF173" s="799"/>
      <c r="BG173" s="799"/>
    </row>
    <row r="174">
      <c r="H174" s="799"/>
      <c r="I174" s="799"/>
      <c r="J174" s="799"/>
      <c r="K174" s="799"/>
      <c r="L174" s="799"/>
      <c r="M174" s="799"/>
      <c r="N174" s="799"/>
      <c r="O174" s="799"/>
      <c r="P174" s="799"/>
      <c r="Q174" s="799"/>
      <c r="R174" s="799"/>
      <c r="S174" s="799"/>
      <c r="T174" s="799"/>
      <c r="U174" s="799"/>
      <c r="V174" s="799"/>
      <c r="W174" s="799"/>
      <c r="X174" s="799"/>
      <c r="Y174" s="799"/>
      <c r="Z174" s="799"/>
      <c r="AA174" s="799"/>
      <c r="AB174" s="799"/>
      <c r="AC174" s="799"/>
      <c r="AD174" s="799"/>
      <c r="AE174" s="799"/>
      <c r="AF174" s="799"/>
      <c r="AG174" s="799"/>
      <c r="AH174" s="799"/>
      <c r="AI174" s="799"/>
      <c r="AJ174" s="799"/>
      <c r="AK174" s="799"/>
      <c r="AL174" s="799"/>
      <c r="AM174" s="799"/>
      <c r="AN174" s="799"/>
      <c r="AO174" s="799"/>
      <c r="AP174" s="799"/>
      <c r="AQ174" s="799"/>
      <c r="AR174" s="799"/>
      <c r="AS174" s="799"/>
      <c r="AT174" s="799"/>
      <c r="AU174" s="799"/>
      <c r="AV174" s="799"/>
      <c r="AW174" s="799"/>
      <c r="AX174" s="799"/>
      <c r="AY174" s="799"/>
      <c r="AZ174" s="799"/>
      <c r="BA174" s="799"/>
      <c r="BB174" s="799"/>
      <c r="BC174" s="799"/>
      <c r="BD174" s="799"/>
      <c r="BE174" s="799"/>
      <c r="BF174" s="799"/>
      <c r="BG174" s="799"/>
    </row>
    <row r="175">
      <c r="H175" s="799"/>
      <c r="I175" s="799"/>
      <c r="J175" s="799"/>
      <c r="K175" s="799"/>
      <c r="L175" s="799"/>
      <c r="M175" s="799"/>
      <c r="N175" s="799"/>
      <c r="O175" s="799"/>
      <c r="P175" s="799"/>
      <c r="Q175" s="799"/>
      <c r="R175" s="799"/>
      <c r="S175" s="799"/>
      <c r="T175" s="799"/>
      <c r="U175" s="799"/>
      <c r="V175" s="799"/>
      <c r="W175" s="799"/>
      <c r="X175" s="799"/>
      <c r="Y175" s="799"/>
      <c r="Z175" s="799"/>
      <c r="AA175" s="799"/>
      <c r="AB175" s="799"/>
      <c r="AC175" s="799"/>
      <c r="AD175" s="799"/>
      <c r="AE175" s="799"/>
      <c r="AF175" s="799"/>
      <c r="AG175" s="799"/>
      <c r="AH175" s="799"/>
      <c r="AI175" s="799"/>
      <c r="AJ175" s="799"/>
      <c r="AK175" s="799"/>
      <c r="AL175" s="799"/>
      <c r="AM175" s="799"/>
      <c r="AN175" s="799"/>
      <c r="AO175" s="799"/>
      <c r="AP175" s="799"/>
      <c r="AQ175" s="799"/>
      <c r="AR175" s="799"/>
      <c r="AS175" s="799"/>
      <c r="AT175" s="799"/>
      <c r="AU175" s="799"/>
      <c r="AV175" s="799"/>
      <c r="AW175" s="799"/>
      <c r="AX175" s="799"/>
      <c r="AY175" s="799"/>
      <c r="AZ175" s="799"/>
      <c r="BA175" s="799"/>
      <c r="BB175" s="799"/>
      <c r="BC175" s="799"/>
      <c r="BD175" s="799"/>
      <c r="BE175" s="799"/>
      <c r="BF175" s="799"/>
      <c r="BG175" s="799"/>
    </row>
    <row r="176">
      <c r="H176" s="799"/>
      <c r="I176" s="799"/>
      <c r="J176" s="799"/>
      <c r="K176" s="799"/>
      <c r="L176" s="799"/>
      <c r="M176" s="799"/>
      <c r="N176" s="799"/>
      <c r="O176" s="799"/>
      <c r="P176" s="799"/>
      <c r="Q176" s="799"/>
      <c r="R176" s="799"/>
      <c r="S176" s="799"/>
      <c r="T176" s="799"/>
      <c r="U176" s="799"/>
      <c r="V176" s="799"/>
      <c r="W176" s="799"/>
      <c r="X176" s="799"/>
      <c r="Y176" s="799"/>
      <c r="Z176" s="799"/>
      <c r="AA176" s="799"/>
      <c r="AB176" s="799"/>
      <c r="AC176" s="799"/>
      <c r="AD176" s="799"/>
      <c r="AE176" s="799"/>
      <c r="AF176" s="799"/>
      <c r="AG176" s="799"/>
      <c r="AH176" s="799"/>
      <c r="AI176" s="799"/>
      <c r="AJ176" s="799"/>
      <c r="AK176" s="799"/>
      <c r="AL176" s="799"/>
      <c r="AM176" s="799"/>
      <c r="AN176" s="799"/>
      <c r="AO176" s="799"/>
      <c r="AP176" s="799"/>
      <c r="AQ176" s="799"/>
      <c r="AR176" s="799"/>
      <c r="AS176" s="799"/>
      <c r="AT176" s="799"/>
      <c r="AU176" s="799"/>
      <c r="AV176" s="799"/>
      <c r="AW176" s="799"/>
      <c r="AX176" s="799"/>
      <c r="AY176" s="799"/>
      <c r="AZ176" s="799"/>
      <c r="BA176" s="799"/>
      <c r="BB176" s="799"/>
      <c r="BC176" s="799"/>
      <c r="BD176" s="799"/>
      <c r="BE176" s="799"/>
      <c r="BF176" s="799"/>
      <c r="BG176" s="799"/>
    </row>
    <row r="177">
      <c r="H177" s="799"/>
      <c r="I177" s="799"/>
      <c r="J177" s="799"/>
      <c r="K177" s="799"/>
      <c r="L177" s="799"/>
      <c r="M177" s="799"/>
      <c r="N177" s="799"/>
      <c r="O177" s="799"/>
      <c r="P177" s="799"/>
      <c r="Q177" s="799"/>
      <c r="R177" s="799"/>
      <c r="S177" s="799"/>
      <c r="T177" s="799"/>
      <c r="U177" s="799"/>
      <c r="V177" s="799"/>
      <c r="W177" s="799"/>
      <c r="X177" s="799"/>
      <c r="Y177" s="799"/>
      <c r="Z177" s="799"/>
      <c r="AA177" s="799"/>
      <c r="AB177" s="799"/>
      <c r="AC177" s="799"/>
      <c r="AD177" s="799"/>
      <c r="AE177" s="799"/>
      <c r="AF177" s="799"/>
      <c r="AG177" s="799"/>
      <c r="AH177" s="799"/>
      <c r="AI177" s="799"/>
      <c r="AJ177" s="799"/>
      <c r="AK177" s="799"/>
      <c r="AL177" s="799"/>
      <c r="AM177" s="799"/>
      <c r="AN177" s="799"/>
      <c r="AO177" s="799"/>
      <c r="AP177" s="799"/>
      <c r="AQ177" s="799"/>
      <c r="AR177" s="799"/>
      <c r="AS177" s="799"/>
      <c r="AT177" s="799"/>
      <c r="AU177" s="799"/>
      <c r="AV177" s="799"/>
      <c r="AW177" s="799"/>
      <c r="AX177" s="799"/>
      <c r="AY177" s="799"/>
      <c r="AZ177" s="799"/>
      <c r="BA177" s="799"/>
      <c r="BB177" s="799"/>
      <c r="BC177" s="799"/>
      <c r="BD177" s="799"/>
      <c r="BE177" s="799"/>
      <c r="BF177" s="799"/>
      <c r="BG177" s="799"/>
    </row>
    <row r="178">
      <c r="H178" s="799"/>
      <c r="I178" s="799"/>
      <c r="J178" s="799"/>
      <c r="K178" s="799"/>
      <c r="L178" s="799"/>
      <c r="M178" s="799"/>
      <c r="N178" s="799"/>
      <c r="O178" s="799"/>
      <c r="P178" s="799"/>
      <c r="Q178" s="799"/>
      <c r="R178" s="799"/>
      <c r="S178" s="799"/>
      <c r="T178" s="799"/>
      <c r="U178" s="799"/>
      <c r="V178" s="799"/>
      <c r="W178" s="799"/>
      <c r="X178" s="799"/>
      <c r="Y178" s="799"/>
      <c r="Z178" s="799"/>
      <c r="AA178" s="799"/>
      <c r="AB178" s="799"/>
      <c r="AC178" s="799"/>
      <c r="AD178" s="799"/>
      <c r="AE178" s="799"/>
      <c r="AF178" s="799"/>
      <c r="AG178" s="799"/>
      <c r="AH178" s="799"/>
      <c r="AI178" s="799"/>
      <c r="AJ178" s="799"/>
      <c r="AK178" s="799"/>
      <c r="AL178" s="799"/>
      <c r="AM178" s="799"/>
      <c r="AN178" s="799"/>
      <c r="AO178" s="799"/>
      <c r="AP178" s="799"/>
      <c r="AQ178" s="799"/>
      <c r="AR178" s="799"/>
      <c r="AS178" s="799"/>
      <c r="AT178" s="799"/>
      <c r="AU178" s="799"/>
      <c r="AV178" s="799"/>
      <c r="AW178" s="799"/>
      <c r="AX178" s="799"/>
      <c r="AY178" s="799"/>
      <c r="AZ178" s="799"/>
      <c r="BA178" s="799"/>
      <c r="BB178" s="799"/>
      <c r="BC178" s="799"/>
      <c r="BD178" s="799"/>
      <c r="BE178" s="799"/>
      <c r="BF178" s="799"/>
      <c r="BG178" s="799"/>
    </row>
    <row r="179">
      <c r="H179" s="799"/>
      <c r="I179" s="799"/>
      <c r="J179" s="799"/>
      <c r="K179" s="799"/>
      <c r="L179" s="799"/>
      <c r="M179" s="799"/>
      <c r="N179" s="799"/>
      <c r="O179" s="799"/>
      <c r="P179" s="799"/>
      <c r="Q179" s="799"/>
      <c r="R179" s="799"/>
      <c r="S179" s="799"/>
      <c r="T179" s="799"/>
      <c r="U179" s="799"/>
      <c r="V179" s="799"/>
      <c r="W179" s="799"/>
      <c r="X179" s="799"/>
      <c r="Y179" s="799"/>
      <c r="Z179" s="799"/>
      <c r="AA179" s="799"/>
      <c r="AB179" s="799"/>
      <c r="AC179" s="799"/>
      <c r="AD179" s="799"/>
      <c r="AE179" s="799"/>
      <c r="AF179" s="799"/>
      <c r="AG179" s="799"/>
      <c r="AH179" s="799"/>
      <c r="AI179" s="799"/>
      <c r="AJ179" s="799"/>
      <c r="AK179" s="799"/>
      <c r="AL179" s="799"/>
      <c r="AM179" s="799"/>
      <c r="AN179" s="799"/>
      <c r="AO179" s="799"/>
      <c r="AP179" s="799"/>
      <c r="AQ179" s="799"/>
      <c r="AR179" s="799"/>
      <c r="AS179" s="799"/>
      <c r="AT179" s="799"/>
      <c r="AU179" s="799"/>
      <c r="AV179" s="799"/>
      <c r="AW179" s="799"/>
      <c r="AX179" s="799"/>
      <c r="AY179" s="799"/>
      <c r="AZ179" s="799"/>
      <c r="BA179" s="799"/>
      <c r="BB179" s="799"/>
      <c r="BC179" s="799"/>
      <c r="BD179" s="799"/>
      <c r="BE179" s="799"/>
      <c r="BF179" s="799"/>
      <c r="BG179" s="799"/>
    </row>
    <row r="180">
      <c r="H180" s="799"/>
      <c r="I180" s="799"/>
      <c r="J180" s="799"/>
      <c r="K180" s="799"/>
      <c r="L180" s="799"/>
      <c r="M180" s="799"/>
      <c r="N180" s="799"/>
      <c r="O180" s="799"/>
      <c r="P180" s="799"/>
      <c r="Q180" s="799"/>
      <c r="R180" s="799"/>
      <c r="S180" s="799"/>
      <c r="T180" s="799"/>
      <c r="U180" s="799"/>
      <c r="V180" s="799"/>
      <c r="W180" s="799"/>
      <c r="X180" s="799"/>
      <c r="Y180" s="799"/>
      <c r="Z180" s="799"/>
      <c r="AA180" s="799"/>
      <c r="AB180" s="799"/>
      <c r="AC180" s="799"/>
      <c r="AD180" s="799"/>
      <c r="AE180" s="799"/>
      <c r="AF180" s="799"/>
      <c r="AG180" s="799"/>
      <c r="AH180" s="799"/>
      <c r="AI180" s="799"/>
      <c r="AJ180" s="799"/>
      <c r="AK180" s="799"/>
      <c r="AL180" s="799"/>
      <c r="AM180" s="799"/>
      <c r="AN180" s="799"/>
      <c r="AO180" s="799"/>
      <c r="AP180" s="799"/>
      <c r="AQ180" s="799"/>
      <c r="AR180" s="799"/>
      <c r="AS180" s="799"/>
      <c r="AT180" s="799"/>
      <c r="AU180" s="799"/>
      <c r="AV180" s="799"/>
      <c r="AW180" s="799"/>
      <c r="AX180" s="799"/>
      <c r="AY180" s="799"/>
      <c r="AZ180" s="799"/>
      <c r="BA180" s="799"/>
      <c r="BB180" s="799"/>
      <c r="BC180" s="799"/>
      <c r="BD180" s="799"/>
      <c r="BE180" s="799"/>
      <c r="BF180" s="799"/>
      <c r="BG180" s="799"/>
    </row>
    <row r="181">
      <c r="H181" s="799"/>
      <c r="I181" s="799"/>
      <c r="J181" s="799"/>
      <c r="K181" s="799"/>
      <c r="L181" s="799"/>
      <c r="M181" s="799"/>
      <c r="N181" s="799"/>
      <c r="O181" s="799"/>
      <c r="P181" s="799"/>
      <c r="Q181" s="799"/>
      <c r="R181" s="799"/>
      <c r="S181" s="799"/>
      <c r="T181" s="799"/>
      <c r="U181" s="799"/>
      <c r="V181" s="799"/>
      <c r="W181" s="799"/>
      <c r="X181" s="799"/>
      <c r="Y181" s="799"/>
      <c r="Z181" s="799"/>
      <c r="AA181" s="799"/>
      <c r="AB181" s="799"/>
      <c r="AC181" s="799"/>
      <c r="AD181" s="799"/>
      <c r="AE181" s="799"/>
      <c r="AF181" s="799"/>
      <c r="AG181" s="799"/>
      <c r="AH181" s="799"/>
      <c r="AI181" s="799"/>
      <c r="AJ181" s="799"/>
      <c r="AK181" s="799"/>
      <c r="AL181" s="799"/>
      <c r="AM181" s="799"/>
      <c r="AN181" s="799"/>
      <c r="AO181" s="799"/>
      <c r="AP181" s="799"/>
      <c r="AQ181" s="799"/>
      <c r="AR181" s="799"/>
      <c r="AS181" s="799"/>
      <c r="AT181" s="799"/>
      <c r="AU181" s="799"/>
      <c r="AV181" s="799"/>
      <c r="AW181" s="799"/>
      <c r="AX181" s="799"/>
      <c r="AY181" s="799"/>
      <c r="AZ181" s="799"/>
      <c r="BA181" s="799"/>
      <c r="BB181" s="799"/>
      <c r="BC181" s="799"/>
      <c r="BD181" s="799"/>
      <c r="BE181" s="799"/>
      <c r="BF181" s="799"/>
      <c r="BG181" s="799"/>
    </row>
    <row r="182">
      <c r="H182" s="799"/>
      <c r="I182" s="799"/>
      <c r="J182" s="799"/>
      <c r="K182" s="799"/>
      <c r="L182" s="799"/>
      <c r="M182" s="799"/>
      <c r="N182" s="799"/>
      <c r="O182" s="799"/>
      <c r="P182" s="799"/>
      <c r="Q182" s="799"/>
      <c r="R182" s="799"/>
      <c r="S182" s="799"/>
      <c r="T182" s="799"/>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99"/>
      <c r="AU182" s="799"/>
      <c r="AV182" s="799"/>
      <c r="AW182" s="799"/>
      <c r="AX182" s="799"/>
      <c r="AY182" s="799"/>
      <c r="AZ182" s="799"/>
      <c r="BA182" s="799"/>
      <c r="BB182" s="799"/>
      <c r="BC182" s="799"/>
      <c r="BD182" s="799"/>
      <c r="BE182" s="799"/>
      <c r="BF182" s="799"/>
      <c r="BG182" s="799"/>
    </row>
    <row r="183">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99"/>
      <c r="AU183" s="799"/>
      <c r="AV183" s="799"/>
      <c r="AW183" s="799"/>
      <c r="AX183" s="799"/>
      <c r="AY183" s="799"/>
      <c r="AZ183" s="799"/>
      <c r="BA183" s="799"/>
      <c r="BB183" s="799"/>
      <c r="BC183" s="799"/>
      <c r="BD183" s="799"/>
      <c r="BE183" s="799"/>
      <c r="BF183" s="799"/>
      <c r="BG183" s="799"/>
    </row>
    <row r="184">
      <c r="H184" s="799"/>
      <c r="I184" s="799"/>
      <c r="J184" s="799"/>
      <c r="K184" s="799"/>
      <c r="L184" s="799"/>
      <c r="M184" s="799"/>
      <c r="N184" s="799"/>
      <c r="O184" s="799"/>
      <c r="P184" s="799"/>
      <c r="Q184" s="799"/>
      <c r="R184" s="799"/>
      <c r="S184" s="799"/>
      <c r="T184" s="799"/>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99"/>
      <c r="AU184" s="799"/>
      <c r="AV184" s="799"/>
      <c r="AW184" s="799"/>
      <c r="AX184" s="799"/>
      <c r="AY184" s="799"/>
      <c r="AZ184" s="799"/>
      <c r="BA184" s="799"/>
      <c r="BB184" s="799"/>
      <c r="BC184" s="799"/>
      <c r="BD184" s="799"/>
      <c r="BE184" s="799"/>
      <c r="BF184" s="799"/>
      <c r="BG184" s="799"/>
    </row>
    <row r="185">
      <c r="H185" s="799"/>
      <c r="I185" s="799"/>
      <c r="J185" s="799"/>
      <c r="K185" s="799"/>
      <c r="L185" s="799"/>
      <c r="M185" s="799"/>
      <c r="N185" s="799"/>
      <c r="O185" s="799"/>
      <c r="P185" s="799"/>
      <c r="Q185" s="799"/>
      <c r="R185" s="799"/>
      <c r="S185" s="799"/>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99"/>
      <c r="AU185" s="799"/>
      <c r="AV185" s="799"/>
      <c r="AW185" s="799"/>
      <c r="AX185" s="799"/>
      <c r="AY185" s="799"/>
      <c r="AZ185" s="799"/>
      <c r="BA185" s="799"/>
      <c r="BB185" s="799"/>
      <c r="BC185" s="799"/>
      <c r="BD185" s="799"/>
      <c r="BE185" s="799"/>
      <c r="BF185" s="799"/>
      <c r="BG185" s="799"/>
    </row>
    <row r="186">
      <c r="H186" s="799"/>
      <c r="I186" s="799"/>
      <c r="J186" s="799"/>
      <c r="K186" s="799"/>
      <c r="L186" s="799"/>
      <c r="M186" s="799"/>
      <c r="N186" s="799"/>
      <c r="O186" s="799"/>
      <c r="P186" s="799"/>
      <c r="Q186" s="799"/>
      <c r="R186" s="799"/>
      <c r="S186" s="799"/>
      <c r="T186" s="799"/>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99"/>
      <c r="AU186" s="799"/>
      <c r="AV186" s="799"/>
      <c r="AW186" s="799"/>
      <c r="AX186" s="799"/>
      <c r="AY186" s="799"/>
      <c r="AZ186" s="799"/>
      <c r="BA186" s="799"/>
      <c r="BB186" s="799"/>
      <c r="BC186" s="799"/>
      <c r="BD186" s="799"/>
      <c r="BE186" s="799"/>
      <c r="BF186" s="799"/>
      <c r="BG186" s="799"/>
    </row>
    <row r="187">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row>
    <row r="188">
      <c r="H188" s="799"/>
      <c r="I188" s="799"/>
      <c r="J188" s="799"/>
      <c r="K188" s="799"/>
      <c r="L188" s="799"/>
      <c r="M188" s="799"/>
      <c r="N188" s="799"/>
      <c r="O188" s="799"/>
      <c r="P188" s="799"/>
      <c r="Q188" s="799"/>
      <c r="R188" s="799"/>
      <c r="S188" s="799"/>
      <c r="T188" s="799"/>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99"/>
      <c r="AU188" s="799"/>
      <c r="AV188" s="799"/>
      <c r="AW188" s="799"/>
      <c r="AX188" s="799"/>
      <c r="AY188" s="799"/>
      <c r="AZ188" s="799"/>
      <c r="BA188" s="799"/>
      <c r="BB188" s="799"/>
      <c r="BC188" s="799"/>
      <c r="BD188" s="799"/>
      <c r="BE188" s="799"/>
      <c r="BF188" s="799"/>
      <c r="BG188" s="799"/>
    </row>
    <row r="18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99"/>
      <c r="AU189" s="799"/>
      <c r="AV189" s="799"/>
      <c r="AW189" s="799"/>
      <c r="AX189" s="799"/>
      <c r="AY189" s="799"/>
      <c r="AZ189" s="799"/>
      <c r="BA189" s="799"/>
      <c r="BB189" s="799"/>
      <c r="BC189" s="799"/>
      <c r="BD189" s="799"/>
      <c r="BE189" s="799"/>
      <c r="BF189" s="799"/>
      <c r="BG189" s="799"/>
    </row>
    <row r="190">
      <c r="H190" s="799"/>
      <c r="I190" s="799"/>
      <c r="J190" s="799"/>
      <c r="K190" s="799"/>
      <c r="L190" s="799"/>
      <c r="M190" s="799"/>
      <c r="N190" s="799"/>
      <c r="O190" s="799"/>
      <c r="P190" s="799"/>
      <c r="Q190" s="799"/>
      <c r="R190" s="799"/>
      <c r="S190" s="799"/>
      <c r="T190" s="799"/>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99"/>
      <c r="AU190" s="799"/>
      <c r="AV190" s="799"/>
      <c r="AW190" s="799"/>
      <c r="AX190" s="799"/>
      <c r="AY190" s="799"/>
      <c r="AZ190" s="799"/>
      <c r="BA190" s="799"/>
      <c r="BB190" s="799"/>
      <c r="BC190" s="799"/>
      <c r="BD190" s="799"/>
      <c r="BE190" s="799"/>
      <c r="BF190" s="799"/>
      <c r="BG190" s="799"/>
    </row>
    <row r="191">
      <c r="H191" s="799"/>
      <c r="I191" s="799"/>
      <c r="J191" s="799"/>
      <c r="K191" s="799"/>
      <c r="L191" s="799"/>
      <c r="M191" s="799"/>
      <c r="N191" s="799"/>
      <c r="O191" s="799"/>
      <c r="P191" s="799"/>
      <c r="Q191" s="799"/>
      <c r="R191" s="799"/>
      <c r="S191" s="799"/>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99"/>
      <c r="AU191" s="799"/>
      <c r="AV191" s="799"/>
      <c r="AW191" s="799"/>
      <c r="AX191" s="799"/>
      <c r="AY191" s="799"/>
      <c r="AZ191" s="799"/>
      <c r="BA191" s="799"/>
      <c r="BB191" s="799"/>
      <c r="BC191" s="799"/>
      <c r="BD191" s="799"/>
      <c r="BE191" s="799"/>
      <c r="BF191" s="799"/>
      <c r="BG191" s="799"/>
    </row>
    <row r="192">
      <c r="H192" s="799"/>
      <c r="I192" s="799"/>
      <c r="J192" s="799"/>
      <c r="K192" s="799"/>
      <c r="L192" s="799"/>
      <c r="M192" s="799"/>
      <c r="N192" s="799"/>
      <c r="O192" s="799"/>
      <c r="P192" s="799"/>
      <c r="Q192" s="799"/>
      <c r="R192" s="799"/>
      <c r="S192" s="799"/>
      <c r="T192" s="799"/>
      <c r="U192" s="799"/>
      <c r="V192" s="799"/>
      <c r="W192" s="799"/>
      <c r="X192" s="799"/>
      <c r="Y192" s="799"/>
      <c r="Z192" s="799"/>
      <c r="AA192" s="799"/>
      <c r="AB192" s="799"/>
      <c r="AC192" s="799"/>
      <c r="AD192" s="799"/>
      <c r="AE192" s="799"/>
      <c r="AF192" s="799"/>
      <c r="AG192" s="799"/>
      <c r="AH192" s="799"/>
      <c r="AI192" s="799"/>
      <c r="AJ192" s="799"/>
      <c r="AK192" s="799"/>
      <c r="AL192" s="799"/>
      <c r="AM192" s="799"/>
      <c r="AN192" s="799"/>
      <c r="AO192" s="799"/>
      <c r="AP192" s="799"/>
      <c r="AQ192" s="799"/>
      <c r="AR192" s="799"/>
      <c r="AS192" s="799"/>
      <c r="AT192" s="799"/>
      <c r="AU192" s="799"/>
      <c r="AV192" s="799"/>
      <c r="AW192" s="799"/>
      <c r="AX192" s="799"/>
      <c r="AY192" s="799"/>
      <c r="AZ192" s="799"/>
      <c r="BA192" s="799"/>
      <c r="BB192" s="799"/>
      <c r="BC192" s="799"/>
      <c r="BD192" s="799"/>
      <c r="BE192" s="799"/>
      <c r="BF192" s="799"/>
      <c r="BG192" s="799"/>
    </row>
    <row r="193">
      <c r="H193" s="799"/>
      <c r="I193" s="799"/>
      <c r="J193" s="799"/>
      <c r="K193" s="799"/>
      <c r="L193" s="799"/>
      <c r="M193" s="799"/>
      <c r="N193" s="799"/>
      <c r="O193" s="799"/>
      <c r="P193" s="799"/>
      <c r="Q193" s="799"/>
      <c r="R193" s="799"/>
      <c r="S193" s="799"/>
      <c r="T193" s="799"/>
      <c r="U193" s="799"/>
      <c r="V193" s="799"/>
      <c r="W193" s="799"/>
      <c r="X193" s="799"/>
      <c r="Y193" s="799"/>
      <c r="Z193" s="799"/>
      <c r="AA193" s="799"/>
      <c r="AB193" s="799"/>
      <c r="AC193" s="799"/>
      <c r="AD193" s="799"/>
      <c r="AE193" s="799"/>
      <c r="AF193" s="799"/>
      <c r="AG193" s="799"/>
      <c r="AH193" s="799"/>
      <c r="AI193" s="799"/>
      <c r="AJ193" s="799"/>
      <c r="AK193" s="799"/>
      <c r="AL193" s="799"/>
      <c r="AM193" s="799"/>
      <c r="AN193" s="799"/>
      <c r="AO193" s="799"/>
      <c r="AP193" s="799"/>
      <c r="AQ193" s="799"/>
      <c r="AR193" s="799"/>
      <c r="AS193" s="799"/>
      <c r="AT193" s="799"/>
      <c r="AU193" s="799"/>
      <c r="AV193" s="799"/>
      <c r="AW193" s="799"/>
      <c r="AX193" s="799"/>
      <c r="AY193" s="799"/>
      <c r="AZ193" s="799"/>
      <c r="BA193" s="799"/>
      <c r="BB193" s="799"/>
      <c r="BC193" s="799"/>
      <c r="BD193" s="799"/>
      <c r="BE193" s="799"/>
      <c r="BF193" s="799"/>
      <c r="BG193" s="799"/>
    </row>
    <row r="194">
      <c r="H194" s="799"/>
      <c r="I194" s="799"/>
      <c r="J194" s="799"/>
      <c r="K194" s="799"/>
      <c r="L194" s="799"/>
      <c r="M194" s="799"/>
      <c r="N194" s="799"/>
      <c r="O194" s="799"/>
      <c r="P194" s="799"/>
      <c r="Q194" s="799"/>
      <c r="R194" s="799"/>
      <c r="S194" s="799"/>
      <c r="T194" s="799"/>
      <c r="U194" s="799"/>
      <c r="V194" s="799"/>
      <c r="W194" s="799"/>
      <c r="X194" s="799"/>
      <c r="Y194" s="799"/>
      <c r="Z194" s="799"/>
      <c r="AA194" s="799"/>
      <c r="AB194" s="799"/>
      <c r="AC194" s="799"/>
      <c r="AD194" s="799"/>
      <c r="AE194" s="799"/>
      <c r="AF194" s="799"/>
      <c r="AG194" s="799"/>
      <c r="AH194" s="799"/>
      <c r="AI194" s="799"/>
      <c r="AJ194" s="799"/>
      <c r="AK194" s="799"/>
      <c r="AL194" s="799"/>
      <c r="AM194" s="799"/>
      <c r="AN194" s="799"/>
      <c r="AO194" s="799"/>
      <c r="AP194" s="799"/>
      <c r="AQ194" s="799"/>
      <c r="AR194" s="799"/>
      <c r="AS194" s="799"/>
      <c r="AT194" s="799"/>
      <c r="AU194" s="799"/>
      <c r="AV194" s="799"/>
      <c r="AW194" s="799"/>
      <c r="AX194" s="799"/>
      <c r="AY194" s="799"/>
      <c r="AZ194" s="799"/>
      <c r="BA194" s="799"/>
      <c r="BB194" s="799"/>
      <c r="BC194" s="799"/>
      <c r="BD194" s="799"/>
      <c r="BE194" s="799"/>
      <c r="BF194" s="799"/>
      <c r="BG194" s="799"/>
    </row>
    <row r="195">
      <c r="H195" s="799"/>
      <c r="I195" s="799"/>
      <c r="J195" s="799"/>
      <c r="K195" s="799"/>
      <c r="L195" s="799"/>
      <c r="M195" s="799"/>
      <c r="N195" s="799"/>
      <c r="O195" s="799"/>
      <c r="P195" s="799"/>
      <c r="Q195" s="799"/>
      <c r="R195" s="799"/>
      <c r="S195" s="799"/>
      <c r="T195" s="799"/>
      <c r="U195" s="799"/>
      <c r="V195" s="799"/>
      <c r="W195" s="799"/>
      <c r="X195" s="799"/>
      <c r="Y195" s="799"/>
      <c r="Z195" s="799"/>
      <c r="AA195" s="799"/>
      <c r="AB195" s="799"/>
      <c r="AC195" s="799"/>
      <c r="AD195" s="799"/>
      <c r="AE195" s="799"/>
      <c r="AF195" s="799"/>
      <c r="AG195" s="799"/>
      <c r="AH195" s="799"/>
      <c r="AI195" s="799"/>
      <c r="AJ195" s="799"/>
      <c r="AK195" s="799"/>
      <c r="AL195" s="799"/>
      <c r="AM195" s="799"/>
      <c r="AN195" s="799"/>
      <c r="AO195" s="799"/>
      <c r="AP195" s="799"/>
      <c r="AQ195" s="799"/>
      <c r="AR195" s="799"/>
      <c r="AS195" s="799"/>
      <c r="AT195" s="799"/>
      <c r="AU195" s="799"/>
      <c r="AV195" s="799"/>
      <c r="AW195" s="799"/>
      <c r="AX195" s="799"/>
      <c r="AY195" s="799"/>
      <c r="AZ195" s="799"/>
      <c r="BA195" s="799"/>
      <c r="BB195" s="799"/>
      <c r="BC195" s="799"/>
      <c r="BD195" s="799"/>
      <c r="BE195" s="799"/>
      <c r="BF195" s="799"/>
      <c r="BG195" s="799"/>
    </row>
    <row r="196">
      <c r="H196" s="799"/>
      <c r="I196" s="799"/>
      <c r="J196" s="799"/>
      <c r="K196" s="799"/>
      <c r="L196" s="799"/>
      <c r="M196" s="799"/>
      <c r="N196" s="799"/>
      <c r="O196" s="799"/>
      <c r="P196" s="799"/>
      <c r="Q196" s="799"/>
      <c r="R196" s="799"/>
      <c r="S196" s="799"/>
      <c r="T196" s="799"/>
      <c r="U196" s="799"/>
      <c r="V196" s="799"/>
      <c r="W196" s="799"/>
      <c r="X196" s="799"/>
      <c r="Y196" s="799"/>
      <c r="Z196" s="799"/>
      <c r="AA196" s="799"/>
      <c r="AB196" s="799"/>
      <c r="AC196" s="799"/>
      <c r="AD196" s="799"/>
      <c r="AE196" s="799"/>
      <c r="AF196" s="799"/>
      <c r="AG196" s="799"/>
      <c r="AH196" s="799"/>
      <c r="AI196" s="799"/>
      <c r="AJ196" s="799"/>
      <c r="AK196" s="799"/>
      <c r="AL196" s="799"/>
      <c r="AM196" s="799"/>
      <c r="AN196" s="799"/>
      <c r="AO196" s="799"/>
      <c r="AP196" s="799"/>
      <c r="AQ196" s="799"/>
      <c r="AR196" s="799"/>
      <c r="AS196" s="799"/>
      <c r="AT196" s="799"/>
      <c r="AU196" s="799"/>
      <c r="AV196" s="799"/>
      <c r="AW196" s="799"/>
      <c r="AX196" s="799"/>
      <c r="AY196" s="799"/>
      <c r="AZ196" s="799"/>
      <c r="BA196" s="799"/>
      <c r="BB196" s="799"/>
      <c r="BC196" s="799"/>
      <c r="BD196" s="799"/>
      <c r="BE196" s="799"/>
      <c r="BF196" s="799"/>
      <c r="BG196" s="799"/>
    </row>
    <row r="197">
      <c r="H197" s="799"/>
      <c r="I197" s="799"/>
      <c r="J197" s="799"/>
      <c r="K197" s="799"/>
      <c r="L197" s="799"/>
      <c r="M197" s="799"/>
      <c r="N197" s="799"/>
      <c r="O197" s="799"/>
      <c r="P197" s="799"/>
      <c r="Q197" s="799"/>
      <c r="R197" s="799"/>
      <c r="S197" s="799"/>
      <c r="T197" s="799"/>
      <c r="U197" s="799"/>
      <c r="V197" s="799"/>
      <c r="W197" s="799"/>
      <c r="X197" s="799"/>
      <c r="Y197" s="799"/>
      <c r="Z197" s="799"/>
      <c r="AA197" s="799"/>
      <c r="AB197" s="799"/>
      <c r="AC197" s="799"/>
      <c r="AD197" s="799"/>
      <c r="AE197" s="799"/>
      <c r="AF197" s="799"/>
      <c r="AG197" s="799"/>
      <c r="AH197" s="799"/>
      <c r="AI197" s="799"/>
      <c r="AJ197" s="799"/>
      <c r="AK197" s="799"/>
      <c r="AL197" s="799"/>
      <c r="AM197" s="799"/>
      <c r="AN197" s="799"/>
      <c r="AO197" s="799"/>
      <c r="AP197" s="799"/>
      <c r="AQ197" s="799"/>
      <c r="AR197" s="799"/>
      <c r="AS197" s="799"/>
      <c r="AT197" s="799"/>
      <c r="AU197" s="799"/>
      <c r="AV197" s="799"/>
      <c r="AW197" s="799"/>
      <c r="AX197" s="799"/>
      <c r="AY197" s="799"/>
      <c r="AZ197" s="799"/>
      <c r="BA197" s="799"/>
      <c r="BB197" s="799"/>
      <c r="BC197" s="799"/>
      <c r="BD197" s="799"/>
      <c r="BE197" s="799"/>
      <c r="BF197" s="799"/>
      <c r="BG197" s="799"/>
    </row>
    <row r="198">
      <c r="H198" s="799"/>
      <c r="I198" s="799"/>
      <c r="J198" s="799"/>
      <c r="K198" s="799"/>
      <c r="L198" s="799"/>
      <c r="M198" s="799"/>
      <c r="N198" s="799"/>
      <c r="O198" s="799"/>
      <c r="P198" s="799"/>
      <c r="Q198" s="799"/>
      <c r="R198" s="799"/>
      <c r="S198" s="799"/>
      <c r="T198" s="799"/>
      <c r="U198" s="799"/>
      <c r="V198" s="799"/>
      <c r="W198" s="799"/>
      <c r="X198" s="799"/>
      <c r="Y198" s="799"/>
      <c r="Z198" s="799"/>
      <c r="AA198" s="799"/>
      <c r="AB198" s="799"/>
      <c r="AC198" s="799"/>
      <c r="AD198" s="799"/>
      <c r="AE198" s="799"/>
      <c r="AF198" s="799"/>
      <c r="AG198" s="799"/>
      <c r="AH198" s="799"/>
      <c r="AI198" s="799"/>
      <c r="AJ198" s="799"/>
      <c r="AK198" s="799"/>
      <c r="AL198" s="799"/>
      <c r="AM198" s="799"/>
      <c r="AN198" s="799"/>
      <c r="AO198" s="799"/>
      <c r="AP198" s="799"/>
      <c r="AQ198" s="799"/>
      <c r="AR198" s="799"/>
      <c r="AS198" s="799"/>
      <c r="AT198" s="799"/>
      <c r="AU198" s="799"/>
      <c r="AV198" s="799"/>
      <c r="AW198" s="799"/>
      <c r="AX198" s="799"/>
      <c r="AY198" s="799"/>
      <c r="AZ198" s="799"/>
      <c r="BA198" s="799"/>
      <c r="BB198" s="799"/>
      <c r="BC198" s="799"/>
      <c r="BD198" s="799"/>
      <c r="BE198" s="799"/>
      <c r="BF198" s="799"/>
      <c r="BG198" s="799"/>
    </row>
    <row r="199">
      <c r="H199" s="799"/>
      <c r="I199" s="799"/>
      <c r="J199" s="799"/>
      <c r="K199" s="799"/>
      <c r="L199" s="799"/>
      <c r="M199" s="799"/>
      <c r="N199" s="799"/>
      <c r="O199" s="799"/>
      <c r="P199" s="799"/>
      <c r="Q199" s="799"/>
      <c r="R199" s="799"/>
      <c r="S199" s="799"/>
      <c r="T199" s="799"/>
      <c r="U199" s="799"/>
      <c r="V199" s="799"/>
      <c r="W199" s="799"/>
      <c r="X199" s="799"/>
      <c r="Y199" s="799"/>
      <c r="Z199" s="799"/>
      <c r="AA199" s="799"/>
      <c r="AB199" s="799"/>
      <c r="AC199" s="799"/>
      <c r="AD199" s="799"/>
      <c r="AE199" s="799"/>
      <c r="AF199" s="799"/>
      <c r="AG199" s="799"/>
      <c r="AH199" s="799"/>
      <c r="AI199" s="799"/>
      <c r="AJ199" s="799"/>
      <c r="AK199" s="799"/>
      <c r="AL199" s="799"/>
      <c r="AM199" s="799"/>
      <c r="AN199" s="799"/>
      <c r="AO199" s="799"/>
      <c r="AP199" s="799"/>
      <c r="AQ199" s="799"/>
      <c r="AR199" s="799"/>
      <c r="AS199" s="799"/>
      <c r="AT199" s="799"/>
      <c r="AU199" s="799"/>
      <c r="AV199" s="799"/>
      <c r="AW199" s="799"/>
      <c r="AX199" s="799"/>
      <c r="AY199" s="799"/>
      <c r="AZ199" s="799"/>
      <c r="BA199" s="799"/>
      <c r="BB199" s="799"/>
      <c r="BC199" s="799"/>
      <c r="BD199" s="799"/>
      <c r="BE199" s="799"/>
      <c r="BF199" s="799"/>
      <c r="BG199" s="799"/>
    </row>
    <row r="200">
      <c r="H200" s="799"/>
      <c r="I200" s="799"/>
      <c r="J200" s="799"/>
      <c r="K200" s="799"/>
      <c r="L200" s="799"/>
      <c r="M200" s="799"/>
      <c r="N200" s="799"/>
      <c r="O200" s="799"/>
      <c r="P200" s="799"/>
      <c r="Q200" s="799"/>
      <c r="R200" s="799"/>
      <c r="S200" s="799"/>
      <c r="T200" s="799"/>
      <c r="U200" s="799"/>
      <c r="V200" s="799"/>
      <c r="W200" s="799"/>
      <c r="X200" s="799"/>
      <c r="Y200" s="799"/>
      <c r="Z200" s="799"/>
      <c r="AA200" s="799"/>
      <c r="AB200" s="799"/>
      <c r="AC200" s="799"/>
      <c r="AD200" s="799"/>
      <c r="AE200" s="799"/>
      <c r="AF200" s="799"/>
      <c r="AG200" s="799"/>
      <c r="AH200" s="799"/>
      <c r="AI200" s="799"/>
      <c r="AJ200" s="799"/>
      <c r="AK200" s="799"/>
      <c r="AL200" s="799"/>
      <c r="AM200" s="799"/>
      <c r="AN200" s="799"/>
      <c r="AO200" s="799"/>
      <c r="AP200" s="799"/>
      <c r="AQ200" s="799"/>
      <c r="AR200" s="799"/>
      <c r="AS200" s="799"/>
      <c r="AT200" s="799"/>
      <c r="AU200" s="799"/>
      <c r="AV200" s="799"/>
      <c r="AW200" s="799"/>
      <c r="AX200" s="799"/>
      <c r="AY200" s="799"/>
      <c r="AZ200" s="799"/>
      <c r="BA200" s="799"/>
      <c r="BB200" s="799"/>
      <c r="BC200" s="799"/>
      <c r="BD200" s="799"/>
      <c r="BE200" s="799"/>
      <c r="BF200" s="799"/>
      <c r="BG200" s="799"/>
    </row>
    <row r="201">
      <c r="H201" s="799"/>
      <c r="I201" s="799"/>
      <c r="J201" s="799"/>
      <c r="K201" s="799"/>
      <c r="L201" s="799"/>
      <c r="M201" s="799"/>
      <c r="N201" s="799"/>
      <c r="O201" s="799"/>
      <c r="P201" s="799"/>
      <c r="Q201" s="799"/>
      <c r="R201" s="799"/>
      <c r="S201" s="799"/>
      <c r="T201" s="799"/>
      <c r="U201" s="799"/>
      <c r="V201" s="799"/>
      <c r="W201" s="799"/>
      <c r="X201" s="799"/>
      <c r="Y201" s="799"/>
      <c r="Z201" s="799"/>
      <c r="AA201" s="799"/>
      <c r="AB201" s="799"/>
      <c r="AC201" s="799"/>
      <c r="AD201" s="799"/>
      <c r="AE201" s="799"/>
      <c r="AF201" s="799"/>
      <c r="AG201" s="799"/>
      <c r="AH201" s="799"/>
      <c r="AI201" s="799"/>
      <c r="AJ201" s="799"/>
      <c r="AK201" s="799"/>
      <c r="AL201" s="799"/>
      <c r="AM201" s="799"/>
      <c r="AN201" s="799"/>
      <c r="AO201" s="799"/>
      <c r="AP201" s="799"/>
      <c r="AQ201" s="799"/>
      <c r="AR201" s="799"/>
      <c r="AS201" s="799"/>
      <c r="AT201" s="799"/>
      <c r="AU201" s="799"/>
      <c r="AV201" s="799"/>
      <c r="AW201" s="799"/>
      <c r="AX201" s="799"/>
      <c r="AY201" s="799"/>
      <c r="AZ201" s="799"/>
      <c r="BA201" s="799"/>
      <c r="BB201" s="799"/>
      <c r="BC201" s="799"/>
      <c r="BD201" s="799"/>
      <c r="BE201" s="799"/>
      <c r="BF201" s="799"/>
      <c r="BG201" s="799"/>
    </row>
    <row r="202">
      <c r="H202" s="799"/>
      <c r="I202" s="799"/>
      <c r="J202" s="799"/>
      <c r="K202" s="799"/>
      <c r="L202" s="799"/>
      <c r="M202" s="799"/>
      <c r="N202" s="799"/>
      <c r="O202" s="799"/>
      <c r="P202" s="799"/>
      <c r="Q202" s="799"/>
      <c r="R202" s="799"/>
      <c r="S202" s="799"/>
      <c r="T202" s="799"/>
      <c r="U202" s="799"/>
      <c r="V202" s="799"/>
      <c r="W202" s="799"/>
      <c r="X202" s="799"/>
      <c r="Y202" s="799"/>
      <c r="Z202" s="799"/>
      <c r="AA202" s="799"/>
      <c r="AB202" s="799"/>
      <c r="AC202" s="799"/>
      <c r="AD202" s="799"/>
      <c r="AE202" s="799"/>
      <c r="AF202" s="799"/>
      <c r="AG202" s="799"/>
      <c r="AH202" s="799"/>
      <c r="AI202" s="799"/>
      <c r="AJ202" s="799"/>
      <c r="AK202" s="799"/>
      <c r="AL202" s="799"/>
      <c r="AM202" s="799"/>
      <c r="AN202" s="799"/>
      <c r="AO202" s="799"/>
      <c r="AP202" s="799"/>
      <c r="AQ202" s="799"/>
      <c r="AR202" s="799"/>
      <c r="AS202" s="799"/>
      <c r="AT202" s="799"/>
      <c r="AU202" s="799"/>
      <c r="AV202" s="799"/>
      <c r="AW202" s="799"/>
      <c r="AX202" s="799"/>
      <c r="AY202" s="799"/>
      <c r="AZ202" s="799"/>
      <c r="BA202" s="799"/>
      <c r="BB202" s="799"/>
      <c r="BC202" s="799"/>
      <c r="BD202" s="799"/>
      <c r="BE202" s="799"/>
      <c r="BF202" s="799"/>
      <c r="BG202" s="799"/>
    </row>
    <row r="203">
      <c r="H203" s="799"/>
      <c r="I203" s="799"/>
      <c r="J203" s="799"/>
      <c r="K203" s="799"/>
      <c r="L203" s="799"/>
      <c r="M203" s="799"/>
      <c r="N203" s="799"/>
      <c r="O203" s="799"/>
      <c r="P203" s="799"/>
      <c r="Q203" s="799"/>
      <c r="R203" s="799"/>
      <c r="S203" s="799"/>
      <c r="T203" s="799"/>
      <c r="U203" s="799"/>
      <c r="V203" s="799"/>
      <c r="W203" s="799"/>
      <c r="X203" s="799"/>
      <c r="Y203" s="799"/>
      <c r="Z203" s="799"/>
      <c r="AA203" s="799"/>
      <c r="AB203" s="799"/>
      <c r="AC203" s="799"/>
      <c r="AD203" s="799"/>
      <c r="AE203" s="799"/>
      <c r="AF203" s="799"/>
      <c r="AG203" s="799"/>
      <c r="AH203" s="799"/>
      <c r="AI203" s="799"/>
      <c r="AJ203" s="799"/>
      <c r="AK203" s="799"/>
      <c r="AL203" s="799"/>
      <c r="AM203" s="799"/>
      <c r="AN203" s="799"/>
      <c r="AO203" s="799"/>
      <c r="AP203" s="799"/>
      <c r="AQ203" s="799"/>
      <c r="AR203" s="799"/>
      <c r="AS203" s="799"/>
      <c r="AT203" s="799"/>
      <c r="AU203" s="799"/>
      <c r="AV203" s="799"/>
      <c r="AW203" s="799"/>
      <c r="AX203" s="799"/>
      <c r="AY203" s="799"/>
      <c r="AZ203" s="799"/>
      <c r="BA203" s="799"/>
      <c r="BB203" s="799"/>
      <c r="BC203" s="799"/>
      <c r="BD203" s="799"/>
      <c r="BE203" s="799"/>
      <c r="BF203" s="799"/>
      <c r="BG203" s="799"/>
    </row>
    <row r="204">
      <c r="H204" s="799"/>
      <c r="I204" s="799"/>
      <c r="J204" s="799"/>
      <c r="K204" s="799"/>
      <c r="L204" s="799"/>
      <c r="M204" s="799"/>
      <c r="N204" s="799"/>
      <c r="O204" s="799"/>
      <c r="P204" s="799"/>
      <c r="Q204" s="799"/>
      <c r="R204" s="799"/>
      <c r="S204" s="799"/>
      <c r="T204" s="799"/>
      <c r="U204" s="799"/>
      <c r="V204" s="799"/>
      <c r="W204" s="799"/>
      <c r="X204" s="799"/>
      <c r="Y204" s="799"/>
      <c r="Z204" s="799"/>
      <c r="AA204" s="799"/>
      <c r="AB204" s="799"/>
      <c r="AC204" s="799"/>
      <c r="AD204" s="799"/>
      <c r="AE204" s="799"/>
      <c r="AF204" s="799"/>
      <c r="AG204" s="799"/>
      <c r="AH204" s="799"/>
      <c r="AI204" s="799"/>
      <c r="AJ204" s="799"/>
      <c r="AK204" s="799"/>
      <c r="AL204" s="799"/>
      <c r="AM204" s="799"/>
      <c r="AN204" s="799"/>
      <c r="AO204" s="799"/>
      <c r="AP204" s="799"/>
      <c r="AQ204" s="799"/>
      <c r="AR204" s="799"/>
      <c r="AS204" s="799"/>
      <c r="AT204" s="799"/>
      <c r="AU204" s="799"/>
      <c r="AV204" s="799"/>
      <c r="AW204" s="799"/>
      <c r="AX204" s="799"/>
      <c r="AY204" s="799"/>
      <c r="AZ204" s="799"/>
      <c r="BA204" s="799"/>
      <c r="BB204" s="799"/>
      <c r="BC204" s="799"/>
      <c r="BD204" s="799"/>
      <c r="BE204" s="799"/>
      <c r="BF204" s="799"/>
      <c r="BG204" s="799"/>
    </row>
    <row r="205">
      <c r="H205" s="799"/>
      <c r="I205" s="799"/>
      <c r="J205" s="799"/>
      <c r="K205" s="799"/>
      <c r="L205" s="799"/>
      <c r="M205" s="799"/>
      <c r="N205" s="799"/>
      <c r="O205" s="799"/>
      <c r="P205" s="799"/>
      <c r="Q205" s="799"/>
      <c r="R205" s="799"/>
      <c r="S205" s="799"/>
      <c r="T205" s="799"/>
      <c r="U205" s="799"/>
      <c r="V205" s="799"/>
      <c r="W205" s="799"/>
      <c r="X205" s="799"/>
      <c r="Y205" s="799"/>
      <c r="Z205" s="799"/>
      <c r="AA205" s="799"/>
      <c r="AB205" s="799"/>
      <c r="AC205" s="799"/>
      <c r="AD205" s="799"/>
      <c r="AE205" s="799"/>
      <c r="AF205" s="799"/>
      <c r="AG205" s="799"/>
      <c r="AH205" s="799"/>
      <c r="AI205" s="799"/>
      <c r="AJ205" s="799"/>
      <c r="AK205" s="799"/>
      <c r="AL205" s="799"/>
      <c r="AM205" s="799"/>
      <c r="AN205" s="799"/>
      <c r="AO205" s="799"/>
      <c r="AP205" s="799"/>
      <c r="AQ205" s="799"/>
      <c r="AR205" s="799"/>
      <c r="AS205" s="799"/>
      <c r="AT205" s="799"/>
      <c r="AU205" s="799"/>
      <c r="AV205" s="799"/>
      <c r="AW205" s="799"/>
      <c r="AX205" s="799"/>
      <c r="AY205" s="799"/>
      <c r="AZ205" s="799"/>
      <c r="BA205" s="799"/>
      <c r="BB205" s="799"/>
      <c r="BC205" s="799"/>
      <c r="BD205" s="799"/>
      <c r="BE205" s="799"/>
      <c r="BF205" s="799"/>
      <c r="BG205" s="799"/>
    </row>
    <row r="206">
      <c r="H206" s="799"/>
      <c r="I206" s="799"/>
      <c r="J206" s="799"/>
      <c r="K206" s="799"/>
      <c r="L206" s="799"/>
      <c r="M206" s="799"/>
      <c r="N206" s="799"/>
      <c r="O206" s="799"/>
      <c r="P206" s="799"/>
      <c r="Q206" s="799"/>
      <c r="R206" s="799"/>
      <c r="S206" s="799"/>
      <c r="T206" s="799"/>
      <c r="U206" s="799"/>
      <c r="V206" s="799"/>
      <c r="W206" s="799"/>
      <c r="X206" s="799"/>
      <c r="Y206" s="799"/>
      <c r="Z206" s="799"/>
      <c r="AA206" s="799"/>
      <c r="AB206" s="799"/>
      <c r="AC206" s="799"/>
      <c r="AD206" s="799"/>
      <c r="AE206" s="799"/>
      <c r="AF206" s="799"/>
      <c r="AG206" s="799"/>
      <c r="AH206" s="799"/>
      <c r="AI206" s="799"/>
      <c r="AJ206" s="799"/>
      <c r="AK206" s="799"/>
      <c r="AL206" s="799"/>
      <c r="AM206" s="799"/>
      <c r="AN206" s="799"/>
      <c r="AO206" s="799"/>
      <c r="AP206" s="799"/>
      <c r="AQ206" s="799"/>
      <c r="AR206" s="799"/>
      <c r="AS206" s="799"/>
      <c r="AT206" s="799"/>
      <c r="AU206" s="799"/>
      <c r="AV206" s="799"/>
      <c r="AW206" s="799"/>
      <c r="AX206" s="799"/>
      <c r="AY206" s="799"/>
      <c r="AZ206" s="799"/>
      <c r="BA206" s="799"/>
      <c r="BB206" s="799"/>
      <c r="BC206" s="799"/>
      <c r="BD206" s="799"/>
      <c r="BE206" s="799"/>
      <c r="BF206" s="799"/>
      <c r="BG206" s="799"/>
    </row>
    <row r="207">
      <c r="H207" s="799"/>
      <c r="I207" s="799"/>
      <c r="J207" s="799"/>
      <c r="K207" s="799"/>
      <c r="L207" s="799"/>
      <c r="M207" s="799"/>
      <c r="N207" s="799"/>
      <c r="O207" s="799"/>
      <c r="P207" s="799"/>
      <c r="Q207" s="799"/>
      <c r="R207" s="799"/>
      <c r="S207" s="799"/>
      <c r="T207" s="799"/>
      <c r="U207" s="799"/>
      <c r="V207" s="799"/>
      <c r="W207" s="799"/>
      <c r="X207" s="799"/>
      <c r="Y207" s="799"/>
      <c r="Z207" s="799"/>
      <c r="AA207" s="799"/>
      <c r="AB207" s="799"/>
      <c r="AC207" s="799"/>
      <c r="AD207" s="799"/>
      <c r="AE207" s="799"/>
      <c r="AF207" s="799"/>
      <c r="AG207" s="799"/>
      <c r="AH207" s="799"/>
      <c r="AI207" s="799"/>
      <c r="AJ207" s="799"/>
      <c r="AK207" s="799"/>
      <c r="AL207" s="799"/>
      <c r="AM207" s="799"/>
      <c r="AN207" s="799"/>
      <c r="AO207" s="799"/>
      <c r="AP207" s="799"/>
      <c r="AQ207" s="799"/>
      <c r="AR207" s="799"/>
      <c r="AS207" s="799"/>
      <c r="AT207" s="799"/>
      <c r="AU207" s="799"/>
      <c r="AV207" s="799"/>
      <c r="AW207" s="799"/>
      <c r="AX207" s="799"/>
      <c r="AY207" s="799"/>
      <c r="AZ207" s="799"/>
      <c r="BA207" s="799"/>
      <c r="BB207" s="799"/>
      <c r="BC207" s="799"/>
      <c r="BD207" s="799"/>
      <c r="BE207" s="799"/>
      <c r="BF207" s="799"/>
      <c r="BG207" s="799"/>
    </row>
    <row r="208">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c r="AE208" s="799"/>
      <c r="AF208" s="799"/>
      <c r="AG208" s="799"/>
      <c r="AH208" s="799"/>
      <c r="AI208" s="799"/>
      <c r="AJ208" s="799"/>
      <c r="AK208" s="799"/>
      <c r="AL208" s="799"/>
      <c r="AM208" s="799"/>
      <c r="AN208" s="799"/>
      <c r="AO208" s="799"/>
      <c r="AP208" s="799"/>
      <c r="AQ208" s="799"/>
      <c r="AR208" s="799"/>
      <c r="AS208" s="799"/>
      <c r="AT208" s="799"/>
      <c r="AU208" s="799"/>
      <c r="AV208" s="799"/>
      <c r="AW208" s="799"/>
      <c r="AX208" s="799"/>
      <c r="AY208" s="799"/>
      <c r="AZ208" s="799"/>
      <c r="BA208" s="799"/>
      <c r="BB208" s="799"/>
      <c r="BC208" s="799"/>
      <c r="BD208" s="799"/>
      <c r="BE208" s="799"/>
      <c r="BF208" s="799"/>
      <c r="BG208" s="799"/>
    </row>
    <row r="209">
      <c r="H209" s="799"/>
      <c r="I209" s="799"/>
      <c r="J209" s="799"/>
      <c r="K209" s="799"/>
      <c r="L209" s="799"/>
      <c r="M209" s="799"/>
      <c r="N209" s="799"/>
      <c r="O209" s="799"/>
      <c r="P209" s="799"/>
      <c r="Q209" s="799"/>
      <c r="R209" s="799"/>
      <c r="S209" s="799"/>
      <c r="T209" s="799"/>
      <c r="U209" s="799"/>
      <c r="V209" s="799"/>
      <c r="W209" s="799"/>
      <c r="X209" s="799"/>
      <c r="Y209" s="799"/>
      <c r="Z209" s="799"/>
      <c r="AA209" s="799"/>
      <c r="AB209" s="799"/>
      <c r="AC209" s="799"/>
      <c r="AD209" s="799"/>
      <c r="AE209" s="799"/>
      <c r="AF209" s="799"/>
      <c r="AG209" s="799"/>
      <c r="AH209" s="799"/>
      <c r="AI209" s="799"/>
      <c r="AJ209" s="799"/>
      <c r="AK209" s="799"/>
      <c r="AL209" s="799"/>
      <c r="AM209" s="799"/>
      <c r="AN209" s="799"/>
      <c r="AO209" s="799"/>
      <c r="AP209" s="799"/>
      <c r="AQ209" s="799"/>
      <c r="AR209" s="799"/>
      <c r="AS209" s="799"/>
      <c r="AT209" s="799"/>
      <c r="AU209" s="799"/>
      <c r="AV209" s="799"/>
      <c r="AW209" s="799"/>
      <c r="AX209" s="799"/>
      <c r="AY209" s="799"/>
      <c r="AZ209" s="799"/>
      <c r="BA209" s="799"/>
      <c r="BB209" s="799"/>
      <c r="BC209" s="799"/>
      <c r="BD209" s="799"/>
      <c r="BE209" s="799"/>
      <c r="BF209" s="799"/>
      <c r="BG209" s="799"/>
    </row>
    <row r="210">
      <c r="H210" s="799"/>
      <c r="I210" s="799"/>
      <c r="J210" s="799"/>
      <c r="K210" s="799"/>
      <c r="L210" s="799"/>
      <c r="M210" s="799"/>
      <c r="N210" s="799"/>
      <c r="O210" s="799"/>
      <c r="P210" s="799"/>
      <c r="Q210" s="799"/>
      <c r="R210" s="799"/>
      <c r="S210" s="799"/>
      <c r="T210" s="799"/>
      <c r="U210" s="799"/>
      <c r="V210" s="799"/>
      <c r="W210" s="799"/>
      <c r="X210" s="799"/>
      <c r="Y210" s="799"/>
      <c r="Z210" s="799"/>
      <c r="AA210" s="799"/>
      <c r="AB210" s="799"/>
      <c r="AC210" s="799"/>
      <c r="AD210" s="799"/>
      <c r="AE210" s="799"/>
      <c r="AF210" s="799"/>
      <c r="AG210" s="799"/>
      <c r="AH210" s="799"/>
      <c r="AI210" s="799"/>
      <c r="AJ210" s="799"/>
      <c r="AK210" s="799"/>
      <c r="AL210" s="799"/>
      <c r="AM210" s="799"/>
      <c r="AN210" s="799"/>
      <c r="AO210" s="799"/>
      <c r="AP210" s="799"/>
      <c r="AQ210" s="799"/>
      <c r="AR210" s="799"/>
      <c r="AS210" s="799"/>
      <c r="AT210" s="799"/>
      <c r="AU210" s="799"/>
      <c r="AV210" s="799"/>
      <c r="AW210" s="799"/>
      <c r="AX210" s="799"/>
      <c r="AY210" s="799"/>
      <c r="AZ210" s="799"/>
      <c r="BA210" s="799"/>
      <c r="BB210" s="799"/>
      <c r="BC210" s="799"/>
      <c r="BD210" s="799"/>
      <c r="BE210" s="799"/>
      <c r="BF210" s="799"/>
      <c r="BG210" s="799"/>
    </row>
    <row r="211">
      <c r="H211" s="799"/>
      <c r="I211" s="799"/>
      <c r="J211" s="799"/>
      <c r="K211" s="799"/>
      <c r="L211" s="799"/>
      <c r="M211" s="799"/>
      <c r="N211" s="799"/>
      <c r="O211" s="799"/>
      <c r="P211" s="799"/>
      <c r="Q211" s="799"/>
      <c r="R211" s="799"/>
      <c r="S211" s="799"/>
      <c r="T211" s="799"/>
      <c r="U211" s="799"/>
      <c r="V211" s="799"/>
      <c r="W211" s="799"/>
      <c r="X211" s="799"/>
      <c r="Y211" s="799"/>
      <c r="Z211" s="799"/>
      <c r="AA211" s="799"/>
      <c r="AB211" s="799"/>
      <c r="AC211" s="799"/>
      <c r="AD211" s="799"/>
      <c r="AE211" s="799"/>
      <c r="AF211" s="799"/>
      <c r="AG211" s="799"/>
      <c r="AH211" s="799"/>
      <c r="AI211" s="799"/>
      <c r="AJ211" s="799"/>
      <c r="AK211" s="799"/>
      <c r="AL211" s="799"/>
      <c r="AM211" s="799"/>
      <c r="AN211" s="799"/>
      <c r="AO211" s="799"/>
      <c r="AP211" s="799"/>
      <c r="AQ211" s="799"/>
      <c r="AR211" s="799"/>
      <c r="AS211" s="799"/>
      <c r="AT211" s="799"/>
      <c r="AU211" s="799"/>
      <c r="AV211" s="799"/>
      <c r="AW211" s="799"/>
      <c r="AX211" s="799"/>
      <c r="AY211" s="799"/>
      <c r="AZ211" s="799"/>
      <c r="BA211" s="799"/>
      <c r="BB211" s="799"/>
      <c r="BC211" s="799"/>
      <c r="BD211" s="799"/>
      <c r="BE211" s="799"/>
      <c r="BF211" s="799"/>
      <c r="BG211" s="799"/>
    </row>
    <row r="212">
      <c r="H212" s="799"/>
      <c r="I212" s="799"/>
      <c r="J212" s="799"/>
      <c r="K212" s="799"/>
      <c r="L212" s="799"/>
      <c r="M212" s="799"/>
      <c r="N212" s="799"/>
      <c r="O212" s="799"/>
      <c r="P212" s="799"/>
      <c r="Q212" s="799"/>
      <c r="R212" s="799"/>
      <c r="S212" s="799"/>
      <c r="T212" s="799"/>
      <c r="U212" s="799"/>
      <c r="V212" s="799"/>
      <c r="W212" s="799"/>
      <c r="X212" s="799"/>
      <c r="Y212" s="799"/>
      <c r="Z212" s="799"/>
      <c r="AA212" s="799"/>
      <c r="AB212" s="799"/>
      <c r="AC212" s="799"/>
      <c r="AD212" s="799"/>
      <c r="AE212" s="799"/>
      <c r="AF212" s="799"/>
      <c r="AG212" s="799"/>
      <c r="AH212" s="799"/>
      <c r="AI212" s="799"/>
      <c r="AJ212" s="799"/>
      <c r="AK212" s="799"/>
      <c r="AL212" s="799"/>
      <c r="AM212" s="799"/>
      <c r="AN212" s="799"/>
      <c r="AO212" s="799"/>
      <c r="AP212" s="799"/>
      <c r="AQ212" s="799"/>
      <c r="AR212" s="799"/>
      <c r="AS212" s="799"/>
      <c r="AT212" s="799"/>
      <c r="AU212" s="799"/>
      <c r="AV212" s="799"/>
      <c r="AW212" s="799"/>
      <c r="AX212" s="799"/>
      <c r="AY212" s="799"/>
      <c r="AZ212" s="799"/>
      <c r="BA212" s="799"/>
      <c r="BB212" s="799"/>
      <c r="BC212" s="799"/>
      <c r="BD212" s="799"/>
      <c r="BE212" s="799"/>
      <c r="BF212" s="799"/>
      <c r="BG212" s="799"/>
    </row>
    <row r="213">
      <c r="H213" s="799"/>
      <c r="I213" s="799"/>
      <c r="J213" s="799"/>
      <c r="K213" s="799"/>
      <c r="L213" s="799"/>
      <c r="M213" s="799"/>
      <c r="N213" s="799"/>
      <c r="O213" s="799"/>
      <c r="P213" s="799"/>
      <c r="Q213" s="799"/>
      <c r="R213" s="799"/>
      <c r="S213" s="799"/>
      <c r="T213" s="799"/>
      <c r="U213" s="799"/>
      <c r="V213" s="799"/>
      <c r="W213" s="799"/>
      <c r="X213" s="799"/>
      <c r="Y213" s="799"/>
      <c r="Z213" s="799"/>
      <c r="AA213" s="799"/>
      <c r="AB213" s="799"/>
      <c r="AC213" s="799"/>
      <c r="AD213" s="799"/>
      <c r="AE213" s="799"/>
      <c r="AF213" s="799"/>
      <c r="AG213" s="799"/>
      <c r="AH213" s="799"/>
      <c r="AI213" s="799"/>
      <c r="AJ213" s="799"/>
      <c r="AK213" s="799"/>
      <c r="AL213" s="799"/>
      <c r="AM213" s="799"/>
      <c r="AN213" s="799"/>
      <c r="AO213" s="799"/>
      <c r="AP213" s="799"/>
      <c r="AQ213" s="799"/>
      <c r="AR213" s="799"/>
      <c r="AS213" s="799"/>
      <c r="AT213" s="799"/>
      <c r="AU213" s="799"/>
      <c r="AV213" s="799"/>
      <c r="AW213" s="799"/>
      <c r="AX213" s="799"/>
      <c r="AY213" s="799"/>
      <c r="AZ213" s="799"/>
      <c r="BA213" s="799"/>
      <c r="BB213" s="799"/>
      <c r="BC213" s="799"/>
      <c r="BD213" s="799"/>
      <c r="BE213" s="799"/>
      <c r="BF213" s="799"/>
      <c r="BG213" s="799"/>
    </row>
    <row r="214">
      <c r="H214" s="799"/>
      <c r="I214" s="799"/>
      <c r="J214" s="799"/>
      <c r="K214" s="799"/>
      <c r="L214" s="799"/>
      <c r="M214" s="799"/>
      <c r="N214" s="799"/>
      <c r="O214" s="799"/>
      <c r="P214" s="799"/>
      <c r="Q214" s="799"/>
      <c r="R214" s="799"/>
      <c r="S214" s="799"/>
      <c r="T214" s="799"/>
      <c r="U214" s="799"/>
      <c r="V214" s="799"/>
      <c r="W214" s="799"/>
      <c r="X214" s="799"/>
      <c r="Y214" s="799"/>
      <c r="Z214" s="799"/>
      <c r="AA214" s="799"/>
      <c r="AB214" s="799"/>
      <c r="AC214" s="799"/>
      <c r="AD214" s="799"/>
      <c r="AE214" s="799"/>
      <c r="AF214" s="799"/>
      <c r="AG214" s="799"/>
      <c r="AH214" s="799"/>
      <c r="AI214" s="799"/>
      <c r="AJ214" s="799"/>
      <c r="AK214" s="799"/>
      <c r="AL214" s="799"/>
      <c r="AM214" s="799"/>
      <c r="AN214" s="799"/>
      <c r="AO214" s="799"/>
      <c r="AP214" s="799"/>
      <c r="AQ214" s="799"/>
      <c r="AR214" s="799"/>
      <c r="AS214" s="799"/>
      <c r="AT214" s="799"/>
      <c r="AU214" s="799"/>
      <c r="AV214" s="799"/>
      <c r="AW214" s="799"/>
      <c r="AX214" s="799"/>
      <c r="AY214" s="799"/>
      <c r="AZ214" s="799"/>
      <c r="BA214" s="799"/>
      <c r="BB214" s="799"/>
      <c r="BC214" s="799"/>
      <c r="BD214" s="799"/>
      <c r="BE214" s="799"/>
      <c r="BF214" s="799"/>
      <c r="BG214" s="799"/>
    </row>
    <row r="215">
      <c r="H215" s="799"/>
      <c r="I215" s="799"/>
      <c r="J215" s="799"/>
      <c r="K215" s="799"/>
      <c r="L215" s="799"/>
      <c r="M215" s="799"/>
      <c r="N215" s="799"/>
      <c r="O215" s="799"/>
      <c r="P215" s="799"/>
      <c r="Q215" s="799"/>
      <c r="R215" s="799"/>
      <c r="S215" s="799"/>
      <c r="T215" s="799"/>
      <c r="U215" s="799"/>
      <c r="V215" s="799"/>
      <c r="W215" s="799"/>
      <c r="X215" s="799"/>
      <c r="Y215" s="799"/>
      <c r="Z215" s="799"/>
      <c r="AA215" s="799"/>
      <c r="AB215" s="799"/>
      <c r="AC215" s="799"/>
      <c r="AD215" s="799"/>
      <c r="AE215" s="799"/>
      <c r="AF215" s="799"/>
      <c r="AG215" s="799"/>
      <c r="AH215" s="799"/>
      <c r="AI215" s="799"/>
      <c r="AJ215" s="799"/>
      <c r="AK215" s="799"/>
      <c r="AL215" s="799"/>
      <c r="AM215" s="799"/>
      <c r="AN215" s="799"/>
      <c r="AO215" s="799"/>
      <c r="AP215" s="799"/>
      <c r="AQ215" s="799"/>
      <c r="AR215" s="799"/>
      <c r="AS215" s="799"/>
      <c r="AT215" s="799"/>
      <c r="AU215" s="799"/>
      <c r="AV215" s="799"/>
      <c r="AW215" s="799"/>
      <c r="AX215" s="799"/>
      <c r="AY215" s="799"/>
      <c r="AZ215" s="799"/>
      <c r="BA215" s="799"/>
      <c r="BB215" s="799"/>
      <c r="BC215" s="799"/>
      <c r="BD215" s="799"/>
      <c r="BE215" s="799"/>
      <c r="BF215" s="799"/>
      <c r="BG215" s="799"/>
    </row>
    <row r="216">
      <c r="H216" s="799"/>
      <c r="I216" s="799"/>
      <c r="J216" s="799"/>
      <c r="K216" s="799"/>
      <c r="L216" s="799"/>
      <c r="M216" s="799"/>
      <c r="N216" s="799"/>
      <c r="O216" s="799"/>
      <c r="P216" s="799"/>
      <c r="Q216" s="799"/>
      <c r="R216" s="799"/>
      <c r="S216" s="799"/>
      <c r="T216" s="799"/>
      <c r="U216" s="799"/>
      <c r="V216" s="799"/>
      <c r="W216" s="799"/>
      <c r="X216" s="799"/>
      <c r="Y216" s="799"/>
      <c r="Z216" s="799"/>
      <c r="AA216" s="799"/>
      <c r="AB216" s="799"/>
      <c r="AC216" s="799"/>
      <c r="AD216" s="799"/>
      <c r="AE216" s="799"/>
      <c r="AF216" s="799"/>
      <c r="AG216" s="799"/>
      <c r="AH216" s="799"/>
      <c r="AI216" s="799"/>
      <c r="AJ216" s="799"/>
      <c r="AK216" s="799"/>
      <c r="AL216" s="799"/>
      <c r="AM216" s="799"/>
      <c r="AN216" s="799"/>
      <c r="AO216" s="799"/>
      <c r="AP216" s="799"/>
      <c r="AQ216" s="799"/>
      <c r="AR216" s="799"/>
      <c r="AS216" s="799"/>
      <c r="AT216" s="799"/>
      <c r="AU216" s="799"/>
      <c r="AV216" s="799"/>
      <c r="AW216" s="799"/>
      <c r="AX216" s="799"/>
      <c r="AY216" s="799"/>
      <c r="AZ216" s="799"/>
      <c r="BA216" s="799"/>
      <c r="BB216" s="799"/>
      <c r="BC216" s="799"/>
      <c r="BD216" s="799"/>
      <c r="BE216" s="799"/>
      <c r="BF216" s="799"/>
      <c r="BG216" s="799"/>
    </row>
    <row r="217">
      <c r="H217" s="799"/>
      <c r="I217" s="799"/>
      <c r="J217" s="799"/>
      <c r="K217" s="799"/>
      <c r="L217" s="799"/>
      <c r="M217" s="799"/>
      <c r="N217" s="799"/>
      <c r="O217" s="799"/>
      <c r="P217" s="799"/>
      <c r="Q217" s="799"/>
      <c r="R217" s="799"/>
      <c r="S217" s="799"/>
      <c r="T217" s="799"/>
      <c r="U217" s="799"/>
      <c r="V217" s="799"/>
      <c r="W217" s="799"/>
      <c r="X217" s="799"/>
      <c r="Y217" s="799"/>
      <c r="Z217" s="799"/>
      <c r="AA217" s="799"/>
      <c r="AB217" s="799"/>
      <c r="AC217" s="799"/>
      <c r="AD217" s="799"/>
      <c r="AE217" s="799"/>
      <c r="AF217" s="799"/>
      <c r="AG217" s="799"/>
      <c r="AH217" s="799"/>
      <c r="AI217" s="799"/>
      <c r="AJ217" s="799"/>
      <c r="AK217" s="799"/>
      <c r="AL217" s="799"/>
      <c r="AM217" s="799"/>
      <c r="AN217" s="799"/>
      <c r="AO217" s="799"/>
      <c r="AP217" s="799"/>
      <c r="AQ217" s="799"/>
      <c r="AR217" s="799"/>
      <c r="AS217" s="799"/>
      <c r="AT217" s="799"/>
      <c r="AU217" s="799"/>
      <c r="AV217" s="799"/>
      <c r="AW217" s="799"/>
      <c r="AX217" s="799"/>
      <c r="AY217" s="799"/>
      <c r="AZ217" s="799"/>
      <c r="BA217" s="799"/>
      <c r="BB217" s="799"/>
      <c r="BC217" s="799"/>
      <c r="BD217" s="799"/>
      <c r="BE217" s="799"/>
      <c r="BF217" s="799"/>
      <c r="BG217" s="799"/>
    </row>
    <row r="218">
      <c r="H218" s="799"/>
      <c r="I218" s="799"/>
      <c r="J218" s="799"/>
      <c r="K218" s="799"/>
      <c r="L218" s="799"/>
      <c r="M218" s="799"/>
      <c r="N218" s="799"/>
      <c r="O218" s="799"/>
      <c r="P218" s="799"/>
      <c r="Q218" s="799"/>
      <c r="R218" s="799"/>
      <c r="S218" s="799"/>
      <c r="T218" s="799"/>
      <c r="U218" s="799"/>
      <c r="V218" s="799"/>
      <c r="W218" s="799"/>
      <c r="X218" s="799"/>
      <c r="Y218" s="799"/>
      <c r="Z218" s="799"/>
      <c r="AA218" s="799"/>
      <c r="AB218" s="799"/>
      <c r="AC218" s="799"/>
      <c r="AD218" s="799"/>
      <c r="AE218" s="799"/>
      <c r="AF218" s="799"/>
      <c r="AG218" s="799"/>
      <c r="AH218" s="799"/>
      <c r="AI218" s="799"/>
      <c r="AJ218" s="799"/>
      <c r="AK218" s="799"/>
      <c r="AL218" s="799"/>
      <c r="AM218" s="799"/>
      <c r="AN218" s="799"/>
      <c r="AO218" s="799"/>
      <c r="AP218" s="799"/>
      <c r="AQ218" s="799"/>
      <c r="AR218" s="799"/>
      <c r="AS218" s="799"/>
      <c r="AT218" s="799"/>
      <c r="AU218" s="799"/>
      <c r="AV218" s="799"/>
      <c r="AW218" s="799"/>
      <c r="AX218" s="799"/>
      <c r="AY218" s="799"/>
      <c r="AZ218" s="799"/>
      <c r="BA218" s="799"/>
      <c r="BB218" s="799"/>
      <c r="BC218" s="799"/>
      <c r="BD218" s="799"/>
      <c r="BE218" s="799"/>
      <c r="BF218" s="799"/>
      <c r="BG218" s="799"/>
    </row>
    <row r="219">
      <c r="H219" s="799"/>
      <c r="I219" s="799"/>
      <c r="J219" s="799"/>
      <c r="K219" s="799"/>
      <c r="L219" s="799"/>
      <c r="M219" s="799"/>
      <c r="N219" s="799"/>
      <c r="O219" s="799"/>
      <c r="P219" s="799"/>
      <c r="Q219" s="799"/>
      <c r="R219" s="799"/>
      <c r="S219" s="799"/>
      <c r="T219" s="799"/>
      <c r="U219" s="799"/>
      <c r="V219" s="799"/>
      <c r="W219" s="799"/>
      <c r="X219" s="799"/>
      <c r="Y219" s="799"/>
      <c r="Z219" s="799"/>
      <c r="AA219" s="799"/>
      <c r="AB219" s="799"/>
      <c r="AC219" s="799"/>
      <c r="AD219" s="799"/>
      <c r="AE219" s="799"/>
      <c r="AF219" s="799"/>
      <c r="AG219" s="799"/>
      <c r="AH219" s="799"/>
      <c r="AI219" s="799"/>
      <c r="AJ219" s="799"/>
      <c r="AK219" s="799"/>
      <c r="AL219" s="799"/>
      <c r="AM219" s="799"/>
      <c r="AN219" s="799"/>
      <c r="AO219" s="799"/>
      <c r="AP219" s="799"/>
      <c r="AQ219" s="799"/>
      <c r="AR219" s="799"/>
      <c r="AS219" s="799"/>
      <c r="AT219" s="799"/>
      <c r="AU219" s="799"/>
      <c r="AV219" s="799"/>
      <c r="AW219" s="799"/>
      <c r="AX219" s="799"/>
      <c r="AY219" s="799"/>
      <c r="AZ219" s="799"/>
      <c r="BA219" s="799"/>
      <c r="BB219" s="799"/>
      <c r="BC219" s="799"/>
      <c r="BD219" s="799"/>
      <c r="BE219" s="799"/>
      <c r="BF219" s="799"/>
      <c r="BG219" s="799"/>
    </row>
    <row r="220">
      <c r="H220" s="799"/>
      <c r="I220" s="799"/>
      <c r="J220" s="799"/>
      <c r="K220" s="799"/>
      <c r="L220" s="799"/>
      <c r="M220" s="799"/>
      <c r="N220" s="799"/>
      <c r="O220" s="799"/>
      <c r="P220" s="799"/>
      <c r="Q220" s="799"/>
      <c r="R220" s="799"/>
      <c r="S220" s="799"/>
      <c r="T220" s="799"/>
      <c r="U220" s="799"/>
      <c r="V220" s="799"/>
      <c r="W220" s="799"/>
      <c r="X220" s="799"/>
      <c r="Y220" s="799"/>
      <c r="Z220" s="799"/>
      <c r="AA220" s="799"/>
      <c r="AB220" s="799"/>
      <c r="AC220" s="799"/>
      <c r="AD220" s="799"/>
      <c r="AE220" s="799"/>
      <c r="AF220" s="799"/>
      <c r="AG220" s="799"/>
      <c r="AH220" s="799"/>
      <c r="AI220" s="799"/>
      <c r="AJ220" s="799"/>
      <c r="AK220" s="799"/>
      <c r="AL220" s="799"/>
      <c r="AM220" s="799"/>
      <c r="AN220" s="799"/>
      <c r="AO220" s="799"/>
      <c r="AP220" s="799"/>
      <c r="AQ220" s="799"/>
      <c r="AR220" s="799"/>
      <c r="AS220" s="799"/>
      <c r="AT220" s="799"/>
      <c r="AU220" s="799"/>
      <c r="AV220" s="799"/>
      <c r="AW220" s="799"/>
      <c r="AX220" s="799"/>
      <c r="AY220" s="799"/>
      <c r="AZ220" s="799"/>
      <c r="BA220" s="799"/>
      <c r="BB220" s="799"/>
      <c r="BC220" s="799"/>
      <c r="BD220" s="799"/>
      <c r="BE220" s="799"/>
      <c r="BF220" s="799"/>
      <c r="BG220" s="799"/>
    </row>
    <row r="221">
      <c r="H221" s="799"/>
      <c r="I221" s="799"/>
      <c r="J221" s="799"/>
      <c r="K221" s="799"/>
      <c r="L221" s="799"/>
      <c r="M221" s="799"/>
      <c r="N221" s="799"/>
      <c r="O221" s="799"/>
      <c r="P221" s="799"/>
      <c r="Q221" s="799"/>
      <c r="R221" s="799"/>
      <c r="S221" s="799"/>
      <c r="T221" s="799"/>
      <c r="U221" s="799"/>
      <c r="V221" s="799"/>
      <c r="W221" s="799"/>
      <c r="X221" s="799"/>
      <c r="Y221" s="799"/>
      <c r="Z221" s="799"/>
      <c r="AA221" s="799"/>
      <c r="AB221" s="799"/>
      <c r="AC221" s="799"/>
      <c r="AD221" s="799"/>
      <c r="AE221" s="799"/>
      <c r="AF221" s="799"/>
      <c r="AG221" s="799"/>
      <c r="AH221" s="799"/>
      <c r="AI221" s="799"/>
      <c r="AJ221" s="799"/>
      <c r="AK221" s="799"/>
      <c r="AL221" s="799"/>
      <c r="AM221" s="799"/>
      <c r="AN221" s="799"/>
      <c r="AO221" s="799"/>
      <c r="AP221" s="799"/>
      <c r="AQ221" s="799"/>
      <c r="AR221" s="799"/>
      <c r="AS221" s="799"/>
      <c r="AT221" s="799"/>
      <c r="AU221" s="799"/>
      <c r="AV221" s="799"/>
      <c r="AW221" s="799"/>
      <c r="AX221" s="799"/>
      <c r="AY221" s="799"/>
      <c r="AZ221" s="799"/>
      <c r="BA221" s="799"/>
      <c r="BB221" s="799"/>
      <c r="BC221" s="799"/>
      <c r="BD221" s="799"/>
      <c r="BE221" s="799"/>
      <c r="BF221" s="799"/>
      <c r="BG221" s="799"/>
    </row>
    <row r="222">
      <c r="H222" s="799"/>
      <c r="I222" s="799"/>
      <c r="J222" s="799"/>
      <c r="K222" s="799"/>
      <c r="L222" s="799"/>
      <c r="M222" s="799"/>
      <c r="N222" s="799"/>
      <c r="O222" s="799"/>
      <c r="P222" s="799"/>
      <c r="Q222" s="799"/>
      <c r="R222" s="799"/>
      <c r="S222" s="799"/>
      <c r="T222" s="799"/>
      <c r="U222" s="799"/>
      <c r="V222" s="799"/>
      <c r="W222" s="799"/>
      <c r="X222" s="799"/>
      <c r="Y222" s="799"/>
      <c r="Z222" s="799"/>
      <c r="AA222" s="799"/>
      <c r="AB222" s="799"/>
      <c r="AC222" s="799"/>
      <c r="AD222" s="799"/>
      <c r="AE222" s="799"/>
      <c r="AF222" s="799"/>
      <c r="AG222" s="799"/>
      <c r="AH222" s="799"/>
      <c r="AI222" s="799"/>
      <c r="AJ222" s="799"/>
      <c r="AK222" s="799"/>
      <c r="AL222" s="799"/>
      <c r="AM222" s="799"/>
      <c r="AN222" s="799"/>
      <c r="AO222" s="799"/>
      <c r="AP222" s="799"/>
      <c r="AQ222" s="799"/>
      <c r="AR222" s="799"/>
      <c r="AS222" s="799"/>
      <c r="AT222" s="799"/>
      <c r="AU222" s="799"/>
      <c r="AV222" s="799"/>
      <c r="AW222" s="799"/>
      <c r="AX222" s="799"/>
      <c r="AY222" s="799"/>
      <c r="AZ222" s="799"/>
      <c r="BA222" s="799"/>
      <c r="BB222" s="799"/>
      <c r="BC222" s="799"/>
      <c r="BD222" s="799"/>
      <c r="BE222" s="799"/>
      <c r="BF222" s="799"/>
      <c r="BG222" s="799"/>
    </row>
    <row r="223">
      <c r="H223" s="799"/>
      <c r="I223" s="799"/>
      <c r="J223" s="799"/>
      <c r="K223" s="799"/>
      <c r="L223" s="799"/>
      <c r="M223" s="799"/>
      <c r="N223" s="799"/>
      <c r="O223" s="799"/>
      <c r="P223" s="799"/>
      <c r="Q223" s="799"/>
      <c r="R223" s="799"/>
      <c r="S223" s="799"/>
      <c r="T223" s="799"/>
      <c r="U223" s="799"/>
      <c r="V223" s="799"/>
      <c r="W223" s="799"/>
      <c r="X223" s="799"/>
      <c r="Y223" s="799"/>
      <c r="Z223" s="799"/>
      <c r="AA223" s="799"/>
      <c r="AB223" s="799"/>
      <c r="AC223" s="799"/>
      <c r="AD223" s="799"/>
      <c r="AE223" s="799"/>
      <c r="AF223" s="799"/>
      <c r="AG223" s="799"/>
      <c r="AH223" s="799"/>
      <c r="AI223" s="799"/>
      <c r="AJ223" s="799"/>
      <c r="AK223" s="799"/>
      <c r="AL223" s="799"/>
      <c r="AM223" s="799"/>
      <c r="AN223" s="799"/>
      <c r="AO223" s="799"/>
      <c r="AP223" s="799"/>
      <c r="AQ223" s="799"/>
      <c r="AR223" s="799"/>
      <c r="AS223" s="799"/>
      <c r="AT223" s="799"/>
      <c r="AU223" s="799"/>
      <c r="AV223" s="799"/>
      <c r="AW223" s="799"/>
      <c r="AX223" s="799"/>
      <c r="AY223" s="799"/>
      <c r="AZ223" s="799"/>
      <c r="BA223" s="799"/>
      <c r="BB223" s="799"/>
      <c r="BC223" s="799"/>
      <c r="BD223" s="799"/>
      <c r="BE223" s="799"/>
      <c r="BF223" s="799"/>
      <c r="BG223" s="799"/>
    </row>
    <row r="224">
      <c r="H224" s="799"/>
      <c r="I224" s="799"/>
      <c r="J224" s="799"/>
      <c r="K224" s="799"/>
      <c r="L224" s="799"/>
      <c r="M224" s="799"/>
      <c r="N224" s="799"/>
      <c r="O224" s="799"/>
      <c r="P224" s="799"/>
      <c r="Q224" s="799"/>
      <c r="R224" s="799"/>
      <c r="S224" s="799"/>
      <c r="T224" s="799"/>
      <c r="U224" s="799"/>
      <c r="V224" s="799"/>
      <c r="W224" s="799"/>
      <c r="X224" s="799"/>
      <c r="Y224" s="799"/>
      <c r="Z224" s="799"/>
      <c r="AA224" s="799"/>
      <c r="AB224" s="799"/>
      <c r="AC224" s="799"/>
      <c r="AD224" s="799"/>
      <c r="AE224" s="799"/>
      <c r="AF224" s="799"/>
      <c r="AG224" s="799"/>
      <c r="AH224" s="799"/>
      <c r="AI224" s="799"/>
      <c r="AJ224" s="799"/>
      <c r="AK224" s="799"/>
      <c r="AL224" s="799"/>
      <c r="AM224" s="799"/>
      <c r="AN224" s="799"/>
      <c r="AO224" s="799"/>
      <c r="AP224" s="799"/>
      <c r="AQ224" s="799"/>
      <c r="AR224" s="799"/>
      <c r="AS224" s="799"/>
      <c r="AT224" s="799"/>
      <c r="AU224" s="799"/>
      <c r="AV224" s="799"/>
      <c r="AW224" s="799"/>
      <c r="AX224" s="799"/>
      <c r="AY224" s="799"/>
      <c r="AZ224" s="799"/>
      <c r="BA224" s="799"/>
      <c r="BB224" s="799"/>
      <c r="BC224" s="799"/>
      <c r="BD224" s="799"/>
      <c r="BE224" s="799"/>
      <c r="BF224" s="799"/>
      <c r="BG224" s="799"/>
    </row>
    <row r="225">
      <c r="H225" s="799"/>
      <c r="I225" s="799"/>
      <c r="J225" s="799"/>
      <c r="K225" s="799"/>
      <c r="L225" s="799"/>
      <c r="M225" s="799"/>
      <c r="N225" s="799"/>
      <c r="O225" s="799"/>
      <c r="P225" s="799"/>
      <c r="Q225" s="799"/>
      <c r="R225" s="799"/>
      <c r="S225" s="799"/>
      <c r="T225" s="799"/>
      <c r="U225" s="799"/>
      <c r="V225" s="799"/>
      <c r="W225" s="799"/>
      <c r="X225" s="799"/>
      <c r="Y225" s="799"/>
      <c r="Z225" s="799"/>
      <c r="AA225" s="799"/>
      <c r="AB225" s="799"/>
      <c r="AC225" s="799"/>
      <c r="AD225" s="799"/>
      <c r="AE225" s="799"/>
      <c r="AF225" s="799"/>
      <c r="AG225" s="799"/>
      <c r="AH225" s="799"/>
      <c r="AI225" s="799"/>
      <c r="AJ225" s="799"/>
      <c r="AK225" s="799"/>
      <c r="AL225" s="799"/>
      <c r="AM225" s="799"/>
      <c r="AN225" s="799"/>
      <c r="AO225" s="799"/>
      <c r="AP225" s="799"/>
      <c r="AQ225" s="799"/>
      <c r="AR225" s="799"/>
      <c r="AS225" s="799"/>
      <c r="AT225" s="799"/>
      <c r="AU225" s="799"/>
      <c r="AV225" s="799"/>
      <c r="AW225" s="799"/>
      <c r="AX225" s="799"/>
      <c r="AY225" s="799"/>
      <c r="AZ225" s="799"/>
      <c r="BA225" s="799"/>
      <c r="BB225" s="799"/>
      <c r="BC225" s="799"/>
      <c r="BD225" s="799"/>
      <c r="BE225" s="799"/>
      <c r="BF225" s="799"/>
      <c r="BG225" s="799"/>
    </row>
    <row r="226">
      <c r="H226" s="799"/>
      <c r="I226" s="799"/>
      <c r="J226" s="799"/>
      <c r="K226" s="799"/>
      <c r="L226" s="799"/>
      <c r="M226" s="799"/>
      <c r="N226" s="799"/>
      <c r="O226" s="799"/>
      <c r="P226" s="799"/>
      <c r="Q226" s="799"/>
      <c r="R226" s="799"/>
      <c r="S226" s="799"/>
      <c r="T226" s="799"/>
      <c r="U226" s="799"/>
      <c r="V226" s="799"/>
      <c r="W226" s="799"/>
      <c r="X226" s="799"/>
      <c r="Y226" s="799"/>
      <c r="Z226" s="799"/>
      <c r="AA226" s="799"/>
      <c r="AB226" s="799"/>
      <c r="AC226" s="799"/>
      <c r="AD226" s="799"/>
      <c r="AE226" s="799"/>
      <c r="AF226" s="799"/>
      <c r="AG226" s="799"/>
      <c r="AH226" s="799"/>
      <c r="AI226" s="799"/>
      <c r="AJ226" s="799"/>
      <c r="AK226" s="799"/>
      <c r="AL226" s="799"/>
      <c r="AM226" s="799"/>
      <c r="AN226" s="799"/>
      <c r="AO226" s="799"/>
      <c r="AP226" s="799"/>
      <c r="AQ226" s="799"/>
      <c r="AR226" s="799"/>
      <c r="AS226" s="799"/>
      <c r="AT226" s="799"/>
      <c r="AU226" s="799"/>
      <c r="AV226" s="799"/>
      <c r="AW226" s="799"/>
      <c r="AX226" s="799"/>
      <c r="AY226" s="799"/>
      <c r="AZ226" s="799"/>
      <c r="BA226" s="799"/>
      <c r="BB226" s="799"/>
      <c r="BC226" s="799"/>
      <c r="BD226" s="799"/>
      <c r="BE226" s="799"/>
      <c r="BF226" s="799"/>
      <c r="BG226" s="799"/>
    </row>
    <row r="227">
      <c r="H227" s="799"/>
      <c r="I227" s="799"/>
      <c r="J227" s="799"/>
      <c r="K227" s="799"/>
      <c r="L227" s="799"/>
      <c r="M227" s="799"/>
      <c r="N227" s="799"/>
      <c r="O227" s="799"/>
      <c r="P227" s="799"/>
      <c r="Q227" s="799"/>
      <c r="R227" s="799"/>
      <c r="S227" s="799"/>
      <c r="T227" s="799"/>
      <c r="U227" s="799"/>
      <c r="V227" s="799"/>
      <c r="W227" s="799"/>
      <c r="X227" s="799"/>
      <c r="Y227" s="799"/>
      <c r="Z227" s="799"/>
      <c r="AA227" s="799"/>
      <c r="AB227" s="799"/>
      <c r="AC227" s="799"/>
      <c r="AD227" s="799"/>
      <c r="AE227" s="799"/>
      <c r="AF227" s="799"/>
      <c r="AG227" s="799"/>
      <c r="AH227" s="799"/>
      <c r="AI227" s="799"/>
      <c r="AJ227" s="799"/>
      <c r="AK227" s="799"/>
      <c r="AL227" s="799"/>
      <c r="AM227" s="799"/>
      <c r="AN227" s="799"/>
      <c r="AO227" s="799"/>
      <c r="AP227" s="799"/>
      <c r="AQ227" s="799"/>
      <c r="AR227" s="799"/>
      <c r="AS227" s="799"/>
      <c r="AT227" s="799"/>
      <c r="AU227" s="799"/>
      <c r="AV227" s="799"/>
      <c r="AW227" s="799"/>
      <c r="AX227" s="799"/>
      <c r="AY227" s="799"/>
      <c r="AZ227" s="799"/>
      <c r="BA227" s="799"/>
      <c r="BB227" s="799"/>
      <c r="BC227" s="799"/>
      <c r="BD227" s="799"/>
      <c r="BE227" s="799"/>
      <c r="BF227" s="799"/>
      <c r="BG227" s="799"/>
    </row>
    <row r="228">
      <c r="H228" s="799"/>
      <c r="I228" s="799"/>
      <c r="J228" s="799"/>
      <c r="K228" s="799"/>
      <c r="L228" s="799"/>
      <c r="M228" s="799"/>
      <c r="N228" s="799"/>
      <c r="O228" s="799"/>
      <c r="P228" s="799"/>
      <c r="Q228" s="799"/>
      <c r="R228" s="799"/>
      <c r="S228" s="799"/>
      <c r="T228" s="799"/>
      <c r="U228" s="799"/>
      <c r="V228" s="799"/>
      <c r="W228" s="799"/>
      <c r="X228" s="799"/>
      <c r="Y228" s="799"/>
      <c r="Z228" s="799"/>
      <c r="AA228" s="799"/>
      <c r="AB228" s="799"/>
      <c r="AC228" s="799"/>
      <c r="AD228" s="799"/>
      <c r="AE228" s="799"/>
      <c r="AF228" s="799"/>
      <c r="AG228" s="799"/>
      <c r="AH228" s="799"/>
      <c r="AI228" s="799"/>
      <c r="AJ228" s="799"/>
      <c r="AK228" s="799"/>
      <c r="AL228" s="799"/>
      <c r="AM228" s="799"/>
      <c r="AN228" s="799"/>
      <c r="AO228" s="799"/>
      <c r="AP228" s="799"/>
      <c r="AQ228" s="799"/>
      <c r="AR228" s="799"/>
      <c r="AS228" s="799"/>
      <c r="AT228" s="799"/>
      <c r="AU228" s="799"/>
      <c r="AV228" s="799"/>
      <c r="AW228" s="799"/>
      <c r="AX228" s="799"/>
      <c r="AY228" s="799"/>
      <c r="AZ228" s="799"/>
      <c r="BA228" s="799"/>
      <c r="BB228" s="799"/>
      <c r="BC228" s="799"/>
      <c r="BD228" s="799"/>
      <c r="BE228" s="799"/>
      <c r="BF228" s="799"/>
      <c r="BG228" s="799"/>
    </row>
    <row r="229">
      <c r="H229" s="799"/>
      <c r="I229" s="799"/>
      <c r="J229" s="799"/>
      <c r="K229" s="799"/>
      <c r="L229" s="799"/>
      <c r="M229" s="799"/>
      <c r="N229" s="799"/>
      <c r="O229" s="799"/>
      <c r="P229" s="799"/>
      <c r="Q229" s="799"/>
      <c r="R229" s="799"/>
      <c r="S229" s="799"/>
      <c r="T229" s="799"/>
      <c r="U229" s="799"/>
      <c r="V229" s="799"/>
      <c r="W229" s="799"/>
      <c r="X229" s="799"/>
      <c r="Y229" s="799"/>
      <c r="Z229" s="799"/>
      <c r="AA229" s="799"/>
      <c r="AB229" s="799"/>
      <c r="AC229" s="799"/>
      <c r="AD229" s="799"/>
      <c r="AE229" s="799"/>
      <c r="AF229" s="799"/>
      <c r="AG229" s="799"/>
      <c r="AH229" s="799"/>
      <c r="AI229" s="799"/>
      <c r="AJ229" s="799"/>
      <c r="AK229" s="799"/>
      <c r="AL229" s="799"/>
      <c r="AM229" s="799"/>
      <c r="AN229" s="799"/>
      <c r="AO229" s="799"/>
      <c r="AP229" s="799"/>
      <c r="AQ229" s="799"/>
      <c r="AR229" s="799"/>
      <c r="AS229" s="799"/>
      <c r="AT229" s="799"/>
      <c r="AU229" s="799"/>
      <c r="AV229" s="799"/>
      <c r="AW229" s="799"/>
      <c r="AX229" s="799"/>
      <c r="AY229" s="799"/>
      <c r="AZ229" s="799"/>
      <c r="BA229" s="799"/>
      <c r="BB229" s="799"/>
      <c r="BC229" s="799"/>
      <c r="BD229" s="799"/>
      <c r="BE229" s="799"/>
      <c r="BF229" s="799"/>
      <c r="BG229" s="799"/>
    </row>
    <row r="230">
      <c r="H230" s="799"/>
      <c r="I230" s="799"/>
      <c r="J230" s="799"/>
      <c r="K230" s="799"/>
      <c r="L230" s="799"/>
      <c r="M230" s="799"/>
      <c r="N230" s="799"/>
      <c r="O230" s="799"/>
      <c r="P230" s="799"/>
      <c r="Q230" s="799"/>
      <c r="R230" s="799"/>
      <c r="S230" s="799"/>
      <c r="T230" s="799"/>
      <c r="U230" s="799"/>
      <c r="V230" s="799"/>
      <c r="W230" s="799"/>
      <c r="X230" s="799"/>
      <c r="Y230" s="799"/>
      <c r="Z230" s="799"/>
      <c r="AA230" s="799"/>
      <c r="AB230" s="799"/>
      <c r="AC230" s="799"/>
      <c r="AD230" s="799"/>
      <c r="AE230" s="799"/>
      <c r="AF230" s="799"/>
      <c r="AG230" s="799"/>
      <c r="AH230" s="799"/>
      <c r="AI230" s="799"/>
      <c r="AJ230" s="799"/>
      <c r="AK230" s="799"/>
      <c r="AL230" s="799"/>
      <c r="AM230" s="799"/>
      <c r="AN230" s="799"/>
      <c r="AO230" s="799"/>
      <c r="AP230" s="799"/>
      <c r="AQ230" s="799"/>
      <c r="AR230" s="799"/>
      <c r="AS230" s="799"/>
      <c r="AT230" s="799"/>
      <c r="AU230" s="799"/>
      <c r="AV230" s="799"/>
      <c r="AW230" s="799"/>
      <c r="AX230" s="799"/>
      <c r="AY230" s="799"/>
      <c r="AZ230" s="799"/>
      <c r="BA230" s="799"/>
      <c r="BB230" s="799"/>
      <c r="BC230" s="799"/>
      <c r="BD230" s="799"/>
      <c r="BE230" s="799"/>
      <c r="BF230" s="799"/>
      <c r="BG230" s="799"/>
    </row>
    <row r="231">
      <c r="H231" s="799"/>
      <c r="I231" s="799"/>
      <c r="J231" s="799"/>
      <c r="K231" s="799"/>
      <c r="L231" s="799"/>
      <c r="M231" s="799"/>
      <c r="N231" s="799"/>
      <c r="O231" s="799"/>
      <c r="P231" s="799"/>
      <c r="Q231" s="799"/>
      <c r="R231" s="799"/>
      <c r="S231" s="799"/>
      <c r="T231" s="799"/>
      <c r="U231" s="799"/>
      <c r="V231" s="799"/>
      <c r="W231" s="799"/>
      <c r="X231" s="799"/>
      <c r="Y231" s="799"/>
      <c r="Z231" s="799"/>
      <c r="AA231" s="799"/>
      <c r="AB231" s="799"/>
      <c r="AC231" s="799"/>
      <c r="AD231" s="799"/>
      <c r="AE231" s="799"/>
      <c r="AF231" s="799"/>
      <c r="AG231" s="799"/>
      <c r="AH231" s="799"/>
      <c r="AI231" s="799"/>
      <c r="AJ231" s="799"/>
      <c r="AK231" s="799"/>
      <c r="AL231" s="799"/>
      <c r="AM231" s="799"/>
      <c r="AN231" s="799"/>
      <c r="AO231" s="799"/>
      <c r="AP231" s="799"/>
      <c r="AQ231" s="799"/>
      <c r="AR231" s="799"/>
      <c r="AS231" s="799"/>
      <c r="AT231" s="799"/>
      <c r="AU231" s="799"/>
      <c r="AV231" s="799"/>
      <c r="AW231" s="799"/>
      <c r="AX231" s="799"/>
      <c r="AY231" s="799"/>
      <c r="AZ231" s="799"/>
      <c r="BA231" s="799"/>
      <c r="BB231" s="799"/>
      <c r="BC231" s="799"/>
      <c r="BD231" s="799"/>
      <c r="BE231" s="799"/>
      <c r="BF231" s="799"/>
      <c r="BG231" s="799"/>
    </row>
    <row r="232">
      <c r="H232" s="799"/>
      <c r="I232" s="799"/>
      <c r="J232" s="799"/>
      <c r="K232" s="799"/>
      <c r="L232" s="799"/>
      <c r="M232" s="799"/>
      <c r="N232" s="799"/>
      <c r="O232" s="799"/>
      <c r="P232" s="799"/>
      <c r="Q232" s="799"/>
      <c r="R232" s="799"/>
      <c r="S232" s="799"/>
      <c r="T232" s="799"/>
      <c r="U232" s="799"/>
      <c r="V232" s="799"/>
      <c r="W232" s="799"/>
      <c r="X232" s="799"/>
      <c r="Y232" s="799"/>
      <c r="Z232" s="799"/>
      <c r="AA232" s="799"/>
      <c r="AB232" s="799"/>
      <c r="AC232" s="799"/>
      <c r="AD232" s="799"/>
      <c r="AE232" s="799"/>
      <c r="AF232" s="799"/>
      <c r="AG232" s="799"/>
      <c r="AH232" s="799"/>
      <c r="AI232" s="799"/>
      <c r="AJ232" s="799"/>
      <c r="AK232" s="799"/>
      <c r="AL232" s="799"/>
      <c r="AM232" s="799"/>
      <c r="AN232" s="799"/>
      <c r="AO232" s="799"/>
      <c r="AP232" s="799"/>
      <c r="AQ232" s="799"/>
      <c r="AR232" s="799"/>
      <c r="AS232" s="799"/>
      <c r="AT232" s="799"/>
      <c r="AU232" s="799"/>
      <c r="AV232" s="799"/>
      <c r="AW232" s="799"/>
      <c r="AX232" s="799"/>
      <c r="AY232" s="799"/>
      <c r="AZ232" s="799"/>
      <c r="BA232" s="799"/>
      <c r="BB232" s="799"/>
      <c r="BC232" s="799"/>
      <c r="BD232" s="799"/>
      <c r="BE232" s="799"/>
      <c r="BF232" s="799"/>
      <c r="BG232" s="799"/>
    </row>
    <row r="233">
      <c r="H233" s="799"/>
      <c r="I233" s="799"/>
      <c r="J233" s="799"/>
      <c r="K233" s="799"/>
      <c r="L233" s="799"/>
      <c r="M233" s="799"/>
      <c r="N233" s="799"/>
      <c r="O233" s="799"/>
      <c r="P233" s="799"/>
      <c r="Q233" s="799"/>
      <c r="R233" s="799"/>
      <c r="S233" s="799"/>
      <c r="T233" s="799"/>
      <c r="U233" s="799"/>
      <c r="V233" s="799"/>
      <c r="W233" s="799"/>
      <c r="X233" s="799"/>
      <c r="Y233" s="799"/>
      <c r="Z233" s="799"/>
      <c r="AA233" s="799"/>
      <c r="AB233" s="799"/>
      <c r="AC233" s="799"/>
      <c r="AD233" s="799"/>
      <c r="AE233" s="799"/>
      <c r="AF233" s="799"/>
      <c r="AG233" s="799"/>
      <c r="AH233" s="799"/>
      <c r="AI233" s="799"/>
      <c r="AJ233" s="799"/>
      <c r="AK233" s="799"/>
      <c r="AL233" s="799"/>
      <c r="AM233" s="799"/>
      <c r="AN233" s="799"/>
      <c r="AO233" s="799"/>
      <c r="AP233" s="799"/>
      <c r="AQ233" s="799"/>
      <c r="AR233" s="799"/>
      <c r="AS233" s="799"/>
      <c r="AT233" s="799"/>
      <c r="AU233" s="799"/>
      <c r="AV233" s="799"/>
      <c r="AW233" s="799"/>
      <c r="AX233" s="799"/>
      <c r="AY233" s="799"/>
      <c r="AZ233" s="799"/>
      <c r="BA233" s="799"/>
      <c r="BB233" s="799"/>
      <c r="BC233" s="799"/>
      <c r="BD233" s="799"/>
      <c r="BE233" s="799"/>
      <c r="BF233" s="799"/>
      <c r="BG233" s="799"/>
    </row>
    <row r="234">
      <c r="H234" s="799"/>
      <c r="I234" s="799"/>
      <c r="J234" s="799"/>
      <c r="K234" s="799"/>
      <c r="L234" s="799"/>
      <c r="M234" s="799"/>
      <c r="N234" s="799"/>
      <c r="O234" s="799"/>
      <c r="P234" s="799"/>
      <c r="Q234" s="799"/>
      <c r="R234" s="799"/>
      <c r="S234" s="799"/>
      <c r="T234" s="799"/>
      <c r="U234" s="799"/>
      <c r="V234" s="799"/>
      <c r="W234" s="799"/>
      <c r="X234" s="799"/>
      <c r="Y234" s="799"/>
      <c r="Z234" s="799"/>
      <c r="AA234" s="799"/>
      <c r="AB234" s="799"/>
      <c r="AC234" s="799"/>
      <c r="AD234" s="799"/>
      <c r="AE234" s="799"/>
      <c r="AF234" s="799"/>
      <c r="AG234" s="799"/>
      <c r="AH234" s="799"/>
      <c r="AI234" s="799"/>
      <c r="AJ234" s="799"/>
      <c r="AK234" s="799"/>
      <c r="AL234" s="799"/>
      <c r="AM234" s="799"/>
      <c r="AN234" s="799"/>
      <c r="AO234" s="799"/>
      <c r="AP234" s="799"/>
      <c r="AQ234" s="799"/>
      <c r="AR234" s="799"/>
      <c r="AS234" s="799"/>
      <c r="AT234" s="799"/>
      <c r="AU234" s="799"/>
      <c r="AV234" s="799"/>
      <c r="AW234" s="799"/>
      <c r="AX234" s="799"/>
      <c r="AY234" s="799"/>
      <c r="AZ234" s="799"/>
      <c r="BA234" s="799"/>
      <c r="BB234" s="799"/>
      <c r="BC234" s="799"/>
      <c r="BD234" s="799"/>
      <c r="BE234" s="799"/>
      <c r="BF234" s="799"/>
      <c r="BG234" s="799"/>
    </row>
    <row r="235">
      <c r="H235" s="799"/>
      <c r="I235" s="799"/>
      <c r="J235" s="799"/>
      <c r="K235" s="799"/>
      <c r="L235" s="799"/>
      <c r="M235" s="799"/>
      <c r="N235" s="799"/>
      <c r="O235" s="799"/>
      <c r="P235" s="799"/>
      <c r="Q235" s="799"/>
      <c r="R235" s="799"/>
      <c r="S235" s="799"/>
      <c r="T235" s="799"/>
      <c r="U235" s="799"/>
      <c r="V235" s="799"/>
      <c r="W235" s="799"/>
      <c r="X235" s="799"/>
      <c r="Y235" s="799"/>
      <c r="Z235" s="799"/>
      <c r="AA235" s="799"/>
      <c r="AB235" s="799"/>
      <c r="AC235" s="799"/>
      <c r="AD235" s="799"/>
      <c r="AE235" s="799"/>
      <c r="AF235" s="799"/>
      <c r="AG235" s="799"/>
      <c r="AH235" s="799"/>
      <c r="AI235" s="799"/>
      <c r="AJ235" s="799"/>
      <c r="AK235" s="799"/>
      <c r="AL235" s="799"/>
      <c r="AM235" s="799"/>
      <c r="AN235" s="799"/>
      <c r="AO235" s="799"/>
      <c r="AP235" s="799"/>
      <c r="AQ235" s="799"/>
      <c r="AR235" s="799"/>
      <c r="AS235" s="799"/>
      <c r="AT235" s="799"/>
      <c r="AU235" s="799"/>
      <c r="AV235" s="799"/>
      <c r="AW235" s="799"/>
      <c r="AX235" s="799"/>
      <c r="AY235" s="799"/>
      <c r="AZ235" s="799"/>
      <c r="BA235" s="799"/>
      <c r="BB235" s="799"/>
      <c r="BC235" s="799"/>
      <c r="BD235" s="799"/>
      <c r="BE235" s="799"/>
      <c r="BF235" s="799"/>
      <c r="BG235" s="799"/>
    </row>
    <row r="236">
      <c r="H236" s="799"/>
      <c r="I236" s="799"/>
      <c r="J236" s="799"/>
      <c r="K236" s="799"/>
      <c r="L236" s="799"/>
      <c r="M236" s="799"/>
      <c r="N236" s="799"/>
      <c r="O236" s="799"/>
      <c r="P236" s="799"/>
      <c r="Q236" s="799"/>
      <c r="R236" s="799"/>
      <c r="S236" s="799"/>
      <c r="T236" s="799"/>
      <c r="U236" s="799"/>
      <c r="V236" s="799"/>
      <c r="W236" s="799"/>
      <c r="X236" s="799"/>
      <c r="Y236" s="799"/>
      <c r="Z236" s="799"/>
      <c r="AA236" s="799"/>
      <c r="AB236" s="799"/>
      <c r="AC236" s="799"/>
      <c r="AD236" s="799"/>
      <c r="AE236" s="799"/>
      <c r="AF236" s="799"/>
      <c r="AG236" s="799"/>
      <c r="AH236" s="799"/>
      <c r="AI236" s="799"/>
      <c r="AJ236" s="799"/>
      <c r="AK236" s="799"/>
      <c r="AL236" s="799"/>
      <c r="AM236" s="799"/>
      <c r="AN236" s="799"/>
      <c r="AO236" s="799"/>
      <c r="AP236" s="799"/>
      <c r="AQ236" s="799"/>
      <c r="AR236" s="799"/>
      <c r="AS236" s="799"/>
      <c r="AT236" s="799"/>
      <c r="AU236" s="799"/>
      <c r="AV236" s="799"/>
      <c r="AW236" s="799"/>
      <c r="AX236" s="799"/>
      <c r="AY236" s="799"/>
      <c r="AZ236" s="799"/>
      <c r="BA236" s="799"/>
      <c r="BB236" s="799"/>
      <c r="BC236" s="799"/>
      <c r="BD236" s="799"/>
      <c r="BE236" s="799"/>
      <c r="BF236" s="799"/>
      <c r="BG236" s="799"/>
    </row>
    <row r="237">
      <c r="H237" s="799"/>
      <c r="I237" s="799"/>
      <c r="J237" s="799"/>
      <c r="K237" s="799"/>
      <c r="L237" s="799"/>
      <c r="M237" s="799"/>
      <c r="N237" s="799"/>
      <c r="O237" s="799"/>
      <c r="P237" s="799"/>
      <c r="Q237" s="799"/>
      <c r="R237" s="799"/>
      <c r="S237" s="799"/>
      <c r="T237" s="799"/>
      <c r="U237" s="799"/>
      <c r="V237" s="799"/>
      <c r="W237" s="799"/>
      <c r="X237" s="799"/>
      <c r="Y237" s="799"/>
      <c r="Z237" s="799"/>
      <c r="AA237" s="799"/>
      <c r="AB237" s="799"/>
      <c r="AC237" s="799"/>
      <c r="AD237" s="799"/>
      <c r="AE237" s="799"/>
      <c r="AF237" s="799"/>
      <c r="AG237" s="799"/>
      <c r="AH237" s="799"/>
      <c r="AI237" s="799"/>
      <c r="AJ237" s="799"/>
      <c r="AK237" s="799"/>
      <c r="AL237" s="799"/>
      <c r="AM237" s="799"/>
      <c r="AN237" s="799"/>
      <c r="AO237" s="799"/>
      <c r="AP237" s="799"/>
      <c r="AQ237" s="799"/>
      <c r="AR237" s="799"/>
      <c r="AS237" s="799"/>
      <c r="AT237" s="799"/>
      <c r="AU237" s="799"/>
      <c r="AV237" s="799"/>
      <c r="AW237" s="799"/>
      <c r="AX237" s="799"/>
      <c r="AY237" s="799"/>
      <c r="AZ237" s="799"/>
      <c r="BA237" s="799"/>
      <c r="BB237" s="799"/>
      <c r="BC237" s="799"/>
      <c r="BD237" s="799"/>
      <c r="BE237" s="799"/>
      <c r="BF237" s="799"/>
      <c r="BG237" s="799"/>
    </row>
    <row r="238">
      <c r="H238" s="799"/>
      <c r="I238" s="799"/>
      <c r="J238" s="799"/>
      <c r="K238" s="799"/>
      <c r="L238" s="799"/>
      <c r="M238" s="799"/>
      <c r="N238" s="799"/>
      <c r="O238" s="799"/>
      <c r="P238" s="799"/>
      <c r="Q238" s="799"/>
      <c r="R238" s="799"/>
      <c r="S238" s="799"/>
      <c r="T238" s="799"/>
      <c r="U238" s="799"/>
      <c r="V238" s="799"/>
      <c r="W238" s="799"/>
      <c r="X238" s="799"/>
      <c r="Y238" s="799"/>
      <c r="Z238" s="799"/>
      <c r="AA238" s="799"/>
      <c r="AB238" s="799"/>
      <c r="AC238" s="799"/>
      <c r="AD238" s="799"/>
      <c r="AE238" s="799"/>
      <c r="AF238" s="799"/>
      <c r="AG238" s="799"/>
      <c r="AH238" s="799"/>
      <c r="AI238" s="799"/>
      <c r="AJ238" s="799"/>
      <c r="AK238" s="799"/>
      <c r="AL238" s="799"/>
      <c r="AM238" s="799"/>
      <c r="AN238" s="799"/>
      <c r="AO238" s="799"/>
      <c r="AP238" s="799"/>
      <c r="AQ238" s="799"/>
      <c r="AR238" s="799"/>
      <c r="AS238" s="799"/>
      <c r="AT238" s="799"/>
      <c r="AU238" s="799"/>
      <c r="AV238" s="799"/>
      <c r="AW238" s="799"/>
      <c r="AX238" s="799"/>
      <c r="AY238" s="799"/>
      <c r="AZ238" s="799"/>
      <c r="BA238" s="799"/>
      <c r="BB238" s="799"/>
      <c r="BC238" s="799"/>
      <c r="BD238" s="799"/>
      <c r="BE238" s="799"/>
      <c r="BF238" s="799"/>
      <c r="BG238" s="799"/>
    </row>
    <row r="239">
      <c r="H239" s="799"/>
      <c r="I239" s="799"/>
      <c r="J239" s="799"/>
      <c r="K239" s="799"/>
      <c r="L239" s="799"/>
      <c r="M239" s="799"/>
      <c r="N239" s="799"/>
      <c r="O239" s="799"/>
      <c r="P239" s="799"/>
      <c r="Q239" s="799"/>
      <c r="R239" s="799"/>
      <c r="S239" s="799"/>
      <c r="T239" s="799"/>
      <c r="U239" s="799"/>
      <c r="V239" s="799"/>
      <c r="W239" s="799"/>
      <c r="X239" s="799"/>
      <c r="Y239" s="799"/>
      <c r="Z239" s="799"/>
      <c r="AA239" s="799"/>
      <c r="AB239" s="799"/>
      <c r="AC239" s="799"/>
      <c r="AD239" s="799"/>
      <c r="AE239" s="799"/>
      <c r="AF239" s="799"/>
      <c r="AG239" s="799"/>
      <c r="AH239" s="799"/>
      <c r="AI239" s="799"/>
      <c r="AJ239" s="799"/>
      <c r="AK239" s="799"/>
      <c r="AL239" s="799"/>
      <c r="AM239" s="799"/>
      <c r="AN239" s="799"/>
      <c r="AO239" s="799"/>
      <c r="AP239" s="799"/>
      <c r="AQ239" s="799"/>
      <c r="AR239" s="799"/>
      <c r="AS239" s="799"/>
      <c r="AT239" s="799"/>
      <c r="AU239" s="799"/>
      <c r="AV239" s="799"/>
      <c r="AW239" s="799"/>
      <c r="AX239" s="799"/>
      <c r="AY239" s="799"/>
      <c r="AZ239" s="799"/>
      <c r="BA239" s="799"/>
      <c r="BB239" s="799"/>
      <c r="BC239" s="799"/>
      <c r="BD239" s="799"/>
      <c r="BE239" s="799"/>
      <c r="BF239" s="799"/>
      <c r="BG239" s="799"/>
    </row>
    <row r="240">
      <c r="H240" s="799"/>
      <c r="I240" s="799"/>
      <c r="J240" s="799"/>
      <c r="K240" s="799"/>
      <c r="L240" s="799"/>
      <c r="M240" s="799"/>
      <c r="N240" s="799"/>
      <c r="O240" s="799"/>
      <c r="P240" s="799"/>
      <c r="Q240" s="799"/>
      <c r="R240" s="799"/>
      <c r="S240" s="799"/>
      <c r="T240" s="799"/>
      <c r="U240" s="799"/>
      <c r="V240" s="799"/>
      <c r="W240" s="799"/>
      <c r="X240" s="799"/>
      <c r="Y240" s="799"/>
      <c r="Z240" s="799"/>
      <c r="AA240" s="799"/>
      <c r="AB240" s="799"/>
      <c r="AC240" s="799"/>
      <c r="AD240" s="799"/>
      <c r="AE240" s="799"/>
      <c r="AF240" s="799"/>
      <c r="AG240" s="799"/>
      <c r="AH240" s="799"/>
      <c r="AI240" s="799"/>
      <c r="AJ240" s="799"/>
      <c r="AK240" s="799"/>
      <c r="AL240" s="799"/>
      <c r="AM240" s="799"/>
      <c r="AN240" s="799"/>
      <c r="AO240" s="799"/>
      <c r="AP240" s="799"/>
      <c r="AQ240" s="799"/>
      <c r="AR240" s="799"/>
      <c r="AS240" s="799"/>
      <c r="AT240" s="799"/>
      <c r="AU240" s="799"/>
      <c r="AV240" s="799"/>
      <c r="AW240" s="799"/>
      <c r="AX240" s="799"/>
      <c r="AY240" s="799"/>
      <c r="AZ240" s="799"/>
      <c r="BA240" s="799"/>
      <c r="BB240" s="799"/>
      <c r="BC240" s="799"/>
      <c r="BD240" s="799"/>
      <c r="BE240" s="799"/>
      <c r="BF240" s="799"/>
      <c r="BG240" s="799"/>
    </row>
    <row r="241">
      <c r="H241" s="799"/>
      <c r="I241" s="799"/>
      <c r="J241" s="799"/>
      <c r="K241" s="799"/>
      <c r="L241" s="799"/>
      <c r="M241" s="799"/>
      <c r="N241" s="799"/>
      <c r="O241" s="799"/>
      <c r="P241" s="799"/>
      <c r="Q241" s="799"/>
      <c r="R241" s="799"/>
      <c r="S241" s="799"/>
      <c r="T241" s="799"/>
      <c r="U241" s="799"/>
      <c r="V241" s="799"/>
      <c r="W241" s="799"/>
      <c r="X241" s="799"/>
      <c r="Y241" s="799"/>
      <c r="Z241" s="799"/>
      <c r="AA241" s="799"/>
      <c r="AB241" s="799"/>
      <c r="AC241" s="799"/>
      <c r="AD241" s="799"/>
      <c r="AE241" s="799"/>
      <c r="AF241" s="799"/>
      <c r="AG241" s="799"/>
      <c r="AH241" s="799"/>
      <c r="AI241" s="799"/>
      <c r="AJ241" s="799"/>
      <c r="AK241" s="799"/>
      <c r="AL241" s="799"/>
      <c r="AM241" s="799"/>
      <c r="AN241" s="799"/>
      <c r="AO241" s="799"/>
      <c r="AP241" s="799"/>
      <c r="AQ241" s="799"/>
      <c r="AR241" s="799"/>
      <c r="AS241" s="799"/>
      <c r="AT241" s="799"/>
      <c r="AU241" s="799"/>
      <c r="AV241" s="799"/>
      <c r="AW241" s="799"/>
      <c r="AX241" s="799"/>
      <c r="AY241" s="799"/>
      <c r="AZ241" s="799"/>
      <c r="BA241" s="799"/>
      <c r="BB241" s="799"/>
      <c r="BC241" s="799"/>
      <c r="BD241" s="799"/>
      <c r="BE241" s="799"/>
      <c r="BF241" s="799"/>
      <c r="BG241" s="799"/>
    </row>
    <row r="242">
      <c r="H242" s="799"/>
      <c r="I242" s="799"/>
      <c r="J242" s="799"/>
      <c r="K242" s="799"/>
      <c r="L242" s="799"/>
      <c r="M242" s="799"/>
      <c r="N242" s="799"/>
      <c r="O242" s="799"/>
      <c r="P242" s="799"/>
      <c r="Q242" s="799"/>
      <c r="R242" s="799"/>
      <c r="S242" s="799"/>
      <c r="T242" s="799"/>
      <c r="U242" s="799"/>
      <c r="V242" s="799"/>
      <c r="W242" s="799"/>
      <c r="X242" s="799"/>
      <c r="Y242" s="799"/>
      <c r="Z242" s="799"/>
      <c r="AA242" s="799"/>
      <c r="AB242" s="799"/>
      <c r="AC242" s="799"/>
      <c r="AD242" s="799"/>
      <c r="AE242" s="799"/>
      <c r="AF242" s="799"/>
      <c r="AG242" s="799"/>
      <c r="AH242" s="799"/>
      <c r="AI242" s="799"/>
      <c r="AJ242" s="799"/>
      <c r="AK242" s="799"/>
      <c r="AL242" s="799"/>
      <c r="AM242" s="799"/>
      <c r="AN242" s="799"/>
      <c r="AO242" s="799"/>
      <c r="AP242" s="799"/>
      <c r="AQ242" s="799"/>
      <c r="AR242" s="799"/>
      <c r="AS242" s="799"/>
      <c r="AT242" s="799"/>
      <c r="AU242" s="799"/>
      <c r="AV242" s="799"/>
      <c r="AW242" s="799"/>
      <c r="AX242" s="799"/>
      <c r="AY242" s="799"/>
      <c r="AZ242" s="799"/>
      <c r="BA242" s="799"/>
      <c r="BB242" s="799"/>
      <c r="BC242" s="799"/>
      <c r="BD242" s="799"/>
      <c r="BE242" s="799"/>
      <c r="BF242" s="799"/>
      <c r="BG242" s="799"/>
    </row>
    <row r="243">
      <c r="H243" s="799"/>
      <c r="I243" s="799"/>
      <c r="J243" s="799"/>
      <c r="K243" s="799"/>
      <c r="L243" s="799"/>
      <c r="M243" s="799"/>
      <c r="N243" s="799"/>
      <c r="O243" s="799"/>
      <c r="P243" s="799"/>
      <c r="Q243" s="799"/>
      <c r="R243" s="799"/>
      <c r="S243" s="799"/>
      <c r="T243" s="799"/>
      <c r="U243" s="799"/>
      <c r="V243" s="799"/>
      <c r="W243" s="799"/>
      <c r="X243" s="799"/>
      <c r="Y243" s="799"/>
      <c r="Z243" s="799"/>
      <c r="AA243" s="799"/>
      <c r="AB243" s="799"/>
      <c r="AC243" s="799"/>
      <c r="AD243" s="799"/>
      <c r="AE243" s="799"/>
      <c r="AF243" s="799"/>
      <c r="AG243" s="799"/>
      <c r="AH243" s="799"/>
      <c r="AI243" s="799"/>
      <c r="AJ243" s="799"/>
      <c r="AK243" s="799"/>
      <c r="AL243" s="799"/>
      <c r="AM243" s="799"/>
      <c r="AN243" s="799"/>
      <c r="AO243" s="799"/>
      <c r="AP243" s="799"/>
      <c r="AQ243" s="799"/>
      <c r="AR243" s="799"/>
      <c r="AS243" s="799"/>
      <c r="AT243" s="799"/>
      <c r="AU243" s="799"/>
      <c r="AV243" s="799"/>
      <c r="AW243" s="799"/>
      <c r="AX243" s="799"/>
      <c r="AY243" s="799"/>
      <c r="AZ243" s="799"/>
      <c r="BA243" s="799"/>
      <c r="BB243" s="799"/>
      <c r="BC243" s="799"/>
      <c r="BD243" s="799"/>
      <c r="BE243" s="799"/>
      <c r="BF243" s="799"/>
      <c r="BG243" s="799"/>
    </row>
    <row r="244">
      <c r="H244" s="799"/>
      <c r="I244" s="799"/>
      <c r="J244" s="799"/>
      <c r="K244" s="799"/>
      <c r="L244" s="799"/>
      <c r="M244" s="799"/>
      <c r="N244" s="799"/>
      <c r="O244" s="799"/>
      <c r="P244" s="799"/>
      <c r="Q244" s="799"/>
      <c r="R244" s="799"/>
      <c r="S244" s="799"/>
      <c r="T244" s="799"/>
      <c r="U244" s="799"/>
      <c r="V244" s="799"/>
      <c r="W244" s="799"/>
      <c r="X244" s="799"/>
      <c r="Y244" s="799"/>
      <c r="Z244" s="799"/>
      <c r="AA244" s="799"/>
      <c r="AB244" s="799"/>
      <c r="AC244" s="799"/>
      <c r="AD244" s="799"/>
      <c r="AE244" s="799"/>
      <c r="AF244" s="799"/>
      <c r="AG244" s="799"/>
      <c r="AH244" s="799"/>
      <c r="AI244" s="799"/>
      <c r="AJ244" s="799"/>
      <c r="AK244" s="799"/>
      <c r="AL244" s="799"/>
      <c r="AM244" s="799"/>
      <c r="AN244" s="799"/>
      <c r="AO244" s="799"/>
      <c r="AP244" s="799"/>
      <c r="AQ244" s="799"/>
      <c r="AR244" s="799"/>
      <c r="AS244" s="799"/>
      <c r="AT244" s="799"/>
      <c r="AU244" s="799"/>
      <c r="AV244" s="799"/>
      <c r="AW244" s="799"/>
      <c r="AX244" s="799"/>
      <c r="AY244" s="799"/>
      <c r="AZ244" s="799"/>
      <c r="BA244" s="799"/>
      <c r="BB244" s="799"/>
      <c r="BC244" s="799"/>
      <c r="BD244" s="799"/>
      <c r="BE244" s="799"/>
      <c r="BF244" s="799"/>
      <c r="BG244" s="799"/>
    </row>
    <row r="245">
      <c r="H245" s="799"/>
      <c r="I245" s="799"/>
      <c r="J245" s="799"/>
      <c r="K245" s="799"/>
      <c r="L245" s="799"/>
      <c r="M245" s="799"/>
      <c r="N245" s="799"/>
      <c r="O245" s="799"/>
      <c r="P245" s="799"/>
      <c r="Q245" s="799"/>
      <c r="R245" s="799"/>
      <c r="S245" s="799"/>
      <c r="T245" s="799"/>
      <c r="U245" s="799"/>
      <c r="V245" s="799"/>
      <c r="W245" s="799"/>
      <c r="X245" s="799"/>
      <c r="Y245" s="799"/>
      <c r="Z245" s="799"/>
      <c r="AA245" s="799"/>
      <c r="AB245" s="799"/>
      <c r="AC245" s="799"/>
      <c r="AD245" s="799"/>
      <c r="AE245" s="799"/>
      <c r="AF245" s="799"/>
      <c r="AG245" s="799"/>
      <c r="AH245" s="799"/>
      <c r="AI245" s="799"/>
      <c r="AJ245" s="799"/>
      <c r="AK245" s="799"/>
      <c r="AL245" s="799"/>
      <c r="AM245" s="799"/>
      <c r="AN245" s="799"/>
      <c r="AO245" s="799"/>
      <c r="AP245" s="799"/>
      <c r="AQ245" s="799"/>
      <c r="AR245" s="799"/>
      <c r="AS245" s="799"/>
      <c r="AT245" s="799"/>
      <c r="AU245" s="799"/>
      <c r="AV245" s="799"/>
      <c r="AW245" s="799"/>
      <c r="AX245" s="799"/>
      <c r="AY245" s="799"/>
      <c r="AZ245" s="799"/>
      <c r="BA245" s="799"/>
      <c r="BB245" s="799"/>
      <c r="BC245" s="799"/>
      <c r="BD245" s="799"/>
      <c r="BE245" s="799"/>
      <c r="BF245" s="799"/>
      <c r="BG245" s="799"/>
    </row>
    <row r="246">
      <c r="H246" s="799"/>
      <c r="I246" s="799"/>
      <c r="J246" s="799"/>
      <c r="K246" s="799"/>
      <c r="L246" s="799"/>
      <c r="M246" s="799"/>
      <c r="N246" s="799"/>
      <c r="O246" s="799"/>
      <c r="P246" s="799"/>
      <c r="Q246" s="799"/>
      <c r="R246" s="799"/>
      <c r="S246" s="799"/>
      <c r="T246" s="799"/>
      <c r="U246" s="799"/>
      <c r="V246" s="799"/>
      <c r="W246" s="799"/>
      <c r="X246" s="799"/>
      <c r="Y246" s="799"/>
      <c r="Z246" s="799"/>
      <c r="AA246" s="799"/>
      <c r="AB246" s="799"/>
      <c r="AC246" s="799"/>
      <c r="AD246" s="799"/>
      <c r="AE246" s="799"/>
      <c r="AF246" s="799"/>
      <c r="AG246" s="799"/>
      <c r="AH246" s="799"/>
      <c r="AI246" s="799"/>
      <c r="AJ246" s="799"/>
      <c r="AK246" s="799"/>
      <c r="AL246" s="799"/>
      <c r="AM246" s="799"/>
      <c r="AN246" s="799"/>
      <c r="AO246" s="799"/>
      <c r="AP246" s="799"/>
      <c r="AQ246" s="799"/>
      <c r="AR246" s="799"/>
      <c r="AS246" s="799"/>
      <c r="AT246" s="799"/>
      <c r="AU246" s="799"/>
      <c r="AV246" s="799"/>
      <c r="AW246" s="799"/>
      <c r="AX246" s="799"/>
      <c r="AY246" s="799"/>
      <c r="AZ246" s="799"/>
      <c r="BA246" s="799"/>
      <c r="BB246" s="799"/>
      <c r="BC246" s="799"/>
      <c r="BD246" s="799"/>
      <c r="BE246" s="799"/>
      <c r="BF246" s="799"/>
      <c r="BG246" s="799"/>
    </row>
    <row r="247">
      <c r="H247" s="799"/>
      <c r="I247" s="799"/>
      <c r="J247" s="799"/>
      <c r="K247" s="799"/>
      <c r="L247" s="799"/>
      <c r="M247" s="799"/>
      <c r="N247" s="799"/>
      <c r="O247" s="799"/>
      <c r="P247" s="799"/>
      <c r="Q247" s="799"/>
      <c r="R247" s="799"/>
      <c r="S247" s="799"/>
      <c r="T247" s="799"/>
      <c r="U247" s="799"/>
      <c r="V247" s="799"/>
      <c r="W247" s="799"/>
      <c r="X247" s="799"/>
      <c r="Y247" s="799"/>
      <c r="Z247" s="799"/>
      <c r="AA247" s="799"/>
      <c r="AB247" s="799"/>
      <c r="AC247" s="799"/>
      <c r="AD247" s="799"/>
      <c r="AE247" s="799"/>
      <c r="AF247" s="799"/>
      <c r="AG247" s="799"/>
      <c r="AH247" s="799"/>
      <c r="AI247" s="799"/>
      <c r="AJ247" s="799"/>
      <c r="AK247" s="799"/>
      <c r="AL247" s="799"/>
      <c r="AM247" s="799"/>
      <c r="AN247" s="799"/>
      <c r="AO247" s="799"/>
      <c r="AP247" s="799"/>
      <c r="AQ247" s="799"/>
      <c r="AR247" s="799"/>
      <c r="AS247" s="799"/>
      <c r="AT247" s="799"/>
      <c r="AU247" s="799"/>
      <c r="AV247" s="799"/>
      <c r="AW247" s="799"/>
      <c r="AX247" s="799"/>
      <c r="AY247" s="799"/>
      <c r="AZ247" s="799"/>
      <c r="BA247" s="799"/>
      <c r="BB247" s="799"/>
      <c r="BC247" s="799"/>
      <c r="BD247" s="799"/>
      <c r="BE247" s="799"/>
      <c r="BF247" s="799"/>
      <c r="BG247" s="799"/>
    </row>
    <row r="248">
      <c r="H248" s="799"/>
      <c r="I248" s="799"/>
      <c r="J248" s="799"/>
      <c r="K248" s="799"/>
      <c r="L248" s="799"/>
      <c r="M248" s="799"/>
      <c r="N248" s="799"/>
      <c r="O248" s="799"/>
      <c r="P248" s="799"/>
      <c r="Q248" s="799"/>
      <c r="R248" s="799"/>
      <c r="S248" s="799"/>
      <c r="T248" s="799"/>
      <c r="U248" s="799"/>
      <c r="V248" s="799"/>
      <c r="W248" s="799"/>
      <c r="X248" s="799"/>
      <c r="Y248" s="799"/>
      <c r="Z248" s="799"/>
      <c r="AA248" s="799"/>
      <c r="AB248" s="799"/>
      <c r="AC248" s="799"/>
      <c r="AD248" s="799"/>
      <c r="AE248" s="799"/>
      <c r="AF248" s="799"/>
      <c r="AG248" s="799"/>
      <c r="AH248" s="799"/>
      <c r="AI248" s="799"/>
      <c r="AJ248" s="799"/>
      <c r="AK248" s="799"/>
      <c r="AL248" s="799"/>
      <c r="AM248" s="799"/>
      <c r="AN248" s="799"/>
      <c r="AO248" s="799"/>
      <c r="AP248" s="799"/>
      <c r="AQ248" s="799"/>
      <c r="AR248" s="799"/>
      <c r="AS248" s="799"/>
      <c r="AT248" s="799"/>
      <c r="AU248" s="799"/>
      <c r="AV248" s="799"/>
      <c r="AW248" s="799"/>
      <c r="AX248" s="799"/>
      <c r="AY248" s="799"/>
      <c r="AZ248" s="799"/>
      <c r="BA248" s="799"/>
      <c r="BB248" s="799"/>
      <c r="BC248" s="799"/>
      <c r="BD248" s="799"/>
      <c r="BE248" s="799"/>
      <c r="BF248" s="799"/>
      <c r="BG248" s="799"/>
    </row>
    <row r="249">
      <c r="H249" s="799"/>
      <c r="I249" s="799"/>
      <c r="J249" s="799"/>
      <c r="K249" s="799"/>
      <c r="L249" s="799"/>
      <c r="M249" s="799"/>
      <c r="N249" s="799"/>
      <c r="O249" s="799"/>
      <c r="P249" s="799"/>
      <c r="Q249" s="799"/>
      <c r="R249" s="799"/>
      <c r="S249" s="799"/>
      <c r="T249" s="799"/>
      <c r="U249" s="799"/>
      <c r="V249" s="799"/>
      <c r="W249" s="799"/>
      <c r="X249" s="799"/>
      <c r="Y249" s="799"/>
      <c r="Z249" s="799"/>
      <c r="AA249" s="799"/>
      <c r="AB249" s="799"/>
      <c r="AC249" s="799"/>
      <c r="AD249" s="799"/>
      <c r="AE249" s="799"/>
      <c r="AF249" s="799"/>
      <c r="AG249" s="799"/>
      <c r="AH249" s="799"/>
      <c r="AI249" s="799"/>
      <c r="AJ249" s="799"/>
      <c r="AK249" s="799"/>
      <c r="AL249" s="799"/>
      <c r="AM249" s="799"/>
      <c r="AN249" s="799"/>
      <c r="AO249" s="799"/>
      <c r="AP249" s="799"/>
      <c r="AQ249" s="799"/>
      <c r="AR249" s="799"/>
      <c r="AS249" s="799"/>
      <c r="AT249" s="799"/>
      <c r="AU249" s="799"/>
      <c r="AV249" s="799"/>
      <c r="AW249" s="799"/>
      <c r="AX249" s="799"/>
      <c r="AY249" s="799"/>
      <c r="AZ249" s="799"/>
      <c r="BA249" s="799"/>
      <c r="BB249" s="799"/>
      <c r="BC249" s="799"/>
      <c r="BD249" s="799"/>
      <c r="BE249" s="799"/>
      <c r="BF249" s="799"/>
      <c r="BG249" s="799"/>
    </row>
    <row r="250">
      <c r="H250" s="799"/>
      <c r="I250" s="799"/>
      <c r="J250" s="799"/>
      <c r="K250" s="799"/>
      <c r="L250" s="799"/>
      <c r="M250" s="799"/>
      <c r="N250" s="799"/>
      <c r="O250" s="799"/>
      <c r="P250" s="799"/>
      <c r="Q250" s="799"/>
      <c r="R250" s="799"/>
      <c r="S250" s="799"/>
      <c r="T250" s="799"/>
      <c r="U250" s="799"/>
      <c r="V250" s="799"/>
      <c r="W250" s="799"/>
      <c r="X250" s="799"/>
      <c r="Y250" s="799"/>
      <c r="Z250" s="799"/>
      <c r="AA250" s="799"/>
      <c r="AB250" s="799"/>
      <c r="AC250" s="799"/>
      <c r="AD250" s="799"/>
      <c r="AE250" s="799"/>
      <c r="AF250" s="799"/>
      <c r="AG250" s="799"/>
      <c r="AH250" s="799"/>
      <c r="AI250" s="799"/>
      <c r="AJ250" s="799"/>
      <c r="AK250" s="799"/>
      <c r="AL250" s="799"/>
      <c r="AM250" s="799"/>
      <c r="AN250" s="799"/>
      <c r="AO250" s="799"/>
      <c r="AP250" s="799"/>
      <c r="AQ250" s="799"/>
      <c r="AR250" s="799"/>
      <c r="AS250" s="799"/>
      <c r="AT250" s="799"/>
      <c r="AU250" s="799"/>
      <c r="AV250" s="799"/>
      <c r="AW250" s="799"/>
      <c r="AX250" s="799"/>
      <c r="AY250" s="799"/>
      <c r="AZ250" s="799"/>
      <c r="BA250" s="799"/>
      <c r="BB250" s="799"/>
      <c r="BC250" s="799"/>
      <c r="BD250" s="799"/>
      <c r="BE250" s="799"/>
      <c r="BF250" s="799"/>
      <c r="BG250" s="799"/>
    </row>
    <row r="251">
      <c r="H251" s="799"/>
      <c r="I251" s="799"/>
      <c r="J251" s="799"/>
      <c r="K251" s="799"/>
      <c r="L251" s="799"/>
      <c r="M251" s="799"/>
      <c r="N251" s="799"/>
      <c r="O251" s="799"/>
      <c r="P251" s="799"/>
      <c r="Q251" s="799"/>
      <c r="R251" s="799"/>
      <c r="S251" s="799"/>
      <c r="T251" s="799"/>
      <c r="U251" s="799"/>
      <c r="V251" s="799"/>
      <c r="W251" s="799"/>
      <c r="X251" s="799"/>
      <c r="Y251" s="799"/>
      <c r="Z251" s="799"/>
      <c r="AA251" s="799"/>
      <c r="AB251" s="799"/>
      <c r="AC251" s="799"/>
      <c r="AD251" s="799"/>
      <c r="AE251" s="799"/>
      <c r="AF251" s="799"/>
      <c r="AG251" s="799"/>
      <c r="AH251" s="799"/>
      <c r="AI251" s="799"/>
      <c r="AJ251" s="799"/>
      <c r="AK251" s="799"/>
      <c r="AL251" s="799"/>
      <c r="AM251" s="799"/>
      <c r="AN251" s="799"/>
      <c r="AO251" s="799"/>
      <c r="AP251" s="799"/>
      <c r="AQ251" s="799"/>
      <c r="AR251" s="799"/>
      <c r="AS251" s="799"/>
      <c r="AT251" s="799"/>
      <c r="AU251" s="799"/>
      <c r="AV251" s="799"/>
      <c r="AW251" s="799"/>
      <c r="AX251" s="799"/>
      <c r="AY251" s="799"/>
      <c r="AZ251" s="799"/>
      <c r="BA251" s="799"/>
      <c r="BB251" s="799"/>
      <c r="BC251" s="799"/>
      <c r="BD251" s="799"/>
      <c r="BE251" s="799"/>
      <c r="BF251" s="799"/>
      <c r="BG251" s="799"/>
    </row>
    <row r="252">
      <c r="H252" s="799"/>
      <c r="I252" s="799"/>
      <c r="J252" s="799"/>
      <c r="K252" s="799"/>
      <c r="L252" s="799"/>
      <c r="M252" s="799"/>
      <c r="N252" s="799"/>
      <c r="O252" s="799"/>
      <c r="P252" s="799"/>
      <c r="Q252" s="799"/>
      <c r="R252" s="799"/>
      <c r="S252" s="799"/>
      <c r="T252" s="799"/>
      <c r="U252" s="799"/>
      <c r="V252" s="799"/>
      <c r="W252" s="799"/>
      <c r="X252" s="799"/>
      <c r="Y252" s="799"/>
      <c r="Z252" s="799"/>
      <c r="AA252" s="799"/>
      <c r="AB252" s="799"/>
      <c r="AC252" s="799"/>
      <c r="AD252" s="799"/>
      <c r="AE252" s="799"/>
      <c r="AF252" s="799"/>
      <c r="AG252" s="799"/>
      <c r="AH252" s="799"/>
      <c r="AI252" s="799"/>
      <c r="AJ252" s="799"/>
      <c r="AK252" s="799"/>
      <c r="AL252" s="799"/>
      <c r="AM252" s="799"/>
      <c r="AN252" s="799"/>
      <c r="AO252" s="799"/>
      <c r="AP252" s="799"/>
      <c r="AQ252" s="799"/>
      <c r="AR252" s="799"/>
      <c r="AS252" s="799"/>
      <c r="AT252" s="799"/>
      <c r="AU252" s="799"/>
      <c r="AV252" s="799"/>
      <c r="AW252" s="799"/>
      <c r="AX252" s="799"/>
      <c r="AY252" s="799"/>
      <c r="AZ252" s="799"/>
      <c r="BA252" s="799"/>
      <c r="BB252" s="799"/>
      <c r="BC252" s="799"/>
      <c r="BD252" s="799"/>
      <c r="BE252" s="799"/>
      <c r="BF252" s="799"/>
      <c r="BG252" s="799"/>
    </row>
    <row r="253">
      <c r="H253" s="799"/>
      <c r="I253" s="799"/>
      <c r="J253" s="799"/>
      <c r="K253" s="799"/>
      <c r="L253" s="799"/>
      <c r="M253" s="799"/>
      <c r="N253" s="799"/>
      <c r="O253" s="799"/>
      <c r="P253" s="799"/>
      <c r="Q253" s="799"/>
      <c r="R253" s="799"/>
      <c r="S253" s="799"/>
      <c r="T253" s="799"/>
      <c r="U253" s="799"/>
      <c r="V253" s="799"/>
      <c r="W253" s="799"/>
      <c r="X253" s="799"/>
      <c r="Y253" s="799"/>
      <c r="Z253" s="799"/>
      <c r="AA253" s="799"/>
      <c r="AB253" s="799"/>
      <c r="AC253" s="799"/>
      <c r="AD253" s="799"/>
      <c r="AE253" s="799"/>
      <c r="AF253" s="799"/>
      <c r="AG253" s="799"/>
      <c r="AH253" s="799"/>
      <c r="AI253" s="799"/>
      <c r="AJ253" s="799"/>
      <c r="AK253" s="799"/>
      <c r="AL253" s="799"/>
      <c r="AM253" s="799"/>
      <c r="AN253" s="799"/>
      <c r="AO253" s="799"/>
      <c r="AP253" s="799"/>
      <c r="AQ253" s="799"/>
      <c r="AR253" s="799"/>
      <c r="AS253" s="799"/>
      <c r="AT253" s="799"/>
      <c r="AU253" s="799"/>
      <c r="AV253" s="799"/>
      <c r="AW253" s="799"/>
      <c r="AX253" s="799"/>
      <c r="AY253" s="799"/>
      <c r="AZ253" s="799"/>
      <c r="BA253" s="799"/>
      <c r="BB253" s="799"/>
      <c r="BC253" s="799"/>
      <c r="BD253" s="799"/>
      <c r="BE253" s="799"/>
      <c r="BF253" s="799"/>
      <c r="BG253" s="799"/>
    </row>
    <row r="254">
      <c r="H254" s="799"/>
      <c r="I254" s="799"/>
      <c r="J254" s="799"/>
      <c r="K254" s="799"/>
      <c r="L254" s="799"/>
      <c r="M254" s="799"/>
      <c r="N254" s="799"/>
      <c r="O254" s="799"/>
      <c r="P254" s="799"/>
      <c r="Q254" s="799"/>
      <c r="R254" s="799"/>
      <c r="S254" s="799"/>
      <c r="T254" s="799"/>
      <c r="U254" s="799"/>
      <c r="V254" s="799"/>
      <c r="W254" s="799"/>
      <c r="X254" s="799"/>
      <c r="Y254" s="799"/>
      <c r="Z254" s="799"/>
      <c r="AA254" s="799"/>
      <c r="AB254" s="799"/>
      <c r="AC254" s="799"/>
      <c r="AD254" s="799"/>
      <c r="AE254" s="799"/>
      <c r="AF254" s="799"/>
      <c r="AG254" s="799"/>
      <c r="AH254" s="799"/>
      <c r="AI254" s="799"/>
      <c r="AJ254" s="799"/>
      <c r="AK254" s="799"/>
      <c r="AL254" s="799"/>
      <c r="AM254" s="799"/>
      <c r="AN254" s="799"/>
      <c r="AO254" s="799"/>
      <c r="AP254" s="799"/>
      <c r="AQ254" s="799"/>
      <c r="AR254" s="799"/>
      <c r="AS254" s="799"/>
      <c r="AT254" s="799"/>
      <c r="AU254" s="799"/>
      <c r="AV254" s="799"/>
      <c r="AW254" s="799"/>
      <c r="AX254" s="799"/>
      <c r="AY254" s="799"/>
      <c r="AZ254" s="799"/>
      <c r="BA254" s="799"/>
      <c r="BB254" s="799"/>
      <c r="BC254" s="799"/>
      <c r="BD254" s="799"/>
      <c r="BE254" s="799"/>
      <c r="BF254" s="799"/>
      <c r="BG254" s="799"/>
    </row>
    <row r="255">
      <c r="H255" s="799"/>
      <c r="I255" s="799"/>
      <c r="J255" s="799"/>
      <c r="K255" s="799"/>
      <c r="L255" s="799"/>
      <c r="M255" s="799"/>
      <c r="N255" s="799"/>
      <c r="O255" s="799"/>
      <c r="P255" s="799"/>
      <c r="Q255" s="799"/>
      <c r="R255" s="799"/>
      <c r="S255" s="799"/>
      <c r="T255" s="799"/>
      <c r="U255" s="799"/>
      <c r="V255" s="799"/>
      <c r="W255" s="799"/>
      <c r="X255" s="799"/>
      <c r="Y255" s="799"/>
      <c r="Z255" s="799"/>
      <c r="AA255" s="799"/>
      <c r="AB255" s="799"/>
      <c r="AC255" s="799"/>
      <c r="AD255" s="799"/>
      <c r="AE255" s="799"/>
      <c r="AF255" s="799"/>
      <c r="AG255" s="799"/>
      <c r="AH255" s="799"/>
      <c r="AI255" s="799"/>
      <c r="AJ255" s="799"/>
      <c r="AK255" s="799"/>
      <c r="AL255" s="799"/>
      <c r="AM255" s="799"/>
      <c r="AN255" s="799"/>
      <c r="AO255" s="799"/>
      <c r="AP255" s="799"/>
      <c r="AQ255" s="799"/>
      <c r="AR255" s="799"/>
      <c r="AS255" s="799"/>
      <c r="AT255" s="799"/>
      <c r="AU255" s="799"/>
      <c r="AV255" s="799"/>
      <c r="AW255" s="799"/>
      <c r="AX255" s="799"/>
      <c r="AY255" s="799"/>
      <c r="AZ255" s="799"/>
      <c r="BA255" s="799"/>
      <c r="BB255" s="799"/>
      <c r="BC255" s="799"/>
      <c r="BD255" s="799"/>
      <c r="BE255" s="799"/>
      <c r="BF255" s="799"/>
      <c r="BG255" s="799"/>
    </row>
    <row r="256">
      <c r="H256" s="799"/>
      <c r="I256" s="799"/>
      <c r="J256" s="799"/>
      <c r="K256" s="799"/>
      <c r="L256" s="799"/>
      <c r="M256" s="799"/>
      <c r="N256" s="799"/>
      <c r="O256" s="799"/>
      <c r="P256" s="799"/>
      <c r="Q256" s="799"/>
      <c r="R256" s="799"/>
      <c r="S256" s="799"/>
      <c r="T256" s="799"/>
      <c r="U256" s="799"/>
      <c r="V256" s="799"/>
      <c r="W256" s="799"/>
      <c r="X256" s="799"/>
      <c r="Y256" s="799"/>
      <c r="Z256" s="799"/>
      <c r="AA256" s="799"/>
      <c r="AB256" s="799"/>
      <c r="AC256" s="799"/>
      <c r="AD256" s="799"/>
      <c r="AE256" s="799"/>
      <c r="AF256" s="799"/>
      <c r="AG256" s="799"/>
      <c r="AH256" s="799"/>
      <c r="AI256" s="799"/>
      <c r="AJ256" s="799"/>
      <c r="AK256" s="799"/>
      <c r="AL256" s="799"/>
      <c r="AM256" s="799"/>
      <c r="AN256" s="799"/>
      <c r="AO256" s="799"/>
      <c r="AP256" s="799"/>
      <c r="AQ256" s="799"/>
      <c r="AR256" s="799"/>
      <c r="AS256" s="799"/>
      <c r="AT256" s="799"/>
      <c r="AU256" s="799"/>
      <c r="AV256" s="799"/>
      <c r="AW256" s="799"/>
      <c r="AX256" s="799"/>
      <c r="AY256" s="799"/>
      <c r="AZ256" s="799"/>
      <c r="BA256" s="799"/>
      <c r="BB256" s="799"/>
      <c r="BC256" s="799"/>
      <c r="BD256" s="799"/>
      <c r="BE256" s="799"/>
      <c r="BF256" s="799"/>
      <c r="BG256" s="799"/>
    </row>
    <row r="257">
      <c r="H257" s="799"/>
      <c r="I257" s="799"/>
      <c r="J257" s="799"/>
      <c r="K257" s="799"/>
      <c r="L257" s="799"/>
      <c r="M257" s="799"/>
      <c r="N257" s="799"/>
      <c r="O257" s="799"/>
      <c r="P257" s="799"/>
      <c r="Q257" s="799"/>
      <c r="R257" s="799"/>
      <c r="S257" s="799"/>
      <c r="T257" s="799"/>
      <c r="U257" s="799"/>
      <c r="V257" s="799"/>
      <c r="W257" s="799"/>
      <c r="X257" s="799"/>
      <c r="Y257" s="799"/>
      <c r="Z257" s="799"/>
      <c r="AA257" s="799"/>
      <c r="AB257" s="799"/>
      <c r="AC257" s="799"/>
      <c r="AD257" s="799"/>
      <c r="AE257" s="799"/>
      <c r="AF257" s="799"/>
      <c r="AG257" s="799"/>
      <c r="AH257" s="799"/>
      <c r="AI257" s="799"/>
      <c r="AJ257" s="799"/>
      <c r="AK257" s="799"/>
      <c r="AL257" s="799"/>
      <c r="AM257" s="799"/>
      <c r="AN257" s="799"/>
      <c r="AO257" s="799"/>
      <c r="AP257" s="799"/>
      <c r="AQ257" s="799"/>
      <c r="AR257" s="799"/>
      <c r="AS257" s="799"/>
      <c r="AT257" s="799"/>
      <c r="AU257" s="799"/>
      <c r="AV257" s="799"/>
      <c r="AW257" s="799"/>
      <c r="AX257" s="799"/>
      <c r="AY257" s="799"/>
      <c r="AZ257" s="799"/>
      <c r="BA257" s="799"/>
      <c r="BB257" s="799"/>
      <c r="BC257" s="799"/>
      <c r="BD257" s="799"/>
      <c r="BE257" s="799"/>
      <c r="BF257" s="799"/>
      <c r="BG257" s="799"/>
    </row>
    <row r="258">
      <c r="H258" s="799"/>
      <c r="I258" s="799"/>
      <c r="J258" s="799"/>
      <c r="K258" s="799"/>
      <c r="L258" s="799"/>
      <c r="M258" s="799"/>
      <c r="N258" s="799"/>
      <c r="O258" s="799"/>
      <c r="P258" s="799"/>
      <c r="Q258" s="799"/>
      <c r="R258" s="799"/>
      <c r="S258" s="799"/>
      <c r="T258" s="799"/>
      <c r="U258" s="799"/>
      <c r="V258" s="799"/>
      <c r="W258" s="799"/>
      <c r="X258" s="799"/>
      <c r="Y258" s="799"/>
      <c r="Z258" s="799"/>
      <c r="AA258" s="799"/>
      <c r="AB258" s="799"/>
      <c r="AC258" s="799"/>
      <c r="AD258" s="799"/>
      <c r="AE258" s="799"/>
      <c r="AF258" s="799"/>
      <c r="AG258" s="799"/>
      <c r="AH258" s="799"/>
      <c r="AI258" s="799"/>
      <c r="AJ258" s="799"/>
      <c r="AK258" s="799"/>
      <c r="AL258" s="799"/>
      <c r="AM258" s="799"/>
      <c r="AN258" s="799"/>
      <c r="AO258" s="799"/>
      <c r="AP258" s="799"/>
      <c r="AQ258" s="799"/>
      <c r="AR258" s="799"/>
      <c r="AS258" s="799"/>
      <c r="AT258" s="799"/>
      <c r="AU258" s="799"/>
      <c r="AV258" s="799"/>
      <c r="AW258" s="799"/>
      <c r="AX258" s="799"/>
      <c r="AY258" s="799"/>
      <c r="AZ258" s="799"/>
      <c r="BA258" s="799"/>
      <c r="BB258" s="799"/>
      <c r="BC258" s="799"/>
      <c r="BD258" s="799"/>
      <c r="BE258" s="799"/>
      <c r="BF258" s="799"/>
      <c r="BG258" s="799"/>
    </row>
    <row r="259">
      <c r="H259" s="799"/>
      <c r="I259" s="799"/>
      <c r="J259" s="799"/>
      <c r="K259" s="799"/>
      <c r="L259" s="799"/>
      <c r="M259" s="799"/>
      <c r="N259" s="799"/>
      <c r="O259" s="799"/>
      <c r="P259" s="799"/>
      <c r="Q259" s="799"/>
      <c r="R259" s="799"/>
      <c r="S259" s="799"/>
      <c r="T259" s="799"/>
      <c r="U259" s="799"/>
      <c r="V259" s="799"/>
      <c r="W259" s="799"/>
      <c r="X259" s="799"/>
      <c r="Y259" s="799"/>
      <c r="Z259" s="799"/>
      <c r="AA259" s="799"/>
      <c r="AB259" s="799"/>
      <c r="AC259" s="799"/>
      <c r="AD259" s="799"/>
      <c r="AE259" s="799"/>
      <c r="AF259" s="799"/>
      <c r="AG259" s="799"/>
      <c r="AH259" s="799"/>
      <c r="AI259" s="799"/>
      <c r="AJ259" s="799"/>
      <c r="AK259" s="799"/>
      <c r="AL259" s="799"/>
      <c r="AM259" s="799"/>
      <c r="AN259" s="799"/>
      <c r="AO259" s="799"/>
      <c r="AP259" s="799"/>
      <c r="AQ259" s="799"/>
      <c r="AR259" s="799"/>
      <c r="AS259" s="799"/>
      <c r="AT259" s="799"/>
      <c r="AU259" s="799"/>
      <c r="AV259" s="799"/>
      <c r="AW259" s="799"/>
      <c r="AX259" s="799"/>
      <c r="AY259" s="799"/>
      <c r="AZ259" s="799"/>
      <c r="BA259" s="799"/>
      <c r="BB259" s="799"/>
      <c r="BC259" s="799"/>
      <c r="BD259" s="799"/>
      <c r="BE259" s="799"/>
      <c r="BF259" s="799"/>
      <c r="BG259" s="799"/>
    </row>
    <row r="260">
      <c r="H260" s="799"/>
      <c r="I260" s="799"/>
      <c r="J260" s="799"/>
      <c r="K260" s="799"/>
      <c r="L260" s="799"/>
      <c r="M260" s="799"/>
      <c r="N260" s="799"/>
      <c r="O260" s="799"/>
      <c r="P260" s="799"/>
      <c r="Q260" s="799"/>
      <c r="R260" s="799"/>
      <c r="S260" s="799"/>
      <c r="T260" s="799"/>
      <c r="U260" s="799"/>
      <c r="V260" s="799"/>
      <c r="W260" s="799"/>
      <c r="X260" s="799"/>
      <c r="Y260" s="799"/>
      <c r="Z260" s="799"/>
      <c r="AA260" s="799"/>
      <c r="AB260" s="799"/>
      <c r="AC260" s="799"/>
      <c r="AD260" s="799"/>
      <c r="AE260" s="799"/>
      <c r="AF260" s="799"/>
      <c r="AG260" s="799"/>
      <c r="AH260" s="799"/>
      <c r="AI260" s="799"/>
      <c r="AJ260" s="799"/>
      <c r="AK260" s="799"/>
      <c r="AL260" s="799"/>
      <c r="AM260" s="799"/>
      <c r="AN260" s="799"/>
      <c r="AO260" s="799"/>
      <c r="AP260" s="799"/>
      <c r="AQ260" s="799"/>
      <c r="AR260" s="799"/>
      <c r="AS260" s="799"/>
      <c r="AT260" s="799"/>
      <c r="AU260" s="799"/>
      <c r="AV260" s="799"/>
      <c r="AW260" s="799"/>
      <c r="AX260" s="799"/>
      <c r="AY260" s="799"/>
      <c r="AZ260" s="799"/>
      <c r="BA260" s="799"/>
      <c r="BB260" s="799"/>
      <c r="BC260" s="799"/>
      <c r="BD260" s="799"/>
      <c r="BE260" s="799"/>
      <c r="BF260" s="799"/>
      <c r="BG260" s="799"/>
    </row>
    <row r="261">
      <c r="H261" s="799"/>
      <c r="I261" s="799"/>
      <c r="J261" s="799"/>
      <c r="K261" s="799"/>
      <c r="L261" s="799"/>
      <c r="M261" s="799"/>
      <c r="N261" s="799"/>
      <c r="O261" s="799"/>
      <c r="P261" s="799"/>
      <c r="Q261" s="799"/>
      <c r="R261" s="799"/>
      <c r="S261" s="799"/>
      <c r="T261" s="799"/>
      <c r="U261" s="799"/>
      <c r="V261" s="799"/>
      <c r="W261" s="799"/>
      <c r="X261" s="799"/>
      <c r="Y261" s="799"/>
      <c r="Z261" s="799"/>
      <c r="AA261" s="799"/>
      <c r="AB261" s="799"/>
      <c r="AC261" s="799"/>
      <c r="AD261" s="799"/>
      <c r="AE261" s="799"/>
      <c r="AF261" s="799"/>
      <c r="AG261" s="799"/>
      <c r="AH261" s="799"/>
      <c r="AI261" s="799"/>
      <c r="AJ261" s="799"/>
      <c r="AK261" s="799"/>
      <c r="AL261" s="799"/>
      <c r="AM261" s="799"/>
      <c r="AN261" s="799"/>
      <c r="AO261" s="799"/>
      <c r="AP261" s="799"/>
      <c r="AQ261" s="799"/>
      <c r="AR261" s="799"/>
      <c r="AS261" s="799"/>
      <c r="AT261" s="799"/>
      <c r="AU261" s="799"/>
      <c r="AV261" s="799"/>
      <c r="AW261" s="799"/>
      <c r="AX261" s="799"/>
      <c r="AY261" s="799"/>
      <c r="AZ261" s="799"/>
      <c r="BA261" s="799"/>
      <c r="BB261" s="799"/>
      <c r="BC261" s="799"/>
      <c r="BD261" s="799"/>
      <c r="BE261" s="799"/>
      <c r="BF261" s="799"/>
      <c r="BG261" s="799"/>
    </row>
    <row r="262">
      <c r="H262" s="799"/>
      <c r="I262" s="799"/>
      <c r="J262" s="799"/>
      <c r="K262" s="799"/>
      <c r="L262" s="799"/>
      <c r="M262" s="799"/>
      <c r="N262" s="799"/>
      <c r="O262" s="799"/>
      <c r="P262" s="799"/>
      <c r="Q262" s="799"/>
      <c r="R262" s="799"/>
      <c r="S262" s="799"/>
      <c r="T262" s="799"/>
      <c r="U262" s="799"/>
      <c r="V262" s="799"/>
      <c r="W262" s="799"/>
      <c r="X262" s="799"/>
      <c r="Y262" s="799"/>
      <c r="Z262" s="799"/>
      <c r="AA262" s="799"/>
      <c r="AB262" s="799"/>
      <c r="AC262" s="799"/>
      <c r="AD262" s="799"/>
      <c r="AE262" s="799"/>
      <c r="AF262" s="799"/>
      <c r="AG262" s="799"/>
      <c r="AH262" s="799"/>
      <c r="AI262" s="799"/>
      <c r="AJ262" s="799"/>
      <c r="AK262" s="799"/>
      <c r="AL262" s="799"/>
      <c r="AM262" s="799"/>
      <c r="AN262" s="799"/>
      <c r="AO262" s="799"/>
      <c r="AP262" s="799"/>
      <c r="AQ262" s="799"/>
      <c r="AR262" s="799"/>
      <c r="AS262" s="799"/>
      <c r="AT262" s="799"/>
      <c r="AU262" s="799"/>
      <c r="AV262" s="799"/>
      <c r="AW262" s="799"/>
      <c r="AX262" s="799"/>
      <c r="AY262" s="799"/>
      <c r="AZ262" s="799"/>
      <c r="BA262" s="799"/>
      <c r="BB262" s="799"/>
      <c r="BC262" s="799"/>
      <c r="BD262" s="799"/>
      <c r="BE262" s="799"/>
      <c r="BF262" s="799"/>
      <c r="BG262" s="799"/>
    </row>
    <row r="263">
      <c r="H263" s="799"/>
      <c r="I263" s="799"/>
      <c r="J263" s="799"/>
      <c r="K263" s="799"/>
      <c r="L263" s="799"/>
      <c r="M263" s="799"/>
      <c r="N263" s="799"/>
      <c r="O263" s="799"/>
      <c r="P263" s="799"/>
      <c r="Q263" s="799"/>
      <c r="R263" s="799"/>
      <c r="S263" s="799"/>
      <c r="T263" s="799"/>
      <c r="U263" s="799"/>
      <c r="V263" s="799"/>
      <c r="W263" s="799"/>
      <c r="X263" s="799"/>
      <c r="Y263" s="799"/>
      <c r="Z263" s="799"/>
      <c r="AA263" s="799"/>
      <c r="AB263" s="799"/>
      <c r="AC263" s="799"/>
      <c r="AD263" s="799"/>
      <c r="AE263" s="799"/>
      <c r="AF263" s="799"/>
      <c r="AG263" s="799"/>
      <c r="AH263" s="799"/>
      <c r="AI263" s="799"/>
      <c r="AJ263" s="799"/>
      <c r="AK263" s="799"/>
      <c r="AL263" s="799"/>
      <c r="AM263" s="799"/>
      <c r="AN263" s="799"/>
      <c r="AO263" s="799"/>
      <c r="AP263" s="799"/>
      <c r="AQ263" s="799"/>
      <c r="AR263" s="799"/>
      <c r="AS263" s="799"/>
      <c r="AT263" s="799"/>
      <c r="AU263" s="799"/>
      <c r="AV263" s="799"/>
      <c r="AW263" s="799"/>
      <c r="AX263" s="799"/>
      <c r="AY263" s="799"/>
      <c r="AZ263" s="799"/>
      <c r="BA263" s="799"/>
      <c r="BB263" s="799"/>
      <c r="BC263" s="799"/>
      <c r="BD263" s="799"/>
      <c r="BE263" s="799"/>
      <c r="BF263" s="799"/>
      <c r="BG263" s="799"/>
    </row>
    <row r="264">
      <c r="H264" s="799"/>
      <c r="I264" s="799"/>
      <c r="J264" s="799"/>
      <c r="K264" s="799"/>
      <c r="L264" s="799"/>
      <c r="M264" s="799"/>
      <c r="N264" s="799"/>
      <c r="O264" s="799"/>
      <c r="P264" s="799"/>
      <c r="Q264" s="799"/>
      <c r="R264" s="799"/>
      <c r="S264" s="799"/>
      <c r="T264" s="799"/>
      <c r="U264" s="799"/>
      <c r="V264" s="799"/>
      <c r="W264" s="799"/>
      <c r="X264" s="799"/>
      <c r="Y264" s="799"/>
      <c r="Z264" s="799"/>
      <c r="AA264" s="799"/>
      <c r="AB264" s="799"/>
      <c r="AC264" s="799"/>
      <c r="AD264" s="799"/>
      <c r="AE264" s="799"/>
      <c r="AF264" s="799"/>
      <c r="AG264" s="799"/>
      <c r="AH264" s="799"/>
      <c r="AI264" s="799"/>
      <c r="AJ264" s="799"/>
      <c r="AK264" s="799"/>
      <c r="AL264" s="799"/>
      <c r="AM264" s="799"/>
      <c r="AN264" s="799"/>
      <c r="AO264" s="799"/>
      <c r="AP264" s="799"/>
      <c r="AQ264" s="799"/>
      <c r="AR264" s="799"/>
      <c r="AS264" s="799"/>
      <c r="AT264" s="799"/>
      <c r="AU264" s="799"/>
      <c r="AV264" s="799"/>
      <c r="AW264" s="799"/>
      <c r="AX264" s="799"/>
      <c r="AY264" s="799"/>
      <c r="AZ264" s="799"/>
      <c r="BA264" s="799"/>
      <c r="BB264" s="799"/>
      <c r="BC264" s="799"/>
      <c r="BD264" s="799"/>
      <c r="BE264" s="799"/>
      <c r="BF264" s="799"/>
      <c r="BG264" s="799"/>
    </row>
    <row r="265">
      <c r="H265" s="799"/>
      <c r="I265" s="799"/>
      <c r="J265" s="799"/>
      <c r="K265" s="799"/>
      <c r="L265" s="799"/>
      <c r="M265" s="799"/>
      <c r="N265" s="799"/>
      <c r="O265" s="799"/>
      <c r="P265" s="799"/>
      <c r="Q265" s="799"/>
      <c r="R265" s="799"/>
      <c r="S265" s="799"/>
      <c r="T265" s="799"/>
      <c r="U265" s="799"/>
      <c r="V265" s="799"/>
      <c r="W265" s="799"/>
      <c r="X265" s="799"/>
      <c r="Y265" s="799"/>
      <c r="Z265" s="799"/>
      <c r="AA265" s="799"/>
      <c r="AB265" s="799"/>
      <c r="AC265" s="799"/>
      <c r="AD265" s="799"/>
      <c r="AE265" s="799"/>
      <c r="AF265" s="799"/>
      <c r="AG265" s="799"/>
      <c r="AH265" s="799"/>
      <c r="AI265" s="799"/>
      <c r="AJ265" s="799"/>
      <c r="AK265" s="799"/>
      <c r="AL265" s="799"/>
      <c r="AM265" s="799"/>
      <c r="AN265" s="799"/>
      <c r="AO265" s="799"/>
      <c r="AP265" s="799"/>
      <c r="AQ265" s="799"/>
      <c r="AR265" s="799"/>
      <c r="AS265" s="799"/>
      <c r="AT265" s="799"/>
      <c r="AU265" s="799"/>
      <c r="AV265" s="799"/>
      <c r="AW265" s="799"/>
      <c r="AX265" s="799"/>
      <c r="AY265" s="799"/>
      <c r="AZ265" s="799"/>
      <c r="BA265" s="799"/>
      <c r="BB265" s="799"/>
      <c r="BC265" s="799"/>
      <c r="BD265" s="799"/>
      <c r="BE265" s="799"/>
      <c r="BF265" s="799"/>
      <c r="BG265" s="799"/>
    </row>
    <row r="266">
      <c r="H266" s="799"/>
      <c r="I266" s="799"/>
      <c r="J266" s="799"/>
      <c r="K266" s="799"/>
      <c r="L266" s="799"/>
      <c r="M266" s="799"/>
      <c r="N266" s="799"/>
      <c r="O266" s="799"/>
      <c r="P266" s="799"/>
      <c r="Q266" s="799"/>
      <c r="R266" s="799"/>
      <c r="S266" s="799"/>
      <c r="T266" s="799"/>
      <c r="U266" s="799"/>
      <c r="V266" s="799"/>
      <c r="W266" s="799"/>
      <c r="X266" s="799"/>
      <c r="Y266" s="799"/>
      <c r="Z266" s="799"/>
      <c r="AA266" s="799"/>
      <c r="AB266" s="799"/>
      <c r="AC266" s="799"/>
      <c r="AD266" s="799"/>
      <c r="AE266" s="799"/>
      <c r="AF266" s="799"/>
      <c r="AG266" s="799"/>
      <c r="AH266" s="799"/>
      <c r="AI266" s="799"/>
      <c r="AJ266" s="799"/>
      <c r="AK266" s="799"/>
      <c r="AL266" s="799"/>
      <c r="AM266" s="799"/>
      <c r="AN266" s="799"/>
      <c r="AO266" s="799"/>
      <c r="AP266" s="799"/>
      <c r="AQ266" s="799"/>
      <c r="AR266" s="799"/>
      <c r="AS266" s="799"/>
      <c r="AT266" s="799"/>
      <c r="AU266" s="799"/>
      <c r="AV266" s="799"/>
      <c r="AW266" s="799"/>
      <c r="AX266" s="799"/>
      <c r="AY266" s="799"/>
      <c r="AZ266" s="799"/>
      <c r="BA266" s="799"/>
      <c r="BB266" s="799"/>
      <c r="BC266" s="799"/>
      <c r="BD266" s="799"/>
      <c r="BE266" s="799"/>
      <c r="BF266" s="799"/>
      <c r="BG266" s="799"/>
    </row>
    <row r="267">
      <c r="H267" s="799"/>
      <c r="I267" s="799"/>
      <c r="J267" s="799"/>
      <c r="K267" s="799"/>
      <c r="L267" s="799"/>
      <c r="M267" s="799"/>
      <c r="N267" s="799"/>
      <c r="O267" s="799"/>
      <c r="P267" s="799"/>
      <c r="Q267" s="799"/>
      <c r="R267" s="799"/>
      <c r="S267" s="799"/>
      <c r="T267" s="799"/>
      <c r="U267" s="799"/>
      <c r="V267" s="799"/>
      <c r="W267" s="799"/>
      <c r="X267" s="799"/>
      <c r="Y267" s="799"/>
      <c r="Z267" s="799"/>
      <c r="AA267" s="799"/>
      <c r="AB267" s="799"/>
      <c r="AC267" s="799"/>
      <c r="AD267" s="799"/>
      <c r="AE267" s="799"/>
      <c r="AF267" s="799"/>
      <c r="AG267" s="799"/>
      <c r="AH267" s="799"/>
      <c r="AI267" s="799"/>
      <c r="AJ267" s="799"/>
      <c r="AK267" s="799"/>
      <c r="AL267" s="799"/>
      <c r="AM267" s="799"/>
      <c r="AN267" s="799"/>
      <c r="AO267" s="799"/>
      <c r="AP267" s="799"/>
      <c r="AQ267" s="799"/>
      <c r="AR267" s="799"/>
      <c r="AS267" s="799"/>
      <c r="AT267" s="799"/>
      <c r="AU267" s="799"/>
      <c r="AV267" s="799"/>
      <c r="AW267" s="799"/>
      <c r="AX267" s="799"/>
      <c r="AY267" s="799"/>
      <c r="AZ267" s="799"/>
      <c r="BA267" s="799"/>
      <c r="BB267" s="799"/>
      <c r="BC267" s="799"/>
      <c r="BD267" s="799"/>
      <c r="BE267" s="799"/>
      <c r="BF267" s="799"/>
      <c r="BG267" s="799"/>
    </row>
    <row r="268">
      <c r="H268" s="799"/>
      <c r="I268" s="799"/>
      <c r="J268" s="799"/>
      <c r="K268" s="799"/>
      <c r="L268" s="799"/>
      <c r="M268" s="799"/>
      <c r="N268" s="799"/>
      <c r="O268" s="799"/>
      <c r="P268" s="799"/>
      <c r="Q268" s="799"/>
      <c r="R268" s="799"/>
      <c r="S268" s="799"/>
      <c r="T268" s="799"/>
      <c r="U268" s="799"/>
      <c r="V268" s="799"/>
      <c r="W268" s="799"/>
      <c r="X268" s="799"/>
      <c r="Y268" s="799"/>
      <c r="Z268" s="799"/>
      <c r="AA268" s="799"/>
      <c r="AB268" s="799"/>
      <c r="AC268" s="799"/>
      <c r="AD268" s="799"/>
      <c r="AE268" s="799"/>
      <c r="AF268" s="799"/>
      <c r="AG268" s="799"/>
      <c r="AH268" s="799"/>
      <c r="AI268" s="799"/>
      <c r="AJ268" s="799"/>
      <c r="AK268" s="799"/>
      <c r="AL268" s="799"/>
      <c r="AM268" s="799"/>
      <c r="AN268" s="799"/>
      <c r="AO268" s="799"/>
      <c r="AP268" s="799"/>
      <c r="AQ268" s="799"/>
      <c r="AR268" s="799"/>
      <c r="AS268" s="799"/>
      <c r="AT268" s="799"/>
      <c r="AU268" s="799"/>
      <c r="AV268" s="799"/>
      <c r="AW268" s="799"/>
      <c r="AX268" s="799"/>
      <c r="AY268" s="799"/>
      <c r="AZ268" s="799"/>
      <c r="BA268" s="799"/>
      <c r="BB268" s="799"/>
      <c r="BC268" s="799"/>
      <c r="BD268" s="799"/>
      <c r="BE268" s="799"/>
      <c r="BF268" s="799"/>
      <c r="BG268" s="799"/>
    </row>
    <row r="269">
      <c r="H269" s="799"/>
      <c r="I269" s="799"/>
      <c r="J269" s="799"/>
      <c r="K269" s="799"/>
      <c r="L269" s="799"/>
      <c r="M269" s="799"/>
      <c r="N269" s="799"/>
      <c r="O269" s="799"/>
      <c r="P269" s="799"/>
      <c r="Q269" s="799"/>
      <c r="R269" s="799"/>
      <c r="S269" s="799"/>
      <c r="T269" s="799"/>
      <c r="U269" s="799"/>
      <c r="V269" s="799"/>
      <c r="W269" s="799"/>
      <c r="X269" s="799"/>
      <c r="Y269" s="799"/>
      <c r="Z269" s="799"/>
      <c r="AA269" s="799"/>
      <c r="AB269" s="799"/>
      <c r="AC269" s="799"/>
      <c r="AD269" s="799"/>
      <c r="AE269" s="799"/>
      <c r="AF269" s="799"/>
      <c r="AG269" s="799"/>
      <c r="AH269" s="799"/>
      <c r="AI269" s="799"/>
      <c r="AJ269" s="799"/>
      <c r="AK269" s="799"/>
      <c r="AL269" s="799"/>
      <c r="AM269" s="799"/>
      <c r="AN269" s="799"/>
      <c r="AO269" s="799"/>
      <c r="AP269" s="799"/>
      <c r="AQ269" s="799"/>
      <c r="AR269" s="799"/>
      <c r="AS269" s="799"/>
      <c r="AT269" s="799"/>
      <c r="AU269" s="799"/>
      <c r="AV269" s="799"/>
      <c r="AW269" s="799"/>
      <c r="AX269" s="799"/>
      <c r="AY269" s="799"/>
      <c r="AZ269" s="799"/>
      <c r="BA269" s="799"/>
      <c r="BB269" s="799"/>
      <c r="BC269" s="799"/>
      <c r="BD269" s="799"/>
      <c r="BE269" s="799"/>
      <c r="BF269" s="799"/>
      <c r="BG269" s="799"/>
    </row>
    <row r="270">
      <c r="H270" s="799"/>
      <c r="I270" s="799"/>
      <c r="J270" s="799"/>
      <c r="K270" s="799"/>
      <c r="L270" s="799"/>
      <c r="M270" s="799"/>
      <c r="N270" s="799"/>
      <c r="O270" s="799"/>
      <c r="P270" s="799"/>
      <c r="Q270" s="799"/>
      <c r="R270" s="799"/>
      <c r="S270" s="799"/>
      <c r="T270" s="799"/>
      <c r="U270" s="799"/>
      <c r="V270" s="799"/>
      <c r="W270" s="799"/>
      <c r="X270" s="799"/>
      <c r="Y270" s="799"/>
      <c r="Z270" s="799"/>
      <c r="AA270" s="799"/>
      <c r="AB270" s="799"/>
      <c r="AC270" s="799"/>
      <c r="AD270" s="799"/>
      <c r="AE270" s="799"/>
      <c r="AF270" s="799"/>
      <c r="AG270" s="799"/>
      <c r="AH270" s="799"/>
      <c r="AI270" s="799"/>
      <c r="AJ270" s="799"/>
      <c r="AK270" s="799"/>
      <c r="AL270" s="799"/>
      <c r="AM270" s="799"/>
      <c r="AN270" s="799"/>
      <c r="AO270" s="799"/>
      <c r="AP270" s="799"/>
      <c r="AQ270" s="799"/>
      <c r="AR270" s="799"/>
      <c r="AS270" s="799"/>
      <c r="AT270" s="799"/>
      <c r="AU270" s="799"/>
      <c r="AV270" s="799"/>
      <c r="AW270" s="799"/>
      <c r="AX270" s="799"/>
      <c r="AY270" s="799"/>
      <c r="AZ270" s="799"/>
      <c r="BA270" s="799"/>
      <c r="BB270" s="799"/>
      <c r="BC270" s="799"/>
      <c r="BD270" s="799"/>
      <c r="BE270" s="799"/>
      <c r="BF270" s="799"/>
      <c r="BG270" s="799"/>
    </row>
    <row r="271">
      <c r="H271" s="799"/>
      <c r="I271" s="799"/>
      <c r="J271" s="799"/>
      <c r="K271" s="799"/>
      <c r="L271" s="799"/>
      <c r="M271" s="799"/>
      <c r="N271" s="799"/>
      <c r="O271" s="799"/>
      <c r="P271" s="799"/>
      <c r="Q271" s="799"/>
      <c r="R271" s="799"/>
      <c r="S271" s="799"/>
      <c r="T271" s="799"/>
      <c r="U271" s="799"/>
      <c r="V271" s="799"/>
      <c r="W271" s="799"/>
      <c r="X271" s="799"/>
      <c r="Y271" s="799"/>
      <c r="Z271" s="799"/>
      <c r="AA271" s="799"/>
      <c r="AB271" s="799"/>
      <c r="AC271" s="799"/>
      <c r="AD271" s="799"/>
      <c r="AE271" s="799"/>
      <c r="AF271" s="799"/>
      <c r="AG271" s="799"/>
      <c r="AH271" s="799"/>
      <c r="AI271" s="799"/>
      <c r="AJ271" s="799"/>
      <c r="AK271" s="799"/>
      <c r="AL271" s="799"/>
      <c r="AM271" s="799"/>
      <c r="AN271" s="799"/>
      <c r="AO271" s="799"/>
      <c r="AP271" s="799"/>
      <c r="AQ271" s="799"/>
      <c r="AR271" s="799"/>
      <c r="AS271" s="799"/>
      <c r="AT271" s="799"/>
      <c r="AU271" s="799"/>
      <c r="AV271" s="799"/>
      <c r="AW271" s="799"/>
      <c r="AX271" s="799"/>
      <c r="AY271" s="799"/>
      <c r="AZ271" s="799"/>
      <c r="BA271" s="799"/>
      <c r="BB271" s="799"/>
      <c r="BC271" s="799"/>
      <c r="BD271" s="799"/>
      <c r="BE271" s="799"/>
      <c r="BF271" s="799"/>
      <c r="BG271" s="799"/>
    </row>
    <row r="272">
      <c r="H272" s="799"/>
      <c r="I272" s="799"/>
      <c r="J272" s="799"/>
      <c r="K272" s="799"/>
      <c r="L272" s="799"/>
      <c r="M272" s="799"/>
      <c r="N272" s="799"/>
      <c r="O272" s="799"/>
      <c r="P272" s="799"/>
      <c r="Q272" s="799"/>
      <c r="R272" s="799"/>
      <c r="S272" s="799"/>
      <c r="T272" s="799"/>
      <c r="U272" s="799"/>
      <c r="V272" s="799"/>
      <c r="W272" s="799"/>
      <c r="X272" s="799"/>
      <c r="Y272" s="799"/>
      <c r="Z272" s="799"/>
      <c r="AA272" s="799"/>
      <c r="AB272" s="799"/>
      <c r="AC272" s="799"/>
      <c r="AD272" s="799"/>
      <c r="AE272" s="799"/>
      <c r="AF272" s="799"/>
      <c r="AG272" s="799"/>
      <c r="AH272" s="799"/>
      <c r="AI272" s="799"/>
      <c r="AJ272" s="799"/>
      <c r="AK272" s="799"/>
      <c r="AL272" s="799"/>
      <c r="AM272" s="799"/>
      <c r="AN272" s="799"/>
      <c r="AO272" s="799"/>
      <c r="AP272" s="799"/>
      <c r="AQ272" s="799"/>
      <c r="AR272" s="799"/>
      <c r="AS272" s="799"/>
      <c r="AT272" s="799"/>
      <c r="AU272" s="799"/>
      <c r="AV272" s="799"/>
      <c r="AW272" s="799"/>
      <c r="AX272" s="799"/>
      <c r="AY272" s="799"/>
      <c r="AZ272" s="799"/>
      <c r="BA272" s="799"/>
      <c r="BB272" s="799"/>
      <c r="BC272" s="799"/>
      <c r="BD272" s="799"/>
      <c r="BE272" s="799"/>
      <c r="BF272" s="799"/>
      <c r="BG272" s="799"/>
    </row>
    <row r="273">
      <c r="H273" s="799"/>
      <c r="I273" s="799"/>
      <c r="J273" s="799"/>
      <c r="K273" s="799"/>
      <c r="L273" s="799"/>
      <c r="M273" s="799"/>
      <c r="N273" s="799"/>
      <c r="O273" s="799"/>
      <c r="P273" s="799"/>
      <c r="Q273" s="799"/>
      <c r="R273" s="799"/>
      <c r="S273" s="799"/>
      <c r="T273" s="799"/>
      <c r="U273" s="799"/>
      <c r="V273" s="799"/>
      <c r="W273" s="799"/>
      <c r="X273" s="799"/>
      <c r="Y273" s="799"/>
      <c r="Z273" s="799"/>
      <c r="AA273" s="799"/>
      <c r="AB273" s="799"/>
      <c r="AC273" s="799"/>
      <c r="AD273" s="799"/>
      <c r="AE273" s="799"/>
      <c r="AF273" s="799"/>
      <c r="AG273" s="799"/>
      <c r="AH273" s="799"/>
      <c r="AI273" s="799"/>
      <c r="AJ273" s="799"/>
      <c r="AK273" s="799"/>
      <c r="AL273" s="799"/>
      <c r="AM273" s="799"/>
      <c r="AN273" s="799"/>
      <c r="AO273" s="799"/>
      <c r="AP273" s="799"/>
      <c r="AQ273" s="799"/>
      <c r="AR273" s="799"/>
      <c r="AS273" s="799"/>
      <c r="AT273" s="799"/>
      <c r="AU273" s="799"/>
      <c r="AV273" s="799"/>
      <c r="AW273" s="799"/>
      <c r="AX273" s="799"/>
      <c r="AY273" s="799"/>
      <c r="AZ273" s="799"/>
      <c r="BA273" s="799"/>
      <c r="BB273" s="799"/>
      <c r="BC273" s="799"/>
      <c r="BD273" s="799"/>
      <c r="BE273" s="799"/>
      <c r="BF273" s="799"/>
      <c r="BG273" s="799"/>
    </row>
    <row r="274">
      <c r="H274" s="799"/>
      <c r="I274" s="799"/>
      <c r="J274" s="799"/>
      <c r="K274" s="799"/>
      <c r="L274" s="799"/>
      <c r="M274" s="799"/>
      <c r="N274" s="799"/>
      <c r="O274" s="799"/>
      <c r="P274" s="799"/>
      <c r="Q274" s="799"/>
      <c r="R274" s="799"/>
      <c r="S274" s="799"/>
      <c r="T274" s="799"/>
      <c r="U274" s="799"/>
      <c r="V274" s="799"/>
      <c r="W274" s="799"/>
      <c r="X274" s="799"/>
      <c r="Y274" s="799"/>
      <c r="Z274" s="799"/>
      <c r="AA274" s="799"/>
      <c r="AB274" s="799"/>
      <c r="AC274" s="799"/>
      <c r="AD274" s="799"/>
      <c r="AE274" s="799"/>
      <c r="AF274" s="799"/>
      <c r="AG274" s="799"/>
      <c r="AH274" s="799"/>
      <c r="AI274" s="799"/>
      <c r="AJ274" s="799"/>
      <c r="AK274" s="799"/>
      <c r="AL274" s="799"/>
      <c r="AM274" s="799"/>
      <c r="AN274" s="799"/>
      <c r="AO274" s="799"/>
      <c r="AP274" s="799"/>
      <c r="AQ274" s="799"/>
      <c r="AR274" s="799"/>
      <c r="AS274" s="799"/>
      <c r="AT274" s="799"/>
      <c r="AU274" s="799"/>
      <c r="AV274" s="799"/>
      <c r="AW274" s="799"/>
      <c r="AX274" s="799"/>
      <c r="AY274" s="799"/>
      <c r="AZ274" s="799"/>
      <c r="BA274" s="799"/>
      <c r="BB274" s="799"/>
      <c r="BC274" s="799"/>
      <c r="BD274" s="799"/>
      <c r="BE274" s="799"/>
      <c r="BF274" s="799"/>
      <c r="BG274" s="799"/>
    </row>
    <row r="275">
      <c r="H275" s="799"/>
      <c r="I275" s="799"/>
      <c r="J275" s="799"/>
      <c r="K275" s="799"/>
      <c r="L275" s="799"/>
      <c r="M275" s="799"/>
      <c r="N275" s="799"/>
      <c r="O275" s="799"/>
      <c r="P275" s="799"/>
      <c r="Q275" s="799"/>
      <c r="R275" s="799"/>
      <c r="S275" s="799"/>
      <c r="T275" s="799"/>
      <c r="U275" s="799"/>
      <c r="V275" s="799"/>
      <c r="W275" s="799"/>
      <c r="X275" s="799"/>
      <c r="Y275" s="799"/>
      <c r="Z275" s="799"/>
      <c r="AA275" s="799"/>
      <c r="AB275" s="799"/>
      <c r="AC275" s="799"/>
      <c r="AD275" s="799"/>
      <c r="AE275" s="799"/>
      <c r="AF275" s="799"/>
      <c r="AG275" s="799"/>
      <c r="AH275" s="799"/>
      <c r="AI275" s="799"/>
      <c r="AJ275" s="799"/>
      <c r="AK275" s="799"/>
      <c r="AL275" s="799"/>
      <c r="AM275" s="799"/>
      <c r="AN275" s="799"/>
      <c r="AO275" s="799"/>
      <c r="AP275" s="799"/>
      <c r="AQ275" s="799"/>
      <c r="AR275" s="799"/>
      <c r="AS275" s="799"/>
      <c r="AT275" s="799"/>
      <c r="AU275" s="799"/>
      <c r="AV275" s="799"/>
      <c r="AW275" s="799"/>
      <c r="AX275" s="799"/>
      <c r="AY275" s="799"/>
      <c r="AZ275" s="799"/>
      <c r="BA275" s="799"/>
      <c r="BB275" s="799"/>
      <c r="BC275" s="799"/>
      <c r="BD275" s="799"/>
      <c r="BE275" s="799"/>
      <c r="BF275" s="799"/>
      <c r="BG275" s="799"/>
    </row>
    <row r="276">
      <c r="H276" s="799"/>
      <c r="I276" s="799"/>
      <c r="J276" s="799"/>
      <c r="K276" s="799"/>
      <c r="L276" s="799"/>
      <c r="M276" s="799"/>
      <c r="N276" s="799"/>
      <c r="O276" s="799"/>
      <c r="P276" s="799"/>
      <c r="Q276" s="799"/>
      <c r="R276" s="799"/>
      <c r="S276" s="799"/>
      <c r="T276" s="799"/>
      <c r="U276" s="799"/>
      <c r="V276" s="799"/>
      <c r="W276" s="799"/>
      <c r="X276" s="799"/>
      <c r="Y276" s="799"/>
      <c r="Z276" s="799"/>
      <c r="AA276" s="799"/>
      <c r="AB276" s="799"/>
      <c r="AC276" s="799"/>
      <c r="AD276" s="799"/>
      <c r="AE276" s="799"/>
      <c r="AF276" s="799"/>
      <c r="AG276" s="799"/>
      <c r="AH276" s="799"/>
      <c r="AI276" s="799"/>
      <c r="AJ276" s="799"/>
      <c r="AK276" s="799"/>
      <c r="AL276" s="799"/>
      <c r="AM276" s="799"/>
      <c r="AN276" s="799"/>
      <c r="AO276" s="799"/>
      <c r="AP276" s="799"/>
      <c r="AQ276" s="799"/>
      <c r="AR276" s="799"/>
      <c r="AS276" s="799"/>
      <c r="AT276" s="799"/>
      <c r="AU276" s="799"/>
      <c r="AV276" s="799"/>
      <c r="AW276" s="799"/>
      <c r="AX276" s="799"/>
      <c r="AY276" s="799"/>
      <c r="AZ276" s="799"/>
      <c r="BA276" s="799"/>
      <c r="BB276" s="799"/>
      <c r="BC276" s="799"/>
      <c r="BD276" s="799"/>
      <c r="BE276" s="799"/>
      <c r="BF276" s="799"/>
      <c r="BG276" s="799"/>
    </row>
    <row r="277">
      <c r="H277" s="799"/>
      <c r="I277" s="799"/>
      <c r="J277" s="799"/>
      <c r="K277" s="799"/>
      <c r="L277" s="799"/>
      <c r="M277" s="799"/>
      <c r="N277" s="799"/>
      <c r="O277" s="799"/>
      <c r="P277" s="799"/>
      <c r="Q277" s="799"/>
      <c r="R277" s="799"/>
      <c r="S277" s="799"/>
      <c r="T277" s="799"/>
      <c r="U277" s="799"/>
      <c r="V277" s="799"/>
      <c r="W277" s="799"/>
      <c r="X277" s="799"/>
      <c r="Y277" s="799"/>
      <c r="Z277" s="799"/>
      <c r="AA277" s="799"/>
      <c r="AB277" s="799"/>
      <c r="AC277" s="799"/>
      <c r="AD277" s="799"/>
      <c r="AE277" s="799"/>
      <c r="AF277" s="799"/>
      <c r="AG277" s="799"/>
      <c r="AH277" s="799"/>
      <c r="AI277" s="799"/>
      <c r="AJ277" s="799"/>
      <c r="AK277" s="799"/>
      <c r="AL277" s="799"/>
      <c r="AM277" s="799"/>
      <c r="AN277" s="799"/>
      <c r="AO277" s="799"/>
      <c r="AP277" s="799"/>
      <c r="AQ277" s="799"/>
      <c r="AR277" s="799"/>
      <c r="AS277" s="799"/>
      <c r="AT277" s="799"/>
      <c r="AU277" s="799"/>
      <c r="AV277" s="799"/>
      <c r="AW277" s="799"/>
      <c r="AX277" s="799"/>
      <c r="AY277" s="799"/>
      <c r="AZ277" s="799"/>
      <c r="BA277" s="799"/>
      <c r="BB277" s="799"/>
      <c r="BC277" s="799"/>
      <c r="BD277" s="799"/>
      <c r="BE277" s="799"/>
      <c r="BF277" s="799"/>
      <c r="BG277" s="799"/>
    </row>
    <row r="278">
      <c r="H278" s="799"/>
      <c r="I278" s="799"/>
      <c r="J278" s="799"/>
      <c r="K278" s="799"/>
      <c r="L278" s="799"/>
      <c r="M278" s="799"/>
      <c r="N278" s="799"/>
      <c r="O278" s="799"/>
      <c r="P278" s="799"/>
      <c r="Q278" s="799"/>
      <c r="R278" s="799"/>
      <c r="S278" s="799"/>
      <c r="T278" s="799"/>
      <c r="U278" s="799"/>
      <c r="V278" s="799"/>
      <c r="W278" s="799"/>
      <c r="X278" s="799"/>
      <c r="Y278" s="799"/>
      <c r="Z278" s="799"/>
      <c r="AA278" s="799"/>
      <c r="AB278" s="799"/>
      <c r="AC278" s="799"/>
      <c r="AD278" s="799"/>
      <c r="AE278" s="799"/>
      <c r="AF278" s="799"/>
      <c r="AG278" s="799"/>
      <c r="AH278" s="799"/>
      <c r="AI278" s="799"/>
      <c r="AJ278" s="799"/>
      <c r="AK278" s="799"/>
      <c r="AL278" s="799"/>
      <c r="AM278" s="799"/>
      <c r="AN278" s="799"/>
      <c r="AO278" s="799"/>
      <c r="AP278" s="799"/>
      <c r="AQ278" s="799"/>
      <c r="AR278" s="799"/>
      <c r="AS278" s="799"/>
      <c r="AT278" s="799"/>
      <c r="AU278" s="799"/>
      <c r="AV278" s="799"/>
      <c r="AW278" s="799"/>
      <c r="AX278" s="799"/>
      <c r="AY278" s="799"/>
      <c r="AZ278" s="799"/>
      <c r="BA278" s="799"/>
      <c r="BB278" s="799"/>
      <c r="BC278" s="799"/>
      <c r="BD278" s="799"/>
      <c r="BE278" s="799"/>
      <c r="BF278" s="799"/>
      <c r="BG278" s="799"/>
    </row>
    <row r="279">
      <c r="H279" s="799"/>
      <c r="I279" s="799"/>
      <c r="J279" s="799"/>
      <c r="K279" s="799"/>
      <c r="L279" s="799"/>
      <c r="M279" s="799"/>
      <c r="N279" s="799"/>
      <c r="O279" s="799"/>
      <c r="P279" s="799"/>
      <c r="Q279" s="799"/>
      <c r="R279" s="799"/>
      <c r="S279" s="799"/>
      <c r="T279" s="799"/>
      <c r="U279" s="799"/>
      <c r="V279" s="799"/>
      <c r="W279" s="799"/>
      <c r="X279" s="799"/>
      <c r="Y279" s="799"/>
      <c r="Z279" s="799"/>
      <c r="AA279" s="799"/>
      <c r="AB279" s="799"/>
      <c r="AC279" s="799"/>
      <c r="AD279" s="799"/>
      <c r="AE279" s="799"/>
      <c r="AF279" s="799"/>
      <c r="AG279" s="799"/>
      <c r="AH279" s="799"/>
      <c r="AI279" s="799"/>
      <c r="AJ279" s="799"/>
      <c r="AK279" s="799"/>
      <c r="AL279" s="799"/>
      <c r="AM279" s="799"/>
      <c r="AN279" s="799"/>
      <c r="AO279" s="799"/>
      <c r="AP279" s="799"/>
      <c r="AQ279" s="799"/>
      <c r="AR279" s="799"/>
      <c r="AS279" s="799"/>
      <c r="AT279" s="799"/>
      <c r="AU279" s="799"/>
      <c r="AV279" s="799"/>
      <c r="AW279" s="799"/>
      <c r="AX279" s="799"/>
      <c r="AY279" s="799"/>
      <c r="AZ279" s="799"/>
      <c r="BA279" s="799"/>
      <c r="BB279" s="799"/>
      <c r="BC279" s="799"/>
      <c r="BD279" s="799"/>
      <c r="BE279" s="799"/>
      <c r="BF279" s="799"/>
      <c r="BG279" s="799"/>
    </row>
    <row r="280">
      <c r="H280" s="799"/>
      <c r="I280" s="799"/>
      <c r="J280" s="799"/>
      <c r="K280" s="799"/>
      <c r="L280" s="799"/>
      <c r="M280" s="799"/>
      <c r="N280" s="799"/>
      <c r="O280" s="799"/>
      <c r="P280" s="799"/>
      <c r="Q280" s="799"/>
      <c r="R280" s="799"/>
      <c r="S280" s="799"/>
      <c r="T280" s="799"/>
      <c r="U280" s="799"/>
      <c r="V280" s="799"/>
      <c r="W280" s="799"/>
      <c r="X280" s="799"/>
      <c r="Y280" s="799"/>
      <c r="Z280" s="799"/>
      <c r="AA280" s="799"/>
      <c r="AB280" s="799"/>
      <c r="AC280" s="799"/>
      <c r="AD280" s="799"/>
      <c r="AE280" s="799"/>
      <c r="AF280" s="799"/>
      <c r="AG280" s="799"/>
      <c r="AH280" s="799"/>
      <c r="AI280" s="799"/>
      <c r="AJ280" s="799"/>
      <c r="AK280" s="799"/>
      <c r="AL280" s="799"/>
      <c r="AM280" s="799"/>
      <c r="AN280" s="799"/>
      <c r="AO280" s="799"/>
      <c r="AP280" s="799"/>
      <c r="AQ280" s="799"/>
      <c r="AR280" s="799"/>
      <c r="AS280" s="799"/>
      <c r="AT280" s="799"/>
      <c r="AU280" s="799"/>
      <c r="AV280" s="799"/>
      <c r="AW280" s="799"/>
      <c r="AX280" s="799"/>
      <c r="AY280" s="799"/>
      <c r="AZ280" s="799"/>
      <c r="BA280" s="799"/>
      <c r="BB280" s="799"/>
      <c r="BC280" s="799"/>
      <c r="BD280" s="799"/>
      <c r="BE280" s="799"/>
      <c r="BF280" s="799"/>
      <c r="BG280" s="799"/>
    </row>
    <row r="281">
      <c r="H281" s="799"/>
      <c r="I281" s="799"/>
      <c r="J281" s="799"/>
      <c r="K281" s="799"/>
      <c r="L281" s="799"/>
      <c r="M281" s="799"/>
      <c r="N281" s="799"/>
      <c r="O281" s="799"/>
      <c r="P281" s="799"/>
      <c r="Q281" s="799"/>
      <c r="R281" s="799"/>
      <c r="S281" s="799"/>
      <c r="T281" s="799"/>
      <c r="U281" s="799"/>
      <c r="V281" s="799"/>
      <c r="W281" s="799"/>
      <c r="X281" s="799"/>
      <c r="Y281" s="799"/>
      <c r="Z281" s="799"/>
      <c r="AA281" s="799"/>
      <c r="AB281" s="799"/>
      <c r="AC281" s="799"/>
      <c r="AD281" s="799"/>
      <c r="AE281" s="799"/>
      <c r="AF281" s="799"/>
      <c r="AG281" s="799"/>
      <c r="AH281" s="799"/>
      <c r="AI281" s="799"/>
      <c r="AJ281" s="799"/>
      <c r="AK281" s="799"/>
      <c r="AL281" s="799"/>
      <c r="AM281" s="799"/>
      <c r="AN281" s="799"/>
      <c r="AO281" s="799"/>
      <c r="AP281" s="799"/>
      <c r="AQ281" s="799"/>
      <c r="AR281" s="799"/>
      <c r="AS281" s="799"/>
      <c r="AT281" s="799"/>
      <c r="AU281" s="799"/>
      <c r="AV281" s="799"/>
      <c r="AW281" s="799"/>
      <c r="AX281" s="799"/>
      <c r="AY281" s="799"/>
      <c r="AZ281" s="799"/>
      <c r="BA281" s="799"/>
      <c r="BB281" s="799"/>
      <c r="BC281" s="799"/>
      <c r="BD281" s="799"/>
      <c r="BE281" s="799"/>
      <c r="BF281" s="799"/>
      <c r="BG281" s="799"/>
    </row>
    <row r="282">
      <c r="H282" s="799"/>
      <c r="I282" s="799"/>
      <c r="J282" s="799"/>
      <c r="K282" s="799"/>
      <c r="L282" s="799"/>
      <c r="M282" s="799"/>
      <c r="N282" s="799"/>
      <c r="O282" s="799"/>
      <c r="P282" s="799"/>
      <c r="Q282" s="799"/>
      <c r="R282" s="799"/>
      <c r="S282" s="799"/>
      <c r="T282" s="799"/>
      <c r="U282" s="799"/>
      <c r="V282" s="799"/>
      <c r="W282" s="799"/>
      <c r="X282" s="799"/>
      <c r="Y282" s="799"/>
      <c r="Z282" s="799"/>
      <c r="AA282" s="799"/>
      <c r="AB282" s="799"/>
      <c r="AC282" s="799"/>
      <c r="AD282" s="799"/>
      <c r="AE282" s="799"/>
      <c r="AF282" s="799"/>
      <c r="AG282" s="799"/>
      <c r="AH282" s="799"/>
      <c r="AI282" s="799"/>
      <c r="AJ282" s="799"/>
      <c r="AK282" s="799"/>
      <c r="AL282" s="799"/>
      <c r="AM282" s="799"/>
      <c r="AN282" s="799"/>
      <c r="AO282" s="799"/>
      <c r="AP282" s="799"/>
      <c r="AQ282" s="799"/>
      <c r="AR282" s="799"/>
      <c r="AS282" s="799"/>
      <c r="AT282" s="799"/>
      <c r="AU282" s="799"/>
      <c r="AV282" s="799"/>
      <c r="AW282" s="799"/>
      <c r="AX282" s="799"/>
      <c r="AY282" s="799"/>
      <c r="AZ282" s="799"/>
      <c r="BA282" s="799"/>
      <c r="BB282" s="799"/>
      <c r="BC282" s="799"/>
      <c r="BD282" s="799"/>
      <c r="BE282" s="799"/>
      <c r="BF282" s="799"/>
      <c r="BG282" s="799"/>
    </row>
    <row r="283">
      <c r="H283" s="799"/>
      <c r="I283" s="799"/>
      <c r="J283" s="799"/>
      <c r="K283" s="799"/>
      <c r="L283" s="799"/>
      <c r="M283" s="799"/>
      <c r="N283" s="799"/>
      <c r="O283" s="799"/>
      <c r="P283" s="799"/>
      <c r="Q283" s="799"/>
      <c r="R283" s="799"/>
      <c r="S283" s="799"/>
      <c r="T283" s="799"/>
      <c r="U283" s="799"/>
      <c r="V283" s="799"/>
      <c r="W283" s="799"/>
      <c r="X283" s="799"/>
      <c r="Y283" s="799"/>
      <c r="Z283" s="799"/>
      <c r="AA283" s="799"/>
      <c r="AB283" s="799"/>
      <c r="AC283" s="799"/>
      <c r="AD283" s="799"/>
      <c r="AE283" s="799"/>
      <c r="AF283" s="799"/>
      <c r="AG283" s="799"/>
      <c r="AH283" s="799"/>
      <c r="AI283" s="799"/>
      <c r="AJ283" s="799"/>
      <c r="AK283" s="799"/>
      <c r="AL283" s="799"/>
      <c r="AM283" s="799"/>
      <c r="AN283" s="799"/>
      <c r="AO283" s="799"/>
      <c r="AP283" s="799"/>
      <c r="AQ283" s="799"/>
      <c r="AR283" s="799"/>
      <c r="AS283" s="799"/>
      <c r="AT283" s="799"/>
      <c r="AU283" s="799"/>
      <c r="AV283" s="799"/>
      <c r="AW283" s="799"/>
      <c r="AX283" s="799"/>
      <c r="AY283" s="799"/>
      <c r="AZ283" s="799"/>
      <c r="BA283" s="799"/>
      <c r="BB283" s="799"/>
      <c r="BC283" s="799"/>
      <c r="BD283" s="799"/>
      <c r="BE283" s="799"/>
      <c r="BF283" s="799"/>
      <c r="BG283" s="799"/>
    </row>
    <row r="284">
      <c r="H284" s="799"/>
      <c r="I284" s="799"/>
      <c r="J284" s="799"/>
      <c r="K284" s="799"/>
      <c r="L284" s="799"/>
      <c r="M284" s="799"/>
      <c r="N284" s="799"/>
      <c r="O284" s="799"/>
      <c r="P284" s="799"/>
      <c r="Q284" s="799"/>
      <c r="R284" s="799"/>
      <c r="S284" s="799"/>
      <c r="T284" s="799"/>
      <c r="U284" s="799"/>
      <c r="V284" s="799"/>
      <c r="W284" s="799"/>
      <c r="X284" s="799"/>
      <c r="Y284" s="799"/>
      <c r="Z284" s="799"/>
      <c r="AA284" s="799"/>
      <c r="AB284" s="799"/>
      <c r="AC284" s="799"/>
      <c r="AD284" s="799"/>
      <c r="AE284" s="799"/>
      <c r="AF284" s="799"/>
      <c r="AG284" s="799"/>
      <c r="AH284" s="799"/>
      <c r="AI284" s="799"/>
      <c r="AJ284" s="799"/>
      <c r="AK284" s="799"/>
      <c r="AL284" s="799"/>
      <c r="AM284" s="799"/>
      <c r="AN284" s="799"/>
      <c r="AO284" s="799"/>
      <c r="AP284" s="799"/>
      <c r="AQ284" s="799"/>
      <c r="AR284" s="799"/>
      <c r="AS284" s="799"/>
      <c r="AT284" s="799"/>
      <c r="AU284" s="799"/>
      <c r="AV284" s="799"/>
      <c r="AW284" s="799"/>
      <c r="AX284" s="799"/>
      <c r="AY284" s="799"/>
      <c r="AZ284" s="799"/>
      <c r="BA284" s="799"/>
      <c r="BB284" s="799"/>
      <c r="BC284" s="799"/>
      <c r="BD284" s="799"/>
      <c r="BE284" s="799"/>
      <c r="BF284" s="799"/>
      <c r="BG284" s="799"/>
    </row>
    <row r="285">
      <c r="H285" s="799"/>
      <c r="I285" s="799"/>
      <c r="J285" s="799"/>
      <c r="K285" s="799"/>
      <c r="L285" s="799"/>
      <c r="M285" s="799"/>
      <c r="N285" s="799"/>
      <c r="O285" s="799"/>
      <c r="P285" s="799"/>
      <c r="Q285" s="799"/>
      <c r="R285" s="799"/>
      <c r="S285" s="799"/>
      <c r="T285" s="799"/>
      <c r="U285" s="799"/>
      <c r="V285" s="799"/>
      <c r="W285" s="799"/>
      <c r="X285" s="799"/>
      <c r="Y285" s="799"/>
      <c r="Z285" s="799"/>
      <c r="AA285" s="799"/>
      <c r="AB285" s="799"/>
      <c r="AC285" s="799"/>
      <c r="AD285" s="799"/>
      <c r="AE285" s="799"/>
      <c r="AF285" s="799"/>
      <c r="AG285" s="799"/>
      <c r="AH285" s="799"/>
      <c r="AI285" s="799"/>
      <c r="AJ285" s="799"/>
      <c r="AK285" s="799"/>
      <c r="AL285" s="799"/>
      <c r="AM285" s="799"/>
      <c r="AN285" s="799"/>
      <c r="AO285" s="799"/>
      <c r="AP285" s="799"/>
      <c r="AQ285" s="799"/>
      <c r="AR285" s="799"/>
      <c r="AS285" s="799"/>
      <c r="AT285" s="799"/>
      <c r="AU285" s="799"/>
      <c r="AV285" s="799"/>
      <c r="AW285" s="799"/>
      <c r="AX285" s="799"/>
      <c r="AY285" s="799"/>
      <c r="AZ285" s="799"/>
      <c r="BA285" s="799"/>
      <c r="BB285" s="799"/>
      <c r="BC285" s="799"/>
      <c r="BD285" s="799"/>
      <c r="BE285" s="799"/>
      <c r="BF285" s="799"/>
      <c r="BG285" s="799"/>
    </row>
    <row r="286">
      <c r="H286" s="799"/>
      <c r="I286" s="799"/>
      <c r="J286" s="799"/>
      <c r="K286" s="799"/>
      <c r="L286" s="799"/>
      <c r="M286" s="799"/>
      <c r="N286" s="799"/>
      <c r="O286" s="799"/>
      <c r="P286" s="799"/>
      <c r="Q286" s="799"/>
      <c r="R286" s="799"/>
      <c r="S286" s="799"/>
      <c r="T286" s="799"/>
      <c r="U286" s="799"/>
      <c r="V286" s="799"/>
      <c r="W286" s="799"/>
      <c r="X286" s="799"/>
      <c r="Y286" s="799"/>
      <c r="Z286" s="799"/>
      <c r="AA286" s="799"/>
      <c r="AB286" s="799"/>
      <c r="AC286" s="799"/>
      <c r="AD286" s="799"/>
      <c r="AE286" s="799"/>
      <c r="AF286" s="799"/>
      <c r="AG286" s="799"/>
      <c r="AH286" s="799"/>
      <c r="AI286" s="799"/>
      <c r="AJ286" s="799"/>
      <c r="AK286" s="799"/>
      <c r="AL286" s="799"/>
      <c r="AM286" s="799"/>
      <c r="AN286" s="799"/>
      <c r="AO286" s="799"/>
      <c r="AP286" s="799"/>
      <c r="AQ286" s="799"/>
      <c r="AR286" s="799"/>
      <c r="AS286" s="799"/>
      <c r="AT286" s="799"/>
      <c r="AU286" s="799"/>
      <c r="AV286" s="799"/>
      <c r="AW286" s="799"/>
      <c r="AX286" s="799"/>
      <c r="AY286" s="799"/>
      <c r="AZ286" s="799"/>
      <c r="BA286" s="799"/>
      <c r="BB286" s="799"/>
      <c r="BC286" s="799"/>
      <c r="BD286" s="799"/>
      <c r="BE286" s="799"/>
      <c r="BF286" s="799"/>
      <c r="BG286" s="799"/>
    </row>
    <row r="287">
      <c r="H287" s="799"/>
      <c r="I287" s="799"/>
      <c r="J287" s="799"/>
      <c r="K287" s="799"/>
      <c r="L287" s="799"/>
      <c r="M287" s="799"/>
      <c r="N287" s="799"/>
      <c r="O287" s="799"/>
      <c r="P287" s="799"/>
      <c r="Q287" s="799"/>
      <c r="R287" s="799"/>
      <c r="S287" s="799"/>
      <c r="T287" s="799"/>
      <c r="U287" s="799"/>
      <c r="V287" s="799"/>
      <c r="W287" s="799"/>
      <c r="X287" s="799"/>
      <c r="Y287" s="799"/>
      <c r="Z287" s="799"/>
      <c r="AA287" s="799"/>
      <c r="AB287" s="799"/>
      <c r="AC287" s="799"/>
      <c r="AD287" s="799"/>
      <c r="AE287" s="799"/>
      <c r="AF287" s="799"/>
      <c r="AG287" s="799"/>
      <c r="AH287" s="799"/>
      <c r="AI287" s="799"/>
      <c r="AJ287" s="799"/>
      <c r="AK287" s="799"/>
      <c r="AL287" s="799"/>
      <c r="AM287" s="799"/>
      <c r="AN287" s="799"/>
      <c r="AO287" s="799"/>
      <c r="AP287" s="799"/>
      <c r="AQ287" s="799"/>
      <c r="AR287" s="799"/>
      <c r="AS287" s="799"/>
      <c r="AT287" s="799"/>
      <c r="AU287" s="799"/>
      <c r="AV287" s="799"/>
      <c r="AW287" s="799"/>
      <c r="AX287" s="799"/>
      <c r="AY287" s="799"/>
      <c r="AZ287" s="799"/>
      <c r="BA287" s="799"/>
      <c r="BB287" s="799"/>
      <c r="BC287" s="799"/>
      <c r="BD287" s="799"/>
      <c r="BE287" s="799"/>
      <c r="BF287" s="799"/>
      <c r="BG287" s="799"/>
    </row>
    <row r="288">
      <c r="H288" s="799"/>
      <c r="I288" s="799"/>
      <c r="J288" s="799"/>
      <c r="K288" s="799"/>
      <c r="L288" s="799"/>
      <c r="M288" s="799"/>
      <c r="N288" s="799"/>
      <c r="O288" s="799"/>
      <c r="P288" s="799"/>
      <c r="Q288" s="799"/>
      <c r="R288" s="799"/>
      <c r="S288" s="799"/>
      <c r="T288" s="799"/>
      <c r="U288" s="799"/>
      <c r="V288" s="799"/>
      <c r="W288" s="799"/>
      <c r="X288" s="799"/>
      <c r="Y288" s="799"/>
      <c r="Z288" s="799"/>
      <c r="AA288" s="799"/>
      <c r="AB288" s="799"/>
      <c r="AC288" s="799"/>
      <c r="AD288" s="799"/>
      <c r="AE288" s="799"/>
      <c r="AF288" s="799"/>
      <c r="AG288" s="799"/>
      <c r="AH288" s="799"/>
      <c r="AI288" s="799"/>
      <c r="AJ288" s="799"/>
      <c r="AK288" s="799"/>
      <c r="AL288" s="799"/>
      <c r="AM288" s="799"/>
      <c r="AN288" s="799"/>
      <c r="AO288" s="799"/>
      <c r="AP288" s="799"/>
      <c r="AQ288" s="799"/>
      <c r="AR288" s="799"/>
      <c r="AS288" s="799"/>
      <c r="AT288" s="799"/>
      <c r="AU288" s="799"/>
      <c r="AV288" s="799"/>
      <c r="AW288" s="799"/>
      <c r="AX288" s="799"/>
      <c r="AY288" s="799"/>
      <c r="AZ288" s="799"/>
      <c r="BA288" s="799"/>
      <c r="BB288" s="799"/>
      <c r="BC288" s="799"/>
      <c r="BD288" s="799"/>
      <c r="BE288" s="799"/>
      <c r="BF288" s="799"/>
      <c r="BG288" s="799"/>
    </row>
    <row r="289">
      <c r="H289" s="799"/>
      <c r="I289" s="799"/>
      <c r="J289" s="799"/>
      <c r="K289" s="799"/>
      <c r="L289" s="799"/>
      <c r="M289" s="799"/>
      <c r="N289" s="799"/>
      <c r="O289" s="799"/>
      <c r="P289" s="799"/>
      <c r="Q289" s="799"/>
      <c r="R289" s="799"/>
      <c r="S289" s="799"/>
      <c r="T289" s="799"/>
      <c r="U289" s="799"/>
      <c r="V289" s="799"/>
      <c r="W289" s="799"/>
      <c r="X289" s="799"/>
      <c r="Y289" s="799"/>
      <c r="Z289" s="799"/>
      <c r="AA289" s="799"/>
      <c r="AB289" s="799"/>
      <c r="AC289" s="799"/>
      <c r="AD289" s="799"/>
      <c r="AE289" s="799"/>
      <c r="AF289" s="799"/>
      <c r="AG289" s="799"/>
      <c r="AH289" s="799"/>
      <c r="AI289" s="799"/>
      <c r="AJ289" s="799"/>
      <c r="AK289" s="799"/>
      <c r="AL289" s="799"/>
      <c r="AM289" s="799"/>
      <c r="AN289" s="799"/>
      <c r="AO289" s="799"/>
      <c r="AP289" s="799"/>
      <c r="AQ289" s="799"/>
      <c r="AR289" s="799"/>
      <c r="AS289" s="799"/>
      <c r="AT289" s="799"/>
      <c r="AU289" s="799"/>
      <c r="AV289" s="799"/>
      <c r="AW289" s="799"/>
      <c r="AX289" s="799"/>
      <c r="AY289" s="799"/>
      <c r="AZ289" s="799"/>
      <c r="BA289" s="799"/>
      <c r="BB289" s="799"/>
      <c r="BC289" s="799"/>
      <c r="BD289" s="799"/>
      <c r="BE289" s="799"/>
      <c r="BF289" s="799"/>
      <c r="BG289" s="799"/>
    </row>
    <row r="290">
      <c r="H290" s="799"/>
      <c r="I290" s="799"/>
      <c r="J290" s="799"/>
      <c r="K290" s="799"/>
      <c r="L290" s="799"/>
      <c r="M290" s="799"/>
      <c r="N290" s="799"/>
      <c r="O290" s="799"/>
      <c r="P290" s="799"/>
      <c r="Q290" s="799"/>
      <c r="R290" s="799"/>
      <c r="S290" s="799"/>
      <c r="T290" s="799"/>
      <c r="U290" s="799"/>
      <c r="V290" s="799"/>
      <c r="W290" s="799"/>
      <c r="X290" s="799"/>
      <c r="Y290" s="799"/>
      <c r="Z290" s="799"/>
      <c r="AA290" s="799"/>
      <c r="AB290" s="799"/>
      <c r="AC290" s="799"/>
      <c r="AD290" s="799"/>
      <c r="AE290" s="799"/>
      <c r="AF290" s="799"/>
      <c r="AG290" s="799"/>
      <c r="AH290" s="799"/>
      <c r="AI290" s="799"/>
      <c r="AJ290" s="799"/>
      <c r="AK290" s="799"/>
      <c r="AL290" s="799"/>
      <c r="AM290" s="799"/>
      <c r="AN290" s="799"/>
      <c r="AO290" s="799"/>
      <c r="AP290" s="799"/>
      <c r="AQ290" s="799"/>
      <c r="AR290" s="799"/>
      <c r="AS290" s="799"/>
      <c r="AT290" s="799"/>
      <c r="AU290" s="799"/>
      <c r="AV290" s="799"/>
      <c r="AW290" s="799"/>
      <c r="AX290" s="799"/>
      <c r="AY290" s="799"/>
      <c r="AZ290" s="799"/>
      <c r="BA290" s="799"/>
      <c r="BB290" s="799"/>
      <c r="BC290" s="799"/>
      <c r="BD290" s="799"/>
      <c r="BE290" s="799"/>
      <c r="BF290" s="799"/>
      <c r="BG290" s="799"/>
    </row>
    <row r="291">
      <c r="H291" s="799"/>
      <c r="I291" s="799"/>
      <c r="J291" s="799"/>
      <c r="K291" s="799"/>
      <c r="L291" s="799"/>
      <c r="M291" s="799"/>
      <c r="N291" s="799"/>
      <c r="O291" s="799"/>
      <c r="P291" s="799"/>
      <c r="Q291" s="799"/>
      <c r="R291" s="799"/>
      <c r="S291" s="799"/>
      <c r="T291" s="799"/>
      <c r="U291" s="799"/>
      <c r="V291" s="799"/>
      <c r="W291" s="799"/>
      <c r="X291" s="799"/>
      <c r="Y291" s="799"/>
      <c r="Z291" s="799"/>
      <c r="AA291" s="799"/>
      <c r="AB291" s="799"/>
      <c r="AC291" s="799"/>
      <c r="AD291" s="799"/>
      <c r="AE291" s="799"/>
      <c r="AF291" s="799"/>
      <c r="AG291" s="799"/>
      <c r="AH291" s="799"/>
      <c r="AI291" s="799"/>
      <c r="AJ291" s="799"/>
      <c r="AK291" s="799"/>
      <c r="AL291" s="799"/>
      <c r="AM291" s="799"/>
      <c r="AN291" s="799"/>
      <c r="AO291" s="799"/>
      <c r="AP291" s="799"/>
      <c r="AQ291" s="799"/>
      <c r="AR291" s="799"/>
      <c r="AS291" s="799"/>
      <c r="AT291" s="799"/>
      <c r="AU291" s="799"/>
      <c r="AV291" s="799"/>
      <c r="AW291" s="799"/>
      <c r="AX291" s="799"/>
      <c r="AY291" s="799"/>
      <c r="AZ291" s="799"/>
      <c r="BA291" s="799"/>
      <c r="BB291" s="799"/>
      <c r="BC291" s="799"/>
      <c r="BD291" s="799"/>
      <c r="BE291" s="799"/>
      <c r="BF291" s="799"/>
      <c r="BG291" s="799"/>
    </row>
    <row r="292">
      <c r="H292" s="799"/>
      <c r="I292" s="799"/>
      <c r="J292" s="799"/>
      <c r="K292" s="799"/>
      <c r="L292" s="799"/>
      <c r="M292" s="799"/>
      <c r="N292" s="799"/>
      <c r="O292" s="799"/>
      <c r="P292" s="799"/>
      <c r="Q292" s="799"/>
      <c r="R292" s="799"/>
      <c r="S292" s="799"/>
      <c r="T292" s="799"/>
      <c r="U292" s="799"/>
      <c r="V292" s="799"/>
      <c r="W292" s="799"/>
      <c r="X292" s="799"/>
      <c r="Y292" s="799"/>
      <c r="Z292" s="799"/>
      <c r="AA292" s="799"/>
      <c r="AB292" s="799"/>
      <c r="AC292" s="799"/>
      <c r="AD292" s="799"/>
      <c r="AE292" s="799"/>
      <c r="AF292" s="799"/>
      <c r="AG292" s="799"/>
      <c r="AH292" s="799"/>
      <c r="AI292" s="799"/>
      <c r="AJ292" s="799"/>
      <c r="AK292" s="799"/>
      <c r="AL292" s="799"/>
      <c r="AM292" s="799"/>
      <c r="AN292" s="799"/>
      <c r="AO292" s="799"/>
      <c r="AP292" s="799"/>
      <c r="AQ292" s="799"/>
      <c r="AR292" s="799"/>
      <c r="AS292" s="799"/>
      <c r="AT292" s="799"/>
      <c r="AU292" s="799"/>
      <c r="AV292" s="799"/>
      <c r="AW292" s="799"/>
      <c r="AX292" s="799"/>
      <c r="AY292" s="799"/>
      <c r="AZ292" s="799"/>
      <c r="BA292" s="799"/>
      <c r="BB292" s="799"/>
      <c r="BC292" s="799"/>
      <c r="BD292" s="799"/>
      <c r="BE292" s="799"/>
      <c r="BF292" s="799"/>
      <c r="BG292" s="799"/>
    </row>
    <row r="293">
      <c r="H293" s="799"/>
      <c r="I293" s="799"/>
      <c r="J293" s="799"/>
      <c r="K293" s="799"/>
      <c r="L293" s="799"/>
      <c r="M293" s="799"/>
      <c r="N293" s="799"/>
      <c r="O293" s="799"/>
      <c r="P293" s="799"/>
      <c r="Q293" s="799"/>
      <c r="R293" s="799"/>
      <c r="S293" s="799"/>
      <c r="T293" s="799"/>
      <c r="U293" s="799"/>
      <c r="V293" s="799"/>
      <c r="W293" s="799"/>
      <c r="X293" s="799"/>
      <c r="Y293" s="799"/>
      <c r="Z293" s="799"/>
      <c r="AA293" s="799"/>
      <c r="AB293" s="799"/>
      <c r="AC293" s="799"/>
      <c r="AD293" s="799"/>
      <c r="AE293" s="799"/>
      <c r="AF293" s="799"/>
      <c r="AG293" s="799"/>
      <c r="AH293" s="799"/>
      <c r="AI293" s="799"/>
      <c r="AJ293" s="799"/>
      <c r="AK293" s="799"/>
      <c r="AL293" s="799"/>
      <c r="AM293" s="799"/>
      <c r="AN293" s="799"/>
      <c r="AO293" s="799"/>
      <c r="AP293" s="799"/>
      <c r="AQ293" s="799"/>
      <c r="AR293" s="799"/>
      <c r="AS293" s="799"/>
      <c r="AT293" s="799"/>
      <c r="AU293" s="799"/>
      <c r="AV293" s="799"/>
      <c r="AW293" s="799"/>
      <c r="AX293" s="799"/>
      <c r="AY293" s="799"/>
      <c r="AZ293" s="799"/>
      <c r="BA293" s="799"/>
      <c r="BB293" s="799"/>
      <c r="BC293" s="799"/>
      <c r="BD293" s="799"/>
      <c r="BE293" s="799"/>
      <c r="BF293" s="799"/>
      <c r="BG293" s="799"/>
    </row>
    <row r="294">
      <c r="H294" s="799"/>
      <c r="I294" s="799"/>
      <c r="J294" s="799"/>
      <c r="K294" s="799"/>
      <c r="L294" s="799"/>
      <c r="M294" s="799"/>
      <c r="N294" s="799"/>
      <c r="O294" s="799"/>
      <c r="P294" s="799"/>
      <c r="Q294" s="799"/>
      <c r="R294" s="799"/>
      <c r="S294" s="799"/>
      <c r="T294" s="799"/>
      <c r="U294" s="799"/>
      <c r="V294" s="799"/>
      <c r="W294" s="799"/>
      <c r="X294" s="799"/>
      <c r="Y294" s="799"/>
      <c r="Z294" s="799"/>
      <c r="AA294" s="799"/>
      <c r="AB294" s="799"/>
      <c r="AC294" s="799"/>
      <c r="AD294" s="799"/>
      <c r="AE294" s="799"/>
      <c r="AF294" s="799"/>
      <c r="AG294" s="799"/>
      <c r="AH294" s="799"/>
      <c r="AI294" s="799"/>
      <c r="AJ294" s="799"/>
      <c r="AK294" s="799"/>
      <c r="AL294" s="799"/>
      <c r="AM294" s="799"/>
      <c r="AN294" s="799"/>
      <c r="AO294" s="799"/>
      <c r="AP294" s="799"/>
      <c r="AQ294" s="799"/>
      <c r="AR294" s="799"/>
      <c r="AS294" s="799"/>
      <c r="AT294" s="799"/>
      <c r="AU294" s="799"/>
      <c r="AV294" s="799"/>
      <c r="AW294" s="799"/>
      <c r="AX294" s="799"/>
      <c r="AY294" s="799"/>
      <c r="AZ294" s="799"/>
      <c r="BA294" s="799"/>
      <c r="BB294" s="799"/>
      <c r="BC294" s="799"/>
      <c r="BD294" s="799"/>
      <c r="BE294" s="799"/>
      <c r="BF294" s="799"/>
      <c r="BG294" s="799"/>
    </row>
    <row r="295">
      <c r="H295" s="799"/>
      <c r="I295" s="799"/>
      <c r="J295" s="799"/>
      <c r="K295" s="799"/>
      <c r="L295" s="799"/>
      <c r="M295" s="799"/>
      <c r="N295" s="799"/>
      <c r="O295" s="799"/>
      <c r="P295" s="799"/>
      <c r="Q295" s="799"/>
      <c r="R295" s="799"/>
      <c r="S295" s="799"/>
      <c r="T295" s="799"/>
      <c r="U295" s="799"/>
      <c r="V295" s="799"/>
      <c r="W295" s="799"/>
      <c r="X295" s="799"/>
      <c r="Y295" s="799"/>
      <c r="Z295" s="799"/>
      <c r="AA295" s="799"/>
      <c r="AB295" s="799"/>
      <c r="AC295" s="799"/>
      <c r="AD295" s="799"/>
      <c r="AE295" s="799"/>
      <c r="AF295" s="799"/>
      <c r="AG295" s="799"/>
      <c r="AH295" s="799"/>
      <c r="AI295" s="799"/>
      <c r="AJ295" s="799"/>
      <c r="AK295" s="799"/>
      <c r="AL295" s="799"/>
      <c r="AM295" s="799"/>
      <c r="AN295" s="799"/>
      <c r="AO295" s="799"/>
      <c r="AP295" s="799"/>
      <c r="AQ295" s="799"/>
      <c r="AR295" s="799"/>
      <c r="AS295" s="799"/>
      <c r="AT295" s="799"/>
      <c r="AU295" s="799"/>
      <c r="AV295" s="799"/>
      <c r="AW295" s="799"/>
      <c r="AX295" s="799"/>
      <c r="AY295" s="799"/>
      <c r="AZ295" s="799"/>
      <c r="BA295" s="799"/>
      <c r="BB295" s="799"/>
      <c r="BC295" s="799"/>
      <c r="BD295" s="799"/>
      <c r="BE295" s="799"/>
      <c r="BF295" s="799"/>
      <c r="BG295" s="799"/>
    </row>
    <row r="296">
      <c r="H296" s="799"/>
      <c r="I296" s="799"/>
      <c r="J296" s="799"/>
      <c r="K296" s="799"/>
      <c r="L296" s="799"/>
      <c r="M296" s="799"/>
      <c r="N296" s="799"/>
      <c r="O296" s="799"/>
      <c r="P296" s="799"/>
      <c r="Q296" s="799"/>
      <c r="R296" s="799"/>
      <c r="S296" s="799"/>
      <c r="T296" s="799"/>
      <c r="U296" s="799"/>
      <c r="V296" s="799"/>
      <c r="W296" s="799"/>
      <c r="X296" s="799"/>
      <c r="Y296" s="799"/>
      <c r="Z296" s="799"/>
      <c r="AA296" s="799"/>
      <c r="AB296" s="799"/>
      <c r="AC296" s="799"/>
      <c r="AD296" s="799"/>
      <c r="AE296" s="799"/>
      <c r="AF296" s="799"/>
      <c r="AG296" s="799"/>
      <c r="AH296" s="799"/>
      <c r="AI296" s="799"/>
      <c r="AJ296" s="799"/>
      <c r="AK296" s="799"/>
      <c r="AL296" s="799"/>
      <c r="AM296" s="799"/>
      <c r="AN296" s="799"/>
      <c r="AO296" s="799"/>
      <c r="AP296" s="799"/>
      <c r="AQ296" s="799"/>
      <c r="AR296" s="799"/>
      <c r="AS296" s="799"/>
      <c r="AT296" s="799"/>
      <c r="AU296" s="799"/>
      <c r="AV296" s="799"/>
      <c r="AW296" s="799"/>
      <c r="AX296" s="799"/>
      <c r="AY296" s="799"/>
      <c r="AZ296" s="799"/>
      <c r="BA296" s="799"/>
      <c r="BB296" s="799"/>
      <c r="BC296" s="799"/>
      <c r="BD296" s="799"/>
      <c r="BE296" s="799"/>
      <c r="BF296" s="799"/>
      <c r="BG296" s="799"/>
    </row>
    <row r="297">
      <c r="H297" s="799"/>
      <c r="I297" s="799"/>
      <c r="J297" s="799"/>
      <c r="K297" s="799"/>
      <c r="L297" s="799"/>
      <c r="M297" s="799"/>
      <c r="N297" s="799"/>
      <c r="O297" s="799"/>
      <c r="P297" s="799"/>
      <c r="Q297" s="799"/>
      <c r="R297" s="799"/>
      <c r="S297" s="799"/>
      <c r="T297" s="799"/>
      <c r="U297" s="799"/>
      <c r="V297" s="799"/>
      <c r="W297" s="799"/>
      <c r="X297" s="799"/>
      <c r="Y297" s="799"/>
      <c r="Z297" s="799"/>
      <c r="AA297" s="799"/>
      <c r="AB297" s="799"/>
      <c r="AC297" s="799"/>
      <c r="AD297" s="799"/>
      <c r="AE297" s="799"/>
      <c r="AF297" s="799"/>
      <c r="AG297" s="799"/>
      <c r="AH297" s="799"/>
      <c r="AI297" s="799"/>
      <c r="AJ297" s="799"/>
      <c r="AK297" s="799"/>
      <c r="AL297" s="799"/>
      <c r="AM297" s="799"/>
      <c r="AN297" s="799"/>
      <c r="AO297" s="799"/>
      <c r="AP297" s="799"/>
      <c r="AQ297" s="799"/>
      <c r="AR297" s="799"/>
      <c r="AS297" s="799"/>
      <c r="AT297" s="799"/>
      <c r="AU297" s="799"/>
      <c r="AV297" s="799"/>
      <c r="AW297" s="799"/>
      <c r="AX297" s="799"/>
      <c r="AY297" s="799"/>
      <c r="AZ297" s="799"/>
      <c r="BA297" s="799"/>
      <c r="BB297" s="799"/>
      <c r="BC297" s="799"/>
      <c r="BD297" s="799"/>
      <c r="BE297" s="799"/>
      <c r="BF297" s="799"/>
      <c r="BG297" s="799"/>
    </row>
    <row r="298">
      <c r="H298" s="799"/>
      <c r="I298" s="799"/>
      <c r="J298" s="799"/>
      <c r="K298" s="799"/>
      <c r="L298" s="799"/>
      <c r="M298" s="799"/>
      <c r="N298" s="799"/>
      <c r="O298" s="799"/>
      <c r="P298" s="799"/>
      <c r="Q298" s="799"/>
      <c r="R298" s="799"/>
      <c r="S298" s="799"/>
      <c r="T298" s="799"/>
      <c r="U298" s="799"/>
      <c r="V298" s="799"/>
      <c r="W298" s="799"/>
      <c r="X298" s="799"/>
      <c r="Y298" s="799"/>
      <c r="Z298" s="799"/>
      <c r="AA298" s="799"/>
      <c r="AB298" s="799"/>
      <c r="AC298" s="799"/>
      <c r="AD298" s="799"/>
      <c r="AE298" s="799"/>
      <c r="AF298" s="799"/>
      <c r="AG298" s="799"/>
      <c r="AH298" s="799"/>
      <c r="AI298" s="799"/>
      <c r="AJ298" s="799"/>
      <c r="AK298" s="799"/>
      <c r="AL298" s="799"/>
      <c r="AM298" s="799"/>
      <c r="AN298" s="799"/>
      <c r="AO298" s="799"/>
      <c r="AP298" s="799"/>
      <c r="AQ298" s="799"/>
      <c r="AR298" s="799"/>
      <c r="AS298" s="799"/>
      <c r="AT298" s="799"/>
      <c r="AU298" s="799"/>
      <c r="AV298" s="799"/>
      <c r="AW298" s="799"/>
      <c r="AX298" s="799"/>
      <c r="AY298" s="799"/>
      <c r="AZ298" s="799"/>
      <c r="BA298" s="799"/>
      <c r="BB298" s="799"/>
      <c r="BC298" s="799"/>
      <c r="BD298" s="799"/>
      <c r="BE298" s="799"/>
      <c r="BF298" s="799"/>
      <c r="BG298" s="799"/>
    </row>
    <row r="299">
      <c r="H299" s="799"/>
      <c r="I299" s="799"/>
      <c r="J299" s="799"/>
      <c r="K299" s="799"/>
      <c r="L299" s="799"/>
      <c r="M299" s="799"/>
      <c r="N299" s="799"/>
      <c r="O299" s="799"/>
      <c r="P299" s="799"/>
      <c r="Q299" s="799"/>
      <c r="R299" s="799"/>
      <c r="S299" s="799"/>
      <c r="T299" s="799"/>
      <c r="U299" s="799"/>
      <c r="V299" s="799"/>
      <c r="W299" s="799"/>
      <c r="X299" s="799"/>
      <c r="Y299" s="799"/>
      <c r="Z299" s="799"/>
      <c r="AA299" s="799"/>
      <c r="AB299" s="799"/>
      <c r="AC299" s="799"/>
      <c r="AD299" s="799"/>
      <c r="AE299" s="799"/>
      <c r="AF299" s="799"/>
      <c r="AG299" s="799"/>
      <c r="AH299" s="799"/>
      <c r="AI299" s="799"/>
      <c r="AJ299" s="799"/>
      <c r="AK299" s="799"/>
      <c r="AL299" s="799"/>
      <c r="AM299" s="799"/>
      <c r="AN299" s="799"/>
      <c r="AO299" s="799"/>
      <c r="AP299" s="799"/>
      <c r="AQ299" s="799"/>
      <c r="AR299" s="799"/>
      <c r="AS299" s="799"/>
      <c r="AT299" s="799"/>
      <c r="AU299" s="799"/>
      <c r="AV299" s="799"/>
      <c r="AW299" s="799"/>
      <c r="AX299" s="799"/>
      <c r="AY299" s="799"/>
      <c r="AZ299" s="799"/>
      <c r="BA299" s="799"/>
      <c r="BB299" s="799"/>
      <c r="BC299" s="799"/>
      <c r="BD299" s="799"/>
      <c r="BE299" s="799"/>
      <c r="BF299" s="799"/>
      <c r="BG299" s="799"/>
    </row>
    <row r="300">
      <c r="H300" s="799"/>
      <c r="I300" s="799"/>
      <c r="J300" s="799"/>
      <c r="K300" s="799"/>
      <c r="L300" s="799"/>
      <c r="M300" s="799"/>
      <c r="N300" s="799"/>
      <c r="O300" s="799"/>
      <c r="P300" s="799"/>
      <c r="Q300" s="799"/>
      <c r="R300" s="799"/>
      <c r="S300" s="799"/>
      <c r="T300" s="799"/>
      <c r="U300" s="799"/>
      <c r="V300" s="799"/>
      <c r="W300" s="799"/>
      <c r="X300" s="799"/>
      <c r="Y300" s="799"/>
      <c r="Z300" s="799"/>
      <c r="AA300" s="799"/>
      <c r="AB300" s="799"/>
      <c r="AC300" s="799"/>
      <c r="AD300" s="799"/>
      <c r="AE300" s="799"/>
      <c r="AF300" s="799"/>
      <c r="AG300" s="799"/>
      <c r="AH300" s="799"/>
      <c r="AI300" s="799"/>
      <c r="AJ300" s="799"/>
      <c r="AK300" s="799"/>
      <c r="AL300" s="799"/>
      <c r="AM300" s="799"/>
      <c r="AN300" s="799"/>
      <c r="AO300" s="799"/>
      <c r="AP300" s="799"/>
      <c r="AQ300" s="799"/>
      <c r="AR300" s="799"/>
      <c r="AS300" s="799"/>
      <c r="AT300" s="799"/>
      <c r="AU300" s="799"/>
      <c r="AV300" s="799"/>
      <c r="AW300" s="799"/>
      <c r="AX300" s="799"/>
      <c r="AY300" s="799"/>
      <c r="AZ300" s="799"/>
      <c r="BA300" s="799"/>
      <c r="BB300" s="799"/>
      <c r="BC300" s="799"/>
      <c r="BD300" s="799"/>
      <c r="BE300" s="799"/>
      <c r="BF300" s="799"/>
      <c r="BG300" s="799"/>
    </row>
    <row r="301">
      <c r="H301" s="799"/>
      <c r="I301" s="799"/>
      <c r="J301" s="799"/>
      <c r="K301" s="799"/>
      <c r="L301" s="799"/>
      <c r="M301" s="799"/>
      <c r="N301" s="799"/>
      <c r="O301" s="799"/>
      <c r="P301" s="799"/>
      <c r="Q301" s="799"/>
      <c r="R301" s="799"/>
      <c r="S301" s="799"/>
      <c r="T301" s="799"/>
      <c r="U301" s="799"/>
      <c r="V301" s="799"/>
      <c r="W301" s="799"/>
      <c r="X301" s="799"/>
      <c r="Y301" s="799"/>
      <c r="Z301" s="799"/>
      <c r="AA301" s="799"/>
      <c r="AB301" s="799"/>
      <c r="AC301" s="799"/>
      <c r="AD301" s="799"/>
      <c r="AE301" s="799"/>
      <c r="AF301" s="799"/>
      <c r="AG301" s="799"/>
      <c r="AH301" s="799"/>
      <c r="AI301" s="799"/>
      <c r="AJ301" s="799"/>
      <c r="AK301" s="799"/>
      <c r="AL301" s="799"/>
      <c r="AM301" s="799"/>
      <c r="AN301" s="799"/>
      <c r="AO301" s="799"/>
      <c r="AP301" s="799"/>
      <c r="AQ301" s="799"/>
      <c r="AR301" s="799"/>
      <c r="AS301" s="799"/>
      <c r="AT301" s="799"/>
      <c r="AU301" s="799"/>
      <c r="AV301" s="799"/>
      <c r="AW301" s="799"/>
      <c r="AX301" s="799"/>
      <c r="AY301" s="799"/>
      <c r="AZ301" s="799"/>
      <c r="BA301" s="799"/>
      <c r="BB301" s="799"/>
      <c r="BC301" s="799"/>
      <c r="BD301" s="799"/>
      <c r="BE301" s="799"/>
      <c r="BF301" s="799"/>
      <c r="BG301" s="799"/>
    </row>
    <row r="302">
      <c r="H302" s="799"/>
      <c r="I302" s="799"/>
      <c r="J302" s="799"/>
      <c r="K302" s="799"/>
      <c r="L302" s="799"/>
      <c r="M302" s="799"/>
      <c r="N302" s="799"/>
      <c r="O302" s="799"/>
      <c r="P302" s="799"/>
      <c r="Q302" s="799"/>
      <c r="R302" s="799"/>
      <c r="S302" s="799"/>
      <c r="T302" s="799"/>
      <c r="U302" s="799"/>
      <c r="V302" s="799"/>
      <c r="W302" s="799"/>
      <c r="X302" s="799"/>
      <c r="Y302" s="799"/>
      <c r="Z302" s="799"/>
      <c r="AA302" s="799"/>
      <c r="AB302" s="799"/>
      <c r="AC302" s="799"/>
      <c r="AD302" s="799"/>
      <c r="AE302" s="799"/>
      <c r="AF302" s="799"/>
      <c r="AG302" s="799"/>
      <c r="AH302" s="799"/>
      <c r="AI302" s="799"/>
      <c r="AJ302" s="799"/>
      <c r="AK302" s="799"/>
      <c r="AL302" s="799"/>
      <c r="AM302" s="799"/>
      <c r="AN302" s="799"/>
      <c r="AO302" s="799"/>
      <c r="AP302" s="799"/>
      <c r="AQ302" s="799"/>
      <c r="AR302" s="799"/>
      <c r="AS302" s="799"/>
      <c r="AT302" s="799"/>
      <c r="AU302" s="799"/>
      <c r="AV302" s="799"/>
      <c r="AW302" s="799"/>
      <c r="AX302" s="799"/>
      <c r="AY302" s="799"/>
      <c r="AZ302" s="799"/>
      <c r="BA302" s="799"/>
      <c r="BB302" s="799"/>
      <c r="BC302" s="799"/>
      <c r="BD302" s="799"/>
      <c r="BE302" s="799"/>
      <c r="BF302" s="799"/>
      <c r="BG302" s="799"/>
    </row>
    <row r="303">
      <c r="H303" s="799"/>
      <c r="I303" s="799"/>
      <c r="J303" s="799"/>
      <c r="K303" s="799"/>
      <c r="L303" s="799"/>
      <c r="M303" s="799"/>
      <c r="N303" s="799"/>
      <c r="O303" s="799"/>
      <c r="P303" s="799"/>
      <c r="Q303" s="799"/>
      <c r="R303" s="799"/>
      <c r="S303" s="799"/>
      <c r="T303" s="799"/>
      <c r="U303" s="799"/>
      <c r="V303" s="799"/>
      <c r="W303" s="799"/>
      <c r="X303" s="799"/>
      <c r="Y303" s="799"/>
      <c r="Z303" s="799"/>
      <c r="AA303" s="799"/>
      <c r="AB303" s="799"/>
      <c r="AC303" s="799"/>
      <c r="AD303" s="799"/>
      <c r="AE303" s="799"/>
      <c r="AF303" s="799"/>
      <c r="AG303" s="799"/>
      <c r="AH303" s="799"/>
      <c r="AI303" s="799"/>
      <c r="AJ303" s="799"/>
      <c r="AK303" s="799"/>
      <c r="AL303" s="799"/>
      <c r="AM303" s="799"/>
      <c r="AN303" s="799"/>
      <c r="AO303" s="799"/>
      <c r="AP303" s="799"/>
      <c r="AQ303" s="799"/>
      <c r="AR303" s="799"/>
      <c r="AS303" s="799"/>
      <c r="AT303" s="799"/>
      <c r="AU303" s="799"/>
      <c r="AV303" s="799"/>
      <c r="AW303" s="799"/>
      <c r="AX303" s="799"/>
      <c r="AY303" s="799"/>
      <c r="AZ303" s="799"/>
      <c r="BA303" s="799"/>
      <c r="BB303" s="799"/>
      <c r="BC303" s="799"/>
      <c r="BD303" s="799"/>
      <c r="BE303" s="799"/>
      <c r="BF303" s="799"/>
      <c r="BG303" s="799"/>
    </row>
    <row r="304">
      <c r="H304" s="799"/>
      <c r="I304" s="799"/>
      <c r="J304" s="799"/>
      <c r="K304" s="799"/>
      <c r="L304" s="799"/>
      <c r="M304" s="799"/>
      <c r="N304" s="799"/>
      <c r="O304" s="799"/>
      <c r="P304" s="799"/>
      <c r="Q304" s="799"/>
      <c r="R304" s="799"/>
      <c r="S304" s="799"/>
      <c r="T304" s="799"/>
      <c r="U304" s="799"/>
      <c r="V304" s="799"/>
      <c r="W304" s="799"/>
      <c r="X304" s="799"/>
      <c r="Y304" s="799"/>
      <c r="Z304" s="799"/>
      <c r="AA304" s="799"/>
      <c r="AB304" s="799"/>
      <c r="AC304" s="799"/>
      <c r="AD304" s="799"/>
      <c r="AE304" s="799"/>
      <c r="AF304" s="799"/>
      <c r="AG304" s="799"/>
      <c r="AH304" s="799"/>
      <c r="AI304" s="799"/>
      <c r="AJ304" s="799"/>
      <c r="AK304" s="799"/>
      <c r="AL304" s="799"/>
      <c r="AM304" s="799"/>
      <c r="AN304" s="799"/>
      <c r="AO304" s="799"/>
      <c r="AP304" s="799"/>
      <c r="AQ304" s="799"/>
      <c r="AR304" s="799"/>
      <c r="AS304" s="799"/>
      <c r="AT304" s="799"/>
      <c r="AU304" s="799"/>
      <c r="AV304" s="799"/>
      <c r="AW304" s="799"/>
      <c r="AX304" s="799"/>
      <c r="AY304" s="799"/>
      <c r="AZ304" s="799"/>
      <c r="BA304" s="799"/>
      <c r="BB304" s="799"/>
      <c r="BC304" s="799"/>
      <c r="BD304" s="799"/>
      <c r="BE304" s="799"/>
      <c r="BF304" s="799"/>
      <c r="BG304" s="799"/>
    </row>
    <row r="305">
      <c r="H305" s="799"/>
      <c r="I305" s="799"/>
      <c r="J305" s="799"/>
      <c r="K305" s="799"/>
      <c r="L305" s="799"/>
      <c r="M305" s="799"/>
      <c r="N305" s="799"/>
      <c r="O305" s="799"/>
      <c r="P305" s="799"/>
      <c r="Q305" s="799"/>
      <c r="R305" s="799"/>
      <c r="S305" s="799"/>
      <c r="T305" s="799"/>
      <c r="U305" s="799"/>
      <c r="V305" s="799"/>
      <c r="W305" s="799"/>
      <c r="X305" s="799"/>
      <c r="Y305" s="799"/>
      <c r="Z305" s="799"/>
      <c r="AA305" s="799"/>
      <c r="AB305" s="799"/>
      <c r="AC305" s="799"/>
      <c r="AD305" s="799"/>
      <c r="AE305" s="799"/>
      <c r="AF305" s="799"/>
      <c r="AG305" s="799"/>
      <c r="AH305" s="799"/>
      <c r="AI305" s="799"/>
      <c r="AJ305" s="799"/>
      <c r="AK305" s="799"/>
      <c r="AL305" s="799"/>
      <c r="AM305" s="799"/>
      <c r="AN305" s="799"/>
      <c r="AO305" s="799"/>
      <c r="AP305" s="799"/>
      <c r="AQ305" s="799"/>
      <c r="AR305" s="799"/>
      <c r="AS305" s="799"/>
      <c r="AT305" s="799"/>
      <c r="AU305" s="799"/>
      <c r="AV305" s="799"/>
      <c r="AW305" s="799"/>
      <c r="AX305" s="799"/>
      <c r="AY305" s="799"/>
      <c r="AZ305" s="799"/>
      <c r="BA305" s="799"/>
      <c r="BB305" s="799"/>
      <c r="BC305" s="799"/>
      <c r="BD305" s="799"/>
      <c r="BE305" s="799"/>
      <c r="BF305" s="799"/>
      <c r="BG305" s="799"/>
    </row>
    <row r="306">
      <c r="H306" s="799"/>
      <c r="I306" s="799"/>
      <c r="J306" s="799"/>
      <c r="K306" s="799"/>
      <c r="L306" s="799"/>
      <c r="M306" s="799"/>
      <c r="N306" s="799"/>
      <c r="O306" s="799"/>
      <c r="P306" s="799"/>
      <c r="Q306" s="799"/>
      <c r="R306" s="799"/>
      <c r="S306" s="799"/>
      <c r="T306" s="799"/>
      <c r="U306" s="799"/>
      <c r="V306" s="799"/>
      <c r="W306" s="799"/>
      <c r="X306" s="799"/>
      <c r="Y306" s="799"/>
      <c r="Z306" s="799"/>
      <c r="AA306" s="799"/>
      <c r="AB306" s="799"/>
      <c r="AC306" s="799"/>
      <c r="AD306" s="799"/>
      <c r="AE306" s="799"/>
      <c r="AF306" s="799"/>
      <c r="AG306" s="799"/>
      <c r="AH306" s="799"/>
      <c r="AI306" s="799"/>
      <c r="AJ306" s="799"/>
      <c r="AK306" s="799"/>
      <c r="AL306" s="799"/>
      <c r="AM306" s="799"/>
      <c r="AN306" s="799"/>
      <c r="AO306" s="799"/>
      <c r="AP306" s="799"/>
      <c r="AQ306" s="799"/>
      <c r="AR306" s="799"/>
      <c r="AS306" s="799"/>
      <c r="AT306" s="799"/>
      <c r="AU306" s="799"/>
      <c r="AV306" s="799"/>
      <c r="AW306" s="799"/>
      <c r="AX306" s="799"/>
      <c r="AY306" s="799"/>
      <c r="AZ306" s="799"/>
      <c r="BA306" s="799"/>
      <c r="BB306" s="799"/>
      <c r="BC306" s="799"/>
      <c r="BD306" s="799"/>
      <c r="BE306" s="799"/>
      <c r="BF306" s="799"/>
      <c r="BG306" s="799"/>
    </row>
    <row r="307">
      <c r="H307" s="799"/>
      <c r="I307" s="799"/>
      <c r="J307" s="799"/>
      <c r="K307" s="799"/>
      <c r="L307" s="799"/>
      <c r="M307" s="799"/>
      <c r="N307" s="799"/>
      <c r="O307" s="799"/>
      <c r="P307" s="799"/>
      <c r="Q307" s="799"/>
      <c r="R307" s="799"/>
      <c r="S307" s="799"/>
      <c r="T307" s="799"/>
      <c r="U307" s="799"/>
      <c r="V307" s="799"/>
      <c r="W307" s="799"/>
      <c r="X307" s="799"/>
      <c r="Y307" s="799"/>
      <c r="Z307" s="799"/>
      <c r="AA307" s="799"/>
      <c r="AB307" s="799"/>
      <c r="AC307" s="799"/>
      <c r="AD307" s="799"/>
      <c r="AE307" s="799"/>
      <c r="AF307" s="799"/>
      <c r="AG307" s="799"/>
      <c r="AH307" s="799"/>
      <c r="AI307" s="799"/>
      <c r="AJ307" s="799"/>
      <c r="AK307" s="799"/>
      <c r="AL307" s="799"/>
      <c r="AM307" s="799"/>
      <c r="AN307" s="799"/>
      <c r="AO307" s="799"/>
      <c r="AP307" s="799"/>
      <c r="AQ307" s="799"/>
      <c r="AR307" s="799"/>
      <c r="AS307" s="799"/>
      <c r="AT307" s="799"/>
      <c r="AU307" s="799"/>
      <c r="AV307" s="799"/>
      <c r="AW307" s="799"/>
      <c r="AX307" s="799"/>
      <c r="AY307" s="799"/>
      <c r="AZ307" s="799"/>
      <c r="BA307" s="799"/>
      <c r="BB307" s="799"/>
      <c r="BC307" s="799"/>
      <c r="BD307" s="799"/>
      <c r="BE307" s="799"/>
      <c r="BF307" s="799"/>
      <c r="BG307" s="799"/>
    </row>
    <row r="308">
      <c r="H308" s="799"/>
      <c r="I308" s="799"/>
      <c r="J308" s="799"/>
      <c r="K308" s="799"/>
      <c r="L308" s="799"/>
      <c r="M308" s="799"/>
      <c r="N308" s="799"/>
      <c r="O308" s="799"/>
      <c r="P308" s="799"/>
      <c r="Q308" s="799"/>
      <c r="R308" s="799"/>
      <c r="S308" s="799"/>
      <c r="T308" s="799"/>
      <c r="U308" s="799"/>
      <c r="V308" s="799"/>
      <c r="W308" s="799"/>
      <c r="X308" s="799"/>
      <c r="Y308" s="799"/>
      <c r="Z308" s="799"/>
      <c r="AA308" s="799"/>
      <c r="AB308" s="799"/>
      <c r="AC308" s="799"/>
      <c r="AD308" s="799"/>
      <c r="AE308" s="799"/>
      <c r="AF308" s="799"/>
      <c r="AG308" s="799"/>
      <c r="AH308" s="799"/>
      <c r="AI308" s="799"/>
      <c r="AJ308" s="799"/>
      <c r="AK308" s="799"/>
      <c r="AL308" s="799"/>
      <c r="AM308" s="799"/>
      <c r="AN308" s="799"/>
      <c r="AO308" s="799"/>
      <c r="AP308" s="799"/>
      <c r="AQ308" s="799"/>
      <c r="AR308" s="799"/>
      <c r="AS308" s="799"/>
      <c r="AT308" s="799"/>
      <c r="AU308" s="799"/>
      <c r="AV308" s="799"/>
      <c r="AW308" s="799"/>
      <c r="AX308" s="799"/>
      <c r="AY308" s="799"/>
      <c r="AZ308" s="799"/>
      <c r="BA308" s="799"/>
      <c r="BB308" s="799"/>
      <c r="BC308" s="799"/>
      <c r="BD308" s="799"/>
      <c r="BE308" s="799"/>
      <c r="BF308" s="799"/>
      <c r="BG308" s="799"/>
    </row>
    <row r="309">
      <c r="H309" s="799"/>
      <c r="I309" s="799"/>
      <c r="J309" s="799"/>
      <c r="K309" s="799"/>
      <c r="L309" s="799"/>
      <c r="M309" s="799"/>
      <c r="N309" s="799"/>
      <c r="O309" s="799"/>
      <c r="P309" s="799"/>
      <c r="Q309" s="799"/>
      <c r="R309" s="799"/>
      <c r="S309" s="799"/>
      <c r="T309" s="799"/>
      <c r="U309" s="799"/>
      <c r="V309" s="799"/>
      <c r="W309" s="799"/>
      <c r="X309" s="799"/>
      <c r="Y309" s="799"/>
      <c r="Z309" s="799"/>
      <c r="AA309" s="799"/>
      <c r="AB309" s="799"/>
      <c r="AC309" s="799"/>
      <c r="AD309" s="799"/>
      <c r="AE309" s="799"/>
      <c r="AF309" s="799"/>
      <c r="AG309" s="799"/>
      <c r="AH309" s="799"/>
      <c r="AI309" s="799"/>
      <c r="AJ309" s="799"/>
      <c r="AK309" s="799"/>
      <c r="AL309" s="799"/>
      <c r="AM309" s="799"/>
      <c r="AN309" s="799"/>
      <c r="AO309" s="799"/>
      <c r="AP309" s="799"/>
      <c r="AQ309" s="799"/>
      <c r="AR309" s="799"/>
      <c r="AS309" s="799"/>
      <c r="AT309" s="799"/>
      <c r="AU309" s="799"/>
      <c r="AV309" s="799"/>
      <c r="AW309" s="799"/>
      <c r="AX309" s="799"/>
      <c r="AY309" s="799"/>
      <c r="AZ309" s="799"/>
      <c r="BA309" s="799"/>
      <c r="BB309" s="799"/>
      <c r="BC309" s="799"/>
      <c r="BD309" s="799"/>
      <c r="BE309" s="799"/>
      <c r="BF309" s="799"/>
      <c r="BG309" s="799"/>
    </row>
    <row r="310">
      <c r="H310" s="799"/>
      <c r="I310" s="799"/>
      <c r="J310" s="799"/>
      <c r="K310" s="799"/>
      <c r="L310" s="799"/>
      <c r="M310" s="799"/>
      <c r="N310" s="799"/>
      <c r="O310" s="799"/>
      <c r="P310" s="799"/>
      <c r="Q310" s="799"/>
      <c r="R310" s="799"/>
      <c r="S310" s="799"/>
      <c r="T310" s="799"/>
      <c r="U310" s="799"/>
      <c r="V310" s="799"/>
      <c r="W310" s="799"/>
      <c r="X310" s="799"/>
      <c r="Y310" s="799"/>
      <c r="Z310" s="799"/>
      <c r="AA310" s="799"/>
      <c r="AB310" s="799"/>
      <c r="AC310" s="799"/>
      <c r="AD310" s="799"/>
      <c r="AE310" s="799"/>
      <c r="AF310" s="799"/>
      <c r="AG310" s="799"/>
      <c r="AH310" s="799"/>
      <c r="AI310" s="799"/>
      <c r="AJ310" s="799"/>
      <c r="AK310" s="799"/>
      <c r="AL310" s="799"/>
      <c r="AM310" s="799"/>
      <c r="AN310" s="799"/>
      <c r="AO310" s="799"/>
      <c r="AP310" s="799"/>
      <c r="AQ310" s="799"/>
      <c r="AR310" s="799"/>
      <c r="AS310" s="799"/>
      <c r="AT310" s="799"/>
      <c r="AU310" s="799"/>
      <c r="AV310" s="799"/>
      <c r="AW310" s="799"/>
      <c r="AX310" s="799"/>
      <c r="AY310" s="799"/>
      <c r="AZ310" s="799"/>
      <c r="BA310" s="799"/>
      <c r="BB310" s="799"/>
      <c r="BC310" s="799"/>
      <c r="BD310" s="799"/>
      <c r="BE310" s="799"/>
      <c r="BF310" s="799"/>
      <c r="BG310" s="799"/>
    </row>
    <row r="311">
      <c r="H311" s="799"/>
      <c r="I311" s="799"/>
      <c r="J311" s="799"/>
      <c r="K311" s="799"/>
      <c r="L311" s="799"/>
      <c r="M311" s="799"/>
      <c r="N311" s="799"/>
      <c r="O311" s="799"/>
      <c r="P311" s="799"/>
      <c r="Q311" s="799"/>
      <c r="R311" s="799"/>
      <c r="S311" s="799"/>
      <c r="T311" s="799"/>
      <c r="U311" s="799"/>
      <c r="V311" s="799"/>
      <c r="W311" s="799"/>
      <c r="X311" s="799"/>
      <c r="Y311" s="799"/>
      <c r="Z311" s="799"/>
      <c r="AA311" s="799"/>
      <c r="AB311" s="799"/>
      <c r="AC311" s="799"/>
      <c r="AD311" s="799"/>
      <c r="AE311" s="799"/>
      <c r="AF311" s="799"/>
      <c r="AG311" s="799"/>
      <c r="AH311" s="799"/>
      <c r="AI311" s="799"/>
      <c r="AJ311" s="799"/>
      <c r="AK311" s="799"/>
      <c r="AL311" s="799"/>
      <c r="AM311" s="799"/>
      <c r="AN311" s="799"/>
      <c r="AO311" s="799"/>
      <c r="AP311" s="799"/>
      <c r="AQ311" s="799"/>
      <c r="AR311" s="799"/>
      <c r="AS311" s="799"/>
      <c r="AT311" s="799"/>
      <c r="AU311" s="799"/>
      <c r="AV311" s="799"/>
      <c r="AW311" s="799"/>
      <c r="AX311" s="799"/>
      <c r="AY311" s="799"/>
      <c r="AZ311" s="799"/>
      <c r="BA311" s="799"/>
      <c r="BB311" s="799"/>
      <c r="BC311" s="799"/>
      <c r="BD311" s="799"/>
      <c r="BE311" s="799"/>
      <c r="BF311" s="799"/>
      <c r="BG311" s="799"/>
    </row>
    <row r="312">
      <c r="H312" s="799"/>
      <c r="I312" s="799"/>
      <c r="J312" s="799"/>
      <c r="K312" s="799"/>
      <c r="L312" s="799"/>
      <c r="M312" s="799"/>
      <c r="N312" s="799"/>
      <c r="O312" s="799"/>
      <c r="P312" s="799"/>
      <c r="Q312" s="799"/>
      <c r="R312" s="799"/>
      <c r="S312" s="799"/>
      <c r="T312" s="799"/>
      <c r="U312" s="799"/>
      <c r="V312" s="799"/>
      <c r="W312" s="799"/>
      <c r="X312" s="799"/>
      <c r="Y312" s="799"/>
      <c r="Z312" s="799"/>
      <c r="AA312" s="799"/>
      <c r="AB312" s="799"/>
      <c r="AC312" s="799"/>
      <c r="AD312" s="799"/>
      <c r="AE312" s="799"/>
      <c r="AF312" s="799"/>
      <c r="AG312" s="799"/>
      <c r="AH312" s="799"/>
      <c r="AI312" s="799"/>
      <c r="AJ312" s="799"/>
      <c r="AK312" s="799"/>
      <c r="AL312" s="799"/>
      <c r="AM312" s="799"/>
      <c r="AN312" s="799"/>
      <c r="AO312" s="799"/>
      <c r="AP312" s="799"/>
      <c r="AQ312" s="799"/>
      <c r="AR312" s="799"/>
      <c r="AS312" s="799"/>
      <c r="AT312" s="799"/>
      <c r="AU312" s="799"/>
      <c r="AV312" s="799"/>
      <c r="AW312" s="799"/>
      <c r="AX312" s="799"/>
      <c r="AY312" s="799"/>
      <c r="AZ312" s="799"/>
      <c r="BA312" s="799"/>
      <c r="BB312" s="799"/>
      <c r="BC312" s="799"/>
      <c r="BD312" s="799"/>
      <c r="BE312" s="799"/>
      <c r="BF312" s="799"/>
      <c r="BG312" s="799"/>
    </row>
    <row r="313">
      <c r="H313" s="799"/>
      <c r="I313" s="799"/>
      <c r="J313" s="799"/>
      <c r="K313" s="799"/>
      <c r="L313" s="799"/>
      <c r="M313" s="799"/>
      <c r="N313" s="799"/>
      <c r="O313" s="799"/>
      <c r="P313" s="799"/>
      <c r="Q313" s="799"/>
      <c r="R313" s="799"/>
      <c r="S313" s="799"/>
      <c r="T313" s="799"/>
      <c r="U313" s="799"/>
      <c r="V313" s="799"/>
      <c r="W313" s="799"/>
      <c r="X313" s="799"/>
      <c r="Y313" s="799"/>
      <c r="Z313" s="799"/>
      <c r="AA313" s="799"/>
      <c r="AB313" s="799"/>
      <c r="AC313" s="799"/>
      <c r="AD313" s="799"/>
      <c r="AE313" s="799"/>
      <c r="AF313" s="799"/>
      <c r="AG313" s="799"/>
      <c r="AH313" s="799"/>
      <c r="AI313" s="799"/>
      <c r="AJ313" s="799"/>
      <c r="AK313" s="799"/>
      <c r="AL313" s="799"/>
      <c r="AM313" s="799"/>
      <c r="AN313" s="799"/>
      <c r="AO313" s="799"/>
      <c r="AP313" s="799"/>
      <c r="AQ313" s="799"/>
      <c r="AR313" s="799"/>
      <c r="AS313" s="799"/>
      <c r="AT313" s="799"/>
      <c r="AU313" s="799"/>
      <c r="AV313" s="799"/>
      <c r="AW313" s="799"/>
      <c r="AX313" s="799"/>
      <c r="AY313" s="799"/>
      <c r="AZ313" s="799"/>
      <c r="BA313" s="799"/>
      <c r="BB313" s="799"/>
      <c r="BC313" s="799"/>
      <c r="BD313" s="799"/>
      <c r="BE313" s="799"/>
      <c r="BF313" s="799"/>
      <c r="BG313" s="799"/>
    </row>
    <row r="314">
      <c r="H314" s="799"/>
      <c r="I314" s="799"/>
      <c r="J314" s="799"/>
      <c r="K314" s="799"/>
      <c r="L314" s="799"/>
      <c r="M314" s="799"/>
      <c r="N314" s="799"/>
      <c r="O314" s="799"/>
      <c r="P314" s="799"/>
      <c r="Q314" s="799"/>
      <c r="R314" s="799"/>
      <c r="S314" s="799"/>
      <c r="T314" s="799"/>
      <c r="U314" s="799"/>
      <c r="V314" s="799"/>
      <c r="W314" s="799"/>
      <c r="X314" s="799"/>
      <c r="Y314" s="799"/>
      <c r="Z314" s="799"/>
      <c r="AA314" s="799"/>
      <c r="AB314" s="799"/>
      <c r="AC314" s="799"/>
      <c r="AD314" s="799"/>
      <c r="AE314" s="799"/>
      <c r="AF314" s="799"/>
      <c r="AG314" s="799"/>
      <c r="AH314" s="799"/>
      <c r="AI314" s="799"/>
      <c r="AJ314" s="799"/>
      <c r="AK314" s="799"/>
      <c r="AL314" s="799"/>
      <c r="AM314" s="799"/>
      <c r="AN314" s="799"/>
      <c r="AO314" s="799"/>
      <c r="AP314" s="799"/>
      <c r="AQ314" s="799"/>
      <c r="AR314" s="799"/>
      <c r="AS314" s="799"/>
      <c r="AT314" s="799"/>
      <c r="AU314" s="799"/>
      <c r="AV314" s="799"/>
      <c r="AW314" s="799"/>
      <c r="AX314" s="799"/>
      <c r="AY314" s="799"/>
      <c r="AZ314" s="799"/>
      <c r="BA314" s="799"/>
      <c r="BB314" s="799"/>
      <c r="BC314" s="799"/>
      <c r="BD314" s="799"/>
      <c r="BE314" s="799"/>
      <c r="BF314" s="799"/>
      <c r="BG314" s="799"/>
    </row>
    <row r="315">
      <c r="H315" s="799"/>
      <c r="I315" s="799"/>
      <c r="J315" s="799"/>
      <c r="K315" s="799"/>
      <c r="L315" s="799"/>
      <c r="M315" s="799"/>
      <c r="N315" s="799"/>
      <c r="O315" s="799"/>
      <c r="P315" s="799"/>
      <c r="Q315" s="799"/>
      <c r="R315" s="799"/>
      <c r="S315" s="799"/>
      <c r="T315" s="799"/>
      <c r="U315" s="799"/>
      <c r="V315" s="799"/>
      <c r="W315" s="799"/>
      <c r="X315" s="799"/>
      <c r="Y315" s="799"/>
      <c r="Z315" s="799"/>
      <c r="AA315" s="799"/>
      <c r="AB315" s="799"/>
      <c r="AC315" s="799"/>
      <c r="AD315" s="799"/>
      <c r="AE315" s="799"/>
      <c r="AF315" s="799"/>
      <c r="AG315" s="799"/>
      <c r="AH315" s="799"/>
      <c r="AI315" s="799"/>
      <c r="AJ315" s="799"/>
      <c r="AK315" s="799"/>
      <c r="AL315" s="799"/>
      <c r="AM315" s="799"/>
      <c r="AN315" s="799"/>
      <c r="AO315" s="799"/>
      <c r="AP315" s="799"/>
      <c r="AQ315" s="799"/>
      <c r="AR315" s="799"/>
      <c r="AS315" s="799"/>
      <c r="AT315" s="799"/>
      <c r="AU315" s="799"/>
      <c r="AV315" s="799"/>
      <c r="AW315" s="799"/>
      <c r="AX315" s="799"/>
      <c r="AY315" s="799"/>
      <c r="AZ315" s="799"/>
      <c r="BA315" s="799"/>
      <c r="BB315" s="799"/>
      <c r="BC315" s="799"/>
      <c r="BD315" s="799"/>
      <c r="BE315" s="799"/>
      <c r="BF315" s="799"/>
      <c r="BG315" s="799"/>
    </row>
    <row r="316">
      <c r="H316" s="799"/>
      <c r="I316" s="799"/>
      <c r="J316" s="799"/>
      <c r="K316" s="799"/>
      <c r="L316" s="799"/>
      <c r="M316" s="799"/>
      <c r="N316" s="799"/>
      <c r="O316" s="799"/>
      <c r="P316" s="799"/>
      <c r="Q316" s="799"/>
      <c r="R316" s="799"/>
      <c r="S316" s="799"/>
      <c r="T316" s="799"/>
      <c r="U316" s="799"/>
      <c r="V316" s="799"/>
      <c r="W316" s="799"/>
      <c r="X316" s="799"/>
      <c r="Y316" s="799"/>
      <c r="Z316" s="799"/>
      <c r="AA316" s="799"/>
      <c r="AB316" s="799"/>
      <c r="AC316" s="799"/>
      <c r="AD316" s="799"/>
      <c r="AE316" s="799"/>
      <c r="AF316" s="799"/>
      <c r="AG316" s="799"/>
      <c r="AH316" s="799"/>
      <c r="AI316" s="799"/>
      <c r="AJ316" s="799"/>
      <c r="AK316" s="799"/>
      <c r="AL316" s="799"/>
      <c r="AM316" s="799"/>
      <c r="AN316" s="799"/>
      <c r="AO316" s="799"/>
      <c r="AP316" s="799"/>
      <c r="AQ316" s="799"/>
      <c r="AR316" s="799"/>
      <c r="AS316" s="799"/>
      <c r="AT316" s="799"/>
      <c r="AU316" s="799"/>
      <c r="AV316" s="799"/>
      <c r="AW316" s="799"/>
      <c r="AX316" s="799"/>
      <c r="AY316" s="799"/>
      <c r="AZ316" s="799"/>
      <c r="BA316" s="799"/>
      <c r="BB316" s="799"/>
      <c r="BC316" s="799"/>
      <c r="BD316" s="799"/>
      <c r="BE316" s="799"/>
      <c r="BF316" s="799"/>
      <c r="BG316" s="799"/>
    </row>
    <row r="317">
      <c r="H317" s="799"/>
      <c r="I317" s="799"/>
      <c r="J317" s="799"/>
      <c r="K317" s="799"/>
      <c r="L317" s="799"/>
      <c r="M317" s="799"/>
      <c r="N317" s="799"/>
      <c r="O317" s="799"/>
      <c r="P317" s="799"/>
      <c r="Q317" s="799"/>
      <c r="R317" s="799"/>
      <c r="S317" s="799"/>
      <c r="T317" s="799"/>
      <c r="U317" s="799"/>
      <c r="V317" s="799"/>
      <c r="W317" s="799"/>
      <c r="X317" s="799"/>
      <c r="Y317" s="799"/>
      <c r="Z317" s="799"/>
      <c r="AA317" s="799"/>
      <c r="AB317" s="799"/>
      <c r="AC317" s="799"/>
      <c r="AD317" s="799"/>
      <c r="AE317" s="799"/>
      <c r="AF317" s="799"/>
      <c r="AG317" s="799"/>
      <c r="AH317" s="799"/>
      <c r="AI317" s="799"/>
      <c r="AJ317" s="799"/>
      <c r="AK317" s="799"/>
      <c r="AL317" s="799"/>
      <c r="AM317" s="799"/>
      <c r="AN317" s="799"/>
      <c r="AO317" s="799"/>
      <c r="AP317" s="799"/>
      <c r="AQ317" s="799"/>
      <c r="AR317" s="799"/>
      <c r="AS317" s="799"/>
      <c r="AT317" s="799"/>
      <c r="AU317" s="799"/>
      <c r="AV317" s="799"/>
      <c r="AW317" s="799"/>
      <c r="AX317" s="799"/>
      <c r="AY317" s="799"/>
      <c r="AZ317" s="799"/>
      <c r="BA317" s="799"/>
      <c r="BB317" s="799"/>
      <c r="BC317" s="799"/>
      <c r="BD317" s="799"/>
      <c r="BE317" s="799"/>
      <c r="BF317" s="799"/>
      <c r="BG317" s="799"/>
    </row>
    <row r="318">
      <c r="H318" s="799"/>
      <c r="I318" s="799"/>
      <c r="J318" s="799"/>
      <c r="K318" s="799"/>
      <c r="L318" s="799"/>
      <c r="M318" s="799"/>
      <c r="N318" s="799"/>
      <c r="O318" s="799"/>
      <c r="P318" s="799"/>
      <c r="Q318" s="799"/>
      <c r="R318" s="799"/>
      <c r="S318" s="799"/>
      <c r="T318" s="799"/>
      <c r="U318" s="799"/>
      <c r="V318" s="799"/>
      <c r="W318" s="799"/>
      <c r="X318" s="799"/>
      <c r="Y318" s="799"/>
      <c r="Z318" s="799"/>
      <c r="AA318" s="799"/>
      <c r="AB318" s="799"/>
      <c r="AC318" s="799"/>
      <c r="AD318" s="799"/>
      <c r="AE318" s="799"/>
      <c r="AF318" s="799"/>
      <c r="AG318" s="799"/>
      <c r="AH318" s="799"/>
      <c r="AI318" s="799"/>
      <c r="AJ318" s="799"/>
      <c r="AK318" s="799"/>
      <c r="AL318" s="799"/>
      <c r="AM318" s="799"/>
      <c r="AN318" s="799"/>
      <c r="AO318" s="799"/>
      <c r="AP318" s="799"/>
      <c r="AQ318" s="799"/>
      <c r="AR318" s="799"/>
      <c r="AS318" s="799"/>
      <c r="AT318" s="799"/>
      <c r="AU318" s="799"/>
      <c r="AV318" s="799"/>
      <c r="AW318" s="799"/>
      <c r="AX318" s="799"/>
      <c r="AY318" s="799"/>
      <c r="AZ318" s="799"/>
      <c r="BA318" s="799"/>
      <c r="BB318" s="799"/>
      <c r="BC318" s="799"/>
      <c r="BD318" s="799"/>
      <c r="BE318" s="799"/>
      <c r="BF318" s="799"/>
      <c r="BG318" s="799"/>
    </row>
    <row r="319">
      <c r="H319" s="799"/>
      <c r="I319" s="799"/>
      <c r="J319" s="799"/>
      <c r="K319" s="799"/>
      <c r="L319" s="799"/>
      <c r="M319" s="799"/>
      <c r="N319" s="799"/>
      <c r="O319" s="799"/>
      <c r="P319" s="799"/>
      <c r="Q319" s="799"/>
      <c r="R319" s="799"/>
      <c r="S319" s="799"/>
      <c r="T319" s="799"/>
      <c r="U319" s="799"/>
      <c r="V319" s="799"/>
      <c r="W319" s="799"/>
      <c r="X319" s="799"/>
      <c r="Y319" s="799"/>
      <c r="Z319" s="799"/>
      <c r="AA319" s="799"/>
      <c r="AB319" s="799"/>
      <c r="AC319" s="799"/>
      <c r="AD319" s="799"/>
      <c r="AE319" s="799"/>
      <c r="AF319" s="799"/>
      <c r="AG319" s="799"/>
      <c r="AH319" s="799"/>
      <c r="AI319" s="799"/>
      <c r="AJ319" s="799"/>
      <c r="AK319" s="799"/>
      <c r="AL319" s="799"/>
      <c r="AM319" s="799"/>
      <c r="AN319" s="799"/>
      <c r="AO319" s="799"/>
      <c r="AP319" s="799"/>
      <c r="AQ319" s="799"/>
      <c r="AR319" s="799"/>
      <c r="AS319" s="799"/>
      <c r="AT319" s="799"/>
      <c r="AU319" s="799"/>
      <c r="AV319" s="799"/>
      <c r="AW319" s="799"/>
      <c r="AX319" s="799"/>
      <c r="AY319" s="799"/>
      <c r="AZ319" s="799"/>
      <c r="BA319" s="799"/>
      <c r="BB319" s="799"/>
      <c r="BC319" s="799"/>
      <c r="BD319" s="799"/>
      <c r="BE319" s="799"/>
      <c r="BF319" s="799"/>
      <c r="BG319" s="799"/>
    </row>
    <row r="320">
      <c r="H320" s="799"/>
      <c r="I320" s="799"/>
      <c r="J320" s="799"/>
      <c r="K320" s="799"/>
      <c r="L320" s="799"/>
      <c r="M320" s="799"/>
      <c r="N320" s="799"/>
      <c r="O320" s="799"/>
      <c r="P320" s="799"/>
      <c r="Q320" s="799"/>
      <c r="R320" s="799"/>
      <c r="S320" s="799"/>
      <c r="T320" s="799"/>
      <c r="U320" s="799"/>
      <c r="V320" s="799"/>
      <c r="W320" s="799"/>
      <c r="X320" s="799"/>
      <c r="Y320" s="799"/>
      <c r="Z320" s="799"/>
      <c r="AA320" s="799"/>
      <c r="AB320" s="799"/>
      <c r="AC320" s="799"/>
      <c r="AD320" s="799"/>
      <c r="AE320" s="799"/>
      <c r="AF320" s="799"/>
      <c r="AG320" s="799"/>
      <c r="AH320" s="799"/>
      <c r="AI320" s="799"/>
      <c r="AJ320" s="799"/>
      <c r="AK320" s="799"/>
      <c r="AL320" s="799"/>
      <c r="AM320" s="799"/>
      <c r="AN320" s="799"/>
      <c r="AO320" s="799"/>
      <c r="AP320" s="799"/>
      <c r="AQ320" s="799"/>
      <c r="AR320" s="799"/>
      <c r="AS320" s="799"/>
      <c r="AT320" s="799"/>
      <c r="AU320" s="799"/>
      <c r="AV320" s="799"/>
      <c r="AW320" s="799"/>
      <c r="AX320" s="799"/>
      <c r="AY320" s="799"/>
      <c r="AZ320" s="799"/>
      <c r="BA320" s="799"/>
      <c r="BB320" s="799"/>
      <c r="BC320" s="799"/>
      <c r="BD320" s="799"/>
      <c r="BE320" s="799"/>
      <c r="BF320" s="799"/>
      <c r="BG320" s="799"/>
    </row>
    <row r="321">
      <c r="H321" s="799"/>
      <c r="I321" s="799"/>
      <c r="J321" s="799"/>
      <c r="K321" s="799"/>
      <c r="L321" s="799"/>
      <c r="M321" s="799"/>
      <c r="N321" s="799"/>
      <c r="O321" s="799"/>
      <c r="P321" s="799"/>
      <c r="Q321" s="799"/>
      <c r="R321" s="799"/>
      <c r="S321" s="799"/>
      <c r="T321" s="799"/>
      <c r="U321" s="799"/>
      <c r="V321" s="799"/>
      <c r="W321" s="799"/>
      <c r="X321" s="799"/>
      <c r="Y321" s="799"/>
      <c r="Z321" s="799"/>
      <c r="AA321" s="799"/>
      <c r="AB321" s="799"/>
      <c r="AC321" s="799"/>
      <c r="AD321" s="799"/>
      <c r="AE321" s="799"/>
      <c r="AF321" s="799"/>
      <c r="AG321" s="799"/>
      <c r="AH321" s="799"/>
      <c r="AI321" s="799"/>
      <c r="AJ321" s="799"/>
      <c r="AK321" s="799"/>
      <c r="AL321" s="799"/>
      <c r="AM321" s="799"/>
      <c r="AN321" s="799"/>
      <c r="AO321" s="799"/>
      <c r="AP321" s="799"/>
      <c r="AQ321" s="799"/>
      <c r="AR321" s="799"/>
      <c r="AS321" s="799"/>
      <c r="AT321" s="799"/>
      <c r="AU321" s="799"/>
      <c r="AV321" s="799"/>
      <c r="AW321" s="799"/>
      <c r="AX321" s="799"/>
      <c r="AY321" s="799"/>
      <c r="AZ321" s="799"/>
      <c r="BA321" s="799"/>
      <c r="BB321" s="799"/>
      <c r="BC321" s="799"/>
      <c r="BD321" s="799"/>
      <c r="BE321" s="799"/>
      <c r="BF321" s="799"/>
      <c r="BG321" s="799"/>
    </row>
    <row r="322">
      <c r="H322" s="799"/>
      <c r="I322" s="799"/>
      <c r="J322" s="799"/>
      <c r="K322" s="799"/>
      <c r="L322" s="799"/>
      <c r="M322" s="799"/>
      <c r="N322" s="799"/>
      <c r="O322" s="799"/>
      <c r="P322" s="799"/>
      <c r="Q322" s="799"/>
      <c r="R322" s="799"/>
      <c r="S322" s="799"/>
      <c r="T322" s="799"/>
      <c r="U322" s="799"/>
      <c r="V322" s="799"/>
      <c r="W322" s="799"/>
      <c r="X322" s="799"/>
      <c r="Y322" s="799"/>
      <c r="Z322" s="799"/>
      <c r="AA322" s="799"/>
      <c r="AB322" s="799"/>
      <c r="AC322" s="799"/>
      <c r="AD322" s="799"/>
      <c r="AE322" s="799"/>
      <c r="AF322" s="799"/>
      <c r="AG322" s="799"/>
      <c r="AH322" s="799"/>
      <c r="AI322" s="799"/>
      <c r="AJ322" s="799"/>
      <c r="AK322" s="799"/>
      <c r="AL322" s="799"/>
      <c r="AM322" s="799"/>
      <c r="AN322" s="799"/>
      <c r="AO322" s="799"/>
      <c r="AP322" s="799"/>
      <c r="AQ322" s="799"/>
      <c r="AR322" s="799"/>
      <c r="AS322" s="799"/>
      <c r="AT322" s="799"/>
      <c r="AU322" s="799"/>
      <c r="AV322" s="799"/>
      <c r="AW322" s="799"/>
      <c r="AX322" s="799"/>
      <c r="AY322" s="799"/>
      <c r="AZ322" s="799"/>
      <c r="BA322" s="799"/>
      <c r="BB322" s="799"/>
      <c r="BC322" s="799"/>
      <c r="BD322" s="799"/>
      <c r="BE322" s="799"/>
      <c r="BF322" s="799"/>
      <c r="BG322" s="799"/>
    </row>
    <row r="323">
      <c r="H323" s="799"/>
      <c r="I323" s="799"/>
      <c r="J323" s="799"/>
      <c r="K323" s="799"/>
      <c r="L323" s="799"/>
      <c r="M323" s="799"/>
      <c r="N323" s="799"/>
      <c r="O323" s="799"/>
      <c r="P323" s="799"/>
      <c r="Q323" s="799"/>
      <c r="R323" s="799"/>
      <c r="S323" s="799"/>
      <c r="T323" s="799"/>
      <c r="U323" s="799"/>
      <c r="V323" s="799"/>
      <c r="W323" s="799"/>
      <c r="X323" s="799"/>
      <c r="Y323" s="799"/>
      <c r="Z323" s="799"/>
      <c r="AA323" s="799"/>
      <c r="AB323" s="799"/>
      <c r="AC323" s="799"/>
      <c r="AD323" s="799"/>
      <c r="AE323" s="799"/>
      <c r="AF323" s="799"/>
      <c r="AG323" s="799"/>
      <c r="AH323" s="799"/>
      <c r="AI323" s="799"/>
      <c r="AJ323" s="799"/>
      <c r="AK323" s="799"/>
      <c r="AL323" s="799"/>
      <c r="AM323" s="799"/>
      <c r="AN323" s="799"/>
      <c r="AO323" s="799"/>
      <c r="AP323" s="799"/>
      <c r="AQ323" s="799"/>
      <c r="AR323" s="799"/>
      <c r="AS323" s="799"/>
      <c r="AT323" s="799"/>
      <c r="AU323" s="799"/>
      <c r="AV323" s="799"/>
      <c r="AW323" s="799"/>
      <c r="AX323" s="799"/>
      <c r="AY323" s="799"/>
      <c r="AZ323" s="799"/>
      <c r="BA323" s="799"/>
      <c r="BB323" s="799"/>
      <c r="BC323" s="799"/>
      <c r="BD323" s="799"/>
      <c r="BE323" s="799"/>
      <c r="BF323" s="799"/>
      <c r="BG323" s="799"/>
    </row>
    <row r="324">
      <c r="H324" s="799"/>
      <c r="I324" s="799"/>
      <c r="J324" s="799"/>
      <c r="K324" s="799"/>
      <c r="L324" s="799"/>
      <c r="M324" s="799"/>
      <c r="N324" s="799"/>
      <c r="O324" s="799"/>
      <c r="P324" s="799"/>
      <c r="Q324" s="799"/>
      <c r="R324" s="799"/>
      <c r="S324" s="799"/>
      <c r="T324" s="799"/>
      <c r="U324" s="799"/>
      <c r="V324" s="799"/>
      <c r="W324" s="799"/>
      <c r="X324" s="799"/>
      <c r="Y324" s="799"/>
      <c r="Z324" s="799"/>
      <c r="AA324" s="799"/>
      <c r="AB324" s="799"/>
      <c r="AC324" s="799"/>
      <c r="AD324" s="799"/>
      <c r="AE324" s="799"/>
      <c r="AF324" s="799"/>
      <c r="AG324" s="799"/>
      <c r="AH324" s="799"/>
      <c r="AI324" s="799"/>
      <c r="AJ324" s="799"/>
      <c r="AK324" s="799"/>
      <c r="AL324" s="799"/>
      <c r="AM324" s="799"/>
      <c r="AN324" s="799"/>
      <c r="AO324" s="799"/>
      <c r="AP324" s="799"/>
      <c r="AQ324" s="799"/>
      <c r="AR324" s="799"/>
      <c r="AS324" s="799"/>
      <c r="AT324" s="799"/>
      <c r="AU324" s="799"/>
      <c r="AV324" s="799"/>
      <c r="AW324" s="799"/>
      <c r="AX324" s="799"/>
      <c r="AY324" s="799"/>
      <c r="AZ324" s="799"/>
      <c r="BA324" s="799"/>
      <c r="BB324" s="799"/>
      <c r="BC324" s="799"/>
      <c r="BD324" s="799"/>
      <c r="BE324" s="799"/>
      <c r="BF324" s="799"/>
      <c r="BG324" s="799"/>
    </row>
    <row r="325">
      <c r="H325" s="799"/>
      <c r="I325" s="799"/>
      <c r="J325" s="799"/>
      <c r="K325" s="799"/>
      <c r="L325" s="799"/>
      <c r="M325" s="799"/>
      <c r="N325" s="799"/>
      <c r="O325" s="799"/>
      <c r="P325" s="799"/>
      <c r="Q325" s="799"/>
      <c r="R325" s="799"/>
      <c r="S325" s="799"/>
      <c r="T325" s="799"/>
      <c r="U325" s="799"/>
      <c r="V325" s="799"/>
      <c r="W325" s="799"/>
      <c r="X325" s="799"/>
      <c r="Y325" s="799"/>
      <c r="Z325" s="799"/>
      <c r="AA325" s="799"/>
      <c r="AB325" s="799"/>
      <c r="AC325" s="799"/>
      <c r="AD325" s="799"/>
      <c r="AE325" s="799"/>
      <c r="AF325" s="799"/>
      <c r="AG325" s="799"/>
      <c r="AH325" s="799"/>
      <c r="AI325" s="799"/>
      <c r="AJ325" s="799"/>
      <c r="AK325" s="799"/>
      <c r="AL325" s="799"/>
      <c r="AM325" s="799"/>
      <c r="AN325" s="799"/>
      <c r="AO325" s="799"/>
      <c r="AP325" s="799"/>
      <c r="AQ325" s="799"/>
      <c r="AR325" s="799"/>
      <c r="AS325" s="799"/>
      <c r="AT325" s="799"/>
      <c r="AU325" s="799"/>
      <c r="AV325" s="799"/>
      <c r="AW325" s="799"/>
      <c r="AX325" s="799"/>
      <c r="AY325" s="799"/>
      <c r="AZ325" s="799"/>
      <c r="BA325" s="799"/>
      <c r="BB325" s="799"/>
      <c r="BC325" s="799"/>
      <c r="BD325" s="799"/>
      <c r="BE325" s="799"/>
      <c r="BF325" s="799"/>
      <c r="BG325" s="799"/>
    </row>
    <row r="326">
      <c r="H326" s="799"/>
      <c r="I326" s="799"/>
      <c r="J326" s="799"/>
      <c r="K326" s="799"/>
      <c r="L326" s="799"/>
      <c r="M326" s="799"/>
      <c r="N326" s="799"/>
      <c r="O326" s="799"/>
      <c r="P326" s="799"/>
      <c r="Q326" s="799"/>
      <c r="R326" s="799"/>
      <c r="S326" s="799"/>
      <c r="T326" s="799"/>
      <c r="U326" s="799"/>
      <c r="V326" s="799"/>
      <c r="W326" s="799"/>
      <c r="X326" s="799"/>
      <c r="Y326" s="799"/>
      <c r="Z326" s="799"/>
      <c r="AA326" s="799"/>
      <c r="AB326" s="799"/>
      <c r="AC326" s="799"/>
      <c r="AD326" s="799"/>
      <c r="AE326" s="799"/>
      <c r="AF326" s="799"/>
      <c r="AG326" s="799"/>
      <c r="AH326" s="799"/>
      <c r="AI326" s="799"/>
      <c r="AJ326" s="799"/>
      <c r="AK326" s="799"/>
      <c r="AL326" s="799"/>
      <c r="AM326" s="799"/>
      <c r="AN326" s="799"/>
      <c r="AO326" s="799"/>
      <c r="AP326" s="799"/>
      <c r="AQ326" s="799"/>
      <c r="AR326" s="799"/>
      <c r="AS326" s="799"/>
      <c r="AT326" s="799"/>
      <c r="AU326" s="799"/>
      <c r="AV326" s="799"/>
      <c r="AW326" s="799"/>
      <c r="AX326" s="799"/>
      <c r="AY326" s="799"/>
      <c r="AZ326" s="799"/>
      <c r="BA326" s="799"/>
      <c r="BB326" s="799"/>
      <c r="BC326" s="799"/>
      <c r="BD326" s="799"/>
      <c r="BE326" s="799"/>
      <c r="BF326" s="799"/>
      <c r="BG326" s="799"/>
    </row>
    <row r="327">
      <c r="H327" s="799"/>
      <c r="I327" s="799"/>
      <c r="J327" s="799"/>
      <c r="K327" s="799"/>
      <c r="L327" s="799"/>
      <c r="M327" s="799"/>
      <c r="N327" s="799"/>
      <c r="O327" s="799"/>
      <c r="P327" s="799"/>
      <c r="Q327" s="799"/>
      <c r="R327" s="799"/>
      <c r="S327" s="799"/>
      <c r="T327" s="799"/>
      <c r="U327" s="799"/>
      <c r="V327" s="799"/>
      <c r="W327" s="799"/>
      <c r="X327" s="799"/>
      <c r="Y327" s="799"/>
      <c r="Z327" s="799"/>
      <c r="AA327" s="799"/>
      <c r="AB327" s="799"/>
      <c r="AC327" s="799"/>
      <c r="AD327" s="799"/>
      <c r="AE327" s="799"/>
      <c r="AF327" s="799"/>
      <c r="AG327" s="799"/>
      <c r="AH327" s="799"/>
      <c r="AI327" s="799"/>
      <c r="AJ327" s="799"/>
      <c r="AK327" s="799"/>
      <c r="AL327" s="799"/>
      <c r="AM327" s="799"/>
      <c r="AN327" s="799"/>
      <c r="AO327" s="799"/>
      <c r="AP327" s="799"/>
      <c r="AQ327" s="799"/>
      <c r="AR327" s="799"/>
      <c r="AS327" s="799"/>
      <c r="AT327" s="799"/>
      <c r="AU327" s="799"/>
      <c r="AV327" s="799"/>
      <c r="AW327" s="799"/>
      <c r="AX327" s="799"/>
      <c r="AY327" s="799"/>
      <c r="AZ327" s="799"/>
      <c r="BA327" s="799"/>
      <c r="BB327" s="799"/>
      <c r="BC327" s="799"/>
      <c r="BD327" s="799"/>
      <c r="BE327" s="799"/>
      <c r="BF327" s="799"/>
      <c r="BG327" s="799"/>
    </row>
    <row r="328">
      <c r="H328" s="799"/>
      <c r="I328" s="799"/>
      <c r="J328" s="799"/>
      <c r="K328" s="799"/>
      <c r="L328" s="799"/>
      <c r="M328" s="799"/>
      <c r="N328" s="799"/>
      <c r="O328" s="799"/>
      <c r="P328" s="799"/>
      <c r="Q328" s="799"/>
      <c r="R328" s="799"/>
      <c r="S328" s="799"/>
      <c r="T328" s="799"/>
      <c r="U328" s="799"/>
      <c r="V328" s="799"/>
      <c r="W328" s="799"/>
      <c r="X328" s="799"/>
      <c r="Y328" s="799"/>
      <c r="Z328" s="799"/>
      <c r="AA328" s="799"/>
      <c r="AB328" s="799"/>
      <c r="AC328" s="799"/>
      <c r="AD328" s="799"/>
      <c r="AE328" s="799"/>
      <c r="AF328" s="799"/>
      <c r="AG328" s="799"/>
      <c r="AH328" s="799"/>
      <c r="AI328" s="799"/>
      <c r="AJ328" s="799"/>
      <c r="AK328" s="799"/>
      <c r="AL328" s="799"/>
      <c r="AM328" s="799"/>
      <c r="AN328" s="799"/>
      <c r="AO328" s="799"/>
      <c r="AP328" s="799"/>
      <c r="AQ328" s="799"/>
      <c r="AR328" s="799"/>
      <c r="AS328" s="799"/>
      <c r="AT328" s="799"/>
      <c r="AU328" s="799"/>
      <c r="AV328" s="799"/>
      <c r="AW328" s="799"/>
      <c r="AX328" s="799"/>
      <c r="AY328" s="799"/>
      <c r="AZ328" s="799"/>
      <c r="BA328" s="799"/>
      <c r="BB328" s="799"/>
      <c r="BC328" s="799"/>
      <c r="BD328" s="799"/>
      <c r="BE328" s="799"/>
      <c r="BF328" s="799"/>
      <c r="BG328" s="799"/>
    </row>
    <row r="329">
      <c r="H329" s="799"/>
      <c r="I329" s="799"/>
      <c r="J329" s="799"/>
      <c r="K329" s="799"/>
      <c r="L329" s="799"/>
      <c r="M329" s="799"/>
      <c r="N329" s="799"/>
      <c r="O329" s="799"/>
      <c r="P329" s="799"/>
      <c r="Q329" s="799"/>
      <c r="R329" s="799"/>
      <c r="S329" s="799"/>
      <c r="T329" s="799"/>
      <c r="U329" s="799"/>
      <c r="V329" s="799"/>
      <c r="W329" s="799"/>
      <c r="X329" s="799"/>
      <c r="Y329" s="799"/>
      <c r="Z329" s="799"/>
      <c r="AA329" s="799"/>
      <c r="AB329" s="799"/>
      <c r="AC329" s="799"/>
      <c r="AD329" s="799"/>
      <c r="AE329" s="799"/>
      <c r="AF329" s="799"/>
      <c r="AG329" s="799"/>
      <c r="AH329" s="799"/>
      <c r="AI329" s="799"/>
      <c r="AJ329" s="799"/>
      <c r="AK329" s="799"/>
      <c r="AL329" s="799"/>
      <c r="AM329" s="799"/>
      <c r="AN329" s="799"/>
      <c r="AO329" s="799"/>
      <c r="AP329" s="799"/>
      <c r="AQ329" s="799"/>
      <c r="AR329" s="799"/>
      <c r="AS329" s="799"/>
      <c r="AT329" s="799"/>
      <c r="AU329" s="799"/>
      <c r="AV329" s="799"/>
      <c r="AW329" s="799"/>
      <c r="AX329" s="799"/>
      <c r="AY329" s="799"/>
      <c r="AZ329" s="799"/>
      <c r="BA329" s="799"/>
      <c r="BB329" s="799"/>
      <c r="BC329" s="799"/>
      <c r="BD329" s="799"/>
      <c r="BE329" s="799"/>
      <c r="BF329" s="799"/>
      <c r="BG329" s="799"/>
    </row>
    <row r="330">
      <c r="H330" s="799"/>
      <c r="I330" s="799"/>
      <c r="J330" s="799"/>
      <c r="K330" s="799"/>
      <c r="L330" s="799"/>
      <c r="M330" s="799"/>
      <c r="N330" s="799"/>
      <c r="O330" s="799"/>
      <c r="P330" s="799"/>
      <c r="Q330" s="799"/>
      <c r="R330" s="799"/>
      <c r="S330" s="799"/>
      <c r="T330" s="799"/>
      <c r="U330" s="799"/>
      <c r="V330" s="799"/>
      <c r="W330" s="799"/>
      <c r="X330" s="799"/>
      <c r="Y330" s="799"/>
      <c r="Z330" s="799"/>
      <c r="AA330" s="799"/>
      <c r="AB330" s="799"/>
      <c r="AC330" s="799"/>
      <c r="AD330" s="799"/>
      <c r="AE330" s="799"/>
      <c r="AF330" s="799"/>
      <c r="AG330" s="799"/>
      <c r="AH330" s="799"/>
      <c r="AI330" s="799"/>
      <c r="AJ330" s="799"/>
      <c r="AK330" s="799"/>
      <c r="AL330" s="799"/>
      <c r="AM330" s="799"/>
      <c r="AN330" s="799"/>
      <c r="AO330" s="799"/>
      <c r="AP330" s="799"/>
      <c r="AQ330" s="799"/>
      <c r="AR330" s="799"/>
      <c r="AS330" s="799"/>
      <c r="AT330" s="799"/>
      <c r="AU330" s="799"/>
      <c r="AV330" s="799"/>
      <c r="AW330" s="799"/>
      <c r="AX330" s="799"/>
      <c r="AY330" s="799"/>
      <c r="AZ330" s="799"/>
      <c r="BA330" s="799"/>
      <c r="BB330" s="799"/>
      <c r="BC330" s="799"/>
      <c r="BD330" s="799"/>
      <c r="BE330" s="799"/>
      <c r="BF330" s="799"/>
      <c r="BG330" s="799"/>
    </row>
    <row r="331">
      <c r="H331" s="799"/>
      <c r="I331" s="799"/>
      <c r="J331" s="799"/>
      <c r="K331" s="799"/>
      <c r="L331" s="799"/>
      <c r="M331" s="799"/>
      <c r="N331" s="799"/>
      <c r="O331" s="799"/>
      <c r="P331" s="799"/>
      <c r="Q331" s="799"/>
      <c r="R331" s="799"/>
      <c r="S331" s="799"/>
      <c r="T331" s="799"/>
      <c r="U331" s="799"/>
      <c r="V331" s="799"/>
      <c r="W331" s="799"/>
      <c r="X331" s="799"/>
      <c r="Y331" s="799"/>
      <c r="Z331" s="799"/>
      <c r="AA331" s="799"/>
      <c r="AB331" s="799"/>
      <c r="AC331" s="799"/>
      <c r="AD331" s="799"/>
      <c r="AE331" s="799"/>
      <c r="AF331" s="799"/>
      <c r="AG331" s="799"/>
      <c r="AH331" s="799"/>
      <c r="AI331" s="799"/>
      <c r="AJ331" s="799"/>
      <c r="AK331" s="799"/>
      <c r="AL331" s="799"/>
      <c r="AM331" s="799"/>
      <c r="AN331" s="799"/>
      <c r="AO331" s="799"/>
      <c r="AP331" s="799"/>
      <c r="AQ331" s="799"/>
      <c r="AR331" s="799"/>
      <c r="AS331" s="799"/>
      <c r="AT331" s="799"/>
      <c r="AU331" s="799"/>
      <c r="AV331" s="799"/>
      <c r="AW331" s="799"/>
      <c r="AX331" s="799"/>
      <c r="AY331" s="799"/>
      <c r="AZ331" s="799"/>
      <c r="BA331" s="799"/>
      <c r="BB331" s="799"/>
      <c r="BC331" s="799"/>
      <c r="BD331" s="799"/>
      <c r="BE331" s="799"/>
      <c r="BF331" s="799"/>
      <c r="BG331" s="799"/>
    </row>
    <row r="332">
      <c r="H332" s="799"/>
      <c r="I332" s="799"/>
      <c r="J332" s="799"/>
      <c r="K332" s="799"/>
      <c r="L332" s="799"/>
      <c r="M332" s="799"/>
      <c r="N332" s="799"/>
      <c r="O332" s="799"/>
      <c r="P332" s="799"/>
      <c r="Q332" s="799"/>
      <c r="R332" s="799"/>
      <c r="S332" s="799"/>
      <c r="T332" s="799"/>
      <c r="U332" s="799"/>
      <c r="V332" s="799"/>
      <c r="W332" s="799"/>
      <c r="X332" s="799"/>
      <c r="Y332" s="799"/>
      <c r="Z332" s="799"/>
      <c r="AA332" s="799"/>
      <c r="AB332" s="799"/>
      <c r="AC332" s="799"/>
      <c r="AD332" s="799"/>
      <c r="AE332" s="799"/>
      <c r="AF332" s="799"/>
      <c r="AG332" s="799"/>
      <c r="AH332" s="799"/>
      <c r="AI332" s="799"/>
      <c r="AJ332" s="799"/>
      <c r="AK332" s="799"/>
      <c r="AL332" s="799"/>
      <c r="AM332" s="799"/>
      <c r="AN332" s="799"/>
      <c r="AO332" s="799"/>
      <c r="AP332" s="799"/>
      <c r="AQ332" s="799"/>
      <c r="AR332" s="799"/>
      <c r="AS332" s="799"/>
      <c r="AT332" s="799"/>
      <c r="AU332" s="799"/>
      <c r="AV332" s="799"/>
      <c r="AW332" s="799"/>
      <c r="AX332" s="799"/>
      <c r="AY332" s="799"/>
      <c r="AZ332" s="799"/>
      <c r="BA332" s="799"/>
      <c r="BB332" s="799"/>
      <c r="BC332" s="799"/>
      <c r="BD332" s="799"/>
      <c r="BE332" s="799"/>
      <c r="BF332" s="799"/>
      <c r="BG332" s="799"/>
    </row>
    <row r="333">
      <c r="H333" s="799"/>
      <c r="I333" s="799"/>
      <c r="J333" s="799"/>
      <c r="K333" s="799"/>
      <c r="L333" s="799"/>
      <c r="M333" s="799"/>
      <c r="N333" s="799"/>
      <c r="O333" s="799"/>
      <c r="P333" s="799"/>
      <c r="Q333" s="799"/>
      <c r="R333" s="799"/>
      <c r="S333" s="799"/>
      <c r="T333" s="799"/>
      <c r="U333" s="799"/>
      <c r="V333" s="799"/>
      <c r="W333" s="799"/>
      <c r="X333" s="799"/>
      <c r="Y333" s="799"/>
      <c r="Z333" s="799"/>
      <c r="AA333" s="799"/>
      <c r="AB333" s="799"/>
      <c r="AC333" s="799"/>
      <c r="AD333" s="799"/>
      <c r="AE333" s="799"/>
      <c r="AF333" s="799"/>
      <c r="AG333" s="799"/>
      <c r="AH333" s="799"/>
      <c r="AI333" s="799"/>
      <c r="AJ333" s="799"/>
      <c r="AK333" s="799"/>
      <c r="AL333" s="799"/>
      <c r="AM333" s="799"/>
      <c r="AN333" s="799"/>
      <c r="AO333" s="799"/>
      <c r="AP333" s="799"/>
      <c r="AQ333" s="799"/>
      <c r="AR333" s="799"/>
      <c r="AS333" s="799"/>
      <c r="AT333" s="799"/>
      <c r="AU333" s="799"/>
      <c r="AV333" s="799"/>
      <c r="AW333" s="799"/>
      <c r="AX333" s="799"/>
      <c r="AY333" s="799"/>
      <c r="AZ333" s="799"/>
      <c r="BA333" s="799"/>
      <c r="BB333" s="799"/>
      <c r="BC333" s="799"/>
      <c r="BD333" s="799"/>
      <c r="BE333" s="799"/>
      <c r="BF333" s="799"/>
      <c r="BG333" s="799"/>
    </row>
    <row r="334">
      <c r="H334" s="799"/>
      <c r="I334" s="799"/>
      <c r="J334" s="799"/>
      <c r="K334" s="799"/>
      <c r="L334" s="799"/>
      <c r="M334" s="799"/>
      <c r="N334" s="799"/>
      <c r="O334" s="799"/>
      <c r="P334" s="799"/>
      <c r="Q334" s="799"/>
      <c r="R334" s="799"/>
      <c r="S334" s="799"/>
      <c r="T334" s="799"/>
      <c r="U334" s="799"/>
      <c r="V334" s="799"/>
      <c r="W334" s="799"/>
      <c r="X334" s="799"/>
      <c r="Y334" s="799"/>
      <c r="Z334" s="799"/>
      <c r="AA334" s="799"/>
      <c r="AB334" s="799"/>
      <c r="AC334" s="799"/>
      <c r="AD334" s="799"/>
      <c r="AE334" s="799"/>
      <c r="AF334" s="799"/>
      <c r="AG334" s="799"/>
      <c r="AH334" s="799"/>
      <c r="AI334" s="799"/>
      <c r="AJ334" s="799"/>
      <c r="AK334" s="799"/>
      <c r="AL334" s="799"/>
      <c r="AM334" s="799"/>
      <c r="AN334" s="799"/>
      <c r="AO334" s="799"/>
      <c r="AP334" s="799"/>
      <c r="AQ334" s="799"/>
      <c r="AR334" s="799"/>
      <c r="AS334" s="799"/>
      <c r="AT334" s="799"/>
      <c r="AU334" s="799"/>
      <c r="AV334" s="799"/>
      <c r="AW334" s="799"/>
      <c r="AX334" s="799"/>
      <c r="AY334" s="799"/>
      <c r="AZ334" s="799"/>
      <c r="BA334" s="799"/>
      <c r="BB334" s="799"/>
      <c r="BC334" s="799"/>
      <c r="BD334" s="799"/>
      <c r="BE334" s="799"/>
      <c r="BF334" s="799"/>
      <c r="BG334" s="799"/>
    </row>
    <row r="335">
      <c r="H335" s="799"/>
      <c r="I335" s="799"/>
      <c r="J335" s="799"/>
      <c r="K335" s="799"/>
      <c r="L335" s="799"/>
      <c r="M335" s="799"/>
      <c r="N335" s="799"/>
      <c r="O335" s="799"/>
      <c r="P335" s="799"/>
      <c r="Q335" s="799"/>
      <c r="R335" s="799"/>
      <c r="S335" s="799"/>
      <c r="T335" s="799"/>
      <c r="U335" s="799"/>
      <c r="V335" s="799"/>
      <c r="W335" s="799"/>
      <c r="X335" s="799"/>
      <c r="Y335" s="799"/>
      <c r="Z335" s="799"/>
      <c r="AA335" s="799"/>
      <c r="AB335" s="799"/>
      <c r="AC335" s="799"/>
      <c r="AD335" s="799"/>
      <c r="AE335" s="799"/>
      <c r="AF335" s="799"/>
      <c r="AG335" s="799"/>
      <c r="AH335" s="799"/>
      <c r="AI335" s="799"/>
      <c r="AJ335" s="799"/>
      <c r="AK335" s="799"/>
      <c r="AL335" s="799"/>
      <c r="AM335" s="799"/>
      <c r="AN335" s="799"/>
      <c r="AO335" s="799"/>
      <c r="AP335" s="799"/>
      <c r="AQ335" s="799"/>
      <c r="AR335" s="799"/>
      <c r="AS335" s="799"/>
      <c r="AT335" s="799"/>
      <c r="AU335" s="799"/>
      <c r="AV335" s="799"/>
      <c r="AW335" s="799"/>
      <c r="AX335" s="799"/>
      <c r="AY335" s="799"/>
      <c r="AZ335" s="799"/>
      <c r="BA335" s="799"/>
      <c r="BB335" s="799"/>
      <c r="BC335" s="799"/>
      <c r="BD335" s="799"/>
      <c r="BE335" s="799"/>
      <c r="BF335" s="799"/>
      <c r="BG335" s="799"/>
    </row>
    <row r="336">
      <c r="H336" s="799"/>
      <c r="I336" s="799"/>
      <c r="J336" s="799"/>
      <c r="K336" s="799"/>
      <c r="L336" s="799"/>
      <c r="M336" s="799"/>
      <c r="N336" s="799"/>
      <c r="O336" s="799"/>
      <c r="P336" s="799"/>
      <c r="Q336" s="799"/>
      <c r="R336" s="799"/>
      <c r="S336" s="799"/>
      <c r="T336" s="799"/>
      <c r="U336" s="799"/>
      <c r="V336" s="799"/>
      <c r="W336" s="799"/>
      <c r="X336" s="799"/>
      <c r="Y336" s="799"/>
      <c r="Z336" s="799"/>
      <c r="AA336" s="799"/>
      <c r="AB336" s="799"/>
      <c r="AC336" s="799"/>
      <c r="AD336" s="799"/>
      <c r="AE336" s="799"/>
      <c r="AF336" s="799"/>
      <c r="AG336" s="799"/>
      <c r="AH336" s="799"/>
      <c r="AI336" s="799"/>
      <c r="AJ336" s="799"/>
      <c r="AK336" s="799"/>
      <c r="AL336" s="799"/>
      <c r="AM336" s="799"/>
      <c r="AN336" s="799"/>
      <c r="AO336" s="799"/>
      <c r="AP336" s="799"/>
      <c r="AQ336" s="799"/>
      <c r="AR336" s="799"/>
      <c r="AS336" s="799"/>
      <c r="AT336" s="799"/>
      <c r="AU336" s="799"/>
      <c r="AV336" s="799"/>
      <c r="AW336" s="799"/>
      <c r="AX336" s="799"/>
      <c r="AY336" s="799"/>
      <c r="AZ336" s="799"/>
      <c r="BA336" s="799"/>
      <c r="BB336" s="799"/>
      <c r="BC336" s="799"/>
      <c r="BD336" s="799"/>
      <c r="BE336" s="799"/>
      <c r="BF336" s="799"/>
      <c r="BG336" s="799"/>
    </row>
    <row r="337">
      <c r="H337" s="799"/>
      <c r="I337" s="799"/>
      <c r="J337" s="799"/>
      <c r="K337" s="799"/>
      <c r="L337" s="799"/>
      <c r="M337" s="799"/>
      <c r="N337" s="799"/>
      <c r="O337" s="799"/>
      <c r="P337" s="799"/>
      <c r="Q337" s="799"/>
      <c r="R337" s="799"/>
      <c r="S337" s="799"/>
      <c r="T337" s="799"/>
      <c r="U337" s="799"/>
      <c r="V337" s="799"/>
      <c r="W337" s="799"/>
      <c r="X337" s="799"/>
      <c r="Y337" s="799"/>
      <c r="Z337" s="799"/>
      <c r="AA337" s="799"/>
      <c r="AB337" s="799"/>
      <c r="AC337" s="799"/>
      <c r="AD337" s="799"/>
      <c r="AE337" s="799"/>
      <c r="AF337" s="799"/>
      <c r="AG337" s="799"/>
      <c r="AH337" s="799"/>
      <c r="AI337" s="799"/>
      <c r="AJ337" s="799"/>
      <c r="AK337" s="799"/>
      <c r="AL337" s="799"/>
      <c r="AM337" s="799"/>
      <c r="AN337" s="799"/>
      <c r="AO337" s="799"/>
      <c r="AP337" s="799"/>
      <c r="AQ337" s="799"/>
      <c r="AR337" s="799"/>
      <c r="AS337" s="799"/>
      <c r="AT337" s="799"/>
      <c r="AU337" s="799"/>
      <c r="AV337" s="799"/>
      <c r="AW337" s="799"/>
      <c r="AX337" s="799"/>
      <c r="AY337" s="799"/>
      <c r="AZ337" s="799"/>
      <c r="BA337" s="799"/>
      <c r="BB337" s="799"/>
      <c r="BC337" s="799"/>
      <c r="BD337" s="799"/>
      <c r="BE337" s="799"/>
      <c r="BF337" s="799"/>
      <c r="BG337" s="799"/>
    </row>
    <row r="338">
      <c r="H338" s="799"/>
      <c r="I338" s="799"/>
      <c r="J338" s="799"/>
      <c r="K338" s="799"/>
      <c r="L338" s="799"/>
      <c r="M338" s="799"/>
      <c r="N338" s="799"/>
      <c r="O338" s="799"/>
      <c r="P338" s="799"/>
      <c r="Q338" s="799"/>
      <c r="R338" s="799"/>
      <c r="S338" s="799"/>
      <c r="T338" s="799"/>
      <c r="U338" s="799"/>
      <c r="V338" s="799"/>
      <c r="W338" s="799"/>
      <c r="X338" s="799"/>
      <c r="Y338" s="799"/>
      <c r="Z338" s="799"/>
      <c r="AA338" s="799"/>
      <c r="AB338" s="799"/>
      <c r="AC338" s="799"/>
      <c r="AD338" s="799"/>
      <c r="AE338" s="799"/>
      <c r="AF338" s="799"/>
      <c r="AG338" s="799"/>
      <c r="AH338" s="799"/>
      <c r="AI338" s="799"/>
      <c r="AJ338" s="799"/>
      <c r="AK338" s="799"/>
      <c r="AL338" s="799"/>
      <c r="AM338" s="799"/>
      <c r="AN338" s="799"/>
      <c r="AO338" s="799"/>
      <c r="AP338" s="799"/>
      <c r="AQ338" s="799"/>
      <c r="AR338" s="799"/>
      <c r="AS338" s="799"/>
      <c r="AT338" s="799"/>
      <c r="AU338" s="799"/>
      <c r="AV338" s="799"/>
      <c r="AW338" s="799"/>
      <c r="AX338" s="799"/>
      <c r="AY338" s="799"/>
      <c r="AZ338" s="799"/>
      <c r="BA338" s="799"/>
      <c r="BB338" s="799"/>
      <c r="BC338" s="799"/>
      <c r="BD338" s="799"/>
      <c r="BE338" s="799"/>
      <c r="BF338" s="799"/>
      <c r="BG338" s="799"/>
    </row>
    <row r="339">
      <c r="H339" s="799"/>
      <c r="I339" s="799"/>
      <c r="J339" s="799"/>
      <c r="K339" s="799"/>
      <c r="L339" s="799"/>
      <c r="M339" s="799"/>
      <c r="N339" s="799"/>
      <c r="O339" s="799"/>
      <c r="P339" s="799"/>
      <c r="Q339" s="799"/>
      <c r="R339" s="799"/>
      <c r="S339" s="799"/>
      <c r="T339" s="799"/>
      <c r="U339" s="799"/>
      <c r="V339" s="799"/>
      <c r="W339" s="799"/>
      <c r="X339" s="799"/>
      <c r="Y339" s="799"/>
      <c r="Z339" s="799"/>
      <c r="AA339" s="799"/>
      <c r="AB339" s="799"/>
      <c r="AC339" s="799"/>
      <c r="AD339" s="799"/>
      <c r="AE339" s="799"/>
      <c r="AF339" s="799"/>
      <c r="AG339" s="799"/>
      <c r="AH339" s="799"/>
      <c r="AI339" s="799"/>
      <c r="AJ339" s="799"/>
      <c r="AK339" s="799"/>
      <c r="AL339" s="799"/>
      <c r="AM339" s="799"/>
      <c r="AN339" s="799"/>
      <c r="AO339" s="799"/>
      <c r="AP339" s="799"/>
      <c r="AQ339" s="799"/>
      <c r="AR339" s="799"/>
      <c r="AS339" s="799"/>
      <c r="AT339" s="799"/>
      <c r="AU339" s="799"/>
      <c r="AV339" s="799"/>
      <c r="AW339" s="799"/>
      <c r="AX339" s="799"/>
      <c r="AY339" s="799"/>
      <c r="AZ339" s="799"/>
      <c r="BA339" s="799"/>
      <c r="BB339" s="799"/>
      <c r="BC339" s="799"/>
      <c r="BD339" s="799"/>
      <c r="BE339" s="799"/>
      <c r="BF339" s="799"/>
      <c r="BG339" s="799"/>
    </row>
    <row r="340">
      <c r="H340" s="799"/>
      <c r="I340" s="799"/>
      <c r="J340" s="799"/>
      <c r="K340" s="799"/>
      <c r="L340" s="799"/>
      <c r="M340" s="799"/>
      <c r="N340" s="799"/>
      <c r="O340" s="799"/>
      <c r="P340" s="799"/>
      <c r="Q340" s="799"/>
      <c r="R340" s="799"/>
      <c r="S340" s="799"/>
      <c r="T340" s="799"/>
      <c r="U340" s="799"/>
      <c r="V340" s="799"/>
      <c r="W340" s="799"/>
      <c r="X340" s="799"/>
      <c r="Y340" s="799"/>
      <c r="Z340" s="799"/>
      <c r="AA340" s="799"/>
      <c r="AB340" s="799"/>
      <c r="AC340" s="799"/>
      <c r="AD340" s="799"/>
      <c r="AE340" s="799"/>
      <c r="AF340" s="799"/>
      <c r="AG340" s="799"/>
      <c r="AH340" s="799"/>
      <c r="AI340" s="799"/>
      <c r="AJ340" s="799"/>
      <c r="AK340" s="799"/>
      <c r="AL340" s="799"/>
      <c r="AM340" s="799"/>
      <c r="AN340" s="799"/>
      <c r="AO340" s="799"/>
      <c r="AP340" s="799"/>
      <c r="AQ340" s="799"/>
      <c r="AR340" s="799"/>
      <c r="AS340" s="799"/>
      <c r="AT340" s="799"/>
      <c r="AU340" s="799"/>
      <c r="AV340" s="799"/>
      <c r="AW340" s="799"/>
      <c r="AX340" s="799"/>
      <c r="AY340" s="799"/>
      <c r="AZ340" s="799"/>
      <c r="BA340" s="799"/>
      <c r="BB340" s="799"/>
      <c r="BC340" s="799"/>
      <c r="BD340" s="799"/>
      <c r="BE340" s="799"/>
      <c r="BF340" s="799"/>
      <c r="BG340" s="799"/>
    </row>
    <row r="341">
      <c r="H341" s="799"/>
      <c r="I341" s="799"/>
      <c r="J341" s="799"/>
      <c r="K341" s="799"/>
      <c r="L341" s="799"/>
      <c r="M341" s="799"/>
      <c r="N341" s="799"/>
      <c r="O341" s="799"/>
      <c r="P341" s="799"/>
      <c r="Q341" s="799"/>
      <c r="R341" s="799"/>
      <c r="S341" s="799"/>
      <c r="T341" s="799"/>
      <c r="U341" s="799"/>
      <c r="V341" s="799"/>
      <c r="W341" s="799"/>
      <c r="X341" s="799"/>
      <c r="Y341" s="799"/>
      <c r="Z341" s="799"/>
      <c r="AA341" s="799"/>
      <c r="AB341" s="799"/>
      <c r="AC341" s="799"/>
      <c r="AD341" s="799"/>
      <c r="AE341" s="799"/>
      <c r="AF341" s="799"/>
      <c r="AG341" s="799"/>
      <c r="AH341" s="799"/>
      <c r="AI341" s="799"/>
      <c r="AJ341" s="799"/>
      <c r="AK341" s="799"/>
      <c r="AL341" s="799"/>
      <c r="AM341" s="799"/>
      <c r="AN341" s="799"/>
      <c r="AO341" s="799"/>
      <c r="AP341" s="799"/>
      <c r="AQ341" s="799"/>
      <c r="AR341" s="799"/>
      <c r="AS341" s="799"/>
      <c r="AT341" s="799"/>
      <c r="AU341" s="799"/>
      <c r="AV341" s="799"/>
      <c r="AW341" s="799"/>
      <c r="AX341" s="799"/>
      <c r="AY341" s="799"/>
      <c r="AZ341" s="799"/>
      <c r="BA341" s="799"/>
      <c r="BB341" s="799"/>
      <c r="BC341" s="799"/>
      <c r="BD341" s="799"/>
      <c r="BE341" s="799"/>
      <c r="BF341" s="799"/>
      <c r="BG341" s="799"/>
    </row>
    <row r="342">
      <c r="H342" s="799"/>
      <c r="I342" s="799"/>
      <c r="J342" s="799"/>
      <c r="K342" s="799"/>
      <c r="L342" s="799"/>
      <c r="M342" s="799"/>
      <c r="N342" s="799"/>
      <c r="O342" s="799"/>
      <c r="P342" s="799"/>
      <c r="Q342" s="799"/>
      <c r="R342" s="799"/>
      <c r="S342" s="799"/>
      <c r="T342" s="799"/>
      <c r="U342" s="799"/>
      <c r="V342" s="799"/>
      <c r="W342" s="799"/>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c r="AV342" s="799"/>
      <c r="AW342" s="799"/>
      <c r="AX342" s="799"/>
      <c r="AY342" s="799"/>
      <c r="AZ342" s="799"/>
      <c r="BA342" s="799"/>
      <c r="BB342" s="799"/>
      <c r="BC342" s="799"/>
      <c r="BD342" s="799"/>
      <c r="BE342" s="799"/>
      <c r="BF342" s="799"/>
      <c r="BG342" s="799"/>
    </row>
    <row r="343">
      <c r="H343" s="799"/>
      <c r="I343" s="799"/>
      <c r="J343" s="799"/>
      <c r="K343" s="799"/>
      <c r="L343" s="799"/>
      <c r="M343" s="799"/>
      <c r="N343" s="799"/>
      <c r="O343" s="799"/>
      <c r="P343" s="799"/>
      <c r="Q343" s="799"/>
      <c r="R343" s="799"/>
      <c r="S343" s="799"/>
      <c r="T343" s="799"/>
      <c r="U343" s="799"/>
      <c r="V343" s="799"/>
      <c r="W343" s="799"/>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c r="AV343" s="799"/>
      <c r="AW343" s="799"/>
      <c r="AX343" s="799"/>
      <c r="AY343" s="799"/>
      <c r="AZ343" s="799"/>
      <c r="BA343" s="799"/>
      <c r="BB343" s="799"/>
      <c r="BC343" s="799"/>
      <c r="BD343" s="799"/>
      <c r="BE343" s="799"/>
      <c r="BF343" s="799"/>
      <c r="BG343" s="799"/>
    </row>
    <row r="344">
      <c r="H344" s="799"/>
      <c r="I344" s="799"/>
      <c r="J344" s="799"/>
      <c r="K344" s="799"/>
      <c r="L344" s="799"/>
      <c r="M344" s="799"/>
      <c r="N344" s="799"/>
      <c r="O344" s="799"/>
      <c r="P344" s="799"/>
      <c r="Q344" s="799"/>
      <c r="R344" s="799"/>
      <c r="S344" s="799"/>
      <c r="T344" s="799"/>
      <c r="U344" s="799"/>
      <c r="V344" s="799"/>
      <c r="W344" s="799"/>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c r="AV344" s="799"/>
      <c r="AW344" s="799"/>
      <c r="AX344" s="799"/>
      <c r="AY344" s="799"/>
      <c r="AZ344" s="799"/>
      <c r="BA344" s="799"/>
      <c r="BB344" s="799"/>
      <c r="BC344" s="799"/>
      <c r="BD344" s="799"/>
      <c r="BE344" s="799"/>
      <c r="BF344" s="799"/>
      <c r="BG344" s="799"/>
    </row>
    <row r="345">
      <c r="H345" s="799"/>
      <c r="I345" s="799"/>
      <c r="J345" s="799"/>
      <c r="K345" s="799"/>
      <c r="L345" s="799"/>
      <c r="M345" s="799"/>
      <c r="N345" s="799"/>
      <c r="O345" s="799"/>
      <c r="P345" s="799"/>
      <c r="Q345" s="799"/>
      <c r="R345" s="799"/>
      <c r="S345" s="799"/>
      <c r="T345" s="799"/>
      <c r="U345" s="799"/>
      <c r="V345" s="799"/>
      <c r="W345" s="799"/>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c r="AV345" s="799"/>
      <c r="AW345" s="799"/>
      <c r="AX345" s="799"/>
      <c r="AY345" s="799"/>
      <c r="AZ345" s="799"/>
      <c r="BA345" s="799"/>
      <c r="BB345" s="799"/>
      <c r="BC345" s="799"/>
      <c r="BD345" s="799"/>
      <c r="BE345" s="799"/>
      <c r="BF345" s="799"/>
      <c r="BG345" s="799"/>
    </row>
    <row r="346">
      <c r="H346" s="799"/>
      <c r="I346" s="799"/>
      <c r="J346" s="799"/>
      <c r="K346" s="799"/>
      <c r="L346" s="799"/>
      <c r="M346" s="799"/>
      <c r="N346" s="799"/>
      <c r="O346" s="799"/>
      <c r="P346" s="799"/>
      <c r="Q346" s="799"/>
      <c r="R346" s="799"/>
      <c r="S346" s="799"/>
      <c r="T346" s="799"/>
      <c r="U346" s="799"/>
      <c r="V346" s="799"/>
      <c r="W346" s="799"/>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799"/>
      <c r="AX346" s="799"/>
      <c r="AY346" s="799"/>
      <c r="AZ346" s="799"/>
      <c r="BA346" s="799"/>
      <c r="BB346" s="799"/>
      <c r="BC346" s="799"/>
      <c r="BD346" s="799"/>
      <c r="BE346" s="799"/>
      <c r="BF346" s="799"/>
      <c r="BG346" s="799"/>
    </row>
    <row r="347">
      <c r="H347" s="799"/>
      <c r="I347" s="799"/>
      <c r="J347" s="799"/>
      <c r="K347" s="799"/>
      <c r="L347" s="799"/>
      <c r="M347" s="799"/>
      <c r="N347" s="799"/>
      <c r="O347" s="799"/>
      <c r="P347" s="799"/>
      <c r="Q347" s="799"/>
      <c r="R347" s="799"/>
      <c r="S347" s="799"/>
      <c r="T347" s="799"/>
      <c r="U347" s="799"/>
      <c r="V347" s="799"/>
      <c r="W347" s="799"/>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799"/>
      <c r="AX347" s="799"/>
      <c r="AY347" s="799"/>
      <c r="AZ347" s="799"/>
      <c r="BA347" s="799"/>
      <c r="BB347" s="799"/>
      <c r="BC347" s="799"/>
      <c r="BD347" s="799"/>
      <c r="BE347" s="799"/>
      <c r="BF347" s="799"/>
      <c r="BG347" s="799"/>
    </row>
    <row r="348">
      <c r="H348" s="799"/>
      <c r="I348" s="799"/>
      <c r="J348" s="799"/>
      <c r="K348" s="799"/>
      <c r="L348" s="799"/>
      <c r="M348" s="799"/>
      <c r="N348" s="799"/>
      <c r="O348" s="799"/>
      <c r="P348" s="799"/>
      <c r="Q348" s="799"/>
      <c r="R348" s="799"/>
      <c r="S348" s="799"/>
      <c r="T348" s="799"/>
      <c r="U348" s="799"/>
      <c r="V348" s="799"/>
      <c r="W348" s="799"/>
      <c r="X348" s="799"/>
      <c r="Y348" s="799"/>
      <c r="Z348" s="799"/>
      <c r="AA348" s="799"/>
      <c r="AB348" s="799"/>
      <c r="AC348" s="799"/>
      <c r="AD348" s="799"/>
      <c r="AE348" s="799"/>
      <c r="AF348" s="799"/>
      <c r="AG348" s="799"/>
      <c r="AH348" s="799"/>
      <c r="AI348" s="799"/>
      <c r="AJ348" s="799"/>
      <c r="AK348" s="799"/>
      <c r="AL348" s="799"/>
      <c r="AM348" s="799"/>
      <c r="AN348" s="799"/>
      <c r="AO348" s="799"/>
      <c r="AP348" s="799"/>
      <c r="AQ348" s="799"/>
      <c r="AR348" s="799"/>
      <c r="AS348" s="799"/>
      <c r="AT348" s="799"/>
      <c r="AU348" s="799"/>
      <c r="AV348" s="799"/>
      <c r="AW348" s="799"/>
      <c r="AX348" s="799"/>
      <c r="AY348" s="799"/>
      <c r="AZ348" s="799"/>
      <c r="BA348" s="799"/>
      <c r="BB348" s="799"/>
      <c r="BC348" s="799"/>
      <c r="BD348" s="799"/>
      <c r="BE348" s="799"/>
      <c r="BF348" s="799"/>
      <c r="BG348" s="799"/>
    </row>
    <row r="349">
      <c r="H349" s="799"/>
      <c r="I349" s="799"/>
      <c r="J349" s="799"/>
      <c r="K349" s="799"/>
      <c r="L349" s="799"/>
      <c r="M349" s="799"/>
      <c r="N349" s="799"/>
      <c r="O349" s="799"/>
      <c r="P349" s="799"/>
      <c r="Q349" s="799"/>
      <c r="R349" s="799"/>
      <c r="S349" s="799"/>
      <c r="T349" s="799"/>
      <c r="U349" s="799"/>
      <c r="V349" s="799"/>
      <c r="W349" s="799"/>
      <c r="X349" s="799"/>
      <c r="Y349" s="799"/>
      <c r="Z349" s="799"/>
      <c r="AA349" s="799"/>
      <c r="AB349" s="799"/>
      <c r="AC349" s="799"/>
      <c r="AD349" s="799"/>
      <c r="AE349" s="799"/>
      <c r="AF349" s="799"/>
      <c r="AG349" s="799"/>
      <c r="AH349" s="799"/>
      <c r="AI349" s="799"/>
      <c r="AJ349" s="799"/>
      <c r="AK349" s="799"/>
      <c r="AL349" s="799"/>
      <c r="AM349" s="799"/>
      <c r="AN349" s="799"/>
      <c r="AO349" s="799"/>
      <c r="AP349" s="799"/>
      <c r="AQ349" s="799"/>
      <c r="AR349" s="799"/>
      <c r="AS349" s="799"/>
      <c r="AT349" s="799"/>
      <c r="AU349" s="799"/>
      <c r="AV349" s="799"/>
      <c r="AW349" s="799"/>
      <c r="AX349" s="799"/>
      <c r="AY349" s="799"/>
      <c r="AZ349" s="799"/>
      <c r="BA349" s="799"/>
      <c r="BB349" s="799"/>
      <c r="BC349" s="799"/>
      <c r="BD349" s="799"/>
      <c r="BE349" s="799"/>
      <c r="BF349" s="799"/>
      <c r="BG349" s="799"/>
    </row>
    <row r="350">
      <c r="H350" s="799"/>
      <c r="I350" s="799"/>
      <c r="J350" s="799"/>
      <c r="K350" s="799"/>
      <c r="L350" s="799"/>
      <c r="M350" s="799"/>
      <c r="N350" s="799"/>
      <c r="O350" s="799"/>
      <c r="P350" s="799"/>
      <c r="Q350" s="799"/>
      <c r="R350" s="799"/>
      <c r="S350" s="799"/>
      <c r="T350" s="799"/>
      <c r="U350" s="799"/>
      <c r="V350" s="799"/>
      <c r="W350" s="799"/>
      <c r="X350" s="799"/>
      <c r="Y350" s="799"/>
      <c r="Z350" s="799"/>
      <c r="AA350" s="799"/>
      <c r="AB350" s="799"/>
      <c r="AC350" s="799"/>
      <c r="AD350" s="799"/>
      <c r="AE350" s="799"/>
      <c r="AF350" s="799"/>
      <c r="AG350" s="799"/>
      <c r="AH350" s="799"/>
      <c r="AI350" s="799"/>
      <c r="AJ350" s="799"/>
      <c r="AK350" s="799"/>
      <c r="AL350" s="799"/>
      <c r="AM350" s="799"/>
      <c r="AN350" s="799"/>
      <c r="AO350" s="799"/>
      <c r="AP350" s="799"/>
      <c r="AQ350" s="799"/>
      <c r="AR350" s="799"/>
      <c r="AS350" s="799"/>
      <c r="AT350" s="799"/>
      <c r="AU350" s="799"/>
      <c r="AV350" s="799"/>
      <c r="AW350" s="799"/>
      <c r="AX350" s="799"/>
      <c r="AY350" s="799"/>
      <c r="AZ350" s="799"/>
      <c r="BA350" s="799"/>
      <c r="BB350" s="799"/>
      <c r="BC350" s="799"/>
      <c r="BD350" s="799"/>
      <c r="BE350" s="799"/>
      <c r="BF350" s="799"/>
      <c r="BG350" s="799"/>
    </row>
    <row r="351">
      <c r="H351" s="799"/>
      <c r="I351" s="799"/>
      <c r="J351" s="799"/>
      <c r="K351" s="799"/>
      <c r="L351" s="799"/>
      <c r="M351" s="799"/>
      <c r="N351" s="799"/>
      <c r="O351" s="799"/>
      <c r="P351" s="799"/>
      <c r="Q351" s="799"/>
      <c r="R351" s="799"/>
      <c r="S351" s="799"/>
      <c r="T351" s="799"/>
      <c r="U351" s="799"/>
      <c r="V351" s="799"/>
      <c r="W351" s="799"/>
      <c r="X351" s="799"/>
      <c r="Y351" s="799"/>
      <c r="Z351" s="799"/>
      <c r="AA351" s="799"/>
      <c r="AB351" s="799"/>
      <c r="AC351" s="799"/>
      <c r="AD351" s="799"/>
      <c r="AE351" s="799"/>
      <c r="AF351" s="799"/>
      <c r="AG351" s="799"/>
      <c r="AH351" s="799"/>
      <c r="AI351" s="799"/>
      <c r="AJ351" s="799"/>
      <c r="AK351" s="799"/>
      <c r="AL351" s="799"/>
      <c r="AM351" s="799"/>
      <c r="AN351" s="799"/>
      <c r="AO351" s="799"/>
      <c r="AP351" s="799"/>
      <c r="AQ351" s="799"/>
      <c r="AR351" s="799"/>
      <c r="AS351" s="799"/>
      <c r="AT351" s="799"/>
      <c r="AU351" s="799"/>
      <c r="AV351" s="799"/>
      <c r="AW351" s="799"/>
      <c r="AX351" s="799"/>
      <c r="AY351" s="799"/>
      <c r="AZ351" s="799"/>
      <c r="BA351" s="799"/>
      <c r="BB351" s="799"/>
      <c r="BC351" s="799"/>
      <c r="BD351" s="799"/>
      <c r="BE351" s="799"/>
      <c r="BF351" s="799"/>
      <c r="BG351" s="799"/>
    </row>
    <row r="352">
      <c r="H352" s="799"/>
      <c r="I352" s="799"/>
      <c r="J352" s="799"/>
      <c r="K352" s="799"/>
      <c r="L352" s="799"/>
      <c r="M352" s="799"/>
      <c r="N352" s="799"/>
      <c r="O352" s="799"/>
      <c r="P352" s="799"/>
      <c r="Q352" s="799"/>
      <c r="R352" s="799"/>
      <c r="S352" s="799"/>
      <c r="T352" s="799"/>
      <c r="U352" s="799"/>
      <c r="V352" s="799"/>
      <c r="W352" s="799"/>
      <c r="X352" s="799"/>
      <c r="Y352" s="799"/>
      <c r="Z352" s="799"/>
      <c r="AA352" s="799"/>
      <c r="AB352" s="799"/>
      <c r="AC352" s="799"/>
      <c r="AD352" s="799"/>
      <c r="AE352" s="799"/>
      <c r="AF352" s="799"/>
      <c r="AG352" s="799"/>
      <c r="AH352" s="799"/>
      <c r="AI352" s="799"/>
      <c r="AJ352" s="799"/>
      <c r="AK352" s="799"/>
      <c r="AL352" s="799"/>
      <c r="AM352" s="799"/>
      <c r="AN352" s="799"/>
      <c r="AO352" s="799"/>
      <c r="AP352" s="799"/>
      <c r="AQ352" s="799"/>
      <c r="AR352" s="799"/>
      <c r="AS352" s="799"/>
      <c r="AT352" s="799"/>
      <c r="AU352" s="799"/>
      <c r="AV352" s="799"/>
      <c r="AW352" s="799"/>
      <c r="AX352" s="799"/>
      <c r="AY352" s="799"/>
      <c r="AZ352" s="799"/>
      <c r="BA352" s="799"/>
      <c r="BB352" s="799"/>
      <c r="BC352" s="799"/>
      <c r="BD352" s="799"/>
      <c r="BE352" s="799"/>
      <c r="BF352" s="799"/>
      <c r="BG352" s="799"/>
    </row>
    <row r="353">
      <c r="H353" s="799"/>
      <c r="I353" s="799"/>
      <c r="J353" s="799"/>
      <c r="K353" s="799"/>
      <c r="L353" s="799"/>
      <c r="M353" s="799"/>
      <c r="N353" s="799"/>
      <c r="O353" s="799"/>
      <c r="P353" s="799"/>
      <c r="Q353" s="799"/>
      <c r="R353" s="799"/>
      <c r="S353" s="799"/>
      <c r="T353" s="799"/>
      <c r="U353" s="799"/>
      <c r="V353" s="799"/>
      <c r="W353" s="799"/>
      <c r="X353" s="799"/>
      <c r="Y353" s="799"/>
      <c r="Z353" s="799"/>
      <c r="AA353" s="799"/>
      <c r="AB353" s="799"/>
      <c r="AC353" s="799"/>
      <c r="AD353" s="799"/>
      <c r="AE353" s="799"/>
      <c r="AF353" s="799"/>
      <c r="AG353" s="799"/>
      <c r="AH353" s="799"/>
      <c r="AI353" s="799"/>
      <c r="AJ353" s="799"/>
      <c r="AK353" s="799"/>
      <c r="AL353" s="799"/>
      <c r="AM353" s="799"/>
      <c r="AN353" s="799"/>
      <c r="AO353" s="799"/>
      <c r="AP353" s="799"/>
      <c r="AQ353" s="799"/>
      <c r="AR353" s="799"/>
      <c r="AS353" s="799"/>
      <c r="AT353" s="799"/>
      <c r="AU353" s="799"/>
      <c r="AV353" s="799"/>
      <c r="AW353" s="799"/>
      <c r="AX353" s="799"/>
      <c r="AY353" s="799"/>
      <c r="AZ353" s="799"/>
      <c r="BA353" s="799"/>
      <c r="BB353" s="799"/>
      <c r="BC353" s="799"/>
      <c r="BD353" s="799"/>
      <c r="BE353" s="799"/>
      <c r="BF353" s="799"/>
      <c r="BG353" s="799"/>
    </row>
    <row r="354">
      <c r="H354" s="799"/>
      <c r="I354" s="799"/>
      <c r="J354" s="799"/>
      <c r="K354" s="799"/>
      <c r="L354" s="799"/>
      <c r="M354" s="799"/>
      <c r="N354" s="799"/>
      <c r="O354" s="799"/>
      <c r="P354" s="799"/>
      <c r="Q354" s="799"/>
      <c r="R354" s="799"/>
      <c r="S354" s="799"/>
      <c r="T354" s="799"/>
      <c r="U354" s="799"/>
      <c r="V354" s="799"/>
      <c r="W354" s="799"/>
      <c r="X354" s="799"/>
      <c r="Y354" s="799"/>
      <c r="Z354" s="799"/>
      <c r="AA354" s="799"/>
      <c r="AB354" s="799"/>
      <c r="AC354" s="799"/>
      <c r="AD354" s="799"/>
      <c r="AE354" s="799"/>
      <c r="AF354" s="799"/>
      <c r="AG354" s="799"/>
      <c r="AH354" s="799"/>
      <c r="AI354" s="799"/>
      <c r="AJ354" s="799"/>
      <c r="AK354" s="799"/>
      <c r="AL354" s="799"/>
      <c r="AM354" s="799"/>
      <c r="AN354" s="799"/>
      <c r="AO354" s="799"/>
      <c r="AP354" s="799"/>
      <c r="AQ354" s="799"/>
      <c r="AR354" s="799"/>
      <c r="AS354" s="799"/>
      <c r="AT354" s="799"/>
      <c r="AU354" s="799"/>
      <c r="AV354" s="799"/>
      <c r="AW354" s="799"/>
      <c r="AX354" s="799"/>
      <c r="AY354" s="799"/>
      <c r="AZ354" s="799"/>
      <c r="BA354" s="799"/>
      <c r="BB354" s="799"/>
      <c r="BC354" s="799"/>
      <c r="BD354" s="799"/>
      <c r="BE354" s="799"/>
      <c r="BF354" s="799"/>
      <c r="BG354" s="799"/>
    </row>
    <row r="355">
      <c r="H355" s="799"/>
      <c r="I355" s="799"/>
      <c r="J355" s="799"/>
      <c r="K355" s="799"/>
      <c r="L355" s="799"/>
      <c r="M355" s="799"/>
      <c r="N355" s="799"/>
      <c r="O355" s="799"/>
      <c r="P355" s="799"/>
      <c r="Q355" s="799"/>
      <c r="R355" s="799"/>
      <c r="S355" s="799"/>
      <c r="T355" s="799"/>
      <c r="U355" s="799"/>
      <c r="V355" s="799"/>
      <c r="W355" s="799"/>
      <c r="X355" s="799"/>
      <c r="Y355" s="799"/>
      <c r="Z355" s="799"/>
      <c r="AA355" s="799"/>
      <c r="AB355" s="799"/>
      <c r="AC355" s="799"/>
      <c r="AD355" s="799"/>
      <c r="AE355" s="799"/>
      <c r="AF355" s="799"/>
      <c r="AG355" s="799"/>
      <c r="AH355" s="799"/>
      <c r="AI355" s="799"/>
      <c r="AJ355" s="799"/>
      <c r="AK355" s="799"/>
      <c r="AL355" s="799"/>
      <c r="AM355" s="799"/>
      <c r="AN355" s="799"/>
      <c r="AO355" s="799"/>
      <c r="AP355" s="799"/>
      <c r="AQ355" s="799"/>
      <c r="AR355" s="799"/>
      <c r="AS355" s="799"/>
      <c r="AT355" s="799"/>
      <c r="AU355" s="799"/>
      <c r="AV355" s="799"/>
      <c r="AW355" s="799"/>
      <c r="AX355" s="799"/>
      <c r="AY355" s="799"/>
      <c r="AZ355" s="799"/>
      <c r="BA355" s="799"/>
      <c r="BB355" s="799"/>
      <c r="BC355" s="799"/>
      <c r="BD355" s="799"/>
      <c r="BE355" s="799"/>
      <c r="BF355" s="799"/>
      <c r="BG355" s="799"/>
    </row>
    <row r="356">
      <c r="H356" s="799"/>
      <c r="I356" s="799"/>
      <c r="J356" s="799"/>
      <c r="K356" s="799"/>
      <c r="L356" s="799"/>
      <c r="M356" s="799"/>
      <c r="N356" s="799"/>
      <c r="O356" s="799"/>
      <c r="P356" s="799"/>
      <c r="Q356" s="799"/>
      <c r="R356" s="799"/>
      <c r="S356" s="799"/>
      <c r="T356" s="799"/>
      <c r="U356" s="799"/>
      <c r="V356" s="799"/>
      <c r="W356" s="799"/>
      <c r="X356" s="799"/>
      <c r="Y356" s="799"/>
      <c r="Z356" s="799"/>
      <c r="AA356" s="799"/>
      <c r="AB356" s="799"/>
      <c r="AC356" s="799"/>
      <c r="AD356" s="799"/>
      <c r="AE356" s="799"/>
      <c r="AF356" s="799"/>
      <c r="AG356" s="799"/>
      <c r="AH356" s="799"/>
      <c r="AI356" s="799"/>
      <c r="AJ356" s="799"/>
      <c r="AK356" s="799"/>
      <c r="AL356" s="799"/>
      <c r="AM356" s="799"/>
      <c r="AN356" s="799"/>
      <c r="AO356" s="799"/>
      <c r="AP356" s="799"/>
      <c r="AQ356" s="799"/>
      <c r="AR356" s="799"/>
      <c r="AS356" s="799"/>
      <c r="AT356" s="799"/>
      <c r="AU356" s="799"/>
      <c r="AV356" s="799"/>
      <c r="AW356" s="799"/>
      <c r="AX356" s="799"/>
      <c r="AY356" s="799"/>
      <c r="AZ356" s="799"/>
      <c r="BA356" s="799"/>
      <c r="BB356" s="799"/>
      <c r="BC356" s="799"/>
      <c r="BD356" s="799"/>
      <c r="BE356" s="799"/>
      <c r="BF356" s="799"/>
      <c r="BG356" s="799"/>
    </row>
    <row r="357">
      <c r="H357" s="799"/>
      <c r="I357" s="799"/>
      <c r="J357" s="799"/>
      <c r="K357" s="799"/>
      <c r="L357" s="799"/>
      <c r="M357" s="799"/>
      <c r="N357" s="799"/>
      <c r="O357" s="799"/>
      <c r="P357" s="799"/>
      <c r="Q357" s="799"/>
      <c r="R357" s="799"/>
      <c r="S357" s="799"/>
      <c r="T357" s="799"/>
      <c r="U357" s="799"/>
      <c r="V357" s="799"/>
      <c r="W357" s="799"/>
      <c r="X357" s="799"/>
      <c r="Y357" s="799"/>
      <c r="Z357" s="799"/>
      <c r="AA357" s="799"/>
      <c r="AB357" s="799"/>
      <c r="AC357" s="799"/>
      <c r="AD357" s="799"/>
      <c r="AE357" s="799"/>
      <c r="AF357" s="799"/>
      <c r="AG357" s="799"/>
      <c r="AH357" s="799"/>
      <c r="AI357" s="799"/>
      <c r="AJ357" s="799"/>
      <c r="AK357" s="799"/>
      <c r="AL357" s="799"/>
      <c r="AM357" s="799"/>
      <c r="AN357" s="799"/>
      <c r="AO357" s="799"/>
      <c r="AP357" s="799"/>
      <c r="AQ357" s="799"/>
      <c r="AR357" s="799"/>
      <c r="AS357" s="799"/>
      <c r="AT357" s="799"/>
      <c r="AU357" s="799"/>
      <c r="AV357" s="799"/>
      <c r="AW357" s="799"/>
      <c r="AX357" s="799"/>
      <c r="AY357" s="799"/>
      <c r="AZ357" s="799"/>
      <c r="BA357" s="799"/>
      <c r="BB357" s="799"/>
      <c r="BC357" s="799"/>
      <c r="BD357" s="799"/>
      <c r="BE357" s="799"/>
      <c r="BF357" s="799"/>
      <c r="BG357" s="799"/>
    </row>
    <row r="358">
      <c r="H358" s="799"/>
      <c r="I358" s="799"/>
      <c r="J358" s="799"/>
      <c r="K358" s="799"/>
      <c r="L358" s="799"/>
      <c r="M358" s="799"/>
      <c r="N358" s="799"/>
      <c r="O358" s="799"/>
      <c r="P358" s="799"/>
      <c r="Q358" s="799"/>
      <c r="R358" s="799"/>
      <c r="S358" s="799"/>
      <c r="T358" s="799"/>
      <c r="U358" s="799"/>
      <c r="V358" s="799"/>
      <c r="W358" s="799"/>
      <c r="X358" s="799"/>
      <c r="Y358" s="799"/>
      <c r="Z358" s="799"/>
      <c r="AA358" s="799"/>
      <c r="AB358" s="799"/>
      <c r="AC358" s="799"/>
      <c r="AD358" s="799"/>
      <c r="AE358" s="799"/>
      <c r="AF358" s="799"/>
      <c r="AG358" s="799"/>
      <c r="AH358" s="799"/>
      <c r="AI358" s="799"/>
      <c r="AJ358" s="799"/>
      <c r="AK358" s="799"/>
      <c r="AL358" s="799"/>
      <c r="AM358" s="799"/>
      <c r="AN358" s="799"/>
      <c r="AO358" s="799"/>
      <c r="AP358" s="799"/>
      <c r="AQ358" s="799"/>
      <c r="AR358" s="799"/>
      <c r="AS358" s="799"/>
      <c r="AT358" s="799"/>
      <c r="AU358" s="799"/>
      <c r="AV358" s="799"/>
      <c r="AW358" s="799"/>
      <c r="AX358" s="799"/>
      <c r="AY358" s="799"/>
      <c r="AZ358" s="799"/>
      <c r="BA358" s="799"/>
      <c r="BB358" s="799"/>
      <c r="BC358" s="799"/>
      <c r="BD358" s="799"/>
      <c r="BE358" s="799"/>
      <c r="BF358" s="799"/>
      <c r="BG358" s="799"/>
    </row>
    <row r="359">
      <c r="H359" s="799"/>
      <c r="I359" s="799"/>
      <c r="J359" s="799"/>
      <c r="K359" s="799"/>
      <c r="L359" s="799"/>
      <c r="M359" s="799"/>
      <c r="N359" s="799"/>
      <c r="O359" s="799"/>
      <c r="P359" s="799"/>
      <c r="Q359" s="799"/>
      <c r="R359" s="799"/>
      <c r="S359" s="799"/>
      <c r="T359" s="799"/>
      <c r="U359" s="799"/>
      <c r="V359" s="799"/>
      <c r="W359" s="799"/>
      <c r="X359" s="799"/>
      <c r="Y359" s="799"/>
      <c r="Z359" s="799"/>
      <c r="AA359" s="799"/>
      <c r="AB359" s="799"/>
      <c r="AC359" s="799"/>
      <c r="AD359" s="799"/>
      <c r="AE359" s="799"/>
      <c r="AF359" s="799"/>
      <c r="AG359" s="799"/>
      <c r="AH359" s="799"/>
      <c r="AI359" s="799"/>
      <c r="AJ359" s="799"/>
      <c r="AK359" s="799"/>
      <c r="AL359" s="799"/>
      <c r="AM359" s="799"/>
      <c r="AN359" s="799"/>
      <c r="AO359" s="799"/>
      <c r="AP359" s="799"/>
      <c r="AQ359" s="799"/>
      <c r="AR359" s="799"/>
      <c r="AS359" s="799"/>
      <c r="AT359" s="799"/>
      <c r="AU359" s="799"/>
      <c r="AV359" s="799"/>
      <c r="AW359" s="799"/>
      <c r="AX359" s="799"/>
      <c r="AY359" s="799"/>
      <c r="AZ359" s="799"/>
      <c r="BA359" s="799"/>
      <c r="BB359" s="799"/>
      <c r="BC359" s="799"/>
      <c r="BD359" s="799"/>
      <c r="BE359" s="799"/>
      <c r="BF359" s="799"/>
      <c r="BG359" s="799"/>
    </row>
    <row r="360">
      <c r="H360" s="799"/>
      <c r="I360" s="799"/>
      <c r="J360" s="799"/>
      <c r="K360" s="799"/>
      <c r="L360" s="799"/>
      <c r="M360" s="799"/>
      <c r="N360" s="799"/>
      <c r="O360" s="799"/>
      <c r="P360" s="799"/>
      <c r="Q360" s="799"/>
      <c r="R360" s="799"/>
      <c r="S360" s="799"/>
      <c r="T360" s="799"/>
      <c r="U360" s="799"/>
      <c r="V360" s="799"/>
      <c r="W360" s="799"/>
      <c r="X360" s="799"/>
      <c r="Y360" s="799"/>
      <c r="Z360" s="799"/>
      <c r="AA360" s="799"/>
      <c r="AB360" s="799"/>
      <c r="AC360" s="799"/>
      <c r="AD360" s="799"/>
      <c r="AE360" s="799"/>
      <c r="AF360" s="799"/>
      <c r="AG360" s="799"/>
      <c r="AH360" s="799"/>
      <c r="AI360" s="799"/>
      <c r="AJ360" s="799"/>
      <c r="AK360" s="799"/>
      <c r="AL360" s="799"/>
      <c r="AM360" s="799"/>
      <c r="AN360" s="799"/>
      <c r="AO360" s="799"/>
      <c r="AP360" s="799"/>
      <c r="AQ360" s="799"/>
      <c r="AR360" s="799"/>
      <c r="AS360" s="799"/>
      <c r="AT360" s="799"/>
      <c r="AU360" s="799"/>
      <c r="AV360" s="799"/>
      <c r="AW360" s="799"/>
      <c r="AX360" s="799"/>
      <c r="AY360" s="799"/>
      <c r="AZ360" s="799"/>
      <c r="BA360" s="799"/>
      <c r="BB360" s="799"/>
      <c r="BC360" s="799"/>
      <c r="BD360" s="799"/>
      <c r="BE360" s="799"/>
      <c r="BF360" s="799"/>
      <c r="BG360" s="799"/>
    </row>
    <row r="361">
      <c r="H361" s="799"/>
      <c r="I361" s="799"/>
      <c r="J361" s="799"/>
      <c r="K361" s="799"/>
      <c r="L361" s="799"/>
      <c r="M361" s="799"/>
      <c r="N361" s="799"/>
      <c r="O361" s="799"/>
      <c r="P361" s="799"/>
      <c r="Q361" s="799"/>
      <c r="R361" s="799"/>
      <c r="S361" s="799"/>
      <c r="T361" s="799"/>
      <c r="U361" s="799"/>
      <c r="V361" s="799"/>
      <c r="W361" s="799"/>
      <c r="X361" s="799"/>
      <c r="Y361" s="799"/>
      <c r="Z361" s="799"/>
      <c r="AA361" s="799"/>
      <c r="AB361" s="799"/>
      <c r="AC361" s="799"/>
      <c r="AD361" s="799"/>
      <c r="AE361" s="799"/>
      <c r="AF361" s="799"/>
      <c r="AG361" s="799"/>
      <c r="AH361" s="799"/>
      <c r="AI361" s="799"/>
      <c r="AJ361" s="799"/>
      <c r="AK361" s="799"/>
      <c r="AL361" s="799"/>
      <c r="AM361" s="799"/>
      <c r="AN361" s="799"/>
      <c r="AO361" s="799"/>
      <c r="AP361" s="799"/>
      <c r="AQ361" s="799"/>
      <c r="AR361" s="799"/>
      <c r="AS361" s="799"/>
      <c r="AT361" s="799"/>
      <c r="AU361" s="799"/>
      <c r="AV361" s="799"/>
      <c r="AW361" s="799"/>
      <c r="AX361" s="799"/>
      <c r="AY361" s="799"/>
      <c r="AZ361" s="799"/>
      <c r="BA361" s="799"/>
      <c r="BB361" s="799"/>
      <c r="BC361" s="799"/>
      <c r="BD361" s="799"/>
      <c r="BE361" s="799"/>
      <c r="BF361" s="799"/>
      <c r="BG361" s="799"/>
    </row>
    <row r="362">
      <c r="H362" s="799"/>
      <c r="I362" s="799"/>
      <c r="J362" s="799"/>
      <c r="K362" s="799"/>
      <c r="L362" s="799"/>
      <c r="M362" s="799"/>
      <c r="N362" s="799"/>
      <c r="O362" s="799"/>
      <c r="P362" s="799"/>
      <c r="Q362" s="799"/>
      <c r="R362" s="799"/>
      <c r="S362" s="799"/>
      <c r="T362" s="799"/>
      <c r="U362" s="799"/>
      <c r="V362" s="799"/>
      <c r="W362" s="799"/>
      <c r="X362" s="799"/>
      <c r="Y362" s="799"/>
      <c r="Z362" s="799"/>
      <c r="AA362" s="799"/>
      <c r="AB362" s="799"/>
      <c r="AC362" s="799"/>
      <c r="AD362" s="799"/>
      <c r="AE362" s="799"/>
      <c r="AF362" s="799"/>
      <c r="AG362" s="799"/>
      <c r="AH362" s="799"/>
      <c r="AI362" s="799"/>
      <c r="AJ362" s="799"/>
      <c r="AK362" s="799"/>
      <c r="AL362" s="799"/>
      <c r="AM362" s="799"/>
      <c r="AN362" s="799"/>
      <c r="AO362" s="799"/>
      <c r="AP362" s="799"/>
      <c r="AQ362" s="799"/>
      <c r="AR362" s="799"/>
      <c r="AS362" s="799"/>
      <c r="AT362" s="799"/>
      <c r="AU362" s="799"/>
      <c r="AV362" s="799"/>
      <c r="AW362" s="799"/>
      <c r="AX362" s="799"/>
      <c r="AY362" s="799"/>
      <c r="AZ362" s="799"/>
      <c r="BA362" s="799"/>
      <c r="BB362" s="799"/>
      <c r="BC362" s="799"/>
      <c r="BD362" s="799"/>
      <c r="BE362" s="799"/>
      <c r="BF362" s="799"/>
      <c r="BG362" s="799"/>
    </row>
    <row r="363">
      <c r="H363" s="799"/>
      <c r="I363" s="799"/>
      <c r="J363" s="799"/>
      <c r="K363" s="799"/>
      <c r="L363" s="799"/>
      <c r="M363" s="799"/>
      <c r="N363" s="799"/>
      <c r="O363" s="799"/>
      <c r="P363" s="799"/>
      <c r="Q363" s="799"/>
      <c r="R363" s="799"/>
      <c r="S363" s="799"/>
      <c r="T363" s="799"/>
      <c r="U363" s="799"/>
      <c r="V363" s="799"/>
      <c r="W363" s="799"/>
      <c r="X363" s="799"/>
      <c r="Y363" s="799"/>
      <c r="Z363" s="799"/>
      <c r="AA363" s="799"/>
      <c r="AB363" s="799"/>
      <c r="AC363" s="799"/>
      <c r="AD363" s="799"/>
      <c r="AE363" s="799"/>
      <c r="AF363" s="799"/>
      <c r="AG363" s="799"/>
      <c r="AH363" s="799"/>
      <c r="AI363" s="799"/>
      <c r="AJ363" s="799"/>
      <c r="AK363" s="799"/>
      <c r="AL363" s="799"/>
      <c r="AM363" s="799"/>
      <c r="AN363" s="799"/>
      <c r="AO363" s="799"/>
      <c r="AP363" s="799"/>
      <c r="AQ363" s="799"/>
      <c r="AR363" s="799"/>
      <c r="AS363" s="799"/>
      <c r="AT363" s="799"/>
      <c r="AU363" s="799"/>
      <c r="AV363" s="799"/>
      <c r="AW363" s="799"/>
      <c r="AX363" s="799"/>
      <c r="AY363" s="799"/>
      <c r="AZ363" s="799"/>
      <c r="BA363" s="799"/>
      <c r="BB363" s="799"/>
      <c r="BC363" s="799"/>
      <c r="BD363" s="799"/>
      <c r="BE363" s="799"/>
      <c r="BF363" s="799"/>
      <c r="BG363" s="799"/>
    </row>
    <row r="364">
      <c r="H364" s="799"/>
      <c r="I364" s="799"/>
      <c r="J364" s="799"/>
      <c r="K364" s="799"/>
      <c r="L364" s="799"/>
      <c r="M364" s="799"/>
      <c r="N364" s="799"/>
      <c r="O364" s="799"/>
      <c r="P364" s="799"/>
      <c r="Q364" s="799"/>
      <c r="R364" s="799"/>
      <c r="S364" s="799"/>
      <c r="T364" s="799"/>
      <c r="U364" s="799"/>
      <c r="V364" s="799"/>
      <c r="W364" s="799"/>
      <c r="X364" s="799"/>
      <c r="Y364" s="799"/>
      <c r="Z364" s="799"/>
      <c r="AA364" s="799"/>
      <c r="AB364" s="799"/>
      <c r="AC364" s="799"/>
      <c r="AD364" s="799"/>
      <c r="AE364" s="799"/>
      <c r="AF364" s="799"/>
      <c r="AG364" s="799"/>
      <c r="AH364" s="799"/>
      <c r="AI364" s="799"/>
      <c r="AJ364" s="799"/>
      <c r="AK364" s="799"/>
      <c r="AL364" s="799"/>
      <c r="AM364" s="799"/>
      <c r="AN364" s="799"/>
      <c r="AO364" s="799"/>
      <c r="AP364" s="799"/>
      <c r="AQ364" s="799"/>
      <c r="AR364" s="799"/>
      <c r="AS364" s="799"/>
      <c r="AT364" s="799"/>
      <c r="AU364" s="799"/>
      <c r="AV364" s="799"/>
      <c r="AW364" s="799"/>
      <c r="AX364" s="799"/>
      <c r="AY364" s="799"/>
      <c r="AZ364" s="799"/>
      <c r="BA364" s="799"/>
      <c r="BB364" s="799"/>
      <c r="BC364" s="799"/>
      <c r="BD364" s="799"/>
      <c r="BE364" s="799"/>
      <c r="BF364" s="799"/>
      <c r="BG364" s="799"/>
    </row>
    <row r="365">
      <c r="H365" s="799"/>
      <c r="I365" s="799"/>
      <c r="J365" s="799"/>
      <c r="K365" s="799"/>
      <c r="L365" s="799"/>
      <c r="M365" s="799"/>
      <c r="N365" s="799"/>
      <c r="O365" s="799"/>
      <c r="P365" s="799"/>
      <c r="Q365" s="799"/>
      <c r="R365" s="799"/>
      <c r="S365" s="799"/>
      <c r="T365" s="799"/>
      <c r="U365" s="799"/>
      <c r="V365" s="799"/>
      <c r="W365" s="799"/>
      <c r="X365" s="799"/>
      <c r="Y365" s="799"/>
      <c r="Z365" s="799"/>
      <c r="AA365" s="799"/>
      <c r="AB365" s="799"/>
      <c r="AC365" s="799"/>
      <c r="AD365" s="799"/>
      <c r="AE365" s="799"/>
      <c r="AF365" s="799"/>
      <c r="AG365" s="799"/>
      <c r="AH365" s="799"/>
      <c r="AI365" s="799"/>
      <c r="AJ365" s="799"/>
      <c r="AK365" s="799"/>
      <c r="AL365" s="799"/>
      <c r="AM365" s="799"/>
      <c r="AN365" s="799"/>
      <c r="AO365" s="799"/>
      <c r="AP365" s="799"/>
      <c r="AQ365" s="799"/>
      <c r="AR365" s="799"/>
      <c r="AS365" s="799"/>
      <c r="AT365" s="799"/>
      <c r="AU365" s="799"/>
      <c r="AV365" s="799"/>
      <c r="AW365" s="799"/>
      <c r="AX365" s="799"/>
      <c r="AY365" s="799"/>
      <c r="AZ365" s="799"/>
      <c r="BA365" s="799"/>
      <c r="BB365" s="799"/>
      <c r="BC365" s="799"/>
      <c r="BD365" s="799"/>
      <c r="BE365" s="799"/>
      <c r="BF365" s="799"/>
      <c r="BG365" s="799"/>
    </row>
    <row r="366">
      <c r="H366" s="799"/>
      <c r="I366" s="799"/>
      <c r="J366" s="799"/>
      <c r="K366" s="799"/>
      <c r="L366" s="799"/>
      <c r="M366" s="799"/>
      <c r="N366" s="799"/>
      <c r="O366" s="799"/>
      <c r="P366" s="799"/>
      <c r="Q366" s="799"/>
      <c r="R366" s="799"/>
      <c r="S366" s="799"/>
      <c r="T366" s="799"/>
      <c r="U366" s="799"/>
      <c r="V366" s="799"/>
      <c r="W366" s="799"/>
      <c r="X366" s="799"/>
      <c r="Y366" s="799"/>
      <c r="Z366" s="799"/>
      <c r="AA366" s="799"/>
      <c r="AB366" s="799"/>
      <c r="AC366" s="799"/>
      <c r="AD366" s="799"/>
      <c r="AE366" s="799"/>
      <c r="AF366" s="799"/>
      <c r="AG366" s="799"/>
      <c r="AH366" s="799"/>
      <c r="AI366" s="799"/>
      <c r="AJ366" s="799"/>
      <c r="AK366" s="799"/>
      <c r="AL366" s="799"/>
      <c r="AM366" s="799"/>
      <c r="AN366" s="799"/>
      <c r="AO366" s="799"/>
      <c r="AP366" s="799"/>
      <c r="AQ366" s="799"/>
      <c r="AR366" s="799"/>
      <c r="AS366" s="799"/>
      <c r="AT366" s="799"/>
      <c r="AU366" s="799"/>
      <c r="AV366" s="799"/>
      <c r="AW366" s="799"/>
      <c r="AX366" s="799"/>
      <c r="AY366" s="799"/>
      <c r="AZ366" s="799"/>
      <c r="BA366" s="799"/>
      <c r="BB366" s="799"/>
      <c r="BC366" s="799"/>
      <c r="BD366" s="799"/>
      <c r="BE366" s="799"/>
      <c r="BF366" s="799"/>
      <c r="BG366" s="799"/>
    </row>
    <row r="367">
      <c r="H367" s="799"/>
      <c r="I367" s="799"/>
      <c r="J367" s="799"/>
      <c r="K367" s="799"/>
      <c r="L367" s="799"/>
      <c r="M367" s="799"/>
      <c r="N367" s="799"/>
      <c r="O367" s="799"/>
      <c r="P367" s="799"/>
      <c r="Q367" s="799"/>
      <c r="R367" s="799"/>
      <c r="S367" s="799"/>
      <c r="T367" s="799"/>
      <c r="U367" s="799"/>
      <c r="V367" s="799"/>
      <c r="W367" s="799"/>
      <c r="X367" s="799"/>
      <c r="Y367" s="799"/>
      <c r="Z367" s="799"/>
      <c r="AA367" s="799"/>
      <c r="AB367" s="799"/>
      <c r="AC367" s="799"/>
      <c r="AD367" s="799"/>
      <c r="AE367" s="799"/>
      <c r="AF367" s="799"/>
      <c r="AG367" s="799"/>
      <c r="AH367" s="799"/>
      <c r="AI367" s="799"/>
      <c r="AJ367" s="799"/>
      <c r="AK367" s="799"/>
      <c r="AL367" s="799"/>
      <c r="AM367" s="799"/>
      <c r="AN367" s="799"/>
      <c r="AO367" s="799"/>
      <c r="AP367" s="799"/>
      <c r="AQ367" s="799"/>
      <c r="AR367" s="799"/>
      <c r="AS367" s="799"/>
      <c r="AT367" s="799"/>
      <c r="AU367" s="799"/>
      <c r="AV367" s="799"/>
      <c r="AW367" s="799"/>
      <c r="AX367" s="799"/>
      <c r="AY367" s="799"/>
      <c r="AZ367" s="799"/>
      <c r="BA367" s="799"/>
      <c r="BB367" s="799"/>
      <c r="BC367" s="799"/>
      <c r="BD367" s="799"/>
      <c r="BE367" s="799"/>
      <c r="BF367" s="799"/>
      <c r="BG367" s="799"/>
    </row>
    <row r="368">
      <c r="H368" s="799"/>
      <c r="I368" s="799"/>
      <c r="J368" s="799"/>
      <c r="K368" s="799"/>
      <c r="L368" s="799"/>
      <c r="M368" s="799"/>
      <c r="N368" s="799"/>
      <c r="O368" s="799"/>
      <c r="P368" s="799"/>
      <c r="Q368" s="799"/>
      <c r="R368" s="799"/>
      <c r="S368" s="799"/>
      <c r="T368" s="799"/>
      <c r="U368" s="799"/>
      <c r="V368" s="799"/>
      <c r="W368" s="799"/>
      <c r="X368" s="799"/>
      <c r="Y368" s="799"/>
      <c r="Z368" s="799"/>
      <c r="AA368" s="799"/>
      <c r="AB368" s="799"/>
      <c r="AC368" s="799"/>
      <c r="AD368" s="799"/>
      <c r="AE368" s="799"/>
      <c r="AF368" s="799"/>
      <c r="AG368" s="799"/>
      <c r="AH368" s="799"/>
      <c r="AI368" s="799"/>
      <c r="AJ368" s="799"/>
      <c r="AK368" s="799"/>
      <c r="AL368" s="799"/>
      <c r="AM368" s="799"/>
      <c r="AN368" s="799"/>
      <c r="AO368" s="799"/>
      <c r="AP368" s="799"/>
      <c r="AQ368" s="799"/>
      <c r="AR368" s="799"/>
      <c r="AS368" s="799"/>
      <c r="AT368" s="799"/>
      <c r="AU368" s="799"/>
      <c r="AV368" s="799"/>
      <c r="AW368" s="799"/>
      <c r="AX368" s="799"/>
      <c r="AY368" s="799"/>
      <c r="AZ368" s="799"/>
      <c r="BA368" s="799"/>
      <c r="BB368" s="799"/>
      <c r="BC368" s="799"/>
      <c r="BD368" s="799"/>
      <c r="BE368" s="799"/>
      <c r="BF368" s="799"/>
      <c r="BG368" s="799"/>
    </row>
    <row r="369">
      <c r="H369" s="799"/>
      <c r="I369" s="799"/>
      <c r="J369" s="799"/>
      <c r="K369" s="799"/>
      <c r="L369" s="799"/>
      <c r="M369" s="799"/>
      <c r="N369" s="799"/>
      <c r="O369" s="799"/>
      <c r="P369" s="799"/>
      <c r="Q369" s="799"/>
      <c r="R369" s="799"/>
      <c r="S369" s="799"/>
      <c r="T369" s="799"/>
      <c r="U369" s="799"/>
      <c r="V369" s="799"/>
      <c r="W369" s="799"/>
      <c r="X369" s="799"/>
      <c r="Y369" s="799"/>
      <c r="Z369" s="799"/>
      <c r="AA369" s="799"/>
      <c r="AB369" s="799"/>
      <c r="AC369" s="799"/>
      <c r="AD369" s="799"/>
      <c r="AE369" s="799"/>
      <c r="AF369" s="799"/>
      <c r="AG369" s="799"/>
      <c r="AH369" s="799"/>
      <c r="AI369" s="799"/>
      <c r="AJ369" s="799"/>
      <c r="AK369" s="799"/>
      <c r="AL369" s="799"/>
      <c r="AM369" s="799"/>
      <c r="AN369" s="799"/>
      <c r="AO369" s="799"/>
      <c r="AP369" s="799"/>
      <c r="AQ369" s="799"/>
      <c r="AR369" s="799"/>
      <c r="AS369" s="799"/>
      <c r="AT369" s="799"/>
      <c r="AU369" s="799"/>
      <c r="AV369" s="799"/>
      <c r="AW369" s="799"/>
      <c r="AX369" s="799"/>
      <c r="AY369" s="799"/>
      <c r="AZ369" s="799"/>
      <c r="BA369" s="799"/>
      <c r="BB369" s="799"/>
      <c r="BC369" s="799"/>
      <c r="BD369" s="799"/>
      <c r="BE369" s="799"/>
      <c r="BF369" s="799"/>
      <c r="BG369" s="799"/>
    </row>
    <row r="370">
      <c r="H370" s="799"/>
      <c r="I370" s="799"/>
      <c r="J370" s="799"/>
      <c r="K370" s="799"/>
      <c r="L370" s="799"/>
      <c r="M370" s="799"/>
      <c r="N370" s="799"/>
      <c r="O370" s="799"/>
      <c r="P370" s="799"/>
      <c r="Q370" s="799"/>
      <c r="R370" s="799"/>
      <c r="S370" s="799"/>
      <c r="T370" s="799"/>
      <c r="U370" s="799"/>
      <c r="V370" s="799"/>
      <c r="W370" s="799"/>
      <c r="X370" s="799"/>
      <c r="Y370" s="799"/>
      <c r="Z370" s="799"/>
      <c r="AA370" s="799"/>
      <c r="AB370" s="799"/>
      <c r="AC370" s="799"/>
      <c r="AD370" s="799"/>
      <c r="AE370" s="799"/>
      <c r="AF370" s="799"/>
      <c r="AG370" s="799"/>
      <c r="AH370" s="799"/>
      <c r="AI370" s="799"/>
      <c r="AJ370" s="799"/>
      <c r="AK370" s="799"/>
      <c r="AL370" s="799"/>
      <c r="AM370" s="799"/>
      <c r="AN370" s="799"/>
      <c r="AO370" s="799"/>
      <c r="AP370" s="799"/>
      <c r="AQ370" s="799"/>
      <c r="AR370" s="799"/>
      <c r="AS370" s="799"/>
      <c r="AT370" s="799"/>
      <c r="AU370" s="799"/>
      <c r="AV370" s="799"/>
      <c r="AW370" s="799"/>
      <c r="AX370" s="799"/>
      <c r="AY370" s="799"/>
      <c r="AZ370" s="799"/>
      <c r="BA370" s="799"/>
      <c r="BB370" s="799"/>
      <c r="BC370" s="799"/>
      <c r="BD370" s="799"/>
      <c r="BE370" s="799"/>
      <c r="BF370" s="799"/>
      <c r="BG370" s="799"/>
    </row>
    <row r="371">
      <c r="H371" s="799"/>
      <c r="I371" s="799"/>
      <c r="J371" s="799"/>
      <c r="K371" s="799"/>
      <c r="L371" s="799"/>
      <c r="M371" s="799"/>
      <c r="N371" s="799"/>
      <c r="O371" s="799"/>
      <c r="P371" s="799"/>
      <c r="Q371" s="799"/>
      <c r="R371" s="799"/>
      <c r="S371" s="799"/>
      <c r="T371" s="799"/>
      <c r="U371" s="799"/>
      <c r="V371" s="799"/>
      <c r="W371" s="799"/>
      <c r="X371" s="799"/>
      <c r="Y371" s="799"/>
      <c r="Z371" s="799"/>
      <c r="AA371" s="799"/>
      <c r="AB371" s="799"/>
      <c r="AC371" s="799"/>
      <c r="AD371" s="799"/>
      <c r="AE371" s="799"/>
      <c r="AF371" s="799"/>
      <c r="AG371" s="799"/>
      <c r="AH371" s="799"/>
      <c r="AI371" s="799"/>
      <c r="AJ371" s="799"/>
      <c r="AK371" s="799"/>
      <c r="AL371" s="799"/>
      <c r="AM371" s="799"/>
      <c r="AN371" s="799"/>
      <c r="AO371" s="799"/>
      <c r="AP371" s="799"/>
      <c r="AQ371" s="799"/>
      <c r="AR371" s="799"/>
      <c r="AS371" s="799"/>
      <c r="AT371" s="799"/>
      <c r="AU371" s="799"/>
      <c r="AV371" s="799"/>
      <c r="AW371" s="799"/>
      <c r="AX371" s="799"/>
      <c r="AY371" s="799"/>
      <c r="AZ371" s="799"/>
      <c r="BA371" s="799"/>
      <c r="BB371" s="799"/>
      <c r="BC371" s="799"/>
      <c r="BD371" s="799"/>
      <c r="BE371" s="799"/>
      <c r="BF371" s="799"/>
      <c r="BG371" s="799"/>
    </row>
    <row r="372">
      <c r="H372" s="799"/>
      <c r="I372" s="799"/>
      <c r="J372" s="799"/>
      <c r="K372" s="799"/>
      <c r="L372" s="799"/>
      <c r="M372" s="799"/>
      <c r="N372" s="799"/>
      <c r="O372" s="799"/>
      <c r="P372" s="799"/>
      <c r="Q372" s="799"/>
      <c r="R372" s="799"/>
      <c r="S372" s="799"/>
      <c r="T372" s="799"/>
      <c r="U372" s="799"/>
      <c r="V372" s="799"/>
      <c r="W372" s="799"/>
      <c r="X372" s="799"/>
      <c r="Y372" s="799"/>
      <c r="Z372" s="799"/>
      <c r="AA372" s="799"/>
      <c r="AB372" s="799"/>
      <c r="AC372" s="799"/>
      <c r="AD372" s="799"/>
      <c r="AE372" s="799"/>
      <c r="AF372" s="799"/>
      <c r="AG372" s="799"/>
      <c r="AH372" s="799"/>
      <c r="AI372" s="799"/>
      <c r="AJ372" s="799"/>
      <c r="AK372" s="799"/>
      <c r="AL372" s="799"/>
      <c r="AM372" s="799"/>
      <c r="AN372" s="799"/>
      <c r="AO372" s="799"/>
      <c r="AP372" s="799"/>
      <c r="AQ372" s="799"/>
      <c r="AR372" s="799"/>
      <c r="AS372" s="799"/>
      <c r="AT372" s="799"/>
      <c r="AU372" s="799"/>
      <c r="AV372" s="799"/>
      <c r="AW372" s="799"/>
      <c r="AX372" s="799"/>
      <c r="AY372" s="799"/>
      <c r="AZ372" s="799"/>
      <c r="BA372" s="799"/>
      <c r="BB372" s="799"/>
      <c r="BC372" s="799"/>
      <c r="BD372" s="799"/>
      <c r="BE372" s="799"/>
      <c r="BF372" s="799"/>
      <c r="BG372" s="799"/>
    </row>
    <row r="373">
      <c r="H373" s="799"/>
      <c r="I373" s="799"/>
      <c r="J373" s="799"/>
      <c r="K373" s="799"/>
      <c r="L373" s="799"/>
      <c r="M373" s="799"/>
      <c r="N373" s="799"/>
      <c r="O373" s="799"/>
      <c r="P373" s="799"/>
      <c r="Q373" s="799"/>
      <c r="R373" s="799"/>
      <c r="S373" s="799"/>
      <c r="T373" s="799"/>
      <c r="U373" s="799"/>
      <c r="V373" s="799"/>
      <c r="W373" s="799"/>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799"/>
      <c r="AX373" s="799"/>
      <c r="AY373" s="799"/>
      <c r="AZ373" s="799"/>
      <c r="BA373" s="799"/>
      <c r="BB373" s="799"/>
      <c r="BC373" s="799"/>
      <c r="BD373" s="799"/>
      <c r="BE373" s="799"/>
      <c r="BF373" s="799"/>
      <c r="BG373" s="799"/>
    </row>
    <row r="374">
      <c r="H374" s="799"/>
      <c r="I374" s="799"/>
      <c r="J374" s="799"/>
      <c r="K374" s="799"/>
      <c r="L374" s="799"/>
      <c r="M374" s="799"/>
      <c r="N374" s="799"/>
      <c r="O374" s="799"/>
      <c r="P374" s="799"/>
      <c r="Q374" s="799"/>
      <c r="R374" s="799"/>
      <c r="S374" s="799"/>
      <c r="T374" s="799"/>
      <c r="U374" s="799"/>
      <c r="V374" s="799"/>
      <c r="W374" s="799"/>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799"/>
      <c r="AX374" s="799"/>
      <c r="AY374" s="799"/>
      <c r="AZ374" s="799"/>
      <c r="BA374" s="799"/>
      <c r="BB374" s="799"/>
      <c r="BC374" s="799"/>
      <c r="BD374" s="799"/>
      <c r="BE374" s="799"/>
      <c r="BF374" s="799"/>
      <c r="BG374" s="799"/>
    </row>
    <row r="375">
      <c r="H375" s="799"/>
      <c r="I375" s="799"/>
      <c r="J375" s="799"/>
      <c r="K375" s="799"/>
      <c r="L375" s="799"/>
      <c r="M375" s="799"/>
      <c r="N375" s="799"/>
      <c r="O375" s="799"/>
      <c r="P375" s="799"/>
      <c r="Q375" s="799"/>
      <c r="R375" s="799"/>
      <c r="S375" s="799"/>
      <c r="T375" s="799"/>
      <c r="U375" s="799"/>
      <c r="V375" s="799"/>
      <c r="W375" s="799"/>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799"/>
      <c r="AX375" s="799"/>
      <c r="AY375" s="799"/>
      <c r="AZ375" s="799"/>
      <c r="BA375" s="799"/>
      <c r="BB375" s="799"/>
      <c r="BC375" s="799"/>
      <c r="BD375" s="799"/>
      <c r="BE375" s="799"/>
      <c r="BF375" s="799"/>
      <c r="BG375" s="799"/>
    </row>
    <row r="376">
      <c r="H376" s="799"/>
      <c r="I376" s="799"/>
      <c r="J376" s="799"/>
      <c r="K376" s="799"/>
      <c r="L376" s="799"/>
      <c r="M376" s="799"/>
      <c r="N376" s="799"/>
      <c r="O376" s="799"/>
      <c r="P376" s="799"/>
      <c r="Q376" s="799"/>
      <c r="R376" s="799"/>
      <c r="S376" s="799"/>
      <c r="T376" s="799"/>
      <c r="U376" s="799"/>
      <c r="V376" s="799"/>
      <c r="W376" s="799"/>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799"/>
      <c r="AX376" s="799"/>
      <c r="AY376" s="799"/>
      <c r="AZ376" s="799"/>
      <c r="BA376" s="799"/>
      <c r="BB376" s="799"/>
      <c r="BC376" s="799"/>
      <c r="BD376" s="799"/>
      <c r="BE376" s="799"/>
      <c r="BF376" s="799"/>
      <c r="BG376" s="799"/>
    </row>
    <row r="377">
      <c r="H377" s="799"/>
      <c r="I377" s="799"/>
      <c r="J377" s="799"/>
      <c r="K377" s="799"/>
      <c r="L377" s="799"/>
      <c r="M377" s="799"/>
      <c r="N377" s="799"/>
      <c r="O377" s="799"/>
      <c r="P377" s="799"/>
      <c r="Q377" s="799"/>
      <c r="R377" s="799"/>
      <c r="S377" s="799"/>
      <c r="T377" s="799"/>
      <c r="U377" s="799"/>
      <c r="V377" s="799"/>
      <c r="W377" s="799"/>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799"/>
      <c r="AX377" s="799"/>
      <c r="AY377" s="799"/>
      <c r="AZ377" s="799"/>
      <c r="BA377" s="799"/>
      <c r="BB377" s="799"/>
      <c r="BC377" s="799"/>
      <c r="BD377" s="799"/>
      <c r="BE377" s="799"/>
      <c r="BF377" s="799"/>
      <c r="BG377" s="799"/>
    </row>
    <row r="378">
      <c r="H378" s="799"/>
      <c r="I378" s="799"/>
      <c r="J378" s="799"/>
      <c r="K378" s="799"/>
      <c r="L378" s="799"/>
      <c r="M378" s="799"/>
      <c r="N378" s="799"/>
      <c r="O378" s="799"/>
      <c r="P378" s="799"/>
      <c r="Q378" s="799"/>
      <c r="R378" s="799"/>
      <c r="S378" s="799"/>
      <c r="T378" s="799"/>
      <c r="U378" s="799"/>
      <c r="V378" s="799"/>
      <c r="W378" s="799"/>
      <c r="X378" s="799"/>
      <c r="Y378" s="799"/>
      <c r="Z378" s="799"/>
      <c r="AA378" s="799"/>
      <c r="AB378" s="799"/>
      <c r="AC378" s="799"/>
      <c r="AD378" s="799"/>
      <c r="AE378" s="799"/>
      <c r="AF378" s="799"/>
      <c r="AG378" s="799"/>
      <c r="AH378" s="799"/>
      <c r="AI378" s="799"/>
      <c r="AJ378" s="799"/>
      <c r="AK378" s="799"/>
      <c r="AL378" s="799"/>
      <c r="AM378" s="799"/>
      <c r="AN378" s="799"/>
      <c r="AO378" s="799"/>
      <c r="AP378" s="799"/>
      <c r="AQ378" s="799"/>
      <c r="AR378" s="799"/>
      <c r="AS378" s="799"/>
      <c r="AT378" s="799"/>
      <c r="AU378" s="799"/>
      <c r="AV378" s="799"/>
      <c r="AW378" s="799"/>
      <c r="AX378" s="799"/>
      <c r="AY378" s="799"/>
      <c r="AZ378" s="799"/>
      <c r="BA378" s="799"/>
      <c r="BB378" s="799"/>
      <c r="BC378" s="799"/>
      <c r="BD378" s="799"/>
      <c r="BE378" s="799"/>
      <c r="BF378" s="799"/>
      <c r="BG378" s="799"/>
    </row>
    <row r="379">
      <c r="H379" s="799"/>
      <c r="I379" s="799"/>
      <c r="J379" s="799"/>
      <c r="K379" s="799"/>
      <c r="L379" s="799"/>
      <c r="M379" s="799"/>
      <c r="N379" s="799"/>
      <c r="O379" s="799"/>
      <c r="P379" s="799"/>
      <c r="Q379" s="799"/>
      <c r="R379" s="799"/>
      <c r="S379" s="799"/>
      <c r="T379" s="799"/>
      <c r="U379" s="799"/>
      <c r="V379" s="799"/>
      <c r="W379" s="799"/>
      <c r="X379" s="799"/>
      <c r="Y379" s="799"/>
      <c r="Z379" s="799"/>
      <c r="AA379" s="799"/>
      <c r="AB379" s="799"/>
      <c r="AC379" s="799"/>
      <c r="AD379" s="799"/>
      <c r="AE379" s="799"/>
      <c r="AF379" s="799"/>
      <c r="AG379" s="799"/>
      <c r="AH379" s="799"/>
      <c r="AI379" s="799"/>
      <c r="AJ379" s="799"/>
      <c r="AK379" s="799"/>
      <c r="AL379" s="799"/>
      <c r="AM379" s="799"/>
      <c r="AN379" s="799"/>
      <c r="AO379" s="799"/>
      <c r="AP379" s="799"/>
      <c r="AQ379" s="799"/>
      <c r="AR379" s="799"/>
      <c r="AS379" s="799"/>
      <c r="AT379" s="799"/>
      <c r="AU379" s="799"/>
      <c r="AV379" s="799"/>
      <c r="AW379" s="799"/>
      <c r="AX379" s="799"/>
      <c r="AY379" s="799"/>
      <c r="AZ379" s="799"/>
      <c r="BA379" s="799"/>
      <c r="BB379" s="799"/>
      <c r="BC379" s="799"/>
      <c r="BD379" s="799"/>
      <c r="BE379" s="799"/>
      <c r="BF379" s="799"/>
      <c r="BG379" s="799"/>
    </row>
    <row r="380">
      <c r="H380" s="799"/>
      <c r="I380" s="799"/>
      <c r="J380" s="799"/>
      <c r="K380" s="799"/>
      <c r="L380" s="799"/>
      <c r="M380" s="799"/>
      <c r="N380" s="799"/>
      <c r="O380" s="799"/>
      <c r="P380" s="799"/>
      <c r="Q380" s="799"/>
      <c r="R380" s="799"/>
      <c r="S380" s="799"/>
      <c r="T380" s="799"/>
      <c r="U380" s="799"/>
      <c r="V380" s="799"/>
      <c r="W380" s="799"/>
      <c r="X380" s="799"/>
      <c r="Y380" s="799"/>
      <c r="Z380" s="799"/>
      <c r="AA380" s="799"/>
      <c r="AB380" s="799"/>
      <c r="AC380" s="799"/>
      <c r="AD380" s="799"/>
      <c r="AE380" s="799"/>
      <c r="AF380" s="799"/>
      <c r="AG380" s="799"/>
      <c r="AH380" s="799"/>
      <c r="AI380" s="799"/>
      <c r="AJ380" s="799"/>
      <c r="AK380" s="799"/>
      <c r="AL380" s="799"/>
      <c r="AM380" s="799"/>
      <c r="AN380" s="799"/>
      <c r="AO380" s="799"/>
      <c r="AP380" s="799"/>
      <c r="AQ380" s="799"/>
      <c r="AR380" s="799"/>
      <c r="AS380" s="799"/>
      <c r="AT380" s="799"/>
      <c r="AU380" s="799"/>
      <c r="AV380" s="799"/>
      <c r="AW380" s="799"/>
      <c r="AX380" s="799"/>
      <c r="AY380" s="799"/>
      <c r="AZ380" s="799"/>
      <c r="BA380" s="799"/>
      <c r="BB380" s="799"/>
      <c r="BC380" s="799"/>
      <c r="BD380" s="799"/>
      <c r="BE380" s="799"/>
      <c r="BF380" s="799"/>
      <c r="BG380" s="799"/>
    </row>
    <row r="381">
      <c r="H381" s="799"/>
      <c r="I381" s="799"/>
      <c r="J381" s="799"/>
      <c r="K381" s="799"/>
      <c r="L381" s="799"/>
      <c r="M381" s="799"/>
      <c r="N381" s="799"/>
      <c r="O381" s="799"/>
      <c r="P381" s="799"/>
      <c r="Q381" s="799"/>
      <c r="R381" s="799"/>
      <c r="S381" s="799"/>
      <c r="T381" s="799"/>
      <c r="U381" s="799"/>
      <c r="V381" s="799"/>
      <c r="W381" s="799"/>
      <c r="X381" s="799"/>
      <c r="Y381" s="799"/>
      <c r="Z381" s="799"/>
      <c r="AA381" s="799"/>
      <c r="AB381" s="799"/>
      <c r="AC381" s="799"/>
      <c r="AD381" s="799"/>
      <c r="AE381" s="799"/>
      <c r="AF381" s="799"/>
      <c r="AG381" s="799"/>
      <c r="AH381" s="799"/>
      <c r="AI381" s="799"/>
      <c r="AJ381" s="799"/>
      <c r="AK381" s="799"/>
      <c r="AL381" s="799"/>
      <c r="AM381" s="799"/>
      <c r="AN381" s="799"/>
      <c r="AO381" s="799"/>
      <c r="AP381" s="799"/>
      <c r="AQ381" s="799"/>
      <c r="AR381" s="799"/>
      <c r="AS381" s="799"/>
      <c r="AT381" s="799"/>
      <c r="AU381" s="799"/>
      <c r="AV381" s="799"/>
      <c r="AW381" s="799"/>
      <c r="AX381" s="799"/>
      <c r="AY381" s="799"/>
      <c r="AZ381" s="799"/>
      <c r="BA381" s="799"/>
      <c r="BB381" s="799"/>
      <c r="BC381" s="799"/>
      <c r="BD381" s="799"/>
      <c r="BE381" s="799"/>
      <c r="BF381" s="799"/>
      <c r="BG381" s="799"/>
    </row>
    <row r="382">
      <c r="H382" s="799"/>
      <c r="I382" s="799"/>
      <c r="J382" s="799"/>
      <c r="K382" s="799"/>
      <c r="L382" s="799"/>
      <c r="M382" s="799"/>
      <c r="N382" s="799"/>
      <c r="O382" s="799"/>
      <c r="P382" s="799"/>
      <c r="Q382" s="799"/>
      <c r="R382" s="799"/>
      <c r="S382" s="799"/>
      <c r="T382" s="799"/>
      <c r="U382" s="799"/>
      <c r="V382" s="799"/>
      <c r="W382" s="799"/>
      <c r="X382" s="799"/>
      <c r="Y382" s="799"/>
      <c r="Z382" s="799"/>
      <c r="AA382" s="799"/>
      <c r="AB382" s="799"/>
      <c r="AC382" s="799"/>
      <c r="AD382" s="799"/>
      <c r="AE382" s="799"/>
      <c r="AF382" s="799"/>
      <c r="AG382" s="799"/>
      <c r="AH382" s="799"/>
      <c r="AI382" s="799"/>
      <c r="AJ382" s="799"/>
      <c r="AK382" s="799"/>
      <c r="AL382" s="799"/>
      <c r="AM382" s="799"/>
      <c r="AN382" s="799"/>
      <c r="AO382" s="799"/>
      <c r="AP382" s="799"/>
      <c r="AQ382" s="799"/>
      <c r="AR382" s="799"/>
      <c r="AS382" s="799"/>
      <c r="AT382" s="799"/>
      <c r="AU382" s="799"/>
      <c r="AV382" s="799"/>
      <c r="AW382" s="799"/>
      <c r="AX382" s="799"/>
      <c r="AY382" s="799"/>
      <c r="AZ382" s="799"/>
      <c r="BA382" s="799"/>
      <c r="BB382" s="799"/>
      <c r="BC382" s="799"/>
      <c r="BD382" s="799"/>
      <c r="BE382" s="799"/>
      <c r="BF382" s="799"/>
      <c r="BG382" s="799"/>
    </row>
    <row r="383">
      <c r="H383" s="799"/>
      <c r="I383" s="799"/>
      <c r="J383" s="799"/>
      <c r="K383" s="799"/>
      <c r="L383" s="799"/>
      <c r="M383" s="799"/>
      <c r="N383" s="799"/>
      <c r="O383" s="799"/>
      <c r="P383" s="799"/>
      <c r="Q383" s="799"/>
      <c r="R383" s="799"/>
      <c r="S383" s="799"/>
      <c r="T383" s="799"/>
      <c r="U383" s="799"/>
      <c r="V383" s="799"/>
      <c r="W383" s="799"/>
      <c r="X383" s="799"/>
      <c r="Y383" s="799"/>
      <c r="Z383" s="799"/>
      <c r="AA383" s="799"/>
      <c r="AB383" s="799"/>
      <c r="AC383" s="799"/>
      <c r="AD383" s="799"/>
      <c r="AE383" s="799"/>
      <c r="AF383" s="799"/>
      <c r="AG383" s="799"/>
      <c r="AH383" s="799"/>
      <c r="AI383" s="799"/>
      <c r="AJ383" s="799"/>
      <c r="AK383" s="799"/>
      <c r="AL383" s="799"/>
      <c r="AM383" s="799"/>
      <c r="AN383" s="799"/>
      <c r="AO383" s="799"/>
      <c r="AP383" s="799"/>
      <c r="AQ383" s="799"/>
      <c r="AR383" s="799"/>
      <c r="AS383" s="799"/>
      <c r="AT383" s="799"/>
      <c r="AU383" s="799"/>
      <c r="AV383" s="799"/>
      <c r="AW383" s="799"/>
      <c r="AX383" s="799"/>
      <c r="AY383" s="799"/>
      <c r="AZ383" s="799"/>
      <c r="BA383" s="799"/>
      <c r="BB383" s="799"/>
      <c r="BC383" s="799"/>
      <c r="BD383" s="799"/>
      <c r="BE383" s="799"/>
      <c r="BF383" s="799"/>
      <c r="BG383" s="799"/>
    </row>
    <row r="384">
      <c r="H384" s="799"/>
      <c r="I384" s="799"/>
      <c r="J384" s="799"/>
      <c r="K384" s="799"/>
      <c r="L384" s="799"/>
      <c r="M384" s="799"/>
      <c r="N384" s="799"/>
      <c r="O384" s="799"/>
      <c r="P384" s="799"/>
      <c r="Q384" s="799"/>
      <c r="R384" s="799"/>
      <c r="S384" s="799"/>
      <c r="T384" s="799"/>
      <c r="U384" s="799"/>
      <c r="V384" s="799"/>
      <c r="W384" s="799"/>
      <c r="X384" s="799"/>
      <c r="Y384" s="799"/>
      <c r="Z384" s="799"/>
      <c r="AA384" s="799"/>
      <c r="AB384" s="799"/>
      <c r="AC384" s="799"/>
      <c r="AD384" s="799"/>
      <c r="AE384" s="799"/>
      <c r="AF384" s="799"/>
      <c r="AG384" s="799"/>
      <c r="AH384" s="799"/>
      <c r="AI384" s="799"/>
      <c r="AJ384" s="799"/>
      <c r="AK384" s="799"/>
      <c r="AL384" s="799"/>
      <c r="AM384" s="799"/>
      <c r="AN384" s="799"/>
      <c r="AO384" s="799"/>
      <c r="AP384" s="799"/>
      <c r="AQ384" s="799"/>
      <c r="AR384" s="799"/>
      <c r="AS384" s="799"/>
      <c r="AT384" s="799"/>
      <c r="AU384" s="799"/>
      <c r="AV384" s="799"/>
      <c r="AW384" s="799"/>
      <c r="AX384" s="799"/>
      <c r="AY384" s="799"/>
      <c r="AZ384" s="799"/>
      <c r="BA384" s="799"/>
      <c r="BB384" s="799"/>
      <c r="BC384" s="799"/>
      <c r="BD384" s="799"/>
      <c r="BE384" s="799"/>
      <c r="BF384" s="799"/>
      <c r="BG384" s="799"/>
    </row>
    <row r="385">
      <c r="H385" s="799"/>
      <c r="I385" s="799"/>
      <c r="J385" s="799"/>
      <c r="K385" s="799"/>
      <c r="L385" s="799"/>
      <c r="M385" s="799"/>
      <c r="N385" s="799"/>
      <c r="O385" s="799"/>
      <c r="P385" s="799"/>
      <c r="Q385" s="799"/>
      <c r="R385" s="799"/>
      <c r="S385" s="799"/>
      <c r="T385" s="799"/>
      <c r="U385" s="799"/>
      <c r="V385" s="799"/>
      <c r="W385" s="799"/>
      <c r="X385" s="799"/>
      <c r="Y385" s="799"/>
      <c r="Z385" s="799"/>
      <c r="AA385" s="799"/>
      <c r="AB385" s="799"/>
      <c r="AC385" s="799"/>
      <c r="AD385" s="799"/>
      <c r="AE385" s="799"/>
      <c r="AF385" s="799"/>
      <c r="AG385" s="799"/>
      <c r="AH385" s="799"/>
      <c r="AI385" s="799"/>
      <c r="AJ385" s="799"/>
      <c r="AK385" s="799"/>
      <c r="AL385" s="799"/>
      <c r="AM385" s="799"/>
      <c r="AN385" s="799"/>
      <c r="AO385" s="799"/>
      <c r="AP385" s="799"/>
      <c r="AQ385" s="799"/>
      <c r="AR385" s="799"/>
      <c r="AS385" s="799"/>
      <c r="AT385" s="799"/>
      <c r="AU385" s="799"/>
      <c r="AV385" s="799"/>
      <c r="AW385" s="799"/>
      <c r="AX385" s="799"/>
      <c r="AY385" s="799"/>
      <c r="AZ385" s="799"/>
      <c r="BA385" s="799"/>
      <c r="BB385" s="799"/>
      <c r="BC385" s="799"/>
      <c r="BD385" s="799"/>
      <c r="BE385" s="799"/>
      <c r="BF385" s="799"/>
      <c r="BG385" s="799"/>
    </row>
    <row r="386">
      <c r="H386" s="799"/>
      <c r="I386" s="799"/>
      <c r="J386" s="799"/>
      <c r="K386" s="799"/>
      <c r="L386" s="799"/>
      <c r="M386" s="799"/>
      <c r="N386" s="799"/>
      <c r="O386" s="799"/>
      <c r="P386" s="799"/>
      <c r="Q386" s="799"/>
      <c r="R386" s="799"/>
      <c r="S386" s="799"/>
      <c r="T386" s="799"/>
      <c r="U386" s="799"/>
      <c r="V386" s="799"/>
      <c r="W386" s="799"/>
      <c r="X386" s="799"/>
      <c r="Y386" s="799"/>
      <c r="Z386" s="799"/>
      <c r="AA386" s="799"/>
      <c r="AB386" s="799"/>
      <c r="AC386" s="799"/>
      <c r="AD386" s="799"/>
      <c r="AE386" s="799"/>
      <c r="AF386" s="799"/>
      <c r="AG386" s="799"/>
      <c r="AH386" s="799"/>
      <c r="AI386" s="799"/>
      <c r="AJ386" s="799"/>
      <c r="AK386" s="799"/>
      <c r="AL386" s="799"/>
      <c r="AM386" s="799"/>
      <c r="AN386" s="799"/>
      <c r="AO386" s="799"/>
      <c r="AP386" s="799"/>
      <c r="AQ386" s="799"/>
      <c r="AR386" s="799"/>
      <c r="AS386" s="799"/>
      <c r="AT386" s="799"/>
      <c r="AU386" s="799"/>
      <c r="AV386" s="799"/>
      <c r="AW386" s="799"/>
      <c r="AX386" s="799"/>
      <c r="AY386" s="799"/>
      <c r="AZ386" s="799"/>
      <c r="BA386" s="799"/>
      <c r="BB386" s="799"/>
      <c r="BC386" s="799"/>
      <c r="BD386" s="799"/>
      <c r="BE386" s="799"/>
      <c r="BF386" s="799"/>
      <c r="BG386" s="799"/>
    </row>
    <row r="387">
      <c r="H387" s="799"/>
      <c r="I387" s="799"/>
      <c r="J387" s="799"/>
      <c r="K387" s="799"/>
      <c r="L387" s="799"/>
      <c r="M387" s="799"/>
      <c r="N387" s="799"/>
      <c r="O387" s="799"/>
      <c r="P387" s="799"/>
      <c r="Q387" s="799"/>
      <c r="R387" s="799"/>
      <c r="S387" s="799"/>
      <c r="T387" s="799"/>
      <c r="U387" s="799"/>
      <c r="V387" s="799"/>
      <c r="W387" s="799"/>
      <c r="X387" s="799"/>
      <c r="Y387" s="799"/>
      <c r="Z387" s="799"/>
      <c r="AA387" s="799"/>
      <c r="AB387" s="799"/>
      <c r="AC387" s="799"/>
      <c r="AD387" s="799"/>
      <c r="AE387" s="799"/>
      <c r="AF387" s="799"/>
      <c r="AG387" s="799"/>
      <c r="AH387" s="799"/>
      <c r="AI387" s="799"/>
      <c r="AJ387" s="799"/>
      <c r="AK387" s="799"/>
      <c r="AL387" s="799"/>
      <c r="AM387" s="799"/>
      <c r="AN387" s="799"/>
      <c r="AO387" s="799"/>
      <c r="AP387" s="799"/>
      <c r="AQ387" s="799"/>
      <c r="AR387" s="799"/>
      <c r="AS387" s="799"/>
      <c r="AT387" s="799"/>
      <c r="AU387" s="799"/>
      <c r="AV387" s="799"/>
      <c r="AW387" s="799"/>
      <c r="AX387" s="799"/>
      <c r="AY387" s="799"/>
      <c r="AZ387" s="799"/>
      <c r="BA387" s="799"/>
      <c r="BB387" s="799"/>
      <c r="BC387" s="799"/>
      <c r="BD387" s="799"/>
      <c r="BE387" s="799"/>
      <c r="BF387" s="799"/>
      <c r="BG387" s="799"/>
    </row>
    <row r="388">
      <c r="H388" s="799"/>
      <c r="I388" s="799"/>
      <c r="J388" s="799"/>
      <c r="K388" s="799"/>
      <c r="L388" s="799"/>
      <c r="M388" s="799"/>
      <c r="N388" s="799"/>
      <c r="O388" s="799"/>
      <c r="P388" s="799"/>
      <c r="Q388" s="799"/>
      <c r="R388" s="799"/>
      <c r="S388" s="799"/>
      <c r="T388" s="799"/>
      <c r="U388" s="799"/>
      <c r="V388" s="799"/>
      <c r="W388" s="799"/>
      <c r="X388" s="799"/>
      <c r="Y388" s="799"/>
      <c r="Z388" s="799"/>
      <c r="AA388" s="799"/>
      <c r="AB388" s="799"/>
      <c r="AC388" s="799"/>
      <c r="AD388" s="799"/>
      <c r="AE388" s="799"/>
      <c r="AF388" s="799"/>
      <c r="AG388" s="799"/>
      <c r="AH388" s="799"/>
      <c r="AI388" s="799"/>
      <c r="AJ388" s="799"/>
      <c r="AK388" s="799"/>
      <c r="AL388" s="799"/>
      <c r="AM388" s="799"/>
      <c r="AN388" s="799"/>
      <c r="AO388" s="799"/>
      <c r="AP388" s="799"/>
      <c r="AQ388" s="799"/>
      <c r="AR388" s="799"/>
      <c r="AS388" s="799"/>
      <c r="AT388" s="799"/>
      <c r="AU388" s="799"/>
      <c r="AV388" s="799"/>
      <c r="AW388" s="799"/>
      <c r="AX388" s="799"/>
      <c r="AY388" s="799"/>
      <c r="AZ388" s="799"/>
      <c r="BA388" s="799"/>
      <c r="BB388" s="799"/>
      <c r="BC388" s="799"/>
      <c r="BD388" s="799"/>
      <c r="BE388" s="799"/>
      <c r="BF388" s="799"/>
      <c r="BG388" s="799"/>
    </row>
    <row r="389">
      <c r="H389" s="799"/>
      <c r="I389" s="799"/>
      <c r="J389" s="799"/>
      <c r="K389" s="799"/>
      <c r="L389" s="799"/>
      <c r="M389" s="799"/>
      <c r="N389" s="799"/>
      <c r="O389" s="799"/>
      <c r="P389" s="799"/>
      <c r="Q389" s="799"/>
      <c r="R389" s="799"/>
      <c r="S389" s="799"/>
      <c r="T389" s="799"/>
      <c r="U389" s="799"/>
      <c r="V389" s="799"/>
      <c r="W389" s="799"/>
      <c r="X389" s="799"/>
      <c r="Y389" s="799"/>
      <c r="Z389" s="799"/>
      <c r="AA389" s="799"/>
      <c r="AB389" s="799"/>
      <c r="AC389" s="799"/>
      <c r="AD389" s="799"/>
      <c r="AE389" s="799"/>
      <c r="AF389" s="799"/>
      <c r="AG389" s="799"/>
      <c r="AH389" s="799"/>
      <c r="AI389" s="799"/>
      <c r="AJ389" s="799"/>
      <c r="AK389" s="799"/>
      <c r="AL389" s="799"/>
      <c r="AM389" s="799"/>
      <c r="AN389" s="799"/>
      <c r="AO389" s="799"/>
      <c r="AP389" s="799"/>
      <c r="AQ389" s="799"/>
      <c r="AR389" s="799"/>
      <c r="AS389" s="799"/>
      <c r="AT389" s="799"/>
      <c r="AU389" s="799"/>
      <c r="AV389" s="799"/>
      <c r="AW389" s="799"/>
      <c r="AX389" s="799"/>
      <c r="AY389" s="799"/>
      <c r="AZ389" s="799"/>
      <c r="BA389" s="799"/>
      <c r="BB389" s="799"/>
      <c r="BC389" s="799"/>
      <c r="BD389" s="799"/>
      <c r="BE389" s="799"/>
      <c r="BF389" s="799"/>
      <c r="BG389" s="799"/>
    </row>
    <row r="390">
      <c r="H390" s="799"/>
      <c r="I390" s="799"/>
      <c r="J390" s="799"/>
      <c r="K390" s="799"/>
      <c r="L390" s="799"/>
      <c r="M390" s="799"/>
      <c r="N390" s="799"/>
      <c r="O390" s="799"/>
      <c r="P390" s="799"/>
      <c r="Q390" s="799"/>
      <c r="R390" s="799"/>
      <c r="S390" s="799"/>
      <c r="T390" s="799"/>
      <c r="U390" s="799"/>
      <c r="V390" s="799"/>
      <c r="W390" s="799"/>
      <c r="X390" s="799"/>
      <c r="Y390" s="799"/>
      <c r="Z390" s="799"/>
      <c r="AA390" s="799"/>
      <c r="AB390" s="799"/>
      <c r="AC390" s="799"/>
      <c r="AD390" s="799"/>
      <c r="AE390" s="799"/>
      <c r="AF390" s="799"/>
      <c r="AG390" s="799"/>
      <c r="AH390" s="799"/>
      <c r="AI390" s="799"/>
      <c r="AJ390" s="799"/>
      <c r="AK390" s="799"/>
      <c r="AL390" s="799"/>
      <c r="AM390" s="799"/>
      <c r="AN390" s="799"/>
      <c r="AO390" s="799"/>
      <c r="AP390" s="799"/>
      <c r="AQ390" s="799"/>
      <c r="AR390" s="799"/>
      <c r="AS390" s="799"/>
      <c r="AT390" s="799"/>
      <c r="AU390" s="799"/>
      <c r="AV390" s="799"/>
      <c r="AW390" s="799"/>
      <c r="AX390" s="799"/>
      <c r="AY390" s="799"/>
      <c r="AZ390" s="799"/>
      <c r="BA390" s="799"/>
      <c r="BB390" s="799"/>
      <c r="BC390" s="799"/>
      <c r="BD390" s="799"/>
      <c r="BE390" s="799"/>
      <c r="BF390" s="799"/>
      <c r="BG390" s="799"/>
    </row>
    <row r="391">
      <c r="H391" s="799"/>
      <c r="I391" s="799"/>
      <c r="J391" s="799"/>
      <c r="K391" s="799"/>
      <c r="L391" s="799"/>
      <c r="M391" s="799"/>
      <c r="N391" s="799"/>
      <c r="O391" s="799"/>
      <c r="P391" s="799"/>
      <c r="Q391" s="799"/>
      <c r="R391" s="799"/>
      <c r="S391" s="799"/>
      <c r="T391" s="799"/>
      <c r="U391" s="799"/>
      <c r="V391" s="799"/>
      <c r="W391" s="799"/>
      <c r="X391" s="799"/>
      <c r="Y391" s="799"/>
      <c r="Z391" s="799"/>
      <c r="AA391" s="799"/>
      <c r="AB391" s="799"/>
      <c r="AC391" s="799"/>
      <c r="AD391" s="799"/>
      <c r="AE391" s="799"/>
      <c r="AF391" s="799"/>
      <c r="AG391" s="799"/>
      <c r="AH391" s="799"/>
      <c r="AI391" s="799"/>
      <c r="AJ391" s="799"/>
      <c r="AK391" s="799"/>
      <c r="AL391" s="799"/>
      <c r="AM391" s="799"/>
      <c r="AN391" s="799"/>
      <c r="AO391" s="799"/>
      <c r="AP391" s="799"/>
      <c r="AQ391" s="799"/>
      <c r="AR391" s="799"/>
      <c r="AS391" s="799"/>
      <c r="AT391" s="799"/>
      <c r="AU391" s="799"/>
      <c r="AV391" s="799"/>
      <c r="AW391" s="799"/>
      <c r="AX391" s="799"/>
      <c r="AY391" s="799"/>
      <c r="AZ391" s="799"/>
      <c r="BA391" s="799"/>
      <c r="BB391" s="799"/>
      <c r="BC391" s="799"/>
      <c r="BD391" s="799"/>
      <c r="BE391" s="799"/>
      <c r="BF391" s="799"/>
      <c r="BG391" s="799"/>
    </row>
    <row r="392">
      <c r="H392" s="799"/>
      <c r="I392" s="799"/>
      <c r="J392" s="799"/>
      <c r="K392" s="799"/>
      <c r="L392" s="799"/>
      <c r="M392" s="799"/>
      <c r="N392" s="799"/>
      <c r="O392" s="799"/>
      <c r="P392" s="799"/>
      <c r="Q392" s="799"/>
      <c r="R392" s="799"/>
      <c r="S392" s="799"/>
      <c r="T392" s="799"/>
      <c r="U392" s="799"/>
      <c r="V392" s="799"/>
      <c r="W392" s="799"/>
      <c r="X392" s="799"/>
      <c r="Y392" s="799"/>
      <c r="Z392" s="799"/>
      <c r="AA392" s="799"/>
      <c r="AB392" s="799"/>
      <c r="AC392" s="799"/>
      <c r="AD392" s="799"/>
      <c r="AE392" s="799"/>
      <c r="AF392" s="799"/>
      <c r="AG392" s="799"/>
      <c r="AH392" s="799"/>
      <c r="AI392" s="799"/>
      <c r="AJ392" s="799"/>
      <c r="AK392" s="799"/>
      <c r="AL392" s="799"/>
      <c r="AM392" s="799"/>
      <c r="AN392" s="799"/>
      <c r="AO392" s="799"/>
      <c r="AP392" s="799"/>
      <c r="AQ392" s="799"/>
      <c r="AR392" s="799"/>
      <c r="AS392" s="799"/>
      <c r="AT392" s="799"/>
      <c r="AU392" s="799"/>
      <c r="AV392" s="799"/>
      <c r="AW392" s="799"/>
      <c r="AX392" s="799"/>
      <c r="AY392" s="799"/>
      <c r="AZ392" s="799"/>
      <c r="BA392" s="799"/>
      <c r="BB392" s="799"/>
      <c r="BC392" s="799"/>
      <c r="BD392" s="799"/>
      <c r="BE392" s="799"/>
      <c r="BF392" s="799"/>
      <c r="BG392" s="799"/>
    </row>
    <row r="393">
      <c r="H393" s="799"/>
      <c r="I393" s="799"/>
      <c r="J393" s="799"/>
      <c r="K393" s="799"/>
      <c r="L393" s="799"/>
      <c r="M393" s="799"/>
      <c r="N393" s="799"/>
      <c r="O393" s="799"/>
      <c r="P393" s="799"/>
      <c r="Q393" s="799"/>
      <c r="R393" s="799"/>
      <c r="S393" s="799"/>
      <c r="T393" s="799"/>
      <c r="U393" s="799"/>
      <c r="V393" s="799"/>
      <c r="W393" s="799"/>
      <c r="X393" s="799"/>
      <c r="Y393" s="799"/>
      <c r="Z393" s="799"/>
      <c r="AA393" s="799"/>
      <c r="AB393" s="799"/>
      <c r="AC393" s="799"/>
      <c r="AD393" s="799"/>
      <c r="AE393" s="799"/>
      <c r="AF393" s="799"/>
      <c r="AG393" s="799"/>
      <c r="AH393" s="799"/>
      <c r="AI393" s="799"/>
      <c r="AJ393" s="799"/>
      <c r="AK393" s="799"/>
      <c r="AL393" s="799"/>
      <c r="AM393" s="799"/>
      <c r="AN393" s="799"/>
      <c r="AO393" s="799"/>
      <c r="AP393" s="799"/>
      <c r="AQ393" s="799"/>
      <c r="AR393" s="799"/>
      <c r="AS393" s="799"/>
      <c r="AT393" s="799"/>
      <c r="AU393" s="799"/>
      <c r="AV393" s="799"/>
      <c r="AW393" s="799"/>
      <c r="AX393" s="799"/>
      <c r="AY393" s="799"/>
      <c r="AZ393" s="799"/>
      <c r="BA393" s="799"/>
      <c r="BB393" s="799"/>
      <c r="BC393" s="799"/>
      <c r="BD393" s="799"/>
      <c r="BE393" s="799"/>
      <c r="BF393" s="799"/>
      <c r="BG393" s="799"/>
    </row>
    <row r="394">
      <c r="H394" s="799"/>
      <c r="I394" s="799"/>
      <c r="J394" s="799"/>
      <c r="K394" s="799"/>
      <c r="L394" s="799"/>
      <c r="M394" s="799"/>
      <c r="N394" s="799"/>
      <c r="O394" s="799"/>
      <c r="P394" s="799"/>
      <c r="Q394" s="799"/>
      <c r="R394" s="799"/>
      <c r="S394" s="799"/>
      <c r="T394" s="799"/>
      <c r="U394" s="799"/>
      <c r="V394" s="799"/>
      <c r="W394" s="799"/>
      <c r="X394" s="799"/>
      <c r="Y394" s="799"/>
      <c r="Z394" s="799"/>
      <c r="AA394" s="799"/>
      <c r="AB394" s="799"/>
      <c r="AC394" s="799"/>
      <c r="AD394" s="799"/>
      <c r="AE394" s="799"/>
      <c r="AF394" s="799"/>
      <c r="AG394" s="799"/>
      <c r="AH394" s="799"/>
      <c r="AI394" s="799"/>
      <c r="AJ394" s="799"/>
      <c r="AK394" s="799"/>
      <c r="AL394" s="799"/>
      <c r="AM394" s="799"/>
      <c r="AN394" s="799"/>
      <c r="AO394" s="799"/>
      <c r="AP394" s="799"/>
      <c r="AQ394" s="799"/>
      <c r="AR394" s="799"/>
      <c r="AS394" s="799"/>
      <c r="AT394" s="799"/>
      <c r="AU394" s="799"/>
      <c r="AV394" s="799"/>
      <c r="AW394" s="799"/>
      <c r="AX394" s="799"/>
      <c r="AY394" s="799"/>
      <c r="AZ394" s="799"/>
      <c r="BA394" s="799"/>
      <c r="BB394" s="799"/>
      <c r="BC394" s="799"/>
      <c r="BD394" s="799"/>
      <c r="BE394" s="799"/>
      <c r="BF394" s="799"/>
      <c r="BG394" s="799"/>
    </row>
    <row r="395">
      <c r="H395" s="799"/>
      <c r="I395" s="799"/>
      <c r="J395" s="799"/>
      <c r="K395" s="799"/>
      <c r="L395" s="799"/>
      <c r="M395" s="799"/>
      <c r="N395" s="799"/>
      <c r="O395" s="799"/>
      <c r="P395" s="799"/>
      <c r="Q395" s="799"/>
      <c r="R395" s="799"/>
      <c r="S395" s="799"/>
      <c r="T395" s="799"/>
      <c r="U395" s="799"/>
      <c r="V395" s="799"/>
      <c r="W395" s="799"/>
      <c r="X395" s="799"/>
      <c r="Y395" s="799"/>
      <c r="Z395" s="799"/>
      <c r="AA395" s="799"/>
      <c r="AB395" s="799"/>
      <c r="AC395" s="799"/>
      <c r="AD395" s="799"/>
      <c r="AE395" s="799"/>
      <c r="AF395" s="799"/>
      <c r="AG395" s="799"/>
      <c r="AH395" s="799"/>
      <c r="AI395" s="799"/>
      <c r="AJ395" s="799"/>
      <c r="AK395" s="799"/>
      <c r="AL395" s="799"/>
      <c r="AM395" s="799"/>
      <c r="AN395" s="799"/>
      <c r="AO395" s="799"/>
      <c r="AP395" s="799"/>
      <c r="AQ395" s="799"/>
      <c r="AR395" s="799"/>
      <c r="AS395" s="799"/>
      <c r="AT395" s="799"/>
      <c r="AU395" s="799"/>
      <c r="AV395" s="799"/>
      <c r="AW395" s="799"/>
      <c r="AX395" s="799"/>
      <c r="AY395" s="799"/>
      <c r="AZ395" s="799"/>
      <c r="BA395" s="799"/>
      <c r="BB395" s="799"/>
      <c r="BC395" s="799"/>
      <c r="BD395" s="799"/>
      <c r="BE395" s="799"/>
      <c r="BF395" s="799"/>
      <c r="BG395" s="799"/>
    </row>
    <row r="396">
      <c r="H396" s="799"/>
      <c r="I396" s="799"/>
      <c r="J396" s="799"/>
      <c r="K396" s="799"/>
      <c r="L396" s="799"/>
      <c r="M396" s="799"/>
      <c r="N396" s="799"/>
      <c r="O396" s="799"/>
      <c r="P396" s="799"/>
      <c r="Q396" s="799"/>
      <c r="R396" s="799"/>
      <c r="S396" s="799"/>
      <c r="T396" s="799"/>
      <c r="U396" s="799"/>
      <c r="V396" s="799"/>
      <c r="W396" s="799"/>
      <c r="X396" s="799"/>
      <c r="Y396" s="799"/>
      <c r="Z396" s="799"/>
      <c r="AA396" s="799"/>
      <c r="AB396" s="799"/>
      <c r="AC396" s="799"/>
      <c r="AD396" s="799"/>
      <c r="AE396" s="799"/>
      <c r="AF396" s="799"/>
      <c r="AG396" s="799"/>
      <c r="AH396" s="799"/>
      <c r="AI396" s="799"/>
      <c r="AJ396" s="799"/>
      <c r="AK396" s="799"/>
      <c r="AL396" s="799"/>
      <c r="AM396" s="799"/>
      <c r="AN396" s="799"/>
      <c r="AO396" s="799"/>
      <c r="AP396" s="799"/>
      <c r="AQ396" s="799"/>
      <c r="AR396" s="799"/>
      <c r="AS396" s="799"/>
      <c r="AT396" s="799"/>
      <c r="AU396" s="799"/>
      <c r="AV396" s="799"/>
      <c r="AW396" s="799"/>
      <c r="AX396" s="799"/>
      <c r="AY396" s="799"/>
      <c r="AZ396" s="799"/>
      <c r="BA396" s="799"/>
      <c r="BB396" s="799"/>
      <c r="BC396" s="799"/>
      <c r="BD396" s="799"/>
      <c r="BE396" s="799"/>
      <c r="BF396" s="799"/>
      <c r="BG396" s="799"/>
    </row>
    <row r="397">
      <c r="H397" s="799"/>
      <c r="I397" s="799"/>
      <c r="J397" s="799"/>
      <c r="K397" s="799"/>
      <c r="L397" s="799"/>
      <c r="M397" s="799"/>
      <c r="N397" s="799"/>
      <c r="O397" s="799"/>
      <c r="P397" s="799"/>
      <c r="Q397" s="799"/>
      <c r="R397" s="799"/>
      <c r="S397" s="799"/>
      <c r="T397" s="799"/>
      <c r="U397" s="799"/>
      <c r="V397" s="799"/>
      <c r="W397" s="799"/>
      <c r="X397" s="799"/>
      <c r="Y397" s="799"/>
      <c r="Z397" s="799"/>
      <c r="AA397" s="799"/>
      <c r="AB397" s="799"/>
      <c r="AC397" s="799"/>
      <c r="AD397" s="799"/>
      <c r="AE397" s="799"/>
      <c r="AF397" s="799"/>
      <c r="AG397" s="799"/>
      <c r="AH397" s="799"/>
      <c r="AI397" s="799"/>
      <c r="AJ397" s="799"/>
      <c r="AK397" s="799"/>
      <c r="AL397" s="799"/>
      <c r="AM397" s="799"/>
      <c r="AN397" s="799"/>
      <c r="AO397" s="799"/>
      <c r="AP397" s="799"/>
      <c r="AQ397" s="799"/>
      <c r="AR397" s="799"/>
      <c r="AS397" s="799"/>
      <c r="AT397" s="799"/>
      <c r="AU397" s="799"/>
      <c r="AV397" s="799"/>
      <c r="AW397" s="799"/>
      <c r="AX397" s="799"/>
      <c r="AY397" s="799"/>
      <c r="AZ397" s="799"/>
      <c r="BA397" s="799"/>
      <c r="BB397" s="799"/>
      <c r="BC397" s="799"/>
      <c r="BD397" s="799"/>
      <c r="BE397" s="799"/>
      <c r="BF397" s="799"/>
      <c r="BG397" s="799"/>
    </row>
    <row r="398">
      <c r="H398" s="799"/>
      <c r="I398" s="799"/>
      <c r="J398" s="799"/>
      <c r="K398" s="799"/>
      <c r="L398" s="799"/>
      <c r="M398" s="799"/>
      <c r="N398" s="799"/>
      <c r="O398" s="799"/>
      <c r="P398" s="799"/>
      <c r="Q398" s="799"/>
      <c r="R398" s="799"/>
      <c r="S398" s="799"/>
      <c r="T398" s="799"/>
      <c r="U398" s="799"/>
      <c r="V398" s="799"/>
      <c r="W398" s="799"/>
      <c r="X398" s="799"/>
      <c r="Y398" s="799"/>
      <c r="Z398" s="799"/>
      <c r="AA398" s="799"/>
      <c r="AB398" s="799"/>
      <c r="AC398" s="799"/>
      <c r="AD398" s="799"/>
      <c r="AE398" s="799"/>
      <c r="AF398" s="799"/>
      <c r="AG398" s="799"/>
      <c r="AH398" s="799"/>
      <c r="AI398" s="799"/>
      <c r="AJ398" s="799"/>
      <c r="AK398" s="799"/>
      <c r="AL398" s="799"/>
      <c r="AM398" s="799"/>
      <c r="AN398" s="799"/>
      <c r="AO398" s="799"/>
      <c r="AP398" s="799"/>
      <c r="AQ398" s="799"/>
      <c r="AR398" s="799"/>
      <c r="AS398" s="799"/>
      <c r="AT398" s="799"/>
      <c r="AU398" s="799"/>
      <c r="AV398" s="799"/>
      <c r="AW398" s="799"/>
      <c r="AX398" s="799"/>
      <c r="AY398" s="799"/>
      <c r="AZ398" s="799"/>
      <c r="BA398" s="799"/>
      <c r="BB398" s="799"/>
      <c r="BC398" s="799"/>
      <c r="BD398" s="799"/>
      <c r="BE398" s="799"/>
      <c r="BF398" s="799"/>
      <c r="BG398" s="799"/>
    </row>
    <row r="399">
      <c r="H399" s="799"/>
      <c r="I399" s="799"/>
      <c r="J399" s="799"/>
      <c r="K399" s="799"/>
      <c r="L399" s="799"/>
      <c r="M399" s="799"/>
      <c r="N399" s="799"/>
      <c r="O399" s="799"/>
      <c r="P399" s="799"/>
      <c r="Q399" s="799"/>
      <c r="R399" s="799"/>
      <c r="S399" s="799"/>
      <c r="T399" s="799"/>
      <c r="U399" s="799"/>
      <c r="V399" s="799"/>
      <c r="W399" s="799"/>
      <c r="X399" s="799"/>
      <c r="Y399" s="799"/>
      <c r="Z399" s="799"/>
      <c r="AA399" s="799"/>
      <c r="AB399" s="799"/>
      <c r="AC399" s="799"/>
      <c r="AD399" s="799"/>
      <c r="AE399" s="799"/>
      <c r="AF399" s="799"/>
      <c r="AG399" s="799"/>
      <c r="AH399" s="799"/>
      <c r="AI399" s="799"/>
      <c r="AJ399" s="799"/>
      <c r="AK399" s="799"/>
      <c r="AL399" s="799"/>
      <c r="AM399" s="799"/>
      <c r="AN399" s="799"/>
      <c r="AO399" s="799"/>
      <c r="AP399" s="799"/>
      <c r="AQ399" s="799"/>
      <c r="AR399" s="799"/>
      <c r="AS399" s="799"/>
      <c r="AT399" s="799"/>
      <c r="AU399" s="799"/>
      <c r="AV399" s="799"/>
      <c r="AW399" s="799"/>
      <c r="AX399" s="799"/>
      <c r="AY399" s="799"/>
      <c r="AZ399" s="799"/>
      <c r="BA399" s="799"/>
      <c r="BB399" s="799"/>
      <c r="BC399" s="799"/>
      <c r="BD399" s="799"/>
      <c r="BE399" s="799"/>
      <c r="BF399" s="799"/>
      <c r="BG399" s="799"/>
    </row>
    <row r="400">
      <c r="H400" s="799"/>
      <c r="I400" s="799"/>
      <c r="J400" s="799"/>
      <c r="K400" s="799"/>
      <c r="L400" s="799"/>
      <c r="M400" s="799"/>
      <c r="N400" s="799"/>
      <c r="O400" s="799"/>
      <c r="P400" s="799"/>
      <c r="Q400" s="799"/>
      <c r="R400" s="799"/>
      <c r="S400" s="799"/>
      <c r="T400" s="799"/>
      <c r="U400" s="799"/>
      <c r="V400" s="799"/>
      <c r="W400" s="799"/>
      <c r="X400" s="799"/>
      <c r="Y400" s="799"/>
      <c r="Z400" s="799"/>
      <c r="AA400" s="799"/>
      <c r="AB400" s="799"/>
      <c r="AC400" s="799"/>
      <c r="AD400" s="799"/>
      <c r="AE400" s="799"/>
      <c r="AF400" s="799"/>
      <c r="AG400" s="799"/>
      <c r="AH400" s="799"/>
      <c r="AI400" s="799"/>
      <c r="AJ400" s="799"/>
      <c r="AK400" s="799"/>
      <c r="AL400" s="799"/>
      <c r="AM400" s="799"/>
      <c r="AN400" s="799"/>
      <c r="AO400" s="799"/>
      <c r="AP400" s="799"/>
      <c r="AQ400" s="799"/>
      <c r="AR400" s="799"/>
      <c r="AS400" s="799"/>
      <c r="AT400" s="799"/>
      <c r="AU400" s="799"/>
      <c r="AV400" s="799"/>
      <c r="AW400" s="799"/>
      <c r="AX400" s="799"/>
      <c r="AY400" s="799"/>
      <c r="AZ400" s="799"/>
      <c r="BA400" s="799"/>
      <c r="BB400" s="799"/>
      <c r="BC400" s="799"/>
      <c r="BD400" s="799"/>
      <c r="BE400" s="799"/>
      <c r="BF400" s="799"/>
      <c r="BG400" s="799"/>
    </row>
    <row r="401">
      <c r="H401" s="799"/>
      <c r="I401" s="799"/>
      <c r="J401" s="799"/>
      <c r="K401" s="799"/>
      <c r="L401" s="799"/>
      <c r="M401" s="799"/>
      <c r="N401" s="799"/>
      <c r="O401" s="799"/>
      <c r="P401" s="799"/>
      <c r="Q401" s="799"/>
      <c r="R401" s="799"/>
      <c r="S401" s="799"/>
      <c r="T401" s="799"/>
      <c r="U401" s="799"/>
      <c r="V401" s="799"/>
      <c r="W401" s="799"/>
      <c r="X401" s="799"/>
      <c r="Y401" s="799"/>
      <c r="Z401" s="799"/>
      <c r="AA401" s="799"/>
      <c r="AB401" s="799"/>
      <c r="AC401" s="799"/>
      <c r="AD401" s="799"/>
      <c r="AE401" s="799"/>
      <c r="AF401" s="799"/>
      <c r="AG401" s="799"/>
      <c r="AH401" s="799"/>
      <c r="AI401" s="799"/>
      <c r="AJ401" s="799"/>
      <c r="AK401" s="799"/>
      <c r="AL401" s="799"/>
      <c r="AM401" s="799"/>
      <c r="AN401" s="799"/>
      <c r="AO401" s="799"/>
      <c r="AP401" s="799"/>
      <c r="AQ401" s="799"/>
      <c r="AR401" s="799"/>
      <c r="AS401" s="799"/>
      <c r="AT401" s="799"/>
      <c r="AU401" s="799"/>
      <c r="AV401" s="799"/>
      <c r="AW401" s="799"/>
      <c r="AX401" s="799"/>
      <c r="AY401" s="799"/>
      <c r="AZ401" s="799"/>
      <c r="BA401" s="799"/>
      <c r="BB401" s="799"/>
      <c r="BC401" s="799"/>
      <c r="BD401" s="799"/>
      <c r="BE401" s="799"/>
      <c r="BF401" s="799"/>
      <c r="BG401" s="799"/>
    </row>
    <row r="402">
      <c r="H402" s="799"/>
      <c r="I402" s="799"/>
      <c r="J402" s="799"/>
      <c r="K402" s="799"/>
      <c r="L402" s="799"/>
      <c r="M402" s="799"/>
      <c r="N402" s="799"/>
      <c r="O402" s="799"/>
      <c r="P402" s="799"/>
      <c r="Q402" s="799"/>
      <c r="R402" s="799"/>
      <c r="S402" s="799"/>
      <c r="T402" s="799"/>
      <c r="U402" s="799"/>
      <c r="V402" s="799"/>
      <c r="W402" s="799"/>
      <c r="X402" s="799"/>
      <c r="Y402" s="799"/>
      <c r="Z402" s="799"/>
      <c r="AA402" s="799"/>
      <c r="AB402" s="799"/>
      <c r="AC402" s="799"/>
      <c r="AD402" s="799"/>
      <c r="AE402" s="799"/>
      <c r="AF402" s="799"/>
      <c r="AG402" s="799"/>
      <c r="AH402" s="799"/>
      <c r="AI402" s="799"/>
      <c r="AJ402" s="799"/>
      <c r="AK402" s="799"/>
      <c r="AL402" s="799"/>
      <c r="AM402" s="799"/>
      <c r="AN402" s="799"/>
      <c r="AO402" s="799"/>
      <c r="AP402" s="799"/>
      <c r="AQ402" s="799"/>
      <c r="AR402" s="799"/>
      <c r="AS402" s="799"/>
      <c r="AT402" s="799"/>
      <c r="AU402" s="799"/>
      <c r="AV402" s="799"/>
      <c r="AW402" s="799"/>
      <c r="AX402" s="799"/>
      <c r="AY402" s="799"/>
      <c r="AZ402" s="799"/>
      <c r="BA402" s="799"/>
      <c r="BB402" s="799"/>
      <c r="BC402" s="799"/>
      <c r="BD402" s="799"/>
      <c r="BE402" s="799"/>
      <c r="BF402" s="799"/>
      <c r="BG402" s="799"/>
    </row>
    <row r="403">
      <c r="H403" s="799"/>
      <c r="I403" s="799"/>
      <c r="J403" s="799"/>
      <c r="K403" s="799"/>
      <c r="L403" s="799"/>
      <c r="M403" s="799"/>
      <c r="N403" s="799"/>
      <c r="O403" s="799"/>
      <c r="P403" s="799"/>
      <c r="Q403" s="799"/>
      <c r="R403" s="799"/>
      <c r="S403" s="799"/>
      <c r="T403" s="799"/>
      <c r="U403" s="799"/>
      <c r="V403" s="799"/>
      <c r="W403" s="799"/>
      <c r="X403" s="799"/>
      <c r="Y403" s="799"/>
      <c r="Z403" s="799"/>
      <c r="AA403" s="799"/>
      <c r="AB403" s="799"/>
      <c r="AC403" s="799"/>
      <c r="AD403" s="799"/>
      <c r="AE403" s="799"/>
      <c r="AF403" s="799"/>
      <c r="AG403" s="799"/>
      <c r="AH403" s="799"/>
      <c r="AI403" s="799"/>
      <c r="AJ403" s="799"/>
      <c r="AK403" s="799"/>
      <c r="AL403" s="799"/>
      <c r="AM403" s="799"/>
      <c r="AN403" s="799"/>
      <c r="AO403" s="799"/>
      <c r="AP403" s="799"/>
      <c r="AQ403" s="799"/>
      <c r="AR403" s="799"/>
      <c r="AS403" s="799"/>
      <c r="AT403" s="799"/>
      <c r="AU403" s="799"/>
      <c r="AV403" s="799"/>
      <c r="AW403" s="799"/>
      <c r="AX403" s="799"/>
      <c r="AY403" s="799"/>
      <c r="AZ403" s="799"/>
      <c r="BA403" s="799"/>
      <c r="BB403" s="799"/>
      <c r="BC403" s="799"/>
      <c r="BD403" s="799"/>
      <c r="BE403" s="799"/>
      <c r="BF403" s="799"/>
      <c r="BG403" s="799"/>
    </row>
    <row r="404">
      <c r="H404" s="799"/>
      <c r="I404" s="799"/>
      <c r="J404" s="799"/>
      <c r="K404" s="799"/>
      <c r="L404" s="799"/>
      <c r="M404" s="799"/>
      <c r="N404" s="799"/>
      <c r="O404" s="799"/>
      <c r="P404" s="799"/>
      <c r="Q404" s="799"/>
      <c r="R404" s="799"/>
      <c r="S404" s="799"/>
      <c r="T404" s="799"/>
      <c r="U404" s="799"/>
      <c r="V404" s="799"/>
      <c r="W404" s="799"/>
      <c r="X404" s="799"/>
      <c r="Y404" s="799"/>
      <c r="Z404" s="799"/>
      <c r="AA404" s="799"/>
      <c r="AB404" s="799"/>
      <c r="AC404" s="799"/>
      <c r="AD404" s="799"/>
      <c r="AE404" s="799"/>
      <c r="AF404" s="799"/>
      <c r="AG404" s="799"/>
      <c r="AH404" s="799"/>
      <c r="AI404" s="799"/>
      <c r="AJ404" s="799"/>
      <c r="AK404" s="799"/>
      <c r="AL404" s="799"/>
      <c r="AM404" s="799"/>
      <c r="AN404" s="799"/>
      <c r="AO404" s="799"/>
      <c r="AP404" s="799"/>
      <c r="AQ404" s="799"/>
      <c r="AR404" s="799"/>
      <c r="AS404" s="799"/>
      <c r="AT404" s="799"/>
      <c r="AU404" s="799"/>
      <c r="AV404" s="799"/>
      <c r="AW404" s="799"/>
      <c r="AX404" s="799"/>
      <c r="AY404" s="799"/>
      <c r="AZ404" s="799"/>
      <c r="BA404" s="799"/>
      <c r="BB404" s="799"/>
      <c r="BC404" s="799"/>
      <c r="BD404" s="799"/>
      <c r="BE404" s="799"/>
      <c r="BF404" s="799"/>
      <c r="BG404" s="799"/>
    </row>
    <row r="405">
      <c r="H405" s="799"/>
      <c r="I405" s="799"/>
      <c r="J405" s="799"/>
      <c r="K405" s="799"/>
      <c r="L405" s="799"/>
      <c r="M405" s="799"/>
      <c r="N405" s="799"/>
      <c r="O405" s="799"/>
      <c r="P405" s="799"/>
      <c r="Q405" s="799"/>
      <c r="R405" s="799"/>
      <c r="S405" s="799"/>
      <c r="T405" s="799"/>
      <c r="U405" s="799"/>
      <c r="V405" s="799"/>
      <c r="W405" s="799"/>
      <c r="X405" s="799"/>
      <c r="Y405" s="799"/>
      <c r="Z405" s="799"/>
      <c r="AA405" s="799"/>
      <c r="AB405" s="799"/>
      <c r="AC405" s="799"/>
      <c r="AD405" s="799"/>
      <c r="AE405" s="799"/>
      <c r="AF405" s="799"/>
      <c r="AG405" s="799"/>
      <c r="AH405" s="799"/>
      <c r="AI405" s="799"/>
      <c r="AJ405" s="799"/>
      <c r="AK405" s="799"/>
      <c r="AL405" s="799"/>
      <c r="AM405" s="799"/>
      <c r="AN405" s="799"/>
      <c r="AO405" s="799"/>
      <c r="AP405" s="799"/>
      <c r="AQ405" s="799"/>
      <c r="AR405" s="799"/>
      <c r="AS405" s="799"/>
      <c r="AT405" s="799"/>
      <c r="AU405" s="799"/>
      <c r="AV405" s="799"/>
      <c r="AW405" s="799"/>
      <c r="AX405" s="799"/>
      <c r="AY405" s="799"/>
      <c r="AZ405" s="799"/>
      <c r="BA405" s="799"/>
      <c r="BB405" s="799"/>
      <c r="BC405" s="799"/>
      <c r="BD405" s="799"/>
      <c r="BE405" s="799"/>
      <c r="BF405" s="799"/>
      <c r="BG405" s="799"/>
    </row>
    <row r="406">
      <c r="H406" s="799"/>
      <c r="I406" s="799"/>
      <c r="J406" s="799"/>
      <c r="K406" s="799"/>
      <c r="L406" s="799"/>
      <c r="M406" s="799"/>
      <c r="N406" s="799"/>
      <c r="O406" s="799"/>
      <c r="P406" s="799"/>
      <c r="Q406" s="799"/>
      <c r="R406" s="799"/>
      <c r="S406" s="799"/>
      <c r="T406" s="799"/>
      <c r="U406" s="799"/>
      <c r="V406" s="799"/>
      <c r="W406" s="799"/>
      <c r="X406" s="799"/>
      <c r="Y406" s="799"/>
      <c r="Z406" s="799"/>
      <c r="AA406" s="799"/>
      <c r="AB406" s="799"/>
      <c r="AC406" s="799"/>
      <c r="AD406" s="799"/>
      <c r="AE406" s="799"/>
      <c r="AF406" s="799"/>
      <c r="AG406" s="799"/>
      <c r="AH406" s="799"/>
      <c r="AI406" s="799"/>
      <c r="AJ406" s="799"/>
      <c r="AK406" s="799"/>
      <c r="AL406" s="799"/>
      <c r="AM406" s="799"/>
      <c r="AN406" s="799"/>
      <c r="AO406" s="799"/>
      <c r="AP406" s="799"/>
      <c r="AQ406" s="799"/>
      <c r="AR406" s="799"/>
      <c r="AS406" s="799"/>
      <c r="AT406" s="799"/>
      <c r="AU406" s="799"/>
      <c r="AV406" s="799"/>
      <c r="AW406" s="799"/>
      <c r="AX406" s="799"/>
      <c r="AY406" s="799"/>
      <c r="AZ406" s="799"/>
      <c r="BA406" s="799"/>
      <c r="BB406" s="799"/>
      <c r="BC406" s="799"/>
      <c r="BD406" s="799"/>
      <c r="BE406" s="799"/>
      <c r="BF406" s="799"/>
      <c r="BG406" s="799"/>
    </row>
    <row r="407">
      <c r="H407" s="799"/>
      <c r="I407" s="799"/>
      <c r="J407" s="799"/>
      <c r="K407" s="799"/>
      <c r="L407" s="799"/>
      <c r="M407" s="799"/>
      <c r="N407" s="799"/>
      <c r="O407" s="799"/>
      <c r="P407" s="799"/>
      <c r="Q407" s="799"/>
      <c r="R407" s="799"/>
      <c r="S407" s="799"/>
      <c r="T407" s="799"/>
      <c r="U407" s="799"/>
      <c r="V407" s="799"/>
      <c r="W407" s="799"/>
      <c r="X407" s="799"/>
      <c r="Y407" s="799"/>
      <c r="Z407" s="799"/>
      <c r="AA407" s="799"/>
      <c r="AB407" s="799"/>
      <c r="AC407" s="799"/>
      <c r="AD407" s="799"/>
      <c r="AE407" s="799"/>
      <c r="AF407" s="799"/>
      <c r="AG407" s="799"/>
      <c r="AH407" s="799"/>
      <c r="AI407" s="799"/>
      <c r="AJ407" s="799"/>
      <c r="AK407" s="799"/>
      <c r="AL407" s="799"/>
      <c r="AM407" s="799"/>
      <c r="AN407" s="799"/>
      <c r="AO407" s="799"/>
      <c r="AP407" s="799"/>
      <c r="AQ407" s="799"/>
      <c r="AR407" s="799"/>
      <c r="AS407" s="799"/>
      <c r="AT407" s="799"/>
      <c r="AU407" s="799"/>
      <c r="AV407" s="799"/>
      <c r="AW407" s="799"/>
      <c r="AX407" s="799"/>
      <c r="AY407" s="799"/>
      <c r="AZ407" s="799"/>
      <c r="BA407" s="799"/>
      <c r="BB407" s="799"/>
      <c r="BC407" s="799"/>
      <c r="BD407" s="799"/>
      <c r="BE407" s="799"/>
      <c r="BF407" s="799"/>
      <c r="BG407" s="799"/>
    </row>
    <row r="408">
      <c r="H408" s="799"/>
      <c r="I408" s="799"/>
      <c r="J408" s="799"/>
      <c r="K408" s="799"/>
      <c r="L408" s="799"/>
      <c r="M408" s="799"/>
      <c r="N408" s="799"/>
      <c r="O408" s="799"/>
      <c r="P408" s="799"/>
      <c r="Q408" s="799"/>
      <c r="R408" s="799"/>
      <c r="S408" s="799"/>
      <c r="T408" s="799"/>
      <c r="U408" s="799"/>
      <c r="V408" s="799"/>
      <c r="W408" s="799"/>
      <c r="X408" s="799"/>
      <c r="Y408" s="799"/>
      <c r="Z408" s="799"/>
      <c r="AA408" s="799"/>
      <c r="AB408" s="799"/>
      <c r="AC408" s="799"/>
      <c r="AD408" s="799"/>
      <c r="AE408" s="799"/>
      <c r="AF408" s="799"/>
      <c r="AG408" s="799"/>
      <c r="AH408" s="799"/>
      <c r="AI408" s="799"/>
      <c r="AJ408" s="799"/>
      <c r="AK408" s="799"/>
      <c r="AL408" s="799"/>
      <c r="AM408" s="799"/>
      <c r="AN408" s="799"/>
      <c r="AO408" s="799"/>
      <c r="AP408" s="799"/>
      <c r="AQ408" s="799"/>
      <c r="AR408" s="799"/>
      <c r="AS408" s="799"/>
      <c r="AT408" s="799"/>
      <c r="AU408" s="799"/>
      <c r="AV408" s="799"/>
      <c r="AW408" s="799"/>
      <c r="AX408" s="799"/>
      <c r="AY408" s="799"/>
      <c r="AZ408" s="799"/>
      <c r="BA408" s="799"/>
      <c r="BB408" s="799"/>
      <c r="BC408" s="799"/>
      <c r="BD408" s="799"/>
      <c r="BE408" s="799"/>
      <c r="BF408" s="799"/>
      <c r="BG408" s="799"/>
    </row>
    <row r="409">
      <c r="H409" s="799"/>
      <c r="I409" s="799"/>
      <c r="J409" s="799"/>
      <c r="K409" s="799"/>
      <c r="L409" s="799"/>
      <c r="M409" s="799"/>
      <c r="N409" s="799"/>
      <c r="O409" s="799"/>
      <c r="P409" s="799"/>
      <c r="Q409" s="799"/>
      <c r="R409" s="799"/>
      <c r="S409" s="799"/>
      <c r="T409" s="799"/>
      <c r="U409" s="799"/>
      <c r="V409" s="799"/>
      <c r="W409" s="799"/>
      <c r="X409" s="799"/>
      <c r="Y409" s="799"/>
      <c r="Z409" s="799"/>
      <c r="AA409" s="799"/>
      <c r="AB409" s="799"/>
      <c r="AC409" s="799"/>
      <c r="AD409" s="799"/>
      <c r="AE409" s="799"/>
      <c r="AF409" s="799"/>
      <c r="AG409" s="799"/>
      <c r="AH409" s="799"/>
      <c r="AI409" s="799"/>
      <c r="AJ409" s="799"/>
      <c r="AK409" s="799"/>
      <c r="AL409" s="799"/>
      <c r="AM409" s="799"/>
      <c r="AN409" s="799"/>
      <c r="AO409" s="799"/>
      <c r="AP409" s="799"/>
      <c r="AQ409" s="799"/>
      <c r="AR409" s="799"/>
      <c r="AS409" s="799"/>
      <c r="AT409" s="799"/>
      <c r="AU409" s="799"/>
      <c r="AV409" s="799"/>
      <c r="AW409" s="799"/>
      <c r="AX409" s="799"/>
      <c r="AY409" s="799"/>
      <c r="AZ409" s="799"/>
      <c r="BA409" s="799"/>
      <c r="BB409" s="799"/>
      <c r="BC409" s="799"/>
      <c r="BD409" s="799"/>
      <c r="BE409" s="799"/>
      <c r="BF409" s="799"/>
      <c r="BG409" s="799"/>
    </row>
    <row r="410">
      <c r="H410" s="799"/>
      <c r="I410" s="799"/>
      <c r="J410" s="799"/>
      <c r="K410" s="799"/>
      <c r="L410" s="799"/>
      <c r="M410" s="799"/>
      <c r="N410" s="799"/>
      <c r="O410" s="799"/>
      <c r="P410" s="799"/>
      <c r="Q410" s="799"/>
      <c r="R410" s="799"/>
      <c r="S410" s="799"/>
      <c r="T410" s="799"/>
      <c r="U410" s="799"/>
      <c r="V410" s="799"/>
      <c r="W410" s="799"/>
      <c r="X410" s="799"/>
      <c r="Y410" s="799"/>
      <c r="Z410" s="799"/>
      <c r="AA410" s="799"/>
      <c r="AB410" s="799"/>
      <c r="AC410" s="799"/>
      <c r="AD410" s="799"/>
      <c r="AE410" s="799"/>
      <c r="AF410" s="799"/>
      <c r="AG410" s="799"/>
      <c r="AH410" s="799"/>
      <c r="AI410" s="799"/>
      <c r="AJ410" s="799"/>
      <c r="AK410" s="799"/>
      <c r="AL410" s="799"/>
      <c r="AM410" s="799"/>
      <c r="AN410" s="799"/>
      <c r="AO410" s="799"/>
      <c r="AP410" s="799"/>
      <c r="AQ410" s="799"/>
      <c r="AR410" s="799"/>
      <c r="AS410" s="799"/>
      <c r="AT410" s="799"/>
      <c r="AU410" s="799"/>
      <c r="AV410" s="799"/>
      <c r="AW410" s="799"/>
      <c r="AX410" s="799"/>
      <c r="AY410" s="799"/>
      <c r="AZ410" s="799"/>
      <c r="BA410" s="799"/>
      <c r="BB410" s="799"/>
      <c r="BC410" s="799"/>
      <c r="BD410" s="799"/>
      <c r="BE410" s="799"/>
      <c r="BF410" s="799"/>
      <c r="BG410" s="799"/>
    </row>
    <row r="411">
      <c r="H411" s="799"/>
      <c r="I411" s="799"/>
      <c r="J411" s="799"/>
      <c r="K411" s="799"/>
      <c r="L411" s="799"/>
      <c r="M411" s="799"/>
      <c r="N411" s="799"/>
      <c r="O411" s="799"/>
      <c r="P411" s="799"/>
      <c r="Q411" s="799"/>
      <c r="R411" s="799"/>
      <c r="S411" s="799"/>
      <c r="T411" s="799"/>
      <c r="U411" s="799"/>
      <c r="V411" s="799"/>
      <c r="W411" s="799"/>
      <c r="X411" s="799"/>
      <c r="Y411" s="799"/>
      <c r="Z411" s="799"/>
      <c r="AA411" s="799"/>
      <c r="AB411" s="799"/>
      <c r="AC411" s="799"/>
      <c r="AD411" s="799"/>
      <c r="AE411" s="799"/>
      <c r="AF411" s="799"/>
      <c r="AG411" s="799"/>
      <c r="AH411" s="799"/>
      <c r="AI411" s="799"/>
      <c r="AJ411" s="799"/>
      <c r="AK411" s="799"/>
      <c r="AL411" s="799"/>
      <c r="AM411" s="799"/>
      <c r="AN411" s="799"/>
      <c r="AO411" s="799"/>
      <c r="AP411" s="799"/>
      <c r="AQ411" s="799"/>
      <c r="AR411" s="799"/>
      <c r="AS411" s="799"/>
      <c r="AT411" s="799"/>
      <c r="AU411" s="799"/>
      <c r="AV411" s="799"/>
      <c r="AW411" s="799"/>
      <c r="AX411" s="799"/>
      <c r="AY411" s="799"/>
      <c r="AZ411" s="799"/>
      <c r="BA411" s="799"/>
      <c r="BB411" s="799"/>
      <c r="BC411" s="799"/>
      <c r="BD411" s="799"/>
      <c r="BE411" s="799"/>
      <c r="BF411" s="799"/>
      <c r="BG411" s="799"/>
    </row>
    <row r="412">
      <c r="H412" s="799"/>
      <c r="I412" s="799"/>
      <c r="J412" s="799"/>
      <c r="K412" s="799"/>
      <c r="L412" s="799"/>
      <c r="M412" s="799"/>
      <c r="N412" s="799"/>
      <c r="O412" s="799"/>
      <c r="P412" s="799"/>
      <c r="Q412" s="799"/>
      <c r="R412" s="799"/>
      <c r="S412" s="799"/>
      <c r="T412" s="799"/>
      <c r="U412" s="799"/>
      <c r="V412" s="799"/>
      <c r="W412" s="799"/>
      <c r="X412" s="799"/>
      <c r="Y412" s="799"/>
      <c r="Z412" s="799"/>
      <c r="AA412" s="799"/>
      <c r="AB412" s="799"/>
      <c r="AC412" s="799"/>
      <c r="AD412" s="799"/>
      <c r="AE412" s="799"/>
      <c r="AF412" s="799"/>
      <c r="AG412" s="799"/>
      <c r="AH412" s="799"/>
      <c r="AI412" s="799"/>
      <c r="AJ412" s="799"/>
      <c r="AK412" s="799"/>
      <c r="AL412" s="799"/>
      <c r="AM412" s="799"/>
      <c r="AN412" s="799"/>
      <c r="AO412" s="799"/>
      <c r="AP412" s="799"/>
      <c r="AQ412" s="799"/>
      <c r="AR412" s="799"/>
      <c r="AS412" s="799"/>
      <c r="AT412" s="799"/>
      <c r="AU412" s="799"/>
      <c r="AV412" s="799"/>
      <c r="AW412" s="799"/>
      <c r="AX412" s="799"/>
      <c r="AY412" s="799"/>
      <c r="AZ412" s="799"/>
      <c r="BA412" s="799"/>
      <c r="BB412" s="799"/>
      <c r="BC412" s="799"/>
      <c r="BD412" s="799"/>
      <c r="BE412" s="799"/>
      <c r="BF412" s="799"/>
      <c r="BG412" s="799"/>
    </row>
    <row r="413">
      <c r="H413" s="799"/>
      <c r="I413" s="799"/>
      <c r="J413" s="799"/>
      <c r="K413" s="799"/>
      <c r="L413" s="799"/>
      <c r="M413" s="799"/>
      <c r="N413" s="799"/>
      <c r="O413" s="799"/>
      <c r="P413" s="799"/>
      <c r="Q413" s="799"/>
      <c r="R413" s="799"/>
      <c r="S413" s="799"/>
      <c r="T413" s="799"/>
      <c r="U413" s="799"/>
      <c r="V413" s="799"/>
      <c r="W413" s="799"/>
      <c r="X413" s="799"/>
      <c r="Y413" s="799"/>
      <c r="Z413" s="799"/>
      <c r="AA413" s="799"/>
      <c r="AB413" s="799"/>
      <c r="AC413" s="799"/>
      <c r="AD413" s="799"/>
      <c r="AE413" s="799"/>
      <c r="AF413" s="799"/>
      <c r="AG413" s="799"/>
      <c r="AH413" s="799"/>
      <c r="AI413" s="799"/>
      <c r="AJ413" s="799"/>
      <c r="AK413" s="799"/>
      <c r="AL413" s="799"/>
      <c r="AM413" s="799"/>
      <c r="AN413" s="799"/>
      <c r="AO413" s="799"/>
      <c r="AP413" s="799"/>
      <c r="AQ413" s="799"/>
      <c r="AR413" s="799"/>
      <c r="AS413" s="799"/>
      <c r="AT413" s="799"/>
      <c r="AU413" s="799"/>
      <c r="AV413" s="799"/>
      <c r="AW413" s="799"/>
      <c r="AX413" s="799"/>
      <c r="AY413" s="799"/>
      <c r="AZ413" s="799"/>
      <c r="BA413" s="799"/>
      <c r="BB413" s="799"/>
      <c r="BC413" s="799"/>
      <c r="BD413" s="799"/>
      <c r="BE413" s="799"/>
      <c r="BF413" s="799"/>
      <c r="BG413" s="799"/>
    </row>
    <row r="414">
      <c r="H414" s="799"/>
      <c r="I414" s="799"/>
      <c r="J414" s="799"/>
      <c r="K414" s="799"/>
      <c r="L414" s="799"/>
      <c r="M414" s="799"/>
      <c r="N414" s="799"/>
      <c r="O414" s="799"/>
      <c r="P414" s="799"/>
      <c r="Q414" s="799"/>
      <c r="R414" s="799"/>
      <c r="S414" s="799"/>
      <c r="T414" s="799"/>
      <c r="U414" s="799"/>
      <c r="V414" s="799"/>
      <c r="W414" s="799"/>
      <c r="X414" s="799"/>
      <c r="Y414" s="799"/>
      <c r="Z414" s="799"/>
      <c r="AA414" s="799"/>
      <c r="AB414" s="799"/>
      <c r="AC414" s="799"/>
      <c r="AD414" s="799"/>
      <c r="AE414" s="799"/>
      <c r="AF414" s="799"/>
      <c r="AG414" s="799"/>
      <c r="AH414" s="799"/>
      <c r="AI414" s="799"/>
      <c r="AJ414" s="799"/>
      <c r="AK414" s="799"/>
      <c r="AL414" s="799"/>
      <c r="AM414" s="799"/>
      <c r="AN414" s="799"/>
      <c r="AO414" s="799"/>
      <c r="AP414" s="799"/>
      <c r="AQ414" s="799"/>
      <c r="AR414" s="799"/>
      <c r="AS414" s="799"/>
      <c r="AT414" s="799"/>
      <c r="AU414" s="799"/>
      <c r="AV414" s="799"/>
      <c r="AW414" s="799"/>
      <c r="AX414" s="799"/>
      <c r="AY414" s="799"/>
      <c r="AZ414" s="799"/>
      <c r="BA414" s="799"/>
      <c r="BB414" s="799"/>
      <c r="BC414" s="799"/>
      <c r="BD414" s="799"/>
      <c r="BE414" s="799"/>
      <c r="BF414" s="799"/>
      <c r="BG414" s="799"/>
    </row>
    <row r="415">
      <c r="H415" s="799"/>
      <c r="I415" s="799"/>
      <c r="J415" s="799"/>
      <c r="K415" s="799"/>
      <c r="L415" s="799"/>
      <c r="M415" s="799"/>
      <c r="N415" s="799"/>
      <c r="O415" s="799"/>
      <c r="P415" s="799"/>
      <c r="Q415" s="799"/>
      <c r="R415" s="799"/>
      <c r="S415" s="799"/>
      <c r="T415" s="799"/>
      <c r="U415" s="799"/>
      <c r="V415" s="799"/>
      <c r="W415" s="799"/>
      <c r="X415" s="799"/>
      <c r="Y415" s="799"/>
      <c r="Z415" s="799"/>
      <c r="AA415" s="799"/>
      <c r="AB415" s="799"/>
      <c r="AC415" s="799"/>
      <c r="AD415" s="799"/>
      <c r="AE415" s="799"/>
      <c r="AF415" s="799"/>
      <c r="AG415" s="799"/>
      <c r="AH415" s="799"/>
      <c r="AI415" s="799"/>
      <c r="AJ415" s="799"/>
      <c r="AK415" s="799"/>
      <c r="AL415" s="799"/>
      <c r="AM415" s="799"/>
      <c r="AN415" s="799"/>
      <c r="AO415" s="799"/>
      <c r="AP415" s="799"/>
      <c r="AQ415" s="799"/>
      <c r="AR415" s="799"/>
      <c r="AS415" s="799"/>
      <c r="AT415" s="799"/>
      <c r="AU415" s="799"/>
      <c r="AV415" s="799"/>
      <c r="AW415" s="799"/>
      <c r="AX415" s="799"/>
      <c r="AY415" s="799"/>
      <c r="AZ415" s="799"/>
      <c r="BA415" s="799"/>
      <c r="BB415" s="799"/>
      <c r="BC415" s="799"/>
      <c r="BD415" s="799"/>
      <c r="BE415" s="799"/>
      <c r="BF415" s="799"/>
      <c r="BG415" s="799"/>
    </row>
    <row r="416">
      <c r="H416" s="799"/>
      <c r="I416" s="799"/>
      <c r="J416" s="799"/>
      <c r="K416" s="799"/>
      <c r="L416" s="799"/>
      <c r="M416" s="799"/>
      <c r="N416" s="799"/>
      <c r="O416" s="799"/>
      <c r="P416" s="799"/>
      <c r="Q416" s="799"/>
      <c r="R416" s="799"/>
      <c r="S416" s="799"/>
      <c r="T416" s="799"/>
      <c r="U416" s="799"/>
      <c r="V416" s="799"/>
      <c r="W416" s="799"/>
      <c r="X416" s="799"/>
      <c r="Y416" s="799"/>
      <c r="Z416" s="799"/>
      <c r="AA416" s="799"/>
      <c r="AB416" s="799"/>
      <c r="AC416" s="799"/>
      <c r="AD416" s="799"/>
      <c r="AE416" s="799"/>
      <c r="AF416" s="799"/>
      <c r="AG416" s="799"/>
      <c r="AH416" s="799"/>
      <c r="AI416" s="799"/>
      <c r="AJ416" s="799"/>
      <c r="AK416" s="799"/>
      <c r="AL416" s="799"/>
      <c r="AM416" s="799"/>
      <c r="AN416" s="799"/>
      <c r="AO416" s="799"/>
      <c r="AP416" s="799"/>
      <c r="AQ416" s="799"/>
      <c r="AR416" s="799"/>
      <c r="AS416" s="799"/>
      <c r="AT416" s="799"/>
      <c r="AU416" s="799"/>
      <c r="AV416" s="799"/>
      <c r="AW416" s="799"/>
      <c r="AX416" s="799"/>
      <c r="AY416" s="799"/>
      <c r="AZ416" s="799"/>
      <c r="BA416" s="799"/>
      <c r="BB416" s="799"/>
      <c r="BC416" s="799"/>
      <c r="BD416" s="799"/>
      <c r="BE416" s="799"/>
      <c r="BF416" s="799"/>
      <c r="BG416" s="799"/>
    </row>
    <row r="417">
      <c r="H417" s="799"/>
      <c r="I417" s="799"/>
      <c r="J417" s="799"/>
      <c r="K417" s="799"/>
      <c r="L417" s="799"/>
      <c r="M417" s="799"/>
      <c r="N417" s="799"/>
      <c r="O417" s="799"/>
      <c r="P417" s="799"/>
      <c r="Q417" s="799"/>
      <c r="R417" s="799"/>
      <c r="S417" s="799"/>
      <c r="T417" s="799"/>
      <c r="U417" s="799"/>
      <c r="V417" s="799"/>
      <c r="W417" s="799"/>
      <c r="X417" s="799"/>
      <c r="Y417" s="799"/>
      <c r="Z417" s="799"/>
      <c r="AA417" s="799"/>
      <c r="AB417" s="799"/>
      <c r="AC417" s="799"/>
      <c r="AD417" s="799"/>
      <c r="AE417" s="799"/>
      <c r="AF417" s="799"/>
      <c r="AG417" s="799"/>
      <c r="AH417" s="799"/>
      <c r="AI417" s="799"/>
      <c r="AJ417" s="799"/>
      <c r="AK417" s="799"/>
      <c r="AL417" s="799"/>
      <c r="AM417" s="799"/>
      <c r="AN417" s="799"/>
      <c r="AO417" s="799"/>
      <c r="AP417" s="799"/>
      <c r="AQ417" s="799"/>
      <c r="AR417" s="799"/>
      <c r="AS417" s="799"/>
      <c r="AT417" s="799"/>
      <c r="AU417" s="799"/>
      <c r="AV417" s="799"/>
      <c r="AW417" s="799"/>
      <c r="AX417" s="799"/>
      <c r="AY417" s="799"/>
      <c r="AZ417" s="799"/>
      <c r="BA417" s="799"/>
      <c r="BB417" s="799"/>
      <c r="BC417" s="799"/>
      <c r="BD417" s="799"/>
      <c r="BE417" s="799"/>
      <c r="BF417" s="799"/>
      <c r="BG417" s="799"/>
    </row>
    <row r="418">
      <c r="H418" s="799"/>
      <c r="I418" s="799"/>
      <c r="J418" s="799"/>
      <c r="K418" s="799"/>
      <c r="L418" s="799"/>
      <c r="M418" s="799"/>
      <c r="N418" s="799"/>
      <c r="O418" s="799"/>
      <c r="P418" s="799"/>
      <c r="Q418" s="799"/>
      <c r="R418" s="799"/>
      <c r="S418" s="799"/>
      <c r="T418" s="799"/>
      <c r="U418" s="799"/>
      <c r="V418" s="799"/>
      <c r="W418" s="799"/>
      <c r="X418" s="799"/>
      <c r="Y418" s="799"/>
      <c r="Z418" s="799"/>
      <c r="AA418" s="799"/>
      <c r="AB418" s="799"/>
      <c r="AC418" s="799"/>
      <c r="AD418" s="799"/>
      <c r="AE418" s="799"/>
      <c r="AF418" s="799"/>
      <c r="AG418" s="799"/>
      <c r="AH418" s="799"/>
      <c r="AI418" s="799"/>
      <c r="AJ418" s="799"/>
      <c r="AK418" s="799"/>
      <c r="AL418" s="799"/>
      <c r="AM418" s="799"/>
      <c r="AN418" s="799"/>
      <c r="AO418" s="799"/>
      <c r="AP418" s="799"/>
      <c r="AQ418" s="799"/>
      <c r="AR418" s="799"/>
      <c r="AS418" s="799"/>
      <c r="AT418" s="799"/>
      <c r="AU418" s="799"/>
      <c r="AV418" s="799"/>
      <c r="AW418" s="799"/>
      <c r="AX418" s="799"/>
      <c r="AY418" s="799"/>
      <c r="AZ418" s="799"/>
      <c r="BA418" s="799"/>
      <c r="BB418" s="799"/>
      <c r="BC418" s="799"/>
      <c r="BD418" s="799"/>
      <c r="BE418" s="799"/>
      <c r="BF418" s="799"/>
      <c r="BG418" s="799"/>
    </row>
    <row r="419">
      <c r="H419" s="799"/>
      <c r="I419" s="799"/>
      <c r="J419" s="799"/>
      <c r="K419" s="799"/>
      <c r="L419" s="799"/>
      <c r="M419" s="799"/>
      <c r="N419" s="799"/>
      <c r="O419" s="799"/>
      <c r="P419" s="799"/>
      <c r="Q419" s="799"/>
      <c r="R419" s="799"/>
      <c r="S419" s="799"/>
      <c r="T419" s="799"/>
      <c r="U419" s="799"/>
      <c r="V419" s="799"/>
      <c r="W419" s="799"/>
      <c r="X419" s="799"/>
      <c r="Y419" s="799"/>
      <c r="Z419" s="799"/>
      <c r="AA419" s="799"/>
      <c r="AB419" s="799"/>
      <c r="AC419" s="799"/>
      <c r="AD419" s="799"/>
      <c r="AE419" s="799"/>
      <c r="AF419" s="799"/>
      <c r="AG419" s="799"/>
      <c r="AH419" s="799"/>
      <c r="AI419" s="799"/>
      <c r="AJ419" s="799"/>
      <c r="AK419" s="799"/>
      <c r="AL419" s="799"/>
      <c r="AM419" s="799"/>
      <c r="AN419" s="799"/>
      <c r="AO419" s="799"/>
      <c r="AP419" s="799"/>
      <c r="AQ419" s="799"/>
      <c r="AR419" s="799"/>
      <c r="AS419" s="799"/>
      <c r="AT419" s="799"/>
      <c r="AU419" s="799"/>
      <c r="AV419" s="799"/>
      <c r="AW419" s="799"/>
      <c r="AX419" s="799"/>
      <c r="AY419" s="799"/>
      <c r="AZ419" s="799"/>
      <c r="BA419" s="799"/>
      <c r="BB419" s="799"/>
      <c r="BC419" s="799"/>
      <c r="BD419" s="799"/>
      <c r="BE419" s="799"/>
      <c r="BF419" s="799"/>
      <c r="BG419" s="799"/>
    </row>
    <row r="420">
      <c r="H420" s="799"/>
      <c r="I420" s="799"/>
      <c r="J420" s="799"/>
      <c r="K420" s="799"/>
      <c r="L420" s="799"/>
      <c r="M420" s="799"/>
      <c r="N420" s="799"/>
      <c r="O420" s="799"/>
      <c r="P420" s="799"/>
      <c r="Q420" s="799"/>
      <c r="R420" s="799"/>
      <c r="S420" s="799"/>
      <c r="T420" s="799"/>
      <c r="U420" s="799"/>
      <c r="V420" s="799"/>
      <c r="W420" s="799"/>
      <c r="X420" s="799"/>
      <c r="Y420" s="799"/>
      <c r="Z420" s="799"/>
      <c r="AA420" s="799"/>
      <c r="AB420" s="799"/>
      <c r="AC420" s="799"/>
      <c r="AD420" s="799"/>
      <c r="AE420" s="799"/>
      <c r="AF420" s="799"/>
      <c r="AG420" s="799"/>
      <c r="AH420" s="799"/>
      <c r="AI420" s="799"/>
      <c r="AJ420" s="799"/>
      <c r="AK420" s="799"/>
      <c r="AL420" s="799"/>
      <c r="AM420" s="799"/>
      <c r="AN420" s="799"/>
      <c r="AO420" s="799"/>
      <c r="AP420" s="799"/>
      <c r="AQ420" s="799"/>
      <c r="AR420" s="799"/>
      <c r="AS420" s="799"/>
      <c r="AT420" s="799"/>
      <c r="AU420" s="799"/>
      <c r="AV420" s="799"/>
      <c r="AW420" s="799"/>
      <c r="AX420" s="799"/>
      <c r="AY420" s="799"/>
      <c r="AZ420" s="799"/>
      <c r="BA420" s="799"/>
      <c r="BB420" s="799"/>
      <c r="BC420" s="799"/>
      <c r="BD420" s="799"/>
      <c r="BE420" s="799"/>
      <c r="BF420" s="799"/>
      <c r="BG420" s="799"/>
    </row>
    <row r="421">
      <c r="H421" s="799"/>
      <c r="I421" s="799"/>
      <c r="J421" s="799"/>
      <c r="K421" s="799"/>
      <c r="L421" s="799"/>
      <c r="M421" s="799"/>
      <c r="N421" s="799"/>
      <c r="O421" s="799"/>
      <c r="P421" s="799"/>
      <c r="Q421" s="799"/>
      <c r="R421" s="799"/>
      <c r="S421" s="799"/>
      <c r="T421" s="799"/>
      <c r="U421" s="799"/>
      <c r="V421" s="799"/>
      <c r="W421" s="799"/>
      <c r="X421" s="799"/>
      <c r="Y421" s="799"/>
      <c r="Z421" s="799"/>
      <c r="AA421" s="799"/>
      <c r="AB421" s="799"/>
      <c r="AC421" s="799"/>
      <c r="AD421" s="799"/>
      <c r="AE421" s="799"/>
      <c r="AF421" s="799"/>
      <c r="AG421" s="799"/>
      <c r="AH421" s="799"/>
      <c r="AI421" s="799"/>
      <c r="AJ421" s="799"/>
      <c r="AK421" s="799"/>
      <c r="AL421" s="799"/>
      <c r="AM421" s="799"/>
      <c r="AN421" s="799"/>
      <c r="AO421" s="799"/>
      <c r="AP421" s="799"/>
      <c r="AQ421" s="799"/>
      <c r="AR421" s="799"/>
      <c r="AS421" s="799"/>
      <c r="AT421" s="799"/>
      <c r="AU421" s="799"/>
      <c r="AV421" s="799"/>
      <c r="AW421" s="799"/>
      <c r="AX421" s="799"/>
      <c r="AY421" s="799"/>
      <c r="AZ421" s="799"/>
      <c r="BA421" s="799"/>
      <c r="BB421" s="799"/>
      <c r="BC421" s="799"/>
      <c r="BD421" s="799"/>
      <c r="BE421" s="799"/>
      <c r="BF421" s="799"/>
      <c r="BG421" s="799"/>
    </row>
    <row r="422">
      <c r="H422" s="799"/>
      <c r="I422" s="799"/>
      <c r="J422" s="799"/>
      <c r="K422" s="799"/>
      <c r="L422" s="799"/>
      <c r="M422" s="799"/>
      <c r="N422" s="799"/>
      <c r="O422" s="799"/>
      <c r="P422" s="799"/>
      <c r="Q422" s="799"/>
      <c r="R422" s="799"/>
      <c r="S422" s="799"/>
      <c r="T422" s="799"/>
      <c r="U422" s="799"/>
      <c r="V422" s="799"/>
      <c r="W422" s="799"/>
      <c r="X422" s="799"/>
      <c r="Y422" s="799"/>
      <c r="Z422" s="799"/>
      <c r="AA422" s="799"/>
      <c r="AB422" s="799"/>
      <c r="AC422" s="799"/>
      <c r="AD422" s="799"/>
      <c r="AE422" s="799"/>
      <c r="AF422" s="799"/>
      <c r="AG422" s="799"/>
      <c r="AH422" s="799"/>
      <c r="AI422" s="799"/>
      <c r="AJ422" s="799"/>
      <c r="AK422" s="799"/>
      <c r="AL422" s="799"/>
      <c r="AM422" s="799"/>
      <c r="AN422" s="799"/>
      <c r="AO422" s="799"/>
      <c r="AP422" s="799"/>
      <c r="AQ422" s="799"/>
      <c r="AR422" s="799"/>
      <c r="AS422" s="799"/>
      <c r="AT422" s="799"/>
      <c r="AU422" s="799"/>
      <c r="AV422" s="799"/>
      <c r="AW422" s="799"/>
      <c r="AX422" s="799"/>
      <c r="AY422" s="799"/>
      <c r="AZ422" s="799"/>
      <c r="BA422" s="799"/>
      <c r="BB422" s="799"/>
      <c r="BC422" s="799"/>
      <c r="BD422" s="799"/>
      <c r="BE422" s="799"/>
      <c r="BF422" s="799"/>
      <c r="BG422" s="799"/>
    </row>
    <row r="423">
      <c r="H423" s="799"/>
      <c r="I423" s="799"/>
      <c r="J423" s="799"/>
      <c r="K423" s="799"/>
      <c r="L423" s="799"/>
      <c r="M423" s="799"/>
      <c r="N423" s="799"/>
      <c r="O423" s="799"/>
      <c r="P423" s="799"/>
      <c r="Q423" s="799"/>
      <c r="R423" s="799"/>
      <c r="S423" s="799"/>
      <c r="T423" s="799"/>
      <c r="U423" s="799"/>
      <c r="V423" s="799"/>
      <c r="W423" s="799"/>
      <c r="X423" s="799"/>
      <c r="Y423" s="799"/>
      <c r="Z423" s="799"/>
      <c r="AA423" s="799"/>
      <c r="AB423" s="799"/>
      <c r="AC423" s="799"/>
      <c r="AD423" s="799"/>
      <c r="AE423" s="799"/>
      <c r="AF423" s="799"/>
      <c r="AG423" s="799"/>
      <c r="AH423" s="799"/>
      <c r="AI423" s="799"/>
      <c r="AJ423" s="799"/>
      <c r="AK423" s="799"/>
      <c r="AL423" s="799"/>
      <c r="AM423" s="799"/>
      <c r="AN423" s="799"/>
      <c r="AO423" s="799"/>
      <c r="AP423" s="799"/>
      <c r="AQ423" s="799"/>
      <c r="AR423" s="799"/>
      <c r="AS423" s="799"/>
      <c r="AT423" s="799"/>
      <c r="AU423" s="799"/>
      <c r="AV423" s="799"/>
      <c r="AW423" s="799"/>
      <c r="AX423" s="799"/>
      <c r="AY423" s="799"/>
      <c r="AZ423" s="799"/>
      <c r="BA423" s="799"/>
      <c r="BB423" s="799"/>
      <c r="BC423" s="799"/>
      <c r="BD423" s="799"/>
      <c r="BE423" s="799"/>
      <c r="BF423" s="799"/>
      <c r="BG423" s="799"/>
    </row>
    <row r="424">
      <c r="H424" s="799"/>
      <c r="I424" s="799"/>
      <c r="J424" s="799"/>
      <c r="K424" s="799"/>
      <c r="L424" s="799"/>
      <c r="M424" s="799"/>
      <c r="N424" s="799"/>
      <c r="O424" s="799"/>
      <c r="P424" s="799"/>
      <c r="Q424" s="799"/>
      <c r="R424" s="799"/>
      <c r="S424" s="799"/>
      <c r="T424" s="799"/>
      <c r="U424" s="799"/>
      <c r="V424" s="799"/>
      <c r="W424" s="799"/>
      <c r="X424" s="799"/>
      <c r="Y424" s="799"/>
      <c r="Z424" s="799"/>
      <c r="AA424" s="799"/>
      <c r="AB424" s="799"/>
      <c r="AC424" s="799"/>
      <c r="AD424" s="799"/>
      <c r="AE424" s="799"/>
      <c r="AF424" s="799"/>
      <c r="AG424" s="799"/>
      <c r="AH424" s="799"/>
      <c r="AI424" s="799"/>
      <c r="AJ424" s="799"/>
      <c r="AK424" s="799"/>
      <c r="AL424" s="799"/>
      <c r="AM424" s="799"/>
      <c r="AN424" s="799"/>
      <c r="AO424" s="799"/>
      <c r="AP424" s="799"/>
      <c r="AQ424" s="799"/>
      <c r="AR424" s="799"/>
      <c r="AS424" s="799"/>
      <c r="AT424" s="799"/>
      <c r="AU424" s="799"/>
      <c r="AV424" s="799"/>
      <c r="AW424" s="799"/>
      <c r="AX424" s="799"/>
      <c r="AY424" s="799"/>
      <c r="AZ424" s="799"/>
      <c r="BA424" s="799"/>
      <c r="BB424" s="799"/>
      <c r="BC424" s="799"/>
      <c r="BD424" s="799"/>
      <c r="BE424" s="799"/>
      <c r="BF424" s="799"/>
      <c r="BG424" s="799"/>
    </row>
    <row r="425">
      <c r="H425" s="799"/>
      <c r="I425" s="799"/>
      <c r="J425" s="799"/>
      <c r="K425" s="799"/>
      <c r="L425" s="799"/>
      <c r="M425" s="799"/>
      <c r="N425" s="799"/>
      <c r="O425" s="799"/>
      <c r="P425" s="799"/>
      <c r="Q425" s="799"/>
      <c r="R425" s="799"/>
      <c r="S425" s="799"/>
      <c r="T425" s="799"/>
      <c r="U425" s="799"/>
      <c r="V425" s="799"/>
      <c r="W425" s="799"/>
      <c r="X425" s="799"/>
      <c r="Y425" s="799"/>
      <c r="Z425" s="799"/>
      <c r="AA425" s="799"/>
      <c r="AB425" s="799"/>
      <c r="AC425" s="799"/>
      <c r="AD425" s="799"/>
      <c r="AE425" s="799"/>
      <c r="AF425" s="799"/>
      <c r="AG425" s="799"/>
      <c r="AH425" s="799"/>
      <c r="AI425" s="799"/>
      <c r="AJ425" s="799"/>
      <c r="AK425" s="799"/>
      <c r="AL425" s="799"/>
      <c r="AM425" s="799"/>
      <c r="AN425" s="799"/>
      <c r="AO425" s="799"/>
      <c r="AP425" s="799"/>
      <c r="AQ425" s="799"/>
      <c r="AR425" s="799"/>
      <c r="AS425" s="799"/>
      <c r="AT425" s="799"/>
      <c r="AU425" s="799"/>
      <c r="AV425" s="799"/>
      <c r="AW425" s="799"/>
      <c r="AX425" s="799"/>
      <c r="AY425" s="799"/>
      <c r="AZ425" s="799"/>
      <c r="BA425" s="799"/>
      <c r="BB425" s="799"/>
      <c r="BC425" s="799"/>
      <c r="BD425" s="799"/>
      <c r="BE425" s="799"/>
      <c r="BF425" s="799"/>
      <c r="BG425" s="799"/>
    </row>
    <row r="426">
      <c r="H426" s="799"/>
      <c r="I426" s="799"/>
      <c r="J426" s="799"/>
      <c r="K426" s="799"/>
      <c r="L426" s="799"/>
      <c r="M426" s="799"/>
      <c r="N426" s="799"/>
      <c r="O426" s="799"/>
      <c r="P426" s="799"/>
      <c r="Q426" s="799"/>
      <c r="R426" s="799"/>
      <c r="S426" s="799"/>
      <c r="T426" s="799"/>
      <c r="U426" s="799"/>
      <c r="V426" s="799"/>
      <c r="W426" s="799"/>
      <c r="X426" s="799"/>
      <c r="Y426" s="799"/>
      <c r="Z426" s="799"/>
      <c r="AA426" s="799"/>
      <c r="AB426" s="799"/>
      <c r="AC426" s="799"/>
      <c r="AD426" s="799"/>
      <c r="AE426" s="799"/>
      <c r="AF426" s="799"/>
      <c r="AG426" s="799"/>
      <c r="AH426" s="799"/>
      <c r="AI426" s="799"/>
      <c r="AJ426" s="799"/>
      <c r="AK426" s="799"/>
      <c r="AL426" s="799"/>
      <c r="AM426" s="799"/>
      <c r="AN426" s="799"/>
      <c r="AO426" s="799"/>
      <c r="AP426" s="799"/>
      <c r="AQ426" s="799"/>
      <c r="AR426" s="799"/>
      <c r="AS426" s="799"/>
      <c r="AT426" s="799"/>
      <c r="AU426" s="799"/>
      <c r="AV426" s="799"/>
      <c r="AW426" s="799"/>
      <c r="AX426" s="799"/>
      <c r="AY426" s="799"/>
      <c r="AZ426" s="799"/>
      <c r="BA426" s="799"/>
      <c r="BB426" s="799"/>
      <c r="BC426" s="799"/>
      <c r="BD426" s="799"/>
      <c r="BE426" s="799"/>
      <c r="BF426" s="799"/>
      <c r="BG426" s="799"/>
    </row>
    <row r="427">
      <c r="H427" s="799"/>
      <c r="I427" s="799"/>
      <c r="J427" s="799"/>
      <c r="K427" s="799"/>
      <c r="L427" s="799"/>
      <c r="M427" s="799"/>
      <c r="N427" s="799"/>
      <c r="O427" s="799"/>
      <c r="P427" s="799"/>
      <c r="Q427" s="799"/>
      <c r="R427" s="799"/>
      <c r="S427" s="799"/>
      <c r="T427" s="799"/>
      <c r="U427" s="799"/>
      <c r="V427" s="799"/>
      <c r="W427" s="799"/>
      <c r="X427" s="799"/>
      <c r="Y427" s="799"/>
      <c r="Z427" s="799"/>
      <c r="AA427" s="799"/>
      <c r="AB427" s="799"/>
      <c r="AC427" s="799"/>
      <c r="AD427" s="799"/>
      <c r="AE427" s="799"/>
      <c r="AF427" s="799"/>
      <c r="AG427" s="799"/>
      <c r="AH427" s="799"/>
      <c r="AI427" s="799"/>
      <c r="AJ427" s="799"/>
      <c r="AK427" s="799"/>
      <c r="AL427" s="799"/>
      <c r="AM427" s="799"/>
      <c r="AN427" s="799"/>
      <c r="AO427" s="799"/>
      <c r="AP427" s="799"/>
      <c r="AQ427" s="799"/>
      <c r="AR427" s="799"/>
      <c r="AS427" s="799"/>
      <c r="AT427" s="799"/>
      <c r="AU427" s="799"/>
      <c r="AV427" s="799"/>
      <c r="AW427" s="799"/>
      <c r="AX427" s="799"/>
      <c r="AY427" s="799"/>
      <c r="AZ427" s="799"/>
      <c r="BA427" s="799"/>
      <c r="BB427" s="799"/>
      <c r="BC427" s="799"/>
      <c r="BD427" s="799"/>
      <c r="BE427" s="799"/>
      <c r="BF427" s="799"/>
      <c r="BG427" s="799"/>
    </row>
    <row r="428">
      <c r="H428" s="799"/>
      <c r="I428" s="799"/>
      <c r="J428" s="799"/>
      <c r="K428" s="799"/>
      <c r="L428" s="799"/>
      <c r="M428" s="799"/>
      <c r="N428" s="799"/>
      <c r="O428" s="799"/>
      <c r="P428" s="799"/>
      <c r="Q428" s="799"/>
      <c r="R428" s="799"/>
      <c r="S428" s="799"/>
      <c r="T428" s="799"/>
      <c r="U428" s="799"/>
      <c r="V428" s="799"/>
      <c r="W428" s="799"/>
      <c r="X428" s="799"/>
      <c r="Y428" s="799"/>
      <c r="Z428" s="799"/>
      <c r="AA428" s="799"/>
      <c r="AB428" s="799"/>
      <c r="AC428" s="799"/>
      <c r="AD428" s="799"/>
      <c r="AE428" s="799"/>
      <c r="AF428" s="799"/>
      <c r="AG428" s="799"/>
      <c r="AH428" s="799"/>
      <c r="AI428" s="799"/>
      <c r="AJ428" s="799"/>
      <c r="AK428" s="799"/>
      <c r="AL428" s="799"/>
      <c r="AM428" s="799"/>
      <c r="AN428" s="799"/>
      <c r="AO428" s="799"/>
      <c r="AP428" s="799"/>
      <c r="AQ428" s="799"/>
      <c r="AR428" s="799"/>
      <c r="AS428" s="799"/>
      <c r="AT428" s="799"/>
      <c r="AU428" s="799"/>
      <c r="AV428" s="799"/>
      <c r="AW428" s="799"/>
      <c r="AX428" s="799"/>
      <c r="AY428" s="799"/>
      <c r="AZ428" s="799"/>
      <c r="BA428" s="799"/>
      <c r="BB428" s="799"/>
      <c r="BC428" s="799"/>
      <c r="BD428" s="799"/>
      <c r="BE428" s="799"/>
      <c r="BF428" s="799"/>
      <c r="BG428" s="799"/>
    </row>
    <row r="429">
      <c r="H429" s="799"/>
      <c r="I429" s="799"/>
      <c r="J429" s="799"/>
      <c r="K429" s="799"/>
      <c r="L429" s="799"/>
      <c r="M429" s="799"/>
      <c r="N429" s="799"/>
      <c r="O429" s="799"/>
      <c r="P429" s="799"/>
      <c r="Q429" s="799"/>
      <c r="R429" s="799"/>
      <c r="S429" s="799"/>
      <c r="T429" s="799"/>
      <c r="U429" s="799"/>
      <c r="V429" s="799"/>
      <c r="W429" s="799"/>
      <c r="X429" s="799"/>
      <c r="Y429" s="799"/>
      <c r="Z429" s="799"/>
      <c r="AA429" s="799"/>
      <c r="AB429" s="799"/>
      <c r="AC429" s="799"/>
      <c r="AD429" s="799"/>
      <c r="AE429" s="799"/>
      <c r="AF429" s="799"/>
      <c r="AG429" s="799"/>
      <c r="AH429" s="799"/>
      <c r="AI429" s="799"/>
      <c r="AJ429" s="799"/>
      <c r="AK429" s="799"/>
      <c r="AL429" s="799"/>
      <c r="AM429" s="799"/>
      <c r="AN429" s="799"/>
      <c r="AO429" s="799"/>
      <c r="AP429" s="799"/>
      <c r="AQ429" s="799"/>
      <c r="AR429" s="799"/>
      <c r="AS429" s="799"/>
      <c r="AT429" s="799"/>
      <c r="AU429" s="799"/>
      <c r="AV429" s="799"/>
      <c r="AW429" s="799"/>
      <c r="AX429" s="799"/>
      <c r="AY429" s="799"/>
      <c r="AZ429" s="799"/>
      <c r="BA429" s="799"/>
      <c r="BB429" s="799"/>
      <c r="BC429" s="799"/>
      <c r="BD429" s="799"/>
      <c r="BE429" s="799"/>
      <c r="BF429" s="799"/>
      <c r="BG429" s="799"/>
    </row>
    <row r="430">
      <c r="H430" s="799"/>
      <c r="I430" s="799"/>
      <c r="J430" s="799"/>
      <c r="K430" s="799"/>
      <c r="L430" s="799"/>
      <c r="M430" s="799"/>
      <c r="N430" s="799"/>
      <c r="O430" s="799"/>
      <c r="P430" s="799"/>
      <c r="Q430" s="799"/>
      <c r="R430" s="799"/>
      <c r="S430" s="799"/>
      <c r="T430" s="799"/>
      <c r="U430" s="799"/>
      <c r="V430" s="799"/>
      <c r="W430" s="799"/>
      <c r="X430" s="799"/>
      <c r="Y430" s="799"/>
      <c r="Z430" s="799"/>
      <c r="AA430" s="799"/>
      <c r="AB430" s="799"/>
      <c r="AC430" s="799"/>
      <c r="AD430" s="799"/>
      <c r="AE430" s="799"/>
      <c r="AF430" s="799"/>
      <c r="AG430" s="799"/>
      <c r="AH430" s="799"/>
      <c r="AI430" s="799"/>
      <c r="AJ430" s="799"/>
      <c r="AK430" s="799"/>
      <c r="AL430" s="799"/>
      <c r="AM430" s="799"/>
      <c r="AN430" s="799"/>
      <c r="AO430" s="799"/>
      <c r="AP430" s="799"/>
      <c r="AQ430" s="799"/>
      <c r="AR430" s="799"/>
      <c r="AS430" s="799"/>
      <c r="AT430" s="799"/>
      <c r="AU430" s="799"/>
      <c r="AV430" s="799"/>
      <c r="AW430" s="799"/>
      <c r="AX430" s="799"/>
      <c r="AY430" s="799"/>
      <c r="AZ430" s="799"/>
      <c r="BA430" s="799"/>
      <c r="BB430" s="799"/>
      <c r="BC430" s="799"/>
      <c r="BD430" s="799"/>
      <c r="BE430" s="799"/>
      <c r="BF430" s="799"/>
      <c r="BG430" s="799"/>
    </row>
    <row r="431">
      <c r="H431" s="799"/>
      <c r="I431" s="799"/>
      <c r="J431" s="799"/>
      <c r="K431" s="799"/>
      <c r="L431" s="799"/>
      <c r="M431" s="799"/>
      <c r="N431" s="799"/>
      <c r="O431" s="799"/>
      <c r="P431" s="799"/>
      <c r="Q431" s="799"/>
      <c r="R431" s="799"/>
      <c r="S431" s="799"/>
      <c r="T431" s="799"/>
      <c r="U431" s="799"/>
      <c r="V431" s="799"/>
      <c r="W431" s="799"/>
      <c r="X431" s="799"/>
      <c r="Y431" s="799"/>
      <c r="Z431" s="799"/>
      <c r="AA431" s="799"/>
      <c r="AB431" s="799"/>
      <c r="AC431" s="799"/>
      <c r="AD431" s="799"/>
      <c r="AE431" s="799"/>
      <c r="AF431" s="799"/>
      <c r="AG431" s="799"/>
      <c r="AH431" s="799"/>
      <c r="AI431" s="799"/>
      <c r="AJ431" s="799"/>
      <c r="AK431" s="799"/>
      <c r="AL431" s="799"/>
      <c r="AM431" s="799"/>
      <c r="AN431" s="799"/>
      <c r="AO431" s="799"/>
      <c r="AP431" s="799"/>
      <c r="AQ431" s="799"/>
      <c r="AR431" s="799"/>
      <c r="AS431" s="799"/>
      <c r="AT431" s="799"/>
      <c r="AU431" s="799"/>
      <c r="AV431" s="799"/>
      <c r="AW431" s="799"/>
      <c r="AX431" s="799"/>
      <c r="AY431" s="799"/>
      <c r="AZ431" s="799"/>
      <c r="BA431" s="799"/>
      <c r="BB431" s="799"/>
      <c r="BC431" s="799"/>
      <c r="BD431" s="799"/>
      <c r="BE431" s="799"/>
      <c r="BF431" s="799"/>
      <c r="BG431" s="799"/>
    </row>
    <row r="432">
      <c r="H432" s="799"/>
      <c r="I432" s="799"/>
      <c r="J432" s="799"/>
      <c r="K432" s="799"/>
      <c r="L432" s="799"/>
      <c r="M432" s="799"/>
      <c r="N432" s="799"/>
      <c r="O432" s="799"/>
      <c r="P432" s="799"/>
      <c r="Q432" s="799"/>
      <c r="R432" s="799"/>
      <c r="S432" s="799"/>
      <c r="T432" s="799"/>
      <c r="U432" s="799"/>
      <c r="V432" s="799"/>
      <c r="W432" s="799"/>
      <c r="X432" s="799"/>
      <c r="Y432" s="799"/>
      <c r="Z432" s="799"/>
      <c r="AA432" s="799"/>
      <c r="AB432" s="799"/>
      <c r="AC432" s="799"/>
      <c r="AD432" s="799"/>
      <c r="AE432" s="799"/>
      <c r="AF432" s="799"/>
      <c r="AG432" s="799"/>
      <c r="AH432" s="799"/>
      <c r="AI432" s="799"/>
      <c r="AJ432" s="799"/>
      <c r="AK432" s="799"/>
      <c r="AL432" s="799"/>
      <c r="AM432" s="799"/>
      <c r="AN432" s="799"/>
      <c r="AO432" s="799"/>
      <c r="AP432" s="799"/>
      <c r="AQ432" s="799"/>
      <c r="AR432" s="799"/>
      <c r="AS432" s="799"/>
      <c r="AT432" s="799"/>
      <c r="AU432" s="799"/>
      <c r="AV432" s="799"/>
      <c r="AW432" s="799"/>
      <c r="AX432" s="799"/>
      <c r="AY432" s="799"/>
      <c r="AZ432" s="799"/>
      <c r="BA432" s="799"/>
      <c r="BB432" s="799"/>
      <c r="BC432" s="799"/>
      <c r="BD432" s="799"/>
      <c r="BE432" s="799"/>
      <c r="BF432" s="799"/>
      <c r="BG432" s="799"/>
    </row>
    <row r="433">
      <c r="H433" s="799"/>
      <c r="I433" s="799"/>
      <c r="J433" s="799"/>
      <c r="K433" s="799"/>
      <c r="L433" s="799"/>
      <c r="M433" s="799"/>
      <c r="N433" s="799"/>
      <c r="O433" s="799"/>
      <c r="P433" s="799"/>
      <c r="Q433" s="799"/>
      <c r="R433" s="799"/>
      <c r="S433" s="799"/>
      <c r="T433" s="799"/>
      <c r="U433" s="799"/>
      <c r="V433" s="799"/>
      <c r="W433" s="799"/>
      <c r="X433" s="799"/>
      <c r="Y433" s="799"/>
      <c r="Z433" s="799"/>
      <c r="AA433" s="799"/>
      <c r="AB433" s="799"/>
      <c r="AC433" s="799"/>
      <c r="AD433" s="799"/>
      <c r="AE433" s="799"/>
      <c r="AF433" s="799"/>
      <c r="AG433" s="799"/>
      <c r="AH433" s="799"/>
      <c r="AI433" s="799"/>
      <c r="AJ433" s="799"/>
      <c r="AK433" s="799"/>
      <c r="AL433" s="799"/>
      <c r="AM433" s="799"/>
      <c r="AN433" s="799"/>
      <c r="AO433" s="799"/>
      <c r="AP433" s="799"/>
      <c r="AQ433" s="799"/>
      <c r="AR433" s="799"/>
      <c r="AS433" s="799"/>
      <c r="AT433" s="799"/>
      <c r="AU433" s="799"/>
      <c r="AV433" s="799"/>
      <c r="AW433" s="799"/>
      <c r="AX433" s="799"/>
      <c r="AY433" s="799"/>
      <c r="AZ433" s="799"/>
      <c r="BA433" s="799"/>
      <c r="BB433" s="799"/>
      <c r="BC433" s="799"/>
      <c r="BD433" s="799"/>
      <c r="BE433" s="799"/>
      <c r="BF433" s="799"/>
      <c r="BG433" s="799"/>
    </row>
    <row r="434">
      <c r="H434" s="799"/>
      <c r="I434" s="799"/>
      <c r="J434" s="799"/>
      <c r="K434" s="799"/>
      <c r="L434" s="799"/>
      <c r="M434" s="799"/>
      <c r="N434" s="799"/>
      <c r="O434" s="799"/>
      <c r="P434" s="799"/>
      <c r="Q434" s="799"/>
      <c r="R434" s="799"/>
      <c r="S434" s="799"/>
      <c r="T434" s="799"/>
      <c r="U434" s="799"/>
      <c r="V434" s="799"/>
      <c r="W434" s="799"/>
      <c r="X434" s="799"/>
      <c r="Y434" s="799"/>
      <c r="Z434" s="799"/>
      <c r="AA434" s="799"/>
      <c r="AB434" s="799"/>
      <c r="AC434" s="799"/>
      <c r="AD434" s="799"/>
      <c r="AE434" s="799"/>
      <c r="AF434" s="799"/>
      <c r="AG434" s="799"/>
      <c r="AH434" s="799"/>
      <c r="AI434" s="799"/>
      <c r="AJ434" s="799"/>
      <c r="AK434" s="799"/>
      <c r="AL434" s="799"/>
      <c r="AM434" s="799"/>
      <c r="AN434" s="799"/>
      <c r="AO434" s="799"/>
      <c r="AP434" s="799"/>
      <c r="AQ434" s="799"/>
      <c r="AR434" s="799"/>
      <c r="AS434" s="799"/>
      <c r="AT434" s="799"/>
      <c r="AU434" s="799"/>
      <c r="AV434" s="799"/>
      <c r="AW434" s="799"/>
      <c r="AX434" s="799"/>
      <c r="AY434" s="799"/>
      <c r="AZ434" s="799"/>
      <c r="BA434" s="799"/>
      <c r="BB434" s="799"/>
      <c r="BC434" s="799"/>
      <c r="BD434" s="799"/>
      <c r="BE434" s="799"/>
      <c r="BF434" s="799"/>
      <c r="BG434" s="799"/>
    </row>
    <row r="435">
      <c r="H435" s="799"/>
      <c r="I435" s="799"/>
      <c r="J435" s="799"/>
      <c r="K435" s="799"/>
      <c r="L435" s="799"/>
      <c r="M435" s="799"/>
      <c r="N435" s="799"/>
      <c r="O435" s="799"/>
      <c r="P435" s="799"/>
      <c r="Q435" s="799"/>
      <c r="R435" s="799"/>
      <c r="S435" s="799"/>
      <c r="T435" s="799"/>
      <c r="U435" s="799"/>
      <c r="V435" s="799"/>
      <c r="W435" s="799"/>
      <c r="X435" s="799"/>
      <c r="Y435" s="799"/>
      <c r="Z435" s="799"/>
      <c r="AA435" s="799"/>
      <c r="AB435" s="799"/>
      <c r="AC435" s="799"/>
      <c r="AD435" s="799"/>
      <c r="AE435" s="799"/>
      <c r="AF435" s="799"/>
      <c r="AG435" s="799"/>
      <c r="AH435" s="799"/>
      <c r="AI435" s="799"/>
      <c r="AJ435" s="799"/>
      <c r="AK435" s="799"/>
      <c r="AL435" s="799"/>
      <c r="AM435" s="799"/>
      <c r="AN435" s="799"/>
      <c r="AO435" s="799"/>
      <c r="AP435" s="799"/>
      <c r="AQ435" s="799"/>
      <c r="AR435" s="799"/>
      <c r="AS435" s="799"/>
      <c r="AT435" s="799"/>
      <c r="AU435" s="799"/>
      <c r="AV435" s="799"/>
      <c r="AW435" s="799"/>
      <c r="AX435" s="799"/>
      <c r="AY435" s="799"/>
      <c r="AZ435" s="799"/>
      <c r="BA435" s="799"/>
      <c r="BB435" s="799"/>
      <c r="BC435" s="799"/>
      <c r="BD435" s="799"/>
      <c r="BE435" s="799"/>
      <c r="BF435" s="799"/>
      <c r="BG435" s="799"/>
    </row>
    <row r="436">
      <c r="H436" s="799"/>
      <c r="I436" s="799"/>
      <c r="J436" s="799"/>
      <c r="K436" s="799"/>
      <c r="L436" s="799"/>
      <c r="M436" s="799"/>
      <c r="N436" s="799"/>
      <c r="O436" s="799"/>
      <c r="P436" s="799"/>
      <c r="Q436" s="799"/>
      <c r="R436" s="799"/>
      <c r="S436" s="799"/>
      <c r="T436" s="799"/>
      <c r="U436" s="799"/>
      <c r="V436" s="799"/>
      <c r="W436" s="799"/>
      <c r="X436" s="799"/>
      <c r="Y436" s="799"/>
      <c r="Z436" s="799"/>
      <c r="AA436" s="799"/>
      <c r="AB436" s="799"/>
      <c r="AC436" s="799"/>
      <c r="AD436" s="799"/>
      <c r="AE436" s="799"/>
      <c r="AF436" s="799"/>
      <c r="AG436" s="799"/>
      <c r="AH436" s="799"/>
      <c r="AI436" s="799"/>
      <c r="AJ436" s="799"/>
      <c r="AK436" s="799"/>
      <c r="AL436" s="799"/>
      <c r="AM436" s="799"/>
      <c r="AN436" s="799"/>
      <c r="AO436" s="799"/>
      <c r="AP436" s="799"/>
      <c r="AQ436" s="799"/>
      <c r="AR436" s="799"/>
      <c r="AS436" s="799"/>
      <c r="AT436" s="799"/>
      <c r="AU436" s="799"/>
      <c r="AV436" s="799"/>
      <c r="AW436" s="799"/>
      <c r="AX436" s="799"/>
      <c r="AY436" s="799"/>
      <c r="AZ436" s="799"/>
      <c r="BA436" s="799"/>
      <c r="BB436" s="799"/>
      <c r="BC436" s="799"/>
      <c r="BD436" s="799"/>
      <c r="BE436" s="799"/>
      <c r="BF436" s="799"/>
      <c r="BG436" s="799"/>
    </row>
    <row r="437">
      <c r="H437" s="799"/>
      <c r="I437" s="799"/>
      <c r="J437" s="799"/>
      <c r="K437" s="799"/>
      <c r="L437" s="799"/>
      <c r="M437" s="799"/>
      <c r="N437" s="799"/>
      <c r="O437" s="799"/>
      <c r="P437" s="799"/>
      <c r="Q437" s="799"/>
      <c r="R437" s="799"/>
      <c r="S437" s="799"/>
      <c r="T437" s="799"/>
      <c r="U437" s="799"/>
      <c r="V437" s="799"/>
      <c r="W437" s="799"/>
      <c r="X437" s="799"/>
      <c r="Y437" s="799"/>
      <c r="Z437" s="799"/>
      <c r="AA437" s="799"/>
      <c r="AB437" s="799"/>
      <c r="AC437" s="799"/>
      <c r="AD437" s="799"/>
      <c r="AE437" s="799"/>
      <c r="AF437" s="799"/>
      <c r="AG437" s="799"/>
      <c r="AH437" s="799"/>
      <c r="AI437" s="799"/>
      <c r="AJ437" s="799"/>
      <c r="AK437" s="799"/>
      <c r="AL437" s="799"/>
      <c r="AM437" s="799"/>
      <c r="AN437" s="799"/>
      <c r="AO437" s="799"/>
      <c r="AP437" s="799"/>
      <c r="AQ437" s="799"/>
      <c r="AR437" s="799"/>
      <c r="AS437" s="799"/>
      <c r="AT437" s="799"/>
      <c r="AU437" s="799"/>
      <c r="AV437" s="799"/>
      <c r="AW437" s="799"/>
      <c r="AX437" s="799"/>
      <c r="AY437" s="799"/>
      <c r="AZ437" s="799"/>
      <c r="BA437" s="799"/>
      <c r="BB437" s="799"/>
      <c r="BC437" s="799"/>
      <c r="BD437" s="799"/>
      <c r="BE437" s="799"/>
      <c r="BF437" s="799"/>
      <c r="BG437" s="799"/>
    </row>
    <row r="438">
      <c r="H438" s="799"/>
      <c r="I438" s="799"/>
      <c r="J438" s="799"/>
      <c r="K438" s="799"/>
      <c r="L438" s="799"/>
      <c r="M438" s="799"/>
      <c r="N438" s="799"/>
      <c r="O438" s="799"/>
      <c r="P438" s="799"/>
      <c r="Q438" s="799"/>
      <c r="R438" s="799"/>
      <c r="S438" s="799"/>
      <c r="T438" s="799"/>
      <c r="U438" s="799"/>
      <c r="V438" s="799"/>
      <c r="W438" s="799"/>
      <c r="X438" s="799"/>
      <c r="Y438" s="799"/>
      <c r="Z438" s="799"/>
      <c r="AA438" s="799"/>
      <c r="AB438" s="799"/>
      <c r="AC438" s="799"/>
      <c r="AD438" s="799"/>
      <c r="AE438" s="799"/>
      <c r="AF438" s="799"/>
      <c r="AG438" s="799"/>
      <c r="AH438" s="799"/>
      <c r="AI438" s="799"/>
      <c r="AJ438" s="799"/>
      <c r="AK438" s="799"/>
      <c r="AL438" s="799"/>
      <c r="AM438" s="799"/>
      <c r="AN438" s="799"/>
      <c r="AO438" s="799"/>
      <c r="AP438" s="799"/>
      <c r="AQ438" s="799"/>
      <c r="AR438" s="799"/>
      <c r="AS438" s="799"/>
      <c r="AT438" s="799"/>
      <c r="AU438" s="799"/>
      <c r="AV438" s="799"/>
      <c r="AW438" s="799"/>
      <c r="AX438" s="799"/>
      <c r="AY438" s="799"/>
      <c r="AZ438" s="799"/>
      <c r="BA438" s="799"/>
      <c r="BB438" s="799"/>
      <c r="BC438" s="799"/>
      <c r="BD438" s="799"/>
      <c r="BE438" s="799"/>
      <c r="BF438" s="799"/>
      <c r="BG438" s="799"/>
    </row>
    <row r="439">
      <c r="H439" s="799"/>
      <c r="I439" s="799"/>
      <c r="J439" s="799"/>
      <c r="K439" s="799"/>
      <c r="L439" s="799"/>
      <c r="M439" s="799"/>
      <c r="N439" s="799"/>
      <c r="O439" s="799"/>
      <c r="P439" s="799"/>
      <c r="Q439" s="799"/>
      <c r="R439" s="799"/>
      <c r="S439" s="799"/>
      <c r="T439" s="799"/>
      <c r="U439" s="799"/>
      <c r="V439" s="799"/>
      <c r="W439" s="799"/>
      <c r="X439" s="799"/>
      <c r="Y439" s="799"/>
      <c r="Z439" s="799"/>
      <c r="AA439" s="799"/>
      <c r="AB439" s="799"/>
      <c r="AC439" s="799"/>
      <c r="AD439" s="799"/>
      <c r="AE439" s="799"/>
      <c r="AF439" s="799"/>
      <c r="AG439" s="799"/>
      <c r="AH439" s="799"/>
      <c r="AI439" s="799"/>
      <c r="AJ439" s="799"/>
      <c r="AK439" s="799"/>
      <c r="AL439" s="799"/>
      <c r="AM439" s="799"/>
      <c r="AN439" s="799"/>
      <c r="AO439" s="799"/>
      <c r="AP439" s="799"/>
      <c r="AQ439" s="799"/>
      <c r="AR439" s="799"/>
      <c r="AS439" s="799"/>
      <c r="AT439" s="799"/>
      <c r="AU439" s="799"/>
      <c r="AV439" s="799"/>
      <c r="AW439" s="799"/>
      <c r="AX439" s="799"/>
      <c r="AY439" s="799"/>
      <c r="AZ439" s="799"/>
      <c r="BA439" s="799"/>
      <c r="BB439" s="799"/>
      <c r="BC439" s="799"/>
      <c r="BD439" s="799"/>
      <c r="BE439" s="799"/>
      <c r="BF439" s="799"/>
      <c r="BG439" s="799"/>
    </row>
    <row r="440">
      <c r="H440" s="799"/>
      <c r="I440" s="799"/>
      <c r="J440" s="799"/>
      <c r="K440" s="799"/>
      <c r="L440" s="799"/>
      <c r="M440" s="799"/>
      <c r="N440" s="799"/>
      <c r="O440" s="799"/>
      <c r="P440" s="799"/>
      <c r="Q440" s="799"/>
      <c r="R440" s="799"/>
      <c r="S440" s="799"/>
      <c r="T440" s="799"/>
      <c r="U440" s="799"/>
      <c r="V440" s="799"/>
      <c r="W440" s="799"/>
      <c r="X440" s="799"/>
      <c r="Y440" s="799"/>
      <c r="Z440" s="799"/>
      <c r="AA440" s="799"/>
      <c r="AB440" s="799"/>
      <c r="AC440" s="799"/>
      <c r="AD440" s="799"/>
      <c r="AE440" s="799"/>
      <c r="AF440" s="799"/>
      <c r="AG440" s="799"/>
      <c r="AH440" s="799"/>
      <c r="AI440" s="799"/>
      <c r="AJ440" s="799"/>
      <c r="AK440" s="799"/>
      <c r="AL440" s="799"/>
      <c r="AM440" s="799"/>
      <c r="AN440" s="799"/>
      <c r="AO440" s="799"/>
      <c r="AP440" s="799"/>
      <c r="AQ440" s="799"/>
      <c r="AR440" s="799"/>
      <c r="AS440" s="799"/>
      <c r="AT440" s="799"/>
      <c r="AU440" s="799"/>
      <c r="AV440" s="799"/>
      <c r="AW440" s="799"/>
      <c r="AX440" s="799"/>
      <c r="AY440" s="799"/>
      <c r="AZ440" s="799"/>
      <c r="BA440" s="799"/>
      <c r="BB440" s="799"/>
      <c r="BC440" s="799"/>
      <c r="BD440" s="799"/>
      <c r="BE440" s="799"/>
      <c r="BF440" s="799"/>
      <c r="BG440" s="799"/>
    </row>
    <row r="441">
      <c r="H441" s="799"/>
      <c r="I441" s="799"/>
      <c r="J441" s="799"/>
      <c r="K441" s="799"/>
      <c r="L441" s="799"/>
      <c r="M441" s="799"/>
      <c r="N441" s="799"/>
      <c r="O441" s="799"/>
      <c r="P441" s="799"/>
      <c r="Q441" s="799"/>
      <c r="R441" s="799"/>
      <c r="S441" s="799"/>
      <c r="T441" s="799"/>
      <c r="U441" s="799"/>
      <c r="V441" s="799"/>
      <c r="W441" s="799"/>
      <c r="X441" s="799"/>
      <c r="Y441" s="799"/>
      <c r="Z441" s="799"/>
      <c r="AA441" s="799"/>
      <c r="AB441" s="799"/>
      <c r="AC441" s="799"/>
      <c r="AD441" s="799"/>
      <c r="AE441" s="799"/>
      <c r="AF441" s="799"/>
      <c r="AG441" s="799"/>
      <c r="AH441" s="799"/>
      <c r="AI441" s="799"/>
      <c r="AJ441" s="799"/>
      <c r="AK441" s="799"/>
      <c r="AL441" s="799"/>
      <c r="AM441" s="799"/>
      <c r="AN441" s="799"/>
      <c r="AO441" s="799"/>
      <c r="AP441" s="799"/>
      <c r="AQ441" s="799"/>
      <c r="AR441" s="799"/>
      <c r="AS441" s="799"/>
      <c r="AT441" s="799"/>
      <c r="AU441" s="799"/>
      <c r="AV441" s="799"/>
      <c r="AW441" s="799"/>
      <c r="AX441" s="799"/>
      <c r="AY441" s="799"/>
      <c r="AZ441" s="799"/>
      <c r="BA441" s="799"/>
      <c r="BB441" s="799"/>
      <c r="BC441" s="799"/>
      <c r="BD441" s="799"/>
      <c r="BE441" s="799"/>
      <c r="BF441" s="799"/>
      <c r="BG441" s="799"/>
    </row>
    <row r="442">
      <c r="H442" s="799"/>
      <c r="I442" s="799"/>
      <c r="J442" s="799"/>
      <c r="K442" s="799"/>
      <c r="L442" s="799"/>
      <c r="M442" s="799"/>
      <c r="N442" s="799"/>
      <c r="O442" s="799"/>
      <c r="P442" s="799"/>
      <c r="Q442" s="799"/>
      <c r="R442" s="799"/>
      <c r="S442" s="799"/>
      <c r="T442" s="799"/>
      <c r="U442" s="799"/>
      <c r="V442" s="799"/>
      <c r="W442" s="799"/>
      <c r="X442" s="799"/>
      <c r="Y442" s="799"/>
      <c r="Z442" s="799"/>
      <c r="AA442" s="799"/>
      <c r="AB442" s="799"/>
      <c r="AC442" s="799"/>
      <c r="AD442" s="799"/>
      <c r="AE442" s="799"/>
      <c r="AF442" s="799"/>
      <c r="AG442" s="799"/>
      <c r="AH442" s="799"/>
      <c r="AI442" s="799"/>
      <c r="AJ442" s="799"/>
      <c r="AK442" s="799"/>
      <c r="AL442" s="799"/>
      <c r="AM442" s="799"/>
      <c r="AN442" s="799"/>
      <c r="AO442" s="799"/>
      <c r="AP442" s="799"/>
      <c r="AQ442" s="799"/>
      <c r="AR442" s="799"/>
      <c r="AS442" s="799"/>
      <c r="AT442" s="799"/>
      <c r="AU442" s="799"/>
      <c r="AV442" s="799"/>
      <c r="AW442" s="799"/>
      <c r="AX442" s="799"/>
      <c r="AY442" s="799"/>
      <c r="AZ442" s="799"/>
      <c r="BA442" s="799"/>
      <c r="BB442" s="799"/>
      <c r="BC442" s="799"/>
      <c r="BD442" s="799"/>
      <c r="BE442" s="799"/>
      <c r="BF442" s="799"/>
      <c r="BG442" s="799"/>
    </row>
    <row r="443">
      <c r="H443" s="799"/>
      <c r="I443" s="799"/>
      <c r="J443" s="799"/>
      <c r="K443" s="799"/>
      <c r="L443" s="799"/>
      <c r="M443" s="799"/>
      <c r="N443" s="799"/>
      <c r="O443" s="799"/>
      <c r="P443" s="799"/>
      <c r="Q443" s="799"/>
      <c r="R443" s="799"/>
      <c r="S443" s="799"/>
      <c r="T443" s="799"/>
      <c r="U443" s="799"/>
      <c r="V443" s="799"/>
      <c r="W443" s="799"/>
      <c r="X443" s="799"/>
      <c r="Y443" s="799"/>
      <c r="Z443" s="799"/>
      <c r="AA443" s="799"/>
      <c r="AB443" s="799"/>
      <c r="AC443" s="799"/>
      <c r="AD443" s="799"/>
      <c r="AE443" s="799"/>
      <c r="AF443" s="799"/>
      <c r="AG443" s="799"/>
      <c r="AH443" s="799"/>
      <c r="AI443" s="799"/>
      <c r="AJ443" s="799"/>
      <c r="AK443" s="799"/>
      <c r="AL443" s="799"/>
      <c r="AM443" s="799"/>
      <c r="AN443" s="799"/>
      <c r="AO443" s="799"/>
      <c r="AP443" s="799"/>
      <c r="AQ443" s="799"/>
      <c r="AR443" s="799"/>
      <c r="AS443" s="799"/>
      <c r="AT443" s="799"/>
      <c r="AU443" s="799"/>
      <c r="AV443" s="799"/>
      <c r="AW443" s="799"/>
      <c r="AX443" s="799"/>
      <c r="AY443" s="799"/>
      <c r="AZ443" s="799"/>
      <c r="BA443" s="799"/>
      <c r="BB443" s="799"/>
      <c r="BC443" s="799"/>
      <c r="BD443" s="799"/>
      <c r="BE443" s="799"/>
      <c r="BF443" s="799"/>
      <c r="BG443" s="799"/>
    </row>
    <row r="444">
      <c r="H444" s="799"/>
      <c r="I444" s="799"/>
      <c r="J444" s="799"/>
      <c r="K444" s="799"/>
      <c r="L444" s="799"/>
      <c r="M444" s="799"/>
      <c r="N444" s="799"/>
      <c r="O444" s="799"/>
      <c r="P444" s="799"/>
      <c r="Q444" s="799"/>
      <c r="R444" s="799"/>
      <c r="S444" s="799"/>
      <c r="T444" s="799"/>
      <c r="U444" s="799"/>
      <c r="V444" s="799"/>
      <c r="W444" s="799"/>
      <c r="X444" s="799"/>
      <c r="Y444" s="799"/>
      <c r="Z444" s="799"/>
      <c r="AA444" s="799"/>
      <c r="AB444" s="799"/>
      <c r="AC444" s="799"/>
      <c r="AD444" s="799"/>
      <c r="AE444" s="799"/>
      <c r="AF444" s="799"/>
      <c r="AG444" s="799"/>
      <c r="AH444" s="799"/>
      <c r="AI444" s="799"/>
      <c r="AJ444" s="799"/>
      <c r="AK444" s="799"/>
      <c r="AL444" s="799"/>
      <c r="AM444" s="799"/>
      <c r="AN444" s="799"/>
      <c r="AO444" s="799"/>
      <c r="AP444" s="799"/>
      <c r="AQ444" s="799"/>
      <c r="AR444" s="799"/>
      <c r="AS444" s="799"/>
      <c r="AT444" s="799"/>
      <c r="AU444" s="799"/>
      <c r="AV444" s="799"/>
      <c r="AW444" s="799"/>
      <c r="AX444" s="799"/>
      <c r="AY444" s="799"/>
      <c r="AZ444" s="799"/>
      <c r="BA444" s="799"/>
      <c r="BB444" s="799"/>
      <c r="BC444" s="799"/>
      <c r="BD444" s="799"/>
      <c r="BE444" s="799"/>
      <c r="BF444" s="799"/>
      <c r="BG444" s="799"/>
    </row>
    <row r="445">
      <c r="H445" s="799"/>
      <c r="I445" s="799"/>
      <c r="J445" s="799"/>
      <c r="K445" s="799"/>
      <c r="L445" s="799"/>
      <c r="M445" s="799"/>
      <c r="N445" s="799"/>
      <c r="O445" s="799"/>
      <c r="P445" s="799"/>
      <c r="Q445" s="799"/>
      <c r="R445" s="799"/>
      <c r="S445" s="799"/>
      <c r="T445" s="799"/>
      <c r="U445" s="799"/>
      <c r="V445" s="799"/>
      <c r="W445" s="799"/>
      <c r="X445" s="799"/>
      <c r="Y445" s="799"/>
      <c r="Z445" s="799"/>
      <c r="AA445" s="799"/>
      <c r="AB445" s="799"/>
      <c r="AC445" s="799"/>
      <c r="AD445" s="799"/>
      <c r="AE445" s="799"/>
      <c r="AF445" s="799"/>
      <c r="AG445" s="799"/>
      <c r="AH445" s="799"/>
      <c r="AI445" s="799"/>
      <c r="AJ445" s="799"/>
      <c r="AK445" s="799"/>
      <c r="AL445" s="799"/>
      <c r="AM445" s="799"/>
      <c r="AN445" s="799"/>
      <c r="AO445" s="799"/>
      <c r="AP445" s="799"/>
      <c r="AQ445" s="799"/>
      <c r="AR445" s="799"/>
      <c r="AS445" s="799"/>
      <c r="AT445" s="799"/>
      <c r="AU445" s="799"/>
      <c r="AV445" s="799"/>
      <c r="AW445" s="799"/>
      <c r="AX445" s="799"/>
      <c r="AY445" s="799"/>
      <c r="AZ445" s="799"/>
      <c r="BA445" s="799"/>
      <c r="BB445" s="799"/>
      <c r="BC445" s="799"/>
      <c r="BD445" s="799"/>
      <c r="BE445" s="799"/>
      <c r="BF445" s="799"/>
      <c r="BG445" s="799"/>
    </row>
    <row r="446">
      <c r="H446" s="799"/>
      <c r="I446" s="799"/>
      <c r="J446" s="799"/>
      <c r="K446" s="799"/>
      <c r="L446" s="799"/>
      <c r="M446" s="799"/>
      <c r="N446" s="799"/>
      <c r="O446" s="799"/>
      <c r="P446" s="799"/>
      <c r="Q446" s="799"/>
      <c r="R446" s="799"/>
      <c r="S446" s="799"/>
      <c r="T446" s="799"/>
      <c r="U446" s="799"/>
      <c r="V446" s="799"/>
      <c r="W446" s="799"/>
      <c r="X446" s="799"/>
      <c r="Y446" s="799"/>
      <c r="Z446" s="799"/>
      <c r="AA446" s="799"/>
      <c r="AB446" s="799"/>
      <c r="AC446" s="799"/>
      <c r="AD446" s="799"/>
      <c r="AE446" s="799"/>
      <c r="AF446" s="799"/>
      <c r="AG446" s="799"/>
      <c r="AH446" s="799"/>
      <c r="AI446" s="799"/>
      <c r="AJ446" s="799"/>
      <c r="AK446" s="799"/>
      <c r="AL446" s="799"/>
      <c r="AM446" s="799"/>
      <c r="AN446" s="799"/>
      <c r="AO446" s="799"/>
      <c r="AP446" s="799"/>
      <c r="AQ446" s="799"/>
      <c r="AR446" s="799"/>
      <c r="AS446" s="799"/>
      <c r="AT446" s="799"/>
      <c r="AU446" s="799"/>
      <c r="AV446" s="799"/>
      <c r="AW446" s="799"/>
      <c r="AX446" s="799"/>
      <c r="AY446" s="799"/>
      <c r="AZ446" s="799"/>
      <c r="BA446" s="799"/>
      <c r="BB446" s="799"/>
      <c r="BC446" s="799"/>
      <c r="BD446" s="799"/>
      <c r="BE446" s="799"/>
      <c r="BF446" s="799"/>
      <c r="BG446" s="799"/>
    </row>
    <row r="447">
      <c r="H447" s="799"/>
      <c r="I447" s="799"/>
      <c r="J447" s="799"/>
      <c r="K447" s="799"/>
      <c r="L447" s="799"/>
      <c r="M447" s="799"/>
      <c r="N447" s="799"/>
      <c r="O447" s="799"/>
      <c r="P447" s="799"/>
      <c r="Q447" s="799"/>
      <c r="R447" s="799"/>
      <c r="S447" s="799"/>
      <c r="T447" s="799"/>
      <c r="U447" s="799"/>
      <c r="V447" s="799"/>
      <c r="W447" s="799"/>
      <c r="X447" s="799"/>
      <c r="Y447" s="799"/>
      <c r="Z447" s="799"/>
      <c r="AA447" s="799"/>
      <c r="AB447" s="799"/>
      <c r="AC447" s="799"/>
      <c r="AD447" s="799"/>
      <c r="AE447" s="799"/>
      <c r="AF447" s="799"/>
      <c r="AG447" s="799"/>
      <c r="AH447" s="799"/>
      <c r="AI447" s="799"/>
      <c r="AJ447" s="799"/>
      <c r="AK447" s="799"/>
      <c r="AL447" s="799"/>
      <c r="AM447" s="799"/>
      <c r="AN447" s="799"/>
      <c r="AO447" s="799"/>
      <c r="AP447" s="799"/>
      <c r="AQ447" s="799"/>
      <c r="AR447" s="799"/>
      <c r="AS447" s="799"/>
      <c r="AT447" s="799"/>
      <c r="AU447" s="799"/>
      <c r="AV447" s="799"/>
      <c r="AW447" s="799"/>
      <c r="AX447" s="799"/>
      <c r="AY447" s="799"/>
      <c r="AZ447" s="799"/>
      <c r="BA447" s="799"/>
      <c r="BB447" s="799"/>
      <c r="BC447" s="799"/>
      <c r="BD447" s="799"/>
      <c r="BE447" s="799"/>
      <c r="BF447" s="799"/>
      <c r="BG447" s="799"/>
    </row>
    <row r="448">
      <c r="H448" s="799"/>
      <c r="I448" s="799"/>
      <c r="J448" s="799"/>
      <c r="K448" s="799"/>
      <c r="L448" s="799"/>
      <c r="M448" s="799"/>
      <c r="N448" s="799"/>
      <c r="O448" s="799"/>
      <c r="P448" s="799"/>
      <c r="Q448" s="799"/>
      <c r="R448" s="799"/>
      <c r="S448" s="799"/>
      <c r="T448" s="799"/>
      <c r="U448" s="799"/>
      <c r="V448" s="799"/>
      <c r="W448" s="799"/>
      <c r="X448" s="799"/>
      <c r="Y448" s="799"/>
      <c r="Z448" s="799"/>
      <c r="AA448" s="799"/>
      <c r="AB448" s="799"/>
      <c r="AC448" s="799"/>
      <c r="AD448" s="799"/>
      <c r="AE448" s="799"/>
      <c r="AF448" s="799"/>
      <c r="AG448" s="799"/>
      <c r="AH448" s="799"/>
      <c r="AI448" s="799"/>
      <c r="AJ448" s="799"/>
      <c r="AK448" s="799"/>
      <c r="AL448" s="799"/>
      <c r="AM448" s="799"/>
      <c r="AN448" s="799"/>
      <c r="AO448" s="799"/>
      <c r="AP448" s="799"/>
      <c r="AQ448" s="799"/>
      <c r="AR448" s="799"/>
      <c r="AS448" s="799"/>
      <c r="AT448" s="799"/>
      <c r="AU448" s="799"/>
      <c r="AV448" s="799"/>
      <c r="AW448" s="799"/>
      <c r="AX448" s="799"/>
      <c r="AY448" s="799"/>
      <c r="AZ448" s="799"/>
      <c r="BA448" s="799"/>
      <c r="BB448" s="799"/>
      <c r="BC448" s="799"/>
      <c r="BD448" s="799"/>
      <c r="BE448" s="799"/>
      <c r="BF448" s="799"/>
      <c r="BG448" s="799"/>
    </row>
    <row r="449">
      <c r="H449" s="799"/>
      <c r="I449" s="799"/>
      <c r="J449" s="799"/>
      <c r="K449" s="799"/>
      <c r="L449" s="799"/>
      <c r="M449" s="799"/>
      <c r="N449" s="799"/>
      <c r="O449" s="799"/>
      <c r="P449" s="799"/>
      <c r="Q449" s="799"/>
      <c r="R449" s="799"/>
      <c r="S449" s="799"/>
      <c r="T449" s="799"/>
      <c r="U449" s="799"/>
      <c r="V449" s="799"/>
      <c r="W449" s="799"/>
      <c r="X449" s="799"/>
      <c r="Y449" s="799"/>
      <c r="Z449" s="799"/>
      <c r="AA449" s="799"/>
      <c r="AB449" s="799"/>
      <c r="AC449" s="799"/>
      <c r="AD449" s="799"/>
      <c r="AE449" s="799"/>
      <c r="AF449" s="799"/>
      <c r="AG449" s="799"/>
      <c r="AH449" s="799"/>
      <c r="AI449" s="799"/>
      <c r="AJ449" s="799"/>
      <c r="AK449" s="799"/>
      <c r="AL449" s="799"/>
      <c r="AM449" s="799"/>
      <c r="AN449" s="799"/>
      <c r="AO449" s="799"/>
      <c r="AP449" s="799"/>
      <c r="AQ449" s="799"/>
      <c r="AR449" s="799"/>
      <c r="AS449" s="799"/>
      <c r="AT449" s="799"/>
      <c r="AU449" s="799"/>
      <c r="AV449" s="799"/>
      <c r="AW449" s="799"/>
      <c r="AX449" s="799"/>
      <c r="AY449" s="799"/>
      <c r="AZ449" s="799"/>
      <c r="BA449" s="799"/>
      <c r="BB449" s="799"/>
      <c r="BC449" s="799"/>
      <c r="BD449" s="799"/>
      <c r="BE449" s="799"/>
      <c r="BF449" s="799"/>
      <c r="BG449" s="799"/>
    </row>
    <row r="450">
      <c r="H450" s="799"/>
      <c r="I450" s="799"/>
      <c r="J450" s="799"/>
      <c r="K450" s="799"/>
      <c r="L450" s="799"/>
      <c r="M450" s="799"/>
      <c r="N450" s="799"/>
      <c r="O450" s="799"/>
      <c r="P450" s="799"/>
      <c r="Q450" s="799"/>
      <c r="R450" s="799"/>
      <c r="S450" s="799"/>
      <c r="T450" s="799"/>
      <c r="U450" s="799"/>
      <c r="V450" s="799"/>
      <c r="W450" s="799"/>
      <c r="X450" s="799"/>
      <c r="Y450" s="799"/>
      <c r="Z450" s="799"/>
      <c r="AA450" s="799"/>
      <c r="AB450" s="799"/>
      <c r="AC450" s="799"/>
      <c r="AD450" s="799"/>
      <c r="AE450" s="799"/>
      <c r="AF450" s="799"/>
      <c r="AG450" s="799"/>
      <c r="AH450" s="799"/>
      <c r="AI450" s="799"/>
      <c r="AJ450" s="799"/>
      <c r="AK450" s="799"/>
      <c r="AL450" s="799"/>
      <c r="AM450" s="799"/>
      <c r="AN450" s="799"/>
      <c r="AO450" s="799"/>
      <c r="AP450" s="799"/>
      <c r="AQ450" s="799"/>
      <c r="AR450" s="799"/>
      <c r="AS450" s="799"/>
      <c r="AT450" s="799"/>
      <c r="AU450" s="799"/>
      <c r="AV450" s="799"/>
      <c r="AW450" s="799"/>
      <c r="AX450" s="799"/>
      <c r="AY450" s="799"/>
      <c r="AZ450" s="799"/>
      <c r="BA450" s="799"/>
      <c r="BB450" s="799"/>
      <c r="BC450" s="799"/>
      <c r="BD450" s="799"/>
      <c r="BE450" s="799"/>
      <c r="BF450" s="799"/>
      <c r="BG450" s="799"/>
    </row>
    <row r="451">
      <c r="H451" s="799"/>
      <c r="I451" s="799"/>
      <c r="J451" s="799"/>
      <c r="K451" s="799"/>
      <c r="L451" s="799"/>
      <c r="M451" s="799"/>
      <c r="N451" s="799"/>
      <c r="O451" s="799"/>
      <c r="P451" s="799"/>
      <c r="Q451" s="799"/>
      <c r="R451" s="799"/>
      <c r="S451" s="799"/>
      <c r="T451" s="799"/>
      <c r="U451" s="799"/>
      <c r="V451" s="799"/>
      <c r="W451" s="799"/>
      <c r="X451" s="799"/>
      <c r="Y451" s="799"/>
      <c r="Z451" s="799"/>
      <c r="AA451" s="799"/>
      <c r="AB451" s="799"/>
      <c r="AC451" s="799"/>
      <c r="AD451" s="799"/>
      <c r="AE451" s="799"/>
      <c r="AF451" s="799"/>
      <c r="AG451" s="799"/>
      <c r="AH451" s="799"/>
      <c r="AI451" s="799"/>
      <c r="AJ451" s="799"/>
      <c r="AK451" s="799"/>
      <c r="AL451" s="799"/>
      <c r="AM451" s="799"/>
      <c r="AN451" s="799"/>
      <c r="AO451" s="799"/>
      <c r="AP451" s="799"/>
      <c r="AQ451" s="799"/>
      <c r="AR451" s="799"/>
      <c r="AS451" s="799"/>
      <c r="AT451" s="799"/>
      <c r="AU451" s="799"/>
      <c r="AV451" s="799"/>
      <c r="AW451" s="799"/>
      <c r="AX451" s="799"/>
      <c r="AY451" s="799"/>
      <c r="AZ451" s="799"/>
      <c r="BA451" s="799"/>
      <c r="BB451" s="799"/>
      <c r="BC451" s="799"/>
      <c r="BD451" s="799"/>
      <c r="BE451" s="799"/>
      <c r="BF451" s="799"/>
      <c r="BG451" s="799"/>
    </row>
    <row r="452">
      <c r="H452" s="799"/>
      <c r="I452" s="799"/>
      <c r="J452" s="799"/>
      <c r="K452" s="799"/>
      <c r="L452" s="799"/>
      <c r="M452" s="799"/>
      <c r="N452" s="799"/>
      <c r="O452" s="799"/>
      <c r="P452" s="799"/>
      <c r="Q452" s="799"/>
      <c r="R452" s="799"/>
      <c r="S452" s="799"/>
      <c r="T452" s="799"/>
      <c r="U452" s="799"/>
      <c r="V452" s="799"/>
      <c r="W452" s="799"/>
      <c r="X452" s="799"/>
      <c r="Y452" s="799"/>
      <c r="Z452" s="799"/>
      <c r="AA452" s="799"/>
      <c r="AB452" s="799"/>
      <c r="AC452" s="799"/>
      <c r="AD452" s="799"/>
      <c r="AE452" s="799"/>
      <c r="AF452" s="799"/>
      <c r="AG452" s="799"/>
      <c r="AH452" s="799"/>
      <c r="AI452" s="799"/>
      <c r="AJ452" s="799"/>
      <c r="AK452" s="799"/>
      <c r="AL452" s="799"/>
      <c r="AM452" s="799"/>
      <c r="AN452" s="799"/>
      <c r="AO452" s="799"/>
      <c r="AP452" s="799"/>
      <c r="AQ452" s="799"/>
      <c r="AR452" s="799"/>
      <c r="AS452" s="799"/>
      <c r="AT452" s="799"/>
      <c r="AU452" s="799"/>
      <c r="AV452" s="799"/>
      <c r="AW452" s="799"/>
      <c r="AX452" s="799"/>
      <c r="AY452" s="799"/>
      <c r="AZ452" s="799"/>
      <c r="BA452" s="799"/>
      <c r="BB452" s="799"/>
      <c r="BC452" s="799"/>
      <c r="BD452" s="799"/>
      <c r="BE452" s="799"/>
      <c r="BF452" s="799"/>
      <c r="BG452" s="799"/>
    </row>
    <row r="453">
      <c r="H453" s="799"/>
      <c r="I453" s="799"/>
      <c r="J453" s="799"/>
      <c r="K453" s="799"/>
      <c r="L453" s="799"/>
      <c r="M453" s="799"/>
      <c r="N453" s="799"/>
      <c r="O453" s="799"/>
      <c r="P453" s="799"/>
      <c r="Q453" s="799"/>
      <c r="R453" s="799"/>
      <c r="S453" s="799"/>
      <c r="T453" s="799"/>
      <c r="U453" s="799"/>
      <c r="V453" s="799"/>
      <c r="W453" s="799"/>
      <c r="X453" s="799"/>
      <c r="Y453" s="799"/>
      <c r="Z453" s="799"/>
      <c r="AA453" s="799"/>
      <c r="AB453" s="799"/>
      <c r="AC453" s="799"/>
      <c r="AD453" s="799"/>
      <c r="AE453" s="799"/>
      <c r="AF453" s="799"/>
      <c r="AG453" s="799"/>
      <c r="AH453" s="799"/>
      <c r="AI453" s="799"/>
      <c r="AJ453" s="799"/>
      <c r="AK453" s="799"/>
      <c r="AL453" s="799"/>
      <c r="AM453" s="799"/>
      <c r="AN453" s="799"/>
      <c r="AO453" s="799"/>
      <c r="AP453" s="799"/>
      <c r="AQ453" s="799"/>
      <c r="AR453" s="799"/>
      <c r="AS453" s="799"/>
      <c r="AT453" s="799"/>
      <c r="AU453" s="799"/>
      <c r="AV453" s="799"/>
      <c r="AW453" s="799"/>
      <c r="AX453" s="799"/>
      <c r="AY453" s="799"/>
      <c r="AZ453" s="799"/>
      <c r="BA453" s="799"/>
      <c r="BB453" s="799"/>
      <c r="BC453" s="799"/>
      <c r="BD453" s="799"/>
      <c r="BE453" s="799"/>
      <c r="BF453" s="799"/>
      <c r="BG453" s="799"/>
    </row>
    <row r="454">
      <c r="H454" s="799"/>
      <c r="I454" s="799"/>
      <c r="J454" s="799"/>
      <c r="K454" s="799"/>
      <c r="L454" s="799"/>
      <c r="M454" s="799"/>
      <c r="N454" s="799"/>
      <c r="O454" s="799"/>
      <c r="P454" s="799"/>
      <c r="Q454" s="799"/>
      <c r="R454" s="799"/>
      <c r="S454" s="799"/>
      <c r="T454" s="799"/>
      <c r="U454" s="799"/>
      <c r="V454" s="799"/>
      <c r="W454" s="799"/>
      <c r="X454" s="799"/>
      <c r="Y454" s="799"/>
      <c r="Z454" s="799"/>
      <c r="AA454" s="799"/>
      <c r="AB454" s="799"/>
      <c r="AC454" s="799"/>
      <c r="AD454" s="799"/>
      <c r="AE454" s="799"/>
      <c r="AF454" s="799"/>
      <c r="AG454" s="799"/>
      <c r="AH454" s="799"/>
      <c r="AI454" s="799"/>
      <c r="AJ454" s="799"/>
      <c r="AK454" s="799"/>
      <c r="AL454" s="799"/>
      <c r="AM454" s="799"/>
      <c r="AN454" s="799"/>
      <c r="AO454" s="799"/>
      <c r="AP454" s="799"/>
      <c r="AQ454" s="799"/>
      <c r="AR454" s="799"/>
      <c r="AS454" s="799"/>
      <c r="AT454" s="799"/>
      <c r="AU454" s="799"/>
      <c r="AV454" s="799"/>
      <c r="AW454" s="799"/>
      <c r="AX454" s="799"/>
      <c r="AY454" s="799"/>
      <c r="AZ454" s="799"/>
      <c r="BA454" s="799"/>
      <c r="BB454" s="799"/>
      <c r="BC454" s="799"/>
      <c r="BD454" s="799"/>
      <c r="BE454" s="799"/>
      <c r="BF454" s="799"/>
      <c r="BG454" s="799"/>
    </row>
    <row r="455">
      <c r="H455" s="799"/>
      <c r="I455" s="799"/>
      <c r="J455" s="799"/>
      <c r="K455" s="799"/>
      <c r="L455" s="799"/>
      <c r="M455" s="799"/>
      <c r="N455" s="799"/>
      <c r="O455" s="799"/>
      <c r="P455" s="799"/>
      <c r="Q455" s="799"/>
      <c r="R455" s="799"/>
      <c r="S455" s="799"/>
      <c r="T455" s="799"/>
      <c r="U455" s="799"/>
      <c r="V455" s="799"/>
      <c r="W455" s="799"/>
      <c r="X455" s="799"/>
      <c r="Y455" s="799"/>
      <c r="Z455" s="799"/>
      <c r="AA455" s="799"/>
      <c r="AB455" s="799"/>
      <c r="AC455" s="799"/>
      <c r="AD455" s="799"/>
      <c r="AE455" s="799"/>
      <c r="AF455" s="799"/>
      <c r="AG455" s="799"/>
      <c r="AH455" s="799"/>
      <c r="AI455" s="799"/>
      <c r="AJ455" s="799"/>
      <c r="AK455" s="799"/>
      <c r="AL455" s="799"/>
      <c r="AM455" s="799"/>
      <c r="AN455" s="799"/>
      <c r="AO455" s="799"/>
      <c r="AP455" s="799"/>
      <c r="AQ455" s="799"/>
      <c r="AR455" s="799"/>
      <c r="AS455" s="799"/>
      <c r="AT455" s="799"/>
      <c r="AU455" s="799"/>
      <c r="AV455" s="799"/>
      <c r="AW455" s="799"/>
      <c r="AX455" s="799"/>
      <c r="AY455" s="799"/>
      <c r="AZ455" s="799"/>
      <c r="BA455" s="799"/>
      <c r="BB455" s="799"/>
      <c r="BC455" s="799"/>
      <c r="BD455" s="799"/>
      <c r="BE455" s="799"/>
      <c r="BF455" s="799"/>
      <c r="BG455" s="799"/>
    </row>
    <row r="456">
      <c r="H456" s="799"/>
      <c r="I456" s="799"/>
      <c r="J456" s="799"/>
      <c r="K456" s="799"/>
      <c r="L456" s="799"/>
      <c r="M456" s="799"/>
      <c r="N456" s="799"/>
      <c r="O456" s="799"/>
      <c r="P456" s="799"/>
      <c r="Q456" s="799"/>
      <c r="R456" s="799"/>
      <c r="S456" s="799"/>
      <c r="T456" s="799"/>
      <c r="U456" s="799"/>
      <c r="V456" s="799"/>
      <c r="W456" s="799"/>
      <c r="X456" s="799"/>
      <c r="Y456" s="799"/>
      <c r="Z456" s="799"/>
      <c r="AA456" s="799"/>
      <c r="AB456" s="799"/>
      <c r="AC456" s="799"/>
      <c r="AD456" s="799"/>
      <c r="AE456" s="799"/>
      <c r="AF456" s="799"/>
      <c r="AG456" s="799"/>
      <c r="AH456" s="799"/>
      <c r="AI456" s="799"/>
      <c r="AJ456" s="799"/>
      <c r="AK456" s="799"/>
      <c r="AL456" s="799"/>
      <c r="AM456" s="799"/>
      <c r="AN456" s="799"/>
      <c r="AO456" s="799"/>
      <c r="AP456" s="799"/>
      <c r="AQ456" s="799"/>
      <c r="AR456" s="799"/>
      <c r="AS456" s="799"/>
      <c r="AT456" s="799"/>
      <c r="AU456" s="799"/>
      <c r="AV456" s="799"/>
      <c r="AW456" s="799"/>
      <c r="AX456" s="799"/>
      <c r="AY456" s="799"/>
      <c r="AZ456" s="799"/>
      <c r="BA456" s="799"/>
      <c r="BB456" s="799"/>
      <c r="BC456" s="799"/>
      <c r="BD456" s="799"/>
      <c r="BE456" s="799"/>
      <c r="BF456" s="799"/>
      <c r="BG456" s="799"/>
    </row>
    <row r="457">
      <c r="H457" s="799"/>
      <c r="I457" s="799"/>
      <c r="J457" s="799"/>
      <c r="K457" s="799"/>
      <c r="L457" s="799"/>
      <c r="M457" s="799"/>
      <c r="N457" s="799"/>
      <c r="O457" s="799"/>
      <c r="P457" s="799"/>
      <c r="Q457" s="799"/>
      <c r="R457" s="799"/>
      <c r="S457" s="799"/>
      <c r="T457" s="799"/>
      <c r="U457" s="799"/>
      <c r="V457" s="799"/>
      <c r="W457" s="799"/>
      <c r="X457" s="799"/>
      <c r="Y457" s="799"/>
      <c r="Z457" s="799"/>
      <c r="AA457" s="799"/>
      <c r="AB457" s="799"/>
      <c r="AC457" s="799"/>
      <c r="AD457" s="799"/>
      <c r="AE457" s="799"/>
      <c r="AF457" s="799"/>
      <c r="AG457" s="799"/>
      <c r="AH457" s="799"/>
      <c r="AI457" s="799"/>
      <c r="AJ457" s="799"/>
      <c r="AK457" s="799"/>
      <c r="AL457" s="799"/>
      <c r="AM457" s="799"/>
      <c r="AN457" s="799"/>
      <c r="AO457" s="799"/>
      <c r="AP457" s="799"/>
      <c r="AQ457" s="799"/>
      <c r="AR457" s="799"/>
      <c r="AS457" s="799"/>
      <c r="AT457" s="799"/>
      <c r="AU457" s="799"/>
      <c r="AV457" s="799"/>
      <c r="AW457" s="799"/>
      <c r="AX457" s="799"/>
      <c r="AY457" s="799"/>
      <c r="AZ457" s="799"/>
      <c r="BA457" s="799"/>
      <c r="BB457" s="799"/>
      <c r="BC457" s="799"/>
      <c r="BD457" s="799"/>
      <c r="BE457" s="799"/>
      <c r="BF457" s="799"/>
      <c r="BG457" s="799"/>
    </row>
    <row r="458">
      <c r="H458" s="799"/>
      <c r="I458" s="799"/>
      <c r="J458" s="799"/>
      <c r="K458" s="799"/>
      <c r="L458" s="799"/>
      <c r="M458" s="799"/>
      <c r="N458" s="799"/>
      <c r="O458" s="799"/>
      <c r="P458" s="799"/>
      <c r="Q458" s="799"/>
      <c r="R458" s="799"/>
      <c r="S458" s="799"/>
      <c r="T458" s="799"/>
      <c r="U458" s="799"/>
      <c r="V458" s="799"/>
      <c r="W458" s="799"/>
      <c r="X458" s="799"/>
      <c r="Y458" s="799"/>
      <c r="Z458" s="799"/>
      <c r="AA458" s="799"/>
      <c r="AB458" s="799"/>
      <c r="AC458" s="799"/>
      <c r="AD458" s="799"/>
      <c r="AE458" s="799"/>
      <c r="AF458" s="799"/>
      <c r="AG458" s="799"/>
      <c r="AH458" s="799"/>
      <c r="AI458" s="799"/>
      <c r="AJ458" s="799"/>
      <c r="AK458" s="799"/>
      <c r="AL458" s="799"/>
      <c r="AM458" s="799"/>
      <c r="AN458" s="799"/>
      <c r="AO458" s="799"/>
      <c r="AP458" s="799"/>
      <c r="AQ458" s="799"/>
      <c r="AR458" s="799"/>
      <c r="AS458" s="799"/>
      <c r="AT458" s="799"/>
      <c r="AU458" s="799"/>
      <c r="AV458" s="799"/>
      <c r="AW458" s="799"/>
      <c r="AX458" s="799"/>
      <c r="AY458" s="799"/>
      <c r="AZ458" s="799"/>
      <c r="BA458" s="799"/>
      <c r="BB458" s="799"/>
      <c r="BC458" s="799"/>
      <c r="BD458" s="799"/>
      <c r="BE458" s="799"/>
      <c r="BF458" s="799"/>
      <c r="BG458" s="799"/>
    </row>
    <row r="459">
      <c r="H459" s="799"/>
      <c r="I459" s="799"/>
      <c r="J459" s="799"/>
      <c r="K459" s="799"/>
      <c r="L459" s="799"/>
      <c r="M459" s="799"/>
      <c r="N459" s="799"/>
      <c r="O459" s="799"/>
      <c r="P459" s="799"/>
      <c r="Q459" s="799"/>
      <c r="R459" s="799"/>
      <c r="S459" s="799"/>
      <c r="T459" s="799"/>
      <c r="U459" s="799"/>
      <c r="V459" s="799"/>
      <c r="W459" s="799"/>
      <c r="X459" s="799"/>
      <c r="Y459" s="799"/>
      <c r="Z459" s="799"/>
      <c r="AA459" s="799"/>
      <c r="AB459" s="799"/>
      <c r="AC459" s="799"/>
      <c r="AD459" s="799"/>
      <c r="AE459" s="799"/>
      <c r="AF459" s="799"/>
      <c r="AG459" s="799"/>
      <c r="AH459" s="799"/>
      <c r="AI459" s="799"/>
      <c r="AJ459" s="799"/>
      <c r="AK459" s="799"/>
      <c r="AL459" s="799"/>
      <c r="AM459" s="799"/>
      <c r="AN459" s="799"/>
      <c r="AO459" s="799"/>
      <c r="AP459" s="799"/>
      <c r="AQ459" s="799"/>
      <c r="AR459" s="799"/>
      <c r="AS459" s="799"/>
      <c r="AT459" s="799"/>
      <c r="AU459" s="799"/>
      <c r="AV459" s="799"/>
      <c r="AW459" s="799"/>
      <c r="AX459" s="799"/>
      <c r="AY459" s="799"/>
      <c r="AZ459" s="799"/>
      <c r="BA459" s="799"/>
      <c r="BB459" s="799"/>
      <c r="BC459" s="799"/>
      <c r="BD459" s="799"/>
      <c r="BE459" s="799"/>
      <c r="BF459" s="799"/>
      <c r="BG459" s="799"/>
    </row>
    <row r="460">
      <c r="H460" s="799"/>
      <c r="I460" s="799"/>
      <c r="J460" s="799"/>
      <c r="K460" s="799"/>
      <c r="L460" s="799"/>
      <c r="M460" s="799"/>
      <c r="N460" s="799"/>
      <c r="O460" s="799"/>
      <c r="P460" s="799"/>
      <c r="Q460" s="799"/>
      <c r="R460" s="799"/>
      <c r="S460" s="799"/>
      <c r="T460" s="799"/>
      <c r="U460" s="799"/>
      <c r="V460" s="799"/>
      <c r="W460" s="799"/>
      <c r="X460" s="799"/>
      <c r="Y460" s="799"/>
      <c r="Z460" s="799"/>
      <c r="AA460" s="799"/>
      <c r="AB460" s="799"/>
      <c r="AC460" s="799"/>
      <c r="AD460" s="799"/>
      <c r="AE460" s="799"/>
      <c r="AF460" s="799"/>
      <c r="AG460" s="799"/>
      <c r="AH460" s="799"/>
      <c r="AI460" s="799"/>
      <c r="AJ460" s="799"/>
      <c r="AK460" s="799"/>
      <c r="AL460" s="799"/>
      <c r="AM460" s="799"/>
      <c r="AN460" s="799"/>
      <c r="AO460" s="799"/>
      <c r="AP460" s="799"/>
      <c r="AQ460" s="799"/>
      <c r="AR460" s="799"/>
      <c r="AS460" s="799"/>
      <c r="AT460" s="799"/>
      <c r="AU460" s="799"/>
      <c r="AV460" s="799"/>
      <c r="AW460" s="799"/>
      <c r="AX460" s="799"/>
      <c r="AY460" s="799"/>
      <c r="AZ460" s="799"/>
      <c r="BA460" s="799"/>
      <c r="BB460" s="799"/>
      <c r="BC460" s="799"/>
      <c r="BD460" s="799"/>
      <c r="BE460" s="799"/>
      <c r="BF460" s="799"/>
      <c r="BG460" s="799"/>
    </row>
    <row r="461">
      <c r="H461" s="799"/>
      <c r="I461" s="799"/>
      <c r="J461" s="799"/>
      <c r="K461" s="799"/>
      <c r="L461" s="799"/>
      <c r="M461" s="799"/>
      <c r="N461" s="799"/>
      <c r="O461" s="799"/>
      <c r="P461" s="799"/>
      <c r="Q461" s="799"/>
      <c r="R461" s="799"/>
      <c r="S461" s="799"/>
      <c r="T461" s="799"/>
      <c r="U461" s="799"/>
      <c r="V461" s="799"/>
      <c r="W461" s="799"/>
      <c r="X461" s="799"/>
      <c r="Y461" s="799"/>
      <c r="Z461" s="799"/>
      <c r="AA461" s="799"/>
      <c r="AB461" s="799"/>
      <c r="AC461" s="799"/>
      <c r="AD461" s="799"/>
      <c r="AE461" s="799"/>
      <c r="AF461" s="799"/>
      <c r="AG461" s="799"/>
      <c r="AH461" s="799"/>
      <c r="AI461" s="799"/>
      <c r="AJ461" s="799"/>
      <c r="AK461" s="799"/>
      <c r="AL461" s="799"/>
      <c r="AM461" s="799"/>
      <c r="AN461" s="799"/>
      <c r="AO461" s="799"/>
      <c r="AP461" s="799"/>
      <c r="AQ461" s="799"/>
      <c r="AR461" s="799"/>
      <c r="AS461" s="799"/>
      <c r="AT461" s="799"/>
      <c r="AU461" s="799"/>
      <c r="AV461" s="799"/>
      <c r="AW461" s="799"/>
      <c r="AX461" s="799"/>
      <c r="AY461" s="799"/>
      <c r="AZ461" s="799"/>
      <c r="BA461" s="799"/>
      <c r="BB461" s="799"/>
      <c r="BC461" s="799"/>
      <c r="BD461" s="799"/>
      <c r="BE461" s="799"/>
      <c r="BF461" s="799"/>
      <c r="BG461" s="799"/>
    </row>
    <row r="462">
      <c r="H462" s="799"/>
      <c r="I462" s="799"/>
      <c r="J462" s="799"/>
      <c r="K462" s="799"/>
      <c r="L462" s="799"/>
      <c r="M462" s="799"/>
      <c r="N462" s="799"/>
      <c r="O462" s="799"/>
      <c r="P462" s="799"/>
      <c r="Q462" s="799"/>
      <c r="R462" s="799"/>
      <c r="S462" s="799"/>
      <c r="T462" s="799"/>
      <c r="U462" s="799"/>
      <c r="V462" s="799"/>
      <c r="W462" s="799"/>
      <c r="X462" s="799"/>
      <c r="Y462" s="799"/>
      <c r="Z462" s="799"/>
      <c r="AA462" s="799"/>
      <c r="AB462" s="799"/>
      <c r="AC462" s="799"/>
      <c r="AD462" s="799"/>
      <c r="AE462" s="799"/>
      <c r="AF462" s="799"/>
      <c r="AG462" s="799"/>
      <c r="AH462" s="799"/>
      <c r="AI462" s="799"/>
      <c r="AJ462" s="799"/>
      <c r="AK462" s="799"/>
      <c r="AL462" s="799"/>
      <c r="AM462" s="799"/>
      <c r="AN462" s="799"/>
      <c r="AO462" s="799"/>
      <c r="AP462" s="799"/>
      <c r="AQ462" s="799"/>
      <c r="AR462" s="799"/>
      <c r="AS462" s="799"/>
      <c r="AT462" s="799"/>
      <c r="AU462" s="799"/>
      <c r="AV462" s="799"/>
      <c r="AW462" s="799"/>
      <c r="AX462" s="799"/>
      <c r="AY462" s="799"/>
      <c r="AZ462" s="799"/>
      <c r="BA462" s="799"/>
      <c r="BB462" s="799"/>
      <c r="BC462" s="799"/>
      <c r="BD462" s="799"/>
      <c r="BE462" s="799"/>
      <c r="BF462" s="799"/>
      <c r="BG462" s="799"/>
    </row>
    <row r="463">
      <c r="H463" s="799"/>
      <c r="I463" s="799"/>
      <c r="J463" s="799"/>
      <c r="K463" s="799"/>
      <c r="L463" s="799"/>
      <c r="M463" s="799"/>
      <c r="N463" s="799"/>
      <c r="O463" s="799"/>
      <c r="P463" s="799"/>
      <c r="Q463" s="799"/>
      <c r="R463" s="799"/>
      <c r="S463" s="799"/>
      <c r="T463" s="799"/>
      <c r="U463" s="799"/>
      <c r="V463" s="799"/>
      <c r="W463" s="799"/>
      <c r="X463" s="799"/>
      <c r="Y463" s="799"/>
      <c r="Z463" s="799"/>
      <c r="AA463" s="799"/>
      <c r="AB463" s="799"/>
      <c r="AC463" s="799"/>
      <c r="AD463" s="799"/>
      <c r="AE463" s="799"/>
      <c r="AF463" s="799"/>
      <c r="AG463" s="799"/>
      <c r="AH463" s="799"/>
      <c r="AI463" s="799"/>
      <c r="AJ463" s="799"/>
      <c r="AK463" s="799"/>
      <c r="AL463" s="799"/>
      <c r="AM463" s="799"/>
      <c r="AN463" s="799"/>
      <c r="AO463" s="799"/>
      <c r="AP463" s="799"/>
      <c r="AQ463" s="799"/>
      <c r="AR463" s="799"/>
      <c r="AS463" s="799"/>
      <c r="AT463" s="799"/>
      <c r="AU463" s="799"/>
      <c r="AV463" s="799"/>
      <c r="AW463" s="799"/>
      <c r="AX463" s="799"/>
      <c r="AY463" s="799"/>
      <c r="AZ463" s="799"/>
      <c r="BA463" s="799"/>
      <c r="BB463" s="799"/>
      <c r="BC463" s="799"/>
      <c r="BD463" s="799"/>
      <c r="BE463" s="799"/>
      <c r="BF463" s="799"/>
      <c r="BG463" s="799"/>
    </row>
    <row r="464">
      <c r="H464" s="799"/>
      <c r="I464" s="799"/>
      <c r="J464" s="799"/>
      <c r="K464" s="799"/>
      <c r="L464" s="799"/>
      <c r="M464" s="799"/>
      <c r="N464" s="799"/>
      <c r="O464" s="799"/>
      <c r="P464" s="799"/>
      <c r="Q464" s="799"/>
      <c r="R464" s="799"/>
      <c r="S464" s="799"/>
      <c r="T464" s="799"/>
      <c r="U464" s="799"/>
      <c r="V464" s="799"/>
      <c r="W464" s="799"/>
      <c r="X464" s="799"/>
      <c r="Y464" s="799"/>
      <c r="Z464" s="799"/>
      <c r="AA464" s="799"/>
      <c r="AB464" s="799"/>
      <c r="AC464" s="799"/>
      <c r="AD464" s="799"/>
      <c r="AE464" s="799"/>
      <c r="AF464" s="799"/>
      <c r="AG464" s="799"/>
      <c r="AH464" s="799"/>
      <c r="AI464" s="799"/>
      <c r="AJ464" s="799"/>
      <c r="AK464" s="799"/>
      <c r="AL464" s="799"/>
      <c r="AM464" s="799"/>
      <c r="AN464" s="799"/>
      <c r="AO464" s="799"/>
      <c r="AP464" s="799"/>
      <c r="AQ464" s="799"/>
      <c r="AR464" s="799"/>
      <c r="AS464" s="799"/>
      <c r="AT464" s="799"/>
      <c r="AU464" s="799"/>
      <c r="AV464" s="799"/>
      <c r="AW464" s="799"/>
      <c r="AX464" s="799"/>
      <c r="AY464" s="799"/>
      <c r="AZ464" s="799"/>
      <c r="BA464" s="799"/>
      <c r="BB464" s="799"/>
      <c r="BC464" s="799"/>
      <c r="BD464" s="799"/>
      <c r="BE464" s="799"/>
      <c r="BF464" s="799"/>
      <c r="BG464" s="799"/>
    </row>
    <row r="465">
      <c r="H465" s="799"/>
      <c r="I465" s="799"/>
      <c r="J465" s="799"/>
      <c r="K465" s="799"/>
      <c r="L465" s="799"/>
      <c r="M465" s="799"/>
      <c r="N465" s="799"/>
      <c r="O465" s="799"/>
      <c r="P465" s="799"/>
      <c r="Q465" s="799"/>
      <c r="R465" s="799"/>
      <c r="S465" s="799"/>
      <c r="T465" s="799"/>
      <c r="U465" s="799"/>
      <c r="V465" s="799"/>
      <c r="W465" s="799"/>
      <c r="X465" s="799"/>
      <c r="Y465" s="799"/>
      <c r="Z465" s="799"/>
      <c r="AA465" s="799"/>
      <c r="AB465" s="799"/>
      <c r="AC465" s="799"/>
      <c r="AD465" s="799"/>
      <c r="AE465" s="799"/>
      <c r="AF465" s="799"/>
      <c r="AG465" s="799"/>
      <c r="AH465" s="799"/>
      <c r="AI465" s="799"/>
      <c r="AJ465" s="799"/>
      <c r="AK465" s="799"/>
      <c r="AL465" s="799"/>
      <c r="AM465" s="799"/>
      <c r="AN465" s="799"/>
      <c r="AO465" s="799"/>
      <c r="AP465" s="799"/>
      <c r="AQ465" s="799"/>
      <c r="AR465" s="799"/>
      <c r="AS465" s="799"/>
      <c r="AT465" s="799"/>
      <c r="AU465" s="799"/>
      <c r="AV465" s="799"/>
      <c r="AW465" s="799"/>
      <c r="AX465" s="799"/>
      <c r="AY465" s="799"/>
      <c r="AZ465" s="799"/>
      <c r="BA465" s="799"/>
      <c r="BB465" s="799"/>
      <c r="BC465" s="799"/>
      <c r="BD465" s="799"/>
      <c r="BE465" s="799"/>
      <c r="BF465" s="799"/>
      <c r="BG465" s="799"/>
    </row>
    <row r="466">
      <c r="H466" s="799"/>
      <c r="I466" s="799"/>
      <c r="J466" s="799"/>
      <c r="K466" s="799"/>
      <c r="L466" s="799"/>
      <c r="M466" s="799"/>
      <c r="N466" s="799"/>
      <c r="O466" s="799"/>
      <c r="P466" s="799"/>
      <c r="Q466" s="799"/>
      <c r="R466" s="799"/>
      <c r="S466" s="799"/>
      <c r="T466" s="799"/>
      <c r="U466" s="799"/>
      <c r="V466" s="799"/>
      <c r="W466" s="799"/>
      <c r="X466" s="799"/>
      <c r="Y466" s="799"/>
      <c r="Z466" s="799"/>
      <c r="AA466" s="799"/>
      <c r="AB466" s="799"/>
      <c r="AC466" s="799"/>
      <c r="AD466" s="799"/>
      <c r="AE466" s="799"/>
      <c r="AF466" s="799"/>
      <c r="AG466" s="799"/>
      <c r="AH466" s="799"/>
      <c r="AI466" s="799"/>
      <c r="AJ466" s="799"/>
      <c r="AK466" s="799"/>
      <c r="AL466" s="799"/>
      <c r="AM466" s="799"/>
      <c r="AN466" s="799"/>
      <c r="AO466" s="799"/>
      <c r="AP466" s="799"/>
      <c r="AQ466" s="799"/>
      <c r="AR466" s="799"/>
      <c r="AS466" s="799"/>
      <c r="AT466" s="799"/>
      <c r="AU466" s="799"/>
      <c r="AV466" s="799"/>
      <c r="AW466" s="799"/>
      <c r="AX466" s="799"/>
      <c r="AY466" s="799"/>
      <c r="AZ466" s="799"/>
      <c r="BA466" s="799"/>
      <c r="BB466" s="799"/>
      <c r="BC466" s="799"/>
      <c r="BD466" s="799"/>
      <c r="BE466" s="799"/>
      <c r="BF466" s="799"/>
      <c r="BG466" s="799"/>
    </row>
    <row r="467">
      <c r="H467" s="799"/>
      <c r="I467" s="799"/>
      <c r="J467" s="799"/>
      <c r="K467" s="799"/>
      <c r="L467" s="799"/>
      <c r="M467" s="799"/>
      <c r="N467" s="799"/>
      <c r="O467" s="799"/>
      <c r="P467" s="799"/>
      <c r="Q467" s="799"/>
      <c r="R467" s="799"/>
      <c r="S467" s="799"/>
      <c r="T467" s="799"/>
      <c r="U467" s="799"/>
      <c r="V467" s="799"/>
      <c r="W467" s="799"/>
      <c r="X467" s="799"/>
      <c r="Y467" s="799"/>
      <c r="Z467" s="799"/>
      <c r="AA467" s="799"/>
      <c r="AB467" s="799"/>
      <c r="AC467" s="799"/>
      <c r="AD467" s="799"/>
      <c r="AE467" s="799"/>
      <c r="AF467" s="799"/>
      <c r="AG467" s="799"/>
      <c r="AH467" s="799"/>
      <c r="AI467" s="799"/>
      <c r="AJ467" s="799"/>
      <c r="AK467" s="799"/>
      <c r="AL467" s="799"/>
      <c r="AM467" s="799"/>
      <c r="AN467" s="799"/>
      <c r="AO467" s="799"/>
      <c r="AP467" s="799"/>
      <c r="AQ467" s="799"/>
      <c r="AR467" s="799"/>
      <c r="AS467" s="799"/>
      <c r="AT467" s="799"/>
      <c r="AU467" s="799"/>
      <c r="AV467" s="799"/>
      <c r="AW467" s="799"/>
      <c r="AX467" s="799"/>
      <c r="AY467" s="799"/>
      <c r="AZ467" s="799"/>
      <c r="BA467" s="799"/>
      <c r="BB467" s="799"/>
      <c r="BC467" s="799"/>
      <c r="BD467" s="799"/>
      <c r="BE467" s="799"/>
      <c r="BF467" s="799"/>
      <c r="BG467" s="799"/>
    </row>
    <row r="468">
      <c r="H468" s="799"/>
      <c r="I468" s="799"/>
      <c r="J468" s="799"/>
      <c r="K468" s="799"/>
      <c r="L468" s="799"/>
      <c r="M468" s="799"/>
      <c r="N468" s="799"/>
      <c r="O468" s="799"/>
      <c r="P468" s="799"/>
      <c r="Q468" s="799"/>
      <c r="R468" s="799"/>
      <c r="S468" s="799"/>
      <c r="T468" s="799"/>
      <c r="U468" s="799"/>
      <c r="V468" s="799"/>
      <c r="W468" s="799"/>
      <c r="X468" s="799"/>
      <c r="Y468" s="799"/>
      <c r="Z468" s="799"/>
      <c r="AA468" s="799"/>
      <c r="AB468" s="799"/>
      <c r="AC468" s="799"/>
      <c r="AD468" s="799"/>
      <c r="AE468" s="799"/>
      <c r="AF468" s="799"/>
      <c r="AG468" s="799"/>
      <c r="AH468" s="799"/>
      <c r="AI468" s="799"/>
      <c r="AJ468" s="799"/>
      <c r="AK468" s="799"/>
      <c r="AL468" s="799"/>
      <c r="AM468" s="799"/>
      <c r="AN468" s="799"/>
      <c r="AO468" s="799"/>
      <c r="AP468" s="799"/>
      <c r="AQ468" s="799"/>
      <c r="AR468" s="799"/>
      <c r="AS468" s="799"/>
      <c r="AT468" s="799"/>
      <c r="AU468" s="799"/>
      <c r="AV468" s="799"/>
      <c r="AW468" s="799"/>
      <c r="AX468" s="799"/>
      <c r="AY468" s="799"/>
      <c r="AZ468" s="799"/>
      <c r="BA468" s="799"/>
      <c r="BB468" s="799"/>
      <c r="BC468" s="799"/>
      <c r="BD468" s="799"/>
      <c r="BE468" s="799"/>
      <c r="BF468" s="799"/>
      <c r="BG468" s="799"/>
    </row>
    <row r="469">
      <c r="H469" s="799"/>
      <c r="I469" s="799"/>
      <c r="J469" s="799"/>
      <c r="K469" s="799"/>
      <c r="L469" s="799"/>
      <c r="M469" s="799"/>
      <c r="N469" s="799"/>
      <c r="O469" s="799"/>
      <c r="P469" s="799"/>
      <c r="Q469" s="799"/>
      <c r="R469" s="799"/>
      <c r="S469" s="799"/>
      <c r="T469" s="799"/>
      <c r="U469" s="799"/>
      <c r="V469" s="799"/>
      <c r="W469" s="799"/>
      <c r="X469" s="799"/>
      <c r="Y469" s="799"/>
      <c r="Z469" s="799"/>
      <c r="AA469" s="799"/>
      <c r="AB469" s="799"/>
      <c r="AC469" s="799"/>
      <c r="AD469" s="799"/>
      <c r="AE469" s="799"/>
      <c r="AF469" s="799"/>
      <c r="AG469" s="799"/>
      <c r="AH469" s="799"/>
      <c r="AI469" s="799"/>
      <c r="AJ469" s="799"/>
      <c r="AK469" s="799"/>
      <c r="AL469" s="799"/>
      <c r="AM469" s="799"/>
      <c r="AN469" s="799"/>
      <c r="AO469" s="799"/>
      <c r="AP469" s="799"/>
      <c r="AQ469" s="799"/>
      <c r="AR469" s="799"/>
      <c r="AS469" s="799"/>
      <c r="AT469" s="799"/>
      <c r="AU469" s="799"/>
      <c r="AV469" s="799"/>
      <c r="AW469" s="799"/>
      <c r="AX469" s="799"/>
      <c r="AY469" s="799"/>
      <c r="AZ469" s="799"/>
      <c r="BA469" s="799"/>
      <c r="BB469" s="799"/>
      <c r="BC469" s="799"/>
      <c r="BD469" s="799"/>
      <c r="BE469" s="799"/>
      <c r="BF469" s="799"/>
      <c r="BG469" s="799"/>
    </row>
    <row r="470">
      <c r="H470" s="799"/>
      <c r="I470" s="799"/>
      <c r="J470" s="799"/>
      <c r="K470" s="799"/>
      <c r="L470" s="799"/>
      <c r="M470" s="799"/>
      <c r="N470" s="799"/>
      <c r="O470" s="799"/>
      <c r="P470" s="799"/>
      <c r="Q470" s="799"/>
      <c r="R470" s="799"/>
      <c r="S470" s="799"/>
      <c r="T470" s="799"/>
      <c r="U470" s="799"/>
      <c r="V470" s="799"/>
      <c r="W470" s="799"/>
      <c r="X470" s="799"/>
      <c r="Y470" s="799"/>
      <c r="Z470" s="799"/>
      <c r="AA470" s="799"/>
      <c r="AB470" s="799"/>
      <c r="AC470" s="799"/>
      <c r="AD470" s="799"/>
      <c r="AE470" s="799"/>
      <c r="AF470" s="799"/>
      <c r="AG470" s="799"/>
      <c r="AH470" s="799"/>
      <c r="AI470" s="799"/>
      <c r="AJ470" s="799"/>
      <c r="AK470" s="799"/>
      <c r="AL470" s="799"/>
      <c r="AM470" s="799"/>
      <c r="AN470" s="799"/>
      <c r="AO470" s="799"/>
      <c r="AP470" s="799"/>
      <c r="AQ470" s="799"/>
      <c r="AR470" s="799"/>
      <c r="AS470" s="799"/>
      <c r="AT470" s="799"/>
      <c r="AU470" s="799"/>
      <c r="AV470" s="799"/>
      <c r="AW470" s="799"/>
      <c r="AX470" s="799"/>
      <c r="AY470" s="799"/>
      <c r="AZ470" s="799"/>
      <c r="BA470" s="799"/>
      <c r="BB470" s="799"/>
      <c r="BC470" s="799"/>
      <c r="BD470" s="799"/>
      <c r="BE470" s="799"/>
      <c r="BF470" s="799"/>
      <c r="BG470" s="799"/>
    </row>
    <row r="471">
      <c r="H471" s="799"/>
      <c r="I471" s="799"/>
      <c r="J471" s="799"/>
      <c r="K471" s="799"/>
      <c r="L471" s="799"/>
      <c r="M471" s="799"/>
      <c r="N471" s="799"/>
      <c r="O471" s="799"/>
      <c r="P471" s="799"/>
      <c r="Q471" s="799"/>
      <c r="R471" s="799"/>
      <c r="S471" s="799"/>
      <c r="T471" s="799"/>
      <c r="U471" s="799"/>
      <c r="V471" s="799"/>
      <c r="W471" s="799"/>
      <c r="X471" s="799"/>
      <c r="Y471" s="799"/>
      <c r="Z471" s="799"/>
      <c r="AA471" s="799"/>
      <c r="AB471" s="799"/>
      <c r="AC471" s="799"/>
      <c r="AD471" s="799"/>
      <c r="AE471" s="799"/>
      <c r="AF471" s="799"/>
      <c r="AG471" s="799"/>
      <c r="AH471" s="799"/>
      <c r="AI471" s="799"/>
      <c r="AJ471" s="799"/>
      <c r="AK471" s="799"/>
      <c r="AL471" s="799"/>
      <c r="AM471" s="799"/>
      <c r="AN471" s="799"/>
      <c r="AO471" s="799"/>
      <c r="AP471" s="799"/>
      <c r="AQ471" s="799"/>
      <c r="AR471" s="799"/>
      <c r="AS471" s="799"/>
      <c r="AT471" s="799"/>
      <c r="AU471" s="799"/>
      <c r="AV471" s="799"/>
      <c r="AW471" s="799"/>
      <c r="AX471" s="799"/>
      <c r="AY471" s="799"/>
      <c r="AZ471" s="799"/>
      <c r="BA471" s="799"/>
      <c r="BB471" s="799"/>
      <c r="BC471" s="799"/>
      <c r="BD471" s="799"/>
      <c r="BE471" s="799"/>
      <c r="BF471" s="799"/>
      <c r="BG471" s="799"/>
    </row>
    <row r="472">
      <c r="H472" s="799"/>
      <c r="I472" s="799"/>
      <c r="J472" s="799"/>
      <c r="K472" s="799"/>
      <c r="L472" s="799"/>
      <c r="M472" s="799"/>
      <c r="N472" s="799"/>
      <c r="O472" s="799"/>
      <c r="P472" s="799"/>
      <c r="Q472" s="799"/>
      <c r="R472" s="799"/>
      <c r="S472" s="799"/>
      <c r="T472" s="799"/>
      <c r="U472" s="799"/>
      <c r="V472" s="799"/>
      <c r="W472" s="799"/>
      <c r="X472" s="799"/>
      <c r="Y472" s="799"/>
      <c r="Z472" s="799"/>
      <c r="AA472" s="799"/>
      <c r="AB472" s="799"/>
      <c r="AC472" s="799"/>
      <c r="AD472" s="799"/>
      <c r="AE472" s="799"/>
      <c r="AF472" s="799"/>
      <c r="AG472" s="799"/>
      <c r="AH472" s="799"/>
      <c r="AI472" s="799"/>
      <c r="AJ472" s="799"/>
      <c r="AK472" s="799"/>
      <c r="AL472" s="799"/>
      <c r="AM472" s="799"/>
      <c r="AN472" s="799"/>
      <c r="AO472" s="799"/>
      <c r="AP472" s="799"/>
      <c r="AQ472" s="799"/>
      <c r="AR472" s="799"/>
      <c r="AS472" s="799"/>
      <c r="AT472" s="799"/>
      <c r="AU472" s="799"/>
      <c r="AV472" s="799"/>
      <c r="AW472" s="799"/>
      <c r="AX472" s="799"/>
      <c r="AY472" s="799"/>
      <c r="AZ472" s="799"/>
      <c r="BA472" s="799"/>
      <c r="BB472" s="799"/>
      <c r="BC472" s="799"/>
      <c r="BD472" s="799"/>
      <c r="BE472" s="799"/>
      <c r="BF472" s="799"/>
      <c r="BG472" s="799"/>
    </row>
    <row r="473">
      <c r="H473" s="799"/>
      <c r="I473" s="799"/>
      <c r="J473" s="799"/>
      <c r="K473" s="799"/>
      <c r="L473" s="799"/>
      <c r="M473" s="799"/>
      <c r="N473" s="799"/>
      <c r="O473" s="799"/>
      <c r="P473" s="799"/>
      <c r="Q473" s="799"/>
      <c r="R473" s="799"/>
      <c r="S473" s="799"/>
      <c r="T473" s="799"/>
      <c r="U473" s="799"/>
      <c r="V473" s="799"/>
      <c r="W473" s="799"/>
      <c r="X473" s="799"/>
      <c r="Y473" s="799"/>
      <c r="Z473" s="799"/>
      <c r="AA473" s="799"/>
      <c r="AB473" s="799"/>
      <c r="AC473" s="799"/>
      <c r="AD473" s="799"/>
      <c r="AE473" s="799"/>
      <c r="AF473" s="799"/>
      <c r="AG473" s="799"/>
      <c r="AH473" s="799"/>
      <c r="AI473" s="799"/>
      <c r="AJ473" s="799"/>
      <c r="AK473" s="799"/>
      <c r="AL473" s="799"/>
      <c r="AM473" s="799"/>
      <c r="AN473" s="799"/>
      <c r="AO473" s="799"/>
      <c r="AP473" s="799"/>
      <c r="AQ473" s="799"/>
      <c r="AR473" s="799"/>
      <c r="AS473" s="799"/>
      <c r="AT473" s="799"/>
      <c r="AU473" s="799"/>
      <c r="AV473" s="799"/>
      <c r="AW473" s="799"/>
      <c r="AX473" s="799"/>
      <c r="AY473" s="799"/>
      <c r="AZ473" s="799"/>
      <c r="BA473" s="799"/>
      <c r="BB473" s="799"/>
      <c r="BC473" s="799"/>
      <c r="BD473" s="799"/>
      <c r="BE473" s="799"/>
      <c r="BF473" s="799"/>
      <c r="BG473" s="799"/>
    </row>
    <row r="474">
      <c r="H474" s="799"/>
      <c r="I474" s="799"/>
      <c r="J474" s="799"/>
      <c r="K474" s="799"/>
      <c r="L474" s="799"/>
      <c r="M474" s="799"/>
      <c r="N474" s="799"/>
      <c r="O474" s="799"/>
      <c r="P474" s="799"/>
      <c r="Q474" s="799"/>
      <c r="R474" s="799"/>
      <c r="S474" s="799"/>
      <c r="T474" s="799"/>
      <c r="U474" s="799"/>
      <c r="V474" s="799"/>
      <c r="W474" s="799"/>
      <c r="X474" s="799"/>
      <c r="Y474" s="799"/>
      <c r="Z474" s="799"/>
      <c r="AA474" s="799"/>
      <c r="AB474" s="799"/>
      <c r="AC474" s="799"/>
      <c r="AD474" s="799"/>
      <c r="AE474" s="799"/>
      <c r="AF474" s="799"/>
      <c r="AG474" s="799"/>
      <c r="AH474" s="799"/>
      <c r="AI474" s="799"/>
      <c r="AJ474" s="799"/>
      <c r="AK474" s="799"/>
      <c r="AL474" s="799"/>
      <c r="AM474" s="799"/>
      <c r="AN474" s="799"/>
      <c r="AO474" s="799"/>
      <c r="AP474" s="799"/>
      <c r="AQ474" s="799"/>
      <c r="AR474" s="799"/>
      <c r="AS474" s="799"/>
      <c r="AT474" s="799"/>
      <c r="AU474" s="799"/>
      <c r="AV474" s="799"/>
      <c r="AW474" s="799"/>
      <c r="AX474" s="799"/>
      <c r="AY474" s="799"/>
      <c r="AZ474" s="799"/>
      <c r="BA474" s="799"/>
      <c r="BB474" s="799"/>
      <c r="BC474" s="799"/>
      <c r="BD474" s="799"/>
      <c r="BE474" s="799"/>
      <c r="BF474" s="799"/>
      <c r="BG474" s="799"/>
    </row>
    <row r="475">
      <c r="H475" s="799"/>
      <c r="I475" s="799"/>
      <c r="J475" s="799"/>
      <c r="K475" s="799"/>
      <c r="L475" s="799"/>
      <c r="M475" s="799"/>
      <c r="N475" s="799"/>
      <c r="O475" s="799"/>
      <c r="P475" s="799"/>
      <c r="Q475" s="799"/>
      <c r="R475" s="799"/>
      <c r="S475" s="799"/>
      <c r="T475" s="799"/>
      <c r="U475" s="799"/>
      <c r="V475" s="799"/>
      <c r="W475" s="799"/>
      <c r="X475" s="799"/>
      <c r="Y475" s="799"/>
      <c r="Z475" s="799"/>
      <c r="AA475" s="799"/>
      <c r="AB475" s="799"/>
      <c r="AC475" s="799"/>
      <c r="AD475" s="799"/>
      <c r="AE475" s="799"/>
      <c r="AF475" s="799"/>
      <c r="AG475" s="799"/>
      <c r="AH475" s="799"/>
      <c r="AI475" s="799"/>
      <c r="AJ475" s="799"/>
      <c r="AK475" s="799"/>
      <c r="AL475" s="799"/>
      <c r="AM475" s="799"/>
      <c r="AN475" s="799"/>
      <c r="AO475" s="799"/>
      <c r="AP475" s="799"/>
      <c r="AQ475" s="799"/>
      <c r="AR475" s="799"/>
      <c r="AS475" s="799"/>
      <c r="AT475" s="799"/>
      <c r="AU475" s="799"/>
      <c r="AV475" s="799"/>
      <c r="AW475" s="799"/>
      <c r="AX475" s="799"/>
      <c r="AY475" s="799"/>
      <c r="AZ475" s="799"/>
      <c r="BA475" s="799"/>
      <c r="BB475" s="799"/>
      <c r="BC475" s="799"/>
      <c r="BD475" s="799"/>
      <c r="BE475" s="799"/>
      <c r="BF475" s="799"/>
      <c r="BG475" s="799"/>
    </row>
    <row r="476">
      <c r="H476" s="799"/>
      <c r="I476" s="799"/>
      <c r="J476" s="799"/>
      <c r="K476" s="799"/>
      <c r="L476" s="799"/>
      <c r="M476" s="799"/>
      <c r="N476" s="799"/>
      <c r="O476" s="799"/>
      <c r="P476" s="799"/>
      <c r="Q476" s="799"/>
      <c r="R476" s="799"/>
      <c r="S476" s="799"/>
      <c r="T476" s="799"/>
      <c r="U476" s="799"/>
      <c r="V476" s="799"/>
      <c r="W476" s="799"/>
      <c r="X476" s="799"/>
      <c r="Y476" s="799"/>
      <c r="Z476" s="799"/>
      <c r="AA476" s="799"/>
      <c r="AB476" s="799"/>
      <c r="AC476" s="799"/>
      <c r="AD476" s="799"/>
      <c r="AE476" s="799"/>
      <c r="AF476" s="799"/>
      <c r="AG476" s="799"/>
      <c r="AH476" s="799"/>
      <c r="AI476" s="799"/>
      <c r="AJ476" s="799"/>
      <c r="AK476" s="799"/>
      <c r="AL476" s="799"/>
      <c r="AM476" s="799"/>
      <c r="AN476" s="799"/>
      <c r="AO476" s="799"/>
      <c r="AP476" s="799"/>
      <c r="AQ476" s="799"/>
      <c r="AR476" s="799"/>
      <c r="AS476" s="799"/>
      <c r="AT476" s="799"/>
      <c r="AU476" s="799"/>
      <c r="AV476" s="799"/>
      <c r="AW476" s="799"/>
      <c r="AX476" s="799"/>
      <c r="AY476" s="799"/>
      <c r="AZ476" s="799"/>
      <c r="BA476" s="799"/>
      <c r="BB476" s="799"/>
      <c r="BC476" s="799"/>
      <c r="BD476" s="799"/>
      <c r="BE476" s="799"/>
      <c r="BF476" s="799"/>
      <c r="BG476" s="799"/>
    </row>
    <row r="477">
      <c r="H477" s="799"/>
      <c r="I477" s="799"/>
      <c r="J477" s="799"/>
      <c r="K477" s="799"/>
      <c r="L477" s="799"/>
      <c r="M477" s="799"/>
      <c r="N477" s="799"/>
      <c r="O477" s="799"/>
      <c r="P477" s="799"/>
      <c r="Q477" s="799"/>
      <c r="R477" s="799"/>
      <c r="S477" s="799"/>
      <c r="T477" s="799"/>
      <c r="U477" s="799"/>
      <c r="V477" s="799"/>
      <c r="W477" s="799"/>
      <c r="X477" s="799"/>
      <c r="Y477" s="799"/>
      <c r="Z477" s="799"/>
      <c r="AA477" s="799"/>
      <c r="AB477" s="799"/>
      <c r="AC477" s="799"/>
      <c r="AD477" s="799"/>
      <c r="AE477" s="799"/>
      <c r="AF477" s="799"/>
      <c r="AG477" s="799"/>
      <c r="AH477" s="799"/>
      <c r="AI477" s="799"/>
      <c r="AJ477" s="799"/>
      <c r="AK477" s="799"/>
      <c r="AL477" s="799"/>
      <c r="AM477" s="799"/>
      <c r="AN477" s="799"/>
      <c r="AO477" s="799"/>
      <c r="AP477" s="799"/>
      <c r="AQ477" s="799"/>
      <c r="AR477" s="799"/>
      <c r="AS477" s="799"/>
      <c r="AT477" s="799"/>
      <c r="AU477" s="799"/>
      <c r="AV477" s="799"/>
      <c r="AW477" s="799"/>
      <c r="AX477" s="799"/>
      <c r="AY477" s="799"/>
      <c r="AZ477" s="799"/>
      <c r="BA477" s="799"/>
      <c r="BB477" s="799"/>
      <c r="BC477" s="799"/>
      <c r="BD477" s="799"/>
      <c r="BE477" s="799"/>
      <c r="BF477" s="799"/>
      <c r="BG477" s="799"/>
    </row>
    <row r="478">
      <c r="H478" s="799"/>
      <c r="I478" s="799"/>
      <c r="J478" s="799"/>
      <c r="K478" s="799"/>
      <c r="L478" s="799"/>
      <c r="M478" s="799"/>
      <c r="N478" s="799"/>
      <c r="O478" s="799"/>
      <c r="P478" s="799"/>
      <c r="Q478" s="799"/>
      <c r="R478" s="799"/>
      <c r="S478" s="799"/>
      <c r="T478" s="799"/>
      <c r="U478" s="799"/>
      <c r="V478" s="799"/>
      <c r="W478" s="799"/>
      <c r="X478" s="799"/>
      <c r="Y478" s="799"/>
      <c r="Z478" s="799"/>
      <c r="AA478" s="799"/>
      <c r="AB478" s="799"/>
      <c r="AC478" s="799"/>
      <c r="AD478" s="799"/>
      <c r="AE478" s="799"/>
      <c r="AF478" s="799"/>
      <c r="AG478" s="799"/>
      <c r="AH478" s="799"/>
      <c r="AI478" s="799"/>
      <c r="AJ478" s="799"/>
      <c r="AK478" s="799"/>
      <c r="AL478" s="799"/>
      <c r="AM478" s="799"/>
      <c r="AN478" s="799"/>
      <c r="AO478" s="799"/>
      <c r="AP478" s="799"/>
      <c r="AQ478" s="799"/>
      <c r="AR478" s="799"/>
      <c r="AS478" s="799"/>
      <c r="AT478" s="799"/>
      <c r="AU478" s="799"/>
      <c r="AV478" s="799"/>
      <c r="AW478" s="799"/>
      <c r="AX478" s="799"/>
      <c r="AY478" s="799"/>
      <c r="AZ478" s="799"/>
      <c r="BA478" s="799"/>
      <c r="BB478" s="799"/>
      <c r="BC478" s="799"/>
      <c r="BD478" s="799"/>
      <c r="BE478" s="799"/>
      <c r="BF478" s="799"/>
      <c r="BG478" s="799"/>
    </row>
    <row r="479">
      <c r="H479" s="799"/>
      <c r="I479" s="799"/>
      <c r="J479" s="799"/>
      <c r="K479" s="799"/>
      <c r="L479" s="799"/>
      <c r="M479" s="799"/>
      <c r="N479" s="799"/>
      <c r="O479" s="799"/>
      <c r="P479" s="799"/>
      <c r="Q479" s="799"/>
      <c r="R479" s="799"/>
      <c r="S479" s="799"/>
      <c r="T479" s="799"/>
      <c r="U479" s="799"/>
      <c r="V479" s="799"/>
      <c r="W479" s="799"/>
      <c r="X479" s="799"/>
      <c r="Y479" s="799"/>
      <c r="Z479" s="799"/>
      <c r="AA479" s="799"/>
      <c r="AB479" s="799"/>
      <c r="AC479" s="799"/>
      <c r="AD479" s="799"/>
      <c r="AE479" s="799"/>
      <c r="AF479" s="799"/>
      <c r="AG479" s="799"/>
      <c r="AH479" s="799"/>
      <c r="AI479" s="799"/>
      <c r="AJ479" s="799"/>
      <c r="AK479" s="799"/>
      <c r="AL479" s="799"/>
      <c r="AM479" s="799"/>
      <c r="AN479" s="799"/>
      <c r="AO479" s="799"/>
      <c r="AP479" s="799"/>
      <c r="AQ479" s="799"/>
      <c r="AR479" s="799"/>
      <c r="AS479" s="799"/>
      <c r="AT479" s="799"/>
      <c r="AU479" s="799"/>
      <c r="AV479" s="799"/>
      <c r="AW479" s="799"/>
      <c r="AX479" s="799"/>
      <c r="AY479" s="799"/>
      <c r="AZ479" s="799"/>
      <c r="BA479" s="799"/>
      <c r="BB479" s="799"/>
      <c r="BC479" s="799"/>
      <c r="BD479" s="799"/>
      <c r="BE479" s="799"/>
      <c r="BF479" s="799"/>
      <c r="BG479" s="799"/>
    </row>
    <row r="480">
      <c r="H480" s="799"/>
      <c r="I480" s="799"/>
      <c r="J480" s="799"/>
      <c r="K480" s="799"/>
      <c r="L480" s="799"/>
      <c r="M480" s="799"/>
      <c r="N480" s="799"/>
      <c r="O480" s="799"/>
      <c r="P480" s="799"/>
      <c r="Q480" s="799"/>
      <c r="R480" s="799"/>
      <c r="S480" s="799"/>
      <c r="T480" s="799"/>
      <c r="U480" s="799"/>
      <c r="V480" s="799"/>
      <c r="W480" s="799"/>
      <c r="X480" s="799"/>
      <c r="Y480" s="799"/>
      <c r="Z480" s="799"/>
      <c r="AA480" s="799"/>
      <c r="AB480" s="799"/>
      <c r="AC480" s="799"/>
      <c r="AD480" s="799"/>
      <c r="AE480" s="799"/>
      <c r="AF480" s="799"/>
      <c r="AG480" s="799"/>
      <c r="AH480" s="799"/>
      <c r="AI480" s="799"/>
      <c r="AJ480" s="799"/>
      <c r="AK480" s="799"/>
      <c r="AL480" s="799"/>
      <c r="AM480" s="799"/>
      <c r="AN480" s="799"/>
      <c r="AO480" s="799"/>
      <c r="AP480" s="799"/>
      <c r="AQ480" s="799"/>
      <c r="AR480" s="799"/>
      <c r="AS480" s="799"/>
      <c r="AT480" s="799"/>
      <c r="AU480" s="799"/>
      <c r="AV480" s="799"/>
      <c r="AW480" s="799"/>
      <c r="AX480" s="799"/>
      <c r="AY480" s="799"/>
      <c r="AZ480" s="799"/>
      <c r="BA480" s="799"/>
      <c r="BB480" s="799"/>
      <c r="BC480" s="799"/>
      <c r="BD480" s="799"/>
      <c r="BE480" s="799"/>
      <c r="BF480" s="799"/>
      <c r="BG480" s="799"/>
    </row>
    <row r="481">
      <c r="H481" s="799"/>
      <c r="I481" s="799"/>
      <c r="J481" s="799"/>
      <c r="K481" s="799"/>
      <c r="L481" s="799"/>
      <c r="M481" s="799"/>
      <c r="N481" s="799"/>
      <c r="O481" s="799"/>
      <c r="P481" s="799"/>
      <c r="Q481" s="799"/>
      <c r="R481" s="799"/>
      <c r="S481" s="799"/>
      <c r="T481" s="799"/>
      <c r="U481" s="799"/>
      <c r="V481" s="799"/>
      <c r="W481" s="799"/>
      <c r="X481" s="799"/>
      <c r="Y481" s="799"/>
      <c r="Z481" s="799"/>
      <c r="AA481" s="799"/>
      <c r="AB481" s="799"/>
      <c r="AC481" s="799"/>
      <c r="AD481" s="799"/>
      <c r="AE481" s="799"/>
      <c r="AF481" s="799"/>
      <c r="AG481" s="799"/>
      <c r="AH481" s="799"/>
      <c r="AI481" s="799"/>
      <c r="AJ481" s="799"/>
      <c r="AK481" s="799"/>
      <c r="AL481" s="799"/>
      <c r="AM481" s="799"/>
      <c r="AN481" s="799"/>
      <c r="AO481" s="799"/>
      <c r="AP481" s="799"/>
      <c r="AQ481" s="799"/>
      <c r="AR481" s="799"/>
      <c r="AS481" s="799"/>
      <c r="AT481" s="799"/>
      <c r="AU481" s="799"/>
      <c r="AV481" s="799"/>
      <c r="AW481" s="799"/>
      <c r="AX481" s="799"/>
      <c r="AY481" s="799"/>
      <c r="AZ481" s="799"/>
      <c r="BA481" s="799"/>
      <c r="BB481" s="799"/>
      <c r="BC481" s="799"/>
      <c r="BD481" s="799"/>
      <c r="BE481" s="799"/>
      <c r="BF481" s="799"/>
      <c r="BG481" s="799"/>
    </row>
    <row r="482">
      <c r="H482" s="799"/>
      <c r="I482" s="799"/>
      <c r="J482" s="799"/>
      <c r="K482" s="799"/>
      <c r="L482" s="799"/>
      <c r="M482" s="799"/>
      <c r="N482" s="799"/>
      <c r="O482" s="799"/>
      <c r="P482" s="799"/>
      <c r="Q482" s="799"/>
      <c r="R482" s="799"/>
      <c r="S482" s="799"/>
      <c r="T482" s="799"/>
      <c r="U482" s="799"/>
      <c r="V482" s="799"/>
      <c r="W482" s="799"/>
      <c r="X482" s="799"/>
      <c r="Y482" s="799"/>
      <c r="Z482" s="799"/>
      <c r="AA482" s="799"/>
      <c r="AB482" s="799"/>
      <c r="AC482" s="799"/>
      <c r="AD482" s="799"/>
      <c r="AE482" s="799"/>
      <c r="AF482" s="799"/>
      <c r="AG482" s="799"/>
      <c r="AH482" s="799"/>
      <c r="AI482" s="799"/>
      <c r="AJ482" s="799"/>
      <c r="AK482" s="799"/>
      <c r="AL482" s="799"/>
      <c r="AM482" s="799"/>
      <c r="AN482" s="799"/>
      <c r="AO482" s="799"/>
      <c r="AP482" s="799"/>
      <c r="AQ482" s="799"/>
      <c r="AR482" s="799"/>
      <c r="AS482" s="799"/>
      <c r="AT482" s="799"/>
      <c r="AU482" s="799"/>
      <c r="AV482" s="799"/>
      <c r="AW482" s="799"/>
      <c r="AX482" s="799"/>
      <c r="AY482" s="799"/>
      <c r="AZ482" s="799"/>
      <c r="BA482" s="799"/>
      <c r="BB482" s="799"/>
      <c r="BC482" s="799"/>
      <c r="BD482" s="799"/>
      <c r="BE482" s="799"/>
      <c r="BF482" s="799"/>
      <c r="BG482" s="799"/>
    </row>
    <row r="483">
      <c r="H483" s="799"/>
      <c r="I483" s="799"/>
      <c r="J483" s="799"/>
      <c r="K483" s="799"/>
      <c r="L483" s="799"/>
      <c r="M483" s="799"/>
      <c r="N483" s="799"/>
      <c r="O483" s="799"/>
      <c r="P483" s="799"/>
      <c r="Q483" s="799"/>
      <c r="R483" s="799"/>
      <c r="S483" s="799"/>
      <c r="T483" s="799"/>
      <c r="U483" s="799"/>
      <c r="V483" s="799"/>
      <c r="W483" s="799"/>
      <c r="X483" s="799"/>
      <c r="Y483" s="799"/>
      <c r="Z483" s="799"/>
      <c r="AA483" s="799"/>
      <c r="AB483" s="799"/>
      <c r="AC483" s="799"/>
      <c r="AD483" s="799"/>
      <c r="AE483" s="799"/>
      <c r="AF483" s="799"/>
      <c r="AG483" s="799"/>
      <c r="AH483" s="799"/>
      <c r="AI483" s="799"/>
      <c r="AJ483" s="799"/>
      <c r="AK483" s="799"/>
      <c r="AL483" s="799"/>
      <c r="AM483" s="799"/>
      <c r="AN483" s="799"/>
      <c r="AO483" s="799"/>
      <c r="AP483" s="799"/>
      <c r="AQ483" s="799"/>
      <c r="AR483" s="799"/>
      <c r="AS483" s="799"/>
      <c r="AT483" s="799"/>
      <c r="AU483" s="799"/>
      <c r="AV483" s="799"/>
      <c r="AW483" s="799"/>
      <c r="AX483" s="799"/>
      <c r="AY483" s="799"/>
      <c r="AZ483" s="799"/>
      <c r="BA483" s="799"/>
      <c r="BB483" s="799"/>
      <c r="BC483" s="799"/>
      <c r="BD483" s="799"/>
      <c r="BE483" s="799"/>
      <c r="BF483" s="799"/>
      <c r="BG483" s="799"/>
    </row>
    <row r="484">
      <c r="H484" s="799"/>
      <c r="I484" s="799"/>
      <c r="J484" s="799"/>
      <c r="K484" s="799"/>
      <c r="L484" s="799"/>
      <c r="M484" s="799"/>
      <c r="N484" s="799"/>
      <c r="O484" s="799"/>
      <c r="P484" s="799"/>
      <c r="Q484" s="799"/>
      <c r="R484" s="799"/>
      <c r="S484" s="799"/>
      <c r="T484" s="799"/>
      <c r="U484" s="799"/>
      <c r="V484" s="799"/>
      <c r="W484" s="799"/>
      <c r="X484" s="799"/>
      <c r="Y484" s="799"/>
      <c r="Z484" s="799"/>
      <c r="AA484" s="799"/>
      <c r="AB484" s="799"/>
      <c r="AC484" s="799"/>
      <c r="AD484" s="799"/>
      <c r="AE484" s="799"/>
      <c r="AF484" s="799"/>
      <c r="AG484" s="799"/>
      <c r="AH484" s="799"/>
      <c r="AI484" s="799"/>
      <c r="AJ484" s="799"/>
      <c r="AK484" s="799"/>
      <c r="AL484" s="799"/>
      <c r="AM484" s="799"/>
      <c r="AN484" s="799"/>
      <c r="AO484" s="799"/>
      <c r="AP484" s="799"/>
      <c r="AQ484" s="799"/>
      <c r="AR484" s="799"/>
      <c r="AS484" s="799"/>
      <c r="AT484" s="799"/>
      <c r="AU484" s="799"/>
      <c r="AV484" s="799"/>
      <c r="AW484" s="799"/>
      <c r="AX484" s="799"/>
      <c r="AY484" s="799"/>
      <c r="AZ484" s="799"/>
      <c r="BA484" s="799"/>
      <c r="BB484" s="799"/>
      <c r="BC484" s="799"/>
      <c r="BD484" s="799"/>
      <c r="BE484" s="799"/>
      <c r="BF484" s="799"/>
      <c r="BG484" s="799"/>
    </row>
    <row r="485">
      <c r="H485" s="799"/>
      <c r="I485" s="799"/>
      <c r="J485" s="799"/>
      <c r="K485" s="799"/>
      <c r="L485" s="799"/>
      <c r="M485" s="799"/>
      <c r="N485" s="799"/>
      <c r="O485" s="799"/>
      <c r="P485" s="799"/>
      <c r="Q485" s="799"/>
      <c r="R485" s="799"/>
      <c r="S485" s="799"/>
      <c r="T485" s="799"/>
      <c r="U485" s="799"/>
      <c r="V485" s="799"/>
      <c r="W485" s="799"/>
      <c r="X485" s="799"/>
      <c r="Y485" s="799"/>
      <c r="Z485" s="799"/>
      <c r="AA485" s="799"/>
      <c r="AB485" s="799"/>
      <c r="AC485" s="799"/>
      <c r="AD485" s="799"/>
      <c r="AE485" s="799"/>
      <c r="AF485" s="799"/>
      <c r="AG485" s="799"/>
      <c r="AH485" s="799"/>
      <c r="AI485" s="799"/>
      <c r="AJ485" s="799"/>
      <c r="AK485" s="799"/>
      <c r="AL485" s="799"/>
      <c r="AM485" s="799"/>
      <c r="AN485" s="799"/>
      <c r="AO485" s="799"/>
      <c r="AP485" s="799"/>
      <c r="AQ485" s="799"/>
      <c r="AR485" s="799"/>
      <c r="AS485" s="799"/>
      <c r="AT485" s="799"/>
      <c r="AU485" s="799"/>
      <c r="AV485" s="799"/>
      <c r="AW485" s="799"/>
      <c r="AX485" s="799"/>
      <c r="AY485" s="799"/>
      <c r="AZ485" s="799"/>
      <c r="BA485" s="799"/>
      <c r="BB485" s="799"/>
      <c r="BC485" s="799"/>
      <c r="BD485" s="799"/>
      <c r="BE485" s="799"/>
      <c r="BF485" s="799"/>
      <c r="BG485" s="799"/>
    </row>
    <row r="486">
      <c r="H486" s="799"/>
      <c r="I486" s="799"/>
      <c r="J486" s="799"/>
      <c r="K486" s="799"/>
      <c r="L486" s="799"/>
      <c r="M486" s="799"/>
      <c r="N486" s="799"/>
      <c r="O486" s="799"/>
      <c r="P486" s="799"/>
      <c r="Q486" s="799"/>
      <c r="R486" s="799"/>
      <c r="S486" s="799"/>
      <c r="T486" s="799"/>
      <c r="U486" s="799"/>
      <c r="V486" s="799"/>
      <c r="W486" s="799"/>
      <c r="X486" s="799"/>
      <c r="Y486" s="799"/>
      <c r="Z486" s="799"/>
      <c r="AA486" s="799"/>
      <c r="AB486" s="799"/>
      <c r="AC486" s="799"/>
      <c r="AD486" s="799"/>
      <c r="AE486" s="799"/>
      <c r="AF486" s="799"/>
      <c r="AG486" s="799"/>
      <c r="AH486" s="799"/>
      <c r="AI486" s="799"/>
      <c r="AJ486" s="799"/>
      <c r="AK486" s="799"/>
      <c r="AL486" s="799"/>
      <c r="AM486" s="799"/>
      <c r="AN486" s="799"/>
      <c r="AO486" s="799"/>
      <c r="AP486" s="799"/>
      <c r="AQ486" s="799"/>
      <c r="AR486" s="799"/>
      <c r="AS486" s="799"/>
      <c r="AT486" s="799"/>
      <c r="AU486" s="799"/>
      <c r="AV486" s="799"/>
      <c r="AW486" s="799"/>
      <c r="AX486" s="799"/>
      <c r="AY486" s="799"/>
      <c r="AZ486" s="799"/>
      <c r="BA486" s="799"/>
      <c r="BB486" s="799"/>
      <c r="BC486" s="799"/>
      <c r="BD486" s="799"/>
      <c r="BE486" s="799"/>
      <c r="BF486" s="799"/>
      <c r="BG486" s="799"/>
    </row>
    <row r="487">
      <c r="H487" s="799"/>
      <c r="I487" s="799"/>
      <c r="J487" s="799"/>
      <c r="K487" s="799"/>
      <c r="L487" s="799"/>
      <c r="M487" s="799"/>
      <c r="N487" s="799"/>
      <c r="O487" s="799"/>
      <c r="P487" s="799"/>
      <c r="Q487" s="799"/>
      <c r="R487" s="799"/>
      <c r="S487" s="799"/>
      <c r="T487" s="799"/>
      <c r="U487" s="799"/>
      <c r="V487" s="799"/>
      <c r="W487" s="799"/>
      <c r="X487" s="799"/>
      <c r="Y487" s="799"/>
      <c r="Z487" s="799"/>
      <c r="AA487" s="799"/>
      <c r="AB487" s="799"/>
      <c r="AC487" s="799"/>
      <c r="AD487" s="799"/>
      <c r="AE487" s="799"/>
      <c r="AF487" s="799"/>
      <c r="AG487" s="799"/>
      <c r="AH487" s="799"/>
      <c r="AI487" s="799"/>
      <c r="AJ487" s="799"/>
      <c r="AK487" s="799"/>
      <c r="AL487" s="799"/>
      <c r="AM487" s="799"/>
      <c r="AN487" s="799"/>
      <c r="AO487" s="799"/>
      <c r="AP487" s="799"/>
      <c r="AQ487" s="799"/>
      <c r="AR487" s="799"/>
      <c r="AS487" s="799"/>
      <c r="AT487" s="799"/>
      <c r="AU487" s="799"/>
      <c r="AV487" s="799"/>
      <c r="AW487" s="799"/>
      <c r="AX487" s="799"/>
      <c r="AY487" s="799"/>
      <c r="AZ487" s="799"/>
      <c r="BA487" s="799"/>
      <c r="BB487" s="799"/>
      <c r="BC487" s="799"/>
      <c r="BD487" s="799"/>
      <c r="BE487" s="799"/>
      <c r="BF487" s="799"/>
      <c r="BG487" s="799"/>
    </row>
    <row r="488">
      <c r="H488" s="799"/>
      <c r="I488" s="799"/>
      <c r="J488" s="799"/>
      <c r="K488" s="799"/>
      <c r="L488" s="799"/>
      <c r="M488" s="799"/>
      <c r="N488" s="799"/>
      <c r="O488" s="799"/>
      <c r="P488" s="799"/>
      <c r="Q488" s="799"/>
      <c r="R488" s="799"/>
      <c r="S488" s="799"/>
      <c r="T488" s="799"/>
      <c r="U488" s="799"/>
      <c r="V488" s="799"/>
      <c r="W488" s="799"/>
      <c r="X488" s="799"/>
      <c r="Y488" s="799"/>
      <c r="Z488" s="799"/>
      <c r="AA488" s="799"/>
      <c r="AB488" s="799"/>
      <c r="AC488" s="799"/>
      <c r="AD488" s="799"/>
      <c r="AE488" s="799"/>
      <c r="AF488" s="799"/>
      <c r="AG488" s="799"/>
      <c r="AH488" s="799"/>
      <c r="AI488" s="799"/>
      <c r="AJ488" s="799"/>
      <c r="AK488" s="799"/>
      <c r="AL488" s="799"/>
      <c r="AM488" s="799"/>
      <c r="AN488" s="799"/>
      <c r="AO488" s="799"/>
      <c r="AP488" s="799"/>
      <c r="AQ488" s="799"/>
      <c r="AR488" s="799"/>
      <c r="AS488" s="799"/>
      <c r="AT488" s="799"/>
      <c r="AU488" s="799"/>
      <c r="AV488" s="799"/>
      <c r="AW488" s="799"/>
      <c r="AX488" s="799"/>
      <c r="AY488" s="799"/>
      <c r="AZ488" s="799"/>
      <c r="BA488" s="799"/>
      <c r="BB488" s="799"/>
      <c r="BC488" s="799"/>
      <c r="BD488" s="799"/>
      <c r="BE488" s="799"/>
      <c r="BF488" s="799"/>
      <c r="BG488" s="799"/>
    </row>
    <row r="489">
      <c r="H489" s="799"/>
      <c r="I489" s="799"/>
      <c r="J489" s="799"/>
      <c r="K489" s="799"/>
      <c r="L489" s="799"/>
      <c r="M489" s="799"/>
      <c r="N489" s="799"/>
      <c r="O489" s="799"/>
      <c r="P489" s="799"/>
      <c r="Q489" s="799"/>
      <c r="R489" s="799"/>
      <c r="S489" s="799"/>
      <c r="T489" s="799"/>
      <c r="U489" s="799"/>
      <c r="V489" s="799"/>
      <c r="W489" s="799"/>
      <c r="X489" s="799"/>
      <c r="Y489" s="799"/>
      <c r="Z489" s="799"/>
      <c r="AA489" s="799"/>
      <c r="AB489" s="799"/>
      <c r="AC489" s="799"/>
      <c r="AD489" s="799"/>
      <c r="AE489" s="799"/>
      <c r="AF489" s="799"/>
      <c r="AG489" s="799"/>
      <c r="AH489" s="799"/>
      <c r="AI489" s="799"/>
      <c r="AJ489" s="799"/>
      <c r="AK489" s="799"/>
      <c r="AL489" s="799"/>
      <c r="AM489" s="799"/>
      <c r="AN489" s="799"/>
      <c r="AO489" s="799"/>
      <c r="AP489" s="799"/>
      <c r="AQ489" s="799"/>
      <c r="AR489" s="799"/>
      <c r="AS489" s="799"/>
      <c r="AT489" s="799"/>
      <c r="AU489" s="799"/>
      <c r="AV489" s="799"/>
      <c r="AW489" s="799"/>
      <c r="AX489" s="799"/>
      <c r="AY489" s="799"/>
      <c r="AZ489" s="799"/>
      <c r="BA489" s="799"/>
      <c r="BB489" s="799"/>
      <c r="BC489" s="799"/>
      <c r="BD489" s="799"/>
      <c r="BE489" s="799"/>
      <c r="BF489" s="799"/>
      <c r="BG489" s="799"/>
    </row>
    <row r="490">
      <c r="H490" s="799"/>
      <c r="I490" s="799"/>
      <c r="J490" s="799"/>
      <c r="K490" s="799"/>
      <c r="L490" s="799"/>
      <c r="M490" s="799"/>
      <c r="N490" s="799"/>
      <c r="O490" s="799"/>
      <c r="P490" s="799"/>
      <c r="Q490" s="799"/>
      <c r="R490" s="799"/>
      <c r="S490" s="799"/>
      <c r="T490" s="799"/>
      <c r="U490" s="799"/>
      <c r="V490" s="799"/>
      <c r="W490" s="799"/>
      <c r="X490" s="799"/>
      <c r="Y490" s="799"/>
      <c r="Z490" s="799"/>
      <c r="AA490" s="799"/>
      <c r="AB490" s="799"/>
      <c r="AC490" s="799"/>
      <c r="AD490" s="799"/>
      <c r="AE490" s="799"/>
      <c r="AF490" s="799"/>
      <c r="AG490" s="799"/>
      <c r="AH490" s="799"/>
      <c r="AI490" s="799"/>
      <c r="AJ490" s="799"/>
      <c r="AK490" s="799"/>
      <c r="AL490" s="799"/>
      <c r="AM490" s="799"/>
      <c r="AN490" s="799"/>
      <c r="AO490" s="799"/>
      <c r="AP490" s="799"/>
      <c r="AQ490" s="799"/>
      <c r="AR490" s="799"/>
      <c r="AS490" s="799"/>
      <c r="AT490" s="799"/>
      <c r="AU490" s="799"/>
      <c r="AV490" s="799"/>
      <c r="AW490" s="799"/>
      <c r="AX490" s="799"/>
      <c r="AY490" s="799"/>
      <c r="AZ490" s="799"/>
      <c r="BA490" s="799"/>
      <c r="BB490" s="799"/>
      <c r="BC490" s="799"/>
      <c r="BD490" s="799"/>
      <c r="BE490" s="799"/>
      <c r="BF490" s="799"/>
      <c r="BG490" s="799"/>
    </row>
    <row r="491">
      <c r="H491" s="799"/>
      <c r="I491" s="799"/>
      <c r="J491" s="799"/>
      <c r="K491" s="799"/>
      <c r="L491" s="799"/>
      <c r="M491" s="799"/>
      <c r="N491" s="799"/>
      <c r="O491" s="799"/>
      <c r="P491" s="799"/>
      <c r="Q491" s="799"/>
      <c r="R491" s="799"/>
      <c r="S491" s="799"/>
      <c r="T491" s="799"/>
      <c r="U491" s="799"/>
      <c r="V491" s="799"/>
      <c r="W491" s="799"/>
      <c r="X491" s="799"/>
      <c r="Y491" s="799"/>
      <c r="Z491" s="799"/>
      <c r="AA491" s="799"/>
      <c r="AB491" s="799"/>
      <c r="AC491" s="799"/>
      <c r="AD491" s="799"/>
      <c r="AE491" s="799"/>
      <c r="AF491" s="799"/>
      <c r="AG491" s="799"/>
      <c r="AH491" s="799"/>
      <c r="AI491" s="799"/>
      <c r="AJ491" s="799"/>
      <c r="AK491" s="799"/>
      <c r="AL491" s="799"/>
      <c r="AM491" s="799"/>
      <c r="AN491" s="799"/>
      <c r="AO491" s="799"/>
      <c r="AP491" s="799"/>
      <c r="AQ491" s="799"/>
      <c r="AR491" s="799"/>
      <c r="AS491" s="799"/>
      <c r="AT491" s="799"/>
      <c r="AU491" s="799"/>
      <c r="AV491" s="799"/>
      <c r="AW491" s="799"/>
      <c r="AX491" s="799"/>
      <c r="AY491" s="799"/>
      <c r="AZ491" s="799"/>
      <c r="BA491" s="799"/>
      <c r="BB491" s="799"/>
      <c r="BC491" s="799"/>
      <c r="BD491" s="799"/>
      <c r="BE491" s="799"/>
      <c r="BF491" s="799"/>
      <c r="BG491" s="799"/>
    </row>
    <row r="492">
      <c r="H492" s="799"/>
      <c r="I492" s="799"/>
      <c r="J492" s="799"/>
      <c r="K492" s="799"/>
      <c r="L492" s="799"/>
      <c r="M492" s="799"/>
      <c r="N492" s="799"/>
      <c r="O492" s="799"/>
      <c r="P492" s="799"/>
      <c r="Q492" s="799"/>
      <c r="R492" s="799"/>
      <c r="S492" s="799"/>
      <c r="T492" s="799"/>
      <c r="U492" s="799"/>
      <c r="V492" s="799"/>
      <c r="W492" s="799"/>
      <c r="X492" s="799"/>
      <c r="Y492" s="799"/>
      <c r="Z492" s="799"/>
      <c r="AA492" s="799"/>
      <c r="AB492" s="799"/>
      <c r="AC492" s="799"/>
      <c r="AD492" s="799"/>
      <c r="AE492" s="799"/>
      <c r="AF492" s="799"/>
      <c r="AG492" s="799"/>
      <c r="AH492" s="799"/>
      <c r="AI492" s="799"/>
      <c r="AJ492" s="799"/>
      <c r="AK492" s="799"/>
      <c r="AL492" s="799"/>
      <c r="AM492" s="799"/>
      <c r="AN492" s="799"/>
      <c r="AO492" s="799"/>
      <c r="AP492" s="799"/>
      <c r="AQ492" s="799"/>
      <c r="AR492" s="799"/>
      <c r="AS492" s="799"/>
      <c r="AT492" s="799"/>
      <c r="AU492" s="799"/>
      <c r="AV492" s="799"/>
      <c r="AW492" s="799"/>
      <c r="AX492" s="799"/>
      <c r="AY492" s="799"/>
      <c r="AZ492" s="799"/>
      <c r="BA492" s="799"/>
      <c r="BB492" s="799"/>
      <c r="BC492" s="799"/>
      <c r="BD492" s="799"/>
      <c r="BE492" s="799"/>
      <c r="BF492" s="799"/>
      <c r="BG492" s="799"/>
    </row>
    <row r="493">
      <c r="H493" s="799"/>
      <c r="I493" s="799"/>
      <c r="J493" s="799"/>
      <c r="K493" s="799"/>
      <c r="L493" s="799"/>
      <c r="M493" s="799"/>
      <c r="N493" s="799"/>
      <c r="O493" s="799"/>
      <c r="P493" s="799"/>
      <c r="Q493" s="799"/>
      <c r="R493" s="799"/>
      <c r="S493" s="799"/>
      <c r="T493" s="799"/>
      <c r="U493" s="799"/>
      <c r="V493" s="799"/>
      <c r="W493" s="799"/>
      <c r="X493" s="799"/>
      <c r="Y493" s="799"/>
      <c r="Z493" s="799"/>
      <c r="AA493" s="799"/>
      <c r="AB493" s="799"/>
      <c r="AC493" s="799"/>
      <c r="AD493" s="799"/>
      <c r="AE493" s="799"/>
      <c r="AF493" s="799"/>
      <c r="AG493" s="799"/>
      <c r="AH493" s="799"/>
      <c r="AI493" s="799"/>
      <c r="AJ493" s="799"/>
      <c r="AK493" s="799"/>
      <c r="AL493" s="799"/>
      <c r="AM493" s="799"/>
      <c r="AN493" s="799"/>
      <c r="AO493" s="799"/>
      <c r="AP493" s="799"/>
      <c r="AQ493" s="799"/>
      <c r="AR493" s="799"/>
      <c r="AS493" s="799"/>
      <c r="AT493" s="799"/>
      <c r="AU493" s="799"/>
      <c r="AV493" s="799"/>
      <c r="AW493" s="799"/>
      <c r="AX493" s="799"/>
      <c r="AY493" s="799"/>
      <c r="AZ493" s="799"/>
      <c r="BA493" s="799"/>
      <c r="BB493" s="799"/>
      <c r="BC493" s="799"/>
      <c r="BD493" s="799"/>
      <c r="BE493" s="799"/>
      <c r="BF493" s="799"/>
      <c r="BG493" s="799"/>
    </row>
    <row r="494">
      <c r="H494" s="799"/>
      <c r="I494" s="799"/>
      <c r="J494" s="799"/>
      <c r="K494" s="799"/>
      <c r="L494" s="799"/>
      <c r="M494" s="799"/>
      <c r="N494" s="799"/>
      <c r="O494" s="799"/>
      <c r="P494" s="799"/>
      <c r="Q494" s="799"/>
      <c r="R494" s="799"/>
      <c r="S494" s="799"/>
      <c r="T494" s="799"/>
      <c r="U494" s="799"/>
      <c r="V494" s="799"/>
      <c r="W494" s="799"/>
      <c r="X494" s="799"/>
      <c r="Y494" s="799"/>
      <c r="Z494" s="799"/>
      <c r="AA494" s="799"/>
      <c r="AB494" s="799"/>
      <c r="AC494" s="799"/>
      <c r="AD494" s="799"/>
      <c r="AE494" s="799"/>
      <c r="AF494" s="799"/>
      <c r="AG494" s="799"/>
      <c r="AH494" s="799"/>
      <c r="AI494" s="799"/>
      <c r="AJ494" s="799"/>
      <c r="AK494" s="799"/>
      <c r="AL494" s="799"/>
      <c r="AM494" s="799"/>
      <c r="AN494" s="799"/>
      <c r="AO494" s="799"/>
      <c r="AP494" s="799"/>
      <c r="AQ494" s="799"/>
      <c r="AR494" s="799"/>
      <c r="AS494" s="799"/>
      <c r="AT494" s="799"/>
      <c r="AU494" s="799"/>
      <c r="AV494" s="799"/>
      <c r="AW494" s="799"/>
      <c r="AX494" s="799"/>
      <c r="AY494" s="799"/>
      <c r="AZ494" s="799"/>
      <c r="BA494" s="799"/>
      <c r="BB494" s="799"/>
      <c r="BC494" s="799"/>
      <c r="BD494" s="799"/>
      <c r="BE494" s="799"/>
      <c r="BF494" s="799"/>
      <c r="BG494" s="799"/>
    </row>
    <row r="495">
      <c r="H495" s="799"/>
      <c r="I495" s="799"/>
      <c r="J495" s="799"/>
      <c r="K495" s="799"/>
      <c r="L495" s="799"/>
      <c r="M495" s="799"/>
      <c r="N495" s="799"/>
      <c r="O495" s="799"/>
      <c r="P495" s="799"/>
      <c r="Q495" s="799"/>
      <c r="R495" s="799"/>
      <c r="S495" s="799"/>
      <c r="T495" s="799"/>
      <c r="U495" s="799"/>
      <c r="V495" s="799"/>
      <c r="W495" s="799"/>
      <c r="X495" s="799"/>
      <c r="Y495" s="799"/>
      <c r="Z495" s="799"/>
      <c r="AA495" s="799"/>
      <c r="AB495" s="799"/>
      <c r="AC495" s="799"/>
      <c r="AD495" s="799"/>
      <c r="AE495" s="799"/>
      <c r="AF495" s="799"/>
      <c r="AG495" s="799"/>
      <c r="AH495" s="799"/>
      <c r="AI495" s="799"/>
      <c r="AJ495" s="799"/>
      <c r="AK495" s="799"/>
      <c r="AL495" s="799"/>
      <c r="AM495" s="799"/>
      <c r="AN495" s="799"/>
      <c r="AO495" s="799"/>
      <c r="AP495" s="799"/>
      <c r="AQ495" s="799"/>
      <c r="AR495" s="799"/>
      <c r="AS495" s="799"/>
      <c r="AT495" s="799"/>
      <c r="AU495" s="799"/>
      <c r="AV495" s="799"/>
      <c r="AW495" s="799"/>
      <c r="AX495" s="799"/>
      <c r="AY495" s="799"/>
      <c r="AZ495" s="799"/>
      <c r="BA495" s="799"/>
      <c r="BB495" s="799"/>
      <c r="BC495" s="799"/>
      <c r="BD495" s="799"/>
      <c r="BE495" s="799"/>
      <c r="BF495" s="799"/>
      <c r="BG495" s="799"/>
    </row>
    <row r="496">
      <c r="H496" s="799"/>
      <c r="I496" s="799"/>
      <c r="J496" s="799"/>
      <c r="K496" s="799"/>
      <c r="L496" s="799"/>
      <c r="M496" s="799"/>
      <c r="N496" s="799"/>
      <c r="O496" s="799"/>
      <c r="P496" s="799"/>
      <c r="Q496" s="799"/>
      <c r="R496" s="799"/>
      <c r="S496" s="799"/>
      <c r="T496" s="799"/>
      <c r="U496" s="799"/>
      <c r="V496" s="799"/>
      <c r="W496" s="799"/>
      <c r="X496" s="799"/>
      <c r="Y496" s="799"/>
      <c r="Z496" s="799"/>
      <c r="AA496" s="799"/>
      <c r="AB496" s="799"/>
      <c r="AC496" s="799"/>
      <c r="AD496" s="799"/>
      <c r="AE496" s="799"/>
      <c r="AF496" s="799"/>
      <c r="AG496" s="799"/>
      <c r="AH496" s="799"/>
      <c r="AI496" s="799"/>
      <c r="AJ496" s="799"/>
      <c r="AK496" s="799"/>
      <c r="AL496" s="799"/>
      <c r="AM496" s="799"/>
      <c r="AN496" s="799"/>
      <c r="AO496" s="799"/>
      <c r="AP496" s="799"/>
      <c r="AQ496" s="799"/>
      <c r="AR496" s="799"/>
      <c r="AS496" s="799"/>
      <c r="AT496" s="799"/>
      <c r="AU496" s="799"/>
      <c r="AV496" s="799"/>
      <c r="AW496" s="799"/>
      <c r="AX496" s="799"/>
      <c r="AY496" s="799"/>
      <c r="AZ496" s="799"/>
      <c r="BA496" s="799"/>
      <c r="BB496" s="799"/>
      <c r="BC496" s="799"/>
      <c r="BD496" s="799"/>
      <c r="BE496" s="799"/>
      <c r="BF496" s="799"/>
      <c r="BG496" s="799"/>
    </row>
    <row r="497">
      <c r="H497" s="799"/>
      <c r="I497" s="799"/>
      <c r="J497" s="799"/>
      <c r="K497" s="799"/>
      <c r="L497" s="799"/>
      <c r="M497" s="799"/>
      <c r="N497" s="799"/>
      <c r="O497" s="799"/>
      <c r="P497" s="799"/>
      <c r="Q497" s="799"/>
      <c r="R497" s="799"/>
      <c r="S497" s="799"/>
      <c r="T497" s="799"/>
      <c r="U497" s="799"/>
      <c r="V497" s="799"/>
      <c r="W497" s="799"/>
      <c r="X497" s="799"/>
      <c r="Y497" s="799"/>
      <c r="Z497" s="799"/>
      <c r="AA497" s="799"/>
      <c r="AB497" s="799"/>
      <c r="AC497" s="799"/>
      <c r="AD497" s="799"/>
      <c r="AE497" s="799"/>
      <c r="AF497" s="799"/>
      <c r="AG497" s="799"/>
      <c r="AH497" s="799"/>
      <c r="AI497" s="799"/>
      <c r="AJ497" s="799"/>
      <c r="AK497" s="799"/>
      <c r="AL497" s="799"/>
      <c r="AM497" s="799"/>
      <c r="AN497" s="799"/>
      <c r="AO497" s="799"/>
      <c r="AP497" s="799"/>
      <c r="AQ497" s="799"/>
      <c r="AR497" s="799"/>
      <c r="AS497" s="799"/>
      <c r="AT497" s="799"/>
      <c r="AU497" s="799"/>
      <c r="AV497" s="799"/>
      <c r="AW497" s="799"/>
      <c r="AX497" s="799"/>
      <c r="AY497" s="799"/>
      <c r="AZ497" s="799"/>
      <c r="BA497" s="799"/>
      <c r="BB497" s="799"/>
      <c r="BC497" s="799"/>
      <c r="BD497" s="799"/>
      <c r="BE497" s="799"/>
      <c r="BF497" s="799"/>
      <c r="BG497" s="799"/>
    </row>
    <row r="498">
      <c r="H498" s="799"/>
      <c r="I498" s="799"/>
      <c r="J498" s="799"/>
      <c r="K498" s="799"/>
      <c r="L498" s="799"/>
      <c r="M498" s="799"/>
      <c r="N498" s="799"/>
      <c r="O498" s="799"/>
      <c r="P498" s="799"/>
      <c r="Q498" s="799"/>
      <c r="R498" s="799"/>
      <c r="S498" s="799"/>
      <c r="T498" s="799"/>
      <c r="U498" s="799"/>
      <c r="V498" s="799"/>
      <c r="W498" s="799"/>
      <c r="X498" s="799"/>
      <c r="Y498" s="799"/>
      <c r="Z498" s="799"/>
      <c r="AA498" s="799"/>
      <c r="AB498" s="799"/>
      <c r="AC498" s="799"/>
      <c r="AD498" s="799"/>
      <c r="AE498" s="799"/>
      <c r="AF498" s="799"/>
      <c r="AG498" s="799"/>
      <c r="AH498" s="799"/>
      <c r="AI498" s="799"/>
      <c r="AJ498" s="799"/>
      <c r="AK498" s="799"/>
      <c r="AL498" s="799"/>
      <c r="AM498" s="799"/>
      <c r="AN498" s="799"/>
      <c r="AO498" s="799"/>
      <c r="AP498" s="799"/>
      <c r="AQ498" s="799"/>
      <c r="AR498" s="799"/>
      <c r="AS498" s="799"/>
      <c r="AT498" s="799"/>
      <c r="AU498" s="799"/>
      <c r="AV498" s="799"/>
      <c r="AW498" s="799"/>
      <c r="AX498" s="799"/>
      <c r="AY498" s="799"/>
      <c r="AZ498" s="799"/>
      <c r="BA498" s="799"/>
      <c r="BB498" s="799"/>
      <c r="BC498" s="799"/>
      <c r="BD498" s="799"/>
      <c r="BE498" s="799"/>
      <c r="BF498" s="799"/>
      <c r="BG498" s="799"/>
    </row>
    <row r="499">
      <c r="H499" s="799"/>
      <c r="I499" s="799"/>
      <c r="J499" s="799"/>
      <c r="K499" s="799"/>
      <c r="L499" s="799"/>
      <c r="M499" s="799"/>
      <c r="N499" s="799"/>
      <c r="O499" s="799"/>
      <c r="P499" s="799"/>
      <c r="Q499" s="799"/>
      <c r="R499" s="799"/>
      <c r="S499" s="799"/>
      <c r="T499" s="799"/>
      <c r="U499" s="799"/>
      <c r="V499" s="799"/>
      <c r="W499" s="799"/>
      <c r="X499" s="799"/>
      <c r="Y499" s="799"/>
      <c r="Z499" s="799"/>
      <c r="AA499" s="799"/>
      <c r="AB499" s="799"/>
      <c r="AC499" s="799"/>
      <c r="AD499" s="799"/>
      <c r="AE499" s="799"/>
      <c r="AF499" s="799"/>
      <c r="AG499" s="799"/>
      <c r="AH499" s="799"/>
      <c r="AI499" s="799"/>
      <c r="AJ499" s="799"/>
      <c r="AK499" s="799"/>
      <c r="AL499" s="799"/>
      <c r="AM499" s="799"/>
      <c r="AN499" s="799"/>
      <c r="AO499" s="799"/>
      <c r="AP499" s="799"/>
      <c r="AQ499" s="799"/>
      <c r="AR499" s="799"/>
      <c r="AS499" s="799"/>
      <c r="AT499" s="799"/>
      <c r="AU499" s="799"/>
      <c r="AV499" s="799"/>
      <c r="AW499" s="799"/>
      <c r="AX499" s="799"/>
      <c r="AY499" s="799"/>
      <c r="AZ499" s="799"/>
      <c r="BA499" s="799"/>
      <c r="BB499" s="799"/>
      <c r="BC499" s="799"/>
      <c r="BD499" s="799"/>
      <c r="BE499" s="799"/>
      <c r="BF499" s="799"/>
      <c r="BG499" s="799"/>
    </row>
    <row r="500">
      <c r="H500" s="799"/>
      <c r="I500" s="799"/>
      <c r="J500" s="799"/>
      <c r="K500" s="799"/>
      <c r="L500" s="799"/>
      <c r="M500" s="799"/>
      <c r="N500" s="799"/>
      <c r="O500" s="799"/>
      <c r="P500" s="799"/>
      <c r="Q500" s="799"/>
      <c r="R500" s="799"/>
      <c r="S500" s="799"/>
      <c r="T500" s="799"/>
      <c r="U500" s="799"/>
      <c r="V500" s="799"/>
      <c r="W500" s="799"/>
      <c r="X500" s="799"/>
      <c r="Y500" s="799"/>
      <c r="Z500" s="799"/>
      <c r="AA500" s="799"/>
      <c r="AB500" s="799"/>
      <c r="AC500" s="799"/>
      <c r="AD500" s="799"/>
      <c r="AE500" s="799"/>
      <c r="AF500" s="799"/>
      <c r="AG500" s="799"/>
      <c r="AH500" s="799"/>
      <c r="AI500" s="799"/>
      <c r="AJ500" s="799"/>
      <c r="AK500" s="799"/>
      <c r="AL500" s="799"/>
      <c r="AM500" s="799"/>
      <c r="AN500" s="799"/>
      <c r="AO500" s="799"/>
      <c r="AP500" s="799"/>
      <c r="AQ500" s="799"/>
      <c r="AR500" s="799"/>
      <c r="AS500" s="799"/>
      <c r="AT500" s="799"/>
      <c r="AU500" s="799"/>
      <c r="AV500" s="799"/>
      <c r="AW500" s="799"/>
      <c r="AX500" s="799"/>
      <c r="AY500" s="799"/>
      <c r="AZ500" s="799"/>
      <c r="BA500" s="799"/>
      <c r="BB500" s="799"/>
      <c r="BC500" s="799"/>
      <c r="BD500" s="799"/>
      <c r="BE500" s="799"/>
      <c r="BF500" s="799"/>
      <c r="BG500" s="799"/>
    </row>
    <row r="501">
      <c r="H501" s="799"/>
      <c r="I501" s="799"/>
      <c r="J501" s="799"/>
      <c r="K501" s="799"/>
      <c r="L501" s="799"/>
      <c r="M501" s="799"/>
      <c r="N501" s="799"/>
      <c r="O501" s="799"/>
      <c r="P501" s="799"/>
      <c r="Q501" s="799"/>
      <c r="R501" s="799"/>
      <c r="S501" s="799"/>
      <c r="T501" s="799"/>
      <c r="U501" s="799"/>
      <c r="V501" s="799"/>
      <c r="W501" s="799"/>
      <c r="X501" s="799"/>
      <c r="Y501" s="799"/>
      <c r="Z501" s="799"/>
      <c r="AA501" s="799"/>
      <c r="AB501" s="799"/>
      <c r="AC501" s="799"/>
      <c r="AD501" s="799"/>
      <c r="AE501" s="799"/>
      <c r="AF501" s="799"/>
      <c r="AG501" s="799"/>
      <c r="AH501" s="799"/>
      <c r="AI501" s="799"/>
      <c r="AJ501" s="799"/>
      <c r="AK501" s="799"/>
      <c r="AL501" s="799"/>
      <c r="AM501" s="799"/>
      <c r="AN501" s="799"/>
      <c r="AO501" s="799"/>
      <c r="AP501" s="799"/>
      <c r="AQ501" s="799"/>
      <c r="AR501" s="799"/>
      <c r="AS501" s="799"/>
      <c r="AT501" s="799"/>
      <c r="AU501" s="799"/>
      <c r="AV501" s="799"/>
      <c r="AW501" s="799"/>
      <c r="AX501" s="799"/>
      <c r="AY501" s="799"/>
      <c r="AZ501" s="799"/>
      <c r="BA501" s="799"/>
      <c r="BB501" s="799"/>
      <c r="BC501" s="799"/>
      <c r="BD501" s="799"/>
      <c r="BE501" s="799"/>
      <c r="BF501" s="799"/>
      <c r="BG501" s="799"/>
    </row>
    <row r="502">
      <c r="H502" s="799"/>
      <c r="I502" s="799"/>
      <c r="J502" s="799"/>
      <c r="K502" s="799"/>
      <c r="L502" s="799"/>
      <c r="M502" s="799"/>
      <c r="N502" s="799"/>
      <c r="O502" s="799"/>
      <c r="P502" s="799"/>
      <c r="Q502" s="799"/>
      <c r="R502" s="799"/>
      <c r="S502" s="799"/>
      <c r="T502" s="799"/>
      <c r="U502" s="799"/>
      <c r="V502" s="799"/>
      <c r="W502" s="799"/>
      <c r="X502" s="799"/>
      <c r="Y502" s="799"/>
      <c r="Z502" s="799"/>
      <c r="AA502" s="799"/>
      <c r="AB502" s="799"/>
      <c r="AC502" s="799"/>
      <c r="AD502" s="799"/>
      <c r="AE502" s="799"/>
      <c r="AF502" s="799"/>
      <c r="AG502" s="799"/>
      <c r="AH502" s="799"/>
      <c r="AI502" s="799"/>
      <c r="AJ502" s="799"/>
      <c r="AK502" s="799"/>
      <c r="AL502" s="799"/>
      <c r="AM502" s="799"/>
      <c r="AN502" s="799"/>
      <c r="AO502" s="799"/>
      <c r="AP502" s="799"/>
      <c r="AQ502" s="799"/>
      <c r="AR502" s="799"/>
      <c r="AS502" s="799"/>
      <c r="AT502" s="799"/>
      <c r="AU502" s="799"/>
      <c r="AV502" s="799"/>
      <c r="AW502" s="799"/>
      <c r="AX502" s="799"/>
      <c r="AY502" s="799"/>
      <c r="AZ502" s="799"/>
      <c r="BA502" s="799"/>
      <c r="BB502" s="799"/>
      <c r="BC502" s="799"/>
      <c r="BD502" s="799"/>
      <c r="BE502" s="799"/>
      <c r="BF502" s="799"/>
      <c r="BG502" s="799"/>
    </row>
    <row r="503">
      <c r="H503" s="799"/>
      <c r="I503" s="799"/>
      <c r="J503" s="799"/>
      <c r="K503" s="799"/>
      <c r="L503" s="799"/>
      <c r="M503" s="799"/>
      <c r="N503" s="799"/>
      <c r="O503" s="799"/>
      <c r="P503" s="799"/>
      <c r="Q503" s="799"/>
      <c r="R503" s="799"/>
      <c r="S503" s="799"/>
      <c r="T503" s="799"/>
      <c r="U503" s="799"/>
      <c r="V503" s="799"/>
      <c r="W503" s="799"/>
      <c r="X503" s="799"/>
      <c r="Y503" s="799"/>
      <c r="Z503" s="799"/>
      <c r="AA503" s="799"/>
      <c r="AB503" s="799"/>
      <c r="AC503" s="799"/>
      <c r="AD503" s="799"/>
      <c r="AE503" s="799"/>
      <c r="AF503" s="799"/>
      <c r="AG503" s="799"/>
      <c r="AH503" s="799"/>
      <c r="AI503" s="799"/>
      <c r="AJ503" s="799"/>
      <c r="AK503" s="799"/>
      <c r="AL503" s="799"/>
      <c r="AM503" s="799"/>
      <c r="AN503" s="799"/>
      <c r="AO503" s="799"/>
      <c r="AP503" s="799"/>
      <c r="AQ503" s="799"/>
      <c r="AR503" s="799"/>
      <c r="AS503" s="799"/>
      <c r="AT503" s="799"/>
      <c r="AU503" s="799"/>
      <c r="AV503" s="799"/>
      <c r="AW503" s="799"/>
      <c r="AX503" s="799"/>
      <c r="AY503" s="799"/>
      <c r="AZ503" s="799"/>
      <c r="BA503" s="799"/>
      <c r="BB503" s="799"/>
      <c r="BC503" s="799"/>
      <c r="BD503" s="799"/>
      <c r="BE503" s="799"/>
      <c r="BF503" s="799"/>
      <c r="BG503" s="799"/>
    </row>
    <row r="504">
      <c r="H504" s="799"/>
      <c r="I504" s="799"/>
      <c r="J504" s="799"/>
      <c r="K504" s="799"/>
      <c r="L504" s="799"/>
      <c r="M504" s="799"/>
      <c r="N504" s="799"/>
      <c r="O504" s="799"/>
      <c r="P504" s="799"/>
      <c r="Q504" s="799"/>
      <c r="R504" s="799"/>
      <c r="S504" s="799"/>
      <c r="T504" s="799"/>
      <c r="U504" s="799"/>
      <c r="V504" s="799"/>
      <c r="W504" s="799"/>
      <c r="X504" s="799"/>
      <c r="Y504" s="799"/>
      <c r="Z504" s="799"/>
      <c r="AA504" s="799"/>
      <c r="AB504" s="799"/>
      <c r="AC504" s="799"/>
      <c r="AD504" s="799"/>
      <c r="AE504" s="799"/>
      <c r="AF504" s="799"/>
      <c r="AG504" s="799"/>
      <c r="AH504" s="799"/>
      <c r="AI504" s="799"/>
      <c r="AJ504" s="799"/>
      <c r="AK504" s="799"/>
      <c r="AL504" s="799"/>
      <c r="AM504" s="799"/>
      <c r="AN504" s="799"/>
      <c r="AO504" s="799"/>
      <c r="AP504" s="799"/>
      <c r="AQ504" s="799"/>
      <c r="AR504" s="799"/>
      <c r="AS504" s="799"/>
      <c r="AT504" s="799"/>
      <c r="AU504" s="799"/>
      <c r="AV504" s="799"/>
      <c r="AW504" s="799"/>
      <c r="AX504" s="799"/>
      <c r="AY504" s="799"/>
      <c r="AZ504" s="799"/>
      <c r="BA504" s="799"/>
      <c r="BB504" s="799"/>
      <c r="BC504" s="799"/>
      <c r="BD504" s="799"/>
      <c r="BE504" s="799"/>
      <c r="BF504" s="799"/>
      <c r="BG504" s="799"/>
    </row>
    <row r="505">
      <c r="H505" s="799"/>
      <c r="I505" s="799"/>
      <c r="J505" s="799"/>
      <c r="K505" s="799"/>
      <c r="L505" s="799"/>
      <c r="M505" s="799"/>
      <c r="N505" s="799"/>
      <c r="O505" s="799"/>
      <c r="P505" s="799"/>
      <c r="Q505" s="799"/>
      <c r="R505" s="799"/>
      <c r="S505" s="799"/>
      <c r="T505" s="799"/>
      <c r="U505" s="799"/>
      <c r="V505" s="799"/>
      <c r="W505" s="799"/>
      <c r="X505" s="799"/>
      <c r="Y505" s="799"/>
      <c r="Z505" s="799"/>
      <c r="AA505" s="799"/>
      <c r="AB505" s="799"/>
      <c r="AC505" s="799"/>
      <c r="AD505" s="799"/>
      <c r="AE505" s="799"/>
      <c r="AF505" s="799"/>
      <c r="AG505" s="799"/>
      <c r="AH505" s="799"/>
      <c r="AI505" s="799"/>
      <c r="AJ505" s="799"/>
      <c r="AK505" s="799"/>
      <c r="AL505" s="799"/>
      <c r="AM505" s="799"/>
      <c r="AN505" s="799"/>
      <c r="AO505" s="799"/>
      <c r="AP505" s="799"/>
      <c r="AQ505" s="799"/>
      <c r="AR505" s="799"/>
      <c r="AS505" s="799"/>
      <c r="AT505" s="799"/>
      <c r="AU505" s="799"/>
      <c r="AV505" s="799"/>
      <c r="AW505" s="799"/>
      <c r="AX505" s="799"/>
      <c r="AY505" s="799"/>
      <c r="AZ505" s="799"/>
      <c r="BA505" s="799"/>
      <c r="BB505" s="799"/>
      <c r="BC505" s="799"/>
      <c r="BD505" s="799"/>
      <c r="BE505" s="799"/>
      <c r="BF505" s="799"/>
      <c r="BG505" s="799"/>
    </row>
    <row r="506">
      <c r="H506" s="799"/>
      <c r="I506" s="799"/>
      <c r="J506" s="799"/>
      <c r="K506" s="799"/>
      <c r="L506" s="799"/>
      <c r="M506" s="799"/>
      <c r="N506" s="799"/>
      <c r="O506" s="799"/>
      <c r="P506" s="799"/>
      <c r="Q506" s="799"/>
      <c r="R506" s="799"/>
      <c r="S506" s="799"/>
      <c r="T506" s="799"/>
      <c r="U506" s="799"/>
      <c r="V506" s="799"/>
      <c r="W506" s="799"/>
      <c r="X506" s="799"/>
      <c r="Y506" s="799"/>
      <c r="Z506" s="799"/>
      <c r="AA506" s="799"/>
      <c r="AB506" s="799"/>
      <c r="AC506" s="799"/>
      <c r="AD506" s="799"/>
      <c r="AE506" s="799"/>
      <c r="AF506" s="799"/>
      <c r="AG506" s="799"/>
      <c r="AH506" s="799"/>
      <c r="AI506" s="799"/>
      <c r="AJ506" s="799"/>
      <c r="AK506" s="799"/>
      <c r="AL506" s="799"/>
      <c r="AM506" s="799"/>
      <c r="AN506" s="799"/>
      <c r="AO506" s="799"/>
      <c r="AP506" s="799"/>
      <c r="AQ506" s="799"/>
      <c r="AR506" s="799"/>
      <c r="AS506" s="799"/>
      <c r="AT506" s="799"/>
      <c r="AU506" s="799"/>
      <c r="AV506" s="799"/>
      <c r="AW506" s="799"/>
      <c r="AX506" s="799"/>
      <c r="AY506" s="799"/>
      <c r="AZ506" s="799"/>
      <c r="BA506" s="799"/>
      <c r="BB506" s="799"/>
      <c r="BC506" s="799"/>
      <c r="BD506" s="799"/>
      <c r="BE506" s="799"/>
      <c r="BF506" s="799"/>
      <c r="BG506" s="799"/>
    </row>
    <row r="507">
      <c r="H507" s="799"/>
      <c r="I507" s="799"/>
      <c r="J507" s="799"/>
      <c r="K507" s="799"/>
      <c r="L507" s="799"/>
      <c r="M507" s="799"/>
      <c r="N507" s="799"/>
      <c r="O507" s="799"/>
      <c r="P507" s="799"/>
      <c r="Q507" s="799"/>
      <c r="R507" s="799"/>
      <c r="S507" s="799"/>
      <c r="T507" s="799"/>
      <c r="U507" s="799"/>
      <c r="V507" s="799"/>
      <c r="W507" s="799"/>
      <c r="X507" s="799"/>
      <c r="Y507" s="799"/>
      <c r="Z507" s="799"/>
      <c r="AA507" s="799"/>
      <c r="AB507" s="799"/>
      <c r="AC507" s="799"/>
      <c r="AD507" s="799"/>
      <c r="AE507" s="799"/>
      <c r="AF507" s="799"/>
      <c r="AG507" s="799"/>
      <c r="AH507" s="799"/>
      <c r="AI507" s="799"/>
      <c r="AJ507" s="799"/>
      <c r="AK507" s="799"/>
      <c r="AL507" s="799"/>
      <c r="AM507" s="799"/>
      <c r="AN507" s="799"/>
      <c r="AO507" s="799"/>
      <c r="AP507" s="799"/>
      <c r="AQ507" s="799"/>
      <c r="AR507" s="799"/>
      <c r="AS507" s="799"/>
      <c r="AT507" s="799"/>
      <c r="AU507" s="799"/>
      <c r="AV507" s="799"/>
      <c r="AW507" s="799"/>
      <c r="AX507" s="799"/>
      <c r="AY507" s="799"/>
      <c r="AZ507" s="799"/>
      <c r="BA507" s="799"/>
      <c r="BB507" s="799"/>
      <c r="BC507" s="799"/>
      <c r="BD507" s="799"/>
      <c r="BE507" s="799"/>
      <c r="BF507" s="799"/>
      <c r="BG507" s="799"/>
    </row>
    <row r="508">
      <c r="H508" s="799"/>
      <c r="I508" s="799"/>
      <c r="J508" s="799"/>
      <c r="K508" s="799"/>
      <c r="L508" s="799"/>
      <c r="M508" s="799"/>
      <c r="N508" s="799"/>
      <c r="O508" s="799"/>
      <c r="P508" s="799"/>
      <c r="Q508" s="799"/>
      <c r="R508" s="799"/>
      <c r="S508" s="799"/>
      <c r="T508" s="799"/>
      <c r="U508" s="799"/>
      <c r="V508" s="799"/>
      <c r="W508" s="799"/>
      <c r="X508" s="799"/>
      <c r="Y508" s="799"/>
      <c r="Z508" s="799"/>
      <c r="AA508" s="799"/>
      <c r="AB508" s="799"/>
      <c r="AC508" s="799"/>
      <c r="AD508" s="799"/>
      <c r="AE508" s="799"/>
      <c r="AF508" s="799"/>
      <c r="AG508" s="799"/>
      <c r="AH508" s="799"/>
      <c r="AI508" s="799"/>
      <c r="AJ508" s="799"/>
      <c r="AK508" s="799"/>
      <c r="AL508" s="799"/>
      <c r="AM508" s="799"/>
      <c r="AN508" s="799"/>
      <c r="AO508" s="799"/>
      <c r="AP508" s="799"/>
      <c r="AQ508" s="799"/>
      <c r="AR508" s="799"/>
      <c r="AS508" s="799"/>
      <c r="AT508" s="799"/>
      <c r="AU508" s="799"/>
      <c r="AV508" s="799"/>
      <c r="AW508" s="799"/>
      <c r="AX508" s="799"/>
      <c r="AY508" s="799"/>
      <c r="AZ508" s="799"/>
      <c r="BA508" s="799"/>
      <c r="BB508" s="799"/>
      <c r="BC508" s="799"/>
      <c r="BD508" s="799"/>
      <c r="BE508" s="799"/>
      <c r="BF508" s="799"/>
      <c r="BG508" s="799"/>
    </row>
    <row r="509">
      <c r="H509" s="799"/>
      <c r="I509" s="799"/>
      <c r="J509" s="799"/>
      <c r="K509" s="799"/>
      <c r="L509" s="799"/>
      <c r="M509" s="799"/>
      <c r="N509" s="799"/>
      <c r="O509" s="799"/>
      <c r="P509" s="799"/>
      <c r="Q509" s="799"/>
      <c r="R509" s="799"/>
      <c r="S509" s="799"/>
      <c r="T509" s="799"/>
      <c r="U509" s="799"/>
      <c r="V509" s="799"/>
      <c r="W509" s="799"/>
      <c r="X509" s="799"/>
      <c r="Y509" s="799"/>
      <c r="Z509" s="799"/>
      <c r="AA509" s="799"/>
      <c r="AB509" s="799"/>
      <c r="AC509" s="799"/>
      <c r="AD509" s="799"/>
      <c r="AE509" s="799"/>
      <c r="AF509" s="799"/>
      <c r="AG509" s="799"/>
      <c r="AH509" s="799"/>
      <c r="AI509" s="799"/>
      <c r="AJ509" s="799"/>
      <c r="AK509" s="799"/>
      <c r="AL509" s="799"/>
      <c r="AM509" s="799"/>
      <c r="AN509" s="799"/>
      <c r="AO509" s="799"/>
      <c r="AP509" s="799"/>
      <c r="AQ509" s="799"/>
      <c r="AR509" s="799"/>
      <c r="AS509" s="799"/>
      <c r="AT509" s="799"/>
      <c r="AU509" s="799"/>
      <c r="AV509" s="799"/>
      <c r="AW509" s="799"/>
      <c r="AX509" s="799"/>
      <c r="AY509" s="799"/>
      <c r="AZ509" s="799"/>
      <c r="BA509" s="799"/>
      <c r="BB509" s="799"/>
      <c r="BC509" s="799"/>
      <c r="BD509" s="799"/>
      <c r="BE509" s="799"/>
      <c r="BF509" s="799"/>
      <c r="BG509" s="799"/>
    </row>
    <row r="510">
      <c r="H510" s="799"/>
      <c r="I510" s="799"/>
      <c r="J510" s="799"/>
      <c r="K510" s="799"/>
      <c r="L510" s="799"/>
      <c r="M510" s="799"/>
      <c r="N510" s="799"/>
      <c r="O510" s="799"/>
      <c r="P510" s="799"/>
      <c r="Q510" s="799"/>
      <c r="R510" s="799"/>
      <c r="S510" s="799"/>
      <c r="T510" s="799"/>
      <c r="U510" s="799"/>
      <c r="V510" s="799"/>
      <c r="W510" s="799"/>
      <c r="X510" s="799"/>
      <c r="Y510" s="799"/>
      <c r="Z510" s="799"/>
      <c r="AA510" s="799"/>
      <c r="AB510" s="799"/>
      <c r="AC510" s="799"/>
      <c r="AD510" s="799"/>
      <c r="AE510" s="799"/>
      <c r="AF510" s="799"/>
      <c r="AG510" s="799"/>
      <c r="AH510" s="799"/>
      <c r="AI510" s="799"/>
      <c r="AJ510" s="799"/>
      <c r="AK510" s="799"/>
      <c r="AL510" s="799"/>
      <c r="AM510" s="799"/>
      <c r="AN510" s="799"/>
      <c r="AO510" s="799"/>
      <c r="AP510" s="799"/>
      <c r="AQ510" s="799"/>
      <c r="AR510" s="799"/>
      <c r="AS510" s="799"/>
      <c r="AT510" s="799"/>
      <c r="AU510" s="799"/>
      <c r="AV510" s="799"/>
      <c r="AW510" s="799"/>
      <c r="AX510" s="799"/>
      <c r="AY510" s="799"/>
      <c r="AZ510" s="799"/>
      <c r="BA510" s="799"/>
      <c r="BB510" s="799"/>
      <c r="BC510" s="799"/>
      <c r="BD510" s="799"/>
      <c r="BE510" s="799"/>
      <c r="BF510" s="799"/>
      <c r="BG510" s="799"/>
    </row>
    <row r="511">
      <c r="H511" s="799"/>
      <c r="I511" s="799"/>
      <c r="J511" s="799"/>
      <c r="K511" s="799"/>
      <c r="L511" s="799"/>
      <c r="M511" s="799"/>
      <c r="N511" s="799"/>
      <c r="O511" s="799"/>
      <c r="P511" s="799"/>
      <c r="Q511" s="799"/>
      <c r="R511" s="799"/>
      <c r="S511" s="799"/>
      <c r="T511" s="799"/>
      <c r="U511" s="799"/>
      <c r="V511" s="799"/>
      <c r="W511" s="799"/>
      <c r="X511" s="799"/>
      <c r="Y511" s="799"/>
      <c r="Z511" s="799"/>
      <c r="AA511" s="799"/>
      <c r="AB511" s="799"/>
      <c r="AC511" s="799"/>
      <c r="AD511" s="799"/>
      <c r="AE511" s="799"/>
      <c r="AF511" s="799"/>
      <c r="AG511" s="799"/>
      <c r="AH511" s="799"/>
      <c r="AI511" s="799"/>
      <c r="AJ511" s="799"/>
      <c r="AK511" s="799"/>
      <c r="AL511" s="799"/>
      <c r="AM511" s="799"/>
      <c r="AN511" s="799"/>
      <c r="AO511" s="799"/>
      <c r="AP511" s="799"/>
      <c r="AQ511" s="799"/>
      <c r="AR511" s="799"/>
      <c r="AS511" s="799"/>
      <c r="AT511" s="799"/>
      <c r="AU511" s="799"/>
      <c r="AV511" s="799"/>
      <c r="AW511" s="799"/>
      <c r="AX511" s="799"/>
      <c r="AY511" s="799"/>
      <c r="AZ511" s="799"/>
      <c r="BA511" s="799"/>
      <c r="BB511" s="799"/>
      <c r="BC511" s="799"/>
      <c r="BD511" s="799"/>
      <c r="BE511" s="799"/>
      <c r="BF511" s="799"/>
      <c r="BG511" s="799"/>
    </row>
    <row r="512">
      <c r="H512" s="799"/>
      <c r="I512" s="799"/>
      <c r="J512" s="799"/>
      <c r="K512" s="799"/>
      <c r="L512" s="799"/>
      <c r="M512" s="799"/>
      <c r="N512" s="799"/>
      <c r="O512" s="799"/>
      <c r="P512" s="799"/>
      <c r="Q512" s="799"/>
      <c r="R512" s="799"/>
      <c r="S512" s="799"/>
      <c r="T512" s="799"/>
      <c r="U512" s="799"/>
      <c r="V512" s="799"/>
      <c r="W512" s="799"/>
      <c r="X512" s="799"/>
      <c r="Y512" s="799"/>
      <c r="Z512" s="799"/>
      <c r="AA512" s="799"/>
      <c r="AB512" s="799"/>
      <c r="AC512" s="799"/>
      <c r="AD512" s="799"/>
      <c r="AE512" s="799"/>
      <c r="AF512" s="799"/>
      <c r="AG512" s="799"/>
      <c r="AH512" s="799"/>
      <c r="AI512" s="799"/>
      <c r="AJ512" s="799"/>
      <c r="AK512" s="799"/>
      <c r="AL512" s="799"/>
      <c r="AM512" s="799"/>
      <c r="AN512" s="799"/>
      <c r="AO512" s="799"/>
      <c r="AP512" s="799"/>
      <c r="AQ512" s="799"/>
      <c r="AR512" s="799"/>
      <c r="AS512" s="799"/>
      <c r="AT512" s="799"/>
      <c r="AU512" s="799"/>
      <c r="AV512" s="799"/>
      <c r="AW512" s="799"/>
      <c r="AX512" s="799"/>
      <c r="AY512" s="799"/>
      <c r="AZ512" s="799"/>
      <c r="BA512" s="799"/>
      <c r="BB512" s="799"/>
      <c r="BC512" s="799"/>
      <c r="BD512" s="799"/>
      <c r="BE512" s="799"/>
      <c r="BF512" s="799"/>
      <c r="BG512" s="799"/>
    </row>
    <row r="513">
      <c r="H513" s="799"/>
      <c r="I513" s="799"/>
      <c r="J513" s="799"/>
      <c r="K513" s="799"/>
      <c r="L513" s="799"/>
      <c r="M513" s="799"/>
      <c r="N513" s="799"/>
      <c r="O513" s="799"/>
      <c r="P513" s="799"/>
      <c r="Q513" s="799"/>
      <c r="R513" s="799"/>
      <c r="S513" s="799"/>
      <c r="T513" s="799"/>
      <c r="U513" s="799"/>
      <c r="V513" s="799"/>
      <c r="W513" s="799"/>
      <c r="X513" s="799"/>
      <c r="Y513" s="799"/>
      <c r="Z513" s="799"/>
      <c r="AA513" s="799"/>
      <c r="AB513" s="799"/>
      <c r="AC513" s="799"/>
      <c r="AD513" s="799"/>
      <c r="AE513" s="799"/>
      <c r="AF513" s="799"/>
      <c r="AG513" s="799"/>
      <c r="AH513" s="799"/>
      <c r="AI513" s="799"/>
      <c r="AJ513" s="799"/>
      <c r="AK513" s="799"/>
      <c r="AL513" s="799"/>
      <c r="AM513" s="799"/>
      <c r="AN513" s="799"/>
      <c r="AO513" s="799"/>
      <c r="AP513" s="799"/>
      <c r="AQ513" s="799"/>
      <c r="AR513" s="799"/>
      <c r="AS513" s="799"/>
      <c r="AT513" s="799"/>
      <c r="AU513" s="799"/>
      <c r="AV513" s="799"/>
      <c r="AW513" s="799"/>
      <c r="AX513" s="799"/>
      <c r="AY513" s="799"/>
      <c r="AZ513" s="799"/>
      <c r="BA513" s="799"/>
      <c r="BB513" s="799"/>
      <c r="BC513" s="799"/>
      <c r="BD513" s="799"/>
      <c r="BE513" s="799"/>
      <c r="BF513" s="799"/>
      <c r="BG513" s="799"/>
    </row>
    <row r="514">
      <c r="H514" s="799"/>
      <c r="I514" s="799"/>
      <c r="J514" s="799"/>
      <c r="K514" s="799"/>
      <c r="L514" s="799"/>
      <c r="M514" s="799"/>
      <c r="N514" s="799"/>
      <c r="O514" s="799"/>
      <c r="P514" s="799"/>
      <c r="Q514" s="799"/>
      <c r="R514" s="799"/>
      <c r="S514" s="799"/>
      <c r="T514" s="799"/>
      <c r="U514" s="799"/>
      <c r="V514" s="799"/>
      <c r="W514" s="799"/>
      <c r="X514" s="799"/>
      <c r="Y514" s="799"/>
      <c r="Z514" s="799"/>
      <c r="AA514" s="799"/>
      <c r="AB514" s="799"/>
      <c r="AC514" s="799"/>
      <c r="AD514" s="799"/>
      <c r="AE514" s="799"/>
      <c r="AF514" s="799"/>
      <c r="AG514" s="799"/>
      <c r="AH514" s="799"/>
      <c r="AI514" s="799"/>
      <c r="AJ514" s="799"/>
      <c r="AK514" s="799"/>
      <c r="AL514" s="799"/>
      <c r="AM514" s="799"/>
      <c r="AN514" s="799"/>
      <c r="AO514" s="799"/>
      <c r="AP514" s="799"/>
      <c r="AQ514" s="799"/>
      <c r="AR514" s="799"/>
      <c r="AS514" s="799"/>
      <c r="AT514" s="799"/>
      <c r="AU514" s="799"/>
      <c r="AV514" s="799"/>
      <c r="AW514" s="799"/>
      <c r="AX514" s="799"/>
      <c r="AY514" s="799"/>
      <c r="AZ514" s="799"/>
      <c r="BA514" s="799"/>
      <c r="BB514" s="799"/>
      <c r="BC514" s="799"/>
      <c r="BD514" s="799"/>
      <c r="BE514" s="799"/>
      <c r="BF514" s="799"/>
      <c r="BG514" s="799"/>
    </row>
    <row r="515">
      <c r="H515" s="799"/>
      <c r="I515" s="799"/>
      <c r="J515" s="799"/>
      <c r="K515" s="799"/>
      <c r="L515" s="799"/>
      <c r="M515" s="799"/>
      <c r="N515" s="799"/>
      <c r="O515" s="799"/>
      <c r="P515" s="799"/>
      <c r="Q515" s="799"/>
      <c r="R515" s="799"/>
      <c r="S515" s="799"/>
      <c r="T515" s="799"/>
      <c r="U515" s="799"/>
      <c r="V515" s="799"/>
      <c r="W515" s="799"/>
      <c r="X515" s="799"/>
      <c r="Y515" s="799"/>
      <c r="Z515" s="799"/>
      <c r="AA515" s="799"/>
      <c r="AB515" s="799"/>
      <c r="AC515" s="799"/>
      <c r="AD515" s="799"/>
      <c r="AE515" s="799"/>
      <c r="AF515" s="799"/>
      <c r="AG515" s="799"/>
      <c r="AH515" s="799"/>
      <c r="AI515" s="799"/>
      <c r="AJ515" s="799"/>
      <c r="AK515" s="799"/>
      <c r="AL515" s="799"/>
      <c r="AM515" s="799"/>
      <c r="AN515" s="799"/>
      <c r="AO515" s="799"/>
      <c r="AP515" s="799"/>
      <c r="AQ515" s="799"/>
      <c r="AR515" s="799"/>
      <c r="AS515" s="799"/>
      <c r="AT515" s="799"/>
      <c r="AU515" s="799"/>
      <c r="AV515" s="799"/>
      <c r="AW515" s="799"/>
      <c r="AX515" s="799"/>
      <c r="AY515" s="799"/>
      <c r="AZ515" s="799"/>
      <c r="BA515" s="799"/>
      <c r="BB515" s="799"/>
      <c r="BC515" s="799"/>
      <c r="BD515" s="799"/>
      <c r="BE515" s="799"/>
      <c r="BF515" s="799"/>
      <c r="BG515" s="799"/>
    </row>
    <row r="516">
      <c r="H516" s="799"/>
      <c r="I516" s="799"/>
      <c r="J516" s="799"/>
      <c r="K516" s="799"/>
      <c r="L516" s="799"/>
      <c r="M516" s="799"/>
      <c r="N516" s="799"/>
      <c r="O516" s="799"/>
      <c r="P516" s="799"/>
      <c r="Q516" s="799"/>
      <c r="R516" s="799"/>
      <c r="S516" s="799"/>
      <c r="T516" s="799"/>
      <c r="U516" s="799"/>
      <c r="V516" s="799"/>
      <c r="W516" s="799"/>
      <c r="X516" s="799"/>
      <c r="Y516" s="799"/>
      <c r="Z516" s="799"/>
      <c r="AA516" s="799"/>
      <c r="AB516" s="799"/>
      <c r="AC516" s="799"/>
      <c r="AD516" s="799"/>
      <c r="AE516" s="799"/>
      <c r="AF516" s="799"/>
      <c r="AG516" s="799"/>
      <c r="AH516" s="799"/>
      <c r="AI516" s="799"/>
      <c r="AJ516" s="799"/>
      <c r="AK516" s="799"/>
      <c r="AL516" s="799"/>
      <c r="AM516" s="799"/>
      <c r="AN516" s="799"/>
      <c r="AO516" s="799"/>
      <c r="AP516" s="799"/>
      <c r="AQ516" s="799"/>
      <c r="AR516" s="799"/>
      <c r="AS516" s="799"/>
      <c r="AT516" s="799"/>
      <c r="AU516" s="799"/>
      <c r="AV516" s="799"/>
      <c r="AW516" s="799"/>
      <c r="AX516" s="799"/>
      <c r="AY516" s="799"/>
      <c r="AZ516" s="799"/>
      <c r="BA516" s="799"/>
      <c r="BB516" s="799"/>
      <c r="BC516" s="799"/>
      <c r="BD516" s="799"/>
      <c r="BE516" s="799"/>
      <c r="BF516" s="799"/>
      <c r="BG516" s="799"/>
    </row>
    <row r="517">
      <c r="H517" s="799"/>
      <c r="I517" s="799"/>
      <c r="J517" s="799"/>
      <c r="K517" s="799"/>
      <c r="L517" s="799"/>
      <c r="M517" s="799"/>
      <c r="N517" s="799"/>
      <c r="O517" s="799"/>
      <c r="P517" s="799"/>
      <c r="Q517" s="799"/>
      <c r="R517" s="799"/>
      <c r="S517" s="799"/>
      <c r="T517" s="799"/>
      <c r="U517" s="799"/>
      <c r="V517" s="799"/>
      <c r="W517" s="799"/>
      <c r="X517" s="799"/>
      <c r="Y517" s="799"/>
      <c r="Z517" s="799"/>
      <c r="AA517" s="799"/>
      <c r="AB517" s="799"/>
      <c r="AC517" s="799"/>
      <c r="AD517" s="799"/>
      <c r="AE517" s="799"/>
      <c r="AF517" s="799"/>
      <c r="AG517" s="799"/>
      <c r="AH517" s="799"/>
      <c r="AI517" s="799"/>
      <c r="AJ517" s="799"/>
      <c r="AK517" s="799"/>
      <c r="AL517" s="799"/>
      <c r="AM517" s="799"/>
      <c r="AN517" s="799"/>
      <c r="AO517" s="799"/>
      <c r="AP517" s="799"/>
      <c r="AQ517" s="799"/>
      <c r="AR517" s="799"/>
      <c r="AS517" s="799"/>
      <c r="AT517" s="799"/>
      <c r="AU517" s="799"/>
      <c r="AV517" s="799"/>
      <c r="AW517" s="799"/>
      <c r="AX517" s="799"/>
      <c r="AY517" s="799"/>
      <c r="AZ517" s="799"/>
      <c r="BA517" s="799"/>
      <c r="BB517" s="799"/>
      <c r="BC517" s="799"/>
      <c r="BD517" s="799"/>
      <c r="BE517" s="799"/>
      <c r="BF517" s="799"/>
      <c r="BG517" s="799"/>
    </row>
    <row r="518">
      <c r="H518" s="799"/>
      <c r="I518" s="799"/>
      <c r="J518" s="799"/>
      <c r="K518" s="799"/>
      <c r="L518" s="799"/>
      <c r="M518" s="799"/>
      <c r="N518" s="799"/>
      <c r="O518" s="799"/>
      <c r="P518" s="799"/>
      <c r="Q518" s="799"/>
      <c r="R518" s="799"/>
      <c r="S518" s="799"/>
      <c r="T518" s="799"/>
      <c r="U518" s="799"/>
      <c r="V518" s="799"/>
      <c r="W518" s="799"/>
      <c r="X518" s="799"/>
      <c r="Y518" s="799"/>
      <c r="Z518" s="799"/>
      <c r="AA518" s="799"/>
      <c r="AB518" s="799"/>
      <c r="AC518" s="799"/>
      <c r="AD518" s="799"/>
      <c r="AE518" s="799"/>
      <c r="AF518" s="799"/>
      <c r="AG518" s="799"/>
      <c r="AH518" s="799"/>
      <c r="AI518" s="799"/>
      <c r="AJ518" s="799"/>
      <c r="AK518" s="799"/>
      <c r="AL518" s="799"/>
      <c r="AM518" s="799"/>
      <c r="AN518" s="799"/>
      <c r="AO518" s="799"/>
      <c r="AP518" s="799"/>
      <c r="AQ518" s="799"/>
      <c r="AR518" s="799"/>
      <c r="AS518" s="799"/>
      <c r="AT518" s="799"/>
      <c r="AU518" s="799"/>
      <c r="AV518" s="799"/>
      <c r="AW518" s="799"/>
      <c r="AX518" s="799"/>
      <c r="AY518" s="799"/>
      <c r="AZ518" s="799"/>
      <c r="BA518" s="799"/>
      <c r="BB518" s="799"/>
      <c r="BC518" s="799"/>
      <c r="BD518" s="799"/>
      <c r="BE518" s="799"/>
      <c r="BF518" s="799"/>
      <c r="BG518" s="799"/>
    </row>
    <row r="519">
      <c r="H519" s="799"/>
      <c r="I519" s="799"/>
      <c r="J519" s="799"/>
      <c r="K519" s="799"/>
      <c r="L519" s="799"/>
      <c r="M519" s="799"/>
      <c r="N519" s="799"/>
      <c r="O519" s="799"/>
      <c r="P519" s="799"/>
      <c r="Q519" s="799"/>
      <c r="R519" s="799"/>
      <c r="S519" s="799"/>
      <c r="T519" s="799"/>
      <c r="U519" s="799"/>
      <c r="V519" s="799"/>
      <c r="W519" s="799"/>
      <c r="X519" s="799"/>
      <c r="Y519" s="799"/>
      <c r="Z519" s="799"/>
      <c r="AA519" s="799"/>
      <c r="AB519" s="799"/>
      <c r="AC519" s="799"/>
      <c r="AD519" s="799"/>
      <c r="AE519" s="799"/>
      <c r="AF519" s="799"/>
      <c r="AG519" s="799"/>
      <c r="AH519" s="799"/>
      <c r="AI519" s="799"/>
      <c r="AJ519" s="799"/>
      <c r="AK519" s="799"/>
      <c r="AL519" s="799"/>
      <c r="AM519" s="799"/>
      <c r="AN519" s="799"/>
      <c r="AO519" s="799"/>
      <c r="AP519" s="799"/>
      <c r="AQ519" s="799"/>
      <c r="AR519" s="799"/>
      <c r="AS519" s="799"/>
      <c r="AT519" s="799"/>
      <c r="AU519" s="799"/>
      <c r="AV519" s="799"/>
      <c r="AW519" s="799"/>
      <c r="AX519" s="799"/>
      <c r="AY519" s="799"/>
      <c r="AZ519" s="799"/>
      <c r="BA519" s="799"/>
      <c r="BB519" s="799"/>
      <c r="BC519" s="799"/>
      <c r="BD519" s="799"/>
      <c r="BE519" s="799"/>
      <c r="BF519" s="799"/>
      <c r="BG519" s="799"/>
    </row>
    <row r="520">
      <c r="H520" s="799"/>
      <c r="I520" s="799"/>
      <c r="J520" s="799"/>
      <c r="K520" s="799"/>
      <c r="L520" s="799"/>
      <c r="M520" s="799"/>
      <c r="N520" s="799"/>
      <c r="O520" s="799"/>
      <c r="P520" s="799"/>
      <c r="Q520" s="799"/>
      <c r="R520" s="799"/>
      <c r="S520" s="799"/>
      <c r="T520" s="799"/>
      <c r="U520" s="799"/>
      <c r="V520" s="799"/>
      <c r="W520" s="799"/>
      <c r="X520" s="799"/>
      <c r="Y520" s="799"/>
      <c r="Z520" s="799"/>
      <c r="AA520" s="799"/>
      <c r="AB520" s="799"/>
      <c r="AC520" s="799"/>
      <c r="AD520" s="799"/>
      <c r="AE520" s="799"/>
      <c r="AF520" s="799"/>
      <c r="AG520" s="799"/>
      <c r="AH520" s="799"/>
      <c r="AI520" s="799"/>
      <c r="AJ520" s="799"/>
      <c r="AK520" s="799"/>
      <c r="AL520" s="799"/>
      <c r="AM520" s="799"/>
      <c r="AN520" s="799"/>
      <c r="AO520" s="799"/>
      <c r="AP520" s="799"/>
      <c r="AQ520" s="799"/>
      <c r="AR520" s="799"/>
      <c r="AS520" s="799"/>
      <c r="AT520" s="799"/>
      <c r="AU520" s="799"/>
      <c r="AV520" s="799"/>
      <c r="AW520" s="799"/>
      <c r="AX520" s="799"/>
      <c r="AY520" s="799"/>
      <c r="AZ520" s="799"/>
      <c r="BA520" s="799"/>
      <c r="BB520" s="799"/>
      <c r="BC520" s="799"/>
      <c r="BD520" s="799"/>
      <c r="BE520" s="799"/>
      <c r="BF520" s="799"/>
      <c r="BG520" s="799"/>
    </row>
    <row r="521">
      <c r="H521" s="799"/>
      <c r="I521" s="799"/>
      <c r="J521" s="799"/>
      <c r="K521" s="799"/>
      <c r="L521" s="799"/>
      <c r="M521" s="799"/>
      <c r="N521" s="799"/>
      <c r="O521" s="799"/>
      <c r="P521" s="799"/>
      <c r="Q521" s="799"/>
      <c r="R521" s="799"/>
      <c r="S521" s="799"/>
      <c r="T521" s="799"/>
      <c r="U521" s="799"/>
      <c r="V521" s="799"/>
      <c r="W521" s="799"/>
      <c r="X521" s="799"/>
      <c r="Y521" s="799"/>
      <c r="Z521" s="799"/>
      <c r="AA521" s="799"/>
      <c r="AB521" s="799"/>
      <c r="AC521" s="799"/>
      <c r="AD521" s="799"/>
      <c r="AE521" s="799"/>
      <c r="AF521" s="799"/>
      <c r="AG521" s="799"/>
      <c r="AH521" s="799"/>
      <c r="AI521" s="799"/>
      <c r="AJ521" s="799"/>
      <c r="AK521" s="799"/>
      <c r="AL521" s="799"/>
      <c r="AM521" s="799"/>
      <c r="AN521" s="799"/>
      <c r="AO521" s="799"/>
      <c r="AP521" s="799"/>
      <c r="AQ521" s="799"/>
      <c r="AR521" s="799"/>
      <c r="AS521" s="799"/>
      <c r="AT521" s="799"/>
      <c r="AU521" s="799"/>
      <c r="AV521" s="799"/>
      <c r="AW521" s="799"/>
      <c r="AX521" s="799"/>
      <c r="AY521" s="799"/>
      <c r="AZ521" s="799"/>
      <c r="BA521" s="799"/>
      <c r="BB521" s="799"/>
      <c r="BC521" s="799"/>
      <c r="BD521" s="799"/>
      <c r="BE521" s="799"/>
      <c r="BF521" s="799"/>
      <c r="BG521" s="799"/>
    </row>
    <row r="522">
      <c r="H522" s="799"/>
      <c r="I522" s="799"/>
      <c r="J522" s="799"/>
      <c r="K522" s="799"/>
      <c r="L522" s="799"/>
      <c r="M522" s="799"/>
      <c r="N522" s="799"/>
      <c r="O522" s="799"/>
      <c r="P522" s="799"/>
      <c r="Q522" s="799"/>
      <c r="R522" s="799"/>
      <c r="S522" s="799"/>
      <c r="T522" s="799"/>
      <c r="U522" s="799"/>
      <c r="V522" s="799"/>
      <c r="W522" s="799"/>
      <c r="X522" s="799"/>
      <c r="Y522" s="799"/>
      <c r="Z522" s="799"/>
      <c r="AA522" s="799"/>
      <c r="AB522" s="799"/>
      <c r="AC522" s="799"/>
      <c r="AD522" s="799"/>
      <c r="AE522" s="799"/>
      <c r="AF522" s="799"/>
      <c r="AG522" s="799"/>
      <c r="AH522" s="799"/>
      <c r="AI522" s="799"/>
      <c r="AJ522" s="799"/>
      <c r="AK522" s="799"/>
      <c r="AL522" s="799"/>
      <c r="AM522" s="799"/>
      <c r="AN522" s="799"/>
      <c r="AO522" s="799"/>
      <c r="AP522" s="799"/>
      <c r="AQ522" s="799"/>
      <c r="AR522" s="799"/>
      <c r="AS522" s="799"/>
      <c r="AT522" s="799"/>
      <c r="AU522" s="799"/>
      <c r="AV522" s="799"/>
      <c r="AW522" s="799"/>
      <c r="AX522" s="799"/>
      <c r="AY522" s="799"/>
      <c r="AZ522" s="799"/>
      <c r="BA522" s="799"/>
      <c r="BB522" s="799"/>
      <c r="BC522" s="799"/>
      <c r="BD522" s="799"/>
      <c r="BE522" s="799"/>
      <c r="BF522" s="799"/>
      <c r="BG522" s="799"/>
    </row>
    <row r="523">
      <c r="H523" s="799"/>
      <c r="I523" s="799"/>
      <c r="J523" s="799"/>
      <c r="K523" s="799"/>
      <c r="L523" s="799"/>
      <c r="M523" s="799"/>
      <c r="N523" s="799"/>
      <c r="O523" s="799"/>
      <c r="P523" s="799"/>
      <c r="Q523" s="799"/>
      <c r="R523" s="799"/>
      <c r="S523" s="799"/>
      <c r="T523" s="799"/>
      <c r="U523" s="799"/>
      <c r="V523" s="799"/>
      <c r="W523" s="799"/>
      <c r="X523" s="799"/>
      <c r="Y523" s="799"/>
      <c r="Z523" s="799"/>
      <c r="AA523" s="799"/>
      <c r="AB523" s="799"/>
      <c r="AC523" s="799"/>
      <c r="AD523" s="799"/>
      <c r="AE523" s="799"/>
      <c r="AF523" s="799"/>
      <c r="AG523" s="799"/>
      <c r="AH523" s="799"/>
      <c r="AI523" s="799"/>
      <c r="AJ523" s="799"/>
      <c r="AK523" s="799"/>
      <c r="AL523" s="799"/>
      <c r="AM523" s="799"/>
      <c r="AN523" s="799"/>
      <c r="AO523" s="799"/>
      <c r="AP523" s="799"/>
      <c r="AQ523" s="799"/>
      <c r="AR523" s="799"/>
      <c r="AS523" s="799"/>
      <c r="AT523" s="799"/>
      <c r="AU523" s="799"/>
      <c r="AV523" s="799"/>
      <c r="AW523" s="799"/>
      <c r="AX523" s="799"/>
      <c r="AY523" s="799"/>
      <c r="AZ523" s="799"/>
      <c r="BA523" s="799"/>
      <c r="BB523" s="799"/>
      <c r="BC523" s="799"/>
      <c r="BD523" s="799"/>
      <c r="BE523" s="799"/>
      <c r="BF523" s="799"/>
      <c r="BG523" s="799"/>
    </row>
    <row r="524">
      <c r="H524" s="799"/>
      <c r="I524" s="799"/>
      <c r="J524" s="799"/>
      <c r="K524" s="799"/>
      <c r="L524" s="799"/>
      <c r="M524" s="799"/>
      <c r="N524" s="799"/>
      <c r="O524" s="799"/>
      <c r="P524" s="799"/>
      <c r="Q524" s="799"/>
      <c r="R524" s="799"/>
      <c r="S524" s="799"/>
      <c r="T524" s="799"/>
      <c r="U524" s="799"/>
      <c r="V524" s="799"/>
      <c r="W524" s="799"/>
      <c r="X524" s="799"/>
      <c r="Y524" s="799"/>
      <c r="Z524" s="799"/>
      <c r="AA524" s="799"/>
      <c r="AB524" s="799"/>
      <c r="AC524" s="799"/>
      <c r="AD524" s="799"/>
      <c r="AE524" s="799"/>
      <c r="AF524" s="799"/>
      <c r="AG524" s="799"/>
      <c r="AH524" s="799"/>
      <c r="AI524" s="799"/>
      <c r="AJ524" s="799"/>
      <c r="AK524" s="799"/>
      <c r="AL524" s="799"/>
      <c r="AM524" s="799"/>
      <c r="AN524" s="799"/>
      <c r="AO524" s="799"/>
      <c r="AP524" s="799"/>
      <c r="AQ524" s="799"/>
      <c r="AR524" s="799"/>
      <c r="AS524" s="799"/>
      <c r="AT524" s="799"/>
      <c r="AU524" s="799"/>
      <c r="AV524" s="799"/>
      <c r="AW524" s="799"/>
      <c r="AX524" s="799"/>
      <c r="AY524" s="799"/>
      <c r="AZ524" s="799"/>
      <c r="BA524" s="799"/>
      <c r="BB524" s="799"/>
      <c r="BC524" s="799"/>
      <c r="BD524" s="799"/>
      <c r="BE524" s="799"/>
      <c r="BF524" s="799"/>
      <c r="BG524" s="799"/>
    </row>
    <row r="525">
      <c r="H525" s="799"/>
      <c r="I525" s="799"/>
      <c r="J525" s="799"/>
      <c r="K525" s="799"/>
      <c r="L525" s="799"/>
      <c r="M525" s="799"/>
      <c r="N525" s="799"/>
      <c r="O525" s="799"/>
      <c r="P525" s="799"/>
      <c r="Q525" s="799"/>
      <c r="R525" s="799"/>
      <c r="S525" s="799"/>
      <c r="T525" s="799"/>
      <c r="U525" s="799"/>
      <c r="V525" s="799"/>
      <c r="W525" s="799"/>
      <c r="X525" s="799"/>
      <c r="Y525" s="799"/>
      <c r="Z525" s="799"/>
      <c r="AA525" s="799"/>
      <c r="AB525" s="799"/>
      <c r="AC525" s="799"/>
      <c r="AD525" s="799"/>
      <c r="AE525" s="799"/>
      <c r="AF525" s="799"/>
      <c r="AG525" s="799"/>
      <c r="AH525" s="799"/>
      <c r="AI525" s="799"/>
      <c r="AJ525" s="799"/>
      <c r="AK525" s="799"/>
      <c r="AL525" s="799"/>
      <c r="AM525" s="799"/>
      <c r="AN525" s="799"/>
      <c r="AO525" s="799"/>
      <c r="AP525" s="799"/>
      <c r="AQ525" s="799"/>
      <c r="AR525" s="799"/>
      <c r="AS525" s="799"/>
      <c r="AT525" s="799"/>
      <c r="AU525" s="799"/>
      <c r="AV525" s="799"/>
      <c r="AW525" s="799"/>
      <c r="AX525" s="799"/>
      <c r="AY525" s="799"/>
      <c r="AZ525" s="799"/>
      <c r="BA525" s="799"/>
      <c r="BB525" s="799"/>
      <c r="BC525" s="799"/>
      <c r="BD525" s="799"/>
      <c r="BE525" s="799"/>
      <c r="BF525" s="799"/>
      <c r="BG525" s="799"/>
    </row>
    <row r="526">
      <c r="H526" s="799"/>
      <c r="I526" s="799"/>
      <c r="J526" s="799"/>
      <c r="K526" s="799"/>
      <c r="L526" s="799"/>
      <c r="M526" s="799"/>
      <c r="N526" s="799"/>
      <c r="O526" s="799"/>
      <c r="P526" s="799"/>
      <c r="Q526" s="799"/>
      <c r="R526" s="799"/>
      <c r="S526" s="799"/>
      <c r="T526" s="799"/>
      <c r="U526" s="799"/>
      <c r="V526" s="799"/>
      <c r="W526" s="799"/>
      <c r="X526" s="799"/>
      <c r="Y526" s="799"/>
      <c r="Z526" s="799"/>
      <c r="AA526" s="799"/>
      <c r="AB526" s="799"/>
      <c r="AC526" s="799"/>
      <c r="AD526" s="799"/>
      <c r="AE526" s="799"/>
      <c r="AF526" s="799"/>
      <c r="AG526" s="799"/>
      <c r="AH526" s="799"/>
      <c r="AI526" s="799"/>
      <c r="AJ526" s="799"/>
      <c r="AK526" s="799"/>
      <c r="AL526" s="799"/>
      <c r="AM526" s="799"/>
      <c r="AN526" s="799"/>
      <c r="AO526" s="799"/>
      <c r="AP526" s="799"/>
      <c r="AQ526" s="799"/>
      <c r="AR526" s="799"/>
      <c r="AS526" s="799"/>
      <c r="AT526" s="799"/>
      <c r="AU526" s="799"/>
      <c r="AV526" s="799"/>
      <c r="AW526" s="799"/>
      <c r="AX526" s="799"/>
      <c r="AY526" s="799"/>
      <c r="AZ526" s="799"/>
      <c r="BA526" s="799"/>
      <c r="BB526" s="799"/>
      <c r="BC526" s="799"/>
      <c r="BD526" s="799"/>
      <c r="BE526" s="799"/>
      <c r="BF526" s="799"/>
      <c r="BG526" s="799"/>
    </row>
    <row r="527">
      <c r="H527" s="799"/>
      <c r="I527" s="799"/>
      <c r="J527" s="799"/>
      <c r="K527" s="799"/>
      <c r="L527" s="799"/>
      <c r="M527" s="799"/>
      <c r="N527" s="799"/>
      <c r="O527" s="799"/>
      <c r="P527" s="799"/>
      <c r="Q527" s="799"/>
      <c r="R527" s="799"/>
      <c r="S527" s="799"/>
      <c r="T527" s="799"/>
      <c r="U527" s="799"/>
      <c r="V527" s="799"/>
      <c r="W527" s="799"/>
      <c r="X527" s="799"/>
      <c r="Y527" s="799"/>
      <c r="Z527" s="799"/>
      <c r="AA527" s="799"/>
      <c r="AB527" s="799"/>
      <c r="AC527" s="799"/>
      <c r="AD527" s="799"/>
      <c r="AE527" s="799"/>
      <c r="AF527" s="799"/>
      <c r="AG527" s="799"/>
      <c r="AH527" s="799"/>
      <c r="AI527" s="799"/>
      <c r="AJ527" s="799"/>
      <c r="AK527" s="799"/>
      <c r="AL527" s="799"/>
      <c r="AM527" s="799"/>
      <c r="AN527" s="799"/>
      <c r="AO527" s="799"/>
      <c r="AP527" s="799"/>
      <c r="AQ527" s="799"/>
      <c r="AR527" s="799"/>
      <c r="AS527" s="799"/>
      <c r="AT527" s="799"/>
      <c r="AU527" s="799"/>
      <c r="AV527" s="799"/>
      <c r="AW527" s="799"/>
      <c r="AX527" s="799"/>
      <c r="AY527" s="799"/>
      <c r="AZ527" s="799"/>
      <c r="BA527" s="799"/>
      <c r="BB527" s="799"/>
      <c r="BC527" s="799"/>
      <c r="BD527" s="799"/>
      <c r="BE527" s="799"/>
      <c r="BF527" s="799"/>
      <c r="BG527" s="799"/>
    </row>
    <row r="528">
      <c r="H528" s="799"/>
      <c r="I528" s="799"/>
      <c r="J528" s="799"/>
      <c r="K528" s="799"/>
      <c r="L528" s="799"/>
      <c r="M528" s="799"/>
      <c r="N528" s="799"/>
      <c r="O528" s="799"/>
      <c r="P528" s="799"/>
      <c r="Q528" s="799"/>
      <c r="R528" s="799"/>
      <c r="S528" s="799"/>
      <c r="T528" s="799"/>
      <c r="U528" s="799"/>
      <c r="V528" s="799"/>
      <c r="W528" s="799"/>
      <c r="X528" s="799"/>
      <c r="Y528" s="799"/>
      <c r="Z528" s="799"/>
      <c r="AA528" s="799"/>
      <c r="AB528" s="799"/>
      <c r="AC528" s="799"/>
      <c r="AD528" s="799"/>
      <c r="AE528" s="799"/>
      <c r="AF528" s="799"/>
      <c r="AG528" s="799"/>
      <c r="AH528" s="799"/>
      <c r="AI528" s="799"/>
      <c r="AJ528" s="799"/>
      <c r="AK528" s="799"/>
      <c r="AL528" s="799"/>
      <c r="AM528" s="799"/>
      <c r="AN528" s="799"/>
      <c r="AO528" s="799"/>
      <c r="AP528" s="799"/>
      <c r="AQ528" s="799"/>
      <c r="AR528" s="799"/>
      <c r="AS528" s="799"/>
      <c r="AT528" s="799"/>
      <c r="AU528" s="799"/>
      <c r="AV528" s="799"/>
      <c r="AW528" s="799"/>
      <c r="AX528" s="799"/>
      <c r="AY528" s="799"/>
      <c r="AZ528" s="799"/>
      <c r="BA528" s="799"/>
      <c r="BB528" s="799"/>
      <c r="BC528" s="799"/>
      <c r="BD528" s="799"/>
      <c r="BE528" s="799"/>
      <c r="BF528" s="799"/>
      <c r="BG528" s="799"/>
    </row>
    <row r="529">
      <c r="H529" s="799"/>
      <c r="I529" s="799"/>
      <c r="J529" s="799"/>
      <c r="K529" s="799"/>
      <c r="L529" s="799"/>
      <c r="M529" s="799"/>
      <c r="N529" s="799"/>
      <c r="O529" s="799"/>
      <c r="P529" s="799"/>
      <c r="Q529" s="799"/>
      <c r="R529" s="799"/>
      <c r="S529" s="799"/>
      <c r="T529" s="799"/>
      <c r="U529" s="799"/>
      <c r="V529" s="799"/>
      <c r="W529" s="799"/>
      <c r="X529" s="799"/>
      <c r="Y529" s="799"/>
      <c r="Z529" s="799"/>
      <c r="AA529" s="799"/>
      <c r="AB529" s="799"/>
      <c r="AC529" s="799"/>
      <c r="AD529" s="799"/>
      <c r="AE529" s="799"/>
      <c r="AF529" s="799"/>
      <c r="AG529" s="799"/>
      <c r="AH529" s="799"/>
      <c r="AI529" s="799"/>
      <c r="AJ529" s="799"/>
      <c r="AK529" s="799"/>
      <c r="AL529" s="799"/>
      <c r="AM529" s="799"/>
      <c r="AN529" s="799"/>
      <c r="AO529" s="799"/>
      <c r="AP529" s="799"/>
      <c r="AQ529" s="799"/>
      <c r="AR529" s="799"/>
      <c r="AS529" s="799"/>
      <c r="AT529" s="799"/>
      <c r="AU529" s="799"/>
      <c r="AV529" s="799"/>
      <c r="AW529" s="799"/>
      <c r="AX529" s="799"/>
      <c r="AY529" s="799"/>
      <c r="AZ529" s="799"/>
      <c r="BA529" s="799"/>
      <c r="BB529" s="799"/>
      <c r="BC529" s="799"/>
      <c r="BD529" s="799"/>
      <c r="BE529" s="799"/>
      <c r="BF529" s="799"/>
      <c r="BG529" s="799"/>
    </row>
    <row r="530">
      <c r="H530" s="799"/>
      <c r="I530" s="799"/>
      <c r="J530" s="799"/>
      <c r="K530" s="799"/>
      <c r="L530" s="799"/>
      <c r="M530" s="799"/>
      <c r="N530" s="799"/>
      <c r="O530" s="799"/>
      <c r="P530" s="799"/>
      <c r="Q530" s="799"/>
      <c r="R530" s="799"/>
      <c r="S530" s="799"/>
      <c r="T530" s="799"/>
      <c r="U530" s="799"/>
      <c r="V530" s="799"/>
      <c r="W530" s="799"/>
      <c r="X530" s="799"/>
      <c r="Y530" s="799"/>
      <c r="Z530" s="799"/>
      <c r="AA530" s="799"/>
      <c r="AB530" s="799"/>
      <c r="AC530" s="799"/>
      <c r="AD530" s="799"/>
      <c r="AE530" s="799"/>
      <c r="AF530" s="799"/>
      <c r="AG530" s="799"/>
      <c r="AH530" s="799"/>
      <c r="AI530" s="799"/>
      <c r="AJ530" s="799"/>
      <c r="AK530" s="799"/>
      <c r="AL530" s="799"/>
      <c r="AM530" s="799"/>
      <c r="AN530" s="799"/>
      <c r="AO530" s="799"/>
      <c r="AP530" s="799"/>
      <c r="AQ530" s="799"/>
      <c r="AR530" s="799"/>
      <c r="AS530" s="799"/>
      <c r="AT530" s="799"/>
      <c r="AU530" s="799"/>
      <c r="AV530" s="799"/>
      <c r="AW530" s="799"/>
      <c r="AX530" s="799"/>
      <c r="AY530" s="799"/>
      <c r="AZ530" s="799"/>
      <c r="BA530" s="799"/>
      <c r="BB530" s="799"/>
      <c r="BC530" s="799"/>
      <c r="BD530" s="799"/>
      <c r="BE530" s="799"/>
      <c r="BF530" s="799"/>
      <c r="BG530" s="799"/>
    </row>
    <row r="531">
      <c r="H531" s="799"/>
      <c r="I531" s="799"/>
      <c r="J531" s="799"/>
      <c r="K531" s="799"/>
      <c r="L531" s="799"/>
      <c r="M531" s="799"/>
      <c r="N531" s="799"/>
      <c r="O531" s="799"/>
      <c r="P531" s="799"/>
      <c r="Q531" s="799"/>
      <c r="R531" s="799"/>
      <c r="S531" s="799"/>
      <c r="T531" s="799"/>
      <c r="U531" s="799"/>
      <c r="V531" s="799"/>
      <c r="W531" s="799"/>
      <c r="X531" s="799"/>
      <c r="Y531" s="799"/>
      <c r="Z531" s="799"/>
      <c r="AA531" s="799"/>
      <c r="AB531" s="799"/>
      <c r="AC531" s="799"/>
      <c r="AD531" s="799"/>
      <c r="AE531" s="799"/>
      <c r="AF531" s="799"/>
      <c r="AG531" s="799"/>
      <c r="AH531" s="799"/>
      <c r="AI531" s="799"/>
      <c r="AJ531" s="799"/>
      <c r="AK531" s="799"/>
      <c r="AL531" s="799"/>
      <c r="AM531" s="799"/>
      <c r="AN531" s="799"/>
      <c r="AO531" s="799"/>
      <c r="AP531" s="799"/>
      <c r="AQ531" s="799"/>
      <c r="AR531" s="799"/>
      <c r="AS531" s="799"/>
      <c r="AT531" s="799"/>
      <c r="AU531" s="799"/>
      <c r="AV531" s="799"/>
      <c r="AW531" s="799"/>
      <c r="AX531" s="799"/>
      <c r="AY531" s="799"/>
      <c r="AZ531" s="799"/>
      <c r="BA531" s="799"/>
      <c r="BB531" s="799"/>
      <c r="BC531" s="799"/>
      <c r="BD531" s="799"/>
      <c r="BE531" s="799"/>
      <c r="BF531" s="799"/>
      <c r="BG531" s="799"/>
    </row>
    <row r="532">
      <c r="H532" s="799"/>
      <c r="I532" s="799"/>
      <c r="J532" s="799"/>
      <c r="K532" s="799"/>
      <c r="L532" s="799"/>
      <c r="M532" s="799"/>
      <c r="N532" s="799"/>
      <c r="O532" s="799"/>
      <c r="P532" s="799"/>
      <c r="Q532" s="799"/>
      <c r="R532" s="799"/>
      <c r="S532" s="799"/>
      <c r="T532" s="799"/>
      <c r="U532" s="799"/>
      <c r="V532" s="799"/>
      <c r="W532" s="799"/>
      <c r="X532" s="799"/>
      <c r="Y532" s="799"/>
      <c r="Z532" s="799"/>
      <c r="AA532" s="799"/>
      <c r="AB532" s="799"/>
      <c r="AC532" s="799"/>
      <c r="AD532" s="799"/>
      <c r="AE532" s="799"/>
      <c r="AF532" s="799"/>
      <c r="AG532" s="799"/>
      <c r="AH532" s="799"/>
      <c r="AI532" s="799"/>
      <c r="AJ532" s="799"/>
      <c r="AK532" s="799"/>
      <c r="AL532" s="799"/>
      <c r="AM532" s="799"/>
      <c r="AN532" s="799"/>
      <c r="AO532" s="799"/>
      <c r="AP532" s="799"/>
      <c r="AQ532" s="799"/>
      <c r="AR532" s="799"/>
      <c r="AS532" s="799"/>
      <c r="AT532" s="799"/>
      <c r="AU532" s="799"/>
      <c r="AV532" s="799"/>
      <c r="AW532" s="799"/>
      <c r="AX532" s="799"/>
      <c r="AY532" s="799"/>
      <c r="AZ532" s="799"/>
      <c r="BA532" s="799"/>
      <c r="BB532" s="799"/>
      <c r="BC532" s="799"/>
      <c r="BD532" s="799"/>
      <c r="BE532" s="799"/>
      <c r="BF532" s="799"/>
      <c r="BG532" s="799"/>
    </row>
    <row r="533">
      <c r="H533" s="799"/>
      <c r="I533" s="799"/>
      <c r="J533" s="799"/>
      <c r="K533" s="799"/>
      <c r="L533" s="799"/>
      <c r="M533" s="799"/>
      <c r="N533" s="799"/>
      <c r="O533" s="799"/>
      <c r="P533" s="799"/>
      <c r="Q533" s="799"/>
      <c r="R533" s="799"/>
      <c r="S533" s="799"/>
      <c r="T533" s="799"/>
      <c r="U533" s="799"/>
      <c r="V533" s="799"/>
      <c r="W533" s="799"/>
      <c r="X533" s="799"/>
      <c r="Y533" s="799"/>
      <c r="Z533" s="799"/>
      <c r="AA533" s="799"/>
      <c r="AB533" s="799"/>
      <c r="AC533" s="799"/>
      <c r="AD533" s="799"/>
      <c r="AE533" s="799"/>
      <c r="AF533" s="799"/>
      <c r="AG533" s="799"/>
      <c r="AH533" s="799"/>
      <c r="AI533" s="799"/>
      <c r="AJ533" s="799"/>
      <c r="AK533" s="799"/>
      <c r="AL533" s="799"/>
      <c r="AM533" s="799"/>
      <c r="AN533" s="799"/>
      <c r="AO533" s="799"/>
      <c r="AP533" s="799"/>
      <c r="AQ533" s="799"/>
      <c r="AR533" s="799"/>
      <c r="AS533" s="799"/>
      <c r="AT533" s="799"/>
      <c r="AU533" s="799"/>
      <c r="AV533" s="799"/>
      <c r="AW533" s="799"/>
      <c r="AX533" s="799"/>
      <c r="AY533" s="799"/>
      <c r="AZ533" s="799"/>
      <c r="BA533" s="799"/>
      <c r="BB533" s="799"/>
      <c r="BC533" s="799"/>
      <c r="BD533" s="799"/>
      <c r="BE533" s="799"/>
      <c r="BF533" s="799"/>
      <c r="BG533" s="799"/>
    </row>
    <row r="534">
      <c r="H534" s="799"/>
      <c r="I534" s="799"/>
      <c r="J534" s="799"/>
      <c r="K534" s="799"/>
      <c r="L534" s="799"/>
      <c r="M534" s="799"/>
      <c r="N534" s="799"/>
      <c r="O534" s="799"/>
      <c r="P534" s="799"/>
      <c r="Q534" s="799"/>
      <c r="R534" s="799"/>
      <c r="S534" s="799"/>
      <c r="T534" s="799"/>
      <c r="U534" s="799"/>
      <c r="V534" s="799"/>
      <c r="W534" s="799"/>
      <c r="X534" s="799"/>
      <c r="Y534" s="799"/>
      <c r="Z534" s="799"/>
      <c r="AA534" s="799"/>
      <c r="AB534" s="799"/>
      <c r="AC534" s="799"/>
      <c r="AD534" s="799"/>
      <c r="AE534" s="799"/>
      <c r="AF534" s="799"/>
      <c r="AG534" s="799"/>
      <c r="AH534" s="799"/>
      <c r="AI534" s="799"/>
      <c r="AJ534" s="799"/>
      <c r="AK534" s="799"/>
      <c r="AL534" s="799"/>
      <c r="AM534" s="799"/>
      <c r="AN534" s="799"/>
      <c r="AO534" s="799"/>
      <c r="AP534" s="799"/>
      <c r="AQ534" s="799"/>
      <c r="AR534" s="799"/>
      <c r="AS534" s="799"/>
      <c r="AT534" s="799"/>
      <c r="AU534" s="799"/>
      <c r="AV534" s="799"/>
      <c r="AW534" s="799"/>
      <c r="AX534" s="799"/>
      <c r="AY534" s="799"/>
      <c r="AZ534" s="799"/>
      <c r="BA534" s="799"/>
      <c r="BB534" s="799"/>
      <c r="BC534" s="799"/>
      <c r="BD534" s="799"/>
      <c r="BE534" s="799"/>
      <c r="BF534" s="799"/>
      <c r="BG534" s="799"/>
    </row>
    <row r="535">
      <c r="H535" s="799"/>
      <c r="I535" s="799"/>
      <c r="J535" s="799"/>
      <c r="K535" s="799"/>
      <c r="L535" s="799"/>
      <c r="M535" s="799"/>
      <c r="N535" s="799"/>
      <c r="O535" s="799"/>
      <c r="P535" s="799"/>
      <c r="Q535" s="799"/>
      <c r="R535" s="799"/>
      <c r="S535" s="799"/>
      <c r="T535" s="799"/>
      <c r="U535" s="799"/>
      <c r="V535" s="799"/>
      <c r="W535" s="799"/>
      <c r="X535" s="799"/>
      <c r="Y535" s="799"/>
      <c r="Z535" s="799"/>
      <c r="AA535" s="799"/>
      <c r="AB535" s="799"/>
      <c r="AC535" s="799"/>
      <c r="AD535" s="799"/>
      <c r="AE535" s="799"/>
      <c r="AF535" s="799"/>
      <c r="AG535" s="799"/>
      <c r="AH535" s="799"/>
      <c r="AI535" s="799"/>
      <c r="AJ535" s="799"/>
      <c r="AK535" s="799"/>
      <c r="AL535" s="799"/>
      <c r="AM535" s="799"/>
      <c r="AN535" s="799"/>
      <c r="AO535" s="799"/>
      <c r="AP535" s="799"/>
      <c r="AQ535" s="799"/>
      <c r="AR535" s="799"/>
      <c r="AS535" s="799"/>
      <c r="AT535" s="799"/>
      <c r="AU535" s="799"/>
      <c r="AV535" s="799"/>
      <c r="AW535" s="799"/>
      <c r="AX535" s="799"/>
      <c r="AY535" s="799"/>
      <c r="AZ535" s="799"/>
      <c r="BA535" s="799"/>
      <c r="BB535" s="799"/>
      <c r="BC535" s="799"/>
      <c r="BD535" s="799"/>
      <c r="BE535" s="799"/>
      <c r="BF535" s="799"/>
      <c r="BG535" s="799"/>
    </row>
    <row r="536">
      <c r="H536" s="799"/>
      <c r="I536" s="799"/>
      <c r="J536" s="799"/>
      <c r="K536" s="799"/>
      <c r="L536" s="799"/>
      <c r="M536" s="799"/>
      <c r="N536" s="799"/>
      <c r="O536" s="799"/>
      <c r="P536" s="799"/>
      <c r="Q536" s="799"/>
      <c r="R536" s="799"/>
      <c r="S536" s="799"/>
      <c r="T536" s="799"/>
      <c r="U536" s="799"/>
      <c r="V536" s="799"/>
      <c r="W536" s="799"/>
      <c r="X536" s="799"/>
      <c r="Y536" s="799"/>
      <c r="Z536" s="799"/>
      <c r="AA536" s="799"/>
      <c r="AB536" s="799"/>
      <c r="AC536" s="799"/>
      <c r="AD536" s="799"/>
      <c r="AE536" s="799"/>
      <c r="AF536" s="799"/>
      <c r="AG536" s="799"/>
      <c r="AH536" s="799"/>
      <c r="AI536" s="799"/>
      <c r="AJ536" s="799"/>
      <c r="AK536" s="799"/>
      <c r="AL536" s="799"/>
      <c r="AM536" s="799"/>
      <c r="AN536" s="799"/>
      <c r="AO536" s="799"/>
      <c r="AP536" s="799"/>
      <c r="AQ536" s="799"/>
      <c r="AR536" s="799"/>
      <c r="AS536" s="799"/>
      <c r="AT536" s="799"/>
      <c r="AU536" s="799"/>
      <c r="AV536" s="799"/>
      <c r="AW536" s="799"/>
      <c r="AX536" s="799"/>
      <c r="AY536" s="799"/>
      <c r="AZ536" s="799"/>
      <c r="BA536" s="799"/>
      <c r="BB536" s="799"/>
      <c r="BC536" s="799"/>
      <c r="BD536" s="799"/>
      <c r="BE536" s="799"/>
      <c r="BF536" s="799"/>
      <c r="BG536" s="799"/>
    </row>
    <row r="537">
      <c r="H537" s="799"/>
      <c r="I537" s="799"/>
      <c r="J537" s="799"/>
      <c r="K537" s="799"/>
      <c r="L537" s="799"/>
      <c r="M537" s="799"/>
      <c r="N537" s="799"/>
      <c r="O537" s="799"/>
      <c r="P537" s="799"/>
      <c r="Q537" s="799"/>
      <c r="R537" s="799"/>
      <c r="S537" s="799"/>
      <c r="T537" s="799"/>
      <c r="U537" s="799"/>
      <c r="V537" s="799"/>
      <c r="W537" s="799"/>
      <c r="X537" s="799"/>
      <c r="Y537" s="799"/>
      <c r="Z537" s="799"/>
      <c r="AA537" s="799"/>
      <c r="AB537" s="799"/>
      <c r="AC537" s="799"/>
      <c r="AD537" s="799"/>
      <c r="AE537" s="799"/>
      <c r="AF537" s="799"/>
      <c r="AG537" s="799"/>
      <c r="AH537" s="799"/>
      <c r="AI537" s="799"/>
      <c r="AJ537" s="799"/>
      <c r="AK537" s="799"/>
      <c r="AL537" s="799"/>
      <c r="AM537" s="799"/>
      <c r="AN537" s="799"/>
      <c r="AO537" s="799"/>
      <c r="AP537" s="799"/>
      <c r="AQ537" s="799"/>
      <c r="AR537" s="799"/>
      <c r="AS537" s="799"/>
      <c r="AT537" s="799"/>
      <c r="AU537" s="799"/>
      <c r="AV537" s="799"/>
      <c r="AW537" s="799"/>
      <c r="AX537" s="799"/>
      <c r="AY537" s="799"/>
      <c r="AZ537" s="799"/>
      <c r="BA537" s="799"/>
      <c r="BB537" s="799"/>
      <c r="BC537" s="799"/>
      <c r="BD537" s="799"/>
      <c r="BE537" s="799"/>
      <c r="BF537" s="799"/>
      <c r="BG537" s="799"/>
    </row>
    <row r="538">
      <c r="H538" s="799"/>
      <c r="I538" s="799"/>
      <c r="J538" s="799"/>
      <c r="K538" s="799"/>
      <c r="L538" s="799"/>
      <c r="M538" s="799"/>
      <c r="N538" s="799"/>
      <c r="O538" s="799"/>
      <c r="P538" s="799"/>
      <c r="Q538" s="799"/>
      <c r="R538" s="799"/>
      <c r="S538" s="799"/>
      <c r="T538" s="799"/>
      <c r="U538" s="799"/>
      <c r="V538" s="799"/>
      <c r="W538" s="799"/>
      <c r="X538" s="799"/>
      <c r="Y538" s="799"/>
      <c r="Z538" s="799"/>
      <c r="AA538" s="799"/>
      <c r="AB538" s="799"/>
      <c r="AC538" s="799"/>
      <c r="AD538" s="799"/>
      <c r="AE538" s="799"/>
      <c r="AF538" s="799"/>
      <c r="AG538" s="799"/>
      <c r="AH538" s="799"/>
      <c r="AI538" s="799"/>
      <c r="AJ538" s="799"/>
      <c r="AK538" s="799"/>
      <c r="AL538" s="799"/>
      <c r="AM538" s="799"/>
      <c r="AN538" s="799"/>
      <c r="AO538" s="799"/>
      <c r="AP538" s="799"/>
      <c r="AQ538" s="799"/>
      <c r="AR538" s="799"/>
      <c r="AS538" s="799"/>
      <c r="AT538" s="799"/>
      <c r="AU538" s="799"/>
      <c r="AV538" s="799"/>
      <c r="AW538" s="799"/>
      <c r="AX538" s="799"/>
      <c r="AY538" s="799"/>
      <c r="AZ538" s="799"/>
      <c r="BA538" s="799"/>
      <c r="BB538" s="799"/>
      <c r="BC538" s="799"/>
      <c r="BD538" s="799"/>
      <c r="BE538" s="799"/>
      <c r="BF538" s="799"/>
      <c r="BG538" s="799"/>
    </row>
    <row r="539">
      <c r="H539" s="799"/>
      <c r="I539" s="799"/>
      <c r="J539" s="799"/>
      <c r="K539" s="799"/>
      <c r="L539" s="799"/>
      <c r="M539" s="799"/>
      <c r="N539" s="799"/>
      <c r="O539" s="799"/>
      <c r="P539" s="799"/>
      <c r="Q539" s="799"/>
      <c r="R539" s="799"/>
      <c r="S539" s="799"/>
      <c r="T539" s="799"/>
      <c r="U539" s="799"/>
      <c r="V539" s="799"/>
      <c r="W539" s="799"/>
      <c r="X539" s="799"/>
      <c r="Y539" s="799"/>
      <c r="Z539" s="799"/>
      <c r="AA539" s="799"/>
      <c r="AB539" s="799"/>
      <c r="AC539" s="799"/>
      <c r="AD539" s="799"/>
      <c r="AE539" s="799"/>
      <c r="AF539" s="799"/>
      <c r="AG539" s="799"/>
      <c r="AH539" s="799"/>
      <c r="AI539" s="799"/>
      <c r="AJ539" s="799"/>
      <c r="AK539" s="799"/>
      <c r="AL539" s="799"/>
      <c r="AM539" s="799"/>
      <c r="AN539" s="799"/>
      <c r="AO539" s="799"/>
      <c r="AP539" s="799"/>
      <c r="AQ539" s="799"/>
      <c r="AR539" s="799"/>
      <c r="AS539" s="799"/>
      <c r="AT539" s="799"/>
      <c r="AU539" s="799"/>
      <c r="AV539" s="799"/>
      <c r="AW539" s="799"/>
      <c r="AX539" s="799"/>
      <c r="AY539" s="799"/>
      <c r="AZ539" s="799"/>
      <c r="BA539" s="799"/>
      <c r="BB539" s="799"/>
      <c r="BC539" s="799"/>
      <c r="BD539" s="799"/>
      <c r="BE539" s="799"/>
      <c r="BF539" s="799"/>
      <c r="BG539" s="799"/>
    </row>
    <row r="540">
      <c r="H540" s="799"/>
      <c r="I540" s="799"/>
      <c r="J540" s="799"/>
      <c r="K540" s="799"/>
      <c r="L540" s="799"/>
      <c r="M540" s="799"/>
      <c r="N540" s="799"/>
      <c r="O540" s="799"/>
      <c r="P540" s="799"/>
      <c r="Q540" s="799"/>
      <c r="R540" s="799"/>
      <c r="S540" s="799"/>
      <c r="T540" s="799"/>
      <c r="U540" s="799"/>
      <c r="V540" s="799"/>
      <c r="W540" s="799"/>
      <c r="X540" s="799"/>
      <c r="Y540" s="799"/>
      <c r="Z540" s="799"/>
      <c r="AA540" s="799"/>
      <c r="AB540" s="799"/>
      <c r="AC540" s="799"/>
      <c r="AD540" s="799"/>
      <c r="AE540" s="799"/>
      <c r="AF540" s="799"/>
      <c r="AG540" s="799"/>
      <c r="AH540" s="799"/>
      <c r="AI540" s="799"/>
      <c r="AJ540" s="799"/>
      <c r="AK540" s="799"/>
      <c r="AL540" s="799"/>
      <c r="AM540" s="799"/>
      <c r="AN540" s="799"/>
      <c r="AO540" s="799"/>
      <c r="AP540" s="799"/>
      <c r="AQ540" s="799"/>
      <c r="AR540" s="799"/>
      <c r="AS540" s="799"/>
      <c r="AT540" s="799"/>
      <c r="AU540" s="799"/>
      <c r="AV540" s="799"/>
      <c r="AW540" s="799"/>
      <c r="AX540" s="799"/>
      <c r="AY540" s="799"/>
      <c r="AZ540" s="799"/>
      <c r="BA540" s="799"/>
      <c r="BB540" s="799"/>
      <c r="BC540" s="799"/>
      <c r="BD540" s="799"/>
      <c r="BE540" s="799"/>
      <c r="BF540" s="799"/>
      <c r="BG540" s="799"/>
    </row>
    <row r="541">
      <c r="H541" s="799"/>
      <c r="I541" s="799"/>
      <c r="J541" s="799"/>
      <c r="K541" s="799"/>
      <c r="L541" s="799"/>
      <c r="M541" s="799"/>
      <c r="N541" s="799"/>
      <c r="O541" s="799"/>
      <c r="P541" s="799"/>
      <c r="Q541" s="799"/>
      <c r="R541" s="799"/>
      <c r="S541" s="799"/>
      <c r="T541" s="799"/>
      <c r="U541" s="799"/>
      <c r="V541" s="799"/>
      <c r="W541" s="799"/>
      <c r="X541" s="799"/>
      <c r="Y541" s="799"/>
      <c r="Z541" s="799"/>
      <c r="AA541" s="799"/>
      <c r="AB541" s="799"/>
      <c r="AC541" s="799"/>
      <c r="AD541" s="799"/>
      <c r="AE541" s="799"/>
      <c r="AF541" s="799"/>
      <c r="AG541" s="799"/>
      <c r="AH541" s="799"/>
      <c r="AI541" s="799"/>
      <c r="AJ541" s="799"/>
      <c r="AK541" s="799"/>
      <c r="AL541" s="799"/>
      <c r="AM541" s="799"/>
      <c r="AN541" s="799"/>
      <c r="AO541" s="799"/>
      <c r="AP541" s="799"/>
      <c r="AQ541" s="799"/>
      <c r="AR541" s="799"/>
      <c r="AS541" s="799"/>
      <c r="AT541" s="799"/>
      <c r="AU541" s="799"/>
      <c r="AV541" s="799"/>
      <c r="AW541" s="799"/>
      <c r="AX541" s="799"/>
      <c r="AY541" s="799"/>
      <c r="AZ541" s="799"/>
      <c r="BA541" s="799"/>
      <c r="BB541" s="799"/>
      <c r="BC541" s="799"/>
      <c r="BD541" s="799"/>
      <c r="BE541" s="799"/>
      <c r="BF541" s="799"/>
      <c r="BG541" s="799"/>
    </row>
    <row r="542">
      <c r="H542" s="799"/>
      <c r="I542" s="799"/>
      <c r="J542" s="799"/>
      <c r="K542" s="799"/>
      <c r="L542" s="799"/>
      <c r="M542" s="799"/>
      <c r="N542" s="799"/>
      <c r="O542" s="799"/>
      <c r="P542" s="799"/>
      <c r="Q542" s="799"/>
      <c r="R542" s="799"/>
      <c r="S542" s="799"/>
      <c r="T542" s="799"/>
      <c r="U542" s="799"/>
      <c r="V542" s="799"/>
      <c r="W542" s="799"/>
      <c r="X542" s="799"/>
      <c r="Y542" s="799"/>
      <c r="Z542" s="799"/>
      <c r="AA542" s="799"/>
      <c r="AB542" s="799"/>
      <c r="AC542" s="799"/>
      <c r="AD542" s="799"/>
      <c r="AE542" s="799"/>
      <c r="AF542" s="799"/>
      <c r="AG542" s="799"/>
      <c r="AH542" s="799"/>
      <c r="AI542" s="799"/>
      <c r="AJ542" s="799"/>
      <c r="AK542" s="799"/>
      <c r="AL542" s="799"/>
      <c r="AM542" s="799"/>
      <c r="AN542" s="799"/>
      <c r="AO542" s="799"/>
      <c r="AP542" s="799"/>
      <c r="AQ542" s="799"/>
      <c r="AR542" s="799"/>
      <c r="AS542" s="799"/>
      <c r="AT542" s="799"/>
      <c r="AU542" s="799"/>
      <c r="AV542" s="799"/>
      <c r="AW542" s="799"/>
      <c r="AX542" s="799"/>
      <c r="AY542" s="799"/>
      <c r="AZ542" s="799"/>
      <c r="BA542" s="799"/>
      <c r="BB542" s="799"/>
      <c r="BC542" s="799"/>
      <c r="BD542" s="799"/>
      <c r="BE542" s="799"/>
      <c r="BF542" s="799"/>
      <c r="BG542" s="799"/>
    </row>
    <row r="543">
      <c r="H543" s="799"/>
      <c r="I543" s="799"/>
      <c r="J543" s="799"/>
      <c r="K543" s="799"/>
      <c r="L543" s="799"/>
      <c r="M543" s="799"/>
      <c r="N543" s="799"/>
      <c r="O543" s="799"/>
      <c r="P543" s="799"/>
      <c r="Q543" s="799"/>
      <c r="R543" s="799"/>
      <c r="S543" s="799"/>
      <c r="T543" s="799"/>
      <c r="U543" s="799"/>
      <c r="V543" s="799"/>
      <c r="W543" s="799"/>
      <c r="X543" s="799"/>
      <c r="Y543" s="799"/>
      <c r="Z543" s="799"/>
      <c r="AA543" s="799"/>
      <c r="AB543" s="799"/>
      <c r="AC543" s="799"/>
      <c r="AD543" s="799"/>
      <c r="AE543" s="799"/>
      <c r="AF543" s="799"/>
      <c r="AG543" s="799"/>
      <c r="AH543" s="799"/>
      <c r="AI543" s="799"/>
      <c r="AJ543" s="799"/>
      <c r="AK543" s="799"/>
      <c r="AL543" s="799"/>
      <c r="AM543" s="799"/>
      <c r="AN543" s="799"/>
      <c r="AO543" s="799"/>
      <c r="AP543" s="799"/>
      <c r="AQ543" s="799"/>
      <c r="AR543" s="799"/>
      <c r="AS543" s="799"/>
      <c r="AT543" s="799"/>
      <c r="AU543" s="799"/>
      <c r="AV543" s="799"/>
      <c r="AW543" s="799"/>
      <c r="AX543" s="799"/>
      <c r="AY543" s="799"/>
      <c r="AZ543" s="799"/>
      <c r="BA543" s="799"/>
      <c r="BB543" s="799"/>
      <c r="BC543" s="799"/>
      <c r="BD543" s="799"/>
      <c r="BE543" s="799"/>
      <c r="BF543" s="799"/>
      <c r="BG543" s="799"/>
    </row>
    <row r="544">
      <c r="H544" s="799"/>
      <c r="I544" s="799"/>
      <c r="J544" s="799"/>
      <c r="K544" s="799"/>
      <c r="L544" s="799"/>
      <c r="M544" s="799"/>
      <c r="N544" s="799"/>
      <c r="O544" s="799"/>
      <c r="P544" s="799"/>
      <c r="Q544" s="799"/>
      <c r="R544" s="799"/>
      <c r="S544" s="799"/>
      <c r="T544" s="799"/>
      <c r="U544" s="799"/>
      <c r="V544" s="799"/>
      <c r="W544" s="799"/>
      <c r="X544" s="799"/>
      <c r="Y544" s="799"/>
      <c r="Z544" s="799"/>
      <c r="AA544" s="799"/>
      <c r="AB544" s="799"/>
      <c r="AC544" s="799"/>
      <c r="AD544" s="799"/>
      <c r="AE544" s="799"/>
      <c r="AF544" s="799"/>
      <c r="AG544" s="799"/>
      <c r="AH544" s="799"/>
      <c r="AI544" s="799"/>
      <c r="AJ544" s="799"/>
      <c r="AK544" s="799"/>
      <c r="AL544" s="799"/>
      <c r="AM544" s="799"/>
      <c r="AN544" s="799"/>
      <c r="AO544" s="799"/>
      <c r="AP544" s="799"/>
      <c r="AQ544" s="799"/>
      <c r="AR544" s="799"/>
      <c r="AS544" s="799"/>
      <c r="AT544" s="799"/>
      <c r="AU544" s="799"/>
      <c r="AV544" s="799"/>
      <c r="AW544" s="799"/>
      <c r="AX544" s="799"/>
      <c r="AY544" s="799"/>
      <c r="AZ544" s="799"/>
      <c r="BA544" s="799"/>
      <c r="BB544" s="799"/>
      <c r="BC544" s="799"/>
      <c r="BD544" s="799"/>
      <c r="BE544" s="799"/>
      <c r="BF544" s="799"/>
      <c r="BG544" s="799"/>
    </row>
    <row r="545">
      <c r="H545" s="799"/>
      <c r="I545" s="799"/>
      <c r="J545" s="799"/>
      <c r="K545" s="799"/>
      <c r="L545" s="799"/>
      <c r="M545" s="799"/>
      <c r="N545" s="799"/>
      <c r="O545" s="799"/>
      <c r="P545" s="799"/>
      <c r="Q545" s="799"/>
      <c r="R545" s="799"/>
      <c r="S545" s="799"/>
      <c r="T545" s="799"/>
      <c r="U545" s="799"/>
      <c r="V545" s="799"/>
      <c r="W545" s="799"/>
      <c r="X545" s="799"/>
      <c r="Y545" s="799"/>
      <c r="Z545" s="799"/>
      <c r="AA545" s="799"/>
      <c r="AB545" s="799"/>
      <c r="AC545" s="799"/>
      <c r="AD545" s="799"/>
      <c r="AE545" s="799"/>
      <c r="AF545" s="799"/>
      <c r="AG545" s="799"/>
      <c r="AH545" s="799"/>
      <c r="AI545" s="799"/>
      <c r="AJ545" s="799"/>
      <c r="AK545" s="799"/>
      <c r="AL545" s="799"/>
      <c r="AM545" s="799"/>
      <c r="AN545" s="799"/>
      <c r="AO545" s="799"/>
      <c r="AP545" s="799"/>
      <c r="AQ545" s="799"/>
      <c r="AR545" s="799"/>
      <c r="AS545" s="799"/>
      <c r="AT545" s="799"/>
      <c r="AU545" s="799"/>
      <c r="AV545" s="799"/>
      <c r="AW545" s="799"/>
      <c r="AX545" s="799"/>
      <c r="AY545" s="799"/>
      <c r="AZ545" s="799"/>
      <c r="BA545" s="799"/>
      <c r="BB545" s="799"/>
      <c r="BC545" s="799"/>
      <c r="BD545" s="799"/>
      <c r="BE545" s="799"/>
      <c r="BF545" s="799"/>
      <c r="BG545" s="799"/>
    </row>
    <row r="546">
      <c r="H546" s="799"/>
      <c r="I546" s="799"/>
      <c r="J546" s="799"/>
      <c r="K546" s="799"/>
      <c r="L546" s="799"/>
      <c r="M546" s="799"/>
      <c r="N546" s="799"/>
      <c r="O546" s="799"/>
      <c r="P546" s="799"/>
      <c r="Q546" s="799"/>
      <c r="R546" s="799"/>
      <c r="S546" s="799"/>
      <c r="T546" s="799"/>
      <c r="U546" s="799"/>
      <c r="V546" s="799"/>
      <c r="W546" s="799"/>
      <c r="X546" s="799"/>
      <c r="Y546" s="799"/>
      <c r="Z546" s="799"/>
      <c r="AA546" s="799"/>
      <c r="AB546" s="799"/>
      <c r="AC546" s="799"/>
      <c r="AD546" s="799"/>
      <c r="AE546" s="799"/>
      <c r="AF546" s="799"/>
      <c r="AG546" s="799"/>
      <c r="AH546" s="799"/>
      <c r="AI546" s="799"/>
      <c r="AJ546" s="799"/>
      <c r="AK546" s="799"/>
      <c r="AL546" s="799"/>
      <c r="AM546" s="799"/>
      <c r="AN546" s="799"/>
      <c r="AO546" s="799"/>
      <c r="AP546" s="799"/>
      <c r="AQ546" s="799"/>
      <c r="AR546" s="799"/>
      <c r="AS546" s="799"/>
      <c r="AT546" s="799"/>
      <c r="AU546" s="799"/>
      <c r="AV546" s="799"/>
      <c r="AW546" s="799"/>
      <c r="AX546" s="799"/>
      <c r="AY546" s="799"/>
      <c r="AZ546" s="799"/>
      <c r="BA546" s="799"/>
      <c r="BB546" s="799"/>
      <c r="BC546" s="799"/>
      <c r="BD546" s="799"/>
      <c r="BE546" s="799"/>
      <c r="BF546" s="799"/>
      <c r="BG546" s="799"/>
    </row>
    <row r="547">
      <c r="H547" s="799"/>
      <c r="I547" s="799"/>
      <c r="J547" s="799"/>
      <c r="K547" s="799"/>
      <c r="L547" s="799"/>
      <c r="M547" s="799"/>
      <c r="N547" s="799"/>
      <c r="O547" s="799"/>
      <c r="P547" s="799"/>
      <c r="Q547" s="799"/>
      <c r="R547" s="799"/>
      <c r="S547" s="799"/>
      <c r="T547" s="799"/>
      <c r="U547" s="799"/>
      <c r="V547" s="799"/>
      <c r="W547" s="799"/>
      <c r="X547" s="799"/>
      <c r="Y547" s="799"/>
      <c r="Z547" s="799"/>
      <c r="AA547" s="799"/>
      <c r="AB547" s="799"/>
      <c r="AC547" s="799"/>
      <c r="AD547" s="799"/>
      <c r="AE547" s="799"/>
      <c r="AF547" s="799"/>
      <c r="AG547" s="799"/>
      <c r="AH547" s="799"/>
      <c r="AI547" s="799"/>
      <c r="AJ547" s="799"/>
      <c r="AK547" s="799"/>
      <c r="AL547" s="799"/>
      <c r="AM547" s="799"/>
      <c r="AN547" s="799"/>
      <c r="AO547" s="799"/>
      <c r="AP547" s="799"/>
      <c r="AQ547" s="799"/>
      <c r="AR547" s="799"/>
      <c r="AS547" s="799"/>
      <c r="AT547" s="799"/>
      <c r="AU547" s="799"/>
      <c r="AV547" s="799"/>
      <c r="AW547" s="799"/>
      <c r="AX547" s="799"/>
      <c r="AY547" s="799"/>
      <c r="AZ547" s="799"/>
      <c r="BA547" s="799"/>
      <c r="BB547" s="799"/>
      <c r="BC547" s="799"/>
      <c r="BD547" s="799"/>
      <c r="BE547" s="799"/>
      <c r="BF547" s="799"/>
      <c r="BG547" s="799"/>
    </row>
    <row r="548">
      <c r="H548" s="799"/>
      <c r="I548" s="799"/>
      <c r="J548" s="799"/>
      <c r="K548" s="799"/>
      <c r="L548" s="799"/>
      <c r="M548" s="799"/>
      <c r="N548" s="799"/>
      <c r="O548" s="799"/>
      <c r="P548" s="799"/>
      <c r="Q548" s="799"/>
      <c r="R548" s="799"/>
      <c r="S548" s="799"/>
      <c r="T548" s="799"/>
      <c r="U548" s="799"/>
      <c r="V548" s="799"/>
      <c r="W548" s="799"/>
      <c r="X548" s="799"/>
      <c r="Y548" s="799"/>
      <c r="Z548" s="799"/>
      <c r="AA548" s="799"/>
      <c r="AB548" s="799"/>
      <c r="AC548" s="799"/>
      <c r="AD548" s="799"/>
      <c r="AE548" s="799"/>
      <c r="AF548" s="799"/>
      <c r="AG548" s="799"/>
      <c r="AH548" s="799"/>
      <c r="AI548" s="799"/>
      <c r="AJ548" s="799"/>
      <c r="AK548" s="799"/>
      <c r="AL548" s="799"/>
      <c r="AM548" s="799"/>
      <c r="AN548" s="799"/>
      <c r="AO548" s="799"/>
      <c r="AP548" s="799"/>
      <c r="AQ548" s="799"/>
      <c r="AR548" s="799"/>
      <c r="AS548" s="799"/>
      <c r="AT548" s="799"/>
      <c r="AU548" s="799"/>
      <c r="AV548" s="799"/>
      <c r="AW548" s="799"/>
      <c r="AX548" s="799"/>
      <c r="AY548" s="799"/>
      <c r="AZ548" s="799"/>
      <c r="BA548" s="799"/>
      <c r="BB548" s="799"/>
      <c r="BC548" s="799"/>
      <c r="BD548" s="799"/>
      <c r="BE548" s="799"/>
      <c r="BF548" s="799"/>
      <c r="BG548" s="799"/>
    </row>
    <row r="549">
      <c r="H549" s="799"/>
      <c r="I549" s="799"/>
      <c r="J549" s="799"/>
      <c r="K549" s="799"/>
      <c r="L549" s="799"/>
      <c r="M549" s="799"/>
      <c r="N549" s="799"/>
      <c r="O549" s="799"/>
      <c r="P549" s="799"/>
      <c r="Q549" s="799"/>
      <c r="R549" s="799"/>
      <c r="S549" s="799"/>
      <c r="T549" s="799"/>
      <c r="U549" s="799"/>
      <c r="V549" s="799"/>
      <c r="W549" s="799"/>
      <c r="X549" s="799"/>
      <c r="Y549" s="799"/>
      <c r="Z549" s="799"/>
      <c r="AA549" s="799"/>
      <c r="AB549" s="799"/>
      <c r="AC549" s="799"/>
      <c r="AD549" s="799"/>
      <c r="AE549" s="799"/>
      <c r="AF549" s="799"/>
      <c r="AG549" s="799"/>
      <c r="AH549" s="799"/>
      <c r="AI549" s="799"/>
      <c r="AJ549" s="799"/>
      <c r="AK549" s="799"/>
      <c r="AL549" s="799"/>
      <c r="AM549" s="799"/>
      <c r="AN549" s="799"/>
      <c r="AO549" s="799"/>
      <c r="AP549" s="799"/>
      <c r="AQ549" s="799"/>
      <c r="AR549" s="799"/>
      <c r="AS549" s="799"/>
      <c r="AT549" s="799"/>
      <c r="AU549" s="799"/>
      <c r="AV549" s="799"/>
      <c r="AW549" s="799"/>
      <c r="AX549" s="799"/>
      <c r="AY549" s="799"/>
      <c r="AZ549" s="799"/>
      <c r="BA549" s="799"/>
      <c r="BB549" s="799"/>
      <c r="BC549" s="799"/>
      <c r="BD549" s="799"/>
      <c r="BE549" s="799"/>
      <c r="BF549" s="799"/>
      <c r="BG549" s="799"/>
    </row>
    <row r="550">
      <c r="H550" s="799"/>
      <c r="I550" s="799"/>
      <c r="J550" s="799"/>
      <c r="K550" s="799"/>
      <c r="L550" s="799"/>
      <c r="M550" s="799"/>
      <c r="N550" s="799"/>
      <c r="O550" s="799"/>
      <c r="P550" s="799"/>
      <c r="Q550" s="799"/>
      <c r="R550" s="799"/>
      <c r="S550" s="799"/>
      <c r="T550" s="799"/>
      <c r="U550" s="799"/>
      <c r="V550" s="799"/>
      <c r="W550" s="799"/>
      <c r="X550" s="799"/>
      <c r="Y550" s="799"/>
      <c r="Z550" s="799"/>
      <c r="AA550" s="799"/>
      <c r="AB550" s="799"/>
      <c r="AC550" s="799"/>
      <c r="AD550" s="799"/>
      <c r="AE550" s="799"/>
      <c r="AF550" s="799"/>
      <c r="AG550" s="799"/>
      <c r="AH550" s="799"/>
      <c r="AI550" s="799"/>
      <c r="AJ550" s="799"/>
      <c r="AK550" s="799"/>
      <c r="AL550" s="799"/>
      <c r="AM550" s="799"/>
      <c r="AN550" s="799"/>
      <c r="AO550" s="799"/>
      <c r="AP550" s="799"/>
      <c r="AQ550" s="799"/>
      <c r="AR550" s="799"/>
      <c r="AS550" s="799"/>
      <c r="AT550" s="799"/>
      <c r="AU550" s="799"/>
      <c r="AV550" s="799"/>
      <c r="AW550" s="799"/>
      <c r="AX550" s="799"/>
      <c r="AY550" s="799"/>
      <c r="AZ550" s="799"/>
      <c r="BA550" s="799"/>
      <c r="BB550" s="799"/>
      <c r="BC550" s="799"/>
      <c r="BD550" s="799"/>
      <c r="BE550" s="799"/>
      <c r="BF550" s="799"/>
      <c r="BG550" s="799"/>
    </row>
    <row r="551">
      <c r="H551" s="799"/>
      <c r="I551" s="799"/>
      <c r="J551" s="799"/>
      <c r="K551" s="799"/>
      <c r="L551" s="799"/>
      <c r="M551" s="799"/>
      <c r="N551" s="799"/>
      <c r="O551" s="799"/>
      <c r="P551" s="799"/>
      <c r="Q551" s="799"/>
      <c r="R551" s="799"/>
      <c r="S551" s="799"/>
      <c r="T551" s="799"/>
      <c r="U551" s="799"/>
      <c r="V551" s="799"/>
      <c r="W551" s="799"/>
      <c r="X551" s="799"/>
      <c r="Y551" s="799"/>
      <c r="Z551" s="799"/>
      <c r="AA551" s="799"/>
      <c r="AB551" s="799"/>
      <c r="AC551" s="799"/>
      <c r="AD551" s="799"/>
      <c r="AE551" s="799"/>
      <c r="AF551" s="799"/>
      <c r="AG551" s="799"/>
      <c r="AH551" s="799"/>
      <c r="AI551" s="799"/>
      <c r="AJ551" s="799"/>
      <c r="AK551" s="799"/>
      <c r="AL551" s="799"/>
      <c r="AM551" s="799"/>
      <c r="AN551" s="799"/>
      <c r="AO551" s="799"/>
      <c r="AP551" s="799"/>
      <c r="AQ551" s="799"/>
      <c r="AR551" s="799"/>
      <c r="AS551" s="799"/>
      <c r="AT551" s="799"/>
      <c r="AU551" s="799"/>
      <c r="AV551" s="799"/>
      <c r="AW551" s="799"/>
      <c r="AX551" s="799"/>
      <c r="AY551" s="799"/>
      <c r="AZ551" s="799"/>
      <c r="BA551" s="799"/>
      <c r="BB551" s="799"/>
      <c r="BC551" s="799"/>
      <c r="BD551" s="799"/>
      <c r="BE551" s="799"/>
      <c r="BF551" s="799"/>
      <c r="BG551" s="799"/>
    </row>
    <row r="552">
      <c r="H552" s="799"/>
      <c r="I552" s="799"/>
      <c r="J552" s="799"/>
      <c r="K552" s="799"/>
      <c r="L552" s="799"/>
      <c r="M552" s="799"/>
      <c r="N552" s="799"/>
      <c r="O552" s="799"/>
      <c r="P552" s="799"/>
      <c r="Q552" s="799"/>
      <c r="R552" s="799"/>
      <c r="S552" s="799"/>
      <c r="T552" s="799"/>
      <c r="U552" s="799"/>
      <c r="V552" s="799"/>
      <c r="W552" s="799"/>
      <c r="X552" s="799"/>
      <c r="Y552" s="799"/>
      <c r="Z552" s="799"/>
      <c r="AA552" s="799"/>
      <c r="AB552" s="799"/>
      <c r="AC552" s="799"/>
      <c r="AD552" s="799"/>
      <c r="AE552" s="799"/>
      <c r="AF552" s="799"/>
      <c r="AG552" s="799"/>
      <c r="AH552" s="799"/>
      <c r="AI552" s="799"/>
      <c r="AJ552" s="799"/>
      <c r="AK552" s="799"/>
      <c r="AL552" s="799"/>
      <c r="AM552" s="799"/>
      <c r="AN552" s="799"/>
      <c r="AO552" s="799"/>
      <c r="AP552" s="799"/>
      <c r="AQ552" s="799"/>
      <c r="AR552" s="799"/>
      <c r="AS552" s="799"/>
      <c r="AT552" s="799"/>
      <c r="AU552" s="799"/>
      <c r="AV552" s="799"/>
      <c r="AW552" s="799"/>
      <c r="AX552" s="799"/>
      <c r="AY552" s="799"/>
      <c r="AZ552" s="799"/>
      <c r="BA552" s="799"/>
      <c r="BB552" s="799"/>
      <c r="BC552" s="799"/>
      <c r="BD552" s="799"/>
      <c r="BE552" s="799"/>
      <c r="BF552" s="799"/>
      <c r="BG552" s="799"/>
    </row>
    <row r="553">
      <c r="H553" s="799"/>
      <c r="I553" s="799"/>
      <c r="J553" s="799"/>
      <c r="K553" s="799"/>
      <c r="L553" s="799"/>
      <c r="M553" s="799"/>
      <c r="N553" s="799"/>
      <c r="O553" s="799"/>
      <c r="P553" s="799"/>
      <c r="Q553" s="799"/>
      <c r="R553" s="799"/>
      <c r="S553" s="799"/>
      <c r="T553" s="799"/>
      <c r="U553" s="799"/>
      <c r="V553" s="799"/>
      <c r="W553" s="799"/>
      <c r="X553" s="799"/>
      <c r="Y553" s="799"/>
      <c r="Z553" s="799"/>
      <c r="AA553" s="799"/>
      <c r="AB553" s="799"/>
      <c r="AC553" s="799"/>
      <c r="AD553" s="799"/>
      <c r="AE553" s="799"/>
      <c r="AF553" s="799"/>
      <c r="AG553" s="799"/>
      <c r="AH553" s="799"/>
      <c r="AI553" s="799"/>
      <c r="AJ553" s="799"/>
      <c r="AK553" s="799"/>
      <c r="AL553" s="799"/>
      <c r="AM553" s="799"/>
      <c r="AN553" s="799"/>
      <c r="AO553" s="799"/>
      <c r="AP553" s="799"/>
      <c r="AQ553" s="799"/>
      <c r="AR553" s="799"/>
      <c r="AS553" s="799"/>
      <c r="AT553" s="799"/>
      <c r="AU553" s="799"/>
      <c r="AV553" s="799"/>
      <c r="AW553" s="799"/>
      <c r="AX553" s="799"/>
      <c r="AY553" s="799"/>
      <c r="AZ553" s="799"/>
      <c r="BA553" s="799"/>
      <c r="BB553" s="799"/>
      <c r="BC553" s="799"/>
      <c r="BD553" s="799"/>
      <c r="BE553" s="799"/>
      <c r="BF553" s="799"/>
      <c r="BG553" s="799"/>
    </row>
    <row r="554">
      <c r="H554" s="799"/>
      <c r="I554" s="799"/>
      <c r="J554" s="799"/>
      <c r="K554" s="799"/>
      <c r="L554" s="799"/>
      <c r="M554" s="799"/>
      <c r="N554" s="799"/>
      <c r="O554" s="799"/>
      <c r="P554" s="799"/>
      <c r="Q554" s="799"/>
      <c r="R554" s="799"/>
      <c r="S554" s="799"/>
      <c r="T554" s="799"/>
      <c r="U554" s="799"/>
      <c r="V554" s="799"/>
      <c r="W554" s="799"/>
      <c r="X554" s="799"/>
      <c r="Y554" s="799"/>
      <c r="Z554" s="799"/>
      <c r="AA554" s="799"/>
      <c r="AB554" s="799"/>
      <c r="AC554" s="799"/>
      <c r="AD554" s="799"/>
      <c r="AE554" s="799"/>
      <c r="AF554" s="799"/>
      <c r="AG554" s="799"/>
      <c r="AH554" s="799"/>
      <c r="AI554" s="799"/>
      <c r="AJ554" s="799"/>
      <c r="AK554" s="799"/>
      <c r="AL554" s="799"/>
      <c r="AM554" s="799"/>
      <c r="AN554" s="799"/>
      <c r="AO554" s="799"/>
      <c r="AP554" s="799"/>
      <c r="AQ554" s="799"/>
      <c r="AR554" s="799"/>
      <c r="AS554" s="799"/>
      <c r="AT554" s="799"/>
      <c r="AU554" s="799"/>
      <c r="AV554" s="799"/>
      <c r="AW554" s="799"/>
      <c r="AX554" s="799"/>
      <c r="AY554" s="799"/>
      <c r="AZ554" s="799"/>
      <c r="BA554" s="799"/>
      <c r="BB554" s="799"/>
      <c r="BC554" s="799"/>
      <c r="BD554" s="799"/>
      <c r="BE554" s="799"/>
      <c r="BF554" s="799"/>
      <c r="BG554" s="799"/>
    </row>
    <row r="555">
      <c r="H555" s="799"/>
      <c r="I555" s="799"/>
      <c r="J555" s="799"/>
      <c r="K555" s="799"/>
      <c r="L555" s="799"/>
      <c r="M555" s="799"/>
      <c r="N555" s="799"/>
      <c r="O555" s="799"/>
      <c r="P555" s="799"/>
      <c r="Q555" s="799"/>
      <c r="R555" s="799"/>
      <c r="S555" s="799"/>
      <c r="T555" s="799"/>
      <c r="U555" s="799"/>
      <c r="V555" s="799"/>
      <c r="W555" s="799"/>
      <c r="X555" s="799"/>
      <c r="Y555" s="799"/>
      <c r="Z555" s="799"/>
      <c r="AA555" s="799"/>
      <c r="AB555" s="799"/>
      <c r="AC555" s="799"/>
      <c r="AD555" s="799"/>
      <c r="AE555" s="799"/>
      <c r="AF555" s="799"/>
      <c r="AG555" s="799"/>
      <c r="AH555" s="799"/>
      <c r="AI555" s="799"/>
      <c r="AJ555" s="799"/>
      <c r="AK555" s="799"/>
      <c r="AL555" s="799"/>
      <c r="AM555" s="799"/>
      <c r="AN555" s="799"/>
      <c r="AO555" s="799"/>
      <c r="AP555" s="799"/>
      <c r="AQ555" s="799"/>
      <c r="AR555" s="799"/>
      <c r="AS555" s="799"/>
      <c r="AT555" s="799"/>
      <c r="AU555" s="799"/>
      <c r="AV555" s="799"/>
      <c r="AW555" s="799"/>
      <c r="AX555" s="799"/>
      <c r="AY555" s="799"/>
      <c r="AZ555" s="799"/>
      <c r="BA555" s="799"/>
      <c r="BB555" s="799"/>
      <c r="BC555" s="799"/>
      <c r="BD555" s="799"/>
      <c r="BE555" s="799"/>
      <c r="BF555" s="799"/>
      <c r="BG555" s="799"/>
    </row>
    <row r="556">
      <c r="H556" s="799"/>
      <c r="I556" s="799"/>
      <c r="J556" s="799"/>
      <c r="K556" s="799"/>
      <c r="L556" s="799"/>
      <c r="M556" s="799"/>
      <c r="N556" s="799"/>
      <c r="O556" s="799"/>
      <c r="P556" s="799"/>
      <c r="Q556" s="799"/>
      <c r="R556" s="799"/>
      <c r="S556" s="799"/>
      <c r="T556" s="799"/>
      <c r="U556" s="799"/>
      <c r="V556" s="799"/>
      <c r="W556" s="799"/>
      <c r="X556" s="799"/>
      <c r="Y556" s="799"/>
      <c r="Z556" s="799"/>
      <c r="AA556" s="799"/>
      <c r="AB556" s="799"/>
      <c r="AC556" s="799"/>
      <c r="AD556" s="799"/>
      <c r="AE556" s="799"/>
      <c r="AF556" s="799"/>
      <c r="AG556" s="799"/>
      <c r="AH556" s="799"/>
      <c r="AI556" s="799"/>
      <c r="AJ556" s="799"/>
      <c r="AK556" s="799"/>
      <c r="AL556" s="799"/>
      <c r="AM556" s="799"/>
      <c r="AN556" s="799"/>
      <c r="AO556" s="799"/>
      <c r="AP556" s="799"/>
      <c r="AQ556" s="799"/>
      <c r="AR556" s="799"/>
      <c r="AS556" s="799"/>
      <c r="AT556" s="799"/>
      <c r="AU556" s="799"/>
      <c r="AV556" s="799"/>
      <c r="AW556" s="799"/>
      <c r="AX556" s="799"/>
      <c r="AY556" s="799"/>
      <c r="AZ556" s="799"/>
      <c r="BA556" s="799"/>
      <c r="BB556" s="799"/>
      <c r="BC556" s="799"/>
      <c r="BD556" s="799"/>
      <c r="BE556" s="799"/>
      <c r="BF556" s="799"/>
      <c r="BG556" s="799"/>
    </row>
    <row r="557">
      <c r="H557" s="799"/>
      <c r="I557" s="799"/>
      <c r="J557" s="799"/>
      <c r="K557" s="799"/>
      <c r="L557" s="799"/>
      <c r="M557" s="799"/>
      <c r="N557" s="799"/>
      <c r="O557" s="799"/>
      <c r="P557" s="799"/>
      <c r="Q557" s="799"/>
      <c r="R557" s="799"/>
      <c r="S557" s="799"/>
      <c r="T557" s="799"/>
      <c r="U557" s="799"/>
      <c r="V557" s="799"/>
      <c r="W557" s="799"/>
      <c r="X557" s="799"/>
      <c r="Y557" s="799"/>
      <c r="Z557" s="799"/>
      <c r="AA557" s="799"/>
      <c r="AB557" s="799"/>
      <c r="AC557" s="799"/>
      <c r="AD557" s="799"/>
      <c r="AE557" s="799"/>
      <c r="AF557" s="799"/>
      <c r="AG557" s="799"/>
      <c r="AH557" s="799"/>
      <c r="AI557" s="799"/>
      <c r="AJ557" s="799"/>
      <c r="AK557" s="799"/>
      <c r="AL557" s="799"/>
      <c r="AM557" s="799"/>
      <c r="AN557" s="799"/>
      <c r="AO557" s="799"/>
      <c r="AP557" s="799"/>
      <c r="AQ557" s="799"/>
      <c r="AR557" s="799"/>
      <c r="AS557" s="799"/>
      <c r="AT557" s="799"/>
      <c r="AU557" s="799"/>
      <c r="AV557" s="799"/>
      <c r="AW557" s="799"/>
      <c r="AX557" s="799"/>
      <c r="AY557" s="799"/>
      <c r="AZ557" s="799"/>
      <c r="BA557" s="799"/>
      <c r="BB557" s="799"/>
      <c r="BC557" s="799"/>
      <c r="BD557" s="799"/>
      <c r="BE557" s="799"/>
      <c r="BF557" s="799"/>
      <c r="BG557" s="799"/>
    </row>
    <row r="558">
      <c r="H558" s="799"/>
      <c r="I558" s="799"/>
      <c r="J558" s="799"/>
      <c r="K558" s="799"/>
      <c r="L558" s="799"/>
      <c r="M558" s="799"/>
      <c r="N558" s="799"/>
      <c r="O558" s="799"/>
      <c r="P558" s="799"/>
      <c r="Q558" s="799"/>
      <c r="R558" s="799"/>
      <c r="S558" s="799"/>
      <c r="T558" s="799"/>
      <c r="U558" s="799"/>
      <c r="V558" s="799"/>
      <c r="W558" s="799"/>
      <c r="X558" s="799"/>
      <c r="Y558" s="799"/>
      <c r="Z558" s="799"/>
      <c r="AA558" s="799"/>
      <c r="AB558" s="799"/>
      <c r="AC558" s="799"/>
      <c r="AD558" s="799"/>
      <c r="AE558" s="799"/>
      <c r="AF558" s="799"/>
      <c r="AG558" s="799"/>
      <c r="AH558" s="799"/>
      <c r="AI558" s="799"/>
      <c r="AJ558" s="799"/>
      <c r="AK558" s="799"/>
      <c r="AL558" s="799"/>
      <c r="AM558" s="799"/>
      <c r="AN558" s="799"/>
      <c r="AO558" s="799"/>
      <c r="AP558" s="799"/>
      <c r="AQ558" s="799"/>
      <c r="AR558" s="799"/>
      <c r="AS558" s="799"/>
      <c r="AT558" s="799"/>
      <c r="AU558" s="799"/>
      <c r="AV558" s="799"/>
      <c r="AW558" s="799"/>
      <c r="AX558" s="799"/>
      <c r="AY558" s="799"/>
      <c r="AZ558" s="799"/>
      <c r="BA558" s="799"/>
      <c r="BB558" s="799"/>
      <c r="BC558" s="799"/>
      <c r="BD558" s="799"/>
      <c r="BE558" s="799"/>
      <c r="BF558" s="799"/>
      <c r="BG558" s="799"/>
    </row>
    <row r="559">
      <c r="H559" s="799"/>
      <c r="I559" s="799"/>
      <c r="J559" s="799"/>
      <c r="K559" s="799"/>
      <c r="L559" s="799"/>
      <c r="M559" s="799"/>
      <c r="N559" s="799"/>
      <c r="O559" s="799"/>
      <c r="P559" s="799"/>
      <c r="Q559" s="799"/>
      <c r="R559" s="799"/>
      <c r="S559" s="799"/>
      <c r="T559" s="799"/>
      <c r="U559" s="799"/>
      <c r="V559" s="799"/>
      <c r="W559" s="799"/>
      <c r="X559" s="799"/>
      <c r="Y559" s="799"/>
      <c r="Z559" s="799"/>
      <c r="AA559" s="799"/>
      <c r="AB559" s="799"/>
      <c r="AC559" s="799"/>
      <c r="AD559" s="799"/>
      <c r="AE559" s="799"/>
      <c r="AF559" s="799"/>
      <c r="AG559" s="799"/>
      <c r="AH559" s="799"/>
      <c r="AI559" s="799"/>
      <c r="AJ559" s="799"/>
      <c r="AK559" s="799"/>
      <c r="AL559" s="799"/>
      <c r="AM559" s="799"/>
      <c r="AN559" s="799"/>
      <c r="AO559" s="799"/>
      <c r="AP559" s="799"/>
      <c r="AQ559" s="799"/>
      <c r="AR559" s="799"/>
      <c r="AS559" s="799"/>
      <c r="AT559" s="799"/>
      <c r="AU559" s="799"/>
      <c r="AV559" s="799"/>
      <c r="AW559" s="799"/>
      <c r="AX559" s="799"/>
      <c r="AY559" s="799"/>
      <c r="AZ559" s="799"/>
      <c r="BA559" s="799"/>
      <c r="BB559" s="799"/>
      <c r="BC559" s="799"/>
      <c r="BD559" s="799"/>
      <c r="BE559" s="799"/>
      <c r="BF559" s="799"/>
      <c r="BG559" s="799"/>
    </row>
    <row r="560">
      <c r="H560" s="799"/>
      <c r="I560" s="799"/>
      <c r="J560" s="799"/>
      <c r="K560" s="799"/>
      <c r="L560" s="799"/>
      <c r="M560" s="799"/>
      <c r="N560" s="799"/>
      <c r="O560" s="799"/>
      <c r="P560" s="799"/>
      <c r="Q560" s="799"/>
      <c r="R560" s="799"/>
      <c r="S560" s="799"/>
      <c r="T560" s="799"/>
      <c r="U560" s="799"/>
      <c r="V560" s="799"/>
      <c r="W560" s="799"/>
      <c r="X560" s="799"/>
      <c r="Y560" s="799"/>
      <c r="Z560" s="799"/>
      <c r="AA560" s="799"/>
      <c r="AB560" s="799"/>
      <c r="AC560" s="799"/>
      <c r="AD560" s="799"/>
      <c r="AE560" s="799"/>
      <c r="AF560" s="799"/>
      <c r="AG560" s="799"/>
      <c r="AH560" s="799"/>
      <c r="AI560" s="799"/>
      <c r="AJ560" s="799"/>
      <c r="AK560" s="799"/>
      <c r="AL560" s="799"/>
      <c r="AM560" s="799"/>
      <c r="AN560" s="799"/>
      <c r="AO560" s="799"/>
      <c r="AP560" s="799"/>
      <c r="AQ560" s="799"/>
      <c r="AR560" s="799"/>
      <c r="AS560" s="799"/>
      <c r="AT560" s="799"/>
      <c r="AU560" s="799"/>
      <c r="AV560" s="799"/>
      <c r="AW560" s="799"/>
      <c r="AX560" s="799"/>
      <c r="AY560" s="799"/>
      <c r="AZ560" s="799"/>
      <c r="BA560" s="799"/>
      <c r="BB560" s="799"/>
      <c r="BC560" s="799"/>
      <c r="BD560" s="799"/>
      <c r="BE560" s="799"/>
      <c r="BF560" s="799"/>
      <c r="BG560" s="799"/>
    </row>
    <row r="561">
      <c r="H561" s="799"/>
      <c r="I561" s="799"/>
      <c r="J561" s="799"/>
      <c r="K561" s="799"/>
      <c r="L561" s="799"/>
      <c r="M561" s="799"/>
      <c r="N561" s="799"/>
      <c r="O561" s="799"/>
      <c r="P561" s="799"/>
      <c r="Q561" s="799"/>
      <c r="R561" s="799"/>
      <c r="S561" s="799"/>
      <c r="T561" s="799"/>
      <c r="U561" s="799"/>
      <c r="V561" s="799"/>
      <c r="W561" s="799"/>
      <c r="X561" s="799"/>
      <c r="Y561" s="799"/>
      <c r="Z561" s="799"/>
      <c r="AA561" s="799"/>
      <c r="AB561" s="799"/>
      <c r="AC561" s="799"/>
      <c r="AD561" s="799"/>
      <c r="AE561" s="799"/>
      <c r="AF561" s="799"/>
      <c r="AG561" s="799"/>
      <c r="AH561" s="799"/>
      <c r="AI561" s="799"/>
      <c r="AJ561" s="799"/>
      <c r="AK561" s="799"/>
      <c r="AL561" s="799"/>
      <c r="AM561" s="799"/>
      <c r="AN561" s="799"/>
      <c r="AO561" s="799"/>
      <c r="AP561" s="799"/>
      <c r="AQ561" s="799"/>
      <c r="AR561" s="799"/>
      <c r="AS561" s="799"/>
      <c r="AT561" s="799"/>
      <c r="AU561" s="799"/>
      <c r="AV561" s="799"/>
      <c r="AW561" s="799"/>
      <c r="AX561" s="799"/>
      <c r="AY561" s="799"/>
      <c r="AZ561" s="799"/>
      <c r="BA561" s="799"/>
      <c r="BB561" s="799"/>
      <c r="BC561" s="799"/>
      <c r="BD561" s="799"/>
      <c r="BE561" s="799"/>
      <c r="BF561" s="799"/>
      <c r="BG561" s="799"/>
    </row>
    <row r="562">
      <c r="H562" s="799"/>
      <c r="I562" s="799"/>
      <c r="J562" s="799"/>
      <c r="K562" s="799"/>
      <c r="L562" s="799"/>
      <c r="M562" s="799"/>
      <c r="N562" s="799"/>
      <c r="O562" s="799"/>
      <c r="P562" s="799"/>
      <c r="Q562" s="799"/>
      <c r="R562" s="799"/>
      <c r="S562" s="799"/>
      <c r="T562" s="799"/>
      <c r="U562" s="799"/>
      <c r="V562" s="799"/>
      <c r="W562" s="799"/>
      <c r="X562" s="799"/>
      <c r="Y562" s="799"/>
      <c r="Z562" s="799"/>
      <c r="AA562" s="799"/>
      <c r="AB562" s="799"/>
      <c r="AC562" s="799"/>
      <c r="AD562" s="799"/>
      <c r="AE562" s="799"/>
      <c r="AF562" s="799"/>
      <c r="AG562" s="799"/>
      <c r="AH562" s="799"/>
      <c r="AI562" s="799"/>
      <c r="AJ562" s="799"/>
      <c r="AK562" s="799"/>
      <c r="AL562" s="799"/>
      <c r="AM562" s="799"/>
      <c r="AN562" s="799"/>
      <c r="AO562" s="799"/>
      <c r="AP562" s="799"/>
      <c r="AQ562" s="799"/>
      <c r="AR562" s="799"/>
      <c r="AS562" s="799"/>
      <c r="AT562" s="799"/>
      <c r="AU562" s="799"/>
      <c r="AV562" s="799"/>
      <c r="AW562" s="799"/>
      <c r="AX562" s="799"/>
      <c r="AY562" s="799"/>
      <c r="AZ562" s="799"/>
      <c r="BA562" s="799"/>
      <c r="BB562" s="799"/>
      <c r="BC562" s="799"/>
      <c r="BD562" s="799"/>
      <c r="BE562" s="799"/>
      <c r="BF562" s="799"/>
      <c r="BG562" s="799"/>
    </row>
    <row r="563">
      <c r="H563" s="799"/>
      <c r="I563" s="799"/>
      <c r="J563" s="799"/>
      <c r="K563" s="799"/>
      <c r="L563" s="799"/>
      <c r="M563" s="799"/>
      <c r="N563" s="799"/>
      <c r="O563" s="799"/>
      <c r="P563" s="799"/>
      <c r="Q563" s="799"/>
      <c r="R563" s="799"/>
      <c r="S563" s="799"/>
      <c r="T563" s="799"/>
      <c r="U563" s="799"/>
      <c r="V563" s="799"/>
      <c r="W563" s="799"/>
      <c r="X563" s="799"/>
      <c r="Y563" s="799"/>
      <c r="Z563" s="799"/>
      <c r="AA563" s="799"/>
      <c r="AB563" s="799"/>
      <c r="AC563" s="799"/>
      <c r="AD563" s="799"/>
      <c r="AE563" s="799"/>
      <c r="AF563" s="799"/>
      <c r="AG563" s="799"/>
      <c r="AH563" s="799"/>
      <c r="AI563" s="799"/>
      <c r="AJ563" s="799"/>
      <c r="AK563" s="799"/>
      <c r="AL563" s="799"/>
      <c r="AM563" s="799"/>
      <c r="AN563" s="799"/>
      <c r="AO563" s="799"/>
      <c r="AP563" s="799"/>
      <c r="AQ563" s="799"/>
      <c r="AR563" s="799"/>
      <c r="AS563" s="799"/>
      <c r="AT563" s="799"/>
      <c r="AU563" s="799"/>
      <c r="AV563" s="799"/>
      <c r="AW563" s="799"/>
      <c r="AX563" s="799"/>
      <c r="AY563" s="799"/>
      <c r="AZ563" s="799"/>
      <c r="BA563" s="799"/>
      <c r="BB563" s="799"/>
      <c r="BC563" s="799"/>
      <c r="BD563" s="799"/>
      <c r="BE563" s="799"/>
      <c r="BF563" s="799"/>
      <c r="BG563" s="799"/>
    </row>
    <row r="564">
      <c r="H564" s="799"/>
      <c r="I564" s="799"/>
      <c r="J564" s="799"/>
      <c r="K564" s="799"/>
      <c r="L564" s="799"/>
      <c r="M564" s="799"/>
      <c r="N564" s="799"/>
      <c r="O564" s="799"/>
      <c r="P564" s="799"/>
      <c r="Q564" s="799"/>
      <c r="R564" s="799"/>
      <c r="S564" s="799"/>
      <c r="T564" s="799"/>
      <c r="U564" s="799"/>
      <c r="V564" s="799"/>
      <c r="W564" s="799"/>
      <c r="X564" s="799"/>
      <c r="Y564" s="799"/>
      <c r="Z564" s="799"/>
      <c r="AA564" s="799"/>
      <c r="AB564" s="799"/>
      <c r="AC564" s="799"/>
      <c r="AD564" s="799"/>
      <c r="AE564" s="799"/>
      <c r="AF564" s="799"/>
      <c r="AG564" s="799"/>
      <c r="AH564" s="799"/>
      <c r="AI564" s="799"/>
      <c r="AJ564" s="799"/>
      <c r="AK564" s="799"/>
      <c r="AL564" s="799"/>
      <c r="AM564" s="799"/>
      <c r="AN564" s="799"/>
      <c r="AO564" s="799"/>
      <c r="AP564" s="799"/>
      <c r="AQ564" s="799"/>
      <c r="AR564" s="799"/>
      <c r="AS564" s="799"/>
      <c r="AT564" s="799"/>
      <c r="AU564" s="799"/>
      <c r="AV564" s="799"/>
      <c r="AW564" s="799"/>
      <c r="AX564" s="799"/>
      <c r="AY564" s="799"/>
      <c r="AZ564" s="799"/>
      <c r="BA564" s="799"/>
      <c r="BB564" s="799"/>
      <c r="BC564" s="799"/>
      <c r="BD564" s="799"/>
      <c r="BE564" s="799"/>
      <c r="BF564" s="799"/>
      <c r="BG564" s="799"/>
    </row>
    <row r="565">
      <c r="H565" s="799"/>
      <c r="I565" s="799"/>
      <c r="J565" s="799"/>
      <c r="K565" s="799"/>
      <c r="L565" s="799"/>
      <c r="M565" s="799"/>
      <c r="N565" s="799"/>
      <c r="O565" s="799"/>
      <c r="P565" s="799"/>
      <c r="Q565" s="799"/>
      <c r="R565" s="799"/>
      <c r="S565" s="799"/>
      <c r="T565" s="799"/>
      <c r="U565" s="799"/>
      <c r="V565" s="799"/>
      <c r="W565" s="799"/>
      <c r="X565" s="799"/>
      <c r="Y565" s="799"/>
      <c r="Z565" s="799"/>
      <c r="AA565" s="799"/>
      <c r="AB565" s="799"/>
      <c r="AC565" s="799"/>
      <c r="AD565" s="799"/>
      <c r="AE565" s="799"/>
      <c r="AF565" s="799"/>
      <c r="AG565" s="799"/>
      <c r="AH565" s="799"/>
      <c r="AI565" s="799"/>
      <c r="AJ565" s="799"/>
      <c r="AK565" s="799"/>
      <c r="AL565" s="799"/>
      <c r="AM565" s="799"/>
      <c r="AN565" s="799"/>
      <c r="AO565" s="799"/>
      <c r="AP565" s="799"/>
      <c r="AQ565" s="799"/>
      <c r="AR565" s="799"/>
      <c r="AS565" s="799"/>
      <c r="AT565" s="799"/>
      <c r="AU565" s="799"/>
      <c r="AV565" s="799"/>
      <c r="AW565" s="799"/>
      <c r="AX565" s="799"/>
      <c r="AY565" s="799"/>
      <c r="AZ565" s="799"/>
      <c r="BA565" s="799"/>
      <c r="BB565" s="799"/>
      <c r="BC565" s="799"/>
      <c r="BD565" s="799"/>
      <c r="BE565" s="799"/>
      <c r="BF565" s="799"/>
      <c r="BG565" s="799"/>
    </row>
    <row r="566">
      <c r="H566" s="799"/>
      <c r="I566" s="799"/>
      <c r="J566" s="799"/>
      <c r="K566" s="799"/>
      <c r="L566" s="799"/>
      <c r="M566" s="799"/>
      <c r="N566" s="799"/>
      <c r="O566" s="799"/>
      <c r="P566" s="799"/>
      <c r="Q566" s="799"/>
      <c r="R566" s="799"/>
      <c r="S566" s="799"/>
      <c r="T566" s="799"/>
      <c r="U566" s="799"/>
      <c r="V566" s="799"/>
      <c r="W566" s="799"/>
      <c r="X566" s="799"/>
      <c r="Y566" s="799"/>
      <c r="Z566" s="799"/>
      <c r="AA566" s="799"/>
      <c r="AB566" s="799"/>
      <c r="AC566" s="799"/>
      <c r="AD566" s="799"/>
      <c r="AE566" s="799"/>
      <c r="AF566" s="799"/>
      <c r="AG566" s="799"/>
      <c r="AH566" s="799"/>
      <c r="AI566" s="799"/>
      <c r="AJ566" s="799"/>
      <c r="AK566" s="799"/>
      <c r="AL566" s="799"/>
      <c r="AM566" s="799"/>
      <c r="AN566" s="799"/>
      <c r="AO566" s="799"/>
      <c r="AP566" s="799"/>
      <c r="AQ566" s="799"/>
      <c r="AR566" s="799"/>
      <c r="AS566" s="799"/>
      <c r="AT566" s="799"/>
      <c r="AU566" s="799"/>
      <c r="AV566" s="799"/>
      <c r="AW566" s="799"/>
      <c r="AX566" s="799"/>
      <c r="AY566" s="799"/>
      <c r="AZ566" s="799"/>
      <c r="BA566" s="799"/>
      <c r="BB566" s="799"/>
      <c r="BC566" s="799"/>
      <c r="BD566" s="799"/>
      <c r="BE566" s="799"/>
      <c r="BF566" s="799"/>
      <c r="BG566" s="799"/>
    </row>
    <row r="567">
      <c r="H567" s="799"/>
      <c r="I567" s="799"/>
      <c r="J567" s="799"/>
      <c r="K567" s="799"/>
      <c r="L567" s="799"/>
      <c r="M567" s="799"/>
      <c r="N567" s="799"/>
      <c r="O567" s="799"/>
      <c r="P567" s="799"/>
      <c r="Q567" s="799"/>
      <c r="R567" s="799"/>
      <c r="S567" s="799"/>
      <c r="T567" s="799"/>
      <c r="U567" s="799"/>
      <c r="V567" s="799"/>
      <c r="W567" s="799"/>
      <c r="X567" s="799"/>
      <c r="Y567" s="799"/>
      <c r="Z567" s="799"/>
      <c r="AA567" s="799"/>
      <c r="AB567" s="799"/>
      <c r="AC567" s="799"/>
      <c r="AD567" s="799"/>
      <c r="AE567" s="799"/>
      <c r="AF567" s="799"/>
      <c r="AG567" s="799"/>
      <c r="AH567" s="799"/>
      <c r="AI567" s="799"/>
      <c r="AJ567" s="799"/>
      <c r="AK567" s="799"/>
      <c r="AL567" s="799"/>
      <c r="AM567" s="799"/>
      <c r="AN567" s="799"/>
      <c r="AO567" s="799"/>
      <c r="AP567" s="799"/>
      <c r="AQ567" s="799"/>
      <c r="AR567" s="799"/>
      <c r="AS567" s="799"/>
      <c r="AT567" s="799"/>
      <c r="AU567" s="799"/>
      <c r="AV567" s="799"/>
      <c r="AW567" s="799"/>
      <c r="AX567" s="799"/>
      <c r="AY567" s="799"/>
      <c r="AZ567" s="799"/>
      <c r="BA567" s="799"/>
      <c r="BB567" s="799"/>
      <c r="BC567" s="799"/>
      <c r="BD567" s="799"/>
      <c r="BE567" s="799"/>
      <c r="BF567" s="799"/>
      <c r="BG567" s="799"/>
    </row>
    <row r="568">
      <c r="H568" s="799"/>
      <c r="I568" s="799"/>
      <c r="J568" s="799"/>
      <c r="K568" s="799"/>
      <c r="L568" s="799"/>
      <c r="M568" s="799"/>
      <c r="N568" s="799"/>
      <c r="O568" s="799"/>
      <c r="P568" s="799"/>
      <c r="Q568" s="799"/>
      <c r="R568" s="799"/>
      <c r="S568" s="799"/>
      <c r="T568" s="799"/>
      <c r="U568" s="799"/>
      <c r="V568" s="799"/>
      <c r="W568" s="799"/>
      <c r="X568" s="799"/>
      <c r="Y568" s="799"/>
      <c r="Z568" s="799"/>
      <c r="AA568" s="799"/>
      <c r="AB568" s="799"/>
      <c r="AC568" s="799"/>
      <c r="AD568" s="799"/>
      <c r="AE568" s="799"/>
      <c r="AF568" s="799"/>
      <c r="AG568" s="799"/>
      <c r="AH568" s="799"/>
      <c r="AI568" s="799"/>
      <c r="AJ568" s="799"/>
      <c r="AK568" s="799"/>
      <c r="AL568" s="799"/>
      <c r="AM568" s="799"/>
      <c r="AN568" s="799"/>
      <c r="AO568" s="799"/>
      <c r="AP568" s="799"/>
      <c r="AQ568" s="799"/>
      <c r="AR568" s="799"/>
      <c r="AS568" s="799"/>
      <c r="AT568" s="799"/>
      <c r="AU568" s="799"/>
      <c r="AV568" s="799"/>
      <c r="AW568" s="799"/>
      <c r="AX568" s="799"/>
      <c r="AY568" s="799"/>
      <c r="AZ568" s="799"/>
      <c r="BA568" s="799"/>
      <c r="BB568" s="799"/>
      <c r="BC568" s="799"/>
      <c r="BD568" s="799"/>
      <c r="BE568" s="799"/>
      <c r="BF568" s="799"/>
      <c r="BG568" s="799"/>
    </row>
    <row r="569">
      <c r="H569" s="799"/>
      <c r="I569" s="799"/>
      <c r="J569" s="799"/>
      <c r="K569" s="799"/>
      <c r="L569" s="799"/>
      <c r="M569" s="799"/>
      <c r="N569" s="799"/>
      <c r="O569" s="799"/>
      <c r="P569" s="799"/>
      <c r="Q569" s="799"/>
      <c r="R569" s="799"/>
      <c r="S569" s="799"/>
      <c r="T569" s="799"/>
      <c r="U569" s="799"/>
      <c r="V569" s="799"/>
      <c r="W569" s="799"/>
      <c r="X569" s="799"/>
      <c r="Y569" s="799"/>
      <c r="Z569" s="799"/>
      <c r="AA569" s="799"/>
      <c r="AB569" s="799"/>
      <c r="AC569" s="799"/>
      <c r="AD569" s="799"/>
      <c r="AE569" s="799"/>
      <c r="AF569" s="799"/>
      <c r="AG569" s="799"/>
      <c r="AH569" s="799"/>
      <c r="AI569" s="799"/>
      <c r="AJ569" s="799"/>
      <c r="AK569" s="799"/>
      <c r="AL569" s="799"/>
      <c r="AM569" s="799"/>
      <c r="AN569" s="799"/>
      <c r="AO569" s="799"/>
      <c r="AP569" s="799"/>
      <c r="AQ569" s="799"/>
      <c r="AR569" s="799"/>
      <c r="AS569" s="799"/>
      <c r="AT569" s="799"/>
      <c r="AU569" s="799"/>
      <c r="AV569" s="799"/>
      <c r="AW569" s="799"/>
      <c r="AX569" s="799"/>
      <c r="AY569" s="799"/>
      <c r="AZ569" s="799"/>
      <c r="BA569" s="799"/>
      <c r="BB569" s="799"/>
      <c r="BC569" s="799"/>
      <c r="BD569" s="799"/>
      <c r="BE569" s="799"/>
      <c r="BF569" s="799"/>
      <c r="BG569" s="799"/>
    </row>
    <row r="570">
      <c r="H570" s="799"/>
      <c r="I570" s="799"/>
      <c r="J570" s="799"/>
      <c r="K570" s="799"/>
      <c r="L570" s="799"/>
      <c r="M570" s="799"/>
      <c r="N570" s="799"/>
      <c r="O570" s="799"/>
      <c r="P570" s="799"/>
      <c r="Q570" s="799"/>
      <c r="R570" s="799"/>
      <c r="S570" s="799"/>
      <c r="T570" s="799"/>
      <c r="U570" s="799"/>
      <c r="V570" s="799"/>
      <c r="W570" s="799"/>
      <c r="X570" s="799"/>
      <c r="Y570" s="799"/>
      <c r="Z570" s="799"/>
      <c r="AA570" s="799"/>
      <c r="AB570" s="799"/>
      <c r="AC570" s="799"/>
      <c r="AD570" s="799"/>
      <c r="AE570" s="799"/>
      <c r="AF570" s="799"/>
      <c r="AG570" s="799"/>
      <c r="AH570" s="799"/>
      <c r="AI570" s="799"/>
      <c r="AJ570" s="799"/>
      <c r="AK570" s="799"/>
      <c r="AL570" s="799"/>
      <c r="AM570" s="799"/>
      <c r="AN570" s="799"/>
      <c r="AO570" s="799"/>
      <c r="AP570" s="799"/>
      <c r="AQ570" s="799"/>
      <c r="AR570" s="799"/>
      <c r="AS570" s="799"/>
      <c r="AT570" s="799"/>
      <c r="AU570" s="799"/>
      <c r="AV570" s="799"/>
      <c r="AW570" s="799"/>
      <c r="AX570" s="799"/>
      <c r="AY570" s="799"/>
      <c r="AZ570" s="799"/>
      <c r="BA570" s="799"/>
      <c r="BB570" s="799"/>
      <c r="BC570" s="799"/>
      <c r="BD570" s="799"/>
      <c r="BE570" s="799"/>
      <c r="BF570" s="799"/>
      <c r="BG570" s="799"/>
    </row>
    <row r="571">
      <c r="H571" s="799"/>
      <c r="I571" s="799"/>
      <c r="J571" s="799"/>
      <c r="K571" s="799"/>
      <c r="L571" s="799"/>
      <c r="M571" s="799"/>
      <c r="N571" s="799"/>
      <c r="O571" s="799"/>
      <c r="P571" s="799"/>
      <c r="Q571" s="799"/>
      <c r="R571" s="799"/>
      <c r="S571" s="799"/>
      <c r="T571" s="799"/>
      <c r="U571" s="799"/>
      <c r="V571" s="799"/>
      <c r="W571" s="799"/>
      <c r="X571" s="799"/>
      <c r="Y571" s="799"/>
      <c r="Z571" s="799"/>
      <c r="AA571" s="799"/>
      <c r="AB571" s="799"/>
      <c r="AC571" s="799"/>
      <c r="AD571" s="799"/>
      <c r="AE571" s="799"/>
      <c r="AF571" s="799"/>
      <c r="AG571" s="799"/>
      <c r="AH571" s="799"/>
      <c r="AI571" s="799"/>
      <c r="AJ571" s="799"/>
      <c r="AK571" s="799"/>
      <c r="AL571" s="799"/>
      <c r="AM571" s="799"/>
      <c r="AN571" s="799"/>
      <c r="AO571" s="799"/>
      <c r="AP571" s="799"/>
      <c r="AQ571" s="799"/>
      <c r="AR571" s="799"/>
      <c r="AS571" s="799"/>
      <c r="AT571" s="799"/>
      <c r="AU571" s="799"/>
      <c r="AV571" s="799"/>
      <c r="AW571" s="799"/>
      <c r="AX571" s="799"/>
      <c r="AY571" s="799"/>
      <c r="AZ571" s="799"/>
      <c r="BA571" s="799"/>
      <c r="BB571" s="799"/>
      <c r="BC571" s="799"/>
      <c r="BD571" s="799"/>
      <c r="BE571" s="799"/>
      <c r="BF571" s="799"/>
      <c r="BG571" s="799"/>
    </row>
    <row r="572">
      <c r="H572" s="799"/>
      <c r="I572" s="799"/>
      <c r="J572" s="799"/>
      <c r="K572" s="799"/>
      <c r="L572" s="799"/>
      <c r="M572" s="799"/>
      <c r="N572" s="799"/>
      <c r="O572" s="799"/>
      <c r="P572" s="799"/>
      <c r="Q572" s="799"/>
      <c r="R572" s="799"/>
      <c r="S572" s="799"/>
      <c r="T572" s="799"/>
      <c r="U572" s="799"/>
      <c r="V572" s="799"/>
      <c r="W572" s="799"/>
      <c r="X572" s="799"/>
      <c r="Y572" s="799"/>
      <c r="Z572" s="799"/>
      <c r="AA572" s="799"/>
      <c r="AB572" s="799"/>
      <c r="AC572" s="799"/>
      <c r="AD572" s="799"/>
      <c r="AE572" s="799"/>
      <c r="AF572" s="799"/>
      <c r="AG572" s="799"/>
      <c r="AH572" s="799"/>
      <c r="AI572" s="799"/>
      <c r="AJ572" s="799"/>
      <c r="AK572" s="799"/>
      <c r="AL572" s="799"/>
      <c r="AM572" s="799"/>
      <c r="AN572" s="799"/>
      <c r="AO572" s="799"/>
      <c r="AP572" s="799"/>
      <c r="AQ572" s="799"/>
      <c r="AR572" s="799"/>
      <c r="AS572" s="799"/>
      <c r="AT572" s="799"/>
      <c r="AU572" s="799"/>
      <c r="AV572" s="799"/>
      <c r="AW572" s="799"/>
      <c r="AX572" s="799"/>
      <c r="AY572" s="799"/>
      <c r="AZ572" s="799"/>
      <c r="BA572" s="799"/>
      <c r="BB572" s="799"/>
      <c r="BC572" s="799"/>
      <c r="BD572" s="799"/>
      <c r="BE572" s="799"/>
      <c r="BF572" s="799"/>
      <c r="BG572" s="799"/>
    </row>
    <row r="573">
      <c r="H573" s="799"/>
      <c r="I573" s="799"/>
      <c r="J573" s="799"/>
      <c r="K573" s="799"/>
      <c r="L573" s="799"/>
      <c r="M573" s="799"/>
      <c r="N573" s="799"/>
      <c r="O573" s="799"/>
      <c r="P573" s="799"/>
      <c r="Q573" s="799"/>
      <c r="R573" s="799"/>
      <c r="S573" s="799"/>
      <c r="T573" s="799"/>
      <c r="U573" s="799"/>
      <c r="V573" s="799"/>
      <c r="W573" s="799"/>
      <c r="X573" s="799"/>
      <c r="Y573" s="799"/>
      <c r="Z573" s="799"/>
      <c r="AA573" s="799"/>
      <c r="AB573" s="799"/>
      <c r="AC573" s="799"/>
      <c r="AD573" s="799"/>
      <c r="AE573" s="799"/>
      <c r="AF573" s="799"/>
      <c r="AG573" s="799"/>
      <c r="AH573" s="799"/>
      <c r="AI573" s="799"/>
      <c r="AJ573" s="799"/>
      <c r="AK573" s="799"/>
      <c r="AL573" s="799"/>
      <c r="AM573" s="799"/>
      <c r="AN573" s="799"/>
      <c r="AO573" s="799"/>
      <c r="AP573" s="799"/>
      <c r="AQ573" s="799"/>
      <c r="AR573" s="799"/>
      <c r="AS573" s="799"/>
      <c r="AT573" s="799"/>
      <c r="AU573" s="799"/>
      <c r="AV573" s="799"/>
      <c r="AW573" s="799"/>
      <c r="AX573" s="799"/>
      <c r="AY573" s="799"/>
      <c r="AZ573" s="799"/>
      <c r="BA573" s="799"/>
      <c r="BB573" s="799"/>
      <c r="BC573" s="799"/>
      <c r="BD573" s="799"/>
      <c r="BE573" s="799"/>
      <c r="BF573" s="799"/>
      <c r="BG573" s="799"/>
    </row>
    <row r="574">
      <c r="H574" s="799"/>
      <c r="I574" s="799"/>
      <c r="J574" s="799"/>
      <c r="K574" s="799"/>
      <c r="L574" s="799"/>
      <c r="M574" s="799"/>
      <c r="N574" s="799"/>
      <c r="O574" s="799"/>
      <c r="P574" s="799"/>
      <c r="Q574" s="799"/>
      <c r="R574" s="799"/>
      <c r="S574" s="799"/>
      <c r="T574" s="799"/>
      <c r="U574" s="799"/>
      <c r="V574" s="799"/>
      <c r="W574" s="799"/>
      <c r="X574" s="799"/>
      <c r="Y574" s="799"/>
      <c r="Z574" s="799"/>
      <c r="AA574" s="799"/>
      <c r="AB574" s="799"/>
      <c r="AC574" s="799"/>
      <c r="AD574" s="799"/>
      <c r="AE574" s="799"/>
      <c r="AF574" s="799"/>
      <c r="AG574" s="799"/>
      <c r="AH574" s="799"/>
      <c r="AI574" s="799"/>
      <c r="AJ574" s="799"/>
      <c r="AK574" s="799"/>
      <c r="AL574" s="799"/>
      <c r="AM574" s="799"/>
      <c r="AN574" s="799"/>
      <c r="AO574" s="799"/>
      <c r="AP574" s="799"/>
      <c r="AQ574" s="799"/>
      <c r="AR574" s="799"/>
      <c r="AS574" s="799"/>
      <c r="AT574" s="799"/>
      <c r="AU574" s="799"/>
      <c r="AV574" s="799"/>
      <c r="AW574" s="799"/>
      <c r="AX574" s="799"/>
      <c r="AY574" s="799"/>
      <c r="AZ574" s="799"/>
      <c r="BA574" s="799"/>
      <c r="BB574" s="799"/>
      <c r="BC574" s="799"/>
      <c r="BD574" s="799"/>
      <c r="BE574" s="799"/>
      <c r="BF574" s="799"/>
      <c r="BG574" s="799"/>
    </row>
    <row r="575">
      <c r="H575" s="799"/>
      <c r="I575" s="799"/>
      <c r="J575" s="799"/>
      <c r="K575" s="799"/>
      <c r="L575" s="799"/>
      <c r="M575" s="799"/>
      <c r="N575" s="799"/>
      <c r="O575" s="799"/>
      <c r="P575" s="799"/>
      <c r="Q575" s="799"/>
      <c r="R575" s="799"/>
      <c r="S575" s="799"/>
      <c r="T575" s="799"/>
      <c r="U575" s="799"/>
      <c r="V575" s="799"/>
      <c r="W575" s="799"/>
      <c r="X575" s="799"/>
      <c r="Y575" s="799"/>
      <c r="Z575" s="799"/>
      <c r="AA575" s="799"/>
      <c r="AB575" s="799"/>
      <c r="AC575" s="799"/>
      <c r="AD575" s="799"/>
      <c r="AE575" s="799"/>
      <c r="AF575" s="799"/>
      <c r="AG575" s="799"/>
      <c r="AH575" s="799"/>
      <c r="AI575" s="799"/>
      <c r="AJ575" s="799"/>
      <c r="AK575" s="799"/>
      <c r="AL575" s="799"/>
      <c r="AM575" s="799"/>
      <c r="AN575" s="799"/>
      <c r="AO575" s="799"/>
      <c r="AP575" s="799"/>
      <c r="AQ575" s="799"/>
      <c r="AR575" s="799"/>
      <c r="AS575" s="799"/>
      <c r="AT575" s="799"/>
      <c r="AU575" s="799"/>
      <c r="AV575" s="799"/>
      <c r="AW575" s="799"/>
      <c r="AX575" s="799"/>
      <c r="AY575" s="799"/>
      <c r="AZ575" s="799"/>
      <c r="BA575" s="799"/>
      <c r="BB575" s="799"/>
      <c r="BC575" s="799"/>
      <c r="BD575" s="799"/>
      <c r="BE575" s="799"/>
      <c r="BF575" s="799"/>
      <c r="BG575" s="799"/>
    </row>
    <row r="576">
      <c r="H576" s="799"/>
      <c r="I576" s="799"/>
      <c r="J576" s="799"/>
      <c r="K576" s="799"/>
      <c r="L576" s="799"/>
      <c r="M576" s="799"/>
      <c r="N576" s="799"/>
      <c r="O576" s="799"/>
      <c r="P576" s="799"/>
      <c r="Q576" s="799"/>
      <c r="R576" s="799"/>
      <c r="S576" s="799"/>
      <c r="T576" s="799"/>
      <c r="U576" s="799"/>
      <c r="V576" s="799"/>
      <c r="W576" s="799"/>
      <c r="X576" s="799"/>
      <c r="Y576" s="799"/>
      <c r="Z576" s="799"/>
      <c r="AA576" s="799"/>
      <c r="AB576" s="799"/>
      <c r="AC576" s="799"/>
      <c r="AD576" s="799"/>
      <c r="AE576" s="799"/>
      <c r="AF576" s="799"/>
      <c r="AG576" s="799"/>
      <c r="AH576" s="799"/>
      <c r="AI576" s="799"/>
      <c r="AJ576" s="799"/>
      <c r="AK576" s="799"/>
      <c r="AL576" s="799"/>
      <c r="AM576" s="799"/>
      <c r="AN576" s="799"/>
      <c r="AO576" s="799"/>
      <c r="AP576" s="799"/>
      <c r="AQ576" s="799"/>
      <c r="AR576" s="799"/>
      <c r="AS576" s="799"/>
      <c r="AT576" s="799"/>
      <c r="AU576" s="799"/>
      <c r="AV576" s="799"/>
      <c r="AW576" s="799"/>
      <c r="AX576" s="799"/>
      <c r="AY576" s="799"/>
      <c r="AZ576" s="799"/>
      <c r="BA576" s="799"/>
      <c r="BB576" s="799"/>
      <c r="BC576" s="799"/>
      <c r="BD576" s="799"/>
      <c r="BE576" s="799"/>
      <c r="BF576" s="799"/>
      <c r="BG576" s="799"/>
    </row>
    <row r="577">
      <c r="H577" s="799"/>
      <c r="I577" s="799"/>
      <c r="J577" s="799"/>
      <c r="K577" s="799"/>
      <c r="L577" s="799"/>
      <c r="M577" s="799"/>
      <c r="N577" s="799"/>
      <c r="O577" s="799"/>
      <c r="P577" s="799"/>
      <c r="Q577" s="799"/>
      <c r="R577" s="799"/>
      <c r="S577" s="799"/>
      <c r="T577" s="799"/>
      <c r="U577" s="799"/>
      <c r="V577" s="799"/>
      <c r="W577" s="799"/>
      <c r="X577" s="799"/>
      <c r="Y577" s="799"/>
      <c r="Z577" s="799"/>
      <c r="AA577" s="799"/>
      <c r="AB577" s="799"/>
      <c r="AC577" s="799"/>
      <c r="AD577" s="799"/>
      <c r="AE577" s="799"/>
      <c r="AF577" s="799"/>
      <c r="AG577" s="799"/>
      <c r="AH577" s="799"/>
      <c r="AI577" s="799"/>
      <c r="AJ577" s="799"/>
      <c r="AK577" s="799"/>
      <c r="AL577" s="799"/>
      <c r="AM577" s="799"/>
      <c r="AN577" s="799"/>
      <c r="AO577" s="799"/>
      <c r="AP577" s="799"/>
      <c r="AQ577" s="799"/>
      <c r="AR577" s="799"/>
      <c r="AS577" s="799"/>
      <c r="AT577" s="799"/>
      <c r="AU577" s="799"/>
      <c r="AV577" s="799"/>
      <c r="AW577" s="799"/>
      <c r="AX577" s="799"/>
      <c r="AY577" s="799"/>
      <c r="AZ577" s="799"/>
      <c r="BA577" s="799"/>
      <c r="BB577" s="799"/>
      <c r="BC577" s="799"/>
      <c r="BD577" s="799"/>
      <c r="BE577" s="799"/>
      <c r="BF577" s="799"/>
      <c r="BG577" s="799"/>
    </row>
    <row r="578">
      <c r="H578" s="799"/>
      <c r="I578" s="799"/>
      <c r="J578" s="799"/>
      <c r="K578" s="799"/>
      <c r="L578" s="799"/>
      <c r="M578" s="799"/>
      <c r="N578" s="799"/>
      <c r="O578" s="799"/>
      <c r="P578" s="799"/>
      <c r="Q578" s="799"/>
      <c r="R578" s="799"/>
      <c r="S578" s="799"/>
      <c r="T578" s="799"/>
      <c r="U578" s="799"/>
      <c r="V578" s="799"/>
      <c r="W578" s="799"/>
      <c r="X578" s="799"/>
      <c r="Y578" s="799"/>
      <c r="Z578" s="799"/>
      <c r="AA578" s="799"/>
      <c r="AB578" s="799"/>
      <c r="AC578" s="799"/>
      <c r="AD578" s="799"/>
      <c r="AE578" s="799"/>
      <c r="AF578" s="799"/>
      <c r="AG578" s="799"/>
      <c r="AH578" s="799"/>
      <c r="AI578" s="799"/>
      <c r="AJ578" s="799"/>
      <c r="AK578" s="799"/>
      <c r="AL578" s="799"/>
      <c r="AM578" s="799"/>
      <c r="AN578" s="799"/>
      <c r="AO578" s="799"/>
      <c r="AP578" s="799"/>
      <c r="AQ578" s="799"/>
      <c r="AR578" s="799"/>
      <c r="AS578" s="799"/>
      <c r="AT578" s="799"/>
      <c r="AU578" s="799"/>
      <c r="AV578" s="799"/>
      <c r="AW578" s="799"/>
      <c r="AX578" s="799"/>
      <c r="AY578" s="799"/>
      <c r="AZ578" s="799"/>
      <c r="BA578" s="799"/>
      <c r="BB578" s="799"/>
      <c r="BC578" s="799"/>
      <c r="BD578" s="799"/>
      <c r="BE578" s="799"/>
      <c r="BF578" s="799"/>
      <c r="BG578" s="799"/>
    </row>
    <row r="579">
      <c r="H579" s="799"/>
      <c r="I579" s="799"/>
      <c r="J579" s="799"/>
      <c r="K579" s="799"/>
      <c r="L579" s="799"/>
      <c r="M579" s="799"/>
      <c r="N579" s="799"/>
      <c r="O579" s="799"/>
      <c r="P579" s="799"/>
      <c r="Q579" s="799"/>
      <c r="R579" s="799"/>
      <c r="S579" s="799"/>
      <c r="T579" s="799"/>
      <c r="U579" s="799"/>
      <c r="V579" s="799"/>
      <c r="W579" s="799"/>
      <c r="X579" s="799"/>
      <c r="Y579" s="799"/>
      <c r="Z579" s="799"/>
      <c r="AA579" s="799"/>
      <c r="AB579" s="799"/>
      <c r="AC579" s="799"/>
      <c r="AD579" s="799"/>
      <c r="AE579" s="799"/>
      <c r="AF579" s="799"/>
      <c r="AG579" s="799"/>
      <c r="AH579" s="799"/>
      <c r="AI579" s="799"/>
      <c r="AJ579" s="799"/>
      <c r="AK579" s="799"/>
      <c r="AL579" s="799"/>
      <c r="AM579" s="799"/>
      <c r="AN579" s="799"/>
      <c r="AO579" s="799"/>
      <c r="AP579" s="799"/>
      <c r="AQ579" s="799"/>
      <c r="AR579" s="799"/>
      <c r="AS579" s="799"/>
      <c r="AT579" s="799"/>
      <c r="AU579" s="799"/>
      <c r="AV579" s="799"/>
      <c r="AW579" s="799"/>
      <c r="AX579" s="799"/>
      <c r="AY579" s="799"/>
      <c r="AZ579" s="799"/>
      <c r="BA579" s="799"/>
      <c r="BB579" s="799"/>
      <c r="BC579" s="799"/>
      <c r="BD579" s="799"/>
      <c r="BE579" s="799"/>
      <c r="BF579" s="799"/>
      <c r="BG579" s="799"/>
    </row>
    <row r="580">
      <c r="H580" s="799"/>
      <c r="I580" s="799"/>
      <c r="J580" s="799"/>
      <c r="K580" s="799"/>
      <c r="L580" s="799"/>
      <c r="M580" s="799"/>
      <c r="N580" s="799"/>
      <c r="O580" s="799"/>
      <c r="P580" s="799"/>
      <c r="Q580" s="799"/>
      <c r="R580" s="799"/>
      <c r="S580" s="799"/>
      <c r="T580" s="799"/>
      <c r="U580" s="799"/>
      <c r="V580" s="799"/>
      <c r="W580" s="799"/>
      <c r="X580" s="799"/>
      <c r="Y580" s="799"/>
      <c r="Z580" s="799"/>
      <c r="AA580" s="799"/>
      <c r="AB580" s="799"/>
      <c r="AC580" s="799"/>
      <c r="AD580" s="799"/>
      <c r="AE580" s="799"/>
      <c r="AF580" s="799"/>
      <c r="AG580" s="799"/>
      <c r="AH580" s="799"/>
      <c r="AI580" s="799"/>
      <c r="AJ580" s="799"/>
      <c r="AK580" s="799"/>
      <c r="AL580" s="799"/>
      <c r="AM580" s="799"/>
      <c r="AN580" s="799"/>
      <c r="AO580" s="799"/>
      <c r="AP580" s="799"/>
      <c r="AQ580" s="799"/>
      <c r="AR580" s="799"/>
      <c r="AS580" s="799"/>
      <c r="AT580" s="799"/>
      <c r="AU580" s="799"/>
      <c r="AV580" s="799"/>
      <c r="AW580" s="799"/>
      <c r="AX580" s="799"/>
      <c r="AY580" s="799"/>
      <c r="AZ580" s="799"/>
      <c r="BA580" s="799"/>
      <c r="BB580" s="799"/>
      <c r="BC580" s="799"/>
      <c r="BD580" s="799"/>
      <c r="BE580" s="799"/>
      <c r="BF580" s="799"/>
      <c r="BG580" s="799"/>
    </row>
    <row r="581">
      <c r="H581" s="799"/>
      <c r="I581" s="799"/>
      <c r="J581" s="799"/>
      <c r="K581" s="799"/>
      <c r="L581" s="799"/>
      <c r="M581" s="799"/>
      <c r="N581" s="799"/>
      <c r="O581" s="799"/>
      <c r="P581" s="799"/>
      <c r="Q581" s="799"/>
      <c r="R581" s="799"/>
      <c r="S581" s="799"/>
      <c r="T581" s="799"/>
      <c r="U581" s="799"/>
      <c r="V581" s="799"/>
      <c r="W581" s="799"/>
      <c r="X581" s="799"/>
      <c r="Y581" s="799"/>
      <c r="Z581" s="799"/>
      <c r="AA581" s="799"/>
      <c r="AB581" s="799"/>
      <c r="AC581" s="799"/>
      <c r="AD581" s="799"/>
      <c r="AE581" s="799"/>
      <c r="AF581" s="799"/>
      <c r="AG581" s="799"/>
      <c r="AH581" s="799"/>
      <c r="AI581" s="799"/>
      <c r="AJ581" s="799"/>
      <c r="AK581" s="799"/>
      <c r="AL581" s="799"/>
      <c r="AM581" s="799"/>
      <c r="AN581" s="799"/>
      <c r="AO581" s="799"/>
      <c r="AP581" s="799"/>
      <c r="AQ581" s="799"/>
      <c r="AR581" s="799"/>
      <c r="AS581" s="799"/>
      <c r="AT581" s="799"/>
      <c r="AU581" s="799"/>
      <c r="AV581" s="799"/>
      <c r="AW581" s="799"/>
      <c r="AX581" s="799"/>
      <c r="AY581" s="799"/>
      <c r="AZ581" s="799"/>
      <c r="BA581" s="799"/>
      <c r="BB581" s="799"/>
      <c r="BC581" s="799"/>
      <c r="BD581" s="799"/>
      <c r="BE581" s="799"/>
      <c r="BF581" s="799"/>
      <c r="BG581" s="799"/>
    </row>
    <row r="582">
      <c r="H582" s="799"/>
      <c r="I582" s="799"/>
      <c r="J582" s="799"/>
      <c r="K582" s="799"/>
      <c r="L582" s="799"/>
      <c r="M582" s="799"/>
      <c r="N582" s="799"/>
      <c r="O582" s="799"/>
      <c r="P582" s="799"/>
      <c r="Q582" s="799"/>
      <c r="R582" s="799"/>
      <c r="S582" s="799"/>
      <c r="T582" s="799"/>
      <c r="U582" s="799"/>
      <c r="V582" s="799"/>
      <c r="W582" s="799"/>
      <c r="X582" s="799"/>
      <c r="Y582" s="799"/>
      <c r="Z582" s="799"/>
      <c r="AA582" s="799"/>
      <c r="AB582" s="799"/>
      <c r="AC582" s="799"/>
      <c r="AD582" s="799"/>
      <c r="AE582" s="799"/>
      <c r="AF582" s="799"/>
      <c r="AG582" s="799"/>
      <c r="AH582" s="799"/>
      <c r="AI582" s="799"/>
      <c r="AJ582" s="799"/>
      <c r="AK582" s="799"/>
      <c r="AL582" s="799"/>
      <c r="AM582" s="799"/>
      <c r="AN582" s="799"/>
      <c r="AO582" s="799"/>
      <c r="AP582" s="799"/>
      <c r="AQ582" s="799"/>
      <c r="AR582" s="799"/>
      <c r="AS582" s="799"/>
      <c r="AT582" s="799"/>
      <c r="AU582" s="799"/>
      <c r="AV582" s="799"/>
      <c r="AW582" s="799"/>
      <c r="AX582" s="799"/>
      <c r="AY582" s="799"/>
      <c r="AZ582" s="799"/>
      <c r="BA582" s="799"/>
      <c r="BB582" s="799"/>
      <c r="BC582" s="799"/>
      <c r="BD582" s="799"/>
      <c r="BE582" s="799"/>
      <c r="BF582" s="799"/>
      <c r="BG582" s="799"/>
    </row>
    <row r="583">
      <c r="H583" s="799"/>
      <c r="I583" s="799"/>
      <c r="J583" s="799"/>
      <c r="K583" s="799"/>
      <c r="L583" s="799"/>
      <c r="M583" s="799"/>
      <c r="N583" s="799"/>
      <c r="O583" s="799"/>
      <c r="P583" s="799"/>
      <c r="Q583" s="799"/>
      <c r="R583" s="799"/>
      <c r="S583" s="799"/>
      <c r="T583" s="799"/>
      <c r="U583" s="799"/>
      <c r="V583" s="799"/>
      <c r="W583" s="799"/>
      <c r="X583" s="799"/>
      <c r="Y583" s="799"/>
      <c r="Z583" s="799"/>
      <c r="AA583" s="799"/>
      <c r="AB583" s="799"/>
      <c r="AC583" s="799"/>
      <c r="AD583" s="799"/>
      <c r="AE583" s="799"/>
      <c r="AF583" s="799"/>
      <c r="AG583" s="799"/>
      <c r="AH583" s="799"/>
      <c r="AI583" s="799"/>
      <c r="AJ583" s="799"/>
      <c r="AK583" s="799"/>
      <c r="AL583" s="799"/>
      <c r="AM583" s="799"/>
      <c r="AN583" s="799"/>
      <c r="AO583" s="799"/>
      <c r="AP583" s="799"/>
      <c r="AQ583" s="799"/>
      <c r="AR583" s="799"/>
      <c r="AS583" s="799"/>
      <c r="AT583" s="799"/>
      <c r="AU583" s="799"/>
      <c r="AV583" s="799"/>
      <c r="AW583" s="799"/>
      <c r="AX583" s="799"/>
      <c r="AY583" s="799"/>
      <c r="AZ583" s="799"/>
      <c r="BA583" s="799"/>
      <c r="BB583" s="799"/>
      <c r="BC583" s="799"/>
      <c r="BD583" s="799"/>
      <c r="BE583" s="799"/>
      <c r="BF583" s="799"/>
      <c r="BG583" s="799"/>
    </row>
    <row r="584">
      <c r="H584" s="799"/>
      <c r="I584" s="799"/>
      <c r="J584" s="799"/>
      <c r="K584" s="799"/>
      <c r="L584" s="799"/>
      <c r="M584" s="799"/>
      <c r="N584" s="799"/>
      <c r="O584" s="799"/>
      <c r="P584" s="799"/>
      <c r="Q584" s="799"/>
      <c r="R584" s="799"/>
      <c r="S584" s="799"/>
      <c r="T584" s="799"/>
      <c r="U584" s="799"/>
      <c r="V584" s="799"/>
      <c r="W584" s="799"/>
      <c r="X584" s="799"/>
      <c r="Y584" s="799"/>
      <c r="Z584" s="799"/>
      <c r="AA584" s="799"/>
      <c r="AB584" s="799"/>
      <c r="AC584" s="799"/>
      <c r="AD584" s="799"/>
      <c r="AE584" s="799"/>
      <c r="AF584" s="799"/>
      <c r="AG584" s="799"/>
      <c r="AH584" s="799"/>
      <c r="AI584" s="799"/>
      <c r="AJ584" s="799"/>
      <c r="AK584" s="799"/>
      <c r="AL584" s="799"/>
      <c r="AM584" s="799"/>
      <c r="AN584" s="799"/>
      <c r="AO584" s="799"/>
      <c r="AP584" s="799"/>
      <c r="AQ584" s="799"/>
      <c r="AR584" s="799"/>
      <c r="AS584" s="799"/>
      <c r="AT584" s="799"/>
      <c r="AU584" s="799"/>
      <c r="AV584" s="799"/>
      <c r="AW584" s="799"/>
      <c r="AX584" s="799"/>
      <c r="AY584" s="799"/>
      <c r="AZ584" s="799"/>
      <c r="BA584" s="799"/>
      <c r="BB584" s="799"/>
      <c r="BC584" s="799"/>
      <c r="BD584" s="799"/>
      <c r="BE584" s="799"/>
      <c r="BF584" s="799"/>
      <c r="BG584" s="799"/>
    </row>
    <row r="585">
      <c r="H585" s="799"/>
      <c r="I585" s="799"/>
      <c r="J585" s="799"/>
      <c r="K585" s="799"/>
      <c r="L585" s="799"/>
      <c r="M585" s="799"/>
      <c r="N585" s="799"/>
      <c r="O585" s="799"/>
      <c r="P585" s="799"/>
      <c r="Q585" s="799"/>
      <c r="R585" s="799"/>
      <c r="S585" s="799"/>
      <c r="T585" s="799"/>
      <c r="U585" s="799"/>
      <c r="V585" s="799"/>
      <c r="W585" s="799"/>
      <c r="X585" s="799"/>
      <c r="Y585" s="799"/>
      <c r="Z585" s="799"/>
      <c r="AA585" s="799"/>
      <c r="AB585" s="799"/>
      <c r="AC585" s="799"/>
      <c r="AD585" s="799"/>
      <c r="AE585" s="799"/>
      <c r="AF585" s="799"/>
      <c r="AG585" s="799"/>
      <c r="AH585" s="799"/>
      <c r="AI585" s="799"/>
      <c r="AJ585" s="799"/>
      <c r="AK585" s="799"/>
      <c r="AL585" s="799"/>
      <c r="AM585" s="799"/>
      <c r="AN585" s="799"/>
      <c r="AO585" s="799"/>
      <c r="AP585" s="799"/>
      <c r="AQ585" s="799"/>
      <c r="AR585" s="799"/>
      <c r="AS585" s="799"/>
      <c r="AT585" s="799"/>
      <c r="AU585" s="799"/>
      <c r="AV585" s="799"/>
      <c r="AW585" s="799"/>
      <c r="AX585" s="799"/>
      <c r="AY585" s="799"/>
      <c r="AZ585" s="799"/>
      <c r="BA585" s="799"/>
      <c r="BB585" s="799"/>
      <c r="BC585" s="799"/>
      <c r="BD585" s="799"/>
      <c r="BE585" s="799"/>
      <c r="BF585" s="799"/>
      <c r="BG585" s="799"/>
    </row>
    <row r="586">
      <c r="H586" s="799"/>
      <c r="I586" s="799"/>
      <c r="J586" s="799"/>
      <c r="K586" s="799"/>
      <c r="L586" s="799"/>
      <c r="M586" s="799"/>
      <c r="N586" s="799"/>
      <c r="O586" s="799"/>
      <c r="P586" s="799"/>
      <c r="Q586" s="799"/>
      <c r="R586" s="799"/>
      <c r="S586" s="799"/>
      <c r="T586" s="799"/>
      <c r="U586" s="799"/>
      <c r="V586" s="799"/>
      <c r="W586" s="799"/>
      <c r="X586" s="799"/>
      <c r="Y586" s="799"/>
      <c r="Z586" s="799"/>
      <c r="AA586" s="799"/>
      <c r="AB586" s="799"/>
      <c r="AC586" s="799"/>
      <c r="AD586" s="799"/>
      <c r="AE586" s="799"/>
      <c r="AF586" s="799"/>
      <c r="AG586" s="799"/>
      <c r="AH586" s="799"/>
      <c r="AI586" s="799"/>
      <c r="AJ586" s="799"/>
      <c r="AK586" s="799"/>
      <c r="AL586" s="799"/>
      <c r="AM586" s="799"/>
      <c r="AN586" s="799"/>
      <c r="AO586" s="799"/>
      <c r="AP586" s="799"/>
      <c r="AQ586" s="799"/>
      <c r="AR586" s="799"/>
      <c r="AS586" s="799"/>
      <c r="AT586" s="799"/>
      <c r="AU586" s="799"/>
      <c r="AV586" s="799"/>
      <c r="AW586" s="799"/>
      <c r="AX586" s="799"/>
      <c r="AY586" s="799"/>
      <c r="AZ586" s="799"/>
      <c r="BA586" s="799"/>
      <c r="BB586" s="799"/>
      <c r="BC586" s="799"/>
      <c r="BD586" s="799"/>
      <c r="BE586" s="799"/>
      <c r="BF586" s="799"/>
      <c r="BG586" s="799"/>
    </row>
    <row r="587">
      <c r="H587" s="799"/>
      <c r="I587" s="799"/>
      <c r="J587" s="799"/>
      <c r="K587" s="799"/>
      <c r="L587" s="799"/>
      <c r="M587" s="799"/>
      <c r="N587" s="799"/>
      <c r="O587" s="799"/>
      <c r="P587" s="799"/>
      <c r="Q587" s="799"/>
      <c r="R587" s="799"/>
      <c r="S587" s="799"/>
      <c r="T587" s="799"/>
      <c r="U587" s="799"/>
      <c r="V587" s="799"/>
      <c r="W587" s="799"/>
      <c r="X587" s="799"/>
      <c r="Y587" s="799"/>
      <c r="Z587" s="799"/>
      <c r="AA587" s="799"/>
      <c r="AB587" s="799"/>
      <c r="AC587" s="799"/>
      <c r="AD587" s="799"/>
      <c r="AE587" s="799"/>
      <c r="AF587" s="799"/>
      <c r="AG587" s="799"/>
      <c r="AH587" s="799"/>
      <c r="AI587" s="799"/>
      <c r="AJ587" s="799"/>
      <c r="AK587" s="799"/>
      <c r="AL587" s="799"/>
      <c r="AM587" s="799"/>
      <c r="AN587" s="799"/>
      <c r="AO587" s="799"/>
      <c r="AP587" s="799"/>
      <c r="AQ587" s="799"/>
      <c r="AR587" s="799"/>
      <c r="AS587" s="799"/>
      <c r="AT587" s="799"/>
      <c r="AU587" s="799"/>
      <c r="AV587" s="799"/>
      <c r="AW587" s="799"/>
      <c r="AX587" s="799"/>
      <c r="AY587" s="799"/>
      <c r="AZ587" s="799"/>
      <c r="BA587" s="799"/>
      <c r="BB587" s="799"/>
      <c r="BC587" s="799"/>
      <c r="BD587" s="799"/>
      <c r="BE587" s="799"/>
      <c r="BF587" s="799"/>
      <c r="BG587" s="799"/>
    </row>
    <row r="588">
      <c r="H588" s="799"/>
      <c r="I588" s="799"/>
      <c r="J588" s="799"/>
      <c r="K588" s="799"/>
      <c r="L588" s="799"/>
      <c r="M588" s="799"/>
      <c r="N588" s="799"/>
      <c r="O588" s="799"/>
      <c r="P588" s="799"/>
      <c r="Q588" s="799"/>
      <c r="R588" s="799"/>
      <c r="S588" s="799"/>
      <c r="T588" s="799"/>
      <c r="U588" s="799"/>
      <c r="V588" s="799"/>
      <c r="W588" s="799"/>
      <c r="X588" s="799"/>
      <c r="Y588" s="799"/>
      <c r="Z588" s="799"/>
      <c r="AA588" s="799"/>
      <c r="AB588" s="799"/>
      <c r="AC588" s="799"/>
      <c r="AD588" s="799"/>
      <c r="AE588" s="799"/>
      <c r="AF588" s="799"/>
      <c r="AG588" s="799"/>
      <c r="AH588" s="799"/>
      <c r="AI588" s="799"/>
      <c r="AJ588" s="799"/>
      <c r="AK588" s="799"/>
      <c r="AL588" s="799"/>
      <c r="AM588" s="799"/>
      <c r="AN588" s="799"/>
      <c r="AO588" s="799"/>
      <c r="AP588" s="799"/>
      <c r="AQ588" s="799"/>
      <c r="AR588" s="799"/>
      <c r="AS588" s="799"/>
      <c r="AT588" s="799"/>
      <c r="AU588" s="799"/>
      <c r="AV588" s="799"/>
      <c r="AW588" s="799"/>
      <c r="AX588" s="799"/>
      <c r="AY588" s="799"/>
      <c r="AZ588" s="799"/>
      <c r="BA588" s="799"/>
      <c r="BB588" s="799"/>
      <c r="BC588" s="799"/>
      <c r="BD588" s="799"/>
      <c r="BE588" s="799"/>
      <c r="BF588" s="799"/>
      <c r="BG588" s="799"/>
    </row>
    <row r="589">
      <c r="H589" s="799"/>
      <c r="I589" s="799"/>
      <c r="J589" s="799"/>
      <c r="K589" s="799"/>
      <c r="L589" s="799"/>
      <c r="M589" s="799"/>
      <c r="N589" s="799"/>
      <c r="O589" s="799"/>
      <c r="P589" s="799"/>
      <c r="Q589" s="799"/>
      <c r="R589" s="799"/>
      <c r="S589" s="799"/>
      <c r="T589" s="799"/>
      <c r="U589" s="799"/>
      <c r="V589" s="799"/>
      <c r="W589" s="799"/>
      <c r="X589" s="799"/>
      <c r="Y589" s="799"/>
      <c r="Z589" s="799"/>
      <c r="AA589" s="799"/>
      <c r="AB589" s="799"/>
      <c r="AC589" s="799"/>
      <c r="AD589" s="799"/>
      <c r="AE589" s="799"/>
      <c r="AF589" s="799"/>
      <c r="AG589" s="799"/>
      <c r="AH589" s="799"/>
      <c r="AI589" s="799"/>
      <c r="AJ589" s="799"/>
      <c r="AK589" s="799"/>
      <c r="AL589" s="799"/>
      <c r="AM589" s="799"/>
      <c r="AN589" s="799"/>
      <c r="AO589" s="799"/>
      <c r="AP589" s="799"/>
      <c r="AQ589" s="799"/>
      <c r="AR589" s="799"/>
      <c r="AS589" s="799"/>
      <c r="AT589" s="799"/>
      <c r="AU589" s="799"/>
      <c r="AV589" s="799"/>
      <c r="AW589" s="799"/>
      <c r="AX589" s="799"/>
      <c r="AY589" s="799"/>
      <c r="AZ589" s="799"/>
      <c r="BA589" s="799"/>
      <c r="BB589" s="799"/>
      <c r="BC589" s="799"/>
      <c r="BD589" s="799"/>
      <c r="BE589" s="799"/>
      <c r="BF589" s="799"/>
      <c r="BG589" s="799"/>
    </row>
    <row r="590">
      <c r="H590" s="799"/>
      <c r="I590" s="799"/>
      <c r="J590" s="799"/>
      <c r="K590" s="799"/>
      <c r="L590" s="799"/>
      <c r="M590" s="799"/>
      <c r="N590" s="799"/>
      <c r="O590" s="799"/>
      <c r="P590" s="799"/>
      <c r="Q590" s="799"/>
      <c r="R590" s="799"/>
      <c r="S590" s="799"/>
      <c r="T590" s="799"/>
      <c r="U590" s="799"/>
      <c r="V590" s="799"/>
      <c r="W590" s="799"/>
      <c r="X590" s="799"/>
      <c r="Y590" s="799"/>
      <c r="Z590" s="799"/>
      <c r="AA590" s="799"/>
      <c r="AB590" s="799"/>
      <c r="AC590" s="799"/>
      <c r="AD590" s="799"/>
      <c r="AE590" s="799"/>
      <c r="AF590" s="799"/>
      <c r="AG590" s="799"/>
      <c r="AH590" s="799"/>
      <c r="AI590" s="799"/>
      <c r="AJ590" s="799"/>
      <c r="AK590" s="799"/>
      <c r="AL590" s="799"/>
      <c r="AM590" s="799"/>
      <c r="AN590" s="799"/>
      <c r="AO590" s="799"/>
      <c r="AP590" s="799"/>
      <c r="AQ590" s="799"/>
      <c r="AR590" s="799"/>
      <c r="AS590" s="799"/>
      <c r="AT590" s="799"/>
      <c r="AU590" s="799"/>
      <c r="AV590" s="799"/>
      <c r="AW590" s="799"/>
      <c r="AX590" s="799"/>
      <c r="AY590" s="799"/>
      <c r="AZ590" s="799"/>
      <c r="BA590" s="799"/>
      <c r="BB590" s="799"/>
      <c r="BC590" s="799"/>
      <c r="BD590" s="799"/>
      <c r="BE590" s="799"/>
      <c r="BF590" s="799"/>
      <c r="BG590" s="799"/>
    </row>
    <row r="591">
      <c r="H591" s="799"/>
      <c r="I591" s="799"/>
      <c r="J591" s="799"/>
      <c r="K591" s="799"/>
      <c r="L591" s="799"/>
      <c r="M591" s="799"/>
      <c r="N591" s="799"/>
      <c r="O591" s="799"/>
      <c r="P591" s="799"/>
      <c r="Q591" s="799"/>
      <c r="R591" s="799"/>
      <c r="S591" s="799"/>
      <c r="T591" s="799"/>
      <c r="U591" s="799"/>
      <c r="V591" s="799"/>
      <c r="W591" s="799"/>
      <c r="X591" s="799"/>
      <c r="Y591" s="799"/>
      <c r="Z591" s="799"/>
      <c r="AA591" s="799"/>
      <c r="AB591" s="799"/>
      <c r="AC591" s="799"/>
      <c r="AD591" s="799"/>
      <c r="AE591" s="799"/>
      <c r="AF591" s="799"/>
      <c r="AG591" s="799"/>
      <c r="AH591" s="799"/>
      <c r="AI591" s="799"/>
      <c r="AJ591" s="799"/>
      <c r="AK591" s="799"/>
      <c r="AL591" s="799"/>
      <c r="AM591" s="799"/>
      <c r="AN591" s="799"/>
      <c r="AO591" s="799"/>
      <c r="AP591" s="799"/>
      <c r="AQ591" s="799"/>
      <c r="AR591" s="799"/>
      <c r="AS591" s="799"/>
      <c r="AT591" s="799"/>
      <c r="AU591" s="799"/>
      <c r="AV591" s="799"/>
      <c r="AW591" s="799"/>
      <c r="AX591" s="799"/>
      <c r="AY591" s="799"/>
      <c r="AZ591" s="799"/>
      <c r="BA591" s="799"/>
      <c r="BB591" s="799"/>
      <c r="BC591" s="799"/>
      <c r="BD591" s="799"/>
      <c r="BE591" s="799"/>
      <c r="BF591" s="799"/>
      <c r="BG591" s="799"/>
    </row>
    <row r="592">
      <c r="H592" s="799"/>
      <c r="I592" s="799"/>
      <c r="J592" s="799"/>
      <c r="K592" s="799"/>
      <c r="L592" s="799"/>
      <c r="M592" s="799"/>
      <c r="N592" s="799"/>
      <c r="O592" s="799"/>
      <c r="P592" s="799"/>
      <c r="Q592" s="799"/>
      <c r="R592" s="799"/>
      <c r="S592" s="799"/>
      <c r="T592" s="799"/>
      <c r="U592" s="799"/>
      <c r="V592" s="799"/>
      <c r="W592" s="799"/>
      <c r="X592" s="799"/>
      <c r="Y592" s="799"/>
      <c r="Z592" s="799"/>
      <c r="AA592" s="799"/>
      <c r="AB592" s="799"/>
      <c r="AC592" s="799"/>
      <c r="AD592" s="799"/>
      <c r="AE592" s="799"/>
      <c r="AF592" s="799"/>
      <c r="AG592" s="799"/>
      <c r="AH592" s="799"/>
      <c r="AI592" s="799"/>
      <c r="AJ592" s="799"/>
      <c r="AK592" s="799"/>
      <c r="AL592" s="799"/>
      <c r="AM592" s="799"/>
      <c r="AN592" s="799"/>
      <c r="AO592" s="799"/>
      <c r="AP592" s="799"/>
      <c r="AQ592" s="799"/>
      <c r="AR592" s="799"/>
      <c r="AS592" s="799"/>
      <c r="AT592" s="799"/>
      <c r="AU592" s="799"/>
      <c r="AV592" s="799"/>
      <c r="AW592" s="799"/>
      <c r="AX592" s="799"/>
      <c r="AY592" s="799"/>
      <c r="AZ592" s="799"/>
      <c r="BA592" s="799"/>
      <c r="BB592" s="799"/>
      <c r="BC592" s="799"/>
      <c r="BD592" s="799"/>
      <c r="BE592" s="799"/>
      <c r="BF592" s="799"/>
      <c r="BG592" s="799"/>
    </row>
    <row r="593">
      <c r="H593" s="799"/>
      <c r="I593" s="799"/>
      <c r="J593" s="799"/>
      <c r="K593" s="799"/>
      <c r="L593" s="799"/>
      <c r="M593" s="799"/>
      <c r="N593" s="799"/>
      <c r="O593" s="799"/>
      <c r="P593" s="799"/>
      <c r="Q593" s="799"/>
      <c r="R593" s="799"/>
      <c r="S593" s="799"/>
      <c r="T593" s="799"/>
      <c r="U593" s="799"/>
      <c r="V593" s="799"/>
      <c r="W593" s="799"/>
      <c r="X593" s="799"/>
      <c r="Y593" s="799"/>
      <c r="Z593" s="799"/>
      <c r="AA593" s="799"/>
      <c r="AB593" s="799"/>
      <c r="AC593" s="799"/>
      <c r="AD593" s="799"/>
      <c r="AE593" s="799"/>
      <c r="AF593" s="799"/>
      <c r="AG593" s="799"/>
      <c r="AH593" s="799"/>
      <c r="AI593" s="799"/>
      <c r="AJ593" s="799"/>
      <c r="AK593" s="799"/>
      <c r="AL593" s="799"/>
      <c r="AM593" s="799"/>
      <c r="AN593" s="799"/>
      <c r="AO593" s="799"/>
      <c r="AP593" s="799"/>
      <c r="AQ593" s="799"/>
      <c r="AR593" s="799"/>
      <c r="AS593" s="799"/>
      <c r="AT593" s="799"/>
      <c r="AU593" s="799"/>
      <c r="AV593" s="799"/>
      <c r="AW593" s="799"/>
      <c r="AX593" s="799"/>
      <c r="AY593" s="799"/>
      <c r="AZ593" s="799"/>
      <c r="BA593" s="799"/>
      <c r="BB593" s="799"/>
      <c r="BC593" s="799"/>
      <c r="BD593" s="799"/>
      <c r="BE593" s="799"/>
      <c r="BF593" s="799"/>
      <c r="BG593" s="799"/>
    </row>
    <row r="594">
      <c r="H594" s="799"/>
      <c r="I594" s="799"/>
      <c r="J594" s="799"/>
      <c r="K594" s="799"/>
      <c r="L594" s="799"/>
      <c r="M594" s="799"/>
      <c r="N594" s="799"/>
      <c r="O594" s="799"/>
      <c r="P594" s="799"/>
      <c r="Q594" s="799"/>
      <c r="R594" s="799"/>
      <c r="S594" s="799"/>
      <c r="T594" s="799"/>
      <c r="U594" s="799"/>
      <c r="V594" s="799"/>
      <c r="W594" s="799"/>
      <c r="X594" s="799"/>
      <c r="Y594" s="799"/>
      <c r="Z594" s="799"/>
      <c r="AA594" s="799"/>
      <c r="AB594" s="799"/>
      <c r="AC594" s="799"/>
      <c r="AD594" s="799"/>
      <c r="AE594" s="799"/>
      <c r="AF594" s="799"/>
      <c r="AG594" s="799"/>
      <c r="AH594" s="799"/>
      <c r="AI594" s="799"/>
      <c r="AJ594" s="799"/>
      <c r="AK594" s="799"/>
      <c r="AL594" s="799"/>
      <c r="AM594" s="799"/>
      <c r="AN594" s="799"/>
      <c r="AO594" s="799"/>
      <c r="AP594" s="799"/>
      <c r="AQ594" s="799"/>
      <c r="AR594" s="799"/>
      <c r="AS594" s="799"/>
      <c r="AT594" s="799"/>
      <c r="AU594" s="799"/>
      <c r="AV594" s="799"/>
      <c r="AW594" s="799"/>
      <c r="AX594" s="799"/>
      <c r="AY594" s="799"/>
      <c r="AZ594" s="799"/>
      <c r="BA594" s="799"/>
      <c r="BB594" s="799"/>
      <c r="BC594" s="799"/>
      <c r="BD594" s="799"/>
      <c r="BE594" s="799"/>
      <c r="BF594" s="799"/>
      <c r="BG594" s="799"/>
    </row>
    <row r="595">
      <c r="H595" s="799"/>
      <c r="I595" s="799"/>
      <c r="J595" s="799"/>
      <c r="K595" s="799"/>
      <c r="L595" s="799"/>
      <c r="M595" s="799"/>
      <c r="N595" s="799"/>
      <c r="O595" s="799"/>
      <c r="P595" s="799"/>
      <c r="Q595" s="799"/>
      <c r="R595" s="799"/>
      <c r="S595" s="799"/>
      <c r="T595" s="799"/>
      <c r="U595" s="799"/>
      <c r="V595" s="799"/>
      <c r="W595" s="799"/>
      <c r="X595" s="799"/>
      <c r="Y595" s="799"/>
      <c r="Z595" s="799"/>
      <c r="AA595" s="799"/>
      <c r="AB595" s="799"/>
      <c r="AC595" s="799"/>
      <c r="AD595" s="799"/>
      <c r="AE595" s="799"/>
      <c r="AF595" s="799"/>
      <c r="AG595" s="799"/>
      <c r="AH595" s="799"/>
      <c r="AI595" s="799"/>
      <c r="AJ595" s="799"/>
      <c r="AK595" s="799"/>
      <c r="AL595" s="799"/>
      <c r="AM595" s="799"/>
      <c r="AN595" s="799"/>
      <c r="AO595" s="799"/>
      <c r="AP595" s="799"/>
      <c r="AQ595" s="799"/>
      <c r="AR595" s="799"/>
      <c r="AS595" s="799"/>
      <c r="AT595" s="799"/>
      <c r="AU595" s="799"/>
      <c r="AV595" s="799"/>
      <c r="AW595" s="799"/>
      <c r="AX595" s="799"/>
      <c r="AY595" s="799"/>
      <c r="AZ595" s="799"/>
      <c r="BA595" s="799"/>
      <c r="BB595" s="799"/>
      <c r="BC595" s="799"/>
      <c r="BD595" s="799"/>
      <c r="BE595" s="799"/>
      <c r="BF595" s="799"/>
      <c r="BG595" s="799"/>
    </row>
    <row r="596">
      <c r="H596" s="799"/>
      <c r="I596" s="799"/>
      <c r="J596" s="799"/>
      <c r="K596" s="799"/>
      <c r="L596" s="799"/>
      <c r="M596" s="799"/>
      <c r="N596" s="799"/>
      <c r="O596" s="799"/>
      <c r="P596" s="799"/>
      <c r="Q596" s="799"/>
      <c r="R596" s="799"/>
      <c r="S596" s="799"/>
      <c r="T596" s="799"/>
      <c r="U596" s="799"/>
      <c r="V596" s="799"/>
      <c r="W596" s="799"/>
      <c r="X596" s="799"/>
      <c r="Y596" s="799"/>
      <c r="Z596" s="799"/>
      <c r="AA596" s="799"/>
      <c r="AB596" s="799"/>
      <c r="AC596" s="799"/>
      <c r="AD596" s="799"/>
      <c r="AE596" s="799"/>
      <c r="AF596" s="799"/>
      <c r="AG596" s="799"/>
      <c r="AH596" s="799"/>
      <c r="AI596" s="799"/>
      <c r="AJ596" s="799"/>
      <c r="AK596" s="799"/>
      <c r="AL596" s="799"/>
      <c r="AM596" s="799"/>
      <c r="AN596" s="799"/>
      <c r="AO596" s="799"/>
      <c r="AP596" s="799"/>
      <c r="AQ596" s="799"/>
      <c r="AR596" s="799"/>
      <c r="AS596" s="799"/>
      <c r="AT596" s="799"/>
      <c r="AU596" s="799"/>
      <c r="AV596" s="799"/>
      <c r="AW596" s="799"/>
      <c r="AX596" s="799"/>
      <c r="AY596" s="799"/>
      <c r="AZ596" s="799"/>
      <c r="BA596" s="799"/>
      <c r="BB596" s="799"/>
      <c r="BC596" s="799"/>
      <c r="BD596" s="799"/>
      <c r="BE596" s="799"/>
      <c r="BF596" s="799"/>
      <c r="BG596" s="799"/>
    </row>
    <row r="597">
      <c r="H597" s="799"/>
      <c r="I597" s="799"/>
      <c r="J597" s="799"/>
      <c r="K597" s="799"/>
      <c r="L597" s="799"/>
      <c r="M597" s="799"/>
      <c r="N597" s="799"/>
      <c r="O597" s="799"/>
      <c r="P597" s="799"/>
      <c r="Q597" s="799"/>
      <c r="R597" s="799"/>
      <c r="S597" s="799"/>
      <c r="T597" s="799"/>
      <c r="U597" s="799"/>
      <c r="V597" s="799"/>
      <c r="W597" s="799"/>
      <c r="X597" s="799"/>
      <c r="Y597" s="799"/>
      <c r="Z597" s="799"/>
      <c r="AA597" s="799"/>
      <c r="AB597" s="799"/>
      <c r="AC597" s="799"/>
      <c r="AD597" s="799"/>
      <c r="AE597" s="799"/>
      <c r="AF597" s="799"/>
      <c r="AG597" s="799"/>
      <c r="AH597" s="799"/>
      <c r="AI597" s="799"/>
      <c r="AJ597" s="799"/>
      <c r="AK597" s="799"/>
      <c r="AL597" s="799"/>
      <c r="AM597" s="799"/>
      <c r="AN597" s="799"/>
      <c r="AO597" s="799"/>
      <c r="AP597" s="799"/>
      <c r="AQ597" s="799"/>
      <c r="AR597" s="799"/>
      <c r="AS597" s="799"/>
      <c r="AT597" s="799"/>
      <c r="AU597" s="799"/>
      <c r="AV597" s="799"/>
      <c r="AW597" s="799"/>
      <c r="AX597" s="799"/>
      <c r="AY597" s="799"/>
      <c r="AZ597" s="799"/>
      <c r="BA597" s="799"/>
      <c r="BB597" s="799"/>
      <c r="BC597" s="799"/>
      <c r="BD597" s="799"/>
      <c r="BE597" s="799"/>
      <c r="BF597" s="799"/>
      <c r="BG597" s="799"/>
    </row>
    <row r="598">
      <c r="H598" s="799"/>
      <c r="I598" s="799"/>
      <c r="J598" s="799"/>
      <c r="K598" s="799"/>
      <c r="L598" s="799"/>
      <c r="M598" s="799"/>
      <c r="N598" s="799"/>
      <c r="O598" s="799"/>
      <c r="P598" s="799"/>
      <c r="Q598" s="799"/>
      <c r="R598" s="799"/>
      <c r="S598" s="799"/>
      <c r="T598" s="799"/>
      <c r="U598" s="799"/>
      <c r="V598" s="799"/>
      <c r="W598" s="799"/>
      <c r="X598" s="799"/>
      <c r="Y598" s="799"/>
      <c r="Z598" s="799"/>
      <c r="AA598" s="799"/>
      <c r="AB598" s="799"/>
      <c r="AC598" s="799"/>
      <c r="AD598" s="799"/>
      <c r="AE598" s="799"/>
      <c r="AF598" s="799"/>
      <c r="AG598" s="799"/>
      <c r="AH598" s="799"/>
      <c r="AI598" s="799"/>
      <c r="AJ598" s="799"/>
      <c r="AK598" s="799"/>
      <c r="AL598" s="799"/>
      <c r="AM598" s="799"/>
      <c r="AN598" s="799"/>
      <c r="AO598" s="799"/>
      <c r="AP598" s="799"/>
      <c r="AQ598" s="799"/>
      <c r="AR598" s="799"/>
      <c r="AS598" s="799"/>
      <c r="AT598" s="799"/>
      <c r="AU598" s="799"/>
      <c r="AV598" s="799"/>
      <c r="AW598" s="799"/>
      <c r="AX598" s="799"/>
      <c r="AY598" s="799"/>
      <c r="AZ598" s="799"/>
      <c r="BA598" s="799"/>
      <c r="BB598" s="799"/>
      <c r="BC598" s="799"/>
      <c r="BD598" s="799"/>
      <c r="BE598" s="799"/>
      <c r="BF598" s="799"/>
      <c r="BG598" s="799"/>
    </row>
    <row r="599">
      <c r="H599" s="799"/>
      <c r="I599" s="799"/>
      <c r="J599" s="799"/>
      <c r="K599" s="799"/>
      <c r="L599" s="799"/>
      <c r="M599" s="799"/>
      <c r="N599" s="799"/>
      <c r="O599" s="799"/>
      <c r="P599" s="799"/>
      <c r="Q599" s="799"/>
      <c r="R599" s="799"/>
      <c r="S599" s="799"/>
      <c r="T599" s="799"/>
      <c r="U599" s="799"/>
      <c r="V599" s="799"/>
      <c r="W599" s="799"/>
      <c r="X599" s="799"/>
      <c r="Y599" s="799"/>
      <c r="Z599" s="799"/>
      <c r="AA599" s="799"/>
      <c r="AB599" s="799"/>
      <c r="AC599" s="799"/>
      <c r="AD599" s="799"/>
      <c r="AE599" s="799"/>
      <c r="AF599" s="799"/>
      <c r="AG599" s="799"/>
      <c r="AH599" s="799"/>
      <c r="AI599" s="799"/>
      <c r="AJ599" s="799"/>
      <c r="AK599" s="799"/>
      <c r="AL599" s="799"/>
      <c r="AM599" s="799"/>
      <c r="AN599" s="799"/>
      <c r="AO599" s="799"/>
      <c r="AP599" s="799"/>
      <c r="AQ599" s="799"/>
      <c r="AR599" s="799"/>
      <c r="AS599" s="799"/>
      <c r="AT599" s="799"/>
      <c r="AU599" s="799"/>
      <c r="AV599" s="799"/>
      <c r="AW599" s="799"/>
      <c r="AX599" s="799"/>
      <c r="AY599" s="799"/>
      <c r="AZ599" s="799"/>
      <c r="BA599" s="799"/>
      <c r="BB599" s="799"/>
      <c r="BC599" s="799"/>
      <c r="BD599" s="799"/>
      <c r="BE599" s="799"/>
      <c r="BF599" s="799"/>
      <c r="BG599" s="799"/>
    </row>
    <row r="600">
      <c r="H600" s="799"/>
      <c r="I600" s="799"/>
      <c r="J600" s="799"/>
      <c r="K600" s="799"/>
      <c r="L600" s="799"/>
      <c r="M600" s="799"/>
      <c r="N600" s="799"/>
      <c r="O600" s="799"/>
      <c r="P600" s="799"/>
      <c r="Q600" s="799"/>
      <c r="R600" s="799"/>
      <c r="S600" s="799"/>
      <c r="T600" s="799"/>
      <c r="U600" s="799"/>
      <c r="V600" s="799"/>
      <c r="W600" s="799"/>
      <c r="X600" s="799"/>
      <c r="Y600" s="799"/>
      <c r="Z600" s="799"/>
      <c r="AA600" s="799"/>
      <c r="AB600" s="799"/>
      <c r="AC600" s="799"/>
      <c r="AD600" s="799"/>
      <c r="AE600" s="799"/>
      <c r="AF600" s="799"/>
      <c r="AG600" s="799"/>
      <c r="AH600" s="799"/>
      <c r="AI600" s="799"/>
      <c r="AJ600" s="799"/>
      <c r="AK600" s="799"/>
      <c r="AL600" s="799"/>
      <c r="AM600" s="799"/>
      <c r="AN600" s="799"/>
      <c r="AO600" s="799"/>
      <c r="AP600" s="799"/>
      <c r="AQ600" s="799"/>
      <c r="AR600" s="799"/>
      <c r="AS600" s="799"/>
      <c r="AT600" s="799"/>
      <c r="AU600" s="799"/>
      <c r="AV600" s="799"/>
      <c r="AW600" s="799"/>
      <c r="AX600" s="799"/>
      <c r="AY600" s="799"/>
      <c r="AZ600" s="799"/>
      <c r="BA600" s="799"/>
      <c r="BB600" s="799"/>
      <c r="BC600" s="799"/>
      <c r="BD600" s="799"/>
      <c r="BE600" s="799"/>
      <c r="BF600" s="799"/>
      <c r="BG600" s="799"/>
    </row>
    <row r="601">
      <c r="H601" s="799"/>
      <c r="I601" s="799"/>
      <c r="J601" s="799"/>
      <c r="K601" s="799"/>
      <c r="L601" s="799"/>
      <c r="M601" s="799"/>
      <c r="N601" s="799"/>
      <c r="O601" s="799"/>
      <c r="P601" s="799"/>
      <c r="Q601" s="799"/>
      <c r="R601" s="799"/>
      <c r="S601" s="799"/>
      <c r="T601" s="799"/>
      <c r="U601" s="799"/>
      <c r="V601" s="799"/>
      <c r="W601" s="799"/>
      <c r="X601" s="799"/>
      <c r="Y601" s="799"/>
      <c r="Z601" s="799"/>
      <c r="AA601" s="799"/>
      <c r="AB601" s="799"/>
      <c r="AC601" s="799"/>
      <c r="AD601" s="799"/>
      <c r="AE601" s="799"/>
      <c r="AF601" s="799"/>
      <c r="AG601" s="799"/>
      <c r="AH601" s="799"/>
      <c r="AI601" s="799"/>
      <c r="AJ601" s="799"/>
      <c r="AK601" s="799"/>
      <c r="AL601" s="799"/>
      <c r="AM601" s="799"/>
      <c r="AN601" s="799"/>
      <c r="AO601" s="799"/>
      <c r="AP601" s="799"/>
      <c r="AQ601" s="799"/>
      <c r="AR601" s="799"/>
      <c r="AS601" s="799"/>
      <c r="AT601" s="799"/>
      <c r="AU601" s="799"/>
      <c r="AV601" s="799"/>
      <c r="AW601" s="799"/>
      <c r="AX601" s="799"/>
      <c r="AY601" s="799"/>
      <c r="AZ601" s="799"/>
      <c r="BA601" s="799"/>
      <c r="BB601" s="799"/>
      <c r="BC601" s="799"/>
      <c r="BD601" s="799"/>
      <c r="BE601" s="799"/>
      <c r="BF601" s="799"/>
      <c r="BG601" s="799"/>
    </row>
    <row r="602">
      <c r="H602" s="799"/>
      <c r="I602" s="799"/>
      <c r="J602" s="799"/>
      <c r="K602" s="799"/>
      <c r="L602" s="799"/>
      <c r="M602" s="799"/>
      <c r="N602" s="799"/>
      <c r="O602" s="799"/>
      <c r="P602" s="799"/>
      <c r="Q602" s="799"/>
      <c r="R602" s="799"/>
      <c r="S602" s="799"/>
      <c r="T602" s="799"/>
      <c r="U602" s="799"/>
      <c r="V602" s="799"/>
      <c r="W602" s="799"/>
      <c r="X602" s="799"/>
      <c r="Y602" s="799"/>
      <c r="Z602" s="799"/>
      <c r="AA602" s="799"/>
      <c r="AB602" s="799"/>
      <c r="AC602" s="799"/>
      <c r="AD602" s="799"/>
      <c r="AE602" s="799"/>
      <c r="AF602" s="799"/>
      <c r="AG602" s="799"/>
      <c r="AH602" s="799"/>
      <c r="AI602" s="799"/>
      <c r="AJ602" s="799"/>
      <c r="AK602" s="799"/>
      <c r="AL602" s="799"/>
      <c r="AM602" s="799"/>
      <c r="AN602" s="799"/>
      <c r="AO602" s="799"/>
      <c r="AP602" s="799"/>
      <c r="AQ602" s="799"/>
      <c r="AR602" s="799"/>
      <c r="AS602" s="799"/>
      <c r="AT602" s="799"/>
      <c r="AU602" s="799"/>
      <c r="AV602" s="799"/>
      <c r="AW602" s="799"/>
      <c r="AX602" s="799"/>
      <c r="AY602" s="799"/>
      <c r="AZ602" s="799"/>
      <c r="BA602" s="799"/>
      <c r="BB602" s="799"/>
      <c r="BC602" s="799"/>
      <c r="BD602" s="799"/>
      <c r="BE602" s="799"/>
      <c r="BF602" s="799"/>
      <c r="BG602" s="799"/>
    </row>
    <row r="603">
      <c r="H603" s="799"/>
      <c r="I603" s="799"/>
      <c r="J603" s="799"/>
      <c r="K603" s="799"/>
      <c r="L603" s="799"/>
      <c r="M603" s="799"/>
      <c r="N603" s="799"/>
      <c r="O603" s="799"/>
      <c r="P603" s="799"/>
      <c r="Q603" s="799"/>
      <c r="R603" s="799"/>
      <c r="S603" s="799"/>
      <c r="T603" s="799"/>
      <c r="U603" s="799"/>
      <c r="V603" s="799"/>
      <c r="W603" s="799"/>
      <c r="X603" s="799"/>
      <c r="Y603" s="799"/>
      <c r="Z603" s="799"/>
      <c r="AA603" s="799"/>
      <c r="AB603" s="799"/>
      <c r="AC603" s="799"/>
      <c r="AD603" s="799"/>
      <c r="AE603" s="799"/>
      <c r="AF603" s="799"/>
      <c r="AG603" s="799"/>
      <c r="AH603" s="799"/>
      <c r="AI603" s="799"/>
      <c r="AJ603" s="799"/>
      <c r="AK603" s="799"/>
      <c r="AL603" s="799"/>
      <c r="AM603" s="799"/>
      <c r="AN603" s="799"/>
      <c r="AO603" s="799"/>
      <c r="AP603" s="799"/>
      <c r="AQ603" s="799"/>
      <c r="AR603" s="799"/>
      <c r="AS603" s="799"/>
      <c r="AT603" s="799"/>
      <c r="AU603" s="799"/>
      <c r="AV603" s="799"/>
      <c r="AW603" s="799"/>
      <c r="AX603" s="799"/>
      <c r="AY603" s="799"/>
      <c r="AZ603" s="799"/>
      <c r="BA603" s="799"/>
      <c r="BB603" s="799"/>
      <c r="BC603" s="799"/>
      <c r="BD603" s="799"/>
      <c r="BE603" s="799"/>
      <c r="BF603" s="799"/>
      <c r="BG603" s="799"/>
    </row>
    <row r="604">
      <c r="H604" s="799"/>
      <c r="I604" s="799"/>
      <c r="J604" s="799"/>
      <c r="K604" s="799"/>
      <c r="L604" s="799"/>
      <c r="M604" s="799"/>
      <c r="N604" s="799"/>
      <c r="O604" s="799"/>
      <c r="P604" s="799"/>
      <c r="Q604" s="799"/>
      <c r="R604" s="799"/>
      <c r="S604" s="799"/>
      <c r="T604" s="799"/>
      <c r="U604" s="799"/>
      <c r="V604" s="799"/>
      <c r="W604" s="799"/>
      <c r="X604" s="799"/>
      <c r="Y604" s="799"/>
      <c r="Z604" s="799"/>
      <c r="AA604" s="799"/>
      <c r="AB604" s="799"/>
      <c r="AC604" s="799"/>
      <c r="AD604" s="799"/>
      <c r="AE604" s="799"/>
      <c r="AF604" s="799"/>
      <c r="AG604" s="799"/>
      <c r="AH604" s="799"/>
      <c r="AI604" s="799"/>
      <c r="AJ604" s="799"/>
      <c r="AK604" s="799"/>
      <c r="AL604" s="799"/>
      <c r="AM604" s="799"/>
      <c r="AN604" s="799"/>
      <c r="AO604" s="799"/>
      <c r="AP604" s="799"/>
      <c r="AQ604" s="799"/>
      <c r="AR604" s="799"/>
      <c r="AS604" s="799"/>
      <c r="AT604" s="799"/>
      <c r="AU604" s="799"/>
      <c r="AV604" s="799"/>
      <c r="AW604" s="799"/>
      <c r="AX604" s="799"/>
      <c r="AY604" s="799"/>
      <c r="AZ604" s="799"/>
      <c r="BA604" s="799"/>
      <c r="BB604" s="799"/>
      <c r="BC604" s="799"/>
      <c r="BD604" s="799"/>
      <c r="BE604" s="799"/>
      <c r="BF604" s="799"/>
      <c r="BG604" s="799"/>
    </row>
    <row r="605">
      <c r="H605" s="799"/>
      <c r="I605" s="799"/>
      <c r="J605" s="799"/>
      <c r="K605" s="799"/>
      <c r="L605" s="799"/>
      <c r="M605" s="799"/>
      <c r="N605" s="799"/>
      <c r="O605" s="799"/>
      <c r="P605" s="799"/>
      <c r="Q605" s="799"/>
      <c r="R605" s="799"/>
      <c r="S605" s="799"/>
      <c r="T605" s="799"/>
      <c r="U605" s="799"/>
      <c r="V605" s="799"/>
      <c r="W605" s="799"/>
      <c r="X605" s="799"/>
      <c r="Y605" s="799"/>
      <c r="Z605" s="799"/>
      <c r="AA605" s="799"/>
      <c r="AB605" s="799"/>
      <c r="AC605" s="799"/>
      <c r="AD605" s="799"/>
      <c r="AE605" s="799"/>
      <c r="AF605" s="799"/>
      <c r="AG605" s="799"/>
      <c r="AH605" s="799"/>
      <c r="AI605" s="799"/>
      <c r="AJ605" s="799"/>
      <c r="AK605" s="799"/>
      <c r="AL605" s="799"/>
      <c r="AM605" s="799"/>
      <c r="AN605" s="799"/>
      <c r="AO605" s="799"/>
      <c r="AP605" s="799"/>
      <c r="AQ605" s="799"/>
      <c r="AR605" s="799"/>
      <c r="AS605" s="799"/>
      <c r="AT605" s="799"/>
      <c r="AU605" s="799"/>
      <c r="AV605" s="799"/>
      <c r="AW605" s="799"/>
      <c r="AX605" s="799"/>
      <c r="AY605" s="799"/>
      <c r="AZ605" s="799"/>
      <c r="BA605" s="799"/>
      <c r="BB605" s="799"/>
      <c r="BC605" s="799"/>
      <c r="BD605" s="799"/>
      <c r="BE605" s="799"/>
      <c r="BF605" s="799"/>
      <c r="BG605" s="799"/>
    </row>
    <row r="606">
      <c r="H606" s="799"/>
      <c r="I606" s="799"/>
      <c r="J606" s="799"/>
      <c r="K606" s="799"/>
      <c r="L606" s="799"/>
      <c r="M606" s="799"/>
      <c r="N606" s="799"/>
      <c r="O606" s="799"/>
      <c r="P606" s="799"/>
      <c r="Q606" s="799"/>
      <c r="R606" s="799"/>
      <c r="S606" s="799"/>
      <c r="T606" s="799"/>
      <c r="U606" s="799"/>
      <c r="V606" s="799"/>
      <c r="W606" s="799"/>
      <c r="X606" s="799"/>
      <c r="Y606" s="799"/>
      <c r="Z606" s="799"/>
      <c r="AA606" s="799"/>
      <c r="AB606" s="799"/>
      <c r="AC606" s="799"/>
      <c r="AD606" s="799"/>
      <c r="AE606" s="799"/>
      <c r="AF606" s="799"/>
      <c r="AG606" s="799"/>
      <c r="AH606" s="799"/>
      <c r="AI606" s="799"/>
      <c r="AJ606" s="799"/>
      <c r="AK606" s="799"/>
      <c r="AL606" s="799"/>
      <c r="AM606" s="799"/>
      <c r="AN606" s="799"/>
      <c r="AO606" s="799"/>
      <c r="AP606" s="799"/>
      <c r="AQ606" s="799"/>
      <c r="AR606" s="799"/>
      <c r="AS606" s="799"/>
      <c r="AT606" s="799"/>
      <c r="AU606" s="799"/>
      <c r="AV606" s="799"/>
      <c r="AW606" s="799"/>
      <c r="AX606" s="799"/>
      <c r="AY606" s="799"/>
      <c r="AZ606" s="799"/>
      <c r="BA606" s="799"/>
      <c r="BB606" s="799"/>
      <c r="BC606" s="799"/>
      <c r="BD606" s="799"/>
      <c r="BE606" s="799"/>
      <c r="BF606" s="799"/>
      <c r="BG606" s="799"/>
    </row>
    <row r="607">
      <c r="H607" s="799"/>
      <c r="I607" s="799"/>
      <c r="J607" s="799"/>
      <c r="K607" s="799"/>
      <c r="L607" s="799"/>
      <c r="M607" s="799"/>
      <c r="N607" s="799"/>
      <c r="O607" s="799"/>
      <c r="P607" s="799"/>
      <c r="Q607" s="799"/>
      <c r="R607" s="799"/>
      <c r="S607" s="799"/>
      <c r="T607" s="799"/>
      <c r="U607" s="799"/>
      <c r="V607" s="799"/>
      <c r="W607" s="799"/>
      <c r="X607" s="799"/>
      <c r="Y607" s="799"/>
      <c r="Z607" s="799"/>
      <c r="AA607" s="799"/>
      <c r="AB607" s="799"/>
      <c r="AC607" s="799"/>
      <c r="AD607" s="799"/>
      <c r="AE607" s="799"/>
      <c r="AF607" s="799"/>
      <c r="AG607" s="799"/>
      <c r="AH607" s="799"/>
      <c r="AI607" s="799"/>
      <c r="AJ607" s="799"/>
      <c r="AK607" s="799"/>
      <c r="AL607" s="799"/>
      <c r="AM607" s="799"/>
      <c r="AN607" s="799"/>
      <c r="AO607" s="799"/>
      <c r="AP607" s="799"/>
      <c r="AQ607" s="799"/>
      <c r="AR607" s="799"/>
      <c r="AS607" s="799"/>
      <c r="AT607" s="799"/>
      <c r="AU607" s="799"/>
      <c r="AV607" s="799"/>
      <c r="AW607" s="799"/>
      <c r="AX607" s="799"/>
      <c r="AY607" s="799"/>
      <c r="AZ607" s="799"/>
      <c r="BA607" s="799"/>
      <c r="BB607" s="799"/>
      <c r="BC607" s="799"/>
      <c r="BD607" s="799"/>
      <c r="BE607" s="799"/>
      <c r="BF607" s="799"/>
      <c r="BG607" s="799"/>
    </row>
    <row r="608">
      <c r="H608" s="799"/>
      <c r="I608" s="799"/>
      <c r="J608" s="799"/>
      <c r="K608" s="799"/>
      <c r="L608" s="799"/>
      <c r="M608" s="799"/>
      <c r="N608" s="799"/>
      <c r="O608" s="799"/>
      <c r="P608" s="799"/>
      <c r="Q608" s="799"/>
      <c r="R608" s="799"/>
      <c r="S608" s="799"/>
      <c r="T608" s="799"/>
      <c r="U608" s="799"/>
      <c r="V608" s="799"/>
      <c r="W608" s="799"/>
      <c r="X608" s="799"/>
      <c r="Y608" s="799"/>
      <c r="Z608" s="799"/>
      <c r="AA608" s="799"/>
      <c r="AB608" s="799"/>
      <c r="AC608" s="799"/>
      <c r="AD608" s="799"/>
      <c r="AE608" s="799"/>
      <c r="AF608" s="799"/>
      <c r="AG608" s="799"/>
      <c r="AH608" s="799"/>
      <c r="AI608" s="799"/>
      <c r="AJ608" s="799"/>
      <c r="AK608" s="799"/>
      <c r="AL608" s="799"/>
      <c r="AM608" s="799"/>
      <c r="AN608" s="799"/>
      <c r="AO608" s="799"/>
      <c r="AP608" s="799"/>
      <c r="AQ608" s="799"/>
      <c r="AR608" s="799"/>
      <c r="AS608" s="799"/>
      <c r="AT608" s="799"/>
      <c r="AU608" s="799"/>
      <c r="AV608" s="799"/>
      <c r="AW608" s="799"/>
      <c r="AX608" s="799"/>
      <c r="AY608" s="799"/>
      <c r="AZ608" s="799"/>
      <c r="BA608" s="799"/>
      <c r="BB608" s="799"/>
      <c r="BC608" s="799"/>
      <c r="BD608" s="799"/>
      <c r="BE608" s="799"/>
      <c r="BF608" s="799"/>
      <c r="BG608" s="799"/>
    </row>
    <row r="609">
      <c r="H609" s="799"/>
      <c r="I609" s="799"/>
      <c r="J609" s="799"/>
      <c r="K609" s="799"/>
      <c r="L609" s="799"/>
      <c r="M609" s="799"/>
      <c r="N609" s="799"/>
      <c r="O609" s="799"/>
      <c r="P609" s="799"/>
      <c r="Q609" s="799"/>
      <c r="R609" s="799"/>
      <c r="S609" s="799"/>
      <c r="T609" s="799"/>
      <c r="U609" s="799"/>
      <c r="V609" s="799"/>
      <c r="W609" s="799"/>
      <c r="X609" s="799"/>
      <c r="Y609" s="799"/>
      <c r="Z609" s="799"/>
      <c r="AA609" s="799"/>
      <c r="AB609" s="799"/>
      <c r="AC609" s="799"/>
      <c r="AD609" s="799"/>
      <c r="AE609" s="799"/>
      <c r="AF609" s="799"/>
      <c r="AG609" s="799"/>
      <c r="AH609" s="799"/>
      <c r="AI609" s="799"/>
      <c r="AJ609" s="799"/>
      <c r="AK609" s="799"/>
      <c r="AL609" s="799"/>
      <c r="AM609" s="799"/>
      <c r="AN609" s="799"/>
      <c r="AO609" s="799"/>
      <c r="AP609" s="799"/>
      <c r="AQ609" s="799"/>
      <c r="AR609" s="799"/>
      <c r="AS609" s="799"/>
      <c r="AT609" s="799"/>
      <c r="AU609" s="799"/>
      <c r="AV609" s="799"/>
      <c r="AW609" s="799"/>
      <c r="AX609" s="799"/>
      <c r="AY609" s="799"/>
      <c r="AZ609" s="799"/>
      <c r="BA609" s="799"/>
      <c r="BB609" s="799"/>
      <c r="BC609" s="799"/>
      <c r="BD609" s="799"/>
      <c r="BE609" s="799"/>
      <c r="BF609" s="799"/>
      <c r="BG609" s="799"/>
    </row>
    <row r="610">
      <c r="H610" s="799"/>
      <c r="I610" s="799"/>
      <c r="J610" s="799"/>
      <c r="K610" s="799"/>
      <c r="L610" s="799"/>
      <c r="M610" s="799"/>
      <c r="N610" s="799"/>
      <c r="O610" s="799"/>
      <c r="P610" s="799"/>
      <c r="Q610" s="799"/>
      <c r="R610" s="799"/>
      <c r="S610" s="799"/>
      <c r="T610" s="799"/>
      <c r="U610" s="799"/>
      <c r="V610" s="799"/>
      <c r="W610" s="799"/>
      <c r="X610" s="799"/>
      <c r="Y610" s="799"/>
      <c r="Z610" s="799"/>
      <c r="AA610" s="799"/>
      <c r="AB610" s="799"/>
      <c r="AC610" s="799"/>
      <c r="AD610" s="799"/>
      <c r="AE610" s="799"/>
      <c r="AF610" s="799"/>
      <c r="AG610" s="799"/>
      <c r="AH610" s="799"/>
      <c r="AI610" s="799"/>
      <c r="AJ610" s="799"/>
      <c r="AK610" s="799"/>
      <c r="AL610" s="799"/>
      <c r="AM610" s="799"/>
      <c r="AN610" s="799"/>
      <c r="AO610" s="799"/>
      <c r="AP610" s="799"/>
      <c r="AQ610" s="799"/>
      <c r="AR610" s="799"/>
      <c r="AS610" s="799"/>
      <c r="AT610" s="799"/>
      <c r="AU610" s="799"/>
      <c r="AV610" s="799"/>
      <c r="AW610" s="799"/>
      <c r="AX610" s="799"/>
      <c r="AY610" s="799"/>
      <c r="AZ610" s="799"/>
      <c r="BA610" s="799"/>
      <c r="BB610" s="799"/>
      <c r="BC610" s="799"/>
      <c r="BD610" s="799"/>
      <c r="BE610" s="799"/>
      <c r="BF610" s="799"/>
      <c r="BG610" s="799"/>
    </row>
    <row r="611">
      <c r="H611" s="799"/>
      <c r="I611" s="799"/>
      <c r="J611" s="799"/>
      <c r="K611" s="799"/>
      <c r="L611" s="799"/>
      <c r="M611" s="799"/>
      <c r="N611" s="799"/>
      <c r="O611" s="799"/>
      <c r="P611" s="799"/>
      <c r="Q611" s="799"/>
      <c r="R611" s="799"/>
      <c r="S611" s="799"/>
      <c r="T611" s="799"/>
      <c r="U611" s="799"/>
      <c r="V611" s="799"/>
      <c r="W611" s="799"/>
      <c r="X611" s="799"/>
      <c r="Y611" s="799"/>
      <c r="Z611" s="799"/>
      <c r="AA611" s="799"/>
      <c r="AB611" s="799"/>
      <c r="AC611" s="799"/>
      <c r="AD611" s="799"/>
      <c r="AE611" s="799"/>
      <c r="AF611" s="799"/>
      <c r="AG611" s="799"/>
      <c r="AH611" s="799"/>
      <c r="AI611" s="799"/>
      <c r="AJ611" s="799"/>
      <c r="AK611" s="799"/>
      <c r="AL611" s="799"/>
      <c r="AM611" s="799"/>
      <c r="AN611" s="799"/>
      <c r="AO611" s="799"/>
      <c r="AP611" s="799"/>
      <c r="AQ611" s="799"/>
      <c r="AR611" s="799"/>
      <c r="AS611" s="799"/>
      <c r="AT611" s="799"/>
      <c r="AU611" s="799"/>
      <c r="AV611" s="799"/>
      <c r="AW611" s="799"/>
      <c r="AX611" s="799"/>
      <c r="AY611" s="799"/>
      <c r="AZ611" s="799"/>
      <c r="BA611" s="799"/>
      <c r="BB611" s="799"/>
      <c r="BC611" s="799"/>
      <c r="BD611" s="799"/>
      <c r="BE611" s="799"/>
      <c r="BF611" s="799"/>
      <c r="BG611" s="799"/>
    </row>
    <row r="612">
      <c r="H612" s="799"/>
      <c r="I612" s="799"/>
      <c r="J612" s="799"/>
      <c r="K612" s="799"/>
      <c r="L612" s="799"/>
      <c r="M612" s="799"/>
      <c r="N612" s="799"/>
      <c r="O612" s="799"/>
      <c r="P612" s="799"/>
      <c r="Q612" s="799"/>
      <c r="R612" s="799"/>
      <c r="S612" s="799"/>
      <c r="T612" s="799"/>
      <c r="U612" s="799"/>
      <c r="V612" s="799"/>
      <c r="W612" s="799"/>
      <c r="X612" s="799"/>
      <c r="Y612" s="799"/>
      <c r="Z612" s="799"/>
      <c r="AA612" s="799"/>
      <c r="AB612" s="799"/>
      <c r="AC612" s="799"/>
      <c r="AD612" s="799"/>
      <c r="AE612" s="799"/>
      <c r="AF612" s="799"/>
      <c r="AG612" s="799"/>
      <c r="AH612" s="799"/>
      <c r="AI612" s="799"/>
      <c r="AJ612" s="799"/>
      <c r="AK612" s="799"/>
      <c r="AL612" s="799"/>
      <c r="AM612" s="799"/>
      <c r="AN612" s="799"/>
      <c r="AO612" s="799"/>
      <c r="AP612" s="799"/>
      <c r="AQ612" s="799"/>
      <c r="AR612" s="799"/>
      <c r="AS612" s="799"/>
      <c r="AT612" s="799"/>
      <c r="AU612" s="799"/>
      <c r="AV612" s="799"/>
      <c r="AW612" s="799"/>
      <c r="AX612" s="799"/>
      <c r="AY612" s="799"/>
      <c r="AZ612" s="799"/>
      <c r="BA612" s="799"/>
      <c r="BB612" s="799"/>
      <c r="BC612" s="799"/>
      <c r="BD612" s="799"/>
      <c r="BE612" s="799"/>
      <c r="BF612" s="799"/>
      <c r="BG612" s="799"/>
    </row>
    <row r="613">
      <c r="H613" s="799"/>
      <c r="I613" s="799"/>
      <c r="J613" s="799"/>
      <c r="K613" s="799"/>
      <c r="L613" s="799"/>
      <c r="M613" s="799"/>
      <c r="N613" s="799"/>
      <c r="O613" s="799"/>
      <c r="P613" s="799"/>
      <c r="Q613" s="799"/>
      <c r="R613" s="799"/>
      <c r="S613" s="799"/>
      <c r="T613" s="799"/>
      <c r="U613" s="799"/>
      <c r="V613" s="799"/>
      <c r="W613" s="799"/>
      <c r="X613" s="799"/>
      <c r="Y613" s="799"/>
      <c r="Z613" s="799"/>
      <c r="AA613" s="799"/>
      <c r="AB613" s="799"/>
      <c r="AC613" s="799"/>
      <c r="AD613" s="799"/>
      <c r="AE613" s="799"/>
      <c r="AF613" s="799"/>
      <c r="AG613" s="799"/>
      <c r="AH613" s="799"/>
      <c r="AI613" s="799"/>
      <c r="AJ613" s="799"/>
      <c r="AK613" s="799"/>
      <c r="AL613" s="799"/>
      <c r="AM613" s="799"/>
      <c r="AN613" s="799"/>
      <c r="AO613" s="799"/>
      <c r="AP613" s="799"/>
      <c r="AQ613" s="799"/>
      <c r="AR613" s="799"/>
      <c r="AS613" s="799"/>
      <c r="AT613" s="799"/>
      <c r="AU613" s="799"/>
      <c r="AV613" s="799"/>
      <c r="AW613" s="799"/>
      <c r="AX613" s="799"/>
      <c r="AY613" s="799"/>
      <c r="AZ613" s="799"/>
      <c r="BA613" s="799"/>
      <c r="BB613" s="799"/>
      <c r="BC613" s="799"/>
      <c r="BD613" s="799"/>
      <c r="BE613" s="799"/>
      <c r="BF613" s="799"/>
      <c r="BG613" s="799"/>
    </row>
    <row r="614">
      <c r="H614" s="799"/>
      <c r="I614" s="799"/>
      <c r="J614" s="799"/>
      <c r="K614" s="799"/>
      <c r="L614" s="799"/>
      <c r="M614" s="799"/>
      <c r="N614" s="799"/>
      <c r="O614" s="799"/>
      <c r="P614" s="799"/>
      <c r="Q614" s="799"/>
      <c r="R614" s="799"/>
      <c r="S614" s="799"/>
      <c r="T614" s="799"/>
      <c r="U614" s="799"/>
      <c r="V614" s="799"/>
      <c r="W614" s="799"/>
      <c r="X614" s="799"/>
      <c r="Y614" s="799"/>
      <c r="Z614" s="799"/>
      <c r="AA614" s="799"/>
      <c r="AB614" s="799"/>
      <c r="AC614" s="799"/>
      <c r="AD614" s="799"/>
      <c r="AE614" s="799"/>
      <c r="AF614" s="799"/>
      <c r="AG614" s="799"/>
      <c r="AH614" s="799"/>
      <c r="AI614" s="799"/>
      <c r="AJ614" s="799"/>
      <c r="AK614" s="799"/>
      <c r="AL614" s="799"/>
      <c r="AM614" s="799"/>
      <c r="AN614" s="799"/>
      <c r="AO614" s="799"/>
      <c r="AP614" s="799"/>
      <c r="AQ614" s="799"/>
      <c r="AR614" s="799"/>
      <c r="AS614" s="799"/>
      <c r="AT614" s="799"/>
      <c r="AU614" s="799"/>
      <c r="AV614" s="799"/>
      <c r="AW614" s="799"/>
      <c r="AX614" s="799"/>
      <c r="AY614" s="799"/>
      <c r="AZ614" s="799"/>
      <c r="BA614" s="799"/>
      <c r="BB614" s="799"/>
      <c r="BC614" s="799"/>
      <c r="BD614" s="799"/>
      <c r="BE614" s="799"/>
      <c r="BF614" s="799"/>
      <c r="BG614" s="799"/>
    </row>
    <row r="615">
      <c r="H615" s="799"/>
      <c r="I615" s="799"/>
      <c r="J615" s="799"/>
      <c r="K615" s="799"/>
      <c r="L615" s="799"/>
      <c r="M615" s="799"/>
      <c r="N615" s="799"/>
      <c r="O615" s="799"/>
      <c r="P615" s="799"/>
      <c r="Q615" s="799"/>
      <c r="R615" s="799"/>
      <c r="S615" s="799"/>
      <c r="T615" s="799"/>
      <c r="U615" s="799"/>
      <c r="V615" s="799"/>
      <c r="W615" s="799"/>
      <c r="X615" s="799"/>
      <c r="Y615" s="799"/>
      <c r="Z615" s="799"/>
      <c r="AA615" s="799"/>
      <c r="AB615" s="799"/>
      <c r="AC615" s="799"/>
      <c r="AD615" s="799"/>
      <c r="AE615" s="799"/>
      <c r="AF615" s="799"/>
      <c r="AG615" s="799"/>
      <c r="AH615" s="799"/>
      <c r="AI615" s="799"/>
      <c r="AJ615" s="799"/>
      <c r="AK615" s="799"/>
      <c r="AL615" s="799"/>
      <c r="AM615" s="799"/>
      <c r="AN615" s="799"/>
      <c r="AO615" s="799"/>
      <c r="AP615" s="799"/>
      <c r="AQ615" s="799"/>
      <c r="AR615" s="799"/>
      <c r="AS615" s="799"/>
      <c r="AT615" s="799"/>
      <c r="AU615" s="799"/>
      <c r="AV615" s="799"/>
      <c r="AW615" s="799"/>
      <c r="AX615" s="799"/>
      <c r="AY615" s="799"/>
      <c r="AZ615" s="799"/>
      <c r="BA615" s="799"/>
      <c r="BB615" s="799"/>
      <c r="BC615" s="799"/>
      <c r="BD615" s="799"/>
      <c r="BE615" s="799"/>
      <c r="BF615" s="799"/>
      <c r="BG615" s="799"/>
    </row>
    <row r="616">
      <c r="H616" s="799"/>
      <c r="I616" s="799"/>
      <c r="J616" s="799"/>
      <c r="K616" s="799"/>
      <c r="L616" s="799"/>
      <c r="M616" s="799"/>
      <c r="N616" s="799"/>
      <c r="O616" s="799"/>
      <c r="P616" s="799"/>
      <c r="Q616" s="799"/>
      <c r="R616" s="799"/>
      <c r="S616" s="799"/>
      <c r="T616" s="799"/>
      <c r="U616" s="799"/>
      <c r="V616" s="799"/>
      <c r="W616" s="799"/>
      <c r="X616" s="799"/>
      <c r="Y616" s="799"/>
      <c r="Z616" s="799"/>
      <c r="AA616" s="799"/>
      <c r="AB616" s="799"/>
      <c r="AC616" s="799"/>
      <c r="AD616" s="799"/>
      <c r="AE616" s="799"/>
      <c r="AF616" s="799"/>
      <c r="AG616" s="799"/>
      <c r="AH616" s="799"/>
      <c r="AI616" s="799"/>
      <c r="AJ616" s="799"/>
      <c r="AK616" s="799"/>
      <c r="AL616" s="799"/>
      <c r="AM616" s="799"/>
      <c r="AN616" s="799"/>
      <c r="AO616" s="799"/>
      <c r="AP616" s="799"/>
      <c r="AQ616" s="799"/>
      <c r="AR616" s="799"/>
      <c r="AS616" s="799"/>
      <c r="AT616" s="799"/>
      <c r="AU616" s="799"/>
      <c r="AV616" s="799"/>
      <c r="AW616" s="799"/>
      <c r="AX616" s="799"/>
      <c r="AY616" s="799"/>
      <c r="AZ616" s="799"/>
      <c r="BA616" s="799"/>
      <c r="BB616" s="799"/>
      <c r="BC616" s="799"/>
      <c r="BD616" s="799"/>
      <c r="BE616" s="799"/>
      <c r="BF616" s="799"/>
      <c r="BG616" s="799"/>
    </row>
    <row r="617">
      <c r="H617" s="799"/>
      <c r="I617" s="799"/>
      <c r="J617" s="799"/>
      <c r="K617" s="799"/>
      <c r="L617" s="799"/>
      <c r="M617" s="799"/>
      <c r="N617" s="799"/>
      <c r="O617" s="799"/>
      <c r="P617" s="799"/>
      <c r="Q617" s="799"/>
      <c r="R617" s="799"/>
      <c r="S617" s="799"/>
      <c r="T617" s="799"/>
      <c r="U617" s="799"/>
      <c r="V617" s="799"/>
      <c r="W617" s="799"/>
      <c r="X617" s="799"/>
      <c r="Y617" s="799"/>
      <c r="Z617" s="799"/>
      <c r="AA617" s="799"/>
      <c r="AB617" s="799"/>
      <c r="AC617" s="799"/>
      <c r="AD617" s="799"/>
      <c r="AE617" s="799"/>
      <c r="AF617" s="799"/>
      <c r="AG617" s="799"/>
      <c r="AH617" s="799"/>
      <c r="AI617" s="799"/>
      <c r="AJ617" s="799"/>
      <c r="AK617" s="799"/>
      <c r="AL617" s="799"/>
      <c r="AM617" s="799"/>
      <c r="AN617" s="799"/>
      <c r="AO617" s="799"/>
      <c r="AP617" s="799"/>
      <c r="AQ617" s="799"/>
      <c r="AR617" s="799"/>
      <c r="AS617" s="799"/>
      <c r="AT617" s="799"/>
      <c r="AU617" s="799"/>
      <c r="AV617" s="799"/>
      <c r="AW617" s="799"/>
      <c r="AX617" s="799"/>
      <c r="AY617" s="799"/>
      <c r="AZ617" s="799"/>
      <c r="BA617" s="799"/>
      <c r="BB617" s="799"/>
      <c r="BC617" s="799"/>
      <c r="BD617" s="799"/>
      <c r="BE617" s="799"/>
      <c r="BF617" s="799"/>
      <c r="BG617" s="799"/>
    </row>
    <row r="618">
      <c r="H618" s="799"/>
      <c r="I618" s="799"/>
      <c r="J618" s="799"/>
      <c r="K618" s="799"/>
      <c r="L618" s="799"/>
      <c r="M618" s="799"/>
      <c r="N618" s="799"/>
      <c r="O618" s="799"/>
      <c r="P618" s="799"/>
      <c r="Q618" s="799"/>
      <c r="R618" s="799"/>
      <c r="S618" s="799"/>
      <c r="T618" s="799"/>
      <c r="U618" s="799"/>
      <c r="V618" s="799"/>
      <c r="W618" s="799"/>
      <c r="X618" s="799"/>
      <c r="Y618" s="799"/>
      <c r="Z618" s="799"/>
      <c r="AA618" s="799"/>
      <c r="AB618" s="799"/>
      <c r="AC618" s="799"/>
      <c r="AD618" s="799"/>
      <c r="AE618" s="799"/>
      <c r="AF618" s="799"/>
      <c r="AG618" s="799"/>
      <c r="AH618" s="799"/>
      <c r="AI618" s="799"/>
      <c r="AJ618" s="799"/>
      <c r="AK618" s="799"/>
      <c r="AL618" s="799"/>
      <c r="AM618" s="799"/>
      <c r="AN618" s="799"/>
      <c r="AO618" s="799"/>
      <c r="AP618" s="799"/>
      <c r="AQ618" s="799"/>
      <c r="AR618" s="799"/>
      <c r="AS618" s="799"/>
      <c r="AT618" s="799"/>
      <c r="AU618" s="799"/>
      <c r="AV618" s="799"/>
      <c r="AW618" s="799"/>
      <c r="AX618" s="799"/>
      <c r="AY618" s="799"/>
      <c r="AZ618" s="799"/>
      <c r="BA618" s="799"/>
      <c r="BB618" s="799"/>
      <c r="BC618" s="799"/>
      <c r="BD618" s="799"/>
      <c r="BE618" s="799"/>
      <c r="BF618" s="799"/>
      <c r="BG618" s="799"/>
    </row>
    <row r="619">
      <c r="H619" s="799"/>
      <c r="I619" s="799"/>
      <c r="J619" s="799"/>
      <c r="K619" s="799"/>
      <c r="L619" s="799"/>
      <c r="M619" s="799"/>
      <c r="N619" s="799"/>
      <c r="O619" s="799"/>
      <c r="P619" s="799"/>
      <c r="Q619" s="799"/>
      <c r="R619" s="799"/>
      <c r="S619" s="799"/>
      <c r="T619" s="799"/>
      <c r="U619" s="799"/>
      <c r="V619" s="799"/>
      <c r="W619" s="799"/>
      <c r="X619" s="799"/>
      <c r="Y619" s="799"/>
      <c r="Z619" s="799"/>
      <c r="AA619" s="799"/>
      <c r="AB619" s="799"/>
      <c r="AC619" s="799"/>
      <c r="AD619" s="799"/>
      <c r="AE619" s="799"/>
      <c r="AF619" s="799"/>
      <c r="AG619" s="799"/>
      <c r="AH619" s="799"/>
      <c r="AI619" s="799"/>
      <c r="AJ619" s="799"/>
      <c r="AK619" s="799"/>
      <c r="AL619" s="799"/>
      <c r="AM619" s="799"/>
      <c r="AN619" s="799"/>
      <c r="AO619" s="799"/>
      <c r="AP619" s="799"/>
      <c r="AQ619" s="799"/>
      <c r="AR619" s="799"/>
      <c r="AS619" s="799"/>
      <c r="AT619" s="799"/>
      <c r="AU619" s="799"/>
      <c r="AV619" s="799"/>
      <c r="AW619" s="799"/>
      <c r="AX619" s="799"/>
      <c r="AY619" s="799"/>
      <c r="AZ619" s="799"/>
      <c r="BA619" s="799"/>
      <c r="BB619" s="799"/>
      <c r="BC619" s="799"/>
      <c r="BD619" s="799"/>
      <c r="BE619" s="799"/>
      <c r="BF619" s="799"/>
      <c r="BG619" s="799"/>
    </row>
    <row r="620">
      <c r="H620" s="799"/>
      <c r="I620" s="799"/>
      <c r="J620" s="799"/>
      <c r="K620" s="799"/>
      <c r="L620" s="799"/>
      <c r="M620" s="799"/>
      <c r="N620" s="799"/>
      <c r="O620" s="799"/>
      <c r="P620" s="799"/>
      <c r="Q620" s="799"/>
      <c r="R620" s="799"/>
      <c r="S620" s="799"/>
      <c r="T620" s="799"/>
      <c r="U620" s="799"/>
      <c r="V620" s="799"/>
      <c r="W620" s="799"/>
      <c r="X620" s="799"/>
      <c r="Y620" s="799"/>
      <c r="Z620" s="799"/>
      <c r="AA620" s="799"/>
      <c r="AB620" s="799"/>
      <c r="AC620" s="799"/>
      <c r="AD620" s="799"/>
      <c r="AE620" s="799"/>
      <c r="AF620" s="799"/>
      <c r="AG620" s="799"/>
      <c r="AH620" s="799"/>
      <c r="AI620" s="799"/>
      <c r="AJ620" s="799"/>
      <c r="AK620" s="799"/>
      <c r="AL620" s="799"/>
      <c r="AM620" s="799"/>
      <c r="AN620" s="799"/>
      <c r="AO620" s="799"/>
      <c r="AP620" s="799"/>
      <c r="AQ620" s="799"/>
      <c r="AR620" s="799"/>
      <c r="AS620" s="799"/>
      <c r="AT620" s="799"/>
      <c r="AU620" s="799"/>
      <c r="AV620" s="799"/>
      <c r="AW620" s="799"/>
      <c r="AX620" s="799"/>
      <c r="AY620" s="799"/>
      <c r="AZ620" s="799"/>
      <c r="BA620" s="799"/>
      <c r="BB620" s="799"/>
      <c r="BC620" s="799"/>
      <c r="BD620" s="799"/>
      <c r="BE620" s="799"/>
      <c r="BF620" s="799"/>
      <c r="BG620" s="799"/>
    </row>
    <row r="621">
      <c r="H621" s="799"/>
      <c r="I621" s="799"/>
      <c r="J621" s="799"/>
      <c r="K621" s="799"/>
      <c r="L621" s="799"/>
      <c r="M621" s="799"/>
      <c r="N621" s="799"/>
      <c r="O621" s="799"/>
      <c r="P621" s="799"/>
      <c r="Q621" s="799"/>
      <c r="R621" s="799"/>
      <c r="S621" s="799"/>
      <c r="T621" s="799"/>
      <c r="U621" s="799"/>
      <c r="V621" s="799"/>
      <c r="W621" s="799"/>
      <c r="X621" s="799"/>
      <c r="Y621" s="799"/>
      <c r="Z621" s="799"/>
      <c r="AA621" s="799"/>
      <c r="AB621" s="799"/>
      <c r="AC621" s="799"/>
      <c r="AD621" s="799"/>
      <c r="AE621" s="799"/>
      <c r="AF621" s="799"/>
      <c r="AG621" s="799"/>
      <c r="AH621" s="799"/>
      <c r="AI621" s="799"/>
      <c r="AJ621" s="799"/>
      <c r="AK621" s="799"/>
      <c r="AL621" s="799"/>
      <c r="AM621" s="799"/>
      <c r="AN621" s="799"/>
      <c r="AO621" s="799"/>
      <c r="AP621" s="799"/>
      <c r="AQ621" s="799"/>
      <c r="AR621" s="799"/>
      <c r="AS621" s="799"/>
      <c r="AT621" s="799"/>
      <c r="AU621" s="799"/>
      <c r="AV621" s="799"/>
      <c r="AW621" s="799"/>
      <c r="AX621" s="799"/>
      <c r="AY621" s="799"/>
      <c r="AZ621" s="799"/>
      <c r="BA621" s="799"/>
      <c r="BB621" s="799"/>
      <c r="BC621" s="799"/>
      <c r="BD621" s="799"/>
      <c r="BE621" s="799"/>
      <c r="BF621" s="799"/>
      <c r="BG621" s="799"/>
    </row>
    <row r="622">
      <c r="H622" s="799"/>
      <c r="I622" s="799"/>
      <c r="J622" s="799"/>
      <c r="K622" s="799"/>
      <c r="L622" s="799"/>
      <c r="M622" s="799"/>
      <c r="N622" s="799"/>
      <c r="O622" s="799"/>
      <c r="P622" s="799"/>
      <c r="Q622" s="799"/>
      <c r="R622" s="799"/>
      <c r="S622" s="799"/>
      <c r="T622" s="799"/>
      <c r="U622" s="799"/>
      <c r="V622" s="799"/>
      <c r="W622" s="799"/>
      <c r="X622" s="799"/>
      <c r="Y622" s="799"/>
      <c r="Z622" s="799"/>
      <c r="AA622" s="799"/>
      <c r="AB622" s="799"/>
      <c r="AC622" s="799"/>
      <c r="AD622" s="799"/>
      <c r="AE622" s="799"/>
      <c r="AF622" s="799"/>
      <c r="AG622" s="799"/>
      <c r="AH622" s="799"/>
      <c r="AI622" s="799"/>
      <c r="AJ622" s="799"/>
      <c r="AK622" s="799"/>
      <c r="AL622" s="799"/>
      <c r="AM622" s="799"/>
      <c r="AN622" s="799"/>
      <c r="AO622" s="799"/>
      <c r="AP622" s="799"/>
      <c r="AQ622" s="799"/>
      <c r="AR622" s="799"/>
      <c r="AS622" s="799"/>
      <c r="AT622" s="799"/>
      <c r="AU622" s="799"/>
      <c r="AV622" s="799"/>
      <c r="AW622" s="799"/>
      <c r="AX622" s="799"/>
      <c r="AY622" s="799"/>
      <c r="AZ622" s="799"/>
      <c r="BA622" s="799"/>
      <c r="BB622" s="799"/>
      <c r="BC622" s="799"/>
      <c r="BD622" s="799"/>
      <c r="BE622" s="799"/>
      <c r="BF622" s="799"/>
      <c r="BG622" s="799"/>
    </row>
    <row r="623">
      <c r="H623" s="799"/>
      <c r="I623" s="799"/>
      <c r="J623" s="799"/>
      <c r="K623" s="799"/>
      <c r="L623" s="799"/>
      <c r="M623" s="799"/>
      <c r="N623" s="799"/>
      <c r="O623" s="799"/>
      <c r="P623" s="799"/>
      <c r="Q623" s="799"/>
      <c r="R623" s="799"/>
      <c r="S623" s="799"/>
      <c r="T623" s="799"/>
      <c r="U623" s="799"/>
      <c r="V623" s="799"/>
      <c r="W623" s="799"/>
      <c r="X623" s="799"/>
      <c r="Y623" s="799"/>
      <c r="Z623" s="799"/>
      <c r="AA623" s="799"/>
      <c r="AB623" s="799"/>
      <c r="AC623" s="799"/>
      <c r="AD623" s="799"/>
      <c r="AE623" s="799"/>
      <c r="AF623" s="799"/>
      <c r="AG623" s="799"/>
      <c r="AH623" s="799"/>
      <c r="AI623" s="799"/>
      <c r="AJ623" s="799"/>
      <c r="AK623" s="799"/>
      <c r="AL623" s="799"/>
      <c r="AM623" s="799"/>
      <c r="AN623" s="799"/>
      <c r="AO623" s="799"/>
      <c r="AP623" s="799"/>
      <c r="AQ623" s="799"/>
      <c r="AR623" s="799"/>
      <c r="AS623" s="799"/>
      <c r="AT623" s="799"/>
      <c r="AU623" s="799"/>
      <c r="AV623" s="799"/>
      <c r="AW623" s="799"/>
      <c r="AX623" s="799"/>
      <c r="AY623" s="799"/>
      <c r="AZ623" s="799"/>
      <c r="BA623" s="799"/>
      <c r="BB623" s="799"/>
      <c r="BC623" s="799"/>
      <c r="BD623" s="799"/>
      <c r="BE623" s="799"/>
      <c r="BF623" s="799"/>
      <c r="BG623" s="799"/>
    </row>
    <row r="624">
      <c r="H624" s="799"/>
      <c r="I624" s="799"/>
      <c r="J624" s="799"/>
      <c r="K624" s="799"/>
      <c r="L624" s="799"/>
      <c r="M624" s="799"/>
      <c r="N624" s="799"/>
      <c r="O624" s="799"/>
      <c r="P624" s="799"/>
      <c r="Q624" s="799"/>
      <c r="R624" s="799"/>
      <c r="S624" s="799"/>
      <c r="T624" s="799"/>
      <c r="U624" s="799"/>
      <c r="V624" s="799"/>
      <c r="W624" s="799"/>
      <c r="X624" s="799"/>
      <c r="Y624" s="799"/>
      <c r="Z624" s="799"/>
      <c r="AA624" s="799"/>
      <c r="AB624" s="799"/>
      <c r="AC624" s="799"/>
      <c r="AD624" s="799"/>
      <c r="AE624" s="799"/>
      <c r="AF624" s="799"/>
      <c r="AG624" s="799"/>
      <c r="AH624" s="799"/>
      <c r="AI624" s="799"/>
      <c r="AJ624" s="799"/>
      <c r="AK624" s="799"/>
      <c r="AL624" s="799"/>
      <c r="AM624" s="799"/>
      <c r="AN624" s="799"/>
      <c r="AO624" s="799"/>
      <c r="AP624" s="799"/>
      <c r="AQ624" s="799"/>
      <c r="AR624" s="799"/>
      <c r="AS624" s="799"/>
      <c r="AT624" s="799"/>
      <c r="AU624" s="799"/>
      <c r="AV624" s="799"/>
      <c r="AW624" s="799"/>
      <c r="AX624" s="799"/>
      <c r="AY624" s="799"/>
      <c r="AZ624" s="799"/>
      <c r="BA624" s="799"/>
      <c r="BB624" s="799"/>
      <c r="BC624" s="799"/>
      <c r="BD624" s="799"/>
      <c r="BE624" s="799"/>
      <c r="BF624" s="799"/>
      <c r="BG624" s="799"/>
    </row>
    <row r="625">
      <c r="H625" s="799"/>
      <c r="I625" s="799"/>
      <c r="J625" s="799"/>
      <c r="K625" s="799"/>
      <c r="L625" s="799"/>
      <c r="M625" s="799"/>
      <c r="N625" s="799"/>
      <c r="O625" s="799"/>
      <c r="P625" s="799"/>
      <c r="Q625" s="799"/>
      <c r="R625" s="799"/>
      <c r="S625" s="799"/>
      <c r="T625" s="799"/>
      <c r="U625" s="799"/>
      <c r="V625" s="799"/>
      <c r="W625" s="799"/>
      <c r="X625" s="799"/>
      <c r="Y625" s="799"/>
      <c r="Z625" s="799"/>
      <c r="AA625" s="799"/>
      <c r="AB625" s="799"/>
      <c r="AC625" s="799"/>
      <c r="AD625" s="799"/>
      <c r="AE625" s="799"/>
      <c r="AF625" s="799"/>
      <c r="AG625" s="799"/>
      <c r="AH625" s="799"/>
      <c r="AI625" s="799"/>
      <c r="AJ625" s="799"/>
      <c r="AK625" s="799"/>
      <c r="AL625" s="799"/>
      <c r="AM625" s="799"/>
      <c r="AN625" s="799"/>
      <c r="AO625" s="799"/>
      <c r="AP625" s="799"/>
      <c r="AQ625" s="799"/>
      <c r="AR625" s="799"/>
      <c r="AS625" s="799"/>
      <c r="AT625" s="799"/>
      <c r="AU625" s="799"/>
      <c r="AV625" s="799"/>
      <c r="AW625" s="799"/>
      <c r="AX625" s="799"/>
      <c r="AY625" s="799"/>
      <c r="AZ625" s="799"/>
      <c r="BA625" s="799"/>
      <c r="BB625" s="799"/>
      <c r="BC625" s="799"/>
      <c r="BD625" s="799"/>
      <c r="BE625" s="799"/>
      <c r="BF625" s="799"/>
      <c r="BG625" s="799"/>
    </row>
    <row r="626">
      <c r="H626" s="799"/>
      <c r="I626" s="799"/>
      <c r="J626" s="799"/>
      <c r="K626" s="799"/>
      <c r="L626" s="799"/>
      <c r="M626" s="799"/>
      <c r="N626" s="799"/>
      <c r="O626" s="799"/>
      <c r="P626" s="799"/>
      <c r="Q626" s="799"/>
      <c r="R626" s="799"/>
      <c r="S626" s="799"/>
      <c r="T626" s="799"/>
      <c r="U626" s="799"/>
      <c r="V626" s="799"/>
      <c r="W626" s="799"/>
      <c r="X626" s="799"/>
      <c r="Y626" s="799"/>
      <c r="Z626" s="799"/>
      <c r="AA626" s="799"/>
      <c r="AB626" s="799"/>
      <c r="AC626" s="799"/>
      <c r="AD626" s="799"/>
      <c r="AE626" s="799"/>
      <c r="AF626" s="799"/>
      <c r="AG626" s="799"/>
      <c r="AH626" s="799"/>
      <c r="AI626" s="799"/>
      <c r="AJ626" s="799"/>
      <c r="AK626" s="799"/>
      <c r="AL626" s="799"/>
      <c r="AM626" s="799"/>
      <c r="AN626" s="799"/>
      <c r="AO626" s="799"/>
      <c r="AP626" s="799"/>
      <c r="AQ626" s="799"/>
      <c r="AR626" s="799"/>
      <c r="AS626" s="799"/>
      <c r="AT626" s="799"/>
      <c r="AU626" s="799"/>
      <c r="AV626" s="799"/>
      <c r="AW626" s="799"/>
      <c r="AX626" s="799"/>
      <c r="AY626" s="799"/>
      <c r="AZ626" s="799"/>
      <c r="BA626" s="799"/>
      <c r="BB626" s="799"/>
      <c r="BC626" s="799"/>
      <c r="BD626" s="799"/>
      <c r="BE626" s="799"/>
      <c r="BF626" s="799"/>
      <c r="BG626" s="799"/>
    </row>
    <row r="627">
      <c r="H627" s="799"/>
      <c r="I627" s="799"/>
      <c r="J627" s="799"/>
      <c r="K627" s="799"/>
      <c r="L627" s="799"/>
      <c r="M627" s="799"/>
      <c r="N627" s="799"/>
      <c r="O627" s="799"/>
      <c r="P627" s="799"/>
      <c r="Q627" s="799"/>
      <c r="R627" s="799"/>
      <c r="S627" s="799"/>
      <c r="T627" s="799"/>
      <c r="U627" s="799"/>
      <c r="V627" s="799"/>
      <c r="W627" s="799"/>
      <c r="X627" s="799"/>
      <c r="Y627" s="799"/>
      <c r="Z627" s="799"/>
      <c r="AA627" s="799"/>
      <c r="AB627" s="799"/>
      <c r="AC627" s="799"/>
      <c r="AD627" s="799"/>
      <c r="AE627" s="799"/>
      <c r="AF627" s="799"/>
      <c r="AG627" s="799"/>
      <c r="AH627" s="799"/>
      <c r="AI627" s="799"/>
      <c r="AJ627" s="799"/>
      <c r="AK627" s="799"/>
      <c r="AL627" s="799"/>
      <c r="AM627" s="799"/>
      <c r="AN627" s="799"/>
      <c r="AO627" s="799"/>
      <c r="AP627" s="799"/>
      <c r="AQ627" s="799"/>
      <c r="AR627" s="799"/>
      <c r="AS627" s="799"/>
      <c r="AT627" s="799"/>
      <c r="AU627" s="799"/>
      <c r="AV627" s="799"/>
      <c r="AW627" s="799"/>
      <c r="AX627" s="799"/>
      <c r="AY627" s="799"/>
      <c r="AZ627" s="799"/>
      <c r="BA627" s="799"/>
      <c r="BB627" s="799"/>
      <c r="BC627" s="799"/>
      <c r="BD627" s="799"/>
      <c r="BE627" s="799"/>
      <c r="BF627" s="799"/>
      <c r="BG627" s="799"/>
    </row>
    <row r="628">
      <c r="H628" s="799"/>
      <c r="I628" s="799"/>
      <c r="J628" s="799"/>
      <c r="K628" s="799"/>
      <c r="L628" s="799"/>
      <c r="M628" s="799"/>
      <c r="N628" s="799"/>
      <c r="O628" s="799"/>
      <c r="P628" s="799"/>
      <c r="Q628" s="799"/>
      <c r="R628" s="799"/>
      <c r="S628" s="799"/>
      <c r="T628" s="799"/>
      <c r="U628" s="799"/>
      <c r="V628" s="799"/>
      <c r="W628" s="799"/>
      <c r="X628" s="799"/>
      <c r="Y628" s="799"/>
      <c r="Z628" s="799"/>
      <c r="AA628" s="799"/>
      <c r="AB628" s="799"/>
      <c r="AC628" s="799"/>
      <c r="AD628" s="799"/>
      <c r="AE628" s="799"/>
      <c r="AF628" s="799"/>
      <c r="AG628" s="799"/>
      <c r="AH628" s="799"/>
      <c r="AI628" s="799"/>
      <c r="AJ628" s="799"/>
      <c r="AK628" s="799"/>
      <c r="AL628" s="799"/>
      <c r="AM628" s="799"/>
      <c r="AN628" s="799"/>
      <c r="AO628" s="799"/>
      <c r="AP628" s="799"/>
      <c r="AQ628" s="799"/>
      <c r="AR628" s="799"/>
      <c r="AS628" s="799"/>
      <c r="AT628" s="799"/>
      <c r="AU628" s="799"/>
      <c r="AV628" s="799"/>
      <c r="AW628" s="799"/>
      <c r="AX628" s="799"/>
      <c r="AY628" s="799"/>
      <c r="AZ628" s="799"/>
      <c r="BA628" s="799"/>
      <c r="BB628" s="799"/>
      <c r="BC628" s="799"/>
      <c r="BD628" s="799"/>
      <c r="BE628" s="799"/>
      <c r="BF628" s="799"/>
      <c r="BG628" s="799"/>
    </row>
    <row r="629">
      <c r="H629" s="799"/>
      <c r="I629" s="799"/>
      <c r="J629" s="799"/>
      <c r="K629" s="799"/>
      <c r="L629" s="799"/>
      <c r="M629" s="799"/>
      <c r="N629" s="799"/>
      <c r="O629" s="799"/>
      <c r="P629" s="799"/>
      <c r="Q629" s="799"/>
      <c r="R629" s="799"/>
      <c r="S629" s="799"/>
      <c r="T629" s="799"/>
      <c r="U629" s="799"/>
      <c r="V629" s="799"/>
      <c r="W629" s="799"/>
      <c r="X629" s="799"/>
      <c r="Y629" s="799"/>
      <c r="Z629" s="799"/>
      <c r="AA629" s="799"/>
      <c r="AB629" s="799"/>
      <c r="AC629" s="799"/>
      <c r="AD629" s="799"/>
      <c r="AE629" s="799"/>
      <c r="AF629" s="799"/>
      <c r="AG629" s="799"/>
      <c r="AH629" s="799"/>
      <c r="AI629" s="799"/>
      <c r="AJ629" s="799"/>
      <c r="AK629" s="799"/>
      <c r="AL629" s="799"/>
      <c r="AM629" s="799"/>
      <c r="AN629" s="799"/>
      <c r="AO629" s="799"/>
      <c r="AP629" s="799"/>
      <c r="AQ629" s="799"/>
      <c r="AR629" s="799"/>
      <c r="AS629" s="799"/>
      <c r="AT629" s="799"/>
      <c r="AU629" s="799"/>
      <c r="AV629" s="799"/>
      <c r="AW629" s="799"/>
      <c r="AX629" s="799"/>
      <c r="AY629" s="799"/>
      <c r="AZ629" s="799"/>
      <c r="BA629" s="799"/>
      <c r="BB629" s="799"/>
      <c r="BC629" s="799"/>
      <c r="BD629" s="799"/>
      <c r="BE629" s="799"/>
      <c r="BF629" s="799"/>
      <c r="BG629" s="799"/>
    </row>
    <row r="630">
      <c r="H630" s="799"/>
      <c r="I630" s="799"/>
      <c r="J630" s="799"/>
      <c r="K630" s="799"/>
      <c r="L630" s="799"/>
      <c r="M630" s="799"/>
      <c r="N630" s="799"/>
      <c r="O630" s="799"/>
      <c r="P630" s="799"/>
      <c r="Q630" s="799"/>
      <c r="R630" s="799"/>
      <c r="S630" s="799"/>
      <c r="T630" s="799"/>
      <c r="U630" s="799"/>
      <c r="V630" s="799"/>
      <c r="W630" s="799"/>
      <c r="X630" s="799"/>
      <c r="Y630" s="799"/>
      <c r="Z630" s="799"/>
      <c r="AA630" s="799"/>
      <c r="AB630" s="799"/>
      <c r="AC630" s="799"/>
      <c r="AD630" s="799"/>
      <c r="AE630" s="799"/>
      <c r="AF630" s="799"/>
      <c r="AG630" s="799"/>
      <c r="AH630" s="799"/>
      <c r="AI630" s="799"/>
      <c r="AJ630" s="799"/>
      <c r="AK630" s="799"/>
      <c r="AL630" s="799"/>
      <c r="AM630" s="799"/>
      <c r="AN630" s="799"/>
      <c r="AO630" s="799"/>
      <c r="AP630" s="799"/>
      <c r="AQ630" s="799"/>
      <c r="AR630" s="799"/>
      <c r="AS630" s="799"/>
      <c r="AT630" s="799"/>
      <c r="AU630" s="799"/>
      <c r="AV630" s="799"/>
      <c r="AW630" s="799"/>
      <c r="AX630" s="799"/>
      <c r="AY630" s="799"/>
      <c r="AZ630" s="799"/>
      <c r="BA630" s="799"/>
      <c r="BB630" s="799"/>
      <c r="BC630" s="799"/>
      <c r="BD630" s="799"/>
      <c r="BE630" s="799"/>
      <c r="BF630" s="799"/>
      <c r="BG630" s="799"/>
    </row>
    <row r="631">
      <c r="H631" s="799"/>
      <c r="I631" s="799"/>
      <c r="J631" s="799"/>
      <c r="K631" s="799"/>
      <c r="L631" s="799"/>
      <c r="M631" s="799"/>
      <c r="N631" s="799"/>
      <c r="O631" s="799"/>
      <c r="P631" s="799"/>
      <c r="Q631" s="799"/>
      <c r="R631" s="799"/>
      <c r="S631" s="799"/>
      <c r="T631" s="799"/>
      <c r="U631" s="799"/>
      <c r="V631" s="799"/>
      <c r="W631" s="799"/>
      <c r="X631" s="799"/>
      <c r="Y631" s="799"/>
      <c r="Z631" s="799"/>
      <c r="AA631" s="799"/>
      <c r="AB631" s="799"/>
      <c r="AC631" s="799"/>
      <c r="AD631" s="799"/>
      <c r="AE631" s="799"/>
      <c r="AF631" s="799"/>
      <c r="AG631" s="799"/>
      <c r="AH631" s="799"/>
      <c r="AI631" s="799"/>
      <c r="AJ631" s="799"/>
      <c r="AK631" s="799"/>
      <c r="AL631" s="799"/>
      <c r="AM631" s="799"/>
      <c r="AN631" s="799"/>
      <c r="AO631" s="799"/>
      <c r="AP631" s="799"/>
      <c r="AQ631" s="799"/>
      <c r="AR631" s="799"/>
      <c r="AS631" s="799"/>
      <c r="AT631" s="799"/>
      <c r="AU631" s="799"/>
      <c r="AV631" s="799"/>
      <c r="AW631" s="799"/>
      <c r="AX631" s="799"/>
      <c r="AY631" s="799"/>
      <c r="AZ631" s="799"/>
      <c r="BA631" s="799"/>
      <c r="BB631" s="799"/>
      <c r="BC631" s="799"/>
      <c r="BD631" s="799"/>
      <c r="BE631" s="799"/>
      <c r="BF631" s="799"/>
      <c r="BG631" s="799"/>
    </row>
    <row r="632">
      <c r="H632" s="799"/>
      <c r="I632" s="799"/>
      <c r="J632" s="799"/>
      <c r="K632" s="799"/>
      <c r="L632" s="799"/>
      <c r="M632" s="799"/>
      <c r="N632" s="799"/>
      <c r="O632" s="799"/>
      <c r="P632" s="799"/>
      <c r="Q632" s="799"/>
      <c r="R632" s="799"/>
      <c r="S632" s="799"/>
      <c r="T632" s="799"/>
      <c r="U632" s="799"/>
      <c r="V632" s="799"/>
      <c r="W632" s="799"/>
      <c r="X632" s="799"/>
      <c r="Y632" s="799"/>
      <c r="Z632" s="799"/>
      <c r="AA632" s="799"/>
      <c r="AB632" s="799"/>
      <c r="AC632" s="799"/>
      <c r="AD632" s="799"/>
      <c r="AE632" s="799"/>
      <c r="AF632" s="799"/>
      <c r="AG632" s="799"/>
      <c r="AH632" s="799"/>
      <c r="AI632" s="799"/>
      <c r="AJ632" s="799"/>
      <c r="AK632" s="799"/>
      <c r="AL632" s="799"/>
      <c r="AM632" s="799"/>
      <c r="AN632" s="799"/>
      <c r="AO632" s="799"/>
      <c r="AP632" s="799"/>
      <c r="AQ632" s="799"/>
      <c r="AR632" s="799"/>
      <c r="AS632" s="799"/>
      <c r="AT632" s="799"/>
      <c r="AU632" s="799"/>
      <c r="AV632" s="799"/>
      <c r="AW632" s="799"/>
      <c r="AX632" s="799"/>
      <c r="AY632" s="799"/>
      <c r="AZ632" s="799"/>
      <c r="BA632" s="799"/>
      <c r="BB632" s="799"/>
      <c r="BC632" s="799"/>
      <c r="BD632" s="799"/>
      <c r="BE632" s="799"/>
      <c r="BF632" s="799"/>
      <c r="BG632" s="799"/>
    </row>
    <row r="633">
      <c r="H633" s="799"/>
      <c r="I633" s="799"/>
      <c r="J633" s="799"/>
      <c r="K633" s="799"/>
      <c r="L633" s="799"/>
      <c r="M633" s="799"/>
      <c r="N633" s="799"/>
      <c r="O633" s="799"/>
      <c r="P633" s="799"/>
      <c r="Q633" s="799"/>
      <c r="R633" s="799"/>
      <c r="S633" s="799"/>
      <c r="T633" s="799"/>
      <c r="U633" s="799"/>
      <c r="V633" s="799"/>
      <c r="W633" s="799"/>
      <c r="X633" s="799"/>
      <c r="Y633" s="799"/>
      <c r="Z633" s="799"/>
      <c r="AA633" s="799"/>
      <c r="AB633" s="799"/>
      <c r="AC633" s="799"/>
      <c r="AD633" s="799"/>
      <c r="AE633" s="799"/>
      <c r="AF633" s="799"/>
      <c r="AG633" s="799"/>
      <c r="AH633" s="799"/>
      <c r="AI633" s="799"/>
      <c r="AJ633" s="799"/>
      <c r="AK633" s="799"/>
      <c r="AL633" s="799"/>
      <c r="AM633" s="799"/>
      <c r="AN633" s="799"/>
      <c r="AO633" s="799"/>
      <c r="AP633" s="799"/>
      <c r="AQ633" s="799"/>
      <c r="AR633" s="799"/>
      <c r="AS633" s="799"/>
      <c r="AT633" s="799"/>
      <c r="AU633" s="799"/>
      <c r="AV633" s="799"/>
      <c r="AW633" s="799"/>
      <c r="AX633" s="799"/>
      <c r="AY633" s="799"/>
      <c r="AZ633" s="799"/>
      <c r="BA633" s="799"/>
      <c r="BB633" s="799"/>
      <c r="BC633" s="799"/>
      <c r="BD633" s="799"/>
      <c r="BE633" s="799"/>
      <c r="BF633" s="799"/>
      <c r="BG633" s="799"/>
    </row>
    <row r="634">
      <c r="H634" s="799"/>
      <c r="I634" s="799"/>
      <c r="J634" s="799"/>
      <c r="K634" s="799"/>
      <c r="L634" s="799"/>
      <c r="M634" s="799"/>
      <c r="N634" s="799"/>
      <c r="O634" s="799"/>
      <c r="P634" s="799"/>
      <c r="Q634" s="799"/>
      <c r="R634" s="799"/>
      <c r="S634" s="799"/>
      <c r="T634" s="799"/>
      <c r="U634" s="799"/>
      <c r="V634" s="799"/>
      <c r="W634" s="799"/>
      <c r="X634" s="799"/>
      <c r="Y634" s="799"/>
      <c r="Z634" s="799"/>
      <c r="AA634" s="799"/>
      <c r="AB634" s="799"/>
      <c r="AC634" s="799"/>
      <c r="AD634" s="799"/>
      <c r="AE634" s="799"/>
      <c r="AF634" s="799"/>
      <c r="AG634" s="799"/>
      <c r="AH634" s="799"/>
      <c r="AI634" s="799"/>
      <c r="AJ634" s="799"/>
      <c r="AK634" s="799"/>
      <c r="AL634" s="799"/>
      <c r="AM634" s="799"/>
      <c r="AN634" s="799"/>
      <c r="AO634" s="799"/>
      <c r="AP634" s="799"/>
      <c r="AQ634" s="799"/>
      <c r="AR634" s="799"/>
      <c r="AS634" s="799"/>
      <c r="AT634" s="799"/>
      <c r="AU634" s="799"/>
      <c r="AV634" s="799"/>
      <c r="AW634" s="799"/>
      <c r="AX634" s="799"/>
      <c r="AY634" s="799"/>
      <c r="AZ634" s="799"/>
      <c r="BA634" s="799"/>
      <c r="BB634" s="799"/>
      <c r="BC634" s="799"/>
      <c r="BD634" s="799"/>
      <c r="BE634" s="799"/>
      <c r="BF634" s="799"/>
      <c r="BG634" s="799"/>
    </row>
    <row r="635">
      <c r="H635" s="799"/>
      <c r="I635" s="799"/>
      <c r="J635" s="799"/>
      <c r="K635" s="799"/>
      <c r="L635" s="799"/>
      <c r="M635" s="799"/>
      <c r="N635" s="799"/>
      <c r="O635" s="799"/>
      <c r="P635" s="799"/>
      <c r="Q635" s="799"/>
      <c r="R635" s="799"/>
      <c r="S635" s="799"/>
      <c r="T635" s="799"/>
      <c r="U635" s="799"/>
      <c r="V635" s="799"/>
      <c r="W635" s="799"/>
      <c r="X635" s="799"/>
      <c r="Y635" s="799"/>
      <c r="Z635" s="799"/>
      <c r="AA635" s="799"/>
      <c r="AB635" s="799"/>
      <c r="AC635" s="799"/>
      <c r="AD635" s="799"/>
      <c r="AE635" s="799"/>
      <c r="AF635" s="799"/>
      <c r="AG635" s="799"/>
      <c r="AH635" s="799"/>
      <c r="AI635" s="799"/>
      <c r="AJ635" s="799"/>
      <c r="AK635" s="799"/>
      <c r="AL635" s="799"/>
      <c r="AM635" s="799"/>
      <c r="AN635" s="799"/>
      <c r="AO635" s="799"/>
      <c r="AP635" s="799"/>
      <c r="AQ635" s="799"/>
      <c r="AR635" s="799"/>
      <c r="AS635" s="799"/>
      <c r="AT635" s="799"/>
      <c r="AU635" s="799"/>
      <c r="AV635" s="799"/>
      <c r="AW635" s="799"/>
      <c r="AX635" s="799"/>
      <c r="AY635" s="799"/>
      <c r="AZ635" s="799"/>
      <c r="BA635" s="799"/>
      <c r="BB635" s="799"/>
      <c r="BC635" s="799"/>
      <c r="BD635" s="799"/>
      <c r="BE635" s="799"/>
      <c r="BF635" s="799"/>
      <c r="BG635" s="799"/>
    </row>
    <row r="636">
      <c r="H636" s="799"/>
      <c r="I636" s="799"/>
      <c r="J636" s="799"/>
      <c r="K636" s="799"/>
      <c r="L636" s="799"/>
      <c r="M636" s="799"/>
      <c r="N636" s="799"/>
      <c r="O636" s="799"/>
      <c r="P636" s="799"/>
      <c r="Q636" s="799"/>
      <c r="R636" s="799"/>
      <c r="S636" s="799"/>
      <c r="T636" s="799"/>
      <c r="U636" s="799"/>
      <c r="V636" s="799"/>
      <c r="W636" s="799"/>
      <c r="X636" s="799"/>
      <c r="Y636" s="799"/>
      <c r="Z636" s="799"/>
      <c r="AA636" s="799"/>
      <c r="AB636" s="799"/>
      <c r="AC636" s="799"/>
      <c r="AD636" s="799"/>
      <c r="AE636" s="799"/>
      <c r="AF636" s="799"/>
      <c r="AG636" s="799"/>
      <c r="AH636" s="799"/>
      <c r="AI636" s="799"/>
      <c r="AJ636" s="799"/>
      <c r="AK636" s="799"/>
      <c r="AL636" s="799"/>
      <c r="AM636" s="799"/>
      <c r="AN636" s="799"/>
      <c r="AO636" s="799"/>
      <c r="AP636" s="799"/>
      <c r="AQ636" s="799"/>
      <c r="AR636" s="799"/>
      <c r="AS636" s="799"/>
      <c r="AT636" s="799"/>
      <c r="AU636" s="799"/>
      <c r="AV636" s="799"/>
      <c r="AW636" s="799"/>
      <c r="AX636" s="799"/>
      <c r="AY636" s="799"/>
      <c r="AZ636" s="799"/>
      <c r="BA636" s="799"/>
      <c r="BB636" s="799"/>
      <c r="BC636" s="799"/>
      <c r="BD636" s="799"/>
      <c r="BE636" s="799"/>
      <c r="BF636" s="799"/>
      <c r="BG636" s="799"/>
    </row>
    <row r="637">
      <c r="H637" s="799"/>
      <c r="I637" s="799"/>
      <c r="J637" s="799"/>
      <c r="K637" s="799"/>
      <c r="L637" s="799"/>
      <c r="M637" s="799"/>
      <c r="N637" s="799"/>
      <c r="O637" s="799"/>
      <c r="P637" s="799"/>
      <c r="Q637" s="799"/>
      <c r="R637" s="799"/>
      <c r="S637" s="799"/>
      <c r="T637" s="799"/>
      <c r="U637" s="799"/>
      <c r="V637" s="799"/>
      <c r="W637" s="799"/>
      <c r="X637" s="799"/>
      <c r="Y637" s="799"/>
      <c r="Z637" s="799"/>
      <c r="AA637" s="799"/>
      <c r="AB637" s="799"/>
      <c r="AC637" s="799"/>
      <c r="AD637" s="799"/>
      <c r="AE637" s="799"/>
      <c r="AF637" s="799"/>
      <c r="AG637" s="799"/>
      <c r="AH637" s="799"/>
      <c r="AI637" s="799"/>
      <c r="AJ637" s="799"/>
      <c r="AK637" s="799"/>
      <c r="AL637" s="799"/>
      <c r="AM637" s="799"/>
      <c r="AN637" s="799"/>
      <c r="AO637" s="799"/>
      <c r="AP637" s="799"/>
      <c r="AQ637" s="799"/>
      <c r="AR637" s="799"/>
      <c r="AS637" s="799"/>
      <c r="AT637" s="799"/>
      <c r="AU637" s="799"/>
      <c r="AV637" s="799"/>
      <c r="AW637" s="799"/>
      <c r="AX637" s="799"/>
      <c r="AY637" s="799"/>
      <c r="AZ637" s="799"/>
      <c r="BA637" s="799"/>
      <c r="BB637" s="799"/>
      <c r="BC637" s="799"/>
      <c r="BD637" s="799"/>
      <c r="BE637" s="799"/>
      <c r="BF637" s="799"/>
      <c r="BG637" s="799"/>
    </row>
    <row r="638">
      <c r="H638" s="799"/>
      <c r="I638" s="799"/>
      <c r="J638" s="799"/>
      <c r="K638" s="799"/>
      <c r="L638" s="799"/>
      <c r="M638" s="799"/>
      <c r="N638" s="799"/>
      <c r="O638" s="799"/>
      <c r="P638" s="799"/>
      <c r="Q638" s="799"/>
      <c r="R638" s="799"/>
      <c r="S638" s="799"/>
      <c r="T638" s="799"/>
      <c r="U638" s="799"/>
      <c r="V638" s="799"/>
      <c r="W638" s="799"/>
      <c r="X638" s="799"/>
      <c r="Y638" s="799"/>
      <c r="Z638" s="799"/>
      <c r="AA638" s="799"/>
      <c r="AB638" s="799"/>
      <c r="AC638" s="799"/>
      <c r="AD638" s="799"/>
      <c r="AE638" s="799"/>
      <c r="AF638" s="799"/>
      <c r="AG638" s="799"/>
      <c r="AH638" s="799"/>
      <c r="AI638" s="799"/>
      <c r="AJ638" s="799"/>
      <c r="AK638" s="799"/>
      <c r="AL638" s="799"/>
      <c r="AM638" s="799"/>
      <c r="AN638" s="799"/>
      <c r="AO638" s="799"/>
      <c r="AP638" s="799"/>
      <c r="AQ638" s="799"/>
      <c r="AR638" s="799"/>
      <c r="AS638" s="799"/>
      <c r="AT638" s="799"/>
      <c r="AU638" s="799"/>
      <c r="AV638" s="799"/>
      <c r="AW638" s="799"/>
      <c r="AX638" s="799"/>
      <c r="AY638" s="799"/>
      <c r="AZ638" s="799"/>
      <c r="BA638" s="799"/>
      <c r="BB638" s="799"/>
      <c r="BC638" s="799"/>
      <c r="BD638" s="799"/>
      <c r="BE638" s="799"/>
      <c r="BF638" s="799"/>
      <c r="BG638" s="799"/>
    </row>
    <row r="639">
      <c r="H639" s="799"/>
      <c r="I639" s="799"/>
      <c r="J639" s="799"/>
      <c r="K639" s="799"/>
      <c r="L639" s="799"/>
      <c r="M639" s="799"/>
      <c r="N639" s="799"/>
      <c r="O639" s="799"/>
      <c r="P639" s="799"/>
      <c r="Q639" s="799"/>
      <c r="R639" s="799"/>
      <c r="S639" s="799"/>
      <c r="T639" s="799"/>
      <c r="U639" s="799"/>
      <c r="V639" s="799"/>
      <c r="W639" s="799"/>
      <c r="X639" s="799"/>
      <c r="Y639" s="799"/>
      <c r="Z639" s="799"/>
      <c r="AA639" s="799"/>
      <c r="AB639" s="799"/>
      <c r="AC639" s="799"/>
      <c r="AD639" s="799"/>
      <c r="AE639" s="799"/>
      <c r="AF639" s="799"/>
      <c r="AG639" s="799"/>
      <c r="AH639" s="799"/>
      <c r="AI639" s="799"/>
      <c r="AJ639" s="799"/>
      <c r="AK639" s="799"/>
      <c r="AL639" s="799"/>
      <c r="AM639" s="799"/>
      <c r="AN639" s="799"/>
      <c r="AO639" s="799"/>
      <c r="AP639" s="799"/>
      <c r="AQ639" s="799"/>
      <c r="AR639" s="799"/>
      <c r="AS639" s="799"/>
      <c r="AT639" s="799"/>
      <c r="AU639" s="799"/>
      <c r="AV639" s="799"/>
      <c r="AW639" s="799"/>
      <c r="AX639" s="799"/>
      <c r="AY639" s="799"/>
      <c r="AZ639" s="799"/>
      <c r="BA639" s="799"/>
      <c r="BB639" s="799"/>
      <c r="BC639" s="799"/>
      <c r="BD639" s="799"/>
      <c r="BE639" s="799"/>
      <c r="BF639" s="799"/>
      <c r="BG639" s="799"/>
    </row>
    <row r="640">
      <c r="H640" s="799"/>
      <c r="I640" s="799"/>
      <c r="J640" s="799"/>
      <c r="K640" s="799"/>
      <c r="L640" s="799"/>
      <c r="M640" s="799"/>
      <c r="N640" s="799"/>
      <c r="O640" s="799"/>
      <c r="P640" s="799"/>
      <c r="Q640" s="799"/>
      <c r="R640" s="799"/>
      <c r="S640" s="799"/>
      <c r="T640" s="799"/>
      <c r="U640" s="799"/>
      <c r="V640" s="799"/>
      <c r="W640" s="799"/>
      <c r="X640" s="799"/>
      <c r="Y640" s="799"/>
      <c r="Z640" s="799"/>
      <c r="AA640" s="799"/>
      <c r="AB640" s="799"/>
      <c r="AC640" s="799"/>
      <c r="AD640" s="799"/>
      <c r="AE640" s="799"/>
      <c r="AF640" s="799"/>
      <c r="AG640" s="799"/>
      <c r="AH640" s="799"/>
      <c r="AI640" s="799"/>
      <c r="AJ640" s="799"/>
      <c r="AK640" s="799"/>
      <c r="AL640" s="799"/>
      <c r="AM640" s="799"/>
      <c r="AN640" s="799"/>
      <c r="AO640" s="799"/>
      <c r="AP640" s="799"/>
      <c r="AQ640" s="799"/>
      <c r="AR640" s="799"/>
      <c r="AS640" s="799"/>
      <c r="AT640" s="799"/>
      <c r="AU640" s="799"/>
      <c r="AV640" s="799"/>
      <c r="AW640" s="799"/>
      <c r="AX640" s="799"/>
      <c r="AY640" s="799"/>
      <c r="AZ640" s="799"/>
      <c r="BA640" s="799"/>
      <c r="BB640" s="799"/>
      <c r="BC640" s="799"/>
      <c r="BD640" s="799"/>
      <c r="BE640" s="799"/>
      <c r="BF640" s="799"/>
      <c r="BG640" s="799"/>
    </row>
    <row r="641">
      <c r="H641" s="799"/>
      <c r="I641" s="799"/>
      <c r="J641" s="799"/>
      <c r="K641" s="799"/>
      <c r="L641" s="799"/>
      <c r="M641" s="799"/>
      <c r="N641" s="799"/>
      <c r="O641" s="799"/>
      <c r="P641" s="799"/>
      <c r="Q641" s="799"/>
      <c r="R641" s="799"/>
      <c r="S641" s="799"/>
      <c r="T641" s="799"/>
      <c r="U641" s="799"/>
      <c r="V641" s="799"/>
      <c r="W641" s="799"/>
      <c r="X641" s="799"/>
      <c r="Y641" s="799"/>
      <c r="Z641" s="799"/>
      <c r="AA641" s="799"/>
      <c r="AB641" s="799"/>
      <c r="AC641" s="799"/>
      <c r="AD641" s="799"/>
      <c r="AE641" s="799"/>
      <c r="AF641" s="799"/>
      <c r="AG641" s="799"/>
      <c r="AH641" s="799"/>
      <c r="AI641" s="799"/>
      <c r="AJ641" s="799"/>
      <c r="AK641" s="799"/>
      <c r="AL641" s="799"/>
      <c r="AM641" s="799"/>
      <c r="AN641" s="799"/>
      <c r="AO641" s="799"/>
      <c r="AP641" s="799"/>
      <c r="AQ641" s="799"/>
      <c r="AR641" s="799"/>
      <c r="AS641" s="799"/>
      <c r="AT641" s="799"/>
      <c r="AU641" s="799"/>
      <c r="AV641" s="799"/>
      <c r="AW641" s="799"/>
      <c r="AX641" s="799"/>
      <c r="AY641" s="799"/>
      <c r="AZ641" s="799"/>
      <c r="BA641" s="799"/>
      <c r="BB641" s="799"/>
      <c r="BC641" s="799"/>
      <c r="BD641" s="799"/>
      <c r="BE641" s="799"/>
      <c r="BF641" s="799"/>
      <c r="BG641" s="799"/>
    </row>
    <row r="642">
      <c r="H642" s="799"/>
      <c r="I642" s="799"/>
      <c r="J642" s="799"/>
      <c r="K642" s="799"/>
      <c r="L642" s="799"/>
      <c r="M642" s="799"/>
      <c r="N642" s="799"/>
      <c r="O642" s="799"/>
      <c r="P642" s="799"/>
      <c r="Q642" s="799"/>
      <c r="R642" s="799"/>
      <c r="S642" s="799"/>
      <c r="T642" s="799"/>
      <c r="U642" s="799"/>
      <c r="V642" s="799"/>
      <c r="W642" s="799"/>
      <c r="X642" s="799"/>
      <c r="Y642" s="799"/>
      <c r="Z642" s="799"/>
      <c r="AA642" s="799"/>
      <c r="AB642" s="799"/>
      <c r="AC642" s="799"/>
      <c r="AD642" s="799"/>
      <c r="AE642" s="799"/>
      <c r="AF642" s="799"/>
      <c r="AG642" s="799"/>
      <c r="AH642" s="799"/>
      <c r="AI642" s="799"/>
      <c r="AJ642" s="799"/>
      <c r="AK642" s="799"/>
      <c r="AL642" s="799"/>
      <c r="AM642" s="799"/>
      <c r="AN642" s="799"/>
      <c r="AO642" s="799"/>
      <c r="AP642" s="799"/>
      <c r="AQ642" s="799"/>
      <c r="AR642" s="799"/>
      <c r="AS642" s="799"/>
      <c r="AT642" s="799"/>
      <c r="AU642" s="799"/>
      <c r="AV642" s="799"/>
      <c r="AW642" s="799"/>
      <c r="AX642" s="799"/>
      <c r="AY642" s="799"/>
      <c r="AZ642" s="799"/>
      <c r="BA642" s="799"/>
      <c r="BB642" s="799"/>
      <c r="BC642" s="799"/>
      <c r="BD642" s="799"/>
      <c r="BE642" s="799"/>
      <c r="BF642" s="799"/>
      <c r="BG642" s="799"/>
    </row>
    <row r="643">
      <c r="H643" s="799"/>
      <c r="I643" s="799"/>
      <c r="J643" s="799"/>
      <c r="K643" s="799"/>
      <c r="L643" s="799"/>
      <c r="M643" s="799"/>
      <c r="N643" s="799"/>
      <c r="O643" s="799"/>
      <c r="P643" s="799"/>
      <c r="Q643" s="799"/>
      <c r="R643" s="799"/>
      <c r="S643" s="799"/>
      <c r="T643" s="799"/>
      <c r="U643" s="799"/>
      <c r="V643" s="799"/>
      <c r="W643" s="799"/>
      <c r="X643" s="799"/>
      <c r="Y643" s="799"/>
      <c r="Z643" s="799"/>
      <c r="AA643" s="799"/>
      <c r="AB643" s="799"/>
      <c r="AC643" s="799"/>
      <c r="AD643" s="799"/>
      <c r="AE643" s="799"/>
      <c r="AF643" s="799"/>
      <c r="AG643" s="799"/>
      <c r="AH643" s="799"/>
      <c r="AI643" s="799"/>
      <c r="AJ643" s="799"/>
      <c r="AK643" s="799"/>
      <c r="AL643" s="799"/>
      <c r="AM643" s="799"/>
      <c r="AN643" s="799"/>
      <c r="AO643" s="799"/>
      <c r="AP643" s="799"/>
      <c r="AQ643" s="799"/>
      <c r="AR643" s="799"/>
      <c r="AS643" s="799"/>
      <c r="AT643" s="799"/>
      <c r="AU643" s="799"/>
      <c r="AV643" s="799"/>
      <c r="AW643" s="799"/>
      <c r="AX643" s="799"/>
      <c r="AY643" s="799"/>
      <c r="AZ643" s="799"/>
      <c r="BA643" s="799"/>
      <c r="BB643" s="799"/>
      <c r="BC643" s="799"/>
      <c r="BD643" s="799"/>
      <c r="BE643" s="799"/>
      <c r="BF643" s="799"/>
      <c r="BG643" s="799"/>
    </row>
    <row r="644">
      <c r="H644" s="799"/>
      <c r="I644" s="799"/>
      <c r="J644" s="799"/>
      <c r="K644" s="799"/>
      <c r="L644" s="799"/>
      <c r="M644" s="799"/>
      <c r="N644" s="799"/>
      <c r="O644" s="799"/>
      <c r="P644" s="799"/>
      <c r="Q644" s="799"/>
      <c r="R644" s="799"/>
      <c r="S644" s="799"/>
      <c r="T644" s="799"/>
      <c r="U644" s="799"/>
      <c r="V644" s="799"/>
      <c r="W644" s="799"/>
      <c r="X644" s="799"/>
      <c r="Y644" s="799"/>
      <c r="Z644" s="799"/>
      <c r="AA644" s="799"/>
      <c r="AB644" s="799"/>
      <c r="AC644" s="799"/>
      <c r="AD644" s="799"/>
      <c r="AE644" s="799"/>
      <c r="AF644" s="799"/>
      <c r="AG644" s="799"/>
      <c r="AH644" s="799"/>
      <c r="AI644" s="799"/>
      <c r="AJ644" s="799"/>
      <c r="AK644" s="799"/>
      <c r="AL644" s="799"/>
      <c r="AM644" s="799"/>
      <c r="AN644" s="799"/>
      <c r="AO644" s="799"/>
      <c r="AP644" s="799"/>
      <c r="AQ644" s="799"/>
      <c r="AR644" s="799"/>
      <c r="AS644" s="799"/>
      <c r="AT644" s="799"/>
      <c r="AU644" s="799"/>
      <c r="AV644" s="799"/>
      <c r="AW644" s="799"/>
      <c r="AX644" s="799"/>
      <c r="AY644" s="799"/>
      <c r="AZ644" s="799"/>
      <c r="BA644" s="799"/>
      <c r="BB644" s="799"/>
      <c r="BC644" s="799"/>
      <c r="BD644" s="799"/>
      <c r="BE644" s="799"/>
      <c r="BF644" s="799"/>
      <c r="BG644" s="799"/>
    </row>
    <row r="645">
      <c r="H645" s="799"/>
      <c r="I645" s="799"/>
      <c r="J645" s="799"/>
      <c r="K645" s="799"/>
      <c r="L645" s="799"/>
      <c r="M645" s="799"/>
      <c r="N645" s="799"/>
      <c r="O645" s="799"/>
      <c r="P645" s="799"/>
      <c r="Q645" s="799"/>
      <c r="R645" s="799"/>
      <c r="S645" s="799"/>
      <c r="T645" s="799"/>
      <c r="U645" s="799"/>
      <c r="V645" s="799"/>
      <c r="W645" s="799"/>
      <c r="X645" s="799"/>
      <c r="Y645" s="799"/>
      <c r="Z645" s="799"/>
      <c r="AA645" s="799"/>
      <c r="AB645" s="799"/>
      <c r="AC645" s="799"/>
      <c r="AD645" s="799"/>
      <c r="AE645" s="799"/>
      <c r="AF645" s="799"/>
      <c r="AG645" s="799"/>
      <c r="AH645" s="799"/>
      <c r="AI645" s="799"/>
      <c r="AJ645" s="799"/>
      <c r="AK645" s="799"/>
      <c r="AL645" s="799"/>
      <c r="AM645" s="799"/>
      <c r="AN645" s="799"/>
      <c r="AO645" s="799"/>
      <c r="AP645" s="799"/>
      <c r="AQ645" s="799"/>
      <c r="AR645" s="799"/>
      <c r="AS645" s="799"/>
      <c r="AT645" s="799"/>
      <c r="AU645" s="799"/>
      <c r="AV645" s="799"/>
      <c r="AW645" s="799"/>
      <c r="AX645" s="799"/>
      <c r="AY645" s="799"/>
      <c r="AZ645" s="799"/>
      <c r="BA645" s="799"/>
      <c r="BB645" s="799"/>
      <c r="BC645" s="799"/>
      <c r="BD645" s="799"/>
      <c r="BE645" s="799"/>
      <c r="BF645" s="799"/>
      <c r="BG645" s="799"/>
    </row>
    <row r="646">
      <c r="H646" s="799"/>
      <c r="I646" s="799"/>
      <c r="J646" s="799"/>
      <c r="K646" s="799"/>
      <c r="L646" s="799"/>
      <c r="M646" s="799"/>
      <c r="N646" s="799"/>
      <c r="O646" s="799"/>
      <c r="P646" s="799"/>
      <c r="Q646" s="799"/>
      <c r="R646" s="799"/>
      <c r="S646" s="799"/>
      <c r="T646" s="799"/>
      <c r="U646" s="799"/>
      <c r="V646" s="799"/>
      <c r="W646" s="799"/>
      <c r="X646" s="799"/>
      <c r="Y646" s="799"/>
      <c r="Z646" s="799"/>
      <c r="AA646" s="799"/>
      <c r="AB646" s="799"/>
      <c r="AC646" s="799"/>
      <c r="AD646" s="799"/>
      <c r="AE646" s="799"/>
      <c r="AF646" s="799"/>
      <c r="AG646" s="799"/>
      <c r="AH646" s="799"/>
      <c r="AI646" s="799"/>
      <c r="AJ646" s="799"/>
      <c r="AK646" s="799"/>
      <c r="AL646" s="799"/>
      <c r="AM646" s="799"/>
      <c r="AN646" s="799"/>
      <c r="AO646" s="799"/>
      <c r="AP646" s="799"/>
      <c r="AQ646" s="799"/>
      <c r="AR646" s="799"/>
      <c r="AS646" s="799"/>
      <c r="AT646" s="799"/>
      <c r="AU646" s="799"/>
      <c r="AV646" s="799"/>
      <c r="AW646" s="799"/>
      <c r="AX646" s="799"/>
      <c r="AY646" s="799"/>
      <c r="AZ646" s="799"/>
      <c r="BA646" s="799"/>
      <c r="BB646" s="799"/>
      <c r="BC646" s="799"/>
      <c r="BD646" s="799"/>
      <c r="BE646" s="799"/>
      <c r="BF646" s="799"/>
      <c r="BG646" s="799"/>
    </row>
    <row r="647">
      <c r="H647" s="799"/>
      <c r="I647" s="799"/>
      <c r="J647" s="799"/>
      <c r="K647" s="799"/>
      <c r="L647" s="799"/>
      <c r="M647" s="799"/>
      <c r="N647" s="799"/>
      <c r="O647" s="799"/>
      <c r="P647" s="799"/>
      <c r="Q647" s="799"/>
      <c r="R647" s="799"/>
      <c r="S647" s="799"/>
      <c r="T647" s="799"/>
      <c r="U647" s="799"/>
      <c r="V647" s="799"/>
      <c r="W647" s="799"/>
      <c r="X647" s="799"/>
      <c r="Y647" s="799"/>
      <c r="Z647" s="799"/>
      <c r="AA647" s="799"/>
      <c r="AB647" s="799"/>
      <c r="AC647" s="799"/>
      <c r="AD647" s="799"/>
      <c r="AE647" s="799"/>
      <c r="AF647" s="799"/>
      <c r="AG647" s="799"/>
      <c r="AH647" s="799"/>
      <c r="AI647" s="799"/>
      <c r="AJ647" s="799"/>
      <c r="AK647" s="799"/>
      <c r="AL647" s="799"/>
      <c r="AM647" s="799"/>
      <c r="AN647" s="799"/>
      <c r="AO647" s="799"/>
      <c r="AP647" s="799"/>
      <c r="AQ647" s="799"/>
      <c r="AR647" s="799"/>
      <c r="AS647" s="799"/>
      <c r="AT647" s="799"/>
      <c r="AU647" s="799"/>
      <c r="AV647" s="799"/>
      <c r="AW647" s="799"/>
      <c r="AX647" s="799"/>
      <c r="AY647" s="799"/>
      <c r="AZ647" s="799"/>
      <c r="BA647" s="799"/>
      <c r="BB647" s="799"/>
      <c r="BC647" s="799"/>
      <c r="BD647" s="799"/>
      <c r="BE647" s="799"/>
      <c r="BF647" s="799"/>
      <c r="BG647" s="799"/>
    </row>
    <row r="648">
      <c r="H648" s="799"/>
      <c r="I648" s="799"/>
      <c r="J648" s="799"/>
      <c r="K648" s="799"/>
      <c r="L648" s="799"/>
      <c r="M648" s="799"/>
      <c r="N648" s="799"/>
      <c r="O648" s="799"/>
      <c r="P648" s="799"/>
      <c r="Q648" s="799"/>
      <c r="R648" s="799"/>
      <c r="S648" s="799"/>
      <c r="T648" s="799"/>
      <c r="U648" s="799"/>
      <c r="V648" s="799"/>
      <c r="W648" s="799"/>
      <c r="X648" s="799"/>
      <c r="Y648" s="799"/>
      <c r="Z648" s="799"/>
      <c r="AA648" s="799"/>
      <c r="AB648" s="799"/>
      <c r="AC648" s="799"/>
      <c r="AD648" s="799"/>
      <c r="AE648" s="799"/>
      <c r="AF648" s="799"/>
      <c r="AG648" s="799"/>
      <c r="AH648" s="799"/>
      <c r="AI648" s="799"/>
      <c r="AJ648" s="799"/>
      <c r="AK648" s="799"/>
      <c r="AL648" s="799"/>
      <c r="AM648" s="799"/>
      <c r="AN648" s="799"/>
      <c r="AO648" s="799"/>
      <c r="AP648" s="799"/>
      <c r="AQ648" s="799"/>
      <c r="AR648" s="799"/>
      <c r="AS648" s="799"/>
      <c r="AT648" s="799"/>
      <c r="AU648" s="799"/>
      <c r="AV648" s="799"/>
      <c r="AW648" s="799"/>
      <c r="AX648" s="799"/>
      <c r="AY648" s="799"/>
      <c r="AZ648" s="799"/>
      <c r="BA648" s="799"/>
      <c r="BB648" s="799"/>
      <c r="BC648" s="799"/>
      <c r="BD648" s="799"/>
      <c r="BE648" s="799"/>
      <c r="BF648" s="799"/>
      <c r="BG648" s="799"/>
    </row>
    <row r="649">
      <c r="H649" s="799"/>
      <c r="I649" s="799"/>
      <c r="J649" s="799"/>
      <c r="K649" s="799"/>
      <c r="L649" s="799"/>
      <c r="M649" s="799"/>
      <c r="N649" s="799"/>
      <c r="O649" s="799"/>
      <c r="P649" s="799"/>
      <c r="Q649" s="799"/>
      <c r="R649" s="799"/>
      <c r="S649" s="799"/>
      <c r="T649" s="799"/>
      <c r="U649" s="799"/>
      <c r="V649" s="799"/>
      <c r="W649" s="799"/>
      <c r="X649" s="799"/>
      <c r="Y649" s="799"/>
      <c r="Z649" s="799"/>
      <c r="AA649" s="799"/>
      <c r="AB649" s="799"/>
      <c r="AC649" s="799"/>
      <c r="AD649" s="799"/>
      <c r="AE649" s="799"/>
      <c r="AF649" s="799"/>
      <c r="AG649" s="799"/>
      <c r="AH649" s="799"/>
      <c r="AI649" s="799"/>
      <c r="AJ649" s="799"/>
      <c r="AK649" s="799"/>
      <c r="AL649" s="799"/>
      <c r="AM649" s="799"/>
      <c r="AN649" s="799"/>
      <c r="AO649" s="799"/>
      <c r="AP649" s="799"/>
      <c r="AQ649" s="799"/>
      <c r="AR649" s="799"/>
      <c r="AS649" s="799"/>
      <c r="AT649" s="799"/>
      <c r="AU649" s="799"/>
      <c r="AV649" s="799"/>
      <c r="AW649" s="799"/>
      <c r="AX649" s="799"/>
      <c r="AY649" s="799"/>
      <c r="AZ649" s="799"/>
      <c r="BA649" s="799"/>
      <c r="BB649" s="799"/>
      <c r="BC649" s="799"/>
      <c r="BD649" s="799"/>
      <c r="BE649" s="799"/>
      <c r="BF649" s="799"/>
      <c r="BG649" s="799"/>
    </row>
    <row r="650">
      <c r="H650" s="799"/>
      <c r="I650" s="799"/>
      <c r="J650" s="799"/>
      <c r="K650" s="799"/>
      <c r="L650" s="799"/>
      <c r="M650" s="799"/>
      <c r="N650" s="799"/>
      <c r="O650" s="799"/>
      <c r="P650" s="799"/>
      <c r="Q650" s="799"/>
      <c r="R650" s="799"/>
      <c r="S650" s="799"/>
      <c r="T650" s="799"/>
      <c r="U650" s="799"/>
      <c r="V650" s="799"/>
      <c r="W650" s="799"/>
      <c r="X650" s="799"/>
      <c r="Y650" s="799"/>
      <c r="Z650" s="799"/>
      <c r="AA650" s="799"/>
      <c r="AB650" s="799"/>
      <c r="AC650" s="799"/>
      <c r="AD650" s="799"/>
      <c r="AE650" s="799"/>
      <c r="AF650" s="799"/>
      <c r="AG650" s="799"/>
      <c r="AH650" s="799"/>
      <c r="AI650" s="799"/>
      <c r="AJ650" s="799"/>
      <c r="AK650" s="799"/>
      <c r="AL650" s="799"/>
      <c r="AM650" s="799"/>
      <c r="AN650" s="799"/>
      <c r="AO650" s="799"/>
      <c r="AP650" s="799"/>
      <c r="AQ650" s="799"/>
      <c r="AR650" s="799"/>
      <c r="AS650" s="799"/>
      <c r="AT650" s="799"/>
      <c r="AU650" s="799"/>
      <c r="AV650" s="799"/>
      <c r="AW650" s="799"/>
      <c r="AX650" s="799"/>
      <c r="AY650" s="799"/>
      <c r="AZ650" s="799"/>
      <c r="BA650" s="799"/>
      <c r="BB650" s="799"/>
      <c r="BC650" s="799"/>
      <c r="BD650" s="799"/>
      <c r="BE650" s="799"/>
      <c r="BF650" s="799"/>
      <c r="BG650" s="799"/>
    </row>
    <row r="651">
      <c r="H651" s="799"/>
      <c r="I651" s="799"/>
      <c r="J651" s="799"/>
      <c r="K651" s="799"/>
      <c r="L651" s="799"/>
      <c r="M651" s="799"/>
      <c r="N651" s="799"/>
      <c r="O651" s="799"/>
      <c r="P651" s="799"/>
      <c r="Q651" s="799"/>
      <c r="R651" s="799"/>
      <c r="S651" s="799"/>
      <c r="T651" s="799"/>
      <c r="U651" s="799"/>
      <c r="V651" s="799"/>
      <c r="W651" s="799"/>
      <c r="X651" s="799"/>
      <c r="Y651" s="799"/>
      <c r="Z651" s="799"/>
      <c r="AA651" s="799"/>
      <c r="AB651" s="799"/>
      <c r="AC651" s="799"/>
      <c r="AD651" s="799"/>
      <c r="AE651" s="799"/>
      <c r="AF651" s="799"/>
      <c r="AG651" s="799"/>
      <c r="AH651" s="799"/>
      <c r="AI651" s="799"/>
      <c r="AJ651" s="799"/>
      <c r="AK651" s="799"/>
      <c r="AL651" s="799"/>
      <c r="AM651" s="799"/>
      <c r="AN651" s="799"/>
      <c r="AO651" s="799"/>
      <c r="AP651" s="799"/>
      <c r="AQ651" s="799"/>
      <c r="AR651" s="799"/>
      <c r="AS651" s="799"/>
      <c r="AT651" s="799"/>
      <c r="AU651" s="799"/>
      <c r="AV651" s="799"/>
      <c r="AW651" s="799"/>
      <c r="AX651" s="799"/>
      <c r="AY651" s="799"/>
      <c r="AZ651" s="799"/>
      <c r="BA651" s="799"/>
      <c r="BB651" s="799"/>
      <c r="BC651" s="799"/>
      <c r="BD651" s="799"/>
      <c r="BE651" s="799"/>
      <c r="BF651" s="799"/>
      <c r="BG651" s="799"/>
    </row>
    <row r="652">
      <c r="H652" s="799"/>
      <c r="I652" s="799"/>
      <c r="J652" s="799"/>
      <c r="K652" s="799"/>
      <c r="L652" s="799"/>
      <c r="M652" s="799"/>
      <c r="N652" s="799"/>
      <c r="O652" s="799"/>
      <c r="P652" s="799"/>
      <c r="Q652" s="799"/>
      <c r="R652" s="799"/>
      <c r="S652" s="799"/>
      <c r="T652" s="799"/>
      <c r="U652" s="799"/>
      <c r="V652" s="799"/>
      <c r="W652" s="799"/>
      <c r="X652" s="799"/>
      <c r="Y652" s="799"/>
      <c r="Z652" s="799"/>
      <c r="AA652" s="799"/>
      <c r="AB652" s="799"/>
      <c r="AC652" s="799"/>
      <c r="AD652" s="799"/>
      <c r="AE652" s="799"/>
      <c r="AF652" s="799"/>
      <c r="AG652" s="799"/>
      <c r="AH652" s="799"/>
      <c r="AI652" s="799"/>
      <c r="AJ652" s="799"/>
      <c r="AK652" s="799"/>
      <c r="AL652" s="799"/>
      <c r="AM652" s="799"/>
      <c r="AN652" s="799"/>
      <c r="AO652" s="799"/>
      <c r="AP652" s="799"/>
      <c r="AQ652" s="799"/>
      <c r="AR652" s="799"/>
      <c r="AS652" s="799"/>
      <c r="AT652" s="799"/>
      <c r="AU652" s="799"/>
      <c r="AV652" s="799"/>
      <c r="AW652" s="799"/>
      <c r="AX652" s="799"/>
      <c r="AY652" s="799"/>
      <c r="AZ652" s="799"/>
      <c r="BA652" s="799"/>
      <c r="BB652" s="799"/>
      <c r="BC652" s="799"/>
      <c r="BD652" s="799"/>
      <c r="BE652" s="799"/>
      <c r="BF652" s="799"/>
      <c r="BG652" s="799"/>
    </row>
    <row r="653">
      <c r="H653" s="799"/>
      <c r="I653" s="799"/>
      <c r="J653" s="799"/>
      <c r="K653" s="799"/>
      <c r="L653" s="799"/>
      <c r="M653" s="799"/>
      <c r="N653" s="799"/>
      <c r="O653" s="799"/>
      <c r="P653" s="799"/>
      <c r="Q653" s="799"/>
      <c r="R653" s="799"/>
      <c r="S653" s="799"/>
      <c r="T653" s="799"/>
      <c r="U653" s="799"/>
      <c r="V653" s="799"/>
      <c r="W653" s="799"/>
      <c r="X653" s="799"/>
      <c r="Y653" s="799"/>
      <c r="Z653" s="799"/>
      <c r="AA653" s="799"/>
      <c r="AB653" s="799"/>
      <c r="AC653" s="799"/>
      <c r="AD653" s="799"/>
      <c r="AE653" s="799"/>
      <c r="AF653" s="799"/>
      <c r="AG653" s="799"/>
      <c r="AH653" s="799"/>
      <c r="AI653" s="799"/>
      <c r="AJ653" s="799"/>
      <c r="AK653" s="799"/>
      <c r="AL653" s="799"/>
      <c r="AM653" s="799"/>
      <c r="AN653" s="799"/>
      <c r="AO653" s="799"/>
      <c r="AP653" s="799"/>
      <c r="AQ653" s="799"/>
      <c r="AR653" s="799"/>
      <c r="AS653" s="799"/>
      <c r="AT653" s="799"/>
      <c r="AU653" s="799"/>
      <c r="AV653" s="799"/>
      <c r="AW653" s="799"/>
      <c r="AX653" s="799"/>
      <c r="AY653" s="799"/>
      <c r="AZ653" s="799"/>
      <c r="BA653" s="799"/>
      <c r="BB653" s="799"/>
      <c r="BC653" s="799"/>
      <c r="BD653" s="799"/>
      <c r="BE653" s="799"/>
      <c r="BF653" s="799"/>
      <c r="BG653" s="799"/>
    </row>
    <row r="654">
      <c r="H654" s="799"/>
      <c r="I654" s="799"/>
      <c r="J654" s="799"/>
      <c r="K654" s="799"/>
      <c r="L654" s="799"/>
      <c r="M654" s="799"/>
      <c r="N654" s="799"/>
      <c r="O654" s="799"/>
      <c r="P654" s="799"/>
      <c r="Q654" s="799"/>
      <c r="R654" s="799"/>
      <c r="S654" s="799"/>
      <c r="T654" s="799"/>
      <c r="U654" s="799"/>
      <c r="V654" s="799"/>
      <c r="W654" s="799"/>
      <c r="X654" s="799"/>
      <c r="Y654" s="799"/>
      <c r="Z654" s="799"/>
      <c r="AA654" s="799"/>
      <c r="AB654" s="799"/>
      <c r="AC654" s="799"/>
      <c r="AD654" s="799"/>
      <c r="AE654" s="799"/>
      <c r="AF654" s="799"/>
      <c r="AG654" s="799"/>
      <c r="AH654" s="799"/>
      <c r="AI654" s="799"/>
      <c r="AJ654" s="799"/>
      <c r="AK654" s="799"/>
      <c r="AL654" s="799"/>
      <c r="AM654" s="799"/>
      <c r="AN654" s="799"/>
      <c r="AO654" s="799"/>
      <c r="AP654" s="799"/>
      <c r="AQ654" s="799"/>
      <c r="AR654" s="799"/>
      <c r="AS654" s="799"/>
      <c r="AT654" s="799"/>
      <c r="AU654" s="799"/>
      <c r="AV654" s="799"/>
      <c r="AW654" s="799"/>
      <c r="AX654" s="799"/>
      <c r="AY654" s="799"/>
      <c r="AZ654" s="799"/>
      <c r="BA654" s="799"/>
      <c r="BB654" s="799"/>
      <c r="BC654" s="799"/>
      <c r="BD654" s="799"/>
      <c r="BE654" s="799"/>
      <c r="BF654" s="799"/>
      <c r="BG654" s="799"/>
    </row>
    <row r="655">
      <c r="H655" s="799"/>
      <c r="I655" s="799"/>
      <c r="J655" s="799"/>
      <c r="K655" s="799"/>
      <c r="L655" s="799"/>
      <c r="M655" s="799"/>
      <c r="N655" s="799"/>
      <c r="O655" s="799"/>
      <c r="P655" s="799"/>
      <c r="Q655" s="799"/>
      <c r="R655" s="799"/>
      <c r="S655" s="799"/>
      <c r="T655" s="799"/>
      <c r="U655" s="799"/>
      <c r="V655" s="799"/>
      <c r="W655" s="799"/>
      <c r="X655" s="799"/>
      <c r="Y655" s="799"/>
      <c r="Z655" s="799"/>
      <c r="AA655" s="799"/>
      <c r="AB655" s="799"/>
      <c r="AC655" s="799"/>
      <c r="AD655" s="799"/>
      <c r="AE655" s="799"/>
      <c r="AF655" s="799"/>
      <c r="AG655" s="799"/>
      <c r="AH655" s="799"/>
      <c r="AI655" s="799"/>
      <c r="AJ655" s="799"/>
      <c r="AK655" s="799"/>
      <c r="AL655" s="799"/>
      <c r="AM655" s="799"/>
      <c r="AN655" s="799"/>
      <c r="AO655" s="799"/>
      <c r="AP655" s="799"/>
      <c r="AQ655" s="799"/>
      <c r="AR655" s="799"/>
      <c r="AS655" s="799"/>
      <c r="AT655" s="799"/>
      <c r="AU655" s="799"/>
      <c r="AV655" s="799"/>
      <c r="AW655" s="799"/>
      <c r="AX655" s="799"/>
      <c r="AY655" s="799"/>
      <c r="AZ655" s="799"/>
      <c r="BA655" s="799"/>
      <c r="BB655" s="799"/>
      <c r="BC655" s="799"/>
      <c r="BD655" s="799"/>
      <c r="BE655" s="799"/>
      <c r="BF655" s="799"/>
      <c r="BG655" s="799"/>
    </row>
    <row r="656">
      <c r="H656" s="799"/>
      <c r="I656" s="799"/>
      <c r="J656" s="799"/>
      <c r="K656" s="799"/>
      <c r="L656" s="799"/>
      <c r="M656" s="799"/>
      <c r="N656" s="799"/>
      <c r="O656" s="799"/>
      <c r="P656" s="799"/>
      <c r="Q656" s="799"/>
      <c r="R656" s="799"/>
      <c r="S656" s="799"/>
      <c r="T656" s="799"/>
      <c r="U656" s="799"/>
      <c r="V656" s="799"/>
      <c r="W656" s="799"/>
      <c r="X656" s="799"/>
      <c r="Y656" s="799"/>
      <c r="Z656" s="799"/>
      <c r="AA656" s="799"/>
      <c r="AB656" s="799"/>
      <c r="AC656" s="799"/>
      <c r="AD656" s="799"/>
      <c r="AE656" s="799"/>
      <c r="AF656" s="799"/>
      <c r="AG656" s="799"/>
      <c r="AH656" s="799"/>
      <c r="AI656" s="799"/>
      <c r="AJ656" s="799"/>
      <c r="AK656" s="799"/>
      <c r="AL656" s="799"/>
      <c r="AM656" s="799"/>
      <c r="AN656" s="799"/>
      <c r="AO656" s="799"/>
      <c r="AP656" s="799"/>
      <c r="AQ656" s="799"/>
      <c r="AR656" s="799"/>
      <c r="AS656" s="799"/>
      <c r="AT656" s="799"/>
      <c r="AU656" s="799"/>
      <c r="AV656" s="799"/>
      <c r="AW656" s="799"/>
      <c r="AX656" s="799"/>
      <c r="AY656" s="799"/>
      <c r="AZ656" s="799"/>
      <c r="BA656" s="799"/>
      <c r="BB656" s="799"/>
      <c r="BC656" s="799"/>
      <c r="BD656" s="799"/>
      <c r="BE656" s="799"/>
      <c r="BF656" s="799"/>
      <c r="BG656" s="799"/>
    </row>
    <row r="657">
      <c r="H657" s="799"/>
      <c r="I657" s="799"/>
      <c r="J657" s="799"/>
      <c r="K657" s="799"/>
      <c r="L657" s="799"/>
      <c r="M657" s="799"/>
      <c r="N657" s="799"/>
      <c r="O657" s="799"/>
      <c r="P657" s="799"/>
      <c r="Q657" s="799"/>
      <c r="R657" s="799"/>
      <c r="S657" s="799"/>
      <c r="T657" s="799"/>
      <c r="U657" s="799"/>
      <c r="V657" s="799"/>
      <c r="W657" s="799"/>
      <c r="X657" s="799"/>
      <c r="Y657" s="799"/>
      <c r="Z657" s="799"/>
      <c r="AA657" s="799"/>
      <c r="AB657" s="799"/>
      <c r="AC657" s="799"/>
      <c r="AD657" s="799"/>
      <c r="AE657" s="799"/>
      <c r="AF657" s="799"/>
      <c r="AG657" s="799"/>
      <c r="AH657" s="799"/>
      <c r="AI657" s="799"/>
      <c r="AJ657" s="799"/>
      <c r="AK657" s="799"/>
      <c r="AL657" s="799"/>
      <c r="AM657" s="799"/>
      <c r="AN657" s="799"/>
      <c r="AO657" s="799"/>
      <c r="AP657" s="799"/>
      <c r="AQ657" s="799"/>
      <c r="AR657" s="799"/>
      <c r="AS657" s="799"/>
      <c r="AT657" s="799"/>
      <c r="AU657" s="799"/>
      <c r="AV657" s="799"/>
      <c r="AW657" s="799"/>
      <c r="AX657" s="799"/>
      <c r="AY657" s="799"/>
      <c r="AZ657" s="799"/>
      <c r="BA657" s="799"/>
      <c r="BB657" s="799"/>
      <c r="BC657" s="799"/>
      <c r="BD657" s="799"/>
      <c r="BE657" s="799"/>
      <c r="BF657" s="799"/>
      <c r="BG657" s="799"/>
    </row>
    <row r="658">
      <c r="H658" s="799"/>
      <c r="I658" s="799"/>
      <c r="J658" s="799"/>
      <c r="K658" s="799"/>
      <c r="L658" s="799"/>
      <c r="M658" s="799"/>
      <c r="N658" s="799"/>
      <c r="O658" s="799"/>
      <c r="P658" s="799"/>
      <c r="Q658" s="799"/>
      <c r="R658" s="799"/>
      <c r="S658" s="799"/>
      <c r="T658" s="799"/>
      <c r="U658" s="799"/>
      <c r="V658" s="799"/>
      <c r="W658" s="799"/>
      <c r="X658" s="799"/>
      <c r="Y658" s="799"/>
      <c r="Z658" s="799"/>
      <c r="AA658" s="799"/>
      <c r="AB658" s="799"/>
      <c r="AC658" s="799"/>
      <c r="AD658" s="799"/>
      <c r="AE658" s="799"/>
      <c r="AF658" s="799"/>
      <c r="AG658" s="799"/>
      <c r="AH658" s="799"/>
      <c r="AI658" s="799"/>
      <c r="AJ658" s="799"/>
      <c r="AK658" s="799"/>
      <c r="AL658" s="799"/>
      <c r="AM658" s="799"/>
      <c r="AN658" s="799"/>
      <c r="AO658" s="799"/>
      <c r="AP658" s="799"/>
      <c r="AQ658" s="799"/>
      <c r="AR658" s="799"/>
      <c r="AS658" s="799"/>
      <c r="AT658" s="799"/>
      <c r="AU658" s="799"/>
      <c r="AV658" s="799"/>
      <c r="AW658" s="799"/>
      <c r="AX658" s="799"/>
      <c r="AY658" s="799"/>
      <c r="AZ658" s="799"/>
      <c r="BA658" s="799"/>
      <c r="BB658" s="799"/>
      <c r="BC658" s="799"/>
      <c r="BD658" s="799"/>
      <c r="BE658" s="799"/>
      <c r="BF658" s="799"/>
      <c r="BG658" s="799"/>
    </row>
    <row r="659">
      <c r="H659" s="799"/>
      <c r="I659" s="799"/>
      <c r="J659" s="799"/>
      <c r="K659" s="799"/>
      <c r="L659" s="799"/>
      <c r="M659" s="799"/>
      <c r="N659" s="799"/>
      <c r="O659" s="799"/>
      <c r="P659" s="799"/>
      <c r="Q659" s="799"/>
      <c r="R659" s="799"/>
      <c r="S659" s="799"/>
      <c r="T659" s="799"/>
      <c r="U659" s="799"/>
      <c r="V659" s="799"/>
      <c r="W659" s="799"/>
      <c r="X659" s="799"/>
      <c r="Y659" s="799"/>
      <c r="Z659" s="799"/>
      <c r="AA659" s="799"/>
      <c r="AB659" s="799"/>
      <c r="AC659" s="799"/>
      <c r="AD659" s="799"/>
      <c r="AE659" s="799"/>
      <c r="AF659" s="799"/>
      <c r="AG659" s="799"/>
      <c r="AH659" s="799"/>
      <c r="AI659" s="799"/>
      <c r="AJ659" s="799"/>
      <c r="AK659" s="799"/>
      <c r="AL659" s="799"/>
      <c r="AM659" s="799"/>
      <c r="AN659" s="799"/>
      <c r="AO659" s="799"/>
      <c r="AP659" s="799"/>
      <c r="AQ659" s="799"/>
      <c r="AR659" s="799"/>
      <c r="AS659" s="799"/>
      <c r="AT659" s="799"/>
      <c r="AU659" s="799"/>
      <c r="AV659" s="799"/>
      <c r="AW659" s="799"/>
      <c r="AX659" s="799"/>
      <c r="AY659" s="799"/>
      <c r="AZ659" s="799"/>
      <c r="BA659" s="799"/>
      <c r="BB659" s="799"/>
      <c r="BC659" s="799"/>
      <c r="BD659" s="799"/>
      <c r="BE659" s="799"/>
      <c r="BF659" s="799"/>
      <c r="BG659" s="799"/>
    </row>
    <row r="660">
      <c r="H660" s="799"/>
      <c r="I660" s="799"/>
      <c r="J660" s="799"/>
      <c r="K660" s="799"/>
      <c r="L660" s="799"/>
      <c r="M660" s="799"/>
      <c r="N660" s="799"/>
      <c r="O660" s="799"/>
      <c r="P660" s="799"/>
      <c r="Q660" s="799"/>
      <c r="R660" s="799"/>
      <c r="S660" s="799"/>
      <c r="T660" s="799"/>
      <c r="U660" s="799"/>
      <c r="V660" s="799"/>
      <c r="W660" s="799"/>
      <c r="X660" s="799"/>
      <c r="Y660" s="799"/>
      <c r="Z660" s="799"/>
      <c r="AA660" s="799"/>
      <c r="AB660" s="799"/>
      <c r="AC660" s="799"/>
      <c r="AD660" s="799"/>
      <c r="AE660" s="799"/>
      <c r="AF660" s="799"/>
      <c r="AG660" s="799"/>
      <c r="AH660" s="799"/>
      <c r="AI660" s="799"/>
      <c r="AJ660" s="799"/>
      <c r="AK660" s="799"/>
      <c r="AL660" s="799"/>
      <c r="AM660" s="799"/>
      <c r="AN660" s="799"/>
      <c r="AO660" s="799"/>
      <c r="AP660" s="799"/>
      <c r="AQ660" s="799"/>
      <c r="AR660" s="799"/>
      <c r="AS660" s="799"/>
      <c r="AT660" s="799"/>
      <c r="AU660" s="799"/>
      <c r="AV660" s="799"/>
      <c r="AW660" s="799"/>
      <c r="AX660" s="799"/>
      <c r="AY660" s="799"/>
      <c r="AZ660" s="799"/>
      <c r="BA660" s="799"/>
      <c r="BB660" s="799"/>
      <c r="BC660" s="799"/>
      <c r="BD660" s="799"/>
      <c r="BE660" s="799"/>
      <c r="BF660" s="799"/>
      <c r="BG660" s="799"/>
    </row>
    <row r="661">
      <c r="H661" s="799"/>
      <c r="I661" s="799"/>
      <c r="J661" s="799"/>
      <c r="K661" s="799"/>
      <c r="L661" s="799"/>
      <c r="M661" s="799"/>
      <c r="N661" s="799"/>
      <c r="O661" s="799"/>
      <c r="P661" s="799"/>
      <c r="Q661" s="799"/>
      <c r="R661" s="799"/>
      <c r="S661" s="799"/>
      <c r="T661" s="799"/>
      <c r="U661" s="799"/>
      <c r="V661" s="799"/>
      <c r="W661" s="799"/>
      <c r="X661" s="799"/>
      <c r="Y661" s="799"/>
      <c r="Z661" s="799"/>
      <c r="AA661" s="799"/>
      <c r="AB661" s="799"/>
      <c r="AC661" s="799"/>
      <c r="AD661" s="799"/>
      <c r="AE661" s="799"/>
      <c r="AF661" s="799"/>
      <c r="AG661" s="799"/>
      <c r="AH661" s="799"/>
      <c r="AI661" s="799"/>
      <c r="AJ661" s="799"/>
      <c r="AK661" s="799"/>
      <c r="AL661" s="799"/>
      <c r="AM661" s="799"/>
      <c r="AN661" s="799"/>
      <c r="AO661" s="799"/>
      <c r="AP661" s="799"/>
      <c r="AQ661" s="799"/>
      <c r="AR661" s="799"/>
      <c r="AS661" s="799"/>
      <c r="AT661" s="799"/>
      <c r="AU661" s="799"/>
      <c r="AV661" s="799"/>
      <c r="AW661" s="799"/>
      <c r="AX661" s="799"/>
      <c r="AY661" s="799"/>
      <c r="AZ661" s="799"/>
      <c r="BA661" s="799"/>
      <c r="BB661" s="799"/>
      <c r="BC661" s="799"/>
      <c r="BD661" s="799"/>
      <c r="BE661" s="799"/>
      <c r="BF661" s="799"/>
      <c r="BG661" s="799"/>
    </row>
    <row r="662">
      <c r="H662" s="799"/>
      <c r="I662" s="799"/>
      <c r="J662" s="799"/>
      <c r="K662" s="799"/>
      <c r="L662" s="799"/>
      <c r="M662" s="799"/>
      <c r="N662" s="799"/>
      <c r="O662" s="799"/>
      <c r="P662" s="799"/>
      <c r="Q662" s="799"/>
      <c r="R662" s="799"/>
      <c r="S662" s="799"/>
      <c r="T662" s="799"/>
      <c r="U662" s="799"/>
      <c r="V662" s="799"/>
      <c r="W662" s="799"/>
      <c r="X662" s="799"/>
      <c r="Y662" s="799"/>
      <c r="Z662" s="799"/>
      <c r="AA662" s="799"/>
      <c r="AB662" s="799"/>
      <c r="AC662" s="799"/>
      <c r="AD662" s="799"/>
      <c r="AE662" s="799"/>
      <c r="AF662" s="799"/>
      <c r="AG662" s="799"/>
      <c r="AH662" s="799"/>
      <c r="AI662" s="799"/>
      <c r="AJ662" s="799"/>
      <c r="AK662" s="799"/>
      <c r="AL662" s="799"/>
      <c r="AM662" s="799"/>
      <c r="AN662" s="799"/>
      <c r="AO662" s="799"/>
      <c r="AP662" s="799"/>
      <c r="AQ662" s="799"/>
      <c r="AR662" s="799"/>
      <c r="AS662" s="799"/>
      <c r="AT662" s="799"/>
      <c r="AU662" s="799"/>
      <c r="AV662" s="799"/>
      <c r="AW662" s="799"/>
      <c r="AX662" s="799"/>
      <c r="AY662" s="799"/>
      <c r="AZ662" s="799"/>
      <c r="BA662" s="799"/>
      <c r="BB662" s="799"/>
      <c r="BC662" s="799"/>
      <c r="BD662" s="799"/>
      <c r="BE662" s="799"/>
      <c r="BF662" s="799"/>
      <c r="BG662" s="799"/>
    </row>
    <row r="663">
      <c r="H663" s="799"/>
      <c r="I663" s="799"/>
      <c r="J663" s="799"/>
      <c r="K663" s="799"/>
      <c r="L663" s="799"/>
      <c r="M663" s="799"/>
      <c r="N663" s="799"/>
      <c r="O663" s="799"/>
      <c r="P663" s="799"/>
      <c r="Q663" s="799"/>
      <c r="R663" s="799"/>
      <c r="S663" s="799"/>
      <c r="T663" s="799"/>
      <c r="U663" s="799"/>
      <c r="V663" s="799"/>
      <c r="W663" s="799"/>
      <c r="X663" s="799"/>
      <c r="Y663" s="799"/>
      <c r="Z663" s="799"/>
      <c r="AA663" s="799"/>
      <c r="AB663" s="799"/>
      <c r="AC663" s="799"/>
      <c r="AD663" s="799"/>
      <c r="AE663" s="799"/>
      <c r="AF663" s="799"/>
      <c r="AG663" s="799"/>
      <c r="AH663" s="799"/>
      <c r="AI663" s="799"/>
      <c r="AJ663" s="799"/>
      <c r="AK663" s="799"/>
      <c r="AL663" s="799"/>
      <c r="AM663" s="799"/>
      <c r="AN663" s="799"/>
      <c r="AO663" s="799"/>
      <c r="AP663" s="799"/>
      <c r="AQ663" s="799"/>
      <c r="AR663" s="799"/>
      <c r="AS663" s="799"/>
      <c r="AT663" s="799"/>
      <c r="AU663" s="799"/>
      <c r="AV663" s="799"/>
      <c r="AW663" s="799"/>
      <c r="AX663" s="799"/>
      <c r="AY663" s="799"/>
      <c r="AZ663" s="799"/>
      <c r="BA663" s="799"/>
      <c r="BB663" s="799"/>
      <c r="BC663" s="799"/>
      <c r="BD663" s="799"/>
      <c r="BE663" s="799"/>
      <c r="BF663" s="799"/>
      <c r="BG663" s="799"/>
    </row>
    <row r="664">
      <c r="H664" s="799"/>
      <c r="I664" s="799"/>
      <c r="J664" s="799"/>
      <c r="K664" s="799"/>
      <c r="L664" s="799"/>
      <c r="M664" s="799"/>
      <c r="N664" s="799"/>
      <c r="O664" s="799"/>
      <c r="P664" s="799"/>
      <c r="Q664" s="799"/>
      <c r="R664" s="799"/>
      <c r="S664" s="799"/>
      <c r="T664" s="799"/>
      <c r="U664" s="799"/>
      <c r="V664" s="799"/>
      <c r="W664" s="799"/>
      <c r="X664" s="799"/>
      <c r="Y664" s="799"/>
      <c r="Z664" s="799"/>
      <c r="AA664" s="799"/>
      <c r="AB664" s="799"/>
      <c r="AC664" s="799"/>
      <c r="AD664" s="799"/>
      <c r="AE664" s="799"/>
      <c r="AF664" s="799"/>
      <c r="AG664" s="799"/>
      <c r="AH664" s="799"/>
      <c r="AI664" s="799"/>
      <c r="AJ664" s="799"/>
      <c r="AK664" s="799"/>
      <c r="AL664" s="799"/>
      <c r="AM664" s="799"/>
      <c r="AN664" s="799"/>
      <c r="AO664" s="799"/>
      <c r="AP664" s="799"/>
      <c r="AQ664" s="799"/>
      <c r="AR664" s="799"/>
      <c r="AS664" s="799"/>
      <c r="AT664" s="799"/>
      <c r="AU664" s="799"/>
      <c r="AV664" s="799"/>
      <c r="AW664" s="799"/>
      <c r="AX664" s="799"/>
      <c r="AY664" s="799"/>
      <c r="AZ664" s="799"/>
      <c r="BA664" s="799"/>
      <c r="BB664" s="799"/>
      <c r="BC664" s="799"/>
      <c r="BD664" s="799"/>
      <c r="BE664" s="799"/>
      <c r="BF664" s="799"/>
      <c r="BG664" s="799"/>
    </row>
    <row r="665">
      <c r="H665" s="799"/>
      <c r="I665" s="799"/>
      <c r="J665" s="799"/>
      <c r="K665" s="799"/>
      <c r="L665" s="799"/>
      <c r="M665" s="799"/>
      <c r="N665" s="799"/>
      <c r="O665" s="799"/>
      <c r="P665" s="799"/>
      <c r="Q665" s="799"/>
      <c r="R665" s="799"/>
      <c r="S665" s="799"/>
      <c r="T665" s="799"/>
      <c r="U665" s="799"/>
      <c r="V665" s="799"/>
      <c r="W665" s="799"/>
      <c r="X665" s="799"/>
      <c r="Y665" s="799"/>
      <c r="Z665" s="799"/>
      <c r="AA665" s="799"/>
      <c r="AB665" s="799"/>
      <c r="AC665" s="799"/>
      <c r="AD665" s="799"/>
      <c r="AE665" s="799"/>
      <c r="AF665" s="799"/>
      <c r="AG665" s="799"/>
      <c r="AH665" s="799"/>
      <c r="AI665" s="799"/>
      <c r="AJ665" s="799"/>
      <c r="AK665" s="799"/>
      <c r="AL665" s="799"/>
      <c r="AM665" s="799"/>
      <c r="AN665" s="799"/>
      <c r="AO665" s="799"/>
      <c r="AP665" s="799"/>
      <c r="AQ665" s="799"/>
      <c r="AR665" s="799"/>
      <c r="AS665" s="799"/>
      <c r="AT665" s="799"/>
      <c r="AU665" s="799"/>
      <c r="AV665" s="799"/>
      <c r="AW665" s="799"/>
      <c r="AX665" s="799"/>
      <c r="AY665" s="799"/>
      <c r="AZ665" s="799"/>
      <c r="BA665" s="799"/>
      <c r="BB665" s="799"/>
      <c r="BC665" s="799"/>
      <c r="BD665" s="799"/>
      <c r="BE665" s="799"/>
      <c r="BF665" s="799"/>
      <c r="BG665" s="799"/>
    </row>
    <row r="666">
      <c r="H666" s="799"/>
      <c r="I666" s="799"/>
      <c r="J666" s="799"/>
      <c r="K666" s="799"/>
      <c r="L666" s="799"/>
      <c r="M666" s="799"/>
      <c r="N666" s="799"/>
      <c r="O666" s="799"/>
      <c r="P666" s="799"/>
      <c r="Q666" s="799"/>
      <c r="R666" s="799"/>
      <c r="S666" s="799"/>
      <c r="T666" s="799"/>
      <c r="U666" s="799"/>
      <c r="V666" s="799"/>
      <c r="W666" s="799"/>
      <c r="X666" s="799"/>
      <c r="Y666" s="799"/>
      <c r="Z666" s="799"/>
      <c r="AA666" s="799"/>
      <c r="AB666" s="799"/>
      <c r="AC666" s="799"/>
      <c r="AD666" s="799"/>
      <c r="AE666" s="799"/>
      <c r="AF666" s="799"/>
      <c r="AG666" s="799"/>
      <c r="AH666" s="799"/>
      <c r="AI666" s="799"/>
      <c r="AJ666" s="799"/>
      <c r="AK666" s="799"/>
      <c r="AL666" s="799"/>
      <c r="AM666" s="799"/>
      <c r="AN666" s="799"/>
      <c r="AO666" s="799"/>
      <c r="AP666" s="799"/>
      <c r="AQ666" s="799"/>
      <c r="AR666" s="799"/>
      <c r="AS666" s="799"/>
      <c r="AT666" s="799"/>
      <c r="AU666" s="799"/>
      <c r="AV666" s="799"/>
      <c r="AW666" s="799"/>
      <c r="AX666" s="799"/>
      <c r="AY666" s="799"/>
      <c r="AZ666" s="799"/>
      <c r="BA666" s="799"/>
      <c r="BB666" s="799"/>
      <c r="BC666" s="799"/>
      <c r="BD666" s="799"/>
      <c r="BE666" s="799"/>
      <c r="BF666" s="799"/>
      <c r="BG666" s="799"/>
    </row>
    <row r="667">
      <c r="H667" s="799"/>
      <c r="I667" s="799"/>
      <c r="J667" s="799"/>
      <c r="K667" s="799"/>
      <c r="L667" s="799"/>
      <c r="M667" s="799"/>
      <c r="N667" s="799"/>
      <c r="O667" s="799"/>
      <c r="P667" s="799"/>
      <c r="Q667" s="799"/>
      <c r="R667" s="799"/>
      <c r="S667" s="799"/>
      <c r="T667" s="799"/>
      <c r="U667" s="799"/>
      <c r="V667" s="799"/>
      <c r="W667" s="799"/>
      <c r="X667" s="799"/>
      <c r="Y667" s="799"/>
      <c r="Z667" s="799"/>
      <c r="AA667" s="799"/>
      <c r="AB667" s="799"/>
      <c r="AC667" s="799"/>
      <c r="AD667" s="799"/>
      <c r="AE667" s="799"/>
      <c r="AF667" s="799"/>
      <c r="AG667" s="799"/>
      <c r="AH667" s="799"/>
      <c r="AI667" s="799"/>
      <c r="AJ667" s="799"/>
      <c r="AK667" s="799"/>
      <c r="AL667" s="799"/>
      <c r="AM667" s="799"/>
      <c r="AN667" s="799"/>
      <c r="AO667" s="799"/>
      <c r="AP667" s="799"/>
      <c r="AQ667" s="799"/>
      <c r="AR667" s="799"/>
      <c r="AS667" s="799"/>
      <c r="AT667" s="799"/>
      <c r="AU667" s="799"/>
      <c r="AV667" s="799"/>
      <c r="AW667" s="799"/>
      <c r="AX667" s="799"/>
      <c r="AY667" s="799"/>
      <c r="AZ667" s="799"/>
      <c r="BA667" s="799"/>
      <c r="BB667" s="799"/>
      <c r="BC667" s="799"/>
      <c r="BD667" s="799"/>
      <c r="BE667" s="799"/>
      <c r="BF667" s="799"/>
      <c r="BG667" s="799"/>
    </row>
    <row r="668">
      <c r="H668" s="799"/>
      <c r="I668" s="799"/>
      <c r="J668" s="799"/>
      <c r="K668" s="799"/>
      <c r="L668" s="799"/>
      <c r="M668" s="799"/>
      <c r="N668" s="799"/>
      <c r="O668" s="799"/>
      <c r="P668" s="799"/>
      <c r="Q668" s="799"/>
      <c r="R668" s="799"/>
      <c r="S668" s="799"/>
      <c r="T668" s="799"/>
      <c r="U668" s="799"/>
      <c r="V668" s="799"/>
      <c r="W668" s="799"/>
      <c r="X668" s="799"/>
      <c r="Y668" s="799"/>
      <c r="Z668" s="799"/>
      <c r="AA668" s="799"/>
      <c r="AB668" s="799"/>
      <c r="AC668" s="799"/>
      <c r="AD668" s="799"/>
      <c r="AE668" s="799"/>
      <c r="AF668" s="799"/>
      <c r="AG668" s="799"/>
      <c r="AH668" s="799"/>
      <c r="AI668" s="799"/>
      <c r="AJ668" s="799"/>
      <c r="AK668" s="799"/>
      <c r="AL668" s="799"/>
      <c r="AM668" s="799"/>
      <c r="AN668" s="799"/>
      <c r="AO668" s="799"/>
      <c r="AP668" s="799"/>
      <c r="AQ668" s="799"/>
      <c r="AR668" s="799"/>
      <c r="AS668" s="799"/>
      <c r="AT668" s="799"/>
      <c r="AU668" s="799"/>
      <c r="AV668" s="799"/>
      <c r="AW668" s="799"/>
      <c r="AX668" s="799"/>
      <c r="AY668" s="799"/>
      <c r="AZ668" s="799"/>
      <c r="BA668" s="799"/>
      <c r="BB668" s="799"/>
      <c r="BC668" s="799"/>
      <c r="BD668" s="799"/>
      <c r="BE668" s="799"/>
      <c r="BF668" s="799"/>
      <c r="BG668" s="799"/>
    </row>
    <row r="669">
      <c r="H669" s="799"/>
      <c r="I669" s="799"/>
      <c r="J669" s="799"/>
      <c r="K669" s="799"/>
      <c r="L669" s="799"/>
      <c r="M669" s="799"/>
      <c r="N669" s="799"/>
      <c r="O669" s="799"/>
      <c r="P669" s="799"/>
      <c r="Q669" s="799"/>
      <c r="R669" s="799"/>
      <c r="S669" s="799"/>
      <c r="T669" s="799"/>
      <c r="U669" s="799"/>
      <c r="V669" s="799"/>
      <c r="W669" s="799"/>
      <c r="X669" s="799"/>
      <c r="Y669" s="799"/>
      <c r="Z669" s="799"/>
      <c r="AA669" s="799"/>
      <c r="AB669" s="799"/>
      <c r="AC669" s="799"/>
      <c r="AD669" s="799"/>
      <c r="AE669" s="799"/>
      <c r="AF669" s="799"/>
      <c r="AG669" s="799"/>
      <c r="AH669" s="799"/>
      <c r="AI669" s="799"/>
      <c r="AJ669" s="799"/>
      <c r="AK669" s="799"/>
      <c r="AL669" s="799"/>
      <c r="AM669" s="799"/>
      <c r="AN669" s="799"/>
      <c r="AO669" s="799"/>
      <c r="AP669" s="799"/>
      <c r="AQ669" s="799"/>
      <c r="AR669" s="799"/>
      <c r="AS669" s="799"/>
      <c r="AT669" s="799"/>
      <c r="AU669" s="799"/>
      <c r="AV669" s="799"/>
      <c r="AW669" s="799"/>
      <c r="AX669" s="799"/>
      <c r="AY669" s="799"/>
      <c r="AZ669" s="799"/>
      <c r="BA669" s="799"/>
      <c r="BB669" s="799"/>
      <c r="BC669" s="799"/>
      <c r="BD669" s="799"/>
      <c r="BE669" s="799"/>
      <c r="BF669" s="799"/>
      <c r="BG669" s="799"/>
    </row>
    <row r="670">
      <c r="H670" s="799"/>
      <c r="I670" s="799"/>
      <c r="J670" s="799"/>
      <c r="K670" s="799"/>
      <c r="L670" s="799"/>
      <c r="M670" s="799"/>
      <c r="N670" s="799"/>
      <c r="O670" s="799"/>
      <c r="P670" s="799"/>
      <c r="Q670" s="799"/>
      <c r="R670" s="799"/>
      <c r="S670" s="799"/>
      <c r="T670" s="799"/>
      <c r="U670" s="799"/>
      <c r="V670" s="799"/>
      <c r="W670" s="799"/>
      <c r="X670" s="799"/>
      <c r="Y670" s="799"/>
      <c r="Z670" s="799"/>
      <c r="AA670" s="799"/>
      <c r="AB670" s="799"/>
      <c r="AC670" s="799"/>
      <c r="AD670" s="799"/>
      <c r="AE670" s="799"/>
      <c r="AF670" s="799"/>
      <c r="AG670" s="799"/>
      <c r="AH670" s="799"/>
      <c r="AI670" s="799"/>
      <c r="AJ670" s="799"/>
      <c r="AK670" s="799"/>
      <c r="AL670" s="799"/>
      <c r="AM670" s="799"/>
      <c r="AN670" s="799"/>
      <c r="AO670" s="799"/>
      <c r="AP670" s="799"/>
      <c r="AQ670" s="799"/>
      <c r="AR670" s="799"/>
      <c r="AS670" s="799"/>
      <c r="AT670" s="799"/>
      <c r="AU670" s="799"/>
      <c r="AV670" s="799"/>
      <c r="AW670" s="799"/>
      <c r="AX670" s="799"/>
      <c r="AY670" s="799"/>
      <c r="AZ670" s="799"/>
      <c r="BA670" s="799"/>
      <c r="BB670" s="799"/>
      <c r="BC670" s="799"/>
      <c r="BD670" s="799"/>
      <c r="BE670" s="799"/>
      <c r="BF670" s="799"/>
      <c r="BG670" s="799"/>
    </row>
    <row r="671">
      <c r="H671" s="799"/>
      <c r="I671" s="799"/>
      <c r="J671" s="799"/>
      <c r="K671" s="799"/>
      <c r="L671" s="799"/>
      <c r="M671" s="799"/>
      <c r="N671" s="799"/>
      <c r="O671" s="799"/>
      <c r="P671" s="799"/>
      <c r="Q671" s="799"/>
      <c r="R671" s="799"/>
      <c r="S671" s="799"/>
      <c r="T671" s="799"/>
      <c r="U671" s="799"/>
      <c r="V671" s="799"/>
      <c r="W671" s="799"/>
      <c r="X671" s="799"/>
      <c r="Y671" s="799"/>
      <c r="Z671" s="799"/>
      <c r="AA671" s="799"/>
      <c r="AB671" s="799"/>
      <c r="AC671" s="799"/>
      <c r="AD671" s="799"/>
      <c r="AE671" s="799"/>
      <c r="AF671" s="799"/>
      <c r="AG671" s="799"/>
      <c r="AH671" s="799"/>
      <c r="AI671" s="799"/>
      <c r="AJ671" s="799"/>
      <c r="AK671" s="799"/>
      <c r="AL671" s="799"/>
      <c r="AM671" s="799"/>
      <c r="AN671" s="799"/>
      <c r="AO671" s="799"/>
      <c r="AP671" s="799"/>
      <c r="AQ671" s="799"/>
      <c r="AR671" s="799"/>
      <c r="AS671" s="799"/>
      <c r="AT671" s="799"/>
      <c r="AU671" s="799"/>
      <c r="AV671" s="799"/>
      <c r="AW671" s="799"/>
      <c r="AX671" s="799"/>
      <c r="AY671" s="799"/>
      <c r="AZ671" s="799"/>
      <c r="BA671" s="799"/>
      <c r="BB671" s="799"/>
      <c r="BC671" s="799"/>
      <c r="BD671" s="799"/>
      <c r="BE671" s="799"/>
      <c r="BF671" s="799"/>
      <c r="BG671" s="799"/>
    </row>
    <row r="672">
      <c r="H672" s="799"/>
      <c r="I672" s="799"/>
      <c r="J672" s="799"/>
      <c r="K672" s="799"/>
      <c r="L672" s="799"/>
      <c r="M672" s="799"/>
      <c r="N672" s="799"/>
      <c r="O672" s="799"/>
      <c r="P672" s="799"/>
      <c r="Q672" s="799"/>
      <c r="R672" s="799"/>
      <c r="S672" s="799"/>
      <c r="T672" s="799"/>
      <c r="U672" s="799"/>
      <c r="V672" s="799"/>
      <c r="W672" s="799"/>
      <c r="X672" s="799"/>
      <c r="Y672" s="799"/>
      <c r="Z672" s="799"/>
      <c r="AA672" s="799"/>
      <c r="AB672" s="799"/>
      <c r="AC672" s="799"/>
      <c r="AD672" s="799"/>
      <c r="AE672" s="799"/>
      <c r="AF672" s="799"/>
      <c r="AG672" s="799"/>
      <c r="AH672" s="799"/>
      <c r="AI672" s="799"/>
      <c r="AJ672" s="799"/>
      <c r="AK672" s="799"/>
      <c r="AL672" s="799"/>
      <c r="AM672" s="799"/>
      <c r="AN672" s="799"/>
      <c r="AO672" s="799"/>
      <c r="AP672" s="799"/>
      <c r="AQ672" s="799"/>
      <c r="AR672" s="799"/>
      <c r="AS672" s="799"/>
      <c r="AT672" s="799"/>
      <c r="AU672" s="799"/>
      <c r="AV672" s="799"/>
      <c r="AW672" s="799"/>
      <c r="AX672" s="799"/>
      <c r="AY672" s="799"/>
      <c r="AZ672" s="799"/>
      <c r="BA672" s="799"/>
      <c r="BB672" s="799"/>
      <c r="BC672" s="799"/>
      <c r="BD672" s="799"/>
      <c r="BE672" s="799"/>
      <c r="BF672" s="799"/>
      <c r="BG672" s="799"/>
    </row>
    <row r="673">
      <c r="H673" s="799"/>
      <c r="I673" s="799"/>
      <c r="J673" s="799"/>
      <c r="K673" s="799"/>
      <c r="L673" s="799"/>
      <c r="M673" s="799"/>
      <c r="N673" s="799"/>
      <c r="O673" s="799"/>
      <c r="P673" s="799"/>
      <c r="Q673" s="799"/>
      <c r="R673" s="799"/>
      <c r="S673" s="799"/>
      <c r="T673" s="799"/>
      <c r="U673" s="799"/>
      <c r="V673" s="799"/>
      <c r="W673" s="799"/>
      <c r="X673" s="799"/>
      <c r="Y673" s="799"/>
      <c r="Z673" s="799"/>
      <c r="AA673" s="799"/>
      <c r="AB673" s="799"/>
      <c r="AC673" s="799"/>
      <c r="AD673" s="799"/>
      <c r="AE673" s="799"/>
      <c r="AF673" s="799"/>
      <c r="AG673" s="799"/>
      <c r="AH673" s="799"/>
      <c r="AI673" s="799"/>
      <c r="AJ673" s="799"/>
      <c r="AK673" s="799"/>
      <c r="AL673" s="799"/>
      <c r="AM673" s="799"/>
      <c r="AN673" s="799"/>
      <c r="AO673" s="799"/>
      <c r="AP673" s="799"/>
      <c r="AQ673" s="799"/>
      <c r="AR673" s="799"/>
      <c r="AS673" s="799"/>
      <c r="AT673" s="799"/>
      <c r="AU673" s="799"/>
      <c r="AV673" s="799"/>
      <c r="AW673" s="799"/>
      <c r="AX673" s="799"/>
      <c r="AY673" s="799"/>
      <c r="AZ673" s="799"/>
      <c r="BA673" s="799"/>
      <c r="BB673" s="799"/>
      <c r="BC673" s="799"/>
      <c r="BD673" s="799"/>
      <c r="BE673" s="799"/>
      <c r="BF673" s="799"/>
      <c r="BG673" s="799"/>
    </row>
    <row r="674">
      <c r="H674" s="799"/>
      <c r="I674" s="799"/>
      <c r="J674" s="799"/>
      <c r="K674" s="799"/>
      <c r="L674" s="799"/>
      <c r="M674" s="799"/>
      <c r="N674" s="799"/>
      <c r="O674" s="799"/>
      <c r="P674" s="799"/>
      <c r="Q674" s="799"/>
      <c r="R674" s="799"/>
      <c r="S674" s="799"/>
      <c r="T674" s="799"/>
      <c r="U674" s="799"/>
      <c r="V674" s="799"/>
      <c r="W674" s="799"/>
      <c r="X674" s="799"/>
      <c r="Y674" s="799"/>
      <c r="Z674" s="799"/>
      <c r="AA674" s="799"/>
      <c r="AB674" s="799"/>
      <c r="AC674" s="799"/>
      <c r="AD674" s="799"/>
      <c r="AE674" s="799"/>
      <c r="AF674" s="799"/>
      <c r="AG674" s="799"/>
      <c r="AH674" s="799"/>
      <c r="AI674" s="799"/>
      <c r="AJ674" s="799"/>
      <c r="AK674" s="799"/>
      <c r="AL674" s="799"/>
      <c r="AM674" s="799"/>
      <c r="AN674" s="799"/>
      <c r="AO674" s="799"/>
      <c r="AP674" s="799"/>
      <c r="AQ674" s="799"/>
      <c r="AR674" s="799"/>
      <c r="AS674" s="799"/>
      <c r="AT674" s="799"/>
      <c r="AU674" s="799"/>
      <c r="AV674" s="799"/>
      <c r="AW674" s="799"/>
      <c r="AX674" s="799"/>
      <c r="AY674" s="799"/>
      <c r="AZ674" s="799"/>
      <c r="BA674" s="799"/>
      <c r="BB674" s="799"/>
      <c r="BC674" s="799"/>
      <c r="BD674" s="799"/>
      <c r="BE674" s="799"/>
      <c r="BF674" s="799"/>
      <c r="BG674" s="799"/>
    </row>
    <row r="675">
      <c r="H675" s="799"/>
      <c r="I675" s="799"/>
      <c r="J675" s="799"/>
      <c r="K675" s="799"/>
      <c r="L675" s="799"/>
      <c r="M675" s="799"/>
      <c r="N675" s="799"/>
      <c r="O675" s="799"/>
      <c r="P675" s="799"/>
      <c r="Q675" s="799"/>
      <c r="R675" s="799"/>
      <c r="S675" s="799"/>
      <c r="T675" s="799"/>
      <c r="U675" s="799"/>
      <c r="V675" s="799"/>
      <c r="W675" s="799"/>
      <c r="X675" s="799"/>
      <c r="Y675" s="799"/>
      <c r="Z675" s="799"/>
      <c r="AA675" s="799"/>
      <c r="AB675" s="799"/>
      <c r="AC675" s="799"/>
      <c r="AD675" s="799"/>
      <c r="AE675" s="799"/>
      <c r="AF675" s="799"/>
      <c r="AG675" s="799"/>
      <c r="AH675" s="799"/>
      <c r="AI675" s="799"/>
      <c r="AJ675" s="799"/>
      <c r="AK675" s="799"/>
      <c r="AL675" s="799"/>
      <c r="AM675" s="799"/>
      <c r="AN675" s="799"/>
      <c r="AO675" s="799"/>
      <c r="AP675" s="799"/>
      <c r="AQ675" s="799"/>
      <c r="AR675" s="799"/>
      <c r="AS675" s="799"/>
      <c r="AT675" s="799"/>
      <c r="AU675" s="799"/>
      <c r="AV675" s="799"/>
      <c r="AW675" s="799"/>
      <c r="AX675" s="799"/>
      <c r="AY675" s="799"/>
      <c r="AZ675" s="799"/>
      <c r="BA675" s="799"/>
      <c r="BB675" s="799"/>
      <c r="BC675" s="799"/>
      <c r="BD675" s="799"/>
      <c r="BE675" s="799"/>
      <c r="BF675" s="799"/>
      <c r="BG675" s="799"/>
    </row>
    <row r="676">
      <c r="H676" s="799"/>
      <c r="I676" s="799"/>
      <c r="J676" s="799"/>
      <c r="K676" s="799"/>
      <c r="L676" s="799"/>
      <c r="M676" s="799"/>
      <c r="N676" s="799"/>
      <c r="O676" s="799"/>
      <c r="P676" s="799"/>
      <c r="Q676" s="799"/>
      <c r="R676" s="799"/>
      <c r="S676" s="799"/>
      <c r="T676" s="799"/>
      <c r="U676" s="799"/>
      <c r="V676" s="799"/>
      <c r="W676" s="799"/>
      <c r="X676" s="799"/>
      <c r="Y676" s="799"/>
      <c r="Z676" s="799"/>
      <c r="AA676" s="799"/>
      <c r="AB676" s="799"/>
      <c r="AC676" s="799"/>
      <c r="AD676" s="799"/>
      <c r="AE676" s="799"/>
      <c r="AF676" s="799"/>
      <c r="AG676" s="799"/>
      <c r="AH676" s="799"/>
      <c r="AI676" s="799"/>
      <c r="AJ676" s="799"/>
      <c r="AK676" s="799"/>
      <c r="AL676" s="799"/>
      <c r="AM676" s="799"/>
      <c r="AN676" s="799"/>
      <c r="AO676" s="799"/>
      <c r="AP676" s="799"/>
      <c r="AQ676" s="799"/>
      <c r="AR676" s="799"/>
      <c r="AS676" s="799"/>
      <c r="AT676" s="799"/>
      <c r="AU676" s="799"/>
      <c r="AV676" s="799"/>
      <c r="AW676" s="799"/>
      <c r="AX676" s="799"/>
      <c r="AY676" s="799"/>
      <c r="AZ676" s="799"/>
      <c r="BA676" s="799"/>
      <c r="BB676" s="799"/>
      <c r="BC676" s="799"/>
      <c r="BD676" s="799"/>
      <c r="BE676" s="799"/>
      <c r="BF676" s="799"/>
      <c r="BG676" s="799"/>
    </row>
    <row r="677">
      <c r="H677" s="799"/>
      <c r="I677" s="799"/>
      <c r="J677" s="799"/>
      <c r="K677" s="799"/>
      <c r="L677" s="799"/>
      <c r="M677" s="799"/>
      <c r="N677" s="799"/>
      <c r="O677" s="799"/>
      <c r="P677" s="799"/>
      <c r="Q677" s="799"/>
      <c r="R677" s="799"/>
      <c r="S677" s="799"/>
      <c r="T677" s="799"/>
      <c r="U677" s="799"/>
      <c r="V677" s="799"/>
      <c r="W677" s="799"/>
      <c r="X677" s="799"/>
      <c r="Y677" s="799"/>
      <c r="Z677" s="799"/>
      <c r="AA677" s="799"/>
      <c r="AB677" s="799"/>
      <c r="AC677" s="799"/>
      <c r="AD677" s="799"/>
      <c r="AE677" s="799"/>
      <c r="AF677" s="799"/>
      <c r="AG677" s="799"/>
      <c r="AH677" s="799"/>
      <c r="AI677" s="799"/>
      <c r="AJ677" s="799"/>
      <c r="AK677" s="799"/>
      <c r="AL677" s="799"/>
      <c r="AM677" s="799"/>
      <c r="AN677" s="799"/>
      <c r="AO677" s="799"/>
      <c r="AP677" s="799"/>
      <c r="AQ677" s="799"/>
      <c r="AR677" s="799"/>
      <c r="AS677" s="799"/>
      <c r="AT677" s="799"/>
      <c r="AU677" s="799"/>
      <c r="AV677" s="799"/>
      <c r="AW677" s="799"/>
      <c r="AX677" s="799"/>
      <c r="AY677" s="799"/>
      <c r="AZ677" s="799"/>
      <c r="BA677" s="799"/>
      <c r="BB677" s="799"/>
      <c r="BC677" s="799"/>
      <c r="BD677" s="799"/>
      <c r="BE677" s="799"/>
      <c r="BF677" s="799"/>
      <c r="BG677" s="799"/>
    </row>
    <row r="678">
      <c r="H678" s="799"/>
      <c r="I678" s="799"/>
      <c r="J678" s="799"/>
      <c r="K678" s="799"/>
      <c r="L678" s="799"/>
      <c r="M678" s="799"/>
      <c r="N678" s="799"/>
      <c r="O678" s="799"/>
      <c r="P678" s="799"/>
      <c r="Q678" s="799"/>
      <c r="R678" s="799"/>
      <c r="S678" s="799"/>
      <c r="T678" s="799"/>
      <c r="U678" s="799"/>
      <c r="V678" s="799"/>
      <c r="W678" s="799"/>
      <c r="X678" s="799"/>
      <c r="Y678" s="799"/>
      <c r="Z678" s="799"/>
      <c r="AA678" s="799"/>
      <c r="AB678" s="799"/>
      <c r="AC678" s="799"/>
      <c r="AD678" s="799"/>
      <c r="AE678" s="799"/>
      <c r="AF678" s="799"/>
      <c r="AG678" s="799"/>
      <c r="AH678" s="799"/>
      <c r="AI678" s="799"/>
      <c r="AJ678" s="799"/>
      <c r="AK678" s="799"/>
      <c r="AL678" s="799"/>
      <c r="AM678" s="799"/>
      <c r="AN678" s="799"/>
      <c r="AO678" s="799"/>
      <c r="AP678" s="799"/>
      <c r="AQ678" s="799"/>
      <c r="AR678" s="799"/>
      <c r="AS678" s="799"/>
      <c r="AT678" s="799"/>
      <c r="AU678" s="799"/>
      <c r="AV678" s="799"/>
      <c r="AW678" s="799"/>
      <c r="AX678" s="799"/>
      <c r="AY678" s="799"/>
      <c r="AZ678" s="799"/>
      <c r="BA678" s="799"/>
      <c r="BB678" s="799"/>
      <c r="BC678" s="799"/>
      <c r="BD678" s="799"/>
      <c r="BE678" s="799"/>
      <c r="BF678" s="799"/>
      <c r="BG678" s="799"/>
    </row>
    <row r="679">
      <c r="H679" s="799"/>
      <c r="I679" s="799"/>
      <c r="J679" s="799"/>
      <c r="K679" s="799"/>
      <c r="L679" s="799"/>
      <c r="M679" s="799"/>
      <c r="N679" s="799"/>
      <c r="O679" s="799"/>
      <c r="P679" s="799"/>
      <c r="Q679" s="799"/>
      <c r="R679" s="799"/>
      <c r="S679" s="799"/>
      <c r="T679" s="799"/>
      <c r="U679" s="799"/>
      <c r="V679" s="799"/>
      <c r="W679" s="799"/>
      <c r="X679" s="799"/>
      <c r="Y679" s="799"/>
      <c r="Z679" s="799"/>
      <c r="AA679" s="799"/>
      <c r="AB679" s="799"/>
      <c r="AC679" s="799"/>
      <c r="AD679" s="799"/>
      <c r="AE679" s="799"/>
      <c r="AF679" s="799"/>
      <c r="AG679" s="799"/>
      <c r="AH679" s="799"/>
      <c r="AI679" s="799"/>
      <c r="AJ679" s="799"/>
      <c r="AK679" s="799"/>
      <c r="AL679" s="799"/>
      <c r="AM679" s="799"/>
      <c r="AN679" s="799"/>
      <c r="AO679" s="799"/>
      <c r="AP679" s="799"/>
      <c r="AQ679" s="799"/>
      <c r="AR679" s="799"/>
      <c r="AS679" s="799"/>
      <c r="AT679" s="799"/>
      <c r="AU679" s="799"/>
      <c r="AV679" s="799"/>
      <c r="AW679" s="799"/>
      <c r="AX679" s="799"/>
      <c r="AY679" s="799"/>
      <c r="AZ679" s="799"/>
      <c r="BA679" s="799"/>
      <c r="BB679" s="799"/>
      <c r="BC679" s="799"/>
      <c r="BD679" s="799"/>
      <c r="BE679" s="799"/>
      <c r="BF679" s="799"/>
      <c r="BG679" s="799"/>
    </row>
    <row r="680">
      <c r="H680" s="799"/>
      <c r="I680" s="799"/>
      <c r="J680" s="799"/>
      <c r="K680" s="799"/>
      <c r="L680" s="799"/>
      <c r="M680" s="799"/>
      <c r="N680" s="799"/>
      <c r="O680" s="799"/>
      <c r="P680" s="799"/>
      <c r="Q680" s="799"/>
      <c r="R680" s="799"/>
      <c r="S680" s="799"/>
      <c r="T680" s="799"/>
      <c r="U680" s="799"/>
      <c r="V680" s="799"/>
      <c r="W680" s="799"/>
      <c r="X680" s="799"/>
      <c r="Y680" s="799"/>
      <c r="Z680" s="799"/>
      <c r="AA680" s="799"/>
      <c r="AB680" s="799"/>
      <c r="AC680" s="799"/>
      <c r="AD680" s="799"/>
      <c r="AE680" s="799"/>
      <c r="AF680" s="799"/>
      <c r="AG680" s="799"/>
      <c r="AH680" s="799"/>
      <c r="AI680" s="799"/>
      <c r="AJ680" s="799"/>
      <c r="AK680" s="799"/>
      <c r="AL680" s="799"/>
      <c r="AM680" s="799"/>
      <c r="AN680" s="799"/>
      <c r="AO680" s="799"/>
      <c r="AP680" s="799"/>
      <c r="AQ680" s="799"/>
      <c r="AR680" s="799"/>
      <c r="AS680" s="799"/>
      <c r="AT680" s="799"/>
      <c r="AU680" s="799"/>
      <c r="AV680" s="799"/>
      <c r="AW680" s="799"/>
      <c r="AX680" s="799"/>
      <c r="AY680" s="799"/>
      <c r="AZ680" s="799"/>
      <c r="BA680" s="799"/>
      <c r="BB680" s="799"/>
      <c r="BC680" s="799"/>
      <c r="BD680" s="799"/>
      <c r="BE680" s="799"/>
      <c r="BF680" s="799"/>
      <c r="BG680" s="799"/>
    </row>
    <row r="681">
      <c r="H681" s="799"/>
      <c r="I681" s="799"/>
      <c r="J681" s="799"/>
      <c r="K681" s="799"/>
      <c r="L681" s="799"/>
      <c r="M681" s="799"/>
      <c r="N681" s="799"/>
      <c r="O681" s="799"/>
      <c r="P681" s="799"/>
      <c r="Q681" s="799"/>
      <c r="R681" s="799"/>
      <c r="S681" s="799"/>
      <c r="T681" s="799"/>
      <c r="U681" s="799"/>
      <c r="V681" s="799"/>
      <c r="W681" s="799"/>
      <c r="X681" s="799"/>
      <c r="Y681" s="799"/>
      <c r="Z681" s="799"/>
      <c r="AA681" s="799"/>
      <c r="AB681" s="799"/>
      <c r="AC681" s="799"/>
      <c r="AD681" s="799"/>
      <c r="AE681" s="799"/>
      <c r="AF681" s="799"/>
      <c r="AG681" s="799"/>
      <c r="AH681" s="799"/>
      <c r="AI681" s="799"/>
      <c r="AJ681" s="799"/>
      <c r="AK681" s="799"/>
      <c r="AL681" s="799"/>
      <c r="AM681" s="799"/>
      <c r="AN681" s="799"/>
      <c r="AO681" s="799"/>
      <c r="AP681" s="799"/>
      <c r="AQ681" s="799"/>
      <c r="AR681" s="799"/>
      <c r="AS681" s="799"/>
      <c r="AT681" s="799"/>
      <c r="AU681" s="799"/>
      <c r="AV681" s="799"/>
      <c r="AW681" s="799"/>
      <c r="AX681" s="799"/>
      <c r="AY681" s="799"/>
      <c r="AZ681" s="799"/>
      <c r="BA681" s="799"/>
      <c r="BB681" s="799"/>
      <c r="BC681" s="799"/>
      <c r="BD681" s="799"/>
      <c r="BE681" s="799"/>
      <c r="BF681" s="799"/>
      <c r="BG681" s="799"/>
    </row>
    <row r="682">
      <c r="H682" s="799"/>
      <c r="I682" s="799"/>
      <c r="J682" s="799"/>
      <c r="K682" s="799"/>
      <c r="L682" s="799"/>
      <c r="M682" s="799"/>
      <c r="N682" s="799"/>
      <c r="O682" s="799"/>
      <c r="P682" s="799"/>
      <c r="Q682" s="799"/>
      <c r="R682" s="799"/>
      <c r="S682" s="799"/>
      <c r="T682" s="799"/>
      <c r="U682" s="799"/>
      <c r="V682" s="799"/>
      <c r="W682" s="799"/>
      <c r="X682" s="799"/>
      <c r="Y682" s="799"/>
      <c r="Z682" s="799"/>
      <c r="AA682" s="799"/>
      <c r="AB682" s="799"/>
      <c r="AC682" s="799"/>
      <c r="AD682" s="799"/>
      <c r="AE682" s="799"/>
      <c r="AF682" s="799"/>
      <c r="AG682" s="799"/>
      <c r="AH682" s="799"/>
      <c r="AI682" s="799"/>
      <c r="AJ682" s="799"/>
      <c r="AK682" s="799"/>
      <c r="AL682" s="799"/>
      <c r="AM682" s="799"/>
      <c r="AN682" s="799"/>
      <c r="AO682" s="799"/>
      <c r="AP682" s="799"/>
      <c r="AQ682" s="799"/>
      <c r="AR682" s="799"/>
      <c r="AS682" s="799"/>
      <c r="AT682" s="799"/>
      <c r="AU682" s="799"/>
      <c r="AV682" s="799"/>
      <c r="AW682" s="799"/>
      <c r="AX682" s="799"/>
      <c r="AY682" s="799"/>
      <c r="AZ682" s="799"/>
      <c r="BA682" s="799"/>
      <c r="BB682" s="799"/>
      <c r="BC682" s="799"/>
      <c r="BD682" s="799"/>
      <c r="BE682" s="799"/>
      <c r="BF682" s="799"/>
      <c r="BG682" s="799"/>
    </row>
    <row r="683">
      <c r="H683" s="799"/>
      <c r="I683" s="799"/>
      <c r="J683" s="799"/>
      <c r="K683" s="799"/>
      <c r="L683" s="799"/>
      <c r="M683" s="799"/>
      <c r="N683" s="799"/>
      <c r="O683" s="799"/>
      <c r="P683" s="799"/>
      <c r="Q683" s="799"/>
      <c r="R683" s="799"/>
      <c r="S683" s="799"/>
      <c r="T683" s="799"/>
      <c r="U683" s="799"/>
      <c r="V683" s="799"/>
      <c r="W683" s="799"/>
      <c r="X683" s="799"/>
      <c r="Y683" s="799"/>
      <c r="Z683" s="799"/>
      <c r="AA683" s="799"/>
      <c r="AB683" s="799"/>
      <c r="AC683" s="799"/>
      <c r="AD683" s="799"/>
      <c r="AE683" s="799"/>
      <c r="AF683" s="799"/>
      <c r="AG683" s="799"/>
      <c r="AH683" s="799"/>
      <c r="AI683" s="799"/>
      <c r="AJ683" s="799"/>
      <c r="AK683" s="799"/>
      <c r="AL683" s="799"/>
      <c r="AM683" s="799"/>
      <c r="AN683" s="799"/>
      <c r="AO683" s="799"/>
      <c r="AP683" s="799"/>
      <c r="AQ683" s="799"/>
      <c r="AR683" s="799"/>
      <c r="AS683" s="799"/>
      <c r="AT683" s="799"/>
      <c r="AU683" s="799"/>
      <c r="AV683" s="799"/>
      <c r="AW683" s="799"/>
      <c r="AX683" s="799"/>
      <c r="AY683" s="799"/>
      <c r="AZ683" s="799"/>
      <c r="BA683" s="799"/>
      <c r="BB683" s="799"/>
      <c r="BC683" s="799"/>
      <c r="BD683" s="799"/>
      <c r="BE683" s="799"/>
      <c r="BF683" s="799"/>
      <c r="BG683" s="799"/>
    </row>
    <row r="684">
      <c r="H684" s="799"/>
      <c r="I684" s="799"/>
      <c r="J684" s="799"/>
      <c r="K684" s="799"/>
      <c r="L684" s="799"/>
      <c r="M684" s="799"/>
      <c r="N684" s="799"/>
      <c r="O684" s="799"/>
      <c r="P684" s="799"/>
      <c r="Q684" s="799"/>
      <c r="R684" s="799"/>
      <c r="S684" s="799"/>
      <c r="T684" s="799"/>
      <c r="U684" s="799"/>
      <c r="V684" s="799"/>
      <c r="W684" s="799"/>
      <c r="X684" s="799"/>
      <c r="Y684" s="799"/>
      <c r="Z684" s="799"/>
      <c r="AA684" s="799"/>
      <c r="AB684" s="799"/>
      <c r="AC684" s="799"/>
      <c r="AD684" s="799"/>
      <c r="AE684" s="799"/>
      <c r="AF684" s="799"/>
      <c r="AG684" s="799"/>
      <c r="AH684" s="799"/>
      <c r="AI684" s="799"/>
      <c r="AJ684" s="799"/>
      <c r="AK684" s="799"/>
      <c r="AL684" s="799"/>
      <c r="AM684" s="799"/>
      <c r="AN684" s="799"/>
      <c r="AO684" s="799"/>
      <c r="AP684" s="799"/>
      <c r="AQ684" s="799"/>
      <c r="AR684" s="799"/>
      <c r="AS684" s="799"/>
      <c r="AT684" s="799"/>
      <c r="AU684" s="799"/>
      <c r="AV684" s="799"/>
      <c r="AW684" s="799"/>
      <c r="AX684" s="799"/>
      <c r="AY684" s="799"/>
      <c r="AZ684" s="799"/>
      <c r="BA684" s="799"/>
      <c r="BB684" s="799"/>
      <c r="BC684" s="799"/>
      <c r="BD684" s="799"/>
      <c r="BE684" s="799"/>
      <c r="BF684" s="799"/>
      <c r="BG684" s="799"/>
    </row>
    <row r="685">
      <c r="H685" s="799"/>
      <c r="I685" s="799"/>
      <c r="J685" s="799"/>
      <c r="K685" s="799"/>
      <c r="L685" s="799"/>
      <c r="M685" s="799"/>
      <c r="N685" s="799"/>
      <c r="O685" s="799"/>
      <c r="P685" s="799"/>
      <c r="Q685" s="799"/>
      <c r="R685" s="799"/>
      <c r="S685" s="799"/>
      <c r="T685" s="799"/>
      <c r="U685" s="799"/>
      <c r="V685" s="799"/>
      <c r="W685" s="799"/>
      <c r="X685" s="799"/>
      <c r="Y685" s="799"/>
      <c r="Z685" s="799"/>
      <c r="AA685" s="799"/>
      <c r="AB685" s="799"/>
      <c r="AC685" s="799"/>
      <c r="AD685" s="799"/>
      <c r="AE685" s="799"/>
      <c r="AF685" s="799"/>
      <c r="AG685" s="799"/>
      <c r="AH685" s="799"/>
      <c r="AI685" s="799"/>
      <c r="AJ685" s="799"/>
      <c r="AK685" s="799"/>
      <c r="AL685" s="799"/>
      <c r="AM685" s="799"/>
      <c r="AN685" s="799"/>
      <c r="AO685" s="799"/>
      <c r="AP685" s="799"/>
      <c r="AQ685" s="799"/>
      <c r="AR685" s="799"/>
      <c r="AS685" s="799"/>
      <c r="AT685" s="799"/>
      <c r="AU685" s="799"/>
      <c r="AV685" s="799"/>
      <c r="AW685" s="799"/>
      <c r="AX685" s="799"/>
      <c r="AY685" s="799"/>
      <c r="AZ685" s="799"/>
      <c r="BA685" s="799"/>
      <c r="BB685" s="799"/>
      <c r="BC685" s="799"/>
      <c r="BD685" s="799"/>
      <c r="BE685" s="799"/>
      <c r="BF685" s="799"/>
      <c r="BG685" s="799"/>
    </row>
    <row r="686">
      <c r="H686" s="799"/>
      <c r="I686" s="799"/>
      <c r="J686" s="799"/>
      <c r="K686" s="799"/>
      <c r="L686" s="799"/>
      <c r="M686" s="799"/>
      <c r="N686" s="799"/>
      <c r="O686" s="799"/>
      <c r="P686" s="799"/>
      <c r="Q686" s="799"/>
      <c r="R686" s="799"/>
      <c r="S686" s="799"/>
      <c r="T686" s="799"/>
      <c r="U686" s="799"/>
      <c r="V686" s="799"/>
      <c r="W686" s="799"/>
      <c r="X686" s="799"/>
      <c r="Y686" s="799"/>
      <c r="Z686" s="799"/>
      <c r="AA686" s="799"/>
      <c r="AB686" s="799"/>
      <c r="AC686" s="799"/>
      <c r="AD686" s="799"/>
      <c r="AE686" s="799"/>
      <c r="AF686" s="799"/>
      <c r="AG686" s="799"/>
      <c r="AH686" s="799"/>
      <c r="AI686" s="799"/>
      <c r="AJ686" s="799"/>
      <c r="AK686" s="799"/>
      <c r="AL686" s="799"/>
      <c r="AM686" s="799"/>
      <c r="AN686" s="799"/>
      <c r="AO686" s="799"/>
      <c r="AP686" s="799"/>
      <c r="AQ686" s="799"/>
      <c r="AR686" s="799"/>
      <c r="AS686" s="799"/>
      <c r="AT686" s="799"/>
      <c r="AU686" s="799"/>
      <c r="AV686" s="799"/>
      <c r="AW686" s="799"/>
      <c r="AX686" s="799"/>
      <c r="AY686" s="799"/>
      <c r="AZ686" s="799"/>
      <c r="BA686" s="799"/>
      <c r="BB686" s="799"/>
      <c r="BC686" s="799"/>
      <c r="BD686" s="799"/>
      <c r="BE686" s="799"/>
      <c r="BF686" s="799"/>
      <c r="BG686" s="799"/>
    </row>
    <row r="687">
      <c r="H687" s="799"/>
      <c r="I687" s="799"/>
      <c r="J687" s="799"/>
      <c r="K687" s="799"/>
      <c r="L687" s="799"/>
      <c r="M687" s="799"/>
      <c r="N687" s="799"/>
      <c r="O687" s="799"/>
      <c r="P687" s="799"/>
      <c r="Q687" s="799"/>
      <c r="R687" s="799"/>
      <c r="S687" s="799"/>
      <c r="T687" s="799"/>
      <c r="U687" s="799"/>
      <c r="V687" s="799"/>
      <c r="W687" s="799"/>
      <c r="X687" s="799"/>
      <c r="Y687" s="799"/>
      <c r="Z687" s="799"/>
      <c r="AA687" s="799"/>
      <c r="AB687" s="799"/>
      <c r="AC687" s="799"/>
      <c r="AD687" s="799"/>
      <c r="AE687" s="799"/>
      <c r="AF687" s="799"/>
      <c r="AG687" s="799"/>
      <c r="AH687" s="799"/>
      <c r="AI687" s="799"/>
      <c r="AJ687" s="799"/>
      <c r="AK687" s="799"/>
      <c r="AL687" s="799"/>
      <c r="AM687" s="799"/>
      <c r="AN687" s="799"/>
      <c r="AO687" s="799"/>
      <c r="AP687" s="799"/>
      <c r="AQ687" s="799"/>
      <c r="AR687" s="799"/>
      <c r="AS687" s="799"/>
      <c r="AT687" s="799"/>
      <c r="AU687" s="799"/>
      <c r="AV687" s="799"/>
      <c r="AW687" s="799"/>
      <c r="AX687" s="799"/>
      <c r="AY687" s="799"/>
      <c r="AZ687" s="799"/>
      <c r="BA687" s="799"/>
      <c r="BB687" s="799"/>
      <c r="BC687" s="799"/>
      <c r="BD687" s="799"/>
      <c r="BE687" s="799"/>
      <c r="BF687" s="799"/>
      <c r="BG687" s="799"/>
    </row>
    <row r="688">
      <c r="H688" s="799"/>
      <c r="I688" s="799"/>
      <c r="J688" s="799"/>
      <c r="K688" s="799"/>
      <c r="L688" s="799"/>
      <c r="M688" s="799"/>
      <c r="N688" s="799"/>
      <c r="O688" s="799"/>
      <c r="P688" s="799"/>
      <c r="Q688" s="799"/>
      <c r="R688" s="799"/>
      <c r="S688" s="799"/>
      <c r="T688" s="799"/>
      <c r="U688" s="799"/>
      <c r="V688" s="799"/>
      <c r="W688" s="799"/>
      <c r="X688" s="799"/>
      <c r="Y688" s="799"/>
      <c r="Z688" s="799"/>
      <c r="AA688" s="799"/>
      <c r="AB688" s="799"/>
      <c r="AC688" s="799"/>
      <c r="AD688" s="799"/>
      <c r="AE688" s="799"/>
      <c r="AF688" s="799"/>
      <c r="AG688" s="799"/>
      <c r="AH688" s="799"/>
      <c r="AI688" s="799"/>
      <c r="AJ688" s="799"/>
      <c r="AK688" s="799"/>
      <c r="AL688" s="799"/>
      <c r="AM688" s="799"/>
      <c r="AN688" s="799"/>
      <c r="AO688" s="799"/>
      <c r="AP688" s="799"/>
      <c r="AQ688" s="799"/>
      <c r="AR688" s="799"/>
      <c r="AS688" s="799"/>
      <c r="AT688" s="799"/>
      <c r="AU688" s="799"/>
      <c r="AV688" s="799"/>
      <c r="AW688" s="799"/>
      <c r="AX688" s="799"/>
      <c r="AY688" s="799"/>
      <c r="AZ688" s="799"/>
      <c r="BA688" s="799"/>
      <c r="BB688" s="799"/>
      <c r="BC688" s="799"/>
      <c r="BD688" s="799"/>
      <c r="BE688" s="799"/>
      <c r="BF688" s="799"/>
      <c r="BG688" s="799"/>
    </row>
    <row r="689">
      <c r="H689" s="799"/>
      <c r="I689" s="799"/>
      <c r="J689" s="799"/>
      <c r="K689" s="799"/>
      <c r="L689" s="799"/>
      <c r="M689" s="799"/>
      <c r="N689" s="799"/>
      <c r="O689" s="799"/>
      <c r="P689" s="799"/>
      <c r="Q689" s="799"/>
      <c r="R689" s="799"/>
      <c r="S689" s="799"/>
      <c r="T689" s="799"/>
      <c r="U689" s="799"/>
      <c r="V689" s="799"/>
      <c r="W689" s="799"/>
      <c r="X689" s="799"/>
      <c r="Y689" s="799"/>
      <c r="Z689" s="799"/>
      <c r="AA689" s="799"/>
      <c r="AB689" s="799"/>
      <c r="AC689" s="799"/>
      <c r="AD689" s="799"/>
      <c r="AE689" s="799"/>
      <c r="AF689" s="799"/>
      <c r="AG689" s="799"/>
      <c r="AH689" s="799"/>
      <c r="AI689" s="799"/>
      <c r="AJ689" s="799"/>
      <c r="AK689" s="799"/>
      <c r="AL689" s="799"/>
      <c r="AM689" s="799"/>
      <c r="AN689" s="799"/>
      <c r="AO689" s="799"/>
      <c r="AP689" s="799"/>
      <c r="AQ689" s="799"/>
      <c r="AR689" s="799"/>
      <c r="AS689" s="799"/>
      <c r="AT689" s="799"/>
      <c r="AU689" s="799"/>
      <c r="AV689" s="799"/>
      <c r="AW689" s="799"/>
      <c r="AX689" s="799"/>
      <c r="AY689" s="799"/>
      <c r="AZ689" s="799"/>
      <c r="BA689" s="799"/>
      <c r="BB689" s="799"/>
      <c r="BC689" s="799"/>
      <c r="BD689" s="799"/>
      <c r="BE689" s="799"/>
      <c r="BF689" s="799"/>
      <c r="BG689" s="799"/>
    </row>
    <row r="690">
      <c r="H690" s="799"/>
      <c r="I690" s="799"/>
      <c r="J690" s="799"/>
      <c r="K690" s="799"/>
      <c r="L690" s="799"/>
      <c r="M690" s="799"/>
      <c r="N690" s="799"/>
      <c r="O690" s="799"/>
      <c r="P690" s="799"/>
      <c r="Q690" s="799"/>
      <c r="R690" s="799"/>
      <c r="S690" s="799"/>
      <c r="T690" s="799"/>
      <c r="U690" s="799"/>
      <c r="V690" s="799"/>
      <c r="W690" s="799"/>
      <c r="X690" s="799"/>
      <c r="Y690" s="799"/>
      <c r="Z690" s="799"/>
      <c r="AA690" s="799"/>
      <c r="AB690" s="799"/>
      <c r="AC690" s="799"/>
      <c r="AD690" s="799"/>
      <c r="AE690" s="799"/>
      <c r="AF690" s="799"/>
      <c r="AG690" s="799"/>
      <c r="AH690" s="799"/>
      <c r="AI690" s="799"/>
      <c r="AJ690" s="799"/>
      <c r="AK690" s="799"/>
      <c r="AL690" s="799"/>
      <c r="AM690" s="799"/>
      <c r="AN690" s="799"/>
      <c r="AO690" s="799"/>
      <c r="AP690" s="799"/>
      <c r="AQ690" s="799"/>
      <c r="AR690" s="799"/>
      <c r="AS690" s="799"/>
      <c r="AT690" s="799"/>
      <c r="AU690" s="799"/>
      <c r="AV690" s="799"/>
      <c r="AW690" s="799"/>
      <c r="AX690" s="799"/>
      <c r="AY690" s="799"/>
      <c r="AZ690" s="799"/>
      <c r="BA690" s="799"/>
      <c r="BB690" s="799"/>
      <c r="BC690" s="799"/>
      <c r="BD690" s="799"/>
      <c r="BE690" s="799"/>
      <c r="BF690" s="799"/>
      <c r="BG690" s="799"/>
    </row>
    <row r="691">
      <c r="H691" s="799"/>
      <c r="I691" s="799"/>
      <c r="J691" s="799"/>
      <c r="K691" s="799"/>
      <c r="L691" s="799"/>
      <c r="M691" s="799"/>
      <c r="N691" s="799"/>
      <c r="O691" s="799"/>
      <c r="P691" s="799"/>
      <c r="Q691" s="799"/>
      <c r="R691" s="799"/>
      <c r="S691" s="799"/>
      <c r="T691" s="799"/>
      <c r="U691" s="799"/>
      <c r="V691" s="799"/>
      <c r="W691" s="799"/>
      <c r="X691" s="799"/>
      <c r="Y691" s="799"/>
      <c r="Z691" s="799"/>
      <c r="AA691" s="799"/>
      <c r="AB691" s="799"/>
      <c r="AC691" s="799"/>
      <c r="AD691" s="799"/>
      <c r="AE691" s="799"/>
      <c r="AF691" s="799"/>
      <c r="AG691" s="799"/>
      <c r="AH691" s="799"/>
      <c r="AI691" s="799"/>
      <c r="AJ691" s="799"/>
      <c r="AK691" s="799"/>
      <c r="AL691" s="799"/>
      <c r="AM691" s="799"/>
      <c r="AN691" s="799"/>
      <c r="AO691" s="799"/>
      <c r="AP691" s="799"/>
      <c r="AQ691" s="799"/>
      <c r="AR691" s="799"/>
      <c r="AS691" s="799"/>
      <c r="AT691" s="799"/>
      <c r="AU691" s="799"/>
      <c r="AV691" s="799"/>
      <c r="AW691" s="799"/>
      <c r="AX691" s="799"/>
      <c r="AY691" s="799"/>
      <c r="AZ691" s="799"/>
      <c r="BA691" s="799"/>
      <c r="BB691" s="799"/>
      <c r="BC691" s="799"/>
      <c r="BD691" s="799"/>
      <c r="BE691" s="799"/>
      <c r="BF691" s="799"/>
      <c r="BG691" s="799"/>
    </row>
    <row r="692">
      <c r="H692" s="799"/>
      <c r="I692" s="799"/>
      <c r="J692" s="799"/>
      <c r="K692" s="799"/>
      <c r="L692" s="799"/>
      <c r="M692" s="799"/>
      <c r="N692" s="799"/>
      <c r="O692" s="799"/>
      <c r="P692" s="799"/>
      <c r="Q692" s="799"/>
      <c r="R692" s="799"/>
      <c r="S692" s="799"/>
      <c r="T692" s="799"/>
      <c r="U692" s="799"/>
      <c r="V692" s="799"/>
      <c r="W692" s="799"/>
      <c r="X692" s="799"/>
      <c r="Y692" s="799"/>
      <c r="Z692" s="799"/>
      <c r="AA692" s="799"/>
      <c r="AB692" s="799"/>
      <c r="AC692" s="799"/>
      <c r="AD692" s="799"/>
      <c r="AE692" s="799"/>
      <c r="AF692" s="799"/>
      <c r="AG692" s="799"/>
      <c r="AH692" s="799"/>
      <c r="AI692" s="799"/>
      <c r="AJ692" s="799"/>
      <c r="AK692" s="799"/>
      <c r="AL692" s="799"/>
      <c r="AM692" s="799"/>
      <c r="AN692" s="799"/>
      <c r="AO692" s="799"/>
      <c r="AP692" s="799"/>
      <c r="AQ692" s="799"/>
      <c r="AR692" s="799"/>
      <c r="AS692" s="799"/>
      <c r="AT692" s="799"/>
      <c r="AU692" s="799"/>
      <c r="AV692" s="799"/>
      <c r="AW692" s="799"/>
      <c r="AX692" s="799"/>
      <c r="AY692" s="799"/>
      <c r="AZ692" s="799"/>
      <c r="BA692" s="799"/>
      <c r="BB692" s="799"/>
      <c r="BC692" s="799"/>
      <c r="BD692" s="799"/>
      <c r="BE692" s="799"/>
      <c r="BF692" s="799"/>
      <c r="BG692" s="799"/>
    </row>
    <row r="693">
      <c r="H693" s="799"/>
      <c r="I693" s="799"/>
      <c r="J693" s="799"/>
      <c r="K693" s="799"/>
      <c r="L693" s="799"/>
      <c r="M693" s="799"/>
      <c r="N693" s="799"/>
      <c r="O693" s="799"/>
      <c r="P693" s="799"/>
      <c r="Q693" s="799"/>
      <c r="R693" s="799"/>
      <c r="S693" s="799"/>
      <c r="T693" s="799"/>
      <c r="U693" s="799"/>
      <c r="V693" s="799"/>
      <c r="W693" s="799"/>
      <c r="X693" s="799"/>
      <c r="Y693" s="799"/>
      <c r="Z693" s="799"/>
      <c r="AA693" s="799"/>
      <c r="AB693" s="799"/>
      <c r="AC693" s="799"/>
      <c r="AD693" s="799"/>
      <c r="AE693" s="799"/>
      <c r="AF693" s="799"/>
      <c r="AG693" s="799"/>
      <c r="AH693" s="799"/>
      <c r="AI693" s="799"/>
      <c r="AJ693" s="799"/>
      <c r="AK693" s="799"/>
      <c r="AL693" s="799"/>
      <c r="AM693" s="799"/>
      <c r="AN693" s="799"/>
      <c r="AO693" s="799"/>
      <c r="AP693" s="799"/>
      <c r="AQ693" s="799"/>
      <c r="AR693" s="799"/>
      <c r="AS693" s="799"/>
      <c r="AT693" s="799"/>
      <c r="AU693" s="799"/>
      <c r="AV693" s="799"/>
      <c r="AW693" s="799"/>
      <c r="AX693" s="799"/>
      <c r="AY693" s="799"/>
      <c r="AZ693" s="799"/>
      <c r="BA693" s="799"/>
      <c r="BB693" s="799"/>
      <c r="BC693" s="799"/>
      <c r="BD693" s="799"/>
      <c r="BE693" s="799"/>
      <c r="BF693" s="799"/>
      <c r="BG693" s="799"/>
    </row>
    <row r="694">
      <c r="H694" s="799"/>
      <c r="I694" s="799"/>
      <c r="J694" s="799"/>
      <c r="K694" s="799"/>
      <c r="L694" s="799"/>
      <c r="M694" s="799"/>
      <c r="N694" s="799"/>
      <c r="O694" s="799"/>
      <c r="P694" s="799"/>
      <c r="Q694" s="799"/>
      <c r="R694" s="799"/>
      <c r="S694" s="799"/>
      <c r="T694" s="799"/>
      <c r="U694" s="799"/>
      <c r="V694" s="799"/>
      <c r="W694" s="799"/>
      <c r="X694" s="799"/>
      <c r="Y694" s="799"/>
      <c r="Z694" s="799"/>
      <c r="AA694" s="799"/>
      <c r="AB694" s="799"/>
      <c r="AC694" s="799"/>
      <c r="AD694" s="799"/>
      <c r="AE694" s="799"/>
      <c r="AF694" s="799"/>
      <c r="AG694" s="799"/>
      <c r="AH694" s="799"/>
      <c r="AI694" s="799"/>
      <c r="AJ694" s="799"/>
      <c r="AK694" s="799"/>
      <c r="AL694" s="799"/>
      <c r="AM694" s="799"/>
      <c r="AN694" s="799"/>
      <c r="AO694" s="799"/>
      <c r="AP694" s="799"/>
      <c r="AQ694" s="799"/>
      <c r="AR694" s="799"/>
      <c r="AS694" s="799"/>
      <c r="AT694" s="799"/>
      <c r="AU694" s="799"/>
      <c r="AV694" s="799"/>
      <c r="AW694" s="799"/>
      <c r="AX694" s="799"/>
      <c r="AY694" s="799"/>
      <c r="AZ694" s="799"/>
      <c r="BA694" s="799"/>
      <c r="BB694" s="799"/>
      <c r="BC694" s="799"/>
      <c r="BD694" s="799"/>
      <c r="BE694" s="799"/>
      <c r="BF694" s="799"/>
      <c r="BG694" s="799"/>
    </row>
    <row r="695">
      <c r="H695" s="799"/>
      <c r="I695" s="799"/>
      <c r="J695" s="799"/>
      <c r="K695" s="799"/>
      <c r="L695" s="799"/>
      <c r="M695" s="799"/>
      <c r="N695" s="799"/>
      <c r="O695" s="799"/>
      <c r="P695" s="799"/>
      <c r="Q695" s="799"/>
      <c r="R695" s="799"/>
      <c r="S695" s="799"/>
      <c r="T695" s="799"/>
      <c r="U695" s="799"/>
      <c r="V695" s="799"/>
      <c r="W695" s="799"/>
      <c r="X695" s="799"/>
      <c r="Y695" s="799"/>
      <c r="Z695" s="799"/>
      <c r="AA695" s="799"/>
      <c r="AB695" s="799"/>
      <c r="AC695" s="799"/>
      <c r="AD695" s="799"/>
      <c r="AE695" s="799"/>
      <c r="AF695" s="799"/>
      <c r="AG695" s="799"/>
      <c r="AH695" s="799"/>
      <c r="AI695" s="799"/>
      <c r="AJ695" s="799"/>
      <c r="AK695" s="799"/>
      <c r="AL695" s="799"/>
      <c r="AM695" s="799"/>
      <c r="AN695" s="799"/>
      <c r="AO695" s="799"/>
      <c r="AP695" s="799"/>
      <c r="AQ695" s="799"/>
      <c r="AR695" s="799"/>
      <c r="AS695" s="799"/>
      <c r="AT695" s="799"/>
      <c r="AU695" s="799"/>
      <c r="AV695" s="799"/>
      <c r="AW695" s="799"/>
      <c r="AX695" s="799"/>
      <c r="AY695" s="799"/>
      <c r="AZ695" s="799"/>
      <c r="BA695" s="799"/>
      <c r="BB695" s="799"/>
      <c r="BC695" s="799"/>
      <c r="BD695" s="799"/>
      <c r="BE695" s="799"/>
      <c r="BF695" s="799"/>
      <c r="BG695" s="799"/>
    </row>
    <row r="696">
      <c r="H696" s="799"/>
      <c r="I696" s="799"/>
      <c r="J696" s="799"/>
      <c r="K696" s="799"/>
      <c r="L696" s="799"/>
      <c r="M696" s="799"/>
      <c r="N696" s="799"/>
      <c r="O696" s="799"/>
      <c r="P696" s="799"/>
      <c r="Q696" s="799"/>
      <c r="R696" s="799"/>
      <c r="S696" s="799"/>
      <c r="T696" s="799"/>
      <c r="U696" s="799"/>
      <c r="V696" s="799"/>
      <c r="W696" s="799"/>
      <c r="X696" s="799"/>
      <c r="Y696" s="799"/>
      <c r="Z696" s="799"/>
      <c r="AA696" s="799"/>
      <c r="AB696" s="799"/>
      <c r="AC696" s="799"/>
      <c r="AD696" s="799"/>
      <c r="AE696" s="799"/>
      <c r="AF696" s="799"/>
      <c r="AG696" s="799"/>
      <c r="AH696" s="799"/>
      <c r="AI696" s="799"/>
      <c r="AJ696" s="799"/>
      <c r="AK696" s="799"/>
      <c r="AL696" s="799"/>
      <c r="AM696" s="799"/>
      <c r="AN696" s="799"/>
      <c r="AO696" s="799"/>
      <c r="AP696" s="799"/>
      <c r="AQ696" s="799"/>
      <c r="AR696" s="799"/>
      <c r="AS696" s="799"/>
      <c r="AT696" s="799"/>
      <c r="AU696" s="799"/>
      <c r="AV696" s="799"/>
      <c r="AW696" s="799"/>
      <c r="AX696" s="799"/>
      <c r="AY696" s="799"/>
      <c r="AZ696" s="799"/>
      <c r="BA696" s="799"/>
      <c r="BB696" s="799"/>
      <c r="BC696" s="799"/>
      <c r="BD696" s="799"/>
      <c r="BE696" s="799"/>
      <c r="BF696" s="799"/>
      <c r="BG696" s="799"/>
    </row>
    <row r="697">
      <c r="H697" s="799"/>
      <c r="I697" s="799"/>
      <c r="J697" s="799"/>
      <c r="K697" s="799"/>
      <c r="L697" s="799"/>
      <c r="M697" s="799"/>
      <c r="N697" s="799"/>
      <c r="O697" s="799"/>
      <c r="P697" s="799"/>
      <c r="Q697" s="799"/>
      <c r="R697" s="799"/>
      <c r="S697" s="799"/>
      <c r="T697" s="799"/>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799"/>
      <c r="AX697" s="799"/>
      <c r="AY697" s="799"/>
      <c r="AZ697" s="799"/>
      <c r="BA697" s="799"/>
      <c r="BB697" s="799"/>
      <c r="BC697" s="799"/>
      <c r="BD697" s="799"/>
      <c r="BE697" s="799"/>
      <c r="BF697" s="799"/>
      <c r="BG697" s="799"/>
    </row>
    <row r="698">
      <c r="H698" s="799"/>
      <c r="I698" s="799"/>
      <c r="J698" s="799"/>
      <c r="K698" s="799"/>
      <c r="L698" s="799"/>
      <c r="M698" s="799"/>
      <c r="N698" s="799"/>
      <c r="O698" s="799"/>
      <c r="P698" s="799"/>
      <c r="Q698" s="799"/>
      <c r="R698" s="799"/>
      <c r="S698" s="799"/>
      <c r="T698" s="799"/>
      <c r="U698" s="799"/>
      <c r="V698" s="799"/>
      <c r="W698" s="799"/>
      <c r="X698" s="799"/>
      <c r="Y698" s="799"/>
      <c r="Z698" s="799"/>
      <c r="AA698" s="799"/>
      <c r="AB698" s="799"/>
      <c r="AC698" s="799"/>
      <c r="AD698" s="799"/>
      <c r="AE698" s="799"/>
      <c r="AF698" s="799"/>
      <c r="AG698" s="799"/>
      <c r="AH698" s="799"/>
      <c r="AI698" s="799"/>
      <c r="AJ698" s="799"/>
      <c r="AK698" s="799"/>
      <c r="AL698" s="799"/>
      <c r="AM698" s="799"/>
      <c r="AN698" s="799"/>
      <c r="AO698" s="799"/>
      <c r="AP698" s="799"/>
      <c r="AQ698" s="799"/>
      <c r="AR698" s="799"/>
      <c r="AS698" s="799"/>
      <c r="AT698" s="799"/>
      <c r="AU698" s="799"/>
      <c r="AV698" s="799"/>
      <c r="AW698" s="799"/>
      <c r="AX698" s="799"/>
      <c r="AY698" s="799"/>
      <c r="AZ698" s="799"/>
      <c r="BA698" s="799"/>
      <c r="BB698" s="799"/>
      <c r="BC698" s="799"/>
      <c r="BD698" s="799"/>
      <c r="BE698" s="799"/>
      <c r="BF698" s="799"/>
      <c r="BG698" s="799"/>
    </row>
    <row r="699">
      <c r="H699" s="799"/>
      <c r="I699" s="799"/>
      <c r="J699" s="799"/>
      <c r="K699" s="799"/>
      <c r="L699" s="799"/>
      <c r="M699" s="799"/>
      <c r="N699" s="799"/>
      <c r="O699" s="799"/>
      <c r="P699" s="799"/>
      <c r="Q699" s="799"/>
      <c r="R699" s="799"/>
      <c r="S699" s="799"/>
      <c r="T699" s="799"/>
      <c r="U699" s="799"/>
      <c r="V699" s="799"/>
      <c r="W699" s="799"/>
      <c r="X699" s="799"/>
      <c r="Y699" s="799"/>
      <c r="Z699" s="799"/>
      <c r="AA699" s="799"/>
      <c r="AB699" s="799"/>
      <c r="AC699" s="799"/>
      <c r="AD699" s="799"/>
      <c r="AE699" s="799"/>
      <c r="AF699" s="799"/>
      <c r="AG699" s="799"/>
      <c r="AH699" s="799"/>
      <c r="AI699" s="799"/>
      <c r="AJ699" s="799"/>
      <c r="AK699" s="799"/>
      <c r="AL699" s="799"/>
      <c r="AM699" s="799"/>
      <c r="AN699" s="799"/>
      <c r="AO699" s="799"/>
      <c r="AP699" s="799"/>
      <c r="AQ699" s="799"/>
      <c r="AR699" s="799"/>
      <c r="AS699" s="799"/>
      <c r="AT699" s="799"/>
      <c r="AU699" s="799"/>
      <c r="AV699" s="799"/>
      <c r="AW699" s="799"/>
      <c r="AX699" s="799"/>
      <c r="AY699" s="799"/>
      <c r="AZ699" s="799"/>
      <c r="BA699" s="799"/>
      <c r="BB699" s="799"/>
      <c r="BC699" s="799"/>
      <c r="BD699" s="799"/>
      <c r="BE699" s="799"/>
      <c r="BF699" s="799"/>
      <c r="BG699" s="799"/>
    </row>
    <row r="700">
      <c r="H700" s="799"/>
      <c r="I700" s="799"/>
      <c r="J700" s="799"/>
      <c r="K700" s="799"/>
      <c r="L700" s="799"/>
      <c r="M700" s="799"/>
      <c r="N700" s="799"/>
      <c r="O700" s="799"/>
      <c r="P700" s="799"/>
      <c r="Q700" s="799"/>
      <c r="R700" s="799"/>
      <c r="S700" s="799"/>
      <c r="T700" s="799"/>
      <c r="U700" s="799"/>
      <c r="V700" s="799"/>
      <c r="W700" s="799"/>
      <c r="X700" s="799"/>
      <c r="Y700" s="799"/>
      <c r="Z700" s="799"/>
      <c r="AA700" s="799"/>
      <c r="AB700" s="799"/>
      <c r="AC700" s="799"/>
      <c r="AD700" s="799"/>
      <c r="AE700" s="799"/>
      <c r="AF700" s="799"/>
      <c r="AG700" s="799"/>
      <c r="AH700" s="799"/>
      <c r="AI700" s="799"/>
      <c r="AJ700" s="799"/>
      <c r="AK700" s="799"/>
      <c r="AL700" s="799"/>
      <c r="AM700" s="799"/>
      <c r="AN700" s="799"/>
      <c r="AO700" s="799"/>
      <c r="AP700" s="799"/>
      <c r="AQ700" s="799"/>
      <c r="AR700" s="799"/>
      <c r="AS700" s="799"/>
      <c r="AT700" s="799"/>
      <c r="AU700" s="799"/>
      <c r="AV700" s="799"/>
      <c r="AW700" s="799"/>
      <c r="AX700" s="799"/>
      <c r="AY700" s="799"/>
      <c r="AZ700" s="799"/>
      <c r="BA700" s="799"/>
      <c r="BB700" s="799"/>
      <c r="BC700" s="799"/>
      <c r="BD700" s="799"/>
      <c r="BE700" s="799"/>
      <c r="BF700" s="799"/>
      <c r="BG700" s="799"/>
    </row>
    <row r="701">
      <c r="H701" s="799"/>
      <c r="I701" s="799"/>
      <c r="J701" s="799"/>
      <c r="K701" s="799"/>
      <c r="L701" s="799"/>
      <c r="M701" s="799"/>
      <c r="N701" s="799"/>
      <c r="O701" s="799"/>
      <c r="P701" s="799"/>
      <c r="Q701" s="799"/>
      <c r="R701" s="799"/>
      <c r="S701" s="799"/>
      <c r="T701" s="799"/>
      <c r="U701" s="799"/>
      <c r="V701" s="799"/>
      <c r="W701" s="799"/>
      <c r="X701" s="799"/>
      <c r="Y701" s="799"/>
      <c r="Z701" s="799"/>
      <c r="AA701" s="799"/>
      <c r="AB701" s="799"/>
      <c r="AC701" s="799"/>
      <c r="AD701" s="799"/>
      <c r="AE701" s="799"/>
      <c r="AF701" s="799"/>
      <c r="AG701" s="799"/>
      <c r="AH701" s="799"/>
      <c r="AI701" s="799"/>
      <c r="AJ701" s="799"/>
      <c r="AK701" s="799"/>
      <c r="AL701" s="799"/>
      <c r="AM701" s="799"/>
      <c r="AN701" s="799"/>
      <c r="AO701" s="799"/>
      <c r="AP701" s="799"/>
      <c r="AQ701" s="799"/>
      <c r="AR701" s="799"/>
      <c r="AS701" s="799"/>
      <c r="AT701" s="799"/>
      <c r="AU701" s="799"/>
      <c r="AV701" s="799"/>
      <c r="AW701" s="799"/>
      <c r="AX701" s="799"/>
      <c r="AY701" s="799"/>
      <c r="AZ701" s="799"/>
      <c r="BA701" s="799"/>
      <c r="BB701" s="799"/>
      <c r="BC701" s="799"/>
      <c r="BD701" s="799"/>
      <c r="BE701" s="799"/>
      <c r="BF701" s="799"/>
      <c r="BG701" s="799"/>
    </row>
    <row r="702">
      <c r="H702" s="799"/>
      <c r="I702" s="799"/>
      <c r="J702" s="799"/>
      <c r="K702" s="799"/>
      <c r="L702" s="799"/>
      <c r="M702" s="799"/>
      <c r="N702" s="799"/>
      <c r="O702" s="799"/>
      <c r="P702" s="799"/>
      <c r="Q702" s="799"/>
      <c r="R702" s="799"/>
      <c r="S702" s="799"/>
      <c r="T702" s="799"/>
      <c r="U702" s="799"/>
      <c r="V702" s="799"/>
      <c r="W702" s="799"/>
      <c r="X702" s="799"/>
      <c r="Y702" s="799"/>
      <c r="Z702" s="799"/>
      <c r="AA702" s="799"/>
      <c r="AB702" s="799"/>
      <c r="AC702" s="799"/>
      <c r="AD702" s="799"/>
      <c r="AE702" s="799"/>
      <c r="AF702" s="799"/>
      <c r="AG702" s="799"/>
      <c r="AH702" s="799"/>
      <c r="AI702" s="799"/>
      <c r="AJ702" s="799"/>
      <c r="AK702" s="799"/>
      <c r="AL702" s="799"/>
      <c r="AM702" s="799"/>
      <c r="AN702" s="799"/>
      <c r="AO702" s="799"/>
      <c r="AP702" s="799"/>
      <c r="AQ702" s="799"/>
      <c r="AR702" s="799"/>
      <c r="AS702" s="799"/>
      <c r="AT702" s="799"/>
      <c r="AU702" s="799"/>
      <c r="AV702" s="799"/>
      <c r="AW702" s="799"/>
      <c r="AX702" s="799"/>
      <c r="AY702" s="799"/>
      <c r="AZ702" s="799"/>
      <c r="BA702" s="799"/>
      <c r="BB702" s="799"/>
      <c r="BC702" s="799"/>
      <c r="BD702" s="799"/>
      <c r="BE702" s="799"/>
      <c r="BF702" s="799"/>
      <c r="BG702" s="799"/>
    </row>
    <row r="703">
      <c r="H703" s="799"/>
      <c r="I703" s="799"/>
      <c r="J703" s="799"/>
      <c r="K703" s="799"/>
      <c r="L703" s="799"/>
      <c r="M703" s="799"/>
      <c r="N703" s="799"/>
      <c r="O703" s="799"/>
      <c r="P703" s="799"/>
      <c r="Q703" s="799"/>
      <c r="R703" s="799"/>
      <c r="S703" s="799"/>
      <c r="T703" s="799"/>
      <c r="U703" s="799"/>
      <c r="V703" s="799"/>
      <c r="W703" s="799"/>
      <c r="X703" s="799"/>
      <c r="Y703" s="799"/>
      <c r="Z703" s="799"/>
      <c r="AA703" s="799"/>
      <c r="AB703" s="799"/>
      <c r="AC703" s="799"/>
      <c r="AD703" s="799"/>
      <c r="AE703" s="799"/>
      <c r="AF703" s="799"/>
      <c r="AG703" s="799"/>
      <c r="AH703" s="799"/>
      <c r="AI703" s="799"/>
      <c r="AJ703" s="799"/>
      <c r="AK703" s="799"/>
      <c r="AL703" s="799"/>
      <c r="AM703" s="799"/>
      <c r="AN703" s="799"/>
      <c r="AO703" s="799"/>
      <c r="AP703" s="799"/>
      <c r="AQ703" s="799"/>
      <c r="AR703" s="799"/>
      <c r="AS703" s="799"/>
      <c r="AT703" s="799"/>
      <c r="AU703" s="799"/>
      <c r="AV703" s="799"/>
      <c r="AW703" s="799"/>
      <c r="AX703" s="799"/>
      <c r="AY703" s="799"/>
      <c r="AZ703" s="799"/>
      <c r="BA703" s="799"/>
      <c r="BB703" s="799"/>
      <c r="BC703" s="799"/>
      <c r="BD703" s="799"/>
      <c r="BE703" s="799"/>
      <c r="BF703" s="799"/>
      <c r="BG703" s="799"/>
    </row>
    <row r="704">
      <c r="H704" s="799"/>
      <c r="I704" s="799"/>
      <c r="J704" s="799"/>
      <c r="K704" s="799"/>
      <c r="L704" s="799"/>
      <c r="M704" s="799"/>
      <c r="N704" s="799"/>
      <c r="O704" s="799"/>
      <c r="P704" s="799"/>
      <c r="Q704" s="799"/>
      <c r="R704" s="799"/>
      <c r="S704" s="799"/>
      <c r="T704" s="799"/>
      <c r="U704" s="799"/>
      <c r="V704" s="799"/>
      <c r="W704" s="799"/>
      <c r="X704" s="799"/>
      <c r="Y704" s="799"/>
      <c r="Z704" s="799"/>
      <c r="AA704" s="799"/>
      <c r="AB704" s="799"/>
      <c r="AC704" s="799"/>
      <c r="AD704" s="799"/>
      <c r="AE704" s="799"/>
      <c r="AF704" s="799"/>
      <c r="AG704" s="799"/>
      <c r="AH704" s="799"/>
      <c r="AI704" s="799"/>
      <c r="AJ704" s="799"/>
      <c r="AK704" s="799"/>
      <c r="AL704" s="799"/>
      <c r="AM704" s="799"/>
      <c r="AN704" s="799"/>
      <c r="AO704" s="799"/>
      <c r="AP704" s="799"/>
      <c r="AQ704" s="799"/>
      <c r="AR704" s="799"/>
      <c r="AS704" s="799"/>
      <c r="AT704" s="799"/>
      <c r="AU704" s="799"/>
      <c r="AV704" s="799"/>
      <c r="AW704" s="799"/>
      <c r="AX704" s="799"/>
      <c r="AY704" s="799"/>
      <c r="AZ704" s="799"/>
      <c r="BA704" s="799"/>
      <c r="BB704" s="799"/>
      <c r="BC704" s="799"/>
      <c r="BD704" s="799"/>
      <c r="BE704" s="799"/>
      <c r="BF704" s="799"/>
      <c r="BG704" s="799"/>
    </row>
    <row r="705">
      <c r="H705" s="799"/>
      <c r="I705" s="799"/>
      <c r="J705" s="799"/>
      <c r="K705" s="799"/>
      <c r="L705" s="799"/>
      <c r="M705" s="799"/>
      <c r="N705" s="799"/>
      <c r="O705" s="799"/>
      <c r="P705" s="799"/>
      <c r="Q705" s="799"/>
      <c r="R705" s="799"/>
      <c r="S705" s="799"/>
      <c r="T705" s="799"/>
      <c r="U705" s="799"/>
      <c r="V705" s="799"/>
      <c r="W705" s="799"/>
      <c r="X705" s="799"/>
      <c r="Y705" s="799"/>
      <c r="Z705" s="799"/>
      <c r="AA705" s="799"/>
      <c r="AB705" s="799"/>
      <c r="AC705" s="799"/>
      <c r="AD705" s="799"/>
      <c r="AE705" s="799"/>
      <c r="AF705" s="799"/>
      <c r="AG705" s="799"/>
      <c r="AH705" s="799"/>
      <c r="AI705" s="799"/>
      <c r="AJ705" s="799"/>
      <c r="AK705" s="799"/>
      <c r="AL705" s="799"/>
      <c r="AM705" s="799"/>
      <c r="AN705" s="799"/>
      <c r="AO705" s="799"/>
      <c r="AP705" s="799"/>
      <c r="AQ705" s="799"/>
      <c r="AR705" s="799"/>
      <c r="AS705" s="799"/>
      <c r="AT705" s="799"/>
      <c r="AU705" s="799"/>
      <c r="AV705" s="799"/>
      <c r="AW705" s="799"/>
      <c r="AX705" s="799"/>
      <c r="AY705" s="799"/>
      <c r="AZ705" s="799"/>
      <c r="BA705" s="799"/>
      <c r="BB705" s="799"/>
      <c r="BC705" s="799"/>
      <c r="BD705" s="799"/>
      <c r="BE705" s="799"/>
      <c r="BF705" s="799"/>
      <c r="BG705" s="799"/>
    </row>
    <row r="706">
      <c r="H706" s="799"/>
      <c r="I706" s="799"/>
      <c r="J706" s="799"/>
      <c r="K706" s="799"/>
      <c r="L706" s="799"/>
      <c r="M706" s="799"/>
      <c r="N706" s="799"/>
      <c r="O706" s="799"/>
      <c r="P706" s="799"/>
      <c r="Q706" s="799"/>
      <c r="R706" s="799"/>
      <c r="S706" s="799"/>
      <c r="T706" s="799"/>
      <c r="U706" s="799"/>
      <c r="V706" s="799"/>
      <c r="W706" s="799"/>
      <c r="X706" s="799"/>
      <c r="Y706" s="799"/>
      <c r="Z706" s="799"/>
      <c r="AA706" s="799"/>
      <c r="AB706" s="799"/>
      <c r="AC706" s="799"/>
      <c r="AD706" s="799"/>
      <c r="AE706" s="799"/>
      <c r="AF706" s="799"/>
      <c r="AG706" s="799"/>
      <c r="AH706" s="799"/>
      <c r="AI706" s="799"/>
      <c r="AJ706" s="799"/>
      <c r="AK706" s="799"/>
      <c r="AL706" s="799"/>
      <c r="AM706" s="799"/>
      <c r="AN706" s="799"/>
      <c r="AO706" s="799"/>
      <c r="AP706" s="799"/>
      <c r="AQ706" s="799"/>
      <c r="AR706" s="799"/>
      <c r="AS706" s="799"/>
      <c r="AT706" s="799"/>
      <c r="AU706" s="799"/>
      <c r="AV706" s="799"/>
      <c r="AW706" s="799"/>
      <c r="AX706" s="799"/>
      <c r="AY706" s="799"/>
      <c r="AZ706" s="799"/>
      <c r="BA706" s="799"/>
      <c r="BB706" s="799"/>
      <c r="BC706" s="799"/>
      <c r="BD706" s="799"/>
      <c r="BE706" s="799"/>
      <c r="BF706" s="799"/>
      <c r="BG706" s="799"/>
    </row>
    <row r="707">
      <c r="H707" s="799"/>
      <c r="I707" s="799"/>
      <c r="J707" s="799"/>
      <c r="K707" s="799"/>
      <c r="L707" s="799"/>
      <c r="M707" s="799"/>
      <c r="N707" s="799"/>
      <c r="O707" s="799"/>
      <c r="P707" s="799"/>
      <c r="Q707" s="799"/>
      <c r="R707" s="799"/>
      <c r="S707" s="799"/>
      <c r="T707" s="799"/>
      <c r="U707" s="799"/>
      <c r="V707" s="799"/>
      <c r="W707" s="799"/>
      <c r="X707" s="799"/>
      <c r="Y707" s="799"/>
      <c r="Z707" s="799"/>
      <c r="AA707" s="799"/>
      <c r="AB707" s="799"/>
      <c r="AC707" s="799"/>
      <c r="AD707" s="799"/>
      <c r="AE707" s="799"/>
      <c r="AF707" s="799"/>
      <c r="AG707" s="799"/>
      <c r="AH707" s="799"/>
      <c r="AI707" s="799"/>
      <c r="AJ707" s="799"/>
      <c r="AK707" s="799"/>
      <c r="AL707" s="799"/>
      <c r="AM707" s="799"/>
      <c r="AN707" s="799"/>
      <c r="AO707" s="799"/>
      <c r="AP707" s="799"/>
      <c r="AQ707" s="799"/>
      <c r="AR707" s="799"/>
      <c r="AS707" s="799"/>
      <c r="AT707" s="799"/>
      <c r="AU707" s="799"/>
      <c r="AV707" s="799"/>
      <c r="AW707" s="799"/>
      <c r="AX707" s="799"/>
      <c r="AY707" s="799"/>
      <c r="AZ707" s="799"/>
      <c r="BA707" s="799"/>
      <c r="BB707" s="799"/>
      <c r="BC707" s="799"/>
      <c r="BD707" s="799"/>
      <c r="BE707" s="799"/>
      <c r="BF707" s="799"/>
      <c r="BG707" s="799"/>
    </row>
    <row r="708">
      <c r="H708" s="799"/>
      <c r="I708" s="799"/>
      <c r="J708" s="799"/>
      <c r="K708" s="799"/>
      <c r="L708" s="799"/>
      <c r="M708" s="799"/>
      <c r="N708" s="799"/>
      <c r="O708" s="799"/>
      <c r="P708" s="799"/>
      <c r="Q708" s="799"/>
      <c r="R708" s="799"/>
      <c r="S708" s="799"/>
      <c r="T708" s="799"/>
      <c r="U708" s="799"/>
      <c r="V708" s="799"/>
      <c r="W708" s="799"/>
      <c r="X708" s="799"/>
      <c r="Y708" s="799"/>
      <c r="Z708" s="799"/>
      <c r="AA708" s="799"/>
      <c r="AB708" s="799"/>
      <c r="AC708" s="799"/>
      <c r="AD708" s="799"/>
      <c r="AE708" s="799"/>
      <c r="AF708" s="799"/>
      <c r="AG708" s="799"/>
      <c r="AH708" s="799"/>
      <c r="AI708" s="799"/>
      <c r="AJ708" s="799"/>
      <c r="AK708" s="799"/>
      <c r="AL708" s="799"/>
      <c r="AM708" s="799"/>
      <c r="AN708" s="799"/>
      <c r="AO708" s="799"/>
      <c r="AP708" s="799"/>
      <c r="AQ708" s="799"/>
      <c r="AR708" s="799"/>
      <c r="AS708" s="799"/>
      <c r="AT708" s="799"/>
      <c r="AU708" s="799"/>
      <c r="AV708" s="799"/>
      <c r="AW708" s="799"/>
      <c r="AX708" s="799"/>
      <c r="AY708" s="799"/>
      <c r="AZ708" s="799"/>
      <c r="BA708" s="799"/>
      <c r="BB708" s="799"/>
      <c r="BC708" s="799"/>
      <c r="BD708" s="799"/>
      <c r="BE708" s="799"/>
      <c r="BF708" s="799"/>
      <c r="BG708" s="799"/>
    </row>
    <row r="709">
      <c r="H709" s="799"/>
      <c r="I709" s="799"/>
      <c r="J709" s="799"/>
      <c r="K709" s="799"/>
      <c r="L709" s="799"/>
      <c r="M709" s="799"/>
      <c r="N709" s="799"/>
      <c r="O709" s="799"/>
      <c r="P709" s="799"/>
      <c r="Q709" s="799"/>
      <c r="R709" s="799"/>
      <c r="S709" s="799"/>
      <c r="T709" s="799"/>
      <c r="U709" s="799"/>
      <c r="V709" s="799"/>
      <c r="W709" s="799"/>
      <c r="X709" s="799"/>
      <c r="Y709" s="799"/>
      <c r="Z709" s="799"/>
      <c r="AA709" s="799"/>
      <c r="AB709" s="799"/>
      <c r="AC709" s="799"/>
      <c r="AD709" s="799"/>
      <c r="AE709" s="799"/>
      <c r="AF709" s="799"/>
      <c r="AG709" s="799"/>
      <c r="AH709" s="799"/>
      <c r="AI709" s="799"/>
      <c r="AJ709" s="799"/>
      <c r="AK709" s="799"/>
      <c r="AL709" s="799"/>
      <c r="AM709" s="799"/>
      <c r="AN709" s="799"/>
      <c r="AO709" s="799"/>
      <c r="AP709" s="799"/>
      <c r="AQ709" s="799"/>
      <c r="AR709" s="799"/>
      <c r="AS709" s="799"/>
      <c r="AT709" s="799"/>
      <c r="AU709" s="799"/>
      <c r="AV709" s="799"/>
      <c r="AW709" s="799"/>
      <c r="AX709" s="799"/>
      <c r="AY709" s="799"/>
      <c r="AZ709" s="799"/>
      <c r="BA709" s="799"/>
      <c r="BB709" s="799"/>
      <c r="BC709" s="799"/>
      <c r="BD709" s="799"/>
      <c r="BE709" s="799"/>
      <c r="BF709" s="799"/>
      <c r="BG709" s="799"/>
    </row>
    <row r="710">
      <c r="H710" s="799"/>
      <c r="I710" s="799"/>
      <c r="J710" s="799"/>
      <c r="K710" s="799"/>
      <c r="L710" s="799"/>
      <c r="M710" s="799"/>
      <c r="N710" s="799"/>
      <c r="O710" s="799"/>
      <c r="P710" s="799"/>
      <c r="Q710" s="799"/>
      <c r="R710" s="799"/>
      <c r="S710" s="799"/>
      <c r="T710" s="799"/>
      <c r="U710" s="799"/>
      <c r="V710" s="799"/>
      <c r="W710" s="799"/>
      <c r="X710" s="799"/>
      <c r="Y710" s="799"/>
      <c r="Z710" s="799"/>
      <c r="AA710" s="799"/>
      <c r="AB710" s="799"/>
      <c r="AC710" s="799"/>
      <c r="AD710" s="799"/>
      <c r="AE710" s="799"/>
      <c r="AF710" s="799"/>
      <c r="AG710" s="799"/>
      <c r="AH710" s="799"/>
      <c r="AI710" s="799"/>
      <c r="AJ710" s="799"/>
      <c r="AK710" s="799"/>
      <c r="AL710" s="799"/>
      <c r="AM710" s="799"/>
      <c r="AN710" s="799"/>
      <c r="AO710" s="799"/>
      <c r="AP710" s="799"/>
      <c r="AQ710" s="799"/>
      <c r="AR710" s="799"/>
      <c r="AS710" s="799"/>
      <c r="AT710" s="799"/>
      <c r="AU710" s="799"/>
      <c r="AV710" s="799"/>
      <c r="AW710" s="799"/>
      <c r="AX710" s="799"/>
      <c r="AY710" s="799"/>
      <c r="AZ710" s="799"/>
      <c r="BA710" s="799"/>
      <c r="BB710" s="799"/>
      <c r="BC710" s="799"/>
      <c r="BD710" s="799"/>
      <c r="BE710" s="799"/>
      <c r="BF710" s="799"/>
      <c r="BG710" s="799"/>
    </row>
    <row r="711">
      <c r="H711" s="799"/>
      <c r="I711" s="799"/>
      <c r="J711" s="799"/>
      <c r="K711" s="799"/>
      <c r="L711" s="799"/>
      <c r="M711" s="799"/>
      <c r="N711" s="799"/>
      <c r="O711" s="799"/>
      <c r="P711" s="799"/>
      <c r="Q711" s="799"/>
      <c r="R711" s="799"/>
      <c r="S711" s="799"/>
      <c r="T711" s="799"/>
      <c r="U711" s="799"/>
      <c r="V711" s="799"/>
      <c r="W711" s="799"/>
      <c r="X711" s="799"/>
      <c r="Y711" s="799"/>
      <c r="Z711" s="799"/>
      <c r="AA711" s="799"/>
      <c r="AB711" s="799"/>
      <c r="AC711" s="799"/>
      <c r="AD711" s="799"/>
      <c r="AE711" s="799"/>
      <c r="AF711" s="799"/>
      <c r="AG711" s="799"/>
      <c r="AH711" s="799"/>
      <c r="AI711" s="799"/>
      <c r="AJ711" s="799"/>
      <c r="AK711" s="799"/>
      <c r="AL711" s="799"/>
      <c r="AM711" s="799"/>
      <c r="AN711" s="799"/>
      <c r="AO711" s="799"/>
      <c r="AP711" s="799"/>
      <c r="AQ711" s="799"/>
      <c r="AR711" s="799"/>
      <c r="AS711" s="799"/>
      <c r="AT711" s="799"/>
      <c r="AU711" s="799"/>
      <c r="AV711" s="799"/>
      <c r="AW711" s="799"/>
      <c r="AX711" s="799"/>
      <c r="AY711" s="799"/>
      <c r="AZ711" s="799"/>
      <c r="BA711" s="799"/>
      <c r="BB711" s="799"/>
      <c r="BC711" s="799"/>
      <c r="BD711" s="799"/>
      <c r="BE711" s="799"/>
      <c r="BF711" s="799"/>
      <c r="BG711" s="799"/>
    </row>
    <row r="712">
      <c r="H712" s="799"/>
      <c r="I712" s="799"/>
      <c r="J712" s="799"/>
      <c r="K712" s="799"/>
      <c r="L712" s="799"/>
      <c r="M712" s="799"/>
      <c r="N712" s="799"/>
      <c r="O712" s="799"/>
      <c r="P712" s="799"/>
      <c r="Q712" s="799"/>
      <c r="R712" s="799"/>
      <c r="S712" s="799"/>
      <c r="T712" s="799"/>
      <c r="U712" s="799"/>
      <c r="V712" s="799"/>
      <c r="W712" s="799"/>
      <c r="X712" s="799"/>
      <c r="Y712" s="799"/>
      <c r="Z712" s="799"/>
      <c r="AA712" s="799"/>
      <c r="AB712" s="799"/>
      <c r="AC712" s="799"/>
      <c r="AD712" s="799"/>
      <c r="AE712" s="799"/>
      <c r="AF712" s="799"/>
      <c r="AG712" s="799"/>
      <c r="AH712" s="799"/>
      <c r="AI712" s="799"/>
      <c r="AJ712" s="799"/>
      <c r="AK712" s="799"/>
      <c r="AL712" s="799"/>
      <c r="AM712" s="799"/>
      <c r="AN712" s="799"/>
      <c r="AO712" s="799"/>
      <c r="AP712" s="799"/>
      <c r="AQ712" s="799"/>
      <c r="AR712" s="799"/>
      <c r="AS712" s="799"/>
      <c r="AT712" s="799"/>
      <c r="AU712" s="799"/>
      <c r="AV712" s="799"/>
      <c r="AW712" s="799"/>
      <c r="AX712" s="799"/>
      <c r="AY712" s="799"/>
      <c r="AZ712" s="799"/>
      <c r="BA712" s="799"/>
      <c r="BB712" s="799"/>
      <c r="BC712" s="799"/>
      <c r="BD712" s="799"/>
      <c r="BE712" s="799"/>
      <c r="BF712" s="799"/>
      <c r="BG712" s="799"/>
    </row>
    <row r="713">
      <c r="H713" s="799"/>
      <c r="I713" s="799"/>
      <c r="J713" s="799"/>
      <c r="K713" s="799"/>
      <c r="L713" s="799"/>
      <c r="M713" s="799"/>
      <c r="N713" s="799"/>
      <c r="O713" s="799"/>
      <c r="P713" s="799"/>
      <c r="Q713" s="799"/>
      <c r="R713" s="799"/>
      <c r="S713" s="799"/>
      <c r="T713" s="799"/>
      <c r="U713" s="799"/>
      <c r="V713" s="799"/>
      <c r="W713" s="799"/>
      <c r="X713" s="799"/>
      <c r="Y713" s="799"/>
      <c r="Z713" s="799"/>
      <c r="AA713" s="799"/>
      <c r="AB713" s="799"/>
      <c r="AC713" s="799"/>
      <c r="AD713" s="799"/>
      <c r="AE713" s="799"/>
      <c r="AF713" s="799"/>
      <c r="AG713" s="799"/>
      <c r="AH713" s="799"/>
      <c r="AI713" s="799"/>
      <c r="AJ713" s="799"/>
      <c r="AK713" s="799"/>
      <c r="AL713" s="799"/>
      <c r="AM713" s="799"/>
      <c r="AN713" s="799"/>
      <c r="AO713" s="799"/>
      <c r="AP713" s="799"/>
      <c r="AQ713" s="799"/>
      <c r="AR713" s="799"/>
      <c r="AS713" s="799"/>
      <c r="AT713" s="799"/>
      <c r="AU713" s="799"/>
      <c r="AV713" s="799"/>
      <c r="AW713" s="799"/>
      <c r="AX713" s="799"/>
      <c r="AY713" s="799"/>
      <c r="AZ713" s="799"/>
      <c r="BA713" s="799"/>
      <c r="BB713" s="799"/>
      <c r="BC713" s="799"/>
      <c r="BD713" s="799"/>
      <c r="BE713" s="799"/>
      <c r="BF713" s="799"/>
      <c r="BG713" s="799"/>
    </row>
    <row r="714">
      <c r="H714" s="799"/>
      <c r="I714" s="799"/>
      <c r="J714" s="799"/>
      <c r="K714" s="799"/>
      <c r="L714" s="799"/>
      <c r="M714" s="799"/>
      <c r="N714" s="799"/>
      <c r="O714" s="799"/>
      <c r="P714" s="799"/>
      <c r="Q714" s="799"/>
      <c r="R714" s="799"/>
      <c r="S714" s="799"/>
      <c r="T714" s="799"/>
      <c r="U714" s="799"/>
      <c r="V714" s="799"/>
      <c r="W714" s="799"/>
      <c r="X714" s="799"/>
      <c r="Y714" s="799"/>
      <c r="Z714" s="799"/>
      <c r="AA714" s="799"/>
      <c r="AB714" s="799"/>
      <c r="AC714" s="799"/>
      <c r="AD714" s="799"/>
      <c r="AE714" s="799"/>
      <c r="AF714" s="799"/>
      <c r="AG714" s="799"/>
      <c r="AH714" s="799"/>
      <c r="AI714" s="799"/>
      <c r="AJ714" s="799"/>
      <c r="AK714" s="799"/>
      <c r="AL714" s="799"/>
      <c r="AM714" s="799"/>
      <c r="AN714" s="799"/>
      <c r="AO714" s="799"/>
      <c r="AP714" s="799"/>
      <c r="AQ714" s="799"/>
      <c r="AR714" s="799"/>
      <c r="AS714" s="799"/>
      <c r="AT714" s="799"/>
      <c r="AU714" s="799"/>
      <c r="AV714" s="799"/>
      <c r="AW714" s="799"/>
      <c r="AX714" s="799"/>
      <c r="AY714" s="799"/>
      <c r="AZ714" s="799"/>
      <c r="BA714" s="799"/>
      <c r="BB714" s="799"/>
      <c r="BC714" s="799"/>
      <c r="BD714" s="799"/>
      <c r="BE714" s="799"/>
      <c r="BF714" s="799"/>
      <c r="BG714" s="799"/>
    </row>
    <row r="715">
      <c r="H715" s="799"/>
      <c r="I715" s="799"/>
      <c r="J715" s="799"/>
      <c r="K715" s="799"/>
      <c r="L715" s="799"/>
      <c r="M715" s="799"/>
      <c r="N715" s="799"/>
      <c r="O715" s="799"/>
      <c r="P715" s="799"/>
      <c r="Q715" s="799"/>
      <c r="R715" s="799"/>
      <c r="S715" s="799"/>
      <c r="T715" s="799"/>
      <c r="U715" s="799"/>
      <c r="V715" s="799"/>
      <c r="W715" s="799"/>
      <c r="X715" s="799"/>
      <c r="Y715" s="799"/>
      <c r="Z715" s="799"/>
      <c r="AA715" s="799"/>
      <c r="AB715" s="799"/>
      <c r="AC715" s="799"/>
      <c r="AD715" s="799"/>
      <c r="AE715" s="799"/>
      <c r="AF715" s="799"/>
      <c r="AG715" s="799"/>
      <c r="AH715" s="799"/>
      <c r="AI715" s="799"/>
      <c r="AJ715" s="799"/>
      <c r="AK715" s="799"/>
      <c r="AL715" s="799"/>
      <c r="AM715" s="799"/>
      <c r="AN715" s="799"/>
      <c r="AO715" s="799"/>
      <c r="AP715" s="799"/>
      <c r="AQ715" s="799"/>
      <c r="AR715" s="799"/>
      <c r="AS715" s="799"/>
      <c r="AT715" s="799"/>
      <c r="AU715" s="799"/>
      <c r="AV715" s="799"/>
      <c r="AW715" s="799"/>
      <c r="AX715" s="799"/>
      <c r="AY715" s="799"/>
      <c r="AZ715" s="799"/>
      <c r="BA715" s="799"/>
      <c r="BB715" s="799"/>
      <c r="BC715" s="799"/>
      <c r="BD715" s="799"/>
      <c r="BE715" s="799"/>
      <c r="BF715" s="799"/>
      <c r="BG715" s="799"/>
    </row>
    <row r="716">
      <c r="H716" s="799"/>
      <c r="I716" s="799"/>
      <c r="J716" s="799"/>
      <c r="K716" s="799"/>
      <c r="L716" s="799"/>
      <c r="M716" s="799"/>
      <c r="N716" s="799"/>
      <c r="O716" s="799"/>
      <c r="P716" s="799"/>
      <c r="Q716" s="799"/>
      <c r="R716" s="799"/>
      <c r="S716" s="799"/>
      <c r="T716" s="799"/>
      <c r="U716" s="799"/>
      <c r="V716" s="799"/>
      <c r="W716" s="799"/>
      <c r="X716" s="799"/>
      <c r="Y716" s="799"/>
      <c r="Z716" s="799"/>
      <c r="AA716" s="799"/>
      <c r="AB716" s="799"/>
      <c r="AC716" s="799"/>
      <c r="AD716" s="799"/>
      <c r="AE716" s="799"/>
      <c r="AF716" s="799"/>
      <c r="AG716" s="799"/>
      <c r="AH716" s="799"/>
      <c r="AI716" s="799"/>
      <c r="AJ716" s="799"/>
      <c r="AK716" s="799"/>
      <c r="AL716" s="799"/>
      <c r="AM716" s="799"/>
      <c r="AN716" s="799"/>
      <c r="AO716" s="799"/>
      <c r="AP716" s="799"/>
      <c r="AQ716" s="799"/>
      <c r="AR716" s="799"/>
      <c r="AS716" s="799"/>
      <c r="AT716" s="799"/>
      <c r="AU716" s="799"/>
      <c r="AV716" s="799"/>
      <c r="AW716" s="799"/>
      <c r="AX716" s="799"/>
      <c r="AY716" s="799"/>
      <c r="AZ716" s="799"/>
      <c r="BA716" s="799"/>
      <c r="BB716" s="799"/>
      <c r="BC716" s="799"/>
      <c r="BD716" s="799"/>
      <c r="BE716" s="799"/>
      <c r="BF716" s="799"/>
      <c r="BG716" s="799"/>
    </row>
    <row r="717">
      <c r="H717" s="799"/>
      <c r="I717" s="799"/>
      <c r="J717" s="799"/>
      <c r="K717" s="799"/>
      <c r="L717" s="799"/>
      <c r="M717" s="799"/>
      <c r="N717" s="799"/>
      <c r="O717" s="799"/>
      <c r="P717" s="799"/>
      <c r="Q717" s="799"/>
      <c r="R717" s="799"/>
      <c r="S717" s="799"/>
      <c r="T717" s="799"/>
      <c r="U717" s="799"/>
      <c r="V717" s="799"/>
      <c r="W717" s="799"/>
      <c r="X717" s="799"/>
      <c r="Y717" s="799"/>
      <c r="Z717" s="799"/>
      <c r="AA717" s="799"/>
      <c r="AB717" s="799"/>
      <c r="AC717" s="799"/>
      <c r="AD717" s="799"/>
      <c r="AE717" s="799"/>
      <c r="AF717" s="799"/>
      <c r="AG717" s="799"/>
      <c r="AH717" s="799"/>
      <c r="AI717" s="799"/>
      <c r="AJ717" s="799"/>
      <c r="AK717" s="799"/>
      <c r="AL717" s="799"/>
      <c r="AM717" s="799"/>
      <c r="AN717" s="799"/>
      <c r="AO717" s="799"/>
      <c r="AP717" s="799"/>
      <c r="AQ717" s="799"/>
      <c r="AR717" s="799"/>
      <c r="AS717" s="799"/>
      <c r="AT717" s="799"/>
      <c r="AU717" s="799"/>
      <c r="AV717" s="799"/>
      <c r="AW717" s="799"/>
      <c r="AX717" s="799"/>
      <c r="AY717" s="799"/>
      <c r="AZ717" s="799"/>
      <c r="BA717" s="799"/>
      <c r="BB717" s="799"/>
      <c r="BC717" s="799"/>
      <c r="BD717" s="799"/>
      <c r="BE717" s="799"/>
      <c r="BF717" s="799"/>
      <c r="BG717" s="799"/>
    </row>
    <row r="718">
      <c r="H718" s="799"/>
      <c r="I718" s="799"/>
      <c r="J718" s="799"/>
      <c r="K718" s="799"/>
      <c r="L718" s="799"/>
      <c r="M718" s="799"/>
      <c r="N718" s="799"/>
      <c r="O718" s="799"/>
      <c r="P718" s="799"/>
      <c r="Q718" s="799"/>
      <c r="R718" s="799"/>
      <c r="S718" s="799"/>
      <c r="T718" s="799"/>
      <c r="U718" s="799"/>
      <c r="V718" s="799"/>
      <c r="W718" s="799"/>
      <c r="X718" s="799"/>
      <c r="Y718" s="799"/>
      <c r="Z718" s="799"/>
      <c r="AA718" s="799"/>
      <c r="AB718" s="799"/>
      <c r="AC718" s="799"/>
      <c r="AD718" s="799"/>
      <c r="AE718" s="799"/>
      <c r="AF718" s="799"/>
      <c r="AG718" s="799"/>
      <c r="AH718" s="799"/>
      <c r="AI718" s="799"/>
      <c r="AJ718" s="799"/>
      <c r="AK718" s="799"/>
      <c r="AL718" s="799"/>
      <c r="AM718" s="799"/>
      <c r="AN718" s="799"/>
      <c r="AO718" s="799"/>
      <c r="AP718" s="799"/>
      <c r="AQ718" s="799"/>
      <c r="AR718" s="799"/>
      <c r="AS718" s="799"/>
      <c r="AT718" s="799"/>
      <c r="AU718" s="799"/>
      <c r="AV718" s="799"/>
      <c r="AW718" s="799"/>
      <c r="AX718" s="799"/>
      <c r="AY718" s="799"/>
      <c r="AZ718" s="799"/>
      <c r="BA718" s="799"/>
      <c r="BB718" s="799"/>
      <c r="BC718" s="799"/>
      <c r="BD718" s="799"/>
      <c r="BE718" s="799"/>
      <c r="BF718" s="799"/>
      <c r="BG718" s="799"/>
    </row>
    <row r="719">
      <c r="H719" s="799"/>
      <c r="I719" s="799"/>
      <c r="J719" s="799"/>
      <c r="K719" s="799"/>
      <c r="L719" s="799"/>
      <c r="M719" s="799"/>
      <c r="N719" s="799"/>
      <c r="O719" s="799"/>
      <c r="P719" s="799"/>
      <c r="Q719" s="799"/>
      <c r="R719" s="799"/>
      <c r="S719" s="799"/>
      <c r="T719" s="799"/>
      <c r="U719" s="799"/>
      <c r="V719" s="799"/>
      <c r="W719" s="799"/>
      <c r="X719" s="799"/>
      <c r="Y719" s="799"/>
      <c r="Z719" s="799"/>
      <c r="AA719" s="799"/>
      <c r="AB719" s="799"/>
      <c r="AC719" s="799"/>
      <c r="AD719" s="799"/>
      <c r="AE719" s="799"/>
      <c r="AF719" s="799"/>
      <c r="AG719" s="799"/>
      <c r="AH719" s="799"/>
      <c r="AI719" s="799"/>
      <c r="AJ719" s="799"/>
      <c r="AK719" s="799"/>
      <c r="AL719" s="799"/>
      <c r="AM719" s="799"/>
      <c r="AN719" s="799"/>
      <c r="AO719" s="799"/>
      <c r="AP719" s="799"/>
      <c r="AQ719" s="799"/>
      <c r="AR719" s="799"/>
      <c r="AS719" s="799"/>
      <c r="AT719" s="799"/>
      <c r="AU719" s="799"/>
      <c r="AV719" s="799"/>
      <c r="AW719" s="799"/>
      <c r="AX719" s="799"/>
      <c r="AY719" s="799"/>
      <c r="AZ719" s="799"/>
      <c r="BA719" s="799"/>
      <c r="BB719" s="799"/>
      <c r="BC719" s="799"/>
      <c r="BD719" s="799"/>
      <c r="BE719" s="799"/>
      <c r="BF719" s="799"/>
      <c r="BG719" s="799"/>
    </row>
    <row r="720">
      <c r="H720" s="799"/>
      <c r="I720" s="799"/>
      <c r="J720" s="799"/>
      <c r="K720" s="799"/>
      <c r="L720" s="799"/>
      <c r="M720" s="799"/>
      <c r="N720" s="799"/>
      <c r="O720" s="799"/>
      <c r="P720" s="799"/>
      <c r="Q720" s="799"/>
      <c r="R720" s="799"/>
      <c r="S720" s="799"/>
      <c r="T720" s="799"/>
      <c r="U720" s="799"/>
      <c r="V720" s="799"/>
      <c r="W720" s="799"/>
      <c r="X720" s="799"/>
      <c r="Y720" s="799"/>
      <c r="Z720" s="799"/>
      <c r="AA720" s="799"/>
      <c r="AB720" s="799"/>
      <c r="AC720" s="799"/>
      <c r="AD720" s="799"/>
      <c r="AE720" s="799"/>
      <c r="AF720" s="799"/>
      <c r="AG720" s="799"/>
      <c r="AH720" s="799"/>
      <c r="AI720" s="799"/>
      <c r="AJ720" s="799"/>
      <c r="AK720" s="799"/>
      <c r="AL720" s="799"/>
      <c r="AM720" s="799"/>
      <c r="AN720" s="799"/>
      <c r="AO720" s="799"/>
      <c r="AP720" s="799"/>
      <c r="AQ720" s="799"/>
      <c r="AR720" s="799"/>
      <c r="AS720" s="799"/>
      <c r="AT720" s="799"/>
      <c r="AU720" s="799"/>
      <c r="AV720" s="799"/>
      <c r="AW720" s="799"/>
      <c r="AX720" s="799"/>
      <c r="AY720" s="799"/>
      <c r="AZ720" s="799"/>
      <c r="BA720" s="799"/>
      <c r="BB720" s="799"/>
      <c r="BC720" s="799"/>
      <c r="BD720" s="799"/>
      <c r="BE720" s="799"/>
      <c r="BF720" s="799"/>
      <c r="BG720" s="799"/>
    </row>
    <row r="721">
      <c r="H721" s="799"/>
      <c r="I721" s="799"/>
      <c r="J721" s="799"/>
      <c r="K721" s="799"/>
      <c r="L721" s="799"/>
      <c r="M721" s="799"/>
      <c r="N721" s="799"/>
      <c r="O721" s="799"/>
      <c r="P721" s="799"/>
      <c r="Q721" s="799"/>
      <c r="R721" s="799"/>
      <c r="S721" s="799"/>
      <c r="T721" s="799"/>
      <c r="U721" s="799"/>
      <c r="V721" s="799"/>
      <c r="W721" s="799"/>
      <c r="X721" s="799"/>
      <c r="Y721" s="799"/>
      <c r="Z721" s="799"/>
      <c r="AA721" s="799"/>
      <c r="AB721" s="799"/>
      <c r="AC721" s="799"/>
      <c r="AD721" s="799"/>
      <c r="AE721" s="799"/>
      <c r="AF721" s="799"/>
      <c r="AG721" s="799"/>
      <c r="AH721" s="799"/>
      <c r="AI721" s="799"/>
      <c r="AJ721" s="799"/>
      <c r="AK721" s="799"/>
      <c r="AL721" s="799"/>
      <c r="AM721" s="799"/>
      <c r="AN721" s="799"/>
      <c r="AO721" s="799"/>
      <c r="AP721" s="799"/>
      <c r="AQ721" s="799"/>
      <c r="AR721" s="799"/>
      <c r="AS721" s="799"/>
      <c r="AT721" s="799"/>
      <c r="AU721" s="799"/>
      <c r="AV721" s="799"/>
      <c r="AW721" s="799"/>
      <c r="AX721" s="799"/>
      <c r="AY721" s="799"/>
      <c r="AZ721" s="799"/>
      <c r="BA721" s="799"/>
      <c r="BB721" s="799"/>
      <c r="BC721" s="799"/>
      <c r="BD721" s="799"/>
      <c r="BE721" s="799"/>
      <c r="BF721" s="799"/>
      <c r="BG721" s="799"/>
    </row>
    <row r="722">
      <c r="H722" s="799"/>
      <c r="I722" s="799"/>
      <c r="J722" s="799"/>
      <c r="K722" s="799"/>
      <c r="L722" s="799"/>
      <c r="M722" s="799"/>
      <c r="N722" s="799"/>
      <c r="O722" s="799"/>
      <c r="P722" s="799"/>
      <c r="Q722" s="799"/>
      <c r="R722" s="799"/>
      <c r="S722" s="799"/>
      <c r="T722" s="799"/>
      <c r="U722" s="799"/>
      <c r="V722" s="799"/>
      <c r="W722" s="799"/>
      <c r="X722" s="799"/>
      <c r="Y722" s="799"/>
      <c r="Z722" s="799"/>
      <c r="AA722" s="799"/>
      <c r="AB722" s="799"/>
      <c r="AC722" s="799"/>
      <c r="AD722" s="799"/>
      <c r="AE722" s="799"/>
      <c r="AF722" s="799"/>
      <c r="AG722" s="799"/>
      <c r="AH722" s="799"/>
      <c r="AI722" s="799"/>
      <c r="AJ722" s="799"/>
      <c r="AK722" s="799"/>
      <c r="AL722" s="799"/>
      <c r="AM722" s="799"/>
      <c r="AN722" s="799"/>
      <c r="AO722" s="799"/>
      <c r="AP722" s="799"/>
      <c r="AQ722" s="799"/>
      <c r="AR722" s="799"/>
      <c r="AS722" s="799"/>
      <c r="AT722" s="799"/>
      <c r="AU722" s="799"/>
      <c r="AV722" s="799"/>
      <c r="AW722" s="799"/>
      <c r="AX722" s="799"/>
      <c r="AY722" s="799"/>
      <c r="AZ722" s="799"/>
      <c r="BA722" s="799"/>
      <c r="BB722" s="799"/>
      <c r="BC722" s="799"/>
      <c r="BD722" s="799"/>
      <c r="BE722" s="799"/>
      <c r="BF722" s="799"/>
      <c r="BG722" s="799"/>
    </row>
    <row r="723">
      <c r="H723" s="799"/>
      <c r="I723" s="799"/>
      <c r="J723" s="799"/>
      <c r="K723" s="799"/>
      <c r="L723" s="799"/>
      <c r="M723" s="799"/>
      <c r="N723" s="799"/>
      <c r="O723" s="799"/>
      <c r="P723" s="799"/>
      <c r="Q723" s="799"/>
      <c r="R723" s="799"/>
      <c r="S723" s="799"/>
      <c r="T723" s="799"/>
      <c r="U723" s="799"/>
      <c r="V723" s="799"/>
      <c r="W723" s="799"/>
      <c r="X723" s="799"/>
      <c r="Y723" s="799"/>
      <c r="Z723" s="799"/>
      <c r="AA723" s="799"/>
      <c r="AB723" s="799"/>
      <c r="AC723" s="799"/>
      <c r="AD723" s="799"/>
      <c r="AE723" s="799"/>
      <c r="AF723" s="799"/>
      <c r="AG723" s="799"/>
      <c r="AH723" s="799"/>
      <c r="AI723" s="799"/>
      <c r="AJ723" s="799"/>
      <c r="AK723" s="799"/>
      <c r="AL723" s="799"/>
      <c r="AM723" s="799"/>
      <c r="AN723" s="799"/>
      <c r="AO723" s="799"/>
      <c r="AP723" s="799"/>
      <c r="AQ723" s="799"/>
      <c r="AR723" s="799"/>
      <c r="AS723" s="799"/>
      <c r="AT723" s="799"/>
      <c r="AU723" s="799"/>
      <c r="AV723" s="799"/>
      <c r="AW723" s="799"/>
      <c r="AX723" s="799"/>
      <c r="AY723" s="799"/>
      <c r="AZ723" s="799"/>
      <c r="BA723" s="799"/>
      <c r="BB723" s="799"/>
      <c r="BC723" s="799"/>
      <c r="BD723" s="799"/>
      <c r="BE723" s="799"/>
      <c r="BF723" s="799"/>
      <c r="BG723" s="799"/>
    </row>
    <row r="724">
      <c r="H724" s="799"/>
      <c r="I724" s="799"/>
      <c r="J724" s="799"/>
      <c r="K724" s="799"/>
      <c r="L724" s="799"/>
      <c r="M724" s="799"/>
      <c r="N724" s="799"/>
      <c r="O724" s="799"/>
      <c r="P724" s="799"/>
      <c r="Q724" s="799"/>
      <c r="R724" s="799"/>
      <c r="S724" s="799"/>
      <c r="T724" s="799"/>
      <c r="U724" s="799"/>
      <c r="V724" s="799"/>
      <c r="W724" s="799"/>
      <c r="X724" s="799"/>
      <c r="Y724" s="799"/>
      <c r="Z724" s="799"/>
      <c r="AA724" s="799"/>
      <c r="AB724" s="799"/>
      <c r="AC724" s="799"/>
      <c r="AD724" s="799"/>
      <c r="AE724" s="799"/>
      <c r="AF724" s="799"/>
      <c r="AG724" s="799"/>
      <c r="AH724" s="799"/>
      <c r="AI724" s="799"/>
      <c r="AJ724" s="799"/>
      <c r="AK724" s="799"/>
      <c r="AL724" s="799"/>
      <c r="AM724" s="799"/>
      <c r="AN724" s="799"/>
      <c r="AO724" s="799"/>
      <c r="AP724" s="799"/>
      <c r="AQ724" s="799"/>
      <c r="AR724" s="799"/>
      <c r="AS724" s="799"/>
      <c r="AT724" s="799"/>
      <c r="AU724" s="799"/>
      <c r="AV724" s="799"/>
      <c r="AW724" s="799"/>
      <c r="AX724" s="799"/>
      <c r="AY724" s="799"/>
      <c r="AZ724" s="799"/>
      <c r="BA724" s="799"/>
      <c r="BB724" s="799"/>
      <c r="BC724" s="799"/>
      <c r="BD724" s="799"/>
      <c r="BE724" s="799"/>
      <c r="BF724" s="799"/>
      <c r="BG724" s="799"/>
    </row>
    <row r="725">
      <c r="H725" s="799"/>
      <c r="I725" s="799"/>
      <c r="J725" s="799"/>
      <c r="K725" s="799"/>
      <c r="L725" s="799"/>
      <c r="M725" s="799"/>
      <c r="N725" s="799"/>
      <c r="O725" s="799"/>
      <c r="P725" s="799"/>
      <c r="Q725" s="799"/>
      <c r="R725" s="799"/>
      <c r="S725" s="799"/>
      <c r="T725" s="799"/>
      <c r="U725" s="799"/>
      <c r="V725" s="799"/>
      <c r="W725" s="799"/>
      <c r="X725" s="799"/>
      <c r="Y725" s="799"/>
      <c r="Z725" s="799"/>
      <c r="AA725" s="799"/>
      <c r="AB725" s="799"/>
      <c r="AC725" s="799"/>
      <c r="AD725" s="799"/>
      <c r="AE725" s="799"/>
      <c r="AF725" s="799"/>
      <c r="AG725" s="799"/>
      <c r="AH725" s="799"/>
      <c r="AI725" s="799"/>
      <c r="AJ725" s="799"/>
      <c r="AK725" s="799"/>
      <c r="AL725" s="799"/>
      <c r="AM725" s="799"/>
      <c r="AN725" s="799"/>
      <c r="AO725" s="799"/>
      <c r="AP725" s="799"/>
      <c r="AQ725" s="799"/>
      <c r="AR725" s="799"/>
      <c r="AS725" s="799"/>
      <c r="AT725" s="799"/>
      <c r="AU725" s="799"/>
      <c r="AV725" s="799"/>
      <c r="AW725" s="799"/>
      <c r="AX725" s="799"/>
      <c r="AY725" s="799"/>
      <c r="AZ725" s="799"/>
      <c r="BA725" s="799"/>
      <c r="BB725" s="799"/>
      <c r="BC725" s="799"/>
      <c r="BD725" s="799"/>
      <c r="BE725" s="799"/>
      <c r="BF725" s="799"/>
      <c r="BG725" s="799"/>
    </row>
    <row r="726">
      <c r="H726" s="799"/>
      <c r="I726" s="799"/>
      <c r="J726" s="799"/>
      <c r="K726" s="799"/>
      <c r="L726" s="799"/>
      <c r="M726" s="799"/>
      <c r="N726" s="799"/>
      <c r="O726" s="799"/>
      <c r="P726" s="799"/>
      <c r="Q726" s="799"/>
      <c r="R726" s="799"/>
      <c r="S726" s="799"/>
      <c r="T726" s="799"/>
      <c r="U726" s="799"/>
      <c r="V726" s="799"/>
      <c r="W726" s="799"/>
      <c r="X726" s="799"/>
      <c r="Y726" s="799"/>
      <c r="Z726" s="799"/>
      <c r="AA726" s="799"/>
      <c r="AB726" s="799"/>
      <c r="AC726" s="799"/>
      <c r="AD726" s="799"/>
      <c r="AE726" s="799"/>
      <c r="AF726" s="799"/>
      <c r="AG726" s="799"/>
      <c r="AH726" s="799"/>
      <c r="AI726" s="799"/>
      <c r="AJ726" s="799"/>
      <c r="AK726" s="799"/>
      <c r="AL726" s="799"/>
      <c r="AM726" s="799"/>
      <c r="AN726" s="799"/>
      <c r="AO726" s="799"/>
      <c r="AP726" s="799"/>
      <c r="AQ726" s="799"/>
      <c r="AR726" s="799"/>
      <c r="AS726" s="799"/>
      <c r="AT726" s="799"/>
      <c r="AU726" s="799"/>
      <c r="AV726" s="799"/>
      <c r="AW726" s="799"/>
      <c r="AX726" s="799"/>
      <c r="AY726" s="799"/>
      <c r="AZ726" s="799"/>
      <c r="BA726" s="799"/>
      <c r="BB726" s="799"/>
      <c r="BC726" s="799"/>
      <c r="BD726" s="799"/>
      <c r="BE726" s="799"/>
      <c r="BF726" s="799"/>
      <c r="BG726" s="799"/>
    </row>
    <row r="727">
      <c r="H727" s="799"/>
      <c r="I727" s="799"/>
      <c r="J727" s="799"/>
      <c r="K727" s="799"/>
      <c r="L727" s="799"/>
      <c r="M727" s="799"/>
      <c r="N727" s="799"/>
      <c r="O727" s="799"/>
      <c r="P727" s="799"/>
      <c r="Q727" s="799"/>
      <c r="R727" s="799"/>
      <c r="S727" s="799"/>
      <c r="T727" s="799"/>
      <c r="U727" s="799"/>
      <c r="V727" s="799"/>
      <c r="W727" s="799"/>
      <c r="X727" s="799"/>
      <c r="Y727" s="799"/>
      <c r="Z727" s="799"/>
      <c r="AA727" s="799"/>
      <c r="AB727" s="799"/>
      <c r="AC727" s="799"/>
      <c r="AD727" s="799"/>
      <c r="AE727" s="799"/>
      <c r="AF727" s="799"/>
      <c r="AG727" s="799"/>
      <c r="AH727" s="799"/>
      <c r="AI727" s="799"/>
      <c r="AJ727" s="799"/>
      <c r="AK727" s="799"/>
      <c r="AL727" s="799"/>
      <c r="AM727" s="799"/>
      <c r="AN727" s="799"/>
      <c r="AO727" s="799"/>
      <c r="AP727" s="799"/>
      <c r="AQ727" s="799"/>
      <c r="AR727" s="799"/>
      <c r="AS727" s="799"/>
      <c r="AT727" s="799"/>
      <c r="AU727" s="799"/>
      <c r="AV727" s="799"/>
      <c r="AW727" s="799"/>
      <c r="AX727" s="799"/>
      <c r="AY727" s="799"/>
      <c r="AZ727" s="799"/>
      <c r="BA727" s="799"/>
      <c r="BB727" s="799"/>
      <c r="BC727" s="799"/>
      <c r="BD727" s="799"/>
      <c r="BE727" s="799"/>
      <c r="BF727" s="799"/>
      <c r="BG727" s="799"/>
    </row>
    <row r="728">
      <c r="H728" s="799"/>
      <c r="I728" s="799"/>
      <c r="J728" s="799"/>
      <c r="K728" s="799"/>
      <c r="L728" s="799"/>
      <c r="M728" s="799"/>
      <c r="N728" s="799"/>
      <c r="O728" s="799"/>
      <c r="P728" s="799"/>
      <c r="Q728" s="799"/>
      <c r="R728" s="799"/>
      <c r="S728" s="799"/>
      <c r="T728" s="799"/>
      <c r="U728" s="799"/>
      <c r="V728" s="799"/>
      <c r="W728" s="799"/>
      <c r="X728" s="799"/>
      <c r="Y728" s="799"/>
      <c r="Z728" s="799"/>
      <c r="AA728" s="799"/>
      <c r="AB728" s="799"/>
      <c r="AC728" s="799"/>
      <c r="AD728" s="799"/>
      <c r="AE728" s="799"/>
      <c r="AF728" s="799"/>
      <c r="AG728" s="799"/>
      <c r="AH728" s="799"/>
      <c r="AI728" s="799"/>
      <c r="AJ728" s="799"/>
      <c r="AK728" s="799"/>
      <c r="AL728" s="799"/>
      <c r="AM728" s="799"/>
      <c r="AN728" s="799"/>
      <c r="AO728" s="799"/>
      <c r="AP728" s="799"/>
      <c r="AQ728" s="799"/>
      <c r="AR728" s="799"/>
      <c r="AS728" s="799"/>
      <c r="AT728" s="799"/>
      <c r="AU728" s="799"/>
      <c r="AV728" s="799"/>
      <c r="AW728" s="799"/>
      <c r="AX728" s="799"/>
      <c r="AY728" s="799"/>
      <c r="AZ728" s="799"/>
      <c r="BA728" s="799"/>
      <c r="BB728" s="799"/>
      <c r="BC728" s="799"/>
      <c r="BD728" s="799"/>
      <c r="BE728" s="799"/>
      <c r="BF728" s="799"/>
      <c r="BG728" s="799"/>
    </row>
    <row r="729">
      <c r="H729" s="799"/>
      <c r="I729" s="799"/>
      <c r="J729" s="799"/>
      <c r="K729" s="799"/>
      <c r="L729" s="799"/>
      <c r="M729" s="799"/>
      <c r="N729" s="799"/>
      <c r="O729" s="799"/>
      <c r="P729" s="799"/>
      <c r="Q729" s="799"/>
      <c r="R729" s="799"/>
      <c r="S729" s="799"/>
      <c r="T729" s="799"/>
      <c r="U729" s="799"/>
      <c r="V729" s="799"/>
      <c r="W729" s="799"/>
      <c r="X729" s="799"/>
      <c r="Y729" s="799"/>
      <c r="Z729" s="799"/>
      <c r="AA729" s="799"/>
      <c r="AB729" s="799"/>
      <c r="AC729" s="799"/>
      <c r="AD729" s="799"/>
      <c r="AE729" s="799"/>
      <c r="AF729" s="799"/>
      <c r="AG729" s="799"/>
      <c r="AH729" s="799"/>
      <c r="AI729" s="799"/>
      <c r="AJ729" s="799"/>
      <c r="AK729" s="799"/>
      <c r="AL729" s="799"/>
      <c r="AM729" s="799"/>
      <c r="AN729" s="799"/>
      <c r="AO729" s="799"/>
      <c r="AP729" s="799"/>
      <c r="AQ729" s="799"/>
      <c r="AR729" s="799"/>
      <c r="AS729" s="799"/>
      <c r="AT729" s="799"/>
      <c r="AU729" s="799"/>
      <c r="AV729" s="799"/>
      <c r="AW729" s="799"/>
      <c r="AX729" s="799"/>
      <c r="AY729" s="799"/>
      <c r="AZ729" s="799"/>
      <c r="BA729" s="799"/>
      <c r="BB729" s="799"/>
      <c r="BC729" s="799"/>
      <c r="BD729" s="799"/>
      <c r="BE729" s="799"/>
      <c r="BF729" s="799"/>
      <c r="BG729" s="799"/>
    </row>
    <row r="730">
      <c r="H730" s="799"/>
      <c r="I730" s="799"/>
      <c r="J730" s="799"/>
      <c r="K730" s="799"/>
      <c r="L730" s="799"/>
      <c r="M730" s="799"/>
      <c r="N730" s="799"/>
      <c r="O730" s="799"/>
      <c r="P730" s="799"/>
      <c r="Q730" s="799"/>
      <c r="R730" s="799"/>
      <c r="S730" s="799"/>
      <c r="T730" s="799"/>
      <c r="U730" s="799"/>
      <c r="V730" s="799"/>
      <c r="W730" s="799"/>
      <c r="X730" s="799"/>
      <c r="Y730" s="799"/>
      <c r="Z730" s="799"/>
      <c r="AA730" s="799"/>
      <c r="AB730" s="799"/>
      <c r="AC730" s="799"/>
      <c r="AD730" s="799"/>
      <c r="AE730" s="799"/>
      <c r="AF730" s="799"/>
      <c r="AG730" s="799"/>
      <c r="AH730" s="799"/>
      <c r="AI730" s="799"/>
      <c r="AJ730" s="799"/>
      <c r="AK730" s="799"/>
      <c r="AL730" s="799"/>
      <c r="AM730" s="799"/>
      <c r="AN730" s="799"/>
      <c r="AO730" s="799"/>
      <c r="AP730" s="799"/>
      <c r="AQ730" s="799"/>
      <c r="AR730" s="799"/>
      <c r="AS730" s="799"/>
      <c r="AT730" s="799"/>
      <c r="AU730" s="799"/>
      <c r="AV730" s="799"/>
      <c r="AW730" s="799"/>
      <c r="AX730" s="799"/>
      <c r="AY730" s="799"/>
      <c r="AZ730" s="799"/>
      <c r="BA730" s="799"/>
      <c r="BB730" s="799"/>
      <c r="BC730" s="799"/>
      <c r="BD730" s="799"/>
      <c r="BE730" s="799"/>
      <c r="BF730" s="799"/>
      <c r="BG730" s="799"/>
    </row>
    <row r="731">
      <c r="H731" s="799"/>
      <c r="I731" s="799"/>
      <c r="J731" s="799"/>
      <c r="K731" s="799"/>
      <c r="L731" s="799"/>
      <c r="M731" s="799"/>
      <c r="N731" s="799"/>
      <c r="O731" s="799"/>
      <c r="P731" s="799"/>
      <c r="Q731" s="799"/>
      <c r="R731" s="799"/>
      <c r="S731" s="799"/>
      <c r="T731" s="799"/>
      <c r="U731" s="799"/>
      <c r="V731" s="799"/>
      <c r="W731" s="799"/>
      <c r="X731" s="799"/>
      <c r="Y731" s="799"/>
      <c r="Z731" s="799"/>
      <c r="AA731" s="799"/>
      <c r="AB731" s="799"/>
      <c r="AC731" s="799"/>
      <c r="AD731" s="799"/>
      <c r="AE731" s="799"/>
      <c r="AF731" s="799"/>
      <c r="AG731" s="799"/>
      <c r="AH731" s="799"/>
      <c r="AI731" s="799"/>
      <c r="AJ731" s="799"/>
      <c r="AK731" s="799"/>
      <c r="AL731" s="799"/>
      <c r="AM731" s="799"/>
      <c r="AN731" s="799"/>
      <c r="AO731" s="799"/>
      <c r="AP731" s="799"/>
      <c r="AQ731" s="799"/>
      <c r="AR731" s="799"/>
      <c r="AS731" s="799"/>
      <c r="AT731" s="799"/>
      <c r="AU731" s="799"/>
      <c r="AV731" s="799"/>
      <c r="AW731" s="799"/>
      <c r="AX731" s="799"/>
      <c r="AY731" s="799"/>
      <c r="AZ731" s="799"/>
      <c r="BA731" s="799"/>
      <c r="BB731" s="799"/>
      <c r="BC731" s="799"/>
      <c r="BD731" s="799"/>
      <c r="BE731" s="799"/>
      <c r="BF731" s="799"/>
      <c r="BG731" s="799"/>
    </row>
    <row r="732">
      <c r="H732" s="799"/>
      <c r="I732" s="799"/>
      <c r="J732" s="799"/>
      <c r="K732" s="799"/>
      <c r="L732" s="799"/>
      <c r="M732" s="799"/>
      <c r="N732" s="799"/>
      <c r="O732" s="799"/>
      <c r="P732" s="799"/>
      <c r="Q732" s="799"/>
      <c r="R732" s="799"/>
      <c r="S732" s="799"/>
      <c r="T732" s="799"/>
      <c r="U732" s="799"/>
      <c r="V732" s="799"/>
      <c r="W732" s="799"/>
      <c r="X732" s="799"/>
      <c r="Y732" s="799"/>
      <c r="Z732" s="799"/>
      <c r="AA732" s="799"/>
      <c r="AB732" s="799"/>
      <c r="AC732" s="799"/>
      <c r="AD732" s="799"/>
      <c r="AE732" s="799"/>
      <c r="AF732" s="799"/>
      <c r="AG732" s="799"/>
      <c r="AH732" s="799"/>
      <c r="AI732" s="799"/>
      <c r="AJ732" s="799"/>
      <c r="AK732" s="799"/>
      <c r="AL732" s="799"/>
      <c r="AM732" s="799"/>
      <c r="AN732" s="799"/>
      <c r="AO732" s="799"/>
      <c r="AP732" s="799"/>
      <c r="AQ732" s="799"/>
      <c r="AR732" s="799"/>
      <c r="AS732" s="799"/>
      <c r="AT732" s="799"/>
      <c r="AU732" s="799"/>
      <c r="AV732" s="799"/>
      <c r="AW732" s="799"/>
      <c r="AX732" s="799"/>
      <c r="AY732" s="799"/>
      <c r="AZ732" s="799"/>
      <c r="BA732" s="799"/>
      <c r="BB732" s="799"/>
      <c r="BC732" s="799"/>
      <c r="BD732" s="799"/>
      <c r="BE732" s="799"/>
      <c r="BF732" s="799"/>
      <c r="BG732" s="799"/>
    </row>
    <row r="733">
      <c r="H733" s="799"/>
      <c r="I733" s="799"/>
      <c r="J733" s="799"/>
      <c r="K733" s="799"/>
      <c r="L733" s="799"/>
      <c r="M733" s="799"/>
      <c r="N733" s="799"/>
      <c r="O733" s="799"/>
      <c r="P733" s="799"/>
      <c r="Q733" s="799"/>
      <c r="R733" s="799"/>
      <c r="S733" s="799"/>
      <c r="T733" s="799"/>
      <c r="U733" s="799"/>
      <c r="V733" s="799"/>
      <c r="W733" s="799"/>
      <c r="X733" s="799"/>
      <c r="Y733" s="799"/>
      <c r="Z733" s="799"/>
      <c r="AA733" s="799"/>
      <c r="AB733" s="799"/>
      <c r="AC733" s="799"/>
      <c r="AD733" s="799"/>
      <c r="AE733" s="799"/>
      <c r="AF733" s="799"/>
      <c r="AG733" s="799"/>
      <c r="AH733" s="799"/>
      <c r="AI733" s="799"/>
      <c r="AJ733" s="799"/>
      <c r="AK733" s="799"/>
      <c r="AL733" s="799"/>
      <c r="AM733" s="799"/>
      <c r="AN733" s="799"/>
      <c r="AO733" s="799"/>
      <c r="AP733" s="799"/>
      <c r="AQ733" s="799"/>
      <c r="AR733" s="799"/>
      <c r="AS733" s="799"/>
      <c r="AT733" s="799"/>
      <c r="AU733" s="799"/>
      <c r="AV733" s="799"/>
      <c r="AW733" s="799"/>
      <c r="AX733" s="799"/>
      <c r="AY733" s="799"/>
      <c r="AZ733" s="799"/>
      <c r="BA733" s="799"/>
      <c r="BB733" s="799"/>
      <c r="BC733" s="799"/>
      <c r="BD733" s="799"/>
      <c r="BE733" s="799"/>
      <c r="BF733" s="799"/>
      <c r="BG733" s="799"/>
    </row>
    <row r="734">
      <c r="H734" s="799"/>
      <c r="I734" s="799"/>
      <c r="J734" s="799"/>
      <c r="K734" s="799"/>
      <c r="L734" s="799"/>
      <c r="M734" s="799"/>
      <c r="N734" s="799"/>
      <c r="O734" s="799"/>
      <c r="P734" s="799"/>
      <c r="Q734" s="799"/>
      <c r="R734" s="799"/>
      <c r="S734" s="799"/>
      <c r="T734" s="799"/>
      <c r="U734" s="799"/>
      <c r="V734" s="799"/>
      <c r="W734" s="799"/>
      <c r="X734" s="799"/>
      <c r="Y734" s="799"/>
      <c r="Z734" s="799"/>
      <c r="AA734" s="799"/>
      <c r="AB734" s="799"/>
      <c r="AC734" s="799"/>
      <c r="AD734" s="799"/>
      <c r="AE734" s="799"/>
      <c r="AF734" s="799"/>
      <c r="AG734" s="799"/>
      <c r="AH734" s="799"/>
      <c r="AI734" s="799"/>
      <c r="AJ734" s="799"/>
      <c r="AK734" s="799"/>
      <c r="AL734" s="799"/>
      <c r="AM734" s="799"/>
      <c r="AN734" s="799"/>
      <c r="AO734" s="799"/>
      <c r="AP734" s="799"/>
      <c r="AQ734" s="799"/>
      <c r="AR734" s="799"/>
      <c r="AS734" s="799"/>
      <c r="AT734" s="799"/>
      <c r="AU734" s="799"/>
      <c r="AV734" s="799"/>
      <c r="AW734" s="799"/>
      <c r="AX734" s="799"/>
      <c r="AY734" s="799"/>
      <c r="AZ734" s="799"/>
      <c r="BA734" s="799"/>
      <c r="BB734" s="799"/>
      <c r="BC734" s="799"/>
      <c r="BD734" s="799"/>
      <c r="BE734" s="799"/>
      <c r="BF734" s="799"/>
      <c r="BG734" s="799"/>
    </row>
    <row r="735">
      <c r="H735" s="799"/>
      <c r="I735" s="799"/>
      <c r="J735" s="799"/>
      <c r="K735" s="799"/>
      <c r="L735" s="799"/>
      <c r="M735" s="799"/>
      <c r="N735" s="799"/>
      <c r="O735" s="799"/>
      <c r="P735" s="799"/>
      <c r="Q735" s="799"/>
      <c r="R735" s="799"/>
      <c r="S735" s="799"/>
      <c r="T735" s="799"/>
      <c r="U735" s="799"/>
      <c r="V735" s="799"/>
      <c r="W735" s="799"/>
      <c r="X735" s="799"/>
      <c r="Y735" s="799"/>
      <c r="Z735" s="799"/>
      <c r="AA735" s="799"/>
      <c r="AB735" s="799"/>
      <c r="AC735" s="799"/>
      <c r="AD735" s="799"/>
      <c r="AE735" s="799"/>
      <c r="AF735" s="799"/>
      <c r="AG735" s="799"/>
      <c r="AH735" s="799"/>
      <c r="AI735" s="799"/>
      <c r="AJ735" s="799"/>
      <c r="AK735" s="799"/>
      <c r="AL735" s="799"/>
      <c r="AM735" s="799"/>
      <c r="AN735" s="799"/>
      <c r="AO735" s="799"/>
      <c r="AP735" s="799"/>
      <c r="AQ735" s="799"/>
      <c r="AR735" s="799"/>
      <c r="AS735" s="799"/>
      <c r="AT735" s="799"/>
      <c r="AU735" s="799"/>
      <c r="AV735" s="799"/>
      <c r="AW735" s="799"/>
      <c r="AX735" s="799"/>
      <c r="AY735" s="799"/>
      <c r="AZ735" s="799"/>
      <c r="BA735" s="799"/>
      <c r="BB735" s="799"/>
      <c r="BC735" s="799"/>
      <c r="BD735" s="799"/>
      <c r="BE735" s="799"/>
      <c r="BF735" s="799"/>
      <c r="BG735" s="799"/>
    </row>
    <row r="736">
      <c r="H736" s="799"/>
      <c r="I736" s="799"/>
      <c r="J736" s="799"/>
      <c r="K736" s="799"/>
      <c r="L736" s="799"/>
      <c r="M736" s="799"/>
      <c r="N736" s="799"/>
      <c r="O736" s="799"/>
      <c r="P736" s="799"/>
      <c r="Q736" s="799"/>
      <c r="R736" s="799"/>
      <c r="S736" s="799"/>
      <c r="T736" s="799"/>
      <c r="U736" s="799"/>
      <c r="V736" s="799"/>
      <c r="W736" s="799"/>
      <c r="X736" s="799"/>
      <c r="Y736" s="799"/>
      <c r="Z736" s="799"/>
      <c r="AA736" s="799"/>
      <c r="AB736" s="799"/>
      <c r="AC736" s="799"/>
      <c r="AD736" s="799"/>
      <c r="AE736" s="799"/>
      <c r="AF736" s="799"/>
      <c r="AG736" s="799"/>
      <c r="AH736" s="799"/>
      <c r="AI736" s="799"/>
      <c r="AJ736" s="799"/>
      <c r="AK736" s="799"/>
      <c r="AL736" s="799"/>
      <c r="AM736" s="799"/>
      <c r="AN736" s="799"/>
      <c r="AO736" s="799"/>
      <c r="AP736" s="799"/>
      <c r="AQ736" s="799"/>
      <c r="AR736" s="799"/>
      <c r="AS736" s="799"/>
      <c r="AT736" s="799"/>
      <c r="AU736" s="799"/>
      <c r="AV736" s="799"/>
      <c r="AW736" s="799"/>
      <c r="AX736" s="799"/>
      <c r="AY736" s="799"/>
      <c r="AZ736" s="799"/>
      <c r="BA736" s="799"/>
      <c r="BB736" s="799"/>
      <c r="BC736" s="799"/>
      <c r="BD736" s="799"/>
      <c r="BE736" s="799"/>
      <c r="BF736" s="799"/>
      <c r="BG736" s="799"/>
    </row>
    <row r="737">
      <c r="H737" s="799"/>
      <c r="I737" s="799"/>
      <c r="J737" s="799"/>
      <c r="K737" s="799"/>
      <c r="L737" s="799"/>
      <c r="M737" s="799"/>
      <c r="N737" s="799"/>
      <c r="O737" s="799"/>
      <c r="P737" s="799"/>
      <c r="Q737" s="799"/>
      <c r="R737" s="799"/>
      <c r="S737" s="799"/>
      <c r="T737" s="799"/>
      <c r="U737" s="799"/>
      <c r="V737" s="799"/>
      <c r="W737" s="799"/>
      <c r="X737" s="799"/>
      <c r="Y737" s="799"/>
      <c r="Z737" s="799"/>
      <c r="AA737" s="799"/>
      <c r="AB737" s="799"/>
      <c r="AC737" s="799"/>
      <c r="AD737" s="799"/>
      <c r="AE737" s="799"/>
      <c r="AF737" s="799"/>
      <c r="AG737" s="799"/>
      <c r="AH737" s="799"/>
      <c r="AI737" s="799"/>
      <c r="AJ737" s="799"/>
      <c r="AK737" s="799"/>
      <c r="AL737" s="799"/>
      <c r="AM737" s="799"/>
      <c r="AN737" s="799"/>
      <c r="AO737" s="799"/>
      <c r="AP737" s="799"/>
      <c r="AQ737" s="799"/>
      <c r="AR737" s="799"/>
      <c r="AS737" s="799"/>
      <c r="AT737" s="799"/>
      <c r="AU737" s="799"/>
      <c r="AV737" s="799"/>
      <c r="AW737" s="799"/>
      <c r="AX737" s="799"/>
      <c r="AY737" s="799"/>
      <c r="AZ737" s="799"/>
      <c r="BA737" s="799"/>
      <c r="BB737" s="799"/>
      <c r="BC737" s="799"/>
      <c r="BD737" s="799"/>
      <c r="BE737" s="799"/>
      <c r="BF737" s="799"/>
      <c r="BG737" s="799"/>
    </row>
    <row r="738">
      <c r="H738" s="799"/>
      <c r="I738" s="799"/>
      <c r="J738" s="799"/>
      <c r="K738" s="799"/>
      <c r="L738" s="799"/>
      <c r="M738" s="799"/>
      <c r="N738" s="799"/>
      <c r="O738" s="799"/>
      <c r="P738" s="799"/>
      <c r="Q738" s="799"/>
      <c r="R738" s="799"/>
      <c r="S738" s="799"/>
      <c r="T738" s="799"/>
      <c r="U738" s="799"/>
      <c r="V738" s="799"/>
      <c r="W738" s="799"/>
      <c r="X738" s="799"/>
      <c r="Y738" s="799"/>
      <c r="Z738" s="799"/>
      <c r="AA738" s="799"/>
      <c r="AB738" s="799"/>
      <c r="AC738" s="799"/>
      <c r="AD738" s="799"/>
      <c r="AE738" s="799"/>
      <c r="AF738" s="799"/>
      <c r="AG738" s="799"/>
      <c r="AH738" s="799"/>
      <c r="AI738" s="799"/>
      <c r="AJ738" s="799"/>
      <c r="AK738" s="799"/>
      <c r="AL738" s="799"/>
      <c r="AM738" s="799"/>
      <c r="AN738" s="799"/>
      <c r="AO738" s="799"/>
      <c r="AP738" s="799"/>
      <c r="AQ738" s="799"/>
      <c r="AR738" s="799"/>
      <c r="AS738" s="799"/>
      <c r="AT738" s="799"/>
      <c r="AU738" s="799"/>
      <c r="AV738" s="799"/>
      <c r="AW738" s="799"/>
      <c r="AX738" s="799"/>
      <c r="AY738" s="799"/>
      <c r="AZ738" s="799"/>
      <c r="BA738" s="799"/>
      <c r="BB738" s="799"/>
      <c r="BC738" s="799"/>
      <c r="BD738" s="799"/>
      <c r="BE738" s="799"/>
      <c r="BF738" s="799"/>
      <c r="BG738" s="799"/>
    </row>
    <row r="739">
      <c r="H739" s="799"/>
      <c r="I739" s="799"/>
      <c r="J739" s="799"/>
      <c r="K739" s="799"/>
      <c r="L739" s="799"/>
      <c r="M739" s="799"/>
      <c r="N739" s="799"/>
      <c r="O739" s="799"/>
      <c r="P739" s="799"/>
      <c r="Q739" s="799"/>
      <c r="R739" s="799"/>
      <c r="S739" s="799"/>
      <c r="T739" s="799"/>
      <c r="U739" s="799"/>
      <c r="V739" s="799"/>
      <c r="W739" s="799"/>
      <c r="X739" s="799"/>
      <c r="Y739" s="799"/>
      <c r="Z739" s="799"/>
      <c r="AA739" s="799"/>
      <c r="AB739" s="799"/>
      <c r="AC739" s="799"/>
      <c r="AD739" s="799"/>
      <c r="AE739" s="799"/>
      <c r="AF739" s="799"/>
      <c r="AG739" s="799"/>
      <c r="AH739" s="799"/>
      <c r="AI739" s="799"/>
      <c r="AJ739" s="799"/>
      <c r="AK739" s="799"/>
      <c r="AL739" s="799"/>
      <c r="AM739" s="799"/>
      <c r="AN739" s="799"/>
      <c r="AO739" s="799"/>
      <c r="AP739" s="799"/>
      <c r="AQ739" s="799"/>
      <c r="AR739" s="799"/>
      <c r="AS739" s="799"/>
      <c r="AT739" s="799"/>
      <c r="AU739" s="799"/>
      <c r="AV739" s="799"/>
      <c r="AW739" s="799"/>
      <c r="AX739" s="799"/>
      <c r="AY739" s="799"/>
      <c r="AZ739" s="799"/>
      <c r="BA739" s="799"/>
      <c r="BB739" s="799"/>
      <c r="BC739" s="799"/>
      <c r="BD739" s="799"/>
      <c r="BE739" s="799"/>
      <c r="BF739" s="799"/>
      <c r="BG739" s="799"/>
    </row>
    <row r="740">
      <c r="H740" s="799"/>
      <c r="I740" s="799"/>
      <c r="J740" s="799"/>
      <c r="K740" s="799"/>
      <c r="L740" s="799"/>
      <c r="M740" s="799"/>
      <c r="N740" s="799"/>
      <c r="O740" s="799"/>
      <c r="P740" s="799"/>
      <c r="Q740" s="799"/>
      <c r="R740" s="799"/>
      <c r="S740" s="799"/>
      <c r="T740" s="799"/>
      <c r="U740" s="799"/>
      <c r="V740" s="799"/>
      <c r="W740" s="799"/>
      <c r="X740" s="799"/>
      <c r="Y740" s="799"/>
      <c r="Z740" s="799"/>
      <c r="AA740" s="799"/>
      <c r="AB740" s="799"/>
      <c r="AC740" s="799"/>
      <c r="AD740" s="799"/>
      <c r="AE740" s="799"/>
      <c r="AF740" s="799"/>
      <c r="AG740" s="799"/>
      <c r="AH740" s="799"/>
      <c r="AI740" s="799"/>
      <c r="AJ740" s="799"/>
      <c r="AK740" s="799"/>
      <c r="AL740" s="799"/>
      <c r="AM740" s="799"/>
      <c r="AN740" s="799"/>
      <c r="AO740" s="799"/>
      <c r="AP740" s="799"/>
      <c r="AQ740" s="799"/>
      <c r="AR740" s="799"/>
      <c r="AS740" s="799"/>
      <c r="AT740" s="799"/>
      <c r="AU740" s="799"/>
      <c r="AV740" s="799"/>
      <c r="AW740" s="799"/>
      <c r="AX740" s="799"/>
      <c r="AY740" s="799"/>
      <c r="AZ740" s="799"/>
      <c r="BA740" s="799"/>
      <c r="BB740" s="799"/>
      <c r="BC740" s="799"/>
      <c r="BD740" s="799"/>
      <c r="BE740" s="799"/>
      <c r="BF740" s="799"/>
      <c r="BG740" s="799"/>
    </row>
    <row r="741">
      <c r="H741" s="799"/>
      <c r="I741" s="799"/>
      <c r="J741" s="799"/>
      <c r="K741" s="799"/>
      <c r="L741" s="799"/>
      <c r="M741" s="799"/>
      <c r="N741" s="799"/>
      <c r="O741" s="799"/>
      <c r="P741" s="799"/>
      <c r="Q741" s="799"/>
      <c r="R741" s="799"/>
      <c r="S741" s="799"/>
      <c r="T741" s="799"/>
      <c r="U741" s="799"/>
      <c r="V741" s="799"/>
      <c r="W741" s="799"/>
      <c r="X741" s="799"/>
      <c r="Y741" s="799"/>
      <c r="Z741" s="799"/>
      <c r="AA741" s="799"/>
      <c r="AB741" s="799"/>
      <c r="AC741" s="799"/>
      <c r="AD741" s="799"/>
      <c r="AE741" s="799"/>
      <c r="AF741" s="799"/>
      <c r="AG741" s="799"/>
      <c r="AH741" s="799"/>
      <c r="AI741" s="799"/>
      <c r="AJ741" s="799"/>
      <c r="AK741" s="799"/>
      <c r="AL741" s="799"/>
      <c r="AM741" s="799"/>
      <c r="AN741" s="799"/>
      <c r="AO741" s="799"/>
      <c r="AP741" s="799"/>
      <c r="AQ741" s="799"/>
      <c r="AR741" s="799"/>
      <c r="AS741" s="799"/>
      <c r="AT741" s="799"/>
      <c r="AU741" s="799"/>
      <c r="AV741" s="799"/>
      <c r="AW741" s="799"/>
      <c r="AX741" s="799"/>
      <c r="AY741" s="799"/>
      <c r="AZ741" s="799"/>
      <c r="BA741" s="799"/>
      <c r="BB741" s="799"/>
      <c r="BC741" s="799"/>
      <c r="BD741" s="799"/>
      <c r="BE741" s="799"/>
      <c r="BF741" s="799"/>
      <c r="BG741" s="799"/>
    </row>
    <row r="742">
      <c r="H742" s="799"/>
      <c r="I742" s="799"/>
      <c r="J742" s="799"/>
      <c r="K742" s="799"/>
      <c r="L742" s="799"/>
      <c r="M742" s="799"/>
      <c r="N742" s="799"/>
      <c r="O742" s="799"/>
      <c r="P742" s="799"/>
      <c r="Q742" s="799"/>
      <c r="R742" s="799"/>
      <c r="S742" s="799"/>
      <c r="T742" s="799"/>
      <c r="U742" s="799"/>
      <c r="V742" s="799"/>
      <c r="W742" s="799"/>
      <c r="X742" s="799"/>
      <c r="Y742" s="799"/>
      <c r="Z742" s="799"/>
      <c r="AA742" s="799"/>
      <c r="AB742" s="799"/>
      <c r="AC742" s="799"/>
      <c r="AD742" s="799"/>
      <c r="AE742" s="799"/>
      <c r="AF742" s="799"/>
      <c r="AG742" s="799"/>
      <c r="AH742" s="799"/>
      <c r="AI742" s="799"/>
      <c r="AJ742" s="799"/>
      <c r="AK742" s="799"/>
      <c r="AL742" s="799"/>
      <c r="AM742" s="799"/>
      <c r="AN742" s="799"/>
      <c r="AO742" s="799"/>
      <c r="AP742" s="799"/>
      <c r="AQ742" s="799"/>
      <c r="AR742" s="799"/>
      <c r="AS742" s="799"/>
      <c r="AT742" s="799"/>
      <c r="AU742" s="799"/>
      <c r="AV742" s="799"/>
      <c r="AW742" s="799"/>
      <c r="AX742" s="799"/>
      <c r="AY742" s="799"/>
      <c r="AZ742" s="799"/>
      <c r="BA742" s="799"/>
      <c r="BB742" s="799"/>
      <c r="BC742" s="799"/>
      <c r="BD742" s="799"/>
      <c r="BE742" s="799"/>
      <c r="BF742" s="799"/>
      <c r="BG742" s="799"/>
    </row>
    <row r="743">
      <c r="H743" s="799"/>
      <c r="I743" s="799"/>
      <c r="J743" s="799"/>
      <c r="K743" s="799"/>
      <c r="L743" s="799"/>
      <c r="M743" s="799"/>
      <c r="N743" s="799"/>
      <c r="O743" s="799"/>
      <c r="P743" s="799"/>
      <c r="Q743" s="799"/>
      <c r="R743" s="799"/>
      <c r="S743" s="799"/>
      <c r="T743" s="799"/>
      <c r="U743" s="799"/>
      <c r="V743" s="799"/>
      <c r="W743" s="799"/>
      <c r="X743" s="799"/>
      <c r="Y743" s="799"/>
      <c r="Z743" s="799"/>
      <c r="AA743" s="799"/>
      <c r="AB743" s="799"/>
      <c r="AC743" s="799"/>
      <c r="AD743" s="799"/>
      <c r="AE743" s="799"/>
      <c r="AF743" s="799"/>
      <c r="AG743" s="799"/>
      <c r="AH743" s="799"/>
      <c r="AI743" s="799"/>
      <c r="AJ743" s="799"/>
      <c r="AK743" s="799"/>
      <c r="AL743" s="799"/>
      <c r="AM743" s="799"/>
      <c r="AN743" s="799"/>
      <c r="AO743" s="799"/>
      <c r="AP743" s="799"/>
      <c r="AQ743" s="799"/>
      <c r="AR743" s="799"/>
      <c r="AS743" s="799"/>
      <c r="AT743" s="799"/>
      <c r="AU743" s="799"/>
      <c r="AV743" s="799"/>
      <c r="AW743" s="799"/>
      <c r="AX743" s="799"/>
      <c r="AY743" s="799"/>
      <c r="AZ743" s="799"/>
      <c r="BA743" s="799"/>
      <c r="BB743" s="799"/>
      <c r="BC743" s="799"/>
      <c r="BD743" s="799"/>
      <c r="BE743" s="799"/>
      <c r="BF743" s="799"/>
      <c r="BG743" s="799"/>
    </row>
    <row r="744">
      <c r="H744" s="799"/>
      <c r="I744" s="799"/>
      <c r="J744" s="799"/>
      <c r="K744" s="799"/>
      <c r="L744" s="799"/>
      <c r="M744" s="799"/>
      <c r="N744" s="799"/>
      <c r="O744" s="799"/>
      <c r="P744" s="799"/>
      <c r="Q744" s="799"/>
      <c r="R744" s="799"/>
      <c r="S744" s="799"/>
      <c r="T744" s="799"/>
      <c r="U744" s="799"/>
      <c r="V744" s="799"/>
      <c r="W744" s="799"/>
      <c r="X744" s="799"/>
      <c r="Y744" s="799"/>
      <c r="Z744" s="799"/>
      <c r="AA744" s="799"/>
      <c r="AB744" s="799"/>
      <c r="AC744" s="799"/>
      <c r="AD744" s="799"/>
      <c r="AE744" s="799"/>
      <c r="AF744" s="799"/>
      <c r="AG744" s="799"/>
      <c r="AH744" s="799"/>
      <c r="AI744" s="799"/>
      <c r="AJ744" s="799"/>
      <c r="AK744" s="799"/>
      <c r="AL744" s="799"/>
      <c r="AM744" s="799"/>
      <c r="AN744" s="799"/>
      <c r="AO744" s="799"/>
      <c r="AP744" s="799"/>
      <c r="AQ744" s="799"/>
      <c r="AR744" s="799"/>
      <c r="AS744" s="799"/>
      <c r="AT744" s="799"/>
      <c r="AU744" s="799"/>
      <c r="AV744" s="799"/>
      <c r="AW744" s="799"/>
      <c r="AX744" s="799"/>
      <c r="AY744" s="799"/>
      <c r="AZ744" s="799"/>
      <c r="BA744" s="799"/>
      <c r="BB744" s="799"/>
      <c r="BC744" s="799"/>
      <c r="BD744" s="799"/>
      <c r="BE744" s="799"/>
      <c r="BF744" s="799"/>
      <c r="BG744" s="799"/>
    </row>
    <row r="745">
      <c r="H745" s="799"/>
      <c r="I745" s="799"/>
      <c r="J745" s="799"/>
      <c r="K745" s="799"/>
      <c r="L745" s="799"/>
      <c r="M745" s="799"/>
      <c r="N745" s="799"/>
      <c r="O745" s="799"/>
      <c r="P745" s="799"/>
      <c r="Q745" s="799"/>
      <c r="R745" s="799"/>
      <c r="S745" s="799"/>
      <c r="T745" s="799"/>
      <c r="U745" s="799"/>
      <c r="V745" s="799"/>
      <c r="W745" s="799"/>
      <c r="X745" s="799"/>
      <c r="Y745" s="799"/>
      <c r="Z745" s="799"/>
      <c r="AA745" s="799"/>
      <c r="AB745" s="799"/>
      <c r="AC745" s="799"/>
      <c r="AD745" s="799"/>
      <c r="AE745" s="799"/>
      <c r="AF745" s="799"/>
      <c r="AG745" s="799"/>
      <c r="AH745" s="799"/>
      <c r="AI745" s="799"/>
      <c r="AJ745" s="799"/>
      <c r="AK745" s="799"/>
      <c r="AL745" s="799"/>
      <c r="AM745" s="799"/>
      <c r="AN745" s="799"/>
      <c r="AO745" s="799"/>
      <c r="AP745" s="799"/>
      <c r="AQ745" s="799"/>
      <c r="AR745" s="799"/>
      <c r="AS745" s="799"/>
      <c r="AT745" s="799"/>
      <c r="AU745" s="799"/>
      <c r="AV745" s="799"/>
      <c r="AW745" s="799"/>
      <c r="AX745" s="799"/>
      <c r="AY745" s="799"/>
      <c r="AZ745" s="799"/>
      <c r="BA745" s="799"/>
      <c r="BB745" s="799"/>
      <c r="BC745" s="799"/>
      <c r="BD745" s="799"/>
      <c r="BE745" s="799"/>
      <c r="BF745" s="799"/>
      <c r="BG745" s="799"/>
    </row>
    <row r="746">
      <c r="H746" s="799"/>
      <c r="I746" s="799"/>
      <c r="J746" s="799"/>
      <c r="K746" s="799"/>
      <c r="L746" s="799"/>
      <c r="M746" s="799"/>
      <c r="N746" s="799"/>
      <c r="O746" s="799"/>
      <c r="P746" s="799"/>
      <c r="Q746" s="799"/>
      <c r="R746" s="799"/>
      <c r="S746" s="799"/>
      <c r="T746" s="799"/>
      <c r="U746" s="799"/>
      <c r="V746" s="799"/>
      <c r="W746" s="799"/>
      <c r="X746" s="799"/>
      <c r="Y746" s="799"/>
      <c r="Z746" s="799"/>
      <c r="AA746" s="799"/>
      <c r="AB746" s="799"/>
      <c r="AC746" s="799"/>
      <c r="AD746" s="799"/>
      <c r="AE746" s="799"/>
      <c r="AF746" s="799"/>
      <c r="AG746" s="799"/>
      <c r="AH746" s="799"/>
      <c r="AI746" s="799"/>
      <c r="AJ746" s="799"/>
      <c r="AK746" s="799"/>
      <c r="AL746" s="799"/>
      <c r="AM746" s="799"/>
      <c r="AN746" s="799"/>
      <c r="AO746" s="799"/>
      <c r="AP746" s="799"/>
      <c r="AQ746" s="799"/>
      <c r="AR746" s="799"/>
      <c r="AS746" s="799"/>
      <c r="AT746" s="799"/>
      <c r="AU746" s="799"/>
      <c r="AV746" s="799"/>
      <c r="AW746" s="799"/>
      <c r="AX746" s="799"/>
      <c r="AY746" s="799"/>
      <c r="AZ746" s="799"/>
      <c r="BA746" s="799"/>
      <c r="BB746" s="799"/>
      <c r="BC746" s="799"/>
      <c r="BD746" s="799"/>
      <c r="BE746" s="799"/>
      <c r="BF746" s="799"/>
      <c r="BG746" s="799"/>
    </row>
    <row r="747">
      <c r="H747" s="799"/>
      <c r="I747" s="799"/>
      <c r="J747" s="799"/>
      <c r="K747" s="799"/>
      <c r="L747" s="799"/>
      <c r="M747" s="799"/>
      <c r="N747" s="799"/>
      <c r="O747" s="799"/>
      <c r="P747" s="799"/>
      <c r="Q747" s="799"/>
      <c r="R747" s="799"/>
      <c r="S747" s="799"/>
      <c r="T747" s="799"/>
      <c r="U747" s="799"/>
      <c r="V747" s="799"/>
      <c r="W747" s="799"/>
      <c r="X747" s="799"/>
      <c r="Y747" s="799"/>
      <c r="Z747" s="799"/>
      <c r="AA747" s="799"/>
      <c r="AB747" s="799"/>
      <c r="AC747" s="799"/>
      <c r="AD747" s="799"/>
      <c r="AE747" s="799"/>
      <c r="AF747" s="799"/>
      <c r="AG747" s="799"/>
      <c r="AH747" s="799"/>
      <c r="AI747" s="799"/>
      <c r="AJ747" s="799"/>
      <c r="AK747" s="799"/>
      <c r="AL747" s="799"/>
      <c r="AM747" s="799"/>
      <c r="AN747" s="799"/>
      <c r="AO747" s="799"/>
      <c r="AP747" s="799"/>
      <c r="AQ747" s="799"/>
      <c r="AR747" s="799"/>
      <c r="AS747" s="799"/>
      <c r="AT747" s="799"/>
      <c r="AU747" s="799"/>
      <c r="AV747" s="799"/>
      <c r="AW747" s="799"/>
      <c r="AX747" s="799"/>
      <c r="AY747" s="799"/>
      <c r="AZ747" s="799"/>
      <c r="BA747" s="799"/>
      <c r="BB747" s="799"/>
      <c r="BC747" s="799"/>
      <c r="BD747" s="799"/>
      <c r="BE747" s="799"/>
      <c r="BF747" s="799"/>
      <c r="BG747" s="799"/>
    </row>
    <row r="748">
      <c r="H748" s="799"/>
      <c r="I748" s="799"/>
      <c r="J748" s="799"/>
      <c r="K748" s="799"/>
      <c r="L748" s="799"/>
      <c r="M748" s="799"/>
      <c r="N748" s="799"/>
      <c r="O748" s="799"/>
      <c r="P748" s="799"/>
      <c r="Q748" s="799"/>
      <c r="R748" s="799"/>
      <c r="S748" s="799"/>
      <c r="T748" s="799"/>
      <c r="U748" s="799"/>
      <c r="V748" s="799"/>
      <c r="W748" s="799"/>
      <c r="X748" s="799"/>
      <c r="Y748" s="799"/>
      <c r="Z748" s="799"/>
      <c r="AA748" s="799"/>
      <c r="AB748" s="799"/>
      <c r="AC748" s="799"/>
      <c r="AD748" s="799"/>
      <c r="AE748" s="799"/>
      <c r="AF748" s="799"/>
      <c r="AG748" s="799"/>
      <c r="AH748" s="799"/>
      <c r="AI748" s="799"/>
      <c r="AJ748" s="799"/>
      <c r="AK748" s="799"/>
      <c r="AL748" s="799"/>
      <c r="AM748" s="799"/>
      <c r="AN748" s="799"/>
      <c r="AO748" s="799"/>
      <c r="AP748" s="799"/>
      <c r="AQ748" s="799"/>
      <c r="AR748" s="799"/>
      <c r="AS748" s="799"/>
      <c r="AT748" s="799"/>
      <c r="AU748" s="799"/>
      <c r="AV748" s="799"/>
      <c r="AW748" s="799"/>
      <c r="AX748" s="799"/>
      <c r="AY748" s="799"/>
      <c r="AZ748" s="799"/>
      <c r="BA748" s="799"/>
      <c r="BB748" s="799"/>
      <c r="BC748" s="799"/>
      <c r="BD748" s="799"/>
      <c r="BE748" s="799"/>
      <c r="BF748" s="799"/>
      <c r="BG748" s="799"/>
    </row>
    <row r="749">
      <c r="H749" s="799"/>
      <c r="I749" s="799"/>
      <c r="J749" s="799"/>
      <c r="K749" s="799"/>
      <c r="L749" s="799"/>
      <c r="M749" s="799"/>
      <c r="N749" s="799"/>
      <c r="O749" s="799"/>
      <c r="P749" s="799"/>
      <c r="Q749" s="799"/>
      <c r="R749" s="799"/>
      <c r="S749" s="799"/>
      <c r="T749" s="799"/>
      <c r="U749" s="799"/>
      <c r="V749" s="799"/>
      <c r="W749" s="799"/>
      <c r="X749" s="799"/>
      <c r="Y749" s="799"/>
      <c r="Z749" s="799"/>
      <c r="AA749" s="799"/>
      <c r="AB749" s="799"/>
      <c r="AC749" s="799"/>
      <c r="AD749" s="799"/>
      <c r="AE749" s="799"/>
      <c r="AF749" s="799"/>
      <c r="AG749" s="799"/>
      <c r="AH749" s="799"/>
      <c r="AI749" s="799"/>
      <c r="AJ749" s="799"/>
      <c r="AK749" s="799"/>
      <c r="AL749" s="799"/>
      <c r="AM749" s="799"/>
      <c r="AN749" s="799"/>
      <c r="AO749" s="799"/>
      <c r="AP749" s="799"/>
      <c r="AQ749" s="799"/>
      <c r="AR749" s="799"/>
      <c r="AS749" s="799"/>
      <c r="AT749" s="799"/>
      <c r="AU749" s="799"/>
      <c r="AV749" s="799"/>
      <c r="AW749" s="799"/>
      <c r="AX749" s="799"/>
      <c r="AY749" s="799"/>
      <c r="AZ749" s="799"/>
      <c r="BA749" s="799"/>
      <c r="BB749" s="799"/>
      <c r="BC749" s="799"/>
      <c r="BD749" s="799"/>
      <c r="BE749" s="799"/>
      <c r="BF749" s="799"/>
      <c r="BG749" s="799"/>
    </row>
    <row r="750">
      <c r="H750" s="799"/>
      <c r="I750" s="799"/>
      <c r="J750" s="799"/>
      <c r="K750" s="799"/>
      <c r="L750" s="799"/>
      <c r="M750" s="799"/>
      <c r="N750" s="799"/>
      <c r="O750" s="799"/>
      <c r="P750" s="799"/>
      <c r="Q750" s="799"/>
      <c r="R750" s="799"/>
      <c r="S750" s="799"/>
      <c r="T750" s="799"/>
      <c r="U750" s="799"/>
      <c r="V750" s="799"/>
      <c r="W750" s="799"/>
      <c r="X750" s="799"/>
      <c r="Y750" s="799"/>
      <c r="Z750" s="799"/>
      <c r="AA750" s="799"/>
      <c r="AB750" s="799"/>
      <c r="AC750" s="799"/>
      <c r="AD750" s="799"/>
      <c r="AE750" s="799"/>
      <c r="AF750" s="799"/>
      <c r="AG750" s="799"/>
      <c r="AH750" s="799"/>
      <c r="AI750" s="799"/>
      <c r="AJ750" s="799"/>
      <c r="AK750" s="799"/>
      <c r="AL750" s="799"/>
      <c r="AM750" s="799"/>
      <c r="AN750" s="799"/>
      <c r="AO750" s="799"/>
      <c r="AP750" s="799"/>
      <c r="AQ750" s="799"/>
      <c r="AR750" s="799"/>
      <c r="AS750" s="799"/>
      <c r="AT750" s="799"/>
      <c r="AU750" s="799"/>
      <c r="AV750" s="799"/>
      <c r="AW750" s="799"/>
      <c r="AX750" s="799"/>
      <c r="AY750" s="799"/>
      <c r="AZ750" s="799"/>
      <c r="BA750" s="799"/>
      <c r="BB750" s="799"/>
      <c r="BC750" s="799"/>
      <c r="BD750" s="799"/>
      <c r="BE750" s="799"/>
      <c r="BF750" s="799"/>
      <c r="BG750" s="799"/>
    </row>
    <row r="751">
      <c r="H751" s="799"/>
      <c r="I751" s="799"/>
      <c r="J751" s="799"/>
      <c r="K751" s="799"/>
      <c r="L751" s="799"/>
      <c r="M751" s="799"/>
      <c r="N751" s="799"/>
      <c r="O751" s="799"/>
      <c r="P751" s="799"/>
      <c r="Q751" s="799"/>
      <c r="R751" s="799"/>
      <c r="S751" s="799"/>
      <c r="T751" s="799"/>
      <c r="U751" s="799"/>
      <c r="V751" s="799"/>
      <c r="W751" s="799"/>
      <c r="X751" s="799"/>
      <c r="Y751" s="799"/>
      <c r="Z751" s="799"/>
      <c r="AA751" s="799"/>
      <c r="AB751" s="799"/>
      <c r="AC751" s="799"/>
      <c r="AD751" s="799"/>
      <c r="AE751" s="799"/>
      <c r="AF751" s="799"/>
      <c r="AG751" s="799"/>
      <c r="AH751" s="799"/>
      <c r="AI751" s="799"/>
      <c r="AJ751" s="799"/>
      <c r="AK751" s="799"/>
      <c r="AL751" s="799"/>
      <c r="AM751" s="799"/>
      <c r="AN751" s="799"/>
      <c r="AO751" s="799"/>
      <c r="AP751" s="799"/>
      <c r="AQ751" s="799"/>
      <c r="AR751" s="799"/>
      <c r="AS751" s="799"/>
      <c r="AT751" s="799"/>
      <c r="AU751" s="799"/>
      <c r="AV751" s="799"/>
      <c r="AW751" s="799"/>
      <c r="AX751" s="799"/>
      <c r="AY751" s="799"/>
      <c r="AZ751" s="799"/>
      <c r="BA751" s="799"/>
      <c r="BB751" s="799"/>
      <c r="BC751" s="799"/>
      <c r="BD751" s="799"/>
      <c r="BE751" s="799"/>
      <c r="BF751" s="799"/>
      <c r="BG751" s="799"/>
    </row>
    <row r="752">
      <c r="H752" s="799"/>
      <c r="I752" s="799"/>
      <c r="J752" s="799"/>
      <c r="K752" s="799"/>
      <c r="L752" s="799"/>
      <c r="M752" s="799"/>
      <c r="N752" s="799"/>
      <c r="O752" s="799"/>
      <c r="P752" s="799"/>
      <c r="Q752" s="799"/>
      <c r="R752" s="799"/>
      <c r="S752" s="799"/>
      <c r="T752" s="799"/>
      <c r="U752" s="799"/>
      <c r="V752" s="799"/>
      <c r="W752" s="799"/>
      <c r="X752" s="799"/>
      <c r="Y752" s="799"/>
      <c r="Z752" s="799"/>
      <c r="AA752" s="799"/>
      <c r="AB752" s="799"/>
      <c r="AC752" s="799"/>
      <c r="AD752" s="799"/>
      <c r="AE752" s="799"/>
      <c r="AF752" s="799"/>
      <c r="AG752" s="799"/>
      <c r="AH752" s="799"/>
      <c r="AI752" s="799"/>
      <c r="AJ752" s="799"/>
      <c r="AK752" s="799"/>
      <c r="AL752" s="799"/>
      <c r="AM752" s="799"/>
      <c r="AN752" s="799"/>
      <c r="AO752" s="799"/>
      <c r="AP752" s="799"/>
      <c r="AQ752" s="799"/>
      <c r="AR752" s="799"/>
      <c r="AS752" s="799"/>
      <c r="AT752" s="799"/>
      <c r="AU752" s="799"/>
      <c r="AV752" s="799"/>
      <c r="AW752" s="799"/>
      <c r="AX752" s="799"/>
      <c r="AY752" s="799"/>
      <c r="AZ752" s="799"/>
      <c r="BA752" s="799"/>
      <c r="BB752" s="799"/>
      <c r="BC752" s="799"/>
      <c r="BD752" s="799"/>
      <c r="BE752" s="799"/>
      <c r="BF752" s="799"/>
      <c r="BG752" s="799"/>
    </row>
    <row r="753">
      <c r="H753" s="799"/>
      <c r="I753" s="799"/>
      <c r="J753" s="799"/>
      <c r="K753" s="799"/>
      <c r="L753" s="799"/>
      <c r="M753" s="799"/>
      <c r="N753" s="799"/>
      <c r="O753" s="799"/>
      <c r="P753" s="799"/>
      <c r="Q753" s="799"/>
      <c r="R753" s="799"/>
      <c r="S753" s="799"/>
      <c r="T753" s="799"/>
      <c r="U753" s="799"/>
      <c r="V753" s="799"/>
      <c r="W753" s="799"/>
      <c r="X753" s="799"/>
      <c r="Y753" s="799"/>
      <c r="Z753" s="799"/>
      <c r="AA753" s="799"/>
      <c r="AB753" s="799"/>
      <c r="AC753" s="799"/>
      <c r="AD753" s="799"/>
      <c r="AE753" s="799"/>
      <c r="AF753" s="799"/>
      <c r="AG753" s="799"/>
      <c r="AH753" s="799"/>
      <c r="AI753" s="799"/>
      <c r="AJ753" s="799"/>
      <c r="AK753" s="799"/>
      <c r="AL753" s="799"/>
      <c r="AM753" s="799"/>
      <c r="AN753" s="799"/>
      <c r="AO753" s="799"/>
      <c r="AP753" s="799"/>
      <c r="AQ753" s="799"/>
      <c r="AR753" s="799"/>
      <c r="AS753" s="799"/>
      <c r="AT753" s="799"/>
      <c r="AU753" s="799"/>
      <c r="AV753" s="799"/>
      <c r="AW753" s="799"/>
      <c r="AX753" s="799"/>
      <c r="AY753" s="799"/>
      <c r="AZ753" s="799"/>
      <c r="BA753" s="799"/>
      <c r="BB753" s="799"/>
      <c r="BC753" s="799"/>
      <c r="BD753" s="799"/>
      <c r="BE753" s="799"/>
      <c r="BF753" s="799"/>
      <c r="BG753" s="799"/>
    </row>
    <row r="754">
      <c r="H754" s="799"/>
      <c r="I754" s="799"/>
      <c r="J754" s="799"/>
      <c r="K754" s="799"/>
      <c r="L754" s="799"/>
      <c r="M754" s="799"/>
      <c r="N754" s="799"/>
      <c r="O754" s="799"/>
      <c r="P754" s="799"/>
      <c r="Q754" s="799"/>
      <c r="R754" s="799"/>
      <c r="S754" s="799"/>
      <c r="T754" s="799"/>
      <c r="U754" s="799"/>
      <c r="V754" s="799"/>
      <c r="W754" s="799"/>
      <c r="X754" s="799"/>
      <c r="Y754" s="799"/>
      <c r="Z754" s="799"/>
      <c r="AA754" s="799"/>
      <c r="AB754" s="799"/>
      <c r="AC754" s="799"/>
      <c r="AD754" s="799"/>
      <c r="AE754" s="799"/>
      <c r="AF754" s="799"/>
      <c r="AG754" s="799"/>
      <c r="AH754" s="799"/>
      <c r="AI754" s="799"/>
      <c r="AJ754" s="799"/>
      <c r="AK754" s="799"/>
      <c r="AL754" s="799"/>
      <c r="AM754" s="799"/>
      <c r="AN754" s="799"/>
      <c r="AO754" s="799"/>
      <c r="AP754" s="799"/>
      <c r="AQ754" s="799"/>
      <c r="AR754" s="799"/>
      <c r="AS754" s="799"/>
      <c r="AT754" s="799"/>
      <c r="AU754" s="799"/>
      <c r="AV754" s="799"/>
      <c r="AW754" s="799"/>
      <c r="AX754" s="799"/>
      <c r="AY754" s="799"/>
      <c r="AZ754" s="799"/>
      <c r="BA754" s="799"/>
      <c r="BB754" s="799"/>
      <c r="BC754" s="799"/>
      <c r="BD754" s="799"/>
      <c r="BE754" s="799"/>
      <c r="BF754" s="799"/>
      <c r="BG754" s="799"/>
    </row>
    <row r="755">
      <c r="H755" s="799"/>
      <c r="I755" s="799"/>
      <c r="J755" s="799"/>
      <c r="K755" s="799"/>
      <c r="L755" s="799"/>
      <c r="M755" s="799"/>
      <c r="N755" s="799"/>
      <c r="O755" s="799"/>
      <c r="P755" s="799"/>
      <c r="Q755" s="799"/>
      <c r="R755" s="799"/>
      <c r="S755" s="799"/>
      <c r="T755" s="799"/>
      <c r="U755" s="799"/>
      <c r="V755" s="799"/>
      <c r="W755" s="799"/>
      <c r="X755" s="799"/>
      <c r="Y755" s="799"/>
      <c r="Z755" s="799"/>
      <c r="AA755" s="799"/>
      <c r="AB755" s="799"/>
      <c r="AC755" s="799"/>
      <c r="AD755" s="799"/>
      <c r="AE755" s="799"/>
      <c r="AF755" s="799"/>
      <c r="AG755" s="799"/>
      <c r="AH755" s="799"/>
      <c r="AI755" s="799"/>
      <c r="AJ755" s="799"/>
      <c r="AK755" s="799"/>
      <c r="AL755" s="799"/>
      <c r="AM755" s="799"/>
      <c r="AN755" s="799"/>
      <c r="AO755" s="799"/>
      <c r="AP755" s="799"/>
      <c r="AQ755" s="799"/>
      <c r="AR755" s="799"/>
      <c r="AS755" s="799"/>
      <c r="AT755" s="799"/>
      <c r="AU755" s="799"/>
      <c r="AV755" s="799"/>
      <c r="AW755" s="799"/>
      <c r="AX755" s="799"/>
      <c r="AY755" s="799"/>
      <c r="AZ755" s="799"/>
      <c r="BA755" s="799"/>
      <c r="BB755" s="799"/>
      <c r="BC755" s="799"/>
      <c r="BD755" s="799"/>
      <c r="BE755" s="799"/>
      <c r="BF755" s="799"/>
      <c r="BG755" s="799"/>
    </row>
    <row r="756">
      <c r="H756" s="799"/>
      <c r="I756" s="799"/>
      <c r="J756" s="799"/>
      <c r="K756" s="799"/>
      <c r="L756" s="799"/>
      <c r="M756" s="799"/>
      <c r="N756" s="799"/>
      <c r="O756" s="799"/>
      <c r="P756" s="799"/>
      <c r="Q756" s="799"/>
      <c r="R756" s="799"/>
      <c r="S756" s="799"/>
      <c r="T756" s="799"/>
      <c r="U756" s="799"/>
      <c r="V756" s="799"/>
      <c r="W756" s="799"/>
      <c r="X756" s="799"/>
      <c r="Y756" s="799"/>
      <c r="Z756" s="799"/>
      <c r="AA756" s="799"/>
      <c r="AB756" s="799"/>
      <c r="AC756" s="799"/>
      <c r="AD756" s="799"/>
      <c r="AE756" s="799"/>
      <c r="AF756" s="799"/>
      <c r="AG756" s="799"/>
      <c r="AH756" s="799"/>
      <c r="AI756" s="799"/>
      <c r="AJ756" s="799"/>
      <c r="AK756" s="799"/>
      <c r="AL756" s="799"/>
      <c r="AM756" s="799"/>
      <c r="AN756" s="799"/>
      <c r="AO756" s="799"/>
      <c r="AP756" s="799"/>
      <c r="AQ756" s="799"/>
      <c r="AR756" s="799"/>
      <c r="AS756" s="799"/>
      <c r="AT756" s="799"/>
      <c r="AU756" s="799"/>
      <c r="AV756" s="799"/>
      <c r="AW756" s="799"/>
      <c r="AX756" s="799"/>
      <c r="AY756" s="799"/>
      <c r="AZ756" s="799"/>
      <c r="BA756" s="799"/>
      <c r="BB756" s="799"/>
      <c r="BC756" s="799"/>
      <c r="BD756" s="799"/>
      <c r="BE756" s="799"/>
      <c r="BF756" s="799"/>
      <c r="BG756" s="799"/>
    </row>
    <row r="757">
      <c r="H757" s="799"/>
      <c r="I757" s="799"/>
      <c r="J757" s="799"/>
      <c r="K757" s="799"/>
      <c r="L757" s="799"/>
      <c r="M757" s="799"/>
      <c r="N757" s="799"/>
      <c r="O757" s="799"/>
      <c r="P757" s="799"/>
      <c r="Q757" s="799"/>
      <c r="R757" s="799"/>
      <c r="S757" s="799"/>
      <c r="T757" s="799"/>
      <c r="U757" s="799"/>
      <c r="V757" s="799"/>
      <c r="W757" s="799"/>
      <c r="X757" s="799"/>
      <c r="Y757" s="799"/>
      <c r="Z757" s="799"/>
      <c r="AA757" s="799"/>
      <c r="AB757" s="799"/>
      <c r="AC757" s="799"/>
      <c r="AD757" s="799"/>
      <c r="AE757" s="799"/>
      <c r="AF757" s="799"/>
      <c r="AG757" s="799"/>
      <c r="AH757" s="799"/>
      <c r="AI757" s="799"/>
      <c r="AJ757" s="799"/>
      <c r="AK757" s="799"/>
      <c r="AL757" s="799"/>
      <c r="AM757" s="799"/>
      <c r="AN757" s="799"/>
      <c r="AO757" s="799"/>
      <c r="AP757" s="799"/>
      <c r="AQ757" s="799"/>
      <c r="AR757" s="799"/>
      <c r="AS757" s="799"/>
      <c r="AT757" s="799"/>
      <c r="AU757" s="799"/>
      <c r="AV757" s="799"/>
      <c r="AW757" s="799"/>
      <c r="AX757" s="799"/>
      <c r="AY757" s="799"/>
      <c r="AZ757" s="799"/>
      <c r="BA757" s="799"/>
      <c r="BB757" s="799"/>
      <c r="BC757" s="799"/>
      <c r="BD757" s="799"/>
      <c r="BE757" s="799"/>
      <c r="BF757" s="799"/>
      <c r="BG757" s="799"/>
    </row>
    <row r="758">
      <c r="H758" s="799"/>
      <c r="I758" s="799"/>
      <c r="J758" s="799"/>
      <c r="K758" s="799"/>
      <c r="L758" s="799"/>
      <c r="M758" s="799"/>
      <c r="N758" s="799"/>
      <c r="O758" s="799"/>
      <c r="P758" s="799"/>
      <c r="Q758" s="799"/>
      <c r="R758" s="799"/>
      <c r="S758" s="799"/>
      <c r="T758" s="799"/>
      <c r="U758" s="799"/>
      <c r="V758" s="799"/>
      <c r="W758" s="799"/>
      <c r="X758" s="799"/>
      <c r="Y758" s="799"/>
      <c r="Z758" s="799"/>
      <c r="AA758" s="799"/>
      <c r="AB758" s="799"/>
      <c r="AC758" s="799"/>
      <c r="AD758" s="799"/>
      <c r="AE758" s="799"/>
      <c r="AF758" s="799"/>
      <c r="AG758" s="799"/>
      <c r="AH758" s="799"/>
      <c r="AI758" s="799"/>
      <c r="AJ758" s="799"/>
      <c r="AK758" s="799"/>
      <c r="AL758" s="799"/>
      <c r="AM758" s="799"/>
      <c r="AN758" s="799"/>
      <c r="AO758" s="799"/>
      <c r="AP758" s="799"/>
      <c r="AQ758" s="799"/>
      <c r="AR758" s="799"/>
      <c r="AS758" s="799"/>
      <c r="AT758" s="799"/>
      <c r="AU758" s="799"/>
      <c r="AV758" s="799"/>
      <c r="AW758" s="799"/>
      <c r="AX758" s="799"/>
      <c r="AY758" s="799"/>
      <c r="AZ758" s="799"/>
      <c r="BA758" s="799"/>
      <c r="BB758" s="799"/>
      <c r="BC758" s="799"/>
      <c r="BD758" s="799"/>
      <c r="BE758" s="799"/>
      <c r="BF758" s="799"/>
      <c r="BG758" s="799"/>
    </row>
    <row r="759">
      <c r="H759" s="799"/>
      <c r="I759" s="799"/>
      <c r="J759" s="799"/>
      <c r="K759" s="799"/>
      <c r="L759" s="799"/>
      <c r="M759" s="799"/>
      <c r="N759" s="799"/>
      <c r="O759" s="799"/>
      <c r="P759" s="799"/>
      <c r="Q759" s="799"/>
      <c r="R759" s="799"/>
      <c r="S759" s="799"/>
      <c r="T759" s="799"/>
      <c r="U759" s="799"/>
      <c r="V759" s="799"/>
      <c r="W759" s="799"/>
      <c r="X759" s="799"/>
      <c r="Y759" s="799"/>
      <c r="Z759" s="799"/>
      <c r="AA759" s="799"/>
      <c r="AB759" s="799"/>
      <c r="AC759" s="799"/>
      <c r="AD759" s="799"/>
      <c r="AE759" s="799"/>
      <c r="AF759" s="799"/>
      <c r="AG759" s="799"/>
      <c r="AH759" s="799"/>
      <c r="AI759" s="799"/>
      <c r="AJ759" s="799"/>
      <c r="AK759" s="799"/>
      <c r="AL759" s="799"/>
      <c r="AM759" s="799"/>
      <c r="AN759" s="799"/>
      <c r="AO759" s="799"/>
      <c r="AP759" s="799"/>
      <c r="AQ759" s="799"/>
      <c r="AR759" s="799"/>
      <c r="AS759" s="799"/>
      <c r="AT759" s="799"/>
      <c r="AU759" s="799"/>
      <c r="AV759" s="799"/>
      <c r="AW759" s="799"/>
      <c r="AX759" s="799"/>
      <c r="AY759" s="799"/>
      <c r="AZ759" s="799"/>
      <c r="BA759" s="799"/>
      <c r="BB759" s="799"/>
      <c r="BC759" s="799"/>
      <c r="BD759" s="799"/>
      <c r="BE759" s="799"/>
      <c r="BF759" s="799"/>
      <c r="BG759" s="799"/>
    </row>
    <row r="760">
      <c r="H760" s="799"/>
      <c r="I760" s="799"/>
      <c r="J760" s="799"/>
      <c r="K760" s="799"/>
      <c r="L760" s="799"/>
      <c r="M760" s="799"/>
      <c r="N760" s="799"/>
      <c r="O760" s="799"/>
      <c r="P760" s="799"/>
      <c r="Q760" s="799"/>
      <c r="R760" s="799"/>
      <c r="S760" s="799"/>
      <c r="T760" s="799"/>
      <c r="U760" s="799"/>
      <c r="V760" s="799"/>
      <c r="W760" s="799"/>
      <c r="X760" s="799"/>
      <c r="Y760" s="799"/>
      <c r="Z760" s="799"/>
      <c r="AA760" s="799"/>
      <c r="AB760" s="799"/>
      <c r="AC760" s="799"/>
      <c r="AD760" s="799"/>
      <c r="AE760" s="799"/>
      <c r="AF760" s="799"/>
      <c r="AG760" s="799"/>
      <c r="AH760" s="799"/>
      <c r="AI760" s="799"/>
      <c r="AJ760" s="799"/>
      <c r="AK760" s="799"/>
      <c r="AL760" s="799"/>
      <c r="AM760" s="799"/>
      <c r="AN760" s="799"/>
      <c r="AO760" s="799"/>
      <c r="AP760" s="799"/>
      <c r="AQ760" s="799"/>
      <c r="AR760" s="799"/>
      <c r="AS760" s="799"/>
      <c r="AT760" s="799"/>
      <c r="AU760" s="799"/>
      <c r="AV760" s="799"/>
      <c r="AW760" s="799"/>
      <c r="AX760" s="799"/>
      <c r="AY760" s="799"/>
      <c r="AZ760" s="799"/>
      <c r="BA760" s="799"/>
      <c r="BB760" s="799"/>
      <c r="BC760" s="799"/>
      <c r="BD760" s="799"/>
      <c r="BE760" s="799"/>
      <c r="BF760" s="799"/>
      <c r="BG760" s="799"/>
    </row>
    <row r="761">
      <c r="H761" s="799"/>
      <c r="I761" s="799"/>
      <c r="J761" s="799"/>
      <c r="K761" s="799"/>
      <c r="L761" s="799"/>
      <c r="M761" s="799"/>
      <c r="N761" s="799"/>
      <c r="O761" s="799"/>
      <c r="P761" s="799"/>
      <c r="Q761" s="799"/>
      <c r="R761" s="799"/>
      <c r="S761" s="799"/>
      <c r="T761" s="799"/>
      <c r="U761" s="799"/>
      <c r="V761" s="799"/>
      <c r="W761" s="799"/>
      <c r="X761" s="799"/>
      <c r="Y761" s="799"/>
      <c r="Z761" s="799"/>
      <c r="AA761" s="799"/>
      <c r="AB761" s="799"/>
      <c r="AC761" s="799"/>
      <c r="AD761" s="799"/>
      <c r="AE761" s="799"/>
      <c r="AF761" s="799"/>
      <c r="AG761" s="799"/>
      <c r="AH761" s="799"/>
      <c r="AI761" s="799"/>
      <c r="AJ761" s="799"/>
      <c r="AK761" s="799"/>
      <c r="AL761" s="799"/>
      <c r="AM761" s="799"/>
      <c r="AN761" s="799"/>
      <c r="AO761" s="799"/>
      <c r="AP761" s="799"/>
      <c r="AQ761" s="799"/>
      <c r="AR761" s="799"/>
      <c r="AS761" s="799"/>
      <c r="AT761" s="799"/>
      <c r="AU761" s="799"/>
      <c r="AV761" s="799"/>
      <c r="AW761" s="799"/>
      <c r="AX761" s="799"/>
      <c r="AY761" s="799"/>
      <c r="AZ761" s="799"/>
      <c r="BA761" s="799"/>
      <c r="BB761" s="799"/>
      <c r="BC761" s="799"/>
      <c r="BD761" s="799"/>
      <c r="BE761" s="799"/>
      <c r="BF761" s="799"/>
      <c r="BG761" s="799"/>
    </row>
    <row r="762">
      <c r="H762" s="799"/>
      <c r="I762" s="799"/>
      <c r="J762" s="799"/>
      <c r="K762" s="799"/>
      <c r="L762" s="799"/>
      <c r="M762" s="799"/>
      <c r="N762" s="799"/>
      <c r="O762" s="799"/>
      <c r="P762" s="799"/>
      <c r="Q762" s="799"/>
      <c r="R762" s="799"/>
      <c r="S762" s="799"/>
      <c r="T762" s="799"/>
      <c r="U762" s="799"/>
      <c r="V762" s="799"/>
      <c r="W762" s="799"/>
      <c r="X762" s="799"/>
      <c r="Y762" s="799"/>
      <c r="Z762" s="799"/>
      <c r="AA762" s="799"/>
      <c r="AB762" s="799"/>
      <c r="AC762" s="799"/>
      <c r="AD762" s="799"/>
      <c r="AE762" s="799"/>
      <c r="AF762" s="799"/>
      <c r="AG762" s="799"/>
      <c r="AH762" s="799"/>
      <c r="AI762" s="799"/>
      <c r="AJ762" s="799"/>
      <c r="AK762" s="799"/>
      <c r="AL762" s="799"/>
      <c r="AM762" s="799"/>
      <c r="AN762" s="799"/>
      <c r="AO762" s="799"/>
      <c r="AP762" s="799"/>
      <c r="AQ762" s="799"/>
      <c r="AR762" s="799"/>
      <c r="AS762" s="799"/>
      <c r="AT762" s="799"/>
      <c r="AU762" s="799"/>
      <c r="AV762" s="799"/>
      <c r="AW762" s="799"/>
      <c r="AX762" s="799"/>
      <c r="AY762" s="799"/>
      <c r="AZ762" s="799"/>
      <c r="BA762" s="799"/>
      <c r="BB762" s="799"/>
      <c r="BC762" s="799"/>
      <c r="BD762" s="799"/>
      <c r="BE762" s="799"/>
      <c r="BF762" s="799"/>
      <c r="BG762" s="799"/>
    </row>
    <row r="763">
      <c r="H763" s="799"/>
      <c r="I763" s="799"/>
      <c r="J763" s="799"/>
      <c r="K763" s="799"/>
      <c r="L763" s="799"/>
      <c r="M763" s="799"/>
      <c r="N763" s="799"/>
      <c r="O763" s="799"/>
      <c r="P763" s="799"/>
      <c r="Q763" s="799"/>
      <c r="R763" s="799"/>
      <c r="S763" s="799"/>
      <c r="T763" s="799"/>
      <c r="U763" s="799"/>
      <c r="V763" s="799"/>
      <c r="W763" s="799"/>
      <c r="X763" s="799"/>
      <c r="Y763" s="799"/>
      <c r="Z763" s="799"/>
      <c r="AA763" s="799"/>
      <c r="AB763" s="799"/>
      <c r="AC763" s="799"/>
      <c r="AD763" s="799"/>
      <c r="AE763" s="799"/>
      <c r="AF763" s="799"/>
      <c r="AG763" s="799"/>
      <c r="AH763" s="799"/>
      <c r="AI763" s="799"/>
      <c r="AJ763" s="799"/>
      <c r="AK763" s="799"/>
      <c r="AL763" s="799"/>
      <c r="AM763" s="799"/>
      <c r="AN763" s="799"/>
      <c r="AO763" s="799"/>
      <c r="AP763" s="799"/>
      <c r="AQ763" s="799"/>
      <c r="AR763" s="799"/>
      <c r="AS763" s="799"/>
      <c r="AT763" s="799"/>
      <c r="AU763" s="799"/>
      <c r="AV763" s="799"/>
      <c r="AW763" s="799"/>
      <c r="AX763" s="799"/>
      <c r="AY763" s="799"/>
      <c r="AZ763" s="799"/>
      <c r="BA763" s="799"/>
      <c r="BB763" s="799"/>
      <c r="BC763" s="799"/>
      <c r="BD763" s="799"/>
      <c r="BE763" s="799"/>
      <c r="BF763" s="799"/>
      <c r="BG763" s="799"/>
    </row>
    <row r="764">
      <c r="H764" s="799"/>
      <c r="I764" s="799"/>
      <c r="J764" s="799"/>
      <c r="K764" s="799"/>
      <c r="L764" s="799"/>
      <c r="M764" s="799"/>
      <c r="N764" s="799"/>
      <c r="O764" s="799"/>
      <c r="P764" s="799"/>
      <c r="Q764" s="799"/>
      <c r="R764" s="799"/>
      <c r="S764" s="799"/>
      <c r="T764" s="799"/>
      <c r="U764" s="799"/>
      <c r="V764" s="799"/>
      <c r="W764" s="799"/>
      <c r="X764" s="799"/>
      <c r="Y764" s="799"/>
      <c r="Z764" s="799"/>
      <c r="AA764" s="799"/>
      <c r="AB764" s="799"/>
      <c r="AC764" s="799"/>
      <c r="AD764" s="799"/>
      <c r="AE764" s="799"/>
      <c r="AF764" s="799"/>
      <c r="AG764" s="799"/>
      <c r="AH764" s="799"/>
      <c r="AI764" s="799"/>
      <c r="AJ764" s="799"/>
      <c r="AK764" s="799"/>
      <c r="AL764" s="799"/>
      <c r="AM764" s="799"/>
      <c r="AN764" s="799"/>
      <c r="AO764" s="799"/>
      <c r="AP764" s="799"/>
      <c r="AQ764" s="799"/>
      <c r="AR764" s="799"/>
      <c r="AS764" s="799"/>
      <c r="AT764" s="799"/>
      <c r="AU764" s="799"/>
      <c r="AV764" s="799"/>
      <c r="AW764" s="799"/>
      <c r="AX764" s="799"/>
      <c r="AY764" s="799"/>
      <c r="AZ764" s="799"/>
      <c r="BA764" s="799"/>
      <c r="BB764" s="799"/>
      <c r="BC764" s="799"/>
      <c r="BD764" s="799"/>
      <c r="BE764" s="799"/>
      <c r="BF764" s="799"/>
      <c r="BG764" s="799"/>
    </row>
    <row r="765">
      <c r="H765" s="799"/>
      <c r="I765" s="799"/>
      <c r="J765" s="799"/>
      <c r="K765" s="799"/>
      <c r="L765" s="799"/>
      <c r="M765" s="799"/>
      <c r="N765" s="799"/>
      <c r="O765" s="799"/>
      <c r="P765" s="799"/>
      <c r="Q765" s="799"/>
      <c r="R765" s="799"/>
      <c r="S765" s="799"/>
      <c r="T765" s="799"/>
      <c r="U765" s="799"/>
      <c r="V765" s="799"/>
      <c r="W765" s="799"/>
      <c r="X765" s="799"/>
      <c r="Y765" s="799"/>
      <c r="Z765" s="799"/>
      <c r="AA765" s="799"/>
      <c r="AB765" s="799"/>
      <c r="AC765" s="799"/>
      <c r="AD765" s="799"/>
      <c r="AE765" s="799"/>
      <c r="AF765" s="799"/>
      <c r="AG765" s="799"/>
      <c r="AH765" s="799"/>
      <c r="AI765" s="799"/>
      <c r="AJ765" s="799"/>
      <c r="AK765" s="799"/>
      <c r="AL765" s="799"/>
      <c r="AM765" s="799"/>
      <c r="AN765" s="799"/>
      <c r="AO765" s="799"/>
      <c r="AP765" s="799"/>
      <c r="AQ765" s="799"/>
      <c r="AR765" s="799"/>
      <c r="AS765" s="799"/>
      <c r="AT765" s="799"/>
      <c r="AU765" s="799"/>
      <c r="AV765" s="799"/>
      <c r="AW765" s="799"/>
      <c r="AX765" s="799"/>
      <c r="AY765" s="799"/>
      <c r="AZ765" s="799"/>
      <c r="BA765" s="799"/>
      <c r="BB765" s="799"/>
      <c r="BC765" s="799"/>
      <c r="BD765" s="799"/>
      <c r="BE765" s="799"/>
      <c r="BF765" s="799"/>
      <c r="BG765" s="799"/>
    </row>
    <row r="766">
      <c r="H766" s="799"/>
      <c r="I766" s="799"/>
      <c r="J766" s="799"/>
      <c r="K766" s="799"/>
      <c r="L766" s="799"/>
      <c r="M766" s="799"/>
      <c r="N766" s="799"/>
      <c r="O766" s="799"/>
      <c r="P766" s="799"/>
      <c r="Q766" s="799"/>
      <c r="R766" s="799"/>
      <c r="S766" s="799"/>
      <c r="T766" s="799"/>
      <c r="U766" s="799"/>
      <c r="V766" s="799"/>
      <c r="W766" s="799"/>
      <c r="X766" s="799"/>
      <c r="Y766" s="799"/>
      <c r="Z766" s="799"/>
      <c r="AA766" s="799"/>
      <c r="AB766" s="799"/>
      <c r="AC766" s="799"/>
      <c r="AD766" s="799"/>
      <c r="AE766" s="799"/>
      <c r="AF766" s="799"/>
      <c r="AG766" s="799"/>
      <c r="AH766" s="799"/>
      <c r="AI766" s="799"/>
      <c r="AJ766" s="799"/>
      <c r="AK766" s="799"/>
      <c r="AL766" s="799"/>
      <c r="AM766" s="799"/>
      <c r="AN766" s="799"/>
      <c r="AO766" s="799"/>
      <c r="AP766" s="799"/>
      <c r="AQ766" s="799"/>
      <c r="AR766" s="799"/>
      <c r="AS766" s="799"/>
      <c r="AT766" s="799"/>
      <c r="AU766" s="799"/>
      <c r="AV766" s="799"/>
      <c r="AW766" s="799"/>
      <c r="AX766" s="799"/>
      <c r="AY766" s="799"/>
      <c r="AZ766" s="799"/>
      <c r="BA766" s="799"/>
      <c r="BB766" s="799"/>
      <c r="BC766" s="799"/>
      <c r="BD766" s="799"/>
      <c r="BE766" s="799"/>
      <c r="BF766" s="799"/>
      <c r="BG766" s="799"/>
    </row>
    <row r="767">
      <c r="H767" s="799"/>
      <c r="I767" s="799"/>
      <c r="J767" s="799"/>
      <c r="K767" s="799"/>
      <c r="L767" s="799"/>
      <c r="M767" s="799"/>
      <c r="N767" s="799"/>
      <c r="O767" s="799"/>
      <c r="P767" s="799"/>
      <c r="Q767" s="799"/>
      <c r="R767" s="799"/>
      <c r="S767" s="799"/>
      <c r="T767" s="799"/>
      <c r="U767" s="799"/>
      <c r="V767" s="799"/>
      <c r="W767" s="799"/>
      <c r="X767" s="799"/>
      <c r="Y767" s="799"/>
      <c r="Z767" s="799"/>
      <c r="AA767" s="799"/>
      <c r="AB767" s="799"/>
      <c r="AC767" s="799"/>
      <c r="AD767" s="799"/>
      <c r="AE767" s="799"/>
      <c r="AF767" s="799"/>
      <c r="AG767" s="799"/>
      <c r="AH767" s="799"/>
      <c r="AI767" s="799"/>
      <c r="AJ767" s="799"/>
      <c r="AK767" s="799"/>
      <c r="AL767" s="799"/>
      <c r="AM767" s="799"/>
      <c r="AN767" s="799"/>
      <c r="AO767" s="799"/>
      <c r="AP767" s="799"/>
      <c r="AQ767" s="799"/>
      <c r="AR767" s="799"/>
      <c r="AS767" s="799"/>
      <c r="AT767" s="799"/>
      <c r="AU767" s="799"/>
      <c r="AV767" s="799"/>
      <c r="AW767" s="799"/>
      <c r="AX767" s="799"/>
      <c r="AY767" s="799"/>
      <c r="AZ767" s="799"/>
      <c r="BA767" s="799"/>
      <c r="BB767" s="799"/>
      <c r="BC767" s="799"/>
      <c r="BD767" s="799"/>
      <c r="BE767" s="799"/>
      <c r="BF767" s="799"/>
      <c r="BG767" s="799"/>
    </row>
    <row r="768">
      <c r="H768" s="799"/>
      <c r="I768" s="799"/>
      <c r="J768" s="799"/>
      <c r="K768" s="799"/>
      <c r="L768" s="799"/>
      <c r="M768" s="799"/>
      <c r="N768" s="799"/>
      <c r="O768" s="799"/>
      <c r="P768" s="799"/>
      <c r="Q768" s="799"/>
      <c r="R768" s="799"/>
      <c r="S768" s="799"/>
      <c r="T768" s="799"/>
      <c r="U768" s="799"/>
      <c r="V768" s="799"/>
      <c r="W768" s="799"/>
      <c r="X768" s="799"/>
      <c r="Y768" s="799"/>
      <c r="Z768" s="799"/>
      <c r="AA768" s="799"/>
      <c r="AB768" s="799"/>
      <c r="AC768" s="799"/>
      <c r="AD768" s="799"/>
      <c r="AE768" s="799"/>
      <c r="AF768" s="799"/>
      <c r="AG768" s="799"/>
      <c r="AH768" s="799"/>
      <c r="AI768" s="799"/>
      <c r="AJ768" s="799"/>
      <c r="AK768" s="799"/>
      <c r="AL768" s="799"/>
      <c r="AM768" s="799"/>
      <c r="AN768" s="799"/>
      <c r="AO768" s="799"/>
      <c r="AP768" s="799"/>
      <c r="AQ768" s="799"/>
      <c r="AR768" s="799"/>
      <c r="AS768" s="799"/>
      <c r="AT768" s="799"/>
      <c r="AU768" s="799"/>
      <c r="AV768" s="799"/>
      <c r="AW768" s="799"/>
      <c r="AX768" s="799"/>
      <c r="AY768" s="799"/>
      <c r="AZ768" s="799"/>
      <c r="BA768" s="799"/>
      <c r="BB768" s="799"/>
      <c r="BC768" s="799"/>
      <c r="BD768" s="799"/>
      <c r="BE768" s="799"/>
      <c r="BF768" s="799"/>
      <c r="BG768" s="799"/>
    </row>
    <row r="769">
      <c r="H769" s="799"/>
      <c r="I769" s="799"/>
      <c r="J769" s="799"/>
      <c r="K769" s="799"/>
      <c r="L769" s="799"/>
      <c r="M769" s="799"/>
      <c r="N769" s="799"/>
      <c r="O769" s="799"/>
      <c r="P769" s="799"/>
      <c r="Q769" s="799"/>
      <c r="R769" s="799"/>
      <c r="S769" s="799"/>
      <c r="T769" s="799"/>
      <c r="U769" s="799"/>
      <c r="V769" s="799"/>
      <c r="W769" s="799"/>
      <c r="X769" s="799"/>
      <c r="Y769" s="799"/>
      <c r="Z769" s="799"/>
      <c r="AA769" s="799"/>
      <c r="AB769" s="799"/>
      <c r="AC769" s="799"/>
      <c r="AD769" s="799"/>
      <c r="AE769" s="799"/>
      <c r="AF769" s="799"/>
      <c r="AG769" s="799"/>
      <c r="AH769" s="799"/>
      <c r="AI769" s="799"/>
      <c r="AJ769" s="799"/>
      <c r="AK769" s="799"/>
      <c r="AL769" s="799"/>
      <c r="AM769" s="799"/>
      <c r="AN769" s="799"/>
      <c r="AO769" s="799"/>
      <c r="AP769" s="799"/>
      <c r="AQ769" s="799"/>
      <c r="AR769" s="799"/>
      <c r="AS769" s="799"/>
      <c r="AT769" s="799"/>
      <c r="AU769" s="799"/>
      <c r="AV769" s="799"/>
      <c r="AW769" s="799"/>
      <c r="AX769" s="799"/>
      <c r="AY769" s="799"/>
      <c r="AZ769" s="799"/>
      <c r="BA769" s="799"/>
      <c r="BB769" s="799"/>
      <c r="BC769" s="799"/>
      <c r="BD769" s="799"/>
      <c r="BE769" s="799"/>
      <c r="BF769" s="799"/>
      <c r="BG769" s="799"/>
    </row>
    <row r="770">
      <c r="H770" s="799"/>
      <c r="I770" s="799"/>
      <c r="J770" s="799"/>
      <c r="K770" s="799"/>
      <c r="L770" s="799"/>
      <c r="M770" s="799"/>
      <c r="N770" s="799"/>
      <c r="O770" s="799"/>
      <c r="P770" s="799"/>
      <c r="Q770" s="799"/>
      <c r="R770" s="799"/>
      <c r="S770" s="799"/>
      <c r="T770" s="799"/>
      <c r="U770" s="799"/>
      <c r="V770" s="799"/>
      <c r="W770" s="799"/>
      <c r="X770" s="799"/>
      <c r="Y770" s="799"/>
      <c r="Z770" s="799"/>
      <c r="AA770" s="799"/>
      <c r="AB770" s="799"/>
      <c r="AC770" s="799"/>
      <c r="AD770" s="799"/>
      <c r="AE770" s="799"/>
      <c r="AF770" s="799"/>
      <c r="AG770" s="799"/>
      <c r="AH770" s="799"/>
      <c r="AI770" s="799"/>
      <c r="AJ770" s="799"/>
      <c r="AK770" s="799"/>
      <c r="AL770" s="799"/>
      <c r="AM770" s="799"/>
      <c r="AN770" s="799"/>
      <c r="AO770" s="799"/>
      <c r="AP770" s="799"/>
      <c r="AQ770" s="799"/>
      <c r="AR770" s="799"/>
      <c r="AS770" s="799"/>
      <c r="AT770" s="799"/>
      <c r="AU770" s="799"/>
      <c r="AV770" s="799"/>
      <c r="AW770" s="799"/>
      <c r="AX770" s="799"/>
      <c r="AY770" s="799"/>
      <c r="AZ770" s="799"/>
      <c r="BA770" s="799"/>
      <c r="BB770" s="799"/>
      <c r="BC770" s="799"/>
      <c r="BD770" s="799"/>
      <c r="BE770" s="799"/>
      <c r="BF770" s="799"/>
      <c r="BG770" s="799"/>
    </row>
    <row r="771">
      <c r="H771" s="799"/>
      <c r="I771" s="799"/>
      <c r="J771" s="799"/>
      <c r="K771" s="799"/>
      <c r="L771" s="799"/>
      <c r="M771" s="799"/>
      <c r="N771" s="799"/>
      <c r="O771" s="799"/>
      <c r="P771" s="799"/>
      <c r="Q771" s="799"/>
      <c r="R771" s="799"/>
      <c r="S771" s="799"/>
      <c r="T771" s="799"/>
      <c r="U771" s="799"/>
      <c r="V771" s="799"/>
      <c r="W771" s="799"/>
      <c r="X771" s="799"/>
      <c r="Y771" s="799"/>
      <c r="Z771" s="799"/>
      <c r="AA771" s="799"/>
      <c r="AB771" s="799"/>
      <c r="AC771" s="799"/>
      <c r="AD771" s="799"/>
      <c r="AE771" s="799"/>
      <c r="AF771" s="799"/>
      <c r="AG771" s="799"/>
      <c r="AH771" s="799"/>
      <c r="AI771" s="799"/>
      <c r="AJ771" s="799"/>
      <c r="AK771" s="799"/>
      <c r="AL771" s="799"/>
      <c r="AM771" s="799"/>
      <c r="AN771" s="799"/>
      <c r="AO771" s="799"/>
      <c r="AP771" s="799"/>
      <c r="AQ771" s="799"/>
      <c r="AR771" s="799"/>
      <c r="AS771" s="799"/>
      <c r="AT771" s="799"/>
      <c r="AU771" s="799"/>
      <c r="AV771" s="799"/>
      <c r="AW771" s="799"/>
      <c r="AX771" s="799"/>
      <c r="AY771" s="799"/>
      <c r="AZ771" s="799"/>
      <c r="BA771" s="799"/>
      <c r="BB771" s="799"/>
      <c r="BC771" s="799"/>
      <c r="BD771" s="799"/>
      <c r="BE771" s="799"/>
      <c r="BF771" s="799"/>
      <c r="BG771" s="799"/>
    </row>
    <row r="772">
      <c r="H772" s="799"/>
      <c r="I772" s="799"/>
      <c r="J772" s="799"/>
      <c r="K772" s="799"/>
      <c r="L772" s="799"/>
      <c r="M772" s="799"/>
      <c r="N772" s="799"/>
      <c r="O772" s="799"/>
      <c r="P772" s="799"/>
      <c r="Q772" s="799"/>
      <c r="R772" s="799"/>
      <c r="S772" s="799"/>
      <c r="T772" s="799"/>
      <c r="U772" s="799"/>
      <c r="V772" s="799"/>
      <c r="W772" s="799"/>
      <c r="X772" s="799"/>
      <c r="Y772" s="799"/>
      <c r="Z772" s="799"/>
      <c r="AA772" s="799"/>
      <c r="AB772" s="799"/>
      <c r="AC772" s="799"/>
      <c r="AD772" s="799"/>
      <c r="AE772" s="799"/>
      <c r="AF772" s="799"/>
      <c r="AG772" s="799"/>
      <c r="AH772" s="799"/>
      <c r="AI772" s="799"/>
      <c r="AJ772" s="799"/>
      <c r="AK772" s="799"/>
      <c r="AL772" s="799"/>
      <c r="AM772" s="799"/>
      <c r="AN772" s="799"/>
      <c r="AO772" s="799"/>
      <c r="AP772" s="799"/>
      <c r="AQ772" s="799"/>
      <c r="AR772" s="799"/>
      <c r="AS772" s="799"/>
      <c r="AT772" s="799"/>
      <c r="AU772" s="799"/>
      <c r="AV772" s="799"/>
      <c r="AW772" s="799"/>
      <c r="AX772" s="799"/>
      <c r="AY772" s="799"/>
      <c r="AZ772" s="799"/>
      <c r="BA772" s="799"/>
      <c r="BB772" s="799"/>
      <c r="BC772" s="799"/>
      <c r="BD772" s="799"/>
      <c r="BE772" s="799"/>
      <c r="BF772" s="799"/>
      <c r="BG772" s="799"/>
    </row>
    <row r="773">
      <c r="H773" s="799"/>
      <c r="I773" s="799"/>
      <c r="J773" s="799"/>
      <c r="K773" s="799"/>
      <c r="L773" s="799"/>
      <c r="M773" s="799"/>
      <c r="N773" s="799"/>
      <c r="O773" s="799"/>
      <c r="P773" s="799"/>
      <c r="Q773" s="799"/>
      <c r="R773" s="799"/>
      <c r="S773" s="799"/>
      <c r="T773" s="799"/>
      <c r="U773" s="799"/>
      <c r="V773" s="799"/>
      <c r="W773" s="799"/>
      <c r="X773" s="799"/>
      <c r="Y773" s="799"/>
      <c r="Z773" s="799"/>
      <c r="AA773" s="799"/>
      <c r="AB773" s="799"/>
      <c r="AC773" s="799"/>
      <c r="AD773" s="799"/>
      <c r="AE773" s="799"/>
      <c r="AF773" s="799"/>
      <c r="AG773" s="799"/>
      <c r="AH773" s="799"/>
      <c r="AI773" s="799"/>
      <c r="AJ773" s="799"/>
      <c r="AK773" s="799"/>
      <c r="AL773" s="799"/>
      <c r="AM773" s="799"/>
      <c r="AN773" s="799"/>
      <c r="AO773" s="799"/>
      <c r="AP773" s="799"/>
      <c r="AQ773" s="799"/>
      <c r="AR773" s="799"/>
      <c r="AS773" s="799"/>
      <c r="AT773" s="799"/>
      <c r="AU773" s="799"/>
      <c r="AV773" s="799"/>
      <c r="AW773" s="799"/>
      <c r="AX773" s="799"/>
      <c r="AY773" s="799"/>
      <c r="AZ773" s="799"/>
      <c r="BA773" s="799"/>
      <c r="BB773" s="799"/>
      <c r="BC773" s="799"/>
      <c r="BD773" s="799"/>
      <c r="BE773" s="799"/>
      <c r="BF773" s="799"/>
      <c r="BG773" s="799"/>
    </row>
    <row r="774">
      <c r="H774" s="799"/>
      <c r="I774" s="799"/>
      <c r="J774" s="799"/>
      <c r="K774" s="799"/>
      <c r="L774" s="799"/>
      <c r="M774" s="799"/>
      <c r="N774" s="799"/>
      <c r="O774" s="799"/>
      <c r="P774" s="799"/>
      <c r="Q774" s="799"/>
      <c r="R774" s="799"/>
      <c r="S774" s="799"/>
      <c r="T774" s="799"/>
      <c r="U774" s="799"/>
      <c r="V774" s="799"/>
      <c r="W774" s="799"/>
      <c r="X774" s="799"/>
      <c r="Y774" s="799"/>
      <c r="Z774" s="799"/>
      <c r="AA774" s="799"/>
      <c r="AB774" s="799"/>
      <c r="AC774" s="799"/>
      <c r="AD774" s="799"/>
      <c r="AE774" s="799"/>
      <c r="AF774" s="799"/>
      <c r="AG774" s="799"/>
      <c r="AH774" s="799"/>
      <c r="AI774" s="799"/>
      <c r="AJ774" s="799"/>
      <c r="AK774" s="799"/>
      <c r="AL774" s="799"/>
      <c r="AM774" s="799"/>
      <c r="AN774" s="799"/>
      <c r="AO774" s="799"/>
      <c r="AP774" s="799"/>
      <c r="AQ774" s="799"/>
      <c r="AR774" s="799"/>
      <c r="AS774" s="799"/>
      <c r="AT774" s="799"/>
      <c r="AU774" s="799"/>
      <c r="AV774" s="799"/>
      <c r="AW774" s="799"/>
      <c r="AX774" s="799"/>
      <c r="AY774" s="799"/>
      <c r="AZ774" s="799"/>
      <c r="BA774" s="799"/>
      <c r="BB774" s="799"/>
      <c r="BC774" s="799"/>
      <c r="BD774" s="799"/>
      <c r="BE774" s="799"/>
      <c r="BF774" s="799"/>
      <c r="BG774" s="799"/>
    </row>
    <row r="775">
      <c r="H775" s="799"/>
      <c r="I775" s="799"/>
      <c r="J775" s="799"/>
      <c r="K775" s="799"/>
      <c r="L775" s="799"/>
      <c r="M775" s="799"/>
      <c r="N775" s="799"/>
      <c r="O775" s="799"/>
      <c r="P775" s="799"/>
      <c r="Q775" s="799"/>
      <c r="R775" s="799"/>
      <c r="S775" s="799"/>
      <c r="T775" s="799"/>
      <c r="U775" s="799"/>
      <c r="V775" s="799"/>
      <c r="W775" s="799"/>
      <c r="X775" s="799"/>
      <c r="Y775" s="799"/>
      <c r="Z775" s="799"/>
      <c r="AA775" s="799"/>
      <c r="AB775" s="799"/>
      <c r="AC775" s="799"/>
      <c r="AD775" s="799"/>
      <c r="AE775" s="799"/>
      <c r="AF775" s="799"/>
      <c r="AG775" s="799"/>
      <c r="AH775" s="799"/>
      <c r="AI775" s="799"/>
      <c r="AJ775" s="799"/>
      <c r="AK775" s="799"/>
      <c r="AL775" s="799"/>
      <c r="AM775" s="799"/>
      <c r="AN775" s="799"/>
      <c r="AO775" s="799"/>
      <c r="AP775" s="799"/>
      <c r="AQ775" s="799"/>
      <c r="AR775" s="799"/>
      <c r="AS775" s="799"/>
      <c r="AT775" s="799"/>
      <c r="AU775" s="799"/>
      <c r="AV775" s="799"/>
      <c r="AW775" s="799"/>
      <c r="AX775" s="799"/>
      <c r="AY775" s="799"/>
      <c r="AZ775" s="799"/>
      <c r="BA775" s="799"/>
      <c r="BB775" s="799"/>
      <c r="BC775" s="799"/>
      <c r="BD775" s="799"/>
      <c r="BE775" s="799"/>
      <c r="BF775" s="799"/>
      <c r="BG775" s="799"/>
    </row>
    <row r="776">
      <c r="H776" s="799"/>
      <c r="I776" s="799"/>
      <c r="J776" s="799"/>
      <c r="K776" s="799"/>
      <c r="L776" s="799"/>
      <c r="M776" s="799"/>
      <c r="N776" s="799"/>
      <c r="O776" s="799"/>
      <c r="P776" s="799"/>
      <c r="Q776" s="799"/>
      <c r="R776" s="799"/>
      <c r="S776" s="799"/>
      <c r="T776" s="799"/>
      <c r="U776" s="799"/>
      <c r="V776" s="799"/>
      <c r="W776" s="799"/>
      <c r="X776" s="799"/>
      <c r="Y776" s="799"/>
      <c r="Z776" s="799"/>
      <c r="AA776" s="799"/>
      <c r="AB776" s="799"/>
      <c r="AC776" s="799"/>
      <c r="AD776" s="799"/>
      <c r="AE776" s="799"/>
      <c r="AF776" s="799"/>
      <c r="AG776" s="799"/>
      <c r="AH776" s="799"/>
      <c r="AI776" s="799"/>
      <c r="AJ776" s="799"/>
      <c r="AK776" s="799"/>
      <c r="AL776" s="799"/>
      <c r="AM776" s="799"/>
      <c r="AN776" s="799"/>
      <c r="AO776" s="799"/>
      <c r="AP776" s="799"/>
      <c r="AQ776" s="799"/>
      <c r="AR776" s="799"/>
      <c r="AS776" s="799"/>
      <c r="AT776" s="799"/>
      <c r="AU776" s="799"/>
      <c r="AV776" s="799"/>
      <c r="AW776" s="799"/>
      <c r="AX776" s="799"/>
      <c r="AY776" s="799"/>
      <c r="AZ776" s="799"/>
      <c r="BA776" s="799"/>
      <c r="BB776" s="799"/>
      <c r="BC776" s="799"/>
      <c r="BD776" s="799"/>
      <c r="BE776" s="799"/>
      <c r="BF776" s="799"/>
      <c r="BG776" s="799"/>
    </row>
    <row r="777">
      <c r="H777" s="799"/>
      <c r="I777" s="799"/>
      <c r="J777" s="799"/>
      <c r="K777" s="799"/>
      <c r="L777" s="799"/>
      <c r="M777" s="799"/>
      <c r="N777" s="799"/>
      <c r="O777" s="799"/>
      <c r="P777" s="799"/>
      <c r="Q777" s="799"/>
      <c r="R777" s="799"/>
      <c r="S777" s="799"/>
      <c r="T777" s="799"/>
      <c r="U777" s="799"/>
      <c r="V777" s="799"/>
      <c r="W777" s="799"/>
      <c r="X777" s="799"/>
      <c r="Y777" s="799"/>
      <c r="Z777" s="799"/>
      <c r="AA777" s="799"/>
      <c r="AB777" s="799"/>
      <c r="AC777" s="799"/>
      <c r="AD777" s="799"/>
      <c r="AE777" s="799"/>
      <c r="AF777" s="799"/>
      <c r="AG777" s="799"/>
      <c r="AH777" s="799"/>
      <c r="AI777" s="799"/>
      <c r="AJ777" s="799"/>
      <c r="AK777" s="799"/>
      <c r="AL777" s="799"/>
      <c r="AM777" s="799"/>
      <c r="AN777" s="799"/>
      <c r="AO777" s="799"/>
      <c r="AP777" s="799"/>
      <c r="AQ777" s="799"/>
      <c r="AR777" s="799"/>
      <c r="AS777" s="799"/>
      <c r="AT777" s="799"/>
      <c r="AU777" s="799"/>
      <c r="AV777" s="799"/>
      <c r="AW777" s="799"/>
      <c r="AX777" s="799"/>
      <c r="AY777" s="799"/>
      <c r="AZ777" s="799"/>
      <c r="BA777" s="799"/>
      <c r="BB777" s="799"/>
      <c r="BC777" s="799"/>
      <c r="BD777" s="799"/>
      <c r="BE777" s="799"/>
      <c r="BF777" s="799"/>
      <c r="BG777" s="799"/>
    </row>
    <row r="778">
      <c r="H778" s="799"/>
      <c r="I778" s="799"/>
      <c r="J778" s="799"/>
      <c r="K778" s="799"/>
      <c r="L778" s="799"/>
      <c r="M778" s="799"/>
      <c r="N778" s="799"/>
      <c r="O778" s="799"/>
      <c r="P778" s="799"/>
      <c r="Q778" s="799"/>
      <c r="R778" s="799"/>
      <c r="S778" s="799"/>
      <c r="T778" s="799"/>
      <c r="U778" s="799"/>
      <c r="V778" s="799"/>
      <c r="W778" s="799"/>
      <c r="X778" s="799"/>
      <c r="Y778" s="799"/>
      <c r="Z778" s="799"/>
      <c r="AA778" s="799"/>
      <c r="AB778" s="799"/>
      <c r="AC778" s="799"/>
      <c r="AD778" s="799"/>
      <c r="AE778" s="799"/>
      <c r="AF778" s="799"/>
      <c r="AG778" s="799"/>
      <c r="AH778" s="799"/>
      <c r="AI778" s="799"/>
      <c r="AJ778" s="799"/>
      <c r="AK778" s="799"/>
      <c r="AL778" s="799"/>
      <c r="AM778" s="799"/>
      <c r="AN778" s="799"/>
      <c r="AO778" s="799"/>
      <c r="AP778" s="799"/>
      <c r="AQ778" s="799"/>
      <c r="AR778" s="799"/>
      <c r="AS778" s="799"/>
      <c r="AT778" s="799"/>
      <c r="AU778" s="799"/>
      <c r="AV778" s="799"/>
      <c r="AW778" s="799"/>
      <c r="AX778" s="799"/>
      <c r="AY778" s="799"/>
      <c r="AZ778" s="799"/>
      <c r="BA778" s="799"/>
      <c r="BB778" s="799"/>
      <c r="BC778" s="799"/>
      <c r="BD778" s="799"/>
      <c r="BE778" s="799"/>
      <c r="BF778" s="799"/>
      <c r="BG778" s="799"/>
    </row>
    <row r="779">
      <c r="H779" s="799"/>
      <c r="I779" s="799"/>
      <c r="J779" s="799"/>
      <c r="K779" s="799"/>
      <c r="L779" s="799"/>
      <c r="M779" s="799"/>
      <c r="N779" s="799"/>
      <c r="O779" s="799"/>
      <c r="P779" s="799"/>
      <c r="Q779" s="799"/>
      <c r="R779" s="799"/>
      <c r="S779" s="799"/>
      <c r="T779" s="799"/>
      <c r="U779" s="799"/>
      <c r="V779" s="799"/>
      <c r="W779" s="799"/>
      <c r="X779" s="799"/>
      <c r="Y779" s="799"/>
      <c r="Z779" s="799"/>
      <c r="AA779" s="799"/>
      <c r="AB779" s="799"/>
      <c r="AC779" s="799"/>
      <c r="AD779" s="799"/>
      <c r="AE779" s="799"/>
      <c r="AF779" s="799"/>
      <c r="AG779" s="799"/>
      <c r="AH779" s="799"/>
      <c r="AI779" s="799"/>
      <c r="AJ779" s="799"/>
      <c r="AK779" s="799"/>
      <c r="AL779" s="799"/>
      <c r="AM779" s="799"/>
      <c r="AN779" s="799"/>
      <c r="AO779" s="799"/>
      <c r="AP779" s="799"/>
      <c r="AQ779" s="799"/>
      <c r="AR779" s="799"/>
      <c r="AS779" s="799"/>
      <c r="AT779" s="799"/>
      <c r="AU779" s="799"/>
      <c r="AV779" s="799"/>
      <c r="AW779" s="799"/>
      <c r="AX779" s="799"/>
      <c r="AY779" s="799"/>
      <c r="AZ779" s="799"/>
      <c r="BA779" s="799"/>
      <c r="BB779" s="799"/>
      <c r="BC779" s="799"/>
      <c r="BD779" s="799"/>
      <c r="BE779" s="799"/>
      <c r="BF779" s="799"/>
      <c r="BG779" s="799"/>
    </row>
    <row r="780">
      <c r="H780" s="799"/>
      <c r="I780" s="799"/>
      <c r="J780" s="799"/>
      <c r="K780" s="799"/>
      <c r="L780" s="799"/>
      <c r="M780" s="799"/>
      <c r="N780" s="799"/>
      <c r="O780" s="799"/>
      <c r="P780" s="799"/>
      <c r="Q780" s="799"/>
      <c r="R780" s="799"/>
      <c r="S780" s="799"/>
      <c r="T780" s="799"/>
      <c r="U780" s="799"/>
      <c r="V780" s="799"/>
      <c r="W780" s="799"/>
      <c r="X780" s="799"/>
      <c r="Y780" s="799"/>
      <c r="Z780" s="799"/>
      <c r="AA780" s="799"/>
      <c r="AB780" s="799"/>
      <c r="AC780" s="799"/>
      <c r="AD780" s="799"/>
      <c r="AE780" s="799"/>
      <c r="AF780" s="799"/>
      <c r="AG780" s="799"/>
      <c r="AH780" s="799"/>
      <c r="AI780" s="799"/>
      <c r="AJ780" s="799"/>
      <c r="AK780" s="799"/>
      <c r="AL780" s="799"/>
      <c r="AM780" s="799"/>
      <c r="AN780" s="799"/>
      <c r="AO780" s="799"/>
      <c r="AP780" s="799"/>
      <c r="AQ780" s="799"/>
      <c r="AR780" s="799"/>
      <c r="AS780" s="799"/>
      <c r="AT780" s="799"/>
      <c r="AU780" s="799"/>
      <c r="AV780" s="799"/>
      <c r="AW780" s="799"/>
      <c r="AX780" s="799"/>
      <c r="AY780" s="799"/>
      <c r="AZ780" s="799"/>
      <c r="BA780" s="799"/>
      <c r="BB780" s="799"/>
      <c r="BC780" s="799"/>
      <c r="BD780" s="799"/>
      <c r="BE780" s="799"/>
      <c r="BF780" s="799"/>
      <c r="BG780" s="799"/>
    </row>
    <row r="781">
      <c r="H781" s="799"/>
      <c r="I781" s="799"/>
      <c r="J781" s="799"/>
      <c r="K781" s="799"/>
      <c r="L781" s="799"/>
      <c r="M781" s="799"/>
      <c r="N781" s="799"/>
      <c r="O781" s="799"/>
      <c r="P781" s="799"/>
      <c r="Q781" s="799"/>
      <c r="R781" s="799"/>
      <c r="S781" s="799"/>
      <c r="T781" s="799"/>
      <c r="U781" s="799"/>
      <c r="V781" s="799"/>
      <c r="W781" s="799"/>
      <c r="X781" s="799"/>
      <c r="Y781" s="799"/>
      <c r="Z781" s="799"/>
      <c r="AA781" s="799"/>
      <c r="AB781" s="799"/>
      <c r="AC781" s="799"/>
      <c r="AD781" s="799"/>
      <c r="AE781" s="799"/>
      <c r="AF781" s="799"/>
      <c r="AG781" s="799"/>
      <c r="AH781" s="799"/>
      <c r="AI781" s="799"/>
      <c r="AJ781" s="799"/>
      <c r="AK781" s="799"/>
      <c r="AL781" s="799"/>
      <c r="AM781" s="799"/>
      <c r="AN781" s="799"/>
      <c r="AO781" s="799"/>
      <c r="AP781" s="799"/>
      <c r="AQ781" s="799"/>
      <c r="AR781" s="799"/>
      <c r="AS781" s="799"/>
      <c r="AT781" s="799"/>
      <c r="AU781" s="799"/>
      <c r="AV781" s="799"/>
      <c r="AW781" s="799"/>
      <c r="AX781" s="799"/>
      <c r="AY781" s="799"/>
      <c r="AZ781" s="799"/>
      <c r="BA781" s="799"/>
      <c r="BB781" s="799"/>
      <c r="BC781" s="799"/>
      <c r="BD781" s="799"/>
      <c r="BE781" s="799"/>
      <c r="BF781" s="799"/>
      <c r="BG781" s="799"/>
    </row>
    <row r="782">
      <c r="H782" s="799"/>
      <c r="I782" s="799"/>
      <c r="J782" s="799"/>
      <c r="K782" s="799"/>
      <c r="L782" s="799"/>
      <c r="M782" s="799"/>
      <c r="N782" s="799"/>
      <c r="O782" s="799"/>
      <c r="P782" s="799"/>
      <c r="Q782" s="799"/>
      <c r="R782" s="799"/>
      <c r="S782" s="799"/>
      <c r="T782" s="799"/>
      <c r="U782" s="799"/>
      <c r="V782" s="799"/>
      <c r="W782" s="799"/>
      <c r="X782" s="799"/>
      <c r="Y782" s="799"/>
      <c r="Z782" s="799"/>
      <c r="AA782" s="799"/>
      <c r="AB782" s="799"/>
      <c r="AC782" s="799"/>
      <c r="AD782" s="799"/>
      <c r="AE782" s="799"/>
      <c r="AF782" s="799"/>
      <c r="AG782" s="799"/>
      <c r="AH782" s="799"/>
      <c r="AI782" s="799"/>
      <c r="AJ782" s="799"/>
      <c r="AK782" s="799"/>
      <c r="AL782" s="799"/>
      <c r="AM782" s="799"/>
      <c r="AN782" s="799"/>
      <c r="AO782" s="799"/>
      <c r="AP782" s="799"/>
      <c r="AQ782" s="799"/>
      <c r="AR782" s="799"/>
      <c r="AS782" s="799"/>
      <c r="AT782" s="799"/>
      <c r="AU782" s="799"/>
      <c r="AV782" s="799"/>
      <c r="AW782" s="799"/>
      <c r="AX782" s="799"/>
      <c r="AY782" s="799"/>
      <c r="AZ782" s="799"/>
      <c r="BA782" s="799"/>
      <c r="BB782" s="799"/>
      <c r="BC782" s="799"/>
      <c r="BD782" s="799"/>
      <c r="BE782" s="799"/>
      <c r="BF782" s="799"/>
      <c r="BG782" s="799"/>
    </row>
    <row r="783">
      <c r="H783" s="799"/>
      <c r="I783" s="799"/>
      <c r="J783" s="799"/>
      <c r="K783" s="799"/>
      <c r="L783" s="799"/>
      <c r="M783" s="799"/>
      <c r="N783" s="799"/>
      <c r="O783" s="799"/>
      <c r="P783" s="799"/>
      <c r="Q783" s="799"/>
      <c r="R783" s="799"/>
      <c r="S783" s="799"/>
      <c r="T783" s="799"/>
      <c r="U783" s="799"/>
      <c r="V783" s="799"/>
      <c r="W783" s="799"/>
      <c r="X783" s="799"/>
      <c r="Y783" s="799"/>
      <c r="Z783" s="799"/>
      <c r="AA783" s="799"/>
      <c r="AB783" s="799"/>
      <c r="AC783" s="799"/>
      <c r="AD783" s="799"/>
      <c r="AE783" s="799"/>
      <c r="AF783" s="799"/>
      <c r="AG783" s="799"/>
      <c r="AH783" s="799"/>
      <c r="AI783" s="799"/>
      <c r="AJ783" s="799"/>
      <c r="AK783" s="799"/>
      <c r="AL783" s="799"/>
      <c r="AM783" s="799"/>
      <c r="AN783" s="799"/>
      <c r="AO783" s="799"/>
      <c r="AP783" s="799"/>
      <c r="AQ783" s="799"/>
      <c r="AR783" s="799"/>
      <c r="AS783" s="799"/>
      <c r="AT783" s="799"/>
      <c r="AU783" s="799"/>
      <c r="AV783" s="799"/>
      <c r="AW783" s="799"/>
      <c r="AX783" s="799"/>
      <c r="AY783" s="799"/>
      <c r="AZ783" s="799"/>
      <c r="BA783" s="799"/>
      <c r="BB783" s="799"/>
      <c r="BC783" s="799"/>
      <c r="BD783" s="799"/>
      <c r="BE783" s="799"/>
      <c r="BF783" s="799"/>
      <c r="BG783" s="799"/>
    </row>
    <row r="784">
      <c r="H784" s="799"/>
      <c r="I784" s="799"/>
      <c r="J784" s="799"/>
      <c r="K784" s="799"/>
      <c r="L784" s="799"/>
      <c r="M784" s="799"/>
      <c r="N784" s="799"/>
      <c r="O784" s="799"/>
      <c r="P784" s="799"/>
      <c r="Q784" s="799"/>
      <c r="R784" s="799"/>
      <c r="S784" s="799"/>
      <c r="T784" s="799"/>
      <c r="U784" s="799"/>
      <c r="V784" s="799"/>
      <c r="W784" s="799"/>
      <c r="X784" s="799"/>
      <c r="Y784" s="799"/>
      <c r="Z784" s="799"/>
      <c r="AA784" s="799"/>
      <c r="AB784" s="799"/>
      <c r="AC784" s="799"/>
      <c r="AD784" s="799"/>
      <c r="AE784" s="799"/>
      <c r="AF784" s="799"/>
      <c r="AG784" s="799"/>
      <c r="AH784" s="799"/>
      <c r="AI784" s="799"/>
      <c r="AJ784" s="799"/>
      <c r="AK784" s="799"/>
      <c r="AL784" s="799"/>
      <c r="AM784" s="799"/>
      <c r="AN784" s="799"/>
      <c r="AO784" s="799"/>
      <c r="AP784" s="799"/>
      <c r="AQ784" s="799"/>
      <c r="AR784" s="799"/>
      <c r="AS784" s="799"/>
      <c r="AT784" s="799"/>
      <c r="AU784" s="799"/>
      <c r="AV784" s="799"/>
      <c r="AW784" s="799"/>
      <c r="AX784" s="799"/>
      <c r="AY784" s="799"/>
      <c r="AZ784" s="799"/>
      <c r="BA784" s="799"/>
      <c r="BB784" s="799"/>
      <c r="BC784" s="799"/>
      <c r="BD784" s="799"/>
      <c r="BE784" s="799"/>
      <c r="BF784" s="799"/>
      <c r="BG784" s="799"/>
    </row>
    <row r="785">
      <c r="H785" s="799"/>
      <c r="I785" s="799"/>
      <c r="J785" s="799"/>
      <c r="K785" s="799"/>
      <c r="L785" s="799"/>
      <c r="M785" s="799"/>
      <c r="N785" s="799"/>
      <c r="O785" s="799"/>
      <c r="P785" s="799"/>
      <c r="Q785" s="799"/>
      <c r="R785" s="799"/>
      <c r="S785" s="799"/>
      <c r="T785" s="799"/>
      <c r="U785" s="799"/>
      <c r="V785" s="799"/>
      <c r="W785" s="799"/>
      <c r="X785" s="799"/>
      <c r="Y785" s="799"/>
      <c r="Z785" s="799"/>
      <c r="AA785" s="799"/>
      <c r="AB785" s="799"/>
      <c r="AC785" s="799"/>
      <c r="AD785" s="799"/>
      <c r="AE785" s="799"/>
      <c r="AF785" s="799"/>
      <c r="AG785" s="799"/>
      <c r="AH785" s="799"/>
      <c r="AI785" s="799"/>
      <c r="AJ785" s="799"/>
      <c r="AK785" s="799"/>
      <c r="AL785" s="799"/>
      <c r="AM785" s="799"/>
      <c r="AN785" s="799"/>
      <c r="AO785" s="799"/>
      <c r="AP785" s="799"/>
      <c r="AQ785" s="799"/>
      <c r="AR785" s="799"/>
      <c r="AS785" s="799"/>
      <c r="AT785" s="799"/>
      <c r="AU785" s="799"/>
      <c r="AV785" s="799"/>
      <c r="AW785" s="799"/>
      <c r="AX785" s="799"/>
      <c r="AY785" s="799"/>
      <c r="AZ785" s="799"/>
      <c r="BA785" s="799"/>
      <c r="BB785" s="799"/>
      <c r="BC785" s="799"/>
      <c r="BD785" s="799"/>
      <c r="BE785" s="799"/>
      <c r="BF785" s="799"/>
      <c r="BG785" s="799"/>
    </row>
    <row r="786">
      <c r="H786" s="799"/>
      <c r="I786" s="799"/>
      <c r="J786" s="799"/>
      <c r="K786" s="799"/>
      <c r="L786" s="799"/>
      <c r="M786" s="799"/>
      <c r="N786" s="799"/>
      <c r="O786" s="799"/>
      <c r="P786" s="799"/>
      <c r="Q786" s="799"/>
      <c r="R786" s="799"/>
      <c r="S786" s="799"/>
      <c r="T786" s="799"/>
      <c r="U786" s="799"/>
      <c r="V786" s="799"/>
      <c r="W786" s="799"/>
      <c r="X786" s="799"/>
      <c r="Y786" s="799"/>
      <c r="Z786" s="799"/>
      <c r="AA786" s="799"/>
      <c r="AB786" s="799"/>
      <c r="AC786" s="799"/>
      <c r="AD786" s="799"/>
      <c r="AE786" s="799"/>
      <c r="AF786" s="799"/>
      <c r="AG786" s="799"/>
      <c r="AH786" s="799"/>
      <c r="AI786" s="799"/>
      <c r="AJ786" s="799"/>
      <c r="AK786" s="799"/>
      <c r="AL786" s="799"/>
      <c r="AM786" s="799"/>
      <c r="AN786" s="799"/>
      <c r="AO786" s="799"/>
      <c r="AP786" s="799"/>
      <c r="AQ786" s="799"/>
      <c r="AR786" s="799"/>
      <c r="AS786" s="799"/>
      <c r="AT786" s="799"/>
      <c r="AU786" s="799"/>
      <c r="AV786" s="799"/>
      <c r="AW786" s="799"/>
      <c r="AX786" s="799"/>
      <c r="AY786" s="799"/>
      <c r="AZ786" s="799"/>
      <c r="BA786" s="799"/>
      <c r="BB786" s="799"/>
      <c r="BC786" s="799"/>
      <c r="BD786" s="799"/>
      <c r="BE786" s="799"/>
      <c r="BF786" s="799"/>
      <c r="BG786" s="799"/>
    </row>
    <row r="787">
      <c r="H787" s="799"/>
      <c r="I787" s="799"/>
      <c r="J787" s="799"/>
      <c r="K787" s="799"/>
      <c r="L787" s="799"/>
      <c r="M787" s="799"/>
      <c r="N787" s="799"/>
      <c r="O787" s="799"/>
      <c r="P787" s="799"/>
      <c r="Q787" s="799"/>
      <c r="R787" s="799"/>
      <c r="S787" s="799"/>
      <c r="T787" s="799"/>
      <c r="U787" s="799"/>
      <c r="V787" s="799"/>
      <c r="W787" s="799"/>
      <c r="X787" s="799"/>
      <c r="Y787" s="799"/>
      <c r="Z787" s="799"/>
      <c r="AA787" s="799"/>
      <c r="AB787" s="799"/>
      <c r="AC787" s="799"/>
      <c r="AD787" s="799"/>
      <c r="AE787" s="799"/>
      <c r="AF787" s="799"/>
      <c r="AG787" s="799"/>
      <c r="AH787" s="799"/>
      <c r="AI787" s="799"/>
      <c r="AJ787" s="799"/>
      <c r="AK787" s="799"/>
      <c r="AL787" s="799"/>
      <c r="AM787" s="799"/>
      <c r="AN787" s="799"/>
      <c r="AO787" s="799"/>
      <c r="AP787" s="799"/>
      <c r="AQ787" s="799"/>
      <c r="AR787" s="799"/>
      <c r="AS787" s="799"/>
      <c r="AT787" s="799"/>
      <c r="AU787" s="799"/>
      <c r="AV787" s="799"/>
      <c r="AW787" s="799"/>
      <c r="AX787" s="799"/>
      <c r="AY787" s="799"/>
      <c r="AZ787" s="799"/>
      <c r="BA787" s="799"/>
      <c r="BB787" s="799"/>
      <c r="BC787" s="799"/>
      <c r="BD787" s="799"/>
      <c r="BE787" s="799"/>
      <c r="BF787" s="799"/>
      <c r="BG787" s="799"/>
    </row>
    <row r="788">
      <c r="H788" s="799"/>
      <c r="I788" s="799"/>
      <c r="J788" s="799"/>
      <c r="K788" s="799"/>
      <c r="L788" s="799"/>
      <c r="M788" s="799"/>
      <c r="N788" s="799"/>
      <c r="O788" s="799"/>
      <c r="P788" s="799"/>
      <c r="Q788" s="799"/>
      <c r="R788" s="799"/>
      <c r="S788" s="799"/>
      <c r="T788" s="799"/>
      <c r="U788" s="799"/>
      <c r="V788" s="799"/>
      <c r="W788" s="799"/>
      <c r="X788" s="799"/>
      <c r="Y788" s="799"/>
      <c r="Z788" s="799"/>
      <c r="AA788" s="799"/>
      <c r="AB788" s="799"/>
      <c r="AC788" s="799"/>
      <c r="AD788" s="799"/>
      <c r="AE788" s="799"/>
      <c r="AF788" s="799"/>
      <c r="AG788" s="799"/>
      <c r="AH788" s="799"/>
      <c r="AI788" s="799"/>
      <c r="AJ788" s="799"/>
      <c r="AK788" s="799"/>
      <c r="AL788" s="799"/>
      <c r="AM788" s="799"/>
      <c r="AN788" s="799"/>
      <c r="AO788" s="799"/>
      <c r="AP788" s="799"/>
      <c r="AQ788" s="799"/>
      <c r="AR788" s="799"/>
      <c r="AS788" s="799"/>
      <c r="AT788" s="799"/>
      <c r="AU788" s="799"/>
      <c r="AV788" s="799"/>
      <c r="AW788" s="799"/>
      <c r="AX788" s="799"/>
      <c r="AY788" s="799"/>
      <c r="AZ788" s="799"/>
      <c r="BA788" s="799"/>
      <c r="BB788" s="799"/>
      <c r="BC788" s="799"/>
      <c r="BD788" s="799"/>
      <c r="BE788" s="799"/>
      <c r="BF788" s="799"/>
      <c r="BG788" s="799"/>
    </row>
    <row r="789">
      <c r="H789" s="799"/>
      <c r="I789" s="799"/>
      <c r="J789" s="799"/>
      <c r="K789" s="799"/>
      <c r="L789" s="799"/>
      <c r="M789" s="799"/>
      <c r="N789" s="799"/>
      <c r="O789" s="799"/>
      <c r="P789" s="799"/>
      <c r="Q789" s="799"/>
      <c r="R789" s="799"/>
      <c r="S789" s="799"/>
      <c r="T789" s="799"/>
      <c r="U789" s="799"/>
      <c r="V789" s="799"/>
      <c r="W789" s="799"/>
      <c r="X789" s="799"/>
      <c r="Y789" s="799"/>
      <c r="Z789" s="799"/>
      <c r="AA789" s="799"/>
      <c r="AB789" s="799"/>
      <c r="AC789" s="799"/>
      <c r="AD789" s="799"/>
      <c r="AE789" s="799"/>
      <c r="AF789" s="799"/>
      <c r="AG789" s="799"/>
      <c r="AH789" s="799"/>
      <c r="AI789" s="799"/>
      <c r="AJ789" s="799"/>
      <c r="AK789" s="799"/>
      <c r="AL789" s="799"/>
      <c r="AM789" s="799"/>
      <c r="AN789" s="799"/>
      <c r="AO789" s="799"/>
      <c r="AP789" s="799"/>
      <c r="AQ789" s="799"/>
      <c r="AR789" s="799"/>
      <c r="AS789" s="799"/>
      <c r="AT789" s="799"/>
      <c r="AU789" s="799"/>
      <c r="AV789" s="799"/>
      <c r="AW789" s="799"/>
      <c r="AX789" s="799"/>
      <c r="AY789" s="799"/>
      <c r="AZ789" s="799"/>
      <c r="BA789" s="799"/>
      <c r="BB789" s="799"/>
      <c r="BC789" s="799"/>
      <c r="BD789" s="799"/>
      <c r="BE789" s="799"/>
      <c r="BF789" s="799"/>
      <c r="BG789" s="799"/>
    </row>
    <row r="790">
      <c r="H790" s="799"/>
      <c r="I790" s="799"/>
      <c r="J790" s="799"/>
      <c r="K790" s="799"/>
      <c r="L790" s="799"/>
      <c r="M790" s="799"/>
      <c r="N790" s="799"/>
      <c r="O790" s="799"/>
      <c r="P790" s="799"/>
      <c r="Q790" s="799"/>
      <c r="R790" s="799"/>
      <c r="S790" s="799"/>
      <c r="T790" s="799"/>
      <c r="U790" s="799"/>
      <c r="V790" s="799"/>
      <c r="W790" s="799"/>
      <c r="X790" s="799"/>
      <c r="Y790" s="799"/>
      <c r="Z790" s="799"/>
      <c r="AA790" s="799"/>
      <c r="AB790" s="799"/>
      <c r="AC790" s="799"/>
      <c r="AD790" s="799"/>
      <c r="AE790" s="799"/>
      <c r="AF790" s="799"/>
      <c r="AG790" s="799"/>
      <c r="AH790" s="799"/>
      <c r="AI790" s="799"/>
      <c r="AJ790" s="799"/>
      <c r="AK790" s="799"/>
      <c r="AL790" s="799"/>
      <c r="AM790" s="799"/>
      <c r="AN790" s="799"/>
      <c r="AO790" s="799"/>
      <c r="AP790" s="799"/>
      <c r="AQ790" s="799"/>
      <c r="AR790" s="799"/>
      <c r="AS790" s="799"/>
      <c r="AT790" s="799"/>
      <c r="AU790" s="799"/>
      <c r="AV790" s="799"/>
      <c r="AW790" s="799"/>
      <c r="AX790" s="799"/>
      <c r="AY790" s="799"/>
      <c r="AZ790" s="799"/>
      <c r="BA790" s="799"/>
      <c r="BB790" s="799"/>
      <c r="BC790" s="799"/>
      <c r="BD790" s="799"/>
      <c r="BE790" s="799"/>
      <c r="BF790" s="799"/>
      <c r="BG790" s="799"/>
    </row>
    <row r="791">
      <c r="H791" s="799"/>
      <c r="I791" s="799"/>
      <c r="J791" s="799"/>
      <c r="K791" s="799"/>
      <c r="L791" s="799"/>
      <c r="M791" s="799"/>
      <c r="N791" s="799"/>
      <c r="O791" s="799"/>
      <c r="P791" s="799"/>
      <c r="Q791" s="799"/>
      <c r="R791" s="799"/>
      <c r="S791" s="799"/>
      <c r="T791" s="799"/>
      <c r="U791" s="799"/>
      <c r="V791" s="799"/>
      <c r="W791" s="799"/>
      <c r="X791" s="799"/>
      <c r="Y791" s="799"/>
      <c r="Z791" s="799"/>
      <c r="AA791" s="799"/>
      <c r="AB791" s="799"/>
      <c r="AC791" s="799"/>
      <c r="AD791" s="799"/>
      <c r="AE791" s="799"/>
      <c r="AF791" s="799"/>
      <c r="AG791" s="799"/>
      <c r="AH791" s="799"/>
      <c r="AI791" s="799"/>
      <c r="AJ791" s="799"/>
      <c r="AK791" s="799"/>
      <c r="AL791" s="799"/>
      <c r="AM791" s="799"/>
      <c r="AN791" s="799"/>
      <c r="AO791" s="799"/>
      <c r="AP791" s="799"/>
      <c r="AQ791" s="799"/>
      <c r="AR791" s="799"/>
      <c r="AS791" s="799"/>
      <c r="AT791" s="799"/>
      <c r="AU791" s="799"/>
      <c r="AV791" s="799"/>
      <c r="AW791" s="799"/>
      <c r="AX791" s="799"/>
      <c r="AY791" s="799"/>
      <c r="AZ791" s="799"/>
      <c r="BA791" s="799"/>
      <c r="BB791" s="799"/>
      <c r="BC791" s="799"/>
      <c r="BD791" s="799"/>
      <c r="BE791" s="799"/>
      <c r="BF791" s="799"/>
      <c r="BG791" s="799"/>
    </row>
    <row r="792">
      <c r="H792" s="799"/>
      <c r="I792" s="799"/>
      <c r="J792" s="799"/>
      <c r="K792" s="799"/>
      <c r="L792" s="799"/>
      <c r="M792" s="799"/>
      <c r="N792" s="799"/>
      <c r="O792" s="799"/>
      <c r="P792" s="799"/>
      <c r="Q792" s="799"/>
      <c r="R792" s="799"/>
      <c r="S792" s="799"/>
      <c r="T792" s="799"/>
      <c r="U792" s="799"/>
      <c r="V792" s="799"/>
      <c r="W792" s="799"/>
      <c r="X792" s="799"/>
      <c r="Y792" s="799"/>
      <c r="Z792" s="799"/>
      <c r="AA792" s="799"/>
      <c r="AB792" s="799"/>
      <c r="AC792" s="799"/>
      <c r="AD792" s="799"/>
      <c r="AE792" s="799"/>
      <c r="AF792" s="799"/>
      <c r="AG792" s="799"/>
      <c r="AH792" s="799"/>
      <c r="AI792" s="799"/>
      <c r="AJ792" s="799"/>
      <c r="AK792" s="799"/>
      <c r="AL792" s="799"/>
      <c r="AM792" s="799"/>
      <c r="AN792" s="799"/>
      <c r="AO792" s="799"/>
      <c r="AP792" s="799"/>
      <c r="AQ792" s="799"/>
      <c r="AR792" s="799"/>
      <c r="AS792" s="799"/>
      <c r="AT792" s="799"/>
      <c r="AU792" s="799"/>
      <c r="AV792" s="799"/>
      <c r="AW792" s="799"/>
      <c r="AX792" s="799"/>
      <c r="AY792" s="799"/>
      <c r="AZ792" s="799"/>
      <c r="BA792" s="799"/>
      <c r="BB792" s="799"/>
      <c r="BC792" s="799"/>
      <c r="BD792" s="799"/>
      <c r="BE792" s="799"/>
      <c r="BF792" s="799"/>
      <c r="BG792" s="799"/>
    </row>
    <row r="793">
      <c r="H793" s="799"/>
      <c r="I793" s="799"/>
      <c r="J793" s="799"/>
      <c r="K793" s="799"/>
      <c r="L793" s="799"/>
      <c r="M793" s="799"/>
      <c r="N793" s="799"/>
      <c r="O793" s="799"/>
      <c r="P793" s="799"/>
      <c r="Q793" s="799"/>
      <c r="R793" s="799"/>
      <c r="S793" s="799"/>
      <c r="T793" s="799"/>
      <c r="U793" s="799"/>
      <c r="V793" s="799"/>
      <c r="W793" s="799"/>
      <c r="X793" s="799"/>
      <c r="Y793" s="799"/>
      <c r="Z793" s="799"/>
      <c r="AA793" s="799"/>
      <c r="AB793" s="799"/>
      <c r="AC793" s="799"/>
      <c r="AD793" s="799"/>
      <c r="AE793" s="799"/>
      <c r="AF793" s="799"/>
      <c r="AG793" s="799"/>
      <c r="AH793" s="799"/>
      <c r="AI793" s="799"/>
      <c r="AJ793" s="799"/>
      <c r="AK793" s="799"/>
      <c r="AL793" s="799"/>
      <c r="AM793" s="799"/>
      <c r="AN793" s="799"/>
      <c r="AO793" s="799"/>
      <c r="AP793" s="799"/>
      <c r="AQ793" s="799"/>
      <c r="AR793" s="799"/>
      <c r="AS793" s="799"/>
      <c r="AT793" s="799"/>
      <c r="AU793" s="799"/>
      <c r="AV793" s="799"/>
      <c r="AW793" s="799"/>
      <c r="AX793" s="799"/>
      <c r="AY793" s="799"/>
      <c r="AZ793" s="799"/>
      <c r="BA793" s="799"/>
      <c r="BB793" s="799"/>
      <c r="BC793" s="799"/>
      <c r="BD793" s="799"/>
      <c r="BE793" s="799"/>
      <c r="BF793" s="799"/>
      <c r="BG793" s="799"/>
    </row>
    <row r="794">
      <c r="H794" s="799"/>
      <c r="I794" s="799"/>
      <c r="J794" s="799"/>
      <c r="K794" s="799"/>
      <c r="L794" s="799"/>
      <c r="M794" s="799"/>
      <c r="N794" s="799"/>
      <c r="O794" s="799"/>
      <c r="P794" s="799"/>
      <c r="Q794" s="799"/>
      <c r="R794" s="799"/>
      <c r="S794" s="799"/>
      <c r="T794" s="799"/>
      <c r="U794" s="799"/>
      <c r="V794" s="799"/>
      <c r="W794" s="799"/>
      <c r="X794" s="799"/>
      <c r="Y794" s="799"/>
      <c r="Z794" s="799"/>
      <c r="AA794" s="799"/>
      <c r="AB794" s="799"/>
      <c r="AC794" s="799"/>
      <c r="AD794" s="799"/>
      <c r="AE794" s="799"/>
      <c r="AF794" s="799"/>
      <c r="AG794" s="799"/>
      <c r="AH794" s="799"/>
      <c r="AI794" s="799"/>
      <c r="AJ794" s="799"/>
      <c r="AK794" s="799"/>
      <c r="AL794" s="799"/>
      <c r="AM794" s="799"/>
      <c r="AN794" s="799"/>
      <c r="AO794" s="799"/>
      <c r="AP794" s="799"/>
      <c r="AQ794" s="799"/>
      <c r="AR794" s="799"/>
      <c r="AS794" s="799"/>
      <c r="AT794" s="799"/>
      <c r="AU794" s="799"/>
      <c r="AV794" s="799"/>
      <c r="AW794" s="799"/>
      <c r="AX794" s="799"/>
      <c r="AY794" s="799"/>
      <c r="AZ794" s="799"/>
      <c r="BA794" s="799"/>
      <c r="BB794" s="799"/>
      <c r="BC794" s="799"/>
      <c r="BD794" s="799"/>
      <c r="BE794" s="799"/>
      <c r="BF794" s="799"/>
      <c r="BG794" s="799"/>
    </row>
    <row r="795">
      <c r="H795" s="799"/>
      <c r="I795" s="799"/>
      <c r="J795" s="799"/>
      <c r="K795" s="799"/>
      <c r="L795" s="799"/>
      <c r="M795" s="799"/>
      <c r="N795" s="799"/>
      <c r="O795" s="799"/>
      <c r="P795" s="799"/>
      <c r="Q795" s="799"/>
      <c r="R795" s="799"/>
      <c r="S795" s="799"/>
      <c r="T795" s="799"/>
      <c r="U795" s="799"/>
      <c r="V795" s="799"/>
      <c r="W795" s="799"/>
      <c r="X795" s="799"/>
      <c r="Y795" s="799"/>
      <c r="Z795" s="799"/>
      <c r="AA795" s="799"/>
      <c r="AB795" s="799"/>
      <c r="AC795" s="799"/>
      <c r="AD795" s="799"/>
      <c r="AE795" s="799"/>
      <c r="AF795" s="799"/>
      <c r="AG795" s="799"/>
      <c r="AH795" s="799"/>
      <c r="AI795" s="799"/>
      <c r="AJ795" s="799"/>
      <c r="AK795" s="799"/>
      <c r="AL795" s="799"/>
      <c r="AM795" s="799"/>
      <c r="AN795" s="799"/>
      <c r="AO795" s="799"/>
      <c r="AP795" s="799"/>
      <c r="AQ795" s="799"/>
      <c r="AR795" s="799"/>
      <c r="AS795" s="799"/>
      <c r="AT795" s="799"/>
      <c r="AU795" s="799"/>
      <c r="AV795" s="799"/>
      <c r="AW795" s="799"/>
      <c r="AX795" s="799"/>
      <c r="AY795" s="799"/>
      <c r="AZ795" s="799"/>
      <c r="BA795" s="799"/>
      <c r="BB795" s="799"/>
      <c r="BC795" s="799"/>
      <c r="BD795" s="799"/>
      <c r="BE795" s="799"/>
      <c r="BF795" s="799"/>
      <c r="BG795" s="799"/>
    </row>
    <row r="796">
      <c r="H796" s="799"/>
      <c r="I796" s="799"/>
      <c r="J796" s="799"/>
      <c r="K796" s="799"/>
      <c r="L796" s="799"/>
      <c r="M796" s="799"/>
      <c r="N796" s="799"/>
      <c r="O796" s="799"/>
      <c r="P796" s="799"/>
      <c r="Q796" s="799"/>
      <c r="R796" s="799"/>
      <c r="S796" s="799"/>
      <c r="T796" s="799"/>
      <c r="U796" s="799"/>
      <c r="V796" s="799"/>
      <c r="W796" s="799"/>
      <c r="X796" s="799"/>
      <c r="Y796" s="799"/>
      <c r="Z796" s="799"/>
      <c r="AA796" s="799"/>
      <c r="AB796" s="799"/>
      <c r="AC796" s="799"/>
      <c r="AD796" s="799"/>
      <c r="AE796" s="799"/>
      <c r="AF796" s="799"/>
      <c r="AG796" s="799"/>
      <c r="AH796" s="799"/>
      <c r="AI796" s="799"/>
      <c r="AJ796" s="799"/>
      <c r="AK796" s="799"/>
      <c r="AL796" s="799"/>
      <c r="AM796" s="799"/>
      <c r="AN796" s="799"/>
      <c r="AO796" s="799"/>
      <c r="AP796" s="799"/>
      <c r="AQ796" s="799"/>
      <c r="AR796" s="799"/>
      <c r="AS796" s="799"/>
      <c r="AT796" s="799"/>
      <c r="AU796" s="799"/>
      <c r="AV796" s="799"/>
      <c r="AW796" s="799"/>
      <c r="AX796" s="799"/>
      <c r="AY796" s="799"/>
      <c r="AZ796" s="799"/>
      <c r="BA796" s="799"/>
      <c r="BB796" s="799"/>
      <c r="BC796" s="799"/>
      <c r="BD796" s="799"/>
      <c r="BE796" s="799"/>
      <c r="BF796" s="799"/>
      <c r="BG796" s="799"/>
    </row>
    <row r="797">
      <c r="H797" s="799"/>
      <c r="I797" s="799"/>
      <c r="J797" s="799"/>
      <c r="K797" s="799"/>
      <c r="L797" s="799"/>
      <c r="M797" s="799"/>
      <c r="N797" s="799"/>
      <c r="O797" s="799"/>
      <c r="P797" s="799"/>
      <c r="Q797" s="799"/>
      <c r="R797" s="799"/>
      <c r="S797" s="799"/>
      <c r="T797" s="799"/>
      <c r="U797" s="799"/>
      <c r="V797" s="799"/>
      <c r="W797" s="799"/>
      <c r="X797" s="799"/>
      <c r="Y797" s="799"/>
      <c r="Z797" s="799"/>
      <c r="AA797" s="799"/>
      <c r="AB797" s="799"/>
      <c r="AC797" s="799"/>
      <c r="AD797" s="799"/>
      <c r="AE797" s="799"/>
      <c r="AF797" s="799"/>
      <c r="AG797" s="799"/>
      <c r="AH797" s="799"/>
      <c r="AI797" s="799"/>
      <c r="AJ797" s="799"/>
      <c r="AK797" s="799"/>
      <c r="AL797" s="799"/>
      <c r="AM797" s="799"/>
      <c r="AN797" s="799"/>
      <c r="AO797" s="799"/>
      <c r="AP797" s="799"/>
      <c r="AQ797" s="799"/>
      <c r="AR797" s="799"/>
      <c r="AS797" s="799"/>
      <c r="AT797" s="799"/>
      <c r="AU797" s="799"/>
      <c r="AV797" s="799"/>
      <c r="AW797" s="799"/>
      <c r="AX797" s="799"/>
      <c r="AY797" s="799"/>
      <c r="AZ797" s="799"/>
      <c r="BA797" s="799"/>
      <c r="BB797" s="799"/>
      <c r="BC797" s="799"/>
      <c r="BD797" s="799"/>
      <c r="BE797" s="799"/>
      <c r="BF797" s="799"/>
      <c r="BG797" s="799"/>
    </row>
    <row r="798">
      <c r="H798" s="799"/>
      <c r="I798" s="799"/>
      <c r="J798" s="799"/>
      <c r="K798" s="799"/>
      <c r="L798" s="799"/>
      <c r="M798" s="799"/>
      <c r="N798" s="799"/>
      <c r="O798" s="799"/>
      <c r="P798" s="799"/>
      <c r="Q798" s="799"/>
      <c r="R798" s="799"/>
      <c r="S798" s="799"/>
      <c r="T798" s="799"/>
      <c r="U798" s="799"/>
      <c r="V798" s="799"/>
      <c r="W798" s="799"/>
      <c r="X798" s="799"/>
      <c r="Y798" s="799"/>
      <c r="Z798" s="799"/>
      <c r="AA798" s="799"/>
      <c r="AB798" s="799"/>
      <c r="AC798" s="799"/>
      <c r="AD798" s="799"/>
      <c r="AE798" s="799"/>
      <c r="AF798" s="799"/>
      <c r="AG798" s="799"/>
      <c r="AH798" s="799"/>
      <c r="AI798" s="799"/>
      <c r="AJ798" s="799"/>
      <c r="AK798" s="799"/>
      <c r="AL798" s="799"/>
      <c r="AM798" s="799"/>
      <c r="AN798" s="799"/>
      <c r="AO798" s="799"/>
      <c r="AP798" s="799"/>
      <c r="AQ798" s="799"/>
      <c r="AR798" s="799"/>
      <c r="AS798" s="799"/>
      <c r="AT798" s="799"/>
      <c r="AU798" s="799"/>
      <c r="AV798" s="799"/>
      <c r="AW798" s="799"/>
      <c r="AX798" s="799"/>
      <c r="AY798" s="799"/>
      <c r="AZ798" s="799"/>
      <c r="BA798" s="799"/>
      <c r="BB798" s="799"/>
      <c r="BC798" s="799"/>
      <c r="BD798" s="799"/>
      <c r="BE798" s="799"/>
      <c r="BF798" s="799"/>
      <c r="BG798" s="799"/>
    </row>
    <row r="799">
      <c r="H799" s="799"/>
      <c r="I799" s="799"/>
      <c r="J799" s="799"/>
      <c r="K799" s="799"/>
      <c r="L799" s="799"/>
      <c r="M799" s="799"/>
      <c r="N799" s="799"/>
      <c r="O799" s="799"/>
      <c r="P799" s="799"/>
      <c r="Q799" s="799"/>
      <c r="R799" s="799"/>
      <c r="S799" s="799"/>
      <c r="T799" s="799"/>
      <c r="U799" s="799"/>
      <c r="V799" s="799"/>
      <c r="W799" s="799"/>
      <c r="X799" s="799"/>
      <c r="Y799" s="799"/>
      <c r="Z799" s="799"/>
      <c r="AA799" s="799"/>
      <c r="AB799" s="799"/>
      <c r="AC799" s="799"/>
      <c r="AD799" s="799"/>
      <c r="AE799" s="799"/>
      <c r="AF799" s="799"/>
      <c r="AG799" s="799"/>
      <c r="AH799" s="799"/>
      <c r="AI799" s="799"/>
      <c r="AJ799" s="799"/>
      <c r="AK799" s="799"/>
      <c r="AL799" s="799"/>
      <c r="AM799" s="799"/>
      <c r="AN799" s="799"/>
      <c r="AO799" s="799"/>
      <c r="AP799" s="799"/>
      <c r="AQ799" s="799"/>
      <c r="AR799" s="799"/>
      <c r="AS799" s="799"/>
      <c r="AT799" s="799"/>
      <c r="AU799" s="799"/>
      <c r="AV799" s="799"/>
      <c r="AW799" s="799"/>
      <c r="AX799" s="799"/>
      <c r="AY799" s="799"/>
      <c r="AZ799" s="799"/>
      <c r="BA799" s="799"/>
      <c r="BB799" s="799"/>
      <c r="BC799" s="799"/>
      <c r="BD799" s="799"/>
      <c r="BE799" s="799"/>
      <c r="BF799" s="799"/>
      <c r="BG799" s="799"/>
    </row>
    <row r="800">
      <c r="H800" s="799"/>
      <c r="I800" s="799"/>
      <c r="J800" s="799"/>
      <c r="K800" s="799"/>
      <c r="L800" s="799"/>
      <c r="M800" s="799"/>
      <c r="N800" s="799"/>
      <c r="O800" s="799"/>
      <c r="P800" s="799"/>
      <c r="Q800" s="799"/>
      <c r="R800" s="799"/>
      <c r="S800" s="799"/>
      <c r="T800" s="799"/>
      <c r="U800" s="799"/>
      <c r="V800" s="799"/>
      <c r="W800" s="799"/>
      <c r="X800" s="799"/>
      <c r="Y800" s="799"/>
      <c r="Z800" s="799"/>
      <c r="AA800" s="799"/>
      <c r="AB800" s="799"/>
      <c r="AC800" s="799"/>
      <c r="AD800" s="799"/>
      <c r="AE800" s="799"/>
      <c r="AF800" s="799"/>
      <c r="AG800" s="799"/>
      <c r="AH800" s="799"/>
      <c r="AI800" s="799"/>
      <c r="AJ800" s="799"/>
      <c r="AK800" s="799"/>
      <c r="AL800" s="799"/>
      <c r="AM800" s="799"/>
      <c r="AN800" s="799"/>
      <c r="AO800" s="799"/>
      <c r="AP800" s="799"/>
      <c r="AQ800" s="799"/>
      <c r="AR800" s="799"/>
      <c r="AS800" s="799"/>
      <c r="AT800" s="799"/>
      <c r="AU800" s="799"/>
      <c r="AV800" s="799"/>
      <c r="AW800" s="799"/>
      <c r="AX800" s="799"/>
      <c r="AY800" s="799"/>
      <c r="AZ800" s="799"/>
      <c r="BA800" s="799"/>
      <c r="BB800" s="799"/>
      <c r="BC800" s="799"/>
      <c r="BD800" s="799"/>
      <c r="BE800" s="799"/>
      <c r="BF800" s="799"/>
      <c r="BG800" s="799"/>
    </row>
    <row r="801">
      <c r="H801" s="799"/>
      <c r="I801" s="799"/>
      <c r="J801" s="799"/>
      <c r="K801" s="799"/>
      <c r="L801" s="799"/>
      <c r="M801" s="799"/>
      <c r="N801" s="799"/>
      <c r="O801" s="799"/>
      <c r="P801" s="799"/>
      <c r="Q801" s="799"/>
      <c r="R801" s="799"/>
      <c r="S801" s="799"/>
      <c r="T801" s="799"/>
      <c r="U801" s="799"/>
      <c r="V801" s="799"/>
      <c r="W801" s="799"/>
      <c r="X801" s="799"/>
      <c r="Y801" s="799"/>
      <c r="Z801" s="799"/>
      <c r="AA801" s="799"/>
      <c r="AB801" s="799"/>
      <c r="AC801" s="799"/>
      <c r="AD801" s="799"/>
      <c r="AE801" s="799"/>
      <c r="AF801" s="799"/>
      <c r="AG801" s="799"/>
      <c r="AH801" s="799"/>
      <c r="AI801" s="799"/>
      <c r="AJ801" s="799"/>
      <c r="AK801" s="799"/>
      <c r="AL801" s="799"/>
      <c r="AM801" s="799"/>
      <c r="AN801" s="799"/>
      <c r="AO801" s="799"/>
      <c r="AP801" s="799"/>
      <c r="AQ801" s="799"/>
      <c r="AR801" s="799"/>
      <c r="AS801" s="799"/>
      <c r="AT801" s="799"/>
      <c r="AU801" s="799"/>
      <c r="AV801" s="799"/>
      <c r="AW801" s="799"/>
      <c r="AX801" s="799"/>
      <c r="AY801" s="799"/>
      <c r="AZ801" s="799"/>
      <c r="BA801" s="799"/>
      <c r="BB801" s="799"/>
      <c r="BC801" s="799"/>
      <c r="BD801" s="799"/>
      <c r="BE801" s="799"/>
      <c r="BF801" s="799"/>
      <c r="BG801" s="799"/>
    </row>
    <row r="802">
      <c r="H802" s="799"/>
      <c r="I802" s="799"/>
      <c r="J802" s="799"/>
      <c r="K802" s="799"/>
      <c r="L802" s="799"/>
      <c r="M802" s="799"/>
      <c r="N802" s="799"/>
      <c r="O802" s="799"/>
      <c r="P802" s="799"/>
      <c r="Q802" s="799"/>
      <c r="R802" s="799"/>
      <c r="S802" s="799"/>
      <c r="T802" s="799"/>
      <c r="U802" s="799"/>
      <c r="V802" s="799"/>
      <c r="W802" s="799"/>
      <c r="X802" s="799"/>
      <c r="Y802" s="799"/>
      <c r="Z802" s="799"/>
      <c r="AA802" s="799"/>
      <c r="AB802" s="799"/>
      <c r="AC802" s="799"/>
      <c r="AD802" s="799"/>
      <c r="AE802" s="799"/>
      <c r="AF802" s="799"/>
      <c r="AG802" s="799"/>
      <c r="AH802" s="799"/>
      <c r="AI802" s="799"/>
      <c r="AJ802" s="799"/>
      <c r="AK802" s="799"/>
      <c r="AL802" s="799"/>
      <c r="AM802" s="799"/>
      <c r="AN802" s="799"/>
      <c r="AO802" s="799"/>
      <c r="AP802" s="799"/>
      <c r="AQ802" s="799"/>
      <c r="AR802" s="799"/>
      <c r="AS802" s="799"/>
      <c r="AT802" s="799"/>
      <c r="AU802" s="799"/>
      <c r="AV802" s="799"/>
      <c r="AW802" s="799"/>
      <c r="AX802" s="799"/>
      <c r="AY802" s="799"/>
      <c r="AZ802" s="799"/>
      <c r="BA802" s="799"/>
      <c r="BB802" s="799"/>
      <c r="BC802" s="799"/>
      <c r="BD802" s="799"/>
      <c r="BE802" s="799"/>
      <c r="BF802" s="799"/>
      <c r="BG802" s="799"/>
    </row>
    <row r="803">
      <c r="H803" s="799"/>
      <c r="I803" s="799"/>
      <c r="J803" s="799"/>
      <c r="K803" s="799"/>
      <c r="L803" s="799"/>
      <c r="M803" s="799"/>
      <c r="N803" s="799"/>
      <c r="O803" s="799"/>
      <c r="P803" s="799"/>
      <c r="Q803" s="799"/>
      <c r="R803" s="799"/>
      <c r="S803" s="799"/>
      <c r="T803" s="799"/>
      <c r="U803" s="799"/>
      <c r="V803" s="799"/>
      <c r="W803" s="799"/>
      <c r="X803" s="799"/>
      <c r="Y803" s="799"/>
      <c r="Z803" s="799"/>
      <c r="AA803" s="799"/>
      <c r="AB803" s="799"/>
      <c r="AC803" s="799"/>
      <c r="AD803" s="799"/>
      <c r="AE803" s="799"/>
      <c r="AF803" s="799"/>
      <c r="AG803" s="799"/>
      <c r="AH803" s="799"/>
      <c r="AI803" s="799"/>
      <c r="AJ803" s="799"/>
      <c r="AK803" s="799"/>
      <c r="AL803" s="799"/>
      <c r="AM803" s="799"/>
      <c r="AN803" s="799"/>
      <c r="AO803" s="799"/>
      <c r="AP803" s="799"/>
      <c r="AQ803" s="799"/>
      <c r="AR803" s="799"/>
      <c r="AS803" s="799"/>
      <c r="AT803" s="799"/>
      <c r="AU803" s="799"/>
      <c r="AV803" s="799"/>
      <c r="AW803" s="799"/>
      <c r="AX803" s="799"/>
      <c r="AY803" s="799"/>
      <c r="AZ803" s="799"/>
      <c r="BA803" s="799"/>
      <c r="BB803" s="799"/>
      <c r="BC803" s="799"/>
      <c r="BD803" s="799"/>
      <c r="BE803" s="799"/>
      <c r="BF803" s="799"/>
      <c r="BG803" s="799"/>
    </row>
    <row r="804">
      <c r="H804" s="799"/>
      <c r="I804" s="799"/>
      <c r="J804" s="799"/>
      <c r="K804" s="799"/>
      <c r="L804" s="799"/>
      <c r="M804" s="799"/>
      <c r="N804" s="799"/>
      <c r="O804" s="799"/>
      <c r="P804" s="799"/>
      <c r="Q804" s="799"/>
      <c r="R804" s="799"/>
      <c r="S804" s="799"/>
      <c r="T804" s="799"/>
      <c r="U804" s="799"/>
      <c r="V804" s="799"/>
      <c r="W804" s="799"/>
      <c r="X804" s="799"/>
      <c r="Y804" s="799"/>
      <c r="Z804" s="799"/>
      <c r="AA804" s="799"/>
      <c r="AB804" s="799"/>
      <c r="AC804" s="799"/>
      <c r="AD804" s="799"/>
      <c r="AE804" s="799"/>
      <c r="AF804" s="799"/>
      <c r="AG804" s="799"/>
      <c r="AH804" s="799"/>
      <c r="AI804" s="799"/>
      <c r="AJ804" s="799"/>
      <c r="AK804" s="799"/>
      <c r="AL804" s="799"/>
      <c r="AM804" s="799"/>
      <c r="AN804" s="799"/>
      <c r="AO804" s="799"/>
      <c r="AP804" s="799"/>
      <c r="AQ804" s="799"/>
      <c r="AR804" s="799"/>
      <c r="AS804" s="799"/>
      <c r="AT804" s="799"/>
      <c r="AU804" s="799"/>
      <c r="AV804" s="799"/>
      <c r="AW804" s="799"/>
      <c r="AX804" s="799"/>
      <c r="AY804" s="799"/>
      <c r="AZ804" s="799"/>
      <c r="BA804" s="799"/>
      <c r="BB804" s="799"/>
      <c r="BC804" s="799"/>
      <c r="BD804" s="799"/>
      <c r="BE804" s="799"/>
      <c r="BF804" s="799"/>
      <c r="BG804" s="799"/>
    </row>
    <row r="805">
      <c r="H805" s="799"/>
      <c r="I805" s="799"/>
      <c r="J805" s="799"/>
      <c r="K805" s="799"/>
      <c r="L805" s="799"/>
      <c r="M805" s="799"/>
      <c r="N805" s="799"/>
      <c r="O805" s="799"/>
      <c r="P805" s="799"/>
      <c r="Q805" s="799"/>
      <c r="R805" s="799"/>
      <c r="S805" s="799"/>
      <c r="T805" s="799"/>
      <c r="U805" s="799"/>
      <c r="V805" s="799"/>
      <c r="W805" s="799"/>
      <c r="X805" s="799"/>
      <c r="Y805" s="799"/>
      <c r="Z805" s="799"/>
      <c r="AA805" s="799"/>
      <c r="AB805" s="799"/>
      <c r="AC805" s="799"/>
      <c r="AD805" s="799"/>
      <c r="AE805" s="799"/>
      <c r="AF805" s="799"/>
      <c r="AG805" s="799"/>
      <c r="AH805" s="799"/>
      <c r="AI805" s="799"/>
      <c r="AJ805" s="799"/>
      <c r="AK805" s="799"/>
      <c r="AL805" s="799"/>
      <c r="AM805" s="799"/>
      <c r="AN805" s="799"/>
      <c r="AO805" s="799"/>
      <c r="AP805" s="799"/>
      <c r="AQ805" s="799"/>
      <c r="AR805" s="799"/>
      <c r="AS805" s="799"/>
      <c r="AT805" s="799"/>
      <c r="AU805" s="799"/>
      <c r="AV805" s="799"/>
      <c r="AW805" s="799"/>
      <c r="AX805" s="799"/>
      <c r="AY805" s="799"/>
      <c r="AZ805" s="799"/>
      <c r="BA805" s="799"/>
      <c r="BB805" s="799"/>
      <c r="BC805" s="799"/>
      <c r="BD805" s="799"/>
      <c r="BE805" s="799"/>
      <c r="BF805" s="799"/>
      <c r="BG805" s="799"/>
    </row>
    <row r="806">
      <c r="H806" s="799"/>
      <c r="I806" s="799"/>
      <c r="J806" s="799"/>
      <c r="K806" s="799"/>
      <c r="L806" s="799"/>
      <c r="M806" s="799"/>
      <c r="N806" s="799"/>
      <c r="O806" s="799"/>
      <c r="P806" s="799"/>
      <c r="Q806" s="799"/>
      <c r="R806" s="799"/>
      <c r="S806" s="799"/>
      <c r="T806" s="799"/>
      <c r="U806" s="799"/>
      <c r="V806" s="799"/>
      <c r="W806" s="799"/>
      <c r="X806" s="799"/>
      <c r="Y806" s="799"/>
      <c r="Z806" s="799"/>
      <c r="AA806" s="799"/>
      <c r="AB806" s="799"/>
      <c r="AC806" s="799"/>
      <c r="AD806" s="799"/>
      <c r="AE806" s="799"/>
      <c r="AF806" s="799"/>
      <c r="AG806" s="799"/>
      <c r="AH806" s="799"/>
      <c r="AI806" s="799"/>
      <c r="AJ806" s="799"/>
      <c r="AK806" s="799"/>
      <c r="AL806" s="799"/>
      <c r="AM806" s="799"/>
      <c r="AN806" s="799"/>
      <c r="AO806" s="799"/>
      <c r="AP806" s="799"/>
      <c r="AQ806" s="799"/>
      <c r="AR806" s="799"/>
      <c r="AS806" s="799"/>
      <c r="AT806" s="799"/>
      <c r="AU806" s="799"/>
      <c r="AV806" s="799"/>
      <c r="AW806" s="799"/>
      <c r="AX806" s="799"/>
      <c r="AY806" s="799"/>
      <c r="AZ806" s="799"/>
      <c r="BA806" s="799"/>
      <c r="BB806" s="799"/>
      <c r="BC806" s="799"/>
      <c r="BD806" s="799"/>
      <c r="BE806" s="799"/>
      <c r="BF806" s="799"/>
      <c r="BG806" s="799"/>
    </row>
    <row r="807">
      <c r="H807" s="799"/>
      <c r="I807" s="799"/>
      <c r="J807" s="799"/>
      <c r="K807" s="799"/>
      <c r="L807" s="799"/>
      <c r="M807" s="799"/>
      <c r="N807" s="799"/>
      <c r="O807" s="799"/>
      <c r="P807" s="799"/>
      <c r="Q807" s="799"/>
      <c r="R807" s="799"/>
      <c r="S807" s="799"/>
      <c r="T807" s="799"/>
      <c r="U807" s="799"/>
      <c r="V807" s="799"/>
      <c r="W807" s="799"/>
      <c r="X807" s="799"/>
      <c r="Y807" s="799"/>
      <c r="Z807" s="799"/>
      <c r="AA807" s="799"/>
      <c r="AB807" s="799"/>
      <c r="AC807" s="799"/>
      <c r="AD807" s="799"/>
      <c r="AE807" s="799"/>
      <c r="AF807" s="799"/>
      <c r="AG807" s="799"/>
      <c r="AH807" s="799"/>
      <c r="AI807" s="799"/>
      <c r="AJ807" s="799"/>
      <c r="AK807" s="799"/>
      <c r="AL807" s="799"/>
      <c r="AM807" s="799"/>
      <c r="AN807" s="799"/>
      <c r="AO807" s="799"/>
      <c r="AP807" s="799"/>
      <c r="AQ807" s="799"/>
      <c r="AR807" s="799"/>
      <c r="AS807" s="799"/>
      <c r="AT807" s="799"/>
      <c r="AU807" s="799"/>
      <c r="AV807" s="799"/>
      <c r="AW807" s="799"/>
      <c r="AX807" s="799"/>
      <c r="AY807" s="799"/>
      <c r="AZ807" s="799"/>
      <c r="BA807" s="799"/>
      <c r="BB807" s="799"/>
      <c r="BC807" s="799"/>
      <c r="BD807" s="799"/>
      <c r="BE807" s="799"/>
      <c r="BF807" s="799"/>
      <c r="BG807" s="799"/>
    </row>
    <row r="808">
      <c r="H808" s="799"/>
      <c r="I808" s="799"/>
      <c r="J808" s="799"/>
      <c r="K808" s="799"/>
      <c r="L808" s="799"/>
      <c r="M808" s="799"/>
      <c r="N808" s="799"/>
      <c r="O808" s="799"/>
      <c r="P808" s="799"/>
      <c r="Q808" s="799"/>
      <c r="R808" s="799"/>
      <c r="S808" s="799"/>
      <c r="T808" s="799"/>
      <c r="U808" s="799"/>
      <c r="V808" s="799"/>
      <c r="W808" s="799"/>
      <c r="X808" s="799"/>
      <c r="Y808" s="799"/>
      <c r="Z808" s="799"/>
      <c r="AA808" s="799"/>
      <c r="AB808" s="799"/>
      <c r="AC808" s="799"/>
      <c r="AD808" s="799"/>
      <c r="AE808" s="799"/>
      <c r="AF808" s="799"/>
      <c r="AG808" s="799"/>
      <c r="AH808" s="799"/>
      <c r="AI808" s="799"/>
      <c r="AJ808" s="799"/>
      <c r="AK808" s="799"/>
      <c r="AL808" s="799"/>
      <c r="AM808" s="799"/>
      <c r="AN808" s="799"/>
      <c r="AO808" s="799"/>
      <c r="AP808" s="799"/>
      <c r="AQ808" s="799"/>
      <c r="AR808" s="799"/>
      <c r="AS808" s="799"/>
      <c r="AT808" s="799"/>
      <c r="AU808" s="799"/>
      <c r="AV808" s="799"/>
      <c r="AW808" s="799"/>
      <c r="AX808" s="799"/>
      <c r="AY808" s="799"/>
      <c r="AZ808" s="799"/>
      <c r="BA808" s="799"/>
      <c r="BB808" s="799"/>
      <c r="BC808" s="799"/>
      <c r="BD808" s="799"/>
      <c r="BE808" s="799"/>
      <c r="BF808" s="799"/>
      <c r="BG808" s="799"/>
    </row>
    <row r="809">
      <c r="H809" s="799"/>
      <c r="I809" s="799"/>
      <c r="J809" s="799"/>
      <c r="K809" s="799"/>
      <c r="L809" s="799"/>
      <c r="M809" s="799"/>
      <c r="N809" s="799"/>
      <c r="O809" s="799"/>
      <c r="P809" s="799"/>
      <c r="Q809" s="799"/>
      <c r="R809" s="799"/>
      <c r="S809" s="799"/>
      <c r="T809" s="799"/>
      <c r="U809" s="799"/>
      <c r="V809" s="799"/>
      <c r="W809" s="799"/>
      <c r="X809" s="799"/>
      <c r="Y809" s="799"/>
      <c r="Z809" s="799"/>
      <c r="AA809" s="799"/>
      <c r="AB809" s="799"/>
      <c r="AC809" s="799"/>
      <c r="AD809" s="799"/>
      <c r="AE809" s="799"/>
      <c r="AF809" s="799"/>
      <c r="AG809" s="799"/>
      <c r="AH809" s="799"/>
      <c r="AI809" s="799"/>
      <c r="AJ809" s="799"/>
      <c r="AK809" s="799"/>
      <c r="AL809" s="799"/>
      <c r="AM809" s="799"/>
      <c r="AN809" s="799"/>
      <c r="AO809" s="799"/>
      <c r="AP809" s="799"/>
      <c r="AQ809" s="799"/>
      <c r="AR809" s="799"/>
      <c r="AS809" s="799"/>
      <c r="AT809" s="799"/>
      <c r="AU809" s="799"/>
      <c r="AV809" s="799"/>
      <c r="AW809" s="799"/>
      <c r="AX809" s="799"/>
      <c r="AY809" s="799"/>
      <c r="AZ809" s="799"/>
      <c r="BA809" s="799"/>
      <c r="BB809" s="799"/>
      <c r="BC809" s="799"/>
      <c r="BD809" s="799"/>
      <c r="BE809" s="799"/>
      <c r="BF809" s="799"/>
      <c r="BG809" s="799"/>
    </row>
    <row r="810">
      <c r="H810" s="799"/>
      <c r="I810" s="799"/>
      <c r="J810" s="799"/>
      <c r="K810" s="799"/>
      <c r="L810" s="799"/>
      <c r="M810" s="799"/>
      <c r="N810" s="799"/>
      <c r="O810" s="799"/>
      <c r="P810" s="799"/>
      <c r="Q810" s="799"/>
      <c r="R810" s="799"/>
      <c r="S810" s="799"/>
      <c r="T810" s="799"/>
      <c r="U810" s="799"/>
      <c r="V810" s="799"/>
      <c r="W810" s="799"/>
      <c r="X810" s="799"/>
      <c r="Y810" s="799"/>
      <c r="Z810" s="799"/>
      <c r="AA810" s="799"/>
      <c r="AB810" s="799"/>
      <c r="AC810" s="799"/>
      <c r="AD810" s="799"/>
      <c r="AE810" s="799"/>
      <c r="AF810" s="799"/>
      <c r="AG810" s="799"/>
      <c r="AH810" s="799"/>
      <c r="AI810" s="799"/>
      <c r="AJ810" s="799"/>
      <c r="AK810" s="799"/>
      <c r="AL810" s="799"/>
      <c r="AM810" s="799"/>
      <c r="AN810" s="799"/>
      <c r="AO810" s="799"/>
      <c r="AP810" s="799"/>
      <c r="AQ810" s="799"/>
      <c r="AR810" s="799"/>
      <c r="AS810" s="799"/>
      <c r="AT810" s="799"/>
      <c r="AU810" s="799"/>
      <c r="AV810" s="799"/>
      <c r="AW810" s="799"/>
      <c r="AX810" s="799"/>
      <c r="AY810" s="799"/>
      <c r="AZ810" s="799"/>
      <c r="BA810" s="799"/>
      <c r="BB810" s="799"/>
      <c r="BC810" s="799"/>
      <c r="BD810" s="799"/>
      <c r="BE810" s="799"/>
      <c r="BF810" s="799"/>
      <c r="BG810" s="799"/>
    </row>
    <row r="811">
      <c r="H811" s="799"/>
      <c r="I811" s="799"/>
      <c r="J811" s="799"/>
      <c r="K811" s="799"/>
      <c r="L811" s="799"/>
      <c r="M811" s="799"/>
      <c r="N811" s="799"/>
      <c r="O811" s="799"/>
      <c r="P811" s="799"/>
      <c r="Q811" s="799"/>
      <c r="R811" s="799"/>
      <c r="S811" s="799"/>
      <c r="T811" s="799"/>
      <c r="U811" s="799"/>
      <c r="V811" s="799"/>
      <c r="W811" s="799"/>
      <c r="X811" s="799"/>
      <c r="Y811" s="799"/>
      <c r="Z811" s="799"/>
      <c r="AA811" s="799"/>
      <c r="AB811" s="799"/>
      <c r="AC811" s="799"/>
      <c r="AD811" s="799"/>
      <c r="AE811" s="799"/>
      <c r="AF811" s="799"/>
      <c r="AG811" s="799"/>
      <c r="AH811" s="799"/>
      <c r="AI811" s="799"/>
      <c r="AJ811" s="799"/>
      <c r="AK811" s="799"/>
      <c r="AL811" s="799"/>
      <c r="AM811" s="799"/>
      <c r="AN811" s="799"/>
      <c r="AO811" s="799"/>
      <c r="AP811" s="799"/>
      <c r="AQ811" s="799"/>
      <c r="AR811" s="799"/>
      <c r="AS811" s="799"/>
      <c r="AT811" s="799"/>
      <c r="AU811" s="799"/>
      <c r="AV811" s="799"/>
      <c r="AW811" s="799"/>
      <c r="AX811" s="799"/>
      <c r="AY811" s="799"/>
      <c r="AZ811" s="799"/>
      <c r="BA811" s="799"/>
      <c r="BB811" s="799"/>
      <c r="BC811" s="799"/>
      <c r="BD811" s="799"/>
      <c r="BE811" s="799"/>
      <c r="BF811" s="799"/>
      <c r="BG811" s="799"/>
    </row>
    <row r="812">
      <c r="H812" s="799"/>
      <c r="I812" s="799"/>
      <c r="J812" s="799"/>
      <c r="K812" s="799"/>
      <c r="L812" s="799"/>
      <c r="M812" s="799"/>
      <c r="N812" s="799"/>
      <c r="O812" s="799"/>
      <c r="P812" s="799"/>
      <c r="Q812" s="799"/>
      <c r="R812" s="799"/>
      <c r="S812" s="799"/>
      <c r="T812" s="799"/>
      <c r="U812" s="799"/>
      <c r="V812" s="799"/>
      <c r="W812" s="799"/>
      <c r="X812" s="799"/>
      <c r="Y812" s="799"/>
      <c r="Z812" s="799"/>
      <c r="AA812" s="799"/>
      <c r="AB812" s="799"/>
      <c r="AC812" s="799"/>
      <c r="AD812" s="799"/>
      <c r="AE812" s="799"/>
      <c r="AF812" s="799"/>
      <c r="AG812" s="799"/>
      <c r="AH812" s="799"/>
      <c r="AI812" s="799"/>
      <c r="AJ812" s="799"/>
      <c r="AK812" s="799"/>
      <c r="AL812" s="799"/>
      <c r="AM812" s="799"/>
      <c r="AN812" s="799"/>
      <c r="AO812" s="799"/>
      <c r="AP812" s="799"/>
      <c r="AQ812" s="799"/>
      <c r="AR812" s="799"/>
      <c r="AS812" s="799"/>
      <c r="AT812" s="799"/>
      <c r="AU812" s="799"/>
      <c r="AV812" s="799"/>
      <c r="AW812" s="799"/>
      <c r="AX812" s="799"/>
      <c r="AY812" s="799"/>
      <c r="AZ812" s="799"/>
      <c r="BA812" s="799"/>
      <c r="BB812" s="799"/>
      <c r="BC812" s="799"/>
      <c r="BD812" s="799"/>
      <c r="BE812" s="799"/>
      <c r="BF812" s="799"/>
      <c r="BG812" s="799"/>
    </row>
    <row r="813">
      <c r="H813" s="799"/>
      <c r="I813" s="799"/>
      <c r="J813" s="799"/>
      <c r="K813" s="799"/>
      <c r="L813" s="799"/>
      <c r="M813" s="799"/>
      <c r="N813" s="799"/>
      <c r="O813" s="799"/>
      <c r="P813" s="799"/>
      <c r="Q813" s="799"/>
      <c r="R813" s="799"/>
      <c r="S813" s="799"/>
      <c r="T813" s="799"/>
      <c r="U813" s="799"/>
      <c r="V813" s="799"/>
      <c r="W813" s="799"/>
      <c r="X813" s="799"/>
      <c r="Y813" s="799"/>
      <c r="Z813" s="799"/>
      <c r="AA813" s="799"/>
      <c r="AB813" s="799"/>
      <c r="AC813" s="799"/>
      <c r="AD813" s="799"/>
      <c r="AE813" s="799"/>
      <c r="AF813" s="799"/>
      <c r="AG813" s="799"/>
      <c r="AH813" s="799"/>
      <c r="AI813" s="799"/>
      <c r="AJ813" s="799"/>
      <c r="AK813" s="799"/>
      <c r="AL813" s="799"/>
      <c r="AM813" s="799"/>
      <c r="AN813" s="799"/>
      <c r="AO813" s="799"/>
      <c r="AP813" s="799"/>
      <c r="AQ813" s="799"/>
      <c r="AR813" s="799"/>
      <c r="AS813" s="799"/>
      <c r="AT813" s="799"/>
      <c r="AU813" s="799"/>
      <c r="AV813" s="799"/>
      <c r="AW813" s="799"/>
      <c r="AX813" s="799"/>
      <c r="AY813" s="799"/>
      <c r="AZ813" s="799"/>
      <c r="BA813" s="799"/>
      <c r="BB813" s="799"/>
      <c r="BC813" s="799"/>
      <c r="BD813" s="799"/>
      <c r="BE813" s="799"/>
      <c r="BF813" s="799"/>
      <c r="BG813" s="799"/>
    </row>
    <row r="814">
      <c r="H814" s="799"/>
      <c r="I814" s="799"/>
      <c r="J814" s="799"/>
      <c r="K814" s="799"/>
      <c r="L814" s="799"/>
      <c r="M814" s="799"/>
      <c r="N814" s="799"/>
      <c r="O814" s="799"/>
      <c r="P814" s="799"/>
      <c r="Q814" s="799"/>
      <c r="R814" s="799"/>
      <c r="S814" s="799"/>
      <c r="T814" s="799"/>
      <c r="U814" s="799"/>
      <c r="V814" s="799"/>
      <c r="W814" s="799"/>
      <c r="X814" s="799"/>
      <c r="Y814" s="799"/>
      <c r="Z814" s="799"/>
      <c r="AA814" s="799"/>
      <c r="AB814" s="799"/>
      <c r="AC814" s="799"/>
      <c r="AD814" s="799"/>
      <c r="AE814" s="799"/>
      <c r="AF814" s="799"/>
      <c r="AG814" s="799"/>
      <c r="AH814" s="799"/>
      <c r="AI814" s="799"/>
      <c r="AJ814" s="799"/>
      <c r="AK814" s="799"/>
      <c r="AL814" s="799"/>
      <c r="AM814" s="799"/>
      <c r="AN814" s="799"/>
      <c r="AO814" s="799"/>
      <c r="AP814" s="799"/>
      <c r="AQ814" s="799"/>
      <c r="AR814" s="799"/>
      <c r="AS814" s="799"/>
      <c r="AT814" s="799"/>
      <c r="AU814" s="799"/>
      <c r="AV814" s="799"/>
      <c r="AW814" s="799"/>
      <c r="AX814" s="799"/>
      <c r="AY814" s="799"/>
      <c r="AZ814" s="799"/>
      <c r="BA814" s="799"/>
      <c r="BB814" s="799"/>
      <c r="BC814" s="799"/>
      <c r="BD814" s="799"/>
      <c r="BE814" s="799"/>
      <c r="BF814" s="799"/>
      <c r="BG814" s="799"/>
    </row>
    <row r="815">
      <c r="H815" s="799"/>
      <c r="I815" s="799"/>
      <c r="J815" s="799"/>
      <c r="K815" s="799"/>
      <c r="L815" s="799"/>
      <c r="M815" s="799"/>
      <c r="N815" s="799"/>
      <c r="O815" s="799"/>
      <c r="P815" s="799"/>
      <c r="Q815" s="799"/>
      <c r="R815" s="799"/>
      <c r="S815" s="799"/>
      <c r="T815" s="799"/>
      <c r="U815" s="799"/>
      <c r="V815" s="799"/>
      <c r="W815" s="799"/>
      <c r="X815" s="799"/>
      <c r="Y815" s="799"/>
      <c r="Z815" s="799"/>
      <c r="AA815" s="799"/>
      <c r="AB815" s="799"/>
      <c r="AC815" s="799"/>
      <c r="AD815" s="799"/>
      <c r="AE815" s="799"/>
      <c r="AF815" s="799"/>
      <c r="AG815" s="799"/>
      <c r="AH815" s="799"/>
      <c r="AI815" s="799"/>
      <c r="AJ815" s="799"/>
      <c r="AK815" s="799"/>
      <c r="AL815" s="799"/>
      <c r="AM815" s="799"/>
      <c r="AN815" s="799"/>
      <c r="AO815" s="799"/>
      <c r="AP815" s="799"/>
      <c r="AQ815" s="799"/>
      <c r="AR815" s="799"/>
      <c r="AS815" s="799"/>
      <c r="AT815" s="799"/>
      <c r="AU815" s="799"/>
      <c r="AV815" s="799"/>
      <c r="AW815" s="799"/>
      <c r="AX815" s="799"/>
      <c r="AY815" s="799"/>
      <c r="AZ815" s="799"/>
      <c r="BA815" s="799"/>
      <c r="BB815" s="799"/>
      <c r="BC815" s="799"/>
      <c r="BD815" s="799"/>
      <c r="BE815" s="799"/>
      <c r="BF815" s="799"/>
      <c r="BG815" s="799"/>
    </row>
    <row r="816">
      <c r="H816" s="799"/>
      <c r="I816" s="799"/>
      <c r="J816" s="799"/>
      <c r="K816" s="799"/>
      <c r="L816" s="799"/>
      <c r="M816" s="799"/>
      <c r="N816" s="799"/>
      <c r="O816" s="799"/>
      <c r="P816" s="799"/>
      <c r="Q816" s="799"/>
      <c r="R816" s="799"/>
      <c r="S816" s="799"/>
      <c r="T816" s="799"/>
      <c r="U816" s="799"/>
      <c r="V816" s="799"/>
      <c r="W816" s="799"/>
      <c r="X816" s="799"/>
      <c r="Y816" s="799"/>
      <c r="Z816" s="799"/>
      <c r="AA816" s="799"/>
      <c r="AB816" s="799"/>
      <c r="AC816" s="799"/>
      <c r="AD816" s="799"/>
      <c r="AE816" s="799"/>
      <c r="AF816" s="799"/>
      <c r="AG816" s="799"/>
      <c r="AH816" s="799"/>
      <c r="AI816" s="799"/>
      <c r="AJ816" s="799"/>
      <c r="AK816" s="799"/>
      <c r="AL816" s="799"/>
      <c r="AM816" s="799"/>
      <c r="AN816" s="799"/>
      <c r="AO816" s="799"/>
      <c r="AP816" s="799"/>
      <c r="AQ816" s="799"/>
      <c r="AR816" s="799"/>
      <c r="AS816" s="799"/>
      <c r="AT816" s="799"/>
      <c r="AU816" s="799"/>
      <c r="AV816" s="799"/>
      <c r="AW816" s="799"/>
      <c r="AX816" s="799"/>
      <c r="AY816" s="799"/>
      <c r="AZ816" s="799"/>
      <c r="BA816" s="799"/>
      <c r="BB816" s="799"/>
      <c r="BC816" s="799"/>
      <c r="BD816" s="799"/>
      <c r="BE816" s="799"/>
      <c r="BF816" s="799"/>
      <c r="BG816" s="799"/>
    </row>
    <row r="817">
      <c r="H817" s="799"/>
      <c r="I817" s="799"/>
      <c r="J817" s="799"/>
      <c r="K817" s="799"/>
      <c r="L817" s="799"/>
      <c r="M817" s="799"/>
      <c r="N817" s="799"/>
      <c r="O817" s="799"/>
      <c r="P817" s="799"/>
      <c r="Q817" s="799"/>
      <c r="R817" s="799"/>
      <c r="S817" s="799"/>
      <c r="T817" s="799"/>
      <c r="U817" s="799"/>
      <c r="V817" s="799"/>
      <c r="W817" s="799"/>
      <c r="X817" s="799"/>
      <c r="Y817" s="799"/>
      <c r="Z817" s="799"/>
      <c r="AA817" s="799"/>
      <c r="AB817" s="799"/>
      <c r="AC817" s="799"/>
      <c r="AD817" s="799"/>
      <c r="AE817" s="799"/>
      <c r="AF817" s="799"/>
      <c r="AG817" s="799"/>
      <c r="AH817" s="799"/>
      <c r="AI817" s="799"/>
      <c r="AJ817" s="799"/>
      <c r="AK817" s="799"/>
      <c r="AL817" s="799"/>
      <c r="AM817" s="799"/>
      <c r="AN817" s="799"/>
      <c r="AO817" s="799"/>
      <c r="AP817" s="799"/>
      <c r="AQ817" s="799"/>
      <c r="AR817" s="799"/>
      <c r="AS817" s="799"/>
      <c r="AT817" s="799"/>
      <c r="AU817" s="799"/>
      <c r="AV817" s="799"/>
      <c r="AW817" s="799"/>
      <c r="AX817" s="799"/>
      <c r="AY817" s="799"/>
      <c r="AZ817" s="799"/>
      <c r="BA817" s="799"/>
      <c r="BB817" s="799"/>
      <c r="BC817" s="799"/>
      <c r="BD817" s="799"/>
      <c r="BE817" s="799"/>
      <c r="BF817" s="799"/>
      <c r="BG817" s="799"/>
    </row>
    <row r="818">
      <c r="H818" s="799"/>
      <c r="I818" s="799"/>
      <c r="J818" s="799"/>
      <c r="K818" s="799"/>
      <c r="L818" s="799"/>
      <c r="M818" s="799"/>
      <c r="N818" s="799"/>
      <c r="O818" s="799"/>
      <c r="P818" s="799"/>
      <c r="Q818" s="799"/>
      <c r="R818" s="799"/>
      <c r="S818" s="799"/>
      <c r="T818" s="799"/>
      <c r="U818" s="799"/>
      <c r="V818" s="799"/>
      <c r="W818" s="799"/>
      <c r="X818" s="799"/>
      <c r="Y818" s="799"/>
      <c r="Z818" s="799"/>
      <c r="AA818" s="799"/>
      <c r="AB818" s="799"/>
      <c r="AC818" s="799"/>
      <c r="AD818" s="799"/>
      <c r="AE818" s="799"/>
      <c r="AF818" s="799"/>
      <c r="AG818" s="799"/>
      <c r="AH818" s="799"/>
      <c r="AI818" s="799"/>
      <c r="AJ818" s="799"/>
      <c r="AK818" s="799"/>
      <c r="AL818" s="799"/>
      <c r="AM818" s="799"/>
      <c r="AN818" s="799"/>
      <c r="AO818" s="799"/>
      <c r="AP818" s="799"/>
      <c r="AQ818" s="799"/>
      <c r="AR818" s="799"/>
      <c r="AS818" s="799"/>
      <c r="AT818" s="799"/>
      <c r="AU818" s="799"/>
      <c r="AV818" s="799"/>
      <c r="AW818" s="799"/>
      <c r="AX818" s="799"/>
      <c r="AY818" s="799"/>
      <c r="AZ818" s="799"/>
      <c r="BA818" s="799"/>
      <c r="BB818" s="799"/>
      <c r="BC818" s="799"/>
      <c r="BD818" s="799"/>
      <c r="BE818" s="799"/>
      <c r="BF818" s="799"/>
      <c r="BG818" s="799"/>
    </row>
    <row r="819">
      <c r="H819" s="799"/>
      <c r="I819" s="799"/>
      <c r="J819" s="799"/>
      <c r="K819" s="799"/>
      <c r="L819" s="799"/>
      <c r="M819" s="799"/>
      <c r="N819" s="799"/>
      <c r="O819" s="799"/>
      <c r="P819" s="799"/>
      <c r="Q819" s="799"/>
      <c r="R819" s="799"/>
      <c r="S819" s="799"/>
      <c r="T819" s="799"/>
      <c r="U819" s="799"/>
      <c r="V819" s="799"/>
      <c r="W819" s="799"/>
      <c r="X819" s="799"/>
      <c r="Y819" s="799"/>
      <c r="Z819" s="799"/>
      <c r="AA819" s="799"/>
      <c r="AB819" s="799"/>
      <c r="AC819" s="799"/>
      <c r="AD819" s="799"/>
      <c r="AE819" s="799"/>
      <c r="AF819" s="799"/>
      <c r="AG819" s="799"/>
      <c r="AH819" s="799"/>
      <c r="AI819" s="799"/>
      <c r="AJ819" s="799"/>
      <c r="AK819" s="799"/>
      <c r="AL819" s="799"/>
      <c r="AM819" s="799"/>
      <c r="AN819" s="799"/>
      <c r="AO819" s="799"/>
      <c r="AP819" s="799"/>
      <c r="AQ819" s="799"/>
      <c r="AR819" s="799"/>
      <c r="AS819" s="799"/>
      <c r="AT819" s="799"/>
      <c r="AU819" s="799"/>
      <c r="AV819" s="799"/>
      <c r="AW819" s="799"/>
      <c r="AX819" s="799"/>
      <c r="AY819" s="799"/>
      <c r="AZ819" s="799"/>
      <c r="BA819" s="799"/>
      <c r="BB819" s="799"/>
      <c r="BC819" s="799"/>
      <c r="BD819" s="799"/>
      <c r="BE819" s="799"/>
      <c r="BF819" s="799"/>
      <c r="BG819" s="799"/>
    </row>
    <row r="820">
      <c r="H820" s="799"/>
      <c r="I820" s="799"/>
      <c r="J820" s="799"/>
      <c r="K820" s="799"/>
      <c r="L820" s="799"/>
      <c r="M820" s="799"/>
      <c r="N820" s="799"/>
      <c r="O820" s="799"/>
      <c r="P820" s="799"/>
      <c r="Q820" s="799"/>
      <c r="R820" s="799"/>
      <c r="S820" s="799"/>
      <c r="T820" s="799"/>
      <c r="U820" s="799"/>
      <c r="V820" s="799"/>
      <c r="W820" s="799"/>
      <c r="X820" s="799"/>
      <c r="Y820" s="799"/>
      <c r="Z820" s="799"/>
      <c r="AA820" s="799"/>
      <c r="AB820" s="799"/>
      <c r="AC820" s="799"/>
      <c r="AD820" s="799"/>
      <c r="AE820" s="799"/>
      <c r="AF820" s="799"/>
      <c r="AG820" s="799"/>
      <c r="AH820" s="799"/>
      <c r="AI820" s="799"/>
      <c r="AJ820" s="799"/>
      <c r="AK820" s="799"/>
      <c r="AL820" s="799"/>
      <c r="AM820" s="799"/>
      <c r="AN820" s="799"/>
      <c r="AO820" s="799"/>
      <c r="AP820" s="799"/>
      <c r="AQ820" s="799"/>
      <c r="AR820" s="799"/>
      <c r="AS820" s="799"/>
      <c r="AT820" s="799"/>
      <c r="AU820" s="799"/>
      <c r="AV820" s="799"/>
      <c r="AW820" s="799"/>
      <c r="AX820" s="799"/>
      <c r="AY820" s="799"/>
      <c r="AZ820" s="799"/>
      <c r="BA820" s="799"/>
      <c r="BB820" s="799"/>
      <c r="BC820" s="799"/>
      <c r="BD820" s="799"/>
      <c r="BE820" s="799"/>
      <c r="BF820" s="799"/>
      <c r="BG820" s="799"/>
    </row>
    <row r="821">
      <c r="H821" s="799"/>
      <c r="I821" s="799"/>
      <c r="J821" s="799"/>
      <c r="K821" s="799"/>
      <c r="L821" s="799"/>
      <c r="M821" s="799"/>
      <c r="N821" s="799"/>
      <c r="O821" s="799"/>
      <c r="P821" s="799"/>
      <c r="Q821" s="799"/>
      <c r="R821" s="799"/>
      <c r="S821" s="799"/>
      <c r="T821" s="799"/>
      <c r="U821" s="799"/>
      <c r="V821" s="799"/>
      <c r="W821" s="799"/>
      <c r="X821" s="799"/>
      <c r="Y821" s="799"/>
      <c r="Z821" s="799"/>
      <c r="AA821" s="799"/>
      <c r="AB821" s="799"/>
      <c r="AC821" s="799"/>
      <c r="AD821" s="799"/>
      <c r="AE821" s="799"/>
      <c r="AF821" s="799"/>
      <c r="AG821" s="799"/>
      <c r="AH821" s="799"/>
      <c r="AI821" s="799"/>
      <c r="AJ821" s="799"/>
      <c r="AK821" s="799"/>
      <c r="AL821" s="799"/>
      <c r="AM821" s="799"/>
      <c r="AN821" s="799"/>
      <c r="AO821" s="799"/>
      <c r="AP821" s="799"/>
      <c r="AQ821" s="799"/>
      <c r="AR821" s="799"/>
      <c r="AS821" s="799"/>
      <c r="AT821" s="799"/>
      <c r="AU821" s="799"/>
      <c r="AV821" s="799"/>
      <c r="AW821" s="799"/>
      <c r="AX821" s="799"/>
      <c r="AY821" s="799"/>
      <c r="AZ821" s="799"/>
      <c r="BA821" s="799"/>
      <c r="BB821" s="799"/>
      <c r="BC821" s="799"/>
      <c r="BD821" s="799"/>
      <c r="BE821" s="799"/>
      <c r="BF821" s="799"/>
      <c r="BG821" s="799"/>
    </row>
    <row r="822">
      <c r="H822" s="799"/>
      <c r="I822" s="799"/>
      <c r="J822" s="799"/>
      <c r="K822" s="799"/>
      <c r="L822" s="799"/>
      <c r="M822" s="799"/>
      <c r="N822" s="799"/>
      <c r="O822" s="799"/>
      <c r="P822" s="799"/>
      <c r="Q822" s="799"/>
      <c r="R822" s="799"/>
      <c r="S822" s="799"/>
      <c r="T822" s="799"/>
      <c r="U822" s="799"/>
      <c r="V822" s="799"/>
      <c r="W822" s="799"/>
      <c r="X822" s="799"/>
      <c r="Y822" s="799"/>
      <c r="Z822" s="799"/>
      <c r="AA822" s="799"/>
      <c r="AB822" s="799"/>
      <c r="AC822" s="799"/>
      <c r="AD822" s="799"/>
      <c r="AE822" s="799"/>
      <c r="AF822" s="799"/>
      <c r="AG822" s="799"/>
      <c r="AH822" s="799"/>
      <c r="AI822" s="799"/>
      <c r="AJ822" s="799"/>
      <c r="AK822" s="799"/>
      <c r="AL822" s="799"/>
      <c r="AM822" s="799"/>
      <c r="AN822" s="799"/>
      <c r="AO822" s="799"/>
      <c r="AP822" s="799"/>
      <c r="AQ822" s="799"/>
      <c r="AR822" s="799"/>
      <c r="AS822" s="799"/>
      <c r="AT822" s="799"/>
      <c r="AU822" s="799"/>
      <c r="AV822" s="799"/>
      <c r="AW822" s="799"/>
      <c r="AX822" s="799"/>
      <c r="AY822" s="799"/>
      <c r="AZ822" s="799"/>
      <c r="BA822" s="799"/>
      <c r="BB822" s="799"/>
      <c r="BC822" s="799"/>
      <c r="BD822" s="799"/>
      <c r="BE822" s="799"/>
      <c r="BF822" s="799"/>
      <c r="BG822" s="799"/>
    </row>
    <row r="823">
      <c r="H823" s="799"/>
      <c r="I823" s="799"/>
      <c r="J823" s="799"/>
      <c r="K823" s="799"/>
      <c r="L823" s="799"/>
      <c r="M823" s="799"/>
      <c r="N823" s="799"/>
      <c r="O823" s="799"/>
      <c r="P823" s="799"/>
      <c r="Q823" s="799"/>
      <c r="R823" s="799"/>
      <c r="S823" s="799"/>
      <c r="T823" s="799"/>
      <c r="U823" s="799"/>
      <c r="V823" s="799"/>
      <c r="W823" s="799"/>
      <c r="X823" s="799"/>
      <c r="Y823" s="799"/>
      <c r="Z823" s="799"/>
      <c r="AA823" s="799"/>
      <c r="AB823" s="799"/>
      <c r="AC823" s="799"/>
      <c r="AD823" s="799"/>
      <c r="AE823" s="799"/>
      <c r="AF823" s="799"/>
      <c r="AG823" s="799"/>
      <c r="AH823" s="799"/>
      <c r="AI823" s="799"/>
      <c r="AJ823" s="799"/>
      <c r="AK823" s="799"/>
      <c r="AL823" s="799"/>
      <c r="AM823" s="799"/>
      <c r="AN823" s="799"/>
      <c r="AO823" s="799"/>
      <c r="AP823" s="799"/>
      <c r="AQ823" s="799"/>
      <c r="AR823" s="799"/>
      <c r="AS823" s="799"/>
      <c r="AT823" s="799"/>
      <c r="AU823" s="799"/>
      <c r="AV823" s="799"/>
      <c r="AW823" s="799"/>
      <c r="AX823" s="799"/>
      <c r="AY823" s="799"/>
      <c r="AZ823" s="799"/>
      <c r="BA823" s="799"/>
      <c r="BB823" s="799"/>
      <c r="BC823" s="799"/>
      <c r="BD823" s="799"/>
      <c r="BE823" s="799"/>
      <c r="BF823" s="799"/>
      <c r="BG823" s="799"/>
    </row>
    <row r="824">
      <c r="H824" s="799"/>
      <c r="I824" s="799"/>
      <c r="J824" s="799"/>
      <c r="K824" s="799"/>
      <c r="L824" s="799"/>
      <c r="M824" s="799"/>
      <c r="N824" s="799"/>
      <c r="O824" s="799"/>
      <c r="P824" s="799"/>
      <c r="Q824" s="799"/>
      <c r="R824" s="799"/>
      <c r="S824" s="799"/>
      <c r="T824" s="799"/>
      <c r="U824" s="799"/>
      <c r="V824" s="799"/>
      <c r="W824" s="799"/>
      <c r="X824" s="799"/>
      <c r="Y824" s="799"/>
      <c r="Z824" s="799"/>
      <c r="AA824" s="799"/>
      <c r="AB824" s="799"/>
      <c r="AC824" s="799"/>
      <c r="AD824" s="799"/>
      <c r="AE824" s="799"/>
      <c r="AF824" s="799"/>
      <c r="AG824" s="799"/>
      <c r="AH824" s="799"/>
      <c r="AI824" s="799"/>
      <c r="AJ824" s="799"/>
      <c r="AK824" s="799"/>
      <c r="AL824" s="799"/>
      <c r="AM824" s="799"/>
      <c r="AN824" s="799"/>
      <c r="AO824" s="799"/>
      <c r="AP824" s="799"/>
      <c r="AQ824" s="799"/>
      <c r="AR824" s="799"/>
      <c r="AS824" s="799"/>
      <c r="AT824" s="799"/>
      <c r="AU824" s="799"/>
      <c r="AV824" s="799"/>
      <c r="AW824" s="799"/>
      <c r="AX824" s="799"/>
      <c r="AY824" s="799"/>
      <c r="AZ824" s="799"/>
      <c r="BA824" s="799"/>
      <c r="BB824" s="799"/>
      <c r="BC824" s="799"/>
      <c r="BD824" s="799"/>
      <c r="BE824" s="799"/>
      <c r="BF824" s="799"/>
      <c r="BG824" s="799"/>
    </row>
    <row r="825">
      <c r="H825" s="799"/>
      <c r="I825" s="799"/>
      <c r="J825" s="799"/>
      <c r="K825" s="799"/>
      <c r="L825" s="799"/>
      <c r="M825" s="799"/>
      <c r="N825" s="799"/>
      <c r="O825" s="799"/>
      <c r="P825" s="799"/>
      <c r="Q825" s="799"/>
      <c r="R825" s="799"/>
      <c r="S825" s="799"/>
      <c r="T825" s="799"/>
      <c r="U825" s="799"/>
      <c r="V825" s="799"/>
      <c r="W825" s="799"/>
      <c r="X825" s="799"/>
      <c r="Y825" s="799"/>
      <c r="Z825" s="799"/>
      <c r="AA825" s="799"/>
      <c r="AB825" s="799"/>
      <c r="AC825" s="799"/>
      <c r="AD825" s="799"/>
      <c r="AE825" s="799"/>
      <c r="AF825" s="799"/>
      <c r="AG825" s="799"/>
      <c r="AH825" s="799"/>
      <c r="AI825" s="799"/>
      <c r="AJ825" s="799"/>
      <c r="AK825" s="799"/>
      <c r="AL825" s="799"/>
      <c r="AM825" s="799"/>
      <c r="AN825" s="799"/>
      <c r="AO825" s="799"/>
      <c r="AP825" s="799"/>
      <c r="AQ825" s="799"/>
      <c r="AR825" s="799"/>
      <c r="AS825" s="799"/>
      <c r="AT825" s="799"/>
      <c r="AU825" s="799"/>
      <c r="AV825" s="799"/>
      <c r="AW825" s="799"/>
      <c r="AX825" s="799"/>
      <c r="AY825" s="799"/>
      <c r="AZ825" s="799"/>
      <c r="BA825" s="799"/>
      <c r="BB825" s="799"/>
      <c r="BC825" s="799"/>
      <c r="BD825" s="799"/>
      <c r="BE825" s="799"/>
      <c r="BF825" s="799"/>
      <c r="BG825" s="799"/>
    </row>
    <row r="826">
      <c r="H826" s="799"/>
      <c r="I826" s="799"/>
      <c r="J826" s="799"/>
      <c r="K826" s="799"/>
      <c r="L826" s="799"/>
      <c r="M826" s="799"/>
      <c r="N826" s="799"/>
      <c r="O826" s="799"/>
      <c r="P826" s="799"/>
      <c r="Q826" s="799"/>
      <c r="R826" s="799"/>
      <c r="S826" s="799"/>
      <c r="T826" s="799"/>
      <c r="U826" s="799"/>
      <c r="V826" s="799"/>
      <c r="W826" s="799"/>
      <c r="X826" s="799"/>
      <c r="Y826" s="799"/>
      <c r="Z826" s="799"/>
      <c r="AA826" s="799"/>
      <c r="AB826" s="799"/>
      <c r="AC826" s="799"/>
      <c r="AD826" s="799"/>
      <c r="AE826" s="799"/>
      <c r="AF826" s="799"/>
      <c r="AG826" s="799"/>
      <c r="AH826" s="799"/>
      <c r="AI826" s="799"/>
      <c r="AJ826" s="799"/>
      <c r="AK826" s="799"/>
      <c r="AL826" s="799"/>
      <c r="AM826" s="799"/>
      <c r="AN826" s="799"/>
      <c r="AO826" s="799"/>
      <c r="AP826" s="799"/>
      <c r="AQ826" s="799"/>
      <c r="AR826" s="799"/>
      <c r="AS826" s="799"/>
      <c r="AT826" s="799"/>
      <c r="AU826" s="799"/>
      <c r="AV826" s="799"/>
      <c r="AW826" s="799"/>
      <c r="AX826" s="799"/>
      <c r="AY826" s="799"/>
      <c r="AZ826" s="799"/>
      <c r="BA826" s="799"/>
      <c r="BB826" s="799"/>
      <c r="BC826" s="799"/>
      <c r="BD826" s="799"/>
      <c r="BE826" s="799"/>
      <c r="BF826" s="799"/>
      <c r="BG826" s="799"/>
    </row>
    <row r="827">
      <c r="H827" s="799"/>
      <c r="I827" s="799"/>
      <c r="J827" s="799"/>
      <c r="K827" s="799"/>
      <c r="L827" s="799"/>
      <c r="M827" s="799"/>
      <c r="N827" s="799"/>
      <c r="O827" s="799"/>
      <c r="P827" s="799"/>
      <c r="Q827" s="799"/>
      <c r="R827" s="799"/>
      <c r="S827" s="799"/>
      <c r="T827" s="799"/>
      <c r="U827" s="799"/>
      <c r="V827" s="799"/>
      <c r="W827" s="799"/>
      <c r="X827" s="799"/>
      <c r="Y827" s="799"/>
      <c r="Z827" s="799"/>
      <c r="AA827" s="799"/>
      <c r="AB827" s="799"/>
      <c r="AC827" s="799"/>
      <c r="AD827" s="799"/>
      <c r="AE827" s="799"/>
      <c r="AF827" s="799"/>
      <c r="AG827" s="799"/>
      <c r="AH827" s="799"/>
      <c r="AI827" s="799"/>
      <c r="AJ827" s="799"/>
      <c r="AK827" s="799"/>
      <c r="AL827" s="799"/>
      <c r="AM827" s="799"/>
      <c r="AN827" s="799"/>
      <c r="AO827" s="799"/>
      <c r="AP827" s="799"/>
      <c r="AQ827" s="799"/>
      <c r="AR827" s="799"/>
      <c r="AS827" s="799"/>
      <c r="AT827" s="799"/>
      <c r="AU827" s="799"/>
      <c r="AV827" s="799"/>
      <c r="AW827" s="799"/>
      <c r="AX827" s="799"/>
      <c r="AY827" s="799"/>
      <c r="AZ827" s="799"/>
      <c r="BA827" s="799"/>
      <c r="BB827" s="799"/>
      <c r="BC827" s="799"/>
      <c r="BD827" s="799"/>
      <c r="BE827" s="799"/>
      <c r="BF827" s="799"/>
      <c r="BG827" s="799"/>
    </row>
    <row r="828">
      <c r="H828" s="799"/>
      <c r="I828" s="799"/>
      <c r="J828" s="799"/>
      <c r="K828" s="799"/>
      <c r="L828" s="799"/>
      <c r="M828" s="799"/>
      <c r="N828" s="799"/>
      <c r="O828" s="799"/>
      <c r="P828" s="799"/>
      <c r="Q828" s="799"/>
      <c r="R828" s="799"/>
      <c r="S828" s="799"/>
      <c r="T828" s="799"/>
      <c r="U828" s="799"/>
      <c r="V828" s="799"/>
      <c r="W828" s="799"/>
      <c r="X828" s="799"/>
      <c r="Y828" s="799"/>
      <c r="Z828" s="799"/>
      <c r="AA828" s="799"/>
      <c r="AB828" s="799"/>
      <c r="AC828" s="799"/>
      <c r="AD828" s="799"/>
      <c r="AE828" s="799"/>
      <c r="AF828" s="799"/>
      <c r="AG828" s="799"/>
      <c r="AH828" s="799"/>
      <c r="AI828" s="799"/>
      <c r="AJ828" s="799"/>
      <c r="AK828" s="799"/>
      <c r="AL828" s="799"/>
      <c r="AM828" s="799"/>
      <c r="AN828" s="799"/>
      <c r="AO828" s="799"/>
      <c r="AP828" s="799"/>
      <c r="AQ828" s="799"/>
      <c r="AR828" s="799"/>
      <c r="AS828" s="799"/>
      <c r="AT828" s="799"/>
      <c r="AU828" s="799"/>
      <c r="AV828" s="799"/>
      <c r="AW828" s="799"/>
      <c r="AX828" s="799"/>
      <c r="AY828" s="799"/>
      <c r="AZ828" s="799"/>
      <c r="BA828" s="799"/>
      <c r="BB828" s="799"/>
      <c r="BC828" s="799"/>
      <c r="BD828" s="799"/>
      <c r="BE828" s="799"/>
      <c r="BF828" s="799"/>
      <c r="BG828" s="799"/>
    </row>
    <row r="829">
      <c r="H829" s="799"/>
      <c r="I829" s="799"/>
      <c r="J829" s="799"/>
      <c r="K829" s="799"/>
      <c r="L829" s="799"/>
      <c r="M829" s="799"/>
      <c r="N829" s="799"/>
      <c r="O829" s="799"/>
      <c r="P829" s="799"/>
      <c r="Q829" s="799"/>
      <c r="R829" s="799"/>
      <c r="S829" s="799"/>
      <c r="T829" s="799"/>
      <c r="U829" s="799"/>
      <c r="V829" s="799"/>
      <c r="W829" s="799"/>
      <c r="X829" s="799"/>
      <c r="Y829" s="799"/>
      <c r="Z829" s="799"/>
      <c r="AA829" s="799"/>
      <c r="AB829" s="799"/>
      <c r="AC829" s="799"/>
      <c r="AD829" s="799"/>
      <c r="AE829" s="799"/>
      <c r="AF829" s="799"/>
      <c r="AG829" s="799"/>
      <c r="AH829" s="799"/>
      <c r="AI829" s="799"/>
      <c r="AJ829" s="799"/>
      <c r="AK829" s="799"/>
      <c r="AL829" s="799"/>
      <c r="AM829" s="799"/>
      <c r="AN829" s="799"/>
      <c r="AO829" s="799"/>
      <c r="AP829" s="799"/>
      <c r="AQ829" s="799"/>
      <c r="AR829" s="799"/>
      <c r="AS829" s="799"/>
      <c r="AT829" s="799"/>
      <c r="AU829" s="799"/>
      <c r="AV829" s="799"/>
      <c r="AW829" s="799"/>
      <c r="AX829" s="799"/>
      <c r="AY829" s="799"/>
      <c r="AZ829" s="799"/>
      <c r="BA829" s="799"/>
      <c r="BB829" s="799"/>
      <c r="BC829" s="799"/>
      <c r="BD829" s="799"/>
      <c r="BE829" s="799"/>
      <c r="BF829" s="799"/>
      <c r="BG829" s="799"/>
    </row>
    <row r="830">
      <c r="H830" s="799"/>
      <c r="I830" s="799"/>
      <c r="J830" s="799"/>
      <c r="K830" s="799"/>
      <c r="L830" s="799"/>
      <c r="M830" s="799"/>
      <c r="N830" s="799"/>
      <c r="O830" s="799"/>
      <c r="P830" s="799"/>
      <c r="Q830" s="799"/>
      <c r="R830" s="799"/>
      <c r="S830" s="799"/>
      <c r="T830" s="799"/>
      <c r="U830" s="799"/>
      <c r="V830" s="799"/>
      <c r="W830" s="799"/>
      <c r="X830" s="799"/>
      <c r="Y830" s="799"/>
      <c r="Z830" s="799"/>
      <c r="AA830" s="799"/>
      <c r="AB830" s="799"/>
      <c r="AC830" s="799"/>
      <c r="AD830" s="799"/>
      <c r="AE830" s="799"/>
      <c r="AF830" s="799"/>
      <c r="AG830" s="799"/>
      <c r="AH830" s="799"/>
      <c r="AI830" s="799"/>
      <c r="AJ830" s="799"/>
      <c r="AK830" s="799"/>
      <c r="AL830" s="799"/>
      <c r="AM830" s="799"/>
      <c r="AN830" s="799"/>
      <c r="AO830" s="799"/>
      <c r="AP830" s="799"/>
      <c r="AQ830" s="799"/>
      <c r="AR830" s="799"/>
      <c r="AS830" s="799"/>
      <c r="AT830" s="799"/>
      <c r="AU830" s="799"/>
      <c r="AV830" s="799"/>
      <c r="AW830" s="799"/>
      <c r="AX830" s="799"/>
      <c r="AY830" s="799"/>
      <c r="AZ830" s="799"/>
      <c r="BA830" s="799"/>
      <c r="BB830" s="799"/>
      <c r="BC830" s="799"/>
      <c r="BD830" s="799"/>
      <c r="BE830" s="799"/>
      <c r="BF830" s="799"/>
      <c r="BG830" s="799"/>
    </row>
    <row r="831">
      <c r="H831" s="799"/>
      <c r="I831" s="799"/>
      <c r="J831" s="799"/>
      <c r="K831" s="799"/>
      <c r="L831" s="799"/>
      <c r="M831" s="799"/>
      <c r="N831" s="799"/>
      <c r="O831" s="799"/>
      <c r="P831" s="799"/>
      <c r="Q831" s="799"/>
      <c r="R831" s="799"/>
      <c r="S831" s="799"/>
      <c r="T831" s="799"/>
      <c r="U831" s="799"/>
      <c r="V831" s="799"/>
      <c r="W831" s="799"/>
      <c r="X831" s="799"/>
      <c r="Y831" s="799"/>
      <c r="Z831" s="799"/>
      <c r="AA831" s="799"/>
      <c r="AB831" s="799"/>
      <c r="AC831" s="799"/>
      <c r="AD831" s="799"/>
      <c r="AE831" s="799"/>
      <c r="AF831" s="799"/>
      <c r="AG831" s="799"/>
      <c r="AH831" s="799"/>
      <c r="AI831" s="799"/>
      <c r="AJ831" s="799"/>
      <c r="AK831" s="799"/>
      <c r="AL831" s="799"/>
      <c r="AM831" s="799"/>
      <c r="AN831" s="799"/>
      <c r="AO831" s="799"/>
      <c r="AP831" s="799"/>
      <c r="AQ831" s="799"/>
      <c r="AR831" s="799"/>
      <c r="AS831" s="799"/>
      <c r="AT831" s="799"/>
      <c r="AU831" s="799"/>
      <c r="AV831" s="799"/>
      <c r="AW831" s="799"/>
      <c r="AX831" s="799"/>
      <c r="AY831" s="799"/>
      <c r="AZ831" s="799"/>
      <c r="BA831" s="799"/>
      <c r="BB831" s="799"/>
      <c r="BC831" s="799"/>
      <c r="BD831" s="799"/>
      <c r="BE831" s="799"/>
      <c r="BF831" s="799"/>
      <c r="BG831" s="799"/>
    </row>
    <row r="832">
      <c r="H832" s="799"/>
      <c r="I832" s="799"/>
      <c r="J832" s="799"/>
      <c r="K832" s="799"/>
      <c r="L832" s="799"/>
      <c r="M832" s="799"/>
      <c r="N832" s="799"/>
      <c r="O832" s="799"/>
      <c r="P832" s="799"/>
      <c r="Q832" s="799"/>
      <c r="R832" s="799"/>
      <c r="S832" s="799"/>
      <c r="T832" s="799"/>
      <c r="U832" s="799"/>
      <c r="V832" s="799"/>
      <c r="W832" s="799"/>
      <c r="X832" s="799"/>
      <c r="Y832" s="799"/>
      <c r="Z832" s="799"/>
      <c r="AA832" s="799"/>
      <c r="AB832" s="799"/>
      <c r="AC832" s="799"/>
      <c r="AD832" s="799"/>
      <c r="AE832" s="799"/>
      <c r="AF832" s="799"/>
      <c r="AG832" s="799"/>
      <c r="AH832" s="799"/>
      <c r="AI832" s="799"/>
      <c r="AJ832" s="799"/>
      <c r="AK832" s="799"/>
      <c r="AL832" s="799"/>
      <c r="AM832" s="799"/>
      <c r="AN832" s="799"/>
      <c r="AO832" s="799"/>
      <c r="AP832" s="799"/>
      <c r="AQ832" s="799"/>
      <c r="AR832" s="799"/>
      <c r="AS832" s="799"/>
      <c r="AT832" s="799"/>
      <c r="AU832" s="799"/>
      <c r="AV832" s="799"/>
      <c r="AW832" s="799"/>
      <c r="AX832" s="799"/>
      <c r="AY832" s="799"/>
      <c r="AZ832" s="799"/>
      <c r="BA832" s="799"/>
      <c r="BB832" s="799"/>
      <c r="BC832" s="799"/>
      <c r="BD832" s="799"/>
      <c r="BE832" s="799"/>
      <c r="BF832" s="799"/>
      <c r="BG832" s="799"/>
    </row>
    <row r="833">
      <c r="H833" s="799"/>
      <c r="I833" s="799"/>
      <c r="J833" s="799"/>
      <c r="K833" s="799"/>
      <c r="L833" s="799"/>
      <c r="M833" s="799"/>
      <c r="N833" s="799"/>
      <c r="O833" s="799"/>
      <c r="P833" s="799"/>
      <c r="Q833" s="799"/>
      <c r="R833" s="799"/>
      <c r="S833" s="799"/>
      <c r="T833" s="799"/>
      <c r="U833" s="799"/>
      <c r="V833" s="799"/>
      <c r="W833" s="799"/>
      <c r="X833" s="799"/>
      <c r="Y833" s="799"/>
      <c r="Z833" s="799"/>
      <c r="AA833" s="799"/>
      <c r="AB833" s="799"/>
      <c r="AC833" s="799"/>
      <c r="AD833" s="799"/>
      <c r="AE833" s="799"/>
      <c r="AF833" s="799"/>
      <c r="AG833" s="799"/>
      <c r="AH833" s="799"/>
      <c r="AI833" s="799"/>
      <c r="AJ833" s="799"/>
      <c r="AK833" s="799"/>
      <c r="AL833" s="799"/>
      <c r="AM833" s="799"/>
      <c r="AN833" s="799"/>
      <c r="AO833" s="799"/>
      <c r="AP833" s="799"/>
      <c r="AQ833" s="799"/>
      <c r="AR833" s="799"/>
      <c r="AS833" s="799"/>
      <c r="AT833" s="799"/>
      <c r="AU833" s="799"/>
      <c r="AV833" s="799"/>
      <c r="AW833" s="799"/>
      <c r="AX833" s="799"/>
      <c r="AY833" s="799"/>
      <c r="AZ833" s="799"/>
      <c r="BA833" s="799"/>
      <c r="BB833" s="799"/>
      <c r="BC833" s="799"/>
      <c r="BD833" s="799"/>
      <c r="BE833" s="799"/>
      <c r="BF833" s="799"/>
      <c r="BG833" s="799"/>
    </row>
    <row r="834">
      <c r="H834" s="799"/>
      <c r="I834" s="799"/>
      <c r="J834" s="799"/>
      <c r="K834" s="799"/>
      <c r="L834" s="799"/>
      <c r="M834" s="799"/>
      <c r="N834" s="799"/>
      <c r="O834" s="799"/>
      <c r="P834" s="799"/>
      <c r="Q834" s="799"/>
      <c r="R834" s="799"/>
      <c r="S834" s="799"/>
      <c r="T834" s="799"/>
      <c r="U834" s="799"/>
      <c r="V834" s="799"/>
      <c r="W834" s="799"/>
      <c r="X834" s="799"/>
      <c r="Y834" s="799"/>
      <c r="Z834" s="799"/>
      <c r="AA834" s="799"/>
      <c r="AB834" s="799"/>
      <c r="AC834" s="799"/>
      <c r="AD834" s="799"/>
      <c r="AE834" s="799"/>
      <c r="AF834" s="799"/>
      <c r="AG834" s="799"/>
      <c r="AH834" s="799"/>
      <c r="AI834" s="799"/>
      <c r="AJ834" s="799"/>
      <c r="AK834" s="799"/>
      <c r="AL834" s="799"/>
      <c r="AM834" s="799"/>
      <c r="AN834" s="799"/>
      <c r="AO834" s="799"/>
      <c r="AP834" s="799"/>
      <c r="AQ834" s="799"/>
      <c r="AR834" s="799"/>
      <c r="AS834" s="799"/>
      <c r="AT834" s="799"/>
      <c r="AU834" s="799"/>
      <c r="AV834" s="799"/>
      <c r="AW834" s="799"/>
      <c r="AX834" s="799"/>
      <c r="AY834" s="799"/>
      <c r="AZ834" s="799"/>
      <c r="BA834" s="799"/>
      <c r="BB834" s="799"/>
      <c r="BC834" s="799"/>
      <c r="BD834" s="799"/>
      <c r="BE834" s="799"/>
      <c r="BF834" s="799"/>
      <c r="BG834" s="799"/>
    </row>
    <row r="835">
      <c r="H835" s="799"/>
      <c r="I835" s="799"/>
      <c r="J835" s="799"/>
      <c r="K835" s="799"/>
      <c r="L835" s="799"/>
      <c r="M835" s="799"/>
      <c r="N835" s="799"/>
      <c r="O835" s="799"/>
      <c r="P835" s="799"/>
      <c r="Q835" s="799"/>
      <c r="R835" s="799"/>
      <c r="S835" s="799"/>
      <c r="T835" s="799"/>
      <c r="U835" s="799"/>
      <c r="V835" s="799"/>
      <c r="W835" s="799"/>
      <c r="X835" s="799"/>
      <c r="Y835" s="799"/>
      <c r="Z835" s="799"/>
      <c r="AA835" s="799"/>
      <c r="AB835" s="799"/>
      <c r="AC835" s="799"/>
      <c r="AD835" s="799"/>
      <c r="AE835" s="799"/>
      <c r="AF835" s="799"/>
      <c r="AG835" s="799"/>
      <c r="AH835" s="799"/>
      <c r="AI835" s="799"/>
      <c r="AJ835" s="799"/>
      <c r="AK835" s="799"/>
      <c r="AL835" s="799"/>
      <c r="AM835" s="799"/>
      <c r="AN835" s="799"/>
      <c r="AO835" s="799"/>
      <c r="AP835" s="799"/>
      <c r="AQ835" s="799"/>
      <c r="AR835" s="799"/>
      <c r="AS835" s="799"/>
      <c r="AT835" s="799"/>
      <c r="AU835" s="799"/>
      <c r="AV835" s="799"/>
      <c r="AW835" s="799"/>
      <c r="AX835" s="799"/>
      <c r="AY835" s="799"/>
      <c r="AZ835" s="799"/>
      <c r="BA835" s="799"/>
      <c r="BB835" s="799"/>
      <c r="BC835" s="799"/>
      <c r="BD835" s="799"/>
      <c r="BE835" s="799"/>
      <c r="BF835" s="799"/>
      <c r="BG835" s="799"/>
    </row>
    <row r="836">
      <c r="H836" s="799"/>
      <c r="I836" s="799"/>
      <c r="J836" s="799"/>
      <c r="K836" s="799"/>
      <c r="L836" s="799"/>
      <c r="M836" s="799"/>
      <c r="N836" s="799"/>
      <c r="O836" s="799"/>
      <c r="P836" s="799"/>
      <c r="Q836" s="799"/>
      <c r="R836" s="799"/>
      <c r="S836" s="799"/>
      <c r="T836" s="799"/>
      <c r="U836" s="799"/>
      <c r="V836" s="799"/>
      <c r="W836" s="799"/>
      <c r="X836" s="799"/>
      <c r="Y836" s="799"/>
      <c r="Z836" s="799"/>
      <c r="AA836" s="799"/>
      <c r="AB836" s="799"/>
      <c r="AC836" s="799"/>
      <c r="AD836" s="799"/>
      <c r="AE836" s="799"/>
      <c r="AF836" s="799"/>
      <c r="AG836" s="799"/>
      <c r="AH836" s="799"/>
      <c r="AI836" s="799"/>
      <c r="AJ836" s="799"/>
      <c r="AK836" s="799"/>
      <c r="AL836" s="799"/>
      <c r="AM836" s="799"/>
      <c r="AN836" s="799"/>
      <c r="AO836" s="799"/>
      <c r="AP836" s="799"/>
      <c r="AQ836" s="799"/>
      <c r="AR836" s="799"/>
      <c r="AS836" s="799"/>
      <c r="AT836" s="799"/>
      <c r="AU836" s="799"/>
      <c r="AV836" s="799"/>
      <c r="AW836" s="799"/>
      <c r="AX836" s="799"/>
      <c r="AY836" s="799"/>
      <c r="AZ836" s="799"/>
      <c r="BA836" s="799"/>
      <c r="BB836" s="799"/>
      <c r="BC836" s="799"/>
      <c r="BD836" s="799"/>
      <c r="BE836" s="799"/>
      <c r="BF836" s="799"/>
      <c r="BG836" s="799"/>
    </row>
    <row r="837">
      <c r="H837" s="799"/>
      <c r="I837" s="799"/>
      <c r="J837" s="799"/>
      <c r="K837" s="799"/>
      <c r="L837" s="799"/>
      <c r="M837" s="799"/>
      <c r="N837" s="799"/>
      <c r="O837" s="799"/>
      <c r="P837" s="799"/>
      <c r="Q837" s="799"/>
      <c r="R837" s="799"/>
      <c r="S837" s="799"/>
      <c r="T837" s="799"/>
      <c r="U837" s="799"/>
      <c r="V837" s="799"/>
      <c r="W837" s="799"/>
      <c r="X837" s="799"/>
      <c r="Y837" s="799"/>
      <c r="Z837" s="799"/>
      <c r="AA837" s="799"/>
      <c r="AB837" s="799"/>
      <c r="AC837" s="799"/>
      <c r="AD837" s="799"/>
      <c r="AE837" s="799"/>
      <c r="AF837" s="799"/>
      <c r="AG837" s="799"/>
      <c r="AH837" s="799"/>
      <c r="AI837" s="799"/>
      <c r="AJ837" s="799"/>
      <c r="AK837" s="799"/>
      <c r="AL837" s="799"/>
      <c r="AM837" s="799"/>
      <c r="AN837" s="799"/>
      <c r="AO837" s="799"/>
      <c r="AP837" s="799"/>
      <c r="AQ837" s="799"/>
      <c r="AR837" s="799"/>
      <c r="AS837" s="799"/>
      <c r="AT837" s="799"/>
      <c r="AU837" s="799"/>
      <c r="AV837" s="799"/>
      <c r="AW837" s="799"/>
      <c r="AX837" s="799"/>
      <c r="AY837" s="799"/>
      <c r="AZ837" s="799"/>
      <c r="BA837" s="799"/>
      <c r="BB837" s="799"/>
      <c r="BC837" s="799"/>
      <c r="BD837" s="799"/>
      <c r="BE837" s="799"/>
      <c r="BF837" s="799"/>
      <c r="BG837" s="799"/>
    </row>
    <row r="838">
      <c r="H838" s="799"/>
      <c r="I838" s="799"/>
      <c r="J838" s="799"/>
      <c r="K838" s="799"/>
      <c r="L838" s="799"/>
      <c r="M838" s="799"/>
      <c r="N838" s="799"/>
      <c r="O838" s="799"/>
      <c r="P838" s="799"/>
      <c r="Q838" s="799"/>
      <c r="R838" s="799"/>
      <c r="S838" s="799"/>
      <c r="T838" s="799"/>
      <c r="U838" s="799"/>
      <c r="V838" s="799"/>
      <c r="W838" s="799"/>
      <c r="X838" s="799"/>
      <c r="Y838" s="799"/>
      <c r="Z838" s="799"/>
      <c r="AA838" s="799"/>
      <c r="AB838" s="799"/>
      <c r="AC838" s="799"/>
      <c r="AD838" s="799"/>
      <c r="AE838" s="799"/>
      <c r="AF838" s="799"/>
      <c r="AG838" s="799"/>
      <c r="AH838" s="799"/>
      <c r="AI838" s="799"/>
      <c r="AJ838" s="799"/>
      <c r="AK838" s="799"/>
      <c r="AL838" s="799"/>
      <c r="AM838" s="799"/>
      <c r="AN838" s="799"/>
      <c r="AO838" s="799"/>
      <c r="AP838" s="799"/>
      <c r="AQ838" s="799"/>
      <c r="AR838" s="799"/>
      <c r="AS838" s="799"/>
      <c r="AT838" s="799"/>
      <c r="AU838" s="799"/>
      <c r="AV838" s="799"/>
      <c r="AW838" s="799"/>
      <c r="AX838" s="799"/>
      <c r="AY838" s="799"/>
      <c r="AZ838" s="799"/>
      <c r="BA838" s="799"/>
      <c r="BB838" s="799"/>
      <c r="BC838" s="799"/>
      <c r="BD838" s="799"/>
      <c r="BE838" s="799"/>
      <c r="BF838" s="799"/>
      <c r="BG838" s="799"/>
    </row>
    <row r="839">
      <c r="H839" s="799"/>
      <c r="I839" s="799"/>
      <c r="J839" s="799"/>
      <c r="K839" s="799"/>
      <c r="L839" s="799"/>
      <c r="M839" s="799"/>
      <c r="N839" s="799"/>
      <c r="O839" s="799"/>
      <c r="P839" s="799"/>
      <c r="Q839" s="799"/>
      <c r="R839" s="799"/>
      <c r="S839" s="799"/>
      <c r="T839" s="799"/>
      <c r="U839" s="799"/>
      <c r="V839" s="799"/>
      <c r="W839" s="799"/>
      <c r="X839" s="799"/>
      <c r="Y839" s="799"/>
      <c r="Z839" s="799"/>
      <c r="AA839" s="799"/>
      <c r="AB839" s="799"/>
      <c r="AC839" s="799"/>
      <c r="AD839" s="799"/>
      <c r="AE839" s="799"/>
      <c r="AF839" s="799"/>
      <c r="AG839" s="799"/>
      <c r="AH839" s="799"/>
      <c r="AI839" s="799"/>
      <c r="AJ839" s="799"/>
      <c r="AK839" s="799"/>
      <c r="AL839" s="799"/>
      <c r="AM839" s="799"/>
      <c r="AN839" s="799"/>
      <c r="AO839" s="799"/>
      <c r="AP839" s="799"/>
      <c r="AQ839" s="799"/>
      <c r="AR839" s="799"/>
      <c r="AS839" s="799"/>
      <c r="AT839" s="799"/>
      <c r="AU839" s="799"/>
      <c r="AV839" s="799"/>
      <c r="AW839" s="799"/>
      <c r="AX839" s="799"/>
      <c r="AY839" s="799"/>
      <c r="AZ839" s="799"/>
      <c r="BA839" s="799"/>
      <c r="BB839" s="799"/>
      <c r="BC839" s="799"/>
      <c r="BD839" s="799"/>
      <c r="BE839" s="799"/>
      <c r="BF839" s="799"/>
      <c r="BG839" s="799"/>
    </row>
    <row r="840">
      <c r="H840" s="799"/>
      <c r="I840" s="799"/>
      <c r="J840" s="799"/>
      <c r="K840" s="799"/>
      <c r="L840" s="799"/>
      <c r="M840" s="799"/>
      <c r="N840" s="799"/>
      <c r="O840" s="799"/>
      <c r="P840" s="799"/>
      <c r="Q840" s="799"/>
      <c r="R840" s="799"/>
      <c r="S840" s="799"/>
      <c r="T840" s="799"/>
      <c r="U840" s="799"/>
      <c r="V840" s="799"/>
      <c r="W840" s="799"/>
      <c r="X840" s="799"/>
      <c r="Y840" s="799"/>
      <c r="Z840" s="799"/>
      <c r="AA840" s="799"/>
      <c r="AB840" s="799"/>
      <c r="AC840" s="799"/>
      <c r="AD840" s="799"/>
      <c r="AE840" s="799"/>
      <c r="AF840" s="799"/>
      <c r="AG840" s="799"/>
      <c r="AH840" s="799"/>
      <c r="AI840" s="799"/>
      <c r="AJ840" s="799"/>
      <c r="AK840" s="799"/>
      <c r="AL840" s="799"/>
      <c r="AM840" s="799"/>
      <c r="AN840" s="799"/>
      <c r="AO840" s="799"/>
      <c r="AP840" s="799"/>
      <c r="AQ840" s="799"/>
      <c r="AR840" s="799"/>
      <c r="AS840" s="799"/>
      <c r="AT840" s="799"/>
      <c r="AU840" s="799"/>
      <c r="AV840" s="799"/>
      <c r="AW840" s="799"/>
      <c r="AX840" s="799"/>
      <c r="AY840" s="799"/>
      <c r="AZ840" s="799"/>
      <c r="BA840" s="799"/>
      <c r="BB840" s="799"/>
      <c r="BC840" s="799"/>
      <c r="BD840" s="799"/>
      <c r="BE840" s="799"/>
      <c r="BF840" s="799"/>
      <c r="BG840" s="799"/>
    </row>
    <row r="841">
      <c r="H841" s="799"/>
      <c r="I841" s="799"/>
      <c r="J841" s="799"/>
      <c r="K841" s="799"/>
      <c r="L841" s="799"/>
      <c r="M841" s="799"/>
      <c r="N841" s="799"/>
      <c r="O841" s="799"/>
      <c r="P841" s="799"/>
      <c r="Q841" s="799"/>
      <c r="R841" s="799"/>
      <c r="S841" s="799"/>
      <c r="T841" s="799"/>
      <c r="U841" s="799"/>
      <c r="V841" s="799"/>
      <c r="W841" s="799"/>
      <c r="X841" s="799"/>
      <c r="Y841" s="799"/>
      <c r="Z841" s="799"/>
      <c r="AA841" s="799"/>
      <c r="AB841" s="799"/>
      <c r="AC841" s="799"/>
      <c r="AD841" s="799"/>
      <c r="AE841" s="799"/>
      <c r="AF841" s="799"/>
      <c r="AG841" s="799"/>
      <c r="AH841" s="799"/>
      <c r="AI841" s="799"/>
      <c r="AJ841" s="799"/>
      <c r="AK841" s="799"/>
      <c r="AL841" s="799"/>
      <c r="AM841" s="799"/>
      <c r="AN841" s="799"/>
      <c r="AO841" s="799"/>
      <c r="AP841" s="799"/>
      <c r="AQ841" s="799"/>
      <c r="AR841" s="799"/>
      <c r="AS841" s="799"/>
      <c r="AT841" s="799"/>
      <c r="AU841" s="799"/>
      <c r="AV841" s="799"/>
      <c r="AW841" s="799"/>
      <c r="AX841" s="799"/>
      <c r="AY841" s="799"/>
      <c r="AZ841" s="799"/>
      <c r="BA841" s="799"/>
      <c r="BB841" s="799"/>
      <c r="BC841" s="799"/>
      <c r="BD841" s="799"/>
      <c r="BE841" s="799"/>
      <c r="BF841" s="799"/>
      <c r="BG841" s="799"/>
    </row>
    <row r="842">
      <c r="H842" s="799"/>
      <c r="I842" s="799"/>
      <c r="J842" s="799"/>
      <c r="K842" s="799"/>
      <c r="L842" s="799"/>
      <c r="M842" s="799"/>
      <c r="N842" s="799"/>
      <c r="O842" s="799"/>
      <c r="P842" s="799"/>
      <c r="Q842" s="799"/>
      <c r="R842" s="799"/>
      <c r="S842" s="799"/>
      <c r="T842" s="799"/>
      <c r="U842" s="799"/>
      <c r="V842" s="799"/>
      <c r="W842" s="799"/>
      <c r="X842" s="799"/>
      <c r="Y842" s="799"/>
      <c r="Z842" s="799"/>
      <c r="AA842" s="799"/>
      <c r="AB842" s="799"/>
      <c r="AC842" s="799"/>
      <c r="AD842" s="799"/>
      <c r="AE842" s="799"/>
      <c r="AF842" s="799"/>
      <c r="AG842" s="799"/>
      <c r="AH842" s="799"/>
      <c r="AI842" s="799"/>
      <c r="AJ842" s="799"/>
      <c r="AK842" s="799"/>
      <c r="AL842" s="799"/>
      <c r="AM842" s="799"/>
      <c r="AN842" s="799"/>
      <c r="AO842" s="799"/>
      <c r="AP842" s="799"/>
      <c r="AQ842" s="799"/>
      <c r="AR842" s="799"/>
      <c r="AS842" s="799"/>
      <c r="AT842" s="799"/>
      <c r="AU842" s="799"/>
      <c r="AV842" s="799"/>
      <c r="AW842" s="799"/>
      <c r="AX842" s="799"/>
      <c r="AY842" s="799"/>
      <c r="AZ842" s="799"/>
      <c r="BA842" s="799"/>
      <c r="BB842" s="799"/>
      <c r="BC842" s="799"/>
      <c r="BD842" s="799"/>
      <c r="BE842" s="799"/>
      <c r="BF842" s="799"/>
      <c r="BG842" s="799"/>
    </row>
    <row r="843">
      <c r="H843" s="799"/>
      <c r="I843" s="799"/>
      <c r="J843" s="799"/>
      <c r="K843" s="799"/>
      <c r="L843" s="799"/>
      <c r="M843" s="799"/>
      <c r="N843" s="799"/>
      <c r="O843" s="799"/>
      <c r="P843" s="799"/>
      <c r="Q843" s="799"/>
      <c r="R843" s="799"/>
      <c r="S843" s="799"/>
      <c r="T843" s="799"/>
      <c r="U843" s="799"/>
      <c r="V843" s="799"/>
      <c r="W843" s="799"/>
      <c r="X843" s="799"/>
      <c r="Y843" s="799"/>
      <c r="Z843" s="799"/>
      <c r="AA843" s="799"/>
      <c r="AB843" s="799"/>
      <c r="AC843" s="799"/>
      <c r="AD843" s="799"/>
      <c r="AE843" s="799"/>
      <c r="AF843" s="799"/>
      <c r="AG843" s="799"/>
      <c r="AH843" s="799"/>
      <c r="AI843" s="799"/>
      <c r="AJ843" s="799"/>
      <c r="AK843" s="799"/>
      <c r="AL843" s="799"/>
      <c r="AM843" s="799"/>
      <c r="AN843" s="799"/>
      <c r="AO843" s="799"/>
      <c r="AP843" s="799"/>
      <c r="AQ843" s="799"/>
      <c r="AR843" s="799"/>
      <c r="AS843" s="799"/>
      <c r="AT843" s="799"/>
      <c r="AU843" s="799"/>
      <c r="AV843" s="799"/>
      <c r="AW843" s="799"/>
      <c r="AX843" s="799"/>
      <c r="AY843" s="799"/>
      <c r="AZ843" s="799"/>
      <c r="BA843" s="799"/>
      <c r="BB843" s="799"/>
      <c r="BC843" s="799"/>
      <c r="BD843" s="799"/>
      <c r="BE843" s="799"/>
      <c r="BF843" s="799"/>
      <c r="BG843" s="799"/>
    </row>
    <row r="844">
      <c r="H844" s="799"/>
      <c r="I844" s="799"/>
      <c r="J844" s="799"/>
      <c r="K844" s="799"/>
      <c r="L844" s="799"/>
      <c r="M844" s="799"/>
      <c r="N844" s="799"/>
      <c r="O844" s="799"/>
      <c r="P844" s="799"/>
      <c r="Q844" s="799"/>
      <c r="R844" s="799"/>
      <c r="S844" s="799"/>
      <c r="T844" s="799"/>
      <c r="U844" s="799"/>
      <c r="V844" s="799"/>
      <c r="W844" s="799"/>
      <c r="X844" s="799"/>
      <c r="Y844" s="799"/>
      <c r="Z844" s="799"/>
      <c r="AA844" s="799"/>
      <c r="AB844" s="799"/>
      <c r="AC844" s="799"/>
      <c r="AD844" s="799"/>
      <c r="AE844" s="799"/>
      <c r="AF844" s="799"/>
      <c r="AG844" s="799"/>
      <c r="AH844" s="799"/>
      <c r="AI844" s="799"/>
      <c r="AJ844" s="799"/>
      <c r="AK844" s="799"/>
      <c r="AL844" s="799"/>
      <c r="AM844" s="799"/>
      <c r="AN844" s="799"/>
      <c r="AO844" s="799"/>
      <c r="AP844" s="799"/>
      <c r="AQ844" s="799"/>
      <c r="AR844" s="799"/>
      <c r="AS844" s="799"/>
      <c r="AT844" s="799"/>
      <c r="AU844" s="799"/>
      <c r="AV844" s="799"/>
      <c r="AW844" s="799"/>
      <c r="AX844" s="799"/>
      <c r="AY844" s="799"/>
      <c r="AZ844" s="799"/>
      <c r="BA844" s="799"/>
      <c r="BB844" s="799"/>
      <c r="BC844" s="799"/>
      <c r="BD844" s="799"/>
      <c r="BE844" s="799"/>
      <c r="BF844" s="799"/>
      <c r="BG844" s="799"/>
    </row>
    <row r="845">
      <c r="H845" s="799"/>
      <c r="I845" s="799"/>
      <c r="J845" s="799"/>
      <c r="K845" s="799"/>
      <c r="L845" s="799"/>
      <c r="M845" s="799"/>
      <c r="N845" s="799"/>
      <c r="O845" s="799"/>
      <c r="P845" s="799"/>
      <c r="Q845" s="799"/>
      <c r="R845" s="799"/>
      <c r="S845" s="799"/>
      <c r="T845" s="799"/>
      <c r="U845" s="799"/>
      <c r="V845" s="799"/>
      <c r="W845" s="799"/>
      <c r="X845" s="799"/>
      <c r="Y845" s="799"/>
      <c r="Z845" s="799"/>
      <c r="AA845" s="799"/>
      <c r="AB845" s="799"/>
      <c r="AC845" s="799"/>
      <c r="AD845" s="799"/>
      <c r="AE845" s="799"/>
      <c r="AF845" s="799"/>
      <c r="AG845" s="799"/>
      <c r="AH845" s="799"/>
      <c r="AI845" s="799"/>
      <c r="AJ845" s="799"/>
      <c r="AK845" s="799"/>
      <c r="AL845" s="799"/>
      <c r="AM845" s="799"/>
      <c r="AN845" s="799"/>
      <c r="AO845" s="799"/>
      <c r="AP845" s="799"/>
      <c r="AQ845" s="799"/>
      <c r="AR845" s="799"/>
      <c r="AS845" s="799"/>
      <c r="AT845" s="799"/>
      <c r="AU845" s="799"/>
      <c r="AV845" s="799"/>
      <c r="AW845" s="799"/>
      <c r="AX845" s="799"/>
      <c r="AY845" s="799"/>
      <c r="AZ845" s="799"/>
      <c r="BA845" s="799"/>
      <c r="BB845" s="799"/>
      <c r="BC845" s="799"/>
      <c r="BD845" s="799"/>
      <c r="BE845" s="799"/>
      <c r="BF845" s="799"/>
      <c r="BG845" s="799"/>
    </row>
    <row r="846">
      <c r="H846" s="799"/>
      <c r="I846" s="799"/>
      <c r="J846" s="799"/>
      <c r="K846" s="799"/>
      <c r="L846" s="799"/>
      <c r="M846" s="799"/>
      <c r="N846" s="799"/>
      <c r="O846" s="799"/>
      <c r="P846" s="799"/>
      <c r="Q846" s="799"/>
      <c r="R846" s="799"/>
      <c r="S846" s="799"/>
      <c r="T846" s="799"/>
      <c r="U846" s="799"/>
      <c r="V846" s="799"/>
      <c r="W846" s="799"/>
      <c r="X846" s="799"/>
      <c r="Y846" s="799"/>
      <c r="Z846" s="799"/>
      <c r="AA846" s="799"/>
      <c r="AB846" s="799"/>
      <c r="AC846" s="799"/>
      <c r="AD846" s="799"/>
      <c r="AE846" s="799"/>
      <c r="AF846" s="799"/>
      <c r="AG846" s="799"/>
      <c r="AH846" s="799"/>
      <c r="AI846" s="799"/>
      <c r="AJ846" s="799"/>
      <c r="AK846" s="799"/>
      <c r="AL846" s="799"/>
      <c r="AM846" s="799"/>
      <c r="AN846" s="799"/>
      <c r="AO846" s="799"/>
      <c r="AP846" s="799"/>
      <c r="AQ846" s="799"/>
      <c r="AR846" s="799"/>
      <c r="AS846" s="799"/>
      <c r="AT846" s="799"/>
      <c r="AU846" s="799"/>
      <c r="AV846" s="799"/>
      <c r="AW846" s="799"/>
      <c r="AX846" s="799"/>
      <c r="AY846" s="799"/>
      <c r="AZ846" s="799"/>
      <c r="BA846" s="799"/>
      <c r="BB846" s="799"/>
      <c r="BC846" s="799"/>
      <c r="BD846" s="799"/>
      <c r="BE846" s="799"/>
      <c r="BF846" s="799"/>
      <c r="BG846" s="799"/>
    </row>
    <row r="847">
      <c r="H847" s="799"/>
      <c r="I847" s="799"/>
      <c r="J847" s="799"/>
      <c r="K847" s="799"/>
      <c r="L847" s="799"/>
      <c r="M847" s="799"/>
      <c r="N847" s="799"/>
      <c r="O847" s="799"/>
      <c r="P847" s="799"/>
      <c r="Q847" s="799"/>
      <c r="R847" s="799"/>
      <c r="S847" s="799"/>
      <c r="T847" s="799"/>
      <c r="U847" s="799"/>
      <c r="V847" s="799"/>
      <c r="W847" s="799"/>
      <c r="X847" s="799"/>
      <c r="Y847" s="799"/>
      <c r="Z847" s="799"/>
      <c r="AA847" s="799"/>
      <c r="AB847" s="799"/>
      <c r="AC847" s="799"/>
      <c r="AD847" s="799"/>
      <c r="AE847" s="799"/>
      <c r="AF847" s="799"/>
      <c r="AG847" s="799"/>
      <c r="AH847" s="799"/>
      <c r="AI847" s="799"/>
      <c r="AJ847" s="799"/>
      <c r="AK847" s="799"/>
      <c r="AL847" s="799"/>
      <c r="AM847" s="799"/>
      <c r="AN847" s="799"/>
      <c r="AO847" s="799"/>
      <c r="AP847" s="799"/>
      <c r="AQ847" s="799"/>
      <c r="AR847" s="799"/>
      <c r="AS847" s="799"/>
      <c r="AT847" s="799"/>
      <c r="AU847" s="799"/>
      <c r="AV847" s="799"/>
      <c r="AW847" s="799"/>
      <c r="AX847" s="799"/>
      <c r="AY847" s="799"/>
      <c r="AZ847" s="799"/>
      <c r="BA847" s="799"/>
      <c r="BB847" s="799"/>
      <c r="BC847" s="799"/>
      <c r="BD847" s="799"/>
      <c r="BE847" s="799"/>
      <c r="BF847" s="799"/>
      <c r="BG847" s="799"/>
    </row>
    <row r="848">
      <c r="H848" s="799"/>
      <c r="I848" s="799"/>
      <c r="J848" s="799"/>
      <c r="K848" s="799"/>
      <c r="L848" s="799"/>
      <c r="M848" s="799"/>
      <c r="N848" s="799"/>
      <c r="O848" s="799"/>
      <c r="P848" s="799"/>
      <c r="Q848" s="799"/>
      <c r="R848" s="799"/>
      <c r="S848" s="799"/>
      <c r="T848" s="799"/>
      <c r="U848" s="799"/>
      <c r="V848" s="799"/>
      <c r="W848" s="799"/>
      <c r="X848" s="799"/>
      <c r="Y848" s="799"/>
      <c r="Z848" s="799"/>
      <c r="AA848" s="799"/>
      <c r="AB848" s="799"/>
      <c r="AC848" s="799"/>
      <c r="AD848" s="799"/>
      <c r="AE848" s="799"/>
      <c r="AF848" s="799"/>
      <c r="AG848" s="799"/>
      <c r="AH848" s="799"/>
      <c r="AI848" s="799"/>
      <c r="AJ848" s="799"/>
      <c r="AK848" s="799"/>
      <c r="AL848" s="799"/>
      <c r="AM848" s="799"/>
      <c r="AN848" s="799"/>
      <c r="AO848" s="799"/>
      <c r="AP848" s="799"/>
      <c r="AQ848" s="799"/>
      <c r="AR848" s="799"/>
      <c r="AS848" s="799"/>
      <c r="AT848" s="799"/>
      <c r="AU848" s="799"/>
      <c r="AV848" s="799"/>
      <c r="AW848" s="799"/>
      <c r="AX848" s="799"/>
      <c r="AY848" s="799"/>
      <c r="AZ848" s="799"/>
      <c r="BA848" s="799"/>
      <c r="BB848" s="799"/>
      <c r="BC848" s="799"/>
      <c r="BD848" s="799"/>
      <c r="BE848" s="799"/>
      <c r="BF848" s="799"/>
      <c r="BG848" s="799"/>
    </row>
    <row r="849">
      <c r="H849" s="799"/>
      <c r="I849" s="799"/>
      <c r="J849" s="799"/>
      <c r="K849" s="799"/>
      <c r="L849" s="799"/>
      <c r="M849" s="799"/>
      <c r="N849" s="799"/>
      <c r="O849" s="799"/>
      <c r="P849" s="799"/>
      <c r="Q849" s="799"/>
      <c r="R849" s="799"/>
      <c r="S849" s="799"/>
      <c r="T849" s="799"/>
      <c r="U849" s="799"/>
      <c r="V849" s="799"/>
      <c r="W849" s="799"/>
      <c r="X849" s="799"/>
      <c r="Y849" s="799"/>
      <c r="Z849" s="799"/>
      <c r="AA849" s="799"/>
      <c r="AB849" s="799"/>
      <c r="AC849" s="799"/>
      <c r="AD849" s="799"/>
      <c r="AE849" s="799"/>
      <c r="AF849" s="799"/>
      <c r="AG849" s="799"/>
      <c r="AH849" s="799"/>
      <c r="AI849" s="799"/>
      <c r="AJ849" s="799"/>
      <c r="AK849" s="799"/>
      <c r="AL849" s="799"/>
      <c r="AM849" s="799"/>
      <c r="AN849" s="799"/>
      <c r="AO849" s="799"/>
      <c r="AP849" s="799"/>
      <c r="AQ849" s="799"/>
      <c r="AR849" s="799"/>
      <c r="AS849" s="799"/>
      <c r="AT849" s="799"/>
      <c r="AU849" s="799"/>
      <c r="AV849" s="799"/>
      <c r="AW849" s="799"/>
      <c r="AX849" s="799"/>
      <c r="AY849" s="799"/>
      <c r="AZ849" s="799"/>
      <c r="BA849" s="799"/>
      <c r="BB849" s="799"/>
      <c r="BC849" s="799"/>
      <c r="BD849" s="799"/>
      <c r="BE849" s="799"/>
      <c r="BF849" s="799"/>
      <c r="BG849" s="799"/>
    </row>
    <row r="850">
      <c r="H850" s="799"/>
      <c r="I850" s="799"/>
      <c r="J850" s="799"/>
      <c r="K850" s="799"/>
      <c r="L850" s="799"/>
      <c r="M850" s="799"/>
      <c r="N850" s="799"/>
      <c r="O850" s="799"/>
      <c r="P850" s="799"/>
      <c r="Q850" s="799"/>
      <c r="R850" s="799"/>
      <c r="S850" s="799"/>
      <c r="T850" s="799"/>
      <c r="U850" s="799"/>
      <c r="V850" s="799"/>
      <c r="W850" s="799"/>
      <c r="X850" s="799"/>
      <c r="Y850" s="799"/>
      <c r="Z850" s="799"/>
      <c r="AA850" s="799"/>
      <c r="AB850" s="799"/>
      <c r="AC850" s="799"/>
      <c r="AD850" s="799"/>
      <c r="AE850" s="799"/>
      <c r="AF850" s="799"/>
      <c r="AG850" s="799"/>
      <c r="AH850" s="799"/>
      <c r="AI850" s="799"/>
      <c r="AJ850" s="799"/>
      <c r="AK850" s="799"/>
      <c r="AL850" s="799"/>
      <c r="AM850" s="799"/>
      <c r="AN850" s="799"/>
      <c r="AO850" s="799"/>
      <c r="AP850" s="799"/>
      <c r="AQ850" s="799"/>
      <c r="AR850" s="799"/>
      <c r="AS850" s="799"/>
      <c r="AT850" s="799"/>
      <c r="AU850" s="799"/>
      <c r="AV850" s="799"/>
      <c r="AW850" s="799"/>
      <c r="AX850" s="799"/>
      <c r="AY850" s="799"/>
      <c r="AZ850" s="799"/>
      <c r="BA850" s="799"/>
      <c r="BB850" s="799"/>
      <c r="BC850" s="799"/>
      <c r="BD850" s="799"/>
      <c r="BE850" s="799"/>
      <c r="BF850" s="799"/>
      <c r="BG850" s="799"/>
    </row>
    <row r="851">
      <c r="H851" s="799"/>
      <c r="I851" s="799"/>
      <c r="J851" s="799"/>
      <c r="K851" s="799"/>
      <c r="L851" s="799"/>
      <c r="M851" s="799"/>
      <c r="N851" s="799"/>
      <c r="O851" s="799"/>
      <c r="P851" s="799"/>
      <c r="Q851" s="799"/>
      <c r="R851" s="799"/>
      <c r="S851" s="799"/>
      <c r="T851" s="799"/>
      <c r="U851" s="799"/>
      <c r="V851" s="799"/>
      <c r="W851" s="799"/>
      <c r="X851" s="799"/>
      <c r="Y851" s="799"/>
      <c r="Z851" s="799"/>
      <c r="AA851" s="799"/>
      <c r="AB851" s="799"/>
      <c r="AC851" s="799"/>
      <c r="AD851" s="799"/>
      <c r="AE851" s="799"/>
      <c r="AF851" s="799"/>
      <c r="AG851" s="799"/>
      <c r="AH851" s="799"/>
      <c r="AI851" s="799"/>
      <c r="AJ851" s="799"/>
      <c r="AK851" s="799"/>
      <c r="AL851" s="799"/>
      <c r="AM851" s="799"/>
      <c r="AN851" s="799"/>
      <c r="AO851" s="799"/>
      <c r="AP851" s="799"/>
      <c r="AQ851" s="799"/>
      <c r="AR851" s="799"/>
      <c r="AS851" s="799"/>
      <c r="AT851" s="799"/>
      <c r="AU851" s="799"/>
      <c r="AV851" s="799"/>
      <c r="AW851" s="799"/>
      <c r="AX851" s="799"/>
      <c r="AY851" s="799"/>
      <c r="AZ851" s="799"/>
      <c r="BA851" s="799"/>
      <c r="BB851" s="799"/>
      <c r="BC851" s="799"/>
      <c r="BD851" s="799"/>
      <c r="BE851" s="799"/>
      <c r="BF851" s="799"/>
      <c r="BG851" s="799"/>
    </row>
    <row r="852">
      <c r="H852" s="799"/>
      <c r="I852" s="799"/>
      <c r="J852" s="799"/>
      <c r="K852" s="799"/>
      <c r="L852" s="799"/>
      <c r="M852" s="799"/>
      <c r="N852" s="799"/>
      <c r="O852" s="799"/>
      <c r="P852" s="799"/>
      <c r="Q852" s="799"/>
      <c r="R852" s="799"/>
      <c r="S852" s="799"/>
      <c r="T852" s="799"/>
      <c r="U852" s="799"/>
      <c r="V852" s="799"/>
      <c r="W852" s="799"/>
      <c r="X852" s="799"/>
      <c r="Y852" s="799"/>
      <c r="Z852" s="799"/>
      <c r="AA852" s="799"/>
      <c r="AB852" s="799"/>
      <c r="AC852" s="799"/>
      <c r="AD852" s="799"/>
      <c r="AE852" s="799"/>
      <c r="AF852" s="799"/>
      <c r="AG852" s="799"/>
      <c r="AH852" s="799"/>
      <c r="AI852" s="799"/>
      <c r="AJ852" s="799"/>
      <c r="AK852" s="799"/>
      <c r="AL852" s="799"/>
      <c r="AM852" s="799"/>
      <c r="AN852" s="799"/>
      <c r="AO852" s="799"/>
      <c r="AP852" s="799"/>
      <c r="AQ852" s="799"/>
      <c r="AR852" s="799"/>
      <c r="AS852" s="799"/>
      <c r="AT852" s="799"/>
      <c r="AU852" s="799"/>
      <c r="AV852" s="799"/>
      <c r="AW852" s="799"/>
      <c r="AX852" s="799"/>
      <c r="AY852" s="799"/>
      <c r="AZ852" s="799"/>
      <c r="BA852" s="799"/>
      <c r="BB852" s="799"/>
      <c r="BC852" s="799"/>
      <c r="BD852" s="799"/>
      <c r="BE852" s="799"/>
      <c r="BF852" s="799"/>
      <c r="BG852" s="799"/>
    </row>
    <row r="853">
      <c r="H853" s="799"/>
      <c r="I853" s="799"/>
      <c r="J853" s="799"/>
      <c r="K853" s="799"/>
      <c r="L853" s="799"/>
      <c r="M853" s="799"/>
      <c r="N853" s="799"/>
      <c r="O853" s="799"/>
      <c r="P853" s="799"/>
      <c r="Q853" s="799"/>
      <c r="R853" s="799"/>
      <c r="S853" s="799"/>
      <c r="T853" s="799"/>
      <c r="U853" s="799"/>
      <c r="V853" s="799"/>
      <c r="W853" s="799"/>
      <c r="X853" s="799"/>
      <c r="Y853" s="799"/>
      <c r="Z853" s="799"/>
      <c r="AA853" s="799"/>
      <c r="AB853" s="799"/>
      <c r="AC853" s="799"/>
      <c r="AD853" s="799"/>
      <c r="AE853" s="799"/>
      <c r="AF853" s="799"/>
      <c r="AG853" s="799"/>
      <c r="AH853" s="799"/>
      <c r="AI853" s="799"/>
      <c r="AJ853" s="799"/>
      <c r="AK853" s="799"/>
      <c r="AL853" s="799"/>
      <c r="AM853" s="799"/>
      <c r="AN853" s="799"/>
      <c r="AO853" s="799"/>
      <c r="AP853" s="799"/>
      <c r="AQ853" s="799"/>
      <c r="AR853" s="799"/>
      <c r="AS853" s="799"/>
      <c r="AT853" s="799"/>
      <c r="AU853" s="799"/>
      <c r="AV853" s="799"/>
      <c r="AW853" s="799"/>
      <c r="AX853" s="799"/>
      <c r="AY853" s="799"/>
      <c r="AZ853" s="799"/>
      <c r="BA853" s="799"/>
      <c r="BB853" s="799"/>
      <c r="BC853" s="799"/>
      <c r="BD853" s="799"/>
      <c r="BE853" s="799"/>
      <c r="BF853" s="799"/>
      <c r="BG853" s="799"/>
    </row>
    <row r="854">
      <c r="H854" s="799"/>
      <c r="I854" s="799"/>
      <c r="J854" s="799"/>
      <c r="K854" s="799"/>
      <c r="L854" s="799"/>
      <c r="M854" s="799"/>
      <c r="N854" s="799"/>
      <c r="O854" s="799"/>
      <c r="P854" s="799"/>
      <c r="Q854" s="799"/>
      <c r="R854" s="799"/>
      <c r="S854" s="799"/>
      <c r="T854" s="799"/>
      <c r="U854" s="799"/>
      <c r="V854" s="799"/>
      <c r="W854" s="799"/>
      <c r="X854" s="799"/>
      <c r="Y854" s="799"/>
      <c r="Z854" s="799"/>
      <c r="AA854" s="799"/>
      <c r="AB854" s="799"/>
      <c r="AC854" s="799"/>
      <c r="AD854" s="799"/>
      <c r="AE854" s="799"/>
      <c r="AF854" s="799"/>
      <c r="AG854" s="799"/>
      <c r="AH854" s="799"/>
      <c r="AI854" s="799"/>
      <c r="AJ854" s="799"/>
      <c r="AK854" s="799"/>
      <c r="AL854" s="799"/>
      <c r="AM854" s="799"/>
      <c r="AN854" s="799"/>
      <c r="AO854" s="799"/>
      <c r="AP854" s="799"/>
      <c r="AQ854" s="799"/>
      <c r="AR854" s="799"/>
      <c r="AS854" s="799"/>
      <c r="AT854" s="799"/>
      <c r="AU854" s="799"/>
      <c r="AV854" s="799"/>
      <c r="AW854" s="799"/>
      <c r="AX854" s="799"/>
      <c r="AY854" s="799"/>
      <c r="AZ854" s="799"/>
      <c r="BA854" s="799"/>
      <c r="BB854" s="799"/>
      <c r="BC854" s="799"/>
      <c r="BD854" s="799"/>
      <c r="BE854" s="799"/>
      <c r="BF854" s="799"/>
      <c r="BG854" s="799"/>
    </row>
    <row r="855">
      <c r="H855" s="799"/>
      <c r="I855" s="799"/>
      <c r="J855" s="799"/>
      <c r="K855" s="799"/>
      <c r="L855" s="799"/>
      <c r="M855" s="799"/>
      <c r="N855" s="799"/>
      <c r="O855" s="799"/>
      <c r="P855" s="799"/>
      <c r="Q855" s="799"/>
      <c r="R855" s="799"/>
      <c r="S855" s="799"/>
      <c r="T855" s="799"/>
      <c r="U855" s="799"/>
      <c r="V855" s="799"/>
      <c r="W855" s="799"/>
      <c r="X855" s="799"/>
      <c r="Y855" s="799"/>
      <c r="Z855" s="799"/>
      <c r="AA855" s="799"/>
      <c r="AB855" s="799"/>
      <c r="AC855" s="799"/>
      <c r="AD855" s="799"/>
      <c r="AE855" s="799"/>
      <c r="AF855" s="799"/>
      <c r="AG855" s="799"/>
      <c r="AH855" s="799"/>
      <c r="AI855" s="799"/>
      <c r="AJ855" s="799"/>
      <c r="AK855" s="799"/>
      <c r="AL855" s="799"/>
      <c r="AM855" s="799"/>
      <c r="AN855" s="799"/>
      <c r="AO855" s="799"/>
      <c r="AP855" s="799"/>
      <c r="AQ855" s="799"/>
      <c r="AR855" s="799"/>
      <c r="AS855" s="799"/>
      <c r="AT855" s="799"/>
      <c r="AU855" s="799"/>
      <c r="AV855" s="799"/>
      <c r="AW855" s="799"/>
      <c r="AX855" s="799"/>
      <c r="AY855" s="799"/>
      <c r="AZ855" s="799"/>
      <c r="BA855" s="799"/>
      <c r="BB855" s="799"/>
      <c r="BC855" s="799"/>
      <c r="BD855" s="799"/>
      <c r="BE855" s="799"/>
      <c r="BF855" s="799"/>
      <c r="BG855" s="799"/>
    </row>
    <row r="856">
      <c r="H856" s="799"/>
      <c r="I856" s="799"/>
      <c r="J856" s="799"/>
      <c r="K856" s="799"/>
      <c r="L856" s="799"/>
      <c r="M856" s="799"/>
      <c r="N856" s="799"/>
      <c r="O856" s="799"/>
      <c r="P856" s="799"/>
      <c r="Q856" s="799"/>
      <c r="R856" s="799"/>
      <c r="S856" s="799"/>
      <c r="T856" s="799"/>
      <c r="U856" s="799"/>
      <c r="V856" s="799"/>
      <c r="W856" s="799"/>
      <c r="X856" s="799"/>
      <c r="Y856" s="799"/>
      <c r="Z856" s="799"/>
      <c r="AA856" s="799"/>
      <c r="AB856" s="799"/>
      <c r="AC856" s="799"/>
      <c r="AD856" s="799"/>
      <c r="AE856" s="799"/>
      <c r="AF856" s="799"/>
      <c r="AG856" s="799"/>
      <c r="AH856" s="799"/>
      <c r="AI856" s="799"/>
      <c r="AJ856" s="799"/>
      <c r="AK856" s="799"/>
      <c r="AL856" s="799"/>
      <c r="AM856" s="799"/>
      <c r="AN856" s="799"/>
      <c r="AO856" s="799"/>
      <c r="AP856" s="799"/>
      <c r="AQ856" s="799"/>
      <c r="AR856" s="799"/>
      <c r="AS856" s="799"/>
      <c r="AT856" s="799"/>
      <c r="AU856" s="799"/>
      <c r="AV856" s="799"/>
      <c r="AW856" s="799"/>
      <c r="AX856" s="799"/>
      <c r="AY856" s="799"/>
      <c r="AZ856" s="799"/>
      <c r="BA856" s="799"/>
      <c r="BB856" s="799"/>
      <c r="BC856" s="799"/>
      <c r="BD856" s="799"/>
      <c r="BE856" s="799"/>
      <c r="BF856" s="799"/>
      <c r="BG856" s="799"/>
    </row>
    <row r="857">
      <c r="H857" s="799"/>
      <c r="I857" s="799"/>
      <c r="J857" s="799"/>
      <c r="K857" s="799"/>
      <c r="L857" s="799"/>
      <c r="M857" s="799"/>
      <c r="N857" s="799"/>
      <c r="O857" s="799"/>
      <c r="P857" s="799"/>
      <c r="Q857" s="799"/>
      <c r="R857" s="799"/>
      <c r="S857" s="799"/>
      <c r="T857" s="799"/>
      <c r="U857" s="799"/>
      <c r="V857" s="799"/>
      <c r="W857" s="799"/>
      <c r="X857" s="799"/>
      <c r="Y857" s="799"/>
      <c r="Z857" s="799"/>
      <c r="AA857" s="799"/>
      <c r="AB857" s="799"/>
      <c r="AC857" s="799"/>
      <c r="AD857" s="799"/>
      <c r="AE857" s="799"/>
      <c r="AF857" s="799"/>
      <c r="AG857" s="799"/>
      <c r="AH857" s="799"/>
      <c r="AI857" s="799"/>
      <c r="AJ857" s="799"/>
      <c r="AK857" s="799"/>
      <c r="AL857" s="799"/>
      <c r="AM857" s="799"/>
      <c r="AN857" s="799"/>
      <c r="AO857" s="799"/>
      <c r="AP857" s="799"/>
      <c r="AQ857" s="799"/>
      <c r="AR857" s="799"/>
      <c r="AS857" s="799"/>
      <c r="AT857" s="799"/>
      <c r="AU857" s="799"/>
      <c r="AV857" s="799"/>
      <c r="AW857" s="799"/>
      <c r="AX857" s="799"/>
      <c r="AY857" s="799"/>
      <c r="AZ857" s="799"/>
      <c r="BA857" s="799"/>
      <c r="BB857" s="799"/>
      <c r="BC857" s="799"/>
      <c r="BD857" s="799"/>
      <c r="BE857" s="799"/>
      <c r="BF857" s="799"/>
      <c r="BG857" s="799"/>
    </row>
    <row r="858">
      <c r="H858" s="799"/>
      <c r="I858" s="799"/>
      <c r="J858" s="799"/>
      <c r="K858" s="799"/>
      <c r="L858" s="799"/>
      <c r="M858" s="799"/>
      <c r="N858" s="799"/>
      <c r="O858" s="799"/>
      <c r="P858" s="799"/>
      <c r="Q858" s="799"/>
      <c r="R858" s="799"/>
      <c r="S858" s="799"/>
      <c r="T858" s="799"/>
      <c r="U858" s="799"/>
      <c r="V858" s="799"/>
      <c r="W858" s="799"/>
      <c r="X858" s="799"/>
      <c r="Y858" s="799"/>
      <c r="Z858" s="799"/>
      <c r="AA858" s="799"/>
      <c r="AB858" s="799"/>
      <c r="AC858" s="799"/>
      <c r="AD858" s="799"/>
      <c r="AE858" s="799"/>
      <c r="AF858" s="799"/>
      <c r="AG858" s="799"/>
      <c r="AH858" s="799"/>
      <c r="AI858" s="799"/>
      <c r="AJ858" s="799"/>
      <c r="AK858" s="799"/>
      <c r="AL858" s="799"/>
      <c r="AM858" s="799"/>
      <c r="AN858" s="799"/>
      <c r="AO858" s="799"/>
      <c r="AP858" s="799"/>
      <c r="AQ858" s="799"/>
      <c r="AR858" s="799"/>
      <c r="AS858" s="799"/>
      <c r="AT858" s="799"/>
      <c r="AU858" s="799"/>
      <c r="AV858" s="799"/>
      <c r="AW858" s="799"/>
      <c r="AX858" s="799"/>
      <c r="AY858" s="799"/>
      <c r="AZ858" s="799"/>
      <c r="BA858" s="799"/>
      <c r="BB858" s="799"/>
      <c r="BC858" s="799"/>
      <c r="BD858" s="799"/>
      <c r="BE858" s="799"/>
      <c r="BF858" s="799"/>
      <c r="BG858" s="799"/>
    </row>
    <row r="859">
      <c r="H859" s="799"/>
      <c r="I859" s="799"/>
      <c r="J859" s="799"/>
      <c r="K859" s="799"/>
      <c r="L859" s="799"/>
      <c r="M859" s="799"/>
      <c r="N859" s="799"/>
      <c r="O859" s="799"/>
      <c r="P859" s="799"/>
      <c r="Q859" s="799"/>
      <c r="R859" s="799"/>
      <c r="S859" s="799"/>
      <c r="T859" s="799"/>
      <c r="U859" s="799"/>
      <c r="V859" s="799"/>
      <c r="W859" s="799"/>
      <c r="X859" s="799"/>
      <c r="Y859" s="799"/>
      <c r="Z859" s="799"/>
      <c r="AA859" s="799"/>
      <c r="AB859" s="799"/>
      <c r="AC859" s="799"/>
      <c r="AD859" s="799"/>
      <c r="AE859" s="799"/>
      <c r="AF859" s="799"/>
      <c r="AG859" s="799"/>
      <c r="AH859" s="799"/>
      <c r="AI859" s="799"/>
      <c r="AJ859" s="799"/>
      <c r="AK859" s="799"/>
      <c r="AL859" s="799"/>
      <c r="AM859" s="799"/>
      <c r="AN859" s="799"/>
      <c r="AO859" s="799"/>
      <c r="AP859" s="799"/>
      <c r="AQ859" s="799"/>
      <c r="AR859" s="799"/>
      <c r="AS859" s="799"/>
      <c r="AT859" s="799"/>
      <c r="AU859" s="799"/>
      <c r="AV859" s="799"/>
      <c r="AW859" s="799"/>
      <c r="AX859" s="799"/>
      <c r="AY859" s="799"/>
      <c r="AZ859" s="799"/>
      <c r="BA859" s="799"/>
      <c r="BB859" s="799"/>
      <c r="BC859" s="799"/>
      <c r="BD859" s="799"/>
      <c r="BE859" s="799"/>
      <c r="BF859" s="799"/>
      <c r="BG859" s="799"/>
    </row>
    <row r="860">
      <c r="H860" s="799"/>
      <c r="I860" s="799"/>
      <c r="J860" s="799"/>
      <c r="K860" s="799"/>
      <c r="L860" s="799"/>
      <c r="M860" s="799"/>
      <c r="N860" s="799"/>
      <c r="O860" s="799"/>
      <c r="P860" s="799"/>
      <c r="Q860" s="799"/>
      <c r="R860" s="799"/>
      <c r="S860" s="799"/>
      <c r="T860" s="799"/>
      <c r="U860" s="799"/>
      <c r="V860" s="799"/>
      <c r="W860" s="799"/>
      <c r="X860" s="799"/>
      <c r="Y860" s="799"/>
      <c r="Z860" s="799"/>
      <c r="AA860" s="799"/>
      <c r="AB860" s="799"/>
      <c r="AC860" s="799"/>
      <c r="AD860" s="799"/>
      <c r="AE860" s="799"/>
      <c r="AF860" s="799"/>
      <c r="AG860" s="799"/>
      <c r="AH860" s="799"/>
      <c r="AI860" s="799"/>
      <c r="AJ860" s="799"/>
      <c r="AK860" s="799"/>
      <c r="AL860" s="799"/>
      <c r="AM860" s="799"/>
      <c r="AN860" s="799"/>
      <c r="AO860" s="799"/>
      <c r="AP860" s="799"/>
      <c r="AQ860" s="799"/>
      <c r="AR860" s="799"/>
      <c r="AS860" s="799"/>
      <c r="AT860" s="799"/>
      <c r="AU860" s="799"/>
      <c r="AV860" s="799"/>
      <c r="AW860" s="799"/>
      <c r="AX860" s="799"/>
      <c r="AY860" s="799"/>
      <c r="AZ860" s="799"/>
      <c r="BA860" s="799"/>
      <c r="BB860" s="799"/>
      <c r="BC860" s="799"/>
      <c r="BD860" s="799"/>
      <c r="BE860" s="799"/>
      <c r="BF860" s="799"/>
      <c r="BG860" s="799"/>
    </row>
    <row r="861">
      <c r="H861" s="799"/>
      <c r="I861" s="799"/>
      <c r="J861" s="799"/>
      <c r="K861" s="799"/>
      <c r="L861" s="799"/>
      <c r="M861" s="799"/>
      <c r="N861" s="799"/>
      <c r="O861" s="799"/>
      <c r="P861" s="799"/>
      <c r="Q861" s="799"/>
      <c r="R861" s="799"/>
      <c r="S861" s="799"/>
      <c r="T861" s="799"/>
      <c r="U861" s="799"/>
      <c r="V861" s="799"/>
      <c r="W861" s="799"/>
      <c r="X861" s="799"/>
      <c r="Y861" s="799"/>
      <c r="Z861" s="799"/>
      <c r="AA861" s="799"/>
      <c r="AB861" s="799"/>
      <c r="AC861" s="799"/>
      <c r="AD861" s="799"/>
      <c r="AE861" s="799"/>
      <c r="AF861" s="799"/>
      <c r="AG861" s="799"/>
      <c r="AH861" s="799"/>
      <c r="AI861" s="799"/>
      <c r="AJ861" s="799"/>
      <c r="AK861" s="799"/>
      <c r="AL861" s="799"/>
      <c r="AM861" s="799"/>
      <c r="AN861" s="799"/>
      <c r="AO861" s="799"/>
      <c r="AP861" s="799"/>
      <c r="AQ861" s="799"/>
      <c r="AR861" s="799"/>
      <c r="AS861" s="799"/>
      <c r="AT861" s="799"/>
      <c r="AU861" s="799"/>
      <c r="AV861" s="799"/>
      <c r="AW861" s="799"/>
      <c r="AX861" s="799"/>
      <c r="AY861" s="799"/>
      <c r="AZ861" s="799"/>
      <c r="BA861" s="799"/>
      <c r="BB861" s="799"/>
      <c r="BC861" s="799"/>
      <c r="BD861" s="799"/>
      <c r="BE861" s="799"/>
      <c r="BF861" s="799"/>
      <c r="BG861" s="799"/>
    </row>
    <row r="862">
      <c r="H862" s="799"/>
      <c r="I862" s="799"/>
      <c r="J862" s="799"/>
      <c r="K862" s="799"/>
      <c r="L862" s="799"/>
      <c r="M862" s="799"/>
      <c r="N862" s="799"/>
      <c r="O862" s="799"/>
      <c r="P862" s="799"/>
      <c r="Q862" s="799"/>
      <c r="R862" s="799"/>
      <c r="S862" s="799"/>
      <c r="T862" s="799"/>
      <c r="U862" s="799"/>
      <c r="V862" s="799"/>
      <c r="W862" s="799"/>
      <c r="X862" s="799"/>
      <c r="Y862" s="799"/>
      <c r="Z862" s="799"/>
      <c r="AA862" s="799"/>
      <c r="AB862" s="799"/>
      <c r="AC862" s="799"/>
      <c r="AD862" s="799"/>
      <c r="AE862" s="799"/>
      <c r="AF862" s="799"/>
      <c r="AG862" s="799"/>
      <c r="AH862" s="799"/>
      <c r="AI862" s="799"/>
      <c r="AJ862" s="799"/>
      <c r="AK862" s="799"/>
      <c r="AL862" s="799"/>
      <c r="AM862" s="799"/>
      <c r="AN862" s="799"/>
      <c r="AO862" s="799"/>
      <c r="AP862" s="799"/>
      <c r="AQ862" s="799"/>
      <c r="AR862" s="799"/>
      <c r="AS862" s="799"/>
      <c r="AT862" s="799"/>
      <c r="AU862" s="799"/>
      <c r="AV862" s="799"/>
      <c r="AW862" s="799"/>
      <c r="AX862" s="799"/>
      <c r="AY862" s="799"/>
      <c r="AZ862" s="799"/>
      <c r="BA862" s="799"/>
      <c r="BB862" s="799"/>
      <c r="BC862" s="799"/>
      <c r="BD862" s="799"/>
      <c r="BE862" s="799"/>
      <c r="BF862" s="799"/>
      <c r="BG862" s="799"/>
    </row>
    <row r="863">
      <c r="H863" s="799"/>
      <c r="I863" s="799"/>
      <c r="J863" s="799"/>
      <c r="K863" s="799"/>
      <c r="L863" s="799"/>
      <c r="M863" s="799"/>
      <c r="N863" s="799"/>
      <c r="O863" s="799"/>
      <c r="P863" s="799"/>
      <c r="Q863" s="799"/>
      <c r="R863" s="799"/>
      <c r="S863" s="799"/>
      <c r="T863" s="799"/>
      <c r="U863" s="799"/>
      <c r="V863" s="799"/>
      <c r="W863" s="799"/>
      <c r="X863" s="799"/>
      <c r="Y863" s="799"/>
      <c r="Z863" s="799"/>
      <c r="AA863" s="799"/>
      <c r="AB863" s="799"/>
      <c r="AC863" s="799"/>
      <c r="AD863" s="799"/>
      <c r="AE863" s="799"/>
      <c r="AF863" s="799"/>
      <c r="AG863" s="799"/>
      <c r="AH863" s="799"/>
      <c r="AI863" s="799"/>
      <c r="AJ863" s="799"/>
      <c r="AK863" s="799"/>
      <c r="AL863" s="799"/>
      <c r="AM863" s="799"/>
      <c r="AN863" s="799"/>
      <c r="AO863" s="799"/>
      <c r="AP863" s="799"/>
      <c r="AQ863" s="799"/>
      <c r="AR863" s="799"/>
      <c r="AS863" s="799"/>
      <c r="AT863" s="799"/>
      <c r="AU863" s="799"/>
      <c r="AV863" s="799"/>
      <c r="AW863" s="799"/>
      <c r="AX863" s="799"/>
      <c r="AY863" s="799"/>
      <c r="AZ863" s="799"/>
      <c r="BA863" s="799"/>
      <c r="BB863" s="799"/>
      <c r="BC863" s="799"/>
      <c r="BD863" s="799"/>
      <c r="BE863" s="799"/>
      <c r="BF863" s="799"/>
      <c r="BG863" s="799"/>
    </row>
    <row r="864">
      <c r="H864" s="799"/>
      <c r="I864" s="799"/>
      <c r="J864" s="799"/>
      <c r="K864" s="799"/>
      <c r="L864" s="799"/>
      <c r="M864" s="799"/>
      <c r="N864" s="799"/>
      <c r="O864" s="799"/>
      <c r="P864" s="799"/>
      <c r="Q864" s="799"/>
      <c r="R864" s="799"/>
      <c r="S864" s="799"/>
      <c r="T864" s="799"/>
      <c r="U864" s="799"/>
      <c r="V864" s="799"/>
      <c r="W864" s="799"/>
      <c r="X864" s="799"/>
      <c r="Y864" s="799"/>
      <c r="Z864" s="799"/>
      <c r="AA864" s="799"/>
      <c r="AB864" s="799"/>
      <c r="AC864" s="799"/>
      <c r="AD864" s="799"/>
      <c r="AE864" s="799"/>
      <c r="AF864" s="799"/>
      <c r="AG864" s="799"/>
      <c r="AH864" s="799"/>
      <c r="AI864" s="799"/>
      <c r="AJ864" s="799"/>
      <c r="AK864" s="799"/>
      <c r="AL864" s="799"/>
      <c r="AM864" s="799"/>
      <c r="AN864" s="799"/>
      <c r="AO864" s="799"/>
      <c r="AP864" s="799"/>
      <c r="AQ864" s="799"/>
      <c r="AR864" s="799"/>
      <c r="AS864" s="799"/>
      <c r="AT864" s="799"/>
      <c r="AU864" s="799"/>
      <c r="AV864" s="799"/>
      <c r="AW864" s="799"/>
      <c r="AX864" s="799"/>
      <c r="AY864" s="799"/>
      <c r="AZ864" s="799"/>
      <c r="BA864" s="799"/>
      <c r="BB864" s="799"/>
      <c r="BC864" s="799"/>
      <c r="BD864" s="799"/>
      <c r="BE864" s="799"/>
      <c r="BF864" s="799"/>
      <c r="BG864" s="799"/>
    </row>
    <row r="865">
      <c r="H865" s="799"/>
      <c r="I865" s="799"/>
      <c r="J865" s="799"/>
      <c r="K865" s="799"/>
      <c r="L865" s="799"/>
      <c r="M865" s="799"/>
      <c r="N865" s="799"/>
      <c r="O865" s="799"/>
      <c r="P865" s="799"/>
      <c r="Q865" s="799"/>
      <c r="R865" s="799"/>
      <c r="S865" s="799"/>
      <c r="T865" s="799"/>
      <c r="U865" s="799"/>
      <c r="V865" s="799"/>
      <c r="W865" s="799"/>
      <c r="X865" s="799"/>
      <c r="Y865" s="799"/>
      <c r="Z865" s="799"/>
      <c r="AA865" s="799"/>
      <c r="AB865" s="799"/>
      <c r="AC865" s="799"/>
      <c r="AD865" s="799"/>
      <c r="AE865" s="799"/>
      <c r="AF865" s="799"/>
      <c r="AG865" s="799"/>
      <c r="AH865" s="799"/>
      <c r="AI865" s="799"/>
      <c r="AJ865" s="799"/>
      <c r="AK865" s="799"/>
      <c r="AL865" s="799"/>
      <c r="AM865" s="799"/>
      <c r="AN865" s="799"/>
      <c r="AO865" s="799"/>
      <c r="AP865" s="799"/>
      <c r="AQ865" s="799"/>
      <c r="AR865" s="799"/>
      <c r="AS865" s="799"/>
      <c r="AT865" s="799"/>
      <c r="AU865" s="799"/>
      <c r="AV865" s="799"/>
      <c r="AW865" s="799"/>
      <c r="AX865" s="799"/>
      <c r="AY865" s="799"/>
      <c r="AZ865" s="799"/>
      <c r="BA865" s="799"/>
      <c r="BB865" s="799"/>
      <c r="BC865" s="799"/>
      <c r="BD865" s="799"/>
      <c r="BE865" s="799"/>
      <c r="BF865" s="799"/>
      <c r="BG865" s="799"/>
    </row>
    <row r="866">
      <c r="H866" s="799"/>
      <c r="I866" s="799"/>
      <c r="J866" s="799"/>
      <c r="K866" s="799"/>
      <c r="L866" s="799"/>
      <c r="M866" s="799"/>
      <c r="N866" s="799"/>
      <c r="O866" s="799"/>
      <c r="P866" s="799"/>
      <c r="Q866" s="799"/>
      <c r="R866" s="799"/>
      <c r="S866" s="799"/>
      <c r="T866" s="799"/>
      <c r="U866" s="799"/>
      <c r="V866" s="799"/>
      <c r="W866" s="799"/>
      <c r="X866" s="799"/>
      <c r="Y866" s="799"/>
      <c r="Z866" s="799"/>
      <c r="AA866" s="799"/>
      <c r="AB866" s="799"/>
      <c r="AC866" s="799"/>
      <c r="AD866" s="799"/>
      <c r="AE866" s="799"/>
      <c r="AF866" s="799"/>
      <c r="AG866" s="799"/>
      <c r="AH866" s="799"/>
      <c r="AI866" s="799"/>
      <c r="AJ866" s="799"/>
      <c r="AK866" s="799"/>
      <c r="AL866" s="799"/>
      <c r="AM866" s="799"/>
      <c r="AN866" s="799"/>
      <c r="AO866" s="799"/>
      <c r="AP866" s="799"/>
      <c r="AQ866" s="799"/>
      <c r="AR866" s="799"/>
      <c r="AS866" s="799"/>
      <c r="AT866" s="799"/>
      <c r="AU866" s="799"/>
      <c r="AV866" s="799"/>
      <c r="AW866" s="799"/>
      <c r="AX866" s="799"/>
      <c r="AY866" s="799"/>
      <c r="AZ866" s="799"/>
      <c r="BA866" s="799"/>
      <c r="BB866" s="799"/>
      <c r="BC866" s="799"/>
      <c r="BD866" s="799"/>
      <c r="BE866" s="799"/>
      <c r="BF866" s="799"/>
      <c r="BG866" s="799"/>
    </row>
    <row r="867">
      <c r="H867" s="799"/>
      <c r="I867" s="799"/>
      <c r="J867" s="799"/>
      <c r="K867" s="799"/>
      <c r="L867" s="799"/>
      <c r="M867" s="799"/>
      <c r="N867" s="799"/>
      <c r="O867" s="799"/>
      <c r="P867" s="799"/>
      <c r="Q867" s="799"/>
      <c r="R867" s="799"/>
      <c r="S867" s="799"/>
      <c r="T867" s="799"/>
      <c r="U867" s="799"/>
      <c r="V867" s="799"/>
      <c r="W867" s="799"/>
      <c r="X867" s="799"/>
      <c r="Y867" s="799"/>
      <c r="Z867" s="799"/>
      <c r="AA867" s="799"/>
      <c r="AB867" s="799"/>
      <c r="AC867" s="799"/>
      <c r="AD867" s="799"/>
      <c r="AE867" s="799"/>
      <c r="AF867" s="799"/>
      <c r="AG867" s="799"/>
      <c r="AH867" s="799"/>
      <c r="AI867" s="799"/>
      <c r="AJ867" s="799"/>
      <c r="AK867" s="799"/>
      <c r="AL867" s="799"/>
      <c r="AM867" s="799"/>
      <c r="AN867" s="799"/>
      <c r="AO867" s="799"/>
      <c r="AP867" s="799"/>
      <c r="AQ867" s="799"/>
      <c r="AR867" s="799"/>
      <c r="AS867" s="799"/>
      <c r="AT867" s="799"/>
      <c r="AU867" s="799"/>
      <c r="AV867" s="799"/>
      <c r="AW867" s="799"/>
      <c r="AX867" s="799"/>
      <c r="AY867" s="799"/>
      <c r="AZ867" s="799"/>
      <c r="BA867" s="799"/>
      <c r="BB867" s="799"/>
      <c r="BC867" s="799"/>
      <c r="BD867" s="799"/>
      <c r="BE867" s="799"/>
      <c r="BF867" s="799"/>
      <c r="BG867" s="799"/>
    </row>
    <row r="868">
      <c r="H868" s="799"/>
      <c r="I868" s="799"/>
      <c r="J868" s="799"/>
      <c r="K868" s="799"/>
      <c r="L868" s="799"/>
      <c r="M868" s="799"/>
      <c r="N868" s="799"/>
      <c r="O868" s="799"/>
      <c r="P868" s="799"/>
      <c r="Q868" s="799"/>
      <c r="R868" s="799"/>
      <c r="S868" s="799"/>
      <c r="T868" s="799"/>
      <c r="U868" s="799"/>
      <c r="V868" s="799"/>
      <c r="W868" s="799"/>
      <c r="X868" s="799"/>
      <c r="Y868" s="799"/>
      <c r="Z868" s="799"/>
      <c r="AA868" s="799"/>
      <c r="AB868" s="799"/>
      <c r="AC868" s="799"/>
      <c r="AD868" s="799"/>
      <c r="AE868" s="799"/>
      <c r="AF868" s="799"/>
      <c r="AG868" s="799"/>
      <c r="AH868" s="799"/>
      <c r="AI868" s="799"/>
      <c r="AJ868" s="799"/>
      <c r="AK868" s="799"/>
      <c r="AL868" s="799"/>
      <c r="AM868" s="799"/>
      <c r="AN868" s="799"/>
      <c r="AO868" s="799"/>
      <c r="AP868" s="799"/>
      <c r="AQ868" s="799"/>
      <c r="AR868" s="799"/>
      <c r="AS868" s="799"/>
      <c r="AT868" s="799"/>
      <c r="AU868" s="799"/>
      <c r="AV868" s="799"/>
      <c r="AW868" s="799"/>
      <c r="AX868" s="799"/>
      <c r="AY868" s="799"/>
      <c r="AZ868" s="799"/>
      <c r="BA868" s="799"/>
      <c r="BB868" s="799"/>
      <c r="BC868" s="799"/>
      <c r="BD868" s="799"/>
      <c r="BE868" s="799"/>
      <c r="BF868" s="799"/>
      <c r="BG868" s="799"/>
    </row>
    <row r="869">
      <c r="H869" s="799"/>
      <c r="I869" s="799"/>
      <c r="J869" s="799"/>
      <c r="K869" s="799"/>
      <c r="L869" s="799"/>
      <c r="M869" s="799"/>
      <c r="N869" s="799"/>
      <c r="O869" s="799"/>
      <c r="P869" s="799"/>
      <c r="Q869" s="799"/>
      <c r="R869" s="799"/>
      <c r="S869" s="799"/>
      <c r="T869" s="799"/>
      <c r="U869" s="799"/>
      <c r="V869" s="799"/>
      <c r="W869" s="799"/>
      <c r="X869" s="799"/>
      <c r="Y869" s="799"/>
      <c r="Z869" s="799"/>
      <c r="AA869" s="799"/>
      <c r="AB869" s="799"/>
      <c r="AC869" s="799"/>
      <c r="AD869" s="799"/>
      <c r="AE869" s="799"/>
      <c r="AF869" s="799"/>
      <c r="AG869" s="799"/>
      <c r="AH869" s="799"/>
      <c r="AI869" s="799"/>
      <c r="AJ869" s="799"/>
      <c r="AK869" s="799"/>
      <c r="AL869" s="799"/>
      <c r="AM869" s="799"/>
      <c r="AN869" s="799"/>
      <c r="AO869" s="799"/>
      <c r="AP869" s="799"/>
      <c r="AQ869" s="799"/>
      <c r="AR869" s="799"/>
      <c r="AS869" s="799"/>
      <c r="AT869" s="799"/>
      <c r="AU869" s="799"/>
      <c r="AV869" s="799"/>
      <c r="AW869" s="799"/>
      <c r="AX869" s="799"/>
      <c r="AY869" s="799"/>
      <c r="AZ869" s="799"/>
      <c r="BA869" s="799"/>
      <c r="BB869" s="799"/>
      <c r="BC869" s="799"/>
      <c r="BD869" s="799"/>
      <c r="BE869" s="799"/>
      <c r="BF869" s="799"/>
      <c r="BG869" s="799"/>
    </row>
    <row r="870">
      <c r="H870" s="799"/>
      <c r="I870" s="799"/>
      <c r="J870" s="799"/>
      <c r="K870" s="799"/>
      <c r="L870" s="799"/>
      <c r="M870" s="799"/>
      <c r="N870" s="799"/>
      <c r="O870" s="799"/>
      <c r="P870" s="799"/>
      <c r="Q870" s="799"/>
      <c r="R870" s="799"/>
      <c r="S870" s="799"/>
      <c r="T870" s="799"/>
      <c r="U870" s="799"/>
      <c r="V870" s="799"/>
      <c r="W870" s="799"/>
      <c r="X870" s="799"/>
      <c r="Y870" s="799"/>
      <c r="Z870" s="799"/>
      <c r="AA870" s="799"/>
      <c r="AB870" s="799"/>
      <c r="AC870" s="799"/>
      <c r="AD870" s="799"/>
      <c r="AE870" s="799"/>
      <c r="AF870" s="799"/>
      <c r="AG870" s="799"/>
      <c r="AH870" s="799"/>
      <c r="AI870" s="799"/>
      <c r="AJ870" s="799"/>
      <c r="AK870" s="799"/>
      <c r="AL870" s="799"/>
      <c r="AM870" s="799"/>
      <c r="AN870" s="799"/>
      <c r="AO870" s="799"/>
      <c r="AP870" s="799"/>
      <c r="AQ870" s="799"/>
      <c r="AR870" s="799"/>
      <c r="AS870" s="799"/>
      <c r="AT870" s="799"/>
      <c r="AU870" s="799"/>
      <c r="AV870" s="799"/>
      <c r="AW870" s="799"/>
      <c r="AX870" s="799"/>
      <c r="AY870" s="799"/>
      <c r="AZ870" s="799"/>
      <c r="BA870" s="799"/>
      <c r="BB870" s="799"/>
      <c r="BC870" s="799"/>
      <c r="BD870" s="799"/>
      <c r="BE870" s="799"/>
      <c r="BF870" s="799"/>
      <c r="BG870" s="799"/>
    </row>
    <row r="871">
      <c r="H871" s="799"/>
      <c r="I871" s="799"/>
      <c r="J871" s="799"/>
      <c r="K871" s="799"/>
      <c r="L871" s="799"/>
      <c r="M871" s="799"/>
      <c r="N871" s="799"/>
      <c r="O871" s="799"/>
      <c r="P871" s="799"/>
      <c r="Q871" s="799"/>
      <c r="R871" s="799"/>
      <c r="S871" s="799"/>
      <c r="T871" s="799"/>
      <c r="U871" s="799"/>
      <c r="V871" s="799"/>
      <c r="W871" s="799"/>
      <c r="X871" s="799"/>
      <c r="Y871" s="799"/>
      <c r="Z871" s="799"/>
      <c r="AA871" s="799"/>
      <c r="AB871" s="799"/>
      <c r="AC871" s="799"/>
      <c r="AD871" s="799"/>
      <c r="AE871" s="799"/>
      <c r="AF871" s="799"/>
      <c r="AG871" s="799"/>
      <c r="AH871" s="799"/>
      <c r="AI871" s="799"/>
      <c r="AJ871" s="799"/>
      <c r="AK871" s="799"/>
      <c r="AL871" s="799"/>
      <c r="AM871" s="799"/>
      <c r="AN871" s="799"/>
      <c r="AO871" s="799"/>
      <c r="AP871" s="799"/>
      <c r="AQ871" s="799"/>
      <c r="AR871" s="799"/>
      <c r="AS871" s="799"/>
      <c r="AT871" s="799"/>
      <c r="AU871" s="799"/>
      <c r="AV871" s="799"/>
      <c r="AW871" s="799"/>
      <c r="AX871" s="799"/>
      <c r="AY871" s="799"/>
      <c r="AZ871" s="799"/>
      <c r="BA871" s="799"/>
      <c r="BB871" s="799"/>
      <c r="BC871" s="799"/>
      <c r="BD871" s="799"/>
      <c r="BE871" s="799"/>
      <c r="BF871" s="799"/>
      <c r="BG871" s="799"/>
    </row>
    <row r="872">
      <c r="H872" s="799"/>
      <c r="I872" s="799"/>
      <c r="J872" s="799"/>
      <c r="K872" s="799"/>
      <c r="L872" s="799"/>
      <c r="M872" s="799"/>
      <c r="N872" s="799"/>
      <c r="O872" s="799"/>
      <c r="P872" s="799"/>
      <c r="Q872" s="799"/>
      <c r="R872" s="799"/>
      <c r="S872" s="799"/>
      <c r="T872" s="799"/>
      <c r="U872" s="799"/>
      <c r="V872" s="799"/>
      <c r="W872" s="799"/>
      <c r="X872" s="799"/>
      <c r="Y872" s="799"/>
      <c r="Z872" s="799"/>
      <c r="AA872" s="799"/>
      <c r="AB872" s="799"/>
      <c r="AC872" s="799"/>
      <c r="AD872" s="799"/>
      <c r="AE872" s="799"/>
      <c r="AF872" s="799"/>
      <c r="AG872" s="799"/>
      <c r="AH872" s="799"/>
      <c r="AI872" s="799"/>
      <c r="AJ872" s="799"/>
      <c r="AK872" s="799"/>
      <c r="AL872" s="799"/>
      <c r="AM872" s="799"/>
      <c r="AN872" s="799"/>
      <c r="AO872" s="799"/>
      <c r="AP872" s="799"/>
      <c r="AQ872" s="799"/>
      <c r="AR872" s="799"/>
      <c r="AS872" s="799"/>
      <c r="AT872" s="799"/>
      <c r="AU872" s="799"/>
      <c r="AV872" s="799"/>
      <c r="AW872" s="799"/>
      <c r="AX872" s="799"/>
      <c r="AY872" s="799"/>
      <c r="AZ872" s="799"/>
      <c r="BA872" s="799"/>
      <c r="BB872" s="799"/>
      <c r="BC872" s="799"/>
      <c r="BD872" s="799"/>
      <c r="BE872" s="799"/>
      <c r="BF872" s="799"/>
      <c r="BG872" s="799"/>
    </row>
    <row r="873">
      <c r="H873" s="799"/>
      <c r="I873" s="799"/>
      <c r="J873" s="799"/>
      <c r="K873" s="799"/>
      <c r="L873" s="799"/>
      <c r="M873" s="799"/>
      <c r="N873" s="799"/>
      <c r="O873" s="799"/>
      <c r="P873" s="799"/>
      <c r="Q873" s="799"/>
      <c r="R873" s="799"/>
      <c r="S873" s="799"/>
      <c r="T873" s="799"/>
      <c r="U873" s="799"/>
      <c r="V873" s="799"/>
      <c r="W873" s="799"/>
      <c r="X873" s="799"/>
      <c r="Y873" s="799"/>
      <c r="Z873" s="799"/>
      <c r="AA873" s="799"/>
      <c r="AB873" s="799"/>
      <c r="AC873" s="799"/>
      <c r="AD873" s="799"/>
      <c r="AE873" s="799"/>
      <c r="AF873" s="799"/>
      <c r="AG873" s="799"/>
      <c r="AH873" s="799"/>
      <c r="AI873" s="799"/>
      <c r="AJ873" s="799"/>
      <c r="AK873" s="799"/>
      <c r="AL873" s="799"/>
      <c r="AM873" s="799"/>
      <c r="AN873" s="799"/>
      <c r="AO873" s="799"/>
      <c r="AP873" s="799"/>
      <c r="AQ873" s="799"/>
      <c r="AR873" s="799"/>
      <c r="AS873" s="799"/>
      <c r="AT873" s="799"/>
      <c r="AU873" s="799"/>
      <c r="AV873" s="799"/>
      <c r="AW873" s="799"/>
      <c r="AX873" s="799"/>
      <c r="AY873" s="799"/>
      <c r="AZ873" s="799"/>
      <c r="BA873" s="799"/>
      <c r="BB873" s="799"/>
      <c r="BC873" s="799"/>
      <c r="BD873" s="799"/>
      <c r="BE873" s="799"/>
      <c r="BF873" s="799"/>
      <c r="BG873" s="799"/>
    </row>
    <row r="874">
      <c r="H874" s="799"/>
      <c r="I874" s="799"/>
      <c r="J874" s="799"/>
      <c r="K874" s="799"/>
      <c r="L874" s="799"/>
      <c r="M874" s="799"/>
      <c r="N874" s="799"/>
      <c r="O874" s="799"/>
      <c r="P874" s="799"/>
      <c r="Q874" s="799"/>
      <c r="R874" s="799"/>
      <c r="S874" s="799"/>
      <c r="T874" s="799"/>
      <c r="U874" s="799"/>
      <c r="V874" s="799"/>
      <c r="W874" s="799"/>
      <c r="X874" s="799"/>
      <c r="Y874" s="799"/>
      <c r="Z874" s="799"/>
      <c r="AA874" s="799"/>
      <c r="AB874" s="799"/>
      <c r="AC874" s="799"/>
      <c r="AD874" s="799"/>
      <c r="AE874" s="799"/>
      <c r="AF874" s="799"/>
      <c r="AG874" s="799"/>
      <c r="AH874" s="799"/>
      <c r="AI874" s="799"/>
      <c r="AJ874" s="799"/>
      <c r="AK874" s="799"/>
      <c r="AL874" s="799"/>
      <c r="AM874" s="799"/>
      <c r="AN874" s="799"/>
      <c r="AO874" s="799"/>
      <c r="AP874" s="799"/>
      <c r="AQ874" s="799"/>
      <c r="AR874" s="799"/>
      <c r="AS874" s="799"/>
      <c r="AT874" s="799"/>
      <c r="AU874" s="799"/>
      <c r="AV874" s="799"/>
      <c r="AW874" s="799"/>
      <c r="AX874" s="799"/>
      <c r="AY874" s="799"/>
      <c r="AZ874" s="799"/>
      <c r="BA874" s="799"/>
      <c r="BB874" s="799"/>
      <c r="BC874" s="799"/>
      <c r="BD874" s="799"/>
      <c r="BE874" s="799"/>
      <c r="BF874" s="799"/>
      <c r="BG874" s="799"/>
    </row>
    <row r="875">
      <c r="H875" s="799"/>
      <c r="I875" s="799"/>
      <c r="J875" s="799"/>
      <c r="K875" s="799"/>
      <c r="L875" s="799"/>
      <c r="M875" s="799"/>
      <c r="N875" s="799"/>
      <c r="O875" s="799"/>
      <c r="P875" s="799"/>
      <c r="Q875" s="799"/>
      <c r="R875" s="799"/>
      <c r="S875" s="799"/>
      <c r="T875" s="799"/>
      <c r="U875" s="799"/>
      <c r="V875" s="799"/>
      <c r="W875" s="799"/>
      <c r="X875" s="799"/>
      <c r="Y875" s="799"/>
      <c r="Z875" s="799"/>
      <c r="AA875" s="799"/>
      <c r="AB875" s="799"/>
      <c r="AC875" s="799"/>
      <c r="AD875" s="799"/>
      <c r="AE875" s="799"/>
      <c r="AF875" s="799"/>
      <c r="AG875" s="799"/>
      <c r="AH875" s="799"/>
      <c r="AI875" s="799"/>
      <c r="AJ875" s="799"/>
      <c r="AK875" s="799"/>
      <c r="AL875" s="799"/>
      <c r="AM875" s="799"/>
      <c r="AN875" s="799"/>
      <c r="AO875" s="799"/>
      <c r="AP875" s="799"/>
      <c r="AQ875" s="799"/>
      <c r="AR875" s="799"/>
      <c r="AS875" s="799"/>
      <c r="AT875" s="799"/>
      <c r="AU875" s="799"/>
      <c r="AV875" s="799"/>
      <c r="AW875" s="799"/>
      <c r="AX875" s="799"/>
      <c r="AY875" s="799"/>
      <c r="AZ875" s="799"/>
      <c r="BA875" s="799"/>
      <c r="BB875" s="799"/>
      <c r="BC875" s="799"/>
      <c r="BD875" s="799"/>
      <c r="BE875" s="799"/>
      <c r="BF875" s="799"/>
      <c r="BG875" s="799"/>
    </row>
    <row r="876">
      <c r="H876" s="799"/>
      <c r="I876" s="799"/>
      <c r="J876" s="799"/>
      <c r="K876" s="799"/>
      <c r="L876" s="799"/>
      <c r="M876" s="799"/>
      <c r="N876" s="799"/>
      <c r="O876" s="799"/>
      <c r="P876" s="799"/>
      <c r="Q876" s="799"/>
      <c r="R876" s="799"/>
      <c r="S876" s="799"/>
      <c r="T876" s="799"/>
      <c r="U876" s="799"/>
      <c r="V876" s="799"/>
      <c r="W876" s="799"/>
      <c r="X876" s="799"/>
      <c r="Y876" s="799"/>
      <c r="Z876" s="799"/>
      <c r="AA876" s="799"/>
      <c r="AB876" s="799"/>
      <c r="AC876" s="799"/>
      <c r="AD876" s="799"/>
      <c r="AE876" s="799"/>
      <c r="AF876" s="799"/>
      <c r="AG876" s="799"/>
      <c r="AH876" s="799"/>
      <c r="AI876" s="799"/>
      <c r="AJ876" s="799"/>
      <c r="AK876" s="799"/>
      <c r="AL876" s="799"/>
      <c r="AM876" s="799"/>
      <c r="AN876" s="799"/>
      <c r="AO876" s="799"/>
      <c r="AP876" s="799"/>
      <c r="AQ876" s="799"/>
      <c r="AR876" s="799"/>
      <c r="AS876" s="799"/>
      <c r="AT876" s="799"/>
      <c r="AU876" s="799"/>
      <c r="AV876" s="799"/>
      <c r="AW876" s="799"/>
      <c r="AX876" s="799"/>
      <c r="AY876" s="799"/>
      <c r="AZ876" s="799"/>
      <c r="BA876" s="799"/>
      <c r="BB876" s="799"/>
      <c r="BC876" s="799"/>
      <c r="BD876" s="799"/>
      <c r="BE876" s="799"/>
      <c r="BF876" s="799"/>
      <c r="BG876" s="799"/>
    </row>
    <row r="877">
      <c r="H877" s="799"/>
      <c r="I877" s="799"/>
      <c r="J877" s="799"/>
      <c r="K877" s="799"/>
      <c r="L877" s="799"/>
      <c r="M877" s="799"/>
      <c r="N877" s="799"/>
      <c r="O877" s="799"/>
      <c r="P877" s="799"/>
      <c r="Q877" s="799"/>
      <c r="R877" s="799"/>
      <c r="S877" s="799"/>
      <c r="T877" s="799"/>
      <c r="U877" s="799"/>
      <c r="V877" s="799"/>
      <c r="W877" s="799"/>
      <c r="X877" s="799"/>
      <c r="Y877" s="799"/>
      <c r="Z877" s="799"/>
      <c r="AA877" s="799"/>
      <c r="AB877" s="799"/>
      <c r="AC877" s="799"/>
      <c r="AD877" s="799"/>
      <c r="AE877" s="799"/>
      <c r="AF877" s="799"/>
      <c r="AG877" s="799"/>
      <c r="AH877" s="799"/>
      <c r="AI877" s="799"/>
      <c r="AJ877" s="799"/>
      <c r="AK877" s="799"/>
      <c r="AL877" s="799"/>
      <c r="AM877" s="799"/>
      <c r="AN877" s="799"/>
      <c r="AO877" s="799"/>
      <c r="AP877" s="799"/>
      <c r="AQ877" s="799"/>
      <c r="AR877" s="799"/>
      <c r="AS877" s="799"/>
      <c r="AT877" s="799"/>
      <c r="AU877" s="799"/>
      <c r="AV877" s="799"/>
      <c r="AW877" s="799"/>
      <c r="AX877" s="799"/>
      <c r="AY877" s="799"/>
      <c r="AZ877" s="799"/>
      <c r="BA877" s="799"/>
      <c r="BB877" s="799"/>
      <c r="BC877" s="799"/>
      <c r="BD877" s="799"/>
      <c r="BE877" s="799"/>
      <c r="BF877" s="799"/>
      <c r="BG877" s="799"/>
    </row>
    <row r="878">
      <c r="H878" s="799"/>
      <c r="I878" s="799"/>
      <c r="J878" s="799"/>
      <c r="K878" s="799"/>
      <c r="L878" s="799"/>
      <c r="M878" s="799"/>
      <c r="N878" s="799"/>
      <c r="O878" s="799"/>
      <c r="P878" s="799"/>
      <c r="Q878" s="799"/>
      <c r="R878" s="799"/>
      <c r="S878" s="799"/>
      <c r="T878" s="799"/>
      <c r="U878" s="799"/>
      <c r="V878" s="799"/>
      <c r="W878" s="799"/>
      <c r="X878" s="799"/>
      <c r="Y878" s="799"/>
      <c r="Z878" s="799"/>
      <c r="AA878" s="799"/>
      <c r="AB878" s="799"/>
      <c r="AC878" s="799"/>
      <c r="AD878" s="799"/>
      <c r="AE878" s="799"/>
      <c r="AF878" s="799"/>
      <c r="AG878" s="799"/>
      <c r="AH878" s="799"/>
      <c r="AI878" s="799"/>
      <c r="AJ878" s="799"/>
      <c r="AK878" s="799"/>
      <c r="AL878" s="799"/>
      <c r="AM878" s="799"/>
      <c r="AN878" s="799"/>
      <c r="AO878" s="799"/>
      <c r="AP878" s="799"/>
      <c r="AQ878" s="799"/>
      <c r="AR878" s="799"/>
      <c r="AS878" s="799"/>
      <c r="AT878" s="799"/>
      <c r="AU878" s="799"/>
      <c r="AV878" s="799"/>
      <c r="AW878" s="799"/>
      <c r="AX878" s="799"/>
      <c r="AY878" s="799"/>
      <c r="AZ878" s="799"/>
      <c r="BA878" s="799"/>
      <c r="BB878" s="799"/>
      <c r="BC878" s="799"/>
      <c r="BD878" s="799"/>
      <c r="BE878" s="799"/>
      <c r="BF878" s="799"/>
      <c r="BG878" s="799"/>
    </row>
    <row r="879">
      <c r="H879" s="799"/>
      <c r="I879" s="799"/>
      <c r="J879" s="799"/>
      <c r="K879" s="799"/>
      <c r="L879" s="799"/>
      <c r="M879" s="799"/>
      <c r="N879" s="799"/>
      <c r="O879" s="799"/>
      <c r="P879" s="799"/>
      <c r="Q879" s="799"/>
      <c r="R879" s="799"/>
      <c r="S879" s="799"/>
      <c r="T879" s="799"/>
      <c r="U879" s="799"/>
      <c r="V879" s="799"/>
      <c r="W879" s="799"/>
      <c r="X879" s="799"/>
      <c r="Y879" s="799"/>
      <c r="Z879" s="799"/>
      <c r="AA879" s="799"/>
      <c r="AB879" s="799"/>
      <c r="AC879" s="799"/>
      <c r="AD879" s="799"/>
      <c r="AE879" s="799"/>
      <c r="AF879" s="799"/>
      <c r="AG879" s="799"/>
      <c r="AH879" s="799"/>
      <c r="AI879" s="799"/>
      <c r="AJ879" s="799"/>
      <c r="AK879" s="799"/>
      <c r="AL879" s="799"/>
      <c r="AM879" s="799"/>
      <c r="AN879" s="799"/>
      <c r="AO879" s="799"/>
      <c r="AP879" s="799"/>
      <c r="AQ879" s="799"/>
      <c r="AR879" s="799"/>
      <c r="AS879" s="799"/>
      <c r="AT879" s="799"/>
      <c r="AU879" s="799"/>
      <c r="AV879" s="799"/>
      <c r="AW879" s="799"/>
      <c r="AX879" s="799"/>
      <c r="AY879" s="799"/>
      <c r="AZ879" s="799"/>
      <c r="BA879" s="799"/>
      <c r="BB879" s="799"/>
      <c r="BC879" s="799"/>
      <c r="BD879" s="799"/>
      <c r="BE879" s="799"/>
      <c r="BF879" s="799"/>
      <c r="BG879" s="799"/>
    </row>
    <row r="880">
      <c r="H880" s="799"/>
      <c r="I880" s="799"/>
      <c r="J880" s="799"/>
      <c r="K880" s="799"/>
      <c r="L880" s="799"/>
      <c r="M880" s="799"/>
      <c r="N880" s="799"/>
      <c r="O880" s="799"/>
      <c r="P880" s="799"/>
      <c r="Q880" s="799"/>
      <c r="R880" s="799"/>
      <c r="S880" s="799"/>
      <c r="T880" s="799"/>
      <c r="U880" s="799"/>
      <c r="V880" s="799"/>
      <c r="W880" s="799"/>
      <c r="X880" s="799"/>
      <c r="Y880" s="799"/>
      <c r="Z880" s="799"/>
      <c r="AA880" s="799"/>
      <c r="AB880" s="799"/>
      <c r="AC880" s="799"/>
      <c r="AD880" s="799"/>
      <c r="AE880" s="799"/>
      <c r="AF880" s="799"/>
      <c r="AG880" s="799"/>
      <c r="AH880" s="799"/>
      <c r="AI880" s="799"/>
      <c r="AJ880" s="799"/>
      <c r="AK880" s="799"/>
      <c r="AL880" s="799"/>
      <c r="AM880" s="799"/>
      <c r="AN880" s="799"/>
      <c r="AO880" s="799"/>
      <c r="AP880" s="799"/>
      <c r="AQ880" s="799"/>
      <c r="AR880" s="799"/>
      <c r="AS880" s="799"/>
      <c r="AT880" s="799"/>
      <c r="AU880" s="799"/>
      <c r="AV880" s="799"/>
      <c r="AW880" s="799"/>
      <c r="AX880" s="799"/>
      <c r="AY880" s="799"/>
      <c r="AZ880" s="799"/>
      <c r="BA880" s="799"/>
      <c r="BB880" s="799"/>
      <c r="BC880" s="799"/>
      <c r="BD880" s="799"/>
      <c r="BE880" s="799"/>
      <c r="BF880" s="799"/>
      <c r="BG880" s="799"/>
    </row>
    <row r="881">
      <c r="H881" s="799"/>
      <c r="I881" s="799"/>
      <c r="J881" s="799"/>
      <c r="K881" s="799"/>
      <c r="L881" s="799"/>
      <c r="M881" s="799"/>
      <c r="N881" s="799"/>
      <c r="O881" s="799"/>
      <c r="P881" s="799"/>
      <c r="Q881" s="799"/>
      <c r="R881" s="799"/>
      <c r="S881" s="799"/>
      <c r="T881" s="799"/>
      <c r="U881" s="799"/>
      <c r="V881" s="799"/>
      <c r="W881" s="799"/>
      <c r="X881" s="799"/>
      <c r="Y881" s="799"/>
      <c r="Z881" s="799"/>
      <c r="AA881" s="799"/>
      <c r="AB881" s="799"/>
      <c r="AC881" s="799"/>
      <c r="AD881" s="799"/>
      <c r="AE881" s="799"/>
      <c r="AF881" s="799"/>
      <c r="AG881" s="799"/>
      <c r="AH881" s="799"/>
      <c r="AI881" s="799"/>
      <c r="AJ881" s="799"/>
      <c r="AK881" s="799"/>
      <c r="AL881" s="799"/>
      <c r="AM881" s="799"/>
      <c r="AN881" s="799"/>
      <c r="AO881" s="799"/>
      <c r="AP881" s="799"/>
      <c r="AQ881" s="799"/>
      <c r="AR881" s="799"/>
      <c r="AS881" s="799"/>
      <c r="AT881" s="799"/>
      <c r="AU881" s="799"/>
      <c r="AV881" s="799"/>
      <c r="AW881" s="799"/>
      <c r="AX881" s="799"/>
      <c r="AY881" s="799"/>
      <c r="AZ881" s="799"/>
      <c r="BA881" s="799"/>
      <c r="BB881" s="799"/>
      <c r="BC881" s="799"/>
      <c r="BD881" s="799"/>
      <c r="BE881" s="799"/>
      <c r="BF881" s="799"/>
      <c r="BG881" s="799"/>
    </row>
    <row r="882">
      <c r="H882" s="799"/>
      <c r="I882" s="799"/>
      <c r="J882" s="799"/>
      <c r="K882" s="799"/>
      <c r="L882" s="799"/>
      <c r="M882" s="799"/>
      <c r="N882" s="799"/>
      <c r="O882" s="799"/>
      <c r="P882" s="799"/>
      <c r="Q882" s="799"/>
      <c r="R882" s="799"/>
      <c r="S882" s="799"/>
      <c r="T882" s="799"/>
      <c r="U882" s="799"/>
      <c r="V882" s="799"/>
      <c r="W882" s="799"/>
      <c r="X882" s="799"/>
      <c r="Y882" s="799"/>
      <c r="Z882" s="799"/>
      <c r="AA882" s="799"/>
      <c r="AB882" s="799"/>
      <c r="AC882" s="799"/>
      <c r="AD882" s="799"/>
      <c r="AE882" s="799"/>
      <c r="AF882" s="799"/>
      <c r="AG882" s="799"/>
      <c r="AH882" s="799"/>
      <c r="AI882" s="799"/>
      <c r="AJ882" s="799"/>
      <c r="AK882" s="799"/>
      <c r="AL882" s="799"/>
      <c r="AM882" s="799"/>
      <c r="AN882" s="799"/>
      <c r="AO882" s="799"/>
      <c r="AP882" s="799"/>
      <c r="AQ882" s="799"/>
      <c r="AR882" s="799"/>
      <c r="AS882" s="799"/>
      <c r="AT882" s="799"/>
      <c r="AU882" s="799"/>
      <c r="AV882" s="799"/>
      <c r="AW882" s="799"/>
      <c r="AX882" s="799"/>
      <c r="AY882" s="799"/>
      <c r="AZ882" s="799"/>
      <c r="BA882" s="799"/>
      <c r="BB882" s="799"/>
      <c r="BC882" s="799"/>
      <c r="BD882" s="799"/>
      <c r="BE882" s="799"/>
      <c r="BF882" s="799"/>
      <c r="BG882" s="799"/>
    </row>
    <row r="883">
      <c r="H883" s="799"/>
      <c r="I883" s="799"/>
      <c r="J883" s="799"/>
      <c r="K883" s="799"/>
      <c r="L883" s="799"/>
      <c r="M883" s="799"/>
      <c r="N883" s="799"/>
      <c r="O883" s="799"/>
      <c r="P883" s="799"/>
      <c r="Q883" s="799"/>
      <c r="R883" s="799"/>
      <c r="S883" s="799"/>
      <c r="T883" s="799"/>
      <c r="U883" s="799"/>
      <c r="V883" s="799"/>
      <c r="W883" s="799"/>
      <c r="X883" s="799"/>
      <c r="Y883" s="799"/>
      <c r="Z883" s="799"/>
      <c r="AA883" s="799"/>
      <c r="AB883" s="799"/>
      <c r="AC883" s="799"/>
      <c r="AD883" s="799"/>
      <c r="AE883" s="799"/>
      <c r="AF883" s="799"/>
      <c r="AG883" s="799"/>
      <c r="AH883" s="799"/>
      <c r="AI883" s="799"/>
      <c r="AJ883" s="799"/>
      <c r="AK883" s="799"/>
      <c r="AL883" s="799"/>
      <c r="AM883" s="799"/>
      <c r="AN883" s="799"/>
      <c r="AO883" s="799"/>
      <c r="AP883" s="799"/>
      <c r="AQ883" s="799"/>
      <c r="AR883" s="799"/>
      <c r="AS883" s="799"/>
      <c r="AT883" s="799"/>
      <c r="AU883" s="799"/>
      <c r="AV883" s="799"/>
      <c r="AW883" s="799"/>
      <c r="AX883" s="799"/>
      <c r="AY883" s="799"/>
      <c r="AZ883" s="799"/>
      <c r="BA883" s="799"/>
      <c r="BB883" s="799"/>
      <c r="BC883" s="799"/>
      <c r="BD883" s="799"/>
      <c r="BE883" s="799"/>
      <c r="BF883" s="799"/>
      <c r="BG883" s="799"/>
    </row>
    <row r="884">
      <c r="H884" s="799"/>
      <c r="I884" s="799"/>
      <c r="J884" s="799"/>
      <c r="K884" s="799"/>
      <c r="L884" s="799"/>
      <c r="M884" s="799"/>
      <c r="N884" s="799"/>
      <c r="O884" s="799"/>
      <c r="P884" s="799"/>
      <c r="Q884" s="799"/>
      <c r="R884" s="799"/>
      <c r="S884" s="799"/>
      <c r="T884" s="799"/>
      <c r="U884" s="799"/>
      <c r="V884" s="799"/>
      <c r="W884" s="799"/>
      <c r="X884" s="799"/>
      <c r="Y884" s="799"/>
      <c r="Z884" s="799"/>
      <c r="AA884" s="799"/>
      <c r="AB884" s="799"/>
      <c r="AC884" s="799"/>
      <c r="AD884" s="799"/>
      <c r="AE884" s="799"/>
      <c r="AF884" s="799"/>
      <c r="AG884" s="799"/>
      <c r="AH884" s="799"/>
      <c r="AI884" s="799"/>
      <c r="AJ884" s="799"/>
      <c r="AK884" s="799"/>
      <c r="AL884" s="799"/>
      <c r="AM884" s="799"/>
      <c r="AN884" s="799"/>
      <c r="AO884" s="799"/>
      <c r="AP884" s="799"/>
      <c r="AQ884" s="799"/>
      <c r="AR884" s="799"/>
      <c r="AS884" s="799"/>
      <c r="AT884" s="799"/>
      <c r="AU884" s="799"/>
      <c r="AV884" s="799"/>
      <c r="AW884" s="799"/>
      <c r="AX884" s="799"/>
      <c r="AY884" s="799"/>
      <c r="AZ884" s="799"/>
      <c r="BA884" s="799"/>
      <c r="BB884" s="799"/>
      <c r="BC884" s="799"/>
      <c r="BD884" s="799"/>
      <c r="BE884" s="799"/>
      <c r="BF884" s="799"/>
      <c r="BG884" s="799"/>
    </row>
    <row r="885">
      <c r="H885" s="799"/>
      <c r="I885" s="799"/>
      <c r="J885" s="799"/>
      <c r="K885" s="799"/>
      <c r="L885" s="799"/>
      <c r="M885" s="799"/>
      <c r="N885" s="799"/>
      <c r="O885" s="799"/>
      <c r="P885" s="799"/>
      <c r="Q885" s="799"/>
      <c r="R885" s="799"/>
      <c r="S885" s="799"/>
      <c r="T885" s="799"/>
      <c r="U885" s="799"/>
      <c r="V885" s="799"/>
      <c r="W885" s="799"/>
      <c r="X885" s="799"/>
      <c r="Y885" s="799"/>
      <c r="Z885" s="799"/>
      <c r="AA885" s="799"/>
      <c r="AB885" s="799"/>
      <c r="AC885" s="799"/>
      <c r="AD885" s="799"/>
      <c r="AE885" s="799"/>
      <c r="AF885" s="799"/>
      <c r="AG885" s="799"/>
      <c r="AH885" s="799"/>
      <c r="AI885" s="799"/>
      <c r="AJ885" s="799"/>
      <c r="AK885" s="799"/>
      <c r="AL885" s="799"/>
      <c r="AM885" s="799"/>
      <c r="AN885" s="799"/>
      <c r="AO885" s="799"/>
      <c r="AP885" s="799"/>
      <c r="AQ885" s="799"/>
      <c r="AR885" s="799"/>
      <c r="AS885" s="799"/>
      <c r="AT885" s="799"/>
      <c r="AU885" s="799"/>
      <c r="AV885" s="799"/>
      <c r="AW885" s="799"/>
      <c r="AX885" s="799"/>
      <c r="AY885" s="799"/>
      <c r="AZ885" s="799"/>
      <c r="BA885" s="799"/>
      <c r="BB885" s="799"/>
      <c r="BC885" s="799"/>
      <c r="BD885" s="799"/>
      <c r="BE885" s="799"/>
      <c r="BF885" s="799"/>
      <c r="BG885" s="799"/>
    </row>
    <row r="886">
      <c r="H886" s="799"/>
      <c r="I886" s="799"/>
      <c r="J886" s="799"/>
      <c r="K886" s="799"/>
      <c r="L886" s="799"/>
      <c r="M886" s="799"/>
      <c r="N886" s="799"/>
      <c r="O886" s="799"/>
      <c r="P886" s="799"/>
      <c r="Q886" s="799"/>
      <c r="R886" s="799"/>
      <c r="S886" s="799"/>
      <c r="T886" s="799"/>
      <c r="U886" s="799"/>
      <c r="V886" s="799"/>
      <c r="W886" s="799"/>
      <c r="X886" s="799"/>
      <c r="Y886" s="799"/>
      <c r="Z886" s="799"/>
      <c r="AA886" s="799"/>
      <c r="AB886" s="799"/>
      <c r="AC886" s="799"/>
      <c r="AD886" s="799"/>
      <c r="AE886" s="799"/>
      <c r="AF886" s="799"/>
      <c r="AG886" s="799"/>
      <c r="AH886" s="799"/>
      <c r="AI886" s="799"/>
      <c r="AJ886" s="799"/>
      <c r="AK886" s="799"/>
      <c r="AL886" s="799"/>
      <c r="AM886" s="799"/>
      <c r="AN886" s="799"/>
      <c r="AO886" s="799"/>
      <c r="AP886" s="799"/>
      <c r="AQ886" s="799"/>
      <c r="AR886" s="799"/>
      <c r="AS886" s="799"/>
      <c r="AT886" s="799"/>
      <c r="AU886" s="799"/>
      <c r="AV886" s="799"/>
      <c r="AW886" s="799"/>
      <c r="AX886" s="799"/>
      <c r="AY886" s="799"/>
      <c r="AZ886" s="799"/>
      <c r="BA886" s="799"/>
      <c r="BB886" s="799"/>
      <c r="BC886" s="799"/>
      <c r="BD886" s="799"/>
      <c r="BE886" s="799"/>
      <c r="BF886" s="799"/>
      <c r="BG886" s="799"/>
    </row>
    <row r="887">
      <c r="H887" s="799"/>
      <c r="I887" s="799"/>
      <c r="J887" s="799"/>
      <c r="K887" s="799"/>
      <c r="L887" s="799"/>
      <c r="M887" s="799"/>
      <c r="N887" s="799"/>
      <c r="O887" s="799"/>
      <c r="P887" s="799"/>
      <c r="Q887" s="799"/>
      <c r="R887" s="799"/>
      <c r="S887" s="799"/>
      <c r="T887" s="799"/>
      <c r="U887" s="799"/>
      <c r="V887" s="799"/>
      <c r="W887" s="799"/>
      <c r="X887" s="799"/>
      <c r="Y887" s="799"/>
      <c r="Z887" s="799"/>
      <c r="AA887" s="799"/>
      <c r="AB887" s="799"/>
      <c r="AC887" s="799"/>
      <c r="AD887" s="799"/>
      <c r="AE887" s="799"/>
      <c r="AF887" s="799"/>
      <c r="AG887" s="799"/>
      <c r="AH887" s="799"/>
      <c r="AI887" s="799"/>
      <c r="AJ887" s="799"/>
      <c r="AK887" s="799"/>
      <c r="AL887" s="799"/>
      <c r="AM887" s="799"/>
      <c r="AN887" s="799"/>
      <c r="AO887" s="799"/>
      <c r="AP887" s="799"/>
      <c r="AQ887" s="799"/>
      <c r="AR887" s="799"/>
      <c r="AS887" s="799"/>
      <c r="AT887" s="799"/>
      <c r="AU887" s="799"/>
      <c r="AV887" s="799"/>
      <c r="AW887" s="799"/>
      <c r="AX887" s="799"/>
      <c r="AY887" s="799"/>
      <c r="AZ887" s="799"/>
      <c r="BA887" s="799"/>
      <c r="BB887" s="799"/>
      <c r="BC887" s="799"/>
      <c r="BD887" s="799"/>
      <c r="BE887" s="799"/>
      <c r="BF887" s="799"/>
      <c r="BG887" s="799"/>
    </row>
    <row r="888">
      <c r="H888" s="799"/>
      <c r="I888" s="799"/>
      <c r="J888" s="799"/>
      <c r="K888" s="799"/>
      <c r="L888" s="799"/>
      <c r="M888" s="799"/>
      <c r="N888" s="799"/>
      <c r="O888" s="799"/>
      <c r="P888" s="799"/>
      <c r="Q888" s="799"/>
      <c r="R888" s="799"/>
      <c r="S888" s="799"/>
      <c r="T888" s="799"/>
      <c r="U888" s="799"/>
      <c r="V888" s="799"/>
      <c r="W888" s="799"/>
      <c r="X888" s="799"/>
      <c r="Y888" s="799"/>
      <c r="Z888" s="799"/>
      <c r="AA888" s="799"/>
      <c r="AB888" s="799"/>
      <c r="AC888" s="799"/>
      <c r="AD888" s="799"/>
      <c r="AE888" s="799"/>
      <c r="AF888" s="799"/>
      <c r="AG888" s="799"/>
      <c r="AH888" s="799"/>
      <c r="AI888" s="799"/>
      <c r="AJ888" s="799"/>
      <c r="AK888" s="799"/>
      <c r="AL888" s="799"/>
      <c r="AM888" s="799"/>
      <c r="AN888" s="799"/>
      <c r="AO888" s="799"/>
      <c r="AP888" s="799"/>
      <c r="AQ888" s="799"/>
      <c r="AR888" s="799"/>
      <c r="AS888" s="799"/>
      <c r="AT888" s="799"/>
      <c r="AU888" s="799"/>
      <c r="AV888" s="799"/>
      <c r="AW888" s="799"/>
      <c r="AX888" s="799"/>
      <c r="AY888" s="799"/>
      <c r="AZ888" s="799"/>
      <c r="BA888" s="799"/>
      <c r="BB888" s="799"/>
      <c r="BC888" s="799"/>
      <c r="BD888" s="799"/>
      <c r="BE888" s="799"/>
      <c r="BF888" s="799"/>
      <c r="BG888" s="799"/>
    </row>
    <row r="889">
      <c r="H889" s="799"/>
      <c r="I889" s="799"/>
      <c r="J889" s="799"/>
      <c r="K889" s="799"/>
      <c r="L889" s="799"/>
      <c r="M889" s="799"/>
      <c r="N889" s="799"/>
      <c r="O889" s="799"/>
      <c r="P889" s="799"/>
      <c r="Q889" s="799"/>
      <c r="R889" s="799"/>
      <c r="S889" s="799"/>
      <c r="T889" s="799"/>
      <c r="U889" s="799"/>
      <c r="V889" s="799"/>
      <c r="W889" s="799"/>
      <c r="X889" s="799"/>
      <c r="Y889" s="799"/>
      <c r="Z889" s="799"/>
      <c r="AA889" s="799"/>
      <c r="AB889" s="799"/>
      <c r="AC889" s="799"/>
      <c r="AD889" s="799"/>
      <c r="AE889" s="799"/>
      <c r="AF889" s="799"/>
      <c r="AG889" s="799"/>
      <c r="AH889" s="799"/>
      <c r="AI889" s="799"/>
      <c r="AJ889" s="799"/>
      <c r="AK889" s="799"/>
      <c r="AL889" s="799"/>
      <c r="AM889" s="799"/>
      <c r="AN889" s="799"/>
      <c r="AO889" s="799"/>
      <c r="AP889" s="799"/>
      <c r="AQ889" s="799"/>
      <c r="AR889" s="799"/>
      <c r="AS889" s="799"/>
      <c r="AT889" s="799"/>
      <c r="AU889" s="799"/>
      <c r="AV889" s="799"/>
      <c r="AW889" s="799"/>
      <c r="AX889" s="799"/>
      <c r="AY889" s="799"/>
      <c r="AZ889" s="799"/>
      <c r="BA889" s="799"/>
      <c r="BB889" s="799"/>
      <c r="BC889" s="799"/>
      <c r="BD889" s="799"/>
      <c r="BE889" s="799"/>
      <c r="BF889" s="799"/>
      <c r="BG889" s="799"/>
    </row>
    <row r="890">
      <c r="H890" s="799"/>
      <c r="I890" s="799"/>
      <c r="J890" s="799"/>
      <c r="K890" s="799"/>
      <c r="L890" s="799"/>
      <c r="M890" s="799"/>
      <c r="N890" s="799"/>
      <c r="O890" s="799"/>
      <c r="P890" s="799"/>
      <c r="Q890" s="799"/>
      <c r="R890" s="799"/>
      <c r="S890" s="799"/>
      <c r="T890" s="799"/>
      <c r="U890" s="799"/>
      <c r="V890" s="799"/>
      <c r="W890" s="799"/>
      <c r="X890" s="799"/>
      <c r="Y890" s="799"/>
      <c r="Z890" s="799"/>
      <c r="AA890" s="799"/>
      <c r="AB890" s="799"/>
      <c r="AC890" s="799"/>
      <c r="AD890" s="799"/>
      <c r="AE890" s="799"/>
      <c r="AF890" s="799"/>
      <c r="AG890" s="799"/>
      <c r="AH890" s="799"/>
      <c r="AI890" s="799"/>
      <c r="AJ890" s="799"/>
      <c r="AK890" s="799"/>
      <c r="AL890" s="799"/>
      <c r="AM890" s="799"/>
      <c r="AN890" s="799"/>
      <c r="AO890" s="799"/>
      <c r="AP890" s="799"/>
      <c r="AQ890" s="799"/>
      <c r="AR890" s="799"/>
      <c r="AS890" s="799"/>
      <c r="AT890" s="799"/>
      <c r="AU890" s="799"/>
      <c r="AV890" s="799"/>
      <c r="AW890" s="799"/>
      <c r="AX890" s="799"/>
      <c r="AY890" s="799"/>
      <c r="AZ890" s="799"/>
      <c r="BA890" s="799"/>
      <c r="BB890" s="799"/>
      <c r="BC890" s="799"/>
      <c r="BD890" s="799"/>
      <c r="BE890" s="799"/>
      <c r="BF890" s="799"/>
      <c r="BG890" s="799"/>
    </row>
    <row r="891">
      <c r="H891" s="799"/>
      <c r="I891" s="799"/>
      <c r="J891" s="799"/>
      <c r="K891" s="799"/>
      <c r="L891" s="799"/>
      <c r="M891" s="799"/>
      <c r="N891" s="799"/>
      <c r="O891" s="799"/>
      <c r="P891" s="799"/>
      <c r="Q891" s="799"/>
      <c r="R891" s="799"/>
      <c r="S891" s="799"/>
      <c r="T891" s="799"/>
      <c r="U891" s="799"/>
      <c r="V891" s="799"/>
      <c r="W891" s="799"/>
      <c r="X891" s="799"/>
      <c r="Y891" s="799"/>
      <c r="Z891" s="799"/>
      <c r="AA891" s="799"/>
      <c r="AB891" s="799"/>
      <c r="AC891" s="799"/>
      <c r="AD891" s="799"/>
      <c r="AE891" s="799"/>
      <c r="AF891" s="799"/>
      <c r="AG891" s="799"/>
      <c r="AH891" s="799"/>
      <c r="AI891" s="799"/>
      <c r="AJ891" s="799"/>
      <c r="AK891" s="799"/>
      <c r="AL891" s="799"/>
      <c r="AM891" s="799"/>
      <c r="AN891" s="799"/>
      <c r="AO891" s="799"/>
      <c r="AP891" s="799"/>
      <c r="AQ891" s="799"/>
      <c r="AR891" s="799"/>
      <c r="AS891" s="799"/>
      <c r="AT891" s="799"/>
      <c r="AU891" s="799"/>
      <c r="AV891" s="799"/>
      <c r="AW891" s="799"/>
      <c r="AX891" s="799"/>
      <c r="AY891" s="799"/>
      <c r="AZ891" s="799"/>
      <c r="BA891" s="799"/>
      <c r="BB891" s="799"/>
      <c r="BC891" s="799"/>
      <c r="BD891" s="799"/>
      <c r="BE891" s="799"/>
      <c r="BF891" s="799"/>
      <c r="BG891" s="799"/>
    </row>
    <row r="892">
      <c r="H892" s="799"/>
      <c r="I892" s="799"/>
      <c r="J892" s="799"/>
      <c r="K892" s="799"/>
      <c r="L892" s="799"/>
      <c r="M892" s="799"/>
      <c r="N892" s="799"/>
      <c r="O892" s="799"/>
      <c r="P892" s="799"/>
      <c r="Q892" s="799"/>
      <c r="R892" s="799"/>
      <c r="S892" s="799"/>
      <c r="T892" s="799"/>
      <c r="U892" s="799"/>
      <c r="V892" s="799"/>
      <c r="W892" s="799"/>
      <c r="X892" s="799"/>
      <c r="Y892" s="799"/>
      <c r="Z892" s="799"/>
      <c r="AA892" s="799"/>
      <c r="AB892" s="799"/>
      <c r="AC892" s="799"/>
      <c r="AD892" s="799"/>
      <c r="AE892" s="799"/>
      <c r="AF892" s="799"/>
      <c r="AG892" s="799"/>
      <c r="AH892" s="799"/>
      <c r="AI892" s="799"/>
      <c r="AJ892" s="799"/>
      <c r="AK892" s="799"/>
      <c r="AL892" s="799"/>
      <c r="AM892" s="799"/>
      <c r="AN892" s="799"/>
      <c r="AO892" s="799"/>
      <c r="AP892" s="799"/>
      <c r="AQ892" s="799"/>
      <c r="AR892" s="799"/>
      <c r="AS892" s="799"/>
      <c r="AT892" s="799"/>
      <c r="AU892" s="799"/>
      <c r="AV892" s="799"/>
      <c r="AW892" s="799"/>
      <c r="AX892" s="799"/>
      <c r="AY892" s="799"/>
      <c r="AZ892" s="799"/>
      <c r="BA892" s="799"/>
      <c r="BB892" s="799"/>
      <c r="BC892" s="799"/>
      <c r="BD892" s="799"/>
      <c r="BE892" s="799"/>
      <c r="BF892" s="799"/>
      <c r="BG892" s="799"/>
    </row>
    <row r="893">
      <c r="H893" s="799"/>
      <c r="I893" s="799"/>
      <c r="J893" s="799"/>
      <c r="K893" s="799"/>
      <c r="L893" s="799"/>
      <c r="M893" s="799"/>
      <c r="N893" s="799"/>
      <c r="O893" s="799"/>
      <c r="P893" s="799"/>
      <c r="Q893" s="799"/>
      <c r="R893" s="799"/>
      <c r="S893" s="799"/>
      <c r="T893" s="799"/>
      <c r="U893" s="799"/>
      <c r="V893" s="799"/>
      <c r="W893" s="799"/>
      <c r="X893" s="799"/>
      <c r="Y893" s="799"/>
      <c r="Z893" s="799"/>
      <c r="AA893" s="799"/>
      <c r="AB893" s="799"/>
      <c r="AC893" s="799"/>
      <c r="AD893" s="799"/>
      <c r="AE893" s="799"/>
      <c r="AF893" s="799"/>
      <c r="AG893" s="799"/>
      <c r="AH893" s="799"/>
      <c r="AI893" s="799"/>
      <c r="AJ893" s="799"/>
      <c r="AK893" s="799"/>
      <c r="AL893" s="799"/>
      <c r="AM893" s="799"/>
      <c r="AN893" s="799"/>
      <c r="AO893" s="799"/>
      <c r="AP893" s="799"/>
      <c r="AQ893" s="799"/>
      <c r="AR893" s="799"/>
      <c r="AS893" s="799"/>
      <c r="AT893" s="799"/>
      <c r="AU893" s="799"/>
      <c r="AV893" s="799"/>
      <c r="AW893" s="799"/>
      <c r="AX893" s="799"/>
      <c r="AY893" s="799"/>
      <c r="AZ893" s="799"/>
      <c r="BA893" s="799"/>
      <c r="BB893" s="799"/>
      <c r="BC893" s="799"/>
      <c r="BD893" s="799"/>
      <c r="BE893" s="799"/>
      <c r="BF893" s="799"/>
      <c r="BG893" s="799"/>
    </row>
    <row r="894">
      <c r="H894" s="799"/>
      <c r="I894" s="799"/>
      <c r="J894" s="799"/>
      <c r="K894" s="799"/>
      <c r="L894" s="799"/>
      <c r="M894" s="799"/>
      <c r="N894" s="799"/>
      <c r="O894" s="799"/>
      <c r="P894" s="799"/>
      <c r="Q894" s="799"/>
      <c r="R894" s="799"/>
      <c r="S894" s="799"/>
      <c r="T894" s="799"/>
      <c r="U894" s="799"/>
      <c r="V894" s="799"/>
      <c r="W894" s="799"/>
      <c r="X894" s="799"/>
      <c r="Y894" s="799"/>
      <c r="Z894" s="799"/>
      <c r="AA894" s="799"/>
      <c r="AB894" s="799"/>
      <c r="AC894" s="799"/>
      <c r="AD894" s="799"/>
      <c r="AE894" s="799"/>
      <c r="AF894" s="799"/>
      <c r="AG894" s="799"/>
      <c r="AH894" s="799"/>
      <c r="AI894" s="799"/>
      <c r="AJ894" s="799"/>
      <c r="AK894" s="799"/>
      <c r="AL894" s="799"/>
      <c r="AM894" s="799"/>
      <c r="AN894" s="799"/>
      <c r="AO894" s="799"/>
      <c r="AP894" s="799"/>
      <c r="AQ894" s="799"/>
      <c r="AR894" s="799"/>
      <c r="AS894" s="799"/>
      <c r="AT894" s="799"/>
      <c r="AU894" s="799"/>
      <c r="AV894" s="799"/>
      <c r="AW894" s="799"/>
      <c r="AX894" s="799"/>
      <c r="AY894" s="799"/>
      <c r="AZ894" s="799"/>
      <c r="BA894" s="799"/>
      <c r="BB894" s="799"/>
      <c r="BC894" s="799"/>
      <c r="BD894" s="799"/>
      <c r="BE894" s="799"/>
      <c r="BF894" s="799"/>
      <c r="BG894" s="799"/>
    </row>
    <row r="895">
      <c r="H895" s="799"/>
      <c r="I895" s="799"/>
      <c r="J895" s="799"/>
      <c r="K895" s="799"/>
      <c r="L895" s="799"/>
      <c r="M895" s="799"/>
      <c r="N895" s="799"/>
      <c r="O895" s="799"/>
      <c r="P895" s="799"/>
      <c r="Q895" s="799"/>
      <c r="R895" s="799"/>
      <c r="S895" s="799"/>
      <c r="T895" s="799"/>
      <c r="U895" s="799"/>
      <c r="V895" s="799"/>
      <c r="W895" s="799"/>
      <c r="X895" s="799"/>
      <c r="Y895" s="799"/>
      <c r="Z895" s="799"/>
      <c r="AA895" s="799"/>
      <c r="AB895" s="799"/>
      <c r="AC895" s="799"/>
      <c r="AD895" s="799"/>
      <c r="AE895" s="799"/>
      <c r="AF895" s="799"/>
      <c r="AG895" s="799"/>
      <c r="AH895" s="799"/>
      <c r="AI895" s="799"/>
      <c r="AJ895" s="799"/>
      <c r="AK895" s="799"/>
      <c r="AL895" s="799"/>
      <c r="AM895" s="799"/>
      <c r="AN895" s="799"/>
      <c r="AO895" s="799"/>
      <c r="AP895" s="799"/>
      <c r="AQ895" s="799"/>
      <c r="AR895" s="799"/>
      <c r="AS895" s="799"/>
      <c r="AT895" s="799"/>
      <c r="AU895" s="799"/>
      <c r="AV895" s="799"/>
      <c r="AW895" s="799"/>
      <c r="AX895" s="799"/>
      <c r="AY895" s="799"/>
      <c r="AZ895" s="799"/>
      <c r="BA895" s="799"/>
      <c r="BB895" s="799"/>
      <c r="BC895" s="799"/>
      <c r="BD895" s="799"/>
      <c r="BE895" s="799"/>
      <c r="BF895" s="799"/>
      <c r="BG895" s="799"/>
    </row>
    <row r="896">
      <c r="H896" s="799"/>
      <c r="I896" s="799"/>
      <c r="J896" s="799"/>
      <c r="K896" s="799"/>
      <c r="L896" s="799"/>
      <c r="M896" s="799"/>
      <c r="N896" s="799"/>
      <c r="O896" s="799"/>
      <c r="P896" s="799"/>
      <c r="Q896" s="799"/>
      <c r="R896" s="799"/>
      <c r="S896" s="799"/>
      <c r="T896" s="799"/>
      <c r="U896" s="799"/>
      <c r="V896" s="799"/>
      <c r="W896" s="799"/>
      <c r="X896" s="799"/>
      <c r="Y896" s="799"/>
      <c r="Z896" s="799"/>
      <c r="AA896" s="799"/>
      <c r="AB896" s="799"/>
      <c r="AC896" s="799"/>
      <c r="AD896" s="799"/>
      <c r="AE896" s="799"/>
      <c r="AF896" s="799"/>
      <c r="AG896" s="799"/>
      <c r="AH896" s="799"/>
      <c r="AI896" s="799"/>
      <c r="AJ896" s="799"/>
      <c r="AK896" s="799"/>
      <c r="AL896" s="799"/>
      <c r="AM896" s="799"/>
      <c r="AN896" s="799"/>
      <c r="AO896" s="799"/>
      <c r="AP896" s="799"/>
      <c r="AQ896" s="799"/>
      <c r="AR896" s="799"/>
      <c r="AS896" s="799"/>
      <c r="AT896" s="799"/>
      <c r="AU896" s="799"/>
      <c r="AV896" s="799"/>
      <c r="AW896" s="799"/>
      <c r="AX896" s="799"/>
      <c r="AY896" s="799"/>
      <c r="AZ896" s="799"/>
      <c r="BA896" s="799"/>
      <c r="BB896" s="799"/>
      <c r="BC896" s="799"/>
      <c r="BD896" s="799"/>
      <c r="BE896" s="799"/>
      <c r="BF896" s="799"/>
      <c r="BG896" s="799"/>
    </row>
    <row r="897">
      <c r="H897" s="799"/>
      <c r="I897" s="799"/>
      <c r="J897" s="799"/>
      <c r="K897" s="799"/>
      <c r="L897" s="799"/>
      <c r="M897" s="799"/>
      <c r="N897" s="799"/>
      <c r="O897" s="799"/>
      <c r="P897" s="799"/>
      <c r="Q897" s="799"/>
      <c r="R897" s="799"/>
      <c r="S897" s="799"/>
      <c r="T897" s="799"/>
      <c r="U897" s="799"/>
      <c r="V897" s="799"/>
      <c r="W897" s="799"/>
      <c r="X897" s="799"/>
      <c r="Y897" s="799"/>
      <c r="Z897" s="799"/>
      <c r="AA897" s="799"/>
      <c r="AB897" s="799"/>
      <c r="AC897" s="799"/>
      <c r="AD897" s="799"/>
      <c r="AE897" s="799"/>
      <c r="AF897" s="799"/>
      <c r="AG897" s="799"/>
      <c r="AH897" s="799"/>
      <c r="AI897" s="799"/>
      <c r="AJ897" s="799"/>
      <c r="AK897" s="799"/>
      <c r="AL897" s="799"/>
      <c r="AM897" s="799"/>
      <c r="AN897" s="799"/>
      <c r="AO897" s="799"/>
      <c r="AP897" s="799"/>
      <c r="AQ897" s="799"/>
      <c r="AR897" s="799"/>
      <c r="AS897" s="799"/>
      <c r="AT897" s="799"/>
      <c r="AU897" s="799"/>
      <c r="AV897" s="799"/>
      <c r="AW897" s="799"/>
      <c r="AX897" s="799"/>
      <c r="AY897" s="799"/>
      <c r="AZ897" s="799"/>
      <c r="BA897" s="799"/>
      <c r="BB897" s="799"/>
      <c r="BC897" s="799"/>
      <c r="BD897" s="799"/>
      <c r="BE897" s="799"/>
      <c r="BF897" s="799"/>
      <c r="BG897" s="799"/>
    </row>
    <row r="898">
      <c r="H898" s="799"/>
      <c r="I898" s="799"/>
      <c r="J898" s="799"/>
      <c r="K898" s="799"/>
      <c r="L898" s="799"/>
      <c r="M898" s="799"/>
      <c r="N898" s="799"/>
      <c r="O898" s="799"/>
      <c r="P898" s="799"/>
      <c r="Q898" s="799"/>
      <c r="R898" s="799"/>
      <c r="S898" s="799"/>
      <c r="T898" s="799"/>
      <c r="U898" s="799"/>
      <c r="V898" s="799"/>
      <c r="W898" s="799"/>
      <c r="X898" s="799"/>
      <c r="Y898" s="799"/>
      <c r="Z898" s="799"/>
      <c r="AA898" s="799"/>
      <c r="AB898" s="799"/>
      <c r="AC898" s="799"/>
      <c r="AD898" s="799"/>
      <c r="AE898" s="799"/>
      <c r="AF898" s="799"/>
      <c r="AG898" s="799"/>
      <c r="AH898" s="799"/>
      <c r="AI898" s="799"/>
      <c r="AJ898" s="799"/>
      <c r="AK898" s="799"/>
      <c r="AL898" s="799"/>
      <c r="AM898" s="799"/>
      <c r="AN898" s="799"/>
      <c r="AO898" s="799"/>
      <c r="AP898" s="799"/>
      <c r="AQ898" s="799"/>
      <c r="AR898" s="799"/>
      <c r="AS898" s="799"/>
      <c r="AT898" s="799"/>
      <c r="AU898" s="799"/>
      <c r="AV898" s="799"/>
      <c r="AW898" s="799"/>
      <c r="AX898" s="799"/>
      <c r="AY898" s="799"/>
      <c r="AZ898" s="799"/>
      <c r="BA898" s="799"/>
      <c r="BB898" s="799"/>
      <c r="BC898" s="799"/>
      <c r="BD898" s="799"/>
      <c r="BE898" s="799"/>
      <c r="BF898" s="799"/>
      <c r="BG898" s="799"/>
    </row>
    <row r="899">
      <c r="H899" s="799"/>
      <c r="I899" s="799"/>
      <c r="J899" s="799"/>
      <c r="K899" s="799"/>
      <c r="L899" s="799"/>
      <c r="M899" s="799"/>
      <c r="N899" s="799"/>
      <c r="O899" s="799"/>
      <c r="P899" s="799"/>
      <c r="Q899" s="799"/>
      <c r="R899" s="799"/>
      <c r="S899" s="799"/>
      <c r="T899" s="799"/>
      <c r="U899" s="799"/>
      <c r="V899" s="799"/>
      <c r="W899" s="799"/>
      <c r="X899" s="799"/>
      <c r="Y899" s="799"/>
      <c r="Z899" s="799"/>
      <c r="AA899" s="799"/>
      <c r="AB899" s="799"/>
      <c r="AC899" s="799"/>
      <c r="AD899" s="799"/>
      <c r="AE899" s="799"/>
      <c r="AF899" s="799"/>
      <c r="AG899" s="799"/>
      <c r="AH899" s="799"/>
      <c r="AI899" s="799"/>
      <c r="AJ899" s="799"/>
      <c r="AK899" s="799"/>
      <c r="AL899" s="799"/>
      <c r="AM899" s="799"/>
      <c r="AN899" s="799"/>
      <c r="AO899" s="799"/>
      <c r="AP899" s="799"/>
      <c r="AQ899" s="799"/>
      <c r="AR899" s="799"/>
      <c r="AS899" s="799"/>
      <c r="AT899" s="799"/>
      <c r="AU899" s="799"/>
      <c r="AV899" s="799"/>
      <c r="AW899" s="799"/>
      <c r="AX899" s="799"/>
      <c r="AY899" s="799"/>
      <c r="AZ899" s="799"/>
      <c r="BA899" s="799"/>
      <c r="BB899" s="799"/>
      <c r="BC899" s="799"/>
      <c r="BD899" s="799"/>
      <c r="BE899" s="799"/>
      <c r="BF899" s="799"/>
      <c r="BG899" s="799"/>
    </row>
    <row r="900">
      <c r="H900" s="799"/>
      <c r="I900" s="799"/>
      <c r="J900" s="799"/>
      <c r="K900" s="799"/>
      <c r="L900" s="799"/>
      <c r="M900" s="799"/>
      <c r="N900" s="799"/>
      <c r="O900" s="799"/>
      <c r="P900" s="799"/>
      <c r="Q900" s="799"/>
      <c r="R900" s="799"/>
      <c r="S900" s="799"/>
      <c r="T900" s="799"/>
      <c r="U900" s="799"/>
      <c r="V900" s="799"/>
      <c r="W900" s="799"/>
      <c r="X900" s="799"/>
      <c r="Y900" s="799"/>
      <c r="Z900" s="799"/>
      <c r="AA900" s="799"/>
      <c r="AB900" s="799"/>
      <c r="AC900" s="799"/>
      <c r="AD900" s="799"/>
      <c r="AE900" s="799"/>
      <c r="AF900" s="799"/>
      <c r="AG900" s="799"/>
      <c r="AH900" s="799"/>
      <c r="AI900" s="799"/>
      <c r="AJ900" s="799"/>
      <c r="AK900" s="799"/>
      <c r="AL900" s="799"/>
      <c r="AM900" s="799"/>
      <c r="AN900" s="799"/>
      <c r="AO900" s="799"/>
      <c r="AP900" s="799"/>
      <c r="AQ900" s="799"/>
      <c r="AR900" s="799"/>
      <c r="AS900" s="799"/>
      <c r="AT900" s="799"/>
      <c r="AU900" s="799"/>
      <c r="AV900" s="799"/>
      <c r="AW900" s="799"/>
      <c r="AX900" s="799"/>
      <c r="AY900" s="799"/>
      <c r="AZ900" s="799"/>
      <c r="BA900" s="799"/>
      <c r="BB900" s="799"/>
      <c r="BC900" s="799"/>
      <c r="BD900" s="799"/>
      <c r="BE900" s="799"/>
      <c r="BF900" s="799"/>
      <c r="BG900" s="799"/>
    </row>
    <row r="901">
      <c r="H901" s="799"/>
      <c r="I901" s="799"/>
      <c r="J901" s="799"/>
      <c r="K901" s="799"/>
      <c r="L901" s="799"/>
      <c r="M901" s="799"/>
      <c r="N901" s="799"/>
      <c r="O901" s="799"/>
      <c r="P901" s="799"/>
      <c r="Q901" s="799"/>
      <c r="R901" s="799"/>
      <c r="S901" s="799"/>
      <c r="T901" s="799"/>
      <c r="U901" s="799"/>
      <c r="V901" s="799"/>
      <c r="W901" s="799"/>
      <c r="X901" s="799"/>
      <c r="Y901" s="799"/>
      <c r="Z901" s="799"/>
      <c r="AA901" s="799"/>
      <c r="AB901" s="799"/>
      <c r="AC901" s="799"/>
      <c r="AD901" s="799"/>
      <c r="AE901" s="799"/>
      <c r="AF901" s="799"/>
      <c r="AG901" s="799"/>
      <c r="AH901" s="799"/>
      <c r="AI901" s="799"/>
      <c r="AJ901" s="799"/>
      <c r="AK901" s="799"/>
      <c r="AL901" s="799"/>
      <c r="AM901" s="799"/>
      <c r="AN901" s="799"/>
      <c r="AO901" s="799"/>
      <c r="AP901" s="799"/>
      <c r="AQ901" s="799"/>
      <c r="AR901" s="799"/>
      <c r="AS901" s="799"/>
      <c r="AT901" s="799"/>
      <c r="AU901" s="799"/>
      <c r="AV901" s="799"/>
      <c r="AW901" s="799"/>
      <c r="AX901" s="799"/>
      <c r="AY901" s="799"/>
      <c r="AZ901" s="799"/>
      <c r="BA901" s="799"/>
      <c r="BB901" s="799"/>
      <c r="BC901" s="799"/>
      <c r="BD901" s="799"/>
      <c r="BE901" s="799"/>
      <c r="BF901" s="799"/>
      <c r="BG901" s="799"/>
    </row>
    <row r="902">
      <c r="H902" s="799"/>
      <c r="I902" s="799"/>
      <c r="J902" s="799"/>
      <c r="K902" s="799"/>
      <c r="L902" s="799"/>
      <c r="M902" s="799"/>
      <c r="N902" s="799"/>
      <c r="O902" s="799"/>
      <c r="P902" s="799"/>
      <c r="Q902" s="799"/>
      <c r="R902" s="799"/>
      <c r="S902" s="799"/>
      <c r="T902" s="799"/>
      <c r="U902" s="799"/>
      <c r="V902" s="799"/>
      <c r="W902" s="799"/>
      <c r="X902" s="799"/>
      <c r="Y902" s="799"/>
      <c r="Z902" s="799"/>
      <c r="AA902" s="799"/>
      <c r="AB902" s="799"/>
      <c r="AC902" s="799"/>
      <c r="AD902" s="799"/>
      <c r="AE902" s="799"/>
      <c r="AF902" s="799"/>
      <c r="AG902" s="799"/>
      <c r="AH902" s="799"/>
      <c r="AI902" s="799"/>
      <c r="AJ902" s="799"/>
      <c r="AK902" s="799"/>
      <c r="AL902" s="799"/>
      <c r="AM902" s="799"/>
      <c r="AN902" s="799"/>
      <c r="AO902" s="799"/>
      <c r="AP902" s="799"/>
      <c r="AQ902" s="799"/>
      <c r="AR902" s="799"/>
      <c r="AS902" s="799"/>
      <c r="AT902" s="799"/>
      <c r="AU902" s="799"/>
      <c r="AV902" s="799"/>
      <c r="AW902" s="799"/>
      <c r="AX902" s="799"/>
      <c r="AY902" s="799"/>
      <c r="AZ902" s="799"/>
      <c r="BA902" s="799"/>
      <c r="BB902" s="799"/>
      <c r="BC902" s="799"/>
      <c r="BD902" s="799"/>
      <c r="BE902" s="799"/>
      <c r="BF902" s="799"/>
      <c r="BG902" s="799"/>
    </row>
    <row r="903">
      <c r="H903" s="799"/>
      <c r="I903" s="799"/>
      <c r="J903" s="799"/>
      <c r="K903" s="799"/>
      <c r="L903" s="799"/>
      <c r="M903" s="799"/>
      <c r="N903" s="799"/>
      <c r="O903" s="799"/>
      <c r="P903" s="799"/>
      <c r="Q903" s="799"/>
      <c r="R903" s="799"/>
      <c r="S903" s="799"/>
      <c r="T903" s="799"/>
      <c r="U903" s="799"/>
      <c r="V903" s="799"/>
      <c r="W903" s="799"/>
      <c r="X903" s="799"/>
      <c r="Y903" s="799"/>
      <c r="Z903" s="799"/>
      <c r="AA903" s="799"/>
      <c r="AB903" s="799"/>
      <c r="AC903" s="799"/>
      <c r="AD903" s="799"/>
      <c r="AE903" s="799"/>
      <c r="AF903" s="799"/>
      <c r="AG903" s="799"/>
      <c r="AH903" s="799"/>
      <c r="AI903" s="799"/>
      <c r="AJ903" s="799"/>
      <c r="AK903" s="799"/>
      <c r="AL903" s="799"/>
      <c r="AM903" s="799"/>
      <c r="AN903" s="799"/>
      <c r="AO903" s="799"/>
      <c r="AP903" s="799"/>
      <c r="AQ903" s="799"/>
      <c r="AR903" s="799"/>
      <c r="AS903" s="799"/>
      <c r="AT903" s="799"/>
      <c r="AU903" s="799"/>
      <c r="AV903" s="799"/>
      <c r="AW903" s="799"/>
      <c r="AX903" s="799"/>
      <c r="AY903" s="799"/>
      <c r="AZ903" s="799"/>
      <c r="BA903" s="799"/>
      <c r="BB903" s="799"/>
      <c r="BC903" s="799"/>
      <c r="BD903" s="799"/>
      <c r="BE903" s="799"/>
      <c r="BF903" s="799"/>
      <c r="BG903" s="799"/>
    </row>
    <row r="904">
      <c r="H904" s="799"/>
      <c r="I904" s="799"/>
      <c r="J904" s="799"/>
      <c r="K904" s="799"/>
      <c r="L904" s="799"/>
      <c r="M904" s="799"/>
      <c r="N904" s="799"/>
      <c r="O904" s="799"/>
      <c r="P904" s="799"/>
      <c r="Q904" s="799"/>
      <c r="R904" s="799"/>
      <c r="S904" s="799"/>
      <c r="T904" s="799"/>
      <c r="U904" s="799"/>
      <c r="V904" s="799"/>
      <c r="W904" s="799"/>
      <c r="X904" s="799"/>
      <c r="Y904" s="799"/>
      <c r="Z904" s="799"/>
      <c r="AA904" s="799"/>
      <c r="AB904" s="799"/>
      <c r="AC904" s="799"/>
      <c r="AD904" s="799"/>
      <c r="AE904" s="799"/>
      <c r="AF904" s="799"/>
      <c r="AG904" s="799"/>
      <c r="AH904" s="799"/>
      <c r="AI904" s="799"/>
      <c r="AJ904" s="799"/>
      <c r="AK904" s="799"/>
      <c r="AL904" s="799"/>
      <c r="AM904" s="799"/>
      <c r="AN904" s="799"/>
      <c r="AO904" s="799"/>
      <c r="AP904" s="799"/>
      <c r="AQ904" s="799"/>
      <c r="AR904" s="799"/>
      <c r="AS904" s="799"/>
      <c r="AT904" s="799"/>
      <c r="AU904" s="799"/>
      <c r="AV904" s="799"/>
      <c r="AW904" s="799"/>
      <c r="AX904" s="799"/>
      <c r="AY904" s="799"/>
      <c r="AZ904" s="799"/>
      <c r="BA904" s="799"/>
      <c r="BB904" s="799"/>
      <c r="BC904" s="799"/>
      <c r="BD904" s="799"/>
      <c r="BE904" s="799"/>
      <c r="BF904" s="799"/>
      <c r="BG904" s="799"/>
    </row>
    <row r="905">
      <c r="H905" s="799"/>
      <c r="I905" s="799"/>
      <c r="J905" s="799"/>
      <c r="K905" s="799"/>
      <c r="L905" s="799"/>
      <c r="M905" s="799"/>
      <c r="N905" s="799"/>
      <c r="O905" s="799"/>
      <c r="P905" s="799"/>
      <c r="Q905" s="799"/>
      <c r="R905" s="799"/>
      <c r="S905" s="799"/>
      <c r="T905" s="799"/>
      <c r="U905" s="799"/>
      <c r="V905" s="799"/>
      <c r="W905" s="799"/>
      <c r="X905" s="799"/>
      <c r="Y905" s="799"/>
      <c r="Z905" s="799"/>
      <c r="AA905" s="799"/>
      <c r="AB905" s="799"/>
      <c r="AC905" s="799"/>
      <c r="AD905" s="799"/>
      <c r="AE905" s="799"/>
      <c r="AF905" s="799"/>
      <c r="AG905" s="799"/>
      <c r="AH905" s="799"/>
      <c r="AI905" s="799"/>
      <c r="AJ905" s="799"/>
      <c r="AK905" s="799"/>
      <c r="AL905" s="799"/>
      <c r="AM905" s="799"/>
      <c r="AN905" s="799"/>
      <c r="AO905" s="799"/>
      <c r="AP905" s="799"/>
      <c r="AQ905" s="799"/>
      <c r="AR905" s="799"/>
      <c r="AS905" s="799"/>
      <c r="AT905" s="799"/>
      <c r="AU905" s="799"/>
      <c r="AV905" s="799"/>
      <c r="AW905" s="799"/>
      <c r="AX905" s="799"/>
      <c r="AY905" s="799"/>
      <c r="AZ905" s="799"/>
      <c r="BA905" s="799"/>
      <c r="BB905" s="799"/>
      <c r="BC905" s="799"/>
      <c r="BD905" s="799"/>
      <c r="BE905" s="799"/>
      <c r="BF905" s="799"/>
      <c r="BG905" s="799"/>
    </row>
    <row r="906">
      <c r="H906" s="799"/>
      <c r="I906" s="799"/>
      <c r="J906" s="799"/>
      <c r="K906" s="799"/>
      <c r="L906" s="799"/>
      <c r="M906" s="799"/>
      <c r="N906" s="799"/>
      <c r="O906" s="799"/>
      <c r="P906" s="799"/>
      <c r="Q906" s="799"/>
      <c r="R906" s="799"/>
      <c r="S906" s="799"/>
      <c r="T906" s="799"/>
      <c r="U906" s="799"/>
      <c r="V906" s="799"/>
      <c r="W906" s="799"/>
      <c r="X906" s="799"/>
      <c r="Y906" s="799"/>
      <c r="Z906" s="799"/>
      <c r="AA906" s="799"/>
      <c r="AB906" s="799"/>
      <c r="AC906" s="799"/>
      <c r="AD906" s="799"/>
      <c r="AE906" s="799"/>
      <c r="AF906" s="799"/>
      <c r="AG906" s="799"/>
      <c r="AH906" s="799"/>
      <c r="AI906" s="799"/>
      <c r="AJ906" s="799"/>
      <c r="AK906" s="799"/>
      <c r="AL906" s="799"/>
      <c r="AM906" s="799"/>
      <c r="AN906" s="799"/>
      <c r="AO906" s="799"/>
      <c r="AP906" s="799"/>
      <c r="AQ906" s="799"/>
      <c r="AR906" s="799"/>
      <c r="AS906" s="799"/>
      <c r="AT906" s="799"/>
      <c r="AU906" s="799"/>
      <c r="AV906" s="799"/>
      <c r="AW906" s="799"/>
      <c r="AX906" s="799"/>
      <c r="AY906" s="799"/>
      <c r="AZ906" s="799"/>
      <c r="BA906" s="799"/>
      <c r="BB906" s="799"/>
      <c r="BC906" s="799"/>
      <c r="BD906" s="799"/>
      <c r="BE906" s="799"/>
      <c r="BF906" s="799"/>
      <c r="BG906" s="799"/>
    </row>
    <row r="907">
      <c r="H907" s="799"/>
      <c r="I907" s="799"/>
      <c r="J907" s="799"/>
      <c r="K907" s="799"/>
      <c r="L907" s="799"/>
      <c r="M907" s="799"/>
      <c r="N907" s="799"/>
      <c r="O907" s="799"/>
      <c r="P907" s="799"/>
      <c r="Q907" s="799"/>
      <c r="R907" s="799"/>
      <c r="S907" s="799"/>
      <c r="T907" s="799"/>
      <c r="U907" s="799"/>
      <c r="V907" s="799"/>
      <c r="W907" s="799"/>
      <c r="X907" s="799"/>
      <c r="Y907" s="799"/>
      <c r="Z907" s="799"/>
      <c r="AA907" s="799"/>
      <c r="AB907" s="799"/>
      <c r="AC907" s="799"/>
      <c r="AD907" s="799"/>
      <c r="AE907" s="799"/>
      <c r="AF907" s="799"/>
      <c r="AG907" s="799"/>
      <c r="AH907" s="799"/>
      <c r="AI907" s="799"/>
      <c r="AJ907" s="799"/>
      <c r="AK907" s="799"/>
      <c r="AL907" s="799"/>
      <c r="AM907" s="799"/>
      <c r="AN907" s="799"/>
      <c r="AO907" s="799"/>
      <c r="AP907" s="799"/>
      <c r="AQ907" s="799"/>
      <c r="AR907" s="799"/>
      <c r="AS907" s="799"/>
      <c r="AT907" s="799"/>
      <c r="AU907" s="799"/>
      <c r="AV907" s="799"/>
      <c r="AW907" s="799"/>
      <c r="AX907" s="799"/>
      <c r="AY907" s="799"/>
      <c r="AZ907" s="799"/>
      <c r="BA907" s="799"/>
      <c r="BB907" s="799"/>
      <c r="BC907" s="799"/>
      <c r="BD907" s="799"/>
      <c r="BE907" s="799"/>
      <c r="BF907" s="799"/>
      <c r="BG907" s="799"/>
    </row>
    <row r="908">
      <c r="H908" s="799"/>
      <c r="I908" s="799"/>
      <c r="J908" s="799"/>
      <c r="K908" s="799"/>
      <c r="L908" s="799"/>
      <c r="M908" s="799"/>
      <c r="N908" s="799"/>
      <c r="O908" s="799"/>
      <c r="P908" s="799"/>
      <c r="Q908" s="799"/>
      <c r="R908" s="799"/>
      <c r="S908" s="799"/>
      <c r="T908" s="799"/>
      <c r="U908" s="799"/>
      <c r="V908" s="799"/>
      <c r="W908" s="799"/>
      <c r="X908" s="799"/>
      <c r="Y908" s="799"/>
      <c r="Z908" s="799"/>
      <c r="AA908" s="799"/>
      <c r="AB908" s="799"/>
      <c r="AC908" s="799"/>
      <c r="AD908" s="799"/>
      <c r="AE908" s="799"/>
      <c r="AF908" s="799"/>
      <c r="AG908" s="799"/>
      <c r="AH908" s="799"/>
      <c r="AI908" s="799"/>
      <c r="AJ908" s="799"/>
      <c r="AK908" s="799"/>
      <c r="AL908" s="799"/>
      <c r="AM908" s="799"/>
      <c r="AN908" s="799"/>
      <c r="AO908" s="799"/>
      <c r="AP908" s="799"/>
      <c r="AQ908" s="799"/>
      <c r="AR908" s="799"/>
      <c r="AS908" s="799"/>
      <c r="AT908" s="799"/>
      <c r="AU908" s="799"/>
      <c r="AV908" s="799"/>
      <c r="AW908" s="799"/>
      <c r="AX908" s="799"/>
      <c r="AY908" s="799"/>
      <c r="AZ908" s="799"/>
      <c r="BA908" s="799"/>
      <c r="BB908" s="799"/>
      <c r="BC908" s="799"/>
      <c r="BD908" s="799"/>
      <c r="BE908" s="799"/>
      <c r="BF908" s="799"/>
      <c r="BG908" s="799"/>
    </row>
    <row r="909">
      <c r="H909" s="799"/>
      <c r="I909" s="799"/>
      <c r="J909" s="799"/>
      <c r="K909" s="799"/>
      <c r="L909" s="799"/>
      <c r="M909" s="799"/>
      <c r="N909" s="799"/>
      <c r="O909" s="799"/>
      <c r="P909" s="799"/>
      <c r="Q909" s="799"/>
      <c r="R909" s="799"/>
      <c r="S909" s="799"/>
      <c r="T909" s="799"/>
      <c r="U909" s="799"/>
      <c r="V909" s="799"/>
      <c r="W909" s="799"/>
      <c r="X909" s="799"/>
      <c r="Y909" s="799"/>
      <c r="Z909" s="799"/>
      <c r="AA909" s="799"/>
      <c r="AB909" s="799"/>
      <c r="AC909" s="799"/>
      <c r="AD909" s="799"/>
      <c r="AE909" s="799"/>
      <c r="AF909" s="799"/>
      <c r="AG909" s="799"/>
      <c r="AH909" s="799"/>
      <c r="AI909" s="799"/>
      <c r="AJ909" s="799"/>
      <c r="AK909" s="799"/>
      <c r="AL909" s="799"/>
      <c r="AM909" s="799"/>
      <c r="AN909" s="799"/>
      <c r="AO909" s="799"/>
      <c r="AP909" s="799"/>
      <c r="AQ909" s="799"/>
      <c r="AR909" s="799"/>
      <c r="AS909" s="799"/>
      <c r="AT909" s="799"/>
      <c r="AU909" s="799"/>
      <c r="AV909" s="799"/>
      <c r="AW909" s="799"/>
      <c r="AX909" s="799"/>
      <c r="AY909" s="799"/>
      <c r="AZ909" s="799"/>
      <c r="BA909" s="799"/>
      <c r="BB909" s="799"/>
      <c r="BC909" s="799"/>
      <c r="BD909" s="799"/>
      <c r="BE909" s="799"/>
      <c r="BF909" s="799"/>
      <c r="BG909" s="799"/>
    </row>
    <row r="910">
      <c r="H910" s="799"/>
      <c r="I910" s="799"/>
      <c r="J910" s="799"/>
      <c r="K910" s="799"/>
      <c r="L910" s="799"/>
      <c r="M910" s="799"/>
      <c r="N910" s="799"/>
      <c r="O910" s="799"/>
      <c r="P910" s="799"/>
      <c r="Q910" s="799"/>
      <c r="R910" s="799"/>
      <c r="S910" s="799"/>
      <c r="T910" s="799"/>
      <c r="U910" s="799"/>
      <c r="V910" s="799"/>
      <c r="W910" s="799"/>
      <c r="X910" s="799"/>
      <c r="Y910" s="799"/>
      <c r="Z910" s="799"/>
      <c r="AA910" s="799"/>
      <c r="AB910" s="799"/>
      <c r="AC910" s="799"/>
      <c r="AD910" s="799"/>
      <c r="AE910" s="799"/>
      <c r="AF910" s="799"/>
      <c r="AG910" s="799"/>
      <c r="AH910" s="799"/>
      <c r="AI910" s="799"/>
      <c r="AJ910" s="799"/>
      <c r="AK910" s="799"/>
      <c r="AL910" s="799"/>
      <c r="AM910" s="799"/>
      <c r="AN910" s="799"/>
      <c r="AO910" s="799"/>
      <c r="AP910" s="799"/>
      <c r="AQ910" s="799"/>
      <c r="AR910" s="799"/>
      <c r="AS910" s="799"/>
      <c r="AT910" s="799"/>
      <c r="AU910" s="799"/>
      <c r="AV910" s="799"/>
      <c r="AW910" s="799"/>
      <c r="AX910" s="799"/>
      <c r="AY910" s="799"/>
      <c r="AZ910" s="799"/>
      <c r="BA910" s="799"/>
      <c r="BB910" s="799"/>
      <c r="BC910" s="799"/>
      <c r="BD910" s="799"/>
      <c r="BE910" s="799"/>
      <c r="BF910" s="799"/>
      <c r="BG910" s="799"/>
    </row>
    <row r="911">
      <c r="H911" s="799"/>
      <c r="I911" s="799"/>
      <c r="J911" s="799"/>
      <c r="K911" s="799"/>
      <c r="L911" s="799"/>
      <c r="M911" s="799"/>
      <c r="N911" s="799"/>
      <c r="O911" s="799"/>
      <c r="P911" s="799"/>
      <c r="Q911" s="799"/>
      <c r="R911" s="799"/>
      <c r="S911" s="799"/>
      <c r="T911" s="799"/>
      <c r="U911" s="799"/>
      <c r="V911" s="799"/>
      <c r="W911" s="799"/>
      <c r="X911" s="799"/>
      <c r="Y911" s="799"/>
      <c r="Z911" s="799"/>
      <c r="AA911" s="799"/>
      <c r="AB911" s="799"/>
      <c r="AC911" s="799"/>
      <c r="AD911" s="799"/>
      <c r="AE911" s="799"/>
      <c r="AF911" s="799"/>
      <c r="AG911" s="799"/>
      <c r="AH911" s="799"/>
      <c r="AI911" s="799"/>
      <c r="AJ911" s="799"/>
      <c r="AK911" s="799"/>
      <c r="AL911" s="799"/>
      <c r="AM911" s="799"/>
      <c r="AN911" s="799"/>
      <c r="AO911" s="799"/>
      <c r="AP911" s="799"/>
      <c r="AQ911" s="799"/>
      <c r="AR911" s="799"/>
      <c r="AS911" s="799"/>
      <c r="AT911" s="799"/>
      <c r="AU911" s="799"/>
      <c r="AV911" s="799"/>
      <c r="AW911" s="799"/>
      <c r="AX911" s="799"/>
      <c r="AY911" s="799"/>
      <c r="AZ911" s="799"/>
      <c r="BA911" s="799"/>
      <c r="BB911" s="799"/>
      <c r="BC911" s="799"/>
      <c r="BD911" s="799"/>
      <c r="BE911" s="799"/>
      <c r="BF911" s="799"/>
      <c r="BG911" s="799"/>
    </row>
    <row r="912">
      <c r="H912" s="799"/>
      <c r="I912" s="799"/>
      <c r="J912" s="799"/>
      <c r="K912" s="799"/>
      <c r="L912" s="799"/>
      <c r="M912" s="799"/>
      <c r="N912" s="799"/>
      <c r="O912" s="799"/>
      <c r="P912" s="799"/>
      <c r="Q912" s="799"/>
      <c r="R912" s="799"/>
      <c r="S912" s="799"/>
      <c r="T912" s="799"/>
      <c r="U912" s="799"/>
      <c r="V912" s="799"/>
      <c r="W912" s="799"/>
      <c r="X912" s="799"/>
      <c r="Y912" s="799"/>
      <c r="Z912" s="799"/>
      <c r="AA912" s="799"/>
      <c r="AB912" s="799"/>
      <c r="AC912" s="799"/>
      <c r="AD912" s="799"/>
      <c r="AE912" s="799"/>
      <c r="AF912" s="799"/>
      <c r="AG912" s="799"/>
      <c r="AH912" s="799"/>
      <c r="AI912" s="799"/>
      <c r="AJ912" s="799"/>
      <c r="AK912" s="799"/>
      <c r="AL912" s="799"/>
      <c r="AM912" s="799"/>
      <c r="AN912" s="799"/>
      <c r="AO912" s="799"/>
      <c r="AP912" s="799"/>
      <c r="AQ912" s="799"/>
      <c r="AR912" s="799"/>
      <c r="AS912" s="799"/>
      <c r="AT912" s="799"/>
      <c r="AU912" s="799"/>
      <c r="AV912" s="799"/>
      <c r="AW912" s="799"/>
      <c r="AX912" s="799"/>
      <c r="AY912" s="799"/>
      <c r="AZ912" s="799"/>
      <c r="BA912" s="799"/>
      <c r="BB912" s="799"/>
      <c r="BC912" s="799"/>
      <c r="BD912" s="799"/>
      <c r="BE912" s="799"/>
      <c r="BF912" s="799"/>
      <c r="BG912" s="799"/>
    </row>
    <row r="913">
      <c r="H913" s="799"/>
      <c r="I913" s="799"/>
      <c r="J913" s="799"/>
      <c r="K913" s="799"/>
      <c r="L913" s="799"/>
      <c r="M913" s="799"/>
      <c r="N913" s="799"/>
      <c r="O913" s="799"/>
      <c r="P913" s="799"/>
      <c r="Q913" s="799"/>
      <c r="R913" s="799"/>
      <c r="S913" s="799"/>
      <c r="T913" s="799"/>
      <c r="U913" s="799"/>
      <c r="V913" s="799"/>
      <c r="W913" s="799"/>
      <c r="X913" s="799"/>
      <c r="Y913" s="799"/>
      <c r="Z913" s="799"/>
      <c r="AA913" s="799"/>
      <c r="AB913" s="799"/>
      <c r="AC913" s="799"/>
      <c r="AD913" s="799"/>
      <c r="AE913" s="799"/>
      <c r="AF913" s="799"/>
      <c r="AG913" s="799"/>
      <c r="AH913" s="799"/>
      <c r="AI913" s="799"/>
      <c r="AJ913" s="799"/>
      <c r="AK913" s="799"/>
      <c r="AL913" s="799"/>
      <c r="AM913" s="799"/>
      <c r="AN913" s="799"/>
      <c r="AO913" s="799"/>
      <c r="AP913" s="799"/>
      <c r="AQ913" s="799"/>
      <c r="AR913" s="799"/>
      <c r="AS913" s="799"/>
      <c r="AT913" s="799"/>
      <c r="AU913" s="799"/>
      <c r="AV913" s="799"/>
      <c r="AW913" s="799"/>
      <c r="AX913" s="799"/>
      <c r="AY913" s="799"/>
      <c r="AZ913" s="799"/>
      <c r="BA913" s="799"/>
      <c r="BB913" s="799"/>
      <c r="BC913" s="799"/>
      <c r="BD913" s="799"/>
      <c r="BE913" s="799"/>
      <c r="BF913" s="799"/>
      <c r="BG913" s="799"/>
    </row>
    <row r="914">
      <c r="H914" s="799"/>
      <c r="I914" s="799"/>
      <c r="J914" s="799"/>
      <c r="K914" s="799"/>
      <c r="L914" s="799"/>
      <c r="M914" s="799"/>
      <c r="N914" s="799"/>
      <c r="O914" s="799"/>
      <c r="P914" s="799"/>
      <c r="Q914" s="799"/>
      <c r="R914" s="799"/>
      <c r="S914" s="799"/>
      <c r="T914" s="799"/>
      <c r="U914" s="799"/>
      <c r="V914" s="799"/>
      <c r="W914" s="799"/>
      <c r="X914" s="799"/>
      <c r="Y914" s="799"/>
      <c r="Z914" s="799"/>
      <c r="AA914" s="799"/>
      <c r="AB914" s="799"/>
      <c r="AC914" s="799"/>
      <c r="AD914" s="799"/>
      <c r="AE914" s="799"/>
      <c r="AF914" s="799"/>
      <c r="AG914" s="799"/>
      <c r="AH914" s="799"/>
      <c r="AI914" s="799"/>
      <c r="AJ914" s="799"/>
      <c r="AK914" s="799"/>
      <c r="AL914" s="799"/>
      <c r="AM914" s="799"/>
      <c r="AN914" s="799"/>
      <c r="AO914" s="799"/>
      <c r="AP914" s="799"/>
      <c r="AQ914" s="799"/>
      <c r="AR914" s="799"/>
      <c r="AS914" s="799"/>
      <c r="AT914" s="799"/>
      <c r="AU914" s="799"/>
      <c r="AV914" s="799"/>
      <c r="AW914" s="799"/>
      <c r="AX914" s="799"/>
      <c r="AY914" s="799"/>
      <c r="AZ914" s="799"/>
      <c r="BA914" s="799"/>
      <c r="BB914" s="799"/>
      <c r="BC914" s="799"/>
      <c r="BD914" s="799"/>
      <c r="BE914" s="799"/>
      <c r="BF914" s="799"/>
      <c r="BG914" s="799"/>
    </row>
    <row r="915">
      <c r="H915" s="799"/>
      <c r="I915" s="799"/>
      <c r="J915" s="799"/>
      <c r="K915" s="799"/>
      <c r="L915" s="799"/>
      <c r="M915" s="799"/>
      <c r="N915" s="799"/>
      <c r="O915" s="799"/>
      <c r="P915" s="799"/>
      <c r="Q915" s="799"/>
      <c r="R915" s="799"/>
      <c r="S915" s="799"/>
      <c r="T915" s="799"/>
      <c r="U915" s="799"/>
      <c r="V915" s="799"/>
      <c r="W915" s="799"/>
      <c r="X915" s="799"/>
      <c r="Y915" s="799"/>
      <c r="Z915" s="799"/>
      <c r="AA915" s="799"/>
      <c r="AB915" s="799"/>
      <c r="AC915" s="799"/>
      <c r="AD915" s="799"/>
      <c r="AE915" s="799"/>
      <c r="AF915" s="799"/>
      <c r="AG915" s="799"/>
      <c r="AH915" s="799"/>
      <c r="AI915" s="799"/>
      <c r="AJ915" s="799"/>
      <c r="AK915" s="799"/>
      <c r="AL915" s="799"/>
      <c r="AM915" s="799"/>
      <c r="AN915" s="799"/>
      <c r="AO915" s="799"/>
      <c r="AP915" s="799"/>
      <c r="AQ915" s="799"/>
      <c r="AR915" s="799"/>
      <c r="AS915" s="799"/>
      <c r="AT915" s="799"/>
      <c r="AU915" s="799"/>
      <c r="AV915" s="799"/>
      <c r="AW915" s="799"/>
      <c r="AX915" s="799"/>
      <c r="AY915" s="799"/>
      <c r="AZ915" s="799"/>
      <c r="BA915" s="799"/>
      <c r="BB915" s="799"/>
      <c r="BC915" s="799"/>
      <c r="BD915" s="799"/>
      <c r="BE915" s="799"/>
      <c r="BF915" s="799"/>
      <c r="BG915" s="799"/>
    </row>
    <row r="916">
      <c r="H916" s="799"/>
      <c r="I916" s="799"/>
      <c r="J916" s="799"/>
      <c r="K916" s="799"/>
      <c r="L916" s="799"/>
      <c r="M916" s="799"/>
      <c r="N916" s="799"/>
      <c r="O916" s="799"/>
      <c r="P916" s="799"/>
      <c r="Q916" s="799"/>
      <c r="R916" s="799"/>
      <c r="S916" s="799"/>
      <c r="T916" s="799"/>
      <c r="U916" s="799"/>
      <c r="V916" s="799"/>
      <c r="W916" s="799"/>
      <c r="X916" s="799"/>
      <c r="Y916" s="799"/>
      <c r="Z916" s="799"/>
      <c r="AA916" s="799"/>
      <c r="AB916" s="799"/>
      <c r="AC916" s="799"/>
      <c r="AD916" s="799"/>
      <c r="AE916" s="799"/>
      <c r="AF916" s="799"/>
      <c r="AG916" s="799"/>
      <c r="AH916" s="799"/>
      <c r="AI916" s="799"/>
      <c r="AJ916" s="799"/>
      <c r="AK916" s="799"/>
      <c r="AL916" s="799"/>
      <c r="AM916" s="799"/>
      <c r="AN916" s="799"/>
      <c r="AO916" s="799"/>
      <c r="AP916" s="799"/>
      <c r="AQ916" s="799"/>
      <c r="AR916" s="799"/>
      <c r="AS916" s="799"/>
      <c r="AT916" s="799"/>
      <c r="AU916" s="799"/>
      <c r="AV916" s="799"/>
      <c r="AW916" s="799"/>
      <c r="AX916" s="799"/>
      <c r="AY916" s="799"/>
      <c r="AZ916" s="799"/>
      <c r="BA916" s="799"/>
      <c r="BB916" s="799"/>
      <c r="BC916" s="799"/>
      <c r="BD916" s="799"/>
      <c r="BE916" s="799"/>
      <c r="BF916" s="799"/>
      <c r="BG916" s="799"/>
    </row>
    <row r="917">
      <c r="H917" s="799"/>
      <c r="I917" s="799"/>
      <c r="J917" s="799"/>
      <c r="K917" s="799"/>
      <c r="L917" s="799"/>
      <c r="M917" s="799"/>
      <c r="N917" s="799"/>
      <c r="O917" s="799"/>
      <c r="P917" s="799"/>
      <c r="Q917" s="799"/>
      <c r="R917" s="799"/>
      <c r="S917" s="799"/>
      <c r="T917" s="799"/>
      <c r="U917" s="799"/>
      <c r="V917" s="799"/>
      <c r="W917" s="799"/>
      <c r="X917" s="799"/>
      <c r="Y917" s="799"/>
      <c r="Z917" s="799"/>
      <c r="AA917" s="799"/>
      <c r="AB917" s="799"/>
      <c r="AC917" s="799"/>
      <c r="AD917" s="799"/>
      <c r="AE917" s="799"/>
      <c r="AF917" s="799"/>
      <c r="AG917" s="799"/>
      <c r="AH917" s="799"/>
      <c r="AI917" s="799"/>
      <c r="AJ917" s="799"/>
      <c r="AK917" s="799"/>
      <c r="AL917" s="799"/>
      <c r="AM917" s="799"/>
      <c r="AN917" s="799"/>
      <c r="AO917" s="799"/>
      <c r="AP917" s="799"/>
      <c r="AQ917" s="799"/>
      <c r="AR917" s="799"/>
      <c r="AS917" s="799"/>
      <c r="AT917" s="799"/>
      <c r="AU917" s="799"/>
      <c r="AV917" s="799"/>
      <c r="AW917" s="799"/>
      <c r="AX917" s="799"/>
      <c r="AY917" s="799"/>
      <c r="AZ917" s="799"/>
      <c r="BA917" s="799"/>
      <c r="BB917" s="799"/>
      <c r="BC917" s="799"/>
      <c r="BD917" s="799"/>
      <c r="BE917" s="799"/>
      <c r="BF917" s="799"/>
      <c r="BG917" s="799"/>
    </row>
    <row r="918">
      <c r="H918" s="799"/>
      <c r="I918" s="799"/>
      <c r="J918" s="799"/>
      <c r="K918" s="799"/>
      <c r="L918" s="799"/>
      <c r="M918" s="799"/>
      <c r="N918" s="799"/>
      <c r="O918" s="799"/>
      <c r="P918" s="799"/>
      <c r="Q918" s="799"/>
      <c r="R918" s="799"/>
      <c r="S918" s="799"/>
      <c r="T918" s="799"/>
      <c r="U918" s="799"/>
      <c r="V918" s="799"/>
      <c r="W918" s="799"/>
      <c r="X918" s="799"/>
      <c r="Y918" s="799"/>
      <c r="Z918" s="799"/>
      <c r="AA918" s="799"/>
      <c r="AB918" s="799"/>
      <c r="AC918" s="799"/>
      <c r="AD918" s="799"/>
      <c r="AE918" s="799"/>
      <c r="AF918" s="799"/>
      <c r="AG918" s="799"/>
      <c r="AH918" s="799"/>
      <c r="AI918" s="799"/>
      <c r="AJ918" s="799"/>
      <c r="AK918" s="799"/>
      <c r="AL918" s="799"/>
      <c r="AM918" s="799"/>
      <c r="AN918" s="799"/>
      <c r="AO918" s="799"/>
      <c r="AP918" s="799"/>
      <c r="AQ918" s="799"/>
      <c r="AR918" s="799"/>
      <c r="AS918" s="799"/>
      <c r="AT918" s="799"/>
      <c r="AU918" s="799"/>
      <c r="AV918" s="799"/>
      <c r="AW918" s="799"/>
      <c r="AX918" s="799"/>
      <c r="AY918" s="799"/>
      <c r="AZ918" s="799"/>
      <c r="BA918" s="799"/>
      <c r="BB918" s="799"/>
      <c r="BC918" s="799"/>
      <c r="BD918" s="799"/>
      <c r="BE918" s="799"/>
      <c r="BF918" s="799"/>
      <c r="BG918" s="799"/>
    </row>
    <row r="919">
      <c r="H919" s="799"/>
      <c r="I919" s="799"/>
      <c r="J919" s="799"/>
      <c r="K919" s="799"/>
      <c r="L919" s="799"/>
      <c r="M919" s="799"/>
      <c r="N919" s="799"/>
      <c r="O919" s="799"/>
      <c r="P919" s="799"/>
      <c r="Q919" s="799"/>
      <c r="R919" s="799"/>
      <c r="S919" s="799"/>
      <c r="T919" s="799"/>
      <c r="U919" s="799"/>
      <c r="V919" s="799"/>
      <c r="W919" s="799"/>
      <c r="X919" s="799"/>
      <c r="Y919" s="799"/>
      <c r="Z919" s="799"/>
      <c r="AA919" s="799"/>
      <c r="AB919" s="799"/>
      <c r="AC919" s="799"/>
      <c r="AD919" s="799"/>
      <c r="AE919" s="799"/>
      <c r="AF919" s="799"/>
      <c r="AG919" s="799"/>
      <c r="AH919" s="799"/>
      <c r="AI919" s="799"/>
      <c r="AJ919" s="799"/>
      <c r="AK919" s="799"/>
      <c r="AL919" s="799"/>
      <c r="AM919" s="799"/>
      <c r="AN919" s="799"/>
      <c r="AO919" s="799"/>
      <c r="AP919" s="799"/>
      <c r="AQ919" s="799"/>
      <c r="AR919" s="799"/>
      <c r="AS919" s="799"/>
      <c r="AT919" s="799"/>
      <c r="AU919" s="799"/>
      <c r="AV919" s="799"/>
      <c r="AW919" s="799"/>
      <c r="AX919" s="799"/>
      <c r="AY919" s="799"/>
      <c r="AZ919" s="799"/>
      <c r="BA919" s="799"/>
      <c r="BB919" s="799"/>
      <c r="BC919" s="799"/>
      <c r="BD919" s="799"/>
      <c r="BE919" s="799"/>
      <c r="BF919" s="799"/>
      <c r="BG919" s="799"/>
    </row>
    <row r="920">
      <c r="H920" s="799"/>
      <c r="I920" s="799"/>
      <c r="J920" s="799"/>
      <c r="K920" s="799"/>
      <c r="L920" s="799"/>
      <c r="M920" s="799"/>
      <c r="N920" s="799"/>
      <c r="O920" s="799"/>
      <c r="P920" s="799"/>
      <c r="Q920" s="799"/>
      <c r="R920" s="799"/>
      <c r="S920" s="799"/>
      <c r="T920" s="799"/>
      <c r="U920" s="799"/>
      <c r="V920" s="799"/>
      <c r="W920" s="799"/>
      <c r="X920" s="799"/>
      <c r="Y920" s="799"/>
      <c r="Z920" s="799"/>
      <c r="AA920" s="799"/>
      <c r="AB920" s="799"/>
      <c r="AC920" s="799"/>
      <c r="AD920" s="799"/>
      <c r="AE920" s="799"/>
      <c r="AF920" s="799"/>
      <c r="AG920" s="799"/>
      <c r="AH920" s="799"/>
      <c r="AI920" s="799"/>
      <c r="AJ920" s="799"/>
      <c r="AK920" s="799"/>
      <c r="AL920" s="799"/>
      <c r="AM920" s="799"/>
      <c r="AN920" s="799"/>
      <c r="AO920" s="799"/>
      <c r="AP920" s="799"/>
      <c r="AQ920" s="799"/>
      <c r="AR920" s="799"/>
      <c r="AS920" s="799"/>
      <c r="AT920" s="799"/>
      <c r="AU920" s="799"/>
      <c r="AV920" s="799"/>
      <c r="AW920" s="799"/>
      <c r="AX920" s="799"/>
      <c r="AY920" s="799"/>
      <c r="AZ920" s="799"/>
      <c r="BA920" s="799"/>
      <c r="BB920" s="799"/>
      <c r="BC920" s="799"/>
      <c r="BD920" s="799"/>
      <c r="BE920" s="799"/>
      <c r="BF920" s="799"/>
      <c r="BG920" s="799"/>
    </row>
    <row r="921">
      <c r="H921" s="799"/>
      <c r="I921" s="799"/>
      <c r="J921" s="799"/>
      <c r="K921" s="799"/>
      <c r="L921" s="799"/>
      <c r="M921" s="799"/>
      <c r="N921" s="799"/>
      <c r="O921" s="799"/>
      <c r="P921" s="799"/>
      <c r="Q921" s="799"/>
      <c r="R921" s="799"/>
      <c r="S921" s="799"/>
      <c r="T921" s="799"/>
      <c r="U921" s="799"/>
      <c r="V921" s="799"/>
      <c r="W921" s="799"/>
      <c r="X921" s="799"/>
      <c r="Y921" s="799"/>
      <c r="Z921" s="799"/>
      <c r="AA921" s="799"/>
      <c r="AB921" s="799"/>
      <c r="AC921" s="799"/>
      <c r="AD921" s="799"/>
      <c r="AE921" s="799"/>
      <c r="AF921" s="799"/>
      <c r="AG921" s="799"/>
      <c r="AH921" s="799"/>
      <c r="AI921" s="799"/>
      <c r="AJ921" s="799"/>
      <c r="AK921" s="799"/>
      <c r="AL921" s="799"/>
      <c r="AM921" s="799"/>
      <c r="AN921" s="799"/>
      <c r="AO921" s="799"/>
      <c r="AP921" s="799"/>
      <c r="AQ921" s="799"/>
      <c r="AR921" s="799"/>
      <c r="AS921" s="799"/>
      <c r="AT921" s="799"/>
      <c r="AU921" s="799"/>
      <c r="AV921" s="799"/>
      <c r="AW921" s="799"/>
      <c r="AX921" s="799"/>
      <c r="AY921" s="799"/>
      <c r="AZ921" s="799"/>
      <c r="BA921" s="799"/>
      <c r="BB921" s="799"/>
      <c r="BC921" s="799"/>
      <c r="BD921" s="799"/>
      <c r="BE921" s="799"/>
      <c r="BF921" s="799"/>
      <c r="BG921" s="799"/>
    </row>
    <row r="922">
      <c r="H922" s="799"/>
      <c r="I922" s="799"/>
      <c r="J922" s="799"/>
      <c r="K922" s="799"/>
      <c r="L922" s="799"/>
      <c r="M922" s="799"/>
      <c r="N922" s="799"/>
      <c r="O922" s="799"/>
      <c r="P922" s="799"/>
      <c r="Q922" s="799"/>
      <c r="R922" s="799"/>
      <c r="S922" s="799"/>
      <c r="T922" s="799"/>
      <c r="U922" s="799"/>
      <c r="V922" s="799"/>
      <c r="W922" s="799"/>
      <c r="X922" s="799"/>
      <c r="Y922" s="799"/>
      <c r="Z922" s="799"/>
      <c r="AA922" s="799"/>
      <c r="AB922" s="799"/>
      <c r="AC922" s="799"/>
      <c r="AD922" s="799"/>
      <c r="AE922" s="799"/>
      <c r="AF922" s="799"/>
      <c r="AG922" s="799"/>
      <c r="AH922" s="799"/>
      <c r="AI922" s="799"/>
      <c r="AJ922" s="799"/>
      <c r="AK922" s="799"/>
      <c r="AL922" s="799"/>
      <c r="AM922" s="799"/>
      <c r="AN922" s="799"/>
      <c r="AO922" s="799"/>
      <c r="AP922" s="799"/>
      <c r="AQ922" s="799"/>
      <c r="AR922" s="799"/>
      <c r="AS922" s="799"/>
      <c r="AT922" s="799"/>
      <c r="AU922" s="799"/>
      <c r="AV922" s="799"/>
      <c r="AW922" s="799"/>
      <c r="AX922" s="799"/>
      <c r="AY922" s="799"/>
      <c r="AZ922" s="799"/>
      <c r="BA922" s="799"/>
      <c r="BB922" s="799"/>
      <c r="BC922" s="799"/>
      <c r="BD922" s="799"/>
      <c r="BE922" s="799"/>
      <c r="BF922" s="799"/>
      <c r="BG922" s="799"/>
    </row>
    <row r="923">
      <c r="H923" s="799"/>
      <c r="I923" s="799"/>
      <c r="J923" s="799"/>
      <c r="K923" s="799"/>
      <c r="L923" s="799"/>
      <c r="M923" s="799"/>
      <c r="N923" s="799"/>
      <c r="O923" s="799"/>
      <c r="P923" s="799"/>
      <c r="Q923" s="799"/>
      <c r="R923" s="799"/>
      <c r="S923" s="799"/>
      <c r="T923" s="799"/>
      <c r="U923" s="799"/>
      <c r="V923" s="799"/>
      <c r="W923" s="799"/>
      <c r="X923" s="799"/>
      <c r="Y923" s="799"/>
      <c r="Z923" s="799"/>
      <c r="AA923" s="799"/>
      <c r="AB923" s="799"/>
      <c r="AC923" s="799"/>
      <c r="AD923" s="799"/>
      <c r="AE923" s="799"/>
      <c r="AF923" s="799"/>
      <c r="AG923" s="799"/>
      <c r="AH923" s="799"/>
      <c r="AI923" s="799"/>
      <c r="AJ923" s="799"/>
      <c r="AK923" s="799"/>
      <c r="AL923" s="799"/>
      <c r="AM923" s="799"/>
      <c r="AN923" s="799"/>
      <c r="AO923" s="799"/>
      <c r="AP923" s="799"/>
      <c r="AQ923" s="799"/>
      <c r="AR923" s="799"/>
      <c r="AS923" s="799"/>
      <c r="AT923" s="799"/>
      <c r="AU923" s="799"/>
      <c r="AV923" s="799"/>
      <c r="AW923" s="799"/>
      <c r="AX923" s="799"/>
      <c r="AY923" s="799"/>
      <c r="AZ923" s="799"/>
      <c r="BA923" s="799"/>
      <c r="BB923" s="799"/>
      <c r="BC923" s="799"/>
      <c r="BD923" s="799"/>
      <c r="BE923" s="799"/>
      <c r="BF923" s="799"/>
      <c r="BG923" s="799"/>
    </row>
    <row r="924">
      <c r="H924" s="799"/>
      <c r="I924" s="799"/>
      <c r="J924" s="799"/>
      <c r="K924" s="799"/>
      <c r="L924" s="799"/>
      <c r="M924" s="799"/>
      <c r="N924" s="799"/>
      <c r="O924" s="799"/>
      <c r="P924" s="799"/>
      <c r="Q924" s="799"/>
      <c r="R924" s="799"/>
      <c r="S924" s="799"/>
      <c r="T924" s="799"/>
      <c r="U924" s="799"/>
      <c r="V924" s="799"/>
      <c r="W924" s="799"/>
      <c r="X924" s="799"/>
      <c r="Y924" s="799"/>
      <c r="Z924" s="799"/>
      <c r="AA924" s="799"/>
      <c r="AB924" s="799"/>
      <c r="AC924" s="799"/>
      <c r="AD924" s="799"/>
      <c r="AE924" s="799"/>
      <c r="AF924" s="799"/>
      <c r="AG924" s="799"/>
      <c r="AH924" s="799"/>
      <c r="AI924" s="799"/>
      <c r="AJ924" s="799"/>
      <c r="AK924" s="799"/>
      <c r="AL924" s="799"/>
      <c r="AM924" s="799"/>
      <c r="AN924" s="799"/>
      <c r="AO924" s="799"/>
      <c r="AP924" s="799"/>
      <c r="AQ924" s="799"/>
      <c r="AR924" s="799"/>
      <c r="AS924" s="799"/>
      <c r="AT924" s="799"/>
      <c r="AU924" s="799"/>
      <c r="AV924" s="799"/>
      <c r="AW924" s="799"/>
      <c r="AX924" s="799"/>
      <c r="AY924" s="799"/>
      <c r="AZ924" s="799"/>
      <c r="BA924" s="799"/>
      <c r="BB924" s="799"/>
      <c r="BC924" s="799"/>
      <c r="BD924" s="799"/>
      <c r="BE924" s="799"/>
      <c r="BF924" s="799"/>
      <c r="BG924" s="799"/>
    </row>
    <row r="925">
      <c r="H925" s="799"/>
      <c r="I925" s="799"/>
      <c r="J925" s="799"/>
      <c r="K925" s="799"/>
      <c r="L925" s="799"/>
      <c r="M925" s="799"/>
      <c r="N925" s="799"/>
      <c r="O925" s="799"/>
      <c r="P925" s="799"/>
      <c r="Q925" s="799"/>
      <c r="R925" s="799"/>
      <c r="S925" s="799"/>
      <c r="T925" s="799"/>
      <c r="U925" s="799"/>
      <c r="V925" s="799"/>
      <c r="W925" s="799"/>
      <c r="X925" s="799"/>
      <c r="Y925" s="799"/>
      <c r="Z925" s="799"/>
      <c r="AA925" s="799"/>
      <c r="AB925" s="799"/>
      <c r="AC925" s="799"/>
      <c r="AD925" s="799"/>
      <c r="AE925" s="799"/>
      <c r="AF925" s="799"/>
      <c r="AG925" s="799"/>
      <c r="AH925" s="799"/>
      <c r="AI925" s="799"/>
      <c r="AJ925" s="799"/>
      <c r="AK925" s="799"/>
      <c r="AL925" s="799"/>
      <c r="AM925" s="799"/>
      <c r="AN925" s="799"/>
      <c r="AO925" s="799"/>
      <c r="AP925" s="799"/>
      <c r="AQ925" s="799"/>
      <c r="AR925" s="799"/>
      <c r="AS925" s="799"/>
      <c r="AT925" s="799"/>
      <c r="AU925" s="799"/>
      <c r="AV925" s="799"/>
      <c r="AW925" s="799"/>
      <c r="AX925" s="799"/>
      <c r="AY925" s="799"/>
      <c r="AZ925" s="799"/>
      <c r="BA925" s="799"/>
      <c r="BB925" s="799"/>
      <c r="BC925" s="799"/>
      <c r="BD925" s="799"/>
      <c r="BE925" s="799"/>
      <c r="BF925" s="799"/>
      <c r="BG925" s="799"/>
    </row>
    <row r="926">
      <c r="H926" s="799"/>
      <c r="I926" s="799"/>
      <c r="J926" s="799"/>
      <c r="K926" s="799"/>
      <c r="L926" s="799"/>
      <c r="M926" s="799"/>
      <c r="N926" s="799"/>
      <c r="O926" s="799"/>
      <c r="P926" s="799"/>
      <c r="Q926" s="799"/>
      <c r="R926" s="799"/>
      <c r="S926" s="799"/>
      <c r="T926" s="799"/>
      <c r="U926" s="799"/>
      <c r="V926" s="799"/>
      <c r="W926" s="799"/>
      <c r="X926" s="799"/>
      <c r="Y926" s="799"/>
      <c r="Z926" s="799"/>
      <c r="AA926" s="799"/>
      <c r="AB926" s="799"/>
      <c r="AC926" s="799"/>
      <c r="AD926" s="799"/>
      <c r="AE926" s="799"/>
      <c r="AF926" s="799"/>
      <c r="AG926" s="799"/>
      <c r="AH926" s="799"/>
      <c r="AI926" s="799"/>
      <c r="AJ926" s="799"/>
      <c r="AK926" s="799"/>
      <c r="AL926" s="799"/>
      <c r="AM926" s="799"/>
      <c r="AN926" s="799"/>
      <c r="AO926" s="799"/>
      <c r="AP926" s="799"/>
      <c r="AQ926" s="799"/>
      <c r="AR926" s="799"/>
      <c r="AS926" s="799"/>
      <c r="AT926" s="799"/>
      <c r="AU926" s="799"/>
      <c r="AV926" s="799"/>
      <c r="AW926" s="799"/>
      <c r="AX926" s="799"/>
      <c r="AY926" s="799"/>
      <c r="AZ926" s="799"/>
      <c r="BA926" s="799"/>
      <c r="BB926" s="799"/>
      <c r="BC926" s="799"/>
      <c r="BD926" s="799"/>
      <c r="BE926" s="799"/>
      <c r="BF926" s="799"/>
      <c r="BG926" s="799"/>
    </row>
    <row r="927">
      <c r="H927" s="799"/>
      <c r="I927" s="799"/>
      <c r="J927" s="799"/>
      <c r="K927" s="799"/>
      <c r="L927" s="799"/>
      <c r="M927" s="799"/>
      <c r="N927" s="799"/>
      <c r="O927" s="799"/>
      <c r="P927" s="799"/>
      <c r="Q927" s="799"/>
      <c r="R927" s="799"/>
      <c r="S927" s="799"/>
      <c r="T927" s="799"/>
      <c r="U927" s="799"/>
      <c r="V927" s="799"/>
      <c r="W927" s="799"/>
      <c r="X927" s="799"/>
      <c r="Y927" s="799"/>
      <c r="Z927" s="799"/>
      <c r="AA927" s="799"/>
      <c r="AB927" s="799"/>
      <c r="AC927" s="799"/>
      <c r="AD927" s="799"/>
      <c r="AE927" s="799"/>
      <c r="AF927" s="799"/>
      <c r="AG927" s="799"/>
      <c r="AH927" s="799"/>
      <c r="AI927" s="799"/>
      <c r="AJ927" s="799"/>
      <c r="AK927" s="799"/>
      <c r="AL927" s="799"/>
      <c r="AM927" s="799"/>
      <c r="AN927" s="799"/>
      <c r="AO927" s="799"/>
      <c r="AP927" s="799"/>
      <c r="AQ927" s="799"/>
      <c r="AR927" s="799"/>
      <c r="AS927" s="799"/>
      <c r="AT927" s="799"/>
      <c r="AU927" s="799"/>
      <c r="AV927" s="799"/>
      <c r="AW927" s="799"/>
      <c r="AX927" s="799"/>
      <c r="AY927" s="799"/>
      <c r="AZ927" s="799"/>
      <c r="BA927" s="799"/>
      <c r="BB927" s="799"/>
      <c r="BC927" s="799"/>
      <c r="BD927" s="799"/>
      <c r="BE927" s="799"/>
      <c r="BF927" s="799"/>
      <c r="BG927" s="799"/>
    </row>
    <row r="928">
      <c r="H928" s="799"/>
      <c r="I928" s="799"/>
      <c r="J928" s="799"/>
      <c r="K928" s="799"/>
      <c r="L928" s="799"/>
      <c r="M928" s="799"/>
      <c r="N928" s="799"/>
      <c r="O928" s="799"/>
      <c r="P928" s="799"/>
      <c r="Q928" s="799"/>
      <c r="R928" s="799"/>
      <c r="S928" s="799"/>
      <c r="T928" s="799"/>
      <c r="U928" s="799"/>
      <c r="V928" s="799"/>
      <c r="W928" s="799"/>
      <c r="X928" s="799"/>
      <c r="Y928" s="799"/>
      <c r="Z928" s="799"/>
      <c r="AA928" s="799"/>
      <c r="AB928" s="799"/>
      <c r="AC928" s="799"/>
      <c r="AD928" s="799"/>
      <c r="AE928" s="799"/>
      <c r="AF928" s="799"/>
      <c r="AG928" s="799"/>
      <c r="AH928" s="799"/>
      <c r="AI928" s="799"/>
      <c r="AJ928" s="799"/>
      <c r="AK928" s="799"/>
      <c r="AL928" s="799"/>
      <c r="AM928" s="799"/>
      <c r="AN928" s="799"/>
      <c r="AO928" s="799"/>
      <c r="AP928" s="799"/>
      <c r="AQ928" s="799"/>
      <c r="AR928" s="799"/>
      <c r="AS928" s="799"/>
      <c r="AT928" s="799"/>
      <c r="AU928" s="799"/>
      <c r="AV928" s="799"/>
      <c r="AW928" s="799"/>
      <c r="AX928" s="799"/>
      <c r="AY928" s="799"/>
      <c r="AZ928" s="799"/>
      <c r="BA928" s="799"/>
      <c r="BB928" s="799"/>
      <c r="BC928" s="799"/>
      <c r="BD928" s="799"/>
      <c r="BE928" s="799"/>
      <c r="BF928" s="799"/>
      <c r="BG928" s="799"/>
    </row>
    <row r="929">
      <c r="H929" s="799"/>
      <c r="I929" s="799"/>
      <c r="J929" s="799"/>
      <c r="K929" s="799"/>
      <c r="L929" s="799"/>
      <c r="M929" s="799"/>
      <c r="N929" s="799"/>
      <c r="O929" s="799"/>
      <c r="P929" s="799"/>
      <c r="Q929" s="799"/>
      <c r="R929" s="799"/>
      <c r="S929" s="799"/>
      <c r="T929" s="799"/>
      <c r="U929" s="799"/>
      <c r="V929" s="799"/>
      <c r="W929" s="799"/>
      <c r="X929" s="799"/>
      <c r="Y929" s="799"/>
      <c r="Z929" s="799"/>
      <c r="AA929" s="799"/>
      <c r="AB929" s="799"/>
      <c r="AC929" s="799"/>
      <c r="AD929" s="799"/>
      <c r="AE929" s="799"/>
      <c r="AF929" s="799"/>
      <c r="AG929" s="799"/>
      <c r="AH929" s="799"/>
      <c r="AI929" s="799"/>
      <c r="AJ929" s="799"/>
      <c r="AK929" s="799"/>
      <c r="AL929" s="799"/>
      <c r="AM929" s="799"/>
      <c r="AN929" s="799"/>
      <c r="AO929" s="799"/>
      <c r="AP929" s="799"/>
      <c r="AQ929" s="799"/>
      <c r="AR929" s="799"/>
      <c r="AS929" s="799"/>
      <c r="AT929" s="799"/>
      <c r="AU929" s="799"/>
      <c r="AV929" s="799"/>
      <c r="AW929" s="799"/>
      <c r="AX929" s="799"/>
      <c r="AY929" s="799"/>
      <c r="AZ929" s="799"/>
      <c r="BA929" s="799"/>
      <c r="BB929" s="799"/>
      <c r="BC929" s="799"/>
      <c r="BD929" s="799"/>
      <c r="BE929" s="799"/>
      <c r="BF929" s="799"/>
      <c r="BG929" s="799"/>
    </row>
    <row r="930">
      <c r="H930" s="799"/>
      <c r="I930" s="799"/>
      <c r="J930" s="799"/>
      <c r="K930" s="799"/>
      <c r="L930" s="799"/>
      <c r="M930" s="799"/>
      <c r="N930" s="799"/>
      <c r="O930" s="799"/>
      <c r="P930" s="799"/>
      <c r="Q930" s="799"/>
      <c r="R930" s="799"/>
      <c r="S930" s="799"/>
      <c r="T930" s="799"/>
      <c r="U930" s="799"/>
      <c r="V930" s="799"/>
      <c r="W930" s="799"/>
      <c r="X930" s="799"/>
      <c r="Y930" s="799"/>
      <c r="Z930" s="799"/>
      <c r="AA930" s="799"/>
      <c r="AB930" s="799"/>
      <c r="AC930" s="799"/>
      <c r="AD930" s="799"/>
      <c r="AE930" s="799"/>
      <c r="AF930" s="799"/>
      <c r="AG930" s="799"/>
      <c r="AH930" s="799"/>
      <c r="AI930" s="799"/>
      <c r="AJ930" s="799"/>
      <c r="AK930" s="799"/>
      <c r="AL930" s="799"/>
      <c r="AM930" s="799"/>
      <c r="AN930" s="799"/>
      <c r="AO930" s="799"/>
      <c r="AP930" s="799"/>
      <c r="AQ930" s="799"/>
      <c r="AR930" s="799"/>
      <c r="AS930" s="799"/>
      <c r="AT930" s="799"/>
      <c r="AU930" s="799"/>
      <c r="AV930" s="799"/>
      <c r="AW930" s="799"/>
      <c r="AX930" s="799"/>
      <c r="AY930" s="799"/>
      <c r="AZ930" s="799"/>
      <c r="BA930" s="799"/>
      <c r="BB930" s="799"/>
      <c r="BC930" s="799"/>
      <c r="BD930" s="799"/>
      <c r="BE930" s="799"/>
      <c r="BF930" s="799"/>
      <c r="BG930" s="799"/>
    </row>
    <row r="931">
      <c r="H931" s="799"/>
      <c r="I931" s="799"/>
      <c r="J931" s="799"/>
      <c r="K931" s="799"/>
      <c r="L931" s="799"/>
      <c r="M931" s="799"/>
      <c r="N931" s="799"/>
      <c r="O931" s="799"/>
      <c r="P931" s="799"/>
      <c r="Q931" s="799"/>
      <c r="R931" s="799"/>
      <c r="S931" s="799"/>
      <c r="T931" s="799"/>
      <c r="U931" s="799"/>
      <c r="V931" s="799"/>
      <c r="W931" s="799"/>
      <c r="X931" s="799"/>
      <c r="Y931" s="799"/>
      <c r="Z931" s="799"/>
      <c r="AA931" s="799"/>
      <c r="AB931" s="799"/>
      <c r="AC931" s="799"/>
      <c r="AD931" s="799"/>
      <c r="AE931" s="799"/>
      <c r="AF931" s="799"/>
      <c r="AG931" s="799"/>
      <c r="AH931" s="799"/>
      <c r="AI931" s="799"/>
      <c r="AJ931" s="799"/>
      <c r="AK931" s="799"/>
      <c r="AL931" s="799"/>
      <c r="AM931" s="799"/>
      <c r="AN931" s="799"/>
      <c r="AO931" s="799"/>
      <c r="AP931" s="799"/>
      <c r="AQ931" s="799"/>
      <c r="AR931" s="799"/>
      <c r="AS931" s="799"/>
      <c r="AT931" s="799"/>
      <c r="AU931" s="799"/>
      <c r="AV931" s="799"/>
      <c r="AW931" s="799"/>
      <c r="AX931" s="799"/>
      <c r="AY931" s="799"/>
      <c r="AZ931" s="799"/>
      <c r="BA931" s="799"/>
      <c r="BB931" s="799"/>
      <c r="BC931" s="799"/>
      <c r="BD931" s="799"/>
      <c r="BE931" s="799"/>
      <c r="BF931" s="799"/>
      <c r="BG931" s="799"/>
    </row>
    <row r="932">
      <c r="H932" s="799"/>
      <c r="I932" s="799"/>
      <c r="J932" s="799"/>
      <c r="K932" s="799"/>
      <c r="L932" s="799"/>
      <c r="M932" s="799"/>
      <c r="N932" s="799"/>
      <c r="O932" s="799"/>
      <c r="P932" s="799"/>
      <c r="Q932" s="799"/>
      <c r="R932" s="799"/>
      <c r="S932" s="799"/>
      <c r="T932" s="799"/>
      <c r="U932" s="799"/>
      <c r="V932" s="799"/>
      <c r="W932" s="799"/>
      <c r="X932" s="799"/>
      <c r="Y932" s="799"/>
      <c r="Z932" s="799"/>
      <c r="AA932" s="799"/>
      <c r="AB932" s="799"/>
      <c r="AC932" s="799"/>
      <c r="AD932" s="799"/>
      <c r="AE932" s="799"/>
      <c r="AF932" s="799"/>
      <c r="AG932" s="799"/>
      <c r="AH932" s="799"/>
      <c r="AI932" s="799"/>
      <c r="AJ932" s="799"/>
      <c r="AK932" s="799"/>
      <c r="AL932" s="799"/>
      <c r="AM932" s="799"/>
      <c r="AN932" s="799"/>
      <c r="AO932" s="799"/>
      <c r="AP932" s="799"/>
      <c r="AQ932" s="799"/>
      <c r="AR932" s="799"/>
      <c r="AS932" s="799"/>
      <c r="AT932" s="799"/>
      <c r="AU932" s="799"/>
      <c r="AV932" s="799"/>
      <c r="AW932" s="799"/>
      <c r="AX932" s="799"/>
      <c r="AY932" s="799"/>
      <c r="AZ932" s="799"/>
      <c r="BA932" s="799"/>
      <c r="BB932" s="799"/>
      <c r="BC932" s="799"/>
      <c r="BD932" s="799"/>
      <c r="BE932" s="799"/>
      <c r="BF932" s="799"/>
      <c r="BG932" s="799"/>
    </row>
    <row r="933">
      <c r="H933" s="799"/>
      <c r="I933" s="799"/>
      <c r="J933" s="799"/>
      <c r="K933" s="799"/>
      <c r="L933" s="799"/>
      <c r="M933" s="799"/>
      <c r="N933" s="799"/>
      <c r="O933" s="799"/>
      <c r="P933" s="799"/>
      <c r="Q933" s="799"/>
      <c r="R933" s="799"/>
      <c r="S933" s="799"/>
      <c r="T933" s="799"/>
      <c r="U933" s="799"/>
      <c r="V933" s="799"/>
      <c r="W933" s="799"/>
      <c r="X933" s="799"/>
      <c r="Y933" s="799"/>
      <c r="Z933" s="799"/>
      <c r="AA933" s="799"/>
      <c r="AB933" s="799"/>
      <c r="AC933" s="799"/>
      <c r="AD933" s="799"/>
      <c r="AE933" s="799"/>
      <c r="AF933" s="799"/>
      <c r="AG933" s="799"/>
      <c r="AH933" s="799"/>
      <c r="AI933" s="799"/>
      <c r="AJ933" s="799"/>
      <c r="AK933" s="799"/>
      <c r="AL933" s="799"/>
      <c r="AM933" s="799"/>
      <c r="AN933" s="799"/>
      <c r="AO933" s="799"/>
      <c r="AP933" s="799"/>
      <c r="AQ933" s="799"/>
      <c r="AR933" s="799"/>
      <c r="AS933" s="799"/>
      <c r="AT933" s="799"/>
      <c r="AU933" s="799"/>
      <c r="AV933" s="799"/>
      <c r="AW933" s="799"/>
      <c r="AX933" s="799"/>
      <c r="AY933" s="799"/>
      <c r="AZ933" s="799"/>
      <c r="BA933" s="799"/>
      <c r="BB933" s="799"/>
      <c r="BC933" s="799"/>
      <c r="BD933" s="799"/>
      <c r="BE933" s="799"/>
      <c r="BF933" s="799"/>
      <c r="BG933" s="799"/>
    </row>
    <row r="934">
      <c r="H934" s="799"/>
      <c r="I934" s="799"/>
      <c r="J934" s="799"/>
      <c r="K934" s="799"/>
      <c r="L934" s="799"/>
      <c r="M934" s="799"/>
      <c r="N934" s="799"/>
      <c r="O934" s="799"/>
      <c r="P934" s="799"/>
      <c r="Q934" s="799"/>
      <c r="R934" s="799"/>
      <c r="S934" s="799"/>
      <c r="T934" s="799"/>
      <c r="U934" s="799"/>
      <c r="V934" s="799"/>
      <c r="W934" s="799"/>
      <c r="X934" s="799"/>
      <c r="Y934" s="799"/>
      <c r="Z934" s="799"/>
      <c r="AA934" s="799"/>
      <c r="AB934" s="799"/>
      <c r="AC934" s="799"/>
      <c r="AD934" s="799"/>
      <c r="AE934" s="799"/>
      <c r="AF934" s="799"/>
      <c r="AG934" s="799"/>
      <c r="AH934" s="799"/>
      <c r="AI934" s="799"/>
      <c r="AJ934" s="799"/>
      <c r="AK934" s="799"/>
      <c r="AL934" s="799"/>
      <c r="AM934" s="799"/>
      <c r="AN934" s="799"/>
      <c r="AO934" s="799"/>
      <c r="AP934" s="799"/>
      <c r="AQ934" s="799"/>
      <c r="AR934" s="799"/>
      <c r="AS934" s="799"/>
      <c r="AT934" s="799"/>
      <c r="AU934" s="799"/>
      <c r="AV934" s="799"/>
      <c r="AW934" s="799"/>
      <c r="AX934" s="799"/>
      <c r="AY934" s="799"/>
      <c r="AZ934" s="799"/>
      <c r="BA934" s="799"/>
      <c r="BB934" s="799"/>
      <c r="BC934" s="799"/>
      <c r="BD934" s="799"/>
      <c r="BE934" s="799"/>
      <c r="BF934" s="799"/>
      <c r="BG934" s="799"/>
    </row>
    <row r="935">
      <c r="H935" s="799"/>
      <c r="I935" s="799"/>
      <c r="J935" s="799"/>
      <c r="K935" s="799"/>
      <c r="L935" s="799"/>
      <c r="M935" s="799"/>
      <c r="N935" s="799"/>
      <c r="O935" s="799"/>
      <c r="P935" s="799"/>
      <c r="Q935" s="799"/>
      <c r="R935" s="799"/>
      <c r="S935" s="799"/>
      <c r="T935" s="799"/>
      <c r="U935" s="799"/>
      <c r="V935" s="799"/>
      <c r="W935" s="799"/>
      <c r="X935" s="799"/>
      <c r="Y935" s="799"/>
      <c r="Z935" s="799"/>
      <c r="AA935" s="799"/>
      <c r="AB935" s="799"/>
      <c r="AC935" s="799"/>
      <c r="AD935" s="799"/>
      <c r="AE935" s="799"/>
      <c r="AF935" s="799"/>
      <c r="AG935" s="799"/>
      <c r="AH935" s="799"/>
      <c r="AI935" s="799"/>
      <c r="AJ935" s="799"/>
      <c r="AK935" s="799"/>
      <c r="AL935" s="799"/>
      <c r="AM935" s="799"/>
      <c r="AN935" s="799"/>
      <c r="AO935" s="799"/>
      <c r="AP935" s="799"/>
      <c r="AQ935" s="799"/>
      <c r="AR935" s="799"/>
      <c r="AS935" s="799"/>
      <c r="AT935" s="799"/>
      <c r="AU935" s="799"/>
      <c r="AV935" s="799"/>
      <c r="AW935" s="799"/>
      <c r="AX935" s="799"/>
      <c r="AY935" s="799"/>
      <c r="AZ935" s="799"/>
      <c r="BA935" s="799"/>
      <c r="BB935" s="799"/>
      <c r="BC935" s="799"/>
      <c r="BD935" s="799"/>
      <c r="BE935" s="799"/>
      <c r="BF935" s="799"/>
      <c r="BG935" s="799"/>
    </row>
    <row r="936">
      <c r="H936" s="799"/>
      <c r="I936" s="799"/>
      <c r="J936" s="799"/>
      <c r="K936" s="799"/>
      <c r="L936" s="799"/>
      <c r="M936" s="799"/>
      <c r="N936" s="799"/>
      <c r="O936" s="799"/>
      <c r="P936" s="799"/>
      <c r="Q936" s="799"/>
      <c r="R936" s="799"/>
      <c r="S936" s="799"/>
      <c r="T936" s="799"/>
      <c r="U936" s="799"/>
      <c r="V936" s="799"/>
      <c r="W936" s="799"/>
      <c r="X936" s="799"/>
      <c r="Y936" s="799"/>
      <c r="Z936" s="799"/>
      <c r="AA936" s="799"/>
      <c r="AB936" s="799"/>
      <c r="AC936" s="799"/>
      <c r="AD936" s="799"/>
      <c r="AE936" s="799"/>
      <c r="AF936" s="799"/>
      <c r="AG936" s="799"/>
      <c r="AH936" s="799"/>
      <c r="AI936" s="799"/>
      <c r="AJ936" s="799"/>
      <c r="AK936" s="799"/>
      <c r="AL936" s="799"/>
      <c r="AM936" s="799"/>
      <c r="AN936" s="799"/>
      <c r="AO936" s="799"/>
      <c r="AP936" s="799"/>
      <c r="AQ936" s="799"/>
      <c r="AR936" s="799"/>
      <c r="AS936" s="799"/>
      <c r="AT936" s="799"/>
      <c r="AU936" s="799"/>
      <c r="AV936" s="799"/>
      <c r="AW936" s="799"/>
      <c r="AX936" s="799"/>
      <c r="AY936" s="799"/>
      <c r="AZ936" s="799"/>
      <c r="BA936" s="799"/>
      <c r="BB936" s="799"/>
      <c r="BC936" s="799"/>
      <c r="BD936" s="799"/>
      <c r="BE936" s="799"/>
      <c r="BF936" s="799"/>
      <c r="BG936" s="799"/>
    </row>
    <row r="937">
      <c r="H937" s="799"/>
      <c r="I937" s="799"/>
      <c r="J937" s="799"/>
      <c r="K937" s="799"/>
      <c r="L937" s="799"/>
      <c r="M937" s="799"/>
      <c r="N937" s="799"/>
      <c r="O937" s="799"/>
      <c r="P937" s="799"/>
      <c r="Q937" s="799"/>
      <c r="R937" s="799"/>
      <c r="S937" s="799"/>
      <c r="T937" s="799"/>
      <c r="U937" s="799"/>
      <c r="V937" s="799"/>
      <c r="W937" s="799"/>
      <c r="X937" s="799"/>
      <c r="Y937" s="799"/>
      <c r="Z937" s="799"/>
      <c r="AA937" s="799"/>
      <c r="AB937" s="799"/>
      <c r="AC937" s="799"/>
      <c r="AD937" s="799"/>
      <c r="AE937" s="799"/>
      <c r="AF937" s="799"/>
      <c r="AG937" s="799"/>
      <c r="AH937" s="799"/>
      <c r="AI937" s="799"/>
      <c r="AJ937" s="799"/>
      <c r="AK937" s="799"/>
      <c r="AL937" s="799"/>
      <c r="AM937" s="799"/>
      <c r="AN937" s="799"/>
      <c r="AO937" s="799"/>
      <c r="AP937" s="799"/>
      <c r="AQ937" s="799"/>
      <c r="AR937" s="799"/>
      <c r="AS937" s="799"/>
      <c r="AT937" s="799"/>
      <c r="AU937" s="799"/>
      <c r="AV937" s="799"/>
      <c r="AW937" s="799"/>
      <c r="AX937" s="799"/>
      <c r="AY937" s="799"/>
      <c r="AZ937" s="799"/>
      <c r="BA937" s="799"/>
      <c r="BB937" s="799"/>
      <c r="BC937" s="799"/>
      <c r="BD937" s="799"/>
      <c r="BE937" s="799"/>
      <c r="BF937" s="799"/>
      <c r="BG937" s="799"/>
    </row>
    <row r="938">
      <c r="H938" s="799"/>
      <c r="I938" s="799"/>
      <c r="J938" s="799"/>
      <c r="K938" s="799"/>
      <c r="L938" s="799"/>
      <c r="M938" s="799"/>
      <c r="N938" s="799"/>
      <c r="O938" s="799"/>
      <c r="P938" s="799"/>
      <c r="Q938" s="799"/>
      <c r="R938" s="799"/>
      <c r="S938" s="799"/>
      <c r="T938" s="799"/>
      <c r="U938" s="799"/>
      <c r="V938" s="799"/>
      <c r="W938" s="799"/>
      <c r="X938" s="799"/>
      <c r="Y938" s="799"/>
      <c r="Z938" s="799"/>
      <c r="AA938" s="799"/>
      <c r="AB938" s="799"/>
      <c r="AC938" s="799"/>
      <c r="AD938" s="799"/>
      <c r="AE938" s="799"/>
      <c r="AF938" s="799"/>
      <c r="AG938" s="799"/>
      <c r="AH938" s="799"/>
      <c r="AI938" s="799"/>
      <c r="AJ938" s="799"/>
      <c r="AK938" s="799"/>
      <c r="AL938" s="799"/>
      <c r="AM938" s="799"/>
      <c r="AN938" s="799"/>
      <c r="AO938" s="799"/>
      <c r="AP938" s="799"/>
      <c r="AQ938" s="799"/>
      <c r="AR938" s="799"/>
      <c r="AS938" s="799"/>
      <c r="AT938" s="799"/>
      <c r="AU938" s="799"/>
      <c r="AV938" s="799"/>
      <c r="AW938" s="799"/>
      <c r="AX938" s="799"/>
      <c r="AY938" s="799"/>
      <c r="AZ938" s="799"/>
      <c r="BA938" s="799"/>
      <c r="BB938" s="799"/>
      <c r="BC938" s="799"/>
      <c r="BD938" s="799"/>
      <c r="BE938" s="799"/>
      <c r="BF938" s="799"/>
      <c r="BG938" s="799"/>
    </row>
    <row r="939">
      <c r="H939" s="799"/>
      <c r="I939" s="799"/>
      <c r="J939" s="799"/>
      <c r="K939" s="799"/>
      <c r="L939" s="799"/>
      <c r="M939" s="799"/>
      <c r="N939" s="799"/>
      <c r="O939" s="799"/>
      <c r="P939" s="799"/>
      <c r="Q939" s="799"/>
      <c r="R939" s="799"/>
      <c r="S939" s="799"/>
      <c r="T939" s="799"/>
      <c r="U939" s="799"/>
      <c r="V939" s="799"/>
      <c r="W939" s="799"/>
      <c r="X939" s="799"/>
      <c r="Y939" s="799"/>
      <c r="Z939" s="799"/>
      <c r="AA939" s="799"/>
      <c r="AB939" s="799"/>
      <c r="AC939" s="799"/>
      <c r="AD939" s="799"/>
      <c r="AE939" s="799"/>
      <c r="AF939" s="799"/>
      <c r="AG939" s="799"/>
      <c r="AH939" s="799"/>
      <c r="AI939" s="799"/>
      <c r="AJ939" s="799"/>
      <c r="AK939" s="799"/>
      <c r="AL939" s="799"/>
      <c r="AM939" s="799"/>
      <c r="AN939" s="799"/>
      <c r="AO939" s="799"/>
      <c r="AP939" s="799"/>
      <c r="AQ939" s="799"/>
      <c r="AR939" s="799"/>
      <c r="AS939" s="799"/>
      <c r="AT939" s="799"/>
      <c r="AU939" s="799"/>
      <c r="AV939" s="799"/>
      <c r="AW939" s="799"/>
      <c r="AX939" s="799"/>
      <c r="AY939" s="799"/>
      <c r="AZ939" s="799"/>
      <c r="BA939" s="799"/>
      <c r="BB939" s="799"/>
      <c r="BC939" s="799"/>
      <c r="BD939" s="799"/>
      <c r="BE939" s="799"/>
      <c r="BF939" s="799"/>
      <c r="BG939" s="799"/>
    </row>
    <row r="940">
      <c r="H940" s="799"/>
      <c r="I940" s="799"/>
      <c r="J940" s="799"/>
      <c r="K940" s="799"/>
      <c r="L940" s="799"/>
      <c r="M940" s="799"/>
      <c r="N940" s="799"/>
      <c r="O940" s="799"/>
      <c r="P940" s="799"/>
      <c r="Q940" s="799"/>
      <c r="R940" s="799"/>
      <c r="S940" s="799"/>
      <c r="T940" s="799"/>
      <c r="U940" s="799"/>
      <c r="V940" s="799"/>
      <c r="W940" s="799"/>
      <c r="X940" s="799"/>
      <c r="Y940" s="799"/>
      <c r="Z940" s="799"/>
      <c r="AA940" s="799"/>
      <c r="AB940" s="799"/>
      <c r="AC940" s="799"/>
      <c r="AD940" s="799"/>
      <c r="AE940" s="799"/>
      <c r="AF940" s="799"/>
      <c r="AG940" s="799"/>
      <c r="AH940" s="799"/>
      <c r="AI940" s="799"/>
      <c r="AJ940" s="799"/>
      <c r="AK940" s="799"/>
      <c r="AL940" s="799"/>
      <c r="AM940" s="799"/>
      <c r="AN940" s="799"/>
      <c r="AO940" s="799"/>
      <c r="AP940" s="799"/>
      <c r="AQ940" s="799"/>
      <c r="AR940" s="799"/>
      <c r="AS940" s="799"/>
      <c r="AT940" s="799"/>
      <c r="AU940" s="799"/>
      <c r="AV940" s="799"/>
      <c r="AW940" s="799"/>
      <c r="AX940" s="799"/>
      <c r="AY940" s="799"/>
      <c r="AZ940" s="799"/>
      <c r="BA940" s="799"/>
      <c r="BB940" s="799"/>
      <c r="BC940" s="799"/>
      <c r="BD940" s="799"/>
      <c r="BE940" s="799"/>
      <c r="BF940" s="799"/>
      <c r="BG940" s="799"/>
    </row>
    <row r="941">
      <c r="H941" s="799"/>
      <c r="I941" s="799"/>
      <c r="J941" s="799"/>
      <c r="K941" s="799"/>
      <c r="L941" s="799"/>
      <c r="M941" s="799"/>
      <c r="N941" s="799"/>
      <c r="O941" s="799"/>
      <c r="P941" s="799"/>
      <c r="Q941" s="799"/>
      <c r="R941" s="799"/>
      <c r="S941" s="799"/>
      <c r="T941" s="799"/>
      <c r="U941" s="799"/>
      <c r="V941" s="799"/>
      <c r="W941" s="799"/>
      <c r="X941" s="799"/>
      <c r="Y941" s="799"/>
      <c r="Z941" s="799"/>
      <c r="AA941" s="799"/>
      <c r="AB941" s="799"/>
      <c r="AC941" s="799"/>
      <c r="AD941" s="799"/>
      <c r="AE941" s="799"/>
      <c r="AF941" s="799"/>
      <c r="AG941" s="799"/>
      <c r="AH941" s="799"/>
      <c r="AI941" s="799"/>
      <c r="AJ941" s="799"/>
      <c r="AK941" s="799"/>
      <c r="AL941" s="799"/>
      <c r="AM941" s="799"/>
      <c r="AN941" s="799"/>
      <c r="AO941" s="799"/>
      <c r="AP941" s="799"/>
      <c r="AQ941" s="799"/>
      <c r="AR941" s="799"/>
      <c r="AS941" s="799"/>
      <c r="AT941" s="799"/>
      <c r="AU941" s="799"/>
      <c r="AV941" s="799"/>
      <c r="AW941" s="799"/>
      <c r="AX941" s="799"/>
      <c r="AY941" s="799"/>
      <c r="AZ941" s="799"/>
      <c r="BA941" s="799"/>
      <c r="BB941" s="799"/>
      <c r="BC941" s="799"/>
      <c r="BD941" s="799"/>
      <c r="BE941" s="799"/>
      <c r="BF941" s="799"/>
      <c r="BG941" s="799"/>
    </row>
    <row r="942">
      <c r="H942" s="799"/>
      <c r="I942" s="799"/>
      <c r="J942" s="799"/>
      <c r="K942" s="799"/>
      <c r="L942" s="799"/>
      <c r="M942" s="799"/>
      <c r="N942" s="799"/>
      <c r="O942" s="799"/>
      <c r="P942" s="799"/>
      <c r="Q942" s="799"/>
      <c r="R942" s="799"/>
      <c r="S942" s="799"/>
      <c r="T942" s="799"/>
      <c r="U942" s="799"/>
      <c r="V942" s="799"/>
      <c r="W942" s="799"/>
      <c r="X942" s="799"/>
      <c r="Y942" s="799"/>
      <c r="Z942" s="799"/>
      <c r="AA942" s="799"/>
      <c r="AB942" s="799"/>
      <c r="AC942" s="799"/>
      <c r="AD942" s="799"/>
      <c r="AE942" s="799"/>
      <c r="AF942" s="799"/>
      <c r="AG942" s="799"/>
      <c r="AH942" s="799"/>
      <c r="AI942" s="799"/>
      <c r="AJ942" s="799"/>
      <c r="AK942" s="799"/>
      <c r="AL942" s="799"/>
      <c r="AM942" s="799"/>
      <c r="AN942" s="799"/>
      <c r="AO942" s="799"/>
      <c r="AP942" s="799"/>
      <c r="AQ942" s="799"/>
      <c r="AR942" s="799"/>
      <c r="AS942" s="799"/>
      <c r="AT942" s="799"/>
      <c r="AU942" s="799"/>
      <c r="AV942" s="799"/>
      <c r="AW942" s="799"/>
      <c r="AX942" s="799"/>
      <c r="AY942" s="799"/>
      <c r="AZ942" s="799"/>
      <c r="BA942" s="799"/>
      <c r="BB942" s="799"/>
      <c r="BC942" s="799"/>
      <c r="BD942" s="799"/>
      <c r="BE942" s="799"/>
      <c r="BF942" s="799"/>
      <c r="BG942" s="799"/>
    </row>
    <row r="943">
      <c r="H943" s="799"/>
      <c r="I943" s="799"/>
      <c r="J943" s="799"/>
      <c r="K943" s="799"/>
      <c r="L943" s="799"/>
      <c r="M943" s="799"/>
      <c r="N943" s="799"/>
      <c r="O943" s="799"/>
      <c r="P943" s="799"/>
      <c r="Q943" s="799"/>
      <c r="R943" s="799"/>
      <c r="S943" s="799"/>
      <c r="T943" s="799"/>
      <c r="U943" s="799"/>
      <c r="V943" s="799"/>
      <c r="W943" s="799"/>
      <c r="X943" s="799"/>
      <c r="Y943" s="799"/>
      <c r="Z943" s="799"/>
      <c r="AA943" s="799"/>
      <c r="AB943" s="799"/>
      <c r="AC943" s="799"/>
      <c r="AD943" s="799"/>
      <c r="AE943" s="799"/>
      <c r="AF943" s="799"/>
      <c r="AG943" s="799"/>
      <c r="AH943" s="799"/>
      <c r="AI943" s="799"/>
      <c r="AJ943" s="799"/>
      <c r="AK943" s="799"/>
      <c r="AL943" s="799"/>
      <c r="AM943" s="799"/>
      <c r="AN943" s="799"/>
      <c r="AO943" s="799"/>
      <c r="AP943" s="799"/>
      <c r="AQ943" s="799"/>
      <c r="AR943" s="799"/>
      <c r="AS943" s="799"/>
      <c r="AT943" s="799"/>
      <c r="AU943" s="799"/>
      <c r="AV943" s="799"/>
      <c r="AW943" s="799"/>
      <c r="AX943" s="799"/>
      <c r="AY943" s="799"/>
      <c r="AZ943" s="799"/>
      <c r="BA943" s="799"/>
      <c r="BB943" s="799"/>
      <c r="BC943" s="799"/>
      <c r="BD943" s="799"/>
      <c r="BE943" s="799"/>
      <c r="BF943" s="799"/>
      <c r="BG943" s="799"/>
    </row>
    <row r="944">
      <c r="H944" s="799"/>
      <c r="I944" s="799"/>
      <c r="J944" s="799"/>
      <c r="K944" s="799"/>
      <c r="L944" s="799"/>
      <c r="M944" s="799"/>
      <c r="N944" s="799"/>
      <c r="O944" s="799"/>
      <c r="P944" s="799"/>
      <c r="Q944" s="799"/>
      <c r="R944" s="799"/>
      <c r="S944" s="799"/>
      <c r="T944" s="799"/>
      <c r="U944" s="799"/>
      <c r="V944" s="799"/>
      <c r="W944" s="799"/>
      <c r="X944" s="799"/>
      <c r="Y944" s="799"/>
      <c r="Z944" s="799"/>
      <c r="AA944" s="799"/>
      <c r="AB944" s="799"/>
      <c r="AC944" s="799"/>
      <c r="AD944" s="799"/>
      <c r="AE944" s="799"/>
      <c r="AF944" s="799"/>
      <c r="AG944" s="799"/>
      <c r="AH944" s="799"/>
      <c r="AI944" s="799"/>
      <c r="AJ944" s="799"/>
      <c r="AK944" s="799"/>
      <c r="AL944" s="799"/>
      <c r="AM944" s="799"/>
      <c r="AN944" s="799"/>
      <c r="AO944" s="799"/>
      <c r="AP944" s="799"/>
      <c r="AQ944" s="799"/>
      <c r="AR944" s="799"/>
      <c r="AS944" s="799"/>
      <c r="AT944" s="799"/>
      <c r="AU944" s="799"/>
      <c r="AV944" s="799"/>
      <c r="AW944" s="799"/>
      <c r="AX944" s="799"/>
      <c r="AY944" s="799"/>
      <c r="AZ944" s="799"/>
      <c r="BA944" s="799"/>
      <c r="BB944" s="799"/>
      <c r="BC944" s="799"/>
      <c r="BD944" s="799"/>
      <c r="BE944" s="799"/>
      <c r="BF944" s="799"/>
      <c r="BG944" s="799"/>
    </row>
    <row r="945">
      <c r="H945" s="799"/>
      <c r="I945" s="799"/>
      <c r="J945" s="799"/>
      <c r="K945" s="799"/>
      <c r="L945" s="799"/>
      <c r="M945" s="799"/>
      <c r="N945" s="799"/>
      <c r="O945" s="799"/>
      <c r="P945" s="799"/>
      <c r="Q945" s="799"/>
      <c r="R945" s="799"/>
      <c r="S945" s="799"/>
      <c r="T945" s="799"/>
      <c r="U945" s="799"/>
      <c r="V945" s="799"/>
      <c r="W945" s="799"/>
      <c r="X945" s="799"/>
      <c r="Y945" s="799"/>
      <c r="Z945" s="799"/>
      <c r="AA945" s="799"/>
      <c r="AB945" s="799"/>
      <c r="AC945" s="799"/>
      <c r="AD945" s="799"/>
      <c r="AE945" s="799"/>
      <c r="AF945" s="799"/>
      <c r="AG945" s="799"/>
      <c r="AH945" s="799"/>
      <c r="AI945" s="799"/>
      <c r="AJ945" s="799"/>
      <c r="AK945" s="799"/>
      <c r="AL945" s="799"/>
      <c r="AM945" s="799"/>
      <c r="AN945" s="799"/>
      <c r="AO945" s="799"/>
      <c r="AP945" s="799"/>
      <c r="AQ945" s="799"/>
      <c r="AR945" s="799"/>
      <c r="AS945" s="799"/>
      <c r="AT945" s="799"/>
      <c r="AU945" s="799"/>
      <c r="AV945" s="799"/>
      <c r="AW945" s="799"/>
      <c r="AX945" s="799"/>
      <c r="AY945" s="799"/>
      <c r="AZ945" s="799"/>
      <c r="BA945" s="799"/>
      <c r="BB945" s="799"/>
      <c r="BC945" s="799"/>
      <c r="BD945" s="799"/>
      <c r="BE945" s="799"/>
      <c r="BF945" s="799"/>
      <c r="BG945" s="799"/>
    </row>
    <row r="946">
      <c r="H946" s="799"/>
      <c r="I946" s="799"/>
      <c r="J946" s="799"/>
      <c r="K946" s="799"/>
      <c r="L946" s="799"/>
      <c r="M946" s="799"/>
      <c r="N946" s="799"/>
      <c r="O946" s="799"/>
      <c r="P946" s="799"/>
      <c r="Q946" s="799"/>
      <c r="R946" s="799"/>
      <c r="S946" s="799"/>
      <c r="T946" s="799"/>
      <c r="U946" s="799"/>
      <c r="V946" s="799"/>
      <c r="W946" s="799"/>
      <c r="X946" s="799"/>
      <c r="Y946" s="799"/>
      <c r="Z946" s="799"/>
      <c r="AA946" s="799"/>
      <c r="AB946" s="799"/>
      <c r="AC946" s="799"/>
      <c r="AD946" s="799"/>
      <c r="AE946" s="799"/>
      <c r="AF946" s="799"/>
      <c r="AG946" s="799"/>
      <c r="AH946" s="799"/>
      <c r="AI946" s="799"/>
      <c r="AJ946" s="799"/>
      <c r="AK946" s="799"/>
      <c r="AL946" s="799"/>
      <c r="AM946" s="799"/>
      <c r="AN946" s="799"/>
      <c r="AO946" s="799"/>
      <c r="AP946" s="799"/>
      <c r="AQ946" s="799"/>
      <c r="AR946" s="799"/>
      <c r="AS946" s="799"/>
      <c r="AT946" s="799"/>
      <c r="AU946" s="799"/>
      <c r="AV946" s="799"/>
      <c r="AW946" s="799"/>
      <c r="AX946" s="799"/>
      <c r="AY946" s="799"/>
      <c r="AZ946" s="799"/>
      <c r="BA946" s="799"/>
      <c r="BB946" s="799"/>
      <c r="BC946" s="799"/>
      <c r="BD946" s="799"/>
      <c r="BE946" s="799"/>
      <c r="BF946" s="799"/>
      <c r="BG946" s="799"/>
    </row>
    <row r="947">
      <c r="H947" s="799"/>
      <c r="I947" s="799"/>
      <c r="J947" s="799"/>
      <c r="K947" s="799"/>
      <c r="L947" s="799"/>
      <c r="M947" s="799"/>
      <c r="N947" s="799"/>
      <c r="O947" s="799"/>
      <c r="P947" s="799"/>
      <c r="Q947" s="799"/>
      <c r="R947" s="799"/>
      <c r="S947" s="799"/>
      <c r="T947" s="799"/>
      <c r="U947" s="799"/>
      <c r="V947" s="799"/>
      <c r="W947" s="799"/>
      <c r="X947" s="799"/>
      <c r="Y947" s="799"/>
      <c r="Z947" s="799"/>
      <c r="AA947" s="799"/>
      <c r="AB947" s="799"/>
      <c r="AC947" s="799"/>
      <c r="AD947" s="799"/>
      <c r="AE947" s="799"/>
      <c r="AF947" s="799"/>
      <c r="AG947" s="799"/>
      <c r="AH947" s="799"/>
      <c r="AI947" s="799"/>
      <c r="AJ947" s="799"/>
      <c r="AK947" s="799"/>
      <c r="AL947" s="799"/>
      <c r="AM947" s="799"/>
      <c r="AN947" s="799"/>
      <c r="AO947" s="799"/>
      <c r="AP947" s="799"/>
      <c r="AQ947" s="799"/>
      <c r="AR947" s="799"/>
      <c r="AS947" s="799"/>
      <c r="AT947" s="799"/>
      <c r="AU947" s="799"/>
      <c r="AV947" s="799"/>
      <c r="AW947" s="799"/>
      <c r="AX947" s="799"/>
      <c r="AY947" s="799"/>
      <c r="AZ947" s="799"/>
      <c r="BA947" s="799"/>
      <c r="BB947" s="799"/>
      <c r="BC947" s="799"/>
      <c r="BD947" s="799"/>
      <c r="BE947" s="799"/>
      <c r="BF947" s="799"/>
      <c r="BG947" s="799"/>
    </row>
    <row r="948">
      <c r="H948" s="799"/>
      <c r="I948" s="799"/>
      <c r="J948" s="799"/>
      <c r="K948" s="799"/>
      <c r="L948" s="799"/>
      <c r="M948" s="799"/>
      <c r="N948" s="799"/>
      <c r="O948" s="799"/>
      <c r="P948" s="799"/>
      <c r="Q948" s="799"/>
      <c r="R948" s="799"/>
      <c r="S948" s="799"/>
      <c r="T948" s="799"/>
      <c r="U948" s="799"/>
      <c r="V948" s="799"/>
      <c r="W948" s="799"/>
      <c r="X948" s="799"/>
      <c r="Y948" s="799"/>
      <c r="Z948" s="799"/>
      <c r="AA948" s="799"/>
      <c r="AB948" s="799"/>
      <c r="AC948" s="799"/>
      <c r="AD948" s="799"/>
      <c r="AE948" s="799"/>
      <c r="AF948" s="799"/>
      <c r="AG948" s="799"/>
      <c r="AH948" s="799"/>
      <c r="AI948" s="799"/>
      <c r="AJ948" s="799"/>
      <c r="AK948" s="799"/>
      <c r="AL948" s="799"/>
      <c r="AM948" s="799"/>
      <c r="AN948" s="799"/>
      <c r="AO948" s="799"/>
      <c r="AP948" s="799"/>
      <c r="AQ948" s="799"/>
      <c r="AR948" s="799"/>
      <c r="AS948" s="799"/>
      <c r="AT948" s="799"/>
      <c r="AU948" s="799"/>
      <c r="AV948" s="799"/>
      <c r="AW948" s="799"/>
      <c r="AX948" s="799"/>
      <c r="AY948" s="799"/>
      <c r="AZ948" s="799"/>
      <c r="BA948" s="799"/>
      <c r="BB948" s="799"/>
      <c r="BC948" s="799"/>
      <c r="BD948" s="799"/>
      <c r="BE948" s="799"/>
      <c r="BF948" s="799"/>
      <c r="BG948" s="799"/>
    </row>
    <row r="949">
      <c r="H949" s="799"/>
      <c r="I949" s="799"/>
      <c r="J949" s="799"/>
      <c r="K949" s="799"/>
      <c r="L949" s="799"/>
      <c r="M949" s="799"/>
      <c r="N949" s="799"/>
      <c r="O949" s="799"/>
      <c r="P949" s="799"/>
      <c r="Q949" s="799"/>
      <c r="R949" s="799"/>
      <c r="S949" s="799"/>
      <c r="T949" s="799"/>
      <c r="U949" s="799"/>
      <c r="V949" s="799"/>
      <c r="W949" s="799"/>
      <c r="X949" s="799"/>
      <c r="Y949" s="799"/>
      <c r="Z949" s="799"/>
      <c r="AA949" s="799"/>
      <c r="AB949" s="799"/>
      <c r="AC949" s="799"/>
      <c r="AD949" s="799"/>
      <c r="AE949" s="799"/>
      <c r="AF949" s="799"/>
      <c r="AG949" s="799"/>
      <c r="AH949" s="799"/>
      <c r="AI949" s="799"/>
      <c r="AJ949" s="799"/>
      <c r="AK949" s="799"/>
      <c r="AL949" s="799"/>
      <c r="AM949" s="799"/>
      <c r="AN949" s="799"/>
      <c r="AO949" s="799"/>
      <c r="AP949" s="799"/>
      <c r="AQ949" s="799"/>
      <c r="AR949" s="799"/>
      <c r="AS949" s="799"/>
      <c r="AT949" s="799"/>
      <c r="AU949" s="799"/>
      <c r="AV949" s="799"/>
      <c r="AW949" s="799"/>
      <c r="AX949" s="799"/>
      <c r="AY949" s="799"/>
      <c r="AZ949" s="799"/>
      <c r="BA949" s="799"/>
      <c r="BB949" s="799"/>
      <c r="BC949" s="799"/>
      <c r="BD949" s="799"/>
      <c r="BE949" s="799"/>
      <c r="BF949" s="799"/>
      <c r="BG949" s="799"/>
    </row>
    <row r="950">
      <c r="H950" s="799"/>
      <c r="I950" s="799"/>
      <c r="J950" s="799"/>
      <c r="K950" s="799"/>
      <c r="L950" s="799"/>
      <c r="M950" s="799"/>
      <c r="N950" s="799"/>
      <c r="O950" s="799"/>
      <c r="P950" s="799"/>
      <c r="Q950" s="799"/>
      <c r="R950" s="799"/>
      <c r="S950" s="799"/>
      <c r="T950" s="799"/>
      <c r="U950" s="799"/>
      <c r="V950" s="799"/>
      <c r="W950" s="799"/>
      <c r="X950" s="799"/>
      <c r="Y950" s="799"/>
      <c r="Z950" s="799"/>
      <c r="AA950" s="799"/>
      <c r="AB950" s="799"/>
      <c r="AC950" s="799"/>
      <c r="AD950" s="799"/>
      <c r="AE950" s="799"/>
      <c r="AF950" s="799"/>
      <c r="AG950" s="799"/>
      <c r="AH950" s="799"/>
      <c r="AI950" s="799"/>
      <c r="AJ950" s="799"/>
      <c r="AK950" s="799"/>
      <c r="AL950" s="799"/>
      <c r="AM950" s="799"/>
      <c r="AN950" s="799"/>
      <c r="AO950" s="799"/>
      <c r="AP950" s="799"/>
      <c r="AQ950" s="799"/>
      <c r="AR950" s="799"/>
      <c r="AS950" s="799"/>
      <c r="AT950" s="799"/>
      <c r="AU950" s="799"/>
      <c r="AV950" s="799"/>
      <c r="AW950" s="799"/>
      <c r="AX950" s="799"/>
      <c r="AY950" s="799"/>
      <c r="AZ950" s="799"/>
      <c r="BA950" s="799"/>
      <c r="BB950" s="799"/>
      <c r="BC950" s="799"/>
      <c r="BD950" s="799"/>
      <c r="BE950" s="799"/>
      <c r="BF950" s="799"/>
      <c r="BG950" s="799"/>
    </row>
    <row r="951">
      <c r="H951" s="799"/>
      <c r="I951" s="799"/>
      <c r="J951" s="799"/>
      <c r="K951" s="799"/>
      <c r="L951" s="799"/>
      <c r="M951" s="799"/>
      <c r="N951" s="799"/>
      <c r="O951" s="799"/>
      <c r="P951" s="799"/>
      <c r="Q951" s="799"/>
      <c r="R951" s="799"/>
      <c r="S951" s="799"/>
      <c r="T951" s="799"/>
      <c r="U951" s="799"/>
      <c r="V951" s="799"/>
      <c r="W951" s="799"/>
      <c r="X951" s="799"/>
      <c r="Y951" s="799"/>
      <c r="Z951" s="799"/>
      <c r="AA951" s="799"/>
      <c r="AB951" s="799"/>
      <c r="AC951" s="799"/>
      <c r="AD951" s="799"/>
      <c r="AE951" s="799"/>
      <c r="AF951" s="799"/>
      <c r="AG951" s="799"/>
      <c r="AH951" s="799"/>
      <c r="AI951" s="799"/>
      <c r="AJ951" s="799"/>
      <c r="AK951" s="799"/>
      <c r="AL951" s="799"/>
      <c r="AM951" s="799"/>
      <c r="AN951" s="799"/>
      <c r="AO951" s="799"/>
      <c r="AP951" s="799"/>
      <c r="AQ951" s="799"/>
      <c r="AR951" s="799"/>
      <c r="AS951" s="799"/>
      <c r="AT951" s="799"/>
      <c r="AU951" s="799"/>
      <c r="AV951" s="799"/>
      <c r="AW951" s="799"/>
      <c r="AX951" s="799"/>
      <c r="AY951" s="799"/>
      <c r="AZ951" s="799"/>
      <c r="BA951" s="799"/>
      <c r="BB951" s="799"/>
      <c r="BC951" s="799"/>
      <c r="BD951" s="799"/>
      <c r="BE951" s="799"/>
      <c r="BF951" s="799"/>
      <c r="BG951" s="799"/>
    </row>
    <row r="952">
      <c r="H952" s="799"/>
      <c r="I952" s="799"/>
      <c r="J952" s="799"/>
      <c r="K952" s="799"/>
      <c r="L952" s="799"/>
      <c r="M952" s="799"/>
      <c r="N952" s="799"/>
      <c r="O952" s="799"/>
      <c r="P952" s="799"/>
      <c r="Q952" s="799"/>
      <c r="R952" s="799"/>
      <c r="S952" s="799"/>
      <c r="T952" s="799"/>
      <c r="U952" s="799"/>
      <c r="V952" s="799"/>
      <c r="W952" s="799"/>
      <c r="X952" s="799"/>
      <c r="Y952" s="799"/>
      <c r="Z952" s="799"/>
      <c r="AA952" s="799"/>
      <c r="AB952" s="799"/>
      <c r="AC952" s="799"/>
      <c r="AD952" s="799"/>
      <c r="AE952" s="799"/>
      <c r="AF952" s="799"/>
      <c r="AG952" s="799"/>
      <c r="AH952" s="799"/>
      <c r="AI952" s="799"/>
      <c r="AJ952" s="799"/>
      <c r="AK952" s="799"/>
      <c r="AL952" s="799"/>
      <c r="AM952" s="799"/>
      <c r="AN952" s="799"/>
      <c r="AO952" s="799"/>
      <c r="AP952" s="799"/>
      <c r="AQ952" s="799"/>
      <c r="AR952" s="799"/>
      <c r="AS952" s="799"/>
      <c r="AT952" s="799"/>
      <c r="AU952" s="799"/>
      <c r="AV952" s="799"/>
      <c r="AW952" s="799"/>
      <c r="AX952" s="799"/>
      <c r="AY952" s="799"/>
      <c r="AZ952" s="799"/>
      <c r="BA952" s="799"/>
      <c r="BB952" s="799"/>
      <c r="BC952" s="799"/>
      <c r="BD952" s="799"/>
      <c r="BE952" s="799"/>
      <c r="BF952" s="799"/>
      <c r="BG952" s="799"/>
    </row>
    <row r="953">
      <c r="H953" s="799"/>
      <c r="I953" s="799"/>
      <c r="J953" s="799"/>
      <c r="K953" s="799"/>
      <c r="L953" s="799"/>
      <c r="M953" s="799"/>
      <c r="N953" s="799"/>
      <c r="O953" s="799"/>
      <c r="P953" s="799"/>
      <c r="Q953" s="799"/>
      <c r="R953" s="799"/>
      <c r="S953" s="799"/>
      <c r="T953" s="799"/>
      <c r="U953" s="799"/>
      <c r="V953" s="799"/>
      <c r="W953" s="799"/>
      <c r="X953" s="799"/>
      <c r="Y953" s="799"/>
      <c r="Z953" s="799"/>
      <c r="AA953" s="799"/>
      <c r="AB953" s="799"/>
      <c r="AC953" s="799"/>
      <c r="AD953" s="799"/>
      <c r="AE953" s="799"/>
      <c r="AF953" s="799"/>
      <c r="AG953" s="799"/>
      <c r="AH953" s="799"/>
      <c r="AI953" s="799"/>
      <c r="AJ953" s="799"/>
      <c r="AK953" s="799"/>
      <c r="AL953" s="799"/>
      <c r="AM953" s="799"/>
      <c r="AN953" s="799"/>
      <c r="AO953" s="799"/>
      <c r="AP953" s="799"/>
      <c r="AQ953" s="799"/>
      <c r="AR953" s="799"/>
      <c r="AS953" s="799"/>
      <c r="AT953" s="799"/>
      <c r="AU953" s="799"/>
      <c r="AV953" s="799"/>
      <c r="AW953" s="799"/>
      <c r="AX953" s="799"/>
      <c r="AY953" s="799"/>
      <c r="AZ953" s="799"/>
      <c r="BA953" s="799"/>
      <c r="BB953" s="799"/>
      <c r="BC953" s="799"/>
      <c r="BD953" s="799"/>
      <c r="BE953" s="799"/>
      <c r="BF953" s="799"/>
      <c r="BG953" s="799"/>
    </row>
    <row r="954">
      <c r="H954" s="799"/>
      <c r="I954" s="799"/>
      <c r="J954" s="799"/>
      <c r="K954" s="799"/>
      <c r="L954" s="799"/>
      <c r="M954" s="799"/>
      <c r="N954" s="799"/>
      <c r="O954" s="799"/>
      <c r="P954" s="799"/>
      <c r="Q954" s="799"/>
      <c r="R954" s="799"/>
      <c r="S954" s="799"/>
      <c r="T954" s="799"/>
      <c r="U954" s="799"/>
      <c r="V954" s="799"/>
      <c r="W954" s="799"/>
      <c r="X954" s="799"/>
      <c r="Y954" s="799"/>
      <c r="Z954" s="799"/>
      <c r="AA954" s="799"/>
      <c r="AB954" s="799"/>
      <c r="AC954" s="799"/>
      <c r="AD954" s="799"/>
      <c r="AE954" s="799"/>
      <c r="AF954" s="799"/>
      <c r="AG954" s="799"/>
      <c r="AH954" s="799"/>
      <c r="AI954" s="799"/>
      <c r="AJ954" s="799"/>
      <c r="AK954" s="799"/>
      <c r="AL954" s="799"/>
      <c r="AM954" s="799"/>
      <c r="AN954" s="799"/>
      <c r="AO954" s="799"/>
      <c r="AP954" s="799"/>
      <c r="AQ954" s="799"/>
      <c r="AR954" s="799"/>
      <c r="AS954" s="799"/>
      <c r="AT954" s="799"/>
      <c r="AU954" s="799"/>
      <c r="AV954" s="799"/>
      <c r="AW954" s="799"/>
      <c r="AX954" s="799"/>
      <c r="AY954" s="799"/>
      <c r="AZ954" s="799"/>
      <c r="BA954" s="799"/>
      <c r="BB954" s="799"/>
      <c r="BC954" s="799"/>
      <c r="BD954" s="799"/>
      <c r="BE954" s="799"/>
      <c r="BF954" s="799"/>
      <c r="BG954" s="799"/>
    </row>
    <row r="955">
      <c r="H955" s="799"/>
      <c r="I955" s="799"/>
      <c r="J955" s="799"/>
      <c r="K955" s="799"/>
      <c r="L955" s="799"/>
      <c r="M955" s="799"/>
      <c r="N955" s="799"/>
      <c r="O955" s="799"/>
      <c r="P955" s="799"/>
      <c r="Q955" s="799"/>
      <c r="R955" s="799"/>
      <c r="S955" s="799"/>
      <c r="T955" s="799"/>
      <c r="U955" s="799"/>
      <c r="V955" s="799"/>
      <c r="W955" s="799"/>
      <c r="X955" s="799"/>
      <c r="Y955" s="799"/>
      <c r="Z955" s="799"/>
      <c r="AA955" s="799"/>
      <c r="AB955" s="799"/>
      <c r="AC955" s="799"/>
      <c r="AD955" s="799"/>
      <c r="AE955" s="799"/>
      <c r="AF955" s="799"/>
      <c r="AG955" s="799"/>
      <c r="AH955" s="799"/>
      <c r="AI955" s="799"/>
      <c r="AJ955" s="799"/>
      <c r="AK955" s="799"/>
      <c r="AL955" s="799"/>
      <c r="AM955" s="799"/>
      <c r="AN955" s="799"/>
      <c r="AO955" s="799"/>
      <c r="AP955" s="799"/>
      <c r="AQ955" s="799"/>
      <c r="AR955" s="799"/>
      <c r="AS955" s="799"/>
      <c r="AT955" s="799"/>
      <c r="AU955" s="799"/>
      <c r="AV955" s="799"/>
      <c r="AW955" s="799"/>
      <c r="AX955" s="799"/>
      <c r="AY955" s="799"/>
      <c r="AZ955" s="799"/>
      <c r="BA955" s="799"/>
      <c r="BB955" s="799"/>
      <c r="BC955" s="799"/>
      <c r="BD955" s="799"/>
      <c r="BE955" s="799"/>
      <c r="BF955" s="799"/>
      <c r="BG955" s="799"/>
    </row>
    <row r="956">
      <c r="H956" s="799"/>
      <c r="I956" s="799"/>
      <c r="J956" s="799"/>
      <c r="K956" s="799"/>
      <c r="L956" s="799"/>
      <c r="M956" s="799"/>
      <c r="N956" s="799"/>
      <c r="O956" s="799"/>
      <c r="P956" s="799"/>
      <c r="Q956" s="799"/>
      <c r="R956" s="799"/>
      <c r="S956" s="799"/>
      <c r="T956" s="799"/>
      <c r="U956" s="799"/>
      <c r="V956" s="799"/>
      <c r="W956" s="799"/>
      <c r="X956" s="799"/>
      <c r="Y956" s="799"/>
      <c r="Z956" s="799"/>
      <c r="AA956" s="799"/>
      <c r="AB956" s="799"/>
      <c r="AC956" s="799"/>
      <c r="AD956" s="799"/>
      <c r="AE956" s="799"/>
      <c r="AF956" s="799"/>
      <c r="AG956" s="799"/>
      <c r="AH956" s="799"/>
      <c r="AI956" s="799"/>
      <c r="AJ956" s="799"/>
      <c r="AK956" s="799"/>
      <c r="AL956" s="799"/>
      <c r="AM956" s="799"/>
      <c r="AN956" s="799"/>
      <c r="AO956" s="799"/>
      <c r="AP956" s="799"/>
      <c r="AQ956" s="799"/>
      <c r="AR956" s="799"/>
      <c r="AS956" s="799"/>
      <c r="AT956" s="799"/>
      <c r="AU956" s="799"/>
      <c r="AV956" s="799"/>
      <c r="AW956" s="799"/>
      <c r="AX956" s="799"/>
      <c r="AY956" s="799"/>
      <c r="AZ956" s="799"/>
      <c r="BA956" s="799"/>
      <c r="BB956" s="799"/>
      <c r="BC956" s="799"/>
      <c r="BD956" s="799"/>
      <c r="BE956" s="799"/>
      <c r="BF956" s="799"/>
      <c r="BG956" s="799"/>
    </row>
    <row r="957">
      <c r="H957" s="799"/>
      <c r="I957" s="799"/>
      <c r="J957" s="799"/>
      <c r="K957" s="799"/>
      <c r="L957" s="799"/>
      <c r="M957" s="799"/>
      <c r="N957" s="799"/>
      <c r="O957" s="799"/>
      <c r="P957" s="799"/>
      <c r="Q957" s="799"/>
      <c r="R957" s="799"/>
      <c r="S957" s="799"/>
      <c r="T957" s="799"/>
      <c r="U957" s="799"/>
      <c r="V957" s="799"/>
      <c r="W957" s="799"/>
      <c r="X957" s="799"/>
      <c r="Y957" s="799"/>
      <c r="Z957" s="799"/>
      <c r="AA957" s="799"/>
      <c r="AB957" s="799"/>
      <c r="AC957" s="799"/>
      <c r="AD957" s="799"/>
      <c r="AE957" s="799"/>
      <c r="AF957" s="799"/>
      <c r="AG957" s="799"/>
      <c r="AH957" s="799"/>
      <c r="AI957" s="799"/>
      <c r="AJ957" s="799"/>
      <c r="AK957" s="799"/>
      <c r="AL957" s="799"/>
      <c r="AM957" s="799"/>
      <c r="AN957" s="799"/>
      <c r="AO957" s="799"/>
      <c r="AP957" s="799"/>
      <c r="AQ957" s="799"/>
      <c r="AR957" s="799"/>
      <c r="AS957" s="799"/>
      <c r="AT957" s="799"/>
      <c r="AU957" s="799"/>
      <c r="AV957" s="799"/>
      <c r="AW957" s="799"/>
      <c r="AX957" s="799"/>
      <c r="AY957" s="799"/>
      <c r="AZ957" s="799"/>
      <c r="BA957" s="799"/>
      <c r="BB957" s="799"/>
      <c r="BC957" s="799"/>
      <c r="BD957" s="799"/>
      <c r="BE957" s="799"/>
      <c r="BF957" s="799"/>
      <c r="BG957" s="799"/>
    </row>
    <row r="958">
      <c r="H958" s="799"/>
      <c r="I958" s="799"/>
      <c r="J958" s="799"/>
      <c r="K958" s="799"/>
      <c r="L958" s="799"/>
      <c r="M958" s="799"/>
      <c r="N958" s="799"/>
      <c r="O958" s="799"/>
      <c r="P958" s="799"/>
      <c r="Q958" s="799"/>
      <c r="R958" s="799"/>
      <c r="S958" s="799"/>
      <c r="T958" s="799"/>
      <c r="U958" s="799"/>
      <c r="V958" s="799"/>
      <c r="W958" s="799"/>
      <c r="X958" s="799"/>
      <c r="Y958" s="799"/>
      <c r="Z958" s="799"/>
      <c r="AA958" s="799"/>
      <c r="AB958" s="799"/>
      <c r="AC958" s="799"/>
      <c r="AD958" s="799"/>
      <c r="AE958" s="799"/>
      <c r="AF958" s="799"/>
      <c r="AG958" s="799"/>
      <c r="AH958" s="799"/>
      <c r="AI958" s="799"/>
      <c r="AJ958" s="799"/>
      <c r="AK958" s="799"/>
      <c r="AL958" s="799"/>
      <c r="AM958" s="799"/>
      <c r="AN958" s="799"/>
      <c r="AO958" s="799"/>
      <c r="AP958" s="799"/>
      <c r="AQ958" s="799"/>
      <c r="AR958" s="799"/>
      <c r="AS958" s="799"/>
      <c r="AT958" s="799"/>
      <c r="AU958" s="799"/>
      <c r="AV958" s="799"/>
      <c r="AW958" s="799"/>
      <c r="AX958" s="799"/>
      <c r="AY958" s="799"/>
      <c r="AZ958" s="799"/>
      <c r="BA958" s="799"/>
      <c r="BB958" s="799"/>
      <c r="BC958" s="799"/>
      <c r="BD958" s="799"/>
      <c r="BE958" s="799"/>
      <c r="BF958" s="799"/>
      <c r="BG958" s="799"/>
    </row>
    <row r="959">
      <c r="H959" s="799"/>
      <c r="I959" s="799"/>
      <c r="J959" s="799"/>
      <c r="K959" s="799"/>
      <c r="L959" s="799"/>
      <c r="M959" s="799"/>
      <c r="N959" s="799"/>
      <c r="O959" s="799"/>
      <c r="P959" s="799"/>
      <c r="Q959" s="799"/>
      <c r="R959" s="799"/>
      <c r="S959" s="799"/>
      <c r="T959" s="799"/>
      <c r="U959" s="799"/>
      <c r="V959" s="799"/>
      <c r="W959" s="799"/>
      <c r="X959" s="799"/>
      <c r="Y959" s="799"/>
      <c r="Z959" s="799"/>
      <c r="AA959" s="799"/>
      <c r="AB959" s="799"/>
      <c r="AC959" s="799"/>
      <c r="AD959" s="799"/>
      <c r="AE959" s="799"/>
      <c r="AF959" s="799"/>
      <c r="AG959" s="799"/>
      <c r="AH959" s="799"/>
      <c r="AI959" s="799"/>
      <c r="AJ959" s="799"/>
      <c r="AK959" s="799"/>
      <c r="AL959" s="799"/>
      <c r="AM959" s="799"/>
      <c r="AN959" s="799"/>
      <c r="AO959" s="799"/>
      <c r="AP959" s="799"/>
      <c r="AQ959" s="799"/>
      <c r="AR959" s="799"/>
      <c r="AS959" s="799"/>
      <c r="AT959" s="799"/>
      <c r="AU959" s="799"/>
      <c r="AV959" s="799"/>
      <c r="AW959" s="799"/>
      <c r="AX959" s="799"/>
      <c r="AY959" s="799"/>
      <c r="AZ959" s="799"/>
      <c r="BA959" s="799"/>
      <c r="BB959" s="799"/>
      <c r="BC959" s="799"/>
      <c r="BD959" s="799"/>
      <c r="BE959" s="799"/>
      <c r="BF959" s="799"/>
      <c r="BG959" s="799"/>
    </row>
    <row r="960">
      <c r="H960" s="799"/>
      <c r="I960" s="799"/>
      <c r="J960" s="799"/>
      <c r="K960" s="799"/>
      <c r="L960" s="799"/>
      <c r="M960" s="799"/>
      <c r="N960" s="799"/>
      <c r="O960" s="799"/>
      <c r="P960" s="799"/>
      <c r="Q960" s="799"/>
      <c r="R960" s="799"/>
      <c r="S960" s="799"/>
      <c r="T960" s="799"/>
      <c r="U960" s="799"/>
      <c r="V960" s="799"/>
      <c r="W960" s="799"/>
      <c r="X960" s="799"/>
      <c r="Y960" s="799"/>
      <c r="Z960" s="799"/>
      <c r="AA960" s="799"/>
      <c r="AB960" s="799"/>
      <c r="AC960" s="799"/>
      <c r="AD960" s="799"/>
      <c r="AE960" s="799"/>
      <c r="AF960" s="799"/>
      <c r="AG960" s="799"/>
      <c r="AH960" s="799"/>
      <c r="AI960" s="799"/>
      <c r="AJ960" s="799"/>
      <c r="AK960" s="799"/>
      <c r="AL960" s="799"/>
      <c r="AM960" s="799"/>
      <c r="AN960" s="799"/>
      <c r="AO960" s="799"/>
      <c r="AP960" s="799"/>
      <c r="AQ960" s="799"/>
      <c r="AR960" s="799"/>
      <c r="AS960" s="799"/>
      <c r="AT960" s="799"/>
      <c r="AU960" s="799"/>
      <c r="AV960" s="799"/>
      <c r="AW960" s="799"/>
      <c r="AX960" s="799"/>
      <c r="AY960" s="799"/>
      <c r="AZ960" s="799"/>
      <c r="BA960" s="799"/>
      <c r="BB960" s="799"/>
      <c r="BC960" s="799"/>
      <c r="BD960" s="799"/>
      <c r="BE960" s="799"/>
      <c r="BF960" s="799"/>
      <c r="BG960" s="799"/>
    </row>
    <row r="961">
      <c r="H961" s="799"/>
      <c r="I961" s="799"/>
      <c r="J961" s="799"/>
      <c r="K961" s="799"/>
      <c r="L961" s="799"/>
      <c r="M961" s="799"/>
      <c r="N961" s="799"/>
      <c r="O961" s="799"/>
      <c r="P961" s="799"/>
      <c r="Q961" s="799"/>
      <c r="R961" s="799"/>
      <c r="S961" s="799"/>
      <c r="T961" s="799"/>
      <c r="U961" s="799"/>
      <c r="V961" s="799"/>
      <c r="W961" s="799"/>
      <c r="X961" s="799"/>
      <c r="Y961" s="799"/>
      <c r="Z961" s="799"/>
      <c r="AA961" s="799"/>
      <c r="AB961" s="799"/>
      <c r="AC961" s="799"/>
      <c r="AD961" s="799"/>
      <c r="AE961" s="799"/>
      <c r="AF961" s="799"/>
      <c r="AG961" s="799"/>
      <c r="AH961" s="799"/>
      <c r="AI961" s="799"/>
      <c r="AJ961" s="799"/>
      <c r="AK961" s="799"/>
      <c r="AL961" s="799"/>
      <c r="AM961" s="799"/>
      <c r="AN961" s="799"/>
      <c r="AO961" s="799"/>
      <c r="AP961" s="799"/>
      <c r="AQ961" s="799"/>
      <c r="AR961" s="799"/>
      <c r="AS961" s="799"/>
      <c r="AT961" s="799"/>
      <c r="AU961" s="799"/>
      <c r="AV961" s="799"/>
      <c r="AW961" s="799"/>
      <c r="AX961" s="799"/>
      <c r="AY961" s="799"/>
      <c r="AZ961" s="799"/>
      <c r="BA961" s="799"/>
      <c r="BB961" s="799"/>
      <c r="BC961" s="799"/>
      <c r="BD961" s="799"/>
      <c r="BE961" s="799"/>
      <c r="BF961" s="799"/>
      <c r="BG961" s="799"/>
    </row>
    <row r="962">
      <c r="H962" s="799"/>
      <c r="I962" s="799"/>
      <c r="J962" s="799"/>
      <c r="K962" s="799"/>
      <c r="L962" s="799"/>
      <c r="M962" s="799"/>
      <c r="N962" s="799"/>
      <c r="O962" s="799"/>
      <c r="P962" s="799"/>
      <c r="Q962" s="799"/>
      <c r="R962" s="799"/>
      <c r="S962" s="799"/>
      <c r="T962" s="799"/>
      <c r="U962" s="799"/>
      <c r="V962" s="799"/>
      <c r="W962" s="799"/>
      <c r="X962" s="799"/>
      <c r="Y962" s="799"/>
      <c r="Z962" s="799"/>
      <c r="AA962" s="799"/>
      <c r="AB962" s="799"/>
      <c r="AC962" s="799"/>
      <c r="AD962" s="799"/>
      <c r="AE962" s="799"/>
      <c r="AF962" s="799"/>
      <c r="AG962" s="799"/>
      <c r="AH962" s="799"/>
      <c r="AI962" s="799"/>
      <c r="AJ962" s="799"/>
      <c r="AK962" s="799"/>
      <c r="AL962" s="799"/>
      <c r="AM962" s="799"/>
      <c r="AN962" s="799"/>
      <c r="AO962" s="799"/>
      <c r="AP962" s="799"/>
      <c r="AQ962" s="799"/>
      <c r="AR962" s="799"/>
      <c r="AS962" s="799"/>
      <c r="AT962" s="799"/>
      <c r="AU962" s="799"/>
      <c r="AV962" s="799"/>
      <c r="AW962" s="799"/>
      <c r="AX962" s="799"/>
      <c r="AY962" s="799"/>
      <c r="AZ962" s="799"/>
      <c r="BA962" s="799"/>
      <c r="BB962" s="799"/>
      <c r="BC962" s="799"/>
      <c r="BD962" s="799"/>
      <c r="BE962" s="799"/>
      <c r="BF962" s="799"/>
      <c r="BG962" s="799"/>
    </row>
    <row r="963">
      <c r="H963" s="799"/>
      <c r="I963" s="799"/>
      <c r="J963" s="799"/>
      <c r="K963" s="799"/>
      <c r="L963" s="799"/>
      <c r="M963" s="799"/>
      <c r="N963" s="799"/>
      <c r="O963" s="799"/>
      <c r="P963" s="799"/>
      <c r="Q963" s="799"/>
      <c r="R963" s="799"/>
      <c r="S963" s="799"/>
      <c r="T963" s="799"/>
      <c r="U963" s="799"/>
      <c r="V963" s="799"/>
      <c r="W963" s="799"/>
      <c r="X963" s="799"/>
      <c r="Y963" s="799"/>
      <c r="Z963" s="799"/>
      <c r="AA963" s="799"/>
      <c r="AB963" s="799"/>
      <c r="AC963" s="799"/>
      <c r="AD963" s="799"/>
      <c r="AE963" s="799"/>
      <c r="AF963" s="799"/>
      <c r="AG963" s="799"/>
      <c r="AH963" s="799"/>
      <c r="AI963" s="799"/>
      <c r="AJ963" s="799"/>
      <c r="AK963" s="799"/>
      <c r="AL963" s="799"/>
      <c r="AM963" s="799"/>
      <c r="AN963" s="799"/>
      <c r="AO963" s="799"/>
      <c r="AP963" s="799"/>
      <c r="AQ963" s="799"/>
      <c r="AR963" s="799"/>
      <c r="AS963" s="799"/>
      <c r="AT963" s="799"/>
      <c r="AU963" s="799"/>
      <c r="AV963" s="799"/>
      <c r="AW963" s="799"/>
      <c r="AX963" s="799"/>
      <c r="AY963" s="799"/>
      <c r="AZ963" s="799"/>
      <c r="BA963" s="799"/>
      <c r="BB963" s="799"/>
      <c r="BC963" s="799"/>
      <c r="BD963" s="799"/>
      <c r="BE963" s="799"/>
      <c r="BF963" s="799"/>
      <c r="BG963" s="799"/>
    </row>
    <row r="964">
      <c r="H964" s="799"/>
      <c r="I964" s="799"/>
      <c r="J964" s="799"/>
      <c r="K964" s="799"/>
      <c r="L964" s="799"/>
      <c r="M964" s="799"/>
      <c r="N964" s="799"/>
      <c r="O964" s="799"/>
      <c r="P964" s="799"/>
      <c r="Q964" s="799"/>
      <c r="R964" s="799"/>
      <c r="S964" s="799"/>
      <c r="T964" s="799"/>
      <c r="U964" s="799"/>
      <c r="V964" s="799"/>
      <c r="W964" s="799"/>
      <c r="X964" s="799"/>
      <c r="Y964" s="799"/>
      <c r="Z964" s="799"/>
      <c r="AA964" s="799"/>
      <c r="AB964" s="799"/>
      <c r="AC964" s="799"/>
      <c r="AD964" s="799"/>
      <c r="AE964" s="799"/>
      <c r="AF964" s="799"/>
      <c r="AG964" s="799"/>
      <c r="AH964" s="799"/>
      <c r="AI964" s="799"/>
      <c r="AJ964" s="799"/>
      <c r="AK964" s="799"/>
      <c r="AL964" s="799"/>
      <c r="AM964" s="799"/>
      <c r="AN964" s="799"/>
      <c r="AO964" s="799"/>
      <c r="AP964" s="799"/>
      <c r="AQ964" s="799"/>
      <c r="AR964" s="799"/>
      <c r="AS964" s="799"/>
      <c r="AT964" s="799"/>
      <c r="AU964" s="799"/>
      <c r="AV964" s="799"/>
      <c r="AW964" s="799"/>
      <c r="AX964" s="799"/>
      <c r="AY964" s="799"/>
      <c r="AZ964" s="799"/>
      <c r="BA964" s="799"/>
      <c r="BB964" s="799"/>
      <c r="BC964" s="799"/>
      <c r="BD964" s="799"/>
      <c r="BE964" s="799"/>
      <c r="BF964" s="799"/>
      <c r="BG964" s="799"/>
    </row>
    <row r="965">
      <c r="H965" s="799"/>
      <c r="I965" s="799"/>
      <c r="J965" s="799"/>
      <c r="K965" s="799"/>
      <c r="L965" s="799"/>
      <c r="M965" s="799"/>
      <c r="N965" s="799"/>
      <c r="O965" s="799"/>
      <c r="P965" s="799"/>
      <c r="Q965" s="799"/>
      <c r="R965" s="799"/>
      <c r="S965" s="799"/>
      <c r="T965" s="799"/>
      <c r="U965" s="799"/>
      <c r="V965" s="799"/>
      <c r="W965" s="799"/>
      <c r="X965" s="799"/>
      <c r="Y965" s="799"/>
      <c r="Z965" s="799"/>
      <c r="AA965" s="799"/>
      <c r="AB965" s="799"/>
      <c r="AC965" s="799"/>
      <c r="AD965" s="799"/>
      <c r="AE965" s="799"/>
      <c r="AF965" s="799"/>
      <c r="AG965" s="799"/>
      <c r="AH965" s="799"/>
      <c r="AI965" s="799"/>
      <c r="AJ965" s="799"/>
      <c r="AK965" s="799"/>
      <c r="AL965" s="799"/>
      <c r="AM965" s="799"/>
      <c r="AN965" s="799"/>
      <c r="AO965" s="799"/>
      <c r="AP965" s="799"/>
      <c r="AQ965" s="799"/>
      <c r="AR965" s="799"/>
      <c r="AS965" s="799"/>
      <c r="AT965" s="799"/>
      <c r="AU965" s="799"/>
      <c r="AV965" s="799"/>
      <c r="AW965" s="799"/>
      <c r="AX965" s="799"/>
      <c r="AY965" s="799"/>
      <c r="AZ965" s="799"/>
      <c r="BA965" s="799"/>
      <c r="BB965" s="799"/>
      <c r="BC965" s="799"/>
      <c r="BD965" s="799"/>
      <c r="BE965" s="799"/>
      <c r="BF965" s="799"/>
      <c r="BG965" s="799"/>
    </row>
    <row r="966">
      <c r="H966" s="799"/>
      <c r="I966" s="799"/>
      <c r="J966" s="799"/>
      <c r="K966" s="799"/>
      <c r="L966" s="799"/>
      <c r="M966" s="799"/>
      <c r="N966" s="799"/>
      <c r="O966" s="799"/>
      <c r="P966" s="799"/>
      <c r="Q966" s="799"/>
      <c r="R966" s="799"/>
      <c r="S966" s="799"/>
      <c r="T966" s="799"/>
      <c r="U966" s="799"/>
      <c r="V966" s="799"/>
      <c r="W966" s="799"/>
      <c r="X966" s="799"/>
      <c r="Y966" s="799"/>
      <c r="Z966" s="799"/>
      <c r="AA966" s="799"/>
      <c r="AB966" s="799"/>
      <c r="AC966" s="799"/>
      <c r="AD966" s="799"/>
      <c r="AE966" s="799"/>
      <c r="AF966" s="799"/>
      <c r="AG966" s="799"/>
      <c r="AH966" s="799"/>
      <c r="AI966" s="799"/>
      <c r="AJ966" s="799"/>
      <c r="AK966" s="799"/>
      <c r="AL966" s="799"/>
      <c r="AM966" s="799"/>
      <c r="AN966" s="799"/>
      <c r="AO966" s="799"/>
      <c r="AP966" s="799"/>
      <c r="AQ966" s="799"/>
      <c r="AR966" s="799"/>
      <c r="AS966" s="799"/>
      <c r="AT966" s="799"/>
      <c r="AU966" s="799"/>
      <c r="AV966" s="799"/>
      <c r="AW966" s="799"/>
      <c r="AX966" s="799"/>
      <c r="AY966" s="799"/>
      <c r="AZ966" s="799"/>
      <c r="BA966" s="799"/>
      <c r="BB966" s="799"/>
      <c r="BC966" s="799"/>
      <c r="BD966" s="799"/>
      <c r="BE966" s="799"/>
      <c r="BF966" s="799"/>
      <c r="BG966" s="799"/>
    </row>
    <row r="967">
      <c r="H967" s="799"/>
      <c r="I967" s="799"/>
      <c r="J967" s="799"/>
      <c r="K967" s="799"/>
      <c r="L967" s="799"/>
      <c r="M967" s="799"/>
      <c r="N967" s="799"/>
      <c r="O967" s="799"/>
      <c r="P967" s="799"/>
      <c r="Q967" s="799"/>
      <c r="R967" s="799"/>
      <c r="S967" s="799"/>
      <c r="T967" s="799"/>
      <c r="U967" s="799"/>
      <c r="V967" s="799"/>
      <c r="W967" s="799"/>
      <c r="X967" s="799"/>
      <c r="Y967" s="799"/>
      <c r="Z967" s="799"/>
      <c r="AA967" s="799"/>
      <c r="AB967" s="799"/>
      <c r="AC967" s="799"/>
      <c r="AD967" s="799"/>
      <c r="AE967" s="799"/>
      <c r="AF967" s="799"/>
      <c r="AG967" s="799"/>
      <c r="AH967" s="799"/>
      <c r="AI967" s="799"/>
      <c r="AJ967" s="799"/>
      <c r="AK967" s="799"/>
      <c r="AL967" s="799"/>
      <c r="AM967" s="799"/>
      <c r="AN967" s="799"/>
      <c r="AO967" s="799"/>
      <c r="AP967" s="799"/>
      <c r="AQ967" s="799"/>
      <c r="AR967" s="799"/>
      <c r="AS967" s="799"/>
      <c r="AT967" s="799"/>
      <c r="AU967" s="799"/>
      <c r="AV967" s="799"/>
      <c r="AW967" s="799"/>
      <c r="AX967" s="799"/>
      <c r="AY967" s="799"/>
      <c r="AZ967" s="799"/>
      <c r="BA967" s="799"/>
      <c r="BB967" s="799"/>
      <c r="BC967" s="799"/>
      <c r="BD967" s="799"/>
      <c r="BE967" s="799"/>
      <c r="BF967" s="799"/>
      <c r="BG967" s="799"/>
    </row>
    <row r="968">
      <c r="H968" s="799"/>
      <c r="I968" s="799"/>
      <c r="J968" s="799"/>
      <c r="K968" s="799"/>
      <c r="L968" s="799"/>
      <c r="M968" s="799"/>
      <c r="N968" s="799"/>
      <c r="O968" s="799"/>
      <c r="P968" s="799"/>
      <c r="Q968" s="799"/>
      <c r="R968" s="799"/>
      <c r="S968" s="799"/>
      <c r="T968" s="799"/>
      <c r="U968" s="799"/>
      <c r="V968" s="799"/>
      <c r="W968" s="799"/>
      <c r="X968" s="799"/>
      <c r="Y968" s="799"/>
      <c r="Z968" s="799"/>
      <c r="AA968" s="799"/>
      <c r="AB968" s="799"/>
      <c r="AC968" s="799"/>
      <c r="AD968" s="799"/>
      <c r="AE968" s="799"/>
      <c r="AF968" s="799"/>
      <c r="AG968" s="799"/>
      <c r="AH968" s="799"/>
      <c r="AI968" s="799"/>
      <c r="AJ968" s="799"/>
      <c r="AK968" s="799"/>
      <c r="AL968" s="799"/>
      <c r="AM968" s="799"/>
      <c r="AN968" s="799"/>
      <c r="AO968" s="799"/>
      <c r="AP968" s="799"/>
      <c r="AQ968" s="799"/>
      <c r="AR968" s="799"/>
      <c r="AS968" s="799"/>
      <c r="AT968" s="799"/>
      <c r="AU968" s="799"/>
      <c r="AV968" s="799"/>
      <c r="AW968" s="799"/>
      <c r="AX968" s="799"/>
      <c r="AY968" s="799"/>
      <c r="AZ968" s="799"/>
      <c r="BA968" s="799"/>
      <c r="BB968" s="799"/>
      <c r="BC968" s="799"/>
      <c r="BD968" s="799"/>
      <c r="BE968" s="799"/>
      <c r="BF968" s="799"/>
      <c r="BG968" s="799"/>
    </row>
    <row r="969">
      <c r="H969" s="799"/>
      <c r="I969" s="799"/>
      <c r="J969" s="799"/>
      <c r="K969" s="799"/>
      <c r="L969" s="799"/>
      <c r="M969" s="799"/>
      <c r="N969" s="799"/>
      <c r="O969" s="799"/>
      <c r="P969" s="799"/>
      <c r="Q969" s="799"/>
      <c r="R969" s="799"/>
      <c r="S969" s="799"/>
      <c r="T969" s="799"/>
      <c r="U969" s="799"/>
      <c r="V969" s="799"/>
      <c r="W969" s="799"/>
      <c r="X969" s="799"/>
      <c r="Y969" s="799"/>
      <c r="Z969" s="799"/>
      <c r="AA969" s="799"/>
      <c r="AB969" s="799"/>
      <c r="AC969" s="799"/>
      <c r="AD969" s="799"/>
      <c r="AE969" s="799"/>
      <c r="AF969" s="799"/>
      <c r="AG969" s="799"/>
      <c r="AH969" s="799"/>
      <c r="AI969" s="799"/>
      <c r="AJ969" s="799"/>
      <c r="AK969" s="799"/>
      <c r="AL969" s="799"/>
      <c r="AM969" s="799"/>
      <c r="AN969" s="799"/>
      <c r="AO969" s="799"/>
      <c r="AP969" s="799"/>
      <c r="AQ969" s="799"/>
      <c r="AR969" s="799"/>
      <c r="AS969" s="799"/>
      <c r="AT969" s="799"/>
      <c r="AU969" s="799"/>
      <c r="AV969" s="799"/>
      <c r="AW969" s="799"/>
      <c r="AX969" s="799"/>
      <c r="AY969" s="799"/>
      <c r="AZ969" s="799"/>
      <c r="BA969" s="799"/>
      <c r="BB969" s="799"/>
      <c r="BC969" s="799"/>
      <c r="BD969" s="799"/>
      <c r="BE969" s="799"/>
      <c r="BF969" s="799"/>
      <c r="BG969" s="799"/>
    </row>
    <row r="970">
      <c r="H970" s="799"/>
      <c r="I970" s="799"/>
      <c r="J970" s="799"/>
      <c r="K970" s="799"/>
      <c r="L970" s="799"/>
      <c r="M970" s="799"/>
      <c r="N970" s="799"/>
      <c r="O970" s="799"/>
      <c r="P970" s="799"/>
      <c r="Q970" s="799"/>
      <c r="R970" s="799"/>
      <c r="S970" s="799"/>
      <c r="T970" s="799"/>
      <c r="U970" s="799"/>
      <c r="V970" s="799"/>
      <c r="W970" s="799"/>
      <c r="X970" s="799"/>
      <c r="Y970" s="799"/>
      <c r="Z970" s="799"/>
      <c r="AA970" s="799"/>
      <c r="AB970" s="799"/>
      <c r="AC970" s="799"/>
      <c r="AD970" s="799"/>
      <c r="AE970" s="799"/>
      <c r="AF970" s="799"/>
      <c r="AG970" s="799"/>
      <c r="AH970" s="799"/>
      <c r="AI970" s="799"/>
      <c r="AJ970" s="799"/>
      <c r="AK970" s="799"/>
      <c r="AL970" s="799"/>
      <c r="AM970" s="799"/>
      <c r="AN970" s="799"/>
      <c r="AO970" s="799"/>
      <c r="AP970" s="799"/>
      <c r="AQ970" s="799"/>
      <c r="AR970" s="799"/>
      <c r="AS970" s="799"/>
      <c r="AT970" s="799"/>
      <c r="AU970" s="799"/>
      <c r="AV970" s="799"/>
      <c r="AW970" s="799"/>
      <c r="AX970" s="799"/>
      <c r="AY970" s="799"/>
      <c r="AZ970" s="799"/>
      <c r="BA970" s="799"/>
      <c r="BB970" s="799"/>
      <c r="BC970" s="799"/>
      <c r="BD970" s="799"/>
      <c r="BE970" s="799"/>
      <c r="BF970" s="799"/>
      <c r="BG970" s="799"/>
    </row>
    <row r="971">
      <c r="H971" s="799"/>
      <c r="I971" s="799"/>
      <c r="J971" s="799"/>
      <c r="K971" s="799"/>
      <c r="L971" s="799"/>
      <c r="M971" s="799"/>
      <c r="N971" s="799"/>
      <c r="O971" s="799"/>
      <c r="P971" s="799"/>
      <c r="Q971" s="799"/>
      <c r="R971" s="799"/>
      <c r="S971" s="799"/>
      <c r="T971" s="799"/>
      <c r="U971" s="799"/>
      <c r="V971" s="799"/>
      <c r="W971" s="799"/>
      <c r="X971" s="799"/>
      <c r="Y971" s="799"/>
      <c r="Z971" s="799"/>
      <c r="AA971" s="799"/>
      <c r="AB971" s="799"/>
      <c r="AC971" s="799"/>
      <c r="AD971" s="799"/>
      <c r="AE971" s="799"/>
      <c r="AF971" s="799"/>
      <c r="AG971" s="799"/>
      <c r="AH971" s="799"/>
      <c r="AI971" s="799"/>
      <c r="AJ971" s="799"/>
      <c r="AK971" s="799"/>
      <c r="AL971" s="799"/>
      <c r="AM971" s="799"/>
      <c r="AN971" s="799"/>
      <c r="AO971" s="799"/>
      <c r="AP971" s="799"/>
      <c r="AQ971" s="799"/>
      <c r="AR971" s="799"/>
      <c r="AS971" s="799"/>
      <c r="AT971" s="799"/>
      <c r="AU971" s="799"/>
      <c r="AV971" s="799"/>
      <c r="AW971" s="799"/>
      <c r="AX971" s="799"/>
      <c r="AY971" s="799"/>
      <c r="AZ971" s="799"/>
      <c r="BA971" s="799"/>
      <c r="BB971" s="799"/>
      <c r="BC971" s="799"/>
      <c r="BD971" s="799"/>
      <c r="BE971" s="799"/>
      <c r="BF971" s="799"/>
      <c r="BG971" s="799"/>
    </row>
    <row r="972">
      <c r="H972" s="799"/>
      <c r="I972" s="799"/>
      <c r="J972" s="799"/>
      <c r="K972" s="799"/>
      <c r="L972" s="799"/>
      <c r="M972" s="799"/>
      <c r="N972" s="799"/>
      <c r="O972" s="799"/>
      <c r="P972" s="799"/>
      <c r="Q972" s="799"/>
      <c r="R972" s="799"/>
      <c r="S972" s="799"/>
      <c r="T972" s="799"/>
      <c r="U972" s="799"/>
      <c r="V972" s="799"/>
      <c r="W972" s="799"/>
      <c r="X972" s="799"/>
      <c r="Y972" s="799"/>
      <c r="Z972" s="799"/>
      <c r="AA972" s="799"/>
      <c r="AB972" s="799"/>
      <c r="AC972" s="799"/>
      <c r="AD972" s="799"/>
      <c r="AE972" s="799"/>
      <c r="AF972" s="799"/>
      <c r="AG972" s="799"/>
      <c r="AH972" s="799"/>
      <c r="AI972" s="799"/>
      <c r="AJ972" s="799"/>
      <c r="AK972" s="799"/>
      <c r="AL972" s="799"/>
      <c r="AM972" s="799"/>
      <c r="AN972" s="799"/>
      <c r="AO972" s="799"/>
      <c r="AP972" s="799"/>
      <c r="AQ972" s="799"/>
      <c r="AR972" s="799"/>
      <c r="AS972" s="799"/>
      <c r="AT972" s="799"/>
      <c r="AU972" s="799"/>
      <c r="AV972" s="799"/>
      <c r="AW972" s="799"/>
      <c r="AX972" s="799"/>
      <c r="AY972" s="799"/>
      <c r="AZ972" s="799"/>
      <c r="BA972" s="799"/>
      <c r="BB972" s="799"/>
      <c r="BC972" s="799"/>
      <c r="BD972" s="799"/>
      <c r="BE972" s="799"/>
      <c r="BF972" s="799"/>
      <c r="BG972" s="799"/>
    </row>
    <row r="973">
      <c r="H973" s="799"/>
      <c r="I973" s="799"/>
      <c r="J973" s="799"/>
      <c r="K973" s="799"/>
      <c r="L973" s="799"/>
      <c r="M973" s="799"/>
      <c r="N973" s="799"/>
      <c r="O973" s="799"/>
      <c r="P973" s="799"/>
      <c r="Q973" s="799"/>
      <c r="R973" s="799"/>
      <c r="S973" s="799"/>
      <c r="T973" s="799"/>
      <c r="U973" s="799"/>
      <c r="V973" s="799"/>
      <c r="W973" s="799"/>
      <c r="X973" s="799"/>
      <c r="Y973" s="799"/>
      <c r="Z973" s="799"/>
      <c r="AA973" s="799"/>
      <c r="AB973" s="799"/>
      <c r="AC973" s="799"/>
      <c r="AD973" s="799"/>
      <c r="AE973" s="799"/>
      <c r="AF973" s="799"/>
      <c r="AG973" s="799"/>
      <c r="AH973" s="799"/>
      <c r="AI973" s="799"/>
      <c r="AJ973" s="799"/>
      <c r="AK973" s="799"/>
      <c r="AL973" s="799"/>
      <c r="AM973" s="799"/>
      <c r="AN973" s="799"/>
      <c r="AO973" s="799"/>
      <c r="AP973" s="799"/>
      <c r="AQ973" s="799"/>
      <c r="AR973" s="799"/>
      <c r="AS973" s="799"/>
      <c r="AT973" s="799"/>
      <c r="AU973" s="799"/>
      <c r="AV973" s="799"/>
      <c r="AW973" s="799"/>
      <c r="AX973" s="799"/>
      <c r="AY973" s="799"/>
      <c r="AZ973" s="799"/>
      <c r="BA973" s="799"/>
      <c r="BB973" s="799"/>
      <c r="BC973" s="799"/>
      <c r="BD973" s="799"/>
      <c r="BE973" s="799"/>
      <c r="BF973" s="799"/>
      <c r="BG973" s="799"/>
    </row>
    <row r="974">
      <c r="H974" s="799"/>
      <c r="I974" s="799"/>
      <c r="J974" s="799"/>
      <c r="K974" s="799"/>
      <c r="L974" s="799"/>
      <c r="M974" s="799"/>
      <c r="N974" s="799"/>
      <c r="O974" s="799"/>
      <c r="P974" s="799"/>
      <c r="Q974" s="799"/>
      <c r="R974" s="799"/>
      <c r="S974" s="799"/>
      <c r="T974" s="799"/>
      <c r="U974" s="799"/>
      <c r="V974" s="799"/>
      <c r="W974" s="799"/>
      <c r="X974" s="799"/>
      <c r="Y974" s="799"/>
      <c r="Z974" s="799"/>
      <c r="AA974" s="799"/>
      <c r="AB974" s="799"/>
      <c r="AC974" s="799"/>
      <c r="AD974" s="799"/>
      <c r="AE974" s="799"/>
      <c r="AF974" s="799"/>
      <c r="AG974" s="799"/>
      <c r="AH974" s="799"/>
      <c r="AI974" s="799"/>
      <c r="AJ974" s="799"/>
      <c r="AK974" s="799"/>
      <c r="AL974" s="799"/>
      <c r="AM974" s="799"/>
      <c r="AN974" s="799"/>
      <c r="AO974" s="799"/>
      <c r="AP974" s="799"/>
      <c r="AQ974" s="799"/>
      <c r="AR974" s="799"/>
      <c r="AS974" s="799"/>
      <c r="AT974" s="799"/>
      <c r="AU974" s="799"/>
      <c r="AV974" s="799"/>
      <c r="AW974" s="799"/>
      <c r="AX974" s="799"/>
      <c r="AY974" s="799"/>
      <c r="AZ974" s="799"/>
      <c r="BA974" s="799"/>
      <c r="BB974" s="799"/>
      <c r="BC974" s="799"/>
      <c r="BD974" s="799"/>
      <c r="BE974" s="799"/>
      <c r="BF974" s="799"/>
      <c r="BG974" s="799"/>
    </row>
    <row r="975">
      <c r="H975" s="799"/>
      <c r="I975" s="799"/>
      <c r="J975" s="799"/>
      <c r="K975" s="799"/>
      <c r="L975" s="799"/>
      <c r="M975" s="799"/>
      <c r="N975" s="799"/>
      <c r="O975" s="799"/>
      <c r="P975" s="799"/>
      <c r="Q975" s="799"/>
      <c r="R975" s="799"/>
      <c r="S975" s="799"/>
      <c r="T975" s="799"/>
      <c r="U975" s="799"/>
      <c r="V975" s="799"/>
      <c r="W975" s="799"/>
      <c r="X975" s="799"/>
      <c r="Y975" s="799"/>
      <c r="Z975" s="799"/>
      <c r="AA975" s="799"/>
      <c r="AB975" s="799"/>
      <c r="AC975" s="799"/>
      <c r="AD975" s="799"/>
      <c r="AE975" s="799"/>
      <c r="AF975" s="799"/>
      <c r="AG975" s="799"/>
      <c r="AH975" s="799"/>
      <c r="AI975" s="799"/>
      <c r="AJ975" s="799"/>
      <c r="AK975" s="799"/>
      <c r="AL975" s="799"/>
      <c r="AM975" s="799"/>
      <c r="AN975" s="799"/>
      <c r="AO975" s="799"/>
      <c r="AP975" s="799"/>
      <c r="AQ975" s="799"/>
      <c r="AR975" s="799"/>
      <c r="AS975" s="799"/>
      <c r="AT975" s="799"/>
      <c r="AU975" s="799"/>
      <c r="AV975" s="799"/>
      <c r="AW975" s="799"/>
      <c r="AX975" s="799"/>
      <c r="AY975" s="799"/>
      <c r="AZ975" s="799"/>
      <c r="BA975" s="799"/>
      <c r="BB975" s="799"/>
      <c r="BC975" s="799"/>
      <c r="BD975" s="799"/>
      <c r="BE975" s="799"/>
      <c r="BF975" s="799"/>
      <c r="BG975" s="799"/>
    </row>
    <row r="976">
      <c r="H976" s="799"/>
      <c r="I976" s="799"/>
      <c r="J976" s="799"/>
      <c r="K976" s="799"/>
      <c r="L976" s="799"/>
      <c r="M976" s="799"/>
      <c r="N976" s="799"/>
      <c r="O976" s="799"/>
      <c r="P976" s="799"/>
      <c r="Q976" s="799"/>
      <c r="R976" s="799"/>
      <c r="S976" s="799"/>
      <c r="T976" s="799"/>
      <c r="U976" s="799"/>
      <c r="V976" s="799"/>
      <c r="W976" s="799"/>
      <c r="X976" s="799"/>
      <c r="Y976" s="799"/>
      <c r="Z976" s="799"/>
      <c r="AA976" s="799"/>
      <c r="AB976" s="799"/>
      <c r="AC976" s="799"/>
      <c r="AD976" s="799"/>
      <c r="AE976" s="799"/>
      <c r="AF976" s="799"/>
      <c r="AG976" s="799"/>
      <c r="AH976" s="799"/>
      <c r="AI976" s="799"/>
      <c r="AJ976" s="799"/>
      <c r="AK976" s="799"/>
      <c r="AL976" s="799"/>
      <c r="AM976" s="799"/>
      <c r="AN976" s="799"/>
      <c r="AO976" s="799"/>
      <c r="AP976" s="799"/>
      <c r="AQ976" s="799"/>
      <c r="AR976" s="799"/>
      <c r="AS976" s="799"/>
      <c r="AT976" s="799"/>
      <c r="AU976" s="799"/>
      <c r="AV976" s="799"/>
      <c r="AW976" s="799"/>
      <c r="AX976" s="799"/>
      <c r="AY976" s="799"/>
      <c r="AZ976" s="799"/>
      <c r="BA976" s="799"/>
      <c r="BB976" s="799"/>
      <c r="BC976" s="799"/>
      <c r="BD976" s="799"/>
      <c r="BE976" s="799"/>
      <c r="BF976" s="799"/>
      <c r="BG976" s="799"/>
    </row>
    <row r="977">
      <c r="H977" s="799"/>
      <c r="I977" s="799"/>
      <c r="J977" s="799"/>
      <c r="K977" s="799"/>
      <c r="L977" s="799"/>
      <c r="M977" s="799"/>
      <c r="N977" s="799"/>
      <c r="O977" s="799"/>
      <c r="P977" s="799"/>
      <c r="Q977" s="799"/>
      <c r="R977" s="799"/>
      <c r="S977" s="799"/>
      <c r="T977" s="799"/>
      <c r="U977" s="799"/>
      <c r="V977" s="799"/>
      <c r="W977" s="799"/>
      <c r="X977" s="799"/>
      <c r="Y977" s="799"/>
      <c r="Z977" s="799"/>
      <c r="AA977" s="799"/>
      <c r="AB977" s="799"/>
      <c r="AC977" s="799"/>
      <c r="AD977" s="799"/>
      <c r="AE977" s="799"/>
      <c r="AF977" s="799"/>
      <c r="AG977" s="799"/>
      <c r="AH977" s="799"/>
      <c r="AI977" s="799"/>
      <c r="AJ977" s="799"/>
      <c r="AK977" s="799"/>
      <c r="AL977" s="799"/>
      <c r="AM977" s="799"/>
      <c r="AN977" s="799"/>
      <c r="AO977" s="799"/>
      <c r="AP977" s="799"/>
      <c r="AQ977" s="799"/>
      <c r="AR977" s="799"/>
      <c r="AS977" s="799"/>
      <c r="AT977" s="799"/>
      <c r="AU977" s="799"/>
      <c r="AV977" s="799"/>
      <c r="AW977" s="799"/>
      <c r="AX977" s="799"/>
      <c r="AY977" s="799"/>
      <c r="AZ977" s="799"/>
      <c r="BA977" s="799"/>
      <c r="BB977" s="799"/>
      <c r="BC977" s="799"/>
      <c r="BD977" s="799"/>
      <c r="BE977" s="799"/>
      <c r="BF977" s="799"/>
      <c r="BG977" s="799"/>
    </row>
    <row r="978">
      <c r="H978" s="799"/>
      <c r="I978" s="799"/>
      <c r="J978" s="799"/>
      <c r="K978" s="799"/>
      <c r="L978" s="799"/>
      <c r="M978" s="799"/>
      <c r="N978" s="799"/>
      <c r="O978" s="799"/>
      <c r="P978" s="799"/>
      <c r="Q978" s="799"/>
      <c r="R978" s="799"/>
      <c r="S978" s="799"/>
      <c r="T978" s="799"/>
      <c r="U978" s="799"/>
      <c r="V978" s="799"/>
      <c r="W978" s="799"/>
      <c r="X978" s="799"/>
      <c r="Y978" s="799"/>
      <c r="Z978" s="799"/>
      <c r="AA978" s="799"/>
      <c r="AB978" s="799"/>
      <c r="AC978" s="799"/>
      <c r="AD978" s="799"/>
      <c r="AE978" s="799"/>
      <c r="AF978" s="799"/>
      <c r="AG978" s="799"/>
      <c r="AH978" s="799"/>
      <c r="AI978" s="799"/>
      <c r="AJ978" s="799"/>
      <c r="AK978" s="799"/>
      <c r="AL978" s="799"/>
      <c r="AM978" s="799"/>
      <c r="AN978" s="799"/>
      <c r="AO978" s="799"/>
      <c r="AP978" s="799"/>
      <c r="AQ978" s="799"/>
      <c r="AR978" s="799"/>
      <c r="AS978" s="799"/>
      <c r="AT978" s="799"/>
      <c r="AU978" s="799"/>
      <c r="AV978" s="799"/>
      <c r="AW978" s="799"/>
      <c r="AX978" s="799"/>
      <c r="AY978" s="799"/>
      <c r="AZ978" s="799"/>
      <c r="BA978" s="799"/>
      <c r="BB978" s="799"/>
      <c r="BC978" s="799"/>
      <c r="BD978" s="799"/>
      <c r="BE978" s="799"/>
      <c r="BF978" s="799"/>
      <c r="BG978" s="799"/>
    </row>
    <row r="979">
      <c r="H979" s="799"/>
      <c r="I979" s="799"/>
      <c r="J979" s="799"/>
      <c r="K979" s="799"/>
      <c r="L979" s="799"/>
      <c r="M979" s="799"/>
      <c r="N979" s="799"/>
      <c r="O979" s="799"/>
      <c r="P979" s="799"/>
      <c r="Q979" s="799"/>
      <c r="R979" s="799"/>
      <c r="S979" s="799"/>
      <c r="T979" s="799"/>
      <c r="U979" s="799"/>
      <c r="V979" s="799"/>
      <c r="W979" s="799"/>
      <c r="X979" s="799"/>
      <c r="Y979" s="799"/>
      <c r="Z979" s="799"/>
      <c r="AA979" s="799"/>
      <c r="AB979" s="799"/>
      <c r="AC979" s="799"/>
      <c r="AD979" s="799"/>
      <c r="AE979" s="799"/>
      <c r="AF979" s="799"/>
      <c r="AG979" s="799"/>
      <c r="AH979" s="799"/>
      <c r="AI979" s="799"/>
      <c r="AJ979" s="799"/>
      <c r="AK979" s="799"/>
      <c r="AL979" s="799"/>
      <c r="AM979" s="799"/>
      <c r="AN979" s="799"/>
      <c r="AO979" s="799"/>
      <c r="AP979" s="799"/>
      <c r="AQ979" s="799"/>
      <c r="AR979" s="799"/>
      <c r="AS979" s="799"/>
      <c r="AT979" s="799"/>
      <c r="AU979" s="799"/>
      <c r="AV979" s="799"/>
      <c r="AW979" s="799"/>
      <c r="AX979" s="799"/>
      <c r="AY979" s="799"/>
      <c r="AZ979" s="799"/>
      <c r="BA979" s="799"/>
      <c r="BB979" s="799"/>
      <c r="BC979" s="799"/>
      <c r="BD979" s="799"/>
      <c r="BE979" s="799"/>
      <c r="BF979" s="799"/>
      <c r="BG979" s="799"/>
    </row>
    <row r="980">
      <c r="H980" s="799"/>
      <c r="I980" s="799"/>
      <c r="J980" s="799"/>
      <c r="K980" s="799"/>
      <c r="L980" s="799"/>
      <c r="M980" s="799"/>
      <c r="N980" s="799"/>
      <c r="O980" s="799"/>
      <c r="P980" s="799"/>
      <c r="Q980" s="799"/>
      <c r="R980" s="799"/>
      <c r="S980" s="799"/>
      <c r="T980" s="799"/>
      <c r="U980" s="799"/>
      <c r="V980" s="799"/>
      <c r="W980" s="799"/>
      <c r="X980" s="799"/>
      <c r="Y980" s="799"/>
      <c r="Z980" s="799"/>
      <c r="AA980" s="799"/>
      <c r="AB980" s="799"/>
      <c r="AC980" s="799"/>
      <c r="AD980" s="799"/>
      <c r="AE980" s="799"/>
      <c r="AF980" s="799"/>
      <c r="AG980" s="799"/>
      <c r="AH980" s="799"/>
      <c r="AI980" s="799"/>
      <c r="AJ980" s="799"/>
      <c r="AK980" s="799"/>
      <c r="AL980" s="799"/>
      <c r="AM980" s="799"/>
      <c r="AN980" s="799"/>
      <c r="AO980" s="799"/>
      <c r="AP980" s="799"/>
      <c r="AQ980" s="799"/>
      <c r="AR980" s="799"/>
      <c r="AS980" s="799"/>
      <c r="AT980" s="799"/>
      <c r="AU980" s="799"/>
      <c r="AV980" s="799"/>
      <c r="AW980" s="799"/>
      <c r="AX980" s="799"/>
      <c r="AY980" s="799"/>
      <c r="AZ980" s="799"/>
      <c r="BA980" s="799"/>
      <c r="BB980" s="799"/>
      <c r="BC980" s="799"/>
      <c r="BD980" s="799"/>
      <c r="BE980" s="799"/>
      <c r="BF980" s="799"/>
      <c r="BG980" s="799"/>
    </row>
    <row r="981">
      <c r="H981" s="799"/>
      <c r="I981" s="799"/>
      <c r="J981" s="799"/>
      <c r="K981" s="799"/>
      <c r="L981" s="799"/>
      <c r="M981" s="799"/>
      <c r="N981" s="799"/>
      <c r="O981" s="799"/>
      <c r="P981" s="799"/>
      <c r="Q981" s="799"/>
      <c r="R981" s="799"/>
      <c r="S981" s="799"/>
      <c r="T981" s="799"/>
      <c r="U981" s="799"/>
      <c r="V981" s="799"/>
      <c r="W981" s="799"/>
      <c r="X981" s="799"/>
      <c r="Y981" s="799"/>
      <c r="Z981" s="799"/>
      <c r="AA981" s="799"/>
      <c r="AB981" s="799"/>
      <c r="AC981" s="799"/>
      <c r="AD981" s="799"/>
      <c r="AE981" s="799"/>
      <c r="AF981" s="799"/>
      <c r="AG981" s="799"/>
      <c r="AH981" s="799"/>
      <c r="AI981" s="799"/>
      <c r="AJ981" s="799"/>
      <c r="AK981" s="799"/>
      <c r="AL981" s="799"/>
      <c r="AM981" s="799"/>
      <c r="AN981" s="799"/>
      <c r="AO981" s="799"/>
      <c r="AP981" s="799"/>
      <c r="AQ981" s="799"/>
      <c r="AR981" s="799"/>
      <c r="AS981" s="799"/>
      <c r="AT981" s="799"/>
      <c r="AU981" s="799"/>
      <c r="AV981" s="799"/>
      <c r="AW981" s="799"/>
      <c r="AX981" s="799"/>
      <c r="AY981" s="799"/>
      <c r="AZ981" s="799"/>
      <c r="BA981" s="799"/>
      <c r="BB981" s="799"/>
      <c r="BC981" s="799"/>
      <c r="BD981" s="799"/>
      <c r="BE981" s="799"/>
      <c r="BF981" s="799"/>
      <c r="BG981" s="799"/>
    </row>
    <row r="982">
      <c r="H982" s="799"/>
      <c r="I982" s="799"/>
      <c r="J982" s="799"/>
      <c r="K982" s="799"/>
      <c r="L982" s="799"/>
      <c r="M982" s="799"/>
      <c r="N982" s="799"/>
      <c r="O982" s="799"/>
      <c r="P982" s="799"/>
      <c r="Q982" s="799"/>
      <c r="R982" s="799"/>
      <c r="S982" s="799"/>
      <c r="T982" s="799"/>
      <c r="U982" s="799"/>
      <c r="V982" s="799"/>
      <c r="W982" s="799"/>
      <c r="X982" s="799"/>
      <c r="Y982" s="799"/>
      <c r="Z982" s="799"/>
      <c r="AA982" s="799"/>
      <c r="AB982" s="799"/>
      <c r="AC982" s="799"/>
      <c r="AD982" s="799"/>
      <c r="AE982" s="799"/>
      <c r="AF982" s="799"/>
      <c r="AG982" s="799"/>
      <c r="AH982" s="799"/>
      <c r="AI982" s="799"/>
      <c r="AJ982" s="799"/>
      <c r="AK982" s="799"/>
      <c r="AL982" s="799"/>
      <c r="AM982" s="799"/>
      <c r="AN982" s="799"/>
      <c r="AO982" s="799"/>
      <c r="AP982" s="799"/>
      <c r="AQ982" s="799"/>
      <c r="AR982" s="799"/>
      <c r="AS982" s="799"/>
      <c r="AT982" s="799"/>
      <c r="AU982" s="799"/>
      <c r="AV982" s="799"/>
      <c r="AW982" s="799"/>
      <c r="AX982" s="799"/>
      <c r="AY982" s="799"/>
      <c r="AZ982" s="799"/>
      <c r="BA982" s="799"/>
      <c r="BB982" s="799"/>
      <c r="BC982" s="799"/>
      <c r="BD982" s="799"/>
      <c r="BE982" s="799"/>
      <c r="BF982" s="799"/>
      <c r="BG982" s="799"/>
    </row>
    <row r="983">
      <c r="H983" s="799"/>
      <c r="I983" s="799"/>
      <c r="J983" s="799"/>
      <c r="K983" s="799"/>
      <c r="L983" s="799"/>
      <c r="M983" s="799"/>
      <c r="N983" s="799"/>
      <c r="O983" s="799"/>
      <c r="P983" s="799"/>
      <c r="Q983" s="799"/>
      <c r="R983" s="799"/>
      <c r="S983" s="799"/>
      <c r="T983" s="799"/>
      <c r="U983" s="799"/>
      <c r="V983" s="799"/>
      <c r="W983" s="799"/>
      <c r="X983" s="799"/>
      <c r="Y983" s="799"/>
      <c r="Z983" s="799"/>
      <c r="AA983" s="799"/>
      <c r="AB983" s="799"/>
      <c r="AC983" s="799"/>
      <c r="AD983" s="799"/>
      <c r="AE983" s="799"/>
      <c r="AF983" s="799"/>
      <c r="AG983" s="799"/>
      <c r="AH983" s="799"/>
      <c r="AI983" s="799"/>
      <c r="AJ983" s="799"/>
      <c r="AK983" s="799"/>
      <c r="AL983" s="799"/>
      <c r="AM983" s="799"/>
      <c r="AN983" s="799"/>
      <c r="AO983" s="799"/>
      <c r="AP983" s="799"/>
      <c r="AQ983" s="799"/>
      <c r="AR983" s="799"/>
      <c r="AS983" s="799"/>
      <c r="AT983" s="799"/>
      <c r="AU983" s="799"/>
      <c r="AV983" s="799"/>
      <c r="AW983" s="799"/>
      <c r="AX983" s="799"/>
      <c r="AY983" s="799"/>
      <c r="AZ983" s="799"/>
      <c r="BA983" s="799"/>
      <c r="BB983" s="799"/>
      <c r="BC983" s="799"/>
      <c r="BD983" s="799"/>
      <c r="BE983" s="799"/>
      <c r="BF983" s="799"/>
      <c r="BG983" s="799"/>
    </row>
    <row r="984">
      <c r="H984" s="799"/>
      <c r="I984" s="799"/>
      <c r="J984" s="799"/>
      <c r="K984" s="799"/>
      <c r="L984" s="799"/>
      <c r="M984" s="799"/>
      <c r="N984" s="799"/>
      <c r="O984" s="799"/>
      <c r="P984" s="799"/>
      <c r="Q984" s="799"/>
      <c r="R984" s="799"/>
      <c r="S984" s="799"/>
      <c r="T984" s="799"/>
      <c r="U984" s="799"/>
      <c r="V984" s="799"/>
      <c r="W984" s="799"/>
      <c r="X984" s="799"/>
      <c r="Y984" s="799"/>
      <c r="Z984" s="799"/>
      <c r="AA984" s="799"/>
      <c r="AB984" s="799"/>
      <c r="AC984" s="799"/>
      <c r="AD984" s="799"/>
      <c r="AE984" s="799"/>
      <c r="AF984" s="799"/>
      <c r="AG984" s="799"/>
      <c r="AH984" s="799"/>
      <c r="AI984" s="799"/>
      <c r="AJ984" s="799"/>
      <c r="AK984" s="799"/>
      <c r="AL984" s="799"/>
      <c r="AM984" s="799"/>
      <c r="AN984" s="799"/>
      <c r="AO984" s="799"/>
      <c r="AP984" s="799"/>
      <c r="AQ984" s="799"/>
      <c r="AR984" s="799"/>
      <c r="AS984" s="799"/>
      <c r="AT984" s="799"/>
      <c r="AU984" s="799"/>
      <c r="AV984" s="799"/>
      <c r="AW984" s="799"/>
      <c r="AX984" s="799"/>
      <c r="AY984" s="799"/>
      <c r="AZ984" s="799"/>
      <c r="BA984" s="799"/>
      <c r="BB984" s="799"/>
      <c r="BC984" s="799"/>
      <c r="BD984" s="799"/>
      <c r="BE984" s="799"/>
      <c r="BF984" s="799"/>
      <c r="BG984" s="799"/>
    </row>
    <row r="985">
      <c r="H985" s="799"/>
      <c r="I985" s="799"/>
      <c r="J985" s="799"/>
      <c r="K985" s="799"/>
      <c r="L985" s="799"/>
      <c r="M985" s="799"/>
      <c r="N985" s="799"/>
      <c r="O985" s="799"/>
      <c r="P985" s="799"/>
      <c r="Q985" s="799"/>
      <c r="R985" s="799"/>
      <c r="S985" s="799"/>
      <c r="T985" s="799"/>
      <c r="U985" s="799"/>
      <c r="V985" s="799"/>
      <c r="W985" s="799"/>
      <c r="X985" s="799"/>
      <c r="Y985" s="799"/>
      <c r="Z985" s="799"/>
      <c r="AA985" s="799"/>
      <c r="AB985" s="799"/>
      <c r="AC985" s="799"/>
      <c r="AD985" s="799"/>
      <c r="AE985" s="799"/>
      <c r="AF985" s="799"/>
      <c r="AG985" s="799"/>
      <c r="AH985" s="799"/>
      <c r="AI985" s="799"/>
      <c r="AJ985" s="799"/>
      <c r="AK985" s="799"/>
      <c r="AL985" s="799"/>
      <c r="AM985" s="799"/>
      <c r="AN985" s="799"/>
      <c r="AO985" s="799"/>
      <c r="AP985" s="799"/>
      <c r="AQ985" s="799"/>
      <c r="AR985" s="799"/>
      <c r="AS985" s="799"/>
      <c r="AT985" s="799"/>
      <c r="AU985" s="799"/>
      <c r="AV985" s="799"/>
      <c r="AW985" s="799"/>
      <c r="AX985" s="799"/>
      <c r="AY985" s="799"/>
      <c r="AZ985" s="799"/>
      <c r="BA985" s="799"/>
      <c r="BB985" s="799"/>
      <c r="BC985" s="799"/>
      <c r="BD985" s="799"/>
      <c r="BE985" s="799"/>
      <c r="BF985" s="799"/>
      <c r="BG985" s="799"/>
    </row>
    <row r="986">
      <c r="H986" s="799"/>
      <c r="I986" s="799"/>
      <c r="J986" s="799"/>
      <c r="K986" s="799"/>
      <c r="L986" s="799"/>
      <c r="M986" s="799"/>
      <c r="N986" s="799"/>
      <c r="O986" s="799"/>
      <c r="P986" s="799"/>
      <c r="Q986" s="799"/>
      <c r="R986" s="799"/>
      <c r="S986" s="799"/>
      <c r="T986" s="799"/>
      <c r="U986" s="799"/>
      <c r="V986" s="799"/>
      <c r="W986" s="799"/>
      <c r="X986" s="799"/>
      <c r="Y986" s="799"/>
      <c r="Z986" s="799"/>
      <c r="AA986" s="799"/>
      <c r="AB986" s="799"/>
      <c r="AC986" s="799"/>
      <c r="AD986" s="799"/>
      <c r="AE986" s="799"/>
      <c r="AF986" s="799"/>
      <c r="AG986" s="799"/>
      <c r="AH986" s="799"/>
      <c r="AI986" s="799"/>
      <c r="AJ986" s="799"/>
      <c r="AK986" s="799"/>
      <c r="AL986" s="799"/>
      <c r="AM986" s="799"/>
      <c r="AN986" s="799"/>
      <c r="AO986" s="799"/>
      <c r="AP986" s="799"/>
      <c r="AQ986" s="799"/>
      <c r="AR986" s="799"/>
      <c r="AS986" s="799"/>
      <c r="AT986" s="799"/>
      <c r="AU986" s="799"/>
      <c r="AV986" s="799"/>
      <c r="AW986" s="799"/>
      <c r="AX986" s="799"/>
      <c r="AY986" s="799"/>
      <c r="AZ986" s="799"/>
      <c r="BA986" s="799"/>
      <c r="BB986" s="799"/>
      <c r="BC986" s="799"/>
      <c r="BD986" s="799"/>
      <c r="BE986" s="799"/>
      <c r="BF986" s="799"/>
      <c r="BG986" s="799"/>
    </row>
    <row r="987">
      <c r="H987" s="799"/>
      <c r="I987" s="799"/>
      <c r="J987" s="799"/>
      <c r="K987" s="799"/>
      <c r="L987" s="799"/>
      <c r="M987" s="799"/>
      <c r="N987" s="799"/>
      <c r="O987" s="799"/>
      <c r="P987" s="799"/>
      <c r="Q987" s="799"/>
      <c r="R987" s="799"/>
      <c r="S987" s="799"/>
      <c r="T987" s="799"/>
      <c r="U987" s="799"/>
      <c r="V987" s="799"/>
      <c r="W987" s="799"/>
      <c r="X987" s="799"/>
      <c r="Y987" s="799"/>
      <c r="Z987" s="799"/>
      <c r="AA987" s="799"/>
      <c r="AB987" s="799"/>
      <c r="AC987" s="799"/>
      <c r="AD987" s="799"/>
      <c r="AE987" s="799"/>
      <c r="AF987" s="799"/>
      <c r="AG987" s="799"/>
      <c r="AH987" s="799"/>
      <c r="AI987" s="799"/>
      <c r="AJ987" s="799"/>
      <c r="AK987" s="799"/>
      <c r="AL987" s="799"/>
      <c r="AM987" s="799"/>
      <c r="AN987" s="799"/>
      <c r="AO987" s="799"/>
      <c r="AP987" s="799"/>
      <c r="AQ987" s="799"/>
      <c r="AR987" s="799"/>
      <c r="AS987" s="799"/>
      <c r="AT987" s="799"/>
      <c r="AU987" s="799"/>
      <c r="AV987" s="799"/>
      <c r="AW987" s="799"/>
      <c r="AX987" s="799"/>
      <c r="AY987" s="799"/>
      <c r="AZ987" s="799"/>
      <c r="BA987" s="799"/>
      <c r="BB987" s="799"/>
      <c r="BC987" s="799"/>
      <c r="BD987" s="799"/>
      <c r="BE987" s="799"/>
      <c r="BF987" s="799"/>
      <c r="BG987" s="799"/>
    </row>
    <row r="988">
      <c r="H988" s="799"/>
      <c r="I988" s="799"/>
      <c r="J988" s="799"/>
      <c r="K988" s="799"/>
      <c r="L988" s="799"/>
      <c r="M988" s="799"/>
      <c r="N988" s="799"/>
      <c r="O988" s="799"/>
      <c r="P988" s="799"/>
      <c r="Q988" s="799"/>
      <c r="R988" s="799"/>
      <c r="S988" s="799"/>
      <c r="T988" s="799"/>
      <c r="U988" s="799"/>
      <c r="V988" s="799"/>
      <c r="W988" s="799"/>
      <c r="X988" s="799"/>
      <c r="Y988" s="799"/>
      <c r="Z988" s="799"/>
      <c r="AA988" s="799"/>
      <c r="AB988" s="799"/>
      <c r="AC988" s="799"/>
      <c r="AD988" s="799"/>
      <c r="AE988" s="799"/>
      <c r="AF988" s="799"/>
      <c r="AG988" s="799"/>
      <c r="AH988" s="799"/>
      <c r="AI988" s="799"/>
      <c r="AJ988" s="799"/>
      <c r="AK988" s="799"/>
      <c r="AL988" s="799"/>
      <c r="AM988" s="799"/>
      <c r="AN988" s="799"/>
      <c r="AO988" s="799"/>
      <c r="AP988" s="799"/>
      <c r="AQ988" s="799"/>
      <c r="AR988" s="799"/>
      <c r="AS988" s="799"/>
      <c r="AT988" s="799"/>
      <c r="AU988" s="799"/>
      <c r="AV988" s="799"/>
      <c r="AW988" s="799"/>
      <c r="AX988" s="799"/>
      <c r="AY988" s="799"/>
      <c r="AZ988" s="799"/>
      <c r="BA988" s="799"/>
      <c r="BB988" s="799"/>
      <c r="BC988" s="799"/>
      <c r="BD988" s="799"/>
      <c r="BE988" s="799"/>
      <c r="BF988" s="799"/>
      <c r="BG988" s="799"/>
    </row>
    <row r="989">
      <c r="H989" s="799"/>
      <c r="I989" s="799"/>
      <c r="J989" s="799"/>
      <c r="K989" s="799"/>
      <c r="L989" s="799"/>
      <c r="M989" s="799"/>
      <c r="N989" s="799"/>
      <c r="O989" s="799"/>
      <c r="P989" s="799"/>
      <c r="Q989" s="799"/>
      <c r="R989" s="799"/>
      <c r="S989" s="799"/>
      <c r="T989" s="799"/>
      <c r="U989" s="799"/>
      <c r="V989" s="799"/>
      <c r="W989" s="799"/>
      <c r="X989" s="799"/>
      <c r="Y989" s="799"/>
      <c r="Z989" s="799"/>
      <c r="AA989" s="799"/>
      <c r="AB989" s="799"/>
      <c r="AC989" s="799"/>
      <c r="AD989" s="799"/>
      <c r="AE989" s="799"/>
      <c r="AF989" s="799"/>
      <c r="AG989" s="799"/>
      <c r="AH989" s="799"/>
      <c r="AI989" s="799"/>
      <c r="AJ989" s="799"/>
      <c r="AK989" s="799"/>
      <c r="AL989" s="799"/>
      <c r="AM989" s="799"/>
      <c r="AN989" s="799"/>
      <c r="AO989" s="799"/>
      <c r="AP989" s="799"/>
      <c r="AQ989" s="799"/>
      <c r="AR989" s="799"/>
      <c r="AS989" s="799"/>
      <c r="AT989" s="799"/>
      <c r="AU989" s="799"/>
      <c r="AV989" s="799"/>
      <c r="AW989" s="799"/>
      <c r="AX989" s="799"/>
      <c r="AY989" s="799"/>
      <c r="AZ989" s="799"/>
      <c r="BA989" s="799"/>
      <c r="BB989" s="799"/>
      <c r="BC989" s="799"/>
      <c r="BD989" s="799"/>
      <c r="BE989" s="799"/>
      <c r="BF989" s="799"/>
      <c r="BG989" s="799"/>
    </row>
    <row r="990">
      <c r="H990" s="799"/>
      <c r="I990" s="799"/>
      <c r="J990" s="799"/>
      <c r="K990" s="799"/>
      <c r="L990" s="799"/>
      <c r="M990" s="799"/>
      <c r="N990" s="799"/>
      <c r="O990" s="799"/>
      <c r="P990" s="799"/>
      <c r="Q990" s="799"/>
      <c r="R990" s="799"/>
      <c r="S990" s="799"/>
      <c r="T990" s="799"/>
      <c r="U990" s="799"/>
      <c r="V990" s="799"/>
      <c r="W990" s="799"/>
      <c r="X990" s="799"/>
      <c r="Y990" s="799"/>
      <c r="Z990" s="799"/>
      <c r="AA990" s="799"/>
      <c r="AB990" s="799"/>
      <c r="AC990" s="799"/>
      <c r="AD990" s="799"/>
      <c r="AE990" s="799"/>
      <c r="AF990" s="799"/>
      <c r="AG990" s="799"/>
      <c r="AH990" s="799"/>
      <c r="AI990" s="799"/>
      <c r="AJ990" s="799"/>
      <c r="AK990" s="799"/>
      <c r="AL990" s="799"/>
      <c r="AM990" s="799"/>
      <c r="AN990" s="799"/>
      <c r="AO990" s="799"/>
      <c r="AP990" s="799"/>
      <c r="AQ990" s="799"/>
      <c r="AR990" s="799"/>
      <c r="AS990" s="799"/>
      <c r="AT990" s="799"/>
      <c r="AU990" s="799"/>
      <c r="AV990" s="799"/>
      <c r="AW990" s="799"/>
      <c r="AX990" s="799"/>
      <c r="AY990" s="799"/>
      <c r="AZ990" s="799"/>
      <c r="BA990" s="799"/>
      <c r="BB990" s="799"/>
      <c r="BC990" s="799"/>
      <c r="BD990" s="799"/>
      <c r="BE990" s="799"/>
      <c r="BF990" s="799"/>
      <c r="BG990" s="799"/>
    </row>
    <row r="991">
      <c r="H991" s="799"/>
      <c r="I991" s="799"/>
      <c r="J991" s="799"/>
      <c r="K991" s="799"/>
      <c r="L991" s="799"/>
      <c r="M991" s="799"/>
      <c r="N991" s="799"/>
      <c r="O991" s="799"/>
      <c r="P991" s="799"/>
      <c r="Q991" s="799"/>
      <c r="R991" s="799"/>
      <c r="S991" s="799"/>
      <c r="T991" s="799"/>
      <c r="U991" s="799"/>
      <c r="V991" s="799"/>
      <c r="W991" s="799"/>
      <c r="X991" s="799"/>
      <c r="Y991" s="799"/>
      <c r="Z991" s="799"/>
      <c r="AA991" s="799"/>
      <c r="AB991" s="799"/>
      <c r="AC991" s="799"/>
      <c r="AD991" s="799"/>
      <c r="AE991" s="799"/>
      <c r="AF991" s="799"/>
      <c r="AG991" s="799"/>
      <c r="AH991" s="799"/>
      <c r="AI991" s="799"/>
      <c r="AJ991" s="799"/>
      <c r="AK991" s="799"/>
      <c r="AL991" s="799"/>
      <c r="AM991" s="799"/>
      <c r="AN991" s="799"/>
      <c r="AO991" s="799"/>
      <c r="AP991" s="799"/>
      <c r="AQ991" s="799"/>
      <c r="AR991" s="799"/>
      <c r="AS991" s="799"/>
      <c r="AT991" s="799"/>
      <c r="AU991" s="799"/>
      <c r="AV991" s="799"/>
      <c r="AW991" s="799"/>
      <c r="AX991" s="799"/>
      <c r="AY991" s="799"/>
      <c r="AZ991" s="799"/>
      <c r="BA991" s="799"/>
      <c r="BB991" s="799"/>
      <c r="BC991" s="799"/>
      <c r="BD991" s="799"/>
      <c r="BE991" s="799"/>
      <c r="BF991" s="799"/>
      <c r="BG991" s="799"/>
    </row>
    <row r="992">
      <c r="H992" s="799"/>
      <c r="I992" s="799"/>
      <c r="J992" s="799"/>
      <c r="K992" s="799"/>
      <c r="L992" s="799"/>
      <c r="M992" s="799"/>
      <c r="N992" s="799"/>
      <c r="O992" s="799"/>
      <c r="P992" s="799"/>
      <c r="Q992" s="799"/>
      <c r="R992" s="799"/>
      <c r="S992" s="799"/>
      <c r="T992" s="799"/>
      <c r="U992" s="799"/>
      <c r="V992" s="799"/>
      <c r="W992" s="799"/>
      <c r="X992" s="799"/>
      <c r="Y992" s="799"/>
      <c r="Z992" s="799"/>
      <c r="AA992" s="799"/>
      <c r="AB992" s="799"/>
      <c r="AC992" s="799"/>
      <c r="AD992" s="799"/>
      <c r="AE992" s="799"/>
      <c r="AF992" s="799"/>
      <c r="AG992" s="799"/>
      <c r="AH992" s="799"/>
      <c r="AI992" s="799"/>
      <c r="AJ992" s="799"/>
      <c r="AK992" s="799"/>
      <c r="AL992" s="799"/>
      <c r="AM992" s="799"/>
      <c r="AN992" s="799"/>
      <c r="AO992" s="799"/>
      <c r="AP992" s="799"/>
      <c r="AQ992" s="799"/>
      <c r="AR992" s="799"/>
      <c r="AS992" s="799"/>
      <c r="AT992" s="799"/>
      <c r="AU992" s="799"/>
      <c r="AV992" s="799"/>
      <c r="AW992" s="799"/>
      <c r="AX992" s="799"/>
      <c r="AY992" s="799"/>
      <c r="AZ992" s="799"/>
      <c r="BA992" s="799"/>
      <c r="BB992" s="799"/>
      <c r="BC992" s="799"/>
      <c r="BD992" s="799"/>
      <c r="BE992" s="799"/>
      <c r="BF992" s="799"/>
      <c r="BG992" s="799"/>
    </row>
    <row r="993">
      <c r="H993" s="799"/>
      <c r="I993" s="799"/>
      <c r="J993" s="799"/>
      <c r="K993" s="799"/>
      <c r="L993" s="799"/>
    </row>
    <row r="994">
      <c r="H994" s="799"/>
      <c r="I994" s="799"/>
      <c r="J994" s="799"/>
      <c r="K994" s="799"/>
      <c r="L994" s="799"/>
    </row>
    <row r="995">
      <c r="H995" s="799"/>
      <c r="I995" s="799"/>
      <c r="J995" s="799"/>
      <c r="K995" s="799"/>
      <c r="L995" s="799"/>
    </row>
    <row r="996">
      <c r="H996" s="799"/>
      <c r="I996" s="799"/>
      <c r="J996" s="799"/>
      <c r="K996" s="799"/>
      <c r="L996" s="799"/>
    </row>
    <row r="997">
      <c r="H997" s="799"/>
      <c r="I997" s="799"/>
      <c r="J997" s="799"/>
      <c r="K997" s="799"/>
      <c r="L997" s="799"/>
    </row>
    <row r="998">
      <c r="H998" s="799"/>
      <c r="I998" s="799"/>
      <c r="J998" s="799"/>
      <c r="K998" s="799"/>
      <c r="L998" s="799"/>
    </row>
    <row r="999">
      <c r="H999" s="799"/>
      <c r="I999" s="799"/>
      <c r="J999" s="799"/>
      <c r="K999" s="799"/>
      <c r="L999" s="799"/>
    </row>
    <row r="1000">
      <c r="H1000" s="799"/>
      <c r="I1000" s="799"/>
      <c r="J1000" s="799"/>
      <c r="K1000" s="799"/>
      <c r="L1000" s="799"/>
    </row>
  </sheetData>
  <mergeCells count="124">
    <mergeCell ref="Z11:Z12"/>
    <mergeCell ref="Z13:Z14"/>
    <mergeCell ref="Z8:Z9"/>
    <mergeCell ref="Z16:Z17"/>
    <mergeCell ref="Z1:Z2"/>
    <mergeCell ref="AB1:AC1"/>
    <mergeCell ref="Z3:Z4"/>
    <mergeCell ref="V6:V9"/>
    <mergeCell ref="Z6:Z7"/>
    <mergeCell ref="V11:V14"/>
    <mergeCell ref="V16:V19"/>
    <mergeCell ref="Z18:Z19"/>
    <mergeCell ref="K12:K13"/>
    <mergeCell ref="K14:K17"/>
    <mergeCell ref="L14:L17"/>
    <mergeCell ref="H10:H11"/>
    <mergeCell ref="I10:I11"/>
    <mergeCell ref="K10:K11"/>
    <mergeCell ref="L10:L11"/>
    <mergeCell ref="L12:L13"/>
    <mergeCell ref="H13:H14"/>
    <mergeCell ref="I13:I14"/>
    <mergeCell ref="C17:D18"/>
    <mergeCell ref="E17:F18"/>
    <mergeCell ref="A13:B15"/>
    <mergeCell ref="C13:D15"/>
    <mergeCell ref="E13:F15"/>
    <mergeCell ref="A16:B16"/>
    <mergeCell ref="C16:D16"/>
    <mergeCell ref="E16:F16"/>
    <mergeCell ref="A17:B18"/>
    <mergeCell ref="C25:D26"/>
    <mergeCell ref="E25:F26"/>
    <mergeCell ref="A21:B21"/>
    <mergeCell ref="C21:D21"/>
    <mergeCell ref="E21:F21"/>
    <mergeCell ref="A22:B23"/>
    <mergeCell ref="C22:D23"/>
    <mergeCell ref="E22:F23"/>
    <mergeCell ref="A25:B26"/>
    <mergeCell ref="A39:D39"/>
    <mergeCell ref="A40:D40"/>
    <mergeCell ref="E40:F40"/>
    <mergeCell ref="A41:D41"/>
    <mergeCell ref="E41:F41"/>
    <mergeCell ref="A42:D42"/>
    <mergeCell ref="E42:F42"/>
    <mergeCell ref="A46:G46"/>
    <mergeCell ref="A27:F34"/>
    <mergeCell ref="A35:F36"/>
    <mergeCell ref="A37:D37"/>
    <mergeCell ref="E37:F37"/>
    <mergeCell ref="A38:D38"/>
    <mergeCell ref="E38:F38"/>
    <mergeCell ref="E39:F39"/>
    <mergeCell ref="H23:M24"/>
    <mergeCell ref="A24:B24"/>
    <mergeCell ref="C24:D24"/>
    <mergeCell ref="E24:F24"/>
    <mergeCell ref="A19:F20"/>
    <mergeCell ref="H19:H20"/>
    <mergeCell ref="I19:I20"/>
    <mergeCell ref="P21:T21"/>
    <mergeCell ref="P22:S22"/>
    <mergeCell ref="P23:S23"/>
    <mergeCell ref="P24:S24"/>
    <mergeCell ref="N23:N25"/>
    <mergeCell ref="J25:K25"/>
    <mergeCell ref="P25:S25"/>
    <mergeCell ref="J26:K26"/>
    <mergeCell ref="N26:N27"/>
    <mergeCell ref="P26:S26"/>
    <mergeCell ref="P27:S27"/>
    <mergeCell ref="P30:R31"/>
    <mergeCell ref="S30:T31"/>
    <mergeCell ref="H33:I33"/>
    <mergeCell ref="H34:I34"/>
    <mergeCell ref="H35:I35"/>
    <mergeCell ref="J27:K27"/>
    <mergeCell ref="J28:K28"/>
    <mergeCell ref="N28:N29"/>
    <mergeCell ref="J29:K29"/>
    <mergeCell ref="L30:L31"/>
    <mergeCell ref="M30:M31"/>
    <mergeCell ref="N30:N31"/>
    <mergeCell ref="A1:B1"/>
    <mergeCell ref="C1:D1"/>
    <mergeCell ref="E1:F1"/>
    <mergeCell ref="N1:P1"/>
    <mergeCell ref="R1:T1"/>
    <mergeCell ref="V1:V4"/>
    <mergeCell ref="E2:F3"/>
    <mergeCell ref="A4:F4"/>
    <mergeCell ref="H7:H8"/>
    <mergeCell ref="I7:I8"/>
    <mergeCell ref="K7:K8"/>
    <mergeCell ref="L7:L8"/>
    <mergeCell ref="H1:L1"/>
    <mergeCell ref="H2:I2"/>
    <mergeCell ref="K2:L2"/>
    <mergeCell ref="H4:H5"/>
    <mergeCell ref="I4:I5"/>
    <mergeCell ref="K4:K5"/>
    <mergeCell ref="L4:L5"/>
    <mergeCell ref="A2:B3"/>
    <mergeCell ref="C2:D3"/>
    <mergeCell ref="A5:B6"/>
    <mergeCell ref="C5:D6"/>
    <mergeCell ref="E5:F6"/>
    <mergeCell ref="C7:D7"/>
    <mergeCell ref="E7:F7"/>
    <mergeCell ref="A7:B7"/>
    <mergeCell ref="A8:B9"/>
    <mergeCell ref="C8:D9"/>
    <mergeCell ref="E8:F9"/>
    <mergeCell ref="A10:B12"/>
    <mergeCell ref="C10:D12"/>
    <mergeCell ref="E10:F12"/>
    <mergeCell ref="H16:H17"/>
    <mergeCell ref="I16:I17"/>
    <mergeCell ref="N16:N17"/>
    <mergeCell ref="P28:S28"/>
    <mergeCell ref="P29:R29"/>
    <mergeCell ref="S29:T29"/>
  </mergeCells>
  <conditionalFormatting sqref="X19">
    <cfRule type="expression" dxfId="26" priority="1">
      <formula>X20&lt;&gt;1</formula>
    </cfRule>
  </conditionalFormatting>
  <conditionalFormatting sqref="X9">
    <cfRule type="expression" dxfId="26" priority="2">
      <formula>X20&lt;&gt;1</formula>
    </cfRule>
  </conditionalFormatting>
  <conditionalFormatting sqref="X14">
    <cfRule type="expression" dxfId="26" priority="3">
      <formula>X20&lt;&gt;1</formula>
    </cfRule>
  </conditionalFormatting>
  <conditionalFormatting sqref="Z3 Z8 Z13 Z18">
    <cfRule type="cellIs" dxfId="27" priority="4" operator="greaterThan">
      <formula>0</formula>
    </cfRule>
  </conditionalFormatting>
  <conditionalFormatting sqref="Z3 Z8 Z13 Z18">
    <cfRule type="cellIs" dxfId="28" priority="5" operator="lessThan">
      <formula>0</formula>
    </cfRule>
  </conditionalFormatting>
  <conditionalFormatting sqref="E13 L14 N30 S30">
    <cfRule type="cellIs" dxfId="12" priority="6" operator="lessThan">
      <formula>0</formula>
    </cfRule>
  </conditionalFormatting>
  <conditionalFormatting sqref="E13 L14 N30 S30">
    <cfRule type="cellIs" dxfId="21" priority="7" operator="greaterThan">
      <formula>0</formula>
    </cfRule>
  </conditionalFormatting>
  <conditionalFormatting sqref="E13 L14 N30 S30">
    <cfRule type="cellIs" dxfId="29" priority="8" operator="lessThan">
      <formula>0</formula>
    </cfRule>
  </conditionalFormatting>
  <conditionalFormatting sqref="E13 L14 N30 S30">
    <cfRule type="cellIs" dxfId="30" priority="9" operator="greaterThan">
      <formula>0</formula>
    </cfRule>
  </conditionalFormatting>
  <conditionalFormatting sqref="A22 C22:D23 E22 A25 E25">
    <cfRule type="cellIs" dxfId="30" priority="10" operator="lessThan">
      <formula>0</formula>
    </cfRule>
  </conditionalFormatting>
  <dataValidations>
    <dataValidation type="list" allowBlank="1" sqref="A17">
      <formula1>"Simple Avg.,Value Stocks,Growth"</formula1>
    </dataValidation>
  </dataValidations>
  <hyperlinks>
    <hyperlink r:id="rId1" ref="V25"/>
    <hyperlink r:id="rId2" ref="V28"/>
    <hyperlink r:id="rId3" ref="H34"/>
    <hyperlink r:id="rId4" ref="H35"/>
    <hyperlink r:id="rId5" ref="I46"/>
    <hyperlink r:id="rId6" ref="Q49"/>
    <hyperlink r:id="rId7" ref="AD49"/>
    <hyperlink r:id="rId8" ref="AK53"/>
    <hyperlink r:id="rId9" ref="AL53"/>
    <hyperlink r:id="rId10" ref="AK54"/>
    <hyperlink r:id="rId11" ref="AL54"/>
    <hyperlink r:id="rId12" ref="AK55"/>
    <hyperlink r:id="rId13" ref="AL55"/>
    <hyperlink r:id="rId14" ref="AK56"/>
    <hyperlink r:id="rId15" ref="AL56"/>
    <hyperlink r:id="rId16" ref="AK57"/>
    <hyperlink r:id="rId17" ref="AL57"/>
    <hyperlink r:id="rId18" ref="BA61"/>
    <hyperlink r:id="rId19" ref="BB61"/>
    <hyperlink r:id="rId20" ref="BA62"/>
    <hyperlink r:id="rId21" ref="BB62"/>
    <hyperlink r:id="rId22" ref="BA63"/>
    <hyperlink r:id="rId23" ref="BB63"/>
    <hyperlink r:id="rId24" ref="BA64"/>
    <hyperlink r:id="rId25" ref="BB64"/>
    <hyperlink r:id="rId26" ref="BA65"/>
    <hyperlink r:id="rId27" ref="BB65"/>
    <hyperlink r:id="rId28" ref="AM69"/>
    <hyperlink r:id="rId29" ref="AN69"/>
    <hyperlink r:id="rId30" ref="AM70"/>
    <hyperlink r:id="rId31" ref="AN70"/>
    <hyperlink r:id="rId32" ref="AM71"/>
    <hyperlink r:id="rId33" ref="AN71"/>
    <hyperlink r:id="rId34" ref="AM72"/>
    <hyperlink r:id="rId35" ref="AN72"/>
    <hyperlink r:id="rId36" ref="AM73"/>
    <hyperlink r:id="rId37" ref="AN73"/>
  </hyperlinks>
  <drawing r:id="rId38"/>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BC9D"/>
    <outlinePr summaryBelow="0" summaryRight="0"/>
  </sheetPr>
  <sheetViews>
    <sheetView workbookViewId="0"/>
  </sheetViews>
  <sheetFormatPr customHeight="1" defaultColWidth="12.63" defaultRowHeight="15.75"/>
  <cols>
    <col customWidth="1" min="4" max="4" width="14.13"/>
    <col customWidth="1" min="6" max="6" width="11.63"/>
    <col customWidth="1" min="7" max="7" width="6.13"/>
    <col customWidth="1" min="8" max="8" width="32.38"/>
    <col customWidth="1" min="9" max="9" width="29.13"/>
    <col customWidth="1" min="10" max="10" width="5.13"/>
    <col customWidth="1" min="11" max="11" width="26.25"/>
    <col customWidth="1" min="12" max="12" width="21.75"/>
    <col customWidth="1" min="13" max="13" width="13.38"/>
    <col customWidth="1" min="14" max="14" width="23.25"/>
    <col customWidth="1" min="15" max="15" width="17.13"/>
    <col customWidth="1" min="16" max="16" width="13.13"/>
    <col customWidth="1" min="17" max="17" width="10.0"/>
    <col customWidth="1" min="19" max="19" width="18.88"/>
    <col customWidth="1" min="20" max="20" width="32.25"/>
    <col customWidth="1" min="21" max="22" width="14.0"/>
    <col customWidth="1" min="23" max="23" width="22.88"/>
    <col customWidth="1" min="24" max="24" width="12.0"/>
    <col customWidth="1" min="25" max="25" width="6.38"/>
    <col customWidth="1" min="26" max="26" width="14.0"/>
    <col customWidth="1" min="27" max="27" width="7.88"/>
    <col customWidth="1" min="28" max="28" width="14.0"/>
    <col customWidth="1" min="29" max="29" width="12.38"/>
    <col customWidth="1" min="30" max="59" width="14.0"/>
  </cols>
  <sheetData>
    <row r="1">
      <c r="A1" s="553" t="s">
        <v>71</v>
      </c>
      <c r="B1" s="13"/>
      <c r="C1" s="554" t="s">
        <v>72</v>
      </c>
      <c r="D1" s="13"/>
      <c r="E1" s="554" t="s">
        <v>86</v>
      </c>
      <c r="F1" s="14"/>
      <c r="H1" s="555" t="s">
        <v>652</v>
      </c>
      <c r="I1" s="5"/>
      <c r="J1" s="5"/>
      <c r="K1" s="5"/>
      <c r="L1" s="6"/>
      <c r="N1" s="556" t="s">
        <v>653</v>
      </c>
      <c r="Q1" s="557"/>
      <c r="R1" s="558" t="s">
        <v>654</v>
      </c>
      <c r="V1" s="559" t="s">
        <v>77</v>
      </c>
      <c r="W1" s="1149" t="s">
        <v>71</v>
      </c>
      <c r="X1" s="1150" t="s">
        <v>115</v>
      </c>
      <c r="Y1" s="562"/>
      <c r="Z1" s="1151">
        <v>106.48683138384706</v>
      </c>
      <c r="AA1" s="564"/>
      <c r="AB1" s="556" t="s">
        <v>655</v>
      </c>
      <c r="AD1" s="565"/>
      <c r="AE1" s="565"/>
      <c r="AF1" s="565"/>
      <c r="AG1" s="565"/>
      <c r="AH1" s="565"/>
      <c r="AI1" s="565"/>
      <c r="AJ1" s="565"/>
      <c r="AK1" s="565"/>
      <c r="AL1" s="565"/>
      <c r="AM1" s="565"/>
      <c r="AP1" s="566"/>
      <c r="AQ1" s="566"/>
      <c r="AR1" s="566"/>
      <c r="AS1" s="566"/>
      <c r="AT1" s="566"/>
      <c r="AU1" s="566"/>
      <c r="AV1" s="566"/>
      <c r="AW1" s="566"/>
      <c r="AX1" s="566"/>
      <c r="AY1" s="566"/>
      <c r="AZ1" s="566"/>
      <c r="BA1" s="566"/>
      <c r="BB1" s="566"/>
      <c r="BC1" s="566"/>
      <c r="BD1" s="566"/>
      <c r="BE1" s="566"/>
      <c r="BF1" s="566"/>
      <c r="BG1" s="566"/>
    </row>
    <row r="2">
      <c r="A2" s="567" t="s">
        <v>115</v>
      </c>
      <c r="C2" s="568" t="s">
        <v>1328</v>
      </c>
      <c r="E2" s="568" t="s">
        <v>116</v>
      </c>
      <c r="F2" s="17"/>
      <c r="H2" s="1152" t="s">
        <v>656</v>
      </c>
      <c r="I2" s="14"/>
      <c r="J2" s="570"/>
      <c r="K2" s="1153" t="s">
        <v>77</v>
      </c>
      <c r="L2" s="6"/>
      <c r="N2" s="572" t="s">
        <v>625</v>
      </c>
      <c r="O2" s="572" t="s">
        <v>657</v>
      </c>
      <c r="P2" s="573" t="s">
        <v>658</v>
      </c>
      <c r="Q2" s="557"/>
      <c r="R2" s="572" t="s">
        <v>625</v>
      </c>
      <c r="S2" s="572" t="s">
        <v>659</v>
      </c>
      <c r="T2" s="574" t="s">
        <v>660</v>
      </c>
      <c r="V2" s="34"/>
      <c r="W2" s="575" t="s">
        <v>661</v>
      </c>
      <c r="X2" s="1154">
        <v>57.45</v>
      </c>
      <c r="Y2" s="577"/>
      <c r="Z2" s="17"/>
      <c r="AA2" s="564"/>
      <c r="AB2" s="565"/>
      <c r="AC2" s="565"/>
      <c r="AD2" s="565"/>
      <c r="AE2" s="565"/>
      <c r="AF2" s="565"/>
      <c r="AG2" s="565"/>
      <c r="AH2" s="565"/>
      <c r="AI2" s="565"/>
      <c r="AJ2" s="565"/>
      <c r="AK2" s="565"/>
      <c r="AL2" s="565"/>
      <c r="AM2" s="565"/>
      <c r="AP2" s="574"/>
      <c r="AQ2" s="574"/>
      <c r="AR2" s="574"/>
      <c r="AS2" s="574"/>
      <c r="AT2" s="574"/>
      <c r="AU2" s="574"/>
      <c r="AV2" s="574"/>
      <c r="AW2" s="574"/>
      <c r="AX2" s="574"/>
      <c r="AY2" s="574"/>
      <c r="AZ2" s="574"/>
      <c r="BA2" s="574"/>
      <c r="BB2" s="574"/>
      <c r="BC2" s="574"/>
      <c r="BD2" s="574"/>
      <c r="BE2" s="574"/>
      <c r="BF2" s="574"/>
      <c r="BG2" s="574"/>
    </row>
    <row r="3" ht="20.25" customHeight="1">
      <c r="A3" s="29"/>
      <c r="B3" s="30"/>
      <c r="C3" s="30"/>
      <c r="D3" s="30"/>
      <c r="E3" s="30"/>
      <c r="F3" s="31"/>
      <c r="H3" s="1155" t="s">
        <v>629</v>
      </c>
      <c r="I3" s="1156" t="s">
        <v>662</v>
      </c>
      <c r="J3" s="570"/>
      <c r="K3" s="1157" t="s">
        <v>663</v>
      </c>
      <c r="L3" s="712" t="s">
        <v>664</v>
      </c>
      <c r="N3" s="572">
        <v>2024.0</v>
      </c>
      <c r="O3" s="582">
        <v>2.958769E9</v>
      </c>
      <c r="P3" s="1158">
        <v>0.19868681082281142</v>
      </c>
      <c r="Q3" s="570"/>
      <c r="R3" s="584">
        <v>1.0</v>
      </c>
      <c r="S3" s="1159">
        <v>3.2298288183256254E9</v>
      </c>
      <c r="T3" s="1159">
        <v>3.071560815579145E9</v>
      </c>
      <c r="V3" s="34"/>
      <c r="W3" s="586" t="s">
        <v>665</v>
      </c>
      <c r="X3" s="1160">
        <v>4.251327883920202</v>
      </c>
      <c r="Y3" s="588"/>
      <c r="Z3" s="1161">
        <v>0.8535566820512978</v>
      </c>
      <c r="AA3" s="590"/>
      <c r="AB3" s="590"/>
      <c r="AC3" s="590"/>
      <c r="AD3" s="590"/>
      <c r="AE3" s="590"/>
      <c r="AF3" s="590"/>
      <c r="AG3" s="590"/>
      <c r="AH3" s="590"/>
      <c r="AI3" s="590"/>
      <c r="AJ3" s="590"/>
      <c r="AK3" s="590"/>
      <c r="AL3" s="590"/>
      <c r="AM3" s="590"/>
      <c r="AP3" s="585"/>
      <c r="AQ3" s="585"/>
      <c r="AR3" s="585"/>
      <c r="AS3" s="585"/>
      <c r="AT3" s="585"/>
      <c r="AU3" s="585"/>
      <c r="AV3" s="585"/>
      <c r="AW3" s="585"/>
      <c r="AX3" s="585"/>
      <c r="AY3" s="585"/>
      <c r="AZ3" s="585"/>
      <c r="BA3" s="585"/>
      <c r="BB3" s="585"/>
      <c r="BC3" s="585"/>
      <c r="BD3" s="585"/>
      <c r="BE3" s="585"/>
      <c r="BF3" s="585"/>
      <c r="BG3" s="585"/>
    </row>
    <row r="4">
      <c r="A4" s="591" t="s">
        <v>77</v>
      </c>
      <c r="B4" s="30"/>
      <c r="C4" s="30"/>
      <c r="D4" s="30"/>
      <c r="E4" s="30"/>
      <c r="F4" s="31"/>
      <c r="H4" s="592">
        <v>0.99</v>
      </c>
      <c r="I4" s="593">
        <v>3.620039E9</v>
      </c>
      <c r="J4" s="570"/>
      <c r="K4" s="594">
        <v>2.32923E8</v>
      </c>
      <c r="L4" s="593">
        <v>2.1989695E10</v>
      </c>
      <c r="N4" s="572">
        <v>2023.0</v>
      </c>
      <c r="O4" s="582">
        <v>2.468342E9</v>
      </c>
      <c r="P4" s="1158">
        <v>0.8941945762019908</v>
      </c>
      <c r="Q4" s="570"/>
      <c r="R4" s="584">
        <v>2.0</v>
      </c>
      <c r="S4" s="1159">
        <v>3.5257210670000615E9</v>
      </c>
      <c r="T4" s="1159">
        <v>3.188652390166728E9</v>
      </c>
      <c r="V4" s="29"/>
      <c r="W4" s="595" t="s">
        <v>666</v>
      </c>
      <c r="X4" s="596">
        <v>0.07360985517001908</v>
      </c>
      <c r="Y4" s="597"/>
      <c r="Z4" s="31"/>
      <c r="AA4" s="590"/>
      <c r="AB4" s="590"/>
      <c r="AC4" s="590"/>
      <c r="AD4" s="590"/>
      <c r="AE4" s="590"/>
      <c r="AF4" s="590"/>
      <c r="AG4" s="590"/>
      <c r="AH4" s="590"/>
      <c r="AI4" s="590"/>
      <c r="AJ4" s="590"/>
      <c r="AK4" s="590"/>
      <c r="AL4" s="590"/>
      <c r="AM4" s="590"/>
      <c r="AP4" s="585"/>
      <c r="AQ4" s="585"/>
      <c r="AR4" s="585"/>
      <c r="AS4" s="585"/>
      <c r="AT4" s="585"/>
      <c r="AU4" s="585"/>
      <c r="AV4" s="585"/>
      <c r="AW4" s="585"/>
      <c r="AX4" s="585"/>
      <c r="AY4" s="585"/>
      <c r="AZ4" s="585"/>
      <c r="BA4" s="585"/>
      <c r="BB4" s="585"/>
      <c r="BC4" s="585"/>
      <c r="BD4" s="585"/>
      <c r="BE4" s="585"/>
      <c r="BF4" s="585"/>
      <c r="BG4" s="585"/>
    </row>
    <row r="5">
      <c r="A5" s="598" t="s">
        <v>667</v>
      </c>
      <c r="B5" s="13"/>
      <c r="C5" s="599" t="s">
        <v>668</v>
      </c>
      <c r="D5" s="13"/>
      <c r="E5" s="599" t="s">
        <v>669</v>
      </c>
      <c r="F5" s="14"/>
      <c r="H5" s="34"/>
      <c r="I5" s="17"/>
      <c r="J5" s="570"/>
      <c r="K5" s="29"/>
      <c r="L5" s="31"/>
      <c r="N5" s="572">
        <v>2022.0</v>
      </c>
      <c r="O5" s="582">
        <v>1.303109E9</v>
      </c>
      <c r="P5" s="1158">
        <v>0.1773290508522047</v>
      </c>
      <c r="Q5" s="570"/>
      <c r="R5" s="584">
        <v>3.0</v>
      </c>
      <c r="S5" s="1159">
        <v>3.8487207036353874E9</v>
      </c>
      <c r="T5" s="1159">
        <v>3.310207635722459E9</v>
      </c>
      <c r="V5" s="600"/>
      <c r="W5" s="600"/>
      <c r="X5" s="601"/>
      <c r="Y5" s="590"/>
      <c r="Z5" s="1162">
        <v>52.28371675524568</v>
      </c>
      <c r="AA5" s="590"/>
      <c r="AB5" s="590"/>
      <c r="AC5" s="590"/>
      <c r="AD5" s="590"/>
      <c r="AE5" s="590"/>
      <c r="AF5" s="590"/>
      <c r="AG5" s="590"/>
      <c r="AH5" s="590"/>
      <c r="AI5" s="590"/>
      <c r="AJ5" s="590"/>
      <c r="AK5" s="590"/>
      <c r="AL5" s="590"/>
      <c r="AM5" s="1163" t="s">
        <v>670</v>
      </c>
      <c r="AP5" s="585"/>
      <c r="AQ5" s="585"/>
      <c r="AR5" s="585"/>
      <c r="AS5" s="585"/>
      <c r="AT5" s="585"/>
      <c r="AU5" s="585"/>
      <c r="AV5" s="585"/>
      <c r="AW5" s="585"/>
      <c r="AX5" s="585"/>
      <c r="AY5" s="585"/>
      <c r="AZ5" s="585"/>
      <c r="BA5" s="585"/>
      <c r="BB5" s="585"/>
      <c r="BC5" s="585"/>
      <c r="BD5" s="585"/>
      <c r="BE5" s="585"/>
      <c r="BF5" s="585"/>
      <c r="BG5" s="585"/>
    </row>
    <row r="6">
      <c r="A6" s="34"/>
      <c r="F6" s="17"/>
      <c r="H6" s="1157" t="s">
        <v>671</v>
      </c>
      <c r="I6" s="712" t="s">
        <v>672</v>
      </c>
      <c r="J6" s="570"/>
      <c r="K6" s="1157" t="s">
        <v>673</v>
      </c>
      <c r="L6" s="712" t="s">
        <v>674</v>
      </c>
      <c r="N6" s="572">
        <v>2021.0</v>
      </c>
      <c r="O6" s="582">
        <v>1.106835E9</v>
      </c>
      <c r="P6" s="1158">
        <v>0.05876596636123363</v>
      </c>
      <c r="Q6" s="570"/>
      <c r="R6" s="584">
        <v>4.0</v>
      </c>
      <c r="S6" s="1159">
        <v>4.201311100085222E9</v>
      </c>
      <c r="T6" s="1159">
        <v>3.436396712726133E9</v>
      </c>
      <c r="V6" s="604" t="s">
        <v>675</v>
      </c>
      <c r="W6" s="605" t="s">
        <v>676</v>
      </c>
      <c r="X6" s="606">
        <v>0.09161236254862257</v>
      </c>
      <c r="Y6" s="607"/>
      <c r="Z6" s="1164">
        <v>104.56743351049136</v>
      </c>
      <c r="AA6" s="607"/>
      <c r="AB6" s="605" t="s">
        <v>625</v>
      </c>
      <c r="AC6" s="1165">
        <v>1.0</v>
      </c>
      <c r="AD6" s="1165">
        <v>2.0</v>
      </c>
      <c r="AE6" s="1165">
        <v>3.0</v>
      </c>
      <c r="AF6" s="1165">
        <v>4.0</v>
      </c>
      <c r="AG6" s="1165">
        <v>5.0</v>
      </c>
      <c r="AH6" s="1165">
        <v>6.0</v>
      </c>
      <c r="AI6" s="1165">
        <v>7.0</v>
      </c>
      <c r="AJ6" s="1165">
        <v>8.0</v>
      </c>
      <c r="AK6" s="1165">
        <v>9.0</v>
      </c>
      <c r="AL6" s="1165">
        <v>10.0</v>
      </c>
      <c r="AM6" s="1166">
        <v>10.0</v>
      </c>
      <c r="AP6" s="585"/>
      <c r="AQ6" s="585"/>
      <c r="AR6" s="585"/>
      <c r="AS6" s="585"/>
      <c r="AT6" s="585"/>
      <c r="AU6" s="585"/>
      <c r="AV6" s="585"/>
      <c r="AW6" s="585"/>
      <c r="AX6" s="585"/>
      <c r="AY6" s="585"/>
      <c r="AZ6" s="585"/>
      <c r="BA6" s="585"/>
      <c r="BB6" s="585"/>
      <c r="BC6" s="585"/>
      <c r="BD6" s="585"/>
      <c r="BE6" s="585"/>
      <c r="BF6" s="585"/>
      <c r="BG6" s="585"/>
    </row>
    <row r="7">
      <c r="A7" s="611" t="s">
        <v>677</v>
      </c>
      <c r="B7" s="30"/>
      <c r="C7" s="611" t="s">
        <v>678</v>
      </c>
      <c r="D7" s="30"/>
      <c r="E7" s="611" t="s">
        <v>679</v>
      </c>
      <c r="F7" s="31"/>
      <c r="H7" s="612">
        <v>4.646764949393167</v>
      </c>
      <c r="I7" s="1167">
        <v>0.03542773103492341</v>
      </c>
      <c r="J7" s="570"/>
      <c r="K7" s="614">
        <v>6.959634920634921E8</v>
      </c>
      <c r="L7" s="1168">
        <v>7.425455932304846E10</v>
      </c>
      <c r="N7" s="572">
        <v>2020.0</v>
      </c>
      <c r="O7" s="582">
        <v>1.045401E9</v>
      </c>
      <c r="P7" s="1158">
        <v>0.14201551234433035</v>
      </c>
      <c r="Q7" s="570"/>
      <c r="R7" s="584">
        <v>5.0</v>
      </c>
      <c r="S7" s="1159">
        <v>4.586203135765781E9</v>
      </c>
      <c r="T7" s="1159">
        <v>3.5673962683786983E9</v>
      </c>
      <c r="V7" s="616"/>
      <c r="W7" s="617" t="s">
        <v>680</v>
      </c>
      <c r="X7" s="618">
        <v>0.06412865378403579</v>
      </c>
      <c r="Y7" s="619"/>
      <c r="AA7" s="619"/>
      <c r="AB7" s="620"/>
      <c r="AC7" s="620"/>
      <c r="AD7" s="620"/>
      <c r="AE7" s="620"/>
      <c r="AF7" s="620"/>
      <c r="AG7" s="620"/>
      <c r="AH7" s="620"/>
      <c r="AI7" s="620"/>
      <c r="AJ7" s="620"/>
      <c r="AK7" s="620"/>
      <c r="AL7" s="620"/>
      <c r="AM7" s="621"/>
      <c r="AP7" s="585"/>
      <c r="AQ7" s="585"/>
      <c r="AR7" s="585"/>
      <c r="AS7" s="585"/>
      <c r="AT7" s="585"/>
      <c r="AU7" s="585"/>
      <c r="AV7" s="585"/>
      <c r="AW7" s="585"/>
      <c r="AX7" s="585"/>
      <c r="AY7" s="585"/>
      <c r="AZ7" s="585"/>
      <c r="BA7" s="585"/>
      <c r="BB7" s="585"/>
      <c r="BC7" s="585"/>
      <c r="BD7" s="585"/>
      <c r="BE7" s="585"/>
      <c r="BF7" s="585"/>
      <c r="BG7" s="585"/>
    </row>
    <row r="8">
      <c r="A8" s="622">
        <v>106.48683138384706</v>
      </c>
      <c r="C8" s="623">
        <v>20.8635</v>
      </c>
      <c r="E8" s="623">
        <v>12.133333333333335</v>
      </c>
      <c r="F8" s="17"/>
      <c r="H8" s="34"/>
      <c r="I8" s="17"/>
      <c r="J8" s="570"/>
      <c r="K8" s="29"/>
      <c r="L8" s="31"/>
      <c r="N8" s="572">
        <v>2019.0</v>
      </c>
      <c r="O8" s="624">
        <v>9.154E8</v>
      </c>
      <c r="P8" s="1158">
        <v>0.06367650476411806</v>
      </c>
      <c r="Q8" s="1249">
        <v>915.4</v>
      </c>
      <c r="R8" s="584">
        <v>6.0</v>
      </c>
      <c r="S8" s="1159">
        <v>5.006356040161185E9</v>
      </c>
      <c r="T8" s="1159">
        <v>3.7033896838838286E9</v>
      </c>
      <c r="V8" s="616"/>
      <c r="W8" s="617" t="s">
        <v>681</v>
      </c>
      <c r="X8" s="1170">
        <v>13.513424880092911</v>
      </c>
      <c r="Y8" s="619"/>
      <c r="Z8" s="1171">
        <v>0.8201467973975866</v>
      </c>
      <c r="AA8" s="619"/>
      <c r="AB8" s="617" t="s">
        <v>665</v>
      </c>
      <c r="AC8" s="1172">
        <v>4.6408020753349675</v>
      </c>
      <c r="AD8" s="1172">
        <v>5.065956917576954</v>
      </c>
      <c r="AE8" s="1172">
        <v>5.530061199365716</v>
      </c>
      <c r="AF8" s="1172">
        <v>6.036683170878078</v>
      </c>
      <c r="AG8" s="1172">
        <v>6.589717978119729</v>
      </c>
      <c r="AH8" s="1172">
        <v>7.012307720873005</v>
      </c>
      <c r="AI8" s="1172">
        <v>7.46199757493199</v>
      </c>
      <c r="AJ8" s="1172">
        <v>7.940525433952118</v>
      </c>
      <c r="AK8" s="1172">
        <v>8.449740640369363</v>
      </c>
      <c r="AL8" s="1172">
        <v>8.991611132460507</v>
      </c>
      <c r="AM8" s="1173">
        <v>121.50746158951222</v>
      </c>
      <c r="AP8" s="585"/>
      <c r="AQ8" s="585"/>
      <c r="AR8" s="585"/>
      <c r="AS8" s="585"/>
      <c r="AT8" s="585"/>
      <c r="AU8" s="585"/>
      <c r="AV8" s="585"/>
      <c r="AW8" s="585"/>
      <c r="AX8" s="585"/>
      <c r="AY8" s="585"/>
      <c r="AZ8" s="585"/>
      <c r="BA8" s="585"/>
      <c r="BB8" s="585"/>
      <c r="BC8" s="585"/>
      <c r="BD8" s="585"/>
      <c r="BE8" s="585"/>
      <c r="BF8" s="585"/>
      <c r="BG8" s="585"/>
    </row>
    <row r="9">
      <c r="F9" s="17"/>
      <c r="H9" s="1157" t="s">
        <v>682</v>
      </c>
      <c r="I9" s="712" t="s">
        <v>683</v>
      </c>
      <c r="J9" s="570"/>
      <c r="K9" s="631" t="s">
        <v>684</v>
      </c>
      <c r="L9" s="632" t="s">
        <v>685</v>
      </c>
      <c r="N9" s="572">
        <v>2018.0</v>
      </c>
      <c r="O9" s="624">
        <v>8.606E8</v>
      </c>
      <c r="P9" s="1158">
        <v>0.08854034910194788</v>
      </c>
      <c r="Q9" s="1249">
        <v>860.6</v>
      </c>
      <c r="R9" s="584">
        <v>7.0</v>
      </c>
      <c r="S9" s="1159">
        <v>5.465000144759918E9</v>
      </c>
      <c r="T9" s="1159">
        <v>3.844567331156168E9</v>
      </c>
      <c r="V9" s="633"/>
      <c r="W9" s="634" t="s">
        <v>686</v>
      </c>
      <c r="X9" s="635">
        <v>0.5</v>
      </c>
      <c r="Y9" s="636"/>
      <c r="Z9" s="30"/>
      <c r="AA9" s="636"/>
      <c r="AB9" s="634" t="s">
        <v>687</v>
      </c>
      <c r="AC9" s="1174">
        <v>4.322615010459308</v>
      </c>
      <c r="AD9" s="1174">
        <v>4.395097493966626</v>
      </c>
      <c r="AE9" s="1174">
        <v>4.468795378429772</v>
      </c>
      <c r="AF9" s="1174">
        <v>4.543729043938003</v>
      </c>
      <c r="AG9" s="1174">
        <v>4.619919212318039</v>
      </c>
      <c r="AH9" s="1174">
        <v>4.57912004842435</v>
      </c>
      <c r="AI9" s="1174">
        <v>4.538681187751979</v>
      </c>
      <c r="AJ9" s="1174">
        <v>4.4985994484119125</v>
      </c>
      <c r="AK9" s="1174">
        <v>4.458871676614856</v>
      </c>
      <c r="AL9" s="1174">
        <v>4.41949474642307</v>
      </c>
      <c r="AM9" s="1175">
        <v>59.722510263753435</v>
      </c>
      <c r="AP9" s="585"/>
      <c r="AQ9" s="585"/>
      <c r="AR9" s="585"/>
      <c r="AS9" s="585"/>
      <c r="AT9" s="585"/>
      <c r="AU9" s="585"/>
      <c r="AV9" s="585"/>
      <c r="AW9" s="585"/>
      <c r="AX9" s="585"/>
      <c r="AY9" s="585"/>
      <c r="AZ9" s="585"/>
      <c r="BA9" s="585"/>
      <c r="BB9" s="585"/>
      <c r="BC9" s="585"/>
      <c r="BD9" s="585"/>
      <c r="BE9" s="585"/>
      <c r="BF9" s="585"/>
      <c r="BG9" s="585"/>
    </row>
    <row r="10">
      <c r="A10" s="598" t="s">
        <v>688</v>
      </c>
      <c r="B10" s="13"/>
      <c r="C10" s="640" t="s">
        <v>77</v>
      </c>
      <c r="D10" s="13"/>
      <c r="E10" s="641" t="s">
        <v>689</v>
      </c>
      <c r="F10" s="14"/>
      <c r="H10" s="1176">
        <v>0.098435</v>
      </c>
      <c r="I10" s="1177">
        <v>0.027987907517589495</v>
      </c>
      <c r="J10" s="570"/>
      <c r="K10" s="644">
        <v>0.13087480364088938</v>
      </c>
      <c r="L10" s="1178">
        <v>0.09161236254862257</v>
      </c>
      <c r="N10" s="572">
        <v>2017.0</v>
      </c>
      <c r="O10" s="624">
        <v>7.906E8</v>
      </c>
      <c r="P10" s="1158">
        <v>0.16128084606345475</v>
      </c>
      <c r="Q10" s="1249">
        <v>790.6</v>
      </c>
      <c r="R10" s="584">
        <v>8.0</v>
      </c>
      <c r="S10" s="1159">
        <v>5.965661719349938E9</v>
      </c>
      <c r="T10" s="1159">
        <v>3.9911268393155985E9</v>
      </c>
      <c r="V10" s="646"/>
      <c r="W10" s="647"/>
      <c r="X10" s="648"/>
      <c r="Y10" s="648"/>
      <c r="Z10" s="1162">
        <v>34.79072107708271</v>
      </c>
      <c r="AA10" s="648"/>
      <c r="AB10" s="647"/>
      <c r="AC10" s="647"/>
      <c r="AD10" s="647"/>
      <c r="AE10" s="647"/>
      <c r="AF10" s="647"/>
      <c r="AG10" s="647"/>
      <c r="AH10" s="647"/>
      <c r="AI10" s="647"/>
      <c r="AJ10" s="647"/>
      <c r="AK10" s="647"/>
      <c r="AL10" s="647"/>
      <c r="AM10" s="649"/>
      <c r="AP10" s="585"/>
      <c r="AQ10" s="585"/>
      <c r="AR10" s="585"/>
      <c r="AS10" s="585"/>
      <c r="AT10" s="585"/>
      <c r="AU10" s="585"/>
      <c r="AV10" s="585"/>
      <c r="AW10" s="585"/>
      <c r="AX10" s="585"/>
      <c r="AY10" s="585"/>
      <c r="AZ10" s="585"/>
      <c r="BA10" s="585"/>
      <c r="BB10" s="585"/>
      <c r="BC10" s="585"/>
      <c r="BD10" s="585"/>
      <c r="BE10" s="585"/>
      <c r="BF10" s="585"/>
      <c r="BG10" s="585"/>
    </row>
    <row r="11">
      <c r="A11" s="34"/>
      <c r="F11" s="17"/>
      <c r="H11" s="29"/>
      <c r="I11" s="31"/>
      <c r="J11" s="570"/>
      <c r="K11" s="34"/>
      <c r="L11" s="17"/>
      <c r="N11" s="572">
        <v>2016.0</v>
      </c>
      <c r="O11" s="624">
        <v>6.808E8</v>
      </c>
      <c r="P11" s="1158">
        <v>0.0845945515373586</v>
      </c>
      <c r="Q11" s="1249">
        <v>680.8</v>
      </c>
      <c r="R11" s="584">
        <v>9.0</v>
      </c>
      <c r="S11" s="1159">
        <v>6.5121900836254635E9</v>
      </c>
      <c r="T11" s="1159">
        <v>4.1432733713405924E9</v>
      </c>
      <c r="V11" s="650" t="s">
        <v>690</v>
      </c>
      <c r="W11" s="651" t="s">
        <v>676</v>
      </c>
      <c r="X11" s="652">
        <v>0.11451545318577822</v>
      </c>
      <c r="Y11" s="653"/>
      <c r="Z11" s="1179">
        <v>139.16288430833083</v>
      </c>
      <c r="AA11" s="653"/>
      <c r="AB11" s="655"/>
      <c r="AC11" s="655"/>
      <c r="AD11" s="655"/>
      <c r="AE11" s="655"/>
      <c r="AF11" s="655"/>
      <c r="AG11" s="655"/>
      <c r="AH11" s="655"/>
      <c r="AI11" s="655"/>
      <c r="AJ11" s="655"/>
      <c r="AK11" s="655"/>
      <c r="AL11" s="655"/>
      <c r="AM11" s="656"/>
      <c r="AP11" s="585"/>
      <c r="AQ11" s="585"/>
      <c r="AR11" s="585"/>
      <c r="AS11" s="585"/>
      <c r="AT11" s="585"/>
      <c r="AU11" s="585"/>
      <c r="AV11" s="585"/>
      <c r="AW11" s="585"/>
      <c r="AX11" s="585"/>
      <c r="AY11" s="585"/>
      <c r="AZ11" s="585"/>
      <c r="BA11" s="585"/>
      <c r="BB11" s="585"/>
      <c r="BC11" s="585"/>
      <c r="BD11" s="585"/>
      <c r="BE11" s="585"/>
      <c r="BF11" s="585"/>
      <c r="BG11" s="585"/>
    </row>
    <row r="12">
      <c r="A12" s="29"/>
      <c r="B12" s="30"/>
      <c r="C12" s="30"/>
      <c r="D12" s="30"/>
      <c r="E12" s="30"/>
      <c r="F12" s="31"/>
      <c r="H12" s="1157" t="s">
        <v>691</v>
      </c>
      <c r="I12" s="712" t="s">
        <v>692</v>
      </c>
      <c r="J12" s="570"/>
      <c r="K12" s="657" t="s">
        <v>77</v>
      </c>
      <c r="L12" s="658" t="s">
        <v>689</v>
      </c>
      <c r="N12" s="572">
        <v>2015.0</v>
      </c>
      <c r="O12" s="624">
        <v>6.277E8</v>
      </c>
      <c r="P12" s="583"/>
      <c r="Q12" s="1249">
        <v>627.7</v>
      </c>
      <c r="R12" s="584" t="s">
        <v>693</v>
      </c>
      <c r="S12" s="1159">
        <v>1.0020654695806352E11</v>
      </c>
      <c r="T12" s="1159">
        <v>6.375476027477912E10</v>
      </c>
      <c r="V12" s="659"/>
      <c r="W12" s="660" t="s">
        <v>680</v>
      </c>
      <c r="X12" s="661">
        <v>0.08016081723004474</v>
      </c>
      <c r="Y12" s="662"/>
      <c r="AA12" s="662"/>
      <c r="AB12" s="663"/>
      <c r="AC12" s="663"/>
      <c r="AD12" s="663"/>
      <c r="AE12" s="663"/>
      <c r="AF12" s="663"/>
      <c r="AG12" s="663"/>
      <c r="AH12" s="663"/>
      <c r="AI12" s="663"/>
      <c r="AJ12" s="663"/>
      <c r="AK12" s="663"/>
      <c r="AL12" s="663"/>
      <c r="AM12" s="664"/>
      <c r="AP12" s="585"/>
      <c r="AQ12" s="585"/>
      <c r="AR12" s="585"/>
      <c r="AS12" s="585"/>
      <c r="AT12" s="585"/>
      <c r="AU12" s="585"/>
      <c r="AV12" s="585"/>
      <c r="AW12" s="585"/>
      <c r="AX12" s="585"/>
      <c r="AY12" s="585"/>
      <c r="AZ12" s="585"/>
      <c r="BA12" s="585"/>
      <c r="BB12" s="585"/>
      <c r="BC12" s="585"/>
      <c r="BD12" s="585"/>
      <c r="BE12" s="585"/>
      <c r="BF12" s="585"/>
      <c r="BG12" s="585"/>
    </row>
    <row r="13">
      <c r="A13" s="665">
        <v>0.7</v>
      </c>
      <c r="B13" s="13"/>
      <c r="C13" s="1180">
        <v>33.62308294343608</v>
      </c>
      <c r="D13" s="13"/>
      <c r="E13" s="1181">
        <v>0.7086476007166804</v>
      </c>
      <c r="F13" s="14"/>
      <c r="H13" s="1182">
        <v>3.998310261904762E10</v>
      </c>
      <c r="I13" s="1168">
        <v>2.1756772E10</v>
      </c>
      <c r="K13" s="34"/>
      <c r="L13" s="17"/>
      <c r="N13" s="572"/>
      <c r="O13" s="669"/>
      <c r="P13" s="570"/>
      <c r="Q13" s="583"/>
      <c r="R13" s="670" t="s">
        <v>0</v>
      </c>
      <c r="S13" s="670"/>
      <c r="T13" s="786">
        <v>9.601133132304846E10</v>
      </c>
      <c r="V13" s="659"/>
      <c r="W13" s="660" t="s">
        <v>681</v>
      </c>
      <c r="X13" s="672">
        <v>16.891781100116138</v>
      </c>
      <c r="Y13" s="662"/>
      <c r="Z13" s="1183">
        <v>1.422330449231172</v>
      </c>
      <c r="AA13" s="662"/>
      <c r="AB13" s="660" t="s">
        <v>665</v>
      </c>
      <c r="AC13" s="1184">
        <v>4.738170623188659</v>
      </c>
      <c r="AD13" s="1184">
        <v>5.2807643793746495</v>
      </c>
      <c r="AE13" s="1184">
        <v>5.885493505446052</v>
      </c>
      <c r="AF13" s="1184">
        <v>6.559473461444162</v>
      </c>
      <c r="AG13" s="1184">
        <v>7.3106345375415245</v>
      </c>
      <c r="AH13" s="1184">
        <v>7.896660976541043</v>
      </c>
      <c r="AI13" s="1184">
        <v>8.529663773809176</v>
      </c>
      <c r="AJ13" s="1184">
        <v>9.213408592615227</v>
      </c>
      <c r="AK13" s="1184">
        <v>9.951962954873581</v>
      </c>
      <c r="AL13" s="1184">
        <v>10.749720438379379</v>
      </c>
      <c r="AM13" s="1185">
        <v>181.58192453254895</v>
      </c>
      <c r="AP13" s="677"/>
      <c r="AQ13" s="677"/>
      <c r="AR13" s="677"/>
      <c r="AS13" s="677"/>
      <c r="AT13" s="677"/>
      <c r="AU13" s="677"/>
      <c r="AV13" s="677"/>
      <c r="AW13" s="677"/>
      <c r="AX13" s="677"/>
      <c r="AY13" s="677"/>
      <c r="AZ13" s="677"/>
      <c r="BA13" s="677"/>
      <c r="BB13" s="677"/>
      <c r="BC13" s="677"/>
      <c r="BD13" s="677"/>
      <c r="BE13" s="677"/>
      <c r="BF13" s="677"/>
      <c r="BG13" s="677"/>
    </row>
    <row r="14" ht="19.5" customHeight="1">
      <c r="A14" s="34"/>
      <c r="F14" s="17"/>
      <c r="H14" s="34"/>
      <c r="I14" s="17"/>
      <c r="K14" s="678">
        <v>106.69318171113822</v>
      </c>
      <c r="L14" s="1186">
        <v>-0.8571485067212918</v>
      </c>
      <c r="V14" s="680"/>
      <c r="W14" s="681" t="s">
        <v>686</v>
      </c>
      <c r="X14" s="682">
        <v>0.25</v>
      </c>
      <c r="Y14" s="683"/>
      <c r="Z14" s="684"/>
      <c r="AA14" s="683"/>
      <c r="AB14" s="1187" t="s">
        <v>687</v>
      </c>
      <c r="AC14" s="1188">
        <v>4.413307683765918</v>
      </c>
      <c r="AD14" s="1188">
        <v>4.581459074294464</v>
      </c>
      <c r="AE14" s="1188">
        <v>4.7560171992187765</v>
      </c>
      <c r="AF14" s="1188">
        <v>4.937226161459972</v>
      </c>
      <c r="AG14" s="1188">
        <v>5.1253393645020475</v>
      </c>
      <c r="AH14" s="1188">
        <v>5.156613205329721</v>
      </c>
      <c r="AI14" s="1188">
        <v>5.1880778731545085</v>
      </c>
      <c r="AJ14" s="1188">
        <v>5.2197345323662585</v>
      </c>
      <c r="AK14" s="1188">
        <v>5.251584354459707</v>
      </c>
      <c r="AL14" s="1188">
        <v>5.2836285180778235</v>
      </c>
      <c r="AM14" s="1189">
        <v>89.24989634170161</v>
      </c>
    </row>
    <row r="15" ht="18.0" customHeight="1">
      <c r="A15" s="29"/>
      <c r="B15" s="30"/>
      <c r="C15" s="30"/>
      <c r="D15" s="30"/>
      <c r="E15" s="30"/>
      <c r="F15" s="31"/>
      <c r="H15" s="1157" t="s">
        <v>694</v>
      </c>
      <c r="I15" s="712" t="s">
        <v>695</v>
      </c>
      <c r="J15" s="570"/>
      <c r="K15" s="34"/>
      <c r="L15" s="17"/>
      <c r="N15" s="631" t="s">
        <v>684</v>
      </c>
      <c r="V15" s="688"/>
      <c r="W15" s="689"/>
      <c r="X15" s="690"/>
      <c r="Y15" s="690"/>
      <c r="Z15" s="1162">
        <v>19.412393551518676</v>
      </c>
      <c r="AA15" s="690"/>
      <c r="AB15" s="689"/>
      <c r="AC15" s="689"/>
      <c r="AD15" s="689"/>
      <c r="AE15" s="689"/>
      <c r="AF15" s="689"/>
      <c r="AG15" s="689"/>
      <c r="AH15" s="689"/>
      <c r="AI15" s="689"/>
      <c r="AJ15" s="689"/>
      <c r="AK15" s="689"/>
      <c r="AL15" s="689"/>
      <c r="AM15" s="691"/>
    </row>
    <row r="16">
      <c r="A16" s="692" t="s">
        <v>87</v>
      </c>
      <c r="B16" s="13"/>
      <c r="C16" s="693" t="s">
        <v>696</v>
      </c>
      <c r="D16" s="13"/>
      <c r="E16" s="693" t="s">
        <v>697</v>
      </c>
      <c r="F16" s="14"/>
      <c r="H16" s="1176">
        <v>0.647605827931375</v>
      </c>
      <c r="I16" s="1177">
        <v>0.352394172068625</v>
      </c>
      <c r="J16" s="570"/>
      <c r="K16" s="34"/>
      <c r="L16" s="17"/>
      <c r="N16" s="644">
        <v>0.20767601867216112</v>
      </c>
      <c r="V16" s="695" t="s">
        <v>699</v>
      </c>
      <c r="W16" s="696" t="s">
        <v>676</v>
      </c>
      <c r="X16" s="697">
        <v>0.06870927191146692</v>
      </c>
      <c r="Y16" s="698"/>
      <c r="Z16" s="1190">
        <v>77.6495742060747</v>
      </c>
      <c r="AA16" s="698"/>
      <c r="AB16" s="700"/>
      <c r="AC16" s="700"/>
      <c r="AD16" s="700"/>
      <c r="AE16" s="700"/>
      <c r="AF16" s="700"/>
      <c r="AG16" s="700"/>
      <c r="AH16" s="700"/>
      <c r="AI16" s="700"/>
      <c r="AJ16" s="700"/>
      <c r="AK16" s="700"/>
      <c r="AL16" s="700"/>
      <c r="AM16" s="701"/>
      <c r="AP16" s="702"/>
      <c r="AQ16" s="702"/>
      <c r="AR16" s="702"/>
      <c r="AS16" s="702"/>
      <c r="AT16" s="702"/>
      <c r="AU16" s="702"/>
      <c r="AV16" s="702"/>
      <c r="AW16" s="702"/>
      <c r="AX16" s="702"/>
      <c r="AY16" s="702"/>
      <c r="AZ16" s="702"/>
      <c r="BA16" s="702"/>
      <c r="BB16" s="702"/>
      <c r="BC16" s="702"/>
      <c r="BD16" s="702"/>
      <c r="BE16" s="702"/>
      <c r="BF16" s="702"/>
      <c r="BG16" s="702"/>
    </row>
    <row r="17">
      <c r="A17" s="703" t="s">
        <v>113</v>
      </c>
      <c r="C17" s="622">
        <v>71.36448216364157</v>
      </c>
      <c r="E17" s="622">
        <v>33.62308294343608</v>
      </c>
      <c r="H17" s="29"/>
      <c r="I17" s="31"/>
      <c r="J17" s="570"/>
      <c r="K17" s="29"/>
      <c r="L17" s="31"/>
      <c r="N17" s="34"/>
      <c r="V17" s="659"/>
      <c r="W17" s="706" t="s">
        <v>680</v>
      </c>
      <c r="X17" s="707">
        <v>0.04809649033802684</v>
      </c>
      <c r="Y17" s="708"/>
      <c r="AA17" s="708"/>
      <c r="AB17" s="709"/>
      <c r="AC17" s="709"/>
      <c r="AD17" s="709"/>
      <c r="AE17" s="709"/>
      <c r="AF17" s="709"/>
      <c r="AG17" s="709"/>
      <c r="AH17" s="709"/>
      <c r="AI17" s="709"/>
      <c r="AJ17" s="709"/>
      <c r="AK17" s="709"/>
      <c r="AL17" s="709"/>
      <c r="AM17" s="710"/>
      <c r="AP17" s="711"/>
      <c r="AQ17" s="711"/>
      <c r="AR17" s="711"/>
      <c r="AS17" s="711"/>
      <c r="AT17" s="711"/>
      <c r="AU17" s="711"/>
      <c r="AV17" s="711"/>
      <c r="AW17" s="711"/>
      <c r="AX17" s="711"/>
      <c r="AY17" s="711"/>
      <c r="AZ17" s="711"/>
      <c r="BA17" s="711"/>
      <c r="BB17" s="711"/>
      <c r="BC17" s="711"/>
      <c r="BD17" s="711"/>
      <c r="BE17" s="711"/>
      <c r="BF17" s="711"/>
      <c r="BG17" s="711"/>
    </row>
    <row r="18" ht="21.75" customHeight="1">
      <c r="H18" s="1157" t="s">
        <v>656</v>
      </c>
      <c r="I18" s="712" t="s">
        <v>701</v>
      </c>
      <c r="J18" s="570"/>
      <c r="K18" s="1191">
        <v>203.75888002394223</v>
      </c>
      <c r="L18" s="714" t="s">
        <v>702</v>
      </c>
      <c r="V18" s="659"/>
      <c r="W18" s="706" t="s">
        <v>681</v>
      </c>
      <c r="X18" s="717">
        <v>10.135068660069683</v>
      </c>
      <c r="Y18" s="718"/>
      <c r="Z18" s="1192">
        <v>0.35160268417884594</v>
      </c>
      <c r="AA18" s="718"/>
      <c r="AB18" s="1193" t="s">
        <v>665</v>
      </c>
      <c r="AC18" s="1194">
        <v>4.543433527481276</v>
      </c>
      <c r="AD18" s="1194">
        <v>4.855609537132661</v>
      </c>
      <c r="AE18" s="1194">
        <v>5.18923493311542</v>
      </c>
      <c r="AF18" s="1194">
        <v>5.54578348714733</v>
      </c>
      <c r="AG18" s="1194">
        <v>5.926830232727858</v>
      </c>
      <c r="AH18" s="1194">
        <v>6.211889965751379</v>
      </c>
      <c r="AI18" s="1194">
        <v>6.510660071470025</v>
      </c>
      <c r="AJ18" s="1194">
        <v>6.82379997069166</v>
      </c>
      <c r="AK18" s="1194">
        <v>7.152000800050659</v>
      </c>
      <c r="AL18" s="1194">
        <v>7.495986937427855</v>
      </c>
      <c r="AM18" s="1195">
        <v>75.97234228581678</v>
      </c>
      <c r="AP18" s="723"/>
      <c r="AQ18" s="723"/>
      <c r="AR18" s="723"/>
      <c r="AS18" s="723"/>
      <c r="AT18" s="723"/>
      <c r="AU18" s="723"/>
      <c r="AV18" s="723"/>
      <c r="AW18" s="723"/>
      <c r="AX18" s="723"/>
      <c r="AY18" s="723"/>
      <c r="AZ18" s="723"/>
      <c r="BA18" s="723"/>
      <c r="BB18" s="723"/>
      <c r="BC18" s="723"/>
      <c r="BD18" s="723"/>
      <c r="BE18" s="723"/>
      <c r="BF18" s="723"/>
      <c r="BG18" s="723"/>
    </row>
    <row r="19">
      <c r="A19" s="724" t="s">
        <v>703</v>
      </c>
      <c r="H19" s="1176">
        <v>0.07360985517001908</v>
      </c>
      <c r="I19" s="725">
        <v>0.051526898619013356</v>
      </c>
      <c r="J19" s="570"/>
      <c r="V19" s="680"/>
      <c r="W19" s="727" t="s">
        <v>686</v>
      </c>
      <c r="X19" s="728">
        <v>0.25</v>
      </c>
      <c r="Y19" s="729"/>
      <c r="Z19" s="684"/>
      <c r="AA19" s="729"/>
      <c r="AB19" s="1196" t="s">
        <v>687</v>
      </c>
      <c r="AC19" s="1197">
        <v>4.231922337152698</v>
      </c>
      <c r="AD19" s="1197">
        <v>4.212605368649591</v>
      </c>
      <c r="AE19" s="1197">
        <v>4.19337657408788</v>
      </c>
      <c r="AF19" s="1197">
        <v>4.174235550990131</v>
      </c>
      <c r="AG19" s="1197">
        <v>4.15518189871605</v>
      </c>
      <c r="AH19" s="1197">
        <v>4.056437768141313</v>
      </c>
      <c r="AI19" s="1197">
        <v>3.9600402023044454</v>
      </c>
      <c r="AJ19" s="1197">
        <v>3.8659334372219374</v>
      </c>
      <c r="AK19" s="1197">
        <v>3.774063034090792</v>
      </c>
      <c r="AL19" s="1197">
        <v>3.6843758477968045</v>
      </c>
      <c r="AM19" s="1198">
        <v>37.34140218692306</v>
      </c>
      <c r="AP19" s="733"/>
      <c r="AQ19" s="733"/>
      <c r="AR19" s="733"/>
      <c r="AS19" s="733"/>
      <c r="AT19" s="733"/>
      <c r="AU19" s="733"/>
      <c r="AV19" s="733"/>
      <c r="AW19" s="733"/>
      <c r="AX19" s="733"/>
      <c r="AY19" s="733"/>
      <c r="AZ19" s="733"/>
      <c r="BA19" s="733"/>
      <c r="BB19" s="733"/>
      <c r="BC19" s="733"/>
      <c r="BD19" s="733"/>
      <c r="BE19" s="733"/>
      <c r="BF19" s="733"/>
      <c r="BG19" s="733"/>
    </row>
    <row r="20">
      <c r="A20" s="34"/>
      <c r="H20" s="29"/>
      <c r="I20" s="31"/>
      <c r="J20" s="570"/>
      <c r="K20" s="1199" t="s">
        <v>705</v>
      </c>
      <c r="L20" s="1200" t="s">
        <v>706</v>
      </c>
      <c r="V20" s="739"/>
      <c r="W20" s="739"/>
      <c r="X20" s="1201">
        <v>1.0</v>
      </c>
      <c r="Y20" s="739"/>
      <c r="Z20" s="739"/>
      <c r="AA20" s="739"/>
      <c r="AB20" s="739"/>
      <c r="AC20" s="739"/>
      <c r="AD20" s="739"/>
      <c r="AE20" s="739"/>
      <c r="AF20" s="739"/>
      <c r="AG20" s="739"/>
      <c r="AH20" s="739"/>
      <c r="AI20" s="739"/>
      <c r="AJ20" s="739"/>
      <c r="AK20" s="739"/>
      <c r="AL20" s="739"/>
      <c r="AM20" s="739"/>
      <c r="AP20" s="733"/>
      <c r="AQ20" s="733"/>
      <c r="AR20" s="733"/>
      <c r="AS20" s="733"/>
      <c r="AT20" s="733"/>
      <c r="AU20" s="733"/>
      <c r="AV20" s="733"/>
      <c r="AW20" s="733"/>
      <c r="AX20" s="733"/>
      <c r="AY20" s="733"/>
      <c r="AZ20" s="733"/>
      <c r="BA20" s="733"/>
      <c r="BB20" s="733"/>
      <c r="BC20" s="733"/>
      <c r="BD20" s="733"/>
      <c r="BE20" s="733"/>
      <c r="BF20" s="733"/>
      <c r="BG20" s="733"/>
    </row>
    <row r="21" ht="24.0" customHeight="1">
      <c r="A21" s="740" t="s">
        <v>76</v>
      </c>
      <c r="B21" s="13"/>
      <c r="C21" s="741" t="s">
        <v>708</v>
      </c>
      <c r="D21" s="13"/>
      <c r="E21" s="741" t="s">
        <v>709</v>
      </c>
      <c r="F21" s="14"/>
      <c r="H21" s="742"/>
      <c r="I21" s="570"/>
      <c r="J21" s="570"/>
      <c r="P21" s="694" t="s">
        <v>698</v>
      </c>
      <c r="U21" s="702"/>
      <c r="V21" s="702"/>
      <c r="W21" s="702"/>
      <c r="X21" s="733"/>
      <c r="Y21" s="733"/>
      <c r="Z21" s="733"/>
      <c r="AA21" s="733"/>
      <c r="AB21" s="733"/>
      <c r="AC21" s="733"/>
      <c r="AD21" s="733"/>
      <c r="AE21" s="733"/>
      <c r="AF21" s="733"/>
      <c r="AG21" s="733"/>
      <c r="AH21" s="733"/>
      <c r="AI21" s="733"/>
      <c r="AJ21" s="733"/>
      <c r="AK21" s="733"/>
      <c r="AL21" s="733"/>
      <c r="AM21" s="733"/>
      <c r="AN21" s="733"/>
      <c r="AO21" s="733"/>
      <c r="AP21" s="733"/>
      <c r="AQ21" s="733"/>
      <c r="AR21" s="733"/>
      <c r="AS21" s="733"/>
      <c r="AT21" s="733"/>
      <c r="AU21" s="733"/>
      <c r="AV21" s="733"/>
      <c r="AW21" s="733"/>
      <c r="AX21" s="733"/>
      <c r="AY21" s="733"/>
      <c r="AZ21" s="733"/>
      <c r="BA21" s="733"/>
      <c r="BB21" s="733"/>
      <c r="BC21" s="733"/>
      <c r="BD21" s="733"/>
      <c r="BE21" s="733"/>
      <c r="BF21" s="733"/>
      <c r="BG21" s="733"/>
    </row>
    <row r="22">
      <c r="A22" s="1202">
        <v>57.45</v>
      </c>
      <c r="C22" s="1203">
        <v>0.06</v>
      </c>
      <c r="E22" s="1203">
        <v>54.64</v>
      </c>
      <c r="F22" s="17"/>
      <c r="H22" s="570"/>
      <c r="I22" s="570"/>
      <c r="J22" s="570"/>
      <c r="P22" s="704" t="s">
        <v>700</v>
      </c>
      <c r="Q22" s="13"/>
      <c r="R22" s="13"/>
      <c r="S22" s="13"/>
      <c r="T22" s="1204" t="s">
        <v>115</v>
      </c>
      <c r="U22" s="711"/>
      <c r="V22" s="711"/>
      <c r="W22" s="711"/>
      <c r="X22" s="733"/>
      <c r="Y22" s="733"/>
      <c r="Z22" s="733"/>
      <c r="AA22" s="733"/>
      <c r="AB22" s="733"/>
      <c r="AC22" s="733"/>
      <c r="AD22" s="733"/>
      <c r="AE22" s="733"/>
      <c r="AF22" s="733"/>
      <c r="AG22" s="733"/>
      <c r="AH22" s="733"/>
      <c r="AI22" s="733"/>
      <c r="AJ22" s="733"/>
      <c r="AK22" s="733"/>
      <c r="AL22" s="733"/>
      <c r="AM22" s="733"/>
      <c r="AN22" s="733"/>
      <c r="AO22" s="733"/>
      <c r="AP22" s="733"/>
      <c r="AQ22" s="733"/>
      <c r="AR22" s="733"/>
      <c r="AS22" s="733"/>
      <c r="AT22" s="733"/>
      <c r="AU22" s="733"/>
      <c r="AV22" s="733"/>
      <c r="AW22" s="733"/>
      <c r="AX22" s="733"/>
      <c r="AY22" s="733"/>
      <c r="AZ22" s="733"/>
      <c r="BA22" s="733"/>
      <c r="BB22" s="733"/>
      <c r="BC22" s="733"/>
      <c r="BD22" s="733"/>
      <c r="BE22" s="733"/>
      <c r="BF22" s="733"/>
      <c r="BG22" s="733"/>
    </row>
    <row r="23">
      <c r="A23" s="34"/>
      <c r="F23" s="17"/>
      <c r="H23" s="239" t="s">
        <v>718</v>
      </c>
      <c r="I23" s="13"/>
      <c r="J23" s="13"/>
      <c r="K23" s="13"/>
      <c r="L23" s="13"/>
      <c r="M23" s="14"/>
      <c r="N23" s="756" t="s">
        <v>77</v>
      </c>
      <c r="P23" s="715" t="s">
        <v>301</v>
      </c>
      <c r="T23" s="726">
        <v>1.05</v>
      </c>
      <c r="U23" s="723"/>
      <c r="V23" s="723"/>
      <c r="W23" s="723"/>
      <c r="X23" s="733"/>
      <c r="Y23" s="733"/>
      <c r="Z23" s="733"/>
      <c r="AA23" s="733"/>
      <c r="AB23" s="733"/>
      <c r="AC23" s="733"/>
      <c r="AD23" s="733"/>
      <c r="AE23" s="733"/>
      <c r="AF23" s="733"/>
      <c r="AG23" s="733"/>
      <c r="AH23" s="733"/>
      <c r="AI23" s="733"/>
      <c r="AJ23" s="733"/>
      <c r="AK23" s="733"/>
      <c r="AL23" s="733"/>
      <c r="AM23" s="733"/>
      <c r="AN23" s="733"/>
      <c r="AO23" s="733"/>
      <c r="AP23" s="733"/>
      <c r="AQ23" s="733"/>
      <c r="AR23" s="733"/>
      <c r="AS23" s="733"/>
      <c r="AT23" s="733"/>
      <c r="AU23" s="733"/>
      <c r="AV23" s="733"/>
      <c r="AW23" s="733"/>
      <c r="AX23" s="733"/>
      <c r="AY23" s="733"/>
      <c r="AZ23" s="733"/>
      <c r="BA23" s="733"/>
      <c r="BB23" s="733"/>
      <c r="BC23" s="733"/>
      <c r="BD23" s="733"/>
      <c r="BE23" s="733"/>
      <c r="BF23" s="733"/>
      <c r="BG23" s="733"/>
    </row>
    <row r="24">
      <c r="A24" s="768" t="s">
        <v>724</v>
      </c>
      <c r="C24" s="255" t="s">
        <v>83</v>
      </c>
      <c r="E24" s="255" t="s">
        <v>725</v>
      </c>
      <c r="F24" s="17"/>
      <c r="H24" s="29"/>
      <c r="I24" s="30"/>
      <c r="J24" s="30"/>
      <c r="K24" s="30"/>
      <c r="L24" s="30"/>
      <c r="M24" s="31"/>
      <c r="N24" s="769"/>
      <c r="P24" s="715" t="s">
        <v>971</v>
      </c>
      <c r="T24" s="726">
        <v>7.0</v>
      </c>
      <c r="U24" s="733"/>
      <c r="V24" s="733"/>
      <c r="W24" s="733"/>
      <c r="X24" s="779"/>
      <c r="Y24" s="779"/>
      <c r="Z24" s="779"/>
      <c r="AA24" s="779"/>
      <c r="AB24" s="779"/>
      <c r="AC24" s="779"/>
      <c r="AD24" s="779"/>
      <c r="AE24" s="779"/>
      <c r="AF24" s="779"/>
      <c r="AG24" s="779"/>
      <c r="AH24" s="779"/>
      <c r="AI24" s="779"/>
      <c r="AJ24" s="779"/>
      <c r="AK24" s="779"/>
      <c r="AL24" s="779"/>
      <c r="AM24" s="779"/>
      <c r="AN24" s="779"/>
      <c r="AO24" s="779"/>
      <c r="AP24" s="779"/>
      <c r="AQ24" s="779"/>
      <c r="AR24" s="779"/>
      <c r="AS24" s="779"/>
      <c r="AT24" s="779"/>
      <c r="AU24" s="779"/>
      <c r="AV24" s="779"/>
      <c r="AW24" s="779"/>
      <c r="AX24" s="779"/>
      <c r="AY24" s="779"/>
      <c r="AZ24" s="779"/>
      <c r="BA24" s="779"/>
      <c r="BB24" s="779"/>
      <c r="BC24" s="779"/>
      <c r="BD24" s="779"/>
      <c r="BE24" s="779"/>
      <c r="BF24" s="779"/>
      <c r="BG24" s="779"/>
    </row>
    <row r="25">
      <c r="A25" s="1202">
        <v>50.65</v>
      </c>
      <c r="C25" s="780"/>
      <c r="E25" s="1205">
        <v>64.88</v>
      </c>
      <c r="F25" s="17"/>
      <c r="H25" s="782" t="s">
        <v>71</v>
      </c>
      <c r="I25" s="783" t="s">
        <v>730</v>
      </c>
      <c r="J25" s="783" t="s">
        <v>76</v>
      </c>
      <c r="L25" s="783" t="s">
        <v>301</v>
      </c>
      <c r="M25" s="783" t="s">
        <v>300</v>
      </c>
      <c r="N25" s="87"/>
      <c r="P25" s="715" t="s">
        <v>707</v>
      </c>
      <c r="T25" s="736">
        <v>6.0</v>
      </c>
      <c r="U25" s="733"/>
      <c r="V25" s="1206" t="s">
        <v>972</v>
      </c>
      <c r="W25" s="733"/>
      <c r="X25" s="767"/>
      <c r="Y25" s="767"/>
      <c r="Z25" s="767"/>
      <c r="AA25" s="767"/>
      <c r="AB25" s="767"/>
      <c r="AC25" s="767"/>
      <c r="AD25" s="767"/>
      <c r="AE25" s="767"/>
      <c r="AF25" s="767"/>
      <c r="AG25" s="767"/>
      <c r="AH25" s="767"/>
      <c r="AI25" s="767"/>
      <c r="AJ25" s="767"/>
      <c r="AK25" s="767"/>
      <c r="AL25" s="767"/>
      <c r="AM25" s="767"/>
      <c r="AN25" s="767"/>
      <c r="AO25" s="767"/>
      <c r="AP25" s="767"/>
      <c r="AQ25" s="767"/>
      <c r="AR25" s="767"/>
      <c r="AS25" s="767"/>
      <c r="AT25" s="767"/>
      <c r="AU25" s="767"/>
      <c r="AV25" s="767"/>
      <c r="AW25" s="767"/>
      <c r="AX25" s="767"/>
      <c r="AY25" s="767"/>
      <c r="AZ25" s="767"/>
      <c r="BA25" s="767"/>
      <c r="BB25" s="767"/>
      <c r="BC25" s="767"/>
      <c r="BD25" s="767"/>
      <c r="BE25" s="767"/>
      <c r="BF25" s="767"/>
      <c r="BG25" s="767"/>
    </row>
    <row r="26">
      <c r="A26" s="29"/>
      <c r="B26" s="30"/>
      <c r="C26" s="30"/>
      <c r="D26" s="30"/>
      <c r="E26" s="30"/>
      <c r="F26" s="31"/>
      <c r="H26" s="794" t="s">
        <v>1329</v>
      </c>
      <c r="I26" s="1207" t="s">
        <v>1330</v>
      </c>
      <c r="J26" s="1208">
        <v>16.1</v>
      </c>
      <c r="L26" s="1208">
        <v>13.73</v>
      </c>
      <c r="M26" s="1209">
        <v>1.17</v>
      </c>
      <c r="N26" s="798">
        <v>20.8635</v>
      </c>
      <c r="P26" s="715" t="s">
        <v>710</v>
      </c>
      <c r="T26" s="726">
        <v>1.0</v>
      </c>
      <c r="U26" s="733"/>
      <c r="V26" s="733" t="s">
        <v>974</v>
      </c>
      <c r="W26" s="733"/>
      <c r="X26" s="767"/>
      <c r="Y26" s="767"/>
      <c r="Z26" s="767"/>
      <c r="AA26" s="767"/>
      <c r="AB26" s="767"/>
      <c r="AC26" s="767"/>
      <c r="AD26" s="767"/>
      <c r="AE26" s="767"/>
      <c r="AF26" s="767"/>
      <c r="AG26" s="767"/>
      <c r="AH26" s="767"/>
      <c r="AI26" s="767"/>
      <c r="AJ26" s="767"/>
      <c r="AK26" s="767"/>
      <c r="AL26" s="767"/>
      <c r="AM26" s="767"/>
      <c r="AN26" s="767"/>
      <c r="AO26" s="767"/>
      <c r="AP26" s="767"/>
      <c r="AQ26" s="767"/>
      <c r="AR26" s="767"/>
      <c r="AS26" s="767"/>
      <c r="AT26" s="767"/>
      <c r="AU26" s="767"/>
      <c r="AV26" s="767"/>
      <c r="AW26" s="767"/>
      <c r="AX26" s="767"/>
      <c r="AY26" s="767"/>
      <c r="AZ26" s="767"/>
      <c r="BA26" s="767"/>
      <c r="BB26" s="767"/>
      <c r="BC26" s="767"/>
      <c r="BD26" s="767"/>
      <c r="BE26" s="767"/>
      <c r="BF26" s="767"/>
      <c r="BG26" s="767"/>
    </row>
    <row r="27">
      <c r="A27" s="804"/>
      <c r="F27" s="17"/>
      <c r="H27" s="794" t="s">
        <v>1331</v>
      </c>
      <c r="I27" s="1207" t="s">
        <v>1332</v>
      </c>
      <c r="J27" s="1208">
        <v>43.66</v>
      </c>
      <c r="L27" s="1208">
        <v>2.15</v>
      </c>
      <c r="M27" s="1209">
        <v>20.31</v>
      </c>
      <c r="N27" s="769"/>
      <c r="P27" s="747" t="s">
        <v>711</v>
      </c>
      <c r="T27" s="726">
        <v>4.4</v>
      </c>
      <c r="U27" s="799"/>
      <c r="V27" s="733"/>
      <c r="W27" s="733"/>
    </row>
    <row r="28">
      <c r="A28" s="34"/>
      <c r="F28" s="17"/>
      <c r="H28" s="794" t="s">
        <v>1333</v>
      </c>
      <c r="I28" s="1207" t="s">
        <v>1334</v>
      </c>
      <c r="J28" s="1208">
        <v>45.02</v>
      </c>
      <c r="L28" s="1208">
        <v>2.32</v>
      </c>
      <c r="M28" s="1209">
        <v>19.43</v>
      </c>
      <c r="N28" s="756" t="s">
        <v>689</v>
      </c>
      <c r="P28" s="747" t="s">
        <v>719</v>
      </c>
      <c r="T28" s="757">
        <v>4.95</v>
      </c>
      <c r="U28" s="733"/>
      <c r="V28" s="1206" t="s">
        <v>977</v>
      </c>
      <c r="W28" s="733"/>
    </row>
    <row r="29">
      <c r="A29" s="34"/>
      <c r="F29" s="17"/>
      <c r="H29" s="811" t="s">
        <v>1335</v>
      </c>
      <c r="I29" s="1207" t="s">
        <v>1336</v>
      </c>
      <c r="J29" s="1208">
        <v>9.28</v>
      </c>
      <c r="L29" s="1208">
        <v>0.07</v>
      </c>
      <c r="M29" s="1209">
        <v>138.53</v>
      </c>
      <c r="N29" s="87"/>
      <c r="P29" s="770" t="s">
        <v>77</v>
      </c>
      <c r="Q29" s="13"/>
      <c r="R29" s="14"/>
      <c r="S29" s="771" t="s">
        <v>689</v>
      </c>
      <c r="T29" s="14"/>
      <c r="U29" s="779"/>
      <c r="V29" s="779"/>
      <c r="W29" s="779"/>
    </row>
    <row r="30">
      <c r="A30" s="34"/>
      <c r="F30" s="17"/>
      <c r="H30" s="817" t="s">
        <v>749</v>
      </c>
      <c r="I30" s="1210">
        <v>44.86</v>
      </c>
      <c r="J30" s="819" t="s">
        <v>750</v>
      </c>
      <c r="K30" s="1210">
        <v>47.103</v>
      </c>
      <c r="L30" s="817" t="s">
        <v>751</v>
      </c>
      <c r="M30" s="1211">
        <v>1.05</v>
      </c>
      <c r="N30" s="1186">
        <v>0.6368407310704961</v>
      </c>
      <c r="P30" s="1212">
        <v>12.133333333333335</v>
      </c>
      <c r="R30" s="17"/>
      <c r="S30" s="1181">
        <v>0.7888018566869742</v>
      </c>
      <c r="T30" s="14"/>
      <c r="U30" s="767"/>
      <c r="V30" s="767"/>
      <c r="W30" s="767"/>
    </row>
    <row r="31">
      <c r="A31" s="34"/>
      <c r="F31" s="17"/>
      <c r="H31" s="825" t="s">
        <v>754</v>
      </c>
      <c r="I31" s="826">
        <v>19.869999999999997</v>
      </c>
      <c r="J31" s="827" t="s">
        <v>755</v>
      </c>
      <c r="K31" s="1213">
        <v>20.8635</v>
      </c>
      <c r="L31" s="29"/>
      <c r="M31" s="87"/>
      <c r="N31" s="31"/>
      <c r="P31" s="29"/>
      <c r="Q31" s="30"/>
      <c r="R31" s="31"/>
      <c r="S31" s="30"/>
      <c r="T31" s="31"/>
      <c r="U31" s="767"/>
      <c r="V31" s="767"/>
      <c r="W31" s="767"/>
    </row>
    <row r="32">
      <c r="A32" s="34"/>
      <c r="F32" s="17"/>
      <c r="N32" s="799"/>
    </row>
    <row r="33">
      <c r="A33" s="34"/>
      <c r="F33" s="17"/>
      <c r="H33" s="1214" t="s">
        <v>980</v>
      </c>
      <c r="J33" s="799"/>
      <c r="M33" s="743"/>
      <c r="N33" s="799"/>
      <c r="O33" s="799"/>
    </row>
    <row r="34">
      <c r="A34" s="29"/>
      <c r="B34" s="30"/>
      <c r="C34" s="30"/>
      <c r="D34" s="30"/>
      <c r="E34" s="30"/>
      <c r="F34" s="31"/>
      <c r="H34" s="1215" t="s">
        <v>981</v>
      </c>
      <c r="J34" s="799"/>
      <c r="K34" s="111"/>
      <c r="N34" s="799"/>
      <c r="O34" s="799"/>
      <c r="P34" s="1216" t="s">
        <v>740</v>
      </c>
      <c r="Q34" s="806"/>
      <c r="R34" s="806"/>
      <c r="S34" s="807"/>
      <c r="T34" s="808"/>
    </row>
    <row r="35">
      <c r="A35" s="239" t="s">
        <v>771</v>
      </c>
      <c r="B35" s="13"/>
      <c r="C35" s="13"/>
      <c r="D35" s="13"/>
      <c r="E35" s="13"/>
      <c r="F35" s="14"/>
      <c r="H35" s="1215" t="s">
        <v>982</v>
      </c>
      <c r="J35" s="799"/>
      <c r="N35" s="799"/>
      <c r="O35" s="799"/>
      <c r="P35" s="1217" t="s">
        <v>744</v>
      </c>
      <c r="Q35" s="269"/>
      <c r="R35" s="269"/>
      <c r="S35" s="813"/>
      <c r="T35" s="814"/>
    </row>
    <row r="36">
      <c r="A36" s="34"/>
      <c r="F36" s="17"/>
      <c r="H36" s="799"/>
      <c r="I36" s="799"/>
      <c r="J36" s="799"/>
      <c r="K36" s="488"/>
      <c r="L36" s="488"/>
      <c r="M36" s="488"/>
      <c r="O36" s="799"/>
      <c r="P36" s="1217" t="s">
        <v>752</v>
      </c>
      <c r="Q36" s="269"/>
      <c r="R36" s="269"/>
      <c r="S36" s="813"/>
      <c r="T36" s="814"/>
    </row>
    <row r="37">
      <c r="A37" s="768" t="s">
        <v>780</v>
      </c>
      <c r="E37" s="255" t="s">
        <v>661</v>
      </c>
      <c r="H37" s="799"/>
      <c r="I37" s="799"/>
      <c r="J37" s="799"/>
      <c r="M37" s="743"/>
      <c r="N37" s="799"/>
      <c r="O37" s="799"/>
      <c r="P37" s="1217" t="s">
        <v>756</v>
      </c>
      <c r="Q37" s="269"/>
      <c r="R37" s="269"/>
      <c r="S37" s="813"/>
      <c r="T37" s="814"/>
    </row>
    <row r="38">
      <c r="A38" s="859" t="s">
        <v>785</v>
      </c>
      <c r="E38" s="860"/>
      <c r="I38" s="799"/>
      <c r="J38" s="799"/>
      <c r="M38" s="743"/>
      <c r="N38" s="799"/>
      <c r="O38" s="799"/>
      <c r="P38" s="1218" t="s">
        <v>760</v>
      </c>
      <c r="Q38" s="269"/>
      <c r="R38" s="269"/>
      <c r="S38" s="813"/>
      <c r="T38" s="814"/>
    </row>
    <row r="39">
      <c r="A39" s="859" t="s">
        <v>792</v>
      </c>
      <c r="E39" s="864"/>
      <c r="H39" s="799"/>
      <c r="I39" s="799"/>
      <c r="J39" s="799"/>
      <c r="K39" s="744"/>
      <c r="L39" s="799"/>
      <c r="M39" s="799"/>
      <c r="N39" s="799"/>
      <c r="O39" s="799"/>
      <c r="P39" s="1218" t="s">
        <v>764</v>
      </c>
      <c r="Q39" s="269"/>
      <c r="R39" s="269"/>
      <c r="S39" s="813"/>
      <c r="T39" s="814"/>
    </row>
    <row r="40">
      <c r="A40" s="870" t="s">
        <v>798</v>
      </c>
      <c r="E40" s="864"/>
      <c r="H40" s="799"/>
      <c r="I40" s="799"/>
      <c r="J40" s="799"/>
      <c r="K40" s="799"/>
      <c r="L40" s="799"/>
      <c r="M40" s="799"/>
      <c r="N40" s="799"/>
      <c r="O40" s="799"/>
      <c r="P40" s="1219" t="s">
        <v>768</v>
      </c>
      <c r="Q40" s="269"/>
      <c r="R40" s="269"/>
      <c r="S40" s="813"/>
      <c r="T40" s="814"/>
    </row>
    <row r="41">
      <c r="A41" s="870"/>
      <c r="E41" s="864"/>
      <c r="H41" s="799"/>
      <c r="I41" s="799"/>
      <c r="J41" s="799"/>
      <c r="L41" s="799"/>
      <c r="M41" s="799"/>
      <c r="N41" s="799"/>
      <c r="O41" s="799"/>
      <c r="P41" s="1218" t="s">
        <v>772</v>
      </c>
      <c r="Q41" s="269"/>
      <c r="R41" s="269"/>
      <c r="S41" s="813"/>
      <c r="T41" s="814"/>
    </row>
    <row r="42">
      <c r="A42" s="255" t="s">
        <v>803</v>
      </c>
      <c r="E42" s="786" t="e">
        <v>#DIV/0!</v>
      </c>
      <c r="H42" s="799"/>
      <c r="I42" s="799"/>
      <c r="J42" s="799"/>
      <c r="K42" s="799"/>
      <c r="L42" s="799"/>
      <c r="M42" s="799"/>
      <c r="N42" s="799"/>
      <c r="O42" s="799"/>
      <c r="P42" s="1218" t="s">
        <v>776</v>
      </c>
      <c r="Q42" s="269"/>
      <c r="R42" s="269"/>
      <c r="S42" s="269"/>
      <c r="T42" s="814"/>
    </row>
    <row r="43">
      <c r="H43" s="799"/>
      <c r="I43" s="799"/>
      <c r="J43" s="799"/>
      <c r="K43" s="799"/>
      <c r="L43" s="799"/>
      <c r="M43" s="799"/>
      <c r="N43" s="799"/>
      <c r="O43" s="799"/>
      <c r="P43" s="1218" t="s">
        <v>781</v>
      </c>
      <c r="Q43" s="269"/>
      <c r="R43" s="269"/>
      <c r="S43" s="269"/>
      <c r="T43" s="814"/>
    </row>
    <row r="44">
      <c r="H44" s="799"/>
      <c r="I44" s="799"/>
      <c r="J44" s="799"/>
      <c r="K44" s="799"/>
      <c r="L44" s="799"/>
      <c r="M44" s="799"/>
      <c r="N44" s="799"/>
      <c r="O44" s="799"/>
      <c r="P44" s="861" t="s">
        <v>787</v>
      </c>
      <c r="Q44" s="862"/>
      <c r="R44" s="862"/>
      <c r="S44" s="862"/>
      <c r="T44" s="863"/>
    </row>
    <row r="45" ht="17.25" customHeight="1">
      <c r="H45" s="799"/>
      <c r="I45" s="799"/>
      <c r="J45" s="799"/>
      <c r="K45" s="799"/>
      <c r="L45" s="799"/>
      <c r="M45" s="799"/>
      <c r="N45" s="799"/>
      <c r="O45" s="799"/>
    </row>
    <row r="46">
      <c r="A46" s="910" t="s">
        <v>826</v>
      </c>
      <c r="H46" s="911" t="s">
        <v>827</v>
      </c>
      <c r="I46" s="912" t="s">
        <v>828</v>
      </c>
      <c r="J46" s="913"/>
      <c r="K46" s="913"/>
      <c r="L46" s="799"/>
      <c r="M46" s="799"/>
      <c r="N46" s="799"/>
      <c r="O46" s="799"/>
    </row>
    <row r="47">
      <c r="A47" s="1220" t="s">
        <v>983</v>
      </c>
      <c r="B47" s="1221"/>
      <c r="C47" s="1221"/>
      <c r="D47" s="1221"/>
      <c r="E47" s="1221"/>
      <c r="F47" s="1221"/>
      <c r="G47" s="1221"/>
      <c r="H47" s="1222"/>
      <c r="I47" s="1223"/>
      <c r="J47" s="913"/>
      <c r="K47" s="913"/>
      <c r="L47" s="913"/>
      <c r="M47" s="913"/>
      <c r="N47" s="913"/>
      <c r="O47" s="913"/>
      <c r="P47" s="480"/>
      <c r="Q47" s="480"/>
      <c r="R47" s="480"/>
      <c r="S47" s="480"/>
      <c r="T47" s="480"/>
      <c r="U47" s="480"/>
      <c r="V47" s="480"/>
      <c r="W47" s="480"/>
      <c r="X47" s="480"/>
      <c r="Y47" s="480"/>
      <c r="Z47" s="480"/>
      <c r="AA47" s="480"/>
      <c r="AB47" s="480"/>
      <c r="AC47" s="480"/>
      <c r="AD47" s="480"/>
      <c r="AE47" s="480"/>
      <c r="AF47" s="480"/>
      <c r="AG47" s="480"/>
      <c r="AH47" s="480"/>
      <c r="AI47" s="480"/>
      <c r="AJ47" s="480"/>
      <c r="AK47" s="480"/>
      <c r="AL47" s="480"/>
      <c r="AM47" s="480"/>
      <c r="AN47" s="480"/>
      <c r="AO47" s="480"/>
      <c r="AP47" s="480"/>
      <c r="AQ47" s="480"/>
      <c r="AR47" s="480"/>
      <c r="AS47" s="480"/>
      <c r="AT47" s="480"/>
      <c r="AU47" s="480"/>
      <c r="AV47" s="480"/>
      <c r="AW47" s="480"/>
      <c r="AX47" s="480"/>
      <c r="AY47" s="480"/>
      <c r="AZ47" s="480"/>
      <c r="BA47" s="480"/>
      <c r="BB47" s="480"/>
      <c r="BC47" s="480"/>
      <c r="BD47" s="480"/>
      <c r="BE47" s="480"/>
      <c r="BF47" s="480"/>
      <c r="BG47" s="480"/>
    </row>
    <row r="48">
      <c r="A48" s="1224" t="s">
        <v>984</v>
      </c>
      <c r="B48" s="1224" t="s">
        <v>985</v>
      </c>
      <c r="C48" s="1225" t="s">
        <v>986</v>
      </c>
      <c r="D48" s="1224" t="s">
        <v>987</v>
      </c>
      <c r="E48" s="1224" t="s">
        <v>988</v>
      </c>
      <c r="F48" s="1224" t="s">
        <v>989</v>
      </c>
      <c r="G48" s="1224" t="s">
        <v>990</v>
      </c>
      <c r="H48" s="1226" t="s">
        <v>991</v>
      </c>
      <c r="I48" s="1227" t="s">
        <v>992</v>
      </c>
      <c r="J48" s="1226" t="s">
        <v>993</v>
      </c>
      <c r="K48" s="1226" t="s">
        <v>994</v>
      </c>
      <c r="L48" s="1226" t="s">
        <v>995</v>
      </c>
      <c r="M48" s="1226" t="s">
        <v>996</v>
      </c>
      <c r="N48" s="1226" t="s">
        <v>997</v>
      </c>
      <c r="O48" s="1226" t="s">
        <v>998</v>
      </c>
      <c r="P48" s="1228" t="s">
        <v>999</v>
      </c>
      <c r="Q48" s="1228" t="s">
        <v>1000</v>
      </c>
      <c r="R48" s="1228" t="s">
        <v>1001</v>
      </c>
      <c r="S48" s="1228" t="s">
        <v>1002</v>
      </c>
      <c r="T48" s="1229" t="s">
        <v>1003</v>
      </c>
      <c r="U48" s="1228" t="s">
        <v>1004</v>
      </c>
      <c r="V48" s="1228" t="s">
        <v>1005</v>
      </c>
      <c r="W48" s="1228" t="s">
        <v>1006</v>
      </c>
      <c r="X48" s="1228" t="s">
        <v>1007</v>
      </c>
      <c r="Y48" s="1228" t="s">
        <v>1008</v>
      </c>
      <c r="Z48" s="1228" t="s">
        <v>1009</v>
      </c>
      <c r="AA48" s="1228" t="s">
        <v>1010</v>
      </c>
      <c r="AB48" s="1228" t="s">
        <v>1011</v>
      </c>
      <c r="AC48" s="1229" t="s">
        <v>1012</v>
      </c>
      <c r="AD48" s="1228" t="s">
        <v>1013</v>
      </c>
      <c r="AE48" s="1228" t="s">
        <v>1014</v>
      </c>
      <c r="AF48" s="1228" t="s">
        <v>1015</v>
      </c>
      <c r="AG48" s="1228" t="s">
        <v>1016</v>
      </c>
      <c r="AH48" s="1228" t="s">
        <v>1017</v>
      </c>
      <c r="AI48" s="1228" t="s">
        <v>1018</v>
      </c>
      <c r="AJ48" s="1228" t="s">
        <v>1019</v>
      </c>
      <c r="AK48" s="1230"/>
      <c r="AL48" s="1230"/>
      <c r="AM48" s="1230"/>
      <c r="AN48" s="1230"/>
      <c r="AO48" s="1230"/>
      <c r="AP48" s="1230"/>
      <c r="AQ48" s="1230"/>
      <c r="AR48" s="1230"/>
      <c r="AS48" s="1230"/>
      <c r="AT48" s="1230"/>
      <c r="AU48" s="1230"/>
      <c r="AV48" s="1230"/>
      <c r="AW48" s="1230"/>
      <c r="AX48" s="1230"/>
      <c r="AY48" s="1230"/>
      <c r="AZ48" s="1230"/>
      <c r="BA48" s="1230"/>
      <c r="BB48" s="1230"/>
      <c r="BC48" s="1230"/>
      <c r="BD48" s="1230"/>
      <c r="BE48" s="1230"/>
      <c r="BF48" s="1230"/>
      <c r="BG48" s="1230"/>
    </row>
    <row r="49">
      <c r="A49" s="1224" t="s">
        <v>115</v>
      </c>
      <c r="B49" s="1224">
        <v>57.45</v>
      </c>
      <c r="C49" s="1225">
        <v>0.996</v>
      </c>
      <c r="D49" s="1224">
        <v>4618495.0</v>
      </c>
      <c r="E49" s="1224">
        <v>5.028087195E10</v>
      </c>
      <c r="F49" s="1224">
        <v>3.16</v>
      </c>
      <c r="G49" s="1224" t="s">
        <v>1337</v>
      </c>
      <c r="H49" s="1226">
        <v>0.06</v>
      </c>
      <c r="I49" s="1227" t="s">
        <v>1328</v>
      </c>
      <c r="J49" s="1226" t="s">
        <v>1021</v>
      </c>
      <c r="K49" s="1226">
        <v>726728.0</v>
      </c>
      <c r="L49" s="1226" t="s">
        <v>1338</v>
      </c>
      <c r="M49" s="1226">
        <v>7.56109104E8</v>
      </c>
      <c r="N49" s="1226" t="s">
        <v>1222</v>
      </c>
      <c r="O49" s="1226" t="s">
        <v>1223</v>
      </c>
      <c r="P49" s="1228" t="s">
        <v>1339</v>
      </c>
      <c r="Q49" s="1231" t="s">
        <v>1340</v>
      </c>
      <c r="R49" s="1228" t="s">
        <v>1341</v>
      </c>
      <c r="S49" s="1228" t="s">
        <v>1342</v>
      </c>
      <c r="T49" s="1229" t="s">
        <v>116</v>
      </c>
      <c r="U49" s="1228" t="s">
        <v>1029</v>
      </c>
      <c r="V49" s="1228">
        <v>418.0</v>
      </c>
      <c r="W49" s="1228" t="s">
        <v>1343</v>
      </c>
      <c r="X49" s="1228" t="s">
        <v>1344</v>
      </c>
      <c r="Y49" s="1228" t="s">
        <v>1345</v>
      </c>
      <c r="Z49" s="1228" t="s">
        <v>1231</v>
      </c>
      <c r="AA49" s="1228">
        <v>92130.0</v>
      </c>
      <c r="AB49" s="1232">
        <v>-145.11388</v>
      </c>
      <c r="AC49" s="1233">
        <v>203.75888002394223</v>
      </c>
      <c r="AD49" s="1231" t="s">
        <v>1346</v>
      </c>
      <c r="AE49" s="1234">
        <v>34625.0</v>
      </c>
      <c r="AF49" s="1228" t="b">
        <v>0</v>
      </c>
      <c r="AG49" s="1228" t="b">
        <v>0</v>
      </c>
      <c r="AH49" s="1228" t="b">
        <v>1</v>
      </c>
      <c r="AI49" s="1228" t="b">
        <v>0</v>
      </c>
      <c r="AJ49" s="1228" t="b">
        <v>0</v>
      </c>
      <c r="AK49" s="1230"/>
      <c r="AL49" s="1230"/>
      <c r="AM49" s="1230"/>
      <c r="AN49" s="1230"/>
      <c r="AO49" s="1230"/>
      <c r="AP49" s="1230"/>
      <c r="AQ49" s="1230"/>
      <c r="AR49" s="1230"/>
      <c r="AS49" s="1230"/>
      <c r="AT49" s="1230"/>
      <c r="AU49" s="1230"/>
      <c r="AV49" s="1230"/>
      <c r="AW49" s="1230"/>
      <c r="AX49" s="1230"/>
      <c r="AY49" s="1230"/>
      <c r="AZ49" s="1230"/>
      <c r="BA49" s="1230"/>
      <c r="BB49" s="1230"/>
      <c r="BC49" s="1230"/>
      <c r="BD49" s="1230"/>
      <c r="BE49" s="1230"/>
      <c r="BF49" s="1230"/>
      <c r="BG49" s="1230"/>
    </row>
    <row r="50">
      <c r="A50" s="1221"/>
      <c r="B50" s="1221"/>
      <c r="C50" s="1221"/>
      <c r="D50" s="1221"/>
      <c r="E50" s="1221"/>
      <c r="F50" s="1221"/>
      <c r="G50" s="1221"/>
      <c r="H50" s="1222"/>
      <c r="I50" s="1223"/>
      <c r="J50" s="913"/>
      <c r="K50" s="913"/>
      <c r="L50" s="913"/>
      <c r="M50" s="913"/>
      <c r="N50" s="913"/>
      <c r="O50" s="913"/>
      <c r="P50" s="480"/>
      <c r="Q50" s="480"/>
      <c r="R50" s="480"/>
      <c r="S50" s="480"/>
      <c r="T50" s="480"/>
      <c r="U50" s="480"/>
      <c r="V50" s="480"/>
      <c r="W50" s="480"/>
      <c r="X50" s="480"/>
      <c r="Y50" s="480"/>
      <c r="Z50" s="480"/>
      <c r="AA50" s="480"/>
      <c r="AB50" s="480"/>
      <c r="AC50" s="480"/>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c r="BE50" s="480"/>
      <c r="BF50" s="480"/>
      <c r="BG50" s="480"/>
    </row>
    <row r="51">
      <c r="A51" s="1220" t="s">
        <v>1036</v>
      </c>
      <c r="B51" s="480"/>
      <c r="C51" s="480"/>
      <c r="D51" s="480"/>
      <c r="E51" s="480"/>
      <c r="F51" s="480"/>
      <c r="G51" s="480"/>
      <c r="H51" s="913"/>
      <c r="I51" s="913"/>
      <c r="J51" s="913"/>
      <c r="K51" s="913"/>
      <c r="L51" s="913"/>
      <c r="M51" s="913"/>
      <c r="N51" s="913"/>
      <c r="O51" s="913"/>
      <c r="P51" s="913"/>
      <c r="Q51" s="913"/>
      <c r="R51" s="913"/>
      <c r="S51" s="913"/>
      <c r="T51" s="913"/>
      <c r="U51" s="913"/>
      <c r="V51" s="913"/>
      <c r="W51" s="913"/>
      <c r="X51" s="913"/>
      <c r="Y51" s="913"/>
      <c r="Z51" s="913"/>
      <c r="AA51" s="913"/>
      <c r="AB51" s="913"/>
      <c r="AC51" s="913"/>
      <c r="AD51" s="913"/>
      <c r="AE51" s="913"/>
      <c r="AF51" s="913"/>
      <c r="AG51" s="913"/>
      <c r="AH51" s="913"/>
      <c r="AI51" s="913"/>
      <c r="AJ51" s="913"/>
      <c r="AK51" s="913"/>
      <c r="AL51" s="913"/>
      <c r="AM51" s="913"/>
      <c r="AN51" s="913"/>
      <c r="AO51" s="913"/>
      <c r="AP51" s="913"/>
      <c r="AQ51" s="913"/>
      <c r="AR51" s="913"/>
      <c r="AS51" s="913"/>
      <c r="AT51" s="913"/>
      <c r="AU51" s="913"/>
      <c r="AV51" s="913"/>
      <c r="AW51" s="913"/>
      <c r="AX51" s="913"/>
      <c r="AY51" s="913"/>
      <c r="AZ51" s="913"/>
      <c r="BA51" s="913"/>
      <c r="BB51" s="913"/>
      <c r="BC51" s="913"/>
      <c r="BD51" s="913"/>
      <c r="BE51" s="913"/>
      <c r="BF51" s="913"/>
      <c r="BG51" s="913"/>
    </row>
    <row r="52">
      <c r="A52" s="1235" t="s">
        <v>1037</v>
      </c>
      <c r="B52" s="1220" t="s">
        <v>984</v>
      </c>
      <c r="C52" s="1220" t="s">
        <v>1038</v>
      </c>
      <c r="D52" s="1220" t="s">
        <v>994</v>
      </c>
      <c r="E52" s="1220" t="s">
        <v>1039</v>
      </c>
      <c r="F52" s="1220" t="s">
        <v>1040</v>
      </c>
      <c r="G52" s="1220" t="s">
        <v>1041</v>
      </c>
      <c r="H52" s="1236" t="s">
        <v>1042</v>
      </c>
      <c r="I52" s="1236" t="s">
        <v>1043</v>
      </c>
      <c r="J52" s="1236" t="s">
        <v>1044</v>
      </c>
      <c r="K52" s="1236" t="s">
        <v>1045</v>
      </c>
      <c r="L52" s="1236" t="s">
        <v>1046</v>
      </c>
      <c r="M52" s="1236" t="s">
        <v>1047</v>
      </c>
      <c r="N52" s="1236" t="s">
        <v>1048</v>
      </c>
      <c r="O52" s="1236" t="s">
        <v>1049</v>
      </c>
      <c r="P52" s="1236" t="s">
        <v>1050</v>
      </c>
      <c r="Q52" s="1236" t="s">
        <v>1051</v>
      </c>
      <c r="R52" s="1236" t="s">
        <v>1052</v>
      </c>
      <c r="S52" s="1236" t="s">
        <v>1053</v>
      </c>
      <c r="T52" s="1236" t="s">
        <v>1054</v>
      </c>
      <c r="U52" s="1236" t="s">
        <v>1055</v>
      </c>
      <c r="V52" s="1236" t="s">
        <v>1056</v>
      </c>
      <c r="W52" s="1236" t="s">
        <v>1057</v>
      </c>
      <c r="X52" s="1236" t="s">
        <v>1058</v>
      </c>
      <c r="Y52" s="1237" t="s">
        <v>1059</v>
      </c>
      <c r="Z52" s="1236" t="s">
        <v>1060</v>
      </c>
      <c r="AA52" s="1236" t="s">
        <v>1061</v>
      </c>
      <c r="AB52" s="1236" t="s">
        <v>1062</v>
      </c>
      <c r="AC52" s="1236" t="s">
        <v>1063</v>
      </c>
      <c r="AD52" s="1236" t="s">
        <v>1064</v>
      </c>
      <c r="AE52" s="1236" t="s">
        <v>1065</v>
      </c>
      <c r="AF52" s="1236" t="s">
        <v>1066</v>
      </c>
      <c r="AG52" s="1236" t="s">
        <v>1067</v>
      </c>
      <c r="AH52" s="1237" t="s">
        <v>1068</v>
      </c>
      <c r="AI52" s="1236" t="s">
        <v>1069</v>
      </c>
      <c r="AJ52" s="1236" t="s">
        <v>1070</v>
      </c>
      <c r="AK52" s="1236" t="s">
        <v>1071</v>
      </c>
      <c r="AL52" s="1236" t="s">
        <v>1072</v>
      </c>
      <c r="AM52" s="913"/>
      <c r="AN52" s="913"/>
      <c r="AO52" s="913"/>
      <c r="AP52" s="913"/>
      <c r="AQ52" s="913"/>
      <c r="AR52" s="913"/>
      <c r="AS52" s="913"/>
      <c r="AT52" s="913"/>
      <c r="AU52" s="913"/>
      <c r="AV52" s="913"/>
      <c r="AW52" s="913"/>
      <c r="AX52" s="913"/>
      <c r="AY52" s="913"/>
      <c r="AZ52" s="913"/>
      <c r="BA52" s="913"/>
      <c r="BB52" s="913"/>
      <c r="BC52" s="913"/>
      <c r="BD52" s="913"/>
      <c r="BE52" s="913"/>
      <c r="BF52" s="913"/>
      <c r="BG52" s="913"/>
    </row>
    <row r="53">
      <c r="A53" s="1238">
        <v>45291.0</v>
      </c>
      <c r="B53" s="1220" t="s">
        <v>115</v>
      </c>
      <c r="C53" s="1220" t="s">
        <v>1021</v>
      </c>
      <c r="D53" s="1220">
        <v>726728.0</v>
      </c>
      <c r="E53" s="1238">
        <v>45343.0</v>
      </c>
      <c r="F53" s="1239">
        <v>45343.67784722222</v>
      </c>
      <c r="G53" s="1220">
        <v>2023.0</v>
      </c>
      <c r="H53" s="1236" t="s">
        <v>1073</v>
      </c>
      <c r="I53" s="1240">
        <v>4.078993E9</v>
      </c>
      <c r="J53" s="1240">
        <v>3.16964E8</v>
      </c>
      <c r="K53" s="1240">
        <v>3.762029E9</v>
      </c>
      <c r="L53" s="1240">
        <v>0.9222935661</v>
      </c>
      <c r="M53" s="1240">
        <v>0.0</v>
      </c>
      <c r="N53" s="1240">
        <v>1.44536E8</v>
      </c>
      <c r="O53" s="1240">
        <v>0.0</v>
      </c>
      <c r="P53" s="1240">
        <v>1.44536E8</v>
      </c>
      <c r="Q53" s="1240">
        <v>0.0</v>
      </c>
      <c r="R53" s="1240">
        <v>2.105216999E9</v>
      </c>
      <c r="S53" s="1240">
        <v>1.70203E8</v>
      </c>
      <c r="T53" s="1240">
        <v>4.1433E7</v>
      </c>
      <c r="U53" s="1240">
        <v>7.79045E8</v>
      </c>
      <c r="V53" s="1240">
        <v>1.895177E9</v>
      </c>
      <c r="W53" s="1240">
        <v>3.620039E9</v>
      </c>
      <c r="X53" s="1240">
        <v>0.8874835039</v>
      </c>
      <c r="Y53" s="1241">
        <v>3.620039E9</v>
      </c>
      <c r="Z53" s="1240">
        <v>0.8874835039</v>
      </c>
      <c r="AA53" s="1240">
        <v>-2.691104E9</v>
      </c>
      <c r="AB53" s="1240">
        <v>9.28935E8</v>
      </c>
      <c r="AC53" s="1240">
        <v>0.2277363555</v>
      </c>
      <c r="AD53" s="1240">
        <v>5.2021E7</v>
      </c>
      <c r="AE53" s="1240">
        <v>8.72309E8</v>
      </c>
      <c r="AF53" s="1240">
        <v>0.2138540076</v>
      </c>
      <c r="AG53" s="1240">
        <v>1.26</v>
      </c>
      <c r="AH53" s="1241">
        <v>1.26</v>
      </c>
      <c r="AI53" s="1240">
        <v>6.92298E8</v>
      </c>
      <c r="AJ53" s="1240">
        <v>6.93024E8</v>
      </c>
      <c r="AK53" s="1242" t="s">
        <v>1347</v>
      </c>
      <c r="AL53" s="1242" t="s">
        <v>1348</v>
      </c>
      <c r="AM53" s="913"/>
      <c r="AN53" s="913"/>
      <c r="AO53" s="913"/>
      <c r="AP53" s="913"/>
      <c r="AQ53" s="913"/>
      <c r="AR53" s="913"/>
      <c r="AS53" s="913"/>
      <c r="AT53" s="913"/>
      <c r="AU53" s="913"/>
      <c r="AV53" s="913"/>
      <c r="AW53" s="913"/>
      <c r="AX53" s="913"/>
      <c r="AY53" s="913"/>
      <c r="AZ53" s="913"/>
      <c r="BA53" s="913"/>
      <c r="BB53" s="913"/>
      <c r="BC53" s="913"/>
      <c r="BD53" s="913"/>
      <c r="BE53" s="913"/>
      <c r="BF53" s="913"/>
      <c r="BG53" s="913"/>
    </row>
    <row r="54">
      <c r="A54" s="1238">
        <v>44926.0</v>
      </c>
      <c r="B54" s="1220" t="s">
        <v>115</v>
      </c>
      <c r="C54" s="1220" t="s">
        <v>1021</v>
      </c>
      <c r="D54" s="1220">
        <v>726728.0</v>
      </c>
      <c r="E54" s="1238">
        <v>44979.0</v>
      </c>
      <c r="F54" s="1239">
        <v>44979.6716087963</v>
      </c>
      <c r="G54" s="1220">
        <v>2022.0</v>
      </c>
      <c r="H54" s="1236" t="s">
        <v>1073</v>
      </c>
      <c r="I54" s="1240">
        <v>3.343681E9</v>
      </c>
      <c r="J54" s="1240">
        <v>2.2633E8</v>
      </c>
      <c r="K54" s="1240">
        <v>3.117351E9</v>
      </c>
      <c r="L54" s="1240">
        <v>0.9323111266</v>
      </c>
      <c r="M54" s="1240">
        <v>0.27446776944442947</v>
      </c>
      <c r="N54" s="1240">
        <v>1.38459E8</v>
      </c>
      <c r="O54" s="1240">
        <v>0.0</v>
      </c>
      <c r="P54" s="1240">
        <v>1.38459E8</v>
      </c>
      <c r="Q54" s="1240">
        <v>1.670389E9</v>
      </c>
      <c r="R54" s="1240">
        <v>1.808848E9</v>
      </c>
      <c r="S54" s="1240">
        <v>2.035178E9</v>
      </c>
      <c r="T54" s="1240">
        <v>7.6611E7</v>
      </c>
      <c r="U54" s="1240">
        <v>4.45448E8</v>
      </c>
      <c r="V54" s="1240">
        <v>2.251804E9</v>
      </c>
      <c r="W54" s="1240">
        <v>2.928636E9</v>
      </c>
      <c r="X54" s="1240">
        <v>0.8758718311</v>
      </c>
      <c r="Y54" s="1240">
        <v>1.258247E9</v>
      </c>
      <c r="Z54" s="1240">
        <v>0.3763059335</v>
      </c>
      <c r="AA54" s="1240">
        <v>-2.184666E9</v>
      </c>
      <c r="AB54" s="1240">
        <v>9.17599E8</v>
      </c>
      <c r="AC54" s="1240">
        <v>0.2744277938</v>
      </c>
      <c r="AD54" s="1240">
        <v>4.5183E7</v>
      </c>
      <c r="AE54" s="1240">
        <v>8.69408E8</v>
      </c>
      <c r="AF54" s="1240">
        <v>0.2600152347</v>
      </c>
      <c r="AG54" s="1240">
        <v>1.42</v>
      </c>
      <c r="AH54" s="1240">
        <v>1.42</v>
      </c>
      <c r="AI54" s="1240">
        <v>6.11765815E8</v>
      </c>
      <c r="AJ54" s="1240">
        <v>6.12180519E8</v>
      </c>
      <c r="AK54" s="1242" t="s">
        <v>1349</v>
      </c>
      <c r="AL54" s="1242" t="s">
        <v>1350</v>
      </c>
      <c r="AM54" s="913"/>
      <c r="AN54" s="913"/>
      <c r="AO54" s="913"/>
      <c r="AP54" s="913"/>
      <c r="AQ54" s="913"/>
      <c r="AR54" s="913"/>
      <c r="AS54" s="913"/>
      <c r="AT54" s="913"/>
      <c r="AU54" s="913"/>
      <c r="AV54" s="913"/>
      <c r="AW54" s="913"/>
      <c r="AX54" s="913"/>
      <c r="AY54" s="913"/>
      <c r="AZ54" s="913"/>
      <c r="BA54" s="913"/>
      <c r="BB54" s="913"/>
      <c r="BC54" s="913"/>
      <c r="BD54" s="913"/>
      <c r="BE54" s="913"/>
      <c r="BF54" s="913"/>
      <c r="BG54" s="913"/>
    </row>
    <row r="55">
      <c r="A55" s="1238">
        <v>44561.0</v>
      </c>
      <c r="B55" s="1220" t="s">
        <v>115</v>
      </c>
      <c r="C55" s="1220" t="s">
        <v>1021</v>
      </c>
      <c r="D55" s="1220">
        <v>726728.0</v>
      </c>
      <c r="E55" s="1238">
        <v>44615.0</v>
      </c>
      <c r="F55" s="1239">
        <v>44615.67177083333</v>
      </c>
      <c r="G55" s="1220">
        <v>2021.0</v>
      </c>
      <c r="H55" s="1236" t="s">
        <v>1073</v>
      </c>
      <c r="I55" s="1240">
        <v>2.080463E9</v>
      </c>
      <c r="J55" s="1240">
        <v>1.33605E8</v>
      </c>
      <c r="K55" s="1240">
        <v>1.946858E9</v>
      </c>
      <c r="L55" s="1240">
        <v>0.9357811218</v>
      </c>
      <c r="M55" s="1240">
        <v>0.18821960648880956</v>
      </c>
      <c r="N55" s="1240">
        <v>9.698E7</v>
      </c>
      <c r="O55" s="1240">
        <v>0.0</v>
      </c>
      <c r="P55" s="1240">
        <v>9.698E7</v>
      </c>
      <c r="Q55" s="1240">
        <v>8.97835E8</v>
      </c>
      <c r="R55" s="1240">
        <v>9.94815E8</v>
      </c>
      <c r="S55" s="1240">
        <v>1.12842E9</v>
      </c>
      <c r="T55" s="1240">
        <v>1.3847E7</v>
      </c>
      <c r="U55" s="1240">
        <v>3.23644E8</v>
      </c>
      <c r="V55" s="1240">
        <v>1.120982E9</v>
      </c>
      <c r="W55" s="1240">
        <v>1.860933E9</v>
      </c>
      <c r="X55" s="1240">
        <v>0.8944802191</v>
      </c>
      <c r="Y55" s="1240">
        <v>9.63098E8</v>
      </c>
      <c r="Z55" s="1240">
        <v>0.4629248393</v>
      </c>
      <c r="AA55" s="1240">
        <v>-7.9674E8</v>
      </c>
      <c r="AB55" s="1240">
        <v>3.92404E8</v>
      </c>
      <c r="AC55" s="1240">
        <v>0.1886137845</v>
      </c>
      <c r="AD55" s="1240">
        <v>3.1657E7</v>
      </c>
      <c r="AE55" s="1240">
        <v>3.59456E8</v>
      </c>
      <c r="AF55" s="1240">
        <v>0.1727769251</v>
      </c>
      <c r="AG55" s="1240">
        <v>0.87</v>
      </c>
      <c r="AH55" s="1240">
        <v>0.87</v>
      </c>
      <c r="AI55" s="1240">
        <v>4.14535283E8</v>
      </c>
      <c r="AJ55" s="1240">
        <v>4.14769846E8</v>
      </c>
      <c r="AK55" s="1242" t="s">
        <v>1351</v>
      </c>
      <c r="AL55" s="1242" t="s">
        <v>1352</v>
      </c>
      <c r="AM55" s="913"/>
      <c r="AN55" s="913"/>
      <c r="AO55" s="913"/>
      <c r="AP55" s="913"/>
      <c r="AQ55" s="913"/>
      <c r="AR55" s="913"/>
      <c r="AS55" s="913"/>
      <c r="AT55" s="913"/>
      <c r="AU55" s="913"/>
      <c r="AV55" s="913"/>
      <c r="AW55" s="913"/>
      <c r="AX55" s="913"/>
      <c r="AY55" s="913"/>
      <c r="AZ55" s="913"/>
      <c r="BA55" s="913"/>
      <c r="BB55" s="913"/>
      <c r="BC55" s="913"/>
      <c r="BD55" s="913"/>
      <c r="BE55" s="913"/>
      <c r="BF55" s="913"/>
      <c r="BG55" s="913"/>
    </row>
    <row r="56">
      <c r="A56" s="1238">
        <v>44196.0</v>
      </c>
      <c r="B56" s="1220" t="s">
        <v>115</v>
      </c>
      <c r="C56" s="1220" t="s">
        <v>1021</v>
      </c>
      <c r="D56" s="1220">
        <v>726728.0</v>
      </c>
      <c r="E56" s="1238">
        <v>44250.0</v>
      </c>
      <c r="F56" s="1239">
        <v>44250.683703703704</v>
      </c>
      <c r="G56" s="1220">
        <v>2020.0</v>
      </c>
      <c r="H56" s="1236" t="s">
        <v>1073</v>
      </c>
      <c r="I56" s="1240">
        <v>1.651625E9</v>
      </c>
      <c r="J56" s="1240">
        <v>1.04603E8</v>
      </c>
      <c r="K56" s="1240">
        <v>1.547022E9</v>
      </c>
      <c r="L56" s="1240">
        <v>0.9366666162</v>
      </c>
      <c r="M56" s="1240">
        <v>0.24357922534272664</v>
      </c>
      <c r="N56" s="1240">
        <v>7.3215E7</v>
      </c>
      <c r="O56" s="1240">
        <v>0.0</v>
      </c>
      <c r="P56" s="1240">
        <v>7.3215E7</v>
      </c>
      <c r="Q56" s="1240">
        <v>6.77038E8</v>
      </c>
      <c r="R56" s="1240">
        <v>7.50253E8</v>
      </c>
      <c r="S56" s="1240">
        <v>8.54856E8</v>
      </c>
      <c r="T56" s="1240">
        <v>3012000.0</v>
      </c>
      <c r="U56" s="1240">
        <v>3.09336E8</v>
      </c>
      <c r="V56" s="1240">
        <v>8.47554E8</v>
      </c>
      <c r="W56" s="1240">
        <v>1.550041E9</v>
      </c>
      <c r="X56" s="1240">
        <v>0.938494513</v>
      </c>
      <c r="Y56" s="1240">
        <v>8.73003E8</v>
      </c>
      <c r="Z56" s="1240">
        <v>0.5285721638</v>
      </c>
      <c r="AA56" s="1240">
        <v>-3.81032E8</v>
      </c>
      <c r="AB56" s="1240">
        <v>4.11199E8</v>
      </c>
      <c r="AC56" s="1240">
        <v>0.248966321</v>
      </c>
      <c r="AD56" s="1240">
        <v>1.4693E7</v>
      </c>
      <c r="AE56" s="1240">
        <v>3.95486E8</v>
      </c>
      <c r="AF56" s="1240">
        <v>0.2394526603</v>
      </c>
      <c r="AG56" s="1240">
        <v>1.15</v>
      </c>
      <c r="AH56" s="1240">
        <v>1.15</v>
      </c>
      <c r="AI56" s="1240">
        <v>3.45280126E8</v>
      </c>
      <c r="AJ56" s="1240">
        <v>3.45415258E8</v>
      </c>
      <c r="AK56" s="1242" t="s">
        <v>1353</v>
      </c>
      <c r="AL56" s="1242" t="s">
        <v>1354</v>
      </c>
      <c r="AM56" s="913"/>
      <c r="AN56" s="913"/>
      <c r="AO56" s="913"/>
      <c r="AP56" s="913"/>
      <c r="AQ56" s="913"/>
      <c r="AR56" s="913"/>
      <c r="AS56" s="913"/>
      <c r="AT56" s="913"/>
      <c r="AU56" s="913"/>
      <c r="AV56" s="913"/>
      <c r="AW56" s="913"/>
      <c r="AX56" s="913"/>
      <c r="AY56" s="913"/>
      <c r="AZ56" s="913"/>
      <c r="BA56" s="913"/>
      <c r="BB56" s="913"/>
      <c r="BC56" s="913"/>
      <c r="BD56" s="913"/>
      <c r="BE56" s="913"/>
      <c r="BF56" s="913"/>
      <c r="BG56" s="913"/>
    </row>
    <row r="57">
      <c r="A57" s="1238">
        <v>43830.0</v>
      </c>
      <c r="B57" s="1220" t="s">
        <v>115</v>
      </c>
      <c r="C57" s="1220" t="s">
        <v>1021</v>
      </c>
      <c r="D57" s="1220">
        <v>726728.0</v>
      </c>
      <c r="E57" s="1238">
        <v>43885.0</v>
      </c>
      <c r="F57" s="1239">
        <v>43885.25409722222</v>
      </c>
      <c r="G57" s="1220">
        <v>2019.0</v>
      </c>
      <c r="H57" s="1236" t="s">
        <v>1073</v>
      </c>
      <c r="I57" s="1240">
        <v>1.491591E9</v>
      </c>
      <c r="J57" s="1240">
        <v>8.8585E7</v>
      </c>
      <c r="K57" s="1240">
        <v>1.403006E9</v>
      </c>
      <c r="L57" s="1240">
        <v>0.9406103952</v>
      </c>
      <c r="M57" s="1240">
        <v>0.2981042083979812</v>
      </c>
      <c r="N57" s="1240">
        <v>6.6483E7</v>
      </c>
      <c r="O57" s="1240">
        <v>0.0</v>
      </c>
      <c r="P57" s="1240">
        <v>6.6483E7</v>
      </c>
      <c r="Q57" s="1240">
        <v>5.93961E8</v>
      </c>
      <c r="R57" s="1240">
        <v>6.60444E8</v>
      </c>
      <c r="S57" s="1240">
        <v>7.49029E8</v>
      </c>
      <c r="T57" s="1240">
        <v>2.90991E8</v>
      </c>
      <c r="U57" s="1240">
        <v>2.90991E8</v>
      </c>
      <c r="V57" s="1240">
        <v>1.036619999E9</v>
      </c>
      <c r="W57" s="1240">
        <v>1.344458E9</v>
      </c>
      <c r="X57" s="1240">
        <v>0.9013583482</v>
      </c>
      <c r="Y57" s="1240">
        <v>7.50497E8</v>
      </c>
      <c r="Z57" s="1240">
        <v>0.5031520035</v>
      </c>
      <c r="AA57" s="1240">
        <v>-2.95498E8</v>
      </c>
      <c r="AB57" s="1240">
        <v>4.43636E8</v>
      </c>
      <c r="AC57" s="1240">
        <v>0.2974246962</v>
      </c>
      <c r="AD57" s="1240">
        <v>6158000.0</v>
      </c>
      <c r="AE57" s="1240">
        <v>4.36482E8</v>
      </c>
      <c r="AF57" s="1240">
        <v>0.2926284752</v>
      </c>
      <c r="AG57" s="1240">
        <v>1.38</v>
      </c>
      <c r="AH57" s="1240">
        <v>1.38</v>
      </c>
      <c r="AI57" s="1240">
        <v>3.15837012E8</v>
      </c>
      <c r="AJ57" s="1240">
        <v>3.16159277E8</v>
      </c>
      <c r="AK57" s="1242" t="s">
        <v>1355</v>
      </c>
      <c r="AL57" s="1242" t="s">
        <v>1356</v>
      </c>
      <c r="AM57" s="913"/>
      <c r="AN57" s="913"/>
      <c r="AO57" s="913"/>
      <c r="AP57" s="913"/>
      <c r="AQ57" s="913"/>
      <c r="AR57" s="913"/>
      <c r="AS57" s="913"/>
      <c r="AT57" s="913"/>
      <c r="AU57" s="913"/>
      <c r="AV57" s="913"/>
      <c r="AW57" s="913"/>
      <c r="AX57" s="913"/>
      <c r="AY57" s="913"/>
      <c r="AZ57" s="913"/>
      <c r="BA57" s="913"/>
      <c r="BB57" s="913"/>
      <c r="BC57" s="913"/>
      <c r="BD57" s="913"/>
      <c r="BE57" s="913"/>
      <c r="BF57" s="913"/>
      <c r="BG57" s="913"/>
    </row>
    <row r="58">
      <c r="A58" s="480"/>
      <c r="B58" s="480"/>
      <c r="C58" s="480"/>
      <c r="D58" s="480"/>
      <c r="E58" s="480"/>
      <c r="F58" s="480"/>
      <c r="G58" s="480"/>
      <c r="H58" s="913"/>
      <c r="I58" s="913"/>
      <c r="J58" s="913"/>
      <c r="K58" s="913"/>
      <c r="L58" s="913"/>
      <c r="M58" s="913"/>
      <c r="N58" s="913"/>
      <c r="O58" s="913"/>
      <c r="P58" s="913"/>
      <c r="Q58" s="913"/>
      <c r="R58" s="913"/>
      <c r="S58" s="913"/>
      <c r="T58" s="913"/>
      <c r="U58" s="913"/>
      <c r="V58" s="913"/>
      <c r="W58" s="913"/>
      <c r="X58" s="913"/>
      <c r="Y58" s="913"/>
      <c r="Z58" s="913"/>
      <c r="AA58" s="913"/>
      <c r="AB58" s="913"/>
      <c r="AC58" s="913"/>
      <c r="AD58" s="913"/>
      <c r="AE58" s="913"/>
      <c r="AF58" s="913"/>
      <c r="AG58" s="913"/>
      <c r="AH58" s="913"/>
      <c r="AI58" s="913"/>
      <c r="AJ58" s="913"/>
      <c r="AK58" s="913"/>
      <c r="AL58" s="913"/>
      <c r="AM58" s="913"/>
      <c r="AN58" s="913"/>
      <c r="AO58" s="913"/>
      <c r="AP58" s="913"/>
      <c r="AQ58" s="913"/>
      <c r="AR58" s="913"/>
      <c r="AS58" s="913"/>
      <c r="AT58" s="913"/>
      <c r="AU58" s="913"/>
      <c r="AV58" s="913"/>
      <c r="AW58" s="913"/>
      <c r="AX58" s="913"/>
      <c r="AY58" s="913"/>
      <c r="AZ58" s="913"/>
      <c r="BA58" s="913"/>
      <c r="BB58" s="913"/>
      <c r="BC58" s="913"/>
      <c r="BD58" s="913"/>
      <c r="BE58" s="913"/>
      <c r="BF58" s="913"/>
      <c r="BG58" s="913"/>
    </row>
    <row r="59">
      <c r="A59" s="1220" t="s">
        <v>1084</v>
      </c>
      <c r="B59" s="480"/>
      <c r="C59" s="480"/>
      <c r="D59" s="480"/>
      <c r="E59" s="480"/>
      <c r="F59" s="480"/>
      <c r="G59" s="480"/>
      <c r="H59" s="913"/>
      <c r="I59" s="913"/>
      <c r="J59" s="913"/>
      <c r="K59" s="913"/>
      <c r="L59" s="913"/>
      <c r="M59" s="913"/>
      <c r="N59" s="913"/>
      <c r="O59" s="913"/>
      <c r="P59" s="913"/>
      <c r="Q59" s="913"/>
      <c r="R59" s="913"/>
      <c r="S59" s="913"/>
      <c r="T59" s="913"/>
      <c r="U59" s="913"/>
      <c r="V59" s="913"/>
      <c r="W59" s="913"/>
      <c r="X59" s="913"/>
      <c r="Y59" s="913"/>
      <c r="Z59" s="913"/>
      <c r="AA59" s="913"/>
      <c r="AB59" s="913"/>
      <c r="AC59" s="913"/>
      <c r="AD59" s="913"/>
      <c r="AE59" s="913"/>
      <c r="AF59" s="913"/>
      <c r="AG59" s="913"/>
      <c r="AH59" s="913"/>
      <c r="AI59" s="913"/>
      <c r="AJ59" s="913"/>
      <c r="AK59" s="913"/>
      <c r="AL59" s="913"/>
      <c r="AM59" s="913"/>
      <c r="AN59" s="913"/>
      <c r="AO59" s="913"/>
      <c r="AP59" s="913"/>
      <c r="AQ59" s="913"/>
      <c r="AR59" s="913"/>
      <c r="AS59" s="913"/>
      <c r="AT59" s="913"/>
      <c r="AU59" s="913"/>
      <c r="AV59" s="913"/>
      <c r="AW59" s="913"/>
      <c r="AX59" s="913"/>
      <c r="AY59" s="913"/>
      <c r="AZ59" s="913"/>
      <c r="BA59" s="913"/>
      <c r="BB59" s="913"/>
      <c r="BC59" s="913"/>
      <c r="BD59" s="913"/>
      <c r="BE59" s="913"/>
      <c r="BF59" s="913"/>
      <c r="BG59" s="913"/>
    </row>
    <row r="60">
      <c r="A60" s="1243" t="s">
        <v>1037</v>
      </c>
      <c r="B60" s="1220" t="s">
        <v>984</v>
      </c>
      <c r="C60" s="1220" t="s">
        <v>1038</v>
      </c>
      <c r="D60" s="1220" t="s">
        <v>994</v>
      </c>
      <c r="E60" s="1220" t="s">
        <v>1039</v>
      </c>
      <c r="F60" s="1220" t="s">
        <v>1040</v>
      </c>
      <c r="G60" s="1220" t="s">
        <v>1041</v>
      </c>
      <c r="H60" s="1236" t="s">
        <v>1042</v>
      </c>
      <c r="I60" s="1237" t="s">
        <v>1085</v>
      </c>
      <c r="J60" s="1236" t="s">
        <v>1086</v>
      </c>
      <c r="K60" s="1236" t="s">
        <v>1087</v>
      </c>
      <c r="L60" s="1236" t="s">
        <v>1088</v>
      </c>
      <c r="M60" s="1236" t="s">
        <v>1089</v>
      </c>
      <c r="N60" s="1236" t="s">
        <v>1090</v>
      </c>
      <c r="O60" s="1236" t="s">
        <v>1091</v>
      </c>
      <c r="P60" s="1236" t="s">
        <v>1092</v>
      </c>
      <c r="Q60" s="1236" t="s">
        <v>1093</v>
      </c>
      <c r="R60" s="1236" t="s">
        <v>1094</v>
      </c>
      <c r="S60" s="1236" t="s">
        <v>1095</v>
      </c>
      <c r="T60" s="1236" t="s">
        <v>1096</v>
      </c>
      <c r="U60" s="1236" t="s">
        <v>1097</v>
      </c>
      <c r="V60" s="1236" t="s">
        <v>1098</v>
      </c>
      <c r="W60" s="1236" t="s">
        <v>1099</v>
      </c>
      <c r="X60" s="1236" t="s">
        <v>1100</v>
      </c>
      <c r="Y60" s="1236" t="s">
        <v>1101</v>
      </c>
      <c r="Z60" s="1236" t="s">
        <v>1102</v>
      </c>
      <c r="AA60" s="1236" t="s">
        <v>1103</v>
      </c>
      <c r="AB60" s="1236" t="s">
        <v>1104</v>
      </c>
      <c r="AC60" s="1236" t="s">
        <v>1105</v>
      </c>
      <c r="AD60" s="1236" t="s">
        <v>1106</v>
      </c>
      <c r="AE60" s="1236" t="s">
        <v>1107</v>
      </c>
      <c r="AF60" s="1236" t="s">
        <v>1108</v>
      </c>
      <c r="AG60" s="1236" t="s">
        <v>1109</v>
      </c>
      <c r="AH60" s="1236" t="s">
        <v>1110</v>
      </c>
      <c r="AI60" s="1236" t="s">
        <v>1111</v>
      </c>
      <c r="AJ60" s="1236" t="s">
        <v>1112</v>
      </c>
      <c r="AK60" s="1236" t="s">
        <v>1113</v>
      </c>
      <c r="AL60" s="1236" t="s">
        <v>1114</v>
      </c>
      <c r="AM60" s="1236" t="s">
        <v>1115</v>
      </c>
      <c r="AN60" s="1236" t="s">
        <v>1116</v>
      </c>
      <c r="AO60" s="1236" t="s">
        <v>1117</v>
      </c>
      <c r="AP60" s="1236" t="s">
        <v>1118</v>
      </c>
      <c r="AQ60" s="1236" t="s">
        <v>1119</v>
      </c>
      <c r="AR60" s="1236" t="s">
        <v>1120</v>
      </c>
      <c r="AS60" s="1236" t="s">
        <v>1121</v>
      </c>
      <c r="AT60" s="1236" t="s">
        <v>1122</v>
      </c>
      <c r="AU60" s="1236" t="s">
        <v>1123</v>
      </c>
      <c r="AV60" s="1236" t="s">
        <v>1124</v>
      </c>
      <c r="AW60" s="1236" t="s">
        <v>1125</v>
      </c>
      <c r="AX60" s="1236" t="s">
        <v>1126</v>
      </c>
      <c r="AY60" s="1237" t="s">
        <v>1127</v>
      </c>
      <c r="AZ60" s="1236" t="s">
        <v>1128</v>
      </c>
      <c r="BA60" s="1236" t="s">
        <v>1071</v>
      </c>
      <c r="BB60" s="1236" t="s">
        <v>1072</v>
      </c>
      <c r="BC60" s="913"/>
      <c r="BD60" s="913"/>
      <c r="BE60" s="913"/>
      <c r="BF60" s="913"/>
      <c r="BG60" s="913"/>
    </row>
    <row r="61">
      <c r="A61" s="1238">
        <v>45291.0</v>
      </c>
      <c r="B61" s="1220" t="s">
        <v>115</v>
      </c>
      <c r="C61" s="1220" t="s">
        <v>1021</v>
      </c>
      <c r="D61" s="1220">
        <v>726728.0</v>
      </c>
      <c r="E61" s="1238">
        <v>45343.0</v>
      </c>
      <c r="F61" s="1239">
        <v>45343.67784722222</v>
      </c>
      <c r="G61" s="1220">
        <v>2023.0</v>
      </c>
      <c r="H61" s="1236" t="s">
        <v>1073</v>
      </c>
      <c r="I61" s="1241">
        <v>2.32923E8</v>
      </c>
      <c r="J61" s="1240">
        <v>0.0</v>
      </c>
      <c r="K61" s="1240">
        <v>2.32923E8</v>
      </c>
      <c r="L61" s="1240">
        <v>2.600299E9</v>
      </c>
      <c r="M61" s="1240">
        <v>3.1466E7</v>
      </c>
      <c r="N61" s="1240">
        <v>3.9699E7</v>
      </c>
      <c r="O61" s="1240">
        <v>2.897717E9</v>
      </c>
      <c r="P61" s="1240">
        <v>1.301549E9</v>
      </c>
      <c r="Q61" s="1240">
        <v>3.731478E9</v>
      </c>
      <c r="R61" s="1240">
        <v>5.017907E9</v>
      </c>
      <c r="S61" s="1240">
        <v>8.749385E9</v>
      </c>
      <c r="T61" s="1240">
        <v>1.172118E9</v>
      </c>
      <c r="U61" s="1240">
        <v>-5.111264E10</v>
      </c>
      <c r="V61" s="1240">
        <v>-7.460108E9</v>
      </c>
      <c r="W61" s="1240">
        <v>3.762944E9</v>
      </c>
      <c r="X61" s="1240">
        <v>5.1118696E10</v>
      </c>
      <c r="Y61" s="1240">
        <v>5.7779357E10</v>
      </c>
      <c r="Z61" s="1240">
        <v>0.0</v>
      </c>
      <c r="AA61" s="1240">
        <v>0.0</v>
      </c>
      <c r="AB61" s="1240">
        <v>2.04764E8</v>
      </c>
      <c r="AC61" s="1240">
        <v>0.0</v>
      </c>
      <c r="AD61" s="1240">
        <v>2.158954E9</v>
      </c>
      <c r="AE61" s="1240">
        <v>2.363718E9</v>
      </c>
      <c r="AF61" s="1240">
        <v>2.1180605E10</v>
      </c>
      <c r="AG61" s="1240">
        <v>0.0</v>
      </c>
      <c r="AH61" s="1240">
        <v>0.0</v>
      </c>
      <c r="AI61" s="1240">
        <v>1.128065E9</v>
      </c>
      <c r="AJ61" s="1240">
        <v>2.230867E10</v>
      </c>
      <c r="AK61" s="1240">
        <v>0.0</v>
      </c>
      <c r="AL61" s="1240">
        <v>4.24858E8</v>
      </c>
      <c r="AM61" s="1240">
        <v>2.4672388E10</v>
      </c>
      <c r="AN61" s="1240">
        <v>0.0</v>
      </c>
      <c r="AO61" s="1240">
        <v>3.9629709E10</v>
      </c>
      <c r="AP61" s="1240">
        <v>-6.762136E9</v>
      </c>
      <c r="AQ61" s="1240">
        <v>7.3894E7</v>
      </c>
      <c r="AR61" s="1240">
        <v>0.0</v>
      </c>
      <c r="AS61" s="1240">
        <v>3.2941467E10</v>
      </c>
      <c r="AT61" s="1240">
        <v>3.3106969E10</v>
      </c>
      <c r="AU61" s="1240">
        <v>5.7779357E10</v>
      </c>
      <c r="AV61" s="1240">
        <v>1.65502E8</v>
      </c>
      <c r="AW61" s="1240">
        <v>5.7779357E10</v>
      </c>
      <c r="AX61" s="1240">
        <v>1.172118E9</v>
      </c>
      <c r="AY61" s="1241">
        <v>2.1989695E10</v>
      </c>
      <c r="AZ61" s="1240">
        <v>2.1756772E10</v>
      </c>
      <c r="BA61" s="1242" t="s">
        <v>1347</v>
      </c>
      <c r="BB61" s="1242" t="s">
        <v>1348</v>
      </c>
      <c r="BC61" s="913"/>
      <c r="BD61" s="913"/>
      <c r="BE61" s="913"/>
      <c r="BF61" s="913"/>
      <c r="BG61" s="913"/>
    </row>
    <row r="62">
      <c r="A62" s="1238">
        <v>44926.0</v>
      </c>
      <c r="B62" s="1220" t="s">
        <v>115</v>
      </c>
      <c r="C62" s="1220" t="s">
        <v>1021</v>
      </c>
      <c r="D62" s="1220">
        <v>726728.0</v>
      </c>
      <c r="E62" s="1238">
        <v>44979.0</v>
      </c>
      <c r="F62" s="1239">
        <v>44979.6716087963</v>
      </c>
      <c r="G62" s="1220">
        <v>2022.0</v>
      </c>
      <c r="H62" s="1236" t="s">
        <v>1073</v>
      </c>
      <c r="I62" s="1240">
        <v>1.71102E8</v>
      </c>
      <c r="J62" s="1240">
        <v>0.0</v>
      </c>
      <c r="K62" s="1240">
        <v>1.71102E8</v>
      </c>
      <c r="L62" s="1240">
        <v>1.398679E9</v>
      </c>
      <c r="M62" s="1240">
        <v>2.9535E7</v>
      </c>
      <c r="N62" s="1240">
        <v>7.1422E7</v>
      </c>
      <c r="O62" s="1240">
        <v>1.773138E9</v>
      </c>
      <c r="P62" s="1240">
        <v>1.071017E9</v>
      </c>
      <c r="Q62" s="1240">
        <v>3.731478E9</v>
      </c>
      <c r="R62" s="1240">
        <v>5.168366E9</v>
      </c>
      <c r="S62" s="1240">
        <v>8.899844E9</v>
      </c>
      <c r="T62" s="1240">
        <v>0.0</v>
      </c>
      <c r="U62" s="1240">
        <v>4.9673092E10</v>
      </c>
      <c r="V62" s="1240">
        <v>5.7135E7</v>
      </c>
      <c r="W62" s="1240">
        <v>4.7792751E10</v>
      </c>
      <c r="X62" s="1240">
        <v>-1.004538E9</v>
      </c>
      <c r="Y62" s="1240">
        <v>4.9673092E10</v>
      </c>
      <c r="Z62" s="1240">
        <v>0.0</v>
      </c>
      <c r="AA62" s="1240">
        <v>7.238E8</v>
      </c>
      <c r="AB62" s="1240">
        <v>9.1573E7</v>
      </c>
      <c r="AC62" s="1240">
        <v>2.69645E8</v>
      </c>
      <c r="AD62" s="1240">
        <v>3.8655E8</v>
      </c>
      <c r="AE62" s="1240">
        <v>1.201923E9</v>
      </c>
      <c r="AF62" s="1240">
        <v>1.7876498E10</v>
      </c>
      <c r="AG62" s="1240">
        <v>2.69645E8</v>
      </c>
      <c r="AH62" s="1240">
        <v>-2.69645E8</v>
      </c>
      <c r="AI62" s="1240">
        <v>1.751382E9</v>
      </c>
      <c r="AJ62" s="1240">
        <v>1.7330995E10</v>
      </c>
      <c r="AK62" s="1240">
        <v>0.0</v>
      </c>
      <c r="AL62" s="1240">
        <v>4.89565E8</v>
      </c>
      <c r="AM62" s="1240">
        <v>2.0829803E10</v>
      </c>
      <c r="AN62" s="1240">
        <v>5.44636E9</v>
      </c>
      <c r="AO62" s="1240">
        <v>3.4159509E10</v>
      </c>
      <c r="AP62" s="1240">
        <v>-5.493193E9</v>
      </c>
      <c r="AQ62" s="1240">
        <v>4.6833E7</v>
      </c>
      <c r="AR62" s="1240">
        <v>0.0</v>
      </c>
      <c r="AS62" s="1240">
        <v>2.8713149E10</v>
      </c>
      <c r="AT62" s="1240">
        <v>2.8843289E10</v>
      </c>
      <c r="AU62" s="1240">
        <v>4.9673092E10</v>
      </c>
      <c r="AV62" s="1240">
        <v>1.3014E8</v>
      </c>
      <c r="AW62" s="1240">
        <v>4.9673092E10</v>
      </c>
      <c r="AX62" s="1240">
        <v>5951000.0</v>
      </c>
      <c r="AY62" s="1240">
        <v>1.9490169E10</v>
      </c>
      <c r="AZ62" s="1240">
        <v>1.9319067E10</v>
      </c>
      <c r="BA62" s="1242" t="s">
        <v>1349</v>
      </c>
      <c r="BB62" s="1242" t="s">
        <v>1350</v>
      </c>
      <c r="BC62" s="913"/>
      <c r="BD62" s="913"/>
      <c r="BE62" s="913"/>
      <c r="BF62" s="913"/>
      <c r="BG62" s="913"/>
    </row>
    <row r="63">
      <c r="A63" s="1238">
        <v>44561.0</v>
      </c>
      <c r="B63" s="1220" t="s">
        <v>115</v>
      </c>
      <c r="C63" s="1220" t="s">
        <v>1021</v>
      </c>
      <c r="D63" s="1220">
        <v>726728.0</v>
      </c>
      <c r="E63" s="1238">
        <v>44615.0</v>
      </c>
      <c r="F63" s="1239">
        <v>44615.67177083333</v>
      </c>
      <c r="G63" s="1220">
        <v>2021.0</v>
      </c>
      <c r="H63" s="1236" t="s">
        <v>1073</v>
      </c>
      <c r="I63" s="1240">
        <v>2.58579E8</v>
      </c>
      <c r="J63" s="1240">
        <v>0.0</v>
      </c>
      <c r="K63" s="1240">
        <v>2.58579E8</v>
      </c>
      <c r="L63" s="1240">
        <v>7.77137E8</v>
      </c>
      <c r="M63" s="1240">
        <v>1.181349E9</v>
      </c>
      <c r="N63" s="1240">
        <v>1.45633E8</v>
      </c>
      <c r="O63" s="1240">
        <v>1.159356E9</v>
      </c>
      <c r="P63" s="1240">
        <v>8.49847E8</v>
      </c>
      <c r="Q63" s="1240">
        <v>3.676705E9</v>
      </c>
      <c r="R63" s="1240">
        <v>5.275304E9</v>
      </c>
      <c r="S63" s="1240">
        <v>8.952009E9</v>
      </c>
      <c r="T63" s="1240">
        <v>1.40967E8</v>
      </c>
      <c r="U63" s="1240">
        <v>3.1109283E10</v>
      </c>
      <c r="V63" s="1240">
        <v>1.369579E9</v>
      </c>
      <c r="W63" s="1240">
        <v>4.1935812E10</v>
      </c>
      <c r="X63" s="1240">
        <v>-4.43539E8</v>
      </c>
      <c r="Y63" s="1240">
        <v>4.3137502E10</v>
      </c>
      <c r="Z63" s="1240">
        <v>0.0</v>
      </c>
      <c r="AA63" s="1240">
        <v>1.1725E9</v>
      </c>
      <c r="AB63" s="1240">
        <v>6.6622E7</v>
      </c>
      <c r="AC63" s="1240">
        <v>2.42122E8</v>
      </c>
      <c r="AD63" s="1240">
        <v>-1.053814E9</v>
      </c>
      <c r="AE63" s="1240">
        <v>2.049423E9</v>
      </c>
      <c r="AF63" s="1240">
        <v>1.4775872E10</v>
      </c>
      <c r="AG63" s="1240">
        <v>2.42122E8</v>
      </c>
      <c r="AH63" s="1240">
        <v>-2.42122E8</v>
      </c>
      <c r="AI63" s="1240">
        <v>2.8048E9</v>
      </c>
      <c r="AJ63" s="1240">
        <v>1.5787174E10</v>
      </c>
      <c r="AK63" s="1240">
        <v>0.0</v>
      </c>
      <c r="AL63" s="1240">
        <v>5.05735E8</v>
      </c>
      <c r="AM63" s="1240">
        <v>1.8008102E10</v>
      </c>
      <c r="AN63" s="1240">
        <v>4.525638E9</v>
      </c>
      <c r="AO63" s="1240">
        <v>2.9578212E10</v>
      </c>
      <c r="AP63" s="1240">
        <v>-4.530571E9</v>
      </c>
      <c r="AQ63" s="1240">
        <v>4933000.0</v>
      </c>
      <c r="AR63" s="1240">
        <v>0.0</v>
      </c>
      <c r="AS63" s="1240">
        <v>2.5052574E10</v>
      </c>
      <c r="AT63" s="1240">
        <v>2.51294E10</v>
      </c>
      <c r="AU63" s="1240">
        <v>4.3137502E10</v>
      </c>
      <c r="AV63" s="1240">
        <v>7.6826E7</v>
      </c>
      <c r="AW63" s="1240">
        <v>4.3137502E10</v>
      </c>
      <c r="AX63" s="1240">
        <v>1.40967E8</v>
      </c>
      <c r="AY63" s="1240">
        <v>1.5442637E10</v>
      </c>
      <c r="AZ63" s="1240">
        <v>1.5184058E10</v>
      </c>
      <c r="BA63" s="1242" t="s">
        <v>1351</v>
      </c>
      <c r="BB63" s="1242" t="s">
        <v>1352</v>
      </c>
      <c r="BC63" s="913"/>
      <c r="BD63" s="913"/>
      <c r="BE63" s="913"/>
      <c r="BF63" s="913"/>
      <c r="BG63" s="913"/>
    </row>
    <row r="64">
      <c r="A64" s="1238">
        <v>44196.0</v>
      </c>
      <c r="B64" s="1220" t="s">
        <v>115</v>
      </c>
      <c r="C64" s="1220" t="s">
        <v>1021</v>
      </c>
      <c r="D64" s="1220">
        <v>726728.0</v>
      </c>
      <c r="E64" s="1238">
        <v>44250.0</v>
      </c>
      <c r="F64" s="1239">
        <v>44250.683703703704</v>
      </c>
      <c r="G64" s="1220">
        <v>2020.0</v>
      </c>
      <c r="H64" s="1236" t="s">
        <v>1073</v>
      </c>
      <c r="I64" s="1240">
        <v>8.24476E8</v>
      </c>
      <c r="J64" s="1240">
        <v>0.0</v>
      </c>
      <c r="K64" s="1240">
        <v>8.24476E8</v>
      </c>
      <c r="L64" s="1240">
        <v>4.16992E8</v>
      </c>
      <c r="M64" s="1240">
        <v>1.294497E9</v>
      </c>
      <c r="N64" s="1240">
        <v>5.3019E7</v>
      </c>
      <c r="O64" s="1240">
        <v>1.294487E9</v>
      </c>
      <c r="P64" s="1240">
        <v>1.7705384E10</v>
      </c>
      <c r="Q64" s="1240">
        <v>1.418E7</v>
      </c>
      <c r="R64" s="1240">
        <v>1.710655E9</v>
      </c>
      <c r="S64" s="1240">
        <v>1.710655E9</v>
      </c>
      <c r="T64" s="1240">
        <v>0.0</v>
      </c>
      <c r="U64" s="1240">
        <v>-2.7203E7</v>
      </c>
      <c r="V64" s="1240">
        <v>1.7490329E10</v>
      </c>
      <c r="W64" s="1240">
        <v>1.9440805E10</v>
      </c>
      <c r="X64" s="1240">
        <v>-1.65306E8</v>
      </c>
      <c r="Y64" s="1240">
        <v>2.0740285E10</v>
      </c>
      <c r="Z64" s="1240">
        <v>0.0</v>
      </c>
      <c r="AA64" s="1240">
        <v>0.0</v>
      </c>
      <c r="AB64" s="1240">
        <v>3.6672E7</v>
      </c>
      <c r="AC64" s="1240">
        <v>1.30231E8</v>
      </c>
      <c r="AD64" s="1240">
        <v>2.16999E8</v>
      </c>
      <c r="AE64" s="1240">
        <v>2.53671E8</v>
      </c>
      <c r="AF64" s="1240">
        <v>8.938282E9</v>
      </c>
      <c r="AG64" s="1240">
        <v>1.30231E8</v>
      </c>
      <c r="AH64" s="1240">
        <v>-1.30231E8</v>
      </c>
      <c r="AI64" s="1240">
        <v>5.30602E8</v>
      </c>
      <c r="AJ64" s="1240">
        <v>9.338653E9</v>
      </c>
      <c r="AK64" s="1240">
        <v>0.0</v>
      </c>
      <c r="AL64" s="1240">
        <v>1.20815E8</v>
      </c>
      <c r="AM64" s="1240">
        <v>9.722555E9</v>
      </c>
      <c r="AN64" s="1240">
        <v>3.714567E9</v>
      </c>
      <c r="AO64" s="1240">
        <v>1.470005E10</v>
      </c>
      <c r="AP64" s="1240">
        <v>-3.659933E9</v>
      </c>
      <c r="AQ64" s="1240">
        <v>-5.4634E7</v>
      </c>
      <c r="AR64" s="1240">
        <v>0.0</v>
      </c>
      <c r="AS64" s="1240">
        <v>1.0985483E10</v>
      </c>
      <c r="AT64" s="1240">
        <v>1.101773E10</v>
      </c>
      <c r="AU64" s="1240">
        <v>2.0740285E10</v>
      </c>
      <c r="AV64" s="1240">
        <v>3.2247E7</v>
      </c>
      <c r="AW64" s="1240">
        <v>2.0740285E10</v>
      </c>
      <c r="AX64" s="1240">
        <v>2.7203E7</v>
      </c>
      <c r="AY64" s="1240">
        <v>8.817467E9</v>
      </c>
      <c r="AZ64" s="1240">
        <v>7.992991E9</v>
      </c>
      <c r="BA64" s="1242" t="s">
        <v>1353</v>
      </c>
      <c r="BB64" s="1242" t="s">
        <v>1354</v>
      </c>
      <c r="BC64" s="913"/>
      <c r="BD64" s="913"/>
      <c r="BE64" s="913"/>
      <c r="BF64" s="913"/>
      <c r="BG64" s="913"/>
    </row>
    <row r="65">
      <c r="A65" s="1238">
        <v>43830.0</v>
      </c>
      <c r="B65" s="1220" t="s">
        <v>115</v>
      </c>
      <c r="C65" s="1220" t="s">
        <v>1021</v>
      </c>
      <c r="D65" s="1220">
        <v>726728.0</v>
      </c>
      <c r="E65" s="1238">
        <v>43885.0</v>
      </c>
      <c r="F65" s="1239">
        <v>43885.25409722222</v>
      </c>
      <c r="G65" s="1220">
        <v>2019.0</v>
      </c>
      <c r="H65" s="1236" t="s">
        <v>1073</v>
      </c>
      <c r="I65" s="1240">
        <v>5.4011E7</v>
      </c>
      <c r="J65" s="1240">
        <v>0.0</v>
      </c>
      <c r="K65" s="1240">
        <v>5.4011E7</v>
      </c>
      <c r="L65" s="1240">
        <v>1.81969E8</v>
      </c>
      <c r="M65" s="1240">
        <v>0.0</v>
      </c>
      <c r="N65" s="1240">
        <v>2.43835999E8</v>
      </c>
      <c r="O65" s="1240">
        <v>3.32755E8</v>
      </c>
      <c r="P65" s="1240">
        <v>1.6562682E10</v>
      </c>
      <c r="Q65" s="1240">
        <v>1.443E7</v>
      </c>
      <c r="R65" s="1240">
        <v>1.493383E9</v>
      </c>
      <c r="S65" s="1240">
        <v>1.493383E9</v>
      </c>
      <c r="T65" s="1240">
        <v>0.0</v>
      </c>
      <c r="U65" s="1240">
        <v>-3.1797E7</v>
      </c>
      <c r="V65" s="1240">
        <v>1.6434049E10</v>
      </c>
      <c r="W65" s="1240">
        <v>1.8086819E10</v>
      </c>
      <c r="X65" s="1240">
        <v>0.0</v>
      </c>
      <c r="Y65" s="1240">
        <v>1.8554796E10</v>
      </c>
      <c r="Z65" s="1240">
        <v>0.0</v>
      </c>
      <c r="AA65" s="1240">
        <v>3.342E8</v>
      </c>
      <c r="AB65" s="1240">
        <v>3.206E7</v>
      </c>
      <c r="AC65" s="1240">
        <v>1.27687E8</v>
      </c>
      <c r="AD65" s="1240">
        <v>-1.6439E7</v>
      </c>
      <c r="AE65" s="1240">
        <v>9.58102E8</v>
      </c>
      <c r="AF65" s="1240">
        <v>7.695578E9</v>
      </c>
      <c r="AG65" s="1240">
        <v>1.27687E8</v>
      </c>
      <c r="AH65" s="1240">
        <v>-1.27687E8</v>
      </c>
      <c r="AI65" s="1240">
        <v>4.49865E8</v>
      </c>
      <c r="AJ65" s="1240">
        <v>7.691208E9</v>
      </c>
      <c r="AK65" s="1240">
        <v>0.0</v>
      </c>
      <c r="AL65" s="1240">
        <v>1.28231E8</v>
      </c>
      <c r="AM65" s="1240">
        <v>8.750638E9</v>
      </c>
      <c r="AN65" s="1240">
        <v>3.099393E9</v>
      </c>
      <c r="AO65" s="1240">
        <v>1.2873849E10</v>
      </c>
      <c r="AP65" s="1240">
        <v>-3.082291E9</v>
      </c>
      <c r="AQ65" s="1240">
        <v>-1.7102E7</v>
      </c>
      <c r="AR65" s="1240">
        <v>0.0</v>
      </c>
      <c r="AS65" s="1240">
        <v>9.774456E9</v>
      </c>
      <c r="AT65" s="1240">
        <v>9.804158E9</v>
      </c>
      <c r="AU65" s="1240">
        <v>1.8554796E10</v>
      </c>
      <c r="AV65" s="1240">
        <v>2.9702E7</v>
      </c>
      <c r="AW65" s="1240">
        <v>1.8554796E10</v>
      </c>
      <c r="AX65" s="1240">
        <v>3.1797E7</v>
      </c>
      <c r="AY65" s="1240">
        <v>7.901547E9</v>
      </c>
      <c r="AZ65" s="1240">
        <v>7.847536E9</v>
      </c>
      <c r="BA65" s="1242" t="s">
        <v>1355</v>
      </c>
      <c r="BB65" s="1242" t="s">
        <v>1356</v>
      </c>
      <c r="BC65" s="913"/>
      <c r="BD65" s="913"/>
      <c r="BE65" s="913"/>
      <c r="BF65" s="913"/>
      <c r="BG65" s="913"/>
    </row>
    <row r="66">
      <c r="A66" s="480"/>
      <c r="B66" s="480"/>
      <c r="C66" s="480"/>
      <c r="D66" s="480"/>
      <c r="E66" s="480"/>
      <c r="F66" s="480"/>
      <c r="G66" s="480"/>
      <c r="H66" s="913"/>
      <c r="I66" s="913"/>
      <c r="J66" s="913"/>
      <c r="K66" s="913"/>
      <c r="L66" s="913"/>
      <c r="M66" s="913"/>
      <c r="N66" s="913"/>
      <c r="O66" s="913"/>
      <c r="P66" s="913"/>
      <c r="Q66" s="913"/>
      <c r="R66" s="913"/>
      <c r="S66" s="913"/>
      <c r="T66" s="913"/>
      <c r="U66" s="913"/>
      <c r="V66" s="913"/>
      <c r="W66" s="913"/>
      <c r="X66" s="913"/>
      <c r="Y66" s="913"/>
      <c r="Z66" s="913"/>
      <c r="AA66" s="913"/>
      <c r="AB66" s="913"/>
      <c r="AC66" s="913"/>
      <c r="AD66" s="913"/>
      <c r="AE66" s="913"/>
      <c r="AF66" s="913"/>
      <c r="AG66" s="913"/>
      <c r="AH66" s="913"/>
      <c r="AI66" s="913"/>
      <c r="AJ66" s="913"/>
      <c r="AK66" s="913"/>
      <c r="AL66" s="913"/>
      <c r="AM66" s="913"/>
      <c r="AN66" s="913"/>
      <c r="AO66" s="913"/>
      <c r="AP66" s="913"/>
      <c r="AQ66" s="913"/>
      <c r="AR66" s="913"/>
      <c r="AS66" s="913"/>
      <c r="AT66" s="913"/>
      <c r="AU66" s="913"/>
      <c r="AV66" s="913"/>
      <c r="AW66" s="913"/>
      <c r="AX66" s="913"/>
      <c r="AY66" s="913"/>
      <c r="AZ66" s="913"/>
      <c r="BA66" s="913"/>
      <c r="BB66" s="913"/>
      <c r="BC66" s="913"/>
      <c r="BD66" s="913"/>
      <c r="BE66" s="913"/>
      <c r="BF66" s="913"/>
      <c r="BG66" s="913"/>
    </row>
    <row r="67">
      <c r="A67" s="1220" t="s">
        <v>1129</v>
      </c>
      <c r="B67" s="480"/>
      <c r="C67" s="480"/>
      <c r="D67" s="480"/>
      <c r="E67" s="480"/>
      <c r="F67" s="480"/>
      <c r="G67" s="480"/>
      <c r="H67" s="913"/>
      <c r="I67" s="913"/>
      <c r="J67" s="913"/>
      <c r="K67" s="913"/>
      <c r="L67" s="913"/>
      <c r="M67" s="913"/>
      <c r="N67" s="913"/>
      <c r="O67" s="913"/>
      <c r="P67" s="913"/>
      <c r="Q67" s="913"/>
      <c r="R67" s="913"/>
      <c r="S67" s="913"/>
      <c r="T67" s="913"/>
      <c r="U67" s="913"/>
      <c r="V67" s="913"/>
      <c r="W67" s="913"/>
      <c r="X67" s="913"/>
      <c r="Y67" s="913"/>
      <c r="Z67" s="913"/>
      <c r="AA67" s="913"/>
      <c r="AB67" s="913"/>
      <c r="AC67" s="913"/>
      <c r="AD67" s="913"/>
      <c r="AE67" s="913"/>
      <c r="AF67" s="913"/>
      <c r="AG67" s="913"/>
      <c r="AH67" s="913"/>
      <c r="AI67" s="913"/>
      <c r="AJ67" s="913"/>
      <c r="AK67" s="913"/>
      <c r="AL67" s="913"/>
      <c r="AM67" s="913"/>
      <c r="AN67" s="913"/>
      <c r="AO67" s="913"/>
      <c r="AP67" s="913"/>
      <c r="AQ67" s="913"/>
      <c r="AR67" s="913"/>
      <c r="AS67" s="913"/>
      <c r="AT67" s="913"/>
      <c r="AU67" s="913"/>
      <c r="AV67" s="913"/>
      <c r="AW67" s="913"/>
      <c r="AX67" s="913"/>
      <c r="AY67" s="913"/>
      <c r="AZ67" s="913"/>
      <c r="BA67" s="913"/>
      <c r="BB67" s="913"/>
      <c r="BC67" s="913"/>
      <c r="BD67" s="913"/>
      <c r="BE67" s="913"/>
      <c r="BF67" s="913"/>
      <c r="BG67" s="913"/>
    </row>
    <row r="68">
      <c r="A68" s="1243" t="s">
        <v>1037</v>
      </c>
      <c r="B68" s="1220" t="s">
        <v>984</v>
      </c>
      <c r="C68" s="1220" t="s">
        <v>1038</v>
      </c>
      <c r="D68" s="1220" t="s">
        <v>994</v>
      </c>
      <c r="E68" s="1220" t="s">
        <v>1039</v>
      </c>
      <c r="F68" s="1220" t="s">
        <v>1040</v>
      </c>
      <c r="G68" s="1220" t="s">
        <v>1041</v>
      </c>
      <c r="H68" s="1236" t="s">
        <v>1042</v>
      </c>
      <c r="I68" s="1237" t="s">
        <v>1065</v>
      </c>
      <c r="J68" s="1236" t="s">
        <v>1056</v>
      </c>
      <c r="K68" s="1236" t="s">
        <v>1130</v>
      </c>
      <c r="L68" s="1236" t="s">
        <v>1131</v>
      </c>
      <c r="M68" s="1236" t="s">
        <v>1132</v>
      </c>
      <c r="N68" s="1236" t="s">
        <v>1133</v>
      </c>
      <c r="O68" s="1236" t="s">
        <v>1089</v>
      </c>
      <c r="P68" s="1236" t="s">
        <v>1134</v>
      </c>
      <c r="Q68" s="1236" t="s">
        <v>1135</v>
      </c>
      <c r="R68" s="1236" t="s">
        <v>1136</v>
      </c>
      <c r="S68" s="1236" t="s">
        <v>1137</v>
      </c>
      <c r="T68" s="1236" t="s">
        <v>1138</v>
      </c>
      <c r="U68" s="1236" t="s">
        <v>1139</v>
      </c>
      <c r="V68" s="1236" t="s">
        <v>1140</v>
      </c>
      <c r="W68" s="1236" t="s">
        <v>1141</v>
      </c>
      <c r="X68" s="1236" t="s">
        <v>1142</v>
      </c>
      <c r="Y68" s="1236" t="s">
        <v>1143</v>
      </c>
      <c r="Z68" s="1236" t="s">
        <v>1144</v>
      </c>
      <c r="AA68" s="1236" t="s">
        <v>1145</v>
      </c>
      <c r="AB68" s="1236" t="s">
        <v>1146</v>
      </c>
      <c r="AC68" s="1236" t="s">
        <v>1147</v>
      </c>
      <c r="AD68" s="1236" t="s">
        <v>1148</v>
      </c>
      <c r="AE68" s="1236" t="s">
        <v>1149</v>
      </c>
      <c r="AF68" s="1236" t="s">
        <v>1150</v>
      </c>
      <c r="AG68" s="1236" t="s">
        <v>1151</v>
      </c>
      <c r="AH68" s="1236" t="s">
        <v>1152</v>
      </c>
      <c r="AI68" s="1236" t="s">
        <v>1153</v>
      </c>
      <c r="AJ68" s="1236" t="s">
        <v>1154</v>
      </c>
      <c r="AK68" s="1236" t="s">
        <v>1155</v>
      </c>
      <c r="AL68" s="1237" t="s">
        <v>1156</v>
      </c>
      <c r="AM68" s="1236" t="s">
        <v>1071</v>
      </c>
      <c r="AN68" s="1236" t="s">
        <v>1072</v>
      </c>
      <c r="AO68" s="913"/>
      <c r="AP68" s="913"/>
      <c r="AQ68" s="913"/>
      <c r="AR68" s="913"/>
      <c r="AS68" s="913"/>
      <c r="AT68" s="913"/>
      <c r="AU68" s="913"/>
      <c r="AV68" s="913"/>
      <c r="AW68" s="913"/>
      <c r="AX68" s="913"/>
      <c r="AY68" s="913"/>
      <c r="AZ68" s="913"/>
      <c r="BA68" s="913"/>
      <c r="BB68" s="913"/>
      <c r="BC68" s="913"/>
      <c r="BD68" s="913"/>
      <c r="BE68" s="913"/>
      <c r="BF68" s="913"/>
      <c r="BG68" s="913"/>
    </row>
    <row r="69">
      <c r="A69" s="1238">
        <v>45291.0</v>
      </c>
      <c r="B69" s="1220" t="s">
        <v>115</v>
      </c>
      <c r="C69" s="1220" t="s">
        <v>1021</v>
      </c>
      <c r="D69" s="1220">
        <v>726728.0</v>
      </c>
      <c r="E69" s="1238">
        <v>45343.0</v>
      </c>
      <c r="F69" s="1239">
        <v>45343.67784722222</v>
      </c>
      <c r="G69" s="1220">
        <v>2023.0</v>
      </c>
      <c r="H69" s="1236" t="s">
        <v>1073</v>
      </c>
      <c r="I69" s="1241">
        <v>8.76914E8</v>
      </c>
      <c r="J69" s="1240">
        <v>1.895177E9</v>
      </c>
      <c r="K69" s="1240">
        <v>0.0</v>
      </c>
      <c r="L69" s="1240">
        <v>2.6227E7</v>
      </c>
      <c r="M69" s="1240">
        <v>1.74007E8</v>
      </c>
      <c r="N69" s="1240">
        <v>-1.11286E8</v>
      </c>
      <c r="O69" s="1240">
        <v>1.11286E8</v>
      </c>
      <c r="P69" s="1240">
        <v>2.85293E8</v>
      </c>
      <c r="Q69" s="1240">
        <v>-1.11286E8</v>
      </c>
      <c r="R69" s="1240">
        <v>-1.3556E7</v>
      </c>
      <c r="S69" s="1240">
        <v>2.958769E9</v>
      </c>
      <c r="T69" s="1240">
        <v>0.0</v>
      </c>
      <c r="U69" s="1240">
        <v>-1.175379E9</v>
      </c>
      <c r="V69" s="1240">
        <v>0.0</v>
      </c>
      <c r="W69" s="1240">
        <v>0.0</v>
      </c>
      <c r="X69" s="1240">
        <v>-8.179475E9</v>
      </c>
      <c r="Y69" s="1240">
        <v>-9.354854E9</v>
      </c>
      <c r="Z69" s="1240">
        <v>3.18696E9</v>
      </c>
      <c r="AA69" s="1240">
        <v>5.439462E9</v>
      </c>
      <c r="AB69" s="1240">
        <v>0.0</v>
      </c>
      <c r="AC69" s="1240">
        <v>-2.111793E9</v>
      </c>
      <c r="AD69" s="1240">
        <v>-7.7273E7</v>
      </c>
      <c r="AE69" s="1240">
        <v>6.437356E9</v>
      </c>
      <c r="AF69" s="1240">
        <v>2.4023E7</v>
      </c>
      <c r="AG69" s="1240">
        <v>6.5294E7</v>
      </c>
      <c r="AH69" s="1240">
        <v>2.92175E8</v>
      </c>
      <c r="AI69" s="1240">
        <v>2.26881E8</v>
      </c>
      <c r="AJ69" s="1240">
        <v>2.958769E9</v>
      </c>
      <c r="AK69" s="1240">
        <v>0.0</v>
      </c>
      <c r="AL69" s="1241">
        <v>2.958769E9</v>
      </c>
      <c r="AM69" s="1242" t="s">
        <v>1347</v>
      </c>
      <c r="AN69" s="1242" t="s">
        <v>1348</v>
      </c>
      <c r="AO69" s="913"/>
      <c r="AP69" s="913"/>
      <c r="AQ69" s="913"/>
      <c r="AR69" s="913"/>
      <c r="AS69" s="913"/>
      <c r="AT69" s="913"/>
      <c r="AU69" s="913"/>
      <c r="AV69" s="913"/>
      <c r="AW69" s="913"/>
      <c r="AX69" s="913"/>
      <c r="AY69" s="913"/>
      <c r="AZ69" s="913"/>
      <c r="BA69" s="913"/>
      <c r="BB69" s="913"/>
      <c r="BC69" s="913"/>
      <c r="BD69" s="913"/>
      <c r="BE69" s="913"/>
      <c r="BF69" s="913"/>
      <c r="BG69" s="913"/>
    </row>
    <row r="70">
      <c r="A70" s="1238">
        <v>44926.0</v>
      </c>
      <c r="B70" s="1220" t="s">
        <v>115</v>
      </c>
      <c r="C70" s="1220" t="s">
        <v>1021</v>
      </c>
      <c r="D70" s="1220">
        <v>726728.0</v>
      </c>
      <c r="E70" s="1238">
        <v>44979.0</v>
      </c>
      <c r="F70" s="1239">
        <v>44979.6716087963</v>
      </c>
      <c r="G70" s="1220">
        <v>2022.0</v>
      </c>
      <c r="H70" s="1236" t="s">
        <v>1073</v>
      </c>
      <c r="I70" s="1240">
        <v>8.72416E8</v>
      </c>
      <c r="J70" s="1240">
        <v>1.670389E9</v>
      </c>
      <c r="K70" s="1240">
        <v>0.0</v>
      </c>
      <c r="L70" s="1240">
        <v>2.1617E7</v>
      </c>
      <c r="M70" s="1240">
        <v>-3.4814E7</v>
      </c>
      <c r="N70" s="1240">
        <v>-2.9524E7</v>
      </c>
      <c r="O70" s="1240">
        <v>2.9524E7</v>
      </c>
      <c r="P70" s="1240">
        <v>-5290000.0</v>
      </c>
      <c r="Q70" s="1240">
        <v>-2.9524E7</v>
      </c>
      <c r="R70" s="1240">
        <v>3.4248E7</v>
      </c>
      <c r="S70" s="1240">
        <v>2.563856E9</v>
      </c>
      <c r="T70" s="1240">
        <v>-9.5514E7</v>
      </c>
      <c r="U70" s="1240">
        <v>1.09489E8</v>
      </c>
      <c r="V70" s="1240">
        <v>-8.892103E9</v>
      </c>
      <c r="W70" s="1240">
        <v>5.51471E8</v>
      </c>
      <c r="X70" s="1240">
        <v>-6.0419E7</v>
      </c>
      <c r="Y70" s="1240">
        <v>-8.387076E9</v>
      </c>
      <c r="Z70" s="1240">
        <v>2.94711E9</v>
      </c>
      <c r="AA70" s="1240">
        <v>4.556028E9</v>
      </c>
      <c r="AB70" s="1240">
        <v>0.0</v>
      </c>
      <c r="AC70" s="1240">
        <v>-1.813431E9</v>
      </c>
      <c r="AD70" s="1240">
        <v>4.8536E7</v>
      </c>
      <c r="AE70" s="1240">
        <v>5.738243E9</v>
      </c>
      <c r="AF70" s="1240">
        <v>-2.0511E7</v>
      </c>
      <c r="AG70" s="1240">
        <v>-1.05488E8</v>
      </c>
      <c r="AH70" s="1240">
        <v>2.26881E8</v>
      </c>
      <c r="AI70" s="1240">
        <v>3.32369E8</v>
      </c>
      <c r="AJ70" s="1240">
        <v>2.563856E9</v>
      </c>
      <c r="AK70" s="1240">
        <v>-9.5514E7</v>
      </c>
      <c r="AL70" s="1241">
        <v>2.468342E9</v>
      </c>
      <c r="AM70" s="1242" t="s">
        <v>1349</v>
      </c>
      <c r="AN70" s="1242" t="s">
        <v>1350</v>
      </c>
      <c r="AO70" s="913"/>
      <c r="AP70" s="913"/>
      <c r="AQ70" s="913"/>
      <c r="AR70" s="913"/>
      <c r="AS70" s="913"/>
      <c r="AT70" s="913"/>
      <c r="AU70" s="913"/>
      <c r="AV70" s="913"/>
      <c r="AW70" s="913"/>
      <c r="AX70" s="913"/>
      <c r="AY70" s="913"/>
      <c r="AZ70" s="913"/>
      <c r="BA70" s="913"/>
      <c r="BB70" s="913"/>
      <c r="BC70" s="913"/>
      <c r="BD70" s="913"/>
      <c r="BE70" s="913"/>
      <c r="BF70" s="913"/>
      <c r="BG70" s="913"/>
    </row>
    <row r="71">
      <c r="A71" s="1238">
        <v>44561.0</v>
      </c>
      <c r="B71" s="1220" t="s">
        <v>115</v>
      </c>
      <c r="C71" s="1220" t="s">
        <v>1021</v>
      </c>
      <c r="D71" s="1220">
        <v>726728.0</v>
      </c>
      <c r="E71" s="1238">
        <v>44615.0</v>
      </c>
      <c r="F71" s="1239">
        <v>44615.67177083333</v>
      </c>
      <c r="G71" s="1220">
        <v>2021.0</v>
      </c>
      <c r="H71" s="1236" t="s">
        <v>1073</v>
      </c>
      <c r="I71" s="1240">
        <v>3.60747E8</v>
      </c>
      <c r="J71" s="1240">
        <v>8.97835E8</v>
      </c>
      <c r="K71" s="1240">
        <v>8.1801E7</v>
      </c>
      <c r="L71" s="1240">
        <v>4.1773E7</v>
      </c>
      <c r="M71" s="1240">
        <v>-3.5073E7</v>
      </c>
      <c r="N71" s="1240">
        <v>-3.8292E7</v>
      </c>
      <c r="O71" s="1240">
        <v>3.8292E7</v>
      </c>
      <c r="P71" s="1240">
        <v>3219000.0</v>
      </c>
      <c r="Q71" s="1240">
        <v>-3.8292E7</v>
      </c>
      <c r="R71" s="1240">
        <v>-2.4894E7</v>
      </c>
      <c r="S71" s="1240">
        <v>1.322189E9</v>
      </c>
      <c r="T71" s="1240">
        <v>-1.908E7</v>
      </c>
      <c r="U71" s="1240">
        <v>3.8345E7</v>
      </c>
      <c r="V71" s="1240">
        <v>-6.341466E9</v>
      </c>
      <c r="W71" s="1240">
        <v>2.88881E8</v>
      </c>
      <c r="X71" s="1240">
        <v>-4.04375E8</v>
      </c>
      <c r="Y71" s="1240">
        <v>-6.437695E9</v>
      </c>
      <c r="Z71" s="1240">
        <v>8.40686E8</v>
      </c>
      <c r="AA71" s="1240">
        <v>4.442725E9</v>
      </c>
      <c r="AB71" s="1240">
        <v>0.0</v>
      </c>
      <c r="AC71" s="1240">
        <v>-1.169026E9</v>
      </c>
      <c r="AD71" s="1240">
        <v>4.62735E8</v>
      </c>
      <c r="AE71" s="1240">
        <v>4.57712E9</v>
      </c>
      <c r="AF71" s="1240">
        <v>2.0076E7</v>
      </c>
      <c r="AG71" s="1240">
        <v>-5.1831E8</v>
      </c>
      <c r="AH71" s="1240">
        <v>3.32369E8</v>
      </c>
      <c r="AI71" s="1240">
        <v>8.50679E8</v>
      </c>
      <c r="AJ71" s="1240">
        <v>1.322189E9</v>
      </c>
      <c r="AK71" s="1240">
        <v>-1.908E7</v>
      </c>
      <c r="AL71" s="1241">
        <v>1.303109E9</v>
      </c>
      <c r="AM71" s="1242" t="s">
        <v>1351</v>
      </c>
      <c r="AN71" s="1242" t="s">
        <v>1352</v>
      </c>
      <c r="AO71" s="913"/>
      <c r="AP71" s="913"/>
      <c r="AQ71" s="913"/>
      <c r="AR71" s="913"/>
      <c r="AS71" s="913"/>
      <c r="AT71" s="913"/>
      <c r="AU71" s="913"/>
      <c r="AV71" s="913"/>
      <c r="AW71" s="913"/>
      <c r="AX71" s="913"/>
      <c r="AY71" s="913"/>
      <c r="AZ71" s="913"/>
      <c r="BA71" s="913"/>
      <c r="BB71" s="913"/>
      <c r="BC71" s="913"/>
      <c r="BD71" s="913"/>
      <c r="BE71" s="913"/>
      <c r="BF71" s="913"/>
      <c r="BG71" s="913"/>
    </row>
    <row r="72">
      <c r="A72" s="1238">
        <v>44196.0</v>
      </c>
      <c r="B72" s="1220" t="s">
        <v>115</v>
      </c>
      <c r="C72" s="1220" t="s">
        <v>1021</v>
      </c>
      <c r="D72" s="1220">
        <v>726728.0</v>
      </c>
      <c r="E72" s="1238">
        <v>44250.0</v>
      </c>
      <c r="F72" s="1239">
        <v>44250.683703703704</v>
      </c>
      <c r="G72" s="1220">
        <v>2020.0</v>
      </c>
      <c r="H72" s="1236" t="s">
        <v>1073</v>
      </c>
      <c r="I72" s="1240">
        <v>3.96506E8</v>
      </c>
      <c r="J72" s="1240">
        <v>6.77038E8</v>
      </c>
      <c r="K72" s="1240">
        <v>8.0587E7</v>
      </c>
      <c r="L72" s="1240">
        <v>1.6503E7</v>
      </c>
      <c r="M72" s="1240">
        <v>-5.952E7</v>
      </c>
      <c r="N72" s="1240">
        <v>-7.924E7</v>
      </c>
      <c r="O72" s="1240">
        <v>7.924E7</v>
      </c>
      <c r="P72" s="1240">
        <v>1.972E7</v>
      </c>
      <c r="Q72" s="1240">
        <v>-7.924E7</v>
      </c>
      <c r="R72" s="1240">
        <v>4429000.0</v>
      </c>
      <c r="S72" s="1240">
        <v>1.115543E9</v>
      </c>
      <c r="T72" s="1240">
        <v>-8708000.0</v>
      </c>
      <c r="U72" s="1240">
        <v>2.032379E9</v>
      </c>
      <c r="V72" s="1240">
        <v>-2.28313E9</v>
      </c>
      <c r="W72" s="1240">
        <v>2.59459E8</v>
      </c>
      <c r="X72" s="1240">
        <v>-2.032379E9</v>
      </c>
      <c r="Y72" s="1240">
        <v>-2.032379E9</v>
      </c>
      <c r="Z72" s="1240">
        <v>8.72986E8</v>
      </c>
      <c r="AA72" s="1240">
        <v>7.28883E8</v>
      </c>
      <c r="AB72" s="1240">
        <v>0.0</v>
      </c>
      <c r="AC72" s="1240">
        <v>-9.64167E8</v>
      </c>
      <c r="AD72" s="1240">
        <v>1.054377E9</v>
      </c>
      <c r="AE72" s="1240">
        <v>1.692079E9</v>
      </c>
      <c r="AF72" s="1240">
        <v>4431000.0</v>
      </c>
      <c r="AG72" s="1240">
        <v>7.79674E8</v>
      </c>
      <c r="AH72" s="1240">
        <v>8.50679E8</v>
      </c>
      <c r="AI72" s="1240">
        <v>7.1005E7</v>
      </c>
      <c r="AJ72" s="1240">
        <v>1.115543E9</v>
      </c>
      <c r="AK72" s="1240">
        <v>-8708000.0</v>
      </c>
      <c r="AL72" s="1241">
        <v>1.106835E9</v>
      </c>
      <c r="AM72" s="1242" t="s">
        <v>1353</v>
      </c>
      <c r="AN72" s="1242" t="s">
        <v>1354</v>
      </c>
      <c r="AO72" s="913"/>
      <c r="AP72" s="913"/>
      <c r="AQ72" s="913"/>
      <c r="AR72" s="913"/>
      <c r="AS72" s="913"/>
      <c r="AT72" s="913"/>
      <c r="AU72" s="913"/>
      <c r="AV72" s="913"/>
      <c r="AW72" s="913"/>
      <c r="AX72" s="913"/>
      <c r="AY72" s="913"/>
      <c r="AZ72" s="913"/>
      <c r="BA72" s="913"/>
      <c r="BB72" s="913"/>
      <c r="BC72" s="913"/>
      <c r="BD72" s="913"/>
      <c r="BE72" s="913"/>
      <c r="BF72" s="913"/>
      <c r="BG72" s="913"/>
    </row>
    <row r="73">
      <c r="A73" s="1238">
        <v>43830.0</v>
      </c>
      <c r="B73" s="1220" t="s">
        <v>115</v>
      </c>
      <c r="C73" s="1220" t="s">
        <v>1021</v>
      </c>
      <c r="D73" s="1220">
        <v>726728.0</v>
      </c>
      <c r="E73" s="1238">
        <v>43885.0</v>
      </c>
      <c r="F73" s="1239">
        <v>43885.25409722222</v>
      </c>
      <c r="G73" s="1220">
        <v>2019.0</v>
      </c>
      <c r="H73" s="1236" t="s">
        <v>1073</v>
      </c>
      <c r="I73" s="1240">
        <v>4.37478E8</v>
      </c>
      <c r="J73" s="1240">
        <v>5.93961E8</v>
      </c>
      <c r="K73" s="1240">
        <v>1.0687E7</v>
      </c>
      <c r="L73" s="1240">
        <v>1.3662E7</v>
      </c>
      <c r="M73" s="1240">
        <v>1.5102E7</v>
      </c>
      <c r="N73" s="1240">
        <v>-8954000.0</v>
      </c>
      <c r="O73" s="1240">
        <v>8954000.0</v>
      </c>
      <c r="P73" s="1240">
        <v>2.4056E7</v>
      </c>
      <c r="Q73" s="1240">
        <v>-8954000.0</v>
      </c>
      <c r="R73" s="1240">
        <v>-1953000.0</v>
      </c>
      <c r="S73" s="1240">
        <v>1.068937E9</v>
      </c>
      <c r="T73" s="1240">
        <v>-2.3536E7</v>
      </c>
      <c r="U73" s="1240">
        <v>3.501809E9</v>
      </c>
      <c r="V73" s="1240">
        <v>-3.587184E9</v>
      </c>
      <c r="W73" s="1240">
        <v>1.08911E8</v>
      </c>
      <c r="X73" s="1240">
        <v>-3.501809E9</v>
      </c>
      <c r="Y73" s="1240">
        <v>-3.501809E9</v>
      </c>
      <c r="Z73" s="1240">
        <v>1.258205E9</v>
      </c>
      <c r="AA73" s="1240">
        <v>8.45061E8</v>
      </c>
      <c r="AB73" s="1240">
        <v>-2.1123E7</v>
      </c>
      <c r="AC73" s="1240">
        <v>-8.52134E8</v>
      </c>
      <c r="AD73" s="1240">
        <v>1.262593E9</v>
      </c>
      <c r="AE73" s="1240">
        <v>2.492602E9</v>
      </c>
      <c r="AF73" s="1240">
        <v>-9796000.0</v>
      </c>
      <c r="AG73" s="1240">
        <v>4.9934E7</v>
      </c>
      <c r="AH73" s="1240">
        <v>7.1005E7</v>
      </c>
      <c r="AI73" s="1240">
        <v>2.1071E7</v>
      </c>
      <c r="AJ73" s="1240">
        <v>1.068937E9</v>
      </c>
      <c r="AK73" s="1240">
        <v>-2.3536E7</v>
      </c>
      <c r="AL73" s="1241">
        <v>1.045401E9</v>
      </c>
      <c r="AM73" s="1242" t="s">
        <v>1355</v>
      </c>
      <c r="AN73" s="1242" t="s">
        <v>1356</v>
      </c>
      <c r="AO73" s="913"/>
      <c r="AP73" s="913"/>
      <c r="AQ73" s="913"/>
      <c r="AR73" s="913"/>
      <c r="AS73" s="913"/>
      <c r="AT73" s="913"/>
      <c r="AU73" s="913"/>
      <c r="AV73" s="913"/>
      <c r="AW73" s="913"/>
      <c r="AX73" s="913"/>
      <c r="AY73" s="913"/>
      <c r="AZ73" s="913"/>
      <c r="BA73" s="913"/>
      <c r="BB73" s="913"/>
      <c r="BC73" s="913"/>
      <c r="BD73" s="913"/>
      <c r="BE73" s="913"/>
      <c r="BF73" s="913"/>
      <c r="BG73" s="913"/>
    </row>
    <row r="74">
      <c r="A74" s="480"/>
      <c r="B74" s="480"/>
      <c r="C74" s="480"/>
      <c r="D74" s="480"/>
      <c r="E74" s="480"/>
      <c r="F74" s="480"/>
      <c r="G74" s="480"/>
      <c r="H74" s="913"/>
      <c r="I74" s="913"/>
      <c r="J74" s="913"/>
      <c r="K74" s="913"/>
      <c r="L74" s="913"/>
      <c r="M74" s="913"/>
      <c r="N74" s="913"/>
      <c r="O74" s="913"/>
      <c r="P74" s="913"/>
      <c r="Q74" s="913"/>
      <c r="R74" s="913"/>
      <c r="S74" s="913"/>
      <c r="T74" s="913"/>
      <c r="U74" s="913"/>
      <c r="V74" s="913"/>
      <c r="W74" s="913"/>
      <c r="X74" s="913"/>
      <c r="Y74" s="913"/>
      <c r="Z74" s="913"/>
      <c r="AA74" s="913"/>
      <c r="AB74" s="913"/>
      <c r="AC74" s="913"/>
      <c r="AD74" s="913"/>
      <c r="AE74" s="913"/>
      <c r="AF74" s="913"/>
      <c r="AG74" s="913"/>
      <c r="AH74" s="913"/>
      <c r="AI74" s="913"/>
      <c r="AJ74" s="913"/>
      <c r="AK74" s="913"/>
      <c r="AL74" s="913"/>
      <c r="AM74" s="913"/>
      <c r="AN74" s="913"/>
      <c r="AO74" s="913"/>
      <c r="AP74" s="913"/>
      <c r="AQ74" s="913"/>
      <c r="AR74" s="913"/>
      <c r="AS74" s="913"/>
      <c r="AT74" s="913"/>
      <c r="AU74" s="913"/>
      <c r="AV74" s="913"/>
      <c r="AW74" s="913"/>
      <c r="AX74" s="913"/>
      <c r="AY74" s="913"/>
      <c r="AZ74" s="913"/>
      <c r="BA74" s="913"/>
      <c r="BB74" s="913"/>
      <c r="BC74" s="913"/>
      <c r="BD74" s="913"/>
      <c r="BE74" s="913"/>
      <c r="BF74" s="913"/>
      <c r="BG74" s="913"/>
    </row>
    <row r="75">
      <c r="A75" s="1220" t="s">
        <v>1157</v>
      </c>
      <c r="B75" s="480"/>
      <c r="C75" s="480"/>
      <c r="D75" s="480"/>
      <c r="E75" s="480"/>
      <c r="F75" s="480"/>
      <c r="G75" s="480"/>
      <c r="H75" s="913"/>
      <c r="I75" s="913"/>
      <c r="J75" s="913"/>
      <c r="K75" s="913"/>
      <c r="L75" s="913"/>
      <c r="M75" s="913"/>
      <c r="N75" s="913"/>
      <c r="O75" s="913"/>
      <c r="P75" s="913"/>
      <c r="Q75" s="913"/>
      <c r="R75" s="913"/>
      <c r="S75" s="913"/>
      <c r="T75" s="913"/>
      <c r="U75" s="913"/>
      <c r="V75" s="913"/>
      <c r="W75" s="913"/>
      <c r="X75" s="913"/>
      <c r="Y75" s="913"/>
      <c r="Z75" s="913"/>
      <c r="AA75" s="913"/>
      <c r="AB75" s="913"/>
      <c r="AC75" s="913"/>
      <c r="AD75" s="913"/>
      <c r="AE75" s="913"/>
      <c r="AF75" s="913"/>
      <c r="AG75" s="913"/>
      <c r="AH75" s="913"/>
      <c r="AI75" s="913"/>
      <c r="AJ75" s="913"/>
      <c r="AK75" s="913"/>
      <c r="AL75" s="913"/>
      <c r="AM75" s="913"/>
      <c r="AN75" s="913"/>
      <c r="AO75" s="913"/>
      <c r="AP75" s="913"/>
      <c r="AQ75" s="913"/>
      <c r="AR75" s="913"/>
      <c r="AS75" s="913"/>
      <c r="AT75" s="913"/>
      <c r="AU75" s="913"/>
      <c r="AV75" s="913"/>
      <c r="AW75" s="913"/>
      <c r="AX75" s="913"/>
      <c r="AY75" s="913"/>
      <c r="AZ75" s="913"/>
      <c r="BA75" s="913"/>
      <c r="BB75" s="913"/>
      <c r="BC75" s="913"/>
      <c r="BD75" s="913"/>
      <c r="BE75" s="913"/>
      <c r="BF75" s="913"/>
      <c r="BG75" s="913"/>
    </row>
    <row r="76">
      <c r="A76" s="1220" t="s">
        <v>984</v>
      </c>
      <c r="B76" s="1220" t="s">
        <v>1037</v>
      </c>
      <c r="C76" s="1220" t="s">
        <v>1041</v>
      </c>
      <c r="D76" s="1220" t="s">
        <v>1042</v>
      </c>
      <c r="E76" s="1220" t="s">
        <v>1158</v>
      </c>
      <c r="F76" s="1220" t="s">
        <v>1159</v>
      </c>
      <c r="G76" s="1220" t="s">
        <v>1160</v>
      </c>
      <c r="H76" s="1236" t="s">
        <v>1161</v>
      </c>
      <c r="I76" s="1236" t="s">
        <v>1162</v>
      </c>
      <c r="J76" s="1236" t="s">
        <v>1163</v>
      </c>
      <c r="K76" s="1236" t="s">
        <v>1164</v>
      </c>
      <c r="L76" s="1236" t="s">
        <v>1165</v>
      </c>
      <c r="M76" s="1236" t="s">
        <v>1166</v>
      </c>
      <c r="N76" s="1236" t="s">
        <v>1167</v>
      </c>
      <c r="O76" s="1236" t="s">
        <v>1168</v>
      </c>
      <c r="P76" s="1236" t="s">
        <v>1169</v>
      </c>
      <c r="Q76" s="1236" t="s">
        <v>1170</v>
      </c>
      <c r="R76" s="1236" t="s">
        <v>1171</v>
      </c>
      <c r="S76" s="1236" t="s">
        <v>1172</v>
      </c>
      <c r="T76" s="1236" t="s">
        <v>1173</v>
      </c>
      <c r="U76" s="1236" t="s">
        <v>1174</v>
      </c>
      <c r="V76" s="1236" t="s">
        <v>1175</v>
      </c>
      <c r="W76" s="1236" t="s">
        <v>1176</v>
      </c>
      <c r="X76" s="1236" t="s">
        <v>1177</v>
      </c>
      <c r="Y76" s="1236" t="s">
        <v>1178</v>
      </c>
      <c r="Z76" s="1236" t="s">
        <v>1179</v>
      </c>
      <c r="AA76" s="1236" t="s">
        <v>1180</v>
      </c>
      <c r="AB76" s="1237" t="s">
        <v>1181</v>
      </c>
      <c r="AC76" s="1236" t="s">
        <v>1182</v>
      </c>
      <c r="AD76" s="1236" t="s">
        <v>1183</v>
      </c>
      <c r="AE76" s="1236" t="s">
        <v>1184</v>
      </c>
      <c r="AF76" s="1236" t="s">
        <v>1185</v>
      </c>
      <c r="AG76" s="1236" t="s">
        <v>1186</v>
      </c>
      <c r="AH76" s="1236" t="s">
        <v>1187</v>
      </c>
      <c r="AI76" s="1236" t="s">
        <v>1188</v>
      </c>
      <c r="AJ76" s="1236" t="s">
        <v>1189</v>
      </c>
      <c r="AK76" s="1236" t="s">
        <v>1190</v>
      </c>
      <c r="AL76" s="1236" t="s">
        <v>1191</v>
      </c>
      <c r="AM76" s="1236" t="s">
        <v>1192</v>
      </c>
      <c r="AN76" s="1236" t="s">
        <v>1193</v>
      </c>
      <c r="AO76" s="1236" t="s">
        <v>1194</v>
      </c>
      <c r="AP76" s="1236" t="s">
        <v>1195</v>
      </c>
      <c r="AQ76" s="1236" t="s">
        <v>1196</v>
      </c>
      <c r="AR76" s="1236" t="s">
        <v>1197</v>
      </c>
      <c r="AS76" s="1236" t="s">
        <v>1198</v>
      </c>
      <c r="AT76" s="1236" t="s">
        <v>1199</v>
      </c>
      <c r="AU76" s="1236" t="s">
        <v>1200</v>
      </c>
      <c r="AV76" s="1236" t="s">
        <v>1201</v>
      </c>
      <c r="AW76" s="1236" t="s">
        <v>1202</v>
      </c>
      <c r="AX76" s="1236" t="s">
        <v>1203</v>
      </c>
      <c r="AY76" s="1236" t="s">
        <v>1204</v>
      </c>
      <c r="AZ76" s="1236" t="s">
        <v>1205</v>
      </c>
      <c r="BA76" s="1236" t="s">
        <v>1206</v>
      </c>
      <c r="BB76" s="1236" t="s">
        <v>1207</v>
      </c>
      <c r="BC76" s="1236" t="s">
        <v>1208</v>
      </c>
      <c r="BD76" s="1236" t="s">
        <v>1209</v>
      </c>
      <c r="BE76" s="1236" t="s">
        <v>1210</v>
      </c>
      <c r="BF76" s="1236" t="s">
        <v>1211</v>
      </c>
      <c r="BG76" s="913"/>
    </row>
    <row r="77">
      <c r="A77" s="1220" t="s">
        <v>115</v>
      </c>
      <c r="B77" s="1238">
        <v>45291.0</v>
      </c>
      <c r="C77" s="1220">
        <v>2023.0</v>
      </c>
      <c r="D77" s="1220" t="s">
        <v>1073</v>
      </c>
      <c r="E77" s="1244">
        <v>1.2259148510947584</v>
      </c>
      <c r="F77" s="1244">
        <v>1.2126027724119375</v>
      </c>
      <c r="G77" s="1244">
        <v>0.0985409427012867</v>
      </c>
      <c r="H77" s="1240">
        <v>232.68221715506743</v>
      </c>
      <c r="I77" s="1240">
        <v>36.23468280309436</v>
      </c>
      <c r="J77" s="1240">
        <v>268.9168999581618</v>
      </c>
      <c r="K77" s="1240">
        <v>0.0</v>
      </c>
      <c r="L77" s="1240">
        <v>268.9168999581618</v>
      </c>
      <c r="M77" s="1240">
        <v>0.9222935660835897</v>
      </c>
      <c r="N77" s="1240">
        <v>0.8874835038942209</v>
      </c>
      <c r="O77" s="1240">
        <v>0.2277363555171583</v>
      </c>
      <c r="P77" s="1240">
        <v>0.2138540075945215</v>
      </c>
      <c r="Q77" s="1240">
        <v>0.0560006889610145</v>
      </c>
      <c r="R77" s="1240">
        <v>0.015097243120929851</v>
      </c>
      <c r="S77" s="1240">
        <v>0.02648057537935393</v>
      </c>
      <c r="T77" s="1240">
        <v>0.06532522344459477</v>
      </c>
      <c r="U77" s="1240">
        <v>0.9390420212393763</v>
      </c>
      <c r="V77" s="1240">
        <v>0.25660911387971236</v>
      </c>
      <c r="W77" s="1240">
        <v>0.8874835038942209</v>
      </c>
      <c r="X77" s="1240">
        <v>0.35922426412602687</v>
      </c>
      <c r="Y77" s="1240">
        <v>0.6300796197084969</v>
      </c>
      <c r="Z77" s="1240">
        <v>0.3865330331663017</v>
      </c>
      <c r="AA77" s="1240">
        <v>0.3865330331663017</v>
      </c>
      <c r="AB77" s="1241">
        <v>4.646764949393167</v>
      </c>
      <c r="AC77" s="1240">
        <v>0.1425517954135787</v>
      </c>
      <c r="AD77" s="1240">
        <v>1.7540007249828917</v>
      </c>
      <c r="AE77" s="1240">
        <v>1.5686630652859537</v>
      </c>
      <c r="AF77" s="1240">
        <v>0.0</v>
      </c>
      <c r="AG77" s="1240">
        <v>10.073221890294286</v>
      </c>
      <c r="AH77" s="1240">
        <v>3.133952697900732</v>
      </c>
      <c r="AI77" s="1240">
        <v>0.07059602618976878</v>
      </c>
      <c r="AJ77" s="1240">
        <v>4.273837278166339</v>
      </c>
      <c r="AK77" s="1240">
        <v>4.273837278166339</v>
      </c>
      <c r="AL77" s="1240">
        <v>0.336449043619944</v>
      </c>
      <c r="AM77" s="1240">
        <v>2.4209230903269368</v>
      </c>
      <c r="AN77" s="1240">
        <v>0.7253675110499086</v>
      </c>
      <c r="AO77" s="1240">
        <v>1.0</v>
      </c>
      <c r="AP77" s="1240">
        <v>0.1425517954135787</v>
      </c>
      <c r="AQ77" s="1240">
        <v>0.0</v>
      </c>
      <c r="AR77" s="1240">
        <v>0.0</v>
      </c>
      <c r="AS77" s="1240">
        <v>1.4010696124099284</v>
      </c>
      <c r="AT77" s="1240">
        <v>2.4209230903269368</v>
      </c>
      <c r="AU77" s="1240">
        <v>1.2067389457791908</v>
      </c>
      <c r="AV77" s="1240">
        <v>1.2067389457791908</v>
      </c>
      <c r="AW77" s="1240">
        <v>9.745481583322158</v>
      </c>
      <c r="AX77" s="1240">
        <v>45.57072225553102</v>
      </c>
      <c r="AY77" s="1240">
        <v>13.435233085110733</v>
      </c>
      <c r="AZ77" s="1240">
        <v>13.435233085110733</v>
      </c>
      <c r="BA77" s="1240">
        <v>13.435233085110733</v>
      </c>
      <c r="BB77" s="1240">
        <v>-4.04440160017838</v>
      </c>
      <c r="BC77" s="1240">
        <v>9.745481583322158</v>
      </c>
      <c r="BD77" s="1240">
        <v>0.05312452755854894</v>
      </c>
      <c r="BE77" s="1240">
        <v>16.991121686810555</v>
      </c>
      <c r="BF77" s="1240">
        <v>1.2067389457791908</v>
      </c>
      <c r="BG77" s="913"/>
    </row>
    <row r="78">
      <c r="A78" s="1220" t="s">
        <v>115</v>
      </c>
      <c r="B78" s="1238">
        <v>44926.0</v>
      </c>
      <c r="C78" s="1220">
        <v>2022.0</v>
      </c>
      <c r="D78" s="1220" t="s">
        <v>1073</v>
      </c>
      <c r="E78" s="1244">
        <v>1.4752509104160583</v>
      </c>
      <c r="F78" s="1244">
        <v>1.4506777888433784</v>
      </c>
      <c r="G78" s="1244">
        <v>0.1423568731108399</v>
      </c>
      <c r="H78" s="1240">
        <v>152.68138168682958</v>
      </c>
      <c r="I78" s="1240">
        <v>47.6307824857509</v>
      </c>
      <c r="J78" s="1240">
        <v>200.31216417258048</v>
      </c>
      <c r="K78" s="1240">
        <v>0.0</v>
      </c>
      <c r="L78" s="1240">
        <v>200.31216417258048</v>
      </c>
      <c r="M78" s="1240">
        <v>0.9323111265697894</v>
      </c>
      <c r="N78" s="1240">
        <v>0.37630593349066493</v>
      </c>
      <c r="O78" s="1240">
        <v>0.27442779379970755</v>
      </c>
      <c r="P78" s="1240">
        <v>0.26001523470689936</v>
      </c>
      <c r="Q78" s="1240">
        <v>0.0492404634268346</v>
      </c>
      <c r="R78" s="1240">
        <v>0.01750259476498866</v>
      </c>
      <c r="S78" s="1240">
        <v>0.030279089207526488</v>
      </c>
      <c r="T78" s="1240">
        <v>0.025958668337460564</v>
      </c>
      <c r="U78" s="1240">
        <v>0.9474814161741676</v>
      </c>
      <c r="V78" s="1240">
        <v>0.7292677828756993</v>
      </c>
      <c r="W78" s="1240">
        <v>0.37630593349066493</v>
      </c>
      <c r="X78" s="1240">
        <v>0.36459846308741967</v>
      </c>
      <c r="Y78" s="1240">
        <v>0.6307470141989651</v>
      </c>
      <c r="Z78" s="1240">
        <v>0.3771562271841512</v>
      </c>
      <c r="AA78" s="1240">
        <v>0.3867840987639598</v>
      </c>
      <c r="AB78" s="1240">
        <v>2.824677627916165</v>
      </c>
      <c r="AC78" s="1240">
        <v>0.14156555673367832</v>
      </c>
      <c r="AD78" s="1240">
        <v>1.7299771613346901</v>
      </c>
      <c r="AE78" s="1240">
        <v>2.39059927259936</v>
      </c>
      <c r="AF78" s="1240">
        <v>0.0</v>
      </c>
      <c r="AG78" s="1240">
        <v>7.663111562552904</v>
      </c>
      <c r="AH78" s="1240">
        <v>3.1219681853789436</v>
      </c>
      <c r="AI78" s="1240">
        <v>0.06731372792335939</v>
      </c>
      <c r="AJ78" s="1240">
        <v>4.190910863497661</v>
      </c>
      <c r="AK78" s="1240">
        <v>4.03478249270924</v>
      </c>
      <c r="AL78" s="1240">
        <v>0.27968545447411114</v>
      </c>
      <c r="AM78" s="1240">
        <v>2.0858227667562295</v>
      </c>
      <c r="AN78" s="1240">
        <v>0.7667764957243229</v>
      </c>
      <c r="AO78" s="1240">
        <v>0.9627459576512878</v>
      </c>
      <c r="AP78" s="1240">
        <v>0.14156555673367832</v>
      </c>
      <c r="AQ78" s="1240">
        <v>3.5422160817905497</v>
      </c>
      <c r="AR78" s="1240">
        <v>26.842724626756286</v>
      </c>
      <c r="AS78" s="1240">
        <v>1.3430748397675156</v>
      </c>
      <c r="AT78" s="1240">
        <v>2.0858227667562295</v>
      </c>
      <c r="AU78" s="1240">
        <v>1.3514472287748724</v>
      </c>
      <c r="AV78" s="1240">
        <v>1.3514472287748724</v>
      </c>
      <c r="AW78" s="1240">
        <v>11.605265468042555</v>
      </c>
      <c r="AX78" s="1240">
        <v>44.633021142490065</v>
      </c>
      <c r="AY78" s="1240">
        <v>15.720797865713097</v>
      </c>
      <c r="AZ78" s="1240">
        <v>15.135134596268276</v>
      </c>
      <c r="BA78" s="1240">
        <v>15.135134596268276</v>
      </c>
      <c r="BB78" s="1240">
        <v>0.7060132435266611</v>
      </c>
      <c r="BC78" s="1240">
        <v>11.605265468042555</v>
      </c>
      <c r="BD78" s="1240">
        <v>0.04673272642910011</v>
      </c>
      <c r="BE78" s="1240">
        <v>19.846567700953617</v>
      </c>
      <c r="BF78" s="1240">
        <v>1.3514472287748724</v>
      </c>
      <c r="BG78" s="913"/>
    </row>
    <row r="79">
      <c r="A79" s="1220" t="s">
        <v>115</v>
      </c>
      <c r="B79" s="1238">
        <v>44561.0</v>
      </c>
      <c r="C79" s="1220">
        <v>2021.0</v>
      </c>
      <c r="D79" s="1220" t="s">
        <v>1073</v>
      </c>
      <c r="E79" s="1244">
        <v>0.5656987356929243</v>
      </c>
      <c r="F79" s="1244">
        <v>-0.010731313154970936</v>
      </c>
      <c r="G79" s="1244">
        <v>0.12617161025322737</v>
      </c>
      <c r="H79" s="1240">
        <v>136.342249297392</v>
      </c>
      <c r="I79" s="1240">
        <v>3227.367126978781</v>
      </c>
      <c r="J79" s="1240">
        <v>3363.709376276173</v>
      </c>
      <c r="K79" s="1240">
        <v>0.0</v>
      </c>
      <c r="L79" s="1240">
        <v>3363.709376276173</v>
      </c>
      <c r="M79" s="1240">
        <v>0.9357811217983689</v>
      </c>
      <c r="N79" s="1240">
        <v>0.46292483932663064</v>
      </c>
      <c r="O79" s="1240">
        <v>0.18861378452777097</v>
      </c>
      <c r="P79" s="1240">
        <v>0.17277692513637588</v>
      </c>
      <c r="Q79" s="1240">
        <v>0.0806745089244758</v>
      </c>
      <c r="R79" s="1240">
        <v>0.008332795904593642</v>
      </c>
      <c r="S79" s="1240">
        <v>0.014348066589884138</v>
      </c>
      <c r="T79" s="1240">
        <v>0.0234398400567717</v>
      </c>
      <c r="U79" s="1240">
        <v>0.9160355144188133</v>
      </c>
      <c r="V79" s="1240">
        <v>0.4074393260083605</v>
      </c>
      <c r="W79" s="1240">
        <v>0.46292483932663064</v>
      </c>
      <c r="X79" s="1240">
        <v>0.3579863525709022</v>
      </c>
      <c r="Y79" s="1240">
        <v>0.6164091961169339</v>
      </c>
      <c r="Z79" s="1240">
        <v>0.3628980972344455</v>
      </c>
      <c r="AA79" s="1240">
        <v>0.38134477185462745</v>
      </c>
      <c r="AB79" s="1240">
        <v>2.9757943913682934</v>
      </c>
      <c r="AC79" s="1240">
        <v>0.08561937964351554</v>
      </c>
      <c r="AD79" s="1240">
        <v>1.721879037259804</v>
      </c>
      <c r="AE79" s="1240">
        <v>2.6770865368654433</v>
      </c>
      <c r="AF79" s="1240">
        <v>0.0</v>
      </c>
      <c r="AG79" s="1240">
        <v>0.11309528344291145</v>
      </c>
      <c r="AH79" s="1240">
        <v>2.4480441773636903</v>
      </c>
      <c r="AI79" s="1240">
        <v>0.04822863873758847</v>
      </c>
      <c r="AJ79" s="1240">
        <v>3.1895692700300255</v>
      </c>
      <c r="AK79" s="1240">
        <v>3.1435418248824916</v>
      </c>
      <c r="AL79" s="1240">
        <v>0.6237804370442456</v>
      </c>
      <c r="AM79" s="1240">
        <v>3.2522088934389743</v>
      </c>
      <c r="AN79" s="1240">
        <v>0.6355263227464271</v>
      </c>
      <c r="AO79" s="1240">
        <v>0.9855693853148075</v>
      </c>
      <c r="AP79" s="1240">
        <v>0.08561937964351554</v>
      </c>
      <c r="AQ79" s="1240">
        <v>1.127666524520256</v>
      </c>
      <c r="AR79" s="1240">
        <v>69.29711740041928</v>
      </c>
      <c r="AS79" s="1240">
        <v>1.112854408613373</v>
      </c>
      <c r="AT79" s="1240">
        <v>3.2522088934389743</v>
      </c>
      <c r="AU79" s="1240">
        <v>1.1845721285952495</v>
      </c>
      <c r="AV79" s="1240">
        <v>1.1845721285952495</v>
      </c>
      <c r="AW79" s="1240">
        <v>14.264411772749623</v>
      </c>
      <c r="AX79" s="1240">
        <v>82.55970385796871</v>
      </c>
      <c r="AY79" s="1240">
        <v>22.77367504174248</v>
      </c>
      <c r="AZ79" s="1240">
        <v>22.445036912249307</v>
      </c>
      <c r="BA79" s="1240">
        <v>22.445036912249307</v>
      </c>
      <c r="BB79" s="1240">
        <v>-3.3908449798808586</v>
      </c>
      <c r="BC79" s="1240">
        <v>14.264411772749623</v>
      </c>
      <c r="BD79" s="1240">
        <v>0.03939220638477459</v>
      </c>
      <c r="BE79" s="1240">
        <v>24.1065309229134</v>
      </c>
      <c r="BF79" s="1240">
        <v>1.1845721285952495</v>
      </c>
      <c r="BG79" s="913"/>
    </row>
    <row r="80">
      <c r="A80" s="1220" t="s">
        <v>115</v>
      </c>
      <c r="B80" s="1238">
        <v>44196.0</v>
      </c>
      <c r="C80" s="1220">
        <v>2020.0</v>
      </c>
      <c r="D80" s="1220" t="s">
        <v>1073</v>
      </c>
      <c r="E80" s="1244">
        <v>5.10301532299711</v>
      </c>
      <c r="F80" s="1244">
        <v>-3.942113998052596E-5</v>
      </c>
      <c r="G80" s="1244">
        <v>3.250178380658412</v>
      </c>
      <c r="H80" s="1240">
        <v>92.15292817679558</v>
      </c>
      <c r="I80" s="1240">
        <v>4516.99669225548</v>
      </c>
      <c r="J80" s="1240">
        <v>4609.149620432276</v>
      </c>
      <c r="K80" s="1240">
        <v>0.0</v>
      </c>
      <c r="L80" s="1240">
        <v>4609.149620432276</v>
      </c>
      <c r="M80" s="1240">
        <v>0.9366666162113071</v>
      </c>
      <c r="N80" s="1240">
        <v>0.5285721637780973</v>
      </c>
      <c r="O80" s="1240">
        <v>0.24896632104745325</v>
      </c>
      <c r="P80" s="1240">
        <v>0.239452660258836</v>
      </c>
      <c r="Q80" s="1240">
        <v>0.03573209078815853</v>
      </c>
      <c r="R80" s="1240">
        <v>0.019068493996104684</v>
      </c>
      <c r="S80" s="1240">
        <v>0.036000783943682765</v>
      </c>
      <c r="T80" s="1240">
        <v>0.04261333766526767</v>
      </c>
      <c r="U80" s="1240">
        <v>0.9617873584322919</v>
      </c>
      <c r="V80" s="1240">
        <v>0.47101670899183623</v>
      </c>
      <c r="W80" s="1240">
        <v>0.5285721637780973</v>
      </c>
      <c r="X80" s="1240">
        <v>0.42513721484540834</v>
      </c>
      <c r="Y80" s="1240">
        <v>0.8026471844706328</v>
      </c>
      <c r="Z80" s="1240">
        <v>0.4452602768779399</v>
      </c>
      <c r="AA80" s="1240">
        <v>0.4452602768779399</v>
      </c>
      <c r="AB80" s="1240">
        <v>2.822183644968578</v>
      </c>
      <c r="AC80" s="1240">
        <v>0.1265151318400171</v>
      </c>
      <c r="AD80" s="1240">
        <v>1.887972062766835</v>
      </c>
      <c r="AE80" s="1240">
        <v>3.960807401580846</v>
      </c>
      <c r="AF80" s="1240">
        <v>0.0</v>
      </c>
      <c r="AG80" s="1240">
        <v>0.08080590376030226</v>
      </c>
      <c r="AH80" s="1240">
        <v>0.09328377176117728</v>
      </c>
      <c r="AI80" s="1240">
        <v>0.07963366945054033</v>
      </c>
      <c r="AJ80" s="1240">
        <v>3.2308346643733556</v>
      </c>
      <c r="AK80" s="1240">
        <v>3.2056145623626193</v>
      </c>
      <c r="AL80" s="1240">
        <v>2.387846672646314</v>
      </c>
      <c r="AM80" s="1240">
        <v>2.4379295348002206</v>
      </c>
      <c r="AN80" s="1240">
        <v>0.6754214788465904</v>
      </c>
      <c r="AO80" s="1240">
        <v>0.9921939360472882</v>
      </c>
      <c r="AP80" s="1240">
        <v>0.1265151318400171</v>
      </c>
      <c r="AQ80" s="1240">
        <v>0.0</v>
      </c>
      <c r="AR80" s="1240">
        <v>128.10553514010107</v>
      </c>
      <c r="AS80" s="1240">
        <v>1.146645766413979</v>
      </c>
      <c r="AT80" s="1240">
        <v>2.4379295348002206</v>
      </c>
      <c r="AU80" s="1240">
        <v>1.8921210460386677</v>
      </c>
      <c r="AV80" s="1240">
        <v>1.8921210460386677</v>
      </c>
      <c r="AW80" s="1240">
        <v>12.585098666585939</v>
      </c>
      <c r="AX80" s="1240">
        <v>52.55777343622783</v>
      </c>
      <c r="AY80" s="1240">
        <v>18.779550326110034</v>
      </c>
      <c r="AZ80" s="1240">
        <v>18.632955955261252</v>
      </c>
      <c r="BA80" s="1240">
        <v>18.632955955261252</v>
      </c>
      <c r="BB80" s="1240">
        <v>-3.1534664061736706</v>
      </c>
      <c r="BC80" s="1240">
        <v>12.585098666585939</v>
      </c>
      <c r="BD80" s="1240">
        <v>0.046385708058168364</v>
      </c>
      <c r="BE80" s="1240">
        <v>18.566511844009288</v>
      </c>
      <c r="BF80" s="1240">
        <v>1.8921210460386677</v>
      </c>
      <c r="BG80" s="913"/>
    </row>
    <row r="81">
      <c r="A81" s="1220" t="s">
        <v>115</v>
      </c>
      <c r="B81" s="1238">
        <v>43830.0</v>
      </c>
      <c r="C81" s="1220">
        <v>2019.0</v>
      </c>
      <c r="D81" s="1220" t="s">
        <v>1073</v>
      </c>
      <c r="E81" s="1244">
        <v>0.3473064454515281</v>
      </c>
      <c r="F81" s="1244">
        <v>0.3473064454515281</v>
      </c>
      <c r="G81" s="1244">
        <v>0.05637291227865092</v>
      </c>
      <c r="H81" s="1240">
        <v>44.52875151432263</v>
      </c>
      <c r="I81" s="1240">
        <v>0.0</v>
      </c>
      <c r="J81" s="1240">
        <v>44.52875151432263</v>
      </c>
      <c r="K81" s="1240">
        <v>0.0</v>
      </c>
      <c r="L81" s="1240">
        <v>44.52875151432263</v>
      </c>
      <c r="M81" s="1240">
        <v>0.9406103952088742</v>
      </c>
      <c r="N81" s="1240">
        <v>0.5031520034647567</v>
      </c>
      <c r="O81" s="1240">
        <v>0.2974246961801191</v>
      </c>
      <c r="P81" s="1240">
        <v>0.29262847523215146</v>
      </c>
      <c r="Q81" s="1240">
        <v>0.013880749082581216</v>
      </c>
      <c r="R81" s="1240">
        <v>0.023523944968190436</v>
      </c>
      <c r="S81" s="1240">
        <v>0.044655375194281914</v>
      </c>
      <c r="T81" s="1240">
        <v>0.042649886393432763</v>
      </c>
      <c r="U81" s="1240">
        <v>0.983874167109973</v>
      </c>
      <c r="V81" s="1240">
        <v>0.5911229491923352</v>
      </c>
      <c r="W81" s="1240">
        <v>0.5031520034647567</v>
      </c>
      <c r="X81" s="1240">
        <v>0.4258493060230897</v>
      </c>
      <c r="Y81" s="1240">
        <v>0.8083873926078341</v>
      </c>
      <c r="Z81" s="1240">
        <v>0.4363644887443364</v>
      </c>
      <c r="AA81" s="1240">
        <v>0.44702113933789217</v>
      </c>
      <c r="AB81" s="1240">
        <v>2.5791072576127783</v>
      </c>
      <c r="AC81" s="1240">
        <v>0.13528198971669725</v>
      </c>
      <c r="AD81" s="1240">
        <v>1.8982944933201398</v>
      </c>
      <c r="AE81" s="1240">
        <v>8.196951129038462</v>
      </c>
      <c r="AF81" s="1240">
        <v>0.0</v>
      </c>
      <c r="AG81" s="1240">
        <v>0.0</v>
      </c>
      <c r="AH81" s="1240">
        <v>0.0900573349171348</v>
      </c>
      <c r="AI81" s="1240">
        <v>0.08038843434333635</v>
      </c>
      <c r="AJ81" s="1240">
        <v>3.3844576771768597</v>
      </c>
      <c r="AK81" s="1240">
        <v>3.309938228518955</v>
      </c>
      <c r="AL81" s="1240">
        <v>0.17100908996694789</v>
      </c>
      <c r="AM81" s="1240">
        <v>1.9522775280538487</v>
      </c>
      <c r="AN81" s="1240">
        <v>0.7166421626303725</v>
      </c>
      <c r="AO81" s="1240">
        <v>0.9779818642258618</v>
      </c>
      <c r="AP81" s="1240">
        <v>0.13528198971669725</v>
      </c>
      <c r="AQ81" s="1240">
        <v>3.1984949132256135</v>
      </c>
      <c r="AR81" s="1240">
        <v>45.41710571040109</v>
      </c>
      <c r="AS81" s="1240">
        <v>1.2207075724873526</v>
      </c>
      <c r="AT81" s="1240">
        <v>1.9522775280538487</v>
      </c>
      <c r="AU81" s="1240">
        <v>2.3038805387839485</v>
      </c>
      <c r="AV81" s="1240">
        <v>2.3038805387839485</v>
      </c>
      <c r="AW81" s="1240">
        <v>15.097422118797981</v>
      </c>
      <c r="AX81" s="1240">
        <v>51.59245731920216</v>
      </c>
      <c r="AY81" s="1240">
        <v>21.54118750182944</v>
      </c>
      <c r="AZ81" s="1240">
        <v>21.066890710677992</v>
      </c>
      <c r="BA81" s="1240">
        <v>21.066890710677992</v>
      </c>
      <c r="BB81" s="1240">
        <v>5.417208018516234</v>
      </c>
      <c r="BC81" s="1240">
        <v>15.097422118797981</v>
      </c>
      <c r="BD81" s="1240">
        <v>0.03784036716791995</v>
      </c>
      <c r="BE81" s="1240">
        <v>22.586585044382197</v>
      </c>
      <c r="BF81" s="1240">
        <v>2.3038805387839485</v>
      </c>
      <c r="BG81" s="913"/>
    </row>
    <row r="82">
      <c r="H82" s="799"/>
      <c r="I82" s="799"/>
      <c r="J82" s="799"/>
      <c r="K82" s="799"/>
      <c r="L82" s="799"/>
      <c r="M82" s="799"/>
      <c r="N82" s="799"/>
      <c r="O82" s="799"/>
      <c r="P82" s="799"/>
      <c r="Q82" s="799"/>
      <c r="R82" s="799"/>
      <c r="S82" s="799"/>
      <c r="T82" s="799"/>
      <c r="U82" s="799"/>
      <c r="V82" s="799"/>
      <c r="W82" s="799"/>
      <c r="X82" s="799"/>
      <c r="Y82" s="799"/>
      <c r="Z82" s="799"/>
      <c r="AA82" s="799"/>
      <c r="AB82" s="799"/>
      <c r="AC82" s="799"/>
      <c r="AD82" s="799"/>
      <c r="AE82" s="799"/>
      <c r="AF82" s="799"/>
      <c r="AG82" s="799"/>
      <c r="AH82" s="799"/>
      <c r="AI82" s="799"/>
      <c r="AJ82" s="799"/>
      <c r="AK82" s="799"/>
      <c r="AL82" s="799"/>
      <c r="AM82" s="799"/>
      <c r="AN82" s="799"/>
      <c r="AO82" s="799"/>
      <c r="AP82" s="799"/>
      <c r="AQ82" s="799"/>
      <c r="AR82" s="799"/>
      <c r="AS82" s="799"/>
      <c r="AT82" s="799"/>
      <c r="AU82" s="799"/>
      <c r="AV82" s="799"/>
      <c r="AW82" s="799"/>
      <c r="AX82" s="799"/>
      <c r="AY82" s="799"/>
      <c r="AZ82" s="799"/>
      <c r="BA82" s="799"/>
      <c r="BB82" s="799"/>
      <c r="BC82" s="799"/>
      <c r="BD82" s="799"/>
      <c r="BE82" s="799"/>
      <c r="BF82" s="799"/>
      <c r="BG82" s="799"/>
    </row>
    <row r="83">
      <c r="H83" s="799"/>
      <c r="I83" s="799"/>
      <c r="J83" s="799"/>
      <c r="K83" s="799"/>
      <c r="L83" s="799"/>
      <c r="M83" s="799"/>
      <c r="N83" s="799"/>
      <c r="O83" s="799"/>
      <c r="P83" s="799"/>
      <c r="Q83" s="799"/>
      <c r="R83" s="799"/>
      <c r="S83" s="799"/>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799"/>
      <c r="AR83" s="799"/>
      <c r="AS83" s="799"/>
      <c r="AT83" s="799"/>
      <c r="AU83" s="799"/>
      <c r="AV83" s="799"/>
      <c r="AW83" s="799"/>
      <c r="AX83" s="799"/>
      <c r="AY83" s="799"/>
      <c r="AZ83" s="799"/>
      <c r="BA83" s="799"/>
      <c r="BB83" s="799"/>
      <c r="BC83" s="799"/>
      <c r="BD83" s="799"/>
      <c r="BE83" s="799"/>
      <c r="BF83" s="799"/>
      <c r="BG83" s="799"/>
    </row>
    <row r="84">
      <c r="H84" s="799"/>
      <c r="I84" s="799"/>
      <c r="J84" s="799"/>
      <c r="K84" s="799"/>
      <c r="L84" s="799"/>
      <c r="M84" s="799"/>
      <c r="N84" s="799"/>
      <c r="O84" s="799"/>
      <c r="P84" s="799"/>
      <c r="Q84" s="799"/>
      <c r="R84" s="799"/>
      <c r="S84" s="799"/>
      <c r="T84" s="799"/>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799"/>
      <c r="AR84" s="799"/>
      <c r="AS84" s="799"/>
      <c r="AT84" s="799"/>
      <c r="AU84" s="799"/>
      <c r="AV84" s="799"/>
      <c r="AW84" s="799"/>
      <c r="AX84" s="799"/>
      <c r="AY84" s="799"/>
      <c r="AZ84" s="799"/>
      <c r="BA84" s="799"/>
      <c r="BB84" s="799"/>
      <c r="BC84" s="799"/>
      <c r="BD84" s="799"/>
      <c r="BE84" s="799"/>
      <c r="BF84" s="799"/>
      <c r="BG84" s="799"/>
    </row>
    <row r="85">
      <c r="H85" s="799"/>
      <c r="I85" s="799"/>
      <c r="J85" s="799"/>
      <c r="K85" s="799"/>
      <c r="L85" s="799"/>
      <c r="M85" s="799"/>
      <c r="N85" s="799"/>
      <c r="O85" s="799"/>
      <c r="P85" s="799"/>
      <c r="Q85" s="799"/>
      <c r="R85" s="799"/>
      <c r="S85" s="799"/>
      <c r="T85" s="799"/>
      <c r="U85" s="799"/>
      <c r="V85" s="799"/>
      <c r="W85" s="799"/>
      <c r="X85" s="799"/>
      <c r="Y85" s="799"/>
      <c r="Z85" s="799"/>
      <c r="AA85" s="799"/>
      <c r="AB85" s="799"/>
      <c r="AC85" s="799"/>
      <c r="AD85" s="799"/>
      <c r="AE85" s="799"/>
      <c r="AF85" s="1245"/>
      <c r="AG85" s="799"/>
      <c r="AH85" s="799"/>
      <c r="AI85" s="799"/>
      <c r="AJ85" s="799"/>
      <c r="AK85" s="799"/>
      <c r="AL85" s="799"/>
      <c r="AM85" s="799"/>
      <c r="AN85" s="799"/>
      <c r="AO85" s="799"/>
      <c r="AP85" s="799"/>
      <c r="AQ85" s="799"/>
      <c r="AR85" s="799"/>
      <c r="AS85" s="799"/>
      <c r="AT85" s="799"/>
      <c r="AU85" s="799"/>
      <c r="AV85" s="799"/>
      <c r="AW85" s="799"/>
      <c r="AX85" s="799"/>
      <c r="AY85" s="799"/>
      <c r="AZ85" s="799"/>
      <c r="BA85" s="799"/>
      <c r="BB85" s="799"/>
      <c r="BC85" s="799"/>
      <c r="BD85" s="799"/>
      <c r="BE85" s="799"/>
      <c r="BF85" s="799"/>
      <c r="BG85" s="799"/>
    </row>
    <row r="86">
      <c r="A86" s="1246"/>
      <c r="H86" s="799"/>
      <c r="I86" s="799"/>
      <c r="J86" s="799"/>
      <c r="K86" s="799"/>
      <c r="L86" s="799"/>
      <c r="M86" s="799"/>
      <c r="N86" s="799"/>
      <c r="O86" s="799"/>
      <c r="P86" s="799"/>
      <c r="Q86" s="799"/>
      <c r="R86" s="799"/>
      <c r="S86" s="799"/>
      <c r="T86" s="799"/>
      <c r="U86" s="799"/>
      <c r="V86" s="799"/>
      <c r="W86" s="799"/>
      <c r="X86" s="799"/>
      <c r="Y86" s="799"/>
      <c r="Z86" s="799"/>
      <c r="AA86" s="799"/>
      <c r="AB86" s="799"/>
      <c r="AC86" s="799"/>
      <c r="AD86" s="799"/>
      <c r="AE86" s="799"/>
      <c r="AF86" s="799"/>
      <c r="AG86" s="799"/>
      <c r="AH86" s="799"/>
      <c r="AI86" s="799"/>
      <c r="AJ86" s="799"/>
      <c r="AK86" s="799"/>
      <c r="AL86" s="799"/>
      <c r="AM86" s="799"/>
      <c r="AN86" s="799"/>
      <c r="AO86" s="799"/>
      <c r="AP86" s="799"/>
      <c r="AQ86" s="799"/>
      <c r="AR86" s="799"/>
      <c r="AS86" s="799"/>
      <c r="AT86" s="799"/>
      <c r="AU86" s="799"/>
      <c r="AV86" s="799"/>
      <c r="AW86" s="799"/>
      <c r="AX86" s="799"/>
      <c r="AY86" s="799"/>
      <c r="AZ86" s="799"/>
      <c r="BA86" s="799"/>
      <c r="BB86" s="799"/>
      <c r="BC86" s="799"/>
      <c r="BD86" s="799"/>
      <c r="BE86" s="799"/>
      <c r="BF86" s="799"/>
      <c r="BG86" s="799"/>
    </row>
    <row r="87">
      <c r="H87" s="799"/>
      <c r="I87" s="799"/>
      <c r="J87" s="799"/>
      <c r="K87" s="799"/>
      <c r="L87" s="799"/>
      <c r="M87" s="799"/>
      <c r="N87" s="799"/>
      <c r="O87" s="799"/>
      <c r="P87" s="799"/>
      <c r="Q87" s="799"/>
      <c r="R87" s="799"/>
      <c r="S87" s="799"/>
      <c r="T87" s="799"/>
      <c r="U87" s="799"/>
      <c r="V87" s="799"/>
      <c r="W87" s="799"/>
      <c r="X87" s="799"/>
      <c r="Y87" s="799"/>
      <c r="Z87" s="799"/>
      <c r="AA87" s="799"/>
      <c r="AB87" s="799"/>
      <c r="AC87" s="799"/>
      <c r="AD87" s="799"/>
      <c r="AE87" s="799"/>
      <c r="AF87" s="799"/>
      <c r="AG87" s="799"/>
      <c r="AH87" s="799"/>
      <c r="AI87" s="799"/>
      <c r="AJ87" s="799"/>
      <c r="AK87" s="799"/>
      <c r="AL87" s="799"/>
      <c r="AM87" s="799"/>
      <c r="AN87" s="799"/>
      <c r="AO87" s="799"/>
      <c r="AP87" s="799"/>
      <c r="AQ87" s="799"/>
      <c r="AR87" s="799"/>
      <c r="AS87" s="799"/>
      <c r="AT87" s="799"/>
      <c r="AU87" s="799"/>
      <c r="AV87" s="799"/>
      <c r="AW87" s="799"/>
      <c r="AX87" s="799"/>
      <c r="AY87" s="799"/>
      <c r="AZ87" s="799"/>
      <c r="BA87" s="799"/>
      <c r="BB87" s="799"/>
      <c r="BC87" s="799"/>
      <c r="BD87" s="799"/>
      <c r="BE87" s="799"/>
      <c r="BF87" s="799"/>
      <c r="BG87" s="799"/>
    </row>
    <row r="88">
      <c r="H88" s="799"/>
      <c r="I88" s="799"/>
      <c r="J88" s="799"/>
      <c r="K88" s="799"/>
      <c r="L88" s="799"/>
      <c r="M88" s="799"/>
      <c r="N88" s="799"/>
      <c r="O88" s="799"/>
      <c r="P88" s="799"/>
      <c r="Q88" s="799"/>
      <c r="R88" s="799"/>
      <c r="S88" s="799"/>
      <c r="T88" s="799"/>
      <c r="U88" s="799"/>
      <c r="V88" s="799"/>
      <c r="W88" s="799"/>
      <c r="X88" s="799"/>
      <c r="Y88" s="799"/>
      <c r="Z88" s="799"/>
      <c r="AA88" s="799"/>
      <c r="AB88" s="799"/>
      <c r="AC88" s="799"/>
      <c r="AD88" s="799"/>
      <c r="AE88" s="799"/>
      <c r="AF88" s="799"/>
      <c r="AG88" s="799"/>
      <c r="AH88" s="799"/>
      <c r="AI88" s="799"/>
      <c r="AJ88" s="799"/>
      <c r="AK88" s="799"/>
      <c r="AL88" s="799"/>
      <c r="AM88" s="799"/>
      <c r="AN88" s="799"/>
      <c r="AO88" s="799"/>
      <c r="AP88" s="799"/>
      <c r="AQ88" s="799"/>
      <c r="AR88" s="799"/>
      <c r="AS88" s="799"/>
      <c r="AT88" s="799"/>
      <c r="AU88" s="799"/>
      <c r="AV88" s="799"/>
      <c r="AW88" s="799"/>
      <c r="AX88" s="799"/>
      <c r="AY88" s="799"/>
      <c r="AZ88" s="799"/>
      <c r="BA88" s="799"/>
      <c r="BB88" s="799"/>
      <c r="BC88" s="799"/>
      <c r="BD88" s="799"/>
      <c r="BE88" s="799"/>
      <c r="BF88" s="799"/>
      <c r="BG88" s="799"/>
    </row>
    <row r="89">
      <c r="H89" s="799"/>
      <c r="I89" s="799"/>
      <c r="J89" s="799"/>
      <c r="K89" s="799"/>
      <c r="L89" s="799"/>
      <c r="M89" s="799"/>
      <c r="N89" s="799"/>
      <c r="O89" s="799"/>
      <c r="P89" s="799"/>
      <c r="Q89" s="799"/>
      <c r="R89" s="799"/>
      <c r="S89" s="799"/>
      <c r="T89" s="799"/>
      <c r="U89" s="799"/>
      <c r="V89" s="799"/>
      <c r="W89" s="799"/>
      <c r="X89" s="799"/>
      <c r="Y89" s="799"/>
      <c r="Z89" s="799"/>
      <c r="AA89" s="799"/>
      <c r="AB89" s="799"/>
      <c r="AC89" s="799"/>
      <c r="AD89" s="799"/>
      <c r="AE89" s="799"/>
      <c r="AF89" s="799"/>
      <c r="AG89" s="799"/>
      <c r="AH89" s="799"/>
      <c r="AI89" s="799"/>
      <c r="AJ89" s="799"/>
      <c r="AK89" s="799"/>
      <c r="AL89" s="799"/>
      <c r="AM89" s="799"/>
      <c r="AN89" s="799"/>
      <c r="AO89" s="799"/>
      <c r="AP89" s="799"/>
      <c r="AQ89" s="799"/>
      <c r="AR89" s="799"/>
      <c r="AS89" s="799"/>
      <c r="AT89" s="799"/>
      <c r="AU89" s="799"/>
      <c r="AV89" s="799"/>
      <c r="AW89" s="799"/>
      <c r="AX89" s="799"/>
      <c r="AY89" s="799"/>
      <c r="AZ89" s="799"/>
      <c r="BA89" s="799"/>
      <c r="BB89" s="799"/>
      <c r="BC89" s="799"/>
      <c r="BD89" s="799"/>
      <c r="BE89" s="799"/>
      <c r="BF89" s="799"/>
      <c r="BG89" s="799"/>
    </row>
    <row r="90">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799"/>
      <c r="AQ90" s="799"/>
      <c r="AR90" s="799"/>
      <c r="AS90" s="799"/>
      <c r="AT90" s="799"/>
      <c r="AU90" s="799"/>
      <c r="AV90" s="799"/>
      <c r="AW90" s="799"/>
      <c r="AX90" s="799"/>
      <c r="AY90" s="799"/>
      <c r="AZ90" s="799"/>
      <c r="BA90" s="799"/>
      <c r="BB90" s="799"/>
      <c r="BC90" s="799"/>
      <c r="BD90" s="799"/>
      <c r="BE90" s="799"/>
      <c r="BF90" s="799"/>
      <c r="BG90" s="799"/>
    </row>
    <row r="91">
      <c r="H91" s="799"/>
      <c r="I91" s="799"/>
      <c r="J91" s="799"/>
      <c r="K91" s="799"/>
      <c r="L91" s="799"/>
      <c r="M91" s="799"/>
      <c r="N91" s="799"/>
      <c r="O91" s="799"/>
      <c r="P91" s="799"/>
      <c r="Q91" s="799"/>
      <c r="R91" s="799"/>
      <c r="S91" s="799"/>
      <c r="T91" s="799"/>
      <c r="U91" s="799"/>
      <c r="V91" s="799"/>
      <c r="W91" s="799"/>
      <c r="X91" s="799"/>
      <c r="Y91" s="799"/>
      <c r="Z91" s="799"/>
      <c r="AA91" s="799"/>
      <c r="AB91" s="799"/>
      <c r="AC91" s="799"/>
      <c r="AD91" s="799"/>
      <c r="AE91" s="799"/>
      <c r="AF91" s="799"/>
      <c r="AG91" s="799"/>
      <c r="AH91" s="799"/>
      <c r="AI91" s="799"/>
      <c r="AJ91" s="799"/>
      <c r="AK91" s="799"/>
      <c r="AL91" s="799"/>
      <c r="AM91" s="799"/>
      <c r="AN91" s="799"/>
      <c r="AO91" s="799"/>
      <c r="AP91" s="799"/>
      <c r="AQ91" s="799"/>
      <c r="AR91" s="799"/>
      <c r="AS91" s="799"/>
      <c r="AT91" s="799"/>
      <c r="AU91" s="799"/>
      <c r="AV91" s="799"/>
      <c r="AW91" s="799"/>
      <c r="AX91" s="799"/>
      <c r="AY91" s="799"/>
      <c r="AZ91" s="799"/>
      <c r="BA91" s="799"/>
      <c r="BB91" s="799"/>
      <c r="BC91" s="799"/>
      <c r="BD91" s="799"/>
      <c r="BE91" s="799"/>
      <c r="BF91" s="799"/>
      <c r="BG91" s="799"/>
    </row>
    <row r="92">
      <c r="H92" s="799"/>
      <c r="I92" s="799"/>
      <c r="J92" s="799"/>
      <c r="K92" s="799"/>
      <c r="L92" s="799"/>
      <c r="M92" s="799"/>
      <c r="N92" s="799"/>
      <c r="O92" s="799"/>
      <c r="P92" s="799"/>
      <c r="Q92" s="799"/>
      <c r="R92" s="799"/>
      <c r="S92" s="799"/>
      <c r="T92" s="799"/>
      <c r="U92" s="799"/>
      <c r="V92" s="799"/>
      <c r="W92" s="799"/>
      <c r="X92" s="799"/>
      <c r="Y92" s="799"/>
      <c r="Z92" s="799"/>
      <c r="AA92" s="799"/>
      <c r="AB92" s="799"/>
      <c r="AC92" s="799"/>
      <c r="AD92" s="799"/>
      <c r="AE92" s="799"/>
      <c r="AF92" s="799"/>
      <c r="AG92" s="799"/>
      <c r="AH92" s="799"/>
      <c r="AI92" s="799"/>
      <c r="AJ92" s="799"/>
      <c r="AK92" s="799"/>
      <c r="AL92" s="799"/>
      <c r="AM92" s="799"/>
      <c r="AN92" s="799"/>
      <c r="AO92" s="799"/>
      <c r="AP92" s="799"/>
      <c r="AQ92" s="799"/>
      <c r="AR92" s="799"/>
      <c r="AS92" s="799"/>
      <c r="AT92" s="799"/>
      <c r="AU92" s="799"/>
      <c r="AV92" s="799"/>
      <c r="AW92" s="799"/>
      <c r="AX92" s="799"/>
      <c r="AY92" s="799"/>
      <c r="AZ92" s="799"/>
      <c r="BA92" s="799"/>
      <c r="BB92" s="799"/>
      <c r="BC92" s="799"/>
      <c r="BD92" s="799"/>
      <c r="BE92" s="799"/>
      <c r="BF92" s="799"/>
      <c r="BG92" s="799"/>
    </row>
    <row r="93">
      <c r="H93" s="799"/>
      <c r="I93" s="799"/>
      <c r="J93" s="799"/>
      <c r="K93" s="799"/>
      <c r="L93" s="799"/>
      <c r="M93" s="799"/>
      <c r="N93" s="799"/>
      <c r="O93" s="799"/>
      <c r="P93" s="799"/>
      <c r="Q93" s="799"/>
      <c r="R93" s="799"/>
      <c r="S93" s="799"/>
      <c r="T93" s="799"/>
      <c r="U93" s="799"/>
      <c r="V93" s="799"/>
      <c r="W93" s="799"/>
      <c r="X93" s="799"/>
      <c r="Y93" s="799"/>
      <c r="Z93" s="799"/>
      <c r="AA93" s="799"/>
      <c r="AB93" s="799"/>
      <c r="AC93" s="799"/>
      <c r="AD93" s="799"/>
      <c r="AE93" s="799"/>
      <c r="AF93" s="799"/>
      <c r="AG93" s="799"/>
      <c r="AH93" s="799"/>
      <c r="AI93" s="799"/>
      <c r="AJ93" s="799"/>
      <c r="AK93" s="799"/>
      <c r="AL93" s="799"/>
      <c r="AM93" s="799"/>
      <c r="AN93" s="799"/>
      <c r="AO93" s="799"/>
      <c r="AP93" s="799"/>
      <c r="AQ93" s="799"/>
      <c r="AR93" s="799"/>
      <c r="AS93" s="799"/>
      <c r="AT93" s="799"/>
      <c r="AU93" s="799"/>
      <c r="AV93" s="799"/>
      <c r="AW93" s="799"/>
      <c r="AX93" s="799"/>
      <c r="AY93" s="799"/>
      <c r="AZ93" s="799"/>
      <c r="BA93" s="799"/>
      <c r="BB93" s="799"/>
      <c r="BC93" s="799"/>
      <c r="BD93" s="799"/>
      <c r="BE93" s="799"/>
      <c r="BF93" s="799"/>
      <c r="BG93" s="799"/>
    </row>
    <row r="94">
      <c r="H94" s="799"/>
      <c r="I94" s="799"/>
      <c r="J94" s="799"/>
      <c r="K94" s="799"/>
      <c r="L94" s="799"/>
      <c r="M94" s="799"/>
      <c r="N94" s="799"/>
      <c r="O94" s="799"/>
      <c r="P94" s="799"/>
      <c r="Q94" s="799"/>
      <c r="R94" s="799"/>
      <c r="S94" s="799"/>
      <c r="T94" s="799"/>
      <c r="U94" s="799"/>
      <c r="V94" s="799"/>
      <c r="W94" s="799"/>
      <c r="X94" s="799"/>
      <c r="Y94" s="799"/>
      <c r="Z94" s="799"/>
      <c r="AA94" s="799"/>
      <c r="AB94" s="799"/>
      <c r="AC94" s="799"/>
      <c r="AD94" s="799"/>
      <c r="AE94" s="799"/>
      <c r="AF94" s="799"/>
      <c r="AG94" s="799"/>
      <c r="AH94" s="799"/>
      <c r="AI94" s="799"/>
      <c r="AJ94" s="799"/>
      <c r="AK94" s="799"/>
      <c r="AL94" s="799"/>
      <c r="AM94" s="799"/>
      <c r="AN94" s="799"/>
      <c r="AO94" s="799"/>
      <c r="AP94" s="799"/>
      <c r="AQ94" s="799"/>
      <c r="AR94" s="799"/>
      <c r="AS94" s="799"/>
      <c r="AT94" s="799"/>
      <c r="AU94" s="799"/>
      <c r="AV94" s="799"/>
      <c r="AW94" s="799"/>
      <c r="AX94" s="799"/>
      <c r="AY94" s="799"/>
      <c r="AZ94" s="799"/>
      <c r="BA94" s="799"/>
      <c r="BB94" s="799"/>
      <c r="BC94" s="799"/>
      <c r="BD94" s="799"/>
      <c r="BE94" s="799"/>
      <c r="BF94" s="799"/>
      <c r="BG94" s="799"/>
    </row>
    <row r="95">
      <c r="H95" s="799"/>
      <c r="I95" s="799"/>
      <c r="J95" s="799"/>
      <c r="K95" s="799"/>
      <c r="L95" s="799"/>
      <c r="M95" s="799"/>
      <c r="N95" s="799"/>
      <c r="O95" s="799"/>
      <c r="P95" s="799"/>
      <c r="Q95" s="799"/>
      <c r="R95" s="799"/>
      <c r="S95" s="799"/>
      <c r="T95" s="799"/>
      <c r="U95" s="799"/>
      <c r="V95" s="799"/>
      <c r="W95" s="799"/>
      <c r="X95" s="799"/>
      <c r="Y95" s="799"/>
      <c r="Z95" s="799"/>
      <c r="AA95" s="799"/>
      <c r="AB95" s="799"/>
      <c r="AC95" s="799"/>
      <c r="AD95" s="799"/>
      <c r="AE95" s="799"/>
      <c r="AF95" s="799"/>
      <c r="AG95" s="799"/>
      <c r="AH95" s="799"/>
      <c r="AI95" s="799"/>
      <c r="AJ95" s="799"/>
      <c r="AK95" s="799"/>
      <c r="AL95" s="799"/>
      <c r="AM95" s="799"/>
      <c r="AN95" s="799"/>
      <c r="AO95" s="799"/>
      <c r="AP95" s="799"/>
      <c r="AQ95" s="799"/>
      <c r="AR95" s="799"/>
      <c r="AS95" s="799"/>
      <c r="AT95" s="799"/>
      <c r="AU95" s="799"/>
      <c r="AV95" s="799"/>
      <c r="AW95" s="799"/>
      <c r="AX95" s="799"/>
      <c r="AY95" s="799"/>
      <c r="AZ95" s="799"/>
      <c r="BA95" s="799"/>
      <c r="BB95" s="799"/>
      <c r="BC95" s="799"/>
      <c r="BD95" s="799"/>
      <c r="BE95" s="799"/>
      <c r="BF95" s="799"/>
      <c r="BG95" s="799"/>
    </row>
    <row r="96">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row>
    <row r="97">
      <c r="H97" s="799"/>
      <c r="I97" s="799"/>
      <c r="J97" s="799"/>
      <c r="K97" s="799"/>
      <c r="L97" s="799"/>
      <c r="M97" s="799"/>
      <c r="N97" s="799"/>
      <c r="O97" s="799"/>
      <c r="P97" s="799"/>
      <c r="Q97" s="799"/>
      <c r="R97" s="799"/>
      <c r="S97" s="799"/>
      <c r="T97" s="799"/>
      <c r="U97" s="799"/>
      <c r="V97" s="799"/>
      <c r="W97" s="799"/>
      <c r="X97" s="799"/>
      <c r="Y97" s="799"/>
      <c r="Z97" s="799"/>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799"/>
      <c r="AX97" s="799"/>
      <c r="AY97" s="799"/>
      <c r="AZ97" s="799"/>
      <c r="BA97" s="799"/>
      <c r="BB97" s="799"/>
      <c r="BC97" s="799"/>
      <c r="BD97" s="799"/>
      <c r="BE97" s="799"/>
      <c r="BF97" s="799"/>
      <c r="BG97" s="799"/>
    </row>
    <row r="98">
      <c r="H98" s="799"/>
      <c r="I98" s="799"/>
      <c r="J98" s="799"/>
      <c r="K98" s="799"/>
      <c r="L98" s="799"/>
      <c r="M98" s="799"/>
      <c r="N98" s="799"/>
      <c r="O98" s="799"/>
      <c r="P98" s="799"/>
      <c r="Q98" s="799"/>
      <c r="R98" s="799"/>
      <c r="S98" s="799"/>
      <c r="T98" s="799"/>
      <c r="U98" s="799"/>
      <c r="V98" s="799"/>
      <c r="W98" s="799"/>
      <c r="X98" s="799"/>
      <c r="Y98" s="799"/>
      <c r="Z98" s="799"/>
      <c r="AA98" s="799"/>
      <c r="AB98" s="799"/>
      <c r="AC98" s="799"/>
      <c r="AD98" s="799"/>
      <c r="AE98" s="799"/>
      <c r="AF98" s="799"/>
      <c r="AG98" s="799"/>
      <c r="AH98" s="799"/>
      <c r="AI98" s="799"/>
      <c r="AJ98" s="799"/>
      <c r="AK98" s="799"/>
      <c r="AL98" s="799"/>
      <c r="AM98" s="799"/>
      <c r="AN98" s="799"/>
      <c r="AO98" s="799"/>
      <c r="AP98" s="799"/>
      <c r="AQ98" s="799"/>
      <c r="AR98" s="799"/>
      <c r="AS98" s="799"/>
      <c r="AT98" s="799"/>
      <c r="AU98" s="799"/>
      <c r="AV98" s="799"/>
      <c r="AW98" s="799"/>
      <c r="AX98" s="799"/>
      <c r="AY98" s="799"/>
      <c r="AZ98" s="799"/>
      <c r="BA98" s="799"/>
      <c r="BB98" s="799"/>
      <c r="BC98" s="799"/>
      <c r="BD98" s="799"/>
      <c r="BE98" s="799"/>
      <c r="BF98" s="799"/>
      <c r="BG98" s="799"/>
    </row>
    <row r="99">
      <c r="H99" s="799"/>
      <c r="I99" s="799"/>
      <c r="J99" s="799"/>
      <c r="K99" s="799"/>
      <c r="L99" s="799"/>
      <c r="M99" s="799"/>
      <c r="N99" s="799"/>
      <c r="O99" s="799"/>
      <c r="P99" s="799"/>
      <c r="Q99" s="799"/>
      <c r="R99" s="799"/>
      <c r="S99" s="799"/>
      <c r="T99" s="799"/>
      <c r="U99" s="799"/>
      <c r="V99" s="799"/>
      <c r="W99" s="799"/>
      <c r="X99" s="799"/>
      <c r="Y99" s="799"/>
      <c r="Z99" s="799"/>
      <c r="AA99" s="799"/>
      <c r="AB99" s="799"/>
      <c r="AC99" s="799"/>
      <c r="AD99" s="799"/>
      <c r="AE99" s="799"/>
      <c r="AF99" s="799"/>
      <c r="AG99" s="799"/>
      <c r="AH99" s="799"/>
      <c r="AI99" s="799"/>
      <c r="AJ99" s="799"/>
      <c r="AK99" s="799"/>
      <c r="AL99" s="799"/>
      <c r="AM99" s="799"/>
      <c r="AN99" s="799"/>
      <c r="AO99" s="799"/>
      <c r="AP99" s="799"/>
      <c r="AQ99" s="799"/>
      <c r="AR99" s="799"/>
      <c r="AS99" s="799"/>
      <c r="AT99" s="799"/>
      <c r="AU99" s="799"/>
      <c r="AV99" s="799"/>
      <c r="AW99" s="799"/>
      <c r="AX99" s="799"/>
      <c r="AY99" s="799"/>
      <c r="AZ99" s="799"/>
      <c r="BA99" s="799"/>
      <c r="BB99" s="799"/>
      <c r="BC99" s="799"/>
      <c r="BD99" s="799"/>
      <c r="BE99" s="799"/>
      <c r="BF99" s="799"/>
      <c r="BG99" s="799"/>
    </row>
    <row r="100">
      <c r="H100" s="799"/>
      <c r="I100" s="799"/>
      <c r="J100" s="799"/>
      <c r="K100" s="799"/>
      <c r="L100" s="799"/>
      <c r="M100" s="799"/>
      <c r="N100" s="799"/>
      <c r="O100" s="799"/>
      <c r="P100" s="799"/>
      <c r="Q100" s="799"/>
      <c r="R100" s="799"/>
      <c r="S100" s="799"/>
      <c r="T100" s="799"/>
      <c r="U100" s="799"/>
      <c r="V100" s="799"/>
      <c r="W100" s="799"/>
      <c r="X100" s="799"/>
      <c r="Y100" s="799"/>
      <c r="Z100" s="799"/>
      <c r="AA100" s="799"/>
      <c r="AB100" s="799"/>
      <c r="AC100" s="799"/>
      <c r="AD100" s="799"/>
      <c r="AE100" s="799"/>
      <c r="AF100" s="799"/>
      <c r="AG100" s="799"/>
      <c r="AH100" s="799"/>
      <c r="AI100" s="799"/>
      <c r="AJ100" s="799"/>
      <c r="AK100" s="799"/>
      <c r="AL100" s="799"/>
      <c r="AM100" s="799"/>
      <c r="AN100" s="799"/>
      <c r="AO100" s="799"/>
      <c r="AP100" s="799"/>
      <c r="AQ100" s="799"/>
      <c r="AR100" s="799"/>
      <c r="AS100" s="799"/>
      <c r="AT100" s="799"/>
      <c r="AU100" s="799"/>
      <c r="AV100" s="799"/>
      <c r="AW100" s="799"/>
      <c r="AX100" s="799"/>
      <c r="AY100" s="799"/>
      <c r="AZ100" s="799"/>
      <c r="BA100" s="799"/>
      <c r="BB100" s="799"/>
      <c r="BC100" s="799"/>
      <c r="BD100" s="799"/>
      <c r="BE100" s="799"/>
      <c r="BF100" s="799"/>
      <c r="BG100" s="799"/>
    </row>
    <row r="101">
      <c r="H101" s="799"/>
      <c r="I101" s="799"/>
      <c r="J101" s="799"/>
      <c r="K101" s="799"/>
      <c r="L101" s="799"/>
      <c r="M101" s="799"/>
      <c r="N101" s="799"/>
      <c r="O101" s="799"/>
      <c r="P101" s="799"/>
      <c r="Q101" s="799"/>
      <c r="R101" s="799"/>
      <c r="S101" s="799"/>
      <c r="T101" s="799"/>
      <c r="U101" s="799"/>
      <c r="V101" s="799"/>
      <c r="W101" s="799"/>
      <c r="X101" s="799"/>
      <c r="Y101" s="799"/>
      <c r="Z101" s="799"/>
      <c r="AA101" s="799"/>
      <c r="AB101" s="799"/>
      <c r="AC101" s="799"/>
      <c r="AD101" s="799"/>
      <c r="AE101" s="799"/>
      <c r="AF101" s="799"/>
      <c r="AG101" s="799"/>
      <c r="AH101" s="799"/>
      <c r="AI101" s="799"/>
      <c r="AJ101" s="799"/>
      <c r="AK101" s="799"/>
      <c r="AL101" s="799"/>
      <c r="AM101" s="799"/>
      <c r="AN101" s="799"/>
      <c r="AO101" s="799"/>
      <c r="AP101" s="799"/>
      <c r="AQ101" s="799"/>
      <c r="AR101" s="799"/>
      <c r="AS101" s="799"/>
      <c r="AT101" s="799"/>
      <c r="AU101" s="799"/>
      <c r="AV101" s="799"/>
      <c r="AW101" s="799"/>
      <c r="AX101" s="799"/>
      <c r="AY101" s="799"/>
      <c r="AZ101" s="799"/>
      <c r="BA101" s="799"/>
      <c r="BB101" s="799"/>
      <c r="BC101" s="799"/>
      <c r="BD101" s="799"/>
      <c r="BE101" s="799"/>
      <c r="BF101" s="799"/>
      <c r="BG101" s="799"/>
    </row>
    <row r="102">
      <c r="H102" s="799"/>
      <c r="I102" s="799"/>
      <c r="J102" s="799"/>
      <c r="K102" s="799"/>
      <c r="L102" s="799"/>
      <c r="M102" s="799"/>
      <c r="N102" s="799"/>
      <c r="O102" s="799"/>
      <c r="P102" s="799"/>
      <c r="Q102" s="799"/>
      <c r="R102" s="799"/>
      <c r="S102" s="799"/>
      <c r="T102" s="799"/>
      <c r="U102" s="799"/>
      <c r="V102" s="799"/>
      <c r="W102" s="799"/>
      <c r="X102" s="799"/>
      <c r="Y102" s="799"/>
      <c r="Z102" s="799"/>
      <c r="AA102" s="799"/>
      <c r="AB102" s="799"/>
      <c r="AC102" s="799"/>
      <c r="AD102" s="799"/>
      <c r="AE102" s="799"/>
      <c r="AF102" s="799"/>
      <c r="AG102" s="799"/>
      <c r="AH102" s="799"/>
      <c r="AI102" s="799"/>
      <c r="AJ102" s="799"/>
      <c r="AK102" s="799"/>
      <c r="AL102" s="799"/>
      <c r="AM102" s="799"/>
      <c r="AN102" s="799"/>
      <c r="AO102" s="799"/>
      <c r="AP102" s="799"/>
      <c r="AQ102" s="799"/>
      <c r="AR102" s="799"/>
      <c r="AS102" s="799"/>
      <c r="AT102" s="799"/>
      <c r="AU102" s="799"/>
      <c r="AV102" s="799"/>
      <c r="AW102" s="799"/>
      <c r="AX102" s="799"/>
      <c r="AY102" s="799"/>
      <c r="AZ102" s="799"/>
      <c r="BA102" s="799"/>
      <c r="BB102" s="799"/>
      <c r="BC102" s="799"/>
      <c r="BD102" s="799"/>
      <c r="BE102" s="799"/>
      <c r="BF102" s="799"/>
      <c r="BG102" s="799"/>
    </row>
    <row r="103">
      <c r="H103" s="799"/>
      <c r="I103" s="799"/>
      <c r="J103" s="799"/>
      <c r="K103" s="799"/>
      <c r="L103" s="799"/>
      <c r="M103" s="799"/>
      <c r="N103" s="799"/>
      <c r="O103" s="799"/>
      <c r="P103" s="799"/>
      <c r="Q103" s="799"/>
      <c r="R103" s="799"/>
      <c r="S103" s="799"/>
      <c r="T103" s="799"/>
      <c r="U103" s="799"/>
      <c r="V103" s="799"/>
      <c r="W103" s="799"/>
      <c r="X103" s="799"/>
      <c r="Y103" s="799"/>
      <c r="Z103" s="799"/>
      <c r="AA103" s="799"/>
      <c r="AB103" s="799"/>
      <c r="AC103" s="799"/>
      <c r="AD103" s="799"/>
      <c r="AE103" s="799"/>
      <c r="AF103" s="799"/>
      <c r="AG103" s="799"/>
      <c r="AH103" s="799"/>
      <c r="AI103" s="799"/>
      <c r="AJ103" s="799"/>
      <c r="AK103" s="799"/>
      <c r="AL103" s="799"/>
      <c r="AM103" s="799"/>
      <c r="AN103" s="799"/>
      <c r="AO103" s="799"/>
      <c r="AP103" s="799"/>
      <c r="AQ103" s="799"/>
      <c r="AR103" s="799"/>
      <c r="AS103" s="799"/>
      <c r="AT103" s="799"/>
      <c r="AU103" s="799"/>
      <c r="AV103" s="799"/>
      <c r="AW103" s="799"/>
      <c r="AX103" s="799"/>
      <c r="AY103" s="799"/>
      <c r="AZ103" s="799"/>
      <c r="BA103" s="799"/>
      <c r="BB103" s="799"/>
      <c r="BC103" s="799"/>
      <c r="BD103" s="799"/>
      <c r="BE103" s="799"/>
      <c r="BF103" s="799"/>
      <c r="BG103" s="799"/>
    </row>
    <row r="104">
      <c r="H104" s="799"/>
      <c r="I104" s="799"/>
      <c r="J104" s="799"/>
      <c r="K104" s="799"/>
      <c r="L104" s="799"/>
      <c r="M104" s="799"/>
      <c r="N104" s="799"/>
      <c r="O104" s="799"/>
      <c r="P104" s="799"/>
      <c r="Q104" s="799"/>
      <c r="R104" s="799"/>
      <c r="S104" s="799"/>
      <c r="T104" s="799"/>
      <c r="U104" s="799"/>
      <c r="V104" s="799"/>
      <c r="W104" s="799"/>
      <c r="X104" s="799"/>
      <c r="Y104" s="799"/>
      <c r="Z104" s="799"/>
      <c r="AA104" s="799"/>
      <c r="AB104" s="799"/>
      <c r="AC104" s="799"/>
      <c r="AD104" s="799"/>
      <c r="AE104" s="799"/>
      <c r="AF104" s="799"/>
      <c r="AG104" s="799"/>
      <c r="AH104" s="799"/>
      <c r="AI104" s="799"/>
      <c r="AJ104" s="799"/>
      <c r="AK104" s="799"/>
      <c r="AL104" s="799"/>
      <c r="AM104" s="799"/>
      <c r="AN104" s="799"/>
      <c r="AO104" s="799"/>
      <c r="AP104" s="799"/>
      <c r="AQ104" s="799"/>
      <c r="AR104" s="799"/>
      <c r="AS104" s="799"/>
      <c r="AT104" s="799"/>
      <c r="AU104" s="799"/>
      <c r="AV104" s="799"/>
      <c r="AW104" s="799"/>
      <c r="AX104" s="799"/>
      <c r="AY104" s="799"/>
      <c r="AZ104" s="799"/>
      <c r="BA104" s="799"/>
      <c r="BB104" s="799"/>
      <c r="BC104" s="799"/>
      <c r="BD104" s="799"/>
      <c r="BE104" s="799"/>
      <c r="BF104" s="799"/>
      <c r="BG104" s="799"/>
    </row>
    <row r="105">
      <c r="H105" s="799"/>
      <c r="I105" s="799"/>
      <c r="J105" s="799"/>
      <c r="K105" s="799"/>
      <c r="L105" s="799"/>
      <c r="M105" s="799"/>
      <c r="N105" s="799"/>
      <c r="O105" s="799"/>
      <c r="P105" s="799"/>
      <c r="Q105" s="799"/>
      <c r="R105" s="799"/>
      <c r="S105" s="799"/>
      <c r="T105" s="799"/>
      <c r="U105" s="799"/>
      <c r="V105" s="799"/>
      <c r="W105" s="799"/>
      <c r="X105" s="799"/>
      <c r="Y105" s="799"/>
      <c r="Z105" s="799"/>
      <c r="AA105" s="799"/>
      <c r="AB105" s="799"/>
      <c r="AC105" s="799"/>
      <c r="AD105" s="799"/>
      <c r="AE105" s="799"/>
      <c r="AF105" s="799"/>
      <c r="AG105" s="799"/>
      <c r="AH105" s="799"/>
      <c r="AI105" s="799"/>
      <c r="AJ105" s="799"/>
      <c r="AK105" s="799"/>
      <c r="AL105" s="799"/>
      <c r="AM105" s="799"/>
      <c r="AN105" s="799"/>
      <c r="AO105" s="799"/>
      <c r="AP105" s="799"/>
      <c r="AQ105" s="799"/>
      <c r="AR105" s="799"/>
      <c r="AS105" s="799"/>
      <c r="AT105" s="799"/>
      <c r="AU105" s="799"/>
      <c r="AV105" s="799"/>
      <c r="AW105" s="799"/>
      <c r="AX105" s="799"/>
      <c r="AY105" s="799"/>
      <c r="AZ105" s="799"/>
      <c r="BA105" s="799"/>
      <c r="BB105" s="799"/>
      <c r="BC105" s="799"/>
      <c r="BD105" s="799"/>
      <c r="BE105" s="799"/>
      <c r="BF105" s="799"/>
      <c r="BG105" s="799"/>
    </row>
    <row r="106">
      <c r="H106" s="799"/>
      <c r="I106" s="799"/>
      <c r="J106" s="799"/>
      <c r="K106" s="799"/>
      <c r="L106" s="799"/>
      <c r="M106" s="799"/>
      <c r="N106" s="799"/>
      <c r="O106" s="799"/>
      <c r="P106" s="799"/>
      <c r="Q106" s="799"/>
      <c r="R106" s="799"/>
      <c r="S106" s="799"/>
      <c r="T106" s="799"/>
      <c r="U106" s="799"/>
      <c r="V106" s="799"/>
      <c r="W106" s="799"/>
      <c r="X106" s="799"/>
      <c r="Y106" s="799"/>
      <c r="Z106" s="799"/>
      <c r="AA106" s="799"/>
      <c r="AB106" s="799"/>
      <c r="AC106" s="799"/>
      <c r="AD106" s="799"/>
      <c r="AE106" s="799"/>
      <c r="AF106" s="799"/>
      <c r="AG106" s="799"/>
      <c r="AH106" s="799"/>
      <c r="AI106" s="799"/>
      <c r="AJ106" s="799"/>
      <c r="AK106" s="799"/>
      <c r="AL106" s="799"/>
      <c r="AM106" s="799"/>
      <c r="AN106" s="799"/>
      <c r="AO106" s="799"/>
      <c r="AP106" s="799"/>
      <c r="AQ106" s="799"/>
      <c r="AR106" s="799"/>
      <c r="AS106" s="799"/>
      <c r="AT106" s="799"/>
      <c r="AU106" s="799"/>
      <c r="AV106" s="799"/>
      <c r="AW106" s="799"/>
      <c r="AX106" s="799"/>
      <c r="AY106" s="799"/>
      <c r="AZ106" s="799"/>
      <c r="BA106" s="799"/>
      <c r="BB106" s="799"/>
      <c r="BC106" s="799"/>
      <c r="BD106" s="799"/>
      <c r="BE106" s="799"/>
      <c r="BF106" s="799"/>
      <c r="BG106" s="799"/>
    </row>
    <row r="107">
      <c r="H107" s="799"/>
      <c r="I107" s="799"/>
      <c r="J107" s="799"/>
      <c r="K107" s="799"/>
      <c r="L107" s="799"/>
      <c r="M107" s="799"/>
      <c r="N107" s="799"/>
      <c r="O107" s="799"/>
      <c r="P107" s="799"/>
      <c r="Q107" s="799"/>
      <c r="R107" s="799"/>
      <c r="S107" s="799"/>
      <c r="T107" s="799"/>
      <c r="U107" s="799"/>
      <c r="V107" s="799"/>
      <c r="W107" s="799"/>
      <c r="X107" s="799"/>
      <c r="Y107" s="799"/>
      <c r="Z107" s="799"/>
      <c r="AA107" s="799"/>
      <c r="AB107" s="799"/>
      <c r="AC107" s="799"/>
      <c r="AD107" s="799"/>
      <c r="AE107" s="799"/>
      <c r="AF107" s="799"/>
      <c r="AG107" s="799"/>
      <c r="AH107" s="799"/>
      <c r="AI107" s="799"/>
      <c r="AJ107" s="799"/>
      <c r="AK107" s="799"/>
      <c r="AL107" s="799"/>
      <c r="AM107" s="799"/>
      <c r="AN107" s="799"/>
      <c r="AO107" s="799"/>
      <c r="AP107" s="799"/>
      <c r="AQ107" s="799"/>
      <c r="AR107" s="799"/>
      <c r="AS107" s="799"/>
      <c r="AT107" s="799"/>
      <c r="AU107" s="799"/>
      <c r="AV107" s="799"/>
      <c r="AW107" s="799"/>
      <c r="AX107" s="799"/>
      <c r="AY107" s="799"/>
      <c r="AZ107" s="799"/>
      <c r="BA107" s="799"/>
      <c r="BB107" s="799"/>
      <c r="BC107" s="799"/>
      <c r="BD107" s="799"/>
      <c r="BE107" s="799"/>
      <c r="BF107" s="799"/>
      <c r="BG107" s="799"/>
    </row>
    <row r="108">
      <c r="H108" s="799"/>
      <c r="I108" s="799"/>
      <c r="J108" s="799"/>
      <c r="K108" s="799"/>
      <c r="L108" s="799"/>
      <c r="M108" s="799"/>
      <c r="N108" s="799"/>
      <c r="O108" s="799"/>
      <c r="P108" s="799"/>
      <c r="Q108" s="799"/>
      <c r="R108" s="799"/>
      <c r="S108" s="799"/>
      <c r="T108" s="799"/>
      <c r="U108" s="799"/>
      <c r="V108" s="799"/>
      <c r="W108" s="799"/>
      <c r="X108" s="799"/>
      <c r="Y108" s="799"/>
      <c r="Z108" s="799"/>
      <c r="AA108" s="799"/>
      <c r="AB108" s="799"/>
      <c r="AC108" s="799"/>
      <c r="AD108" s="799"/>
      <c r="AE108" s="799"/>
      <c r="AF108" s="799"/>
      <c r="AG108" s="799"/>
      <c r="AH108" s="799"/>
      <c r="AI108" s="799"/>
      <c r="AJ108" s="799"/>
      <c r="AK108" s="799"/>
      <c r="AL108" s="799"/>
      <c r="AM108" s="799"/>
      <c r="AN108" s="799"/>
      <c r="AO108" s="799"/>
      <c r="AP108" s="799"/>
      <c r="AQ108" s="799"/>
      <c r="AR108" s="799"/>
      <c r="AS108" s="799"/>
      <c r="AT108" s="799"/>
      <c r="AU108" s="799"/>
      <c r="AV108" s="799"/>
      <c r="AW108" s="799"/>
      <c r="AX108" s="799"/>
      <c r="AY108" s="799"/>
      <c r="AZ108" s="799"/>
      <c r="BA108" s="799"/>
      <c r="BB108" s="799"/>
      <c r="BC108" s="799"/>
      <c r="BD108" s="799"/>
      <c r="BE108" s="799"/>
      <c r="BF108" s="799"/>
      <c r="BG108" s="799"/>
    </row>
    <row r="109">
      <c r="H109" s="799"/>
      <c r="I109" s="799"/>
      <c r="J109" s="799"/>
      <c r="K109" s="799"/>
      <c r="L109" s="799"/>
      <c r="M109" s="799"/>
      <c r="N109" s="799"/>
      <c r="O109" s="799"/>
      <c r="P109" s="799"/>
      <c r="Q109" s="799"/>
      <c r="R109" s="799"/>
      <c r="S109" s="799"/>
      <c r="T109" s="799"/>
      <c r="U109" s="799"/>
      <c r="V109" s="799"/>
      <c r="W109" s="799"/>
      <c r="X109" s="799"/>
      <c r="Y109" s="799"/>
      <c r="Z109" s="799"/>
      <c r="AA109" s="799"/>
      <c r="AB109" s="799"/>
      <c r="AC109" s="799"/>
      <c r="AD109" s="799"/>
      <c r="AE109" s="799"/>
      <c r="AF109" s="799"/>
      <c r="AG109" s="799"/>
      <c r="AH109" s="799"/>
      <c r="AI109" s="799"/>
      <c r="AJ109" s="799"/>
      <c r="AK109" s="799"/>
      <c r="AL109" s="799"/>
      <c r="AM109" s="799"/>
      <c r="AN109" s="799"/>
      <c r="AO109" s="799"/>
      <c r="AP109" s="799"/>
      <c r="AQ109" s="799"/>
      <c r="AR109" s="799"/>
      <c r="AS109" s="799"/>
      <c r="AT109" s="799"/>
      <c r="AU109" s="799"/>
      <c r="AV109" s="799"/>
      <c r="AW109" s="799"/>
      <c r="AX109" s="799"/>
      <c r="AY109" s="799"/>
      <c r="AZ109" s="799"/>
      <c r="BA109" s="799"/>
      <c r="BB109" s="799"/>
      <c r="BC109" s="799"/>
      <c r="BD109" s="799"/>
      <c r="BE109" s="799"/>
      <c r="BF109" s="799"/>
      <c r="BG109" s="799"/>
    </row>
    <row r="110">
      <c r="H110" s="799"/>
      <c r="I110" s="799"/>
      <c r="J110" s="799"/>
      <c r="K110" s="799"/>
      <c r="L110" s="799"/>
      <c r="M110" s="799"/>
      <c r="N110" s="799"/>
      <c r="O110" s="799"/>
      <c r="P110" s="799"/>
      <c r="Q110" s="799"/>
      <c r="R110" s="799"/>
      <c r="S110" s="799"/>
      <c r="T110" s="799"/>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c r="AP110" s="799"/>
      <c r="AQ110" s="799"/>
      <c r="AR110" s="799"/>
      <c r="AS110" s="799"/>
      <c r="AT110" s="799"/>
      <c r="AU110" s="799"/>
      <c r="AV110" s="799"/>
      <c r="AW110" s="799"/>
      <c r="AX110" s="799"/>
      <c r="AY110" s="799"/>
      <c r="AZ110" s="799"/>
      <c r="BA110" s="799"/>
      <c r="BB110" s="799"/>
      <c r="BC110" s="799"/>
      <c r="BD110" s="799"/>
      <c r="BE110" s="799"/>
      <c r="BF110" s="799"/>
      <c r="BG110" s="799"/>
    </row>
    <row r="111">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row>
    <row r="112">
      <c r="H112" s="799"/>
      <c r="I112" s="799"/>
      <c r="J112" s="799"/>
      <c r="K112" s="799"/>
      <c r="L112" s="799"/>
      <c r="M112" s="799"/>
      <c r="N112" s="799"/>
      <c r="O112" s="799"/>
      <c r="P112" s="799"/>
      <c r="Q112" s="799"/>
      <c r="R112" s="799"/>
      <c r="S112" s="799"/>
      <c r="T112" s="799"/>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c r="AP112" s="799"/>
      <c r="AQ112" s="799"/>
      <c r="AR112" s="799"/>
      <c r="AS112" s="799"/>
      <c r="AT112" s="799"/>
      <c r="AU112" s="799"/>
      <c r="AV112" s="799"/>
      <c r="AW112" s="799"/>
      <c r="AX112" s="799"/>
      <c r="AY112" s="799"/>
      <c r="AZ112" s="799"/>
      <c r="BA112" s="799"/>
      <c r="BB112" s="799"/>
      <c r="BC112" s="799"/>
      <c r="BD112" s="799"/>
      <c r="BE112" s="799"/>
      <c r="BF112" s="799"/>
      <c r="BG112" s="799"/>
    </row>
    <row r="113">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row>
    <row r="114">
      <c r="H114" s="799"/>
      <c r="I114" s="799"/>
      <c r="J114" s="799"/>
      <c r="K114" s="799"/>
      <c r="L114" s="799"/>
      <c r="M114" s="799"/>
      <c r="N114" s="799"/>
      <c r="O114" s="799"/>
      <c r="P114" s="799"/>
      <c r="Q114" s="799"/>
      <c r="R114" s="799"/>
      <c r="S114" s="799"/>
      <c r="T114" s="799"/>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c r="AP114" s="799"/>
      <c r="AQ114" s="799"/>
      <c r="AR114" s="799"/>
      <c r="AS114" s="799"/>
      <c r="AT114" s="799"/>
      <c r="AU114" s="799"/>
      <c r="AV114" s="799"/>
      <c r="AW114" s="799"/>
      <c r="AX114" s="799"/>
      <c r="AY114" s="799"/>
      <c r="AZ114" s="799"/>
      <c r="BA114" s="799"/>
      <c r="BB114" s="799"/>
      <c r="BC114" s="799"/>
      <c r="BD114" s="799"/>
      <c r="BE114" s="799"/>
      <c r="BF114" s="799"/>
      <c r="BG114" s="799"/>
    </row>
    <row r="115">
      <c r="H115" s="799"/>
      <c r="I115" s="799"/>
      <c r="J115" s="799"/>
      <c r="K115" s="799"/>
      <c r="L115" s="799"/>
      <c r="M115" s="799"/>
      <c r="N115" s="799"/>
      <c r="O115" s="799"/>
      <c r="P115" s="799"/>
      <c r="Q115" s="799"/>
      <c r="R115" s="799"/>
      <c r="S115" s="799"/>
      <c r="T115" s="799"/>
      <c r="U115" s="799"/>
      <c r="V115" s="799"/>
      <c r="W115" s="799"/>
      <c r="X115" s="799"/>
      <c r="Y115" s="799"/>
      <c r="Z115" s="799"/>
      <c r="AA115" s="799"/>
      <c r="AB115" s="799"/>
      <c r="AC115" s="799"/>
      <c r="AD115" s="799"/>
      <c r="AE115" s="799"/>
      <c r="AF115" s="799"/>
      <c r="AG115" s="799"/>
      <c r="AH115" s="799"/>
      <c r="AI115" s="799"/>
      <c r="AJ115" s="799"/>
      <c r="AK115" s="799"/>
      <c r="AL115" s="799"/>
      <c r="AM115" s="799"/>
      <c r="AN115" s="799"/>
      <c r="AO115" s="799"/>
      <c r="AP115" s="799"/>
      <c r="AQ115" s="799"/>
      <c r="AR115" s="799"/>
      <c r="AS115" s="799"/>
      <c r="AT115" s="799"/>
      <c r="AU115" s="799"/>
      <c r="AV115" s="799"/>
      <c r="AW115" s="799"/>
      <c r="AX115" s="799"/>
      <c r="AY115" s="799"/>
      <c r="AZ115" s="799"/>
      <c r="BA115" s="799"/>
      <c r="BB115" s="799"/>
      <c r="BC115" s="799"/>
      <c r="BD115" s="799"/>
      <c r="BE115" s="799"/>
      <c r="BF115" s="799"/>
      <c r="BG115" s="799"/>
    </row>
    <row r="116">
      <c r="H116" s="799"/>
      <c r="I116" s="799"/>
      <c r="J116" s="799"/>
      <c r="K116" s="799"/>
      <c r="L116" s="799"/>
      <c r="M116" s="799"/>
      <c r="N116" s="799"/>
      <c r="O116" s="799"/>
      <c r="P116" s="799"/>
      <c r="Q116" s="799"/>
      <c r="R116" s="799"/>
      <c r="S116" s="799"/>
      <c r="T116" s="799"/>
      <c r="U116" s="799"/>
      <c r="V116" s="799"/>
      <c r="W116" s="799"/>
      <c r="X116" s="799"/>
      <c r="Y116" s="799"/>
      <c r="Z116" s="799"/>
      <c r="AA116" s="799"/>
      <c r="AB116" s="799"/>
      <c r="AC116" s="799"/>
      <c r="AD116" s="799"/>
      <c r="AE116" s="799"/>
      <c r="AF116" s="799"/>
      <c r="AG116" s="799"/>
      <c r="AH116" s="799"/>
      <c r="AI116" s="799"/>
      <c r="AJ116" s="799"/>
      <c r="AK116" s="799"/>
      <c r="AL116" s="799"/>
      <c r="AM116" s="799"/>
      <c r="AN116" s="799"/>
      <c r="AO116" s="799"/>
      <c r="AP116" s="799"/>
      <c r="AQ116" s="799"/>
      <c r="AR116" s="799"/>
      <c r="AS116" s="799"/>
      <c r="AT116" s="799"/>
      <c r="AU116" s="799"/>
      <c r="AV116" s="799"/>
      <c r="AW116" s="799"/>
      <c r="AX116" s="799"/>
      <c r="AY116" s="799"/>
      <c r="AZ116" s="799"/>
      <c r="BA116" s="799"/>
      <c r="BB116" s="799"/>
      <c r="BC116" s="799"/>
      <c r="BD116" s="799"/>
      <c r="BE116" s="799"/>
      <c r="BF116" s="799"/>
      <c r="BG116" s="799"/>
    </row>
    <row r="117">
      <c r="H117" s="799"/>
      <c r="I117" s="799"/>
      <c r="J117" s="799"/>
      <c r="K117" s="799"/>
      <c r="L117" s="799"/>
      <c r="M117" s="799"/>
      <c r="N117" s="799"/>
      <c r="O117" s="799"/>
      <c r="P117" s="799"/>
      <c r="Q117" s="799"/>
      <c r="R117" s="799"/>
      <c r="S117" s="799"/>
      <c r="T117" s="799"/>
      <c r="U117" s="799"/>
      <c r="V117" s="799"/>
      <c r="W117" s="799"/>
      <c r="X117" s="799"/>
      <c r="Y117" s="799"/>
      <c r="Z117" s="799"/>
      <c r="AA117" s="799"/>
      <c r="AB117" s="799"/>
      <c r="AC117" s="799"/>
      <c r="AD117" s="799"/>
      <c r="AE117" s="799"/>
      <c r="AF117" s="799"/>
      <c r="AG117" s="799"/>
      <c r="AH117" s="799"/>
      <c r="AI117" s="799"/>
      <c r="AJ117" s="799"/>
      <c r="AK117" s="799"/>
      <c r="AL117" s="799"/>
      <c r="AM117" s="799"/>
      <c r="AN117" s="799"/>
      <c r="AO117" s="799"/>
      <c r="AP117" s="799"/>
      <c r="AQ117" s="799"/>
      <c r="AR117" s="799"/>
      <c r="AS117" s="799"/>
      <c r="AT117" s="799"/>
      <c r="AU117" s="799"/>
      <c r="AV117" s="799"/>
      <c r="AW117" s="799"/>
      <c r="AX117" s="799"/>
      <c r="AY117" s="799"/>
      <c r="AZ117" s="799"/>
      <c r="BA117" s="799"/>
      <c r="BB117" s="799"/>
      <c r="BC117" s="799"/>
      <c r="BD117" s="799"/>
      <c r="BE117" s="799"/>
      <c r="BF117" s="799"/>
      <c r="BG117" s="799"/>
    </row>
    <row r="118">
      <c r="H118" s="799"/>
      <c r="I118" s="799"/>
      <c r="J118" s="799"/>
      <c r="K118" s="799"/>
      <c r="L118" s="799"/>
      <c r="M118" s="799"/>
      <c r="N118" s="799"/>
      <c r="O118" s="799"/>
      <c r="P118" s="799"/>
      <c r="Q118" s="799"/>
      <c r="R118" s="799"/>
      <c r="S118" s="799"/>
      <c r="T118" s="799"/>
      <c r="U118" s="799"/>
      <c r="V118" s="799"/>
      <c r="W118" s="799"/>
      <c r="X118" s="799"/>
      <c r="Y118" s="799"/>
      <c r="Z118" s="799"/>
      <c r="AA118" s="799"/>
      <c r="AB118" s="799"/>
      <c r="AC118" s="799"/>
      <c r="AD118" s="799"/>
      <c r="AE118" s="799"/>
      <c r="AF118" s="799"/>
      <c r="AG118" s="799"/>
      <c r="AH118" s="799"/>
      <c r="AI118" s="799"/>
      <c r="AJ118" s="799"/>
      <c r="AK118" s="799"/>
      <c r="AL118" s="799"/>
      <c r="AM118" s="799"/>
      <c r="AN118" s="799"/>
      <c r="AO118" s="799"/>
      <c r="AP118" s="799"/>
      <c r="AQ118" s="799"/>
      <c r="AR118" s="799"/>
      <c r="AS118" s="799"/>
      <c r="AT118" s="799"/>
      <c r="AU118" s="799"/>
      <c r="AV118" s="799"/>
      <c r="AW118" s="799"/>
      <c r="AX118" s="799"/>
      <c r="AY118" s="799"/>
      <c r="AZ118" s="799"/>
      <c r="BA118" s="799"/>
      <c r="BB118" s="799"/>
      <c r="BC118" s="799"/>
      <c r="BD118" s="799"/>
      <c r="BE118" s="799"/>
      <c r="BF118" s="799"/>
      <c r="BG118" s="799"/>
    </row>
    <row r="119">
      <c r="H119" s="799"/>
      <c r="I119" s="799"/>
      <c r="J119" s="799"/>
      <c r="K119" s="799"/>
      <c r="L119" s="799"/>
      <c r="M119" s="799"/>
      <c r="N119" s="799"/>
      <c r="O119" s="799"/>
      <c r="P119" s="799"/>
      <c r="Q119" s="799"/>
      <c r="R119" s="799"/>
      <c r="S119" s="799"/>
      <c r="T119" s="799"/>
      <c r="U119" s="799"/>
      <c r="V119" s="799"/>
      <c r="W119" s="799"/>
      <c r="X119" s="799"/>
      <c r="Y119" s="799"/>
      <c r="Z119" s="799"/>
      <c r="AA119" s="799"/>
      <c r="AB119" s="799"/>
      <c r="AC119" s="799"/>
      <c r="AD119" s="799"/>
      <c r="AE119" s="799"/>
      <c r="AF119" s="799"/>
      <c r="AG119" s="799"/>
      <c r="AH119" s="799"/>
      <c r="AI119" s="799"/>
      <c r="AJ119" s="799"/>
      <c r="AK119" s="799"/>
      <c r="AL119" s="799"/>
      <c r="AM119" s="799"/>
      <c r="AN119" s="799"/>
      <c r="AO119" s="799"/>
      <c r="AP119" s="799"/>
      <c r="AQ119" s="799"/>
      <c r="AR119" s="799"/>
      <c r="AS119" s="799"/>
      <c r="AT119" s="799"/>
      <c r="AU119" s="799"/>
      <c r="AV119" s="799"/>
      <c r="AW119" s="799"/>
      <c r="AX119" s="799"/>
      <c r="AY119" s="799"/>
      <c r="AZ119" s="799"/>
      <c r="BA119" s="799"/>
      <c r="BB119" s="799"/>
      <c r="BC119" s="799"/>
      <c r="BD119" s="799"/>
      <c r="BE119" s="799"/>
      <c r="BF119" s="799"/>
      <c r="BG119" s="799"/>
    </row>
    <row r="120">
      <c r="H120" s="799"/>
      <c r="I120" s="799"/>
      <c r="J120" s="799"/>
      <c r="K120" s="799"/>
      <c r="L120" s="799"/>
      <c r="M120" s="799"/>
      <c r="N120" s="799"/>
      <c r="O120" s="799"/>
      <c r="P120" s="799"/>
      <c r="Q120" s="799"/>
      <c r="R120" s="799"/>
      <c r="S120" s="799"/>
      <c r="T120" s="799"/>
      <c r="U120" s="799"/>
      <c r="V120" s="799"/>
      <c r="W120" s="799"/>
      <c r="X120" s="799"/>
      <c r="Y120" s="799"/>
      <c r="Z120" s="799"/>
      <c r="AA120" s="799"/>
      <c r="AB120" s="799"/>
      <c r="AC120" s="799"/>
      <c r="AD120" s="799"/>
      <c r="AE120" s="799"/>
      <c r="AF120" s="799"/>
      <c r="AG120" s="799"/>
      <c r="AH120" s="799"/>
      <c r="AI120" s="799"/>
      <c r="AJ120" s="799"/>
      <c r="AK120" s="799"/>
      <c r="AL120" s="799"/>
      <c r="AM120" s="799"/>
      <c r="AN120" s="799"/>
      <c r="AO120" s="799"/>
      <c r="AP120" s="799"/>
      <c r="AQ120" s="799"/>
      <c r="AR120" s="799"/>
      <c r="AS120" s="799"/>
      <c r="AT120" s="799"/>
      <c r="AU120" s="799"/>
      <c r="AV120" s="799"/>
      <c r="AW120" s="799"/>
      <c r="AX120" s="799"/>
      <c r="AY120" s="799"/>
      <c r="AZ120" s="799"/>
      <c r="BA120" s="799"/>
      <c r="BB120" s="799"/>
      <c r="BC120" s="799"/>
      <c r="BD120" s="799"/>
      <c r="BE120" s="799"/>
      <c r="BF120" s="799"/>
      <c r="BG120" s="799"/>
    </row>
    <row r="121">
      <c r="H121" s="799"/>
      <c r="I121" s="799"/>
      <c r="J121" s="799"/>
      <c r="K121" s="799"/>
      <c r="L121" s="799"/>
      <c r="M121" s="799"/>
      <c r="N121" s="799"/>
      <c r="O121" s="799"/>
      <c r="P121" s="799"/>
      <c r="Q121" s="799"/>
      <c r="R121" s="799"/>
      <c r="S121" s="799"/>
      <c r="T121" s="799"/>
      <c r="U121" s="799"/>
      <c r="V121" s="799"/>
      <c r="W121" s="799"/>
      <c r="X121" s="799"/>
      <c r="Y121" s="799"/>
      <c r="Z121" s="799"/>
      <c r="AA121" s="799"/>
      <c r="AB121" s="799"/>
      <c r="AC121" s="799"/>
      <c r="AD121" s="799"/>
      <c r="AE121" s="799"/>
      <c r="AF121" s="799"/>
      <c r="AG121" s="799"/>
      <c r="AH121" s="799"/>
      <c r="AI121" s="799"/>
      <c r="AJ121" s="799"/>
      <c r="AK121" s="799"/>
      <c r="AL121" s="799"/>
      <c r="AM121" s="799"/>
      <c r="AN121" s="799"/>
      <c r="AO121" s="799"/>
      <c r="AP121" s="799"/>
      <c r="AQ121" s="799"/>
      <c r="AR121" s="799"/>
      <c r="AS121" s="799"/>
      <c r="AT121" s="799"/>
      <c r="AU121" s="799"/>
      <c r="AV121" s="799"/>
      <c r="AW121" s="799"/>
      <c r="AX121" s="799"/>
      <c r="AY121" s="799"/>
      <c r="AZ121" s="799"/>
      <c r="BA121" s="799"/>
      <c r="BB121" s="799"/>
      <c r="BC121" s="799"/>
      <c r="BD121" s="799"/>
      <c r="BE121" s="799"/>
      <c r="BF121" s="799"/>
      <c r="BG121" s="799"/>
    </row>
    <row r="122">
      <c r="H122" s="799"/>
      <c r="I122" s="799"/>
      <c r="J122" s="799"/>
      <c r="K122" s="799"/>
      <c r="L122" s="799"/>
      <c r="M122" s="799"/>
      <c r="N122" s="799"/>
      <c r="O122" s="799"/>
      <c r="P122" s="799"/>
      <c r="Q122" s="799"/>
      <c r="R122" s="799"/>
      <c r="S122" s="799"/>
      <c r="T122" s="799"/>
      <c r="U122" s="799"/>
      <c r="V122" s="799"/>
      <c r="W122" s="799"/>
      <c r="X122" s="799"/>
      <c r="Y122" s="799"/>
      <c r="Z122" s="799"/>
      <c r="AA122" s="799"/>
      <c r="AB122" s="799"/>
      <c r="AC122" s="799"/>
      <c r="AD122" s="799"/>
      <c r="AE122" s="799"/>
      <c r="AF122" s="799"/>
      <c r="AG122" s="799"/>
      <c r="AH122" s="799"/>
      <c r="AI122" s="799"/>
      <c r="AJ122" s="799"/>
      <c r="AK122" s="799"/>
      <c r="AL122" s="799"/>
      <c r="AM122" s="799"/>
      <c r="AN122" s="799"/>
      <c r="AO122" s="799"/>
      <c r="AP122" s="799"/>
      <c r="AQ122" s="799"/>
      <c r="AR122" s="799"/>
      <c r="AS122" s="799"/>
      <c r="AT122" s="799"/>
      <c r="AU122" s="799"/>
      <c r="AV122" s="799"/>
      <c r="AW122" s="799"/>
      <c r="AX122" s="799"/>
      <c r="AY122" s="799"/>
      <c r="AZ122" s="799"/>
      <c r="BA122" s="799"/>
      <c r="BB122" s="799"/>
      <c r="BC122" s="799"/>
      <c r="BD122" s="799"/>
      <c r="BE122" s="799"/>
      <c r="BF122" s="799"/>
      <c r="BG122" s="799"/>
    </row>
    <row r="123">
      <c r="H123" s="799"/>
      <c r="I123" s="799"/>
      <c r="J123" s="799"/>
      <c r="K123" s="799"/>
      <c r="L123" s="799"/>
      <c r="M123" s="799"/>
      <c r="N123" s="799"/>
      <c r="O123" s="799"/>
      <c r="P123" s="799"/>
      <c r="Q123" s="799"/>
      <c r="R123" s="799"/>
      <c r="S123" s="799"/>
      <c r="T123" s="799"/>
      <c r="U123" s="799"/>
      <c r="V123" s="799"/>
      <c r="W123" s="799"/>
      <c r="X123" s="799"/>
      <c r="Y123" s="799"/>
      <c r="Z123" s="799"/>
      <c r="AA123" s="799"/>
      <c r="AB123" s="799"/>
      <c r="AC123" s="799"/>
      <c r="AD123" s="799"/>
      <c r="AE123" s="799"/>
      <c r="AF123" s="799"/>
      <c r="AG123" s="799"/>
      <c r="AH123" s="799"/>
      <c r="AI123" s="799"/>
      <c r="AJ123" s="799"/>
      <c r="AK123" s="799"/>
      <c r="AL123" s="799"/>
      <c r="AM123" s="799"/>
      <c r="AN123" s="799"/>
      <c r="AO123" s="799"/>
      <c r="AP123" s="799"/>
      <c r="AQ123" s="799"/>
      <c r="AR123" s="799"/>
      <c r="AS123" s="799"/>
      <c r="AT123" s="799"/>
      <c r="AU123" s="799"/>
      <c r="AV123" s="799"/>
      <c r="AW123" s="799"/>
      <c r="AX123" s="799"/>
      <c r="AY123" s="799"/>
      <c r="AZ123" s="799"/>
      <c r="BA123" s="799"/>
      <c r="BB123" s="799"/>
      <c r="BC123" s="799"/>
      <c r="BD123" s="799"/>
      <c r="BE123" s="799"/>
      <c r="BF123" s="799"/>
      <c r="BG123" s="799"/>
    </row>
    <row r="124">
      <c r="H124" s="799"/>
      <c r="I124" s="799"/>
      <c r="J124" s="799"/>
      <c r="K124" s="799"/>
      <c r="L124" s="799"/>
      <c r="M124" s="799"/>
      <c r="N124" s="799"/>
      <c r="O124" s="799"/>
      <c r="P124" s="799"/>
      <c r="Q124" s="799"/>
      <c r="R124" s="799"/>
      <c r="S124" s="799"/>
      <c r="T124" s="799"/>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799"/>
      <c r="BF124" s="799"/>
      <c r="BG124" s="799"/>
    </row>
    <row r="125">
      <c r="H125" s="799"/>
      <c r="I125" s="799"/>
      <c r="J125" s="799"/>
      <c r="K125" s="799"/>
      <c r="L125" s="799"/>
      <c r="M125" s="799"/>
      <c r="N125" s="799"/>
      <c r="O125" s="799"/>
      <c r="P125" s="799"/>
      <c r="Q125" s="799"/>
      <c r="R125" s="799"/>
      <c r="S125" s="799"/>
      <c r="T125" s="799"/>
      <c r="U125" s="799"/>
      <c r="V125" s="799"/>
      <c r="W125" s="799"/>
      <c r="X125" s="799"/>
      <c r="Y125" s="799"/>
      <c r="Z125" s="799"/>
      <c r="AA125" s="799"/>
      <c r="AB125" s="799"/>
      <c r="AC125" s="799"/>
      <c r="AD125" s="799"/>
      <c r="AE125" s="799"/>
      <c r="AF125" s="799"/>
      <c r="AG125" s="799"/>
      <c r="AH125" s="799"/>
      <c r="AI125" s="799"/>
      <c r="AJ125" s="799"/>
      <c r="AK125" s="799"/>
      <c r="AL125" s="799"/>
      <c r="AM125" s="799"/>
      <c r="AN125" s="799"/>
      <c r="AO125" s="799"/>
      <c r="AP125" s="799"/>
      <c r="AQ125" s="799"/>
      <c r="AR125" s="799"/>
      <c r="AS125" s="799"/>
      <c r="AT125" s="799"/>
      <c r="AU125" s="799"/>
      <c r="AV125" s="799"/>
      <c r="AW125" s="799"/>
      <c r="AX125" s="799"/>
      <c r="AY125" s="799"/>
      <c r="AZ125" s="799"/>
      <c r="BA125" s="799"/>
      <c r="BB125" s="799"/>
      <c r="BC125" s="799"/>
      <c r="BD125" s="799"/>
      <c r="BE125" s="799"/>
      <c r="BF125" s="799"/>
      <c r="BG125" s="799"/>
    </row>
    <row r="126">
      <c r="H126" s="799"/>
      <c r="I126" s="799"/>
      <c r="J126" s="799"/>
      <c r="K126" s="799"/>
      <c r="L126" s="799"/>
      <c r="M126" s="799"/>
      <c r="N126" s="799"/>
      <c r="O126" s="799"/>
      <c r="P126" s="799"/>
      <c r="Q126" s="799"/>
      <c r="R126" s="799"/>
      <c r="S126" s="799"/>
      <c r="T126" s="799"/>
      <c r="U126" s="799"/>
      <c r="V126" s="799"/>
      <c r="W126" s="799"/>
      <c r="X126" s="799"/>
      <c r="Y126" s="799"/>
      <c r="Z126" s="799"/>
      <c r="AA126" s="799"/>
      <c r="AB126" s="799"/>
      <c r="AC126" s="799"/>
      <c r="AD126" s="799"/>
      <c r="AE126" s="799"/>
      <c r="AF126" s="799"/>
      <c r="AG126" s="799"/>
      <c r="AH126" s="799"/>
      <c r="AI126" s="799"/>
      <c r="AJ126" s="799"/>
      <c r="AK126" s="799"/>
      <c r="AL126" s="799"/>
      <c r="AM126" s="799"/>
      <c r="AN126" s="799"/>
      <c r="AO126" s="799"/>
      <c r="AP126" s="799"/>
      <c r="AQ126" s="799"/>
      <c r="AR126" s="799"/>
      <c r="AS126" s="799"/>
      <c r="AT126" s="799"/>
      <c r="AU126" s="799"/>
      <c r="AV126" s="799"/>
      <c r="AW126" s="799"/>
      <c r="AX126" s="799"/>
      <c r="AY126" s="799"/>
      <c r="AZ126" s="799"/>
      <c r="BA126" s="799"/>
      <c r="BB126" s="799"/>
      <c r="BC126" s="799"/>
      <c r="BD126" s="799"/>
      <c r="BE126" s="799"/>
      <c r="BF126" s="799"/>
      <c r="BG126" s="799"/>
    </row>
    <row r="127">
      <c r="H127" s="799"/>
      <c r="I127" s="799"/>
      <c r="J127" s="799"/>
      <c r="K127" s="799"/>
      <c r="L127" s="799"/>
      <c r="M127" s="799"/>
      <c r="N127" s="799"/>
      <c r="O127" s="799"/>
      <c r="P127" s="799"/>
      <c r="Q127" s="799"/>
      <c r="R127" s="799"/>
      <c r="S127" s="799"/>
      <c r="T127" s="799"/>
      <c r="U127" s="799"/>
      <c r="V127" s="799"/>
      <c r="W127" s="799"/>
      <c r="X127" s="799"/>
      <c r="Y127" s="799"/>
      <c r="Z127" s="799"/>
      <c r="AA127" s="799"/>
      <c r="AB127" s="799"/>
      <c r="AC127" s="799"/>
      <c r="AD127" s="799"/>
      <c r="AE127" s="799"/>
      <c r="AF127" s="799"/>
      <c r="AG127" s="799"/>
      <c r="AH127" s="799"/>
      <c r="AI127" s="799"/>
      <c r="AJ127" s="799"/>
      <c r="AK127" s="799"/>
      <c r="AL127" s="799"/>
      <c r="AM127" s="799"/>
      <c r="AN127" s="799"/>
      <c r="AO127" s="799"/>
      <c r="AP127" s="799"/>
      <c r="AQ127" s="799"/>
      <c r="AR127" s="799"/>
      <c r="AS127" s="799"/>
      <c r="AT127" s="799"/>
      <c r="AU127" s="799"/>
      <c r="AV127" s="799"/>
      <c r="AW127" s="799"/>
      <c r="AX127" s="799"/>
      <c r="AY127" s="799"/>
      <c r="AZ127" s="799"/>
      <c r="BA127" s="799"/>
      <c r="BB127" s="799"/>
      <c r="BC127" s="799"/>
      <c r="BD127" s="799"/>
      <c r="BE127" s="799"/>
      <c r="BF127" s="799"/>
      <c r="BG127" s="799"/>
    </row>
    <row r="128">
      <c r="H128" s="799"/>
      <c r="I128" s="799"/>
      <c r="J128" s="799"/>
      <c r="K128" s="799"/>
      <c r="L128" s="799"/>
      <c r="M128" s="799"/>
      <c r="N128" s="799"/>
      <c r="O128" s="799"/>
      <c r="P128" s="799"/>
      <c r="Q128" s="799"/>
      <c r="R128" s="799"/>
      <c r="S128" s="799"/>
      <c r="T128" s="799"/>
      <c r="U128" s="799"/>
      <c r="V128" s="799"/>
      <c r="W128" s="799"/>
      <c r="X128" s="799"/>
      <c r="Y128" s="799"/>
      <c r="Z128" s="799"/>
      <c r="AA128" s="799"/>
      <c r="AB128" s="799"/>
      <c r="AC128" s="799"/>
      <c r="AD128" s="799"/>
      <c r="AE128" s="799"/>
      <c r="AF128" s="799"/>
      <c r="AG128" s="799"/>
      <c r="AH128" s="799"/>
      <c r="AI128" s="799"/>
      <c r="AJ128" s="799"/>
      <c r="AK128" s="799"/>
      <c r="AL128" s="799"/>
      <c r="AM128" s="799"/>
      <c r="AN128" s="799"/>
      <c r="AO128" s="799"/>
      <c r="AP128" s="799"/>
      <c r="AQ128" s="799"/>
      <c r="AR128" s="799"/>
      <c r="AS128" s="799"/>
      <c r="AT128" s="799"/>
      <c r="AU128" s="799"/>
      <c r="AV128" s="799"/>
      <c r="AW128" s="799"/>
      <c r="AX128" s="799"/>
      <c r="AY128" s="799"/>
      <c r="AZ128" s="799"/>
      <c r="BA128" s="799"/>
      <c r="BB128" s="799"/>
      <c r="BC128" s="799"/>
      <c r="BD128" s="799"/>
      <c r="BE128" s="799"/>
      <c r="BF128" s="799"/>
      <c r="BG128" s="799"/>
    </row>
    <row r="12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799"/>
      <c r="AE129" s="799"/>
      <c r="AF129" s="799"/>
      <c r="AG129" s="799"/>
      <c r="AH129" s="799"/>
      <c r="AI129" s="799"/>
      <c r="AJ129" s="799"/>
      <c r="AK129" s="799"/>
      <c r="AL129" s="799"/>
      <c r="AM129" s="799"/>
      <c r="AN129" s="799"/>
      <c r="AO129" s="799"/>
      <c r="AP129" s="799"/>
      <c r="AQ129" s="799"/>
      <c r="AR129" s="799"/>
      <c r="AS129" s="799"/>
      <c r="AT129" s="799"/>
      <c r="AU129" s="799"/>
      <c r="AV129" s="799"/>
      <c r="AW129" s="799"/>
      <c r="AX129" s="799"/>
      <c r="AY129" s="799"/>
      <c r="AZ129" s="799"/>
      <c r="BA129" s="799"/>
      <c r="BB129" s="799"/>
      <c r="BC129" s="799"/>
      <c r="BD129" s="799"/>
      <c r="BE129" s="799"/>
      <c r="BF129" s="799"/>
      <c r="BG129" s="799"/>
    </row>
    <row r="130">
      <c r="H130" s="799"/>
      <c r="I130" s="799"/>
      <c r="J130" s="799"/>
      <c r="K130" s="799"/>
      <c r="L130" s="799"/>
      <c r="M130" s="799"/>
      <c r="N130" s="799"/>
      <c r="O130" s="799"/>
      <c r="P130" s="799"/>
      <c r="Q130" s="799"/>
      <c r="R130" s="799"/>
      <c r="S130" s="799"/>
      <c r="T130" s="799"/>
      <c r="U130" s="799"/>
      <c r="V130" s="799"/>
      <c r="W130" s="799"/>
      <c r="X130" s="799"/>
      <c r="Y130" s="799"/>
      <c r="Z130" s="799"/>
      <c r="AA130" s="799"/>
      <c r="AB130" s="799"/>
      <c r="AC130" s="799"/>
      <c r="AD130" s="799"/>
      <c r="AE130" s="799"/>
      <c r="AF130" s="799"/>
      <c r="AG130" s="799"/>
      <c r="AH130" s="799"/>
      <c r="AI130" s="799"/>
      <c r="AJ130" s="799"/>
      <c r="AK130" s="799"/>
      <c r="AL130" s="799"/>
      <c r="AM130" s="799"/>
      <c r="AN130" s="799"/>
      <c r="AO130" s="799"/>
      <c r="AP130" s="799"/>
      <c r="AQ130" s="799"/>
      <c r="AR130" s="799"/>
      <c r="AS130" s="799"/>
      <c r="AT130" s="799"/>
      <c r="AU130" s="799"/>
      <c r="AV130" s="799"/>
      <c r="AW130" s="799"/>
      <c r="AX130" s="799"/>
      <c r="AY130" s="799"/>
      <c r="AZ130" s="799"/>
      <c r="BA130" s="799"/>
      <c r="BB130" s="799"/>
      <c r="BC130" s="799"/>
      <c r="BD130" s="799"/>
      <c r="BE130" s="799"/>
      <c r="BF130" s="799"/>
      <c r="BG130" s="799"/>
    </row>
    <row r="131">
      <c r="H131" s="799"/>
      <c r="I131" s="799"/>
      <c r="J131" s="799"/>
      <c r="K131" s="799"/>
      <c r="L131" s="799"/>
      <c r="M131" s="799"/>
      <c r="N131" s="799"/>
      <c r="O131" s="799"/>
      <c r="P131" s="799"/>
      <c r="Q131" s="799"/>
      <c r="R131" s="799"/>
      <c r="S131" s="799"/>
      <c r="T131" s="799"/>
      <c r="U131" s="799"/>
      <c r="V131" s="799"/>
      <c r="W131" s="799"/>
      <c r="X131" s="799"/>
      <c r="Y131" s="799"/>
      <c r="Z131" s="799"/>
      <c r="AA131" s="799"/>
      <c r="AB131" s="799"/>
      <c r="AC131" s="799"/>
      <c r="AD131" s="799"/>
      <c r="AE131" s="799"/>
      <c r="AF131" s="799"/>
      <c r="AG131" s="799"/>
      <c r="AH131" s="799"/>
      <c r="AI131" s="799"/>
      <c r="AJ131" s="799"/>
      <c r="AK131" s="799"/>
      <c r="AL131" s="799"/>
      <c r="AM131" s="799"/>
      <c r="AN131" s="799"/>
      <c r="AO131" s="799"/>
      <c r="AP131" s="799"/>
      <c r="AQ131" s="799"/>
      <c r="AR131" s="799"/>
      <c r="AS131" s="799"/>
      <c r="AT131" s="799"/>
      <c r="AU131" s="799"/>
      <c r="AV131" s="799"/>
      <c r="AW131" s="799"/>
      <c r="AX131" s="799"/>
      <c r="AY131" s="799"/>
      <c r="AZ131" s="799"/>
      <c r="BA131" s="799"/>
      <c r="BB131" s="799"/>
      <c r="BC131" s="799"/>
      <c r="BD131" s="799"/>
      <c r="BE131" s="799"/>
      <c r="BF131" s="799"/>
      <c r="BG131" s="799"/>
    </row>
    <row r="132">
      <c r="H132" s="799"/>
      <c r="I132" s="799"/>
      <c r="J132" s="799"/>
      <c r="K132" s="799"/>
      <c r="L132" s="799"/>
      <c r="M132" s="799"/>
      <c r="N132" s="799"/>
      <c r="O132" s="799"/>
      <c r="P132" s="799"/>
      <c r="Q132" s="799"/>
      <c r="R132" s="799"/>
      <c r="S132" s="799"/>
      <c r="T132" s="799"/>
      <c r="U132" s="799"/>
      <c r="V132" s="799"/>
      <c r="W132" s="799"/>
      <c r="X132" s="799"/>
      <c r="Y132" s="799"/>
      <c r="Z132" s="799"/>
      <c r="AA132" s="799"/>
      <c r="AB132" s="799"/>
      <c r="AC132" s="799"/>
      <c r="AD132" s="799"/>
      <c r="AE132" s="799"/>
      <c r="AF132" s="799"/>
      <c r="AG132" s="799"/>
      <c r="AH132" s="799"/>
      <c r="AI132" s="799"/>
      <c r="AJ132" s="799"/>
      <c r="AK132" s="799"/>
      <c r="AL132" s="799"/>
      <c r="AM132" s="799"/>
      <c r="AN132" s="799"/>
      <c r="AO132" s="799"/>
      <c r="AP132" s="799"/>
      <c r="AQ132" s="799"/>
      <c r="AR132" s="799"/>
      <c r="AS132" s="799"/>
      <c r="AT132" s="799"/>
      <c r="AU132" s="799"/>
      <c r="AV132" s="799"/>
      <c r="AW132" s="799"/>
      <c r="AX132" s="799"/>
      <c r="AY132" s="799"/>
      <c r="AZ132" s="799"/>
      <c r="BA132" s="799"/>
      <c r="BB132" s="799"/>
      <c r="BC132" s="799"/>
      <c r="BD132" s="799"/>
      <c r="BE132" s="799"/>
      <c r="BF132" s="799"/>
      <c r="BG132" s="799"/>
    </row>
    <row r="133">
      <c r="H133" s="799"/>
      <c r="I133" s="799"/>
      <c r="J133" s="799"/>
      <c r="K133" s="799"/>
      <c r="L133" s="799"/>
      <c r="M133" s="799"/>
      <c r="N133" s="799"/>
      <c r="O133" s="799"/>
      <c r="P133" s="799"/>
      <c r="Q133" s="799"/>
      <c r="R133" s="799"/>
      <c r="S133" s="799"/>
      <c r="T133" s="799"/>
      <c r="U133" s="799"/>
      <c r="V133" s="799"/>
      <c r="W133" s="799"/>
      <c r="X133" s="799"/>
      <c r="Y133" s="799"/>
      <c r="Z133" s="799"/>
      <c r="AA133" s="799"/>
      <c r="AB133" s="799"/>
      <c r="AC133" s="799"/>
      <c r="AD133" s="799"/>
      <c r="AE133" s="799"/>
      <c r="AF133" s="799"/>
      <c r="AG133" s="799"/>
      <c r="AH133" s="799"/>
      <c r="AI133" s="799"/>
      <c r="AJ133" s="799"/>
      <c r="AK133" s="799"/>
      <c r="AL133" s="799"/>
      <c r="AM133" s="799"/>
      <c r="AN133" s="799"/>
      <c r="AO133" s="799"/>
      <c r="AP133" s="799"/>
      <c r="AQ133" s="799"/>
      <c r="AR133" s="799"/>
      <c r="AS133" s="799"/>
      <c r="AT133" s="799"/>
      <c r="AU133" s="799"/>
      <c r="AV133" s="799"/>
      <c r="AW133" s="799"/>
      <c r="AX133" s="799"/>
      <c r="AY133" s="799"/>
      <c r="AZ133" s="799"/>
      <c r="BA133" s="799"/>
      <c r="BB133" s="799"/>
      <c r="BC133" s="799"/>
      <c r="BD133" s="799"/>
      <c r="BE133" s="799"/>
      <c r="BF133" s="799"/>
      <c r="BG133" s="799"/>
    </row>
    <row r="134">
      <c r="H134" s="799"/>
      <c r="I134" s="799"/>
      <c r="J134" s="799"/>
      <c r="K134" s="799"/>
      <c r="L134" s="799"/>
      <c r="M134" s="799"/>
      <c r="N134" s="799"/>
      <c r="O134" s="799"/>
      <c r="P134" s="799"/>
      <c r="Q134" s="799"/>
      <c r="R134" s="799"/>
      <c r="S134" s="799"/>
      <c r="T134" s="799"/>
      <c r="U134" s="799"/>
      <c r="V134" s="799"/>
      <c r="W134" s="799"/>
      <c r="X134" s="799"/>
      <c r="Y134" s="799"/>
      <c r="Z134" s="799"/>
      <c r="AA134" s="799"/>
      <c r="AB134" s="799"/>
      <c r="AC134" s="799"/>
      <c r="AD134" s="799"/>
      <c r="AE134" s="799"/>
      <c r="AF134" s="799"/>
      <c r="AG134" s="799"/>
      <c r="AH134" s="799"/>
      <c r="AI134" s="799"/>
      <c r="AJ134" s="799"/>
      <c r="AK134" s="799"/>
      <c r="AL134" s="799"/>
      <c r="AM134" s="799"/>
      <c r="AN134" s="799"/>
      <c r="AO134" s="799"/>
      <c r="AP134" s="799"/>
      <c r="AQ134" s="799"/>
      <c r="AR134" s="799"/>
      <c r="AS134" s="799"/>
      <c r="AT134" s="799"/>
      <c r="AU134" s="799"/>
      <c r="AV134" s="799"/>
      <c r="AW134" s="799"/>
      <c r="AX134" s="799"/>
      <c r="AY134" s="799"/>
      <c r="AZ134" s="799"/>
      <c r="BA134" s="799"/>
      <c r="BB134" s="799"/>
      <c r="BC134" s="799"/>
      <c r="BD134" s="799"/>
      <c r="BE134" s="799"/>
      <c r="BF134" s="799"/>
      <c r="BG134" s="799"/>
    </row>
    <row r="135">
      <c r="H135" s="799"/>
      <c r="I135" s="799"/>
      <c r="J135" s="799"/>
      <c r="K135" s="799"/>
      <c r="L135" s="799"/>
      <c r="M135" s="799"/>
      <c r="N135" s="799"/>
      <c r="O135" s="799"/>
      <c r="P135" s="799"/>
      <c r="Q135" s="799"/>
      <c r="R135" s="799"/>
      <c r="S135" s="799"/>
      <c r="T135" s="799"/>
      <c r="U135" s="799"/>
      <c r="V135" s="799"/>
      <c r="W135" s="799"/>
      <c r="X135" s="799"/>
      <c r="Y135" s="799"/>
      <c r="Z135" s="799"/>
      <c r="AA135" s="799"/>
      <c r="AB135" s="799"/>
      <c r="AC135" s="799"/>
      <c r="AD135" s="799"/>
      <c r="AE135" s="799"/>
      <c r="AF135" s="799"/>
      <c r="AG135" s="799"/>
      <c r="AH135" s="799"/>
      <c r="AI135" s="799"/>
      <c r="AJ135" s="799"/>
      <c r="AK135" s="799"/>
      <c r="AL135" s="799"/>
      <c r="AM135" s="799"/>
      <c r="AN135" s="799"/>
      <c r="AO135" s="799"/>
      <c r="AP135" s="799"/>
      <c r="AQ135" s="799"/>
      <c r="AR135" s="799"/>
      <c r="AS135" s="799"/>
      <c r="AT135" s="799"/>
      <c r="AU135" s="799"/>
      <c r="AV135" s="799"/>
      <c r="AW135" s="799"/>
      <c r="AX135" s="799"/>
      <c r="AY135" s="799"/>
      <c r="AZ135" s="799"/>
      <c r="BA135" s="799"/>
      <c r="BB135" s="799"/>
      <c r="BC135" s="799"/>
      <c r="BD135" s="799"/>
      <c r="BE135" s="799"/>
      <c r="BF135" s="799"/>
      <c r="BG135" s="799"/>
    </row>
    <row r="136">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row>
    <row r="137">
      <c r="H137" s="799"/>
      <c r="I137" s="799"/>
      <c r="J137" s="799"/>
      <c r="K137" s="799"/>
      <c r="L137" s="799"/>
      <c r="M137" s="799"/>
      <c r="N137" s="799"/>
      <c r="O137" s="799"/>
      <c r="P137" s="799"/>
      <c r="Q137" s="799"/>
      <c r="R137" s="799"/>
      <c r="S137" s="799"/>
      <c r="T137" s="799"/>
      <c r="U137" s="799"/>
      <c r="V137" s="799"/>
      <c r="W137" s="799"/>
      <c r="X137" s="799"/>
      <c r="Y137" s="799"/>
      <c r="Z137" s="799"/>
      <c r="AA137" s="799"/>
      <c r="AB137" s="799"/>
      <c r="AC137" s="799"/>
      <c r="AD137" s="799"/>
      <c r="AE137" s="799"/>
      <c r="AF137" s="799"/>
      <c r="AG137" s="799"/>
      <c r="AH137" s="799"/>
      <c r="AI137" s="799"/>
      <c r="AJ137" s="799"/>
      <c r="AK137" s="799"/>
      <c r="AL137" s="799"/>
      <c r="AM137" s="799"/>
      <c r="AN137" s="799"/>
      <c r="AO137" s="799"/>
      <c r="AP137" s="799"/>
      <c r="AQ137" s="799"/>
      <c r="AR137" s="799"/>
      <c r="AS137" s="799"/>
      <c r="AT137" s="799"/>
      <c r="AU137" s="799"/>
      <c r="AV137" s="799"/>
      <c r="AW137" s="799"/>
      <c r="AX137" s="799"/>
      <c r="AY137" s="799"/>
      <c r="AZ137" s="799"/>
      <c r="BA137" s="799"/>
      <c r="BB137" s="799"/>
      <c r="BC137" s="799"/>
      <c r="BD137" s="799"/>
      <c r="BE137" s="799"/>
      <c r="BF137" s="799"/>
      <c r="BG137" s="799"/>
    </row>
    <row r="138">
      <c r="H138" s="799"/>
      <c r="I138" s="799"/>
      <c r="J138" s="799"/>
      <c r="K138" s="799"/>
      <c r="L138" s="799"/>
      <c r="M138" s="799"/>
      <c r="N138" s="799"/>
      <c r="O138" s="799"/>
      <c r="P138" s="799"/>
      <c r="Q138" s="799"/>
      <c r="R138" s="799"/>
      <c r="S138" s="799"/>
      <c r="T138" s="799"/>
      <c r="U138" s="799"/>
      <c r="V138" s="799"/>
      <c r="W138" s="799"/>
      <c r="X138" s="799"/>
      <c r="Y138" s="799"/>
      <c r="Z138" s="799"/>
      <c r="AA138" s="799"/>
      <c r="AB138" s="799"/>
      <c r="AC138" s="799"/>
      <c r="AD138" s="799"/>
      <c r="AE138" s="799"/>
      <c r="AF138" s="799"/>
      <c r="AG138" s="799"/>
      <c r="AH138" s="799"/>
      <c r="AI138" s="799"/>
      <c r="AJ138" s="799"/>
      <c r="AK138" s="799"/>
      <c r="AL138" s="799"/>
      <c r="AM138" s="799"/>
      <c r="AN138" s="799"/>
      <c r="AO138" s="799"/>
      <c r="AP138" s="799"/>
      <c r="AQ138" s="799"/>
      <c r="AR138" s="799"/>
      <c r="AS138" s="799"/>
      <c r="AT138" s="799"/>
      <c r="AU138" s="799"/>
      <c r="AV138" s="799"/>
      <c r="AW138" s="799"/>
      <c r="AX138" s="799"/>
      <c r="AY138" s="799"/>
      <c r="AZ138" s="799"/>
      <c r="BA138" s="799"/>
      <c r="BB138" s="799"/>
      <c r="BC138" s="799"/>
      <c r="BD138" s="799"/>
      <c r="BE138" s="799"/>
      <c r="BF138" s="799"/>
      <c r="BG138" s="799"/>
    </row>
    <row r="139">
      <c r="H139" s="799"/>
      <c r="I139" s="799"/>
      <c r="J139" s="799"/>
      <c r="K139" s="799"/>
      <c r="L139" s="799"/>
      <c r="M139" s="799"/>
      <c r="N139" s="799"/>
      <c r="O139" s="799"/>
      <c r="P139" s="799"/>
      <c r="Q139" s="799"/>
      <c r="R139" s="799"/>
      <c r="S139" s="799"/>
      <c r="T139" s="799"/>
      <c r="U139" s="799"/>
      <c r="V139" s="799"/>
      <c r="W139" s="799"/>
      <c r="X139" s="799"/>
      <c r="Y139" s="799"/>
      <c r="Z139" s="799"/>
      <c r="AA139" s="799"/>
      <c r="AB139" s="799"/>
      <c r="AC139" s="799"/>
      <c r="AD139" s="799"/>
      <c r="AE139" s="799"/>
      <c r="AF139" s="799"/>
      <c r="AG139" s="799"/>
      <c r="AH139" s="799"/>
      <c r="AI139" s="799"/>
      <c r="AJ139" s="799"/>
      <c r="AK139" s="799"/>
      <c r="AL139" s="799"/>
      <c r="AM139" s="799"/>
      <c r="AN139" s="799"/>
      <c r="AO139" s="799"/>
      <c r="AP139" s="799"/>
      <c r="AQ139" s="799"/>
      <c r="AR139" s="799"/>
      <c r="AS139" s="799"/>
      <c r="AT139" s="799"/>
      <c r="AU139" s="799"/>
      <c r="AV139" s="799"/>
      <c r="AW139" s="799"/>
      <c r="AX139" s="799"/>
      <c r="AY139" s="799"/>
      <c r="AZ139" s="799"/>
      <c r="BA139" s="799"/>
      <c r="BB139" s="799"/>
      <c r="BC139" s="799"/>
      <c r="BD139" s="799"/>
      <c r="BE139" s="799"/>
      <c r="BF139" s="799"/>
      <c r="BG139" s="799"/>
    </row>
    <row r="140">
      <c r="H140" s="799"/>
      <c r="I140" s="799"/>
      <c r="J140" s="799"/>
      <c r="K140" s="799"/>
      <c r="L140" s="799"/>
      <c r="M140" s="799"/>
      <c r="N140" s="799"/>
      <c r="O140" s="799"/>
      <c r="P140" s="799"/>
      <c r="Q140" s="799"/>
      <c r="R140" s="799"/>
      <c r="S140" s="799"/>
      <c r="T140" s="799"/>
      <c r="U140" s="799"/>
      <c r="V140" s="799"/>
      <c r="W140" s="799"/>
      <c r="X140" s="799"/>
      <c r="Y140" s="799"/>
      <c r="Z140" s="799"/>
      <c r="AA140" s="799"/>
      <c r="AB140" s="799"/>
      <c r="AC140" s="799"/>
      <c r="AD140" s="799"/>
      <c r="AE140" s="799"/>
      <c r="AF140" s="799"/>
      <c r="AG140" s="799"/>
      <c r="AH140" s="799"/>
      <c r="AI140" s="799"/>
      <c r="AJ140" s="799"/>
      <c r="AK140" s="799"/>
      <c r="AL140" s="799"/>
      <c r="AM140" s="799"/>
      <c r="AN140" s="799"/>
      <c r="AO140" s="799"/>
      <c r="AP140" s="799"/>
      <c r="AQ140" s="799"/>
      <c r="AR140" s="799"/>
      <c r="AS140" s="799"/>
      <c r="AT140" s="799"/>
      <c r="AU140" s="799"/>
      <c r="AV140" s="799"/>
      <c r="AW140" s="799"/>
      <c r="AX140" s="799"/>
      <c r="AY140" s="799"/>
      <c r="AZ140" s="799"/>
      <c r="BA140" s="799"/>
      <c r="BB140" s="799"/>
      <c r="BC140" s="799"/>
      <c r="BD140" s="799"/>
      <c r="BE140" s="799"/>
      <c r="BF140" s="799"/>
      <c r="BG140" s="799"/>
    </row>
    <row r="141">
      <c r="H141" s="799"/>
      <c r="I141" s="799"/>
      <c r="J141" s="799"/>
      <c r="K141" s="799"/>
      <c r="L141" s="799"/>
      <c r="M141" s="799"/>
      <c r="N141" s="799"/>
      <c r="O141" s="799"/>
      <c r="P141" s="799"/>
      <c r="Q141" s="799"/>
      <c r="R141" s="799"/>
      <c r="S141" s="799"/>
      <c r="T141" s="799"/>
      <c r="U141" s="799"/>
      <c r="V141" s="799"/>
      <c r="W141" s="799"/>
      <c r="X141" s="799"/>
      <c r="Y141" s="799"/>
      <c r="Z141" s="799"/>
      <c r="AA141" s="799"/>
      <c r="AB141" s="799"/>
      <c r="AC141" s="799"/>
      <c r="AD141" s="799"/>
      <c r="AE141" s="799"/>
      <c r="AF141" s="799"/>
      <c r="AG141" s="799"/>
      <c r="AH141" s="799"/>
      <c r="AI141" s="799"/>
      <c r="AJ141" s="799"/>
      <c r="AK141" s="799"/>
      <c r="AL141" s="799"/>
      <c r="AM141" s="799"/>
      <c r="AN141" s="799"/>
      <c r="AO141" s="799"/>
      <c r="AP141" s="799"/>
      <c r="AQ141" s="799"/>
      <c r="AR141" s="799"/>
      <c r="AS141" s="799"/>
      <c r="AT141" s="799"/>
      <c r="AU141" s="799"/>
      <c r="AV141" s="799"/>
      <c r="AW141" s="799"/>
      <c r="AX141" s="799"/>
      <c r="AY141" s="799"/>
      <c r="AZ141" s="799"/>
      <c r="BA141" s="799"/>
      <c r="BB141" s="799"/>
      <c r="BC141" s="799"/>
      <c r="BD141" s="799"/>
      <c r="BE141" s="799"/>
      <c r="BF141" s="799"/>
      <c r="BG141" s="799"/>
    </row>
    <row r="142">
      <c r="H142" s="799"/>
      <c r="I142" s="799"/>
      <c r="J142" s="799"/>
      <c r="K142" s="799"/>
      <c r="L142" s="799"/>
      <c r="M142" s="799"/>
      <c r="N142" s="799"/>
      <c r="O142" s="799"/>
      <c r="P142" s="799"/>
      <c r="Q142" s="799"/>
      <c r="R142" s="799"/>
      <c r="S142" s="799"/>
      <c r="T142" s="799"/>
      <c r="U142" s="799"/>
      <c r="V142" s="799"/>
      <c r="W142" s="799"/>
      <c r="X142" s="799"/>
      <c r="Y142" s="799"/>
      <c r="Z142" s="799"/>
      <c r="AA142" s="799"/>
      <c r="AB142" s="799"/>
      <c r="AC142" s="799"/>
      <c r="AD142" s="799"/>
      <c r="AE142" s="799"/>
      <c r="AF142" s="799"/>
      <c r="AG142" s="799"/>
      <c r="AH142" s="799"/>
      <c r="AI142" s="799"/>
      <c r="AJ142" s="799"/>
      <c r="AK142" s="799"/>
      <c r="AL142" s="799"/>
      <c r="AM142" s="799"/>
      <c r="AN142" s="799"/>
      <c r="AO142" s="799"/>
      <c r="AP142" s="799"/>
      <c r="AQ142" s="799"/>
      <c r="AR142" s="799"/>
      <c r="AS142" s="799"/>
      <c r="AT142" s="799"/>
      <c r="AU142" s="799"/>
      <c r="AV142" s="799"/>
      <c r="AW142" s="799"/>
      <c r="AX142" s="799"/>
      <c r="AY142" s="799"/>
      <c r="AZ142" s="799"/>
      <c r="BA142" s="799"/>
      <c r="BB142" s="799"/>
      <c r="BC142" s="799"/>
      <c r="BD142" s="799"/>
      <c r="BE142" s="799"/>
      <c r="BF142" s="799"/>
      <c r="BG142" s="799"/>
    </row>
    <row r="143">
      <c r="H143" s="799"/>
      <c r="I143" s="799"/>
      <c r="J143" s="799"/>
      <c r="K143" s="799"/>
      <c r="L143" s="799"/>
      <c r="M143" s="799"/>
      <c r="N143" s="799"/>
      <c r="O143" s="799"/>
      <c r="P143" s="799"/>
      <c r="Q143" s="799"/>
      <c r="R143" s="799"/>
      <c r="S143" s="799"/>
      <c r="T143" s="799"/>
      <c r="U143" s="799"/>
      <c r="V143" s="799"/>
      <c r="W143" s="799"/>
      <c r="X143" s="799"/>
      <c r="Y143" s="799"/>
      <c r="Z143" s="799"/>
      <c r="AA143" s="799"/>
      <c r="AB143" s="799"/>
      <c r="AC143" s="799"/>
      <c r="AD143" s="799"/>
      <c r="AE143" s="799"/>
      <c r="AF143" s="799"/>
      <c r="AG143" s="799"/>
      <c r="AH143" s="799"/>
      <c r="AI143" s="799"/>
      <c r="AJ143" s="799"/>
      <c r="AK143" s="799"/>
      <c r="AL143" s="799"/>
      <c r="AM143" s="799"/>
      <c r="AN143" s="799"/>
      <c r="AO143" s="799"/>
      <c r="AP143" s="799"/>
      <c r="AQ143" s="799"/>
      <c r="AR143" s="799"/>
      <c r="AS143" s="799"/>
      <c r="AT143" s="799"/>
      <c r="AU143" s="799"/>
      <c r="AV143" s="799"/>
      <c r="AW143" s="799"/>
      <c r="AX143" s="799"/>
      <c r="AY143" s="799"/>
      <c r="AZ143" s="799"/>
      <c r="BA143" s="799"/>
      <c r="BB143" s="799"/>
      <c r="BC143" s="799"/>
      <c r="BD143" s="799"/>
      <c r="BE143" s="799"/>
      <c r="BF143" s="799"/>
      <c r="BG143" s="799"/>
    </row>
    <row r="144">
      <c r="H144" s="799"/>
      <c r="I144" s="799"/>
      <c r="J144" s="799"/>
      <c r="K144" s="799"/>
      <c r="L144" s="799"/>
      <c r="M144" s="799"/>
      <c r="N144" s="799"/>
      <c r="O144" s="799"/>
      <c r="P144" s="799"/>
      <c r="Q144" s="799"/>
      <c r="R144" s="799"/>
      <c r="S144" s="799"/>
      <c r="T144" s="799"/>
      <c r="U144" s="799"/>
      <c r="V144" s="799"/>
      <c r="W144" s="799"/>
      <c r="X144" s="799"/>
      <c r="Y144" s="799"/>
      <c r="Z144" s="799"/>
      <c r="AA144" s="799"/>
      <c r="AB144" s="799"/>
      <c r="AC144" s="799"/>
      <c r="AD144" s="799"/>
      <c r="AE144" s="799"/>
      <c r="AF144" s="799"/>
      <c r="AG144" s="799"/>
      <c r="AH144" s="799"/>
      <c r="AI144" s="799"/>
      <c r="AJ144" s="799"/>
      <c r="AK144" s="799"/>
      <c r="AL144" s="799"/>
      <c r="AM144" s="799"/>
      <c r="AN144" s="799"/>
      <c r="AO144" s="799"/>
      <c r="AP144" s="799"/>
      <c r="AQ144" s="799"/>
      <c r="AR144" s="799"/>
      <c r="AS144" s="799"/>
      <c r="AT144" s="799"/>
      <c r="AU144" s="799"/>
      <c r="AV144" s="799"/>
      <c r="AW144" s="799"/>
      <c r="AX144" s="799"/>
      <c r="AY144" s="799"/>
      <c r="AZ144" s="799"/>
      <c r="BA144" s="799"/>
      <c r="BB144" s="799"/>
      <c r="BC144" s="799"/>
      <c r="BD144" s="799"/>
      <c r="BE144" s="799"/>
      <c r="BF144" s="799"/>
      <c r="BG144" s="799"/>
    </row>
    <row r="145">
      <c r="H145" s="799"/>
      <c r="I145" s="799"/>
      <c r="J145" s="799"/>
      <c r="K145" s="799"/>
      <c r="L145" s="799"/>
      <c r="M145" s="799"/>
      <c r="N145" s="799"/>
      <c r="O145" s="799"/>
      <c r="P145" s="799"/>
      <c r="Q145" s="799"/>
      <c r="R145" s="799"/>
      <c r="S145" s="799"/>
      <c r="T145" s="799"/>
      <c r="U145" s="799"/>
      <c r="V145" s="799"/>
      <c r="W145" s="799"/>
      <c r="X145" s="799"/>
      <c r="Y145" s="799"/>
      <c r="Z145" s="799"/>
      <c r="AA145" s="799"/>
      <c r="AB145" s="799"/>
      <c r="AC145" s="799"/>
      <c r="AD145" s="799"/>
      <c r="AE145" s="799"/>
      <c r="AF145" s="799"/>
      <c r="AG145" s="799"/>
      <c r="AH145" s="799"/>
      <c r="AI145" s="799"/>
      <c r="AJ145" s="799"/>
      <c r="AK145" s="799"/>
      <c r="AL145" s="799"/>
      <c r="AM145" s="799"/>
      <c r="AN145" s="799"/>
      <c r="AO145" s="799"/>
      <c r="AP145" s="799"/>
      <c r="AQ145" s="799"/>
      <c r="AR145" s="799"/>
      <c r="AS145" s="799"/>
      <c r="AT145" s="799"/>
      <c r="AU145" s="799"/>
      <c r="AV145" s="799"/>
      <c r="AW145" s="799"/>
      <c r="AX145" s="799"/>
      <c r="AY145" s="799"/>
      <c r="AZ145" s="799"/>
      <c r="BA145" s="799"/>
      <c r="BB145" s="799"/>
      <c r="BC145" s="799"/>
      <c r="BD145" s="799"/>
      <c r="BE145" s="799"/>
      <c r="BF145" s="799"/>
      <c r="BG145" s="799"/>
    </row>
    <row r="146">
      <c r="H146" s="799"/>
      <c r="I146" s="799"/>
      <c r="J146" s="799"/>
      <c r="K146" s="799"/>
      <c r="L146" s="799"/>
      <c r="M146" s="799"/>
      <c r="N146" s="799"/>
      <c r="O146" s="799"/>
      <c r="P146" s="799"/>
      <c r="Q146" s="799"/>
      <c r="R146" s="799"/>
      <c r="S146" s="799"/>
      <c r="T146" s="799"/>
      <c r="U146" s="799"/>
      <c r="V146" s="799"/>
      <c r="W146" s="799"/>
      <c r="X146" s="799"/>
      <c r="Y146" s="799"/>
      <c r="Z146" s="799"/>
      <c r="AA146" s="799"/>
      <c r="AB146" s="799"/>
      <c r="AC146" s="799"/>
      <c r="AD146" s="799"/>
      <c r="AE146" s="799"/>
      <c r="AF146" s="799"/>
      <c r="AG146" s="799"/>
      <c r="AH146" s="799"/>
      <c r="AI146" s="799"/>
      <c r="AJ146" s="799"/>
      <c r="AK146" s="799"/>
      <c r="AL146" s="799"/>
      <c r="AM146" s="799"/>
      <c r="AN146" s="799"/>
      <c r="AO146" s="799"/>
      <c r="AP146" s="799"/>
      <c r="AQ146" s="799"/>
      <c r="AR146" s="799"/>
      <c r="AS146" s="799"/>
      <c r="AT146" s="799"/>
      <c r="AU146" s="799"/>
      <c r="AV146" s="799"/>
      <c r="AW146" s="799"/>
      <c r="AX146" s="799"/>
      <c r="AY146" s="799"/>
      <c r="AZ146" s="799"/>
      <c r="BA146" s="799"/>
      <c r="BB146" s="799"/>
      <c r="BC146" s="799"/>
      <c r="BD146" s="799"/>
      <c r="BE146" s="799"/>
      <c r="BF146" s="799"/>
      <c r="BG146" s="799"/>
    </row>
    <row r="147">
      <c r="H147" s="799"/>
      <c r="I147" s="799"/>
      <c r="J147" s="799"/>
      <c r="K147" s="799"/>
      <c r="L147" s="799"/>
      <c r="M147" s="799"/>
      <c r="N147" s="799"/>
      <c r="O147" s="799"/>
      <c r="P147" s="799"/>
      <c r="Q147" s="799"/>
      <c r="R147" s="799"/>
      <c r="S147" s="799"/>
      <c r="T147" s="799"/>
      <c r="U147" s="799"/>
      <c r="V147" s="799"/>
      <c r="W147" s="799"/>
      <c r="X147" s="799"/>
      <c r="Y147" s="799"/>
      <c r="Z147" s="799"/>
      <c r="AA147" s="799"/>
      <c r="AB147" s="799"/>
      <c r="AC147" s="799"/>
      <c r="AD147" s="799"/>
      <c r="AE147" s="799"/>
      <c r="AF147" s="799"/>
      <c r="AG147" s="799"/>
      <c r="AH147" s="799"/>
      <c r="AI147" s="799"/>
      <c r="AJ147" s="799"/>
      <c r="AK147" s="799"/>
      <c r="AL147" s="799"/>
      <c r="AM147" s="799"/>
      <c r="AN147" s="799"/>
      <c r="AO147" s="799"/>
      <c r="AP147" s="799"/>
      <c r="AQ147" s="799"/>
      <c r="AR147" s="799"/>
      <c r="AS147" s="799"/>
      <c r="AT147" s="799"/>
      <c r="AU147" s="799"/>
      <c r="AV147" s="799"/>
      <c r="AW147" s="799"/>
      <c r="AX147" s="799"/>
      <c r="AY147" s="799"/>
      <c r="AZ147" s="799"/>
      <c r="BA147" s="799"/>
      <c r="BB147" s="799"/>
      <c r="BC147" s="799"/>
      <c r="BD147" s="799"/>
      <c r="BE147" s="799"/>
      <c r="BF147" s="799"/>
      <c r="BG147" s="799"/>
    </row>
    <row r="148">
      <c r="H148" s="799"/>
      <c r="I148" s="799"/>
      <c r="J148" s="799"/>
      <c r="K148" s="799"/>
      <c r="L148" s="799"/>
      <c r="M148" s="799"/>
      <c r="N148" s="799"/>
      <c r="O148" s="799"/>
      <c r="P148" s="799"/>
      <c r="Q148" s="799"/>
      <c r="R148" s="799"/>
      <c r="S148" s="799"/>
      <c r="T148" s="799"/>
      <c r="U148" s="799"/>
      <c r="V148" s="799"/>
      <c r="W148" s="799"/>
      <c r="X148" s="799"/>
      <c r="Y148" s="799"/>
      <c r="Z148" s="799"/>
      <c r="AA148" s="799"/>
      <c r="AB148" s="799"/>
      <c r="AC148" s="799"/>
      <c r="AD148" s="799"/>
      <c r="AE148" s="799"/>
      <c r="AF148" s="799"/>
      <c r="AG148" s="799"/>
      <c r="AH148" s="799"/>
      <c r="AI148" s="799"/>
      <c r="AJ148" s="799"/>
      <c r="AK148" s="799"/>
      <c r="AL148" s="799"/>
      <c r="AM148" s="799"/>
      <c r="AN148" s="799"/>
      <c r="AO148" s="799"/>
      <c r="AP148" s="799"/>
      <c r="AQ148" s="799"/>
      <c r="AR148" s="799"/>
      <c r="AS148" s="799"/>
      <c r="AT148" s="799"/>
      <c r="AU148" s="799"/>
      <c r="AV148" s="799"/>
      <c r="AW148" s="799"/>
      <c r="AX148" s="799"/>
      <c r="AY148" s="799"/>
      <c r="AZ148" s="799"/>
      <c r="BA148" s="799"/>
      <c r="BB148" s="799"/>
      <c r="BC148" s="799"/>
      <c r="BD148" s="799"/>
      <c r="BE148" s="799"/>
      <c r="BF148" s="799"/>
      <c r="BG148" s="799"/>
    </row>
    <row r="149">
      <c r="H149" s="799"/>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799"/>
      <c r="AL149" s="799"/>
      <c r="AM149" s="799"/>
      <c r="AN149" s="799"/>
      <c r="AO149" s="799"/>
      <c r="AP149" s="799"/>
      <c r="AQ149" s="799"/>
      <c r="AR149" s="799"/>
      <c r="AS149" s="799"/>
      <c r="AT149" s="799"/>
      <c r="AU149" s="799"/>
      <c r="AV149" s="799"/>
      <c r="AW149" s="799"/>
      <c r="AX149" s="799"/>
      <c r="AY149" s="799"/>
      <c r="AZ149" s="799"/>
      <c r="BA149" s="799"/>
      <c r="BB149" s="799"/>
      <c r="BC149" s="799"/>
      <c r="BD149" s="799"/>
      <c r="BE149" s="799"/>
      <c r="BF149" s="799"/>
      <c r="BG149" s="799"/>
    </row>
    <row r="150">
      <c r="H150" s="799"/>
      <c r="I150" s="799"/>
      <c r="J150" s="799"/>
      <c r="K150" s="799"/>
      <c r="L150" s="799"/>
      <c r="M150" s="799"/>
      <c r="N150" s="799"/>
      <c r="O150" s="799"/>
      <c r="P150" s="799"/>
      <c r="Q150" s="799"/>
      <c r="R150" s="799"/>
      <c r="S150" s="799"/>
      <c r="T150" s="799"/>
      <c r="U150" s="799"/>
      <c r="V150" s="799"/>
      <c r="W150" s="799"/>
      <c r="X150" s="799"/>
      <c r="Y150" s="799"/>
      <c r="Z150" s="799"/>
      <c r="AA150" s="799"/>
      <c r="AB150" s="799"/>
      <c r="AC150" s="799"/>
      <c r="AD150" s="799"/>
      <c r="AE150" s="799"/>
      <c r="AF150" s="799"/>
      <c r="AG150" s="799"/>
      <c r="AH150" s="799"/>
      <c r="AI150" s="799"/>
      <c r="AJ150" s="799"/>
      <c r="AK150" s="799"/>
      <c r="AL150" s="799"/>
      <c r="AM150" s="799"/>
      <c r="AN150" s="799"/>
      <c r="AO150" s="799"/>
      <c r="AP150" s="799"/>
      <c r="AQ150" s="799"/>
      <c r="AR150" s="799"/>
      <c r="AS150" s="799"/>
      <c r="AT150" s="799"/>
      <c r="AU150" s="799"/>
      <c r="AV150" s="799"/>
      <c r="AW150" s="799"/>
      <c r="AX150" s="799"/>
      <c r="AY150" s="799"/>
      <c r="AZ150" s="799"/>
      <c r="BA150" s="799"/>
      <c r="BB150" s="799"/>
      <c r="BC150" s="799"/>
      <c r="BD150" s="799"/>
      <c r="BE150" s="799"/>
      <c r="BF150" s="799"/>
      <c r="BG150" s="799"/>
    </row>
    <row r="151">
      <c r="H151" s="799"/>
      <c r="I151" s="799"/>
      <c r="J151" s="799"/>
      <c r="K151" s="799"/>
      <c r="L151" s="799"/>
      <c r="M151" s="799"/>
      <c r="N151" s="799"/>
      <c r="O151" s="799"/>
      <c r="P151" s="799"/>
      <c r="Q151" s="799"/>
      <c r="R151" s="799"/>
      <c r="S151" s="799"/>
      <c r="T151" s="799"/>
      <c r="U151" s="799"/>
      <c r="V151" s="799"/>
      <c r="W151" s="799"/>
      <c r="X151" s="799"/>
      <c r="Y151" s="799"/>
      <c r="Z151" s="799"/>
      <c r="AA151" s="799"/>
      <c r="AB151" s="799"/>
      <c r="AC151" s="799"/>
      <c r="AD151" s="799"/>
      <c r="AE151" s="799"/>
      <c r="AF151" s="799"/>
      <c r="AG151" s="799"/>
      <c r="AH151" s="799"/>
      <c r="AI151" s="799"/>
      <c r="AJ151" s="799"/>
      <c r="AK151" s="799"/>
      <c r="AL151" s="799"/>
      <c r="AM151" s="799"/>
      <c r="AN151" s="799"/>
      <c r="AO151" s="799"/>
      <c r="AP151" s="799"/>
      <c r="AQ151" s="799"/>
      <c r="AR151" s="799"/>
      <c r="AS151" s="799"/>
      <c r="AT151" s="799"/>
      <c r="AU151" s="799"/>
      <c r="AV151" s="799"/>
      <c r="AW151" s="799"/>
      <c r="AX151" s="799"/>
      <c r="AY151" s="799"/>
      <c r="AZ151" s="799"/>
      <c r="BA151" s="799"/>
      <c r="BB151" s="799"/>
      <c r="BC151" s="799"/>
      <c r="BD151" s="799"/>
      <c r="BE151" s="799"/>
      <c r="BF151" s="799"/>
      <c r="BG151" s="799"/>
    </row>
    <row r="152">
      <c r="H152" s="799"/>
      <c r="I152" s="799"/>
      <c r="J152" s="799"/>
      <c r="K152" s="799"/>
      <c r="L152" s="799"/>
      <c r="M152" s="799"/>
      <c r="N152" s="799"/>
      <c r="O152" s="799"/>
      <c r="P152" s="799"/>
      <c r="Q152" s="799"/>
      <c r="R152" s="799"/>
      <c r="S152" s="799"/>
      <c r="T152" s="799"/>
      <c r="U152" s="799"/>
      <c r="V152" s="799"/>
      <c r="W152" s="799"/>
      <c r="X152" s="799"/>
      <c r="Y152" s="799"/>
      <c r="Z152" s="799"/>
      <c r="AA152" s="799"/>
      <c r="AB152" s="799"/>
      <c r="AC152" s="799"/>
      <c r="AD152" s="799"/>
      <c r="AE152" s="799"/>
      <c r="AF152" s="799"/>
      <c r="AG152" s="799"/>
      <c r="AH152" s="799"/>
      <c r="AI152" s="799"/>
      <c r="AJ152" s="799"/>
      <c r="AK152" s="799"/>
      <c r="AL152" s="799"/>
      <c r="AM152" s="799"/>
      <c r="AN152" s="799"/>
      <c r="AO152" s="799"/>
      <c r="AP152" s="799"/>
      <c r="AQ152" s="799"/>
      <c r="AR152" s="799"/>
      <c r="AS152" s="799"/>
      <c r="AT152" s="799"/>
      <c r="AU152" s="799"/>
      <c r="AV152" s="799"/>
      <c r="AW152" s="799"/>
      <c r="AX152" s="799"/>
      <c r="AY152" s="799"/>
      <c r="AZ152" s="799"/>
      <c r="BA152" s="799"/>
      <c r="BB152" s="799"/>
      <c r="BC152" s="799"/>
      <c r="BD152" s="799"/>
      <c r="BE152" s="799"/>
      <c r="BF152" s="799"/>
      <c r="BG152" s="799"/>
    </row>
    <row r="153">
      <c r="H153" s="799"/>
      <c r="I153" s="799"/>
      <c r="J153" s="799"/>
      <c r="K153" s="799"/>
      <c r="L153" s="799"/>
      <c r="M153" s="799"/>
      <c r="N153" s="799"/>
      <c r="O153" s="799"/>
      <c r="P153" s="799"/>
      <c r="Q153" s="799"/>
      <c r="R153" s="799"/>
      <c r="S153" s="799"/>
      <c r="T153" s="799"/>
      <c r="U153" s="799"/>
      <c r="V153" s="799"/>
      <c r="W153" s="799"/>
      <c r="X153" s="799"/>
      <c r="Y153" s="799"/>
      <c r="Z153" s="799"/>
      <c r="AA153" s="799"/>
      <c r="AB153" s="799"/>
      <c r="AC153" s="799"/>
      <c r="AD153" s="799"/>
      <c r="AE153" s="799"/>
      <c r="AF153" s="799"/>
      <c r="AG153" s="799"/>
      <c r="AH153" s="799"/>
      <c r="AI153" s="799"/>
      <c r="AJ153" s="799"/>
      <c r="AK153" s="799"/>
      <c r="AL153" s="799"/>
      <c r="AM153" s="799"/>
      <c r="AN153" s="799"/>
      <c r="AO153" s="799"/>
      <c r="AP153" s="799"/>
      <c r="AQ153" s="799"/>
      <c r="AR153" s="799"/>
      <c r="AS153" s="799"/>
      <c r="AT153" s="799"/>
      <c r="AU153" s="799"/>
      <c r="AV153" s="799"/>
      <c r="AW153" s="799"/>
      <c r="AX153" s="799"/>
      <c r="AY153" s="799"/>
      <c r="AZ153" s="799"/>
      <c r="BA153" s="799"/>
      <c r="BB153" s="799"/>
      <c r="BC153" s="799"/>
      <c r="BD153" s="799"/>
      <c r="BE153" s="799"/>
      <c r="BF153" s="799"/>
      <c r="BG153" s="799"/>
    </row>
    <row r="154">
      <c r="H154" s="799"/>
      <c r="I154" s="799"/>
      <c r="J154" s="799"/>
      <c r="K154" s="799"/>
      <c r="L154" s="799"/>
      <c r="M154" s="799"/>
      <c r="N154" s="799"/>
      <c r="O154" s="799"/>
      <c r="P154" s="799"/>
      <c r="Q154" s="799"/>
      <c r="R154" s="799"/>
      <c r="S154" s="799"/>
      <c r="T154" s="799"/>
      <c r="U154" s="799"/>
      <c r="V154" s="799"/>
      <c r="W154" s="799"/>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row>
    <row r="155">
      <c r="H155" s="799"/>
      <c r="I155" s="799"/>
      <c r="J155" s="799"/>
      <c r="K155" s="799"/>
      <c r="L155" s="799"/>
      <c r="M155" s="799"/>
      <c r="N155" s="799"/>
      <c r="O155" s="799"/>
      <c r="P155" s="799"/>
      <c r="Q155" s="799"/>
      <c r="R155" s="799"/>
      <c r="S155" s="799"/>
      <c r="T155" s="799"/>
      <c r="U155" s="799"/>
      <c r="V155" s="799"/>
      <c r="W155" s="799"/>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row>
    <row r="156">
      <c r="H156" s="799"/>
      <c r="I156" s="799"/>
      <c r="J156" s="799"/>
      <c r="K156" s="799"/>
      <c r="L156" s="799"/>
      <c r="M156" s="799"/>
      <c r="N156" s="799"/>
      <c r="O156" s="799"/>
      <c r="P156" s="799"/>
      <c r="Q156" s="799"/>
      <c r="R156" s="799"/>
      <c r="S156" s="799"/>
      <c r="T156" s="799"/>
      <c r="U156" s="799"/>
      <c r="V156" s="799"/>
      <c r="W156" s="799"/>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row>
    <row r="157">
      <c r="H157" s="799"/>
      <c r="I157" s="799"/>
      <c r="J157" s="799"/>
      <c r="K157" s="799"/>
      <c r="L157" s="799"/>
      <c r="M157" s="799"/>
      <c r="N157" s="799"/>
      <c r="O157" s="799"/>
      <c r="P157" s="799"/>
      <c r="Q157" s="799"/>
      <c r="R157" s="799"/>
      <c r="S157" s="799"/>
      <c r="T157" s="799"/>
      <c r="U157" s="799"/>
      <c r="V157" s="799"/>
      <c r="W157" s="799"/>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row>
    <row r="158">
      <c r="H158" s="799"/>
      <c r="I158" s="799"/>
      <c r="J158" s="799"/>
      <c r="K158" s="799"/>
      <c r="L158" s="799"/>
      <c r="M158" s="799"/>
      <c r="N158" s="799"/>
      <c r="O158" s="799"/>
      <c r="P158" s="799"/>
      <c r="Q158" s="799"/>
      <c r="R158" s="799"/>
      <c r="S158" s="799"/>
      <c r="T158" s="799"/>
      <c r="U158" s="799"/>
      <c r="V158" s="799"/>
      <c r="W158" s="799"/>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row>
    <row r="159">
      <c r="H159" s="799"/>
      <c r="I159" s="799"/>
      <c r="J159" s="799"/>
      <c r="K159" s="799"/>
      <c r="L159" s="799"/>
      <c r="M159" s="799"/>
      <c r="N159" s="799"/>
      <c r="O159" s="799"/>
      <c r="P159" s="799"/>
      <c r="Q159" s="799"/>
      <c r="R159" s="799"/>
      <c r="S159" s="799"/>
      <c r="T159" s="799"/>
      <c r="U159" s="799"/>
      <c r="V159" s="799"/>
      <c r="W159" s="799"/>
      <c r="X159" s="799"/>
      <c r="Y159" s="799"/>
      <c r="Z159" s="799"/>
      <c r="AA159" s="799"/>
      <c r="AB159" s="799"/>
      <c r="AC159" s="799"/>
      <c r="AD159" s="799"/>
      <c r="AE159" s="799"/>
      <c r="AF159" s="799"/>
      <c r="AG159" s="799"/>
      <c r="AH159" s="799"/>
      <c r="AI159" s="799"/>
      <c r="AJ159" s="799"/>
      <c r="AK159" s="799"/>
      <c r="AL159" s="799"/>
      <c r="AM159" s="799"/>
      <c r="AN159" s="799"/>
      <c r="AO159" s="799"/>
      <c r="AP159" s="799"/>
      <c r="AQ159" s="799"/>
      <c r="AR159" s="799"/>
      <c r="AS159" s="799"/>
      <c r="AT159" s="799"/>
      <c r="AU159" s="799"/>
      <c r="AV159" s="799"/>
      <c r="AW159" s="799"/>
      <c r="AX159" s="799"/>
      <c r="AY159" s="799"/>
      <c r="AZ159" s="799"/>
      <c r="BA159" s="799"/>
      <c r="BB159" s="799"/>
      <c r="BC159" s="799"/>
      <c r="BD159" s="799"/>
      <c r="BE159" s="799"/>
      <c r="BF159" s="799"/>
      <c r="BG159" s="799"/>
    </row>
    <row r="160">
      <c r="H160" s="799"/>
      <c r="I160" s="799"/>
      <c r="J160" s="799"/>
      <c r="K160" s="799"/>
      <c r="L160" s="799"/>
      <c r="M160" s="799"/>
      <c r="N160" s="799"/>
      <c r="O160" s="799"/>
      <c r="P160" s="799"/>
      <c r="Q160" s="799"/>
      <c r="R160" s="799"/>
      <c r="S160" s="799"/>
      <c r="T160" s="799"/>
      <c r="U160" s="799"/>
      <c r="V160" s="799"/>
      <c r="W160" s="799"/>
      <c r="X160" s="799"/>
      <c r="Y160" s="799"/>
      <c r="Z160" s="799"/>
      <c r="AA160" s="799"/>
      <c r="AB160" s="799"/>
      <c r="AC160" s="799"/>
      <c r="AD160" s="799"/>
      <c r="AE160" s="799"/>
      <c r="AF160" s="799"/>
      <c r="AG160" s="799"/>
      <c r="AH160" s="799"/>
      <c r="AI160" s="799"/>
      <c r="AJ160" s="799"/>
      <c r="AK160" s="799"/>
      <c r="AL160" s="799"/>
      <c r="AM160" s="799"/>
      <c r="AN160" s="799"/>
      <c r="AO160" s="799"/>
      <c r="AP160" s="799"/>
      <c r="AQ160" s="799"/>
      <c r="AR160" s="799"/>
      <c r="AS160" s="799"/>
      <c r="AT160" s="799"/>
      <c r="AU160" s="799"/>
      <c r="AV160" s="799"/>
      <c r="AW160" s="799"/>
      <c r="AX160" s="799"/>
      <c r="AY160" s="799"/>
      <c r="AZ160" s="799"/>
      <c r="BA160" s="799"/>
      <c r="BB160" s="799"/>
      <c r="BC160" s="799"/>
      <c r="BD160" s="799"/>
      <c r="BE160" s="799"/>
      <c r="BF160" s="799"/>
      <c r="BG160" s="799"/>
    </row>
    <row r="161">
      <c r="H161" s="799"/>
      <c r="I161" s="799"/>
      <c r="J161" s="799"/>
      <c r="K161" s="799"/>
      <c r="L161" s="799"/>
      <c r="M161" s="799"/>
      <c r="N161" s="799"/>
      <c r="O161" s="799"/>
      <c r="P161" s="799"/>
      <c r="Q161" s="799"/>
      <c r="R161" s="799"/>
      <c r="S161" s="799"/>
      <c r="T161" s="799"/>
      <c r="U161" s="799"/>
      <c r="V161" s="799"/>
      <c r="W161" s="799"/>
      <c r="X161" s="799"/>
      <c r="Y161" s="799"/>
      <c r="Z161" s="799"/>
      <c r="AA161" s="799"/>
      <c r="AB161" s="799"/>
      <c r="AC161" s="799"/>
      <c r="AD161" s="799"/>
      <c r="AE161" s="799"/>
      <c r="AF161" s="799"/>
      <c r="AG161" s="799"/>
      <c r="AH161" s="799"/>
      <c r="AI161" s="799"/>
      <c r="AJ161" s="799"/>
      <c r="AK161" s="799"/>
      <c r="AL161" s="799"/>
      <c r="AM161" s="799"/>
      <c r="AN161" s="799"/>
      <c r="AO161" s="799"/>
      <c r="AP161" s="799"/>
      <c r="AQ161" s="799"/>
      <c r="AR161" s="799"/>
      <c r="AS161" s="799"/>
      <c r="AT161" s="799"/>
      <c r="AU161" s="799"/>
      <c r="AV161" s="799"/>
      <c r="AW161" s="799"/>
      <c r="AX161" s="799"/>
      <c r="AY161" s="799"/>
      <c r="AZ161" s="799"/>
      <c r="BA161" s="799"/>
      <c r="BB161" s="799"/>
      <c r="BC161" s="799"/>
      <c r="BD161" s="799"/>
      <c r="BE161" s="799"/>
      <c r="BF161" s="799"/>
      <c r="BG161" s="799"/>
    </row>
    <row r="162">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row>
    <row r="163">
      <c r="H163" s="799"/>
      <c r="I163" s="799"/>
      <c r="J163" s="799"/>
      <c r="K163" s="799"/>
      <c r="L163" s="799"/>
      <c r="M163" s="799"/>
      <c r="N163" s="799"/>
      <c r="O163" s="799"/>
      <c r="P163" s="799"/>
      <c r="Q163" s="799"/>
      <c r="R163" s="799"/>
      <c r="S163" s="799"/>
      <c r="T163" s="799"/>
      <c r="U163" s="799"/>
      <c r="V163" s="799"/>
      <c r="W163" s="799"/>
      <c r="X163" s="799"/>
      <c r="Y163" s="799"/>
      <c r="Z163" s="799"/>
      <c r="AA163" s="799"/>
      <c r="AB163" s="799"/>
      <c r="AC163" s="799"/>
      <c r="AD163" s="799"/>
      <c r="AE163" s="799"/>
      <c r="AF163" s="799"/>
      <c r="AG163" s="799"/>
      <c r="AH163" s="799"/>
      <c r="AI163" s="799"/>
      <c r="AJ163" s="799"/>
      <c r="AK163" s="799"/>
      <c r="AL163" s="799"/>
      <c r="AM163" s="799"/>
      <c r="AN163" s="799"/>
      <c r="AO163" s="799"/>
      <c r="AP163" s="799"/>
      <c r="AQ163" s="799"/>
      <c r="AR163" s="799"/>
      <c r="AS163" s="799"/>
      <c r="AT163" s="799"/>
      <c r="AU163" s="799"/>
      <c r="AV163" s="799"/>
      <c r="AW163" s="799"/>
      <c r="AX163" s="799"/>
      <c r="AY163" s="799"/>
      <c r="AZ163" s="799"/>
      <c r="BA163" s="799"/>
      <c r="BB163" s="799"/>
      <c r="BC163" s="799"/>
      <c r="BD163" s="799"/>
      <c r="BE163" s="799"/>
      <c r="BF163" s="799"/>
      <c r="BG163" s="799"/>
    </row>
    <row r="164">
      <c r="H164" s="799"/>
      <c r="I164" s="799"/>
      <c r="J164" s="799"/>
      <c r="K164" s="799"/>
      <c r="L164" s="799"/>
      <c r="M164" s="799"/>
      <c r="N164" s="799"/>
      <c r="O164" s="799"/>
      <c r="P164" s="799"/>
      <c r="Q164" s="799"/>
      <c r="R164" s="799"/>
      <c r="S164" s="799"/>
      <c r="T164" s="799"/>
      <c r="U164" s="799"/>
      <c r="V164" s="799"/>
      <c r="W164" s="799"/>
      <c r="X164" s="799"/>
      <c r="Y164" s="799"/>
      <c r="Z164" s="799"/>
      <c r="AA164" s="799"/>
      <c r="AB164" s="799"/>
      <c r="AC164" s="799"/>
      <c r="AD164" s="799"/>
      <c r="AE164" s="799"/>
      <c r="AF164" s="799"/>
      <c r="AG164" s="799"/>
      <c r="AH164" s="799"/>
      <c r="AI164" s="799"/>
      <c r="AJ164" s="799"/>
      <c r="AK164" s="799"/>
      <c r="AL164" s="799"/>
      <c r="AM164" s="799"/>
      <c r="AN164" s="799"/>
      <c r="AO164" s="799"/>
      <c r="AP164" s="799"/>
      <c r="AQ164" s="799"/>
      <c r="AR164" s="799"/>
      <c r="AS164" s="799"/>
      <c r="AT164" s="799"/>
      <c r="AU164" s="799"/>
      <c r="AV164" s="799"/>
      <c r="AW164" s="799"/>
      <c r="AX164" s="799"/>
      <c r="AY164" s="799"/>
      <c r="AZ164" s="799"/>
      <c r="BA164" s="799"/>
      <c r="BB164" s="799"/>
      <c r="BC164" s="799"/>
      <c r="BD164" s="799"/>
      <c r="BE164" s="799"/>
      <c r="BF164" s="799"/>
      <c r="BG164" s="799"/>
    </row>
    <row r="165">
      <c r="H165" s="799"/>
      <c r="I165" s="799"/>
      <c r="J165" s="799"/>
      <c r="K165" s="799"/>
      <c r="L165" s="799"/>
      <c r="M165" s="799"/>
      <c r="N165" s="799"/>
      <c r="O165" s="799"/>
      <c r="P165" s="799"/>
      <c r="Q165" s="799"/>
      <c r="R165" s="799"/>
      <c r="S165" s="799"/>
      <c r="T165" s="799"/>
      <c r="U165" s="799"/>
      <c r="V165" s="799"/>
      <c r="W165" s="799"/>
      <c r="X165" s="799"/>
      <c r="Y165" s="799"/>
      <c r="Z165" s="799"/>
      <c r="AA165" s="799"/>
      <c r="AB165" s="799"/>
      <c r="AC165" s="799"/>
      <c r="AD165" s="799"/>
      <c r="AE165" s="799"/>
      <c r="AF165" s="799"/>
      <c r="AG165" s="799"/>
      <c r="AH165" s="799"/>
      <c r="AI165" s="799"/>
      <c r="AJ165" s="799"/>
      <c r="AK165" s="799"/>
      <c r="AL165" s="799"/>
      <c r="AM165" s="799"/>
      <c r="AN165" s="799"/>
      <c r="AO165" s="799"/>
      <c r="AP165" s="799"/>
      <c r="AQ165" s="799"/>
      <c r="AR165" s="799"/>
      <c r="AS165" s="799"/>
      <c r="AT165" s="799"/>
      <c r="AU165" s="799"/>
      <c r="AV165" s="799"/>
      <c r="AW165" s="799"/>
      <c r="AX165" s="799"/>
      <c r="AY165" s="799"/>
      <c r="AZ165" s="799"/>
      <c r="BA165" s="799"/>
      <c r="BB165" s="799"/>
      <c r="BC165" s="799"/>
      <c r="BD165" s="799"/>
      <c r="BE165" s="799"/>
      <c r="BF165" s="799"/>
      <c r="BG165" s="799"/>
    </row>
    <row r="166">
      <c r="H166" s="799"/>
      <c r="I166" s="799"/>
      <c r="J166" s="799"/>
      <c r="K166" s="799"/>
      <c r="L166" s="799"/>
      <c r="M166" s="799"/>
      <c r="N166" s="799"/>
      <c r="O166" s="799"/>
      <c r="P166" s="799"/>
      <c r="Q166" s="799"/>
      <c r="R166" s="799"/>
      <c r="S166" s="799"/>
      <c r="T166" s="799"/>
      <c r="U166" s="799"/>
      <c r="V166" s="799"/>
      <c r="W166" s="799"/>
      <c r="X166" s="799"/>
      <c r="Y166" s="799"/>
      <c r="Z166" s="799"/>
      <c r="AA166" s="799"/>
      <c r="AB166" s="799"/>
      <c r="AC166" s="799"/>
      <c r="AD166" s="799"/>
      <c r="AE166" s="799"/>
      <c r="AF166" s="799"/>
      <c r="AG166" s="799"/>
      <c r="AH166" s="799"/>
      <c r="AI166" s="799"/>
      <c r="AJ166" s="799"/>
      <c r="AK166" s="799"/>
      <c r="AL166" s="799"/>
      <c r="AM166" s="799"/>
      <c r="AN166" s="799"/>
      <c r="AO166" s="799"/>
      <c r="AP166" s="799"/>
      <c r="AQ166" s="799"/>
      <c r="AR166" s="799"/>
      <c r="AS166" s="799"/>
      <c r="AT166" s="799"/>
      <c r="AU166" s="799"/>
      <c r="AV166" s="799"/>
      <c r="AW166" s="799"/>
      <c r="AX166" s="799"/>
      <c r="AY166" s="799"/>
      <c r="AZ166" s="799"/>
      <c r="BA166" s="799"/>
      <c r="BB166" s="799"/>
      <c r="BC166" s="799"/>
      <c r="BD166" s="799"/>
      <c r="BE166" s="799"/>
      <c r="BF166" s="799"/>
      <c r="BG166" s="799"/>
    </row>
    <row r="167">
      <c r="H167" s="799"/>
      <c r="I167" s="799"/>
      <c r="J167" s="799"/>
      <c r="K167" s="799"/>
      <c r="L167" s="799"/>
      <c r="M167" s="799"/>
      <c r="N167" s="799"/>
      <c r="O167" s="799"/>
      <c r="P167" s="799"/>
      <c r="Q167" s="799"/>
      <c r="R167" s="799"/>
      <c r="S167" s="799"/>
      <c r="T167" s="799"/>
      <c r="U167" s="799"/>
      <c r="V167" s="799"/>
      <c r="W167" s="799"/>
      <c r="X167" s="799"/>
      <c r="Y167" s="799"/>
      <c r="Z167" s="799"/>
      <c r="AA167" s="799"/>
      <c r="AB167" s="799"/>
      <c r="AC167" s="799"/>
      <c r="AD167" s="799"/>
      <c r="AE167" s="799"/>
      <c r="AF167" s="799"/>
      <c r="AG167" s="799"/>
      <c r="AH167" s="799"/>
      <c r="AI167" s="799"/>
      <c r="AJ167" s="799"/>
      <c r="AK167" s="799"/>
      <c r="AL167" s="799"/>
      <c r="AM167" s="799"/>
      <c r="AN167" s="799"/>
      <c r="AO167" s="799"/>
      <c r="AP167" s="799"/>
      <c r="AQ167" s="799"/>
      <c r="AR167" s="799"/>
      <c r="AS167" s="799"/>
      <c r="AT167" s="799"/>
      <c r="AU167" s="799"/>
      <c r="AV167" s="799"/>
      <c r="AW167" s="799"/>
      <c r="AX167" s="799"/>
      <c r="AY167" s="799"/>
      <c r="AZ167" s="799"/>
      <c r="BA167" s="799"/>
      <c r="BB167" s="799"/>
      <c r="BC167" s="799"/>
      <c r="BD167" s="799"/>
      <c r="BE167" s="799"/>
      <c r="BF167" s="799"/>
      <c r="BG167" s="799"/>
    </row>
    <row r="168">
      <c r="H168" s="799"/>
      <c r="I168" s="799"/>
      <c r="J168" s="799"/>
      <c r="K168" s="799"/>
      <c r="L168" s="799"/>
      <c r="M168" s="799"/>
      <c r="N168" s="799"/>
      <c r="O168" s="799"/>
      <c r="P168" s="799"/>
      <c r="Q168" s="799"/>
      <c r="R168" s="799"/>
      <c r="S168" s="799"/>
      <c r="T168" s="799"/>
      <c r="U168" s="799"/>
      <c r="V168" s="799"/>
      <c r="W168" s="799"/>
      <c r="X168" s="799"/>
      <c r="Y168" s="799"/>
      <c r="Z168" s="799"/>
      <c r="AA168" s="799"/>
      <c r="AB168" s="799"/>
      <c r="AC168" s="799"/>
      <c r="AD168" s="799"/>
      <c r="AE168" s="799"/>
      <c r="AF168" s="799"/>
      <c r="AG168" s="799"/>
      <c r="AH168" s="799"/>
      <c r="AI168" s="799"/>
      <c r="AJ168" s="799"/>
      <c r="AK168" s="799"/>
      <c r="AL168" s="799"/>
      <c r="AM168" s="799"/>
      <c r="AN168" s="799"/>
      <c r="AO168" s="799"/>
      <c r="AP168" s="799"/>
      <c r="AQ168" s="799"/>
      <c r="AR168" s="799"/>
      <c r="AS168" s="799"/>
      <c r="AT168" s="799"/>
      <c r="AU168" s="799"/>
      <c r="AV168" s="799"/>
      <c r="AW168" s="799"/>
      <c r="AX168" s="799"/>
      <c r="AY168" s="799"/>
      <c r="AZ168" s="799"/>
      <c r="BA168" s="799"/>
      <c r="BB168" s="799"/>
      <c r="BC168" s="799"/>
      <c r="BD168" s="799"/>
      <c r="BE168" s="799"/>
      <c r="BF168" s="799"/>
      <c r="BG168" s="799"/>
    </row>
    <row r="169">
      <c r="H169" s="799"/>
      <c r="I169" s="799"/>
      <c r="J169" s="799"/>
      <c r="K169" s="799"/>
      <c r="L169" s="799"/>
      <c r="M169" s="799"/>
      <c r="N169" s="799"/>
      <c r="O169" s="799"/>
      <c r="P169" s="799"/>
      <c r="Q169" s="799"/>
      <c r="R169" s="799"/>
      <c r="S169" s="799"/>
      <c r="T169" s="799"/>
      <c r="U169" s="799"/>
      <c r="V169" s="799"/>
      <c r="W169" s="799"/>
      <c r="X169" s="799"/>
      <c r="Y169" s="799"/>
      <c r="Z169" s="799"/>
      <c r="AA169" s="799"/>
      <c r="AB169" s="799"/>
      <c r="AC169" s="799"/>
      <c r="AD169" s="799"/>
      <c r="AE169" s="799"/>
      <c r="AF169" s="799"/>
      <c r="AG169" s="799"/>
      <c r="AH169" s="799"/>
      <c r="AI169" s="799"/>
      <c r="AJ169" s="799"/>
      <c r="AK169" s="799"/>
      <c r="AL169" s="799"/>
      <c r="AM169" s="799"/>
      <c r="AN169" s="799"/>
      <c r="AO169" s="799"/>
      <c r="AP169" s="799"/>
      <c r="AQ169" s="799"/>
      <c r="AR169" s="799"/>
      <c r="AS169" s="799"/>
      <c r="AT169" s="799"/>
      <c r="AU169" s="799"/>
      <c r="AV169" s="799"/>
      <c r="AW169" s="799"/>
      <c r="AX169" s="799"/>
      <c r="AY169" s="799"/>
      <c r="AZ169" s="799"/>
      <c r="BA169" s="799"/>
      <c r="BB169" s="799"/>
      <c r="BC169" s="799"/>
      <c r="BD169" s="799"/>
      <c r="BE169" s="799"/>
      <c r="BF169" s="799"/>
      <c r="BG169" s="799"/>
    </row>
    <row r="170">
      <c r="H170" s="799"/>
      <c r="I170" s="799"/>
      <c r="J170" s="799"/>
      <c r="K170" s="799"/>
      <c r="L170" s="799"/>
      <c r="M170" s="799"/>
      <c r="N170" s="799"/>
      <c r="O170" s="799"/>
      <c r="P170" s="799"/>
      <c r="Q170" s="799"/>
      <c r="R170" s="799"/>
      <c r="S170" s="799"/>
      <c r="T170" s="799"/>
      <c r="U170" s="799"/>
      <c r="V170" s="799"/>
      <c r="W170" s="799"/>
      <c r="X170" s="799"/>
      <c r="Y170" s="799"/>
      <c r="Z170" s="799"/>
      <c r="AA170" s="799"/>
      <c r="AB170" s="799"/>
      <c r="AC170" s="799"/>
      <c r="AD170" s="799"/>
      <c r="AE170" s="799"/>
      <c r="AF170" s="799"/>
      <c r="AG170" s="799"/>
      <c r="AH170" s="799"/>
      <c r="AI170" s="799"/>
      <c r="AJ170" s="799"/>
      <c r="AK170" s="799"/>
      <c r="AL170" s="799"/>
      <c r="AM170" s="799"/>
      <c r="AN170" s="799"/>
      <c r="AO170" s="799"/>
      <c r="AP170" s="799"/>
      <c r="AQ170" s="799"/>
      <c r="AR170" s="799"/>
      <c r="AS170" s="799"/>
      <c r="AT170" s="799"/>
      <c r="AU170" s="799"/>
      <c r="AV170" s="799"/>
      <c r="AW170" s="799"/>
      <c r="AX170" s="799"/>
      <c r="AY170" s="799"/>
      <c r="AZ170" s="799"/>
      <c r="BA170" s="799"/>
      <c r="BB170" s="799"/>
      <c r="BC170" s="799"/>
      <c r="BD170" s="799"/>
      <c r="BE170" s="799"/>
      <c r="BF170" s="799"/>
      <c r="BG170" s="799"/>
    </row>
    <row r="171">
      <c r="H171" s="799"/>
      <c r="I171" s="799"/>
      <c r="J171" s="799"/>
      <c r="K171" s="799"/>
      <c r="L171" s="799"/>
      <c r="M171" s="799"/>
      <c r="N171" s="799"/>
      <c r="O171" s="799"/>
      <c r="P171" s="799"/>
      <c r="Q171" s="799"/>
      <c r="R171" s="799"/>
      <c r="S171" s="799"/>
      <c r="T171" s="799"/>
      <c r="U171" s="799"/>
      <c r="V171" s="799"/>
      <c r="W171" s="799"/>
      <c r="X171" s="799"/>
      <c r="Y171" s="799"/>
      <c r="Z171" s="799"/>
      <c r="AA171" s="799"/>
      <c r="AB171" s="799"/>
      <c r="AC171" s="799"/>
      <c r="AD171" s="799"/>
      <c r="AE171" s="799"/>
      <c r="AF171" s="799"/>
      <c r="AG171" s="799"/>
      <c r="AH171" s="799"/>
      <c r="AI171" s="799"/>
      <c r="AJ171" s="799"/>
      <c r="AK171" s="799"/>
      <c r="AL171" s="799"/>
      <c r="AM171" s="799"/>
      <c r="AN171" s="799"/>
      <c r="AO171" s="799"/>
      <c r="AP171" s="799"/>
      <c r="AQ171" s="799"/>
      <c r="AR171" s="799"/>
      <c r="AS171" s="799"/>
      <c r="AT171" s="799"/>
      <c r="AU171" s="799"/>
      <c r="AV171" s="799"/>
      <c r="AW171" s="799"/>
      <c r="AX171" s="799"/>
      <c r="AY171" s="799"/>
      <c r="AZ171" s="799"/>
      <c r="BA171" s="799"/>
      <c r="BB171" s="799"/>
      <c r="BC171" s="799"/>
      <c r="BD171" s="799"/>
      <c r="BE171" s="799"/>
      <c r="BF171" s="799"/>
      <c r="BG171" s="799"/>
    </row>
    <row r="172">
      <c r="H172" s="799"/>
      <c r="I172" s="799"/>
      <c r="J172" s="799"/>
      <c r="K172" s="799"/>
      <c r="L172" s="799"/>
      <c r="M172" s="799"/>
      <c r="N172" s="799"/>
      <c r="O172" s="799"/>
      <c r="P172" s="799"/>
      <c r="Q172" s="799"/>
      <c r="R172" s="799"/>
      <c r="S172" s="799"/>
      <c r="T172" s="799"/>
      <c r="U172" s="799"/>
      <c r="V172" s="799"/>
      <c r="W172" s="799"/>
      <c r="X172" s="799"/>
      <c r="Y172" s="799"/>
      <c r="Z172" s="799"/>
      <c r="AA172" s="799"/>
      <c r="AB172" s="799"/>
      <c r="AC172" s="799"/>
      <c r="AD172" s="799"/>
      <c r="AE172" s="799"/>
      <c r="AF172" s="799"/>
      <c r="AG172" s="799"/>
      <c r="AH172" s="799"/>
      <c r="AI172" s="799"/>
      <c r="AJ172" s="799"/>
      <c r="AK172" s="799"/>
      <c r="AL172" s="799"/>
      <c r="AM172" s="799"/>
      <c r="AN172" s="799"/>
      <c r="AO172" s="799"/>
      <c r="AP172" s="799"/>
      <c r="AQ172" s="799"/>
      <c r="AR172" s="799"/>
      <c r="AS172" s="799"/>
      <c r="AT172" s="799"/>
      <c r="AU172" s="799"/>
      <c r="AV172" s="799"/>
      <c r="AW172" s="799"/>
      <c r="AX172" s="799"/>
      <c r="AY172" s="799"/>
      <c r="AZ172" s="799"/>
      <c r="BA172" s="799"/>
      <c r="BB172" s="799"/>
      <c r="BC172" s="799"/>
      <c r="BD172" s="799"/>
      <c r="BE172" s="799"/>
      <c r="BF172" s="799"/>
      <c r="BG172" s="799"/>
    </row>
    <row r="173">
      <c r="H173" s="799"/>
      <c r="I173" s="799"/>
      <c r="J173" s="799"/>
      <c r="K173" s="799"/>
      <c r="L173" s="799"/>
      <c r="M173" s="799"/>
      <c r="N173" s="799"/>
      <c r="O173" s="799"/>
      <c r="P173" s="799"/>
      <c r="Q173" s="799"/>
      <c r="R173" s="799"/>
      <c r="S173" s="799"/>
      <c r="T173" s="799"/>
      <c r="U173" s="799"/>
      <c r="V173" s="799"/>
      <c r="W173" s="799"/>
      <c r="X173" s="799"/>
      <c r="Y173" s="799"/>
      <c r="Z173" s="799"/>
      <c r="AA173" s="799"/>
      <c r="AB173" s="799"/>
      <c r="AC173" s="799"/>
      <c r="AD173" s="799"/>
      <c r="AE173" s="799"/>
      <c r="AF173" s="799"/>
      <c r="AG173" s="799"/>
      <c r="AH173" s="799"/>
      <c r="AI173" s="799"/>
      <c r="AJ173" s="799"/>
      <c r="AK173" s="799"/>
      <c r="AL173" s="799"/>
      <c r="AM173" s="799"/>
      <c r="AN173" s="799"/>
      <c r="AO173" s="799"/>
      <c r="AP173" s="799"/>
      <c r="AQ173" s="799"/>
      <c r="AR173" s="799"/>
      <c r="AS173" s="799"/>
      <c r="AT173" s="799"/>
      <c r="AU173" s="799"/>
      <c r="AV173" s="799"/>
      <c r="AW173" s="799"/>
      <c r="AX173" s="799"/>
      <c r="AY173" s="799"/>
      <c r="AZ173" s="799"/>
      <c r="BA173" s="799"/>
      <c r="BB173" s="799"/>
      <c r="BC173" s="799"/>
      <c r="BD173" s="799"/>
      <c r="BE173" s="799"/>
      <c r="BF173" s="799"/>
      <c r="BG173" s="799"/>
    </row>
    <row r="174">
      <c r="H174" s="799"/>
      <c r="I174" s="799"/>
      <c r="J174" s="799"/>
      <c r="K174" s="799"/>
      <c r="L174" s="799"/>
      <c r="M174" s="799"/>
      <c r="N174" s="799"/>
      <c r="O174" s="799"/>
      <c r="P174" s="799"/>
      <c r="Q174" s="799"/>
      <c r="R174" s="799"/>
      <c r="S174" s="799"/>
      <c r="T174" s="799"/>
      <c r="U174" s="799"/>
      <c r="V174" s="799"/>
      <c r="W174" s="799"/>
      <c r="X174" s="799"/>
      <c r="Y174" s="799"/>
      <c r="Z174" s="799"/>
      <c r="AA174" s="799"/>
      <c r="AB174" s="799"/>
      <c r="AC174" s="799"/>
      <c r="AD174" s="799"/>
      <c r="AE174" s="799"/>
      <c r="AF174" s="799"/>
      <c r="AG174" s="799"/>
      <c r="AH174" s="799"/>
      <c r="AI174" s="799"/>
      <c r="AJ174" s="799"/>
      <c r="AK174" s="799"/>
      <c r="AL174" s="799"/>
      <c r="AM174" s="799"/>
      <c r="AN174" s="799"/>
      <c r="AO174" s="799"/>
      <c r="AP174" s="799"/>
      <c r="AQ174" s="799"/>
      <c r="AR174" s="799"/>
      <c r="AS174" s="799"/>
      <c r="AT174" s="799"/>
      <c r="AU174" s="799"/>
      <c r="AV174" s="799"/>
      <c r="AW174" s="799"/>
      <c r="AX174" s="799"/>
      <c r="AY174" s="799"/>
      <c r="AZ174" s="799"/>
      <c r="BA174" s="799"/>
      <c r="BB174" s="799"/>
      <c r="BC174" s="799"/>
      <c r="BD174" s="799"/>
      <c r="BE174" s="799"/>
      <c r="BF174" s="799"/>
      <c r="BG174" s="799"/>
    </row>
    <row r="175">
      <c r="H175" s="799"/>
      <c r="I175" s="799"/>
      <c r="J175" s="799"/>
      <c r="K175" s="799"/>
      <c r="L175" s="799"/>
      <c r="M175" s="799"/>
      <c r="N175" s="799"/>
      <c r="O175" s="799"/>
      <c r="P175" s="799"/>
      <c r="Q175" s="799"/>
      <c r="R175" s="799"/>
      <c r="S175" s="799"/>
      <c r="T175" s="799"/>
      <c r="U175" s="799"/>
      <c r="V175" s="799"/>
      <c r="W175" s="799"/>
      <c r="X175" s="799"/>
      <c r="Y175" s="799"/>
      <c r="Z175" s="799"/>
      <c r="AA175" s="799"/>
      <c r="AB175" s="799"/>
      <c r="AC175" s="799"/>
      <c r="AD175" s="799"/>
      <c r="AE175" s="799"/>
      <c r="AF175" s="799"/>
      <c r="AG175" s="799"/>
      <c r="AH175" s="799"/>
      <c r="AI175" s="799"/>
      <c r="AJ175" s="799"/>
      <c r="AK175" s="799"/>
      <c r="AL175" s="799"/>
      <c r="AM175" s="799"/>
      <c r="AN175" s="799"/>
      <c r="AO175" s="799"/>
      <c r="AP175" s="799"/>
      <c r="AQ175" s="799"/>
      <c r="AR175" s="799"/>
      <c r="AS175" s="799"/>
      <c r="AT175" s="799"/>
      <c r="AU175" s="799"/>
      <c r="AV175" s="799"/>
      <c r="AW175" s="799"/>
      <c r="AX175" s="799"/>
      <c r="AY175" s="799"/>
      <c r="AZ175" s="799"/>
      <c r="BA175" s="799"/>
      <c r="BB175" s="799"/>
      <c r="BC175" s="799"/>
      <c r="BD175" s="799"/>
      <c r="BE175" s="799"/>
      <c r="BF175" s="799"/>
      <c r="BG175" s="799"/>
    </row>
    <row r="176">
      <c r="H176" s="799"/>
      <c r="I176" s="799"/>
      <c r="J176" s="799"/>
      <c r="K176" s="799"/>
      <c r="L176" s="799"/>
      <c r="M176" s="799"/>
      <c r="N176" s="799"/>
      <c r="O176" s="799"/>
      <c r="P176" s="799"/>
      <c r="Q176" s="799"/>
      <c r="R176" s="799"/>
      <c r="S176" s="799"/>
      <c r="T176" s="799"/>
      <c r="U176" s="799"/>
      <c r="V176" s="799"/>
      <c r="W176" s="799"/>
      <c r="X176" s="799"/>
      <c r="Y176" s="799"/>
      <c r="Z176" s="799"/>
      <c r="AA176" s="799"/>
      <c r="AB176" s="799"/>
      <c r="AC176" s="799"/>
      <c r="AD176" s="799"/>
      <c r="AE176" s="799"/>
      <c r="AF176" s="799"/>
      <c r="AG176" s="799"/>
      <c r="AH176" s="799"/>
      <c r="AI176" s="799"/>
      <c r="AJ176" s="799"/>
      <c r="AK176" s="799"/>
      <c r="AL176" s="799"/>
      <c r="AM176" s="799"/>
      <c r="AN176" s="799"/>
      <c r="AO176" s="799"/>
      <c r="AP176" s="799"/>
      <c r="AQ176" s="799"/>
      <c r="AR176" s="799"/>
      <c r="AS176" s="799"/>
      <c r="AT176" s="799"/>
      <c r="AU176" s="799"/>
      <c r="AV176" s="799"/>
      <c r="AW176" s="799"/>
      <c r="AX176" s="799"/>
      <c r="AY176" s="799"/>
      <c r="AZ176" s="799"/>
      <c r="BA176" s="799"/>
      <c r="BB176" s="799"/>
      <c r="BC176" s="799"/>
      <c r="BD176" s="799"/>
      <c r="BE176" s="799"/>
      <c r="BF176" s="799"/>
      <c r="BG176" s="799"/>
    </row>
    <row r="177">
      <c r="H177" s="799"/>
      <c r="I177" s="799"/>
      <c r="J177" s="799"/>
      <c r="K177" s="799"/>
      <c r="L177" s="799"/>
      <c r="M177" s="799"/>
      <c r="N177" s="799"/>
      <c r="O177" s="799"/>
      <c r="P177" s="799"/>
      <c r="Q177" s="799"/>
      <c r="R177" s="799"/>
      <c r="S177" s="799"/>
      <c r="T177" s="799"/>
      <c r="U177" s="799"/>
      <c r="V177" s="799"/>
      <c r="W177" s="799"/>
      <c r="X177" s="799"/>
      <c r="Y177" s="799"/>
      <c r="Z177" s="799"/>
      <c r="AA177" s="799"/>
      <c r="AB177" s="799"/>
      <c r="AC177" s="799"/>
      <c r="AD177" s="799"/>
      <c r="AE177" s="799"/>
      <c r="AF177" s="799"/>
      <c r="AG177" s="799"/>
      <c r="AH177" s="799"/>
      <c r="AI177" s="799"/>
      <c r="AJ177" s="799"/>
      <c r="AK177" s="799"/>
      <c r="AL177" s="799"/>
      <c r="AM177" s="799"/>
      <c r="AN177" s="799"/>
      <c r="AO177" s="799"/>
      <c r="AP177" s="799"/>
      <c r="AQ177" s="799"/>
      <c r="AR177" s="799"/>
      <c r="AS177" s="799"/>
      <c r="AT177" s="799"/>
      <c r="AU177" s="799"/>
      <c r="AV177" s="799"/>
      <c r="AW177" s="799"/>
      <c r="AX177" s="799"/>
      <c r="AY177" s="799"/>
      <c r="AZ177" s="799"/>
      <c r="BA177" s="799"/>
      <c r="BB177" s="799"/>
      <c r="BC177" s="799"/>
      <c r="BD177" s="799"/>
      <c r="BE177" s="799"/>
      <c r="BF177" s="799"/>
      <c r="BG177" s="799"/>
    </row>
    <row r="178">
      <c r="H178" s="799"/>
      <c r="I178" s="799"/>
      <c r="J178" s="799"/>
      <c r="K178" s="799"/>
      <c r="L178" s="799"/>
      <c r="M178" s="799"/>
      <c r="N178" s="799"/>
      <c r="O178" s="799"/>
      <c r="P178" s="799"/>
      <c r="Q178" s="799"/>
      <c r="R178" s="799"/>
      <c r="S178" s="799"/>
      <c r="T178" s="799"/>
      <c r="U178" s="799"/>
      <c r="V178" s="799"/>
      <c r="W178" s="799"/>
      <c r="X178" s="799"/>
      <c r="Y178" s="799"/>
      <c r="Z178" s="799"/>
      <c r="AA178" s="799"/>
      <c r="AB178" s="799"/>
      <c r="AC178" s="799"/>
      <c r="AD178" s="799"/>
      <c r="AE178" s="799"/>
      <c r="AF178" s="799"/>
      <c r="AG178" s="799"/>
      <c r="AH178" s="799"/>
      <c r="AI178" s="799"/>
      <c r="AJ178" s="799"/>
      <c r="AK178" s="799"/>
      <c r="AL178" s="799"/>
      <c r="AM178" s="799"/>
      <c r="AN178" s="799"/>
      <c r="AO178" s="799"/>
      <c r="AP178" s="799"/>
      <c r="AQ178" s="799"/>
      <c r="AR178" s="799"/>
      <c r="AS178" s="799"/>
      <c r="AT178" s="799"/>
      <c r="AU178" s="799"/>
      <c r="AV178" s="799"/>
      <c r="AW178" s="799"/>
      <c r="AX178" s="799"/>
      <c r="AY178" s="799"/>
      <c r="AZ178" s="799"/>
      <c r="BA178" s="799"/>
      <c r="BB178" s="799"/>
      <c r="BC178" s="799"/>
      <c r="BD178" s="799"/>
      <c r="BE178" s="799"/>
      <c r="BF178" s="799"/>
      <c r="BG178" s="799"/>
    </row>
    <row r="179">
      <c r="H179" s="799"/>
      <c r="I179" s="799"/>
      <c r="J179" s="799"/>
      <c r="K179" s="799"/>
      <c r="L179" s="799"/>
      <c r="M179" s="799"/>
      <c r="N179" s="799"/>
      <c r="O179" s="799"/>
      <c r="P179" s="799"/>
      <c r="Q179" s="799"/>
      <c r="R179" s="799"/>
      <c r="S179" s="799"/>
      <c r="T179" s="799"/>
      <c r="U179" s="799"/>
      <c r="V179" s="799"/>
      <c r="W179" s="799"/>
      <c r="X179" s="799"/>
      <c r="Y179" s="799"/>
      <c r="Z179" s="799"/>
      <c r="AA179" s="799"/>
      <c r="AB179" s="799"/>
      <c r="AC179" s="799"/>
      <c r="AD179" s="799"/>
      <c r="AE179" s="799"/>
      <c r="AF179" s="799"/>
      <c r="AG179" s="799"/>
      <c r="AH179" s="799"/>
      <c r="AI179" s="799"/>
      <c r="AJ179" s="799"/>
      <c r="AK179" s="799"/>
      <c r="AL179" s="799"/>
      <c r="AM179" s="799"/>
      <c r="AN179" s="799"/>
      <c r="AO179" s="799"/>
      <c r="AP179" s="799"/>
      <c r="AQ179" s="799"/>
      <c r="AR179" s="799"/>
      <c r="AS179" s="799"/>
      <c r="AT179" s="799"/>
      <c r="AU179" s="799"/>
      <c r="AV179" s="799"/>
      <c r="AW179" s="799"/>
      <c r="AX179" s="799"/>
      <c r="AY179" s="799"/>
      <c r="AZ179" s="799"/>
      <c r="BA179" s="799"/>
      <c r="BB179" s="799"/>
      <c r="BC179" s="799"/>
      <c r="BD179" s="799"/>
      <c r="BE179" s="799"/>
      <c r="BF179" s="799"/>
      <c r="BG179" s="799"/>
    </row>
    <row r="180">
      <c r="H180" s="799"/>
      <c r="I180" s="799"/>
      <c r="J180" s="799"/>
      <c r="K180" s="799"/>
      <c r="L180" s="799"/>
      <c r="M180" s="799"/>
      <c r="N180" s="799"/>
      <c r="O180" s="799"/>
      <c r="P180" s="799"/>
      <c r="Q180" s="799"/>
      <c r="R180" s="799"/>
      <c r="S180" s="799"/>
      <c r="T180" s="799"/>
      <c r="U180" s="799"/>
      <c r="V180" s="799"/>
      <c r="W180" s="799"/>
      <c r="X180" s="799"/>
      <c r="Y180" s="799"/>
      <c r="Z180" s="799"/>
      <c r="AA180" s="799"/>
      <c r="AB180" s="799"/>
      <c r="AC180" s="799"/>
      <c r="AD180" s="799"/>
      <c r="AE180" s="799"/>
      <c r="AF180" s="799"/>
      <c r="AG180" s="799"/>
      <c r="AH180" s="799"/>
      <c r="AI180" s="799"/>
      <c r="AJ180" s="799"/>
      <c r="AK180" s="799"/>
      <c r="AL180" s="799"/>
      <c r="AM180" s="799"/>
      <c r="AN180" s="799"/>
      <c r="AO180" s="799"/>
      <c r="AP180" s="799"/>
      <c r="AQ180" s="799"/>
      <c r="AR180" s="799"/>
      <c r="AS180" s="799"/>
      <c r="AT180" s="799"/>
      <c r="AU180" s="799"/>
      <c r="AV180" s="799"/>
      <c r="AW180" s="799"/>
      <c r="AX180" s="799"/>
      <c r="AY180" s="799"/>
      <c r="AZ180" s="799"/>
      <c r="BA180" s="799"/>
      <c r="BB180" s="799"/>
      <c r="BC180" s="799"/>
      <c r="BD180" s="799"/>
      <c r="BE180" s="799"/>
      <c r="BF180" s="799"/>
      <c r="BG180" s="799"/>
    </row>
    <row r="181">
      <c r="H181" s="799"/>
      <c r="I181" s="799"/>
      <c r="J181" s="799"/>
      <c r="K181" s="799"/>
      <c r="L181" s="799"/>
      <c r="M181" s="799"/>
      <c r="N181" s="799"/>
      <c r="O181" s="799"/>
      <c r="P181" s="799"/>
      <c r="Q181" s="799"/>
      <c r="R181" s="799"/>
      <c r="S181" s="799"/>
      <c r="T181" s="799"/>
      <c r="U181" s="799"/>
      <c r="V181" s="799"/>
      <c r="W181" s="799"/>
      <c r="X181" s="799"/>
      <c r="Y181" s="799"/>
      <c r="Z181" s="799"/>
      <c r="AA181" s="799"/>
      <c r="AB181" s="799"/>
      <c r="AC181" s="799"/>
      <c r="AD181" s="799"/>
      <c r="AE181" s="799"/>
      <c r="AF181" s="799"/>
      <c r="AG181" s="799"/>
      <c r="AH181" s="799"/>
      <c r="AI181" s="799"/>
      <c r="AJ181" s="799"/>
      <c r="AK181" s="799"/>
      <c r="AL181" s="799"/>
      <c r="AM181" s="799"/>
      <c r="AN181" s="799"/>
      <c r="AO181" s="799"/>
      <c r="AP181" s="799"/>
      <c r="AQ181" s="799"/>
      <c r="AR181" s="799"/>
      <c r="AS181" s="799"/>
      <c r="AT181" s="799"/>
      <c r="AU181" s="799"/>
      <c r="AV181" s="799"/>
      <c r="AW181" s="799"/>
      <c r="AX181" s="799"/>
      <c r="AY181" s="799"/>
      <c r="AZ181" s="799"/>
      <c r="BA181" s="799"/>
      <c r="BB181" s="799"/>
      <c r="BC181" s="799"/>
      <c r="BD181" s="799"/>
      <c r="BE181" s="799"/>
      <c r="BF181" s="799"/>
      <c r="BG181" s="799"/>
    </row>
    <row r="182">
      <c r="H182" s="799"/>
      <c r="I182" s="799"/>
      <c r="J182" s="799"/>
      <c r="K182" s="799"/>
      <c r="L182" s="799"/>
      <c r="M182" s="799"/>
      <c r="N182" s="799"/>
      <c r="O182" s="799"/>
      <c r="P182" s="799"/>
      <c r="Q182" s="799"/>
      <c r="R182" s="799"/>
      <c r="S182" s="799"/>
      <c r="T182" s="799"/>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99"/>
      <c r="AU182" s="799"/>
      <c r="AV182" s="799"/>
      <c r="AW182" s="799"/>
      <c r="AX182" s="799"/>
      <c r="AY182" s="799"/>
      <c r="AZ182" s="799"/>
      <c r="BA182" s="799"/>
      <c r="BB182" s="799"/>
      <c r="BC182" s="799"/>
      <c r="BD182" s="799"/>
      <c r="BE182" s="799"/>
      <c r="BF182" s="799"/>
      <c r="BG182" s="799"/>
    </row>
    <row r="183">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99"/>
      <c r="AU183" s="799"/>
      <c r="AV183" s="799"/>
      <c r="AW183" s="799"/>
      <c r="AX183" s="799"/>
      <c r="AY183" s="799"/>
      <c r="AZ183" s="799"/>
      <c r="BA183" s="799"/>
      <c r="BB183" s="799"/>
      <c r="BC183" s="799"/>
      <c r="BD183" s="799"/>
      <c r="BE183" s="799"/>
      <c r="BF183" s="799"/>
      <c r="BG183" s="799"/>
    </row>
    <row r="184">
      <c r="H184" s="799"/>
      <c r="I184" s="799"/>
      <c r="J184" s="799"/>
      <c r="K184" s="799"/>
      <c r="L184" s="799"/>
      <c r="M184" s="799"/>
      <c r="N184" s="799"/>
      <c r="O184" s="799"/>
      <c r="P184" s="799"/>
      <c r="Q184" s="799"/>
      <c r="R184" s="799"/>
      <c r="S184" s="799"/>
      <c r="T184" s="799"/>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99"/>
      <c r="AU184" s="799"/>
      <c r="AV184" s="799"/>
      <c r="AW184" s="799"/>
      <c r="AX184" s="799"/>
      <c r="AY184" s="799"/>
      <c r="AZ184" s="799"/>
      <c r="BA184" s="799"/>
      <c r="BB184" s="799"/>
      <c r="BC184" s="799"/>
      <c r="BD184" s="799"/>
      <c r="BE184" s="799"/>
      <c r="BF184" s="799"/>
      <c r="BG184" s="799"/>
    </row>
    <row r="185">
      <c r="H185" s="799"/>
      <c r="I185" s="799"/>
      <c r="J185" s="799"/>
      <c r="K185" s="799"/>
      <c r="L185" s="799"/>
      <c r="M185" s="799"/>
      <c r="N185" s="799"/>
      <c r="O185" s="799"/>
      <c r="P185" s="799"/>
      <c r="Q185" s="799"/>
      <c r="R185" s="799"/>
      <c r="S185" s="799"/>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99"/>
      <c r="AU185" s="799"/>
      <c r="AV185" s="799"/>
      <c r="AW185" s="799"/>
      <c r="AX185" s="799"/>
      <c r="AY185" s="799"/>
      <c r="AZ185" s="799"/>
      <c r="BA185" s="799"/>
      <c r="BB185" s="799"/>
      <c r="BC185" s="799"/>
      <c r="BD185" s="799"/>
      <c r="BE185" s="799"/>
      <c r="BF185" s="799"/>
      <c r="BG185" s="799"/>
    </row>
    <row r="186">
      <c r="H186" s="799"/>
      <c r="I186" s="799"/>
      <c r="J186" s="799"/>
      <c r="K186" s="799"/>
      <c r="L186" s="799"/>
      <c r="M186" s="799"/>
      <c r="N186" s="799"/>
      <c r="O186" s="799"/>
      <c r="P186" s="799"/>
      <c r="Q186" s="799"/>
      <c r="R186" s="799"/>
      <c r="S186" s="799"/>
      <c r="T186" s="799"/>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99"/>
      <c r="AU186" s="799"/>
      <c r="AV186" s="799"/>
      <c r="AW186" s="799"/>
      <c r="AX186" s="799"/>
      <c r="AY186" s="799"/>
      <c r="AZ186" s="799"/>
      <c r="BA186" s="799"/>
      <c r="BB186" s="799"/>
      <c r="BC186" s="799"/>
      <c r="BD186" s="799"/>
      <c r="BE186" s="799"/>
      <c r="BF186" s="799"/>
      <c r="BG186" s="799"/>
    </row>
    <row r="187">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row>
    <row r="188">
      <c r="H188" s="799"/>
      <c r="I188" s="799"/>
      <c r="J188" s="799"/>
      <c r="K188" s="799"/>
      <c r="L188" s="799"/>
      <c r="M188" s="799"/>
      <c r="N188" s="799"/>
      <c r="O188" s="799"/>
      <c r="P188" s="799"/>
      <c r="Q188" s="799"/>
      <c r="R188" s="799"/>
      <c r="S188" s="799"/>
      <c r="T188" s="799"/>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99"/>
      <c r="AU188" s="799"/>
      <c r="AV188" s="799"/>
      <c r="AW188" s="799"/>
      <c r="AX188" s="799"/>
      <c r="AY188" s="799"/>
      <c r="AZ188" s="799"/>
      <c r="BA188" s="799"/>
      <c r="BB188" s="799"/>
      <c r="BC188" s="799"/>
      <c r="BD188" s="799"/>
      <c r="BE188" s="799"/>
      <c r="BF188" s="799"/>
      <c r="BG188" s="799"/>
    </row>
    <row r="18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99"/>
      <c r="AU189" s="799"/>
      <c r="AV189" s="799"/>
      <c r="AW189" s="799"/>
      <c r="AX189" s="799"/>
      <c r="AY189" s="799"/>
      <c r="AZ189" s="799"/>
      <c r="BA189" s="799"/>
      <c r="BB189" s="799"/>
      <c r="BC189" s="799"/>
      <c r="BD189" s="799"/>
      <c r="BE189" s="799"/>
      <c r="BF189" s="799"/>
      <c r="BG189" s="799"/>
    </row>
    <row r="190">
      <c r="H190" s="799"/>
      <c r="I190" s="799"/>
      <c r="J190" s="799"/>
      <c r="K190" s="799"/>
      <c r="L190" s="799"/>
      <c r="M190" s="799"/>
      <c r="N190" s="799"/>
      <c r="O190" s="799"/>
      <c r="P190" s="799"/>
      <c r="Q190" s="799"/>
      <c r="R190" s="799"/>
      <c r="S190" s="799"/>
      <c r="T190" s="799"/>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99"/>
      <c r="AU190" s="799"/>
      <c r="AV190" s="799"/>
      <c r="AW190" s="799"/>
      <c r="AX190" s="799"/>
      <c r="AY190" s="799"/>
      <c r="AZ190" s="799"/>
      <c r="BA190" s="799"/>
      <c r="BB190" s="799"/>
      <c r="BC190" s="799"/>
      <c r="BD190" s="799"/>
      <c r="BE190" s="799"/>
      <c r="BF190" s="799"/>
      <c r="BG190" s="799"/>
    </row>
    <row r="191">
      <c r="H191" s="799"/>
      <c r="I191" s="799"/>
      <c r="J191" s="799"/>
      <c r="K191" s="799"/>
      <c r="L191" s="799"/>
      <c r="M191" s="799"/>
      <c r="N191" s="799"/>
      <c r="O191" s="799"/>
      <c r="P191" s="799"/>
      <c r="Q191" s="799"/>
      <c r="R191" s="799"/>
      <c r="S191" s="799"/>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99"/>
      <c r="AU191" s="799"/>
      <c r="AV191" s="799"/>
      <c r="AW191" s="799"/>
      <c r="AX191" s="799"/>
      <c r="AY191" s="799"/>
      <c r="AZ191" s="799"/>
      <c r="BA191" s="799"/>
      <c r="BB191" s="799"/>
      <c r="BC191" s="799"/>
      <c r="BD191" s="799"/>
      <c r="BE191" s="799"/>
      <c r="BF191" s="799"/>
      <c r="BG191" s="799"/>
    </row>
    <row r="192">
      <c r="H192" s="799"/>
      <c r="I192" s="799"/>
      <c r="J192" s="799"/>
      <c r="K192" s="799"/>
      <c r="L192" s="799"/>
      <c r="M192" s="799"/>
      <c r="N192" s="799"/>
      <c r="O192" s="799"/>
      <c r="P192" s="799"/>
      <c r="Q192" s="799"/>
      <c r="R192" s="799"/>
      <c r="S192" s="799"/>
      <c r="T192" s="799"/>
      <c r="U192" s="799"/>
      <c r="V192" s="799"/>
      <c r="W192" s="799"/>
      <c r="X192" s="799"/>
      <c r="Y192" s="799"/>
      <c r="Z192" s="799"/>
      <c r="AA192" s="799"/>
      <c r="AB192" s="799"/>
      <c r="AC192" s="799"/>
      <c r="AD192" s="799"/>
      <c r="AE192" s="799"/>
      <c r="AF192" s="799"/>
      <c r="AG192" s="799"/>
      <c r="AH192" s="799"/>
      <c r="AI192" s="799"/>
      <c r="AJ192" s="799"/>
      <c r="AK192" s="799"/>
      <c r="AL192" s="799"/>
      <c r="AM192" s="799"/>
      <c r="AN192" s="799"/>
      <c r="AO192" s="799"/>
      <c r="AP192" s="799"/>
      <c r="AQ192" s="799"/>
      <c r="AR192" s="799"/>
      <c r="AS192" s="799"/>
      <c r="AT192" s="799"/>
      <c r="AU192" s="799"/>
      <c r="AV192" s="799"/>
      <c r="AW192" s="799"/>
      <c r="AX192" s="799"/>
      <c r="AY192" s="799"/>
      <c r="AZ192" s="799"/>
      <c r="BA192" s="799"/>
      <c r="BB192" s="799"/>
      <c r="BC192" s="799"/>
      <c r="BD192" s="799"/>
      <c r="BE192" s="799"/>
      <c r="BF192" s="799"/>
      <c r="BG192" s="799"/>
    </row>
    <row r="193">
      <c r="H193" s="799"/>
      <c r="I193" s="799"/>
      <c r="J193" s="799"/>
      <c r="K193" s="799"/>
      <c r="L193" s="799"/>
      <c r="M193" s="799"/>
      <c r="N193" s="799"/>
      <c r="O193" s="799"/>
      <c r="P193" s="799"/>
      <c r="Q193" s="799"/>
      <c r="R193" s="799"/>
      <c r="S193" s="799"/>
      <c r="T193" s="799"/>
      <c r="U193" s="799"/>
      <c r="V193" s="799"/>
      <c r="W193" s="799"/>
      <c r="X193" s="799"/>
      <c r="Y193" s="799"/>
      <c r="Z193" s="799"/>
      <c r="AA193" s="799"/>
      <c r="AB193" s="799"/>
      <c r="AC193" s="799"/>
      <c r="AD193" s="799"/>
      <c r="AE193" s="799"/>
      <c r="AF193" s="799"/>
      <c r="AG193" s="799"/>
      <c r="AH193" s="799"/>
      <c r="AI193" s="799"/>
      <c r="AJ193" s="799"/>
      <c r="AK193" s="799"/>
      <c r="AL193" s="799"/>
      <c r="AM193" s="799"/>
      <c r="AN193" s="799"/>
      <c r="AO193" s="799"/>
      <c r="AP193" s="799"/>
      <c r="AQ193" s="799"/>
      <c r="AR193" s="799"/>
      <c r="AS193" s="799"/>
      <c r="AT193" s="799"/>
      <c r="AU193" s="799"/>
      <c r="AV193" s="799"/>
      <c r="AW193" s="799"/>
      <c r="AX193" s="799"/>
      <c r="AY193" s="799"/>
      <c r="AZ193" s="799"/>
      <c r="BA193" s="799"/>
      <c r="BB193" s="799"/>
      <c r="BC193" s="799"/>
      <c r="BD193" s="799"/>
      <c r="BE193" s="799"/>
      <c r="BF193" s="799"/>
      <c r="BG193" s="799"/>
    </row>
    <row r="194">
      <c r="H194" s="799"/>
      <c r="I194" s="799"/>
      <c r="J194" s="799"/>
      <c r="K194" s="799"/>
      <c r="L194" s="799"/>
      <c r="M194" s="799"/>
      <c r="N194" s="799"/>
      <c r="O194" s="799"/>
      <c r="P194" s="799"/>
      <c r="Q194" s="799"/>
      <c r="R194" s="799"/>
      <c r="S194" s="799"/>
      <c r="T194" s="799"/>
      <c r="U194" s="799"/>
      <c r="V194" s="799"/>
      <c r="W194" s="799"/>
      <c r="X194" s="799"/>
      <c r="Y194" s="799"/>
      <c r="Z194" s="799"/>
      <c r="AA194" s="799"/>
      <c r="AB194" s="799"/>
      <c r="AC194" s="799"/>
      <c r="AD194" s="799"/>
      <c r="AE194" s="799"/>
      <c r="AF194" s="799"/>
      <c r="AG194" s="799"/>
      <c r="AH194" s="799"/>
      <c r="AI194" s="799"/>
      <c r="AJ194" s="799"/>
      <c r="AK194" s="799"/>
      <c r="AL194" s="799"/>
      <c r="AM194" s="799"/>
      <c r="AN194" s="799"/>
      <c r="AO194" s="799"/>
      <c r="AP194" s="799"/>
      <c r="AQ194" s="799"/>
      <c r="AR194" s="799"/>
      <c r="AS194" s="799"/>
      <c r="AT194" s="799"/>
      <c r="AU194" s="799"/>
      <c r="AV194" s="799"/>
      <c r="AW194" s="799"/>
      <c r="AX194" s="799"/>
      <c r="AY194" s="799"/>
      <c r="AZ194" s="799"/>
      <c r="BA194" s="799"/>
      <c r="BB194" s="799"/>
      <c r="BC194" s="799"/>
      <c r="BD194" s="799"/>
      <c r="BE194" s="799"/>
      <c r="BF194" s="799"/>
      <c r="BG194" s="799"/>
    </row>
    <row r="195">
      <c r="H195" s="799"/>
      <c r="I195" s="799"/>
      <c r="J195" s="799"/>
      <c r="K195" s="799"/>
      <c r="L195" s="799"/>
      <c r="M195" s="799"/>
      <c r="N195" s="799"/>
      <c r="O195" s="799"/>
      <c r="P195" s="799"/>
      <c r="Q195" s="799"/>
      <c r="R195" s="799"/>
      <c r="S195" s="799"/>
      <c r="T195" s="799"/>
      <c r="U195" s="799"/>
      <c r="V195" s="799"/>
      <c r="W195" s="799"/>
      <c r="X195" s="799"/>
      <c r="Y195" s="799"/>
      <c r="Z195" s="799"/>
      <c r="AA195" s="799"/>
      <c r="AB195" s="799"/>
      <c r="AC195" s="799"/>
      <c r="AD195" s="799"/>
      <c r="AE195" s="799"/>
      <c r="AF195" s="799"/>
      <c r="AG195" s="799"/>
      <c r="AH195" s="799"/>
      <c r="AI195" s="799"/>
      <c r="AJ195" s="799"/>
      <c r="AK195" s="799"/>
      <c r="AL195" s="799"/>
      <c r="AM195" s="799"/>
      <c r="AN195" s="799"/>
      <c r="AO195" s="799"/>
      <c r="AP195" s="799"/>
      <c r="AQ195" s="799"/>
      <c r="AR195" s="799"/>
      <c r="AS195" s="799"/>
      <c r="AT195" s="799"/>
      <c r="AU195" s="799"/>
      <c r="AV195" s="799"/>
      <c r="AW195" s="799"/>
      <c r="AX195" s="799"/>
      <c r="AY195" s="799"/>
      <c r="AZ195" s="799"/>
      <c r="BA195" s="799"/>
      <c r="BB195" s="799"/>
      <c r="BC195" s="799"/>
      <c r="BD195" s="799"/>
      <c r="BE195" s="799"/>
      <c r="BF195" s="799"/>
      <c r="BG195" s="799"/>
    </row>
    <row r="196">
      <c r="H196" s="799"/>
      <c r="I196" s="799"/>
      <c r="J196" s="799"/>
      <c r="K196" s="799"/>
      <c r="L196" s="799"/>
      <c r="M196" s="799"/>
      <c r="N196" s="799"/>
      <c r="O196" s="799"/>
      <c r="P196" s="799"/>
      <c r="Q196" s="799"/>
      <c r="R196" s="799"/>
      <c r="S196" s="799"/>
      <c r="T196" s="799"/>
      <c r="U196" s="799"/>
      <c r="V196" s="799"/>
      <c r="W196" s="799"/>
      <c r="X196" s="799"/>
      <c r="Y196" s="799"/>
      <c r="Z196" s="799"/>
      <c r="AA196" s="799"/>
      <c r="AB196" s="799"/>
      <c r="AC196" s="799"/>
      <c r="AD196" s="799"/>
      <c r="AE196" s="799"/>
      <c r="AF196" s="799"/>
      <c r="AG196" s="799"/>
      <c r="AH196" s="799"/>
      <c r="AI196" s="799"/>
      <c r="AJ196" s="799"/>
      <c r="AK196" s="799"/>
      <c r="AL196" s="799"/>
      <c r="AM196" s="799"/>
      <c r="AN196" s="799"/>
      <c r="AO196" s="799"/>
      <c r="AP196" s="799"/>
      <c r="AQ196" s="799"/>
      <c r="AR196" s="799"/>
      <c r="AS196" s="799"/>
      <c r="AT196" s="799"/>
      <c r="AU196" s="799"/>
      <c r="AV196" s="799"/>
      <c r="AW196" s="799"/>
      <c r="AX196" s="799"/>
      <c r="AY196" s="799"/>
      <c r="AZ196" s="799"/>
      <c r="BA196" s="799"/>
      <c r="BB196" s="799"/>
      <c r="BC196" s="799"/>
      <c r="BD196" s="799"/>
      <c r="BE196" s="799"/>
      <c r="BF196" s="799"/>
      <c r="BG196" s="799"/>
    </row>
    <row r="197">
      <c r="H197" s="799"/>
      <c r="I197" s="799"/>
      <c r="J197" s="799"/>
      <c r="K197" s="799"/>
      <c r="L197" s="799"/>
      <c r="M197" s="799"/>
      <c r="N197" s="799"/>
      <c r="O197" s="799"/>
      <c r="P197" s="799"/>
      <c r="Q197" s="799"/>
      <c r="R197" s="799"/>
      <c r="S197" s="799"/>
      <c r="T197" s="799"/>
      <c r="U197" s="799"/>
      <c r="V197" s="799"/>
      <c r="W197" s="799"/>
      <c r="X197" s="799"/>
      <c r="Y197" s="799"/>
      <c r="Z197" s="799"/>
      <c r="AA197" s="799"/>
      <c r="AB197" s="799"/>
      <c r="AC197" s="799"/>
      <c r="AD197" s="799"/>
      <c r="AE197" s="799"/>
      <c r="AF197" s="799"/>
      <c r="AG197" s="799"/>
      <c r="AH197" s="799"/>
      <c r="AI197" s="799"/>
      <c r="AJ197" s="799"/>
      <c r="AK197" s="799"/>
      <c r="AL197" s="799"/>
      <c r="AM197" s="799"/>
      <c r="AN197" s="799"/>
      <c r="AO197" s="799"/>
      <c r="AP197" s="799"/>
      <c r="AQ197" s="799"/>
      <c r="AR197" s="799"/>
      <c r="AS197" s="799"/>
      <c r="AT197" s="799"/>
      <c r="AU197" s="799"/>
      <c r="AV197" s="799"/>
      <c r="AW197" s="799"/>
      <c r="AX197" s="799"/>
      <c r="AY197" s="799"/>
      <c r="AZ197" s="799"/>
      <c r="BA197" s="799"/>
      <c r="BB197" s="799"/>
      <c r="BC197" s="799"/>
      <c r="BD197" s="799"/>
      <c r="BE197" s="799"/>
      <c r="BF197" s="799"/>
      <c r="BG197" s="799"/>
    </row>
    <row r="198">
      <c r="H198" s="799"/>
      <c r="I198" s="799"/>
      <c r="J198" s="799"/>
      <c r="K198" s="799"/>
      <c r="L198" s="799"/>
      <c r="M198" s="799"/>
      <c r="N198" s="799"/>
      <c r="O198" s="799"/>
      <c r="P198" s="799"/>
      <c r="Q198" s="799"/>
      <c r="R198" s="799"/>
      <c r="S198" s="799"/>
      <c r="T198" s="799"/>
      <c r="U198" s="799"/>
      <c r="V198" s="799"/>
      <c r="W198" s="799"/>
      <c r="X198" s="799"/>
      <c r="Y198" s="799"/>
      <c r="Z198" s="799"/>
      <c r="AA198" s="799"/>
      <c r="AB198" s="799"/>
      <c r="AC198" s="799"/>
      <c r="AD198" s="799"/>
      <c r="AE198" s="799"/>
      <c r="AF198" s="799"/>
      <c r="AG198" s="799"/>
      <c r="AH198" s="799"/>
      <c r="AI198" s="799"/>
      <c r="AJ198" s="799"/>
      <c r="AK198" s="799"/>
      <c r="AL198" s="799"/>
      <c r="AM198" s="799"/>
      <c r="AN198" s="799"/>
      <c r="AO198" s="799"/>
      <c r="AP198" s="799"/>
      <c r="AQ198" s="799"/>
      <c r="AR198" s="799"/>
      <c r="AS198" s="799"/>
      <c r="AT198" s="799"/>
      <c r="AU198" s="799"/>
      <c r="AV198" s="799"/>
      <c r="AW198" s="799"/>
      <c r="AX198" s="799"/>
      <c r="AY198" s="799"/>
      <c r="AZ198" s="799"/>
      <c r="BA198" s="799"/>
      <c r="BB198" s="799"/>
      <c r="BC198" s="799"/>
      <c r="BD198" s="799"/>
      <c r="BE198" s="799"/>
      <c r="BF198" s="799"/>
      <c r="BG198" s="799"/>
    </row>
    <row r="199">
      <c r="H199" s="799"/>
      <c r="I199" s="799"/>
      <c r="J199" s="799"/>
      <c r="K199" s="799"/>
      <c r="L199" s="799"/>
      <c r="M199" s="799"/>
      <c r="N199" s="799"/>
      <c r="O199" s="799"/>
      <c r="P199" s="799"/>
      <c r="Q199" s="799"/>
      <c r="R199" s="799"/>
      <c r="S199" s="799"/>
      <c r="T199" s="799"/>
      <c r="U199" s="799"/>
      <c r="V199" s="799"/>
      <c r="W199" s="799"/>
      <c r="X199" s="799"/>
      <c r="Y199" s="799"/>
      <c r="Z199" s="799"/>
      <c r="AA199" s="799"/>
      <c r="AB199" s="799"/>
      <c r="AC199" s="799"/>
      <c r="AD199" s="799"/>
      <c r="AE199" s="799"/>
      <c r="AF199" s="799"/>
      <c r="AG199" s="799"/>
      <c r="AH199" s="799"/>
      <c r="AI199" s="799"/>
      <c r="AJ199" s="799"/>
      <c r="AK199" s="799"/>
      <c r="AL199" s="799"/>
      <c r="AM199" s="799"/>
      <c r="AN199" s="799"/>
      <c r="AO199" s="799"/>
      <c r="AP199" s="799"/>
      <c r="AQ199" s="799"/>
      <c r="AR199" s="799"/>
      <c r="AS199" s="799"/>
      <c r="AT199" s="799"/>
      <c r="AU199" s="799"/>
      <c r="AV199" s="799"/>
      <c r="AW199" s="799"/>
      <c r="AX199" s="799"/>
      <c r="AY199" s="799"/>
      <c r="AZ199" s="799"/>
      <c r="BA199" s="799"/>
      <c r="BB199" s="799"/>
      <c r="BC199" s="799"/>
      <c r="BD199" s="799"/>
      <c r="BE199" s="799"/>
      <c r="BF199" s="799"/>
      <c r="BG199" s="799"/>
    </row>
    <row r="200">
      <c r="H200" s="799"/>
      <c r="I200" s="799"/>
      <c r="J200" s="799"/>
      <c r="K200" s="799"/>
      <c r="L200" s="799"/>
      <c r="M200" s="799"/>
      <c r="N200" s="799"/>
      <c r="O200" s="799"/>
      <c r="P200" s="799"/>
      <c r="Q200" s="799"/>
      <c r="R200" s="799"/>
      <c r="S200" s="799"/>
      <c r="T200" s="799"/>
      <c r="U200" s="799"/>
      <c r="V200" s="799"/>
      <c r="W200" s="799"/>
      <c r="X200" s="799"/>
      <c r="Y200" s="799"/>
      <c r="Z200" s="799"/>
      <c r="AA200" s="799"/>
      <c r="AB200" s="799"/>
      <c r="AC200" s="799"/>
      <c r="AD200" s="799"/>
      <c r="AE200" s="799"/>
      <c r="AF200" s="799"/>
      <c r="AG200" s="799"/>
      <c r="AH200" s="799"/>
      <c r="AI200" s="799"/>
      <c r="AJ200" s="799"/>
      <c r="AK200" s="799"/>
      <c r="AL200" s="799"/>
      <c r="AM200" s="799"/>
      <c r="AN200" s="799"/>
      <c r="AO200" s="799"/>
      <c r="AP200" s="799"/>
      <c r="AQ200" s="799"/>
      <c r="AR200" s="799"/>
      <c r="AS200" s="799"/>
      <c r="AT200" s="799"/>
      <c r="AU200" s="799"/>
      <c r="AV200" s="799"/>
      <c r="AW200" s="799"/>
      <c r="AX200" s="799"/>
      <c r="AY200" s="799"/>
      <c r="AZ200" s="799"/>
      <c r="BA200" s="799"/>
      <c r="BB200" s="799"/>
      <c r="BC200" s="799"/>
      <c r="BD200" s="799"/>
      <c r="BE200" s="799"/>
      <c r="BF200" s="799"/>
      <c r="BG200" s="799"/>
    </row>
    <row r="201">
      <c r="H201" s="799"/>
      <c r="I201" s="799"/>
      <c r="J201" s="799"/>
      <c r="K201" s="799"/>
      <c r="L201" s="799"/>
      <c r="M201" s="799"/>
      <c r="N201" s="799"/>
      <c r="O201" s="799"/>
      <c r="P201" s="799"/>
      <c r="Q201" s="799"/>
      <c r="R201" s="799"/>
      <c r="S201" s="799"/>
      <c r="T201" s="799"/>
      <c r="U201" s="799"/>
      <c r="V201" s="799"/>
      <c r="W201" s="799"/>
      <c r="X201" s="799"/>
      <c r="Y201" s="799"/>
      <c r="Z201" s="799"/>
      <c r="AA201" s="799"/>
      <c r="AB201" s="799"/>
      <c r="AC201" s="799"/>
      <c r="AD201" s="799"/>
      <c r="AE201" s="799"/>
      <c r="AF201" s="799"/>
      <c r="AG201" s="799"/>
      <c r="AH201" s="799"/>
      <c r="AI201" s="799"/>
      <c r="AJ201" s="799"/>
      <c r="AK201" s="799"/>
      <c r="AL201" s="799"/>
      <c r="AM201" s="799"/>
      <c r="AN201" s="799"/>
      <c r="AO201" s="799"/>
      <c r="AP201" s="799"/>
      <c r="AQ201" s="799"/>
      <c r="AR201" s="799"/>
      <c r="AS201" s="799"/>
      <c r="AT201" s="799"/>
      <c r="AU201" s="799"/>
      <c r="AV201" s="799"/>
      <c r="AW201" s="799"/>
      <c r="AX201" s="799"/>
      <c r="AY201" s="799"/>
      <c r="AZ201" s="799"/>
      <c r="BA201" s="799"/>
      <c r="BB201" s="799"/>
      <c r="BC201" s="799"/>
      <c r="BD201" s="799"/>
      <c r="BE201" s="799"/>
      <c r="BF201" s="799"/>
      <c r="BG201" s="799"/>
    </row>
    <row r="202">
      <c r="H202" s="799"/>
      <c r="I202" s="799"/>
      <c r="J202" s="799"/>
      <c r="K202" s="799"/>
      <c r="L202" s="799"/>
      <c r="M202" s="799"/>
      <c r="N202" s="799"/>
      <c r="O202" s="799"/>
      <c r="P202" s="799"/>
      <c r="Q202" s="799"/>
      <c r="R202" s="799"/>
      <c r="S202" s="799"/>
      <c r="T202" s="799"/>
      <c r="U202" s="799"/>
      <c r="V202" s="799"/>
      <c r="W202" s="799"/>
      <c r="X202" s="799"/>
      <c r="Y202" s="799"/>
      <c r="Z202" s="799"/>
      <c r="AA202" s="799"/>
      <c r="AB202" s="799"/>
      <c r="AC202" s="799"/>
      <c r="AD202" s="799"/>
      <c r="AE202" s="799"/>
      <c r="AF202" s="799"/>
      <c r="AG202" s="799"/>
      <c r="AH202" s="799"/>
      <c r="AI202" s="799"/>
      <c r="AJ202" s="799"/>
      <c r="AK202" s="799"/>
      <c r="AL202" s="799"/>
      <c r="AM202" s="799"/>
      <c r="AN202" s="799"/>
      <c r="AO202" s="799"/>
      <c r="AP202" s="799"/>
      <c r="AQ202" s="799"/>
      <c r="AR202" s="799"/>
      <c r="AS202" s="799"/>
      <c r="AT202" s="799"/>
      <c r="AU202" s="799"/>
      <c r="AV202" s="799"/>
      <c r="AW202" s="799"/>
      <c r="AX202" s="799"/>
      <c r="AY202" s="799"/>
      <c r="AZ202" s="799"/>
      <c r="BA202" s="799"/>
      <c r="BB202" s="799"/>
      <c r="BC202" s="799"/>
      <c r="BD202" s="799"/>
      <c r="BE202" s="799"/>
      <c r="BF202" s="799"/>
      <c r="BG202" s="799"/>
    </row>
    <row r="203">
      <c r="H203" s="799"/>
      <c r="I203" s="799"/>
      <c r="J203" s="799"/>
      <c r="K203" s="799"/>
      <c r="L203" s="799"/>
      <c r="M203" s="799"/>
      <c r="N203" s="799"/>
      <c r="O203" s="799"/>
      <c r="P203" s="799"/>
      <c r="Q203" s="799"/>
      <c r="R203" s="799"/>
      <c r="S203" s="799"/>
      <c r="T203" s="799"/>
      <c r="U203" s="799"/>
      <c r="V203" s="799"/>
      <c r="W203" s="799"/>
      <c r="X203" s="799"/>
      <c r="Y203" s="799"/>
      <c r="Z203" s="799"/>
      <c r="AA203" s="799"/>
      <c r="AB203" s="799"/>
      <c r="AC203" s="799"/>
      <c r="AD203" s="799"/>
      <c r="AE203" s="799"/>
      <c r="AF203" s="799"/>
      <c r="AG203" s="799"/>
      <c r="AH203" s="799"/>
      <c r="AI203" s="799"/>
      <c r="AJ203" s="799"/>
      <c r="AK203" s="799"/>
      <c r="AL203" s="799"/>
      <c r="AM203" s="799"/>
      <c r="AN203" s="799"/>
      <c r="AO203" s="799"/>
      <c r="AP203" s="799"/>
      <c r="AQ203" s="799"/>
      <c r="AR203" s="799"/>
      <c r="AS203" s="799"/>
      <c r="AT203" s="799"/>
      <c r="AU203" s="799"/>
      <c r="AV203" s="799"/>
      <c r="AW203" s="799"/>
      <c r="AX203" s="799"/>
      <c r="AY203" s="799"/>
      <c r="AZ203" s="799"/>
      <c r="BA203" s="799"/>
      <c r="BB203" s="799"/>
      <c r="BC203" s="799"/>
      <c r="BD203" s="799"/>
      <c r="BE203" s="799"/>
      <c r="BF203" s="799"/>
      <c r="BG203" s="799"/>
    </row>
    <row r="204">
      <c r="H204" s="799"/>
      <c r="I204" s="799"/>
      <c r="J204" s="799"/>
      <c r="K204" s="799"/>
      <c r="L204" s="799"/>
      <c r="M204" s="799"/>
      <c r="N204" s="799"/>
      <c r="O204" s="799"/>
      <c r="P204" s="799"/>
      <c r="Q204" s="799"/>
      <c r="R204" s="799"/>
      <c r="S204" s="799"/>
      <c r="T204" s="799"/>
      <c r="U204" s="799"/>
      <c r="V204" s="799"/>
      <c r="W204" s="799"/>
      <c r="X204" s="799"/>
      <c r="Y204" s="799"/>
      <c r="Z204" s="799"/>
      <c r="AA204" s="799"/>
      <c r="AB204" s="799"/>
      <c r="AC204" s="799"/>
      <c r="AD204" s="799"/>
      <c r="AE204" s="799"/>
      <c r="AF204" s="799"/>
      <c r="AG204" s="799"/>
      <c r="AH204" s="799"/>
      <c r="AI204" s="799"/>
      <c r="AJ204" s="799"/>
      <c r="AK204" s="799"/>
      <c r="AL204" s="799"/>
      <c r="AM204" s="799"/>
      <c r="AN204" s="799"/>
      <c r="AO204" s="799"/>
      <c r="AP204" s="799"/>
      <c r="AQ204" s="799"/>
      <c r="AR204" s="799"/>
      <c r="AS204" s="799"/>
      <c r="AT204" s="799"/>
      <c r="AU204" s="799"/>
      <c r="AV204" s="799"/>
      <c r="AW204" s="799"/>
      <c r="AX204" s="799"/>
      <c r="AY204" s="799"/>
      <c r="AZ204" s="799"/>
      <c r="BA204" s="799"/>
      <c r="BB204" s="799"/>
      <c r="BC204" s="799"/>
      <c r="BD204" s="799"/>
      <c r="BE204" s="799"/>
      <c r="BF204" s="799"/>
      <c r="BG204" s="799"/>
    </row>
    <row r="205">
      <c r="H205" s="799"/>
      <c r="I205" s="799"/>
      <c r="J205" s="799"/>
      <c r="K205" s="799"/>
      <c r="L205" s="799"/>
      <c r="M205" s="799"/>
      <c r="N205" s="799"/>
      <c r="O205" s="799"/>
      <c r="P205" s="799"/>
      <c r="Q205" s="799"/>
      <c r="R205" s="799"/>
      <c r="S205" s="799"/>
      <c r="T205" s="799"/>
      <c r="U205" s="799"/>
      <c r="V205" s="799"/>
      <c r="W205" s="799"/>
      <c r="X205" s="799"/>
      <c r="Y205" s="799"/>
      <c r="Z205" s="799"/>
      <c r="AA205" s="799"/>
      <c r="AB205" s="799"/>
      <c r="AC205" s="799"/>
      <c r="AD205" s="799"/>
      <c r="AE205" s="799"/>
      <c r="AF205" s="799"/>
      <c r="AG205" s="799"/>
      <c r="AH205" s="799"/>
      <c r="AI205" s="799"/>
      <c r="AJ205" s="799"/>
      <c r="AK205" s="799"/>
      <c r="AL205" s="799"/>
      <c r="AM205" s="799"/>
      <c r="AN205" s="799"/>
      <c r="AO205" s="799"/>
      <c r="AP205" s="799"/>
      <c r="AQ205" s="799"/>
      <c r="AR205" s="799"/>
      <c r="AS205" s="799"/>
      <c r="AT205" s="799"/>
      <c r="AU205" s="799"/>
      <c r="AV205" s="799"/>
      <c r="AW205" s="799"/>
      <c r="AX205" s="799"/>
      <c r="AY205" s="799"/>
      <c r="AZ205" s="799"/>
      <c r="BA205" s="799"/>
      <c r="BB205" s="799"/>
      <c r="BC205" s="799"/>
      <c r="BD205" s="799"/>
      <c r="BE205" s="799"/>
      <c r="BF205" s="799"/>
      <c r="BG205" s="799"/>
    </row>
    <row r="206">
      <c r="H206" s="799"/>
      <c r="I206" s="799"/>
      <c r="J206" s="799"/>
      <c r="K206" s="799"/>
      <c r="L206" s="799"/>
      <c r="M206" s="799"/>
      <c r="N206" s="799"/>
      <c r="O206" s="799"/>
      <c r="P206" s="799"/>
      <c r="Q206" s="799"/>
      <c r="R206" s="799"/>
      <c r="S206" s="799"/>
      <c r="T206" s="799"/>
      <c r="U206" s="799"/>
      <c r="V206" s="799"/>
      <c r="W206" s="799"/>
      <c r="X206" s="799"/>
      <c r="Y206" s="799"/>
      <c r="Z206" s="799"/>
      <c r="AA206" s="799"/>
      <c r="AB206" s="799"/>
      <c r="AC206" s="799"/>
      <c r="AD206" s="799"/>
      <c r="AE206" s="799"/>
      <c r="AF206" s="799"/>
      <c r="AG206" s="799"/>
      <c r="AH206" s="799"/>
      <c r="AI206" s="799"/>
      <c r="AJ206" s="799"/>
      <c r="AK206" s="799"/>
      <c r="AL206" s="799"/>
      <c r="AM206" s="799"/>
      <c r="AN206" s="799"/>
      <c r="AO206" s="799"/>
      <c r="AP206" s="799"/>
      <c r="AQ206" s="799"/>
      <c r="AR206" s="799"/>
      <c r="AS206" s="799"/>
      <c r="AT206" s="799"/>
      <c r="AU206" s="799"/>
      <c r="AV206" s="799"/>
      <c r="AW206" s="799"/>
      <c r="AX206" s="799"/>
      <c r="AY206" s="799"/>
      <c r="AZ206" s="799"/>
      <c r="BA206" s="799"/>
      <c r="BB206" s="799"/>
      <c r="BC206" s="799"/>
      <c r="BD206" s="799"/>
      <c r="BE206" s="799"/>
      <c r="BF206" s="799"/>
      <c r="BG206" s="799"/>
    </row>
    <row r="207">
      <c r="H207" s="799"/>
      <c r="I207" s="799"/>
      <c r="J207" s="799"/>
      <c r="K207" s="799"/>
      <c r="L207" s="799"/>
      <c r="M207" s="799"/>
      <c r="N207" s="799"/>
      <c r="O207" s="799"/>
      <c r="P207" s="799"/>
      <c r="Q207" s="799"/>
      <c r="R207" s="799"/>
      <c r="S207" s="799"/>
      <c r="T207" s="799"/>
      <c r="U207" s="799"/>
      <c r="V207" s="799"/>
      <c r="W207" s="799"/>
      <c r="X207" s="799"/>
      <c r="Y207" s="799"/>
      <c r="Z207" s="799"/>
      <c r="AA207" s="799"/>
      <c r="AB207" s="799"/>
      <c r="AC207" s="799"/>
      <c r="AD207" s="799"/>
      <c r="AE207" s="799"/>
      <c r="AF207" s="799"/>
      <c r="AG207" s="799"/>
      <c r="AH207" s="799"/>
      <c r="AI207" s="799"/>
      <c r="AJ207" s="799"/>
      <c r="AK207" s="799"/>
      <c r="AL207" s="799"/>
      <c r="AM207" s="799"/>
      <c r="AN207" s="799"/>
      <c r="AO207" s="799"/>
      <c r="AP207" s="799"/>
      <c r="AQ207" s="799"/>
      <c r="AR207" s="799"/>
      <c r="AS207" s="799"/>
      <c r="AT207" s="799"/>
      <c r="AU207" s="799"/>
      <c r="AV207" s="799"/>
      <c r="AW207" s="799"/>
      <c r="AX207" s="799"/>
      <c r="AY207" s="799"/>
      <c r="AZ207" s="799"/>
      <c r="BA207" s="799"/>
      <c r="BB207" s="799"/>
      <c r="BC207" s="799"/>
      <c r="BD207" s="799"/>
      <c r="BE207" s="799"/>
      <c r="BF207" s="799"/>
      <c r="BG207" s="799"/>
    </row>
    <row r="208">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c r="AE208" s="799"/>
      <c r="AF208" s="799"/>
      <c r="AG208" s="799"/>
      <c r="AH208" s="799"/>
      <c r="AI208" s="799"/>
      <c r="AJ208" s="799"/>
      <c r="AK208" s="799"/>
      <c r="AL208" s="799"/>
      <c r="AM208" s="799"/>
      <c r="AN208" s="799"/>
      <c r="AO208" s="799"/>
      <c r="AP208" s="799"/>
      <c r="AQ208" s="799"/>
      <c r="AR208" s="799"/>
      <c r="AS208" s="799"/>
      <c r="AT208" s="799"/>
      <c r="AU208" s="799"/>
      <c r="AV208" s="799"/>
      <c r="AW208" s="799"/>
      <c r="AX208" s="799"/>
      <c r="AY208" s="799"/>
      <c r="AZ208" s="799"/>
      <c r="BA208" s="799"/>
      <c r="BB208" s="799"/>
      <c r="BC208" s="799"/>
      <c r="BD208" s="799"/>
      <c r="BE208" s="799"/>
      <c r="BF208" s="799"/>
      <c r="BG208" s="799"/>
    </row>
    <row r="209">
      <c r="H209" s="799"/>
      <c r="I209" s="799"/>
      <c r="J209" s="799"/>
      <c r="K209" s="799"/>
      <c r="L209" s="799"/>
      <c r="M209" s="799"/>
      <c r="N209" s="799"/>
      <c r="O209" s="799"/>
      <c r="P209" s="799"/>
      <c r="Q209" s="799"/>
      <c r="R209" s="799"/>
      <c r="S209" s="799"/>
      <c r="T209" s="799"/>
      <c r="U209" s="799"/>
      <c r="V209" s="799"/>
      <c r="W209" s="799"/>
      <c r="X209" s="799"/>
      <c r="Y209" s="799"/>
      <c r="Z209" s="799"/>
      <c r="AA209" s="799"/>
      <c r="AB209" s="799"/>
      <c r="AC209" s="799"/>
      <c r="AD209" s="799"/>
      <c r="AE209" s="799"/>
      <c r="AF209" s="799"/>
      <c r="AG209" s="799"/>
      <c r="AH209" s="799"/>
      <c r="AI209" s="799"/>
      <c r="AJ209" s="799"/>
      <c r="AK209" s="799"/>
      <c r="AL209" s="799"/>
      <c r="AM209" s="799"/>
      <c r="AN209" s="799"/>
      <c r="AO209" s="799"/>
      <c r="AP209" s="799"/>
      <c r="AQ209" s="799"/>
      <c r="AR209" s="799"/>
      <c r="AS209" s="799"/>
      <c r="AT209" s="799"/>
      <c r="AU209" s="799"/>
      <c r="AV209" s="799"/>
      <c r="AW209" s="799"/>
      <c r="AX209" s="799"/>
      <c r="AY209" s="799"/>
      <c r="AZ209" s="799"/>
      <c r="BA209" s="799"/>
      <c r="BB209" s="799"/>
      <c r="BC209" s="799"/>
      <c r="BD209" s="799"/>
      <c r="BE209" s="799"/>
      <c r="BF209" s="799"/>
      <c r="BG209" s="799"/>
    </row>
    <row r="210">
      <c r="H210" s="799"/>
      <c r="I210" s="799"/>
      <c r="J210" s="799"/>
      <c r="K210" s="799"/>
      <c r="L210" s="799"/>
      <c r="M210" s="799"/>
      <c r="N210" s="799"/>
      <c r="O210" s="799"/>
      <c r="P210" s="799"/>
      <c r="Q210" s="799"/>
      <c r="R210" s="799"/>
      <c r="S210" s="799"/>
      <c r="T210" s="799"/>
      <c r="U210" s="799"/>
      <c r="V210" s="799"/>
      <c r="W210" s="799"/>
      <c r="X210" s="799"/>
      <c r="Y210" s="799"/>
      <c r="Z210" s="799"/>
      <c r="AA210" s="799"/>
      <c r="AB210" s="799"/>
      <c r="AC210" s="799"/>
      <c r="AD210" s="799"/>
      <c r="AE210" s="799"/>
      <c r="AF210" s="799"/>
      <c r="AG210" s="799"/>
      <c r="AH210" s="799"/>
      <c r="AI210" s="799"/>
      <c r="AJ210" s="799"/>
      <c r="AK210" s="799"/>
      <c r="AL210" s="799"/>
      <c r="AM210" s="799"/>
      <c r="AN210" s="799"/>
      <c r="AO210" s="799"/>
      <c r="AP210" s="799"/>
      <c r="AQ210" s="799"/>
      <c r="AR210" s="799"/>
      <c r="AS210" s="799"/>
      <c r="AT210" s="799"/>
      <c r="AU210" s="799"/>
      <c r="AV210" s="799"/>
      <c r="AW210" s="799"/>
      <c r="AX210" s="799"/>
      <c r="AY210" s="799"/>
      <c r="AZ210" s="799"/>
      <c r="BA210" s="799"/>
      <c r="BB210" s="799"/>
      <c r="BC210" s="799"/>
      <c r="BD210" s="799"/>
      <c r="BE210" s="799"/>
      <c r="BF210" s="799"/>
      <c r="BG210" s="799"/>
    </row>
    <row r="211">
      <c r="H211" s="799"/>
      <c r="I211" s="799"/>
      <c r="J211" s="799"/>
      <c r="K211" s="799"/>
      <c r="L211" s="799"/>
      <c r="M211" s="799"/>
      <c r="N211" s="799"/>
      <c r="O211" s="799"/>
      <c r="P211" s="799"/>
      <c r="Q211" s="799"/>
      <c r="R211" s="799"/>
      <c r="S211" s="799"/>
      <c r="T211" s="799"/>
      <c r="U211" s="799"/>
      <c r="V211" s="799"/>
      <c r="W211" s="799"/>
      <c r="X211" s="799"/>
      <c r="Y211" s="799"/>
      <c r="Z211" s="799"/>
      <c r="AA211" s="799"/>
      <c r="AB211" s="799"/>
      <c r="AC211" s="799"/>
      <c r="AD211" s="799"/>
      <c r="AE211" s="799"/>
      <c r="AF211" s="799"/>
      <c r="AG211" s="799"/>
      <c r="AH211" s="799"/>
      <c r="AI211" s="799"/>
      <c r="AJ211" s="799"/>
      <c r="AK211" s="799"/>
      <c r="AL211" s="799"/>
      <c r="AM211" s="799"/>
      <c r="AN211" s="799"/>
      <c r="AO211" s="799"/>
      <c r="AP211" s="799"/>
      <c r="AQ211" s="799"/>
      <c r="AR211" s="799"/>
      <c r="AS211" s="799"/>
      <c r="AT211" s="799"/>
      <c r="AU211" s="799"/>
      <c r="AV211" s="799"/>
      <c r="AW211" s="799"/>
      <c r="AX211" s="799"/>
      <c r="AY211" s="799"/>
      <c r="AZ211" s="799"/>
      <c r="BA211" s="799"/>
      <c r="BB211" s="799"/>
      <c r="BC211" s="799"/>
      <c r="BD211" s="799"/>
      <c r="BE211" s="799"/>
      <c r="BF211" s="799"/>
      <c r="BG211" s="799"/>
    </row>
    <row r="212">
      <c r="H212" s="799"/>
      <c r="I212" s="799"/>
      <c r="J212" s="799"/>
      <c r="K212" s="799"/>
      <c r="L212" s="799"/>
      <c r="M212" s="799"/>
      <c r="N212" s="799"/>
      <c r="O212" s="799"/>
      <c r="P212" s="799"/>
      <c r="Q212" s="799"/>
      <c r="R212" s="799"/>
      <c r="S212" s="799"/>
      <c r="T212" s="799"/>
      <c r="U212" s="799"/>
      <c r="V212" s="799"/>
      <c r="W212" s="799"/>
      <c r="X212" s="799"/>
      <c r="Y212" s="799"/>
      <c r="Z212" s="799"/>
      <c r="AA212" s="799"/>
      <c r="AB212" s="799"/>
      <c r="AC212" s="799"/>
      <c r="AD212" s="799"/>
      <c r="AE212" s="799"/>
      <c r="AF212" s="799"/>
      <c r="AG212" s="799"/>
      <c r="AH212" s="799"/>
      <c r="AI212" s="799"/>
      <c r="AJ212" s="799"/>
      <c r="AK212" s="799"/>
      <c r="AL212" s="799"/>
      <c r="AM212" s="799"/>
      <c r="AN212" s="799"/>
      <c r="AO212" s="799"/>
      <c r="AP212" s="799"/>
      <c r="AQ212" s="799"/>
      <c r="AR212" s="799"/>
      <c r="AS212" s="799"/>
      <c r="AT212" s="799"/>
      <c r="AU212" s="799"/>
      <c r="AV212" s="799"/>
      <c r="AW212" s="799"/>
      <c r="AX212" s="799"/>
      <c r="AY212" s="799"/>
      <c r="AZ212" s="799"/>
      <c r="BA212" s="799"/>
      <c r="BB212" s="799"/>
      <c r="BC212" s="799"/>
      <c r="BD212" s="799"/>
      <c r="BE212" s="799"/>
      <c r="BF212" s="799"/>
      <c r="BG212" s="799"/>
    </row>
    <row r="213">
      <c r="H213" s="799"/>
      <c r="I213" s="799"/>
      <c r="J213" s="799"/>
      <c r="K213" s="799"/>
      <c r="L213" s="799"/>
      <c r="M213" s="799"/>
      <c r="N213" s="799"/>
      <c r="O213" s="799"/>
      <c r="P213" s="799"/>
      <c r="Q213" s="799"/>
      <c r="R213" s="799"/>
      <c r="S213" s="799"/>
      <c r="T213" s="799"/>
      <c r="U213" s="799"/>
      <c r="V213" s="799"/>
      <c r="W213" s="799"/>
      <c r="X213" s="799"/>
      <c r="Y213" s="799"/>
      <c r="Z213" s="799"/>
      <c r="AA213" s="799"/>
      <c r="AB213" s="799"/>
      <c r="AC213" s="799"/>
      <c r="AD213" s="799"/>
      <c r="AE213" s="799"/>
      <c r="AF213" s="799"/>
      <c r="AG213" s="799"/>
      <c r="AH213" s="799"/>
      <c r="AI213" s="799"/>
      <c r="AJ213" s="799"/>
      <c r="AK213" s="799"/>
      <c r="AL213" s="799"/>
      <c r="AM213" s="799"/>
      <c r="AN213" s="799"/>
      <c r="AO213" s="799"/>
      <c r="AP213" s="799"/>
      <c r="AQ213" s="799"/>
      <c r="AR213" s="799"/>
      <c r="AS213" s="799"/>
      <c r="AT213" s="799"/>
      <c r="AU213" s="799"/>
      <c r="AV213" s="799"/>
      <c r="AW213" s="799"/>
      <c r="AX213" s="799"/>
      <c r="AY213" s="799"/>
      <c r="AZ213" s="799"/>
      <c r="BA213" s="799"/>
      <c r="BB213" s="799"/>
      <c r="BC213" s="799"/>
      <c r="BD213" s="799"/>
      <c r="BE213" s="799"/>
      <c r="BF213" s="799"/>
      <c r="BG213" s="799"/>
    </row>
    <row r="214">
      <c r="H214" s="799"/>
      <c r="I214" s="799"/>
      <c r="J214" s="799"/>
      <c r="K214" s="799"/>
      <c r="L214" s="799"/>
      <c r="M214" s="799"/>
      <c r="N214" s="799"/>
      <c r="O214" s="799"/>
      <c r="P214" s="799"/>
      <c r="Q214" s="799"/>
      <c r="R214" s="799"/>
      <c r="S214" s="799"/>
      <c r="T214" s="799"/>
      <c r="U214" s="799"/>
      <c r="V214" s="799"/>
      <c r="W214" s="799"/>
      <c r="X214" s="799"/>
      <c r="Y214" s="799"/>
      <c r="Z214" s="799"/>
      <c r="AA214" s="799"/>
      <c r="AB214" s="799"/>
      <c r="AC214" s="799"/>
      <c r="AD214" s="799"/>
      <c r="AE214" s="799"/>
      <c r="AF214" s="799"/>
      <c r="AG214" s="799"/>
      <c r="AH214" s="799"/>
      <c r="AI214" s="799"/>
      <c r="AJ214" s="799"/>
      <c r="AK214" s="799"/>
      <c r="AL214" s="799"/>
      <c r="AM214" s="799"/>
      <c r="AN214" s="799"/>
      <c r="AO214" s="799"/>
      <c r="AP214" s="799"/>
      <c r="AQ214" s="799"/>
      <c r="AR214" s="799"/>
      <c r="AS214" s="799"/>
      <c r="AT214" s="799"/>
      <c r="AU214" s="799"/>
      <c r="AV214" s="799"/>
      <c r="AW214" s="799"/>
      <c r="AX214" s="799"/>
      <c r="AY214" s="799"/>
      <c r="AZ214" s="799"/>
      <c r="BA214" s="799"/>
      <c r="BB214" s="799"/>
      <c r="BC214" s="799"/>
      <c r="BD214" s="799"/>
      <c r="BE214" s="799"/>
      <c r="BF214" s="799"/>
      <c r="BG214" s="799"/>
    </row>
    <row r="215">
      <c r="H215" s="799"/>
      <c r="I215" s="799"/>
      <c r="J215" s="799"/>
      <c r="K215" s="799"/>
      <c r="L215" s="799"/>
      <c r="M215" s="799"/>
      <c r="N215" s="799"/>
      <c r="O215" s="799"/>
      <c r="P215" s="799"/>
      <c r="Q215" s="799"/>
      <c r="R215" s="799"/>
      <c r="S215" s="799"/>
      <c r="T215" s="799"/>
      <c r="U215" s="799"/>
      <c r="V215" s="799"/>
      <c r="W215" s="799"/>
      <c r="X215" s="799"/>
      <c r="Y215" s="799"/>
      <c r="Z215" s="799"/>
      <c r="AA215" s="799"/>
      <c r="AB215" s="799"/>
      <c r="AC215" s="799"/>
      <c r="AD215" s="799"/>
      <c r="AE215" s="799"/>
      <c r="AF215" s="799"/>
      <c r="AG215" s="799"/>
      <c r="AH215" s="799"/>
      <c r="AI215" s="799"/>
      <c r="AJ215" s="799"/>
      <c r="AK215" s="799"/>
      <c r="AL215" s="799"/>
      <c r="AM215" s="799"/>
      <c r="AN215" s="799"/>
      <c r="AO215" s="799"/>
      <c r="AP215" s="799"/>
      <c r="AQ215" s="799"/>
      <c r="AR215" s="799"/>
      <c r="AS215" s="799"/>
      <c r="AT215" s="799"/>
      <c r="AU215" s="799"/>
      <c r="AV215" s="799"/>
      <c r="AW215" s="799"/>
      <c r="AX215" s="799"/>
      <c r="AY215" s="799"/>
      <c r="AZ215" s="799"/>
      <c r="BA215" s="799"/>
      <c r="BB215" s="799"/>
      <c r="BC215" s="799"/>
      <c r="BD215" s="799"/>
      <c r="BE215" s="799"/>
      <c r="BF215" s="799"/>
      <c r="BG215" s="799"/>
    </row>
    <row r="216">
      <c r="H216" s="799"/>
      <c r="I216" s="799"/>
      <c r="J216" s="799"/>
      <c r="K216" s="799"/>
      <c r="L216" s="799"/>
      <c r="M216" s="799"/>
      <c r="N216" s="799"/>
      <c r="O216" s="799"/>
      <c r="P216" s="799"/>
      <c r="Q216" s="799"/>
      <c r="R216" s="799"/>
      <c r="S216" s="799"/>
      <c r="T216" s="799"/>
      <c r="U216" s="799"/>
      <c r="V216" s="799"/>
      <c r="W216" s="799"/>
      <c r="X216" s="799"/>
      <c r="Y216" s="799"/>
      <c r="Z216" s="799"/>
      <c r="AA216" s="799"/>
      <c r="AB216" s="799"/>
      <c r="AC216" s="799"/>
      <c r="AD216" s="799"/>
      <c r="AE216" s="799"/>
      <c r="AF216" s="799"/>
      <c r="AG216" s="799"/>
      <c r="AH216" s="799"/>
      <c r="AI216" s="799"/>
      <c r="AJ216" s="799"/>
      <c r="AK216" s="799"/>
      <c r="AL216" s="799"/>
      <c r="AM216" s="799"/>
      <c r="AN216" s="799"/>
      <c r="AO216" s="799"/>
      <c r="AP216" s="799"/>
      <c r="AQ216" s="799"/>
      <c r="AR216" s="799"/>
      <c r="AS216" s="799"/>
      <c r="AT216" s="799"/>
      <c r="AU216" s="799"/>
      <c r="AV216" s="799"/>
      <c r="AW216" s="799"/>
      <c r="AX216" s="799"/>
      <c r="AY216" s="799"/>
      <c r="AZ216" s="799"/>
      <c r="BA216" s="799"/>
      <c r="BB216" s="799"/>
      <c r="BC216" s="799"/>
      <c r="BD216" s="799"/>
      <c r="BE216" s="799"/>
      <c r="BF216" s="799"/>
      <c r="BG216" s="799"/>
    </row>
    <row r="217">
      <c r="H217" s="799"/>
      <c r="I217" s="799"/>
      <c r="J217" s="799"/>
      <c r="K217" s="799"/>
      <c r="L217" s="799"/>
      <c r="M217" s="799"/>
      <c r="N217" s="799"/>
      <c r="O217" s="799"/>
      <c r="P217" s="799"/>
      <c r="Q217" s="799"/>
      <c r="R217" s="799"/>
      <c r="S217" s="799"/>
      <c r="T217" s="799"/>
      <c r="U217" s="799"/>
      <c r="V217" s="799"/>
      <c r="W217" s="799"/>
      <c r="X217" s="799"/>
      <c r="Y217" s="799"/>
      <c r="Z217" s="799"/>
      <c r="AA217" s="799"/>
      <c r="AB217" s="799"/>
      <c r="AC217" s="799"/>
      <c r="AD217" s="799"/>
      <c r="AE217" s="799"/>
      <c r="AF217" s="799"/>
      <c r="AG217" s="799"/>
      <c r="AH217" s="799"/>
      <c r="AI217" s="799"/>
      <c r="AJ217" s="799"/>
      <c r="AK217" s="799"/>
      <c r="AL217" s="799"/>
      <c r="AM217" s="799"/>
      <c r="AN217" s="799"/>
      <c r="AO217" s="799"/>
      <c r="AP217" s="799"/>
      <c r="AQ217" s="799"/>
      <c r="AR217" s="799"/>
      <c r="AS217" s="799"/>
      <c r="AT217" s="799"/>
      <c r="AU217" s="799"/>
      <c r="AV217" s="799"/>
      <c r="AW217" s="799"/>
      <c r="AX217" s="799"/>
      <c r="AY217" s="799"/>
      <c r="AZ217" s="799"/>
      <c r="BA217" s="799"/>
      <c r="BB217" s="799"/>
      <c r="BC217" s="799"/>
      <c r="BD217" s="799"/>
      <c r="BE217" s="799"/>
      <c r="BF217" s="799"/>
      <c r="BG217" s="799"/>
    </row>
    <row r="218">
      <c r="H218" s="799"/>
      <c r="I218" s="799"/>
      <c r="J218" s="799"/>
      <c r="K218" s="799"/>
      <c r="L218" s="799"/>
      <c r="M218" s="799"/>
      <c r="N218" s="799"/>
      <c r="O218" s="799"/>
      <c r="P218" s="799"/>
      <c r="Q218" s="799"/>
      <c r="R218" s="799"/>
      <c r="S218" s="799"/>
      <c r="T218" s="799"/>
      <c r="U218" s="799"/>
      <c r="V218" s="799"/>
      <c r="W218" s="799"/>
      <c r="X218" s="799"/>
      <c r="Y218" s="799"/>
      <c r="Z218" s="799"/>
      <c r="AA218" s="799"/>
      <c r="AB218" s="799"/>
      <c r="AC218" s="799"/>
      <c r="AD218" s="799"/>
      <c r="AE218" s="799"/>
      <c r="AF218" s="799"/>
      <c r="AG218" s="799"/>
      <c r="AH218" s="799"/>
      <c r="AI218" s="799"/>
      <c r="AJ218" s="799"/>
      <c r="AK218" s="799"/>
      <c r="AL218" s="799"/>
      <c r="AM218" s="799"/>
      <c r="AN218" s="799"/>
      <c r="AO218" s="799"/>
      <c r="AP218" s="799"/>
      <c r="AQ218" s="799"/>
      <c r="AR218" s="799"/>
      <c r="AS218" s="799"/>
      <c r="AT218" s="799"/>
      <c r="AU218" s="799"/>
      <c r="AV218" s="799"/>
      <c r="AW218" s="799"/>
      <c r="AX218" s="799"/>
      <c r="AY218" s="799"/>
      <c r="AZ218" s="799"/>
      <c r="BA218" s="799"/>
      <c r="BB218" s="799"/>
      <c r="BC218" s="799"/>
      <c r="BD218" s="799"/>
      <c r="BE218" s="799"/>
      <c r="BF218" s="799"/>
      <c r="BG218" s="799"/>
    </row>
    <row r="219">
      <c r="H219" s="799"/>
      <c r="I219" s="799"/>
      <c r="J219" s="799"/>
      <c r="K219" s="799"/>
      <c r="L219" s="799"/>
      <c r="M219" s="799"/>
      <c r="N219" s="799"/>
      <c r="O219" s="799"/>
      <c r="P219" s="799"/>
      <c r="Q219" s="799"/>
      <c r="R219" s="799"/>
      <c r="S219" s="799"/>
      <c r="T219" s="799"/>
      <c r="U219" s="799"/>
      <c r="V219" s="799"/>
      <c r="W219" s="799"/>
      <c r="X219" s="799"/>
      <c r="Y219" s="799"/>
      <c r="Z219" s="799"/>
      <c r="AA219" s="799"/>
      <c r="AB219" s="799"/>
      <c r="AC219" s="799"/>
      <c r="AD219" s="799"/>
      <c r="AE219" s="799"/>
      <c r="AF219" s="799"/>
      <c r="AG219" s="799"/>
      <c r="AH219" s="799"/>
      <c r="AI219" s="799"/>
      <c r="AJ219" s="799"/>
      <c r="AK219" s="799"/>
      <c r="AL219" s="799"/>
      <c r="AM219" s="799"/>
      <c r="AN219" s="799"/>
      <c r="AO219" s="799"/>
      <c r="AP219" s="799"/>
      <c r="AQ219" s="799"/>
      <c r="AR219" s="799"/>
      <c r="AS219" s="799"/>
      <c r="AT219" s="799"/>
      <c r="AU219" s="799"/>
      <c r="AV219" s="799"/>
      <c r="AW219" s="799"/>
      <c r="AX219" s="799"/>
      <c r="AY219" s="799"/>
      <c r="AZ219" s="799"/>
      <c r="BA219" s="799"/>
      <c r="BB219" s="799"/>
      <c r="BC219" s="799"/>
      <c r="BD219" s="799"/>
      <c r="BE219" s="799"/>
      <c r="BF219" s="799"/>
      <c r="BG219" s="799"/>
    </row>
    <row r="220">
      <c r="H220" s="799"/>
      <c r="I220" s="799"/>
      <c r="J220" s="799"/>
      <c r="K220" s="799"/>
      <c r="L220" s="799"/>
      <c r="M220" s="799"/>
      <c r="N220" s="799"/>
      <c r="O220" s="799"/>
      <c r="P220" s="799"/>
      <c r="Q220" s="799"/>
      <c r="R220" s="799"/>
      <c r="S220" s="799"/>
      <c r="T220" s="799"/>
      <c r="U220" s="799"/>
      <c r="V220" s="799"/>
      <c r="W220" s="799"/>
      <c r="X220" s="799"/>
      <c r="Y220" s="799"/>
      <c r="Z220" s="799"/>
      <c r="AA220" s="799"/>
      <c r="AB220" s="799"/>
      <c r="AC220" s="799"/>
      <c r="AD220" s="799"/>
      <c r="AE220" s="799"/>
      <c r="AF220" s="799"/>
      <c r="AG220" s="799"/>
      <c r="AH220" s="799"/>
      <c r="AI220" s="799"/>
      <c r="AJ220" s="799"/>
      <c r="AK220" s="799"/>
      <c r="AL220" s="799"/>
      <c r="AM220" s="799"/>
      <c r="AN220" s="799"/>
      <c r="AO220" s="799"/>
      <c r="AP220" s="799"/>
      <c r="AQ220" s="799"/>
      <c r="AR220" s="799"/>
      <c r="AS220" s="799"/>
      <c r="AT220" s="799"/>
      <c r="AU220" s="799"/>
      <c r="AV220" s="799"/>
      <c r="AW220" s="799"/>
      <c r="AX220" s="799"/>
      <c r="AY220" s="799"/>
      <c r="AZ220" s="799"/>
      <c r="BA220" s="799"/>
      <c r="BB220" s="799"/>
      <c r="BC220" s="799"/>
      <c r="BD220" s="799"/>
      <c r="BE220" s="799"/>
      <c r="BF220" s="799"/>
      <c r="BG220" s="799"/>
    </row>
    <row r="221">
      <c r="H221" s="799"/>
      <c r="I221" s="799"/>
      <c r="J221" s="799"/>
      <c r="K221" s="799"/>
      <c r="L221" s="799"/>
      <c r="M221" s="799"/>
      <c r="N221" s="799"/>
      <c r="O221" s="799"/>
      <c r="P221" s="799"/>
      <c r="Q221" s="799"/>
      <c r="R221" s="799"/>
      <c r="S221" s="799"/>
      <c r="T221" s="799"/>
      <c r="U221" s="799"/>
      <c r="V221" s="799"/>
      <c r="W221" s="799"/>
      <c r="X221" s="799"/>
      <c r="Y221" s="799"/>
      <c r="Z221" s="799"/>
      <c r="AA221" s="799"/>
      <c r="AB221" s="799"/>
      <c r="AC221" s="799"/>
      <c r="AD221" s="799"/>
      <c r="AE221" s="799"/>
      <c r="AF221" s="799"/>
      <c r="AG221" s="799"/>
      <c r="AH221" s="799"/>
      <c r="AI221" s="799"/>
      <c r="AJ221" s="799"/>
      <c r="AK221" s="799"/>
      <c r="AL221" s="799"/>
      <c r="AM221" s="799"/>
      <c r="AN221" s="799"/>
      <c r="AO221" s="799"/>
      <c r="AP221" s="799"/>
      <c r="AQ221" s="799"/>
      <c r="AR221" s="799"/>
      <c r="AS221" s="799"/>
      <c r="AT221" s="799"/>
      <c r="AU221" s="799"/>
      <c r="AV221" s="799"/>
      <c r="AW221" s="799"/>
      <c r="AX221" s="799"/>
      <c r="AY221" s="799"/>
      <c r="AZ221" s="799"/>
      <c r="BA221" s="799"/>
      <c r="BB221" s="799"/>
      <c r="BC221" s="799"/>
      <c r="BD221" s="799"/>
      <c r="BE221" s="799"/>
      <c r="BF221" s="799"/>
      <c r="BG221" s="799"/>
    </row>
    <row r="222">
      <c r="H222" s="799"/>
      <c r="I222" s="799"/>
      <c r="J222" s="799"/>
      <c r="K222" s="799"/>
      <c r="L222" s="799"/>
      <c r="M222" s="799"/>
      <c r="N222" s="799"/>
      <c r="O222" s="799"/>
      <c r="P222" s="799"/>
      <c r="Q222" s="799"/>
      <c r="R222" s="799"/>
      <c r="S222" s="799"/>
      <c r="T222" s="799"/>
      <c r="U222" s="799"/>
      <c r="V222" s="799"/>
      <c r="W222" s="799"/>
      <c r="X222" s="799"/>
      <c r="Y222" s="799"/>
      <c r="Z222" s="799"/>
      <c r="AA222" s="799"/>
      <c r="AB222" s="799"/>
      <c r="AC222" s="799"/>
      <c r="AD222" s="799"/>
      <c r="AE222" s="799"/>
      <c r="AF222" s="799"/>
      <c r="AG222" s="799"/>
      <c r="AH222" s="799"/>
      <c r="AI222" s="799"/>
      <c r="AJ222" s="799"/>
      <c r="AK222" s="799"/>
      <c r="AL222" s="799"/>
      <c r="AM222" s="799"/>
      <c r="AN222" s="799"/>
      <c r="AO222" s="799"/>
      <c r="AP222" s="799"/>
      <c r="AQ222" s="799"/>
      <c r="AR222" s="799"/>
      <c r="AS222" s="799"/>
      <c r="AT222" s="799"/>
      <c r="AU222" s="799"/>
      <c r="AV222" s="799"/>
      <c r="AW222" s="799"/>
      <c r="AX222" s="799"/>
      <c r="AY222" s="799"/>
      <c r="AZ222" s="799"/>
      <c r="BA222" s="799"/>
      <c r="BB222" s="799"/>
      <c r="BC222" s="799"/>
      <c r="BD222" s="799"/>
      <c r="BE222" s="799"/>
      <c r="BF222" s="799"/>
      <c r="BG222" s="799"/>
    </row>
    <row r="223">
      <c r="H223" s="799"/>
      <c r="I223" s="799"/>
      <c r="J223" s="799"/>
      <c r="K223" s="799"/>
      <c r="L223" s="799"/>
      <c r="M223" s="799"/>
      <c r="N223" s="799"/>
      <c r="O223" s="799"/>
      <c r="P223" s="799"/>
      <c r="Q223" s="799"/>
      <c r="R223" s="799"/>
      <c r="S223" s="799"/>
      <c r="T223" s="799"/>
      <c r="U223" s="799"/>
      <c r="V223" s="799"/>
      <c r="W223" s="799"/>
      <c r="X223" s="799"/>
      <c r="Y223" s="799"/>
      <c r="Z223" s="799"/>
      <c r="AA223" s="799"/>
      <c r="AB223" s="799"/>
      <c r="AC223" s="799"/>
      <c r="AD223" s="799"/>
      <c r="AE223" s="799"/>
      <c r="AF223" s="799"/>
      <c r="AG223" s="799"/>
      <c r="AH223" s="799"/>
      <c r="AI223" s="799"/>
      <c r="AJ223" s="799"/>
      <c r="AK223" s="799"/>
      <c r="AL223" s="799"/>
      <c r="AM223" s="799"/>
      <c r="AN223" s="799"/>
      <c r="AO223" s="799"/>
      <c r="AP223" s="799"/>
      <c r="AQ223" s="799"/>
      <c r="AR223" s="799"/>
      <c r="AS223" s="799"/>
      <c r="AT223" s="799"/>
      <c r="AU223" s="799"/>
      <c r="AV223" s="799"/>
      <c r="AW223" s="799"/>
      <c r="AX223" s="799"/>
      <c r="AY223" s="799"/>
      <c r="AZ223" s="799"/>
      <c r="BA223" s="799"/>
      <c r="BB223" s="799"/>
      <c r="BC223" s="799"/>
      <c r="BD223" s="799"/>
      <c r="BE223" s="799"/>
      <c r="BF223" s="799"/>
      <c r="BG223" s="799"/>
    </row>
    <row r="224">
      <c r="H224" s="799"/>
      <c r="I224" s="799"/>
      <c r="J224" s="799"/>
      <c r="K224" s="799"/>
      <c r="L224" s="799"/>
      <c r="M224" s="799"/>
      <c r="N224" s="799"/>
      <c r="O224" s="799"/>
      <c r="P224" s="799"/>
      <c r="Q224" s="799"/>
      <c r="R224" s="799"/>
      <c r="S224" s="799"/>
      <c r="T224" s="799"/>
      <c r="U224" s="799"/>
      <c r="V224" s="799"/>
      <c r="W224" s="799"/>
      <c r="X224" s="799"/>
      <c r="Y224" s="799"/>
      <c r="Z224" s="799"/>
      <c r="AA224" s="799"/>
      <c r="AB224" s="799"/>
      <c r="AC224" s="799"/>
      <c r="AD224" s="799"/>
      <c r="AE224" s="799"/>
      <c r="AF224" s="799"/>
      <c r="AG224" s="799"/>
      <c r="AH224" s="799"/>
      <c r="AI224" s="799"/>
      <c r="AJ224" s="799"/>
      <c r="AK224" s="799"/>
      <c r="AL224" s="799"/>
      <c r="AM224" s="799"/>
      <c r="AN224" s="799"/>
      <c r="AO224" s="799"/>
      <c r="AP224" s="799"/>
      <c r="AQ224" s="799"/>
      <c r="AR224" s="799"/>
      <c r="AS224" s="799"/>
      <c r="AT224" s="799"/>
      <c r="AU224" s="799"/>
      <c r="AV224" s="799"/>
      <c r="AW224" s="799"/>
      <c r="AX224" s="799"/>
      <c r="AY224" s="799"/>
      <c r="AZ224" s="799"/>
      <c r="BA224" s="799"/>
      <c r="BB224" s="799"/>
      <c r="BC224" s="799"/>
      <c r="BD224" s="799"/>
      <c r="BE224" s="799"/>
      <c r="BF224" s="799"/>
      <c r="BG224" s="799"/>
    </row>
    <row r="225">
      <c r="H225" s="799"/>
      <c r="I225" s="799"/>
      <c r="J225" s="799"/>
      <c r="K225" s="799"/>
      <c r="L225" s="799"/>
      <c r="M225" s="799"/>
      <c r="N225" s="799"/>
      <c r="O225" s="799"/>
      <c r="P225" s="799"/>
      <c r="Q225" s="799"/>
      <c r="R225" s="799"/>
      <c r="S225" s="799"/>
      <c r="T225" s="799"/>
      <c r="U225" s="799"/>
      <c r="V225" s="799"/>
      <c r="W225" s="799"/>
      <c r="X225" s="799"/>
      <c r="Y225" s="799"/>
      <c r="Z225" s="799"/>
      <c r="AA225" s="799"/>
      <c r="AB225" s="799"/>
      <c r="AC225" s="799"/>
      <c r="AD225" s="799"/>
      <c r="AE225" s="799"/>
      <c r="AF225" s="799"/>
      <c r="AG225" s="799"/>
      <c r="AH225" s="799"/>
      <c r="AI225" s="799"/>
      <c r="AJ225" s="799"/>
      <c r="AK225" s="799"/>
      <c r="AL225" s="799"/>
      <c r="AM225" s="799"/>
      <c r="AN225" s="799"/>
      <c r="AO225" s="799"/>
      <c r="AP225" s="799"/>
      <c r="AQ225" s="799"/>
      <c r="AR225" s="799"/>
      <c r="AS225" s="799"/>
      <c r="AT225" s="799"/>
      <c r="AU225" s="799"/>
      <c r="AV225" s="799"/>
      <c r="AW225" s="799"/>
      <c r="AX225" s="799"/>
      <c r="AY225" s="799"/>
      <c r="AZ225" s="799"/>
      <c r="BA225" s="799"/>
      <c r="BB225" s="799"/>
      <c r="BC225" s="799"/>
      <c r="BD225" s="799"/>
      <c r="BE225" s="799"/>
      <c r="BF225" s="799"/>
      <c r="BG225" s="799"/>
    </row>
    <row r="226">
      <c r="H226" s="799"/>
      <c r="I226" s="799"/>
      <c r="J226" s="799"/>
      <c r="K226" s="799"/>
      <c r="L226" s="799"/>
      <c r="M226" s="799"/>
      <c r="N226" s="799"/>
      <c r="O226" s="799"/>
      <c r="P226" s="799"/>
      <c r="Q226" s="799"/>
      <c r="R226" s="799"/>
      <c r="S226" s="799"/>
      <c r="T226" s="799"/>
      <c r="U226" s="799"/>
      <c r="V226" s="799"/>
      <c r="W226" s="799"/>
      <c r="X226" s="799"/>
      <c r="Y226" s="799"/>
      <c r="Z226" s="799"/>
      <c r="AA226" s="799"/>
      <c r="AB226" s="799"/>
      <c r="AC226" s="799"/>
      <c r="AD226" s="799"/>
      <c r="AE226" s="799"/>
      <c r="AF226" s="799"/>
      <c r="AG226" s="799"/>
      <c r="AH226" s="799"/>
      <c r="AI226" s="799"/>
      <c r="AJ226" s="799"/>
      <c r="AK226" s="799"/>
      <c r="AL226" s="799"/>
      <c r="AM226" s="799"/>
      <c r="AN226" s="799"/>
      <c r="AO226" s="799"/>
      <c r="AP226" s="799"/>
      <c r="AQ226" s="799"/>
      <c r="AR226" s="799"/>
      <c r="AS226" s="799"/>
      <c r="AT226" s="799"/>
      <c r="AU226" s="799"/>
      <c r="AV226" s="799"/>
      <c r="AW226" s="799"/>
      <c r="AX226" s="799"/>
      <c r="AY226" s="799"/>
      <c r="AZ226" s="799"/>
      <c r="BA226" s="799"/>
      <c r="BB226" s="799"/>
      <c r="BC226" s="799"/>
      <c r="BD226" s="799"/>
      <c r="BE226" s="799"/>
      <c r="BF226" s="799"/>
      <c r="BG226" s="799"/>
    </row>
    <row r="227">
      <c r="H227" s="799"/>
      <c r="I227" s="799"/>
      <c r="J227" s="799"/>
      <c r="K227" s="799"/>
      <c r="L227" s="799"/>
      <c r="M227" s="799"/>
      <c r="N227" s="799"/>
      <c r="O227" s="799"/>
      <c r="P227" s="799"/>
      <c r="Q227" s="799"/>
      <c r="R227" s="799"/>
      <c r="S227" s="799"/>
      <c r="T227" s="799"/>
      <c r="U227" s="799"/>
      <c r="V227" s="799"/>
      <c r="W227" s="799"/>
      <c r="X227" s="799"/>
      <c r="Y227" s="799"/>
      <c r="Z227" s="799"/>
      <c r="AA227" s="799"/>
      <c r="AB227" s="799"/>
      <c r="AC227" s="799"/>
      <c r="AD227" s="799"/>
      <c r="AE227" s="799"/>
      <c r="AF227" s="799"/>
      <c r="AG227" s="799"/>
      <c r="AH227" s="799"/>
      <c r="AI227" s="799"/>
      <c r="AJ227" s="799"/>
      <c r="AK227" s="799"/>
      <c r="AL227" s="799"/>
      <c r="AM227" s="799"/>
      <c r="AN227" s="799"/>
      <c r="AO227" s="799"/>
      <c r="AP227" s="799"/>
      <c r="AQ227" s="799"/>
      <c r="AR227" s="799"/>
      <c r="AS227" s="799"/>
      <c r="AT227" s="799"/>
      <c r="AU227" s="799"/>
      <c r="AV227" s="799"/>
      <c r="AW227" s="799"/>
      <c r="AX227" s="799"/>
      <c r="AY227" s="799"/>
      <c r="AZ227" s="799"/>
      <c r="BA227" s="799"/>
      <c r="BB227" s="799"/>
      <c r="BC227" s="799"/>
      <c r="BD227" s="799"/>
      <c r="BE227" s="799"/>
      <c r="BF227" s="799"/>
      <c r="BG227" s="799"/>
    </row>
    <row r="228">
      <c r="H228" s="799"/>
      <c r="I228" s="799"/>
      <c r="J228" s="799"/>
      <c r="K228" s="799"/>
      <c r="L228" s="799"/>
      <c r="M228" s="799"/>
      <c r="N228" s="799"/>
      <c r="O228" s="799"/>
      <c r="P228" s="799"/>
      <c r="Q228" s="799"/>
      <c r="R228" s="799"/>
      <c r="S228" s="799"/>
      <c r="T228" s="799"/>
      <c r="U228" s="799"/>
      <c r="V228" s="799"/>
      <c r="W228" s="799"/>
      <c r="X228" s="799"/>
      <c r="Y228" s="799"/>
      <c r="Z228" s="799"/>
      <c r="AA228" s="799"/>
      <c r="AB228" s="799"/>
      <c r="AC228" s="799"/>
      <c r="AD228" s="799"/>
      <c r="AE228" s="799"/>
      <c r="AF228" s="799"/>
      <c r="AG228" s="799"/>
      <c r="AH228" s="799"/>
      <c r="AI228" s="799"/>
      <c r="AJ228" s="799"/>
      <c r="AK228" s="799"/>
      <c r="AL228" s="799"/>
      <c r="AM228" s="799"/>
      <c r="AN228" s="799"/>
      <c r="AO228" s="799"/>
      <c r="AP228" s="799"/>
      <c r="AQ228" s="799"/>
      <c r="AR228" s="799"/>
      <c r="AS228" s="799"/>
      <c r="AT228" s="799"/>
      <c r="AU228" s="799"/>
      <c r="AV228" s="799"/>
      <c r="AW228" s="799"/>
      <c r="AX228" s="799"/>
      <c r="AY228" s="799"/>
      <c r="AZ228" s="799"/>
      <c r="BA228" s="799"/>
      <c r="BB228" s="799"/>
      <c r="BC228" s="799"/>
      <c r="BD228" s="799"/>
      <c r="BE228" s="799"/>
      <c r="BF228" s="799"/>
      <c r="BG228" s="799"/>
    </row>
    <row r="229">
      <c r="H229" s="799"/>
      <c r="I229" s="799"/>
      <c r="J229" s="799"/>
      <c r="K229" s="799"/>
      <c r="L229" s="799"/>
      <c r="M229" s="799"/>
      <c r="N229" s="799"/>
      <c r="O229" s="799"/>
      <c r="P229" s="799"/>
      <c r="Q229" s="799"/>
      <c r="R229" s="799"/>
      <c r="S229" s="799"/>
      <c r="T229" s="799"/>
      <c r="U229" s="799"/>
      <c r="V229" s="799"/>
      <c r="W229" s="799"/>
      <c r="X229" s="799"/>
      <c r="Y229" s="799"/>
      <c r="Z229" s="799"/>
      <c r="AA229" s="799"/>
      <c r="AB229" s="799"/>
      <c r="AC229" s="799"/>
      <c r="AD229" s="799"/>
      <c r="AE229" s="799"/>
      <c r="AF229" s="799"/>
      <c r="AG229" s="799"/>
      <c r="AH229" s="799"/>
      <c r="AI229" s="799"/>
      <c r="AJ229" s="799"/>
      <c r="AK229" s="799"/>
      <c r="AL229" s="799"/>
      <c r="AM229" s="799"/>
      <c r="AN229" s="799"/>
      <c r="AO229" s="799"/>
      <c r="AP229" s="799"/>
      <c r="AQ229" s="799"/>
      <c r="AR229" s="799"/>
      <c r="AS229" s="799"/>
      <c r="AT229" s="799"/>
      <c r="AU229" s="799"/>
      <c r="AV229" s="799"/>
      <c r="AW229" s="799"/>
      <c r="AX229" s="799"/>
      <c r="AY229" s="799"/>
      <c r="AZ229" s="799"/>
      <c r="BA229" s="799"/>
      <c r="BB229" s="799"/>
      <c r="BC229" s="799"/>
      <c r="BD229" s="799"/>
      <c r="BE229" s="799"/>
      <c r="BF229" s="799"/>
      <c r="BG229" s="799"/>
    </row>
    <row r="230">
      <c r="H230" s="799"/>
      <c r="I230" s="799"/>
      <c r="J230" s="799"/>
      <c r="K230" s="799"/>
      <c r="L230" s="799"/>
      <c r="M230" s="799"/>
      <c r="N230" s="799"/>
      <c r="O230" s="799"/>
      <c r="P230" s="799"/>
      <c r="Q230" s="799"/>
      <c r="R230" s="799"/>
      <c r="S230" s="799"/>
      <c r="T230" s="799"/>
      <c r="U230" s="799"/>
      <c r="V230" s="799"/>
      <c r="W230" s="799"/>
      <c r="X230" s="799"/>
      <c r="Y230" s="799"/>
      <c r="Z230" s="799"/>
      <c r="AA230" s="799"/>
      <c r="AB230" s="799"/>
      <c r="AC230" s="799"/>
      <c r="AD230" s="799"/>
      <c r="AE230" s="799"/>
      <c r="AF230" s="799"/>
      <c r="AG230" s="799"/>
      <c r="AH230" s="799"/>
      <c r="AI230" s="799"/>
      <c r="AJ230" s="799"/>
      <c r="AK230" s="799"/>
      <c r="AL230" s="799"/>
      <c r="AM230" s="799"/>
      <c r="AN230" s="799"/>
      <c r="AO230" s="799"/>
      <c r="AP230" s="799"/>
      <c r="AQ230" s="799"/>
      <c r="AR230" s="799"/>
      <c r="AS230" s="799"/>
      <c r="AT230" s="799"/>
      <c r="AU230" s="799"/>
      <c r="AV230" s="799"/>
      <c r="AW230" s="799"/>
      <c r="AX230" s="799"/>
      <c r="AY230" s="799"/>
      <c r="AZ230" s="799"/>
      <c r="BA230" s="799"/>
      <c r="BB230" s="799"/>
      <c r="BC230" s="799"/>
      <c r="BD230" s="799"/>
      <c r="BE230" s="799"/>
      <c r="BF230" s="799"/>
      <c r="BG230" s="799"/>
    </row>
    <row r="231">
      <c r="H231" s="799"/>
      <c r="I231" s="799"/>
      <c r="J231" s="799"/>
      <c r="K231" s="799"/>
      <c r="L231" s="799"/>
      <c r="M231" s="799"/>
      <c r="N231" s="799"/>
      <c r="O231" s="799"/>
      <c r="P231" s="799"/>
      <c r="Q231" s="799"/>
      <c r="R231" s="799"/>
      <c r="S231" s="799"/>
      <c r="T231" s="799"/>
      <c r="U231" s="799"/>
      <c r="V231" s="799"/>
      <c r="W231" s="799"/>
      <c r="X231" s="799"/>
      <c r="Y231" s="799"/>
      <c r="Z231" s="799"/>
      <c r="AA231" s="799"/>
      <c r="AB231" s="799"/>
      <c r="AC231" s="799"/>
      <c r="AD231" s="799"/>
      <c r="AE231" s="799"/>
      <c r="AF231" s="799"/>
      <c r="AG231" s="799"/>
      <c r="AH231" s="799"/>
      <c r="AI231" s="799"/>
      <c r="AJ231" s="799"/>
      <c r="AK231" s="799"/>
      <c r="AL231" s="799"/>
      <c r="AM231" s="799"/>
      <c r="AN231" s="799"/>
      <c r="AO231" s="799"/>
      <c r="AP231" s="799"/>
      <c r="AQ231" s="799"/>
      <c r="AR231" s="799"/>
      <c r="AS231" s="799"/>
      <c r="AT231" s="799"/>
      <c r="AU231" s="799"/>
      <c r="AV231" s="799"/>
      <c r="AW231" s="799"/>
      <c r="AX231" s="799"/>
      <c r="AY231" s="799"/>
      <c r="AZ231" s="799"/>
      <c r="BA231" s="799"/>
      <c r="BB231" s="799"/>
      <c r="BC231" s="799"/>
      <c r="BD231" s="799"/>
      <c r="BE231" s="799"/>
      <c r="BF231" s="799"/>
      <c r="BG231" s="799"/>
    </row>
    <row r="232">
      <c r="H232" s="799"/>
      <c r="I232" s="799"/>
      <c r="J232" s="799"/>
      <c r="K232" s="799"/>
      <c r="L232" s="799"/>
      <c r="M232" s="799"/>
      <c r="N232" s="799"/>
      <c r="O232" s="799"/>
      <c r="P232" s="799"/>
      <c r="Q232" s="799"/>
      <c r="R232" s="799"/>
      <c r="S232" s="799"/>
      <c r="T232" s="799"/>
      <c r="U232" s="799"/>
      <c r="V232" s="799"/>
      <c r="W232" s="799"/>
      <c r="X232" s="799"/>
      <c r="Y232" s="799"/>
      <c r="Z232" s="799"/>
      <c r="AA232" s="799"/>
      <c r="AB232" s="799"/>
      <c r="AC232" s="799"/>
      <c r="AD232" s="799"/>
      <c r="AE232" s="799"/>
      <c r="AF232" s="799"/>
      <c r="AG232" s="799"/>
      <c r="AH232" s="799"/>
      <c r="AI232" s="799"/>
      <c r="AJ232" s="799"/>
      <c r="AK232" s="799"/>
      <c r="AL232" s="799"/>
      <c r="AM232" s="799"/>
      <c r="AN232" s="799"/>
      <c r="AO232" s="799"/>
      <c r="AP232" s="799"/>
      <c r="AQ232" s="799"/>
      <c r="AR232" s="799"/>
      <c r="AS232" s="799"/>
      <c r="AT232" s="799"/>
      <c r="AU232" s="799"/>
      <c r="AV232" s="799"/>
      <c r="AW232" s="799"/>
      <c r="AX232" s="799"/>
      <c r="AY232" s="799"/>
      <c r="AZ232" s="799"/>
      <c r="BA232" s="799"/>
      <c r="BB232" s="799"/>
      <c r="BC232" s="799"/>
      <c r="BD232" s="799"/>
      <c r="BE232" s="799"/>
      <c r="BF232" s="799"/>
      <c r="BG232" s="799"/>
    </row>
    <row r="233">
      <c r="H233" s="799"/>
      <c r="I233" s="799"/>
      <c r="J233" s="799"/>
      <c r="K233" s="799"/>
      <c r="L233" s="799"/>
      <c r="M233" s="799"/>
      <c r="N233" s="799"/>
      <c r="O233" s="799"/>
      <c r="P233" s="799"/>
      <c r="Q233" s="799"/>
      <c r="R233" s="799"/>
      <c r="S233" s="799"/>
      <c r="T233" s="799"/>
      <c r="U233" s="799"/>
      <c r="V233" s="799"/>
      <c r="W233" s="799"/>
      <c r="X233" s="799"/>
      <c r="Y233" s="799"/>
      <c r="Z233" s="799"/>
      <c r="AA233" s="799"/>
      <c r="AB233" s="799"/>
      <c r="AC233" s="799"/>
      <c r="AD233" s="799"/>
      <c r="AE233" s="799"/>
      <c r="AF233" s="799"/>
      <c r="AG233" s="799"/>
      <c r="AH233" s="799"/>
      <c r="AI233" s="799"/>
      <c r="AJ233" s="799"/>
      <c r="AK233" s="799"/>
      <c r="AL233" s="799"/>
      <c r="AM233" s="799"/>
      <c r="AN233" s="799"/>
      <c r="AO233" s="799"/>
      <c r="AP233" s="799"/>
      <c r="AQ233" s="799"/>
      <c r="AR233" s="799"/>
      <c r="AS233" s="799"/>
      <c r="AT233" s="799"/>
      <c r="AU233" s="799"/>
      <c r="AV233" s="799"/>
      <c r="AW233" s="799"/>
      <c r="AX233" s="799"/>
      <c r="AY233" s="799"/>
      <c r="AZ233" s="799"/>
      <c r="BA233" s="799"/>
      <c r="BB233" s="799"/>
      <c r="BC233" s="799"/>
      <c r="BD233" s="799"/>
      <c r="BE233" s="799"/>
      <c r="BF233" s="799"/>
      <c r="BG233" s="799"/>
    </row>
    <row r="234">
      <c r="H234" s="799"/>
      <c r="I234" s="799"/>
      <c r="J234" s="799"/>
      <c r="K234" s="799"/>
      <c r="L234" s="799"/>
      <c r="M234" s="799"/>
      <c r="N234" s="799"/>
      <c r="O234" s="799"/>
      <c r="P234" s="799"/>
      <c r="Q234" s="799"/>
      <c r="R234" s="799"/>
      <c r="S234" s="799"/>
      <c r="T234" s="799"/>
      <c r="U234" s="799"/>
      <c r="V234" s="799"/>
      <c r="W234" s="799"/>
      <c r="X234" s="799"/>
      <c r="Y234" s="799"/>
      <c r="Z234" s="799"/>
      <c r="AA234" s="799"/>
      <c r="AB234" s="799"/>
      <c r="AC234" s="799"/>
      <c r="AD234" s="799"/>
      <c r="AE234" s="799"/>
      <c r="AF234" s="799"/>
      <c r="AG234" s="799"/>
      <c r="AH234" s="799"/>
      <c r="AI234" s="799"/>
      <c r="AJ234" s="799"/>
      <c r="AK234" s="799"/>
      <c r="AL234" s="799"/>
      <c r="AM234" s="799"/>
      <c r="AN234" s="799"/>
      <c r="AO234" s="799"/>
      <c r="AP234" s="799"/>
      <c r="AQ234" s="799"/>
      <c r="AR234" s="799"/>
      <c r="AS234" s="799"/>
      <c r="AT234" s="799"/>
      <c r="AU234" s="799"/>
      <c r="AV234" s="799"/>
      <c r="AW234" s="799"/>
      <c r="AX234" s="799"/>
      <c r="AY234" s="799"/>
      <c r="AZ234" s="799"/>
      <c r="BA234" s="799"/>
      <c r="BB234" s="799"/>
      <c r="BC234" s="799"/>
      <c r="BD234" s="799"/>
      <c r="BE234" s="799"/>
      <c r="BF234" s="799"/>
      <c r="BG234" s="799"/>
    </row>
    <row r="235">
      <c r="H235" s="799"/>
      <c r="I235" s="799"/>
      <c r="J235" s="799"/>
      <c r="K235" s="799"/>
      <c r="L235" s="799"/>
      <c r="M235" s="799"/>
      <c r="N235" s="799"/>
      <c r="O235" s="799"/>
      <c r="P235" s="799"/>
      <c r="Q235" s="799"/>
      <c r="R235" s="799"/>
      <c r="S235" s="799"/>
      <c r="T235" s="799"/>
      <c r="U235" s="799"/>
      <c r="V235" s="799"/>
      <c r="W235" s="799"/>
      <c r="X235" s="799"/>
      <c r="Y235" s="799"/>
      <c r="Z235" s="799"/>
      <c r="AA235" s="799"/>
      <c r="AB235" s="799"/>
      <c r="AC235" s="799"/>
      <c r="AD235" s="799"/>
      <c r="AE235" s="799"/>
      <c r="AF235" s="799"/>
      <c r="AG235" s="799"/>
      <c r="AH235" s="799"/>
      <c r="AI235" s="799"/>
      <c r="AJ235" s="799"/>
      <c r="AK235" s="799"/>
      <c r="AL235" s="799"/>
      <c r="AM235" s="799"/>
      <c r="AN235" s="799"/>
      <c r="AO235" s="799"/>
      <c r="AP235" s="799"/>
      <c r="AQ235" s="799"/>
      <c r="AR235" s="799"/>
      <c r="AS235" s="799"/>
      <c r="AT235" s="799"/>
      <c r="AU235" s="799"/>
      <c r="AV235" s="799"/>
      <c r="AW235" s="799"/>
      <c r="AX235" s="799"/>
      <c r="AY235" s="799"/>
      <c r="AZ235" s="799"/>
      <c r="BA235" s="799"/>
      <c r="BB235" s="799"/>
      <c r="BC235" s="799"/>
      <c r="BD235" s="799"/>
      <c r="BE235" s="799"/>
      <c r="BF235" s="799"/>
      <c r="BG235" s="799"/>
    </row>
    <row r="236">
      <c r="H236" s="799"/>
      <c r="I236" s="799"/>
      <c r="J236" s="799"/>
      <c r="K236" s="799"/>
      <c r="L236" s="799"/>
      <c r="M236" s="799"/>
      <c r="N236" s="799"/>
      <c r="O236" s="799"/>
      <c r="P236" s="799"/>
      <c r="Q236" s="799"/>
      <c r="R236" s="799"/>
      <c r="S236" s="799"/>
      <c r="T236" s="799"/>
      <c r="U236" s="799"/>
      <c r="V236" s="799"/>
      <c r="W236" s="799"/>
      <c r="X236" s="799"/>
      <c r="Y236" s="799"/>
      <c r="Z236" s="799"/>
      <c r="AA236" s="799"/>
      <c r="AB236" s="799"/>
      <c r="AC236" s="799"/>
      <c r="AD236" s="799"/>
      <c r="AE236" s="799"/>
      <c r="AF236" s="799"/>
      <c r="AG236" s="799"/>
      <c r="AH236" s="799"/>
      <c r="AI236" s="799"/>
      <c r="AJ236" s="799"/>
      <c r="AK236" s="799"/>
      <c r="AL236" s="799"/>
      <c r="AM236" s="799"/>
      <c r="AN236" s="799"/>
      <c r="AO236" s="799"/>
      <c r="AP236" s="799"/>
      <c r="AQ236" s="799"/>
      <c r="AR236" s="799"/>
      <c r="AS236" s="799"/>
      <c r="AT236" s="799"/>
      <c r="AU236" s="799"/>
      <c r="AV236" s="799"/>
      <c r="AW236" s="799"/>
      <c r="AX236" s="799"/>
      <c r="AY236" s="799"/>
      <c r="AZ236" s="799"/>
      <c r="BA236" s="799"/>
      <c r="BB236" s="799"/>
      <c r="BC236" s="799"/>
      <c r="BD236" s="799"/>
      <c r="BE236" s="799"/>
      <c r="BF236" s="799"/>
      <c r="BG236" s="799"/>
    </row>
    <row r="237">
      <c r="H237" s="799"/>
      <c r="I237" s="799"/>
      <c r="J237" s="799"/>
      <c r="K237" s="799"/>
      <c r="L237" s="799"/>
      <c r="M237" s="799"/>
      <c r="N237" s="799"/>
      <c r="O237" s="799"/>
      <c r="P237" s="799"/>
      <c r="Q237" s="799"/>
      <c r="R237" s="799"/>
      <c r="S237" s="799"/>
      <c r="T237" s="799"/>
      <c r="U237" s="799"/>
      <c r="V237" s="799"/>
      <c r="W237" s="799"/>
      <c r="X237" s="799"/>
      <c r="Y237" s="799"/>
      <c r="Z237" s="799"/>
      <c r="AA237" s="799"/>
      <c r="AB237" s="799"/>
      <c r="AC237" s="799"/>
      <c r="AD237" s="799"/>
      <c r="AE237" s="799"/>
      <c r="AF237" s="799"/>
      <c r="AG237" s="799"/>
      <c r="AH237" s="799"/>
      <c r="AI237" s="799"/>
      <c r="AJ237" s="799"/>
      <c r="AK237" s="799"/>
      <c r="AL237" s="799"/>
      <c r="AM237" s="799"/>
      <c r="AN237" s="799"/>
      <c r="AO237" s="799"/>
      <c r="AP237" s="799"/>
      <c r="AQ237" s="799"/>
      <c r="AR237" s="799"/>
      <c r="AS237" s="799"/>
      <c r="AT237" s="799"/>
      <c r="AU237" s="799"/>
      <c r="AV237" s="799"/>
      <c r="AW237" s="799"/>
      <c r="AX237" s="799"/>
      <c r="AY237" s="799"/>
      <c r="AZ237" s="799"/>
      <c r="BA237" s="799"/>
      <c r="BB237" s="799"/>
      <c r="BC237" s="799"/>
      <c r="BD237" s="799"/>
      <c r="BE237" s="799"/>
      <c r="BF237" s="799"/>
      <c r="BG237" s="799"/>
    </row>
    <row r="238">
      <c r="H238" s="799"/>
      <c r="I238" s="799"/>
      <c r="J238" s="799"/>
      <c r="K238" s="799"/>
      <c r="L238" s="799"/>
      <c r="M238" s="799"/>
      <c r="N238" s="799"/>
      <c r="O238" s="799"/>
      <c r="P238" s="799"/>
      <c r="Q238" s="799"/>
      <c r="R238" s="799"/>
      <c r="S238" s="799"/>
      <c r="T238" s="799"/>
      <c r="U238" s="799"/>
      <c r="V238" s="799"/>
      <c r="W238" s="799"/>
      <c r="X238" s="799"/>
      <c r="Y238" s="799"/>
      <c r="Z238" s="799"/>
      <c r="AA238" s="799"/>
      <c r="AB238" s="799"/>
      <c r="AC238" s="799"/>
      <c r="AD238" s="799"/>
      <c r="AE238" s="799"/>
      <c r="AF238" s="799"/>
      <c r="AG238" s="799"/>
      <c r="AH238" s="799"/>
      <c r="AI238" s="799"/>
      <c r="AJ238" s="799"/>
      <c r="AK238" s="799"/>
      <c r="AL238" s="799"/>
      <c r="AM238" s="799"/>
      <c r="AN238" s="799"/>
      <c r="AO238" s="799"/>
      <c r="AP238" s="799"/>
      <c r="AQ238" s="799"/>
      <c r="AR238" s="799"/>
      <c r="AS238" s="799"/>
      <c r="AT238" s="799"/>
      <c r="AU238" s="799"/>
      <c r="AV238" s="799"/>
      <c r="AW238" s="799"/>
      <c r="AX238" s="799"/>
      <c r="AY238" s="799"/>
      <c r="AZ238" s="799"/>
      <c r="BA238" s="799"/>
      <c r="BB238" s="799"/>
      <c r="BC238" s="799"/>
      <c r="BD238" s="799"/>
      <c r="BE238" s="799"/>
      <c r="BF238" s="799"/>
      <c r="BG238" s="799"/>
    </row>
    <row r="239">
      <c r="H239" s="799"/>
      <c r="I239" s="799"/>
      <c r="J239" s="799"/>
      <c r="K239" s="799"/>
      <c r="L239" s="799"/>
      <c r="M239" s="799"/>
      <c r="N239" s="799"/>
      <c r="O239" s="799"/>
      <c r="P239" s="799"/>
      <c r="Q239" s="799"/>
      <c r="R239" s="799"/>
      <c r="S239" s="799"/>
      <c r="T239" s="799"/>
      <c r="U239" s="799"/>
      <c r="V239" s="799"/>
      <c r="W239" s="799"/>
      <c r="X239" s="799"/>
      <c r="Y239" s="799"/>
      <c r="Z239" s="799"/>
      <c r="AA239" s="799"/>
      <c r="AB239" s="799"/>
      <c r="AC239" s="799"/>
      <c r="AD239" s="799"/>
      <c r="AE239" s="799"/>
      <c r="AF239" s="799"/>
      <c r="AG239" s="799"/>
      <c r="AH239" s="799"/>
      <c r="AI239" s="799"/>
      <c r="AJ239" s="799"/>
      <c r="AK239" s="799"/>
      <c r="AL239" s="799"/>
      <c r="AM239" s="799"/>
      <c r="AN239" s="799"/>
      <c r="AO239" s="799"/>
      <c r="AP239" s="799"/>
      <c r="AQ239" s="799"/>
      <c r="AR239" s="799"/>
      <c r="AS239" s="799"/>
      <c r="AT239" s="799"/>
      <c r="AU239" s="799"/>
      <c r="AV239" s="799"/>
      <c r="AW239" s="799"/>
      <c r="AX239" s="799"/>
      <c r="AY239" s="799"/>
      <c r="AZ239" s="799"/>
      <c r="BA239" s="799"/>
      <c r="BB239" s="799"/>
      <c r="BC239" s="799"/>
      <c r="BD239" s="799"/>
      <c r="BE239" s="799"/>
      <c r="BF239" s="799"/>
      <c r="BG239" s="799"/>
    </row>
    <row r="240">
      <c r="H240" s="799"/>
      <c r="I240" s="799"/>
      <c r="J240" s="799"/>
      <c r="K240" s="799"/>
      <c r="L240" s="799"/>
      <c r="M240" s="799"/>
      <c r="N240" s="799"/>
      <c r="O240" s="799"/>
      <c r="P240" s="799"/>
      <c r="Q240" s="799"/>
      <c r="R240" s="799"/>
      <c r="S240" s="799"/>
      <c r="T240" s="799"/>
      <c r="U240" s="799"/>
      <c r="V240" s="799"/>
      <c r="W240" s="799"/>
      <c r="X240" s="799"/>
      <c r="Y240" s="799"/>
      <c r="Z240" s="799"/>
      <c r="AA240" s="799"/>
      <c r="AB240" s="799"/>
      <c r="AC240" s="799"/>
      <c r="AD240" s="799"/>
      <c r="AE240" s="799"/>
      <c r="AF240" s="799"/>
      <c r="AG240" s="799"/>
      <c r="AH240" s="799"/>
      <c r="AI240" s="799"/>
      <c r="AJ240" s="799"/>
      <c r="AK240" s="799"/>
      <c r="AL240" s="799"/>
      <c r="AM240" s="799"/>
      <c r="AN240" s="799"/>
      <c r="AO240" s="799"/>
      <c r="AP240" s="799"/>
      <c r="AQ240" s="799"/>
      <c r="AR240" s="799"/>
      <c r="AS240" s="799"/>
      <c r="AT240" s="799"/>
      <c r="AU240" s="799"/>
      <c r="AV240" s="799"/>
      <c r="AW240" s="799"/>
      <c r="AX240" s="799"/>
      <c r="AY240" s="799"/>
      <c r="AZ240" s="799"/>
      <c r="BA240" s="799"/>
      <c r="BB240" s="799"/>
      <c r="BC240" s="799"/>
      <c r="BD240" s="799"/>
      <c r="BE240" s="799"/>
      <c r="BF240" s="799"/>
      <c r="BG240" s="799"/>
    </row>
    <row r="241">
      <c r="H241" s="799"/>
      <c r="I241" s="799"/>
      <c r="J241" s="799"/>
      <c r="K241" s="799"/>
      <c r="L241" s="799"/>
      <c r="M241" s="799"/>
      <c r="N241" s="799"/>
      <c r="O241" s="799"/>
      <c r="P241" s="799"/>
      <c r="Q241" s="799"/>
      <c r="R241" s="799"/>
      <c r="S241" s="799"/>
      <c r="T241" s="799"/>
      <c r="U241" s="799"/>
      <c r="V241" s="799"/>
      <c r="W241" s="799"/>
      <c r="X241" s="799"/>
      <c r="Y241" s="799"/>
      <c r="Z241" s="799"/>
      <c r="AA241" s="799"/>
      <c r="AB241" s="799"/>
      <c r="AC241" s="799"/>
      <c r="AD241" s="799"/>
      <c r="AE241" s="799"/>
      <c r="AF241" s="799"/>
      <c r="AG241" s="799"/>
      <c r="AH241" s="799"/>
      <c r="AI241" s="799"/>
      <c r="AJ241" s="799"/>
      <c r="AK241" s="799"/>
      <c r="AL241" s="799"/>
      <c r="AM241" s="799"/>
      <c r="AN241" s="799"/>
      <c r="AO241" s="799"/>
      <c r="AP241" s="799"/>
      <c r="AQ241" s="799"/>
      <c r="AR241" s="799"/>
      <c r="AS241" s="799"/>
      <c r="AT241" s="799"/>
      <c r="AU241" s="799"/>
      <c r="AV241" s="799"/>
      <c r="AW241" s="799"/>
      <c r="AX241" s="799"/>
      <c r="AY241" s="799"/>
      <c r="AZ241" s="799"/>
      <c r="BA241" s="799"/>
      <c r="BB241" s="799"/>
      <c r="BC241" s="799"/>
      <c r="BD241" s="799"/>
      <c r="BE241" s="799"/>
      <c r="BF241" s="799"/>
      <c r="BG241" s="799"/>
    </row>
    <row r="242">
      <c r="H242" s="799"/>
      <c r="I242" s="799"/>
      <c r="J242" s="799"/>
      <c r="K242" s="799"/>
      <c r="L242" s="799"/>
      <c r="M242" s="799"/>
      <c r="N242" s="799"/>
      <c r="O242" s="799"/>
      <c r="P242" s="799"/>
      <c r="Q242" s="799"/>
      <c r="R242" s="799"/>
      <c r="S242" s="799"/>
      <c r="T242" s="799"/>
      <c r="U242" s="799"/>
      <c r="V242" s="799"/>
      <c r="W242" s="799"/>
      <c r="X242" s="799"/>
      <c r="Y242" s="799"/>
      <c r="Z242" s="799"/>
      <c r="AA242" s="799"/>
      <c r="AB242" s="799"/>
      <c r="AC242" s="799"/>
      <c r="AD242" s="799"/>
      <c r="AE242" s="799"/>
      <c r="AF242" s="799"/>
      <c r="AG242" s="799"/>
      <c r="AH242" s="799"/>
      <c r="AI242" s="799"/>
      <c r="AJ242" s="799"/>
      <c r="AK242" s="799"/>
      <c r="AL242" s="799"/>
      <c r="AM242" s="799"/>
      <c r="AN242" s="799"/>
      <c r="AO242" s="799"/>
      <c r="AP242" s="799"/>
      <c r="AQ242" s="799"/>
      <c r="AR242" s="799"/>
      <c r="AS242" s="799"/>
      <c r="AT242" s="799"/>
      <c r="AU242" s="799"/>
      <c r="AV242" s="799"/>
      <c r="AW242" s="799"/>
      <c r="AX242" s="799"/>
      <c r="AY242" s="799"/>
      <c r="AZ242" s="799"/>
      <c r="BA242" s="799"/>
      <c r="BB242" s="799"/>
      <c r="BC242" s="799"/>
      <c r="BD242" s="799"/>
      <c r="BE242" s="799"/>
      <c r="BF242" s="799"/>
      <c r="BG242" s="799"/>
    </row>
    <row r="243">
      <c r="H243" s="799"/>
      <c r="I243" s="799"/>
      <c r="J243" s="799"/>
      <c r="K243" s="799"/>
      <c r="L243" s="799"/>
      <c r="M243" s="799"/>
      <c r="N243" s="799"/>
      <c r="O243" s="799"/>
      <c r="P243" s="799"/>
      <c r="Q243" s="799"/>
      <c r="R243" s="799"/>
      <c r="S243" s="799"/>
      <c r="T243" s="799"/>
      <c r="U243" s="799"/>
      <c r="V243" s="799"/>
      <c r="W243" s="799"/>
      <c r="X243" s="799"/>
      <c r="Y243" s="799"/>
      <c r="Z243" s="799"/>
      <c r="AA243" s="799"/>
      <c r="AB243" s="799"/>
      <c r="AC243" s="799"/>
      <c r="AD243" s="799"/>
      <c r="AE243" s="799"/>
      <c r="AF243" s="799"/>
      <c r="AG243" s="799"/>
      <c r="AH243" s="799"/>
      <c r="AI243" s="799"/>
      <c r="AJ243" s="799"/>
      <c r="AK243" s="799"/>
      <c r="AL243" s="799"/>
      <c r="AM243" s="799"/>
      <c r="AN243" s="799"/>
      <c r="AO243" s="799"/>
      <c r="AP243" s="799"/>
      <c r="AQ243" s="799"/>
      <c r="AR243" s="799"/>
      <c r="AS243" s="799"/>
      <c r="AT243" s="799"/>
      <c r="AU243" s="799"/>
      <c r="AV243" s="799"/>
      <c r="AW243" s="799"/>
      <c r="AX243" s="799"/>
      <c r="AY243" s="799"/>
      <c r="AZ243" s="799"/>
      <c r="BA243" s="799"/>
      <c r="BB243" s="799"/>
      <c r="BC243" s="799"/>
      <c r="BD243" s="799"/>
      <c r="BE243" s="799"/>
      <c r="BF243" s="799"/>
      <c r="BG243" s="799"/>
    </row>
    <row r="244">
      <c r="H244" s="799"/>
      <c r="I244" s="799"/>
      <c r="J244" s="799"/>
      <c r="K244" s="799"/>
      <c r="L244" s="799"/>
      <c r="M244" s="799"/>
      <c r="N244" s="799"/>
      <c r="O244" s="799"/>
      <c r="P244" s="799"/>
      <c r="Q244" s="799"/>
      <c r="R244" s="799"/>
      <c r="S244" s="799"/>
      <c r="T244" s="799"/>
      <c r="U244" s="799"/>
      <c r="V244" s="799"/>
      <c r="W244" s="799"/>
      <c r="X244" s="799"/>
      <c r="Y244" s="799"/>
      <c r="Z244" s="799"/>
      <c r="AA244" s="799"/>
      <c r="AB244" s="799"/>
      <c r="AC244" s="799"/>
      <c r="AD244" s="799"/>
      <c r="AE244" s="799"/>
      <c r="AF244" s="799"/>
      <c r="AG244" s="799"/>
      <c r="AH244" s="799"/>
      <c r="AI244" s="799"/>
      <c r="AJ244" s="799"/>
      <c r="AK244" s="799"/>
      <c r="AL244" s="799"/>
      <c r="AM244" s="799"/>
      <c r="AN244" s="799"/>
      <c r="AO244" s="799"/>
      <c r="AP244" s="799"/>
      <c r="AQ244" s="799"/>
      <c r="AR244" s="799"/>
      <c r="AS244" s="799"/>
      <c r="AT244" s="799"/>
      <c r="AU244" s="799"/>
      <c r="AV244" s="799"/>
      <c r="AW244" s="799"/>
      <c r="AX244" s="799"/>
      <c r="AY244" s="799"/>
      <c r="AZ244" s="799"/>
      <c r="BA244" s="799"/>
      <c r="BB244" s="799"/>
      <c r="BC244" s="799"/>
      <c r="BD244" s="799"/>
      <c r="BE244" s="799"/>
      <c r="BF244" s="799"/>
      <c r="BG244" s="799"/>
    </row>
    <row r="245">
      <c r="H245" s="799"/>
      <c r="I245" s="799"/>
      <c r="J245" s="799"/>
      <c r="K245" s="799"/>
      <c r="L245" s="799"/>
      <c r="M245" s="799"/>
      <c r="N245" s="799"/>
      <c r="O245" s="799"/>
      <c r="P245" s="799"/>
      <c r="Q245" s="799"/>
      <c r="R245" s="799"/>
      <c r="S245" s="799"/>
      <c r="T245" s="799"/>
      <c r="U245" s="799"/>
      <c r="V245" s="799"/>
      <c r="W245" s="799"/>
      <c r="X245" s="799"/>
      <c r="Y245" s="799"/>
      <c r="Z245" s="799"/>
      <c r="AA245" s="799"/>
      <c r="AB245" s="799"/>
      <c r="AC245" s="799"/>
      <c r="AD245" s="799"/>
      <c r="AE245" s="799"/>
      <c r="AF245" s="799"/>
      <c r="AG245" s="799"/>
      <c r="AH245" s="799"/>
      <c r="AI245" s="799"/>
      <c r="AJ245" s="799"/>
      <c r="AK245" s="799"/>
      <c r="AL245" s="799"/>
      <c r="AM245" s="799"/>
      <c r="AN245" s="799"/>
      <c r="AO245" s="799"/>
      <c r="AP245" s="799"/>
      <c r="AQ245" s="799"/>
      <c r="AR245" s="799"/>
      <c r="AS245" s="799"/>
      <c r="AT245" s="799"/>
      <c r="AU245" s="799"/>
      <c r="AV245" s="799"/>
      <c r="AW245" s="799"/>
      <c r="AX245" s="799"/>
      <c r="AY245" s="799"/>
      <c r="AZ245" s="799"/>
      <c r="BA245" s="799"/>
      <c r="BB245" s="799"/>
      <c r="BC245" s="799"/>
      <c r="BD245" s="799"/>
      <c r="BE245" s="799"/>
      <c r="BF245" s="799"/>
      <c r="BG245" s="799"/>
    </row>
    <row r="246">
      <c r="H246" s="799"/>
      <c r="I246" s="799"/>
      <c r="J246" s="799"/>
      <c r="K246" s="799"/>
      <c r="L246" s="799"/>
      <c r="M246" s="799"/>
      <c r="N246" s="799"/>
      <c r="O246" s="799"/>
      <c r="P246" s="799"/>
      <c r="Q246" s="799"/>
      <c r="R246" s="799"/>
      <c r="S246" s="799"/>
      <c r="T246" s="799"/>
      <c r="U246" s="799"/>
      <c r="V246" s="799"/>
      <c r="W246" s="799"/>
      <c r="X246" s="799"/>
      <c r="Y246" s="799"/>
      <c r="Z246" s="799"/>
      <c r="AA246" s="799"/>
      <c r="AB246" s="799"/>
      <c r="AC246" s="799"/>
      <c r="AD246" s="799"/>
      <c r="AE246" s="799"/>
      <c r="AF246" s="799"/>
      <c r="AG246" s="799"/>
      <c r="AH246" s="799"/>
      <c r="AI246" s="799"/>
      <c r="AJ246" s="799"/>
      <c r="AK246" s="799"/>
      <c r="AL246" s="799"/>
      <c r="AM246" s="799"/>
      <c r="AN246" s="799"/>
      <c r="AO246" s="799"/>
      <c r="AP246" s="799"/>
      <c r="AQ246" s="799"/>
      <c r="AR246" s="799"/>
      <c r="AS246" s="799"/>
      <c r="AT246" s="799"/>
      <c r="AU246" s="799"/>
      <c r="AV246" s="799"/>
      <c r="AW246" s="799"/>
      <c r="AX246" s="799"/>
      <c r="AY246" s="799"/>
      <c r="AZ246" s="799"/>
      <c r="BA246" s="799"/>
      <c r="BB246" s="799"/>
      <c r="BC246" s="799"/>
      <c r="BD246" s="799"/>
      <c r="BE246" s="799"/>
      <c r="BF246" s="799"/>
      <c r="BG246" s="799"/>
    </row>
    <row r="247">
      <c r="H247" s="799"/>
      <c r="I247" s="799"/>
      <c r="J247" s="799"/>
      <c r="K247" s="799"/>
      <c r="L247" s="799"/>
      <c r="M247" s="799"/>
      <c r="N247" s="799"/>
      <c r="O247" s="799"/>
      <c r="P247" s="799"/>
      <c r="Q247" s="799"/>
      <c r="R247" s="799"/>
      <c r="S247" s="799"/>
      <c r="T247" s="799"/>
      <c r="U247" s="799"/>
      <c r="V247" s="799"/>
      <c r="W247" s="799"/>
      <c r="X247" s="799"/>
      <c r="Y247" s="799"/>
      <c r="Z247" s="799"/>
      <c r="AA247" s="799"/>
      <c r="AB247" s="799"/>
      <c r="AC247" s="799"/>
      <c r="AD247" s="799"/>
      <c r="AE247" s="799"/>
      <c r="AF247" s="799"/>
      <c r="AG247" s="799"/>
      <c r="AH247" s="799"/>
      <c r="AI247" s="799"/>
      <c r="AJ247" s="799"/>
      <c r="AK247" s="799"/>
      <c r="AL247" s="799"/>
      <c r="AM247" s="799"/>
      <c r="AN247" s="799"/>
      <c r="AO247" s="799"/>
      <c r="AP247" s="799"/>
      <c r="AQ247" s="799"/>
      <c r="AR247" s="799"/>
      <c r="AS247" s="799"/>
      <c r="AT247" s="799"/>
      <c r="AU247" s="799"/>
      <c r="AV247" s="799"/>
      <c r="AW247" s="799"/>
      <c r="AX247" s="799"/>
      <c r="AY247" s="799"/>
      <c r="AZ247" s="799"/>
      <c r="BA247" s="799"/>
      <c r="BB247" s="799"/>
      <c r="BC247" s="799"/>
      <c r="BD247" s="799"/>
      <c r="BE247" s="799"/>
      <c r="BF247" s="799"/>
      <c r="BG247" s="799"/>
    </row>
    <row r="248">
      <c r="H248" s="799"/>
      <c r="I248" s="799"/>
      <c r="J248" s="799"/>
      <c r="K248" s="799"/>
      <c r="L248" s="799"/>
      <c r="M248" s="799"/>
      <c r="N248" s="799"/>
      <c r="O248" s="799"/>
      <c r="P248" s="799"/>
      <c r="Q248" s="799"/>
      <c r="R248" s="799"/>
      <c r="S248" s="799"/>
      <c r="T248" s="799"/>
      <c r="U248" s="799"/>
      <c r="V248" s="799"/>
      <c r="W248" s="799"/>
      <c r="X248" s="799"/>
      <c r="Y248" s="799"/>
      <c r="Z248" s="799"/>
      <c r="AA248" s="799"/>
      <c r="AB248" s="799"/>
      <c r="AC248" s="799"/>
      <c r="AD248" s="799"/>
      <c r="AE248" s="799"/>
      <c r="AF248" s="799"/>
      <c r="AG248" s="799"/>
      <c r="AH248" s="799"/>
      <c r="AI248" s="799"/>
      <c r="AJ248" s="799"/>
      <c r="AK248" s="799"/>
      <c r="AL248" s="799"/>
      <c r="AM248" s="799"/>
      <c r="AN248" s="799"/>
      <c r="AO248" s="799"/>
      <c r="AP248" s="799"/>
      <c r="AQ248" s="799"/>
      <c r="AR248" s="799"/>
      <c r="AS248" s="799"/>
      <c r="AT248" s="799"/>
      <c r="AU248" s="799"/>
      <c r="AV248" s="799"/>
      <c r="AW248" s="799"/>
      <c r="AX248" s="799"/>
      <c r="AY248" s="799"/>
      <c r="AZ248" s="799"/>
      <c r="BA248" s="799"/>
      <c r="BB248" s="799"/>
      <c r="BC248" s="799"/>
      <c r="BD248" s="799"/>
      <c r="BE248" s="799"/>
      <c r="BF248" s="799"/>
      <c r="BG248" s="799"/>
    </row>
    <row r="249">
      <c r="H249" s="799"/>
      <c r="I249" s="799"/>
      <c r="J249" s="799"/>
      <c r="K249" s="799"/>
      <c r="L249" s="799"/>
      <c r="M249" s="799"/>
      <c r="N249" s="799"/>
      <c r="O249" s="799"/>
      <c r="P249" s="799"/>
      <c r="Q249" s="799"/>
      <c r="R249" s="799"/>
      <c r="S249" s="799"/>
      <c r="T249" s="799"/>
      <c r="U249" s="799"/>
      <c r="V249" s="799"/>
      <c r="W249" s="799"/>
      <c r="X249" s="799"/>
      <c r="Y249" s="799"/>
      <c r="Z249" s="799"/>
      <c r="AA249" s="799"/>
      <c r="AB249" s="799"/>
      <c r="AC249" s="799"/>
      <c r="AD249" s="799"/>
      <c r="AE249" s="799"/>
      <c r="AF249" s="799"/>
      <c r="AG249" s="799"/>
      <c r="AH249" s="799"/>
      <c r="AI249" s="799"/>
      <c r="AJ249" s="799"/>
      <c r="AK249" s="799"/>
      <c r="AL249" s="799"/>
      <c r="AM249" s="799"/>
      <c r="AN249" s="799"/>
      <c r="AO249" s="799"/>
      <c r="AP249" s="799"/>
      <c r="AQ249" s="799"/>
      <c r="AR249" s="799"/>
      <c r="AS249" s="799"/>
      <c r="AT249" s="799"/>
      <c r="AU249" s="799"/>
      <c r="AV249" s="799"/>
      <c r="AW249" s="799"/>
      <c r="AX249" s="799"/>
      <c r="AY249" s="799"/>
      <c r="AZ249" s="799"/>
      <c r="BA249" s="799"/>
      <c r="BB249" s="799"/>
      <c r="BC249" s="799"/>
      <c r="BD249" s="799"/>
      <c r="BE249" s="799"/>
      <c r="BF249" s="799"/>
      <c r="BG249" s="799"/>
    </row>
    <row r="250">
      <c r="H250" s="799"/>
      <c r="I250" s="799"/>
      <c r="J250" s="799"/>
      <c r="K250" s="799"/>
      <c r="L250" s="799"/>
      <c r="M250" s="799"/>
      <c r="N250" s="799"/>
      <c r="O250" s="799"/>
      <c r="P250" s="799"/>
      <c r="Q250" s="799"/>
      <c r="R250" s="799"/>
      <c r="S250" s="799"/>
      <c r="T250" s="799"/>
      <c r="U250" s="799"/>
      <c r="V250" s="799"/>
      <c r="W250" s="799"/>
      <c r="X250" s="799"/>
      <c r="Y250" s="799"/>
      <c r="Z250" s="799"/>
      <c r="AA250" s="799"/>
      <c r="AB250" s="799"/>
      <c r="AC250" s="799"/>
      <c r="AD250" s="799"/>
      <c r="AE250" s="799"/>
      <c r="AF250" s="799"/>
      <c r="AG250" s="799"/>
      <c r="AH250" s="799"/>
      <c r="AI250" s="799"/>
      <c r="AJ250" s="799"/>
      <c r="AK250" s="799"/>
      <c r="AL250" s="799"/>
      <c r="AM250" s="799"/>
      <c r="AN250" s="799"/>
      <c r="AO250" s="799"/>
      <c r="AP250" s="799"/>
      <c r="AQ250" s="799"/>
      <c r="AR250" s="799"/>
      <c r="AS250" s="799"/>
      <c r="AT250" s="799"/>
      <c r="AU250" s="799"/>
      <c r="AV250" s="799"/>
      <c r="AW250" s="799"/>
      <c r="AX250" s="799"/>
      <c r="AY250" s="799"/>
      <c r="AZ250" s="799"/>
      <c r="BA250" s="799"/>
      <c r="BB250" s="799"/>
      <c r="BC250" s="799"/>
      <c r="BD250" s="799"/>
      <c r="BE250" s="799"/>
      <c r="BF250" s="799"/>
      <c r="BG250" s="799"/>
    </row>
    <row r="251">
      <c r="H251" s="799"/>
      <c r="I251" s="799"/>
      <c r="J251" s="799"/>
      <c r="K251" s="799"/>
      <c r="L251" s="799"/>
      <c r="M251" s="799"/>
      <c r="N251" s="799"/>
      <c r="O251" s="799"/>
      <c r="P251" s="799"/>
      <c r="Q251" s="799"/>
      <c r="R251" s="799"/>
      <c r="S251" s="799"/>
      <c r="T251" s="799"/>
      <c r="U251" s="799"/>
      <c r="V251" s="799"/>
      <c r="W251" s="799"/>
      <c r="X251" s="799"/>
      <c r="Y251" s="799"/>
      <c r="Z251" s="799"/>
      <c r="AA251" s="799"/>
      <c r="AB251" s="799"/>
      <c r="AC251" s="799"/>
      <c r="AD251" s="799"/>
      <c r="AE251" s="799"/>
      <c r="AF251" s="799"/>
      <c r="AG251" s="799"/>
      <c r="AH251" s="799"/>
      <c r="AI251" s="799"/>
      <c r="AJ251" s="799"/>
      <c r="AK251" s="799"/>
      <c r="AL251" s="799"/>
      <c r="AM251" s="799"/>
      <c r="AN251" s="799"/>
      <c r="AO251" s="799"/>
      <c r="AP251" s="799"/>
      <c r="AQ251" s="799"/>
      <c r="AR251" s="799"/>
      <c r="AS251" s="799"/>
      <c r="AT251" s="799"/>
      <c r="AU251" s="799"/>
      <c r="AV251" s="799"/>
      <c r="AW251" s="799"/>
      <c r="AX251" s="799"/>
      <c r="AY251" s="799"/>
      <c r="AZ251" s="799"/>
      <c r="BA251" s="799"/>
      <c r="BB251" s="799"/>
      <c r="BC251" s="799"/>
      <c r="BD251" s="799"/>
      <c r="BE251" s="799"/>
      <c r="BF251" s="799"/>
      <c r="BG251" s="799"/>
    </row>
    <row r="252">
      <c r="H252" s="799"/>
      <c r="I252" s="799"/>
      <c r="J252" s="799"/>
      <c r="K252" s="799"/>
      <c r="L252" s="799"/>
      <c r="M252" s="799"/>
      <c r="N252" s="799"/>
      <c r="O252" s="799"/>
      <c r="P252" s="799"/>
      <c r="Q252" s="799"/>
      <c r="R252" s="799"/>
      <c r="S252" s="799"/>
      <c r="T252" s="799"/>
      <c r="U252" s="799"/>
      <c r="V252" s="799"/>
      <c r="W252" s="799"/>
      <c r="X252" s="799"/>
      <c r="Y252" s="799"/>
      <c r="Z252" s="799"/>
      <c r="AA252" s="799"/>
      <c r="AB252" s="799"/>
      <c r="AC252" s="799"/>
      <c r="AD252" s="799"/>
      <c r="AE252" s="799"/>
      <c r="AF252" s="799"/>
      <c r="AG252" s="799"/>
      <c r="AH252" s="799"/>
      <c r="AI252" s="799"/>
      <c r="AJ252" s="799"/>
      <c r="AK252" s="799"/>
      <c r="AL252" s="799"/>
      <c r="AM252" s="799"/>
      <c r="AN252" s="799"/>
      <c r="AO252" s="799"/>
      <c r="AP252" s="799"/>
      <c r="AQ252" s="799"/>
      <c r="AR252" s="799"/>
      <c r="AS252" s="799"/>
      <c r="AT252" s="799"/>
      <c r="AU252" s="799"/>
      <c r="AV252" s="799"/>
      <c r="AW252" s="799"/>
      <c r="AX252" s="799"/>
      <c r="AY252" s="799"/>
      <c r="AZ252" s="799"/>
      <c r="BA252" s="799"/>
      <c r="BB252" s="799"/>
      <c r="BC252" s="799"/>
      <c r="BD252" s="799"/>
      <c r="BE252" s="799"/>
      <c r="BF252" s="799"/>
      <c r="BG252" s="799"/>
    </row>
    <row r="253">
      <c r="H253" s="799"/>
      <c r="I253" s="799"/>
      <c r="J253" s="799"/>
      <c r="K253" s="799"/>
      <c r="L253" s="799"/>
      <c r="M253" s="799"/>
      <c r="N253" s="799"/>
      <c r="O253" s="799"/>
      <c r="P253" s="799"/>
      <c r="Q253" s="799"/>
      <c r="R253" s="799"/>
      <c r="S253" s="799"/>
      <c r="T253" s="799"/>
      <c r="U253" s="799"/>
      <c r="V253" s="799"/>
      <c r="W253" s="799"/>
      <c r="X253" s="799"/>
      <c r="Y253" s="799"/>
      <c r="Z253" s="799"/>
      <c r="AA253" s="799"/>
      <c r="AB253" s="799"/>
      <c r="AC253" s="799"/>
      <c r="AD253" s="799"/>
      <c r="AE253" s="799"/>
      <c r="AF253" s="799"/>
      <c r="AG253" s="799"/>
      <c r="AH253" s="799"/>
      <c r="AI253" s="799"/>
      <c r="AJ253" s="799"/>
      <c r="AK253" s="799"/>
      <c r="AL253" s="799"/>
      <c r="AM253" s="799"/>
      <c r="AN253" s="799"/>
      <c r="AO253" s="799"/>
      <c r="AP253" s="799"/>
      <c r="AQ253" s="799"/>
      <c r="AR253" s="799"/>
      <c r="AS253" s="799"/>
      <c r="AT253" s="799"/>
      <c r="AU253" s="799"/>
      <c r="AV253" s="799"/>
      <c r="AW253" s="799"/>
      <c r="AX253" s="799"/>
      <c r="AY253" s="799"/>
      <c r="AZ253" s="799"/>
      <c r="BA253" s="799"/>
      <c r="BB253" s="799"/>
      <c r="BC253" s="799"/>
      <c r="BD253" s="799"/>
      <c r="BE253" s="799"/>
      <c r="BF253" s="799"/>
      <c r="BG253" s="799"/>
    </row>
    <row r="254">
      <c r="H254" s="799"/>
      <c r="I254" s="799"/>
      <c r="J254" s="799"/>
      <c r="K254" s="799"/>
      <c r="L254" s="799"/>
      <c r="M254" s="799"/>
      <c r="N254" s="799"/>
      <c r="O254" s="799"/>
      <c r="P254" s="799"/>
      <c r="Q254" s="799"/>
      <c r="R254" s="799"/>
      <c r="S254" s="799"/>
      <c r="T254" s="799"/>
      <c r="U254" s="799"/>
      <c r="V254" s="799"/>
      <c r="W254" s="799"/>
      <c r="X254" s="799"/>
      <c r="Y254" s="799"/>
      <c r="Z254" s="799"/>
      <c r="AA254" s="799"/>
      <c r="AB254" s="799"/>
      <c r="AC254" s="799"/>
      <c r="AD254" s="799"/>
      <c r="AE254" s="799"/>
      <c r="AF254" s="799"/>
      <c r="AG254" s="799"/>
      <c r="AH254" s="799"/>
      <c r="AI254" s="799"/>
      <c r="AJ254" s="799"/>
      <c r="AK254" s="799"/>
      <c r="AL254" s="799"/>
      <c r="AM254" s="799"/>
      <c r="AN254" s="799"/>
      <c r="AO254" s="799"/>
      <c r="AP254" s="799"/>
      <c r="AQ254" s="799"/>
      <c r="AR254" s="799"/>
      <c r="AS254" s="799"/>
      <c r="AT254" s="799"/>
      <c r="AU254" s="799"/>
      <c r="AV254" s="799"/>
      <c r="AW254" s="799"/>
      <c r="AX254" s="799"/>
      <c r="AY254" s="799"/>
      <c r="AZ254" s="799"/>
      <c r="BA254" s="799"/>
      <c r="BB254" s="799"/>
      <c r="BC254" s="799"/>
      <c r="BD254" s="799"/>
      <c r="BE254" s="799"/>
      <c r="BF254" s="799"/>
      <c r="BG254" s="799"/>
    </row>
    <row r="255">
      <c r="H255" s="799"/>
      <c r="I255" s="799"/>
      <c r="J255" s="799"/>
      <c r="K255" s="799"/>
      <c r="L255" s="799"/>
      <c r="M255" s="799"/>
      <c r="N255" s="799"/>
      <c r="O255" s="799"/>
      <c r="P255" s="799"/>
      <c r="Q255" s="799"/>
      <c r="R255" s="799"/>
      <c r="S255" s="799"/>
      <c r="T255" s="799"/>
      <c r="U255" s="799"/>
      <c r="V255" s="799"/>
      <c r="W255" s="799"/>
      <c r="X255" s="799"/>
      <c r="Y255" s="799"/>
      <c r="Z255" s="799"/>
      <c r="AA255" s="799"/>
      <c r="AB255" s="799"/>
      <c r="AC255" s="799"/>
      <c r="AD255" s="799"/>
      <c r="AE255" s="799"/>
      <c r="AF255" s="799"/>
      <c r="AG255" s="799"/>
      <c r="AH255" s="799"/>
      <c r="AI255" s="799"/>
      <c r="AJ255" s="799"/>
      <c r="AK255" s="799"/>
      <c r="AL255" s="799"/>
      <c r="AM255" s="799"/>
      <c r="AN255" s="799"/>
      <c r="AO255" s="799"/>
      <c r="AP255" s="799"/>
      <c r="AQ255" s="799"/>
      <c r="AR255" s="799"/>
      <c r="AS255" s="799"/>
      <c r="AT255" s="799"/>
      <c r="AU255" s="799"/>
      <c r="AV255" s="799"/>
      <c r="AW255" s="799"/>
      <c r="AX255" s="799"/>
      <c r="AY255" s="799"/>
      <c r="AZ255" s="799"/>
      <c r="BA255" s="799"/>
      <c r="BB255" s="799"/>
      <c r="BC255" s="799"/>
      <c r="BD255" s="799"/>
      <c r="BE255" s="799"/>
      <c r="BF255" s="799"/>
      <c r="BG255" s="799"/>
    </row>
    <row r="256">
      <c r="H256" s="799"/>
      <c r="I256" s="799"/>
      <c r="J256" s="799"/>
      <c r="K256" s="799"/>
      <c r="L256" s="799"/>
      <c r="M256" s="799"/>
      <c r="N256" s="799"/>
      <c r="O256" s="799"/>
      <c r="P256" s="799"/>
      <c r="Q256" s="799"/>
      <c r="R256" s="799"/>
      <c r="S256" s="799"/>
      <c r="T256" s="799"/>
      <c r="U256" s="799"/>
      <c r="V256" s="799"/>
      <c r="W256" s="799"/>
      <c r="X256" s="799"/>
      <c r="Y256" s="799"/>
      <c r="Z256" s="799"/>
      <c r="AA256" s="799"/>
      <c r="AB256" s="799"/>
      <c r="AC256" s="799"/>
      <c r="AD256" s="799"/>
      <c r="AE256" s="799"/>
      <c r="AF256" s="799"/>
      <c r="AG256" s="799"/>
      <c r="AH256" s="799"/>
      <c r="AI256" s="799"/>
      <c r="AJ256" s="799"/>
      <c r="AK256" s="799"/>
      <c r="AL256" s="799"/>
      <c r="AM256" s="799"/>
      <c r="AN256" s="799"/>
      <c r="AO256" s="799"/>
      <c r="AP256" s="799"/>
      <c r="AQ256" s="799"/>
      <c r="AR256" s="799"/>
      <c r="AS256" s="799"/>
      <c r="AT256" s="799"/>
      <c r="AU256" s="799"/>
      <c r="AV256" s="799"/>
      <c r="AW256" s="799"/>
      <c r="AX256" s="799"/>
      <c r="AY256" s="799"/>
      <c r="AZ256" s="799"/>
      <c r="BA256" s="799"/>
      <c r="BB256" s="799"/>
      <c r="BC256" s="799"/>
      <c r="BD256" s="799"/>
      <c r="BE256" s="799"/>
      <c r="BF256" s="799"/>
      <c r="BG256" s="799"/>
    </row>
    <row r="257">
      <c r="H257" s="799"/>
      <c r="I257" s="799"/>
      <c r="J257" s="799"/>
      <c r="K257" s="799"/>
      <c r="L257" s="799"/>
      <c r="M257" s="799"/>
      <c r="N257" s="799"/>
      <c r="O257" s="799"/>
      <c r="P257" s="799"/>
      <c r="Q257" s="799"/>
      <c r="R257" s="799"/>
      <c r="S257" s="799"/>
      <c r="T257" s="799"/>
      <c r="U257" s="799"/>
      <c r="V257" s="799"/>
      <c r="W257" s="799"/>
      <c r="X257" s="799"/>
      <c r="Y257" s="799"/>
      <c r="Z257" s="799"/>
      <c r="AA257" s="799"/>
      <c r="AB257" s="799"/>
      <c r="AC257" s="799"/>
      <c r="AD257" s="799"/>
      <c r="AE257" s="799"/>
      <c r="AF257" s="799"/>
      <c r="AG257" s="799"/>
      <c r="AH257" s="799"/>
      <c r="AI257" s="799"/>
      <c r="AJ257" s="799"/>
      <c r="AK257" s="799"/>
      <c r="AL257" s="799"/>
      <c r="AM257" s="799"/>
      <c r="AN257" s="799"/>
      <c r="AO257" s="799"/>
      <c r="AP257" s="799"/>
      <c r="AQ257" s="799"/>
      <c r="AR257" s="799"/>
      <c r="AS257" s="799"/>
      <c r="AT257" s="799"/>
      <c r="AU257" s="799"/>
      <c r="AV257" s="799"/>
      <c r="AW257" s="799"/>
      <c r="AX257" s="799"/>
      <c r="AY257" s="799"/>
      <c r="AZ257" s="799"/>
      <c r="BA257" s="799"/>
      <c r="BB257" s="799"/>
      <c r="BC257" s="799"/>
      <c r="BD257" s="799"/>
      <c r="BE257" s="799"/>
      <c r="BF257" s="799"/>
      <c r="BG257" s="799"/>
    </row>
    <row r="258">
      <c r="H258" s="799"/>
      <c r="I258" s="799"/>
      <c r="J258" s="799"/>
      <c r="K258" s="799"/>
      <c r="L258" s="799"/>
      <c r="M258" s="799"/>
      <c r="N258" s="799"/>
      <c r="O258" s="799"/>
      <c r="P258" s="799"/>
      <c r="Q258" s="799"/>
      <c r="R258" s="799"/>
      <c r="S258" s="799"/>
      <c r="T258" s="799"/>
      <c r="U258" s="799"/>
      <c r="V258" s="799"/>
      <c r="W258" s="799"/>
      <c r="X258" s="799"/>
      <c r="Y258" s="799"/>
      <c r="Z258" s="799"/>
      <c r="AA258" s="799"/>
      <c r="AB258" s="799"/>
      <c r="AC258" s="799"/>
      <c r="AD258" s="799"/>
      <c r="AE258" s="799"/>
      <c r="AF258" s="799"/>
      <c r="AG258" s="799"/>
      <c r="AH258" s="799"/>
      <c r="AI258" s="799"/>
      <c r="AJ258" s="799"/>
      <c r="AK258" s="799"/>
      <c r="AL258" s="799"/>
      <c r="AM258" s="799"/>
      <c r="AN258" s="799"/>
      <c r="AO258" s="799"/>
      <c r="AP258" s="799"/>
      <c r="AQ258" s="799"/>
      <c r="AR258" s="799"/>
      <c r="AS258" s="799"/>
      <c r="AT258" s="799"/>
      <c r="AU258" s="799"/>
      <c r="AV258" s="799"/>
      <c r="AW258" s="799"/>
      <c r="AX258" s="799"/>
      <c r="AY258" s="799"/>
      <c r="AZ258" s="799"/>
      <c r="BA258" s="799"/>
      <c r="BB258" s="799"/>
      <c r="BC258" s="799"/>
      <c r="BD258" s="799"/>
      <c r="BE258" s="799"/>
      <c r="BF258" s="799"/>
      <c r="BG258" s="799"/>
    </row>
    <row r="259">
      <c r="H259" s="799"/>
      <c r="I259" s="799"/>
      <c r="J259" s="799"/>
      <c r="K259" s="799"/>
      <c r="L259" s="799"/>
      <c r="M259" s="799"/>
      <c r="N259" s="799"/>
      <c r="O259" s="799"/>
      <c r="P259" s="799"/>
      <c r="Q259" s="799"/>
      <c r="R259" s="799"/>
      <c r="S259" s="799"/>
      <c r="T259" s="799"/>
      <c r="U259" s="799"/>
      <c r="V259" s="799"/>
      <c r="W259" s="799"/>
      <c r="X259" s="799"/>
      <c r="Y259" s="799"/>
      <c r="Z259" s="799"/>
      <c r="AA259" s="799"/>
      <c r="AB259" s="799"/>
      <c r="AC259" s="799"/>
      <c r="AD259" s="799"/>
      <c r="AE259" s="799"/>
      <c r="AF259" s="799"/>
      <c r="AG259" s="799"/>
      <c r="AH259" s="799"/>
      <c r="AI259" s="799"/>
      <c r="AJ259" s="799"/>
      <c r="AK259" s="799"/>
      <c r="AL259" s="799"/>
      <c r="AM259" s="799"/>
      <c r="AN259" s="799"/>
      <c r="AO259" s="799"/>
      <c r="AP259" s="799"/>
      <c r="AQ259" s="799"/>
      <c r="AR259" s="799"/>
      <c r="AS259" s="799"/>
      <c r="AT259" s="799"/>
      <c r="AU259" s="799"/>
      <c r="AV259" s="799"/>
      <c r="AW259" s="799"/>
      <c r="AX259" s="799"/>
      <c r="AY259" s="799"/>
      <c r="AZ259" s="799"/>
      <c r="BA259" s="799"/>
      <c r="BB259" s="799"/>
      <c r="BC259" s="799"/>
      <c r="BD259" s="799"/>
      <c r="BE259" s="799"/>
      <c r="BF259" s="799"/>
      <c r="BG259" s="799"/>
    </row>
    <row r="260">
      <c r="H260" s="799"/>
      <c r="I260" s="799"/>
      <c r="J260" s="799"/>
      <c r="K260" s="799"/>
      <c r="L260" s="799"/>
      <c r="M260" s="799"/>
      <c r="N260" s="799"/>
      <c r="O260" s="799"/>
      <c r="P260" s="799"/>
      <c r="Q260" s="799"/>
      <c r="R260" s="799"/>
      <c r="S260" s="799"/>
      <c r="T260" s="799"/>
      <c r="U260" s="799"/>
      <c r="V260" s="799"/>
      <c r="W260" s="799"/>
      <c r="X260" s="799"/>
      <c r="Y260" s="799"/>
      <c r="Z260" s="799"/>
      <c r="AA260" s="799"/>
      <c r="AB260" s="799"/>
      <c r="AC260" s="799"/>
      <c r="AD260" s="799"/>
      <c r="AE260" s="799"/>
      <c r="AF260" s="799"/>
      <c r="AG260" s="799"/>
      <c r="AH260" s="799"/>
      <c r="AI260" s="799"/>
      <c r="AJ260" s="799"/>
      <c r="AK260" s="799"/>
      <c r="AL260" s="799"/>
      <c r="AM260" s="799"/>
      <c r="AN260" s="799"/>
      <c r="AO260" s="799"/>
      <c r="AP260" s="799"/>
      <c r="AQ260" s="799"/>
      <c r="AR260" s="799"/>
      <c r="AS260" s="799"/>
      <c r="AT260" s="799"/>
      <c r="AU260" s="799"/>
      <c r="AV260" s="799"/>
      <c r="AW260" s="799"/>
      <c r="AX260" s="799"/>
      <c r="AY260" s="799"/>
      <c r="AZ260" s="799"/>
      <c r="BA260" s="799"/>
      <c r="BB260" s="799"/>
      <c r="BC260" s="799"/>
      <c r="BD260" s="799"/>
      <c r="BE260" s="799"/>
      <c r="BF260" s="799"/>
      <c r="BG260" s="799"/>
    </row>
    <row r="261">
      <c r="H261" s="799"/>
      <c r="I261" s="799"/>
      <c r="J261" s="799"/>
      <c r="K261" s="799"/>
      <c r="L261" s="799"/>
      <c r="M261" s="799"/>
      <c r="N261" s="799"/>
      <c r="O261" s="799"/>
      <c r="P261" s="799"/>
      <c r="Q261" s="799"/>
      <c r="R261" s="799"/>
      <c r="S261" s="799"/>
      <c r="T261" s="799"/>
      <c r="U261" s="799"/>
      <c r="V261" s="799"/>
      <c r="W261" s="799"/>
      <c r="X261" s="799"/>
      <c r="Y261" s="799"/>
      <c r="Z261" s="799"/>
      <c r="AA261" s="799"/>
      <c r="AB261" s="799"/>
      <c r="AC261" s="799"/>
      <c r="AD261" s="799"/>
      <c r="AE261" s="799"/>
      <c r="AF261" s="799"/>
      <c r="AG261" s="799"/>
      <c r="AH261" s="799"/>
      <c r="AI261" s="799"/>
      <c r="AJ261" s="799"/>
      <c r="AK261" s="799"/>
      <c r="AL261" s="799"/>
      <c r="AM261" s="799"/>
      <c r="AN261" s="799"/>
      <c r="AO261" s="799"/>
      <c r="AP261" s="799"/>
      <c r="AQ261" s="799"/>
      <c r="AR261" s="799"/>
      <c r="AS261" s="799"/>
      <c r="AT261" s="799"/>
      <c r="AU261" s="799"/>
      <c r="AV261" s="799"/>
      <c r="AW261" s="799"/>
      <c r="AX261" s="799"/>
      <c r="AY261" s="799"/>
      <c r="AZ261" s="799"/>
      <c r="BA261" s="799"/>
      <c r="BB261" s="799"/>
      <c r="BC261" s="799"/>
      <c r="BD261" s="799"/>
      <c r="BE261" s="799"/>
      <c r="BF261" s="799"/>
      <c r="BG261" s="799"/>
    </row>
    <row r="262">
      <c r="H262" s="799"/>
      <c r="I262" s="799"/>
      <c r="J262" s="799"/>
      <c r="K262" s="799"/>
      <c r="L262" s="799"/>
      <c r="M262" s="799"/>
      <c r="N262" s="799"/>
      <c r="O262" s="799"/>
      <c r="P262" s="799"/>
      <c r="Q262" s="799"/>
      <c r="R262" s="799"/>
      <c r="S262" s="799"/>
      <c r="T262" s="799"/>
      <c r="U262" s="799"/>
      <c r="V262" s="799"/>
      <c r="W262" s="799"/>
      <c r="X262" s="799"/>
      <c r="Y262" s="799"/>
      <c r="Z262" s="799"/>
      <c r="AA262" s="799"/>
      <c r="AB262" s="799"/>
      <c r="AC262" s="799"/>
      <c r="AD262" s="799"/>
      <c r="AE262" s="799"/>
      <c r="AF262" s="799"/>
      <c r="AG262" s="799"/>
      <c r="AH262" s="799"/>
      <c r="AI262" s="799"/>
      <c r="AJ262" s="799"/>
      <c r="AK262" s="799"/>
      <c r="AL262" s="799"/>
      <c r="AM262" s="799"/>
      <c r="AN262" s="799"/>
      <c r="AO262" s="799"/>
      <c r="AP262" s="799"/>
      <c r="AQ262" s="799"/>
      <c r="AR262" s="799"/>
      <c r="AS262" s="799"/>
      <c r="AT262" s="799"/>
      <c r="AU262" s="799"/>
      <c r="AV262" s="799"/>
      <c r="AW262" s="799"/>
      <c r="AX262" s="799"/>
      <c r="AY262" s="799"/>
      <c r="AZ262" s="799"/>
      <c r="BA262" s="799"/>
      <c r="BB262" s="799"/>
      <c r="BC262" s="799"/>
      <c r="BD262" s="799"/>
      <c r="BE262" s="799"/>
      <c r="BF262" s="799"/>
      <c r="BG262" s="799"/>
    </row>
    <row r="263">
      <c r="H263" s="799"/>
      <c r="I263" s="799"/>
      <c r="J263" s="799"/>
      <c r="K263" s="799"/>
      <c r="L263" s="799"/>
      <c r="M263" s="799"/>
      <c r="N263" s="799"/>
      <c r="O263" s="799"/>
      <c r="P263" s="799"/>
      <c r="Q263" s="799"/>
      <c r="R263" s="799"/>
      <c r="S263" s="799"/>
      <c r="T263" s="799"/>
      <c r="U263" s="799"/>
      <c r="V263" s="799"/>
      <c r="W263" s="799"/>
      <c r="X263" s="799"/>
      <c r="Y263" s="799"/>
      <c r="Z263" s="799"/>
      <c r="AA263" s="799"/>
      <c r="AB263" s="799"/>
      <c r="AC263" s="799"/>
      <c r="AD263" s="799"/>
      <c r="AE263" s="799"/>
      <c r="AF263" s="799"/>
      <c r="AG263" s="799"/>
      <c r="AH263" s="799"/>
      <c r="AI263" s="799"/>
      <c r="AJ263" s="799"/>
      <c r="AK263" s="799"/>
      <c r="AL263" s="799"/>
      <c r="AM263" s="799"/>
      <c r="AN263" s="799"/>
      <c r="AO263" s="799"/>
      <c r="AP263" s="799"/>
      <c r="AQ263" s="799"/>
      <c r="AR263" s="799"/>
      <c r="AS263" s="799"/>
      <c r="AT263" s="799"/>
      <c r="AU263" s="799"/>
      <c r="AV263" s="799"/>
      <c r="AW263" s="799"/>
      <c r="AX263" s="799"/>
      <c r="AY263" s="799"/>
      <c r="AZ263" s="799"/>
      <c r="BA263" s="799"/>
      <c r="BB263" s="799"/>
      <c r="BC263" s="799"/>
      <c r="BD263" s="799"/>
      <c r="BE263" s="799"/>
      <c r="BF263" s="799"/>
      <c r="BG263" s="799"/>
    </row>
    <row r="264">
      <c r="H264" s="799"/>
      <c r="I264" s="799"/>
      <c r="J264" s="799"/>
      <c r="K264" s="799"/>
      <c r="L264" s="799"/>
      <c r="M264" s="799"/>
      <c r="N264" s="799"/>
      <c r="O264" s="799"/>
      <c r="P264" s="799"/>
      <c r="Q264" s="799"/>
      <c r="R264" s="799"/>
      <c r="S264" s="799"/>
      <c r="T264" s="799"/>
      <c r="U264" s="799"/>
      <c r="V264" s="799"/>
      <c r="W264" s="799"/>
      <c r="X264" s="799"/>
      <c r="Y264" s="799"/>
      <c r="Z264" s="799"/>
      <c r="AA264" s="799"/>
      <c r="AB264" s="799"/>
      <c r="AC264" s="799"/>
      <c r="AD264" s="799"/>
      <c r="AE264" s="799"/>
      <c r="AF264" s="799"/>
      <c r="AG264" s="799"/>
      <c r="AH264" s="799"/>
      <c r="AI264" s="799"/>
      <c r="AJ264" s="799"/>
      <c r="AK264" s="799"/>
      <c r="AL264" s="799"/>
      <c r="AM264" s="799"/>
      <c r="AN264" s="799"/>
      <c r="AO264" s="799"/>
      <c r="AP264" s="799"/>
      <c r="AQ264" s="799"/>
      <c r="AR264" s="799"/>
      <c r="AS264" s="799"/>
      <c r="AT264" s="799"/>
      <c r="AU264" s="799"/>
      <c r="AV264" s="799"/>
      <c r="AW264" s="799"/>
      <c r="AX264" s="799"/>
      <c r="AY264" s="799"/>
      <c r="AZ264" s="799"/>
      <c r="BA264" s="799"/>
      <c r="BB264" s="799"/>
      <c r="BC264" s="799"/>
      <c r="BD264" s="799"/>
      <c r="BE264" s="799"/>
      <c r="BF264" s="799"/>
      <c r="BG264" s="799"/>
    </row>
    <row r="265">
      <c r="H265" s="799"/>
      <c r="I265" s="799"/>
      <c r="J265" s="799"/>
      <c r="K265" s="799"/>
      <c r="L265" s="799"/>
      <c r="M265" s="799"/>
      <c r="N265" s="799"/>
      <c r="O265" s="799"/>
      <c r="P265" s="799"/>
      <c r="Q265" s="799"/>
      <c r="R265" s="799"/>
      <c r="S265" s="799"/>
      <c r="T265" s="799"/>
      <c r="U265" s="799"/>
      <c r="V265" s="799"/>
      <c r="W265" s="799"/>
      <c r="X265" s="799"/>
      <c r="Y265" s="799"/>
      <c r="Z265" s="799"/>
      <c r="AA265" s="799"/>
      <c r="AB265" s="799"/>
      <c r="AC265" s="799"/>
      <c r="AD265" s="799"/>
      <c r="AE265" s="799"/>
      <c r="AF265" s="799"/>
      <c r="AG265" s="799"/>
      <c r="AH265" s="799"/>
      <c r="AI265" s="799"/>
      <c r="AJ265" s="799"/>
      <c r="AK265" s="799"/>
      <c r="AL265" s="799"/>
      <c r="AM265" s="799"/>
      <c r="AN265" s="799"/>
      <c r="AO265" s="799"/>
      <c r="AP265" s="799"/>
      <c r="AQ265" s="799"/>
      <c r="AR265" s="799"/>
      <c r="AS265" s="799"/>
      <c r="AT265" s="799"/>
      <c r="AU265" s="799"/>
      <c r="AV265" s="799"/>
      <c r="AW265" s="799"/>
      <c r="AX265" s="799"/>
      <c r="AY265" s="799"/>
      <c r="AZ265" s="799"/>
      <c r="BA265" s="799"/>
      <c r="BB265" s="799"/>
      <c r="BC265" s="799"/>
      <c r="BD265" s="799"/>
      <c r="BE265" s="799"/>
      <c r="BF265" s="799"/>
      <c r="BG265" s="799"/>
    </row>
    <row r="266">
      <c r="H266" s="799"/>
      <c r="I266" s="799"/>
      <c r="J266" s="799"/>
      <c r="K266" s="799"/>
      <c r="L266" s="799"/>
      <c r="M266" s="799"/>
      <c r="N266" s="799"/>
      <c r="O266" s="799"/>
      <c r="P266" s="799"/>
      <c r="Q266" s="799"/>
      <c r="R266" s="799"/>
      <c r="S266" s="799"/>
      <c r="T266" s="799"/>
      <c r="U266" s="799"/>
      <c r="V266" s="799"/>
      <c r="W266" s="799"/>
      <c r="X266" s="799"/>
      <c r="Y266" s="799"/>
      <c r="Z266" s="799"/>
      <c r="AA266" s="799"/>
      <c r="AB266" s="799"/>
      <c r="AC266" s="799"/>
      <c r="AD266" s="799"/>
      <c r="AE266" s="799"/>
      <c r="AF266" s="799"/>
      <c r="AG266" s="799"/>
      <c r="AH266" s="799"/>
      <c r="AI266" s="799"/>
      <c r="AJ266" s="799"/>
      <c r="AK266" s="799"/>
      <c r="AL266" s="799"/>
      <c r="AM266" s="799"/>
      <c r="AN266" s="799"/>
      <c r="AO266" s="799"/>
      <c r="AP266" s="799"/>
      <c r="AQ266" s="799"/>
      <c r="AR266" s="799"/>
      <c r="AS266" s="799"/>
      <c r="AT266" s="799"/>
      <c r="AU266" s="799"/>
      <c r="AV266" s="799"/>
      <c r="AW266" s="799"/>
      <c r="AX266" s="799"/>
      <c r="AY266" s="799"/>
      <c r="AZ266" s="799"/>
      <c r="BA266" s="799"/>
      <c r="BB266" s="799"/>
      <c r="BC266" s="799"/>
      <c r="BD266" s="799"/>
      <c r="BE266" s="799"/>
      <c r="BF266" s="799"/>
      <c r="BG266" s="799"/>
    </row>
    <row r="267">
      <c r="H267" s="799"/>
      <c r="I267" s="799"/>
      <c r="J267" s="799"/>
      <c r="K267" s="799"/>
      <c r="L267" s="799"/>
      <c r="M267" s="799"/>
      <c r="N267" s="799"/>
      <c r="O267" s="799"/>
      <c r="P267" s="799"/>
      <c r="Q267" s="799"/>
      <c r="R267" s="799"/>
      <c r="S267" s="799"/>
      <c r="T267" s="799"/>
      <c r="U267" s="799"/>
      <c r="V267" s="799"/>
      <c r="W267" s="799"/>
      <c r="X267" s="799"/>
      <c r="Y267" s="799"/>
      <c r="Z267" s="799"/>
      <c r="AA267" s="799"/>
      <c r="AB267" s="799"/>
      <c r="AC267" s="799"/>
      <c r="AD267" s="799"/>
      <c r="AE267" s="799"/>
      <c r="AF267" s="799"/>
      <c r="AG267" s="799"/>
      <c r="AH267" s="799"/>
      <c r="AI267" s="799"/>
      <c r="AJ267" s="799"/>
      <c r="AK267" s="799"/>
      <c r="AL267" s="799"/>
      <c r="AM267" s="799"/>
      <c r="AN267" s="799"/>
      <c r="AO267" s="799"/>
      <c r="AP267" s="799"/>
      <c r="AQ267" s="799"/>
      <c r="AR267" s="799"/>
      <c r="AS267" s="799"/>
      <c r="AT267" s="799"/>
      <c r="AU267" s="799"/>
      <c r="AV267" s="799"/>
      <c r="AW267" s="799"/>
      <c r="AX267" s="799"/>
      <c r="AY267" s="799"/>
      <c r="AZ267" s="799"/>
      <c r="BA267" s="799"/>
      <c r="BB267" s="799"/>
      <c r="BC267" s="799"/>
      <c r="BD267" s="799"/>
      <c r="BE267" s="799"/>
      <c r="BF267" s="799"/>
      <c r="BG267" s="799"/>
    </row>
    <row r="268">
      <c r="H268" s="799"/>
      <c r="I268" s="799"/>
      <c r="J268" s="799"/>
      <c r="K268" s="799"/>
      <c r="L268" s="799"/>
      <c r="M268" s="799"/>
      <c r="N268" s="799"/>
      <c r="O268" s="799"/>
      <c r="P268" s="799"/>
      <c r="Q268" s="799"/>
      <c r="R268" s="799"/>
      <c r="S268" s="799"/>
      <c r="T268" s="799"/>
      <c r="U268" s="799"/>
      <c r="V268" s="799"/>
      <c r="W268" s="799"/>
      <c r="X268" s="799"/>
      <c r="Y268" s="799"/>
      <c r="Z268" s="799"/>
      <c r="AA268" s="799"/>
      <c r="AB268" s="799"/>
      <c r="AC268" s="799"/>
      <c r="AD268" s="799"/>
      <c r="AE268" s="799"/>
      <c r="AF268" s="799"/>
      <c r="AG268" s="799"/>
      <c r="AH268" s="799"/>
      <c r="AI268" s="799"/>
      <c r="AJ268" s="799"/>
      <c r="AK268" s="799"/>
      <c r="AL268" s="799"/>
      <c r="AM268" s="799"/>
      <c r="AN268" s="799"/>
      <c r="AO268" s="799"/>
      <c r="AP268" s="799"/>
      <c r="AQ268" s="799"/>
      <c r="AR268" s="799"/>
      <c r="AS268" s="799"/>
      <c r="AT268" s="799"/>
      <c r="AU268" s="799"/>
      <c r="AV268" s="799"/>
      <c r="AW268" s="799"/>
      <c r="AX268" s="799"/>
      <c r="AY268" s="799"/>
      <c r="AZ268" s="799"/>
      <c r="BA268" s="799"/>
      <c r="BB268" s="799"/>
      <c r="BC268" s="799"/>
      <c r="BD268" s="799"/>
      <c r="BE268" s="799"/>
      <c r="BF268" s="799"/>
      <c r="BG268" s="799"/>
    </row>
    <row r="269">
      <c r="H269" s="799"/>
      <c r="I269" s="799"/>
      <c r="J269" s="799"/>
      <c r="K269" s="799"/>
      <c r="L269" s="799"/>
      <c r="M269" s="799"/>
      <c r="N269" s="799"/>
      <c r="O269" s="799"/>
      <c r="P269" s="799"/>
      <c r="Q269" s="799"/>
      <c r="R269" s="799"/>
      <c r="S269" s="799"/>
      <c r="T269" s="799"/>
      <c r="U269" s="799"/>
      <c r="V269" s="799"/>
      <c r="W269" s="799"/>
      <c r="X269" s="799"/>
      <c r="Y269" s="799"/>
      <c r="Z269" s="799"/>
      <c r="AA269" s="799"/>
      <c r="AB269" s="799"/>
      <c r="AC269" s="799"/>
      <c r="AD269" s="799"/>
      <c r="AE269" s="799"/>
      <c r="AF269" s="799"/>
      <c r="AG269" s="799"/>
      <c r="AH269" s="799"/>
      <c r="AI269" s="799"/>
      <c r="AJ269" s="799"/>
      <c r="AK269" s="799"/>
      <c r="AL269" s="799"/>
      <c r="AM269" s="799"/>
      <c r="AN269" s="799"/>
      <c r="AO269" s="799"/>
      <c r="AP269" s="799"/>
      <c r="AQ269" s="799"/>
      <c r="AR269" s="799"/>
      <c r="AS269" s="799"/>
      <c r="AT269" s="799"/>
      <c r="AU269" s="799"/>
      <c r="AV269" s="799"/>
      <c r="AW269" s="799"/>
      <c r="AX269" s="799"/>
      <c r="AY269" s="799"/>
      <c r="AZ269" s="799"/>
      <c r="BA269" s="799"/>
      <c r="BB269" s="799"/>
      <c r="BC269" s="799"/>
      <c r="BD269" s="799"/>
      <c r="BE269" s="799"/>
      <c r="BF269" s="799"/>
      <c r="BG269" s="799"/>
    </row>
    <row r="270">
      <c r="H270" s="799"/>
      <c r="I270" s="799"/>
      <c r="J270" s="799"/>
      <c r="K270" s="799"/>
      <c r="L270" s="799"/>
      <c r="M270" s="799"/>
      <c r="N270" s="799"/>
      <c r="O270" s="799"/>
      <c r="P270" s="799"/>
      <c r="Q270" s="799"/>
      <c r="R270" s="799"/>
      <c r="S270" s="799"/>
      <c r="T270" s="799"/>
      <c r="U270" s="799"/>
      <c r="V270" s="799"/>
      <c r="W270" s="799"/>
      <c r="X270" s="799"/>
      <c r="Y270" s="799"/>
      <c r="Z270" s="799"/>
      <c r="AA270" s="799"/>
      <c r="AB270" s="799"/>
      <c r="AC270" s="799"/>
      <c r="AD270" s="799"/>
      <c r="AE270" s="799"/>
      <c r="AF270" s="799"/>
      <c r="AG270" s="799"/>
      <c r="AH270" s="799"/>
      <c r="AI270" s="799"/>
      <c r="AJ270" s="799"/>
      <c r="AK270" s="799"/>
      <c r="AL270" s="799"/>
      <c r="AM270" s="799"/>
      <c r="AN270" s="799"/>
      <c r="AO270" s="799"/>
      <c r="AP270" s="799"/>
      <c r="AQ270" s="799"/>
      <c r="AR270" s="799"/>
      <c r="AS270" s="799"/>
      <c r="AT270" s="799"/>
      <c r="AU270" s="799"/>
      <c r="AV270" s="799"/>
      <c r="AW270" s="799"/>
      <c r="AX270" s="799"/>
      <c r="AY270" s="799"/>
      <c r="AZ270" s="799"/>
      <c r="BA270" s="799"/>
      <c r="BB270" s="799"/>
      <c r="BC270" s="799"/>
      <c r="BD270" s="799"/>
      <c r="BE270" s="799"/>
      <c r="BF270" s="799"/>
      <c r="BG270" s="799"/>
    </row>
    <row r="271">
      <c r="H271" s="799"/>
      <c r="I271" s="799"/>
      <c r="J271" s="799"/>
      <c r="K271" s="799"/>
      <c r="L271" s="799"/>
      <c r="M271" s="799"/>
      <c r="N271" s="799"/>
      <c r="O271" s="799"/>
      <c r="P271" s="799"/>
      <c r="Q271" s="799"/>
      <c r="R271" s="799"/>
      <c r="S271" s="799"/>
      <c r="T271" s="799"/>
      <c r="U271" s="799"/>
      <c r="V271" s="799"/>
      <c r="W271" s="799"/>
      <c r="X271" s="799"/>
      <c r="Y271" s="799"/>
      <c r="Z271" s="799"/>
      <c r="AA271" s="799"/>
      <c r="AB271" s="799"/>
      <c r="AC271" s="799"/>
      <c r="AD271" s="799"/>
      <c r="AE271" s="799"/>
      <c r="AF271" s="799"/>
      <c r="AG271" s="799"/>
      <c r="AH271" s="799"/>
      <c r="AI271" s="799"/>
      <c r="AJ271" s="799"/>
      <c r="AK271" s="799"/>
      <c r="AL271" s="799"/>
      <c r="AM271" s="799"/>
      <c r="AN271" s="799"/>
      <c r="AO271" s="799"/>
      <c r="AP271" s="799"/>
      <c r="AQ271" s="799"/>
      <c r="AR271" s="799"/>
      <c r="AS271" s="799"/>
      <c r="AT271" s="799"/>
      <c r="AU271" s="799"/>
      <c r="AV271" s="799"/>
      <c r="AW271" s="799"/>
      <c r="AX271" s="799"/>
      <c r="AY271" s="799"/>
      <c r="AZ271" s="799"/>
      <c r="BA271" s="799"/>
      <c r="BB271" s="799"/>
      <c r="BC271" s="799"/>
      <c r="BD271" s="799"/>
      <c r="BE271" s="799"/>
      <c r="BF271" s="799"/>
      <c r="BG271" s="799"/>
    </row>
    <row r="272">
      <c r="H272" s="799"/>
      <c r="I272" s="799"/>
      <c r="J272" s="799"/>
      <c r="K272" s="799"/>
      <c r="L272" s="799"/>
      <c r="M272" s="799"/>
      <c r="N272" s="799"/>
      <c r="O272" s="799"/>
      <c r="P272" s="799"/>
      <c r="Q272" s="799"/>
      <c r="R272" s="799"/>
      <c r="S272" s="799"/>
      <c r="T272" s="799"/>
      <c r="U272" s="799"/>
      <c r="V272" s="799"/>
      <c r="W272" s="799"/>
      <c r="X272" s="799"/>
      <c r="Y272" s="799"/>
      <c r="Z272" s="799"/>
      <c r="AA272" s="799"/>
      <c r="AB272" s="799"/>
      <c r="AC272" s="799"/>
      <c r="AD272" s="799"/>
      <c r="AE272" s="799"/>
      <c r="AF272" s="799"/>
      <c r="AG272" s="799"/>
      <c r="AH272" s="799"/>
      <c r="AI272" s="799"/>
      <c r="AJ272" s="799"/>
      <c r="AK272" s="799"/>
      <c r="AL272" s="799"/>
      <c r="AM272" s="799"/>
      <c r="AN272" s="799"/>
      <c r="AO272" s="799"/>
      <c r="AP272" s="799"/>
      <c r="AQ272" s="799"/>
      <c r="AR272" s="799"/>
      <c r="AS272" s="799"/>
      <c r="AT272" s="799"/>
      <c r="AU272" s="799"/>
      <c r="AV272" s="799"/>
      <c r="AW272" s="799"/>
      <c r="AX272" s="799"/>
      <c r="AY272" s="799"/>
      <c r="AZ272" s="799"/>
      <c r="BA272" s="799"/>
      <c r="BB272" s="799"/>
      <c r="BC272" s="799"/>
      <c r="BD272" s="799"/>
      <c r="BE272" s="799"/>
      <c r="BF272" s="799"/>
      <c r="BG272" s="799"/>
    </row>
    <row r="273">
      <c r="H273" s="799"/>
      <c r="I273" s="799"/>
      <c r="J273" s="799"/>
      <c r="K273" s="799"/>
      <c r="L273" s="799"/>
      <c r="M273" s="799"/>
      <c r="N273" s="799"/>
      <c r="O273" s="799"/>
      <c r="P273" s="799"/>
      <c r="Q273" s="799"/>
      <c r="R273" s="799"/>
      <c r="S273" s="799"/>
      <c r="T273" s="799"/>
      <c r="U273" s="799"/>
      <c r="V273" s="799"/>
      <c r="W273" s="799"/>
      <c r="X273" s="799"/>
      <c r="Y273" s="799"/>
      <c r="Z273" s="799"/>
      <c r="AA273" s="799"/>
      <c r="AB273" s="799"/>
      <c r="AC273" s="799"/>
      <c r="AD273" s="799"/>
      <c r="AE273" s="799"/>
      <c r="AF273" s="799"/>
      <c r="AG273" s="799"/>
      <c r="AH273" s="799"/>
      <c r="AI273" s="799"/>
      <c r="AJ273" s="799"/>
      <c r="AK273" s="799"/>
      <c r="AL273" s="799"/>
      <c r="AM273" s="799"/>
      <c r="AN273" s="799"/>
      <c r="AO273" s="799"/>
      <c r="AP273" s="799"/>
      <c r="AQ273" s="799"/>
      <c r="AR273" s="799"/>
      <c r="AS273" s="799"/>
      <c r="AT273" s="799"/>
      <c r="AU273" s="799"/>
      <c r="AV273" s="799"/>
      <c r="AW273" s="799"/>
      <c r="AX273" s="799"/>
      <c r="AY273" s="799"/>
      <c r="AZ273" s="799"/>
      <c r="BA273" s="799"/>
      <c r="BB273" s="799"/>
      <c r="BC273" s="799"/>
      <c r="BD273" s="799"/>
      <c r="BE273" s="799"/>
      <c r="BF273" s="799"/>
      <c r="BG273" s="799"/>
    </row>
    <row r="274">
      <c r="H274" s="799"/>
      <c r="I274" s="799"/>
      <c r="J274" s="799"/>
      <c r="K274" s="799"/>
      <c r="L274" s="799"/>
      <c r="M274" s="799"/>
      <c r="N274" s="799"/>
      <c r="O274" s="799"/>
      <c r="P274" s="799"/>
      <c r="Q274" s="799"/>
      <c r="R274" s="799"/>
      <c r="S274" s="799"/>
      <c r="T274" s="799"/>
      <c r="U274" s="799"/>
      <c r="V274" s="799"/>
      <c r="W274" s="799"/>
      <c r="X274" s="799"/>
      <c r="Y274" s="799"/>
      <c r="Z274" s="799"/>
      <c r="AA274" s="799"/>
      <c r="AB274" s="799"/>
      <c r="AC274" s="799"/>
      <c r="AD274" s="799"/>
      <c r="AE274" s="799"/>
      <c r="AF274" s="799"/>
      <c r="AG274" s="799"/>
      <c r="AH274" s="799"/>
      <c r="AI274" s="799"/>
      <c r="AJ274" s="799"/>
      <c r="AK274" s="799"/>
      <c r="AL274" s="799"/>
      <c r="AM274" s="799"/>
      <c r="AN274" s="799"/>
      <c r="AO274" s="799"/>
      <c r="AP274" s="799"/>
      <c r="AQ274" s="799"/>
      <c r="AR274" s="799"/>
      <c r="AS274" s="799"/>
      <c r="AT274" s="799"/>
      <c r="AU274" s="799"/>
      <c r="AV274" s="799"/>
      <c r="AW274" s="799"/>
      <c r="AX274" s="799"/>
      <c r="AY274" s="799"/>
      <c r="AZ274" s="799"/>
      <c r="BA274" s="799"/>
      <c r="BB274" s="799"/>
      <c r="BC274" s="799"/>
      <c r="BD274" s="799"/>
      <c r="BE274" s="799"/>
      <c r="BF274" s="799"/>
      <c r="BG274" s="799"/>
    </row>
    <row r="275">
      <c r="H275" s="799"/>
      <c r="I275" s="799"/>
      <c r="J275" s="799"/>
      <c r="K275" s="799"/>
      <c r="L275" s="799"/>
      <c r="M275" s="799"/>
      <c r="N275" s="799"/>
      <c r="O275" s="799"/>
      <c r="P275" s="799"/>
      <c r="Q275" s="799"/>
      <c r="R275" s="799"/>
      <c r="S275" s="799"/>
      <c r="T275" s="799"/>
      <c r="U275" s="799"/>
      <c r="V275" s="799"/>
      <c r="W275" s="799"/>
      <c r="X275" s="799"/>
      <c r="Y275" s="799"/>
      <c r="Z275" s="799"/>
      <c r="AA275" s="799"/>
      <c r="AB275" s="799"/>
      <c r="AC275" s="799"/>
      <c r="AD275" s="799"/>
      <c r="AE275" s="799"/>
      <c r="AF275" s="799"/>
      <c r="AG275" s="799"/>
      <c r="AH275" s="799"/>
      <c r="AI275" s="799"/>
      <c r="AJ275" s="799"/>
      <c r="AK275" s="799"/>
      <c r="AL275" s="799"/>
      <c r="AM275" s="799"/>
      <c r="AN275" s="799"/>
      <c r="AO275" s="799"/>
      <c r="AP275" s="799"/>
      <c r="AQ275" s="799"/>
      <c r="AR275" s="799"/>
      <c r="AS275" s="799"/>
      <c r="AT275" s="799"/>
      <c r="AU275" s="799"/>
      <c r="AV275" s="799"/>
      <c r="AW275" s="799"/>
      <c r="AX275" s="799"/>
      <c r="AY275" s="799"/>
      <c r="AZ275" s="799"/>
      <c r="BA275" s="799"/>
      <c r="BB275" s="799"/>
      <c r="BC275" s="799"/>
      <c r="BD275" s="799"/>
      <c r="BE275" s="799"/>
      <c r="BF275" s="799"/>
      <c r="BG275" s="799"/>
    </row>
    <row r="276">
      <c r="H276" s="799"/>
      <c r="I276" s="799"/>
      <c r="J276" s="799"/>
      <c r="K276" s="799"/>
      <c r="L276" s="799"/>
      <c r="M276" s="799"/>
      <c r="N276" s="799"/>
      <c r="O276" s="799"/>
      <c r="P276" s="799"/>
      <c r="Q276" s="799"/>
      <c r="R276" s="799"/>
      <c r="S276" s="799"/>
      <c r="T276" s="799"/>
      <c r="U276" s="799"/>
      <c r="V276" s="799"/>
      <c r="W276" s="799"/>
      <c r="X276" s="799"/>
      <c r="Y276" s="799"/>
      <c r="Z276" s="799"/>
      <c r="AA276" s="799"/>
      <c r="AB276" s="799"/>
      <c r="AC276" s="799"/>
      <c r="AD276" s="799"/>
      <c r="AE276" s="799"/>
      <c r="AF276" s="799"/>
      <c r="AG276" s="799"/>
      <c r="AH276" s="799"/>
      <c r="AI276" s="799"/>
      <c r="AJ276" s="799"/>
      <c r="AK276" s="799"/>
      <c r="AL276" s="799"/>
      <c r="AM276" s="799"/>
      <c r="AN276" s="799"/>
      <c r="AO276" s="799"/>
      <c r="AP276" s="799"/>
      <c r="AQ276" s="799"/>
      <c r="AR276" s="799"/>
      <c r="AS276" s="799"/>
      <c r="AT276" s="799"/>
      <c r="AU276" s="799"/>
      <c r="AV276" s="799"/>
      <c r="AW276" s="799"/>
      <c r="AX276" s="799"/>
      <c r="AY276" s="799"/>
      <c r="AZ276" s="799"/>
      <c r="BA276" s="799"/>
      <c r="BB276" s="799"/>
      <c r="BC276" s="799"/>
      <c r="BD276" s="799"/>
      <c r="BE276" s="799"/>
      <c r="BF276" s="799"/>
      <c r="BG276" s="799"/>
    </row>
    <row r="277">
      <c r="H277" s="799"/>
      <c r="I277" s="799"/>
      <c r="J277" s="799"/>
      <c r="K277" s="799"/>
      <c r="L277" s="799"/>
      <c r="M277" s="799"/>
      <c r="N277" s="799"/>
      <c r="O277" s="799"/>
      <c r="P277" s="799"/>
      <c r="Q277" s="799"/>
      <c r="R277" s="799"/>
      <c r="S277" s="799"/>
      <c r="T277" s="799"/>
      <c r="U277" s="799"/>
      <c r="V277" s="799"/>
      <c r="W277" s="799"/>
      <c r="X277" s="799"/>
      <c r="Y277" s="799"/>
      <c r="Z277" s="799"/>
      <c r="AA277" s="799"/>
      <c r="AB277" s="799"/>
      <c r="AC277" s="799"/>
      <c r="AD277" s="799"/>
      <c r="AE277" s="799"/>
      <c r="AF277" s="799"/>
      <c r="AG277" s="799"/>
      <c r="AH277" s="799"/>
      <c r="AI277" s="799"/>
      <c r="AJ277" s="799"/>
      <c r="AK277" s="799"/>
      <c r="AL277" s="799"/>
      <c r="AM277" s="799"/>
      <c r="AN277" s="799"/>
      <c r="AO277" s="799"/>
      <c r="AP277" s="799"/>
      <c r="AQ277" s="799"/>
      <c r="AR277" s="799"/>
      <c r="AS277" s="799"/>
      <c r="AT277" s="799"/>
      <c r="AU277" s="799"/>
      <c r="AV277" s="799"/>
      <c r="AW277" s="799"/>
      <c r="AX277" s="799"/>
      <c r="AY277" s="799"/>
      <c r="AZ277" s="799"/>
      <c r="BA277" s="799"/>
      <c r="BB277" s="799"/>
      <c r="BC277" s="799"/>
      <c r="BD277" s="799"/>
      <c r="BE277" s="799"/>
      <c r="BF277" s="799"/>
      <c r="BG277" s="799"/>
    </row>
    <row r="278">
      <c r="H278" s="799"/>
      <c r="I278" s="799"/>
      <c r="J278" s="799"/>
      <c r="K278" s="799"/>
      <c r="L278" s="799"/>
      <c r="M278" s="799"/>
      <c r="N278" s="799"/>
      <c r="O278" s="799"/>
      <c r="P278" s="799"/>
      <c r="Q278" s="799"/>
      <c r="R278" s="799"/>
      <c r="S278" s="799"/>
      <c r="T278" s="799"/>
      <c r="U278" s="799"/>
      <c r="V278" s="799"/>
      <c r="W278" s="799"/>
      <c r="X278" s="799"/>
      <c r="Y278" s="799"/>
      <c r="Z278" s="799"/>
      <c r="AA278" s="799"/>
      <c r="AB278" s="799"/>
      <c r="AC278" s="799"/>
      <c r="AD278" s="799"/>
      <c r="AE278" s="799"/>
      <c r="AF278" s="799"/>
      <c r="AG278" s="799"/>
      <c r="AH278" s="799"/>
      <c r="AI278" s="799"/>
      <c r="AJ278" s="799"/>
      <c r="AK278" s="799"/>
      <c r="AL278" s="799"/>
      <c r="AM278" s="799"/>
      <c r="AN278" s="799"/>
      <c r="AO278" s="799"/>
      <c r="AP278" s="799"/>
      <c r="AQ278" s="799"/>
      <c r="AR278" s="799"/>
      <c r="AS278" s="799"/>
      <c r="AT278" s="799"/>
      <c r="AU278" s="799"/>
      <c r="AV278" s="799"/>
      <c r="AW278" s="799"/>
      <c r="AX278" s="799"/>
      <c r="AY278" s="799"/>
      <c r="AZ278" s="799"/>
      <c r="BA278" s="799"/>
      <c r="BB278" s="799"/>
      <c r="BC278" s="799"/>
      <c r="BD278" s="799"/>
      <c r="BE278" s="799"/>
      <c r="BF278" s="799"/>
      <c r="BG278" s="799"/>
    </row>
    <row r="279">
      <c r="H279" s="799"/>
      <c r="I279" s="799"/>
      <c r="J279" s="799"/>
      <c r="K279" s="799"/>
      <c r="L279" s="799"/>
      <c r="M279" s="799"/>
      <c r="N279" s="799"/>
      <c r="O279" s="799"/>
      <c r="P279" s="799"/>
      <c r="Q279" s="799"/>
      <c r="R279" s="799"/>
      <c r="S279" s="799"/>
      <c r="T279" s="799"/>
      <c r="U279" s="799"/>
      <c r="V279" s="799"/>
      <c r="W279" s="799"/>
      <c r="X279" s="799"/>
      <c r="Y279" s="799"/>
      <c r="Z279" s="799"/>
      <c r="AA279" s="799"/>
      <c r="AB279" s="799"/>
      <c r="AC279" s="799"/>
      <c r="AD279" s="799"/>
      <c r="AE279" s="799"/>
      <c r="AF279" s="799"/>
      <c r="AG279" s="799"/>
      <c r="AH279" s="799"/>
      <c r="AI279" s="799"/>
      <c r="AJ279" s="799"/>
      <c r="AK279" s="799"/>
      <c r="AL279" s="799"/>
      <c r="AM279" s="799"/>
      <c r="AN279" s="799"/>
      <c r="AO279" s="799"/>
      <c r="AP279" s="799"/>
      <c r="AQ279" s="799"/>
      <c r="AR279" s="799"/>
      <c r="AS279" s="799"/>
      <c r="AT279" s="799"/>
      <c r="AU279" s="799"/>
      <c r="AV279" s="799"/>
      <c r="AW279" s="799"/>
      <c r="AX279" s="799"/>
      <c r="AY279" s="799"/>
      <c r="AZ279" s="799"/>
      <c r="BA279" s="799"/>
      <c r="BB279" s="799"/>
      <c r="BC279" s="799"/>
      <c r="BD279" s="799"/>
      <c r="BE279" s="799"/>
      <c r="BF279" s="799"/>
      <c r="BG279" s="799"/>
    </row>
    <row r="280">
      <c r="H280" s="799"/>
      <c r="I280" s="799"/>
      <c r="J280" s="799"/>
      <c r="K280" s="799"/>
      <c r="L280" s="799"/>
      <c r="M280" s="799"/>
      <c r="N280" s="799"/>
      <c r="O280" s="799"/>
      <c r="P280" s="799"/>
      <c r="Q280" s="799"/>
      <c r="R280" s="799"/>
      <c r="S280" s="799"/>
      <c r="T280" s="799"/>
      <c r="U280" s="799"/>
      <c r="V280" s="799"/>
      <c r="W280" s="799"/>
      <c r="X280" s="799"/>
      <c r="Y280" s="799"/>
      <c r="Z280" s="799"/>
      <c r="AA280" s="799"/>
      <c r="AB280" s="799"/>
      <c r="AC280" s="799"/>
      <c r="AD280" s="799"/>
      <c r="AE280" s="799"/>
      <c r="AF280" s="799"/>
      <c r="AG280" s="799"/>
      <c r="AH280" s="799"/>
      <c r="AI280" s="799"/>
      <c r="AJ280" s="799"/>
      <c r="AK280" s="799"/>
      <c r="AL280" s="799"/>
      <c r="AM280" s="799"/>
      <c r="AN280" s="799"/>
      <c r="AO280" s="799"/>
      <c r="AP280" s="799"/>
      <c r="AQ280" s="799"/>
      <c r="AR280" s="799"/>
      <c r="AS280" s="799"/>
      <c r="AT280" s="799"/>
      <c r="AU280" s="799"/>
      <c r="AV280" s="799"/>
      <c r="AW280" s="799"/>
      <c r="AX280" s="799"/>
      <c r="AY280" s="799"/>
      <c r="AZ280" s="799"/>
      <c r="BA280" s="799"/>
      <c r="BB280" s="799"/>
      <c r="BC280" s="799"/>
      <c r="BD280" s="799"/>
      <c r="BE280" s="799"/>
      <c r="BF280" s="799"/>
      <c r="BG280" s="799"/>
    </row>
    <row r="281">
      <c r="H281" s="799"/>
      <c r="I281" s="799"/>
      <c r="J281" s="799"/>
      <c r="K281" s="799"/>
      <c r="L281" s="799"/>
      <c r="M281" s="799"/>
      <c r="N281" s="799"/>
      <c r="O281" s="799"/>
      <c r="P281" s="799"/>
      <c r="Q281" s="799"/>
      <c r="R281" s="799"/>
      <c r="S281" s="799"/>
      <c r="T281" s="799"/>
      <c r="U281" s="799"/>
      <c r="V281" s="799"/>
      <c r="W281" s="799"/>
      <c r="X281" s="799"/>
      <c r="Y281" s="799"/>
      <c r="Z281" s="799"/>
      <c r="AA281" s="799"/>
      <c r="AB281" s="799"/>
      <c r="AC281" s="799"/>
      <c r="AD281" s="799"/>
      <c r="AE281" s="799"/>
      <c r="AF281" s="799"/>
      <c r="AG281" s="799"/>
      <c r="AH281" s="799"/>
      <c r="AI281" s="799"/>
      <c r="AJ281" s="799"/>
      <c r="AK281" s="799"/>
      <c r="AL281" s="799"/>
      <c r="AM281" s="799"/>
      <c r="AN281" s="799"/>
      <c r="AO281" s="799"/>
      <c r="AP281" s="799"/>
      <c r="AQ281" s="799"/>
      <c r="AR281" s="799"/>
      <c r="AS281" s="799"/>
      <c r="AT281" s="799"/>
      <c r="AU281" s="799"/>
      <c r="AV281" s="799"/>
      <c r="AW281" s="799"/>
      <c r="AX281" s="799"/>
      <c r="AY281" s="799"/>
      <c r="AZ281" s="799"/>
      <c r="BA281" s="799"/>
      <c r="BB281" s="799"/>
      <c r="BC281" s="799"/>
      <c r="BD281" s="799"/>
      <c r="BE281" s="799"/>
      <c r="BF281" s="799"/>
      <c r="BG281" s="799"/>
    </row>
    <row r="282">
      <c r="H282" s="799"/>
      <c r="I282" s="799"/>
      <c r="J282" s="799"/>
      <c r="K282" s="799"/>
      <c r="L282" s="799"/>
      <c r="M282" s="799"/>
      <c r="N282" s="799"/>
      <c r="O282" s="799"/>
      <c r="P282" s="799"/>
      <c r="Q282" s="799"/>
      <c r="R282" s="799"/>
      <c r="S282" s="799"/>
      <c r="T282" s="799"/>
      <c r="U282" s="799"/>
      <c r="V282" s="799"/>
      <c r="W282" s="799"/>
      <c r="X282" s="799"/>
      <c r="Y282" s="799"/>
      <c r="Z282" s="799"/>
      <c r="AA282" s="799"/>
      <c r="AB282" s="799"/>
      <c r="AC282" s="799"/>
      <c r="AD282" s="799"/>
      <c r="AE282" s="799"/>
      <c r="AF282" s="799"/>
      <c r="AG282" s="799"/>
      <c r="AH282" s="799"/>
      <c r="AI282" s="799"/>
      <c r="AJ282" s="799"/>
      <c r="AK282" s="799"/>
      <c r="AL282" s="799"/>
      <c r="AM282" s="799"/>
      <c r="AN282" s="799"/>
      <c r="AO282" s="799"/>
      <c r="AP282" s="799"/>
      <c r="AQ282" s="799"/>
      <c r="AR282" s="799"/>
      <c r="AS282" s="799"/>
      <c r="AT282" s="799"/>
      <c r="AU282" s="799"/>
      <c r="AV282" s="799"/>
      <c r="AW282" s="799"/>
      <c r="AX282" s="799"/>
      <c r="AY282" s="799"/>
      <c r="AZ282" s="799"/>
      <c r="BA282" s="799"/>
      <c r="BB282" s="799"/>
      <c r="BC282" s="799"/>
      <c r="BD282" s="799"/>
      <c r="BE282" s="799"/>
      <c r="BF282" s="799"/>
      <c r="BG282" s="799"/>
    </row>
    <row r="283">
      <c r="H283" s="799"/>
      <c r="I283" s="799"/>
      <c r="J283" s="799"/>
      <c r="K283" s="799"/>
      <c r="L283" s="799"/>
      <c r="M283" s="799"/>
      <c r="N283" s="799"/>
      <c r="O283" s="799"/>
      <c r="P283" s="799"/>
      <c r="Q283" s="799"/>
      <c r="R283" s="799"/>
      <c r="S283" s="799"/>
      <c r="T283" s="799"/>
      <c r="U283" s="799"/>
      <c r="V283" s="799"/>
      <c r="W283" s="799"/>
      <c r="X283" s="799"/>
      <c r="Y283" s="799"/>
      <c r="Z283" s="799"/>
      <c r="AA283" s="799"/>
      <c r="AB283" s="799"/>
      <c r="AC283" s="799"/>
      <c r="AD283" s="799"/>
      <c r="AE283" s="799"/>
      <c r="AF283" s="799"/>
      <c r="AG283" s="799"/>
      <c r="AH283" s="799"/>
      <c r="AI283" s="799"/>
      <c r="AJ283" s="799"/>
      <c r="AK283" s="799"/>
      <c r="AL283" s="799"/>
      <c r="AM283" s="799"/>
      <c r="AN283" s="799"/>
      <c r="AO283" s="799"/>
      <c r="AP283" s="799"/>
      <c r="AQ283" s="799"/>
      <c r="AR283" s="799"/>
      <c r="AS283" s="799"/>
      <c r="AT283" s="799"/>
      <c r="AU283" s="799"/>
      <c r="AV283" s="799"/>
      <c r="AW283" s="799"/>
      <c r="AX283" s="799"/>
      <c r="AY283" s="799"/>
      <c r="AZ283" s="799"/>
      <c r="BA283" s="799"/>
      <c r="BB283" s="799"/>
      <c r="BC283" s="799"/>
      <c r="BD283" s="799"/>
      <c r="BE283" s="799"/>
      <c r="BF283" s="799"/>
      <c r="BG283" s="799"/>
    </row>
    <row r="284">
      <c r="H284" s="799"/>
      <c r="I284" s="799"/>
      <c r="J284" s="799"/>
      <c r="K284" s="799"/>
      <c r="L284" s="799"/>
      <c r="M284" s="799"/>
      <c r="N284" s="799"/>
      <c r="O284" s="799"/>
      <c r="P284" s="799"/>
      <c r="Q284" s="799"/>
      <c r="R284" s="799"/>
      <c r="S284" s="799"/>
      <c r="T284" s="799"/>
      <c r="U284" s="799"/>
      <c r="V284" s="799"/>
      <c r="W284" s="799"/>
      <c r="X284" s="799"/>
      <c r="Y284" s="799"/>
      <c r="Z284" s="799"/>
      <c r="AA284" s="799"/>
      <c r="AB284" s="799"/>
      <c r="AC284" s="799"/>
      <c r="AD284" s="799"/>
      <c r="AE284" s="799"/>
      <c r="AF284" s="799"/>
      <c r="AG284" s="799"/>
      <c r="AH284" s="799"/>
      <c r="AI284" s="799"/>
      <c r="AJ284" s="799"/>
      <c r="AK284" s="799"/>
      <c r="AL284" s="799"/>
      <c r="AM284" s="799"/>
      <c r="AN284" s="799"/>
      <c r="AO284" s="799"/>
      <c r="AP284" s="799"/>
      <c r="AQ284" s="799"/>
      <c r="AR284" s="799"/>
      <c r="AS284" s="799"/>
      <c r="AT284" s="799"/>
      <c r="AU284" s="799"/>
      <c r="AV284" s="799"/>
      <c r="AW284" s="799"/>
      <c r="AX284" s="799"/>
      <c r="AY284" s="799"/>
      <c r="AZ284" s="799"/>
      <c r="BA284" s="799"/>
      <c r="BB284" s="799"/>
      <c r="BC284" s="799"/>
      <c r="BD284" s="799"/>
      <c r="BE284" s="799"/>
      <c r="BF284" s="799"/>
      <c r="BG284" s="799"/>
    </row>
    <row r="285">
      <c r="H285" s="799"/>
      <c r="I285" s="799"/>
      <c r="J285" s="799"/>
      <c r="K285" s="799"/>
      <c r="L285" s="799"/>
      <c r="M285" s="799"/>
      <c r="N285" s="799"/>
      <c r="O285" s="799"/>
      <c r="P285" s="799"/>
      <c r="Q285" s="799"/>
      <c r="R285" s="799"/>
      <c r="S285" s="799"/>
      <c r="T285" s="799"/>
      <c r="U285" s="799"/>
      <c r="V285" s="799"/>
      <c r="W285" s="799"/>
      <c r="X285" s="799"/>
      <c r="Y285" s="799"/>
      <c r="Z285" s="799"/>
      <c r="AA285" s="799"/>
      <c r="AB285" s="799"/>
      <c r="AC285" s="799"/>
      <c r="AD285" s="799"/>
      <c r="AE285" s="799"/>
      <c r="AF285" s="799"/>
      <c r="AG285" s="799"/>
      <c r="AH285" s="799"/>
      <c r="AI285" s="799"/>
      <c r="AJ285" s="799"/>
      <c r="AK285" s="799"/>
      <c r="AL285" s="799"/>
      <c r="AM285" s="799"/>
      <c r="AN285" s="799"/>
      <c r="AO285" s="799"/>
      <c r="AP285" s="799"/>
      <c r="AQ285" s="799"/>
      <c r="AR285" s="799"/>
      <c r="AS285" s="799"/>
      <c r="AT285" s="799"/>
      <c r="AU285" s="799"/>
      <c r="AV285" s="799"/>
      <c r="AW285" s="799"/>
      <c r="AX285" s="799"/>
      <c r="AY285" s="799"/>
      <c r="AZ285" s="799"/>
      <c r="BA285" s="799"/>
      <c r="BB285" s="799"/>
      <c r="BC285" s="799"/>
      <c r="BD285" s="799"/>
      <c r="BE285" s="799"/>
      <c r="BF285" s="799"/>
      <c r="BG285" s="799"/>
    </row>
    <row r="286">
      <c r="H286" s="799"/>
      <c r="I286" s="799"/>
      <c r="J286" s="799"/>
      <c r="K286" s="799"/>
      <c r="L286" s="799"/>
      <c r="M286" s="799"/>
      <c r="N286" s="799"/>
      <c r="O286" s="799"/>
      <c r="P286" s="799"/>
      <c r="Q286" s="799"/>
      <c r="R286" s="799"/>
      <c r="S286" s="799"/>
      <c r="T286" s="799"/>
      <c r="U286" s="799"/>
      <c r="V286" s="799"/>
      <c r="W286" s="799"/>
      <c r="X286" s="799"/>
      <c r="Y286" s="799"/>
      <c r="Z286" s="799"/>
      <c r="AA286" s="799"/>
      <c r="AB286" s="799"/>
      <c r="AC286" s="799"/>
      <c r="AD286" s="799"/>
      <c r="AE286" s="799"/>
      <c r="AF286" s="799"/>
      <c r="AG286" s="799"/>
      <c r="AH286" s="799"/>
      <c r="AI286" s="799"/>
      <c r="AJ286" s="799"/>
      <c r="AK286" s="799"/>
      <c r="AL286" s="799"/>
      <c r="AM286" s="799"/>
      <c r="AN286" s="799"/>
      <c r="AO286" s="799"/>
      <c r="AP286" s="799"/>
      <c r="AQ286" s="799"/>
      <c r="AR286" s="799"/>
      <c r="AS286" s="799"/>
      <c r="AT286" s="799"/>
      <c r="AU286" s="799"/>
      <c r="AV286" s="799"/>
      <c r="AW286" s="799"/>
      <c r="AX286" s="799"/>
      <c r="AY286" s="799"/>
      <c r="AZ286" s="799"/>
      <c r="BA286" s="799"/>
      <c r="BB286" s="799"/>
      <c r="BC286" s="799"/>
      <c r="BD286" s="799"/>
      <c r="BE286" s="799"/>
      <c r="BF286" s="799"/>
      <c r="BG286" s="799"/>
    </row>
    <row r="287">
      <c r="H287" s="799"/>
      <c r="I287" s="799"/>
      <c r="J287" s="799"/>
      <c r="K287" s="799"/>
      <c r="L287" s="799"/>
      <c r="M287" s="799"/>
      <c r="N287" s="799"/>
      <c r="O287" s="799"/>
      <c r="P287" s="799"/>
      <c r="Q287" s="799"/>
      <c r="R287" s="799"/>
      <c r="S287" s="799"/>
      <c r="T287" s="799"/>
      <c r="U287" s="799"/>
      <c r="V287" s="799"/>
      <c r="W287" s="799"/>
      <c r="X287" s="799"/>
      <c r="Y287" s="799"/>
      <c r="Z287" s="799"/>
      <c r="AA287" s="799"/>
      <c r="AB287" s="799"/>
      <c r="AC287" s="799"/>
      <c r="AD287" s="799"/>
      <c r="AE287" s="799"/>
      <c r="AF287" s="799"/>
      <c r="AG287" s="799"/>
      <c r="AH287" s="799"/>
      <c r="AI287" s="799"/>
      <c r="AJ287" s="799"/>
      <c r="AK287" s="799"/>
      <c r="AL287" s="799"/>
      <c r="AM287" s="799"/>
      <c r="AN287" s="799"/>
      <c r="AO287" s="799"/>
      <c r="AP287" s="799"/>
      <c r="AQ287" s="799"/>
      <c r="AR287" s="799"/>
      <c r="AS287" s="799"/>
      <c r="AT287" s="799"/>
      <c r="AU287" s="799"/>
      <c r="AV287" s="799"/>
      <c r="AW287" s="799"/>
      <c r="AX287" s="799"/>
      <c r="AY287" s="799"/>
      <c r="AZ287" s="799"/>
      <c r="BA287" s="799"/>
      <c r="BB287" s="799"/>
      <c r="BC287" s="799"/>
      <c r="BD287" s="799"/>
      <c r="BE287" s="799"/>
      <c r="BF287" s="799"/>
      <c r="BG287" s="799"/>
    </row>
    <row r="288">
      <c r="H288" s="799"/>
      <c r="I288" s="799"/>
      <c r="J288" s="799"/>
      <c r="K288" s="799"/>
      <c r="L288" s="799"/>
      <c r="M288" s="799"/>
      <c r="N288" s="799"/>
      <c r="O288" s="799"/>
      <c r="P288" s="799"/>
      <c r="Q288" s="799"/>
      <c r="R288" s="799"/>
      <c r="S288" s="799"/>
      <c r="T288" s="799"/>
      <c r="U288" s="799"/>
      <c r="V288" s="799"/>
      <c r="W288" s="799"/>
      <c r="X288" s="799"/>
      <c r="Y288" s="799"/>
      <c r="Z288" s="799"/>
      <c r="AA288" s="799"/>
      <c r="AB288" s="799"/>
      <c r="AC288" s="799"/>
      <c r="AD288" s="799"/>
      <c r="AE288" s="799"/>
      <c r="AF288" s="799"/>
      <c r="AG288" s="799"/>
      <c r="AH288" s="799"/>
      <c r="AI288" s="799"/>
      <c r="AJ288" s="799"/>
      <c r="AK288" s="799"/>
      <c r="AL288" s="799"/>
      <c r="AM288" s="799"/>
      <c r="AN288" s="799"/>
      <c r="AO288" s="799"/>
      <c r="AP288" s="799"/>
      <c r="AQ288" s="799"/>
      <c r="AR288" s="799"/>
      <c r="AS288" s="799"/>
      <c r="AT288" s="799"/>
      <c r="AU288" s="799"/>
      <c r="AV288" s="799"/>
      <c r="AW288" s="799"/>
      <c r="AX288" s="799"/>
      <c r="AY288" s="799"/>
      <c r="AZ288" s="799"/>
      <c r="BA288" s="799"/>
      <c r="BB288" s="799"/>
      <c r="BC288" s="799"/>
      <c r="BD288" s="799"/>
      <c r="BE288" s="799"/>
      <c r="BF288" s="799"/>
      <c r="BG288" s="799"/>
    </row>
    <row r="289">
      <c r="H289" s="799"/>
      <c r="I289" s="799"/>
      <c r="J289" s="799"/>
      <c r="K289" s="799"/>
      <c r="L289" s="799"/>
      <c r="M289" s="799"/>
      <c r="N289" s="799"/>
      <c r="O289" s="799"/>
      <c r="P289" s="799"/>
      <c r="Q289" s="799"/>
      <c r="R289" s="799"/>
      <c r="S289" s="799"/>
      <c r="T289" s="799"/>
      <c r="U289" s="799"/>
      <c r="V289" s="799"/>
      <c r="W289" s="799"/>
      <c r="X289" s="799"/>
      <c r="Y289" s="799"/>
      <c r="Z289" s="799"/>
      <c r="AA289" s="799"/>
      <c r="AB289" s="799"/>
      <c r="AC289" s="799"/>
      <c r="AD289" s="799"/>
      <c r="AE289" s="799"/>
      <c r="AF289" s="799"/>
      <c r="AG289" s="799"/>
      <c r="AH289" s="799"/>
      <c r="AI289" s="799"/>
      <c r="AJ289" s="799"/>
      <c r="AK289" s="799"/>
      <c r="AL289" s="799"/>
      <c r="AM289" s="799"/>
      <c r="AN289" s="799"/>
      <c r="AO289" s="799"/>
      <c r="AP289" s="799"/>
      <c r="AQ289" s="799"/>
      <c r="AR289" s="799"/>
      <c r="AS289" s="799"/>
      <c r="AT289" s="799"/>
      <c r="AU289" s="799"/>
      <c r="AV289" s="799"/>
      <c r="AW289" s="799"/>
      <c r="AX289" s="799"/>
      <c r="AY289" s="799"/>
      <c r="AZ289" s="799"/>
      <c r="BA289" s="799"/>
      <c r="BB289" s="799"/>
      <c r="BC289" s="799"/>
      <c r="BD289" s="799"/>
      <c r="BE289" s="799"/>
      <c r="BF289" s="799"/>
      <c r="BG289" s="799"/>
    </row>
    <row r="290">
      <c r="H290" s="799"/>
      <c r="I290" s="799"/>
      <c r="J290" s="799"/>
      <c r="K290" s="799"/>
      <c r="L290" s="799"/>
      <c r="M290" s="799"/>
      <c r="N290" s="799"/>
      <c r="O290" s="799"/>
      <c r="P290" s="799"/>
      <c r="Q290" s="799"/>
      <c r="R290" s="799"/>
      <c r="S290" s="799"/>
      <c r="T290" s="799"/>
      <c r="U290" s="799"/>
      <c r="V290" s="799"/>
      <c r="W290" s="799"/>
      <c r="X290" s="799"/>
      <c r="Y290" s="799"/>
      <c r="Z290" s="799"/>
      <c r="AA290" s="799"/>
      <c r="AB290" s="799"/>
      <c r="AC290" s="799"/>
      <c r="AD290" s="799"/>
      <c r="AE290" s="799"/>
      <c r="AF290" s="799"/>
      <c r="AG290" s="799"/>
      <c r="AH290" s="799"/>
      <c r="AI290" s="799"/>
      <c r="AJ290" s="799"/>
      <c r="AK290" s="799"/>
      <c r="AL290" s="799"/>
      <c r="AM290" s="799"/>
      <c r="AN290" s="799"/>
      <c r="AO290" s="799"/>
      <c r="AP290" s="799"/>
      <c r="AQ290" s="799"/>
      <c r="AR290" s="799"/>
      <c r="AS290" s="799"/>
      <c r="AT290" s="799"/>
      <c r="AU290" s="799"/>
      <c r="AV290" s="799"/>
      <c r="AW290" s="799"/>
      <c r="AX290" s="799"/>
      <c r="AY290" s="799"/>
      <c r="AZ290" s="799"/>
      <c r="BA290" s="799"/>
      <c r="BB290" s="799"/>
      <c r="BC290" s="799"/>
      <c r="BD290" s="799"/>
      <c r="BE290" s="799"/>
      <c r="BF290" s="799"/>
      <c r="BG290" s="799"/>
    </row>
    <row r="291">
      <c r="H291" s="799"/>
      <c r="I291" s="799"/>
      <c r="J291" s="799"/>
      <c r="K291" s="799"/>
      <c r="L291" s="799"/>
      <c r="M291" s="799"/>
      <c r="N291" s="799"/>
      <c r="O291" s="799"/>
      <c r="P291" s="799"/>
      <c r="Q291" s="799"/>
      <c r="R291" s="799"/>
      <c r="S291" s="799"/>
      <c r="T291" s="799"/>
      <c r="U291" s="799"/>
      <c r="V291" s="799"/>
      <c r="W291" s="799"/>
      <c r="X291" s="799"/>
      <c r="Y291" s="799"/>
      <c r="Z291" s="799"/>
      <c r="AA291" s="799"/>
      <c r="AB291" s="799"/>
      <c r="AC291" s="799"/>
      <c r="AD291" s="799"/>
      <c r="AE291" s="799"/>
      <c r="AF291" s="799"/>
      <c r="AG291" s="799"/>
      <c r="AH291" s="799"/>
      <c r="AI291" s="799"/>
      <c r="AJ291" s="799"/>
      <c r="AK291" s="799"/>
      <c r="AL291" s="799"/>
      <c r="AM291" s="799"/>
      <c r="AN291" s="799"/>
      <c r="AO291" s="799"/>
      <c r="AP291" s="799"/>
      <c r="AQ291" s="799"/>
      <c r="AR291" s="799"/>
      <c r="AS291" s="799"/>
      <c r="AT291" s="799"/>
      <c r="AU291" s="799"/>
      <c r="AV291" s="799"/>
      <c r="AW291" s="799"/>
      <c r="AX291" s="799"/>
      <c r="AY291" s="799"/>
      <c r="AZ291" s="799"/>
      <c r="BA291" s="799"/>
      <c r="BB291" s="799"/>
      <c r="BC291" s="799"/>
      <c r="BD291" s="799"/>
      <c r="BE291" s="799"/>
      <c r="BF291" s="799"/>
      <c r="BG291" s="799"/>
    </row>
    <row r="292">
      <c r="H292" s="799"/>
      <c r="I292" s="799"/>
      <c r="J292" s="799"/>
      <c r="K292" s="799"/>
      <c r="L292" s="799"/>
      <c r="M292" s="799"/>
      <c r="N292" s="799"/>
      <c r="O292" s="799"/>
      <c r="P292" s="799"/>
      <c r="Q292" s="799"/>
      <c r="R292" s="799"/>
      <c r="S292" s="799"/>
      <c r="T292" s="799"/>
      <c r="U292" s="799"/>
      <c r="V292" s="799"/>
      <c r="W292" s="799"/>
      <c r="X292" s="799"/>
      <c r="Y292" s="799"/>
      <c r="Z292" s="799"/>
      <c r="AA292" s="799"/>
      <c r="AB292" s="799"/>
      <c r="AC292" s="799"/>
      <c r="AD292" s="799"/>
      <c r="AE292" s="799"/>
      <c r="AF292" s="799"/>
      <c r="AG292" s="799"/>
      <c r="AH292" s="799"/>
      <c r="AI292" s="799"/>
      <c r="AJ292" s="799"/>
      <c r="AK292" s="799"/>
      <c r="AL292" s="799"/>
      <c r="AM292" s="799"/>
      <c r="AN292" s="799"/>
      <c r="AO292" s="799"/>
      <c r="AP292" s="799"/>
      <c r="AQ292" s="799"/>
      <c r="AR292" s="799"/>
      <c r="AS292" s="799"/>
      <c r="AT292" s="799"/>
      <c r="AU292" s="799"/>
      <c r="AV292" s="799"/>
      <c r="AW292" s="799"/>
      <c r="AX292" s="799"/>
      <c r="AY292" s="799"/>
      <c r="AZ292" s="799"/>
      <c r="BA292" s="799"/>
      <c r="BB292" s="799"/>
      <c r="BC292" s="799"/>
      <c r="BD292" s="799"/>
      <c r="BE292" s="799"/>
      <c r="BF292" s="799"/>
      <c r="BG292" s="799"/>
    </row>
    <row r="293">
      <c r="H293" s="799"/>
      <c r="I293" s="799"/>
      <c r="J293" s="799"/>
      <c r="K293" s="799"/>
      <c r="L293" s="799"/>
      <c r="M293" s="799"/>
      <c r="N293" s="799"/>
      <c r="O293" s="799"/>
      <c r="P293" s="799"/>
      <c r="Q293" s="799"/>
      <c r="R293" s="799"/>
      <c r="S293" s="799"/>
      <c r="T293" s="799"/>
      <c r="U293" s="799"/>
      <c r="V293" s="799"/>
      <c r="W293" s="799"/>
      <c r="X293" s="799"/>
      <c r="Y293" s="799"/>
      <c r="Z293" s="799"/>
      <c r="AA293" s="799"/>
      <c r="AB293" s="799"/>
      <c r="AC293" s="799"/>
      <c r="AD293" s="799"/>
      <c r="AE293" s="799"/>
      <c r="AF293" s="799"/>
      <c r="AG293" s="799"/>
      <c r="AH293" s="799"/>
      <c r="AI293" s="799"/>
      <c r="AJ293" s="799"/>
      <c r="AK293" s="799"/>
      <c r="AL293" s="799"/>
      <c r="AM293" s="799"/>
      <c r="AN293" s="799"/>
      <c r="AO293" s="799"/>
      <c r="AP293" s="799"/>
      <c r="AQ293" s="799"/>
      <c r="AR293" s="799"/>
      <c r="AS293" s="799"/>
      <c r="AT293" s="799"/>
      <c r="AU293" s="799"/>
      <c r="AV293" s="799"/>
      <c r="AW293" s="799"/>
      <c r="AX293" s="799"/>
      <c r="AY293" s="799"/>
      <c r="AZ293" s="799"/>
      <c r="BA293" s="799"/>
      <c r="BB293" s="799"/>
      <c r="BC293" s="799"/>
      <c r="BD293" s="799"/>
      <c r="BE293" s="799"/>
      <c r="BF293" s="799"/>
      <c r="BG293" s="799"/>
    </row>
    <row r="294">
      <c r="H294" s="799"/>
      <c r="I294" s="799"/>
      <c r="J294" s="799"/>
      <c r="K294" s="799"/>
      <c r="L294" s="799"/>
      <c r="M294" s="799"/>
      <c r="N294" s="799"/>
      <c r="O294" s="799"/>
      <c r="P294" s="799"/>
      <c r="Q294" s="799"/>
      <c r="R294" s="799"/>
      <c r="S294" s="799"/>
      <c r="T294" s="799"/>
      <c r="U294" s="799"/>
      <c r="V294" s="799"/>
      <c r="W294" s="799"/>
      <c r="X294" s="799"/>
      <c r="Y294" s="799"/>
      <c r="Z294" s="799"/>
      <c r="AA294" s="799"/>
      <c r="AB294" s="799"/>
      <c r="AC294" s="799"/>
      <c r="AD294" s="799"/>
      <c r="AE294" s="799"/>
      <c r="AF294" s="799"/>
      <c r="AG294" s="799"/>
      <c r="AH294" s="799"/>
      <c r="AI294" s="799"/>
      <c r="AJ294" s="799"/>
      <c r="AK294" s="799"/>
      <c r="AL294" s="799"/>
      <c r="AM294" s="799"/>
      <c r="AN294" s="799"/>
      <c r="AO294" s="799"/>
      <c r="AP294" s="799"/>
      <c r="AQ294" s="799"/>
      <c r="AR294" s="799"/>
      <c r="AS294" s="799"/>
      <c r="AT294" s="799"/>
      <c r="AU294" s="799"/>
      <c r="AV294" s="799"/>
      <c r="AW294" s="799"/>
      <c r="AX294" s="799"/>
      <c r="AY294" s="799"/>
      <c r="AZ294" s="799"/>
      <c r="BA294" s="799"/>
      <c r="BB294" s="799"/>
      <c r="BC294" s="799"/>
      <c r="BD294" s="799"/>
      <c r="BE294" s="799"/>
      <c r="BF294" s="799"/>
      <c r="BG294" s="799"/>
    </row>
    <row r="295">
      <c r="H295" s="799"/>
      <c r="I295" s="799"/>
      <c r="J295" s="799"/>
      <c r="K295" s="799"/>
      <c r="L295" s="799"/>
      <c r="M295" s="799"/>
      <c r="N295" s="799"/>
      <c r="O295" s="799"/>
      <c r="P295" s="799"/>
      <c r="Q295" s="799"/>
      <c r="R295" s="799"/>
      <c r="S295" s="799"/>
      <c r="T295" s="799"/>
      <c r="U295" s="799"/>
      <c r="V295" s="799"/>
      <c r="W295" s="799"/>
      <c r="X295" s="799"/>
      <c r="Y295" s="799"/>
      <c r="Z295" s="799"/>
      <c r="AA295" s="799"/>
      <c r="AB295" s="799"/>
      <c r="AC295" s="799"/>
      <c r="AD295" s="799"/>
      <c r="AE295" s="799"/>
      <c r="AF295" s="799"/>
      <c r="AG295" s="799"/>
      <c r="AH295" s="799"/>
      <c r="AI295" s="799"/>
      <c r="AJ295" s="799"/>
      <c r="AK295" s="799"/>
      <c r="AL295" s="799"/>
      <c r="AM295" s="799"/>
      <c r="AN295" s="799"/>
      <c r="AO295" s="799"/>
      <c r="AP295" s="799"/>
      <c r="AQ295" s="799"/>
      <c r="AR295" s="799"/>
      <c r="AS295" s="799"/>
      <c r="AT295" s="799"/>
      <c r="AU295" s="799"/>
      <c r="AV295" s="799"/>
      <c r="AW295" s="799"/>
      <c r="AX295" s="799"/>
      <c r="AY295" s="799"/>
      <c r="AZ295" s="799"/>
      <c r="BA295" s="799"/>
      <c r="BB295" s="799"/>
      <c r="BC295" s="799"/>
      <c r="BD295" s="799"/>
      <c r="BE295" s="799"/>
      <c r="BF295" s="799"/>
      <c r="BG295" s="799"/>
    </row>
    <row r="296">
      <c r="H296" s="799"/>
      <c r="I296" s="799"/>
      <c r="J296" s="799"/>
      <c r="K296" s="799"/>
      <c r="L296" s="799"/>
      <c r="M296" s="799"/>
      <c r="N296" s="799"/>
      <c r="O296" s="799"/>
      <c r="P296" s="799"/>
      <c r="Q296" s="799"/>
      <c r="R296" s="799"/>
      <c r="S296" s="799"/>
      <c r="T296" s="799"/>
      <c r="U296" s="799"/>
      <c r="V296" s="799"/>
      <c r="W296" s="799"/>
      <c r="X296" s="799"/>
      <c r="Y296" s="799"/>
      <c r="Z296" s="799"/>
      <c r="AA296" s="799"/>
      <c r="AB296" s="799"/>
      <c r="AC296" s="799"/>
      <c r="AD296" s="799"/>
      <c r="AE296" s="799"/>
      <c r="AF296" s="799"/>
      <c r="AG296" s="799"/>
      <c r="AH296" s="799"/>
      <c r="AI296" s="799"/>
      <c r="AJ296" s="799"/>
      <c r="AK296" s="799"/>
      <c r="AL296" s="799"/>
      <c r="AM296" s="799"/>
      <c r="AN296" s="799"/>
      <c r="AO296" s="799"/>
      <c r="AP296" s="799"/>
      <c r="AQ296" s="799"/>
      <c r="AR296" s="799"/>
      <c r="AS296" s="799"/>
      <c r="AT296" s="799"/>
      <c r="AU296" s="799"/>
      <c r="AV296" s="799"/>
      <c r="AW296" s="799"/>
      <c r="AX296" s="799"/>
      <c r="AY296" s="799"/>
      <c r="AZ296" s="799"/>
      <c r="BA296" s="799"/>
      <c r="BB296" s="799"/>
      <c r="BC296" s="799"/>
      <c r="BD296" s="799"/>
      <c r="BE296" s="799"/>
      <c r="BF296" s="799"/>
      <c r="BG296" s="799"/>
    </row>
    <row r="297">
      <c r="H297" s="799"/>
      <c r="I297" s="799"/>
      <c r="J297" s="799"/>
      <c r="K297" s="799"/>
      <c r="L297" s="799"/>
      <c r="M297" s="799"/>
      <c r="N297" s="799"/>
      <c r="O297" s="799"/>
      <c r="P297" s="799"/>
      <c r="Q297" s="799"/>
      <c r="R297" s="799"/>
      <c r="S297" s="799"/>
      <c r="T297" s="799"/>
      <c r="U297" s="799"/>
      <c r="V297" s="799"/>
      <c r="W297" s="799"/>
      <c r="X297" s="799"/>
      <c r="Y297" s="799"/>
      <c r="Z297" s="799"/>
      <c r="AA297" s="799"/>
      <c r="AB297" s="799"/>
      <c r="AC297" s="799"/>
      <c r="AD297" s="799"/>
      <c r="AE297" s="799"/>
      <c r="AF297" s="799"/>
      <c r="AG297" s="799"/>
      <c r="AH297" s="799"/>
      <c r="AI297" s="799"/>
      <c r="AJ297" s="799"/>
      <c r="AK297" s="799"/>
      <c r="AL297" s="799"/>
      <c r="AM297" s="799"/>
      <c r="AN297" s="799"/>
      <c r="AO297" s="799"/>
      <c r="AP297" s="799"/>
      <c r="AQ297" s="799"/>
      <c r="AR297" s="799"/>
      <c r="AS297" s="799"/>
      <c r="AT297" s="799"/>
      <c r="AU297" s="799"/>
      <c r="AV297" s="799"/>
      <c r="AW297" s="799"/>
      <c r="AX297" s="799"/>
      <c r="AY297" s="799"/>
      <c r="AZ297" s="799"/>
      <c r="BA297" s="799"/>
      <c r="BB297" s="799"/>
      <c r="BC297" s="799"/>
      <c r="BD297" s="799"/>
      <c r="BE297" s="799"/>
      <c r="BF297" s="799"/>
      <c r="BG297" s="799"/>
    </row>
    <row r="298">
      <c r="H298" s="799"/>
      <c r="I298" s="799"/>
      <c r="J298" s="799"/>
      <c r="K298" s="799"/>
      <c r="L298" s="799"/>
      <c r="M298" s="799"/>
      <c r="N298" s="799"/>
      <c r="O298" s="799"/>
      <c r="P298" s="799"/>
      <c r="Q298" s="799"/>
      <c r="R298" s="799"/>
      <c r="S298" s="799"/>
      <c r="T298" s="799"/>
      <c r="U298" s="799"/>
      <c r="V298" s="799"/>
      <c r="W298" s="799"/>
      <c r="X298" s="799"/>
      <c r="Y298" s="799"/>
      <c r="Z298" s="799"/>
      <c r="AA298" s="799"/>
      <c r="AB298" s="799"/>
      <c r="AC298" s="799"/>
      <c r="AD298" s="799"/>
      <c r="AE298" s="799"/>
      <c r="AF298" s="799"/>
      <c r="AG298" s="799"/>
      <c r="AH298" s="799"/>
      <c r="AI298" s="799"/>
      <c r="AJ298" s="799"/>
      <c r="AK298" s="799"/>
      <c r="AL298" s="799"/>
      <c r="AM298" s="799"/>
      <c r="AN298" s="799"/>
      <c r="AO298" s="799"/>
      <c r="AP298" s="799"/>
      <c r="AQ298" s="799"/>
      <c r="AR298" s="799"/>
      <c r="AS298" s="799"/>
      <c r="AT298" s="799"/>
      <c r="AU298" s="799"/>
      <c r="AV298" s="799"/>
      <c r="AW298" s="799"/>
      <c r="AX298" s="799"/>
      <c r="AY298" s="799"/>
      <c r="AZ298" s="799"/>
      <c r="BA298" s="799"/>
      <c r="BB298" s="799"/>
      <c r="BC298" s="799"/>
      <c r="BD298" s="799"/>
      <c r="BE298" s="799"/>
      <c r="BF298" s="799"/>
      <c r="BG298" s="799"/>
    </row>
    <row r="299">
      <c r="H299" s="799"/>
      <c r="I299" s="799"/>
      <c r="J299" s="799"/>
      <c r="K299" s="799"/>
      <c r="L299" s="799"/>
      <c r="M299" s="799"/>
      <c r="N299" s="799"/>
      <c r="O299" s="799"/>
      <c r="P299" s="799"/>
      <c r="Q299" s="799"/>
      <c r="R299" s="799"/>
      <c r="S299" s="799"/>
      <c r="T299" s="799"/>
      <c r="U299" s="799"/>
      <c r="V299" s="799"/>
      <c r="W299" s="799"/>
      <c r="X299" s="799"/>
      <c r="Y299" s="799"/>
      <c r="Z299" s="799"/>
      <c r="AA299" s="799"/>
      <c r="AB299" s="799"/>
      <c r="AC299" s="799"/>
      <c r="AD299" s="799"/>
      <c r="AE299" s="799"/>
      <c r="AF299" s="799"/>
      <c r="AG299" s="799"/>
      <c r="AH299" s="799"/>
      <c r="AI299" s="799"/>
      <c r="AJ299" s="799"/>
      <c r="AK299" s="799"/>
      <c r="AL299" s="799"/>
      <c r="AM299" s="799"/>
      <c r="AN299" s="799"/>
      <c r="AO299" s="799"/>
      <c r="AP299" s="799"/>
      <c r="AQ299" s="799"/>
      <c r="AR299" s="799"/>
      <c r="AS299" s="799"/>
      <c r="AT299" s="799"/>
      <c r="AU299" s="799"/>
      <c r="AV299" s="799"/>
      <c r="AW299" s="799"/>
      <c r="AX299" s="799"/>
      <c r="AY299" s="799"/>
      <c r="AZ299" s="799"/>
      <c r="BA299" s="799"/>
      <c r="BB299" s="799"/>
      <c r="BC299" s="799"/>
      <c r="BD299" s="799"/>
      <c r="BE299" s="799"/>
      <c r="BF299" s="799"/>
      <c r="BG299" s="799"/>
    </row>
    <row r="300">
      <c r="H300" s="799"/>
      <c r="I300" s="799"/>
      <c r="J300" s="799"/>
      <c r="K300" s="799"/>
      <c r="L300" s="799"/>
      <c r="M300" s="799"/>
      <c r="N300" s="799"/>
      <c r="O300" s="799"/>
      <c r="P300" s="799"/>
      <c r="Q300" s="799"/>
      <c r="R300" s="799"/>
      <c r="S300" s="799"/>
      <c r="T300" s="799"/>
      <c r="U300" s="799"/>
      <c r="V300" s="799"/>
      <c r="W300" s="799"/>
      <c r="X300" s="799"/>
      <c r="Y300" s="799"/>
      <c r="Z300" s="799"/>
      <c r="AA300" s="799"/>
      <c r="AB300" s="799"/>
      <c r="AC300" s="799"/>
      <c r="AD300" s="799"/>
      <c r="AE300" s="799"/>
      <c r="AF300" s="799"/>
      <c r="AG300" s="799"/>
      <c r="AH300" s="799"/>
      <c r="AI300" s="799"/>
      <c r="AJ300" s="799"/>
      <c r="AK300" s="799"/>
      <c r="AL300" s="799"/>
      <c r="AM300" s="799"/>
      <c r="AN300" s="799"/>
      <c r="AO300" s="799"/>
      <c r="AP300" s="799"/>
      <c r="AQ300" s="799"/>
      <c r="AR300" s="799"/>
      <c r="AS300" s="799"/>
      <c r="AT300" s="799"/>
      <c r="AU300" s="799"/>
      <c r="AV300" s="799"/>
      <c r="AW300" s="799"/>
      <c r="AX300" s="799"/>
      <c r="AY300" s="799"/>
      <c r="AZ300" s="799"/>
      <c r="BA300" s="799"/>
      <c r="BB300" s="799"/>
      <c r="BC300" s="799"/>
      <c r="BD300" s="799"/>
      <c r="BE300" s="799"/>
      <c r="BF300" s="799"/>
      <c r="BG300" s="799"/>
    </row>
    <row r="301">
      <c r="H301" s="799"/>
      <c r="I301" s="799"/>
      <c r="J301" s="799"/>
      <c r="K301" s="799"/>
      <c r="L301" s="799"/>
      <c r="M301" s="799"/>
      <c r="N301" s="799"/>
      <c r="O301" s="799"/>
      <c r="P301" s="799"/>
      <c r="Q301" s="799"/>
      <c r="R301" s="799"/>
      <c r="S301" s="799"/>
      <c r="T301" s="799"/>
      <c r="U301" s="799"/>
      <c r="V301" s="799"/>
      <c r="W301" s="799"/>
      <c r="X301" s="799"/>
      <c r="Y301" s="799"/>
      <c r="Z301" s="799"/>
      <c r="AA301" s="799"/>
      <c r="AB301" s="799"/>
      <c r="AC301" s="799"/>
      <c r="AD301" s="799"/>
      <c r="AE301" s="799"/>
      <c r="AF301" s="799"/>
      <c r="AG301" s="799"/>
      <c r="AH301" s="799"/>
      <c r="AI301" s="799"/>
      <c r="AJ301" s="799"/>
      <c r="AK301" s="799"/>
      <c r="AL301" s="799"/>
      <c r="AM301" s="799"/>
      <c r="AN301" s="799"/>
      <c r="AO301" s="799"/>
      <c r="AP301" s="799"/>
      <c r="AQ301" s="799"/>
      <c r="AR301" s="799"/>
      <c r="AS301" s="799"/>
      <c r="AT301" s="799"/>
      <c r="AU301" s="799"/>
      <c r="AV301" s="799"/>
      <c r="AW301" s="799"/>
      <c r="AX301" s="799"/>
      <c r="AY301" s="799"/>
      <c r="AZ301" s="799"/>
      <c r="BA301" s="799"/>
      <c r="BB301" s="799"/>
      <c r="BC301" s="799"/>
      <c r="BD301" s="799"/>
      <c r="BE301" s="799"/>
      <c r="BF301" s="799"/>
      <c r="BG301" s="799"/>
    </row>
    <row r="302">
      <c r="H302" s="799"/>
      <c r="I302" s="799"/>
      <c r="J302" s="799"/>
      <c r="K302" s="799"/>
      <c r="L302" s="799"/>
      <c r="M302" s="799"/>
      <c r="N302" s="799"/>
      <c r="O302" s="799"/>
      <c r="P302" s="799"/>
      <c r="Q302" s="799"/>
      <c r="R302" s="799"/>
      <c r="S302" s="799"/>
      <c r="T302" s="799"/>
      <c r="U302" s="799"/>
      <c r="V302" s="799"/>
      <c r="W302" s="799"/>
      <c r="X302" s="799"/>
      <c r="Y302" s="799"/>
      <c r="Z302" s="799"/>
      <c r="AA302" s="799"/>
      <c r="AB302" s="799"/>
      <c r="AC302" s="799"/>
      <c r="AD302" s="799"/>
      <c r="AE302" s="799"/>
      <c r="AF302" s="799"/>
      <c r="AG302" s="799"/>
      <c r="AH302" s="799"/>
      <c r="AI302" s="799"/>
      <c r="AJ302" s="799"/>
      <c r="AK302" s="799"/>
      <c r="AL302" s="799"/>
      <c r="AM302" s="799"/>
      <c r="AN302" s="799"/>
      <c r="AO302" s="799"/>
      <c r="AP302" s="799"/>
      <c r="AQ302" s="799"/>
      <c r="AR302" s="799"/>
      <c r="AS302" s="799"/>
      <c r="AT302" s="799"/>
      <c r="AU302" s="799"/>
      <c r="AV302" s="799"/>
      <c r="AW302" s="799"/>
      <c r="AX302" s="799"/>
      <c r="AY302" s="799"/>
      <c r="AZ302" s="799"/>
      <c r="BA302" s="799"/>
      <c r="BB302" s="799"/>
      <c r="BC302" s="799"/>
      <c r="BD302" s="799"/>
      <c r="BE302" s="799"/>
      <c r="BF302" s="799"/>
      <c r="BG302" s="799"/>
    </row>
    <row r="303">
      <c r="H303" s="799"/>
      <c r="I303" s="799"/>
      <c r="J303" s="799"/>
      <c r="K303" s="799"/>
      <c r="L303" s="799"/>
      <c r="M303" s="799"/>
      <c r="N303" s="799"/>
      <c r="O303" s="799"/>
      <c r="P303" s="799"/>
      <c r="Q303" s="799"/>
      <c r="R303" s="799"/>
      <c r="S303" s="799"/>
      <c r="T303" s="799"/>
      <c r="U303" s="799"/>
      <c r="V303" s="799"/>
      <c r="W303" s="799"/>
      <c r="X303" s="799"/>
      <c r="Y303" s="799"/>
      <c r="Z303" s="799"/>
      <c r="AA303" s="799"/>
      <c r="AB303" s="799"/>
      <c r="AC303" s="799"/>
      <c r="AD303" s="799"/>
      <c r="AE303" s="799"/>
      <c r="AF303" s="799"/>
      <c r="AG303" s="799"/>
      <c r="AH303" s="799"/>
      <c r="AI303" s="799"/>
      <c r="AJ303" s="799"/>
      <c r="AK303" s="799"/>
      <c r="AL303" s="799"/>
      <c r="AM303" s="799"/>
      <c r="AN303" s="799"/>
      <c r="AO303" s="799"/>
      <c r="AP303" s="799"/>
      <c r="AQ303" s="799"/>
      <c r="AR303" s="799"/>
      <c r="AS303" s="799"/>
      <c r="AT303" s="799"/>
      <c r="AU303" s="799"/>
      <c r="AV303" s="799"/>
      <c r="AW303" s="799"/>
      <c r="AX303" s="799"/>
      <c r="AY303" s="799"/>
      <c r="AZ303" s="799"/>
      <c r="BA303" s="799"/>
      <c r="BB303" s="799"/>
      <c r="BC303" s="799"/>
      <c r="BD303" s="799"/>
      <c r="BE303" s="799"/>
      <c r="BF303" s="799"/>
      <c r="BG303" s="799"/>
    </row>
    <row r="304">
      <c r="H304" s="799"/>
      <c r="I304" s="799"/>
      <c r="J304" s="799"/>
      <c r="K304" s="799"/>
      <c r="L304" s="799"/>
      <c r="M304" s="799"/>
      <c r="N304" s="799"/>
      <c r="O304" s="799"/>
      <c r="P304" s="799"/>
      <c r="Q304" s="799"/>
      <c r="R304" s="799"/>
      <c r="S304" s="799"/>
      <c r="T304" s="799"/>
      <c r="U304" s="799"/>
      <c r="V304" s="799"/>
      <c r="W304" s="799"/>
      <c r="X304" s="799"/>
      <c r="Y304" s="799"/>
      <c r="Z304" s="799"/>
      <c r="AA304" s="799"/>
      <c r="AB304" s="799"/>
      <c r="AC304" s="799"/>
      <c r="AD304" s="799"/>
      <c r="AE304" s="799"/>
      <c r="AF304" s="799"/>
      <c r="AG304" s="799"/>
      <c r="AH304" s="799"/>
      <c r="AI304" s="799"/>
      <c r="AJ304" s="799"/>
      <c r="AK304" s="799"/>
      <c r="AL304" s="799"/>
      <c r="AM304" s="799"/>
      <c r="AN304" s="799"/>
      <c r="AO304" s="799"/>
      <c r="AP304" s="799"/>
      <c r="AQ304" s="799"/>
      <c r="AR304" s="799"/>
      <c r="AS304" s="799"/>
      <c r="AT304" s="799"/>
      <c r="AU304" s="799"/>
      <c r="AV304" s="799"/>
      <c r="AW304" s="799"/>
      <c r="AX304" s="799"/>
      <c r="AY304" s="799"/>
      <c r="AZ304" s="799"/>
      <c r="BA304" s="799"/>
      <c r="BB304" s="799"/>
      <c r="BC304" s="799"/>
      <c r="BD304" s="799"/>
      <c r="BE304" s="799"/>
      <c r="BF304" s="799"/>
      <c r="BG304" s="799"/>
    </row>
    <row r="305">
      <c r="H305" s="799"/>
      <c r="I305" s="799"/>
      <c r="J305" s="799"/>
      <c r="K305" s="799"/>
      <c r="L305" s="799"/>
      <c r="M305" s="799"/>
      <c r="N305" s="799"/>
      <c r="O305" s="799"/>
      <c r="P305" s="799"/>
      <c r="Q305" s="799"/>
      <c r="R305" s="799"/>
      <c r="S305" s="799"/>
      <c r="T305" s="799"/>
      <c r="U305" s="799"/>
      <c r="V305" s="799"/>
      <c r="W305" s="799"/>
      <c r="X305" s="799"/>
      <c r="Y305" s="799"/>
      <c r="Z305" s="799"/>
      <c r="AA305" s="799"/>
      <c r="AB305" s="799"/>
      <c r="AC305" s="799"/>
      <c r="AD305" s="799"/>
      <c r="AE305" s="799"/>
      <c r="AF305" s="799"/>
      <c r="AG305" s="799"/>
      <c r="AH305" s="799"/>
      <c r="AI305" s="799"/>
      <c r="AJ305" s="799"/>
      <c r="AK305" s="799"/>
      <c r="AL305" s="799"/>
      <c r="AM305" s="799"/>
      <c r="AN305" s="799"/>
      <c r="AO305" s="799"/>
      <c r="AP305" s="799"/>
      <c r="AQ305" s="799"/>
      <c r="AR305" s="799"/>
      <c r="AS305" s="799"/>
      <c r="AT305" s="799"/>
      <c r="AU305" s="799"/>
      <c r="AV305" s="799"/>
      <c r="AW305" s="799"/>
      <c r="AX305" s="799"/>
      <c r="AY305" s="799"/>
      <c r="AZ305" s="799"/>
      <c r="BA305" s="799"/>
      <c r="BB305" s="799"/>
      <c r="BC305" s="799"/>
      <c r="BD305" s="799"/>
      <c r="BE305" s="799"/>
      <c r="BF305" s="799"/>
      <c r="BG305" s="799"/>
    </row>
    <row r="306">
      <c r="H306" s="799"/>
      <c r="I306" s="799"/>
      <c r="J306" s="799"/>
      <c r="K306" s="799"/>
      <c r="L306" s="799"/>
      <c r="M306" s="799"/>
      <c r="N306" s="799"/>
      <c r="O306" s="799"/>
      <c r="P306" s="799"/>
      <c r="Q306" s="799"/>
      <c r="R306" s="799"/>
      <c r="S306" s="799"/>
      <c r="T306" s="799"/>
      <c r="U306" s="799"/>
      <c r="V306" s="799"/>
      <c r="W306" s="799"/>
      <c r="X306" s="799"/>
      <c r="Y306" s="799"/>
      <c r="Z306" s="799"/>
      <c r="AA306" s="799"/>
      <c r="AB306" s="799"/>
      <c r="AC306" s="799"/>
      <c r="AD306" s="799"/>
      <c r="AE306" s="799"/>
      <c r="AF306" s="799"/>
      <c r="AG306" s="799"/>
      <c r="AH306" s="799"/>
      <c r="AI306" s="799"/>
      <c r="AJ306" s="799"/>
      <c r="AK306" s="799"/>
      <c r="AL306" s="799"/>
      <c r="AM306" s="799"/>
      <c r="AN306" s="799"/>
      <c r="AO306" s="799"/>
      <c r="AP306" s="799"/>
      <c r="AQ306" s="799"/>
      <c r="AR306" s="799"/>
      <c r="AS306" s="799"/>
      <c r="AT306" s="799"/>
      <c r="AU306" s="799"/>
      <c r="AV306" s="799"/>
      <c r="AW306" s="799"/>
      <c r="AX306" s="799"/>
      <c r="AY306" s="799"/>
      <c r="AZ306" s="799"/>
      <c r="BA306" s="799"/>
      <c r="BB306" s="799"/>
      <c r="BC306" s="799"/>
      <c r="BD306" s="799"/>
      <c r="BE306" s="799"/>
      <c r="BF306" s="799"/>
      <c r="BG306" s="799"/>
    </row>
    <row r="307">
      <c r="H307" s="799"/>
      <c r="I307" s="799"/>
      <c r="J307" s="799"/>
      <c r="K307" s="799"/>
      <c r="L307" s="799"/>
      <c r="M307" s="799"/>
      <c r="N307" s="799"/>
      <c r="O307" s="799"/>
      <c r="P307" s="799"/>
      <c r="Q307" s="799"/>
      <c r="R307" s="799"/>
      <c r="S307" s="799"/>
      <c r="T307" s="799"/>
      <c r="U307" s="799"/>
      <c r="V307" s="799"/>
      <c r="W307" s="799"/>
      <c r="X307" s="799"/>
      <c r="Y307" s="799"/>
      <c r="Z307" s="799"/>
      <c r="AA307" s="799"/>
      <c r="AB307" s="799"/>
      <c r="AC307" s="799"/>
      <c r="AD307" s="799"/>
      <c r="AE307" s="799"/>
      <c r="AF307" s="799"/>
      <c r="AG307" s="799"/>
      <c r="AH307" s="799"/>
      <c r="AI307" s="799"/>
      <c r="AJ307" s="799"/>
      <c r="AK307" s="799"/>
      <c r="AL307" s="799"/>
      <c r="AM307" s="799"/>
      <c r="AN307" s="799"/>
      <c r="AO307" s="799"/>
      <c r="AP307" s="799"/>
      <c r="AQ307" s="799"/>
      <c r="AR307" s="799"/>
      <c r="AS307" s="799"/>
      <c r="AT307" s="799"/>
      <c r="AU307" s="799"/>
      <c r="AV307" s="799"/>
      <c r="AW307" s="799"/>
      <c r="AX307" s="799"/>
      <c r="AY307" s="799"/>
      <c r="AZ307" s="799"/>
      <c r="BA307" s="799"/>
      <c r="BB307" s="799"/>
      <c r="BC307" s="799"/>
      <c r="BD307" s="799"/>
      <c r="BE307" s="799"/>
      <c r="BF307" s="799"/>
      <c r="BG307" s="799"/>
    </row>
    <row r="308">
      <c r="H308" s="799"/>
      <c r="I308" s="799"/>
      <c r="J308" s="799"/>
      <c r="K308" s="799"/>
      <c r="L308" s="799"/>
      <c r="M308" s="799"/>
      <c r="N308" s="799"/>
      <c r="O308" s="799"/>
      <c r="P308" s="799"/>
      <c r="Q308" s="799"/>
      <c r="R308" s="799"/>
      <c r="S308" s="799"/>
      <c r="T308" s="799"/>
      <c r="U308" s="799"/>
      <c r="V308" s="799"/>
      <c r="W308" s="799"/>
      <c r="X308" s="799"/>
      <c r="Y308" s="799"/>
      <c r="Z308" s="799"/>
      <c r="AA308" s="799"/>
      <c r="AB308" s="799"/>
      <c r="AC308" s="799"/>
      <c r="AD308" s="799"/>
      <c r="AE308" s="799"/>
      <c r="AF308" s="799"/>
      <c r="AG308" s="799"/>
      <c r="AH308" s="799"/>
      <c r="AI308" s="799"/>
      <c r="AJ308" s="799"/>
      <c r="AK308" s="799"/>
      <c r="AL308" s="799"/>
      <c r="AM308" s="799"/>
      <c r="AN308" s="799"/>
      <c r="AO308" s="799"/>
      <c r="AP308" s="799"/>
      <c r="AQ308" s="799"/>
      <c r="AR308" s="799"/>
      <c r="AS308" s="799"/>
      <c r="AT308" s="799"/>
      <c r="AU308" s="799"/>
      <c r="AV308" s="799"/>
      <c r="AW308" s="799"/>
      <c r="AX308" s="799"/>
      <c r="AY308" s="799"/>
      <c r="AZ308" s="799"/>
      <c r="BA308" s="799"/>
      <c r="BB308" s="799"/>
      <c r="BC308" s="799"/>
      <c r="BD308" s="799"/>
      <c r="BE308" s="799"/>
      <c r="BF308" s="799"/>
      <c r="BG308" s="799"/>
    </row>
    <row r="309">
      <c r="H309" s="799"/>
      <c r="I309" s="799"/>
      <c r="J309" s="799"/>
      <c r="K309" s="799"/>
      <c r="L309" s="799"/>
      <c r="M309" s="799"/>
      <c r="N309" s="799"/>
      <c r="O309" s="799"/>
      <c r="P309" s="799"/>
      <c r="Q309" s="799"/>
      <c r="R309" s="799"/>
      <c r="S309" s="799"/>
      <c r="T309" s="799"/>
      <c r="U309" s="799"/>
      <c r="V309" s="799"/>
      <c r="W309" s="799"/>
      <c r="X309" s="799"/>
      <c r="Y309" s="799"/>
      <c r="Z309" s="799"/>
      <c r="AA309" s="799"/>
      <c r="AB309" s="799"/>
      <c r="AC309" s="799"/>
      <c r="AD309" s="799"/>
      <c r="AE309" s="799"/>
      <c r="AF309" s="799"/>
      <c r="AG309" s="799"/>
      <c r="AH309" s="799"/>
      <c r="AI309" s="799"/>
      <c r="AJ309" s="799"/>
      <c r="AK309" s="799"/>
      <c r="AL309" s="799"/>
      <c r="AM309" s="799"/>
      <c r="AN309" s="799"/>
      <c r="AO309" s="799"/>
      <c r="AP309" s="799"/>
      <c r="AQ309" s="799"/>
      <c r="AR309" s="799"/>
      <c r="AS309" s="799"/>
      <c r="AT309" s="799"/>
      <c r="AU309" s="799"/>
      <c r="AV309" s="799"/>
      <c r="AW309" s="799"/>
      <c r="AX309" s="799"/>
      <c r="AY309" s="799"/>
      <c r="AZ309" s="799"/>
      <c r="BA309" s="799"/>
      <c r="BB309" s="799"/>
      <c r="BC309" s="799"/>
      <c r="BD309" s="799"/>
      <c r="BE309" s="799"/>
      <c r="BF309" s="799"/>
      <c r="BG309" s="799"/>
    </row>
    <row r="310">
      <c r="H310" s="799"/>
      <c r="I310" s="799"/>
      <c r="J310" s="799"/>
      <c r="K310" s="799"/>
      <c r="L310" s="799"/>
      <c r="M310" s="799"/>
      <c r="N310" s="799"/>
      <c r="O310" s="799"/>
      <c r="P310" s="799"/>
      <c r="Q310" s="799"/>
      <c r="R310" s="799"/>
      <c r="S310" s="799"/>
      <c r="T310" s="799"/>
      <c r="U310" s="799"/>
      <c r="V310" s="799"/>
      <c r="W310" s="799"/>
      <c r="X310" s="799"/>
      <c r="Y310" s="799"/>
      <c r="Z310" s="799"/>
      <c r="AA310" s="799"/>
      <c r="AB310" s="799"/>
      <c r="AC310" s="799"/>
      <c r="AD310" s="799"/>
      <c r="AE310" s="799"/>
      <c r="AF310" s="799"/>
      <c r="AG310" s="799"/>
      <c r="AH310" s="799"/>
      <c r="AI310" s="799"/>
      <c r="AJ310" s="799"/>
      <c r="AK310" s="799"/>
      <c r="AL310" s="799"/>
      <c r="AM310" s="799"/>
      <c r="AN310" s="799"/>
      <c r="AO310" s="799"/>
      <c r="AP310" s="799"/>
      <c r="AQ310" s="799"/>
      <c r="AR310" s="799"/>
      <c r="AS310" s="799"/>
      <c r="AT310" s="799"/>
      <c r="AU310" s="799"/>
      <c r="AV310" s="799"/>
      <c r="AW310" s="799"/>
      <c r="AX310" s="799"/>
      <c r="AY310" s="799"/>
      <c r="AZ310" s="799"/>
      <c r="BA310" s="799"/>
      <c r="BB310" s="799"/>
      <c r="BC310" s="799"/>
      <c r="BD310" s="799"/>
      <c r="BE310" s="799"/>
      <c r="BF310" s="799"/>
      <c r="BG310" s="799"/>
    </row>
    <row r="311">
      <c r="H311" s="799"/>
      <c r="I311" s="799"/>
      <c r="J311" s="799"/>
      <c r="K311" s="799"/>
      <c r="L311" s="799"/>
      <c r="M311" s="799"/>
      <c r="N311" s="799"/>
      <c r="O311" s="799"/>
      <c r="P311" s="799"/>
      <c r="Q311" s="799"/>
      <c r="R311" s="799"/>
      <c r="S311" s="799"/>
      <c r="T311" s="799"/>
      <c r="U311" s="799"/>
      <c r="V311" s="799"/>
      <c r="W311" s="799"/>
      <c r="X311" s="799"/>
      <c r="Y311" s="799"/>
      <c r="Z311" s="799"/>
      <c r="AA311" s="799"/>
      <c r="AB311" s="799"/>
      <c r="AC311" s="799"/>
      <c r="AD311" s="799"/>
      <c r="AE311" s="799"/>
      <c r="AF311" s="799"/>
      <c r="AG311" s="799"/>
      <c r="AH311" s="799"/>
      <c r="AI311" s="799"/>
      <c r="AJ311" s="799"/>
      <c r="AK311" s="799"/>
      <c r="AL311" s="799"/>
      <c r="AM311" s="799"/>
      <c r="AN311" s="799"/>
      <c r="AO311" s="799"/>
      <c r="AP311" s="799"/>
      <c r="AQ311" s="799"/>
      <c r="AR311" s="799"/>
      <c r="AS311" s="799"/>
      <c r="AT311" s="799"/>
      <c r="AU311" s="799"/>
      <c r="AV311" s="799"/>
      <c r="AW311" s="799"/>
      <c r="AX311" s="799"/>
      <c r="AY311" s="799"/>
      <c r="AZ311" s="799"/>
      <c r="BA311" s="799"/>
      <c r="BB311" s="799"/>
      <c r="BC311" s="799"/>
      <c r="BD311" s="799"/>
      <c r="BE311" s="799"/>
      <c r="BF311" s="799"/>
      <c r="BG311" s="799"/>
    </row>
    <row r="312">
      <c r="H312" s="799"/>
      <c r="I312" s="799"/>
      <c r="J312" s="799"/>
      <c r="K312" s="799"/>
      <c r="L312" s="799"/>
      <c r="M312" s="799"/>
      <c r="N312" s="799"/>
      <c r="O312" s="799"/>
      <c r="P312" s="799"/>
      <c r="Q312" s="799"/>
      <c r="R312" s="799"/>
      <c r="S312" s="799"/>
      <c r="T312" s="799"/>
      <c r="U312" s="799"/>
      <c r="V312" s="799"/>
      <c r="W312" s="799"/>
      <c r="X312" s="799"/>
      <c r="Y312" s="799"/>
      <c r="Z312" s="799"/>
      <c r="AA312" s="799"/>
      <c r="AB312" s="799"/>
      <c r="AC312" s="799"/>
      <c r="AD312" s="799"/>
      <c r="AE312" s="799"/>
      <c r="AF312" s="799"/>
      <c r="AG312" s="799"/>
      <c r="AH312" s="799"/>
      <c r="AI312" s="799"/>
      <c r="AJ312" s="799"/>
      <c r="AK312" s="799"/>
      <c r="AL312" s="799"/>
      <c r="AM312" s="799"/>
      <c r="AN312" s="799"/>
      <c r="AO312" s="799"/>
      <c r="AP312" s="799"/>
      <c r="AQ312" s="799"/>
      <c r="AR312" s="799"/>
      <c r="AS312" s="799"/>
      <c r="AT312" s="799"/>
      <c r="AU312" s="799"/>
      <c r="AV312" s="799"/>
      <c r="AW312" s="799"/>
      <c r="AX312" s="799"/>
      <c r="AY312" s="799"/>
      <c r="AZ312" s="799"/>
      <c r="BA312" s="799"/>
      <c r="BB312" s="799"/>
      <c r="BC312" s="799"/>
      <c r="BD312" s="799"/>
      <c r="BE312" s="799"/>
      <c r="BF312" s="799"/>
      <c r="BG312" s="799"/>
    </row>
    <row r="313">
      <c r="H313" s="799"/>
      <c r="I313" s="799"/>
      <c r="J313" s="799"/>
      <c r="K313" s="799"/>
      <c r="L313" s="799"/>
      <c r="M313" s="799"/>
      <c r="N313" s="799"/>
      <c r="O313" s="799"/>
      <c r="P313" s="799"/>
      <c r="Q313" s="799"/>
      <c r="R313" s="799"/>
      <c r="S313" s="799"/>
      <c r="T313" s="799"/>
      <c r="U313" s="799"/>
      <c r="V313" s="799"/>
      <c r="W313" s="799"/>
      <c r="X313" s="799"/>
      <c r="Y313" s="799"/>
      <c r="Z313" s="799"/>
      <c r="AA313" s="799"/>
      <c r="AB313" s="799"/>
      <c r="AC313" s="799"/>
      <c r="AD313" s="799"/>
      <c r="AE313" s="799"/>
      <c r="AF313" s="799"/>
      <c r="AG313" s="799"/>
      <c r="AH313" s="799"/>
      <c r="AI313" s="799"/>
      <c r="AJ313" s="799"/>
      <c r="AK313" s="799"/>
      <c r="AL313" s="799"/>
      <c r="AM313" s="799"/>
      <c r="AN313" s="799"/>
      <c r="AO313" s="799"/>
      <c r="AP313" s="799"/>
      <c r="AQ313" s="799"/>
      <c r="AR313" s="799"/>
      <c r="AS313" s="799"/>
      <c r="AT313" s="799"/>
      <c r="AU313" s="799"/>
      <c r="AV313" s="799"/>
      <c r="AW313" s="799"/>
      <c r="AX313" s="799"/>
      <c r="AY313" s="799"/>
      <c r="AZ313" s="799"/>
      <c r="BA313" s="799"/>
      <c r="BB313" s="799"/>
      <c r="BC313" s="799"/>
      <c r="BD313" s="799"/>
      <c r="BE313" s="799"/>
      <c r="BF313" s="799"/>
      <c r="BG313" s="799"/>
    </row>
    <row r="314">
      <c r="H314" s="799"/>
      <c r="I314" s="799"/>
      <c r="J314" s="799"/>
      <c r="K314" s="799"/>
      <c r="L314" s="799"/>
      <c r="M314" s="799"/>
      <c r="N314" s="799"/>
      <c r="O314" s="799"/>
      <c r="P314" s="799"/>
      <c r="Q314" s="799"/>
      <c r="R314" s="799"/>
      <c r="S314" s="799"/>
      <c r="T314" s="799"/>
      <c r="U314" s="799"/>
      <c r="V314" s="799"/>
      <c r="W314" s="799"/>
      <c r="X314" s="799"/>
      <c r="Y314" s="799"/>
      <c r="Z314" s="799"/>
      <c r="AA314" s="799"/>
      <c r="AB314" s="799"/>
      <c r="AC314" s="799"/>
      <c r="AD314" s="799"/>
      <c r="AE314" s="799"/>
      <c r="AF314" s="799"/>
      <c r="AG314" s="799"/>
      <c r="AH314" s="799"/>
      <c r="AI314" s="799"/>
      <c r="AJ314" s="799"/>
      <c r="AK314" s="799"/>
      <c r="AL314" s="799"/>
      <c r="AM314" s="799"/>
      <c r="AN314" s="799"/>
      <c r="AO314" s="799"/>
      <c r="AP314" s="799"/>
      <c r="AQ314" s="799"/>
      <c r="AR314" s="799"/>
      <c r="AS314" s="799"/>
      <c r="AT314" s="799"/>
      <c r="AU314" s="799"/>
      <c r="AV314" s="799"/>
      <c r="AW314" s="799"/>
      <c r="AX314" s="799"/>
      <c r="AY314" s="799"/>
      <c r="AZ314" s="799"/>
      <c r="BA314" s="799"/>
      <c r="BB314" s="799"/>
      <c r="BC314" s="799"/>
      <c r="BD314" s="799"/>
      <c r="BE314" s="799"/>
      <c r="BF314" s="799"/>
      <c r="BG314" s="799"/>
    </row>
    <row r="315">
      <c r="H315" s="799"/>
      <c r="I315" s="799"/>
      <c r="J315" s="799"/>
      <c r="K315" s="799"/>
      <c r="L315" s="799"/>
      <c r="M315" s="799"/>
      <c r="N315" s="799"/>
      <c r="O315" s="799"/>
      <c r="P315" s="799"/>
      <c r="Q315" s="799"/>
      <c r="R315" s="799"/>
      <c r="S315" s="799"/>
      <c r="T315" s="799"/>
      <c r="U315" s="799"/>
      <c r="V315" s="799"/>
      <c r="W315" s="799"/>
      <c r="X315" s="799"/>
      <c r="Y315" s="799"/>
      <c r="Z315" s="799"/>
      <c r="AA315" s="799"/>
      <c r="AB315" s="799"/>
      <c r="AC315" s="799"/>
      <c r="AD315" s="799"/>
      <c r="AE315" s="799"/>
      <c r="AF315" s="799"/>
      <c r="AG315" s="799"/>
      <c r="AH315" s="799"/>
      <c r="AI315" s="799"/>
      <c r="AJ315" s="799"/>
      <c r="AK315" s="799"/>
      <c r="AL315" s="799"/>
      <c r="AM315" s="799"/>
      <c r="AN315" s="799"/>
      <c r="AO315" s="799"/>
      <c r="AP315" s="799"/>
      <c r="AQ315" s="799"/>
      <c r="AR315" s="799"/>
      <c r="AS315" s="799"/>
      <c r="AT315" s="799"/>
      <c r="AU315" s="799"/>
      <c r="AV315" s="799"/>
      <c r="AW315" s="799"/>
      <c r="AX315" s="799"/>
      <c r="AY315" s="799"/>
      <c r="AZ315" s="799"/>
      <c r="BA315" s="799"/>
      <c r="BB315" s="799"/>
      <c r="BC315" s="799"/>
      <c r="BD315" s="799"/>
      <c r="BE315" s="799"/>
      <c r="BF315" s="799"/>
      <c r="BG315" s="799"/>
    </row>
    <row r="316">
      <c r="H316" s="799"/>
      <c r="I316" s="799"/>
      <c r="J316" s="799"/>
      <c r="K316" s="799"/>
      <c r="L316" s="799"/>
      <c r="M316" s="799"/>
      <c r="N316" s="799"/>
      <c r="O316" s="799"/>
      <c r="P316" s="799"/>
      <c r="Q316" s="799"/>
      <c r="R316" s="799"/>
      <c r="S316" s="799"/>
      <c r="T316" s="799"/>
      <c r="U316" s="799"/>
      <c r="V316" s="799"/>
      <c r="W316" s="799"/>
      <c r="X316" s="799"/>
      <c r="Y316" s="799"/>
      <c r="Z316" s="799"/>
      <c r="AA316" s="799"/>
      <c r="AB316" s="799"/>
      <c r="AC316" s="799"/>
      <c r="AD316" s="799"/>
      <c r="AE316" s="799"/>
      <c r="AF316" s="799"/>
      <c r="AG316" s="799"/>
      <c r="AH316" s="799"/>
      <c r="AI316" s="799"/>
      <c r="AJ316" s="799"/>
      <c r="AK316" s="799"/>
      <c r="AL316" s="799"/>
      <c r="AM316" s="799"/>
      <c r="AN316" s="799"/>
      <c r="AO316" s="799"/>
      <c r="AP316" s="799"/>
      <c r="AQ316" s="799"/>
      <c r="AR316" s="799"/>
      <c r="AS316" s="799"/>
      <c r="AT316" s="799"/>
      <c r="AU316" s="799"/>
      <c r="AV316" s="799"/>
      <c r="AW316" s="799"/>
      <c r="AX316" s="799"/>
      <c r="AY316" s="799"/>
      <c r="AZ316" s="799"/>
      <c r="BA316" s="799"/>
      <c r="BB316" s="799"/>
      <c r="BC316" s="799"/>
      <c r="BD316" s="799"/>
      <c r="BE316" s="799"/>
      <c r="BF316" s="799"/>
      <c r="BG316" s="799"/>
    </row>
    <row r="317">
      <c r="H317" s="799"/>
      <c r="I317" s="799"/>
      <c r="J317" s="799"/>
      <c r="K317" s="799"/>
      <c r="L317" s="799"/>
      <c r="M317" s="799"/>
      <c r="N317" s="799"/>
      <c r="O317" s="799"/>
      <c r="P317" s="799"/>
      <c r="Q317" s="799"/>
      <c r="R317" s="799"/>
      <c r="S317" s="799"/>
      <c r="T317" s="799"/>
      <c r="U317" s="799"/>
      <c r="V317" s="799"/>
      <c r="W317" s="799"/>
      <c r="X317" s="799"/>
      <c r="Y317" s="799"/>
      <c r="Z317" s="799"/>
      <c r="AA317" s="799"/>
      <c r="AB317" s="799"/>
      <c r="AC317" s="799"/>
      <c r="AD317" s="799"/>
      <c r="AE317" s="799"/>
      <c r="AF317" s="799"/>
      <c r="AG317" s="799"/>
      <c r="AH317" s="799"/>
      <c r="AI317" s="799"/>
      <c r="AJ317" s="799"/>
      <c r="AK317" s="799"/>
      <c r="AL317" s="799"/>
      <c r="AM317" s="799"/>
      <c r="AN317" s="799"/>
      <c r="AO317" s="799"/>
      <c r="AP317" s="799"/>
      <c r="AQ317" s="799"/>
      <c r="AR317" s="799"/>
      <c r="AS317" s="799"/>
      <c r="AT317" s="799"/>
      <c r="AU317" s="799"/>
      <c r="AV317" s="799"/>
      <c r="AW317" s="799"/>
      <c r="AX317" s="799"/>
      <c r="AY317" s="799"/>
      <c r="AZ317" s="799"/>
      <c r="BA317" s="799"/>
      <c r="BB317" s="799"/>
      <c r="BC317" s="799"/>
      <c r="BD317" s="799"/>
      <c r="BE317" s="799"/>
      <c r="BF317" s="799"/>
      <c r="BG317" s="799"/>
    </row>
    <row r="318">
      <c r="H318" s="799"/>
      <c r="I318" s="799"/>
      <c r="J318" s="799"/>
      <c r="K318" s="799"/>
      <c r="L318" s="799"/>
      <c r="M318" s="799"/>
      <c r="N318" s="799"/>
      <c r="O318" s="799"/>
      <c r="P318" s="799"/>
      <c r="Q318" s="799"/>
      <c r="R318" s="799"/>
      <c r="S318" s="799"/>
      <c r="T318" s="799"/>
      <c r="U318" s="799"/>
      <c r="V318" s="799"/>
      <c r="W318" s="799"/>
      <c r="X318" s="799"/>
      <c r="Y318" s="799"/>
      <c r="Z318" s="799"/>
      <c r="AA318" s="799"/>
      <c r="AB318" s="799"/>
      <c r="AC318" s="799"/>
      <c r="AD318" s="799"/>
      <c r="AE318" s="799"/>
      <c r="AF318" s="799"/>
      <c r="AG318" s="799"/>
      <c r="AH318" s="799"/>
      <c r="AI318" s="799"/>
      <c r="AJ318" s="799"/>
      <c r="AK318" s="799"/>
      <c r="AL318" s="799"/>
      <c r="AM318" s="799"/>
      <c r="AN318" s="799"/>
      <c r="AO318" s="799"/>
      <c r="AP318" s="799"/>
      <c r="AQ318" s="799"/>
      <c r="AR318" s="799"/>
      <c r="AS318" s="799"/>
      <c r="AT318" s="799"/>
      <c r="AU318" s="799"/>
      <c r="AV318" s="799"/>
      <c r="AW318" s="799"/>
      <c r="AX318" s="799"/>
      <c r="AY318" s="799"/>
      <c r="AZ318" s="799"/>
      <c r="BA318" s="799"/>
      <c r="BB318" s="799"/>
      <c r="BC318" s="799"/>
      <c r="BD318" s="799"/>
      <c r="BE318" s="799"/>
      <c r="BF318" s="799"/>
      <c r="BG318" s="799"/>
    </row>
    <row r="319">
      <c r="H319" s="799"/>
      <c r="I319" s="799"/>
      <c r="J319" s="799"/>
      <c r="K319" s="799"/>
      <c r="L319" s="799"/>
      <c r="M319" s="799"/>
      <c r="N319" s="799"/>
      <c r="O319" s="799"/>
      <c r="P319" s="799"/>
      <c r="Q319" s="799"/>
      <c r="R319" s="799"/>
      <c r="S319" s="799"/>
      <c r="T319" s="799"/>
      <c r="U319" s="799"/>
      <c r="V319" s="799"/>
      <c r="W319" s="799"/>
      <c r="X319" s="799"/>
      <c r="Y319" s="799"/>
      <c r="Z319" s="799"/>
      <c r="AA319" s="799"/>
      <c r="AB319" s="799"/>
      <c r="AC319" s="799"/>
      <c r="AD319" s="799"/>
      <c r="AE319" s="799"/>
      <c r="AF319" s="799"/>
      <c r="AG319" s="799"/>
      <c r="AH319" s="799"/>
      <c r="AI319" s="799"/>
      <c r="AJ319" s="799"/>
      <c r="AK319" s="799"/>
      <c r="AL319" s="799"/>
      <c r="AM319" s="799"/>
      <c r="AN319" s="799"/>
      <c r="AO319" s="799"/>
      <c r="AP319" s="799"/>
      <c r="AQ319" s="799"/>
      <c r="AR319" s="799"/>
      <c r="AS319" s="799"/>
      <c r="AT319" s="799"/>
      <c r="AU319" s="799"/>
      <c r="AV319" s="799"/>
      <c r="AW319" s="799"/>
      <c r="AX319" s="799"/>
      <c r="AY319" s="799"/>
      <c r="AZ319" s="799"/>
      <c r="BA319" s="799"/>
      <c r="BB319" s="799"/>
      <c r="BC319" s="799"/>
      <c r="BD319" s="799"/>
      <c r="BE319" s="799"/>
      <c r="BF319" s="799"/>
      <c r="BG319" s="799"/>
    </row>
    <row r="320">
      <c r="H320" s="799"/>
      <c r="I320" s="799"/>
      <c r="J320" s="799"/>
      <c r="K320" s="799"/>
      <c r="L320" s="799"/>
      <c r="M320" s="799"/>
      <c r="N320" s="799"/>
      <c r="O320" s="799"/>
      <c r="P320" s="799"/>
      <c r="Q320" s="799"/>
      <c r="R320" s="799"/>
      <c r="S320" s="799"/>
      <c r="T320" s="799"/>
      <c r="U320" s="799"/>
      <c r="V320" s="799"/>
      <c r="W320" s="799"/>
      <c r="X320" s="799"/>
      <c r="Y320" s="799"/>
      <c r="Z320" s="799"/>
      <c r="AA320" s="799"/>
      <c r="AB320" s="799"/>
      <c r="AC320" s="799"/>
      <c r="AD320" s="799"/>
      <c r="AE320" s="799"/>
      <c r="AF320" s="799"/>
      <c r="AG320" s="799"/>
      <c r="AH320" s="799"/>
      <c r="AI320" s="799"/>
      <c r="AJ320" s="799"/>
      <c r="AK320" s="799"/>
      <c r="AL320" s="799"/>
      <c r="AM320" s="799"/>
      <c r="AN320" s="799"/>
      <c r="AO320" s="799"/>
      <c r="AP320" s="799"/>
      <c r="AQ320" s="799"/>
      <c r="AR320" s="799"/>
      <c r="AS320" s="799"/>
      <c r="AT320" s="799"/>
      <c r="AU320" s="799"/>
      <c r="AV320" s="799"/>
      <c r="AW320" s="799"/>
      <c r="AX320" s="799"/>
      <c r="AY320" s="799"/>
      <c r="AZ320" s="799"/>
      <c r="BA320" s="799"/>
      <c r="BB320" s="799"/>
      <c r="BC320" s="799"/>
      <c r="BD320" s="799"/>
      <c r="BE320" s="799"/>
      <c r="BF320" s="799"/>
      <c r="BG320" s="799"/>
    </row>
    <row r="321">
      <c r="H321" s="799"/>
      <c r="I321" s="799"/>
      <c r="J321" s="799"/>
      <c r="K321" s="799"/>
      <c r="L321" s="799"/>
      <c r="M321" s="799"/>
      <c r="N321" s="799"/>
      <c r="O321" s="799"/>
      <c r="P321" s="799"/>
      <c r="Q321" s="799"/>
      <c r="R321" s="799"/>
      <c r="S321" s="799"/>
      <c r="T321" s="799"/>
      <c r="U321" s="799"/>
      <c r="V321" s="799"/>
      <c r="W321" s="799"/>
      <c r="X321" s="799"/>
      <c r="Y321" s="799"/>
      <c r="Z321" s="799"/>
      <c r="AA321" s="799"/>
      <c r="AB321" s="799"/>
      <c r="AC321" s="799"/>
      <c r="AD321" s="799"/>
      <c r="AE321" s="799"/>
      <c r="AF321" s="799"/>
      <c r="AG321" s="799"/>
      <c r="AH321" s="799"/>
      <c r="AI321" s="799"/>
      <c r="AJ321" s="799"/>
      <c r="AK321" s="799"/>
      <c r="AL321" s="799"/>
      <c r="AM321" s="799"/>
      <c r="AN321" s="799"/>
      <c r="AO321" s="799"/>
      <c r="AP321" s="799"/>
      <c r="AQ321" s="799"/>
      <c r="AR321" s="799"/>
      <c r="AS321" s="799"/>
      <c r="AT321" s="799"/>
      <c r="AU321" s="799"/>
      <c r="AV321" s="799"/>
      <c r="AW321" s="799"/>
      <c r="AX321" s="799"/>
      <c r="AY321" s="799"/>
      <c r="AZ321" s="799"/>
      <c r="BA321" s="799"/>
      <c r="BB321" s="799"/>
      <c r="BC321" s="799"/>
      <c r="BD321" s="799"/>
      <c r="BE321" s="799"/>
      <c r="BF321" s="799"/>
      <c r="BG321" s="799"/>
    </row>
    <row r="322">
      <c r="H322" s="799"/>
      <c r="I322" s="799"/>
      <c r="J322" s="799"/>
      <c r="K322" s="799"/>
      <c r="L322" s="799"/>
      <c r="M322" s="799"/>
      <c r="N322" s="799"/>
      <c r="O322" s="799"/>
      <c r="P322" s="799"/>
      <c r="Q322" s="799"/>
      <c r="R322" s="799"/>
      <c r="S322" s="799"/>
      <c r="T322" s="799"/>
      <c r="U322" s="799"/>
      <c r="V322" s="799"/>
      <c r="W322" s="799"/>
      <c r="X322" s="799"/>
      <c r="Y322" s="799"/>
      <c r="Z322" s="799"/>
      <c r="AA322" s="799"/>
      <c r="AB322" s="799"/>
      <c r="AC322" s="799"/>
      <c r="AD322" s="799"/>
      <c r="AE322" s="799"/>
      <c r="AF322" s="799"/>
      <c r="AG322" s="799"/>
      <c r="AH322" s="799"/>
      <c r="AI322" s="799"/>
      <c r="AJ322" s="799"/>
      <c r="AK322" s="799"/>
      <c r="AL322" s="799"/>
      <c r="AM322" s="799"/>
      <c r="AN322" s="799"/>
      <c r="AO322" s="799"/>
      <c r="AP322" s="799"/>
      <c r="AQ322" s="799"/>
      <c r="AR322" s="799"/>
      <c r="AS322" s="799"/>
      <c r="AT322" s="799"/>
      <c r="AU322" s="799"/>
      <c r="AV322" s="799"/>
      <c r="AW322" s="799"/>
      <c r="AX322" s="799"/>
      <c r="AY322" s="799"/>
      <c r="AZ322" s="799"/>
      <c r="BA322" s="799"/>
      <c r="BB322" s="799"/>
      <c r="BC322" s="799"/>
      <c r="BD322" s="799"/>
      <c r="BE322" s="799"/>
      <c r="BF322" s="799"/>
      <c r="BG322" s="799"/>
    </row>
    <row r="323">
      <c r="H323" s="799"/>
      <c r="I323" s="799"/>
      <c r="J323" s="799"/>
      <c r="K323" s="799"/>
      <c r="L323" s="799"/>
      <c r="M323" s="799"/>
      <c r="N323" s="799"/>
      <c r="O323" s="799"/>
      <c r="P323" s="799"/>
      <c r="Q323" s="799"/>
      <c r="R323" s="799"/>
      <c r="S323" s="799"/>
      <c r="T323" s="799"/>
      <c r="U323" s="799"/>
      <c r="V323" s="799"/>
      <c r="W323" s="799"/>
      <c r="X323" s="799"/>
      <c r="Y323" s="799"/>
      <c r="Z323" s="799"/>
      <c r="AA323" s="799"/>
      <c r="AB323" s="799"/>
      <c r="AC323" s="799"/>
      <c r="AD323" s="799"/>
      <c r="AE323" s="799"/>
      <c r="AF323" s="799"/>
      <c r="AG323" s="799"/>
      <c r="AH323" s="799"/>
      <c r="AI323" s="799"/>
      <c r="AJ323" s="799"/>
      <c r="AK323" s="799"/>
      <c r="AL323" s="799"/>
      <c r="AM323" s="799"/>
      <c r="AN323" s="799"/>
      <c r="AO323" s="799"/>
      <c r="AP323" s="799"/>
      <c r="AQ323" s="799"/>
      <c r="AR323" s="799"/>
      <c r="AS323" s="799"/>
      <c r="AT323" s="799"/>
      <c r="AU323" s="799"/>
      <c r="AV323" s="799"/>
      <c r="AW323" s="799"/>
      <c r="AX323" s="799"/>
      <c r="AY323" s="799"/>
      <c r="AZ323" s="799"/>
      <c r="BA323" s="799"/>
      <c r="BB323" s="799"/>
      <c r="BC323" s="799"/>
      <c r="BD323" s="799"/>
      <c r="BE323" s="799"/>
      <c r="BF323" s="799"/>
      <c r="BG323" s="799"/>
    </row>
    <row r="324">
      <c r="H324" s="799"/>
      <c r="I324" s="799"/>
      <c r="J324" s="799"/>
      <c r="K324" s="799"/>
      <c r="L324" s="799"/>
      <c r="M324" s="799"/>
      <c r="N324" s="799"/>
      <c r="O324" s="799"/>
      <c r="P324" s="799"/>
      <c r="Q324" s="799"/>
      <c r="R324" s="799"/>
      <c r="S324" s="799"/>
      <c r="T324" s="799"/>
      <c r="U324" s="799"/>
      <c r="V324" s="799"/>
      <c r="W324" s="799"/>
      <c r="X324" s="799"/>
      <c r="Y324" s="799"/>
      <c r="Z324" s="799"/>
      <c r="AA324" s="799"/>
      <c r="AB324" s="799"/>
      <c r="AC324" s="799"/>
      <c r="AD324" s="799"/>
      <c r="AE324" s="799"/>
      <c r="AF324" s="799"/>
      <c r="AG324" s="799"/>
      <c r="AH324" s="799"/>
      <c r="AI324" s="799"/>
      <c r="AJ324" s="799"/>
      <c r="AK324" s="799"/>
      <c r="AL324" s="799"/>
      <c r="AM324" s="799"/>
      <c r="AN324" s="799"/>
      <c r="AO324" s="799"/>
      <c r="AP324" s="799"/>
      <c r="AQ324" s="799"/>
      <c r="AR324" s="799"/>
      <c r="AS324" s="799"/>
      <c r="AT324" s="799"/>
      <c r="AU324" s="799"/>
      <c r="AV324" s="799"/>
      <c r="AW324" s="799"/>
      <c r="AX324" s="799"/>
      <c r="AY324" s="799"/>
      <c r="AZ324" s="799"/>
      <c r="BA324" s="799"/>
      <c r="BB324" s="799"/>
      <c r="BC324" s="799"/>
      <c r="BD324" s="799"/>
      <c r="BE324" s="799"/>
      <c r="BF324" s="799"/>
      <c r="BG324" s="799"/>
    </row>
    <row r="325">
      <c r="H325" s="799"/>
      <c r="I325" s="799"/>
      <c r="J325" s="799"/>
      <c r="K325" s="799"/>
      <c r="L325" s="799"/>
      <c r="M325" s="799"/>
      <c r="N325" s="799"/>
      <c r="O325" s="799"/>
      <c r="P325" s="799"/>
      <c r="Q325" s="799"/>
      <c r="R325" s="799"/>
      <c r="S325" s="799"/>
      <c r="T325" s="799"/>
      <c r="U325" s="799"/>
      <c r="V325" s="799"/>
      <c r="W325" s="799"/>
      <c r="X325" s="799"/>
      <c r="Y325" s="799"/>
      <c r="Z325" s="799"/>
      <c r="AA325" s="799"/>
      <c r="AB325" s="799"/>
      <c r="AC325" s="799"/>
      <c r="AD325" s="799"/>
      <c r="AE325" s="799"/>
      <c r="AF325" s="799"/>
      <c r="AG325" s="799"/>
      <c r="AH325" s="799"/>
      <c r="AI325" s="799"/>
      <c r="AJ325" s="799"/>
      <c r="AK325" s="799"/>
      <c r="AL325" s="799"/>
      <c r="AM325" s="799"/>
      <c r="AN325" s="799"/>
      <c r="AO325" s="799"/>
      <c r="AP325" s="799"/>
      <c r="AQ325" s="799"/>
      <c r="AR325" s="799"/>
      <c r="AS325" s="799"/>
      <c r="AT325" s="799"/>
      <c r="AU325" s="799"/>
      <c r="AV325" s="799"/>
      <c r="AW325" s="799"/>
      <c r="AX325" s="799"/>
      <c r="AY325" s="799"/>
      <c r="AZ325" s="799"/>
      <c r="BA325" s="799"/>
      <c r="BB325" s="799"/>
      <c r="BC325" s="799"/>
      <c r="BD325" s="799"/>
      <c r="BE325" s="799"/>
      <c r="BF325" s="799"/>
      <c r="BG325" s="799"/>
    </row>
    <row r="326">
      <c r="H326" s="799"/>
      <c r="I326" s="799"/>
      <c r="J326" s="799"/>
      <c r="K326" s="799"/>
      <c r="L326" s="799"/>
      <c r="M326" s="799"/>
      <c r="N326" s="799"/>
      <c r="O326" s="799"/>
      <c r="P326" s="799"/>
      <c r="Q326" s="799"/>
      <c r="R326" s="799"/>
      <c r="S326" s="799"/>
      <c r="T326" s="799"/>
      <c r="U326" s="799"/>
      <c r="V326" s="799"/>
      <c r="W326" s="799"/>
      <c r="X326" s="799"/>
      <c r="Y326" s="799"/>
      <c r="Z326" s="799"/>
      <c r="AA326" s="799"/>
      <c r="AB326" s="799"/>
      <c r="AC326" s="799"/>
      <c r="AD326" s="799"/>
      <c r="AE326" s="799"/>
      <c r="AF326" s="799"/>
      <c r="AG326" s="799"/>
      <c r="AH326" s="799"/>
      <c r="AI326" s="799"/>
      <c r="AJ326" s="799"/>
      <c r="AK326" s="799"/>
      <c r="AL326" s="799"/>
      <c r="AM326" s="799"/>
      <c r="AN326" s="799"/>
      <c r="AO326" s="799"/>
      <c r="AP326" s="799"/>
      <c r="AQ326" s="799"/>
      <c r="AR326" s="799"/>
      <c r="AS326" s="799"/>
      <c r="AT326" s="799"/>
      <c r="AU326" s="799"/>
      <c r="AV326" s="799"/>
      <c r="AW326" s="799"/>
      <c r="AX326" s="799"/>
      <c r="AY326" s="799"/>
      <c r="AZ326" s="799"/>
      <c r="BA326" s="799"/>
      <c r="BB326" s="799"/>
      <c r="BC326" s="799"/>
      <c r="BD326" s="799"/>
      <c r="BE326" s="799"/>
      <c r="BF326" s="799"/>
      <c r="BG326" s="799"/>
    </row>
    <row r="327">
      <c r="H327" s="799"/>
      <c r="I327" s="799"/>
      <c r="J327" s="799"/>
      <c r="K327" s="799"/>
      <c r="L327" s="799"/>
      <c r="M327" s="799"/>
      <c r="N327" s="799"/>
      <c r="O327" s="799"/>
      <c r="P327" s="799"/>
      <c r="Q327" s="799"/>
      <c r="R327" s="799"/>
      <c r="S327" s="799"/>
      <c r="T327" s="799"/>
      <c r="U327" s="799"/>
      <c r="V327" s="799"/>
      <c r="W327" s="799"/>
      <c r="X327" s="799"/>
      <c r="Y327" s="799"/>
      <c r="Z327" s="799"/>
      <c r="AA327" s="799"/>
      <c r="AB327" s="799"/>
      <c r="AC327" s="799"/>
      <c r="AD327" s="799"/>
      <c r="AE327" s="799"/>
      <c r="AF327" s="799"/>
      <c r="AG327" s="799"/>
      <c r="AH327" s="799"/>
      <c r="AI327" s="799"/>
      <c r="AJ327" s="799"/>
      <c r="AK327" s="799"/>
      <c r="AL327" s="799"/>
      <c r="AM327" s="799"/>
      <c r="AN327" s="799"/>
      <c r="AO327" s="799"/>
      <c r="AP327" s="799"/>
      <c r="AQ327" s="799"/>
      <c r="AR327" s="799"/>
      <c r="AS327" s="799"/>
      <c r="AT327" s="799"/>
      <c r="AU327" s="799"/>
      <c r="AV327" s="799"/>
      <c r="AW327" s="799"/>
      <c r="AX327" s="799"/>
      <c r="AY327" s="799"/>
      <c r="AZ327" s="799"/>
      <c r="BA327" s="799"/>
      <c r="BB327" s="799"/>
      <c r="BC327" s="799"/>
      <c r="BD327" s="799"/>
      <c r="BE327" s="799"/>
      <c r="BF327" s="799"/>
      <c r="BG327" s="799"/>
    </row>
    <row r="328">
      <c r="H328" s="799"/>
      <c r="I328" s="799"/>
      <c r="J328" s="799"/>
      <c r="K328" s="799"/>
      <c r="L328" s="799"/>
      <c r="M328" s="799"/>
      <c r="N328" s="799"/>
      <c r="O328" s="799"/>
      <c r="P328" s="799"/>
      <c r="Q328" s="799"/>
      <c r="R328" s="799"/>
      <c r="S328" s="799"/>
      <c r="T328" s="799"/>
      <c r="U328" s="799"/>
      <c r="V328" s="799"/>
      <c r="W328" s="799"/>
      <c r="X328" s="799"/>
      <c r="Y328" s="799"/>
      <c r="Z328" s="799"/>
      <c r="AA328" s="799"/>
      <c r="AB328" s="799"/>
      <c r="AC328" s="799"/>
      <c r="AD328" s="799"/>
      <c r="AE328" s="799"/>
      <c r="AF328" s="799"/>
      <c r="AG328" s="799"/>
      <c r="AH328" s="799"/>
      <c r="AI328" s="799"/>
      <c r="AJ328" s="799"/>
      <c r="AK328" s="799"/>
      <c r="AL328" s="799"/>
      <c r="AM328" s="799"/>
      <c r="AN328" s="799"/>
      <c r="AO328" s="799"/>
      <c r="AP328" s="799"/>
      <c r="AQ328" s="799"/>
      <c r="AR328" s="799"/>
      <c r="AS328" s="799"/>
      <c r="AT328" s="799"/>
      <c r="AU328" s="799"/>
      <c r="AV328" s="799"/>
      <c r="AW328" s="799"/>
      <c r="AX328" s="799"/>
      <c r="AY328" s="799"/>
      <c r="AZ328" s="799"/>
      <c r="BA328" s="799"/>
      <c r="BB328" s="799"/>
      <c r="BC328" s="799"/>
      <c r="BD328" s="799"/>
      <c r="BE328" s="799"/>
      <c r="BF328" s="799"/>
      <c r="BG328" s="799"/>
    </row>
    <row r="329">
      <c r="H329" s="799"/>
      <c r="I329" s="799"/>
      <c r="J329" s="799"/>
      <c r="K329" s="799"/>
      <c r="L329" s="799"/>
      <c r="M329" s="799"/>
      <c r="N329" s="799"/>
      <c r="O329" s="799"/>
      <c r="P329" s="799"/>
      <c r="Q329" s="799"/>
      <c r="R329" s="799"/>
      <c r="S329" s="799"/>
      <c r="T329" s="799"/>
      <c r="U329" s="799"/>
      <c r="V329" s="799"/>
      <c r="W329" s="799"/>
      <c r="X329" s="799"/>
      <c r="Y329" s="799"/>
      <c r="Z329" s="799"/>
      <c r="AA329" s="799"/>
      <c r="AB329" s="799"/>
      <c r="AC329" s="799"/>
      <c r="AD329" s="799"/>
      <c r="AE329" s="799"/>
      <c r="AF329" s="799"/>
      <c r="AG329" s="799"/>
      <c r="AH329" s="799"/>
      <c r="AI329" s="799"/>
      <c r="AJ329" s="799"/>
      <c r="AK329" s="799"/>
      <c r="AL329" s="799"/>
      <c r="AM329" s="799"/>
      <c r="AN329" s="799"/>
      <c r="AO329" s="799"/>
      <c r="AP329" s="799"/>
      <c r="AQ329" s="799"/>
      <c r="AR329" s="799"/>
      <c r="AS329" s="799"/>
      <c r="AT329" s="799"/>
      <c r="AU329" s="799"/>
      <c r="AV329" s="799"/>
      <c r="AW329" s="799"/>
      <c r="AX329" s="799"/>
      <c r="AY329" s="799"/>
      <c r="AZ329" s="799"/>
      <c r="BA329" s="799"/>
      <c r="BB329" s="799"/>
      <c r="BC329" s="799"/>
      <c r="BD329" s="799"/>
      <c r="BE329" s="799"/>
      <c r="BF329" s="799"/>
      <c r="BG329" s="799"/>
    </row>
    <row r="330">
      <c r="H330" s="799"/>
      <c r="I330" s="799"/>
      <c r="J330" s="799"/>
      <c r="K330" s="799"/>
      <c r="L330" s="799"/>
      <c r="M330" s="799"/>
      <c r="N330" s="799"/>
      <c r="O330" s="799"/>
      <c r="P330" s="799"/>
      <c r="Q330" s="799"/>
      <c r="R330" s="799"/>
      <c r="S330" s="799"/>
      <c r="T330" s="799"/>
      <c r="U330" s="799"/>
      <c r="V330" s="799"/>
      <c r="W330" s="799"/>
      <c r="X330" s="799"/>
      <c r="Y330" s="799"/>
      <c r="Z330" s="799"/>
      <c r="AA330" s="799"/>
      <c r="AB330" s="799"/>
      <c r="AC330" s="799"/>
      <c r="AD330" s="799"/>
      <c r="AE330" s="799"/>
      <c r="AF330" s="799"/>
      <c r="AG330" s="799"/>
      <c r="AH330" s="799"/>
      <c r="AI330" s="799"/>
      <c r="AJ330" s="799"/>
      <c r="AK330" s="799"/>
      <c r="AL330" s="799"/>
      <c r="AM330" s="799"/>
      <c r="AN330" s="799"/>
      <c r="AO330" s="799"/>
      <c r="AP330" s="799"/>
      <c r="AQ330" s="799"/>
      <c r="AR330" s="799"/>
      <c r="AS330" s="799"/>
      <c r="AT330" s="799"/>
      <c r="AU330" s="799"/>
      <c r="AV330" s="799"/>
      <c r="AW330" s="799"/>
      <c r="AX330" s="799"/>
      <c r="AY330" s="799"/>
      <c r="AZ330" s="799"/>
      <c r="BA330" s="799"/>
      <c r="BB330" s="799"/>
      <c r="BC330" s="799"/>
      <c r="BD330" s="799"/>
      <c r="BE330" s="799"/>
      <c r="BF330" s="799"/>
      <c r="BG330" s="799"/>
    </row>
    <row r="331">
      <c r="H331" s="799"/>
      <c r="I331" s="799"/>
      <c r="J331" s="799"/>
      <c r="K331" s="799"/>
      <c r="L331" s="799"/>
      <c r="M331" s="799"/>
      <c r="N331" s="799"/>
      <c r="O331" s="799"/>
      <c r="P331" s="799"/>
      <c r="Q331" s="799"/>
      <c r="R331" s="799"/>
      <c r="S331" s="799"/>
      <c r="T331" s="799"/>
      <c r="U331" s="799"/>
      <c r="V331" s="799"/>
      <c r="W331" s="799"/>
      <c r="X331" s="799"/>
      <c r="Y331" s="799"/>
      <c r="Z331" s="799"/>
      <c r="AA331" s="799"/>
      <c r="AB331" s="799"/>
      <c r="AC331" s="799"/>
      <c r="AD331" s="799"/>
      <c r="AE331" s="799"/>
      <c r="AF331" s="799"/>
      <c r="AG331" s="799"/>
      <c r="AH331" s="799"/>
      <c r="AI331" s="799"/>
      <c r="AJ331" s="799"/>
      <c r="AK331" s="799"/>
      <c r="AL331" s="799"/>
      <c r="AM331" s="799"/>
      <c r="AN331" s="799"/>
      <c r="AO331" s="799"/>
      <c r="AP331" s="799"/>
      <c r="AQ331" s="799"/>
      <c r="AR331" s="799"/>
      <c r="AS331" s="799"/>
      <c r="AT331" s="799"/>
      <c r="AU331" s="799"/>
      <c r="AV331" s="799"/>
      <c r="AW331" s="799"/>
      <c r="AX331" s="799"/>
      <c r="AY331" s="799"/>
      <c r="AZ331" s="799"/>
      <c r="BA331" s="799"/>
      <c r="BB331" s="799"/>
      <c r="BC331" s="799"/>
      <c r="BD331" s="799"/>
      <c r="BE331" s="799"/>
      <c r="BF331" s="799"/>
      <c r="BG331" s="799"/>
    </row>
    <row r="332">
      <c r="H332" s="799"/>
      <c r="I332" s="799"/>
      <c r="J332" s="799"/>
      <c r="K332" s="799"/>
      <c r="L332" s="799"/>
      <c r="M332" s="799"/>
      <c r="N332" s="799"/>
      <c r="O332" s="799"/>
      <c r="P332" s="799"/>
      <c r="Q332" s="799"/>
      <c r="R332" s="799"/>
      <c r="S332" s="799"/>
      <c r="T332" s="799"/>
      <c r="U332" s="799"/>
      <c r="V332" s="799"/>
      <c r="W332" s="799"/>
      <c r="X332" s="799"/>
      <c r="Y332" s="799"/>
      <c r="Z332" s="799"/>
      <c r="AA332" s="799"/>
      <c r="AB332" s="799"/>
      <c r="AC332" s="799"/>
      <c r="AD332" s="799"/>
      <c r="AE332" s="799"/>
      <c r="AF332" s="799"/>
      <c r="AG332" s="799"/>
      <c r="AH332" s="799"/>
      <c r="AI332" s="799"/>
      <c r="AJ332" s="799"/>
      <c r="AK332" s="799"/>
      <c r="AL332" s="799"/>
      <c r="AM332" s="799"/>
      <c r="AN332" s="799"/>
      <c r="AO332" s="799"/>
      <c r="AP332" s="799"/>
      <c r="AQ332" s="799"/>
      <c r="AR332" s="799"/>
      <c r="AS332" s="799"/>
      <c r="AT332" s="799"/>
      <c r="AU332" s="799"/>
      <c r="AV332" s="799"/>
      <c r="AW332" s="799"/>
      <c r="AX332" s="799"/>
      <c r="AY332" s="799"/>
      <c r="AZ332" s="799"/>
      <c r="BA332" s="799"/>
      <c r="BB332" s="799"/>
      <c r="BC332" s="799"/>
      <c r="BD332" s="799"/>
      <c r="BE332" s="799"/>
      <c r="BF332" s="799"/>
      <c r="BG332" s="799"/>
    </row>
    <row r="333">
      <c r="H333" s="799"/>
      <c r="I333" s="799"/>
      <c r="J333" s="799"/>
      <c r="K333" s="799"/>
      <c r="L333" s="799"/>
      <c r="M333" s="799"/>
      <c r="N333" s="799"/>
      <c r="O333" s="799"/>
      <c r="P333" s="799"/>
      <c r="Q333" s="799"/>
      <c r="R333" s="799"/>
      <c r="S333" s="799"/>
      <c r="T333" s="799"/>
      <c r="U333" s="799"/>
      <c r="V333" s="799"/>
      <c r="W333" s="799"/>
      <c r="X333" s="799"/>
      <c r="Y333" s="799"/>
      <c r="Z333" s="799"/>
      <c r="AA333" s="799"/>
      <c r="AB333" s="799"/>
      <c r="AC333" s="799"/>
      <c r="AD333" s="799"/>
      <c r="AE333" s="799"/>
      <c r="AF333" s="799"/>
      <c r="AG333" s="799"/>
      <c r="AH333" s="799"/>
      <c r="AI333" s="799"/>
      <c r="AJ333" s="799"/>
      <c r="AK333" s="799"/>
      <c r="AL333" s="799"/>
      <c r="AM333" s="799"/>
      <c r="AN333" s="799"/>
      <c r="AO333" s="799"/>
      <c r="AP333" s="799"/>
      <c r="AQ333" s="799"/>
      <c r="AR333" s="799"/>
      <c r="AS333" s="799"/>
      <c r="AT333" s="799"/>
      <c r="AU333" s="799"/>
      <c r="AV333" s="799"/>
      <c r="AW333" s="799"/>
      <c r="AX333" s="799"/>
      <c r="AY333" s="799"/>
      <c r="AZ333" s="799"/>
      <c r="BA333" s="799"/>
      <c r="BB333" s="799"/>
      <c r="BC333" s="799"/>
      <c r="BD333" s="799"/>
      <c r="BE333" s="799"/>
      <c r="BF333" s="799"/>
      <c r="BG333" s="799"/>
    </row>
    <row r="334">
      <c r="H334" s="799"/>
      <c r="I334" s="799"/>
      <c r="J334" s="799"/>
      <c r="K334" s="799"/>
      <c r="L334" s="799"/>
      <c r="M334" s="799"/>
      <c r="N334" s="799"/>
      <c r="O334" s="799"/>
      <c r="P334" s="799"/>
      <c r="Q334" s="799"/>
      <c r="R334" s="799"/>
      <c r="S334" s="799"/>
      <c r="T334" s="799"/>
      <c r="U334" s="799"/>
      <c r="V334" s="799"/>
      <c r="W334" s="799"/>
      <c r="X334" s="799"/>
      <c r="Y334" s="799"/>
      <c r="Z334" s="799"/>
      <c r="AA334" s="799"/>
      <c r="AB334" s="799"/>
      <c r="AC334" s="799"/>
      <c r="AD334" s="799"/>
      <c r="AE334" s="799"/>
      <c r="AF334" s="799"/>
      <c r="AG334" s="799"/>
      <c r="AH334" s="799"/>
      <c r="AI334" s="799"/>
      <c r="AJ334" s="799"/>
      <c r="AK334" s="799"/>
      <c r="AL334" s="799"/>
      <c r="AM334" s="799"/>
      <c r="AN334" s="799"/>
      <c r="AO334" s="799"/>
      <c r="AP334" s="799"/>
      <c r="AQ334" s="799"/>
      <c r="AR334" s="799"/>
      <c r="AS334" s="799"/>
      <c r="AT334" s="799"/>
      <c r="AU334" s="799"/>
      <c r="AV334" s="799"/>
      <c r="AW334" s="799"/>
      <c r="AX334" s="799"/>
      <c r="AY334" s="799"/>
      <c r="AZ334" s="799"/>
      <c r="BA334" s="799"/>
      <c r="BB334" s="799"/>
      <c r="BC334" s="799"/>
      <c r="BD334" s="799"/>
      <c r="BE334" s="799"/>
      <c r="BF334" s="799"/>
      <c r="BG334" s="799"/>
    </row>
    <row r="335">
      <c r="H335" s="799"/>
      <c r="I335" s="799"/>
      <c r="J335" s="799"/>
      <c r="K335" s="799"/>
      <c r="L335" s="799"/>
      <c r="M335" s="799"/>
      <c r="N335" s="799"/>
      <c r="O335" s="799"/>
      <c r="P335" s="799"/>
      <c r="Q335" s="799"/>
      <c r="R335" s="799"/>
      <c r="S335" s="799"/>
      <c r="T335" s="799"/>
      <c r="U335" s="799"/>
      <c r="V335" s="799"/>
      <c r="W335" s="799"/>
      <c r="X335" s="799"/>
      <c r="Y335" s="799"/>
      <c r="Z335" s="799"/>
      <c r="AA335" s="799"/>
      <c r="AB335" s="799"/>
      <c r="AC335" s="799"/>
      <c r="AD335" s="799"/>
      <c r="AE335" s="799"/>
      <c r="AF335" s="799"/>
      <c r="AG335" s="799"/>
      <c r="AH335" s="799"/>
      <c r="AI335" s="799"/>
      <c r="AJ335" s="799"/>
      <c r="AK335" s="799"/>
      <c r="AL335" s="799"/>
      <c r="AM335" s="799"/>
      <c r="AN335" s="799"/>
      <c r="AO335" s="799"/>
      <c r="AP335" s="799"/>
      <c r="AQ335" s="799"/>
      <c r="AR335" s="799"/>
      <c r="AS335" s="799"/>
      <c r="AT335" s="799"/>
      <c r="AU335" s="799"/>
      <c r="AV335" s="799"/>
      <c r="AW335" s="799"/>
      <c r="AX335" s="799"/>
      <c r="AY335" s="799"/>
      <c r="AZ335" s="799"/>
      <c r="BA335" s="799"/>
      <c r="BB335" s="799"/>
      <c r="BC335" s="799"/>
      <c r="BD335" s="799"/>
      <c r="BE335" s="799"/>
      <c r="BF335" s="799"/>
      <c r="BG335" s="799"/>
    </row>
    <row r="336">
      <c r="H336" s="799"/>
      <c r="I336" s="799"/>
      <c r="J336" s="799"/>
      <c r="K336" s="799"/>
      <c r="L336" s="799"/>
      <c r="M336" s="799"/>
      <c r="N336" s="799"/>
      <c r="O336" s="799"/>
      <c r="P336" s="799"/>
      <c r="Q336" s="799"/>
      <c r="R336" s="799"/>
      <c r="S336" s="799"/>
      <c r="T336" s="799"/>
      <c r="U336" s="799"/>
      <c r="V336" s="799"/>
      <c r="W336" s="799"/>
      <c r="X336" s="799"/>
      <c r="Y336" s="799"/>
      <c r="Z336" s="799"/>
      <c r="AA336" s="799"/>
      <c r="AB336" s="799"/>
      <c r="AC336" s="799"/>
      <c r="AD336" s="799"/>
      <c r="AE336" s="799"/>
      <c r="AF336" s="799"/>
      <c r="AG336" s="799"/>
      <c r="AH336" s="799"/>
      <c r="AI336" s="799"/>
      <c r="AJ336" s="799"/>
      <c r="AK336" s="799"/>
      <c r="AL336" s="799"/>
      <c r="AM336" s="799"/>
      <c r="AN336" s="799"/>
      <c r="AO336" s="799"/>
      <c r="AP336" s="799"/>
      <c r="AQ336" s="799"/>
      <c r="AR336" s="799"/>
      <c r="AS336" s="799"/>
      <c r="AT336" s="799"/>
      <c r="AU336" s="799"/>
      <c r="AV336" s="799"/>
      <c r="AW336" s="799"/>
      <c r="AX336" s="799"/>
      <c r="AY336" s="799"/>
      <c r="AZ336" s="799"/>
      <c r="BA336" s="799"/>
      <c r="BB336" s="799"/>
      <c r="BC336" s="799"/>
      <c r="BD336" s="799"/>
      <c r="BE336" s="799"/>
      <c r="BF336" s="799"/>
      <c r="BG336" s="799"/>
    </row>
    <row r="337">
      <c r="H337" s="799"/>
      <c r="I337" s="799"/>
      <c r="J337" s="799"/>
      <c r="K337" s="799"/>
      <c r="L337" s="799"/>
      <c r="M337" s="799"/>
      <c r="N337" s="799"/>
      <c r="O337" s="799"/>
      <c r="P337" s="799"/>
      <c r="Q337" s="799"/>
      <c r="R337" s="799"/>
      <c r="S337" s="799"/>
      <c r="T337" s="799"/>
      <c r="U337" s="799"/>
      <c r="V337" s="799"/>
      <c r="W337" s="799"/>
      <c r="X337" s="799"/>
      <c r="Y337" s="799"/>
      <c r="Z337" s="799"/>
      <c r="AA337" s="799"/>
      <c r="AB337" s="799"/>
      <c r="AC337" s="799"/>
      <c r="AD337" s="799"/>
      <c r="AE337" s="799"/>
      <c r="AF337" s="799"/>
      <c r="AG337" s="799"/>
      <c r="AH337" s="799"/>
      <c r="AI337" s="799"/>
      <c r="AJ337" s="799"/>
      <c r="AK337" s="799"/>
      <c r="AL337" s="799"/>
      <c r="AM337" s="799"/>
      <c r="AN337" s="799"/>
      <c r="AO337" s="799"/>
      <c r="AP337" s="799"/>
      <c r="AQ337" s="799"/>
      <c r="AR337" s="799"/>
      <c r="AS337" s="799"/>
      <c r="AT337" s="799"/>
      <c r="AU337" s="799"/>
      <c r="AV337" s="799"/>
      <c r="AW337" s="799"/>
      <c r="AX337" s="799"/>
      <c r="AY337" s="799"/>
      <c r="AZ337" s="799"/>
      <c r="BA337" s="799"/>
      <c r="BB337" s="799"/>
      <c r="BC337" s="799"/>
      <c r="BD337" s="799"/>
      <c r="BE337" s="799"/>
      <c r="BF337" s="799"/>
      <c r="BG337" s="799"/>
    </row>
    <row r="338">
      <c r="H338" s="799"/>
      <c r="I338" s="799"/>
      <c r="J338" s="799"/>
      <c r="K338" s="799"/>
      <c r="L338" s="799"/>
      <c r="M338" s="799"/>
      <c r="N338" s="799"/>
      <c r="O338" s="799"/>
      <c r="P338" s="799"/>
      <c r="Q338" s="799"/>
      <c r="R338" s="799"/>
      <c r="S338" s="799"/>
      <c r="T338" s="799"/>
      <c r="U338" s="799"/>
      <c r="V338" s="799"/>
      <c r="W338" s="799"/>
      <c r="X338" s="799"/>
      <c r="Y338" s="799"/>
      <c r="Z338" s="799"/>
      <c r="AA338" s="799"/>
      <c r="AB338" s="799"/>
      <c r="AC338" s="799"/>
      <c r="AD338" s="799"/>
      <c r="AE338" s="799"/>
      <c r="AF338" s="799"/>
      <c r="AG338" s="799"/>
      <c r="AH338" s="799"/>
      <c r="AI338" s="799"/>
      <c r="AJ338" s="799"/>
      <c r="AK338" s="799"/>
      <c r="AL338" s="799"/>
      <c r="AM338" s="799"/>
      <c r="AN338" s="799"/>
      <c r="AO338" s="799"/>
      <c r="AP338" s="799"/>
      <c r="AQ338" s="799"/>
      <c r="AR338" s="799"/>
      <c r="AS338" s="799"/>
      <c r="AT338" s="799"/>
      <c r="AU338" s="799"/>
      <c r="AV338" s="799"/>
      <c r="AW338" s="799"/>
      <c r="AX338" s="799"/>
      <c r="AY338" s="799"/>
      <c r="AZ338" s="799"/>
      <c r="BA338" s="799"/>
      <c r="BB338" s="799"/>
      <c r="BC338" s="799"/>
      <c r="BD338" s="799"/>
      <c r="BE338" s="799"/>
      <c r="BF338" s="799"/>
      <c r="BG338" s="799"/>
    </row>
    <row r="339">
      <c r="H339" s="799"/>
      <c r="I339" s="799"/>
      <c r="J339" s="799"/>
      <c r="K339" s="799"/>
      <c r="L339" s="799"/>
      <c r="M339" s="799"/>
      <c r="N339" s="799"/>
      <c r="O339" s="799"/>
      <c r="P339" s="799"/>
      <c r="Q339" s="799"/>
      <c r="R339" s="799"/>
      <c r="S339" s="799"/>
      <c r="T339" s="799"/>
      <c r="U339" s="799"/>
      <c r="V339" s="799"/>
      <c r="W339" s="799"/>
      <c r="X339" s="799"/>
      <c r="Y339" s="799"/>
      <c r="Z339" s="799"/>
      <c r="AA339" s="799"/>
      <c r="AB339" s="799"/>
      <c r="AC339" s="799"/>
      <c r="AD339" s="799"/>
      <c r="AE339" s="799"/>
      <c r="AF339" s="799"/>
      <c r="AG339" s="799"/>
      <c r="AH339" s="799"/>
      <c r="AI339" s="799"/>
      <c r="AJ339" s="799"/>
      <c r="AK339" s="799"/>
      <c r="AL339" s="799"/>
      <c r="AM339" s="799"/>
      <c r="AN339" s="799"/>
      <c r="AO339" s="799"/>
      <c r="AP339" s="799"/>
      <c r="AQ339" s="799"/>
      <c r="AR339" s="799"/>
      <c r="AS339" s="799"/>
      <c r="AT339" s="799"/>
      <c r="AU339" s="799"/>
      <c r="AV339" s="799"/>
      <c r="AW339" s="799"/>
      <c r="AX339" s="799"/>
      <c r="AY339" s="799"/>
      <c r="AZ339" s="799"/>
      <c r="BA339" s="799"/>
      <c r="BB339" s="799"/>
      <c r="BC339" s="799"/>
      <c r="BD339" s="799"/>
      <c r="BE339" s="799"/>
      <c r="BF339" s="799"/>
      <c r="BG339" s="799"/>
    </row>
    <row r="340">
      <c r="H340" s="799"/>
      <c r="I340" s="799"/>
      <c r="J340" s="799"/>
      <c r="K340" s="799"/>
      <c r="L340" s="799"/>
      <c r="M340" s="799"/>
      <c r="N340" s="799"/>
      <c r="O340" s="799"/>
      <c r="P340" s="799"/>
      <c r="Q340" s="799"/>
      <c r="R340" s="799"/>
      <c r="S340" s="799"/>
      <c r="T340" s="799"/>
      <c r="U340" s="799"/>
      <c r="V340" s="799"/>
      <c r="W340" s="799"/>
      <c r="X340" s="799"/>
      <c r="Y340" s="799"/>
      <c r="Z340" s="799"/>
      <c r="AA340" s="799"/>
      <c r="AB340" s="799"/>
      <c r="AC340" s="799"/>
      <c r="AD340" s="799"/>
      <c r="AE340" s="799"/>
      <c r="AF340" s="799"/>
      <c r="AG340" s="799"/>
      <c r="AH340" s="799"/>
      <c r="AI340" s="799"/>
      <c r="AJ340" s="799"/>
      <c r="AK340" s="799"/>
      <c r="AL340" s="799"/>
      <c r="AM340" s="799"/>
      <c r="AN340" s="799"/>
      <c r="AO340" s="799"/>
      <c r="AP340" s="799"/>
      <c r="AQ340" s="799"/>
      <c r="AR340" s="799"/>
      <c r="AS340" s="799"/>
      <c r="AT340" s="799"/>
      <c r="AU340" s="799"/>
      <c r="AV340" s="799"/>
      <c r="AW340" s="799"/>
      <c r="AX340" s="799"/>
      <c r="AY340" s="799"/>
      <c r="AZ340" s="799"/>
      <c r="BA340" s="799"/>
      <c r="BB340" s="799"/>
      <c r="BC340" s="799"/>
      <c r="BD340" s="799"/>
      <c r="BE340" s="799"/>
      <c r="BF340" s="799"/>
      <c r="BG340" s="799"/>
    </row>
    <row r="341">
      <c r="H341" s="799"/>
      <c r="I341" s="799"/>
      <c r="J341" s="799"/>
      <c r="K341" s="799"/>
      <c r="L341" s="799"/>
      <c r="M341" s="799"/>
      <c r="N341" s="799"/>
      <c r="O341" s="799"/>
      <c r="P341" s="799"/>
      <c r="Q341" s="799"/>
      <c r="R341" s="799"/>
      <c r="S341" s="799"/>
      <c r="T341" s="799"/>
      <c r="U341" s="799"/>
      <c r="V341" s="799"/>
      <c r="W341" s="799"/>
      <c r="X341" s="799"/>
      <c r="Y341" s="799"/>
      <c r="Z341" s="799"/>
      <c r="AA341" s="799"/>
      <c r="AB341" s="799"/>
      <c r="AC341" s="799"/>
      <c r="AD341" s="799"/>
      <c r="AE341" s="799"/>
      <c r="AF341" s="799"/>
      <c r="AG341" s="799"/>
      <c r="AH341" s="799"/>
      <c r="AI341" s="799"/>
      <c r="AJ341" s="799"/>
      <c r="AK341" s="799"/>
      <c r="AL341" s="799"/>
      <c r="AM341" s="799"/>
      <c r="AN341" s="799"/>
      <c r="AO341" s="799"/>
      <c r="AP341" s="799"/>
      <c r="AQ341" s="799"/>
      <c r="AR341" s="799"/>
      <c r="AS341" s="799"/>
      <c r="AT341" s="799"/>
      <c r="AU341" s="799"/>
      <c r="AV341" s="799"/>
      <c r="AW341" s="799"/>
      <c r="AX341" s="799"/>
      <c r="AY341" s="799"/>
      <c r="AZ341" s="799"/>
      <c r="BA341" s="799"/>
      <c r="BB341" s="799"/>
      <c r="BC341" s="799"/>
      <c r="BD341" s="799"/>
      <c r="BE341" s="799"/>
      <c r="BF341" s="799"/>
      <c r="BG341" s="799"/>
    </row>
    <row r="342">
      <c r="H342" s="799"/>
      <c r="I342" s="799"/>
      <c r="J342" s="799"/>
      <c r="K342" s="799"/>
      <c r="L342" s="799"/>
      <c r="M342" s="799"/>
      <c r="N342" s="799"/>
      <c r="O342" s="799"/>
      <c r="P342" s="799"/>
      <c r="Q342" s="799"/>
      <c r="R342" s="799"/>
      <c r="S342" s="799"/>
      <c r="T342" s="799"/>
      <c r="U342" s="799"/>
      <c r="V342" s="799"/>
      <c r="W342" s="799"/>
      <c r="X342" s="799"/>
      <c r="Y342" s="799"/>
      <c r="Z342" s="799"/>
      <c r="AA342" s="799"/>
      <c r="AB342" s="799"/>
      <c r="AC342" s="799"/>
      <c r="AD342" s="799"/>
      <c r="AE342" s="799"/>
      <c r="AF342" s="799"/>
      <c r="AG342" s="799"/>
      <c r="AH342" s="799"/>
      <c r="AI342" s="799"/>
      <c r="AJ342" s="799"/>
      <c r="AK342" s="799"/>
      <c r="AL342" s="799"/>
      <c r="AM342" s="799"/>
      <c r="AN342" s="799"/>
      <c r="AO342" s="799"/>
      <c r="AP342" s="799"/>
      <c r="AQ342" s="799"/>
      <c r="AR342" s="799"/>
      <c r="AS342" s="799"/>
      <c r="AT342" s="799"/>
      <c r="AU342" s="799"/>
      <c r="AV342" s="799"/>
      <c r="AW342" s="799"/>
      <c r="AX342" s="799"/>
      <c r="AY342" s="799"/>
      <c r="AZ342" s="799"/>
      <c r="BA342" s="799"/>
      <c r="BB342" s="799"/>
      <c r="BC342" s="799"/>
      <c r="BD342" s="799"/>
      <c r="BE342" s="799"/>
      <c r="BF342" s="799"/>
      <c r="BG342" s="799"/>
    </row>
    <row r="343">
      <c r="H343" s="799"/>
      <c r="I343" s="799"/>
      <c r="J343" s="799"/>
      <c r="K343" s="799"/>
      <c r="L343" s="799"/>
      <c r="M343" s="799"/>
      <c r="N343" s="799"/>
      <c r="O343" s="799"/>
      <c r="P343" s="799"/>
      <c r="Q343" s="799"/>
      <c r="R343" s="799"/>
      <c r="S343" s="799"/>
      <c r="T343" s="799"/>
      <c r="U343" s="799"/>
      <c r="V343" s="799"/>
      <c r="W343" s="799"/>
      <c r="X343" s="799"/>
      <c r="Y343" s="799"/>
      <c r="Z343" s="799"/>
      <c r="AA343" s="799"/>
      <c r="AB343" s="799"/>
      <c r="AC343" s="799"/>
      <c r="AD343" s="799"/>
      <c r="AE343" s="799"/>
      <c r="AF343" s="799"/>
      <c r="AG343" s="799"/>
      <c r="AH343" s="799"/>
      <c r="AI343" s="799"/>
      <c r="AJ343" s="799"/>
      <c r="AK343" s="799"/>
      <c r="AL343" s="799"/>
      <c r="AM343" s="799"/>
      <c r="AN343" s="799"/>
      <c r="AO343" s="799"/>
      <c r="AP343" s="799"/>
      <c r="AQ343" s="799"/>
      <c r="AR343" s="799"/>
      <c r="AS343" s="799"/>
      <c r="AT343" s="799"/>
      <c r="AU343" s="799"/>
      <c r="AV343" s="799"/>
      <c r="AW343" s="799"/>
      <c r="AX343" s="799"/>
      <c r="AY343" s="799"/>
      <c r="AZ343" s="799"/>
      <c r="BA343" s="799"/>
      <c r="BB343" s="799"/>
      <c r="BC343" s="799"/>
      <c r="BD343" s="799"/>
      <c r="BE343" s="799"/>
      <c r="BF343" s="799"/>
      <c r="BG343" s="799"/>
    </row>
    <row r="344">
      <c r="H344" s="799"/>
      <c r="I344" s="799"/>
      <c r="J344" s="799"/>
      <c r="K344" s="799"/>
      <c r="L344" s="799"/>
      <c r="M344" s="799"/>
      <c r="N344" s="799"/>
      <c r="O344" s="799"/>
      <c r="P344" s="799"/>
      <c r="Q344" s="799"/>
      <c r="R344" s="799"/>
      <c r="S344" s="799"/>
      <c r="T344" s="799"/>
      <c r="U344" s="799"/>
      <c r="V344" s="799"/>
      <c r="W344" s="799"/>
      <c r="X344" s="799"/>
      <c r="Y344" s="799"/>
      <c r="Z344" s="799"/>
      <c r="AA344" s="799"/>
      <c r="AB344" s="799"/>
      <c r="AC344" s="799"/>
      <c r="AD344" s="799"/>
      <c r="AE344" s="799"/>
      <c r="AF344" s="799"/>
      <c r="AG344" s="799"/>
      <c r="AH344" s="799"/>
      <c r="AI344" s="799"/>
      <c r="AJ344" s="799"/>
      <c r="AK344" s="799"/>
      <c r="AL344" s="799"/>
      <c r="AM344" s="799"/>
      <c r="AN344" s="799"/>
      <c r="AO344" s="799"/>
      <c r="AP344" s="799"/>
      <c r="AQ344" s="799"/>
      <c r="AR344" s="799"/>
      <c r="AS344" s="799"/>
      <c r="AT344" s="799"/>
      <c r="AU344" s="799"/>
      <c r="AV344" s="799"/>
      <c r="AW344" s="799"/>
      <c r="AX344" s="799"/>
      <c r="AY344" s="799"/>
      <c r="AZ344" s="799"/>
      <c r="BA344" s="799"/>
      <c r="BB344" s="799"/>
      <c r="BC344" s="799"/>
      <c r="BD344" s="799"/>
      <c r="BE344" s="799"/>
      <c r="BF344" s="799"/>
      <c r="BG344" s="799"/>
    </row>
    <row r="345">
      <c r="H345" s="799"/>
      <c r="I345" s="799"/>
      <c r="J345" s="799"/>
      <c r="K345" s="799"/>
      <c r="L345" s="799"/>
      <c r="M345" s="799"/>
      <c r="N345" s="799"/>
      <c r="O345" s="799"/>
      <c r="P345" s="799"/>
      <c r="Q345" s="799"/>
      <c r="R345" s="799"/>
      <c r="S345" s="799"/>
      <c r="T345" s="799"/>
      <c r="U345" s="799"/>
      <c r="V345" s="799"/>
      <c r="W345" s="799"/>
      <c r="X345" s="799"/>
      <c r="Y345" s="799"/>
      <c r="Z345" s="799"/>
      <c r="AA345" s="799"/>
      <c r="AB345" s="799"/>
      <c r="AC345" s="799"/>
      <c r="AD345" s="799"/>
      <c r="AE345" s="799"/>
      <c r="AF345" s="799"/>
      <c r="AG345" s="799"/>
      <c r="AH345" s="799"/>
      <c r="AI345" s="799"/>
      <c r="AJ345" s="799"/>
      <c r="AK345" s="799"/>
      <c r="AL345" s="799"/>
      <c r="AM345" s="799"/>
      <c r="AN345" s="799"/>
      <c r="AO345" s="799"/>
      <c r="AP345" s="799"/>
      <c r="AQ345" s="799"/>
      <c r="AR345" s="799"/>
      <c r="AS345" s="799"/>
      <c r="AT345" s="799"/>
      <c r="AU345" s="799"/>
      <c r="AV345" s="799"/>
      <c r="AW345" s="799"/>
      <c r="AX345" s="799"/>
      <c r="AY345" s="799"/>
      <c r="AZ345" s="799"/>
      <c r="BA345" s="799"/>
      <c r="BB345" s="799"/>
      <c r="BC345" s="799"/>
      <c r="BD345" s="799"/>
      <c r="BE345" s="799"/>
      <c r="BF345" s="799"/>
      <c r="BG345" s="799"/>
    </row>
    <row r="346">
      <c r="H346" s="799"/>
      <c r="I346" s="799"/>
      <c r="J346" s="799"/>
      <c r="K346" s="799"/>
      <c r="L346" s="799"/>
      <c r="M346" s="799"/>
      <c r="N346" s="799"/>
      <c r="O346" s="799"/>
      <c r="P346" s="799"/>
      <c r="Q346" s="799"/>
      <c r="R346" s="799"/>
      <c r="S346" s="799"/>
      <c r="T346" s="799"/>
      <c r="U346" s="799"/>
      <c r="V346" s="799"/>
      <c r="W346" s="799"/>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799"/>
      <c r="AX346" s="799"/>
      <c r="AY346" s="799"/>
      <c r="AZ346" s="799"/>
      <c r="BA346" s="799"/>
      <c r="BB346" s="799"/>
      <c r="BC346" s="799"/>
      <c r="BD346" s="799"/>
      <c r="BE346" s="799"/>
      <c r="BF346" s="799"/>
      <c r="BG346" s="799"/>
    </row>
    <row r="347">
      <c r="H347" s="799"/>
      <c r="I347" s="799"/>
      <c r="J347" s="799"/>
      <c r="K347" s="799"/>
      <c r="L347" s="799"/>
      <c r="M347" s="799"/>
      <c r="N347" s="799"/>
      <c r="O347" s="799"/>
      <c r="P347" s="799"/>
      <c r="Q347" s="799"/>
      <c r="R347" s="799"/>
      <c r="S347" s="799"/>
      <c r="T347" s="799"/>
      <c r="U347" s="799"/>
      <c r="V347" s="799"/>
      <c r="W347" s="799"/>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799"/>
      <c r="AX347" s="799"/>
      <c r="AY347" s="799"/>
      <c r="AZ347" s="799"/>
      <c r="BA347" s="799"/>
      <c r="BB347" s="799"/>
      <c r="BC347" s="799"/>
      <c r="BD347" s="799"/>
      <c r="BE347" s="799"/>
      <c r="BF347" s="799"/>
      <c r="BG347" s="799"/>
    </row>
    <row r="348">
      <c r="H348" s="799"/>
      <c r="I348" s="799"/>
      <c r="J348" s="799"/>
      <c r="K348" s="799"/>
      <c r="L348" s="799"/>
      <c r="M348" s="799"/>
      <c r="N348" s="799"/>
      <c r="O348" s="799"/>
      <c r="P348" s="799"/>
      <c r="Q348" s="799"/>
      <c r="R348" s="799"/>
      <c r="S348" s="799"/>
      <c r="T348" s="799"/>
      <c r="U348" s="799"/>
      <c r="V348" s="799"/>
      <c r="W348" s="799"/>
      <c r="X348" s="799"/>
      <c r="Y348" s="799"/>
      <c r="Z348" s="799"/>
      <c r="AA348" s="799"/>
      <c r="AB348" s="799"/>
      <c r="AC348" s="799"/>
      <c r="AD348" s="799"/>
      <c r="AE348" s="799"/>
      <c r="AF348" s="799"/>
      <c r="AG348" s="799"/>
      <c r="AH348" s="799"/>
      <c r="AI348" s="799"/>
      <c r="AJ348" s="799"/>
      <c r="AK348" s="799"/>
      <c r="AL348" s="799"/>
      <c r="AM348" s="799"/>
      <c r="AN348" s="799"/>
      <c r="AO348" s="799"/>
      <c r="AP348" s="799"/>
      <c r="AQ348" s="799"/>
      <c r="AR348" s="799"/>
      <c r="AS348" s="799"/>
      <c r="AT348" s="799"/>
      <c r="AU348" s="799"/>
      <c r="AV348" s="799"/>
      <c r="AW348" s="799"/>
      <c r="AX348" s="799"/>
      <c r="AY348" s="799"/>
      <c r="AZ348" s="799"/>
      <c r="BA348" s="799"/>
      <c r="BB348" s="799"/>
      <c r="BC348" s="799"/>
      <c r="BD348" s="799"/>
      <c r="BE348" s="799"/>
      <c r="BF348" s="799"/>
      <c r="BG348" s="799"/>
    </row>
    <row r="349">
      <c r="H349" s="799"/>
      <c r="I349" s="799"/>
      <c r="J349" s="799"/>
      <c r="K349" s="799"/>
      <c r="L349" s="799"/>
      <c r="M349" s="799"/>
      <c r="N349" s="799"/>
      <c r="O349" s="799"/>
      <c r="P349" s="799"/>
      <c r="Q349" s="799"/>
      <c r="R349" s="799"/>
      <c r="S349" s="799"/>
      <c r="T349" s="799"/>
      <c r="U349" s="799"/>
      <c r="V349" s="799"/>
      <c r="W349" s="799"/>
      <c r="X349" s="799"/>
      <c r="Y349" s="799"/>
      <c r="Z349" s="799"/>
      <c r="AA349" s="799"/>
      <c r="AB349" s="799"/>
      <c r="AC349" s="799"/>
      <c r="AD349" s="799"/>
      <c r="AE349" s="799"/>
      <c r="AF349" s="799"/>
      <c r="AG349" s="799"/>
      <c r="AH349" s="799"/>
      <c r="AI349" s="799"/>
      <c r="AJ349" s="799"/>
      <c r="AK349" s="799"/>
      <c r="AL349" s="799"/>
      <c r="AM349" s="799"/>
      <c r="AN349" s="799"/>
      <c r="AO349" s="799"/>
      <c r="AP349" s="799"/>
      <c r="AQ349" s="799"/>
      <c r="AR349" s="799"/>
      <c r="AS349" s="799"/>
      <c r="AT349" s="799"/>
      <c r="AU349" s="799"/>
      <c r="AV349" s="799"/>
      <c r="AW349" s="799"/>
      <c r="AX349" s="799"/>
      <c r="AY349" s="799"/>
      <c r="AZ349" s="799"/>
      <c r="BA349" s="799"/>
      <c r="BB349" s="799"/>
      <c r="BC349" s="799"/>
      <c r="BD349" s="799"/>
      <c r="BE349" s="799"/>
      <c r="BF349" s="799"/>
      <c r="BG349" s="799"/>
    </row>
    <row r="350">
      <c r="H350" s="799"/>
      <c r="I350" s="799"/>
      <c r="J350" s="799"/>
      <c r="K350" s="799"/>
      <c r="L350" s="799"/>
      <c r="M350" s="799"/>
      <c r="N350" s="799"/>
      <c r="O350" s="799"/>
      <c r="P350" s="799"/>
      <c r="Q350" s="799"/>
      <c r="R350" s="799"/>
      <c r="S350" s="799"/>
      <c r="T350" s="799"/>
      <c r="U350" s="799"/>
      <c r="V350" s="799"/>
      <c r="W350" s="799"/>
      <c r="X350" s="799"/>
      <c r="Y350" s="799"/>
      <c r="Z350" s="799"/>
      <c r="AA350" s="799"/>
      <c r="AB350" s="799"/>
      <c r="AC350" s="799"/>
      <c r="AD350" s="799"/>
      <c r="AE350" s="799"/>
      <c r="AF350" s="799"/>
      <c r="AG350" s="799"/>
      <c r="AH350" s="799"/>
      <c r="AI350" s="799"/>
      <c r="AJ350" s="799"/>
      <c r="AK350" s="799"/>
      <c r="AL350" s="799"/>
      <c r="AM350" s="799"/>
      <c r="AN350" s="799"/>
      <c r="AO350" s="799"/>
      <c r="AP350" s="799"/>
      <c r="AQ350" s="799"/>
      <c r="AR350" s="799"/>
      <c r="AS350" s="799"/>
      <c r="AT350" s="799"/>
      <c r="AU350" s="799"/>
      <c r="AV350" s="799"/>
      <c r="AW350" s="799"/>
      <c r="AX350" s="799"/>
      <c r="AY350" s="799"/>
      <c r="AZ350" s="799"/>
      <c r="BA350" s="799"/>
      <c r="BB350" s="799"/>
      <c r="BC350" s="799"/>
      <c r="BD350" s="799"/>
      <c r="BE350" s="799"/>
      <c r="BF350" s="799"/>
      <c r="BG350" s="799"/>
    </row>
    <row r="351">
      <c r="H351" s="799"/>
      <c r="I351" s="799"/>
      <c r="J351" s="799"/>
      <c r="K351" s="799"/>
      <c r="L351" s="799"/>
      <c r="M351" s="799"/>
      <c r="N351" s="799"/>
      <c r="O351" s="799"/>
      <c r="P351" s="799"/>
      <c r="Q351" s="799"/>
      <c r="R351" s="799"/>
      <c r="S351" s="799"/>
      <c r="T351" s="799"/>
      <c r="U351" s="799"/>
      <c r="V351" s="799"/>
      <c r="W351" s="799"/>
      <c r="X351" s="799"/>
      <c r="Y351" s="799"/>
      <c r="Z351" s="799"/>
      <c r="AA351" s="799"/>
      <c r="AB351" s="799"/>
      <c r="AC351" s="799"/>
      <c r="AD351" s="799"/>
      <c r="AE351" s="799"/>
      <c r="AF351" s="799"/>
      <c r="AG351" s="799"/>
      <c r="AH351" s="799"/>
      <c r="AI351" s="799"/>
      <c r="AJ351" s="799"/>
      <c r="AK351" s="799"/>
      <c r="AL351" s="799"/>
      <c r="AM351" s="799"/>
      <c r="AN351" s="799"/>
      <c r="AO351" s="799"/>
      <c r="AP351" s="799"/>
      <c r="AQ351" s="799"/>
      <c r="AR351" s="799"/>
      <c r="AS351" s="799"/>
      <c r="AT351" s="799"/>
      <c r="AU351" s="799"/>
      <c r="AV351" s="799"/>
      <c r="AW351" s="799"/>
      <c r="AX351" s="799"/>
      <c r="AY351" s="799"/>
      <c r="AZ351" s="799"/>
      <c r="BA351" s="799"/>
      <c r="BB351" s="799"/>
      <c r="BC351" s="799"/>
      <c r="BD351" s="799"/>
      <c r="BE351" s="799"/>
      <c r="BF351" s="799"/>
      <c r="BG351" s="799"/>
    </row>
    <row r="352">
      <c r="H352" s="799"/>
      <c r="I352" s="799"/>
      <c r="J352" s="799"/>
      <c r="K352" s="799"/>
      <c r="L352" s="799"/>
      <c r="M352" s="799"/>
      <c r="N352" s="799"/>
      <c r="O352" s="799"/>
      <c r="P352" s="799"/>
      <c r="Q352" s="799"/>
      <c r="R352" s="799"/>
      <c r="S352" s="799"/>
      <c r="T352" s="799"/>
      <c r="U352" s="799"/>
      <c r="V352" s="799"/>
      <c r="W352" s="799"/>
      <c r="X352" s="799"/>
      <c r="Y352" s="799"/>
      <c r="Z352" s="799"/>
      <c r="AA352" s="799"/>
      <c r="AB352" s="799"/>
      <c r="AC352" s="799"/>
      <c r="AD352" s="799"/>
      <c r="AE352" s="799"/>
      <c r="AF352" s="799"/>
      <c r="AG352" s="799"/>
      <c r="AH352" s="799"/>
      <c r="AI352" s="799"/>
      <c r="AJ352" s="799"/>
      <c r="AK352" s="799"/>
      <c r="AL352" s="799"/>
      <c r="AM352" s="799"/>
      <c r="AN352" s="799"/>
      <c r="AO352" s="799"/>
      <c r="AP352" s="799"/>
      <c r="AQ352" s="799"/>
      <c r="AR352" s="799"/>
      <c r="AS352" s="799"/>
      <c r="AT352" s="799"/>
      <c r="AU352" s="799"/>
      <c r="AV352" s="799"/>
      <c r="AW352" s="799"/>
      <c r="AX352" s="799"/>
      <c r="AY352" s="799"/>
      <c r="AZ352" s="799"/>
      <c r="BA352" s="799"/>
      <c r="BB352" s="799"/>
      <c r="BC352" s="799"/>
      <c r="BD352" s="799"/>
      <c r="BE352" s="799"/>
      <c r="BF352" s="799"/>
      <c r="BG352" s="799"/>
    </row>
    <row r="353">
      <c r="H353" s="799"/>
      <c r="I353" s="799"/>
      <c r="J353" s="799"/>
      <c r="K353" s="799"/>
      <c r="L353" s="799"/>
      <c r="M353" s="799"/>
      <c r="N353" s="799"/>
      <c r="O353" s="799"/>
      <c r="P353" s="799"/>
      <c r="Q353" s="799"/>
      <c r="R353" s="799"/>
      <c r="S353" s="799"/>
      <c r="T353" s="799"/>
      <c r="U353" s="799"/>
      <c r="V353" s="799"/>
      <c r="W353" s="799"/>
      <c r="X353" s="799"/>
      <c r="Y353" s="799"/>
      <c r="Z353" s="799"/>
      <c r="AA353" s="799"/>
      <c r="AB353" s="799"/>
      <c r="AC353" s="799"/>
      <c r="AD353" s="799"/>
      <c r="AE353" s="799"/>
      <c r="AF353" s="799"/>
      <c r="AG353" s="799"/>
      <c r="AH353" s="799"/>
      <c r="AI353" s="799"/>
      <c r="AJ353" s="799"/>
      <c r="AK353" s="799"/>
      <c r="AL353" s="799"/>
      <c r="AM353" s="799"/>
      <c r="AN353" s="799"/>
      <c r="AO353" s="799"/>
      <c r="AP353" s="799"/>
      <c r="AQ353" s="799"/>
      <c r="AR353" s="799"/>
      <c r="AS353" s="799"/>
      <c r="AT353" s="799"/>
      <c r="AU353" s="799"/>
      <c r="AV353" s="799"/>
      <c r="AW353" s="799"/>
      <c r="AX353" s="799"/>
      <c r="AY353" s="799"/>
      <c r="AZ353" s="799"/>
      <c r="BA353" s="799"/>
      <c r="BB353" s="799"/>
      <c r="BC353" s="799"/>
      <c r="BD353" s="799"/>
      <c r="BE353" s="799"/>
      <c r="BF353" s="799"/>
      <c r="BG353" s="799"/>
    </row>
    <row r="354">
      <c r="H354" s="799"/>
      <c r="I354" s="799"/>
      <c r="J354" s="799"/>
      <c r="K354" s="799"/>
      <c r="L354" s="799"/>
      <c r="M354" s="799"/>
      <c r="N354" s="799"/>
      <c r="O354" s="799"/>
      <c r="P354" s="799"/>
      <c r="Q354" s="799"/>
      <c r="R354" s="799"/>
      <c r="S354" s="799"/>
      <c r="T354" s="799"/>
      <c r="U354" s="799"/>
      <c r="V354" s="799"/>
      <c r="W354" s="799"/>
      <c r="X354" s="799"/>
      <c r="Y354" s="799"/>
      <c r="Z354" s="799"/>
      <c r="AA354" s="799"/>
      <c r="AB354" s="799"/>
      <c r="AC354" s="799"/>
      <c r="AD354" s="799"/>
      <c r="AE354" s="799"/>
      <c r="AF354" s="799"/>
      <c r="AG354" s="799"/>
      <c r="AH354" s="799"/>
      <c r="AI354" s="799"/>
      <c r="AJ354" s="799"/>
      <c r="AK354" s="799"/>
      <c r="AL354" s="799"/>
      <c r="AM354" s="799"/>
      <c r="AN354" s="799"/>
      <c r="AO354" s="799"/>
      <c r="AP354" s="799"/>
      <c r="AQ354" s="799"/>
      <c r="AR354" s="799"/>
      <c r="AS354" s="799"/>
      <c r="AT354" s="799"/>
      <c r="AU354" s="799"/>
      <c r="AV354" s="799"/>
      <c r="AW354" s="799"/>
      <c r="AX354" s="799"/>
      <c r="AY354" s="799"/>
      <c r="AZ354" s="799"/>
      <c r="BA354" s="799"/>
      <c r="BB354" s="799"/>
      <c r="BC354" s="799"/>
      <c r="BD354" s="799"/>
      <c r="BE354" s="799"/>
      <c r="BF354" s="799"/>
      <c r="BG354" s="799"/>
    </row>
    <row r="355">
      <c r="H355" s="799"/>
      <c r="I355" s="799"/>
      <c r="J355" s="799"/>
      <c r="K355" s="799"/>
      <c r="L355" s="799"/>
      <c r="M355" s="799"/>
      <c r="N355" s="799"/>
      <c r="O355" s="799"/>
      <c r="P355" s="799"/>
      <c r="Q355" s="799"/>
      <c r="R355" s="799"/>
      <c r="S355" s="799"/>
      <c r="T355" s="799"/>
      <c r="U355" s="799"/>
      <c r="V355" s="799"/>
      <c r="W355" s="799"/>
      <c r="X355" s="799"/>
      <c r="Y355" s="799"/>
      <c r="Z355" s="799"/>
      <c r="AA355" s="799"/>
      <c r="AB355" s="799"/>
      <c r="AC355" s="799"/>
      <c r="AD355" s="799"/>
      <c r="AE355" s="799"/>
      <c r="AF355" s="799"/>
      <c r="AG355" s="799"/>
      <c r="AH355" s="799"/>
      <c r="AI355" s="799"/>
      <c r="AJ355" s="799"/>
      <c r="AK355" s="799"/>
      <c r="AL355" s="799"/>
      <c r="AM355" s="799"/>
      <c r="AN355" s="799"/>
      <c r="AO355" s="799"/>
      <c r="AP355" s="799"/>
      <c r="AQ355" s="799"/>
      <c r="AR355" s="799"/>
      <c r="AS355" s="799"/>
      <c r="AT355" s="799"/>
      <c r="AU355" s="799"/>
      <c r="AV355" s="799"/>
      <c r="AW355" s="799"/>
      <c r="AX355" s="799"/>
      <c r="AY355" s="799"/>
      <c r="AZ355" s="799"/>
      <c r="BA355" s="799"/>
      <c r="BB355" s="799"/>
      <c r="BC355" s="799"/>
      <c r="BD355" s="799"/>
      <c r="BE355" s="799"/>
      <c r="BF355" s="799"/>
      <c r="BG355" s="799"/>
    </row>
    <row r="356">
      <c r="H356" s="799"/>
      <c r="I356" s="799"/>
      <c r="J356" s="799"/>
      <c r="K356" s="799"/>
      <c r="L356" s="799"/>
      <c r="M356" s="799"/>
      <c r="N356" s="799"/>
      <c r="O356" s="799"/>
      <c r="P356" s="799"/>
      <c r="Q356" s="799"/>
      <c r="R356" s="799"/>
      <c r="S356" s="799"/>
      <c r="T356" s="799"/>
      <c r="U356" s="799"/>
      <c r="V356" s="799"/>
      <c r="W356" s="799"/>
      <c r="X356" s="799"/>
      <c r="Y356" s="799"/>
      <c r="Z356" s="799"/>
      <c r="AA356" s="799"/>
      <c r="AB356" s="799"/>
      <c r="AC356" s="799"/>
      <c r="AD356" s="799"/>
      <c r="AE356" s="799"/>
      <c r="AF356" s="799"/>
      <c r="AG356" s="799"/>
      <c r="AH356" s="799"/>
      <c r="AI356" s="799"/>
      <c r="AJ356" s="799"/>
      <c r="AK356" s="799"/>
      <c r="AL356" s="799"/>
      <c r="AM356" s="799"/>
      <c r="AN356" s="799"/>
      <c r="AO356" s="799"/>
      <c r="AP356" s="799"/>
      <c r="AQ356" s="799"/>
      <c r="AR356" s="799"/>
      <c r="AS356" s="799"/>
      <c r="AT356" s="799"/>
      <c r="AU356" s="799"/>
      <c r="AV356" s="799"/>
      <c r="AW356" s="799"/>
      <c r="AX356" s="799"/>
      <c r="AY356" s="799"/>
      <c r="AZ356" s="799"/>
      <c r="BA356" s="799"/>
      <c r="BB356" s="799"/>
      <c r="BC356" s="799"/>
      <c r="BD356" s="799"/>
      <c r="BE356" s="799"/>
      <c r="BF356" s="799"/>
      <c r="BG356" s="799"/>
    </row>
    <row r="357">
      <c r="H357" s="799"/>
      <c r="I357" s="799"/>
      <c r="J357" s="799"/>
      <c r="K357" s="799"/>
      <c r="L357" s="799"/>
      <c r="M357" s="799"/>
      <c r="N357" s="799"/>
      <c r="O357" s="799"/>
      <c r="P357" s="799"/>
      <c r="Q357" s="799"/>
      <c r="R357" s="799"/>
      <c r="S357" s="799"/>
      <c r="T357" s="799"/>
      <c r="U357" s="799"/>
      <c r="V357" s="799"/>
      <c r="W357" s="799"/>
      <c r="X357" s="799"/>
      <c r="Y357" s="799"/>
      <c r="Z357" s="799"/>
      <c r="AA357" s="799"/>
      <c r="AB357" s="799"/>
      <c r="AC357" s="799"/>
      <c r="AD357" s="799"/>
      <c r="AE357" s="799"/>
      <c r="AF357" s="799"/>
      <c r="AG357" s="799"/>
      <c r="AH357" s="799"/>
      <c r="AI357" s="799"/>
      <c r="AJ357" s="799"/>
      <c r="AK357" s="799"/>
      <c r="AL357" s="799"/>
      <c r="AM357" s="799"/>
      <c r="AN357" s="799"/>
      <c r="AO357" s="799"/>
      <c r="AP357" s="799"/>
      <c r="AQ357" s="799"/>
      <c r="AR357" s="799"/>
      <c r="AS357" s="799"/>
      <c r="AT357" s="799"/>
      <c r="AU357" s="799"/>
      <c r="AV357" s="799"/>
      <c r="AW357" s="799"/>
      <c r="AX357" s="799"/>
      <c r="AY357" s="799"/>
      <c r="AZ357" s="799"/>
      <c r="BA357" s="799"/>
      <c r="BB357" s="799"/>
      <c r="BC357" s="799"/>
      <c r="BD357" s="799"/>
      <c r="BE357" s="799"/>
      <c r="BF357" s="799"/>
      <c r="BG357" s="799"/>
    </row>
    <row r="358">
      <c r="H358" s="799"/>
      <c r="I358" s="799"/>
      <c r="J358" s="799"/>
      <c r="K358" s="799"/>
      <c r="L358" s="799"/>
      <c r="M358" s="799"/>
      <c r="N358" s="799"/>
      <c r="O358" s="799"/>
      <c r="P358" s="799"/>
      <c r="Q358" s="799"/>
      <c r="R358" s="799"/>
      <c r="S358" s="799"/>
      <c r="T358" s="799"/>
      <c r="U358" s="799"/>
      <c r="V358" s="799"/>
      <c r="W358" s="799"/>
      <c r="X358" s="799"/>
      <c r="Y358" s="799"/>
      <c r="Z358" s="799"/>
      <c r="AA358" s="799"/>
      <c r="AB358" s="799"/>
      <c r="AC358" s="799"/>
      <c r="AD358" s="799"/>
      <c r="AE358" s="799"/>
      <c r="AF358" s="799"/>
      <c r="AG358" s="799"/>
      <c r="AH358" s="799"/>
      <c r="AI358" s="799"/>
      <c r="AJ358" s="799"/>
      <c r="AK358" s="799"/>
      <c r="AL358" s="799"/>
      <c r="AM358" s="799"/>
      <c r="AN358" s="799"/>
      <c r="AO358" s="799"/>
      <c r="AP358" s="799"/>
      <c r="AQ358" s="799"/>
      <c r="AR358" s="799"/>
      <c r="AS358" s="799"/>
      <c r="AT358" s="799"/>
      <c r="AU358" s="799"/>
      <c r="AV358" s="799"/>
      <c r="AW358" s="799"/>
      <c r="AX358" s="799"/>
      <c r="AY358" s="799"/>
      <c r="AZ358" s="799"/>
      <c r="BA358" s="799"/>
      <c r="BB358" s="799"/>
      <c r="BC358" s="799"/>
      <c r="BD358" s="799"/>
      <c r="BE358" s="799"/>
      <c r="BF358" s="799"/>
      <c r="BG358" s="799"/>
    </row>
    <row r="359">
      <c r="H359" s="799"/>
      <c r="I359" s="799"/>
      <c r="J359" s="799"/>
      <c r="K359" s="799"/>
      <c r="L359" s="799"/>
      <c r="M359" s="799"/>
      <c r="N359" s="799"/>
      <c r="O359" s="799"/>
      <c r="P359" s="799"/>
      <c r="Q359" s="799"/>
      <c r="R359" s="799"/>
      <c r="S359" s="799"/>
      <c r="T359" s="799"/>
      <c r="U359" s="799"/>
      <c r="V359" s="799"/>
      <c r="W359" s="799"/>
      <c r="X359" s="799"/>
      <c r="Y359" s="799"/>
      <c r="Z359" s="799"/>
      <c r="AA359" s="799"/>
      <c r="AB359" s="799"/>
      <c r="AC359" s="799"/>
      <c r="AD359" s="799"/>
      <c r="AE359" s="799"/>
      <c r="AF359" s="799"/>
      <c r="AG359" s="799"/>
      <c r="AH359" s="799"/>
      <c r="AI359" s="799"/>
      <c r="AJ359" s="799"/>
      <c r="AK359" s="799"/>
      <c r="AL359" s="799"/>
      <c r="AM359" s="799"/>
      <c r="AN359" s="799"/>
      <c r="AO359" s="799"/>
      <c r="AP359" s="799"/>
      <c r="AQ359" s="799"/>
      <c r="AR359" s="799"/>
      <c r="AS359" s="799"/>
      <c r="AT359" s="799"/>
      <c r="AU359" s="799"/>
      <c r="AV359" s="799"/>
      <c r="AW359" s="799"/>
      <c r="AX359" s="799"/>
      <c r="AY359" s="799"/>
      <c r="AZ359" s="799"/>
      <c r="BA359" s="799"/>
      <c r="BB359" s="799"/>
      <c r="BC359" s="799"/>
      <c r="BD359" s="799"/>
      <c r="BE359" s="799"/>
      <c r="BF359" s="799"/>
      <c r="BG359" s="799"/>
    </row>
    <row r="360">
      <c r="H360" s="799"/>
      <c r="I360" s="799"/>
      <c r="J360" s="799"/>
      <c r="K360" s="799"/>
      <c r="L360" s="799"/>
      <c r="M360" s="799"/>
      <c r="N360" s="799"/>
      <c r="O360" s="799"/>
      <c r="P360" s="799"/>
      <c r="Q360" s="799"/>
      <c r="R360" s="799"/>
      <c r="S360" s="799"/>
      <c r="T360" s="799"/>
      <c r="U360" s="799"/>
      <c r="V360" s="799"/>
      <c r="W360" s="799"/>
      <c r="X360" s="799"/>
      <c r="Y360" s="799"/>
      <c r="Z360" s="799"/>
      <c r="AA360" s="799"/>
      <c r="AB360" s="799"/>
      <c r="AC360" s="799"/>
      <c r="AD360" s="799"/>
      <c r="AE360" s="799"/>
      <c r="AF360" s="799"/>
      <c r="AG360" s="799"/>
      <c r="AH360" s="799"/>
      <c r="AI360" s="799"/>
      <c r="AJ360" s="799"/>
      <c r="AK360" s="799"/>
      <c r="AL360" s="799"/>
      <c r="AM360" s="799"/>
      <c r="AN360" s="799"/>
      <c r="AO360" s="799"/>
      <c r="AP360" s="799"/>
      <c r="AQ360" s="799"/>
      <c r="AR360" s="799"/>
      <c r="AS360" s="799"/>
      <c r="AT360" s="799"/>
      <c r="AU360" s="799"/>
      <c r="AV360" s="799"/>
      <c r="AW360" s="799"/>
      <c r="AX360" s="799"/>
      <c r="AY360" s="799"/>
      <c r="AZ360" s="799"/>
      <c r="BA360" s="799"/>
      <c r="BB360" s="799"/>
      <c r="BC360" s="799"/>
      <c r="BD360" s="799"/>
      <c r="BE360" s="799"/>
      <c r="BF360" s="799"/>
      <c r="BG360" s="799"/>
    </row>
    <row r="361">
      <c r="H361" s="799"/>
      <c r="I361" s="799"/>
      <c r="J361" s="799"/>
      <c r="K361" s="799"/>
      <c r="L361" s="799"/>
      <c r="M361" s="799"/>
      <c r="N361" s="799"/>
      <c r="O361" s="799"/>
      <c r="P361" s="799"/>
      <c r="Q361" s="799"/>
      <c r="R361" s="799"/>
      <c r="S361" s="799"/>
      <c r="T361" s="799"/>
      <c r="U361" s="799"/>
      <c r="V361" s="799"/>
      <c r="W361" s="799"/>
      <c r="X361" s="799"/>
      <c r="Y361" s="799"/>
      <c r="Z361" s="799"/>
      <c r="AA361" s="799"/>
      <c r="AB361" s="799"/>
      <c r="AC361" s="799"/>
      <c r="AD361" s="799"/>
      <c r="AE361" s="799"/>
      <c r="AF361" s="799"/>
      <c r="AG361" s="799"/>
      <c r="AH361" s="799"/>
      <c r="AI361" s="799"/>
      <c r="AJ361" s="799"/>
      <c r="AK361" s="799"/>
      <c r="AL361" s="799"/>
      <c r="AM361" s="799"/>
      <c r="AN361" s="799"/>
      <c r="AO361" s="799"/>
      <c r="AP361" s="799"/>
      <c r="AQ361" s="799"/>
      <c r="AR361" s="799"/>
      <c r="AS361" s="799"/>
      <c r="AT361" s="799"/>
      <c r="AU361" s="799"/>
      <c r="AV361" s="799"/>
      <c r="AW361" s="799"/>
      <c r="AX361" s="799"/>
      <c r="AY361" s="799"/>
      <c r="AZ361" s="799"/>
      <c r="BA361" s="799"/>
      <c r="BB361" s="799"/>
      <c r="BC361" s="799"/>
      <c r="BD361" s="799"/>
      <c r="BE361" s="799"/>
      <c r="BF361" s="799"/>
      <c r="BG361" s="799"/>
    </row>
    <row r="362">
      <c r="H362" s="799"/>
      <c r="I362" s="799"/>
      <c r="J362" s="799"/>
      <c r="K362" s="799"/>
      <c r="L362" s="799"/>
      <c r="M362" s="799"/>
      <c r="N362" s="799"/>
      <c r="O362" s="799"/>
      <c r="P362" s="799"/>
      <c r="Q362" s="799"/>
      <c r="R362" s="799"/>
      <c r="S362" s="799"/>
      <c r="T362" s="799"/>
      <c r="U362" s="799"/>
      <c r="V362" s="799"/>
      <c r="W362" s="799"/>
      <c r="X362" s="799"/>
      <c r="Y362" s="799"/>
      <c r="Z362" s="799"/>
      <c r="AA362" s="799"/>
      <c r="AB362" s="799"/>
      <c r="AC362" s="799"/>
      <c r="AD362" s="799"/>
      <c r="AE362" s="799"/>
      <c r="AF362" s="799"/>
      <c r="AG362" s="799"/>
      <c r="AH362" s="799"/>
      <c r="AI362" s="799"/>
      <c r="AJ362" s="799"/>
      <c r="AK362" s="799"/>
      <c r="AL362" s="799"/>
      <c r="AM362" s="799"/>
      <c r="AN362" s="799"/>
      <c r="AO362" s="799"/>
      <c r="AP362" s="799"/>
      <c r="AQ362" s="799"/>
      <c r="AR362" s="799"/>
      <c r="AS362" s="799"/>
      <c r="AT362" s="799"/>
      <c r="AU362" s="799"/>
      <c r="AV362" s="799"/>
      <c r="AW362" s="799"/>
      <c r="AX362" s="799"/>
      <c r="AY362" s="799"/>
      <c r="AZ362" s="799"/>
      <c r="BA362" s="799"/>
      <c r="BB362" s="799"/>
      <c r="BC362" s="799"/>
      <c r="BD362" s="799"/>
      <c r="BE362" s="799"/>
      <c r="BF362" s="799"/>
      <c r="BG362" s="799"/>
    </row>
    <row r="363">
      <c r="H363" s="799"/>
      <c r="I363" s="799"/>
      <c r="J363" s="799"/>
      <c r="K363" s="799"/>
      <c r="L363" s="799"/>
      <c r="M363" s="799"/>
      <c r="N363" s="799"/>
      <c r="O363" s="799"/>
      <c r="P363" s="799"/>
      <c r="Q363" s="799"/>
      <c r="R363" s="799"/>
      <c r="S363" s="799"/>
      <c r="T363" s="799"/>
      <c r="U363" s="799"/>
      <c r="V363" s="799"/>
      <c r="W363" s="799"/>
      <c r="X363" s="799"/>
      <c r="Y363" s="799"/>
      <c r="Z363" s="799"/>
      <c r="AA363" s="799"/>
      <c r="AB363" s="799"/>
      <c r="AC363" s="799"/>
      <c r="AD363" s="799"/>
      <c r="AE363" s="799"/>
      <c r="AF363" s="799"/>
      <c r="AG363" s="799"/>
      <c r="AH363" s="799"/>
      <c r="AI363" s="799"/>
      <c r="AJ363" s="799"/>
      <c r="AK363" s="799"/>
      <c r="AL363" s="799"/>
      <c r="AM363" s="799"/>
      <c r="AN363" s="799"/>
      <c r="AO363" s="799"/>
      <c r="AP363" s="799"/>
      <c r="AQ363" s="799"/>
      <c r="AR363" s="799"/>
      <c r="AS363" s="799"/>
      <c r="AT363" s="799"/>
      <c r="AU363" s="799"/>
      <c r="AV363" s="799"/>
      <c r="AW363" s="799"/>
      <c r="AX363" s="799"/>
      <c r="AY363" s="799"/>
      <c r="AZ363" s="799"/>
      <c r="BA363" s="799"/>
      <c r="BB363" s="799"/>
      <c r="BC363" s="799"/>
      <c r="BD363" s="799"/>
      <c r="BE363" s="799"/>
      <c r="BF363" s="799"/>
      <c r="BG363" s="799"/>
    </row>
    <row r="364">
      <c r="H364" s="799"/>
      <c r="I364" s="799"/>
      <c r="J364" s="799"/>
      <c r="K364" s="799"/>
      <c r="L364" s="799"/>
      <c r="M364" s="799"/>
      <c r="N364" s="799"/>
      <c r="O364" s="799"/>
      <c r="P364" s="799"/>
      <c r="Q364" s="799"/>
      <c r="R364" s="799"/>
      <c r="S364" s="799"/>
      <c r="T364" s="799"/>
      <c r="U364" s="799"/>
      <c r="V364" s="799"/>
      <c r="W364" s="799"/>
      <c r="X364" s="799"/>
      <c r="Y364" s="799"/>
      <c r="Z364" s="799"/>
      <c r="AA364" s="799"/>
      <c r="AB364" s="799"/>
      <c r="AC364" s="799"/>
      <c r="AD364" s="799"/>
      <c r="AE364" s="799"/>
      <c r="AF364" s="799"/>
      <c r="AG364" s="799"/>
      <c r="AH364" s="799"/>
      <c r="AI364" s="799"/>
      <c r="AJ364" s="799"/>
      <c r="AK364" s="799"/>
      <c r="AL364" s="799"/>
      <c r="AM364" s="799"/>
      <c r="AN364" s="799"/>
      <c r="AO364" s="799"/>
      <c r="AP364" s="799"/>
      <c r="AQ364" s="799"/>
      <c r="AR364" s="799"/>
      <c r="AS364" s="799"/>
      <c r="AT364" s="799"/>
      <c r="AU364" s="799"/>
      <c r="AV364" s="799"/>
      <c r="AW364" s="799"/>
      <c r="AX364" s="799"/>
      <c r="AY364" s="799"/>
      <c r="AZ364" s="799"/>
      <c r="BA364" s="799"/>
      <c r="BB364" s="799"/>
      <c r="BC364" s="799"/>
      <c r="BD364" s="799"/>
      <c r="BE364" s="799"/>
      <c r="BF364" s="799"/>
      <c r="BG364" s="799"/>
    </row>
    <row r="365">
      <c r="H365" s="799"/>
      <c r="I365" s="799"/>
      <c r="J365" s="799"/>
      <c r="K365" s="799"/>
      <c r="L365" s="799"/>
      <c r="M365" s="799"/>
      <c r="N365" s="799"/>
      <c r="O365" s="799"/>
      <c r="P365" s="799"/>
      <c r="Q365" s="799"/>
      <c r="R365" s="799"/>
      <c r="S365" s="799"/>
      <c r="T365" s="799"/>
      <c r="U365" s="799"/>
      <c r="V365" s="799"/>
      <c r="W365" s="799"/>
      <c r="X365" s="799"/>
      <c r="Y365" s="799"/>
      <c r="Z365" s="799"/>
      <c r="AA365" s="799"/>
      <c r="AB365" s="799"/>
      <c r="AC365" s="799"/>
      <c r="AD365" s="799"/>
      <c r="AE365" s="799"/>
      <c r="AF365" s="799"/>
      <c r="AG365" s="799"/>
      <c r="AH365" s="799"/>
      <c r="AI365" s="799"/>
      <c r="AJ365" s="799"/>
      <c r="AK365" s="799"/>
      <c r="AL365" s="799"/>
      <c r="AM365" s="799"/>
      <c r="AN365" s="799"/>
      <c r="AO365" s="799"/>
      <c r="AP365" s="799"/>
      <c r="AQ365" s="799"/>
      <c r="AR365" s="799"/>
      <c r="AS365" s="799"/>
      <c r="AT365" s="799"/>
      <c r="AU365" s="799"/>
      <c r="AV365" s="799"/>
      <c r="AW365" s="799"/>
      <c r="AX365" s="799"/>
      <c r="AY365" s="799"/>
      <c r="AZ365" s="799"/>
      <c r="BA365" s="799"/>
      <c r="BB365" s="799"/>
      <c r="BC365" s="799"/>
      <c r="BD365" s="799"/>
      <c r="BE365" s="799"/>
      <c r="BF365" s="799"/>
      <c r="BG365" s="799"/>
    </row>
    <row r="366">
      <c r="H366" s="799"/>
      <c r="I366" s="799"/>
      <c r="J366" s="799"/>
      <c r="K366" s="799"/>
      <c r="L366" s="799"/>
      <c r="M366" s="799"/>
      <c r="N366" s="799"/>
      <c r="O366" s="799"/>
      <c r="P366" s="799"/>
      <c r="Q366" s="799"/>
      <c r="R366" s="799"/>
      <c r="S366" s="799"/>
      <c r="T366" s="799"/>
      <c r="U366" s="799"/>
      <c r="V366" s="799"/>
      <c r="W366" s="799"/>
      <c r="X366" s="799"/>
      <c r="Y366" s="799"/>
      <c r="Z366" s="799"/>
      <c r="AA366" s="799"/>
      <c r="AB366" s="799"/>
      <c r="AC366" s="799"/>
      <c r="AD366" s="799"/>
      <c r="AE366" s="799"/>
      <c r="AF366" s="799"/>
      <c r="AG366" s="799"/>
      <c r="AH366" s="799"/>
      <c r="AI366" s="799"/>
      <c r="AJ366" s="799"/>
      <c r="AK366" s="799"/>
      <c r="AL366" s="799"/>
      <c r="AM366" s="799"/>
      <c r="AN366" s="799"/>
      <c r="AO366" s="799"/>
      <c r="AP366" s="799"/>
      <c r="AQ366" s="799"/>
      <c r="AR366" s="799"/>
      <c r="AS366" s="799"/>
      <c r="AT366" s="799"/>
      <c r="AU366" s="799"/>
      <c r="AV366" s="799"/>
      <c r="AW366" s="799"/>
      <c r="AX366" s="799"/>
      <c r="AY366" s="799"/>
      <c r="AZ366" s="799"/>
      <c r="BA366" s="799"/>
      <c r="BB366" s="799"/>
      <c r="BC366" s="799"/>
      <c r="BD366" s="799"/>
      <c r="BE366" s="799"/>
      <c r="BF366" s="799"/>
      <c r="BG366" s="799"/>
    </row>
    <row r="367">
      <c r="H367" s="799"/>
      <c r="I367" s="799"/>
      <c r="J367" s="799"/>
      <c r="K367" s="799"/>
      <c r="L367" s="799"/>
      <c r="M367" s="799"/>
      <c r="N367" s="799"/>
      <c r="O367" s="799"/>
      <c r="P367" s="799"/>
      <c r="Q367" s="799"/>
      <c r="R367" s="799"/>
      <c r="S367" s="799"/>
      <c r="T367" s="799"/>
      <c r="U367" s="799"/>
      <c r="V367" s="799"/>
      <c r="W367" s="799"/>
      <c r="X367" s="799"/>
      <c r="Y367" s="799"/>
      <c r="Z367" s="799"/>
      <c r="AA367" s="799"/>
      <c r="AB367" s="799"/>
      <c r="AC367" s="799"/>
      <c r="AD367" s="799"/>
      <c r="AE367" s="799"/>
      <c r="AF367" s="799"/>
      <c r="AG367" s="799"/>
      <c r="AH367" s="799"/>
      <c r="AI367" s="799"/>
      <c r="AJ367" s="799"/>
      <c r="AK367" s="799"/>
      <c r="AL367" s="799"/>
      <c r="AM367" s="799"/>
      <c r="AN367" s="799"/>
      <c r="AO367" s="799"/>
      <c r="AP367" s="799"/>
      <c r="AQ367" s="799"/>
      <c r="AR367" s="799"/>
      <c r="AS367" s="799"/>
      <c r="AT367" s="799"/>
      <c r="AU367" s="799"/>
      <c r="AV367" s="799"/>
      <c r="AW367" s="799"/>
      <c r="AX367" s="799"/>
      <c r="AY367" s="799"/>
      <c r="AZ367" s="799"/>
      <c r="BA367" s="799"/>
      <c r="BB367" s="799"/>
      <c r="BC367" s="799"/>
      <c r="BD367" s="799"/>
      <c r="BE367" s="799"/>
      <c r="BF367" s="799"/>
      <c r="BG367" s="799"/>
    </row>
    <row r="368">
      <c r="H368" s="799"/>
      <c r="I368" s="799"/>
      <c r="J368" s="799"/>
      <c r="K368" s="799"/>
      <c r="L368" s="799"/>
      <c r="M368" s="799"/>
      <c r="N368" s="799"/>
      <c r="O368" s="799"/>
      <c r="P368" s="799"/>
      <c r="Q368" s="799"/>
      <c r="R368" s="799"/>
      <c r="S368" s="799"/>
      <c r="T368" s="799"/>
      <c r="U368" s="799"/>
      <c r="V368" s="799"/>
      <c r="W368" s="799"/>
      <c r="X368" s="799"/>
      <c r="Y368" s="799"/>
      <c r="Z368" s="799"/>
      <c r="AA368" s="799"/>
      <c r="AB368" s="799"/>
      <c r="AC368" s="799"/>
      <c r="AD368" s="799"/>
      <c r="AE368" s="799"/>
      <c r="AF368" s="799"/>
      <c r="AG368" s="799"/>
      <c r="AH368" s="799"/>
      <c r="AI368" s="799"/>
      <c r="AJ368" s="799"/>
      <c r="AK368" s="799"/>
      <c r="AL368" s="799"/>
      <c r="AM368" s="799"/>
      <c r="AN368" s="799"/>
      <c r="AO368" s="799"/>
      <c r="AP368" s="799"/>
      <c r="AQ368" s="799"/>
      <c r="AR368" s="799"/>
      <c r="AS368" s="799"/>
      <c r="AT368" s="799"/>
      <c r="AU368" s="799"/>
      <c r="AV368" s="799"/>
      <c r="AW368" s="799"/>
      <c r="AX368" s="799"/>
      <c r="AY368" s="799"/>
      <c r="AZ368" s="799"/>
      <c r="BA368" s="799"/>
      <c r="BB368" s="799"/>
      <c r="BC368" s="799"/>
      <c r="BD368" s="799"/>
      <c r="BE368" s="799"/>
      <c r="BF368" s="799"/>
      <c r="BG368" s="799"/>
    </row>
    <row r="369">
      <c r="H369" s="799"/>
      <c r="I369" s="799"/>
      <c r="J369" s="799"/>
      <c r="K369" s="799"/>
      <c r="L369" s="799"/>
      <c r="M369" s="799"/>
      <c r="N369" s="799"/>
      <c r="O369" s="799"/>
      <c r="P369" s="799"/>
      <c r="Q369" s="799"/>
      <c r="R369" s="799"/>
      <c r="S369" s="799"/>
      <c r="T369" s="799"/>
      <c r="U369" s="799"/>
      <c r="V369" s="799"/>
      <c r="W369" s="799"/>
      <c r="X369" s="799"/>
      <c r="Y369" s="799"/>
      <c r="Z369" s="799"/>
      <c r="AA369" s="799"/>
      <c r="AB369" s="799"/>
      <c r="AC369" s="799"/>
      <c r="AD369" s="799"/>
      <c r="AE369" s="799"/>
      <c r="AF369" s="799"/>
      <c r="AG369" s="799"/>
      <c r="AH369" s="799"/>
      <c r="AI369" s="799"/>
      <c r="AJ369" s="799"/>
      <c r="AK369" s="799"/>
      <c r="AL369" s="799"/>
      <c r="AM369" s="799"/>
      <c r="AN369" s="799"/>
      <c r="AO369" s="799"/>
      <c r="AP369" s="799"/>
      <c r="AQ369" s="799"/>
      <c r="AR369" s="799"/>
      <c r="AS369" s="799"/>
      <c r="AT369" s="799"/>
      <c r="AU369" s="799"/>
      <c r="AV369" s="799"/>
      <c r="AW369" s="799"/>
      <c r="AX369" s="799"/>
      <c r="AY369" s="799"/>
      <c r="AZ369" s="799"/>
      <c r="BA369" s="799"/>
      <c r="BB369" s="799"/>
      <c r="BC369" s="799"/>
      <c r="BD369" s="799"/>
      <c r="BE369" s="799"/>
      <c r="BF369" s="799"/>
      <c r="BG369" s="799"/>
    </row>
    <row r="370">
      <c r="H370" s="799"/>
      <c r="I370" s="799"/>
      <c r="J370" s="799"/>
      <c r="K370" s="799"/>
      <c r="L370" s="799"/>
      <c r="M370" s="799"/>
      <c r="N370" s="799"/>
      <c r="O370" s="799"/>
      <c r="P370" s="799"/>
      <c r="Q370" s="799"/>
      <c r="R370" s="799"/>
      <c r="S370" s="799"/>
      <c r="T370" s="799"/>
      <c r="U370" s="799"/>
      <c r="V370" s="799"/>
      <c r="W370" s="799"/>
      <c r="X370" s="799"/>
      <c r="Y370" s="799"/>
      <c r="Z370" s="799"/>
      <c r="AA370" s="799"/>
      <c r="AB370" s="799"/>
      <c r="AC370" s="799"/>
      <c r="AD370" s="799"/>
      <c r="AE370" s="799"/>
      <c r="AF370" s="799"/>
      <c r="AG370" s="799"/>
      <c r="AH370" s="799"/>
      <c r="AI370" s="799"/>
      <c r="AJ370" s="799"/>
      <c r="AK370" s="799"/>
      <c r="AL370" s="799"/>
      <c r="AM370" s="799"/>
      <c r="AN370" s="799"/>
      <c r="AO370" s="799"/>
      <c r="AP370" s="799"/>
      <c r="AQ370" s="799"/>
      <c r="AR370" s="799"/>
      <c r="AS370" s="799"/>
      <c r="AT370" s="799"/>
      <c r="AU370" s="799"/>
      <c r="AV370" s="799"/>
      <c r="AW370" s="799"/>
      <c r="AX370" s="799"/>
      <c r="AY370" s="799"/>
      <c r="AZ370" s="799"/>
      <c r="BA370" s="799"/>
      <c r="BB370" s="799"/>
      <c r="BC370" s="799"/>
      <c r="BD370" s="799"/>
      <c r="BE370" s="799"/>
      <c r="BF370" s="799"/>
      <c r="BG370" s="799"/>
    </row>
    <row r="371">
      <c r="H371" s="799"/>
      <c r="I371" s="799"/>
      <c r="J371" s="799"/>
      <c r="K371" s="799"/>
      <c r="L371" s="799"/>
      <c r="M371" s="799"/>
      <c r="N371" s="799"/>
      <c r="O371" s="799"/>
      <c r="P371" s="799"/>
      <c r="Q371" s="799"/>
      <c r="R371" s="799"/>
      <c r="S371" s="799"/>
      <c r="T371" s="799"/>
      <c r="U371" s="799"/>
      <c r="V371" s="799"/>
      <c r="W371" s="799"/>
      <c r="X371" s="799"/>
      <c r="Y371" s="799"/>
      <c r="Z371" s="799"/>
      <c r="AA371" s="799"/>
      <c r="AB371" s="799"/>
      <c r="AC371" s="799"/>
      <c r="AD371" s="799"/>
      <c r="AE371" s="799"/>
      <c r="AF371" s="799"/>
      <c r="AG371" s="799"/>
      <c r="AH371" s="799"/>
      <c r="AI371" s="799"/>
      <c r="AJ371" s="799"/>
      <c r="AK371" s="799"/>
      <c r="AL371" s="799"/>
      <c r="AM371" s="799"/>
      <c r="AN371" s="799"/>
      <c r="AO371" s="799"/>
      <c r="AP371" s="799"/>
      <c r="AQ371" s="799"/>
      <c r="AR371" s="799"/>
      <c r="AS371" s="799"/>
      <c r="AT371" s="799"/>
      <c r="AU371" s="799"/>
      <c r="AV371" s="799"/>
      <c r="AW371" s="799"/>
      <c r="AX371" s="799"/>
      <c r="AY371" s="799"/>
      <c r="AZ371" s="799"/>
      <c r="BA371" s="799"/>
      <c r="BB371" s="799"/>
      <c r="BC371" s="799"/>
      <c r="BD371" s="799"/>
      <c r="BE371" s="799"/>
      <c r="BF371" s="799"/>
      <c r="BG371" s="799"/>
    </row>
    <row r="372">
      <c r="H372" s="799"/>
      <c r="I372" s="799"/>
      <c r="J372" s="799"/>
      <c r="K372" s="799"/>
      <c r="L372" s="799"/>
      <c r="M372" s="799"/>
      <c r="N372" s="799"/>
      <c r="O372" s="799"/>
      <c r="P372" s="799"/>
      <c r="Q372" s="799"/>
      <c r="R372" s="799"/>
      <c r="S372" s="799"/>
      <c r="T372" s="799"/>
      <c r="U372" s="799"/>
      <c r="V372" s="799"/>
      <c r="W372" s="799"/>
      <c r="X372" s="799"/>
      <c r="Y372" s="799"/>
      <c r="Z372" s="799"/>
      <c r="AA372" s="799"/>
      <c r="AB372" s="799"/>
      <c r="AC372" s="799"/>
      <c r="AD372" s="799"/>
      <c r="AE372" s="799"/>
      <c r="AF372" s="799"/>
      <c r="AG372" s="799"/>
      <c r="AH372" s="799"/>
      <c r="AI372" s="799"/>
      <c r="AJ372" s="799"/>
      <c r="AK372" s="799"/>
      <c r="AL372" s="799"/>
      <c r="AM372" s="799"/>
      <c r="AN372" s="799"/>
      <c r="AO372" s="799"/>
      <c r="AP372" s="799"/>
      <c r="AQ372" s="799"/>
      <c r="AR372" s="799"/>
      <c r="AS372" s="799"/>
      <c r="AT372" s="799"/>
      <c r="AU372" s="799"/>
      <c r="AV372" s="799"/>
      <c r="AW372" s="799"/>
      <c r="AX372" s="799"/>
      <c r="AY372" s="799"/>
      <c r="AZ372" s="799"/>
      <c r="BA372" s="799"/>
      <c r="BB372" s="799"/>
      <c r="BC372" s="799"/>
      <c r="BD372" s="799"/>
      <c r="BE372" s="799"/>
      <c r="BF372" s="799"/>
      <c r="BG372" s="799"/>
    </row>
    <row r="373">
      <c r="H373" s="799"/>
      <c r="I373" s="799"/>
      <c r="J373" s="799"/>
      <c r="K373" s="799"/>
      <c r="L373" s="799"/>
      <c r="M373" s="799"/>
      <c r="N373" s="799"/>
      <c r="O373" s="799"/>
      <c r="P373" s="799"/>
      <c r="Q373" s="799"/>
      <c r="R373" s="799"/>
      <c r="S373" s="799"/>
      <c r="T373" s="799"/>
      <c r="U373" s="799"/>
      <c r="V373" s="799"/>
      <c r="W373" s="799"/>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799"/>
      <c r="AX373" s="799"/>
      <c r="AY373" s="799"/>
      <c r="AZ373" s="799"/>
      <c r="BA373" s="799"/>
      <c r="BB373" s="799"/>
      <c r="BC373" s="799"/>
      <c r="BD373" s="799"/>
      <c r="BE373" s="799"/>
      <c r="BF373" s="799"/>
      <c r="BG373" s="799"/>
    </row>
    <row r="374">
      <c r="H374" s="799"/>
      <c r="I374" s="799"/>
      <c r="J374" s="799"/>
      <c r="K374" s="799"/>
      <c r="L374" s="799"/>
      <c r="M374" s="799"/>
      <c r="N374" s="799"/>
      <c r="O374" s="799"/>
      <c r="P374" s="799"/>
      <c r="Q374" s="799"/>
      <c r="R374" s="799"/>
      <c r="S374" s="799"/>
      <c r="T374" s="799"/>
      <c r="U374" s="799"/>
      <c r="V374" s="799"/>
      <c r="W374" s="799"/>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799"/>
      <c r="AX374" s="799"/>
      <c r="AY374" s="799"/>
      <c r="AZ374" s="799"/>
      <c r="BA374" s="799"/>
      <c r="BB374" s="799"/>
      <c r="BC374" s="799"/>
      <c r="BD374" s="799"/>
      <c r="BE374" s="799"/>
      <c r="BF374" s="799"/>
      <c r="BG374" s="799"/>
    </row>
    <row r="375">
      <c r="H375" s="799"/>
      <c r="I375" s="799"/>
      <c r="J375" s="799"/>
      <c r="K375" s="799"/>
      <c r="L375" s="799"/>
      <c r="M375" s="799"/>
      <c r="N375" s="799"/>
      <c r="O375" s="799"/>
      <c r="P375" s="799"/>
      <c r="Q375" s="799"/>
      <c r="R375" s="799"/>
      <c r="S375" s="799"/>
      <c r="T375" s="799"/>
      <c r="U375" s="799"/>
      <c r="V375" s="799"/>
      <c r="W375" s="799"/>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799"/>
      <c r="AX375" s="799"/>
      <c r="AY375" s="799"/>
      <c r="AZ375" s="799"/>
      <c r="BA375" s="799"/>
      <c r="BB375" s="799"/>
      <c r="BC375" s="799"/>
      <c r="BD375" s="799"/>
      <c r="BE375" s="799"/>
      <c r="BF375" s="799"/>
      <c r="BG375" s="799"/>
    </row>
    <row r="376">
      <c r="H376" s="799"/>
      <c r="I376" s="799"/>
      <c r="J376" s="799"/>
      <c r="K376" s="799"/>
      <c r="L376" s="799"/>
      <c r="M376" s="799"/>
      <c r="N376" s="799"/>
      <c r="O376" s="799"/>
      <c r="P376" s="799"/>
      <c r="Q376" s="799"/>
      <c r="R376" s="799"/>
      <c r="S376" s="799"/>
      <c r="T376" s="799"/>
      <c r="U376" s="799"/>
      <c r="V376" s="799"/>
      <c r="W376" s="799"/>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799"/>
      <c r="AX376" s="799"/>
      <c r="AY376" s="799"/>
      <c r="AZ376" s="799"/>
      <c r="BA376" s="799"/>
      <c r="BB376" s="799"/>
      <c r="BC376" s="799"/>
      <c r="BD376" s="799"/>
      <c r="BE376" s="799"/>
      <c r="BF376" s="799"/>
      <c r="BG376" s="799"/>
    </row>
    <row r="377">
      <c r="H377" s="799"/>
      <c r="I377" s="799"/>
      <c r="J377" s="799"/>
      <c r="K377" s="799"/>
      <c r="L377" s="799"/>
      <c r="M377" s="799"/>
      <c r="N377" s="799"/>
      <c r="O377" s="799"/>
      <c r="P377" s="799"/>
      <c r="Q377" s="799"/>
      <c r="R377" s="799"/>
      <c r="S377" s="799"/>
      <c r="T377" s="799"/>
      <c r="U377" s="799"/>
      <c r="V377" s="799"/>
      <c r="W377" s="799"/>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799"/>
      <c r="AX377" s="799"/>
      <c r="AY377" s="799"/>
      <c r="AZ377" s="799"/>
      <c r="BA377" s="799"/>
      <c r="BB377" s="799"/>
      <c r="BC377" s="799"/>
      <c r="BD377" s="799"/>
      <c r="BE377" s="799"/>
      <c r="BF377" s="799"/>
      <c r="BG377" s="799"/>
    </row>
    <row r="378">
      <c r="H378" s="799"/>
      <c r="I378" s="799"/>
      <c r="J378" s="799"/>
      <c r="K378" s="799"/>
      <c r="L378" s="799"/>
      <c r="M378" s="799"/>
      <c r="N378" s="799"/>
      <c r="O378" s="799"/>
      <c r="P378" s="799"/>
      <c r="Q378" s="799"/>
      <c r="R378" s="799"/>
      <c r="S378" s="799"/>
      <c r="T378" s="799"/>
      <c r="U378" s="799"/>
      <c r="V378" s="799"/>
      <c r="W378" s="799"/>
      <c r="X378" s="799"/>
      <c r="Y378" s="799"/>
      <c r="Z378" s="799"/>
      <c r="AA378" s="799"/>
      <c r="AB378" s="799"/>
      <c r="AC378" s="799"/>
      <c r="AD378" s="799"/>
      <c r="AE378" s="799"/>
      <c r="AF378" s="799"/>
      <c r="AG378" s="799"/>
      <c r="AH378" s="799"/>
      <c r="AI378" s="799"/>
      <c r="AJ378" s="799"/>
      <c r="AK378" s="799"/>
      <c r="AL378" s="799"/>
      <c r="AM378" s="799"/>
      <c r="AN378" s="799"/>
      <c r="AO378" s="799"/>
      <c r="AP378" s="799"/>
      <c r="AQ378" s="799"/>
      <c r="AR378" s="799"/>
      <c r="AS378" s="799"/>
      <c r="AT378" s="799"/>
      <c r="AU378" s="799"/>
      <c r="AV378" s="799"/>
      <c r="AW378" s="799"/>
      <c r="AX378" s="799"/>
      <c r="AY378" s="799"/>
      <c r="AZ378" s="799"/>
      <c r="BA378" s="799"/>
      <c r="BB378" s="799"/>
      <c r="BC378" s="799"/>
      <c r="BD378" s="799"/>
      <c r="BE378" s="799"/>
      <c r="BF378" s="799"/>
      <c r="BG378" s="799"/>
    </row>
    <row r="379">
      <c r="H379" s="799"/>
      <c r="I379" s="799"/>
      <c r="J379" s="799"/>
      <c r="K379" s="799"/>
      <c r="L379" s="799"/>
      <c r="M379" s="799"/>
      <c r="N379" s="799"/>
      <c r="O379" s="799"/>
      <c r="P379" s="799"/>
      <c r="Q379" s="799"/>
      <c r="R379" s="799"/>
      <c r="S379" s="799"/>
      <c r="T379" s="799"/>
      <c r="U379" s="799"/>
      <c r="V379" s="799"/>
      <c r="W379" s="799"/>
      <c r="X379" s="799"/>
      <c r="Y379" s="799"/>
      <c r="Z379" s="799"/>
      <c r="AA379" s="799"/>
      <c r="AB379" s="799"/>
      <c r="AC379" s="799"/>
      <c r="AD379" s="799"/>
      <c r="AE379" s="799"/>
      <c r="AF379" s="799"/>
      <c r="AG379" s="799"/>
      <c r="AH379" s="799"/>
      <c r="AI379" s="799"/>
      <c r="AJ379" s="799"/>
      <c r="AK379" s="799"/>
      <c r="AL379" s="799"/>
      <c r="AM379" s="799"/>
      <c r="AN379" s="799"/>
      <c r="AO379" s="799"/>
      <c r="AP379" s="799"/>
      <c r="AQ379" s="799"/>
      <c r="AR379" s="799"/>
      <c r="AS379" s="799"/>
      <c r="AT379" s="799"/>
      <c r="AU379" s="799"/>
      <c r="AV379" s="799"/>
      <c r="AW379" s="799"/>
      <c r="AX379" s="799"/>
      <c r="AY379" s="799"/>
      <c r="AZ379" s="799"/>
      <c r="BA379" s="799"/>
      <c r="BB379" s="799"/>
      <c r="BC379" s="799"/>
      <c r="BD379" s="799"/>
      <c r="BE379" s="799"/>
      <c r="BF379" s="799"/>
      <c r="BG379" s="799"/>
    </row>
    <row r="380">
      <c r="H380" s="799"/>
      <c r="I380" s="799"/>
      <c r="J380" s="799"/>
      <c r="K380" s="799"/>
      <c r="L380" s="799"/>
      <c r="M380" s="799"/>
      <c r="N380" s="799"/>
      <c r="O380" s="799"/>
      <c r="P380" s="799"/>
      <c r="Q380" s="799"/>
      <c r="R380" s="799"/>
      <c r="S380" s="799"/>
      <c r="T380" s="799"/>
      <c r="U380" s="799"/>
      <c r="V380" s="799"/>
      <c r="W380" s="799"/>
      <c r="X380" s="799"/>
      <c r="Y380" s="799"/>
      <c r="Z380" s="799"/>
      <c r="AA380" s="799"/>
      <c r="AB380" s="799"/>
      <c r="AC380" s="799"/>
      <c r="AD380" s="799"/>
      <c r="AE380" s="799"/>
      <c r="AF380" s="799"/>
      <c r="AG380" s="799"/>
      <c r="AH380" s="799"/>
      <c r="AI380" s="799"/>
      <c r="AJ380" s="799"/>
      <c r="AK380" s="799"/>
      <c r="AL380" s="799"/>
      <c r="AM380" s="799"/>
      <c r="AN380" s="799"/>
      <c r="AO380" s="799"/>
      <c r="AP380" s="799"/>
      <c r="AQ380" s="799"/>
      <c r="AR380" s="799"/>
      <c r="AS380" s="799"/>
      <c r="AT380" s="799"/>
      <c r="AU380" s="799"/>
      <c r="AV380" s="799"/>
      <c r="AW380" s="799"/>
      <c r="AX380" s="799"/>
      <c r="AY380" s="799"/>
      <c r="AZ380" s="799"/>
      <c r="BA380" s="799"/>
      <c r="BB380" s="799"/>
      <c r="BC380" s="799"/>
      <c r="BD380" s="799"/>
      <c r="BE380" s="799"/>
      <c r="BF380" s="799"/>
      <c r="BG380" s="799"/>
    </row>
    <row r="381">
      <c r="H381" s="799"/>
      <c r="I381" s="799"/>
      <c r="J381" s="799"/>
      <c r="K381" s="799"/>
      <c r="L381" s="799"/>
      <c r="M381" s="799"/>
      <c r="N381" s="799"/>
      <c r="O381" s="799"/>
      <c r="P381" s="799"/>
      <c r="Q381" s="799"/>
      <c r="R381" s="799"/>
      <c r="S381" s="799"/>
      <c r="T381" s="799"/>
      <c r="U381" s="799"/>
      <c r="V381" s="799"/>
      <c r="W381" s="799"/>
      <c r="X381" s="799"/>
      <c r="Y381" s="799"/>
      <c r="Z381" s="799"/>
      <c r="AA381" s="799"/>
      <c r="AB381" s="799"/>
      <c r="AC381" s="799"/>
      <c r="AD381" s="799"/>
      <c r="AE381" s="799"/>
      <c r="AF381" s="799"/>
      <c r="AG381" s="799"/>
      <c r="AH381" s="799"/>
      <c r="AI381" s="799"/>
      <c r="AJ381" s="799"/>
      <c r="AK381" s="799"/>
      <c r="AL381" s="799"/>
      <c r="AM381" s="799"/>
      <c r="AN381" s="799"/>
      <c r="AO381" s="799"/>
      <c r="AP381" s="799"/>
      <c r="AQ381" s="799"/>
      <c r="AR381" s="799"/>
      <c r="AS381" s="799"/>
      <c r="AT381" s="799"/>
      <c r="AU381" s="799"/>
      <c r="AV381" s="799"/>
      <c r="AW381" s="799"/>
      <c r="AX381" s="799"/>
      <c r="AY381" s="799"/>
      <c r="AZ381" s="799"/>
      <c r="BA381" s="799"/>
      <c r="BB381" s="799"/>
      <c r="BC381" s="799"/>
      <c r="BD381" s="799"/>
      <c r="BE381" s="799"/>
      <c r="BF381" s="799"/>
      <c r="BG381" s="799"/>
    </row>
    <row r="382">
      <c r="H382" s="799"/>
      <c r="I382" s="799"/>
      <c r="J382" s="799"/>
      <c r="K382" s="799"/>
      <c r="L382" s="799"/>
      <c r="M382" s="799"/>
      <c r="N382" s="799"/>
      <c r="O382" s="799"/>
      <c r="P382" s="799"/>
      <c r="Q382" s="799"/>
      <c r="R382" s="799"/>
      <c r="S382" s="799"/>
      <c r="T382" s="799"/>
      <c r="U382" s="799"/>
      <c r="V382" s="799"/>
      <c r="W382" s="799"/>
      <c r="X382" s="799"/>
      <c r="Y382" s="799"/>
      <c r="Z382" s="799"/>
      <c r="AA382" s="799"/>
      <c r="AB382" s="799"/>
      <c r="AC382" s="799"/>
      <c r="AD382" s="799"/>
      <c r="AE382" s="799"/>
      <c r="AF382" s="799"/>
      <c r="AG382" s="799"/>
      <c r="AH382" s="799"/>
      <c r="AI382" s="799"/>
      <c r="AJ382" s="799"/>
      <c r="AK382" s="799"/>
      <c r="AL382" s="799"/>
      <c r="AM382" s="799"/>
      <c r="AN382" s="799"/>
      <c r="AO382" s="799"/>
      <c r="AP382" s="799"/>
      <c r="AQ382" s="799"/>
      <c r="AR382" s="799"/>
      <c r="AS382" s="799"/>
      <c r="AT382" s="799"/>
      <c r="AU382" s="799"/>
      <c r="AV382" s="799"/>
      <c r="AW382" s="799"/>
      <c r="AX382" s="799"/>
      <c r="AY382" s="799"/>
      <c r="AZ382" s="799"/>
      <c r="BA382" s="799"/>
      <c r="BB382" s="799"/>
      <c r="BC382" s="799"/>
      <c r="BD382" s="799"/>
      <c r="BE382" s="799"/>
      <c r="BF382" s="799"/>
      <c r="BG382" s="799"/>
    </row>
    <row r="383">
      <c r="H383" s="799"/>
      <c r="I383" s="799"/>
      <c r="J383" s="799"/>
      <c r="K383" s="799"/>
      <c r="L383" s="799"/>
      <c r="M383" s="799"/>
      <c r="N383" s="799"/>
      <c r="O383" s="799"/>
      <c r="P383" s="799"/>
      <c r="Q383" s="799"/>
      <c r="R383" s="799"/>
      <c r="S383" s="799"/>
      <c r="T383" s="799"/>
      <c r="U383" s="799"/>
      <c r="V383" s="799"/>
      <c r="W383" s="799"/>
      <c r="X383" s="799"/>
      <c r="Y383" s="799"/>
      <c r="Z383" s="799"/>
      <c r="AA383" s="799"/>
      <c r="AB383" s="799"/>
      <c r="AC383" s="799"/>
      <c r="AD383" s="799"/>
      <c r="AE383" s="799"/>
      <c r="AF383" s="799"/>
      <c r="AG383" s="799"/>
      <c r="AH383" s="799"/>
      <c r="AI383" s="799"/>
      <c r="AJ383" s="799"/>
      <c r="AK383" s="799"/>
      <c r="AL383" s="799"/>
      <c r="AM383" s="799"/>
      <c r="AN383" s="799"/>
      <c r="AO383" s="799"/>
      <c r="AP383" s="799"/>
      <c r="AQ383" s="799"/>
      <c r="AR383" s="799"/>
      <c r="AS383" s="799"/>
      <c r="AT383" s="799"/>
      <c r="AU383" s="799"/>
      <c r="AV383" s="799"/>
      <c r="AW383" s="799"/>
      <c r="AX383" s="799"/>
      <c r="AY383" s="799"/>
      <c r="AZ383" s="799"/>
      <c r="BA383" s="799"/>
      <c r="BB383" s="799"/>
      <c r="BC383" s="799"/>
      <c r="BD383" s="799"/>
      <c r="BE383" s="799"/>
      <c r="BF383" s="799"/>
      <c r="BG383" s="799"/>
    </row>
    <row r="384">
      <c r="H384" s="799"/>
      <c r="I384" s="799"/>
      <c r="J384" s="799"/>
      <c r="K384" s="799"/>
      <c r="L384" s="799"/>
      <c r="M384" s="799"/>
      <c r="N384" s="799"/>
      <c r="O384" s="799"/>
      <c r="P384" s="799"/>
      <c r="Q384" s="799"/>
      <c r="R384" s="799"/>
      <c r="S384" s="799"/>
      <c r="T384" s="799"/>
      <c r="U384" s="799"/>
      <c r="V384" s="799"/>
      <c r="W384" s="799"/>
      <c r="X384" s="799"/>
      <c r="Y384" s="799"/>
      <c r="Z384" s="799"/>
      <c r="AA384" s="799"/>
      <c r="AB384" s="799"/>
      <c r="AC384" s="799"/>
      <c r="AD384" s="799"/>
      <c r="AE384" s="799"/>
      <c r="AF384" s="799"/>
      <c r="AG384" s="799"/>
      <c r="AH384" s="799"/>
      <c r="AI384" s="799"/>
      <c r="AJ384" s="799"/>
      <c r="AK384" s="799"/>
      <c r="AL384" s="799"/>
      <c r="AM384" s="799"/>
      <c r="AN384" s="799"/>
      <c r="AO384" s="799"/>
      <c r="AP384" s="799"/>
      <c r="AQ384" s="799"/>
      <c r="AR384" s="799"/>
      <c r="AS384" s="799"/>
      <c r="AT384" s="799"/>
      <c r="AU384" s="799"/>
      <c r="AV384" s="799"/>
      <c r="AW384" s="799"/>
      <c r="AX384" s="799"/>
      <c r="AY384" s="799"/>
      <c r="AZ384" s="799"/>
      <c r="BA384" s="799"/>
      <c r="BB384" s="799"/>
      <c r="BC384" s="799"/>
      <c r="BD384" s="799"/>
      <c r="BE384" s="799"/>
      <c r="BF384" s="799"/>
      <c r="BG384" s="799"/>
    </row>
    <row r="385">
      <c r="H385" s="799"/>
      <c r="I385" s="799"/>
      <c r="J385" s="799"/>
      <c r="K385" s="799"/>
      <c r="L385" s="799"/>
      <c r="M385" s="799"/>
      <c r="N385" s="799"/>
      <c r="O385" s="799"/>
      <c r="P385" s="799"/>
      <c r="Q385" s="799"/>
      <c r="R385" s="799"/>
      <c r="S385" s="799"/>
      <c r="T385" s="799"/>
      <c r="U385" s="799"/>
      <c r="V385" s="799"/>
      <c r="W385" s="799"/>
      <c r="X385" s="799"/>
      <c r="Y385" s="799"/>
      <c r="Z385" s="799"/>
      <c r="AA385" s="799"/>
      <c r="AB385" s="799"/>
      <c r="AC385" s="799"/>
      <c r="AD385" s="799"/>
      <c r="AE385" s="799"/>
      <c r="AF385" s="799"/>
      <c r="AG385" s="799"/>
      <c r="AH385" s="799"/>
      <c r="AI385" s="799"/>
      <c r="AJ385" s="799"/>
      <c r="AK385" s="799"/>
      <c r="AL385" s="799"/>
      <c r="AM385" s="799"/>
      <c r="AN385" s="799"/>
      <c r="AO385" s="799"/>
      <c r="AP385" s="799"/>
      <c r="AQ385" s="799"/>
      <c r="AR385" s="799"/>
      <c r="AS385" s="799"/>
      <c r="AT385" s="799"/>
      <c r="AU385" s="799"/>
      <c r="AV385" s="799"/>
      <c r="AW385" s="799"/>
      <c r="AX385" s="799"/>
      <c r="AY385" s="799"/>
      <c r="AZ385" s="799"/>
      <c r="BA385" s="799"/>
      <c r="BB385" s="799"/>
      <c r="BC385" s="799"/>
      <c r="BD385" s="799"/>
      <c r="BE385" s="799"/>
      <c r="BF385" s="799"/>
      <c r="BG385" s="799"/>
    </row>
    <row r="386">
      <c r="H386" s="799"/>
      <c r="I386" s="799"/>
      <c r="J386" s="799"/>
      <c r="K386" s="799"/>
      <c r="L386" s="799"/>
      <c r="M386" s="799"/>
      <c r="N386" s="799"/>
      <c r="O386" s="799"/>
      <c r="P386" s="799"/>
      <c r="Q386" s="799"/>
      <c r="R386" s="799"/>
      <c r="S386" s="799"/>
      <c r="T386" s="799"/>
      <c r="U386" s="799"/>
      <c r="V386" s="799"/>
      <c r="W386" s="799"/>
      <c r="X386" s="799"/>
      <c r="Y386" s="799"/>
      <c r="Z386" s="799"/>
      <c r="AA386" s="799"/>
      <c r="AB386" s="799"/>
      <c r="AC386" s="799"/>
      <c r="AD386" s="799"/>
      <c r="AE386" s="799"/>
      <c r="AF386" s="799"/>
      <c r="AG386" s="799"/>
      <c r="AH386" s="799"/>
      <c r="AI386" s="799"/>
      <c r="AJ386" s="799"/>
      <c r="AK386" s="799"/>
      <c r="AL386" s="799"/>
      <c r="AM386" s="799"/>
      <c r="AN386" s="799"/>
      <c r="AO386" s="799"/>
      <c r="AP386" s="799"/>
      <c r="AQ386" s="799"/>
      <c r="AR386" s="799"/>
      <c r="AS386" s="799"/>
      <c r="AT386" s="799"/>
      <c r="AU386" s="799"/>
      <c r="AV386" s="799"/>
      <c r="AW386" s="799"/>
      <c r="AX386" s="799"/>
      <c r="AY386" s="799"/>
      <c r="AZ386" s="799"/>
      <c r="BA386" s="799"/>
      <c r="BB386" s="799"/>
      <c r="BC386" s="799"/>
      <c r="BD386" s="799"/>
      <c r="BE386" s="799"/>
      <c r="BF386" s="799"/>
      <c r="BG386" s="799"/>
    </row>
    <row r="387">
      <c r="H387" s="799"/>
      <c r="I387" s="799"/>
      <c r="J387" s="799"/>
      <c r="K387" s="799"/>
      <c r="L387" s="799"/>
      <c r="M387" s="799"/>
      <c r="N387" s="799"/>
      <c r="O387" s="799"/>
      <c r="P387" s="799"/>
      <c r="Q387" s="799"/>
      <c r="R387" s="799"/>
      <c r="S387" s="799"/>
      <c r="T387" s="799"/>
      <c r="U387" s="799"/>
      <c r="V387" s="799"/>
      <c r="W387" s="799"/>
      <c r="X387" s="799"/>
      <c r="Y387" s="799"/>
      <c r="Z387" s="799"/>
      <c r="AA387" s="799"/>
      <c r="AB387" s="799"/>
      <c r="AC387" s="799"/>
      <c r="AD387" s="799"/>
      <c r="AE387" s="799"/>
      <c r="AF387" s="799"/>
      <c r="AG387" s="799"/>
      <c r="AH387" s="799"/>
      <c r="AI387" s="799"/>
      <c r="AJ387" s="799"/>
      <c r="AK387" s="799"/>
      <c r="AL387" s="799"/>
      <c r="AM387" s="799"/>
      <c r="AN387" s="799"/>
      <c r="AO387" s="799"/>
      <c r="AP387" s="799"/>
      <c r="AQ387" s="799"/>
      <c r="AR387" s="799"/>
      <c r="AS387" s="799"/>
      <c r="AT387" s="799"/>
      <c r="AU387" s="799"/>
      <c r="AV387" s="799"/>
      <c r="AW387" s="799"/>
      <c r="AX387" s="799"/>
      <c r="AY387" s="799"/>
      <c r="AZ387" s="799"/>
      <c r="BA387" s="799"/>
      <c r="BB387" s="799"/>
      <c r="BC387" s="799"/>
      <c r="BD387" s="799"/>
      <c r="BE387" s="799"/>
      <c r="BF387" s="799"/>
      <c r="BG387" s="799"/>
    </row>
    <row r="388">
      <c r="H388" s="799"/>
      <c r="I388" s="799"/>
      <c r="J388" s="799"/>
      <c r="K388" s="799"/>
      <c r="L388" s="799"/>
      <c r="M388" s="799"/>
      <c r="N388" s="799"/>
      <c r="O388" s="799"/>
      <c r="P388" s="799"/>
      <c r="Q388" s="799"/>
      <c r="R388" s="799"/>
      <c r="S388" s="799"/>
      <c r="T388" s="799"/>
      <c r="U388" s="799"/>
      <c r="V388" s="799"/>
      <c r="W388" s="799"/>
      <c r="X388" s="799"/>
      <c r="Y388" s="799"/>
      <c r="Z388" s="799"/>
      <c r="AA388" s="799"/>
      <c r="AB388" s="799"/>
      <c r="AC388" s="799"/>
      <c r="AD388" s="799"/>
      <c r="AE388" s="799"/>
      <c r="AF388" s="799"/>
      <c r="AG388" s="799"/>
      <c r="AH388" s="799"/>
      <c r="AI388" s="799"/>
      <c r="AJ388" s="799"/>
      <c r="AK388" s="799"/>
      <c r="AL388" s="799"/>
      <c r="AM388" s="799"/>
      <c r="AN388" s="799"/>
      <c r="AO388" s="799"/>
      <c r="AP388" s="799"/>
      <c r="AQ388" s="799"/>
      <c r="AR388" s="799"/>
      <c r="AS388" s="799"/>
      <c r="AT388" s="799"/>
      <c r="AU388" s="799"/>
      <c r="AV388" s="799"/>
      <c r="AW388" s="799"/>
      <c r="AX388" s="799"/>
      <c r="AY388" s="799"/>
      <c r="AZ388" s="799"/>
      <c r="BA388" s="799"/>
      <c r="BB388" s="799"/>
      <c r="BC388" s="799"/>
      <c r="BD388" s="799"/>
      <c r="BE388" s="799"/>
      <c r="BF388" s="799"/>
      <c r="BG388" s="799"/>
    </row>
    <row r="389">
      <c r="H389" s="799"/>
      <c r="I389" s="799"/>
      <c r="J389" s="799"/>
      <c r="K389" s="799"/>
      <c r="L389" s="799"/>
      <c r="M389" s="799"/>
      <c r="N389" s="799"/>
      <c r="O389" s="799"/>
      <c r="P389" s="799"/>
      <c r="Q389" s="799"/>
      <c r="R389" s="799"/>
      <c r="S389" s="799"/>
      <c r="T389" s="799"/>
      <c r="U389" s="799"/>
      <c r="V389" s="799"/>
      <c r="W389" s="799"/>
      <c r="X389" s="799"/>
      <c r="Y389" s="799"/>
      <c r="Z389" s="799"/>
      <c r="AA389" s="799"/>
      <c r="AB389" s="799"/>
      <c r="AC389" s="799"/>
      <c r="AD389" s="799"/>
      <c r="AE389" s="799"/>
      <c r="AF389" s="799"/>
      <c r="AG389" s="799"/>
      <c r="AH389" s="799"/>
      <c r="AI389" s="799"/>
      <c r="AJ389" s="799"/>
      <c r="AK389" s="799"/>
      <c r="AL389" s="799"/>
      <c r="AM389" s="799"/>
      <c r="AN389" s="799"/>
      <c r="AO389" s="799"/>
      <c r="AP389" s="799"/>
      <c r="AQ389" s="799"/>
      <c r="AR389" s="799"/>
      <c r="AS389" s="799"/>
      <c r="AT389" s="799"/>
      <c r="AU389" s="799"/>
      <c r="AV389" s="799"/>
      <c r="AW389" s="799"/>
      <c r="AX389" s="799"/>
      <c r="AY389" s="799"/>
      <c r="AZ389" s="799"/>
      <c r="BA389" s="799"/>
      <c r="BB389" s="799"/>
      <c r="BC389" s="799"/>
      <c r="BD389" s="799"/>
      <c r="BE389" s="799"/>
      <c r="BF389" s="799"/>
      <c r="BG389" s="799"/>
    </row>
    <row r="390">
      <c r="H390" s="799"/>
      <c r="I390" s="799"/>
      <c r="J390" s="799"/>
      <c r="K390" s="799"/>
      <c r="L390" s="799"/>
      <c r="M390" s="799"/>
      <c r="N390" s="799"/>
      <c r="O390" s="799"/>
      <c r="P390" s="799"/>
      <c r="Q390" s="799"/>
      <c r="R390" s="799"/>
      <c r="S390" s="799"/>
      <c r="T390" s="799"/>
      <c r="U390" s="799"/>
      <c r="V390" s="799"/>
      <c r="W390" s="799"/>
      <c r="X390" s="799"/>
      <c r="Y390" s="799"/>
      <c r="Z390" s="799"/>
      <c r="AA390" s="799"/>
      <c r="AB390" s="799"/>
      <c r="AC390" s="799"/>
      <c r="AD390" s="799"/>
      <c r="AE390" s="799"/>
      <c r="AF390" s="799"/>
      <c r="AG390" s="799"/>
      <c r="AH390" s="799"/>
      <c r="AI390" s="799"/>
      <c r="AJ390" s="799"/>
      <c r="AK390" s="799"/>
      <c r="AL390" s="799"/>
      <c r="AM390" s="799"/>
      <c r="AN390" s="799"/>
      <c r="AO390" s="799"/>
      <c r="AP390" s="799"/>
      <c r="AQ390" s="799"/>
      <c r="AR390" s="799"/>
      <c r="AS390" s="799"/>
      <c r="AT390" s="799"/>
      <c r="AU390" s="799"/>
      <c r="AV390" s="799"/>
      <c r="AW390" s="799"/>
      <c r="AX390" s="799"/>
      <c r="AY390" s="799"/>
      <c r="AZ390" s="799"/>
      <c r="BA390" s="799"/>
      <c r="BB390" s="799"/>
      <c r="BC390" s="799"/>
      <c r="BD390" s="799"/>
      <c r="BE390" s="799"/>
      <c r="BF390" s="799"/>
      <c r="BG390" s="799"/>
    </row>
    <row r="391">
      <c r="H391" s="799"/>
      <c r="I391" s="799"/>
      <c r="J391" s="799"/>
      <c r="K391" s="799"/>
      <c r="L391" s="799"/>
      <c r="M391" s="799"/>
      <c r="N391" s="799"/>
      <c r="O391" s="799"/>
      <c r="P391" s="799"/>
      <c r="Q391" s="799"/>
      <c r="R391" s="799"/>
      <c r="S391" s="799"/>
      <c r="T391" s="799"/>
      <c r="U391" s="799"/>
      <c r="V391" s="799"/>
      <c r="W391" s="799"/>
      <c r="X391" s="799"/>
      <c r="Y391" s="799"/>
      <c r="Z391" s="799"/>
      <c r="AA391" s="799"/>
      <c r="AB391" s="799"/>
      <c r="AC391" s="799"/>
      <c r="AD391" s="799"/>
      <c r="AE391" s="799"/>
      <c r="AF391" s="799"/>
      <c r="AG391" s="799"/>
      <c r="AH391" s="799"/>
      <c r="AI391" s="799"/>
      <c r="AJ391" s="799"/>
      <c r="AK391" s="799"/>
      <c r="AL391" s="799"/>
      <c r="AM391" s="799"/>
      <c r="AN391" s="799"/>
      <c r="AO391" s="799"/>
      <c r="AP391" s="799"/>
      <c r="AQ391" s="799"/>
      <c r="AR391" s="799"/>
      <c r="AS391" s="799"/>
      <c r="AT391" s="799"/>
      <c r="AU391" s="799"/>
      <c r="AV391" s="799"/>
      <c r="AW391" s="799"/>
      <c r="AX391" s="799"/>
      <c r="AY391" s="799"/>
      <c r="AZ391" s="799"/>
      <c r="BA391" s="799"/>
      <c r="BB391" s="799"/>
      <c r="BC391" s="799"/>
      <c r="BD391" s="799"/>
      <c r="BE391" s="799"/>
      <c r="BF391" s="799"/>
      <c r="BG391" s="799"/>
    </row>
    <row r="392">
      <c r="H392" s="799"/>
      <c r="I392" s="799"/>
      <c r="J392" s="799"/>
      <c r="K392" s="799"/>
      <c r="L392" s="799"/>
      <c r="M392" s="799"/>
      <c r="N392" s="799"/>
      <c r="O392" s="799"/>
      <c r="P392" s="799"/>
      <c r="Q392" s="799"/>
      <c r="R392" s="799"/>
      <c r="S392" s="799"/>
      <c r="T392" s="799"/>
      <c r="U392" s="799"/>
      <c r="V392" s="799"/>
      <c r="W392" s="799"/>
      <c r="X392" s="799"/>
      <c r="Y392" s="799"/>
      <c r="Z392" s="799"/>
      <c r="AA392" s="799"/>
      <c r="AB392" s="799"/>
      <c r="AC392" s="799"/>
      <c r="AD392" s="799"/>
      <c r="AE392" s="799"/>
      <c r="AF392" s="799"/>
      <c r="AG392" s="799"/>
      <c r="AH392" s="799"/>
      <c r="AI392" s="799"/>
      <c r="AJ392" s="799"/>
      <c r="AK392" s="799"/>
      <c r="AL392" s="799"/>
      <c r="AM392" s="799"/>
      <c r="AN392" s="799"/>
      <c r="AO392" s="799"/>
      <c r="AP392" s="799"/>
      <c r="AQ392" s="799"/>
      <c r="AR392" s="799"/>
      <c r="AS392" s="799"/>
      <c r="AT392" s="799"/>
      <c r="AU392" s="799"/>
      <c r="AV392" s="799"/>
      <c r="AW392" s="799"/>
      <c r="AX392" s="799"/>
      <c r="AY392" s="799"/>
      <c r="AZ392" s="799"/>
      <c r="BA392" s="799"/>
      <c r="BB392" s="799"/>
      <c r="BC392" s="799"/>
      <c r="BD392" s="799"/>
      <c r="BE392" s="799"/>
      <c r="BF392" s="799"/>
      <c r="BG392" s="799"/>
    </row>
    <row r="393">
      <c r="H393" s="799"/>
      <c r="I393" s="799"/>
      <c r="J393" s="799"/>
      <c r="K393" s="799"/>
      <c r="L393" s="799"/>
      <c r="M393" s="799"/>
      <c r="N393" s="799"/>
      <c r="O393" s="799"/>
      <c r="P393" s="799"/>
      <c r="Q393" s="799"/>
      <c r="R393" s="799"/>
      <c r="S393" s="799"/>
      <c r="T393" s="799"/>
      <c r="U393" s="799"/>
      <c r="V393" s="799"/>
      <c r="W393" s="799"/>
      <c r="X393" s="799"/>
      <c r="Y393" s="799"/>
      <c r="Z393" s="799"/>
      <c r="AA393" s="799"/>
      <c r="AB393" s="799"/>
      <c r="AC393" s="799"/>
      <c r="AD393" s="799"/>
      <c r="AE393" s="799"/>
      <c r="AF393" s="799"/>
      <c r="AG393" s="799"/>
      <c r="AH393" s="799"/>
      <c r="AI393" s="799"/>
      <c r="AJ393" s="799"/>
      <c r="AK393" s="799"/>
      <c r="AL393" s="799"/>
      <c r="AM393" s="799"/>
      <c r="AN393" s="799"/>
      <c r="AO393" s="799"/>
      <c r="AP393" s="799"/>
      <c r="AQ393" s="799"/>
      <c r="AR393" s="799"/>
      <c r="AS393" s="799"/>
      <c r="AT393" s="799"/>
      <c r="AU393" s="799"/>
      <c r="AV393" s="799"/>
      <c r="AW393" s="799"/>
      <c r="AX393" s="799"/>
      <c r="AY393" s="799"/>
      <c r="AZ393" s="799"/>
      <c r="BA393" s="799"/>
      <c r="BB393" s="799"/>
      <c r="BC393" s="799"/>
      <c r="BD393" s="799"/>
      <c r="BE393" s="799"/>
      <c r="BF393" s="799"/>
      <c r="BG393" s="799"/>
    </row>
    <row r="394">
      <c r="H394" s="799"/>
      <c r="I394" s="799"/>
      <c r="J394" s="799"/>
      <c r="K394" s="799"/>
      <c r="L394" s="799"/>
      <c r="M394" s="799"/>
      <c r="N394" s="799"/>
      <c r="O394" s="799"/>
      <c r="P394" s="799"/>
      <c r="Q394" s="799"/>
      <c r="R394" s="799"/>
      <c r="S394" s="799"/>
      <c r="T394" s="799"/>
      <c r="U394" s="799"/>
      <c r="V394" s="799"/>
      <c r="W394" s="799"/>
      <c r="X394" s="799"/>
      <c r="Y394" s="799"/>
      <c r="Z394" s="799"/>
      <c r="AA394" s="799"/>
      <c r="AB394" s="799"/>
      <c r="AC394" s="799"/>
      <c r="AD394" s="799"/>
      <c r="AE394" s="799"/>
      <c r="AF394" s="799"/>
      <c r="AG394" s="799"/>
      <c r="AH394" s="799"/>
      <c r="AI394" s="799"/>
      <c r="AJ394" s="799"/>
      <c r="AK394" s="799"/>
      <c r="AL394" s="799"/>
      <c r="AM394" s="799"/>
      <c r="AN394" s="799"/>
      <c r="AO394" s="799"/>
      <c r="AP394" s="799"/>
      <c r="AQ394" s="799"/>
      <c r="AR394" s="799"/>
      <c r="AS394" s="799"/>
      <c r="AT394" s="799"/>
      <c r="AU394" s="799"/>
      <c r="AV394" s="799"/>
      <c r="AW394" s="799"/>
      <c r="AX394" s="799"/>
      <c r="AY394" s="799"/>
      <c r="AZ394" s="799"/>
      <c r="BA394" s="799"/>
      <c r="BB394" s="799"/>
      <c r="BC394" s="799"/>
      <c r="BD394" s="799"/>
      <c r="BE394" s="799"/>
      <c r="BF394" s="799"/>
      <c r="BG394" s="799"/>
    </row>
    <row r="395">
      <c r="H395" s="799"/>
      <c r="I395" s="799"/>
      <c r="J395" s="799"/>
      <c r="K395" s="799"/>
      <c r="L395" s="799"/>
      <c r="M395" s="799"/>
      <c r="N395" s="799"/>
      <c r="O395" s="799"/>
      <c r="P395" s="799"/>
      <c r="Q395" s="799"/>
      <c r="R395" s="799"/>
      <c r="S395" s="799"/>
      <c r="T395" s="799"/>
      <c r="U395" s="799"/>
      <c r="V395" s="799"/>
      <c r="W395" s="799"/>
      <c r="X395" s="799"/>
      <c r="Y395" s="799"/>
      <c r="Z395" s="799"/>
      <c r="AA395" s="799"/>
      <c r="AB395" s="799"/>
      <c r="AC395" s="799"/>
      <c r="AD395" s="799"/>
      <c r="AE395" s="799"/>
      <c r="AF395" s="799"/>
      <c r="AG395" s="799"/>
      <c r="AH395" s="799"/>
      <c r="AI395" s="799"/>
      <c r="AJ395" s="799"/>
      <c r="AK395" s="799"/>
      <c r="AL395" s="799"/>
      <c r="AM395" s="799"/>
      <c r="AN395" s="799"/>
      <c r="AO395" s="799"/>
      <c r="AP395" s="799"/>
      <c r="AQ395" s="799"/>
      <c r="AR395" s="799"/>
      <c r="AS395" s="799"/>
      <c r="AT395" s="799"/>
      <c r="AU395" s="799"/>
      <c r="AV395" s="799"/>
      <c r="AW395" s="799"/>
      <c r="AX395" s="799"/>
      <c r="AY395" s="799"/>
      <c r="AZ395" s="799"/>
      <c r="BA395" s="799"/>
      <c r="BB395" s="799"/>
      <c r="BC395" s="799"/>
      <c r="BD395" s="799"/>
      <c r="BE395" s="799"/>
      <c r="BF395" s="799"/>
      <c r="BG395" s="799"/>
    </row>
    <row r="396">
      <c r="H396" s="799"/>
      <c r="I396" s="799"/>
      <c r="J396" s="799"/>
      <c r="K396" s="799"/>
      <c r="L396" s="799"/>
      <c r="M396" s="799"/>
      <c r="N396" s="799"/>
      <c r="O396" s="799"/>
      <c r="P396" s="799"/>
      <c r="Q396" s="799"/>
      <c r="R396" s="799"/>
      <c r="S396" s="799"/>
      <c r="T396" s="799"/>
      <c r="U396" s="799"/>
      <c r="V396" s="799"/>
      <c r="W396" s="799"/>
      <c r="X396" s="799"/>
      <c r="Y396" s="799"/>
      <c r="Z396" s="799"/>
      <c r="AA396" s="799"/>
      <c r="AB396" s="799"/>
      <c r="AC396" s="799"/>
      <c r="AD396" s="799"/>
      <c r="AE396" s="799"/>
      <c r="AF396" s="799"/>
      <c r="AG396" s="799"/>
      <c r="AH396" s="799"/>
      <c r="AI396" s="799"/>
      <c r="AJ396" s="799"/>
      <c r="AK396" s="799"/>
      <c r="AL396" s="799"/>
      <c r="AM396" s="799"/>
      <c r="AN396" s="799"/>
      <c r="AO396" s="799"/>
      <c r="AP396" s="799"/>
      <c r="AQ396" s="799"/>
      <c r="AR396" s="799"/>
      <c r="AS396" s="799"/>
      <c r="AT396" s="799"/>
      <c r="AU396" s="799"/>
      <c r="AV396" s="799"/>
      <c r="AW396" s="799"/>
      <c r="AX396" s="799"/>
      <c r="AY396" s="799"/>
      <c r="AZ396" s="799"/>
      <c r="BA396" s="799"/>
      <c r="BB396" s="799"/>
      <c r="BC396" s="799"/>
      <c r="BD396" s="799"/>
      <c r="BE396" s="799"/>
      <c r="BF396" s="799"/>
      <c r="BG396" s="799"/>
    </row>
    <row r="397">
      <c r="H397" s="799"/>
      <c r="I397" s="799"/>
      <c r="J397" s="799"/>
      <c r="K397" s="799"/>
      <c r="L397" s="799"/>
      <c r="M397" s="799"/>
      <c r="N397" s="799"/>
      <c r="O397" s="799"/>
      <c r="P397" s="799"/>
      <c r="Q397" s="799"/>
      <c r="R397" s="799"/>
      <c r="S397" s="799"/>
      <c r="T397" s="799"/>
      <c r="U397" s="799"/>
      <c r="V397" s="799"/>
      <c r="W397" s="799"/>
      <c r="X397" s="799"/>
      <c r="Y397" s="799"/>
      <c r="Z397" s="799"/>
      <c r="AA397" s="799"/>
      <c r="AB397" s="799"/>
      <c r="AC397" s="799"/>
      <c r="AD397" s="799"/>
      <c r="AE397" s="799"/>
      <c r="AF397" s="799"/>
      <c r="AG397" s="799"/>
      <c r="AH397" s="799"/>
      <c r="AI397" s="799"/>
      <c r="AJ397" s="799"/>
      <c r="AK397" s="799"/>
      <c r="AL397" s="799"/>
      <c r="AM397" s="799"/>
      <c r="AN397" s="799"/>
      <c r="AO397" s="799"/>
      <c r="AP397" s="799"/>
      <c r="AQ397" s="799"/>
      <c r="AR397" s="799"/>
      <c r="AS397" s="799"/>
      <c r="AT397" s="799"/>
      <c r="AU397" s="799"/>
      <c r="AV397" s="799"/>
      <c r="AW397" s="799"/>
      <c r="AX397" s="799"/>
      <c r="AY397" s="799"/>
      <c r="AZ397" s="799"/>
      <c r="BA397" s="799"/>
      <c r="BB397" s="799"/>
      <c r="BC397" s="799"/>
      <c r="BD397" s="799"/>
      <c r="BE397" s="799"/>
      <c r="BF397" s="799"/>
      <c r="BG397" s="799"/>
    </row>
    <row r="398">
      <c r="H398" s="799"/>
      <c r="I398" s="799"/>
      <c r="J398" s="799"/>
      <c r="K398" s="799"/>
      <c r="L398" s="799"/>
      <c r="M398" s="799"/>
      <c r="N398" s="799"/>
      <c r="O398" s="799"/>
      <c r="P398" s="799"/>
      <c r="Q398" s="799"/>
      <c r="R398" s="799"/>
      <c r="S398" s="799"/>
      <c r="T398" s="799"/>
      <c r="U398" s="799"/>
      <c r="V398" s="799"/>
      <c r="W398" s="799"/>
      <c r="X398" s="799"/>
      <c r="Y398" s="799"/>
      <c r="Z398" s="799"/>
      <c r="AA398" s="799"/>
      <c r="AB398" s="799"/>
      <c r="AC398" s="799"/>
      <c r="AD398" s="799"/>
      <c r="AE398" s="799"/>
      <c r="AF398" s="799"/>
      <c r="AG398" s="799"/>
      <c r="AH398" s="799"/>
      <c r="AI398" s="799"/>
      <c r="AJ398" s="799"/>
      <c r="AK398" s="799"/>
      <c r="AL398" s="799"/>
      <c r="AM398" s="799"/>
      <c r="AN398" s="799"/>
      <c r="AO398" s="799"/>
      <c r="AP398" s="799"/>
      <c r="AQ398" s="799"/>
      <c r="AR398" s="799"/>
      <c r="AS398" s="799"/>
      <c r="AT398" s="799"/>
      <c r="AU398" s="799"/>
      <c r="AV398" s="799"/>
      <c r="AW398" s="799"/>
      <c r="AX398" s="799"/>
      <c r="AY398" s="799"/>
      <c r="AZ398" s="799"/>
      <c r="BA398" s="799"/>
      <c r="BB398" s="799"/>
      <c r="BC398" s="799"/>
      <c r="BD398" s="799"/>
      <c r="BE398" s="799"/>
      <c r="BF398" s="799"/>
      <c r="BG398" s="799"/>
    </row>
    <row r="399">
      <c r="H399" s="799"/>
      <c r="I399" s="799"/>
      <c r="J399" s="799"/>
      <c r="K399" s="799"/>
      <c r="L399" s="799"/>
      <c r="M399" s="799"/>
      <c r="N399" s="799"/>
      <c r="O399" s="799"/>
      <c r="P399" s="799"/>
      <c r="Q399" s="799"/>
      <c r="R399" s="799"/>
      <c r="S399" s="799"/>
      <c r="T399" s="799"/>
      <c r="U399" s="799"/>
      <c r="V399" s="799"/>
      <c r="W399" s="799"/>
      <c r="X399" s="799"/>
      <c r="Y399" s="799"/>
      <c r="Z399" s="799"/>
      <c r="AA399" s="799"/>
      <c r="AB399" s="799"/>
      <c r="AC399" s="799"/>
      <c r="AD399" s="799"/>
      <c r="AE399" s="799"/>
      <c r="AF399" s="799"/>
      <c r="AG399" s="799"/>
      <c r="AH399" s="799"/>
      <c r="AI399" s="799"/>
      <c r="AJ399" s="799"/>
      <c r="AK399" s="799"/>
      <c r="AL399" s="799"/>
      <c r="AM399" s="799"/>
      <c r="AN399" s="799"/>
      <c r="AO399" s="799"/>
      <c r="AP399" s="799"/>
      <c r="AQ399" s="799"/>
      <c r="AR399" s="799"/>
      <c r="AS399" s="799"/>
      <c r="AT399" s="799"/>
      <c r="AU399" s="799"/>
      <c r="AV399" s="799"/>
      <c r="AW399" s="799"/>
      <c r="AX399" s="799"/>
      <c r="AY399" s="799"/>
      <c r="AZ399" s="799"/>
      <c r="BA399" s="799"/>
      <c r="BB399" s="799"/>
      <c r="BC399" s="799"/>
      <c r="BD399" s="799"/>
      <c r="BE399" s="799"/>
      <c r="BF399" s="799"/>
      <c r="BG399" s="799"/>
    </row>
    <row r="400">
      <c r="H400" s="799"/>
      <c r="I400" s="799"/>
      <c r="J400" s="799"/>
      <c r="K400" s="799"/>
      <c r="L400" s="799"/>
      <c r="M400" s="799"/>
      <c r="N400" s="799"/>
      <c r="O400" s="799"/>
      <c r="P400" s="799"/>
      <c r="Q400" s="799"/>
      <c r="R400" s="799"/>
      <c r="S400" s="799"/>
      <c r="T400" s="799"/>
      <c r="U400" s="799"/>
      <c r="V400" s="799"/>
      <c r="W400" s="799"/>
      <c r="X400" s="799"/>
      <c r="Y400" s="799"/>
      <c r="Z400" s="799"/>
      <c r="AA400" s="799"/>
      <c r="AB400" s="799"/>
      <c r="AC400" s="799"/>
      <c r="AD400" s="799"/>
      <c r="AE400" s="799"/>
      <c r="AF400" s="799"/>
      <c r="AG400" s="799"/>
      <c r="AH400" s="799"/>
      <c r="AI400" s="799"/>
      <c r="AJ400" s="799"/>
      <c r="AK400" s="799"/>
      <c r="AL400" s="799"/>
      <c r="AM400" s="799"/>
      <c r="AN400" s="799"/>
      <c r="AO400" s="799"/>
      <c r="AP400" s="799"/>
      <c r="AQ400" s="799"/>
      <c r="AR400" s="799"/>
      <c r="AS400" s="799"/>
      <c r="AT400" s="799"/>
      <c r="AU400" s="799"/>
      <c r="AV400" s="799"/>
      <c r="AW400" s="799"/>
      <c r="AX400" s="799"/>
      <c r="AY400" s="799"/>
      <c r="AZ400" s="799"/>
      <c r="BA400" s="799"/>
      <c r="BB400" s="799"/>
      <c r="BC400" s="799"/>
      <c r="BD400" s="799"/>
      <c r="BE400" s="799"/>
      <c r="BF400" s="799"/>
      <c r="BG400" s="799"/>
    </row>
    <row r="401">
      <c r="H401" s="799"/>
      <c r="I401" s="799"/>
      <c r="J401" s="799"/>
      <c r="K401" s="799"/>
      <c r="L401" s="799"/>
      <c r="M401" s="799"/>
      <c r="N401" s="799"/>
      <c r="O401" s="799"/>
      <c r="P401" s="799"/>
      <c r="Q401" s="799"/>
      <c r="R401" s="799"/>
      <c r="S401" s="799"/>
      <c r="T401" s="799"/>
      <c r="U401" s="799"/>
      <c r="V401" s="799"/>
      <c r="W401" s="799"/>
      <c r="X401" s="799"/>
      <c r="Y401" s="799"/>
      <c r="Z401" s="799"/>
      <c r="AA401" s="799"/>
      <c r="AB401" s="799"/>
      <c r="AC401" s="799"/>
      <c r="AD401" s="799"/>
      <c r="AE401" s="799"/>
      <c r="AF401" s="799"/>
      <c r="AG401" s="799"/>
      <c r="AH401" s="799"/>
      <c r="AI401" s="799"/>
      <c r="AJ401" s="799"/>
      <c r="AK401" s="799"/>
      <c r="AL401" s="799"/>
      <c r="AM401" s="799"/>
      <c r="AN401" s="799"/>
      <c r="AO401" s="799"/>
      <c r="AP401" s="799"/>
      <c r="AQ401" s="799"/>
      <c r="AR401" s="799"/>
      <c r="AS401" s="799"/>
      <c r="AT401" s="799"/>
      <c r="AU401" s="799"/>
      <c r="AV401" s="799"/>
      <c r="AW401" s="799"/>
      <c r="AX401" s="799"/>
      <c r="AY401" s="799"/>
      <c r="AZ401" s="799"/>
      <c r="BA401" s="799"/>
      <c r="BB401" s="799"/>
      <c r="BC401" s="799"/>
      <c r="BD401" s="799"/>
      <c r="BE401" s="799"/>
      <c r="BF401" s="799"/>
      <c r="BG401" s="799"/>
    </row>
    <row r="402">
      <c r="H402" s="799"/>
      <c r="I402" s="799"/>
      <c r="J402" s="799"/>
      <c r="K402" s="799"/>
      <c r="L402" s="799"/>
      <c r="M402" s="799"/>
      <c r="N402" s="799"/>
      <c r="O402" s="799"/>
      <c r="P402" s="799"/>
      <c r="Q402" s="799"/>
      <c r="R402" s="799"/>
      <c r="S402" s="799"/>
      <c r="T402" s="799"/>
      <c r="U402" s="799"/>
      <c r="V402" s="799"/>
      <c r="W402" s="799"/>
      <c r="X402" s="799"/>
      <c r="Y402" s="799"/>
      <c r="Z402" s="799"/>
      <c r="AA402" s="799"/>
      <c r="AB402" s="799"/>
      <c r="AC402" s="799"/>
      <c r="AD402" s="799"/>
      <c r="AE402" s="799"/>
      <c r="AF402" s="799"/>
      <c r="AG402" s="799"/>
      <c r="AH402" s="799"/>
      <c r="AI402" s="799"/>
      <c r="AJ402" s="799"/>
      <c r="AK402" s="799"/>
      <c r="AL402" s="799"/>
      <c r="AM402" s="799"/>
      <c r="AN402" s="799"/>
      <c r="AO402" s="799"/>
      <c r="AP402" s="799"/>
      <c r="AQ402" s="799"/>
      <c r="AR402" s="799"/>
      <c r="AS402" s="799"/>
      <c r="AT402" s="799"/>
      <c r="AU402" s="799"/>
      <c r="AV402" s="799"/>
      <c r="AW402" s="799"/>
      <c r="AX402" s="799"/>
      <c r="AY402" s="799"/>
      <c r="AZ402" s="799"/>
      <c r="BA402" s="799"/>
      <c r="BB402" s="799"/>
      <c r="BC402" s="799"/>
      <c r="BD402" s="799"/>
      <c r="BE402" s="799"/>
      <c r="BF402" s="799"/>
      <c r="BG402" s="799"/>
    </row>
    <row r="403">
      <c r="H403" s="799"/>
      <c r="I403" s="799"/>
      <c r="J403" s="799"/>
      <c r="K403" s="799"/>
      <c r="L403" s="799"/>
      <c r="M403" s="799"/>
      <c r="N403" s="799"/>
      <c r="O403" s="799"/>
      <c r="P403" s="799"/>
      <c r="Q403" s="799"/>
      <c r="R403" s="799"/>
      <c r="S403" s="799"/>
      <c r="T403" s="799"/>
      <c r="U403" s="799"/>
      <c r="V403" s="799"/>
      <c r="W403" s="799"/>
      <c r="X403" s="799"/>
      <c r="Y403" s="799"/>
      <c r="Z403" s="799"/>
      <c r="AA403" s="799"/>
      <c r="AB403" s="799"/>
      <c r="AC403" s="799"/>
      <c r="AD403" s="799"/>
      <c r="AE403" s="799"/>
      <c r="AF403" s="799"/>
      <c r="AG403" s="799"/>
      <c r="AH403" s="799"/>
      <c r="AI403" s="799"/>
      <c r="AJ403" s="799"/>
      <c r="AK403" s="799"/>
      <c r="AL403" s="799"/>
      <c r="AM403" s="799"/>
      <c r="AN403" s="799"/>
      <c r="AO403" s="799"/>
      <c r="AP403" s="799"/>
      <c r="AQ403" s="799"/>
      <c r="AR403" s="799"/>
      <c r="AS403" s="799"/>
      <c r="AT403" s="799"/>
      <c r="AU403" s="799"/>
      <c r="AV403" s="799"/>
      <c r="AW403" s="799"/>
      <c r="AX403" s="799"/>
      <c r="AY403" s="799"/>
      <c r="AZ403" s="799"/>
      <c r="BA403" s="799"/>
      <c r="BB403" s="799"/>
      <c r="BC403" s="799"/>
      <c r="BD403" s="799"/>
      <c r="BE403" s="799"/>
      <c r="BF403" s="799"/>
      <c r="BG403" s="799"/>
    </row>
    <row r="404">
      <c r="H404" s="799"/>
      <c r="I404" s="799"/>
      <c r="J404" s="799"/>
      <c r="K404" s="799"/>
      <c r="L404" s="799"/>
      <c r="M404" s="799"/>
      <c r="N404" s="799"/>
      <c r="O404" s="799"/>
      <c r="P404" s="799"/>
      <c r="Q404" s="799"/>
      <c r="R404" s="799"/>
      <c r="S404" s="799"/>
      <c r="T404" s="799"/>
      <c r="U404" s="799"/>
      <c r="V404" s="799"/>
      <c r="W404" s="799"/>
      <c r="X404" s="799"/>
      <c r="Y404" s="799"/>
      <c r="Z404" s="799"/>
      <c r="AA404" s="799"/>
      <c r="AB404" s="799"/>
      <c r="AC404" s="799"/>
      <c r="AD404" s="799"/>
      <c r="AE404" s="799"/>
      <c r="AF404" s="799"/>
      <c r="AG404" s="799"/>
      <c r="AH404" s="799"/>
      <c r="AI404" s="799"/>
      <c r="AJ404" s="799"/>
      <c r="AK404" s="799"/>
      <c r="AL404" s="799"/>
      <c r="AM404" s="799"/>
      <c r="AN404" s="799"/>
      <c r="AO404" s="799"/>
      <c r="AP404" s="799"/>
      <c r="AQ404" s="799"/>
      <c r="AR404" s="799"/>
      <c r="AS404" s="799"/>
      <c r="AT404" s="799"/>
      <c r="AU404" s="799"/>
      <c r="AV404" s="799"/>
      <c r="AW404" s="799"/>
      <c r="AX404" s="799"/>
      <c r="AY404" s="799"/>
      <c r="AZ404" s="799"/>
      <c r="BA404" s="799"/>
      <c r="BB404" s="799"/>
      <c r="BC404" s="799"/>
      <c r="BD404" s="799"/>
      <c r="BE404" s="799"/>
      <c r="BF404" s="799"/>
      <c r="BG404" s="799"/>
    </row>
    <row r="405">
      <c r="H405" s="799"/>
      <c r="I405" s="799"/>
      <c r="J405" s="799"/>
      <c r="K405" s="799"/>
      <c r="L405" s="799"/>
      <c r="M405" s="799"/>
      <c r="N405" s="799"/>
      <c r="O405" s="799"/>
      <c r="P405" s="799"/>
      <c r="Q405" s="799"/>
      <c r="R405" s="799"/>
      <c r="S405" s="799"/>
      <c r="T405" s="799"/>
      <c r="U405" s="799"/>
      <c r="V405" s="799"/>
      <c r="W405" s="799"/>
      <c r="X405" s="799"/>
      <c r="Y405" s="799"/>
      <c r="Z405" s="799"/>
      <c r="AA405" s="799"/>
      <c r="AB405" s="799"/>
      <c r="AC405" s="799"/>
      <c r="AD405" s="799"/>
      <c r="AE405" s="799"/>
      <c r="AF405" s="799"/>
      <c r="AG405" s="799"/>
      <c r="AH405" s="799"/>
      <c r="AI405" s="799"/>
      <c r="AJ405" s="799"/>
      <c r="AK405" s="799"/>
      <c r="AL405" s="799"/>
      <c r="AM405" s="799"/>
      <c r="AN405" s="799"/>
      <c r="AO405" s="799"/>
      <c r="AP405" s="799"/>
      <c r="AQ405" s="799"/>
      <c r="AR405" s="799"/>
      <c r="AS405" s="799"/>
      <c r="AT405" s="799"/>
      <c r="AU405" s="799"/>
      <c r="AV405" s="799"/>
      <c r="AW405" s="799"/>
      <c r="AX405" s="799"/>
      <c r="AY405" s="799"/>
      <c r="AZ405" s="799"/>
      <c r="BA405" s="799"/>
      <c r="BB405" s="799"/>
      <c r="BC405" s="799"/>
      <c r="BD405" s="799"/>
      <c r="BE405" s="799"/>
      <c r="BF405" s="799"/>
      <c r="BG405" s="799"/>
    </row>
    <row r="406">
      <c r="H406" s="799"/>
      <c r="I406" s="799"/>
      <c r="J406" s="799"/>
      <c r="K406" s="799"/>
      <c r="L406" s="799"/>
      <c r="M406" s="799"/>
      <c r="N406" s="799"/>
      <c r="O406" s="799"/>
      <c r="P406" s="799"/>
      <c r="Q406" s="799"/>
      <c r="R406" s="799"/>
      <c r="S406" s="799"/>
      <c r="T406" s="799"/>
      <c r="U406" s="799"/>
      <c r="V406" s="799"/>
      <c r="W406" s="799"/>
      <c r="X406" s="799"/>
      <c r="Y406" s="799"/>
      <c r="Z406" s="799"/>
      <c r="AA406" s="799"/>
      <c r="AB406" s="799"/>
      <c r="AC406" s="799"/>
      <c r="AD406" s="799"/>
      <c r="AE406" s="799"/>
      <c r="AF406" s="799"/>
      <c r="AG406" s="799"/>
      <c r="AH406" s="799"/>
      <c r="AI406" s="799"/>
      <c r="AJ406" s="799"/>
      <c r="AK406" s="799"/>
      <c r="AL406" s="799"/>
      <c r="AM406" s="799"/>
      <c r="AN406" s="799"/>
      <c r="AO406" s="799"/>
      <c r="AP406" s="799"/>
      <c r="AQ406" s="799"/>
      <c r="AR406" s="799"/>
      <c r="AS406" s="799"/>
      <c r="AT406" s="799"/>
      <c r="AU406" s="799"/>
      <c r="AV406" s="799"/>
      <c r="AW406" s="799"/>
      <c r="AX406" s="799"/>
      <c r="AY406" s="799"/>
      <c r="AZ406" s="799"/>
      <c r="BA406" s="799"/>
      <c r="BB406" s="799"/>
      <c r="BC406" s="799"/>
      <c r="BD406" s="799"/>
      <c r="BE406" s="799"/>
      <c r="BF406" s="799"/>
      <c r="BG406" s="799"/>
    </row>
    <row r="407">
      <c r="H407" s="799"/>
      <c r="I407" s="799"/>
      <c r="J407" s="799"/>
      <c r="K407" s="799"/>
      <c r="L407" s="799"/>
      <c r="M407" s="799"/>
      <c r="N407" s="799"/>
      <c r="O407" s="799"/>
      <c r="P407" s="799"/>
      <c r="Q407" s="799"/>
      <c r="R407" s="799"/>
      <c r="S407" s="799"/>
      <c r="T407" s="799"/>
      <c r="U407" s="799"/>
      <c r="V407" s="799"/>
      <c r="W407" s="799"/>
      <c r="X407" s="799"/>
      <c r="Y407" s="799"/>
      <c r="Z407" s="799"/>
      <c r="AA407" s="799"/>
      <c r="AB407" s="799"/>
      <c r="AC407" s="799"/>
      <c r="AD407" s="799"/>
      <c r="AE407" s="799"/>
      <c r="AF407" s="799"/>
      <c r="AG407" s="799"/>
      <c r="AH407" s="799"/>
      <c r="AI407" s="799"/>
      <c r="AJ407" s="799"/>
      <c r="AK407" s="799"/>
      <c r="AL407" s="799"/>
      <c r="AM407" s="799"/>
      <c r="AN407" s="799"/>
      <c r="AO407" s="799"/>
      <c r="AP407" s="799"/>
      <c r="AQ407" s="799"/>
      <c r="AR407" s="799"/>
      <c r="AS407" s="799"/>
      <c r="AT407" s="799"/>
      <c r="AU407" s="799"/>
      <c r="AV407" s="799"/>
      <c r="AW407" s="799"/>
      <c r="AX407" s="799"/>
      <c r="AY407" s="799"/>
      <c r="AZ407" s="799"/>
      <c r="BA407" s="799"/>
      <c r="BB407" s="799"/>
      <c r="BC407" s="799"/>
      <c r="BD407" s="799"/>
      <c r="BE407" s="799"/>
      <c r="BF407" s="799"/>
      <c r="BG407" s="799"/>
    </row>
    <row r="408">
      <c r="H408" s="799"/>
      <c r="I408" s="799"/>
      <c r="J408" s="799"/>
      <c r="K408" s="799"/>
      <c r="L408" s="799"/>
      <c r="M408" s="799"/>
      <c r="N408" s="799"/>
      <c r="O408" s="799"/>
      <c r="P408" s="799"/>
      <c r="Q408" s="799"/>
      <c r="R408" s="799"/>
      <c r="S408" s="799"/>
      <c r="T408" s="799"/>
      <c r="U408" s="799"/>
      <c r="V408" s="799"/>
      <c r="W408" s="799"/>
      <c r="X408" s="799"/>
      <c r="Y408" s="799"/>
      <c r="Z408" s="799"/>
      <c r="AA408" s="799"/>
      <c r="AB408" s="799"/>
      <c r="AC408" s="799"/>
      <c r="AD408" s="799"/>
      <c r="AE408" s="799"/>
      <c r="AF408" s="799"/>
      <c r="AG408" s="799"/>
      <c r="AH408" s="799"/>
      <c r="AI408" s="799"/>
      <c r="AJ408" s="799"/>
      <c r="AK408" s="799"/>
      <c r="AL408" s="799"/>
      <c r="AM408" s="799"/>
      <c r="AN408" s="799"/>
      <c r="AO408" s="799"/>
      <c r="AP408" s="799"/>
      <c r="AQ408" s="799"/>
      <c r="AR408" s="799"/>
      <c r="AS408" s="799"/>
      <c r="AT408" s="799"/>
      <c r="AU408" s="799"/>
      <c r="AV408" s="799"/>
      <c r="AW408" s="799"/>
      <c r="AX408" s="799"/>
      <c r="AY408" s="799"/>
      <c r="AZ408" s="799"/>
      <c r="BA408" s="799"/>
      <c r="BB408" s="799"/>
      <c r="BC408" s="799"/>
      <c r="BD408" s="799"/>
      <c r="BE408" s="799"/>
      <c r="BF408" s="799"/>
      <c r="BG408" s="799"/>
    </row>
    <row r="409">
      <c r="H409" s="799"/>
      <c r="I409" s="799"/>
      <c r="J409" s="799"/>
      <c r="K409" s="799"/>
      <c r="L409" s="799"/>
      <c r="M409" s="799"/>
      <c r="N409" s="799"/>
      <c r="O409" s="799"/>
      <c r="P409" s="799"/>
      <c r="Q409" s="799"/>
      <c r="R409" s="799"/>
      <c r="S409" s="799"/>
      <c r="T409" s="799"/>
      <c r="U409" s="799"/>
      <c r="V409" s="799"/>
      <c r="W409" s="799"/>
      <c r="X409" s="799"/>
      <c r="Y409" s="799"/>
      <c r="Z409" s="799"/>
      <c r="AA409" s="799"/>
      <c r="AB409" s="799"/>
      <c r="AC409" s="799"/>
      <c r="AD409" s="799"/>
      <c r="AE409" s="799"/>
      <c r="AF409" s="799"/>
      <c r="AG409" s="799"/>
      <c r="AH409" s="799"/>
      <c r="AI409" s="799"/>
      <c r="AJ409" s="799"/>
      <c r="AK409" s="799"/>
      <c r="AL409" s="799"/>
      <c r="AM409" s="799"/>
      <c r="AN409" s="799"/>
      <c r="AO409" s="799"/>
      <c r="AP409" s="799"/>
      <c r="AQ409" s="799"/>
      <c r="AR409" s="799"/>
      <c r="AS409" s="799"/>
      <c r="AT409" s="799"/>
      <c r="AU409" s="799"/>
      <c r="AV409" s="799"/>
      <c r="AW409" s="799"/>
      <c r="AX409" s="799"/>
      <c r="AY409" s="799"/>
      <c r="AZ409" s="799"/>
      <c r="BA409" s="799"/>
      <c r="BB409" s="799"/>
      <c r="BC409" s="799"/>
      <c r="BD409" s="799"/>
      <c r="BE409" s="799"/>
      <c r="BF409" s="799"/>
      <c r="BG409" s="799"/>
    </row>
    <row r="410">
      <c r="H410" s="799"/>
      <c r="I410" s="799"/>
      <c r="J410" s="799"/>
      <c r="K410" s="799"/>
      <c r="L410" s="799"/>
      <c r="M410" s="799"/>
      <c r="N410" s="799"/>
      <c r="O410" s="799"/>
      <c r="P410" s="799"/>
      <c r="Q410" s="799"/>
      <c r="R410" s="799"/>
      <c r="S410" s="799"/>
      <c r="T410" s="799"/>
      <c r="U410" s="799"/>
      <c r="V410" s="799"/>
      <c r="W410" s="799"/>
      <c r="X410" s="799"/>
      <c r="Y410" s="799"/>
      <c r="Z410" s="799"/>
      <c r="AA410" s="799"/>
      <c r="AB410" s="799"/>
      <c r="AC410" s="799"/>
      <c r="AD410" s="799"/>
      <c r="AE410" s="799"/>
      <c r="AF410" s="799"/>
      <c r="AG410" s="799"/>
      <c r="AH410" s="799"/>
      <c r="AI410" s="799"/>
      <c r="AJ410" s="799"/>
      <c r="AK410" s="799"/>
      <c r="AL410" s="799"/>
      <c r="AM410" s="799"/>
      <c r="AN410" s="799"/>
      <c r="AO410" s="799"/>
      <c r="AP410" s="799"/>
      <c r="AQ410" s="799"/>
      <c r="AR410" s="799"/>
      <c r="AS410" s="799"/>
      <c r="AT410" s="799"/>
      <c r="AU410" s="799"/>
      <c r="AV410" s="799"/>
      <c r="AW410" s="799"/>
      <c r="AX410" s="799"/>
      <c r="AY410" s="799"/>
      <c r="AZ410" s="799"/>
      <c r="BA410" s="799"/>
      <c r="BB410" s="799"/>
      <c r="BC410" s="799"/>
      <c r="BD410" s="799"/>
      <c r="BE410" s="799"/>
      <c r="BF410" s="799"/>
      <c r="BG410" s="799"/>
    </row>
    <row r="411">
      <c r="H411" s="799"/>
      <c r="I411" s="799"/>
      <c r="J411" s="799"/>
      <c r="K411" s="799"/>
      <c r="L411" s="799"/>
      <c r="M411" s="799"/>
      <c r="N411" s="799"/>
      <c r="O411" s="799"/>
      <c r="P411" s="799"/>
      <c r="Q411" s="799"/>
      <c r="R411" s="799"/>
      <c r="S411" s="799"/>
      <c r="T411" s="799"/>
      <c r="U411" s="799"/>
      <c r="V411" s="799"/>
      <c r="W411" s="799"/>
      <c r="X411" s="799"/>
      <c r="Y411" s="799"/>
      <c r="Z411" s="799"/>
      <c r="AA411" s="799"/>
      <c r="AB411" s="799"/>
      <c r="AC411" s="799"/>
      <c r="AD411" s="799"/>
      <c r="AE411" s="799"/>
      <c r="AF411" s="799"/>
      <c r="AG411" s="799"/>
      <c r="AH411" s="799"/>
      <c r="AI411" s="799"/>
      <c r="AJ411" s="799"/>
      <c r="AK411" s="799"/>
      <c r="AL411" s="799"/>
      <c r="AM411" s="799"/>
      <c r="AN411" s="799"/>
      <c r="AO411" s="799"/>
      <c r="AP411" s="799"/>
      <c r="AQ411" s="799"/>
      <c r="AR411" s="799"/>
      <c r="AS411" s="799"/>
      <c r="AT411" s="799"/>
      <c r="AU411" s="799"/>
      <c r="AV411" s="799"/>
      <c r="AW411" s="799"/>
      <c r="AX411" s="799"/>
      <c r="AY411" s="799"/>
      <c r="AZ411" s="799"/>
      <c r="BA411" s="799"/>
      <c r="BB411" s="799"/>
      <c r="BC411" s="799"/>
      <c r="BD411" s="799"/>
      <c r="BE411" s="799"/>
      <c r="BF411" s="799"/>
      <c r="BG411" s="799"/>
    </row>
    <row r="412">
      <c r="H412" s="799"/>
      <c r="I412" s="799"/>
      <c r="J412" s="799"/>
      <c r="K412" s="799"/>
      <c r="L412" s="799"/>
      <c r="M412" s="799"/>
      <c r="N412" s="799"/>
      <c r="O412" s="799"/>
      <c r="P412" s="799"/>
      <c r="Q412" s="799"/>
      <c r="R412" s="799"/>
      <c r="S412" s="799"/>
      <c r="T412" s="799"/>
      <c r="U412" s="799"/>
      <c r="V412" s="799"/>
      <c r="W412" s="799"/>
      <c r="X412" s="799"/>
      <c r="Y412" s="799"/>
      <c r="Z412" s="799"/>
      <c r="AA412" s="799"/>
      <c r="AB412" s="799"/>
      <c r="AC412" s="799"/>
      <c r="AD412" s="799"/>
      <c r="AE412" s="799"/>
      <c r="AF412" s="799"/>
      <c r="AG412" s="799"/>
      <c r="AH412" s="799"/>
      <c r="AI412" s="799"/>
      <c r="AJ412" s="799"/>
      <c r="AK412" s="799"/>
      <c r="AL412" s="799"/>
      <c r="AM412" s="799"/>
      <c r="AN412" s="799"/>
      <c r="AO412" s="799"/>
      <c r="AP412" s="799"/>
      <c r="AQ412" s="799"/>
      <c r="AR412" s="799"/>
      <c r="AS412" s="799"/>
      <c r="AT412" s="799"/>
      <c r="AU412" s="799"/>
      <c r="AV412" s="799"/>
      <c r="AW412" s="799"/>
      <c r="AX412" s="799"/>
      <c r="AY412" s="799"/>
      <c r="AZ412" s="799"/>
      <c r="BA412" s="799"/>
      <c r="BB412" s="799"/>
      <c r="BC412" s="799"/>
      <c r="BD412" s="799"/>
      <c r="BE412" s="799"/>
      <c r="BF412" s="799"/>
      <c r="BG412" s="799"/>
    </row>
    <row r="413">
      <c r="H413" s="799"/>
      <c r="I413" s="799"/>
      <c r="J413" s="799"/>
      <c r="K413" s="799"/>
      <c r="L413" s="799"/>
      <c r="M413" s="799"/>
      <c r="N413" s="799"/>
      <c r="O413" s="799"/>
      <c r="P413" s="799"/>
      <c r="Q413" s="799"/>
      <c r="R413" s="799"/>
      <c r="S413" s="799"/>
      <c r="T413" s="799"/>
      <c r="U413" s="799"/>
      <c r="V413" s="799"/>
      <c r="W413" s="799"/>
      <c r="X413" s="799"/>
      <c r="Y413" s="799"/>
      <c r="Z413" s="799"/>
      <c r="AA413" s="799"/>
      <c r="AB413" s="799"/>
      <c r="AC413" s="799"/>
      <c r="AD413" s="799"/>
      <c r="AE413" s="799"/>
      <c r="AF413" s="799"/>
      <c r="AG413" s="799"/>
      <c r="AH413" s="799"/>
      <c r="AI413" s="799"/>
      <c r="AJ413" s="799"/>
      <c r="AK413" s="799"/>
      <c r="AL413" s="799"/>
      <c r="AM413" s="799"/>
      <c r="AN413" s="799"/>
      <c r="AO413" s="799"/>
      <c r="AP413" s="799"/>
      <c r="AQ413" s="799"/>
      <c r="AR413" s="799"/>
      <c r="AS413" s="799"/>
      <c r="AT413" s="799"/>
      <c r="AU413" s="799"/>
      <c r="AV413" s="799"/>
      <c r="AW413" s="799"/>
      <c r="AX413" s="799"/>
      <c r="AY413" s="799"/>
      <c r="AZ413" s="799"/>
      <c r="BA413" s="799"/>
      <c r="BB413" s="799"/>
      <c r="BC413" s="799"/>
      <c r="BD413" s="799"/>
      <c r="BE413" s="799"/>
      <c r="BF413" s="799"/>
      <c r="BG413" s="799"/>
    </row>
    <row r="414">
      <c r="H414" s="799"/>
      <c r="I414" s="799"/>
      <c r="J414" s="799"/>
      <c r="K414" s="799"/>
      <c r="L414" s="799"/>
      <c r="M414" s="799"/>
      <c r="N414" s="799"/>
      <c r="O414" s="799"/>
      <c r="P414" s="799"/>
      <c r="Q414" s="799"/>
      <c r="R414" s="799"/>
      <c r="S414" s="799"/>
      <c r="T414" s="799"/>
      <c r="U414" s="799"/>
      <c r="V414" s="799"/>
      <c r="W414" s="799"/>
      <c r="X414" s="799"/>
      <c r="Y414" s="799"/>
      <c r="Z414" s="799"/>
      <c r="AA414" s="799"/>
      <c r="AB414" s="799"/>
      <c r="AC414" s="799"/>
      <c r="AD414" s="799"/>
      <c r="AE414" s="799"/>
      <c r="AF414" s="799"/>
      <c r="AG414" s="799"/>
      <c r="AH414" s="799"/>
      <c r="AI414" s="799"/>
      <c r="AJ414" s="799"/>
      <c r="AK414" s="799"/>
      <c r="AL414" s="799"/>
      <c r="AM414" s="799"/>
      <c r="AN414" s="799"/>
      <c r="AO414" s="799"/>
      <c r="AP414" s="799"/>
      <c r="AQ414" s="799"/>
      <c r="AR414" s="799"/>
      <c r="AS414" s="799"/>
      <c r="AT414" s="799"/>
      <c r="AU414" s="799"/>
      <c r="AV414" s="799"/>
      <c r="AW414" s="799"/>
      <c r="AX414" s="799"/>
      <c r="AY414" s="799"/>
      <c r="AZ414" s="799"/>
      <c r="BA414" s="799"/>
      <c r="BB414" s="799"/>
      <c r="BC414" s="799"/>
      <c r="BD414" s="799"/>
      <c r="BE414" s="799"/>
      <c r="BF414" s="799"/>
      <c r="BG414" s="799"/>
    </row>
    <row r="415">
      <c r="H415" s="799"/>
      <c r="I415" s="799"/>
      <c r="J415" s="799"/>
      <c r="K415" s="799"/>
      <c r="L415" s="799"/>
      <c r="M415" s="799"/>
      <c r="N415" s="799"/>
      <c r="O415" s="799"/>
      <c r="P415" s="799"/>
      <c r="Q415" s="799"/>
      <c r="R415" s="799"/>
      <c r="S415" s="799"/>
      <c r="T415" s="799"/>
      <c r="U415" s="799"/>
      <c r="V415" s="799"/>
      <c r="W415" s="799"/>
      <c r="X415" s="799"/>
      <c r="Y415" s="799"/>
      <c r="Z415" s="799"/>
      <c r="AA415" s="799"/>
      <c r="AB415" s="799"/>
      <c r="AC415" s="799"/>
      <c r="AD415" s="799"/>
      <c r="AE415" s="799"/>
      <c r="AF415" s="799"/>
      <c r="AG415" s="799"/>
      <c r="AH415" s="799"/>
      <c r="AI415" s="799"/>
      <c r="AJ415" s="799"/>
      <c r="AK415" s="799"/>
      <c r="AL415" s="799"/>
      <c r="AM415" s="799"/>
      <c r="AN415" s="799"/>
      <c r="AO415" s="799"/>
      <c r="AP415" s="799"/>
      <c r="AQ415" s="799"/>
      <c r="AR415" s="799"/>
      <c r="AS415" s="799"/>
      <c r="AT415" s="799"/>
      <c r="AU415" s="799"/>
      <c r="AV415" s="799"/>
      <c r="AW415" s="799"/>
      <c r="AX415" s="799"/>
      <c r="AY415" s="799"/>
      <c r="AZ415" s="799"/>
      <c r="BA415" s="799"/>
      <c r="BB415" s="799"/>
      <c r="BC415" s="799"/>
      <c r="BD415" s="799"/>
      <c r="BE415" s="799"/>
      <c r="BF415" s="799"/>
      <c r="BG415" s="799"/>
    </row>
    <row r="416">
      <c r="H416" s="799"/>
      <c r="I416" s="799"/>
      <c r="J416" s="799"/>
      <c r="K416" s="799"/>
      <c r="L416" s="799"/>
      <c r="M416" s="799"/>
      <c r="N416" s="799"/>
      <c r="O416" s="799"/>
      <c r="P416" s="799"/>
      <c r="Q416" s="799"/>
      <c r="R416" s="799"/>
      <c r="S416" s="799"/>
      <c r="T416" s="799"/>
      <c r="U416" s="799"/>
      <c r="V416" s="799"/>
      <c r="W416" s="799"/>
      <c r="X416" s="799"/>
      <c r="Y416" s="799"/>
      <c r="Z416" s="799"/>
      <c r="AA416" s="799"/>
      <c r="AB416" s="799"/>
      <c r="AC416" s="799"/>
      <c r="AD416" s="799"/>
      <c r="AE416" s="799"/>
      <c r="AF416" s="799"/>
      <c r="AG416" s="799"/>
      <c r="AH416" s="799"/>
      <c r="AI416" s="799"/>
      <c r="AJ416" s="799"/>
      <c r="AK416" s="799"/>
      <c r="AL416" s="799"/>
      <c r="AM416" s="799"/>
      <c r="AN416" s="799"/>
      <c r="AO416" s="799"/>
      <c r="AP416" s="799"/>
      <c r="AQ416" s="799"/>
      <c r="AR416" s="799"/>
      <c r="AS416" s="799"/>
      <c r="AT416" s="799"/>
      <c r="AU416" s="799"/>
      <c r="AV416" s="799"/>
      <c r="AW416" s="799"/>
      <c r="AX416" s="799"/>
      <c r="AY416" s="799"/>
      <c r="AZ416" s="799"/>
      <c r="BA416" s="799"/>
      <c r="BB416" s="799"/>
      <c r="BC416" s="799"/>
      <c r="BD416" s="799"/>
      <c r="BE416" s="799"/>
      <c r="BF416" s="799"/>
      <c r="BG416" s="799"/>
    </row>
    <row r="417">
      <c r="H417" s="799"/>
      <c r="I417" s="799"/>
      <c r="J417" s="799"/>
      <c r="K417" s="799"/>
      <c r="L417" s="799"/>
      <c r="M417" s="799"/>
      <c r="N417" s="799"/>
      <c r="O417" s="799"/>
      <c r="P417" s="799"/>
      <c r="Q417" s="799"/>
      <c r="R417" s="799"/>
      <c r="S417" s="799"/>
      <c r="T417" s="799"/>
      <c r="U417" s="799"/>
      <c r="V417" s="799"/>
      <c r="W417" s="799"/>
      <c r="X417" s="799"/>
      <c r="Y417" s="799"/>
      <c r="Z417" s="799"/>
      <c r="AA417" s="799"/>
      <c r="AB417" s="799"/>
      <c r="AC417" s="799"/>
      <c r="AD417" s="799"/>
      <c r="AE417" s="799"/>
      <c r="AF417" s="799"/>
      <c r="AG417" s="799"/>
      <c r="AH417" s="799"/>
      <c r="AI417" s="799"/>
      <c r="AJ417" s="799"/>
      <c r="AK417" s="799"/>
      <c r="AL417" s="799"/>
      <c r="AM417" s="799"/>
      <c r="AN417" s="799"/>
      <c r="AO417" s="799"/>
      <c r="AP417" s="799"/>
      <c r="AQ417" s="799"/>
      <c r="AR417" s="799"/>
      <c r="AS417" s="799"/>
      <c r="AT417" s="799"/>
      <c r="AU417" s="799"/>
      <c r="AV417" s="799"/>
      <c r="AW417" s="799"/>
      <c r="AX417" s="799"/>
      <c r="AY417" s="799"/>
      <c r="AZ417" s="799"/>
      <c r="BA417" s="799"/>
      <c r="BB417" s="799"/>
      <c r="BC417" s="799"/>
      <c r="BD417" s="799"/>
      <c r="BE417" s="799"/>
      <c r="BF417" s="799"/>
      <c r="BG417" s="799"/>
    </row>
    <row r="418">
      <c r="H418" s="799"/>
      <c r="I418" s="799"/>
      <c r="J418" s="799"/>
      <c r="K418" s="799"/>
      <c r="L418" s="799"/>
      <c r="M418" s="799"/>
      <c r="N418" s="799"/>
      <c r="O418" s="799"/>
      <c r="P418" s="799"/>
      <c r="Q418" s="799"/>
      <c r="R418" s="799"/>
      <c r="S418" s="799"/>
      <c r="T418" s="799"/>
      <c r="U418" s="799"/>
      <c r="V418" s="799"/>
      <c r="W418" s="799"/>
      <c r="X418" s="799"/>
      <c r="Y418" s="799"/>
      <c r="Z418" s="799"/>
      <c r="AA418" s="799"/>
      <c r="AB418" s="799"/>
      <c r="AC418" s="799"/>
      <c r="AD418" s="799"/>
      <c r="AE418" s="799"/>
      <c r="AF418" s="799"/>
      <c r="AG418" s="799"/>
      <c r="AH418" s="799"/>
      <c r="AI418" s="799"/>
      <c r="AJ418" s="799"/>
      <c r="AK418" s="799"/>
      <c r="AL418" s="799"/>
      <c r="AM418" s="799"/>
      <c r="AN418" s="799"/>
      <c r="AO418" s="799"/>
      <c r="AP418" s="799"/>
      <c r="AQ418" s="799"/>
      <c r="AR418" s="799"/>
      <c r="AS418" s="799"/>
      <c r="AT418" s="799"/>
      <c r="AU418" s="799"/>
      <c r="AV418" s="799"/>
      <c r="AW418" s="799"/>
      <c r="AX418" s="799"/>
      <c r="AY418" s="799"/>
      <c r="AZ418" s="799"/>
      <c r="BA418" s="799"/>
      <c r="BB418" s="799"/>
      <c r="BC418" s="799"/>
      <c r="BD418" s="799"/>
      <c r="BE418" s="799"/>
      <c r="BF418" s="799"/>
      <c r="BG418" s="799"/>
    </row>
    <row r="419">
      <c r="H419" s="799"/>
      <c r="I419" s="799"/>
      <c r="J419" s="799"/>
      <c r="K419" s="799"/>
      <c r="L419" s="799"/>
      <c r="M419" s="799"/>
      <c r="N419" s="799"/>
      <c r="O419" s="799"/>
      <c r="P419" s="799"/>
      <c r="Q419" s="799"/>
      <c r="R419" s="799"/>
      <c r="S419" s="799"/>
      <c r="T419" s="799"/>
      <c r="U419" s="799"/>
      <c r="V419" s="799"/>
      <c r="W419" s="799"/>
      <c r="X419" s="799"/>
      <c r="Y419" s="799"/>
      <c r="Z419" s="799"/>
      <c r="AA419" s="799"/>
      <c r="AB419" s="799"/>
      <c r="AC419" s="799"/>
      <c r="AD419" s="799"/>
      <c r="AE419" s="799"/>
      <c r="AF419" s="799"/>
      <c r="AG419" s="799"/>
      <c r="AH419" s="799"/>
      <c r="AI419" s="799"/>
      <c r="AJ419" s="799"/>
      <c r="AK419" s="799"/>
      <c r="AL419" s="799"/>
      <c r="AM419" s="799"/>
      <c r="AN419" s="799"/>
      <c r="AO419" s="799"/>
      <c r="AP419" s="799"/>
      <c r="AQ419" s="799"/>
      <c r="AR419" s="799"/>
      <c r="AS419" s="799"/>
      <c r="AT419" s="799"/>
      <c r="AU419" s="799"/>
      <c r="AV419" s="799"/>
      <c r="AW419" s="799"/>
      <c r="AX419" s="799"/>
      <c r="AY419" s="799"/>
      <c r="AZ419" s="799"/>
      <c r="BA419" s="799"/>
      <c r="BB419" s="799"/>
      <c r="BC419" s="799"/>
      <c r="BD419" s="799"/>
      <c r="BE419" s="799"/>
      <c r="BF419" s="799"/>
      <c r="BG419" s="799"/>
    </row>
    <row r="420">
      <c r="H420" s="799"/>
      <c r="I420" s="799"/>
      <c r="J420" s="799"/>
      <c r="K420" s="799"/>
      <c r="L420" s="799"/>
      <c r="M420" s="799"/>
      <c r="N420" s="799"/>
      <c r="O420" s="799"/>
      <c r="P420" s="799"/>
      <c r="Q420" s="799"/>
      <c r="R420" s="799"/>
      <c r="S420" s="799"/>
      <c r="T420" s="799"/>
      <c r="U420" s="799"/>
      <c r="V420" s="799"/>
      <c r="W420" s="799"/>
      <c r="X420" s="799"/>
      <c r="Y420" s="799"/>
      <c r="Z420" s="799"/>
      <c r="AA420" s="799"/>
      <c r="AB420" s="799"/>
      <c r="AC420" s="799"/>
      <c r="AD420" s="799"/>
      <c r="AE420" s="799"/>
      <c r="AF420" s="799"/>
      <c r="AG420" s="799"/>
      <c r="AH420" s="799"/>
      <c r="AI420" s="799"/>
      <c r="AJ420" s="799"/>
      <c r="AK420" s="799"/>
      <c r="AL420" s="799"/>
      <c r="AM420" s="799"/>
      <c r="AN420" s="799"/>
      <c r="AO420" s="799"/>
      <c r="AP420" s="799"/>
      <c r="AQ420" s="799"/>
      <c r="AR420" s="799"/>
      <c r="AS420" s="799"/>
      <c r="AT420" s="799"/>
      <c r="AU420" s="799"/>
      <c r="AV420" s="799"/>
      <c r="AW420" s="799"/>
      <c r="AX420" s="799"/>
      <c r="AY420" s="799"/>
      <c r="AZ420" s="799"/>
      <c r="BA420" s="799"/>
      <c r="BB420" s="799"/>
      <c r="BC420" s="799"/>
      <c r="BD420" s="799"/>
      <c r="BE420" s="799"/>
      <c r="BF420" s="799"/>
      <c r="BG420" s="799"/>
    </row>
    <row r="421">
      <c r="H421" s="799"/>
      <c r="I421" s="799"/>
      <c r="J421" s="799"/>
      <c r="K421" s="799"/>
      <c r="L421" s="799"/>
      <c r="M421" s="799"/>
      <c r="N421" s="799"/>
      <c r="O421" s="799"/>
      <c r="P421" s="799"/>
      <c r="Q421" s="799"/>
      <c r="R421" s="799"/>
      <c r="S421" s="799"/>
      <c r="T421" s="799"/>
      <c r="U421" s="799"/>
      <c r="V421" s="799"/>
      <c r="W421" s="799"/>
      <c r="X421" s="799"/>
      <c r="Y421" s="799"/>
      <c r="Z421" s="799"/>
      <c r="AA421" s="799"/>
      <c r="AB421" s="799"/>
      <c r="AC421" s="799"/>
      <c r="AD421" s="799"/>
      <c r="AE421" s="799"/>
      <c r="AF421" s="799"/>
      <c r="AG421" s="799"/>
      <c r="AH421" s="799"/>
      <c r="AI421" s="799"/>
      <c r="AJ421" s="799"/>
      <c r="AK421" s="799"/>
      <c r="AL421" s="799"/>
      <c r="AM421" s="799"/>
      <c r="AN421" s="799"/>
      <c r="AO421" s="799"/>
      <c r="AP421" s="799"/>
      <c r="AQ421" s="799"/>
      <c r="AR421" s="799"/>
      <c r="AS421" s="799"/>
      <c r="AT421" s="799"/>
      <c r="AU421" s="799"/>
      <c r="AV421" s="799"/>
      <c r="AW421" s="799"/>
      <c r="AX421" s="799"/>
      <c r="AY421" s="799"/>
      <c r="AZ421" s="799"/>
      <c r="BA421" s="799"/>
      <c r="BB421" s="799"/>
      <c r="BC421" s="799"/>
      <c r="BD421" s="799"/>
      <c r="BE421" s="799"/>
      <c r="BF421" s="799"/>
      <c r="BG421" s="799"/>
    </row>
    <row r="422">
      <c r="H422" s="799"/>
      <c r="I422" s="799"/>
      <c r="J422" s="799"/>
      <c r="K422" s="799"/>
      <c r="L422" s="799"/>
      <c r="M422" s="799"/>
      <c r="N422" s="799"/>
      <c r="O422" s="799"/>
      <c r="P422" s="799"/>
      <c r="Q422" s="799"/>
      <c r="R422" s="799"/>
      <c r="S422" s="799"/>
      <c r="T422" s="799"/>
      <c r="U422" s="799"/>
      <c r="V422" s="799"/>
      <c r="W422" s="799"/>
      <c r="X422" s="799"/>
      <c r="Y422" s="799"/>
      <c r="Z422" s="799"/>
      <c r="AA422" s="799"/>
      <c r="AB422" s="799"/>
      <c r="AC422" s="799"/>
      <c r="AD422" s="799"/>
      <c r="AE422" s="799"/>
      <c r="AF422" s="799"/>
      <c r="AG422" s="799"/>
      <c r="AH422" s="799"/>
      <c r="AI422" s="799"/>
      <c r="AJ422" s="799"/>
      <c r="AK422" s="799"/>
      <c r="AL422" s="799"/>
      <c r="AM422" s="799"/>
      <c r="AN422" s="799"/>
      <c r="AO422" s="799"/>
      <c r="AP422" s="799"/>
      <c r="AQ422" s="799"/>
      <c r="AR422" s="799"/>
      <c r="AS422" s="799"/>
      <c r="AT422" s="799"/>
      <c r="AU422" s="799"/>
      <c r="AV422" s="799"/>
      <c r="AW422" s="799"/>
      <c r="AX422" s="799"/>
      <c r="AY422" s="799"/>
      <c r="AZ422" s="799"/>
      <c r="BA422" s="799"/>
      <c r="BB422" s="799"/>
      <c r="BC422" s="799"/>
      <c r="BD422" s="799"/>
      <c r="BE422" s="799"/>
      <c r="BF422" s="799"/>
      <c r="BG422" s="799"/>
    </row>
    <row r="423">
      <c r="H423" s="799"/>
      <c r="I423" s="799"/>
      <c r="J423" s="799"/>
      <c r="K423" s="799"/>
      <c r="L423" s="799"/>
      <c r="M423" s="799"/>
      <c r="N423" s="799"/>
      <c r="O423" s="799"/>
      <c r="P423" s="799"/>
      <c r="Q423" s="799"/>
      <c r="R423" s="799"/>
      <c r="S423" s="799"/>
      <c r="T423" s="799"/>
      <c r="U423" s="799"/>
      <c r="V423" s="799"/>
      <c r="W423" s="799"/>
      <c r="X423" s="799"/>
      <c r="Y423" s="799"/>
      <c r="Z423" s="799"/>
      <c r="AA423" s="799"/>
      <c r="AB423" s="799"/>
      <c r="AC423" s="799"/>
      <c r="AD423" s="799"/>
      <c r="AE423" s="799"/>
      <c r="AF423" s="799"/>
      <c r="AG423" s="799"/>
      <c r="AH423" s="799"/>
      <c r="AI423" s="799"/>
      <c r="AJ423" s="799"/>
      <c r="AK423" s="799"/>
      <c r="AL423" s="799"/>
      <c r="AM423" s="799"/>
      <c r="AN423" s="799"/>
      <c r="AO423" s="799"/>
      <c r="AP423" s="799"/>
      <c r="AQ423" s="799"/>
      <c r="AR423" s="799"/>
      <c r="AS423" s="799"/>
      <c r="AT423" s="799"/>
      <c r="AU423" s="799"/>
      <c r="AV423" s="799"/>
      <c r="AW423" s="799"/>
      <c r="AX423" s="799"/>
      <c r="AY423" s="799"/>
      <c r="AZ423" s="799"/>
      <c r="BA423" s="799"/>
      <c r="BB423" s="799"/>
      <c r="BC423" s="799"/>
      <c r="BD423" s="799"/>
      <c r="BE423" s="799"/>
      <c r="BF423" s="799"/>
      <c r="BG423" s="799"/>
    </row>
    <row r="424">
      <c r="H424" s="799"/>
      <c r="I424" s="799"/>
      <c r="J424" s="799"/>
      <c r="K424" s="799"/>
      <c r="L424" s="799"/>
      <c r="M424" s="799"/>
      <c r="N424" s="799"/>
      <c r="O424" s="799"/>
      <c r="P424" s="799"/>
      <c r="Q424" s="799"/>
      <c r="R424" s="799"/>
      <c r="S424" s="799"/>
      <c r="T424" s="799"/>
      <c r="U424" s="799"/>
      <c r="V424" s="799"/>
      <c r="W424" s="799"/>
      <c r="X424" s="799"/>
      <c r="Y424" s="799"/>
      <c r="Z424" s="799"/>
      <c r="AA424" s="799"/>
      <c r="AB424" s="799"/>
      <c r="AC424" s="799"/>
      <c r="AD424" s="799"/>
      <c r="AE424" s="799"/>
      <c r="AF424" s="799"/>
      <c r="AG424" s="799"/>
      <c r="AH424" s="799"/>
      <c r="AI424" s="799"/>
      <c r="AJ424" s="799"/>
      <c r="AK424" s="799"/>
      <c r="AL424" s="799"/>
      <c r="AM424" s="799"/>
      <c r="AN424" s="799"/>
      <c r="AO424" s="799"/>
      <c r="AP424" s="799"/>
      <c r="AQ424" s="799"/>
      <c r="AR424" s="799"/>
      <c r="AS424" s="799"/>
      <c r="AT424" s="799"/>
      <c r="AU424" s="799"/>
      <c r="AV424" s="799"/>
      <c r="AW424" s="799"/>
      <c r="AX424" s="799"/>
      <c r="AY424" s="799"/>
      <c r="AZ424" s="799"/>
      <c r="BA424" s="799"/>
      <c r="BB424" s="799"/>
      <c r="BC424" s="799"/>
      <c r="BD424" s="799"/>
      <c r="BE424" s="799"/>
      <c r="BF424" s="799"/>
      <c r="BG424" s="799"/>
    </row>
    <row r="425">
      <c r="H425" s="799"/>
      <c r="I425" s="799"/>
      <c r="J425" s="799"/>
      <c r="K425" s="799"/>
      <c r="L425" s="799"/>
      <c r="M425" s="799"/>
      <c r="N425" s="799"/>
      <c r="O425" s="799"/>
      <c r="P425" s="799"/>
      <c r="Q425" s="799"/>
      <c r="R425" s="799"/>
      <c r="S425" s="799"/>
      <c r="T425" s="799"/>
      <c r="U425" s="799"/>
      <c r="V425" s="799"/>
      <c r="W425" s="799"/>
      <c r="X425" s="799"/>
      <c r="Y425" s="799"/>
      <c r="Z425" s="799"/>
      <c r="AA425" s="799"/>
      <c r="AB425" s="799"/>
      <c r="AC425" s="799"/>
      <c r="AD425" s="799"/>
      <c r="AE425" s="799"/>
      <c r="AF425" s="799"/>
      <c r="AG425" s="799"/>
      <c r="AH425" s="799"/>
      <c r="AI425" s="799"/>
      <c r="AJ425" s="799"/>
      <c r="AK425" s="799"/>
      <c r="AL425" s="799"/>
      <c r="AM425" s="799"/>
      <c r="AN425" s="799"/>
      <c r="AO425" s="799"/>
      <c r="AP425" s="799"/>
      <c r="AQ425" s="799"/>
      <c r="AR425" s="799"/>
      <c r="AS425" s="799"/>
      <c r="AT425" s="799"/>
      <c r="AU425" s="799"/>
      <c r="AV425" s="799"/>
      <c r="AW425" s="799"/>
      <c r="AX425" s="799"/>
      <c r="AY425" s="799"/>
      <c r="AZ425" s="799"/>
      <c r="BA425" s="799"/>
      <c r="BB425" s="799"/>
      <c r="BC425" s="799"/>
      <c r="BD425" s="799"/>
      <c r="BE425" s="799"/>
      <c r="BF425" s="799"/>
      <c r="BG425" s="799"/>
    </row>
    <row r="426">
      <c r="H426" s="799"/>
      <c r="I426" s="799"/>
      <c r="J426" s="799"/>
      <c r="K426" s="799"/>
      <c r="L426" s="799"/>
      <c r="M426" s="799"/>
      <c r="N426" s="799"/>
      <c r="O426" s="799"/>
      <c r="P426" s="799"/>
      <c r="Q426" s="799"/>
      <c r="R426" s="799"/>
      <c r="S426" s="799"/>
      <c r="T426" s="799"/>
      <c r="U426" s="799"/>
      <c r="V426" s="799"/>
      <c r="W426" s="799"/>
      <c r="X426" s="799"/>
      <c r="Y426" s="799"/>
      <c r="Z426" s="799"/>
      <c r="AA426" s="799"/>
      <c r="AB426" s="799"/>
      <c r="AC426" s="799"/>
      <c r="AD426" s="799"/>
      <c r="AE426" s="799"/>
      <c r="AF426" s="799"/>
      <c r="AG426" s="799"/>
      <c r="AH426" s="799"/>
      <c r="AI426" s="799"/>
      <c r="AJ426" s="799"/>
      <c r="AK426" s="799"/>
      <c r="AL426" s="799"/>
      <c r="AM426" s="799"/>
      <c r="AN426" s="799"/>
      <c r="AO426" s="799"/>
      <c r="AP426" s="799"/>
      <c r="AQ426" s="799"/>
      <c r="AR426" s="799"/>
      <c r="AS426" s="799"/>
      <c r="AT426" s="799"/>
      <c r="AU426" s="799"/>
      <c r="AV426" s="799"/>
      <c r="AW426" s="799"/>
      <c r="AX426" s="799"/>
      <c r="AY426" s="799"/>
      <c r="AZ426" s="799"/>
      <c r="BA426" s="799"/>
      <c r="BB426" s="799"/>
      <c r="BC426" s="799"/>
      <c r="BD426" s="799"/>
      <c r="BE426" s="799"/>
      <c r="BF426" s="799"/>
      <c r="BG426" s="799"/>
    </row>
    <row r="427">
      <c r="H427" s="799"/>
      <c r="I427" s="799"/>
      <c r="J427" s="799"/>
      <c r="K427" s="799"/>
      <c r="L427" s="799"/>
      <c r="M427" s="799"/>
      <c r="N427" s="799"/>
      <c r="O427" s="799"/>
      <c r="P427" s="799"/>
      <c r="Q427" s="799"/>
      <c r="R427" s="799"/>
      <c r="S427" s="799"/>
      <c r="T427" s="799"/>
      <c r="U427" s="799"/>
      <c r="V427" s="799"/>
      <c r="W427" s="799"/>
      <c r="X427" s="799"/>
      <c r="Y427" s="799"/>
      <c r="Z427" s="799"/>
      <c r="AA427" s="799"/>
      <c r="AB427" s="799"/>
      <c r="AC427" s="799"/>
      <c r="AD427" s="799"/>
      <c r="AE427" s="799"/>
      <c r="AF427" s="799"/>
      <c r="AG427" s="799"/>
      <c r="AH427" s="799"/>
      <c r="AI427" s="799"/>
      <c r="AJ427" s="799"/>
      <c r="AK427" s="799"/>
      <c r="AL427" s="799"/>
      <c r="AM427" s="799"/>
      <c r="AN427" s="799"/>
      <c r="AO427" s="799"/>
      <c r="AP427" s="799"/>
      <c r="AQ427" s="799"/>
      <c r="AR427" s="799"/>
      <c r="AS427" s="799"/>
      <c r="AT427" s="799"/>
      <c r="AU427" s="799"/>
      <c r="AV427" s="799"/>
      <c r="AW427" s="799"/>
      <c r="AX427" s="799"/>
      <c r="AY427" s="799"/>
      <c r="AZ427" s="799"/>
      <c r="BA427" s="799"/>
      <c r="BB427" s="799"/>
      <c r="BC427" s="799"/>
      <c r="BD427" s="799"/>
      <c r="BE427" s="799"/>
      <c r="BF427" s="799"/>
      <c r="BG427" s="799"/>
    </row>
    <row r="428">
      <c r="H428" s="799"/>
      <c r="I428" s="799"/>
      <c r="J428" s="799"/>
      <c r="K428" s="799"/>
      <c r="L428" s="799"/>
      <c r="M428" s="799"/>
      <c r="N428" s="799"/>
      <c r="O428" s="799"/>
      <c r="P428" s="799"/>
      <c r="Q428" s="799"/>
      <c r="R428" s="799"/>
      <c r="S428" s="799"/>
      <c r="T428" s="799"/>
      <c r="U428" s="799"/>
      <c r="V428" s="799"/>
      <c r="W428" s="799"/>
      <c r="X428" s="799"/>
      <c r="Y428" s="799"/>
      <c r="Z428" s="799"/>
      <c r="AA428" s="799"/>
      <c r="AB428" s="799"/>
      <c r="AC428" s="799"/>
      <c r="AD428" s="799"/>
      <c r="AE428" s="799"/>
      <c r="AF428" s="799"/>
      <c r="AG428" s="799"/>
      <c r="AH428" s="799"/>
      <c r="AI428" s="799"/>
      <c r="AJ428" s="799"/>
      <c r="AK428" s="799"/>
      <c r="AL428" s="799"/>
      <c r="AM428" s="799"/>
      <c r="AN428" s="799"/>
      <c r="AO428" s="799"/>
      <c r="AP428" s="799"/>
      <c r="AQ428" s="799"/>
      <c r="AR428" s="799"/>
      <c r="AS428" s="799"/>
      <c r="AT428" s="799"/>
      <c r="AU428" s="799"/>
      <c r="AV428" s="799"/>
      <c r="AW428" s="799"/>
      <c r="AX428" s="799"/>
      <c r="AY428" s="799"/>
      <c r="AZ428" s="799"/>
      <c r="BA428" s="799"/>
      <c r="BB428" s="799"/>
      <c r="BC428" s="799"/>
      <c r="BD428" s="799"/>
      <c r="BE428" s="799"/>
      <c r="BF428" s="799"/>
      <c r="BG428" s="799"/>
    </row>
    <row r="429">
      <c r="H429" s="799"/>
      <c r="I429" s="799"/>
      <c r="J429" s="799"/>
      <c r="K429" s="799"/>
      <c r="L429" s="799"/>
      <c r="M429" s="799"/>
      <c r="N429" s="799"/>
      <c r="O429" s="799"/>
      <c r="P429" s="799"/>
      <c r="Q429" s="799"/>
      <c r="R429" s="799"/>
      <c r="S429" s="799"/>
      <c r="T429" s="799"/>
      <c r="U429" s="799"/>
      <c r="V429" s="799"/>
      <c r="W429" s="799"/>
      <c r="X429" s="799"/>
      <c r="Y429" s="799"/>
      <c r="Z429" s="799"/>
      <c r="AA429" s="799"/>
      <c r="AB429" s="799"/>
      <c r="AC429" s="799"/>
      <c r="AD429" s="799"/>
      <c r="AE429" s="799"/>
      <c r="AF429" s="799"/>
      <c r="AG429" s="799"/>
      <c r="AH429" s="799"/>
      <c r="AI429" s="799"/>
      <c r="AJ429" s="799"/>
      <c r="AK429" s="799"/>
      <c r="AL429" s="799"/>
      <c r="AM429" s="799"/>
      <c r="AN429" s="799"/>
      <c r="AO429" s="799"/>
      <c r="AP429" s="799"/>
      <c r="AQ429" s="799"/>
      <c r="AR429" s="799"/>
      <c r="AS429" s="799"/>
      <c r="AT429" s="799"/>
      <c r="AU429" s="799"/>
      <c r="AV429" s="799"/>
      <c r="AW429" s="799"/>
      <c r="AX429" s="799"/>
      <c r="AY429" s="799"/>
      <c r="AZ429" s="799"/>
      <c r="BA429" s="799"/>
      <c r="BB429" s="799"/>
      <c r="BC429" s="799"/>
      <c r="BD429" s="799"/>
      <c r="BE429" s="799"/>
      <c r="BF429" s="799"/>
      <c r="BG429" s="799"/>
    </row>
    <row r="430">
      <c r="H430" s="799"/>
      <c r="I430" s="799"/>
      <c r="J430" s="799"/>
      <c r="K430" s="799"/>
      <c r="L430" s="799"/>
      <c r="M430" s="799"/>
      <c r="N430" s="799"/>
      <c r="O430" s="799"/>
      <c r="P430" s="799"/>
      <c r="Q430" s="799"/>
      <c r="R430" s="799"/>
      <c r="S430" s="799"/>
      <c r="T430" s="799"/>
      <c r="U430" s="799"/>
      <c r="V430" s="799"/>
      <c r="W430" s="799"/>
      <c r="X430" s="799"/>
      <c r="Y430" s="799"/>
      <c r="Z430" s="799"/>
      <c r="AA430" s="799"/>
      <c r="AB430" s="799"/>
      <c r="AC430" s="799"/>
      <c r="AD430" s="799"/>
      <c r="AE430" s="799"/>
      <c r="AF430" s="799"/>
      <c r="AG430" s="799"/>
      <c r="AH430" s="799"/>
      <c r="AI430" s="799"/>
      <c r="AJ430" s="799"/>
      <c r="AK430" s="799"/>
      <c r="AL430" s="799"/>
      <c r="AM430" s="799"/>
      <c r="AN430" s="799"/>
      <c r="AO430" s="799"/>
      <c r="AP430" s="799"/>
      <c r="AQ430" s="799"/>
      <c r="AR430" s="799"/>
      <c r="AS430" s="799"/>
      <c r="AT430" s="799"/>
      <c r="AU430" s="799"/>
      <c r="AV430" s="799"/>
      <c r="AW430" s="799"/>
      <c r="AX430" s="799"/>
      <c r="AY430" s="799"/>
      <c r="AZ430" s="799"/>
      <c r="BA430" s="799"/>
      <c r="BB430" s="799"/>
      <c r="BC430" s="799"/>
      <c r="BD430" s="799"/>
      <c r="BE430" s="799"/>
      <c r="BF430" s="799"/>
      <c r="BG430" s="799"/>
    </row>
    <row r="431">
      <c r="H431" s="799"/>
      <c r="I431" s="799"/>
      <c r="J431" s="799"/>
      <c r="K431" s="799"/>
      <c r="L431" s="799"/>
      <c r="M431" s="799"/>
      <c r="N431" s="799"/>
      <c r="O431" s="799"/>
      <c r="P431" s="799"/>
      <c r="Q431" s="799"/>
      <c r="R431" s="799"/>
      <c r="S431" s="799"/>
      <c r="T431" s="799"/>
      <c r="U431" s="799"/>
      <c r="V431" s="799"/>
      <c r="W431" s="799"/>
      <c r="X431" s="799"/>
      <c r="Y431" s="799"/>
      <c r="Z431" s="799"/>
      <c r="AA431" s="799"/>
      <c r="AB431" s="799"/>
      <c r="AC431" s="799"/>
      <c r="AD431" s="799"/>
      <c r="AE431" s="799"/>
      <c r="AF431" s="799"/>
      <c r="AG431" s="799"/>
      <c r="AH431" s="799"/>
      <c r="AI431" s="799"/>
      <c r="AJ431" s="799"/>
      <c r="AK431" s="799"/>
      <c r="AL431" s="799"/>
      <c r="AM431" s="799"/>
      <c r="AN431" s="799"/>
      <c r="AO431" s="799"/>
      <c r="AP431" s="799"/>
      <c r="AQ431" s="799"/>
      <c r="AR431" s="799"/>
      <c r="AS431" s="799"/>
      <c r="AT431" s="799"/>
      <c r="AU431" s="799"/>
      <c r="AV431" s="799"/>
      <c r="AW431" s="799"/>
      <c r="AX431" s="799"/>
      <c r="AY431" s="799"/>
      <c r="AZ431" s="799"/>
      <c r="BA431" s="799"/>
      <c r="BB431" s="799"/>
      <c r="BC431" s="799"/>
      <c r="BD431" s="799"/>
      <c r="BE431" s="799"/>
      <c r="BF431" s="799"/>
      <c r="BG431" s="799"/>
    </row>
    <row r="432">
      <c r="H432" s="799"/>
      <c r="I432" s="799"/>
      <c r="J432" s="799"/>
      <c r="K432" s="799"/>
      <c r="L432" s="799"/>
      <c r="M432" s="799"/>
      <c r="N432" s="799"/>
      <c r="O432" s="799"/>
      <c r="P432" s="799"/>
      <c r="Q432" s="799"/>
      <c r="R432" s="799"/>
      <c r="S432" s="799"/>
      <c r="T432" s="799"/>
      <c r="U432" s="799"/>
      <c r="V432" s="799"/>
      <c r="W432" s="799"/>
      <c r="X432" s="799"/>
      <c r="Y432" s="799"/>
      <c r="Z432" s="799"/>
      <c r="AA432" s="799"/>
      <c r="AB432" s="799"/>
      <c r="AC432" s="799"/>
      <c r="AD432" s="799"/>
      <c r="AE432" s="799"/>
      <c r="AF432" s="799"/>
      <c r="AG432" s="799"/>
      <c r="AH432" s="799"/>
      <c r="AI432" s="799"/>
      <c r="AJ432" s="799"/>
      <c r="AK432" s="799"/>
      <c r="AL432" s="799"/>
      <c r="AM432" s="799"/>
      <c r="AN432" s="799"/>
      <c r="AO432" s="799"/>
      <c r="AP432" s="799"/>
      <c r="AQ432" s="799"/>
      <c r="AR432" s="799"/>
      <c r="AS432" s="799"/>
      <c r="AT432" s="799"/>
      <c r="AU432" s="799"/>
      <c r="AV432" s="799"/>
      <c r="AW432" s="799"/>
      <c r="AX432" s="799"/>
      <c r="AY432" s="799"/>
      <c r="AZ432" s="799"/>
      <c r="BA432" s="799"/>
      <c r="BB432" s="799"/>
      <c r="BC432" s="799"/>
      <c r="BD432" s="799"/>
      <c r="BE432" s="799"/>
      <c r="BF432" s="799"/>
      <c r="BG432" s="799"/>
    </row>
    <row r="433">
      <c r="H433" s="799"/>
      <c r="I433" s="799"/>
      <c r="J433" s="799"/>
      <c r="K433" s="799"/>
      <c r="L433" s="799"/>
      <c r="M433" s="799"/>
      <c r="N433" s="799"/>
      <c r="O433" s="799"/>
      <c r="P433" s="799"/>
      <c r="Q433" s="799"/>
      <c r="R433" s="799"/>
      <c r="S433" s="799"/>
      <c r="T433" s="799"/>
      <c r="U433" s="799"/>
      <c r="V433" s="799"/>
      <c r="W433" s="799"/>
      <c r="X433" s="799"/>
      <c r="Y433" s="799"/>
      <c r="Z433" s="799"/>
      <c r="AA433" s="799"/>
      <c r="AB433" s="799"/>
      <c r="AC433" s="799"/>
      <c r="AD433" s="799"/>
      <c r="AE433" s="799"/>
      <c r="AF433" s="799"/>
      <c r="AG433" s="799"/>
      <c r="AH433" s="799"/>
      <c r="AI433" s="799"/>
      <c r="AJ433" s="799"/>
      <c r="AK433" s="799"/>
      <c r="AL433" s="799"/>
      <c r="AM433" s="799"/>
      <c r="AN433" s="799"/>
      <c r="AO433" s="799"/>
      <c r="AP433" s="799"/>
      <c r="AQ433" s="799"/>
      <c r="AR433" s="799"/>
      <c r="AS433" s="799"/>
      <c r="AT433" s="799"/>
      <c r="AU433" s="799"/>
      <c r="AV433" s="799"/>
      <c r="AW433" s="799"/>
      <c r="AX433" s="799"/>
      <c r="AY433" s="799"/>
      <c r="AZ433" s="799"/>
      <c r="BA433" s="799"/>
      <c r="BB433" s="799"/>
      <c r="BC433" s="799"/>
      <c r="BD433" s="799"/>
      <c r="BE433" s="799"/>
      <c r="BF433" s="799"/>
      <c r="BG433" s="799"/>
    </row>
    <row r="434">
      <c r="H434" s="799"/>
      <c r="I434" s="799"/>
      <c r="J434" s="799"/>
      <c r="K434" s="799"/>
      <c r="L434" s="799"/>
      <c r="M434" s="799"/>
      <c r="N434" s="799"/>
      <c r="O434" s="799"/>
      <c r="P434" s="799"/>
      <c r="Q434" s="799"/>
      <c r="R434" s="799"/>
      <c r="S434" s="799"/>
      <c r="T434" s="799"/>
      <c r="U434" s="799"/>
      <c r="V434" s="799"/>
      <c r="W434" s="799"/>
      <c r="X434" s="799"/>
      <c r="Y434" s="799"/>
      <c r="Z434" s="799"/>
      <c r="AA434" s="799"/>
      <c r="AB434" s="799"/>
      <c r="AC434" s="799"/>
      <c r="AD434" s="799"/>
      <c r="AE434" s="799"/>
      <c r="AF434" s="799"/>
      <c r="AG434" s="799"/>
      <c r="AH434" s="799"/>
      <c r="AI434" s="799"/>
      <c r="AJ434" s="799"/>
      <c r="AK434" s="799"/>
      <c r="AL434" s="799"/>
      <c r="AM434" s="799"/>
      <c r="AN434" s="799"/>
      <c r="AO434" s="799"/>
      <c r="AP434" s="799"/>
      <c r="AQ434" s="799"/>
      <c r="AR434" s="799"/>
      <c r="AS434" s="799"/>
      <c r="AT434" s="799"/>
      <c r="AU434" s="799"/>
      <c r="AV434" s="799"/>
      <c r="AW434" s="799"/>
      <c r="AX434" s="799"/>
      <c r="AY434" s="799"/>
      <c r="AZ434" s="799"/>
      <c r="BA434" s="799"/>
      <c r="BB434" s="799"/>
      <c r="BC434" s="799"/>
      <c r="BD434" s="799"/>
      <c r="BE434" s="799"/>
      <c r="BF434" s="799"/>
      <c r="BG434" s="799"/>
    </row>
    <row r="435">
      <c r="H435" s="799"/>
      <c r="I435" s="799"/>
      <c r="J435" s="799"/>
      <c r="K435" s="799"/>
      <c r="L435" s="799"/>
      <c r="M435" s="799"/>
      <c r="N435" s="799"/>
      <c r="O435" s="799"/>
      <c r="P435" s="799"/>
      <c r="Q435" s="799"/>
      <c r="R435" s="799"/>
      <c r="S435" s="799"/>
      <c r="T435" s="799"/>
      <c r="U435" s="799"/>
      <c r="V435" s="799"/>
      <c r="W435" s="799"/>
      <c r="X435" s="799"/>
      <c r="Y435" s="799"/>
      <c r="Z435" s="799"/>
      <c r="AA435" s="799"/>
      <c r="AB435" s="799"/>
      <c r="AC435" s="799"/>
      <c r="AD435" s="799"/>
      <c r="AE435" s="799"/>
      <c r="AF435" s="799"/>
      <c r="AG435" s="799"/>
      <c r="AH435" s="799"/>
      <c r="AI435" s="799"/>
      <c r="AJ435" s="799"/>
      <c r="AK435" s="799"/>
      <c r="AL435" s="799"/>
      <c r="AM435" s="799"/>
      <c r="AN435" s="799"/>
      <c r="AO435" s="799"/>
      <c r="AP435" s="799"/>
      <c r="AQ435" s="799"/>
      <c r="AR435" s="799"/>
      <c r="AS435" s="799"/>
      <c r="AT435" s="799"/>
      <c r="AU435" s="799"/>
      <c r="AV435" s="799"/>
      <c r="AW435" s="799"/>
      <c r="AX435" s="799"/>
      <c r="AY435" s="799"/>
      <c r="AZ435" s="799"/>
      <c r="BA435" s="799"/>
      <c r="BB435" s="799"/>
      <c r="BC435" s="799"/>
      <c r="BD435" s="799"/>
      <c r="BE435" s="799"/>
      <c r="BF435" s="799"/>
      <c r="BG435" s="799"/>
    </row>
    <row r="436">
      <c r="H436" s="799"/>
      <c r="I436" s="799"/>
      <c r="J436" s="799"/>
      <c r="K436" s="799"/>
      <c r="L436" s="799"/>
      <c r="M436" s="799"/>
      <c r="N436" s="799"/>
      <c r="O436" s="799"/>
      <c r="P436" s="799"/>
      <c r="Q436" s="799"/>
      <c r="R436" s="799"/>
      <c r="S436" s="799"/>
      <c r="T436" s="799"/>
      <c r="U436" s="799"/>
      <c r="V436" s="799"/>
      <c r="W436" s="799"/>
      <c r="X436" s="799"/>
      <c r="Y436" s="799"/>
      <c r="Z436" s="799"/>
      <c r="AA436" s="799"/>
      <c r="AB436" s="799"/>
      <c r="AC436" s="799"/>
      <c r="AD436" s="799"/>
      <c r="AE436" s="799"/>
      <c r="AF436" s="799"/>
      <c r="AG436" s="799"/>
      <c r="AH436" s="799"/>
      <c r="AI436" s="799"/>
      <c r="AJ436" s="799"/>
      <c r="AK436" s="799"/>
      <c r="AL436" s="799"/>
      <c r="AM436" s="799"/>
      <c r="AN436" s="799"/>
      <c r="AO436" s="799"/>
      <c r="AP436" s="799"/>
      <c r="AQ436" s="799"/>
      <c r="AR436" s="799"/>
      <c r="AS436" s="799"/>
      <c r="AT436" s="799"/>
      <c r="AU436" s="799"/>
      <c r="AV436" s="799"/>
      <c r="AW436" s="799"/>
      <c r="AX436" s="799"/>
      <c r="AY436" s="799"/>
      <c r="AZ436" s="799"/>
      <c r="BA436" s="799"/>
      <c r="BB436" s="799"/>
      <c r="BC436" s="799"/>
      <c r="BD436" s="799"/>
      <c r="BE436" s="799"/>
      <c r="BF436" s="799"/>
      <c r="BG436" s="799"/>
    </row>
    <row r="437">
      <c r="H437" s="799"/>
      <c r="I437" s="799"/>
      <c r="J437" s="799"/>
      <c r="K437" s="799"/>
      <c r="L437" s="799"/>
      <c r="M437" s="799"/>
      <c r="N437" s="799"/>
      <c r="O437" s="799"/>
      <c r="P437" s="799"/>
      <c r="Q437" s="799"/>
      <c r="R437" s="799"/>
      <c r="S437" s="799"/>
      <c r="T437" s="799"/>
      <c r="U437" s="799"/>
      <c r="V437" s="799"/>
      <c r="W437" s="799"/>
      <c r="X437" s="799"/>
      <c r="Y437" s="799"/>
      <c r="Z437" s="799"/>
      <c r="AA437" s="799"/>
      <c r="AB437" s="799"/>
      <c r="AC437" s="799"/>
      <c r="AD437" s="799"/>
      <c r="AE437" s="799"/>
      <c r="AF437" s="799"/>
      <c r="AG437" s="799"/>
      <c r="AH437" s="799"/>
      <c r="AI437" s="799"/>
      <c r="AJ437" s="799"/>
      <c r="AK437" s="799"/>
      <c r="AL437" s="799"/>
      <c r="AM437" s="799"/>
      <c r="AN437" s="799"/>
      <c r="AO437" s="799"/>
      <c r="AP437" s="799"/>
      <c r="AQ437" s="799"/>
      <c r="AR437" s="799"/>
      <c r="AS437" s="799"/>
      <c r="AT437" s="799"/>
      <c r="AU437" s="799"/>
      <c r="AV437" s="799"/>
      <c r="AW437" s="799"/>
      <c r="AX437" s="799"/>
      <c r="AY437" s="799"/>
      <c r="AZ437" s="799"/>
      <c r="BA437" s="799"/>
      <c r="BB437" s="799"/>
      <c r="BC437" s="799"/>
      <c r="BD437" s="799"/>
      <c r="BE437" s="799"/>
      <c r="BF437" s="799"/>
      <c r="BG437" s="799"/>
    </row>
    <row r="438">
      <c r="H438" s="799"/>
      <c r="I438" s="799"/>
      <c r="J438" s="799"/>
      <c r="K438" s="799"/>
      <c r="L438" s="799"/>
      <c r="M438" s="799"/>
      <c r="N438" s="799"/>
      <c r="O438" s="799"/>
      <c r="P438" s="799"/>
      <c r="Q438" s="799"/>
      <c r="R438" s="799"/>
      <c r="S438" s="799"/>
      <c r="T438" s="799"/>
      <c r="U438" s="799"/>
      <c r="V438" s="799"/>
      <c r="W438" s="799"/>
      <c r="X438" s="799"/>
      <c r="Y438" s="799"/>
      <c r="Z438" s="799"/>
      <c r="AA438" s="799"/>
      <c r="AB438" s="799"/>
      <c r="AC438" s="799"/>
      <c r="AD438" s="799"/>
      <c r="AE438" s="799"/>
      <c r="AF438" s="799"/>
      <c r="AG438" s="799"/>
      <c r="AH438" s="799"/>
      <c r="AI438" s="799"/>
      <c r="AJ438" s="799"/>
      <c r="AK438" s="799"/>
      <c r="AL438" s="799"/>
      <c r="AM438" s="799"/>
      <c r="AN438" s="799"/>
      <c r="AO438" s="799"/>
      <c r="AP438" s="799"/>
      <c r="AQ438" s="799"/>
      <c r="AR438" s="799"/>
      <c r="AS438" s="799"/>
      <c r="AT438" s="799"/>
      <c r="AU438" s="799"/>
      <c r="AV438" s="799"/>
      <c r="AW438" s="799"/>
      <c r="AX438" s="799"/>
      <c r="AY438" s="799"/>
      <c r="AZ438" s="799"/>
      <c r="BA438" s="799"/>
      <c r="BB438" s="799"/>
      <c r="BC438" s="799"/>
      <c r="BD438" s="799"/>
      <c r="BE438" s="799"/>
      <c r="BF438" s="799"/>
      <c r="BG438" s="799"/>
    </row>
    <row r="439">
      <c r="H439" s="799"/>
      <c r="I439" s="799"/>
      <c r="J439" s="799"/>
      <c r="K439" s="799"/>
      <c r="L439" s="799"/>
      <c r="M439" s="799"/>
      <c r="N439" s="799"/>
      <c r="O439" s="799"/>
      <c r="P439" s="799"/>
      <c r="Q439" s="799"/>
      <c r="R439" s="799"/>
      <c r="S439" s="799"/>
      <c r="T439" s="799"/>
      <c r="U439" s="799"/>
      <c r="V439" s="799"/>
      <c r="W439" s="799"/>
      <c r="X439" s="799"/>
      <c r="Y439" s="799"/>
      <c r="Z439" s="799"/>
      <c r="AA439" s="799"/>
      <c r="AB439" s="799"/>
      <c r="AC439" s="799"/>
      <c r="AD439" s="799"/>
      <c r="AE439" s="799"/>
      <c r="AF439" s="799"/>
      <c r="AG439" s="799"/>
      <c r="AH439" s="799"/>
      <c r="AI439" s="799"/>
      <c r="AJ439" s="799"/>
      <c r="AK439" s="799"/>
      <c r="AL439" s="799"/>
      <c r="AM439" s="799"/>
      <c r="AN439" s="799"/>
      <c r="AO439" s="799"/>
      <c r="AP439" s="799"/>
      <c r="AQ439" s="799"/>
      <c r="AR439" s="799"/>
      <c r="AS439" s="799"/>
      <c r="AT439" s="799"/>
      <c r="AU439" s="799"/>
      <c r="AV439" s="799"/>
      <c r="AW439" s="799"/>
      <c r="AX439" s="799"/>
      <c r="AY439" s="799"/>
      <c r="AZ439" s="799"/>
      <c r="BA439" s="799"/>
      <c r="BB439" s="799"/>
      <c r="BC439" s="799"/>
      <c r="BD439" s="799"/>
      <c r="BE439" s="799"/>
      <c r="BF439" s="799"/>
      <c r="BG439" s="799"/>
    </row>
    <row r="440">
      <c r="H440" s="799"/>
      <c r="I440" s="799"/>
      <c r="J440" s="799"/>
      <c r="K440" s="799"/>
      <c r="L440" s="799"/>
      <c r="M440" s="799"/>
      <c r="N440" s="799"/>
      <c r="O440" s="799"/>
      <c r="P440" s="799"/>
      <c r="Q440" s="799"/>
      <c r="R440" s="799"/>
      <c r="S440" s="799"/>
      <c r="T440" s="799"/>
      <c r="U440" s="799"/>
      <c r="V440" s="799"/>
      <c r="W440" s="799"/>
      <c r="X440" s="799"/>
      <c r="Y440" s="799"/>
      <c r="Z440" s="799"/>
      <c r="AA440" s="799"/>
      <c r="AB440" s="799"/>
      <c r="AC440" s="799"/>
      <c r="AD440" s="799"/>
      <c r="AE440" s="799"/>
      <c r="AF440" s="799"/>
      <c r="AG440" s="799"/>
      <c r="AH440" s="799"/>
      <c r="AI440" s="799"/>
      <c r="AJ440" s="799"/>
      <c r="AK440" s="799"/>
      <c r="AL440" s="799"/>
      <c r="AM440" s="799"/>
      <c r="AN440" s="799"/>
      <c r="AO440" s="799"/>
      <c r="AP440" s="799"/>
      <c r="AQ440" s="799"/>
      <c r="AR440" s="799"/>
      <c r="AS440" s="799"/>
      <c r="AT440" s="799"/>
      <c r="AU440" s="799"/>
      <c r="AV440" s="799"/>
      <c r="AW440" s="799"/>
      <c r="AX440" s="799"/>
      <c r="AY440" s="799"/>
      <c r="AZ440" s="799"/>
      <c r="BA440" s="799"/>
      <c r="BB440" s="799"/>
      <c r="BC440" s="799"/>
      <c r="BD440" s="799"/>
      <c r="BE440" s="799"/>
      <c r="BF440" s="799"/>
      <c r="BG440" s="799"/>
    </row>
    <row r="441">
      <c r="H441" s="799"/>
      <c r="I441" s="799"/>
      <c r="J441" s="799"/>
      <c r="K441" s="799"/>
      <c r="L441" s="799"/>
      <c r="M441" s="799"/>
      <c r="N441" s="799"/>
      <c r="O441" s="799"/>
      <c r="P441" s="799"/>
      <c r="Q441" s="799"/>
      <c r="R441" s="799"/>
      <c r="S441" s="799"/>
      <c r="T441" s="799"/>
      <c r="U441" s="799"/>
      <c r="V441" s="799"/>
      <c r="W441" s="799"/>
      <c r="X441" s="799"/>
      <c r="Y441" s="799"/>
      <c r="Z441" s="799"/>
      <c r="AA441" s="799"/>
      <c r="AB441" s="799"/>
      <c r="AC441" s="799"/>
      <c r="AD441" s="799"/>
      <c r="AE441" s="799"/>
      <c r="AF441" s="799"/>
      <c r="AG441" s="799"/>
      <c r="AH441" s="799"/>
      <c r="AI441" s="799"/>
      <c r="AJ441" s="799"/>
      <c r="AK441" s="799"/>
      <c r="AL441" s="799"/>
      <c r="AM441" s="799"/>
      <c r="AN441" s="799"/>
      <c r="AO441" s="799"/>
      <c r="AP441" s="799"/>
      <c r="AQ441" s="799"/>
      <c r="AR441" s="799"/>
      <c r="AS441" s="799"/>
      <c r="AT441" s="799"/>
      <c r="AU441" s="799"/>
      <c r="AV441" s="799"/>
      <c r="AW441" s="799"/>
      <c r="AX441" s="799"/>
      <c r="AY441" s="799"/>
      <c r="AZ441" s="799"/>
      <c r="BA441" s="799"/>
      <c r="BB441" s="799"/>
      <c r="BC441" s="799"/>
      <c r="BD441" s="799"/>
      <c r="BE441" s="799"/>
      <c r="BF441" s="799"/>
      <c r="BG441" s="799"/>
    </row>
    <row r="442">
      <c r="H442" s="799"/>
      <c r="I442" s="799"/>
      <c r="J442" s="799"/>
      <c r="K442" s="799"/>
      <c r="L442" s="799"/>
      <c r="M442" s="799"/>
      <c r="N442" s="799"/>
      <c r="O442" s="799"/>
      <c r="P442" s="799"/>
      <c r="Q442" s="799"/>
      <c r="R442" s="799"/>
      <c r="S442" s="799"/>
      <c r="T442" s="799"/>
      <c r="U442" s="799"/>
      <c r="V442" s="799"/>
      <c r="W442" s="799"/>
      <c r="X442" s="799"/>
      <c r="Y442" s="799"/>
      <c r="Z442" s="799"/>
      <c r="AA442" s="799"/>
      <c r="AB442" s="799"/>
      <c r="AC442" s="799"/>
      <c r="AD442" s="799"/>
      <c r="AE442" s="799"/>
      <c r="AF442" s="799"/>
      <c r="AG442" s="799"/>
      <c r="AH442" s="799"/>
      <c r="AI442" s="799"/>
      <c r="AJ442" s="799"/>
      <c r="AK442" s="799"/>
      <c r="AL442" s="799"/>
      <c r="AM442" s="799"/>
      <c r="AN442" s="799"/>
      <c r="AO442" s="799"/>
      <c r="AP442" s="799"/>
      <c r="AQ442" s="799"/>
      <c r="AR442" s="799"/>
      <c r="AS442" s="799"/>
      <c r="AT442" s="799"/>
      <c r="AU442" s="799"/>
      <c r="AV442" s="799"/>
      <c r="AW442" s="799"/>
      <c r="AX442" s="799"/>
      <c r="AY442" s="799"/>
      <c r="AZ442" s="799"/>
      <c r="BA442" s="799"/>
      <c r="BB442" s="799"/>
      <c r="BC442" s="799"/>
      <c r="BD442" s="799"/>
      <c r="BE442" s="799"/>
      <c r="BF442" s="799"/>
      <c r="BG442" s="799"/>
    </row>
    <row r="443">
      <c r="H443" s="799"/>
      <c r="I443" s="799"/>
      <c r="J443" s="799"/>
      <c r="K443" s="799"/>
      <c r="L443" s="799"/>
      <c r="M443" s="799"/>
      <c r="N443" s="799"/>
      <c r="O443" s="799"/>
      <c r="P443" s="799"/>
      <c r="Q443" s="799"/>
      <c r="R443" s="799"/>
      <c r="S443" s="799"/>
      <c r="T443" s="799"/>
      <c r="U443" s="799"/>
      <c r="V443" s="799"/>
      <c r="W443" s="799"/>
      <c r="X443" s="799"/>
      <c r="Y443" s="799"/>
      <c r="Z443" s="799"/>
      <c r="AA443" s="799"/>
      <c r="AB443" s="799"/>
      <c r="AC443" s="799"/>
      <c r="AD443" s="799"/>
      <c r="AE443" s="799"/>
      <c r="AF443" s="799"/>
      <c r="AG443" s="799"/>
      <c r="AH443" s="799"/>
      <c r="AI443" s="799"/>
      <c r="AJ443" s="799"/>
      <c r="AK443" s="799"/>
      <c r="AL443" s="799"/>
      <c r="AM443" s="799"/>
      <c r="AN443" s="799"/>
      <c r="AO443" s="799"/>
      <c r="AP443" s="799"/>
      <c r="AQ443" s="799"/>
      <c r="AR443" s="799"/>
      <c r="AS443" s="799"/>
      <c r="AT443" s="799"/>
      <c r="AU443" s="799"/>
      <c r="AV443" s="799"/>
      <c r="AW443" s="799"/>
      <c r="AX443" s="799"/>
      <c r="AY443" s="799"/>
      <c r="AZ443" s="799"/>
      <c r="BA443" s="799"/>
      <c r="BB443" s="799"/>
      <c r="BC443" s="799"/>
      <c r="BD443" s="799"/>
      <c r="BE443" s="799"/>
      <c r="BF443" s="799"/>
      <c r="BG443" s="799"/>
    </row>
    <row r="444">
      <c r="H444" s="799"/>
      <c r="I444" s="799"/>
      <c r="J444" s="799"/>
      <c r="K444" s="799"/>
      <c r="L444" s="799"/>
      <c r="M444" s="799"/>
      <c r="N444" s="799"/>
      <c r="O444" s="799"/>
      <c r="P444" s="799"/>
      <c r="Q444" s="799"/>
      <c r="R444" s="799"/>
      <c r="S444" s="799"/>
      <c r="T444" s="799"/>
      <c r="U444" s="799"/>
      <c r="V444" s="799"/>
      <c r="W444" s="799"/>
      <c r="X444" s="799"/>
      <c r="Y444" s="799"/>
      <c r="Z444" s="799"/>
      <c r="AA444" s="799"/>
      <c r="AB444" s="799"/>
      <c r="AC444" s="799"/>
      <c r="AD444" s="799"/>
      <c r="AE444" s="799"/>
      <c r="AF444" s="799"/>
      <c r="AG444" s="799"/>
      <c r="AH444" s="799"/>
      <c r="AI444" s="799"/>
      <c r="AJ444" s="799"/>
      <c r="AK444" s="799"/>
      <c r="AL444" s="799"/>
      <c r="AM444" s="799"/>
      <c r="AN444" s="799"/>
      <c r="AO444" s="799"/>
      <c r="AP444" s="799"/>
      <c r="AQ444" s="799"/>
      <c r="AR444" s="799"/>
      <c r="AS444" s="799"/>
      <c r="AT444" s="799"/>
      <c r="AU444" s="799"/>
      <c r="AV444" s="799"/>
      <c r="AW444" s="799"/>
      <c r="AX444" s="799"/>
      <c r="AY444" s="799"/>
      <c r="AZ444" s="799"/>
      <c r="BA444" s="799"/>
      <c r="BB444" s="799"/>
      <c r="BC444" s="799"/>
      <c r="BD444" s="799"/>
      <c r="BE444" s="799"/>
      <c r="BF444" s="799"/>
      <c r="BG444" s="799"/>
    </row>
    <row r="445">
      <c r="H445" s="799"/>
      <c r="I445" s="799"/>
      <c r="J445" s="799"/>
      <c r="K445" s="799"/>
      <c r="L445" s="799"/>
      <c r="M445" s="799"/>
      <c r="N445" s="799"/>
      <c r="O445" s="799"/>
      <c r="P445" s="799"/>
      <c r="Q445" s="799"/>
      <c r="R445" s="799"/>
      <c r="S445" s="799"/>
      <c r="T445" s="799"/>
      <c r="U445" s="799"/>
      <c r="V445" s="799"/>
      <c r="W445" s="799"/>
      <c r="X445" s="799"/>
      <c r="Y445" s="799"/>
      <c r="Z445" s="799"/>
      <c r="AA445" s="799"/>
      <c r="AB445" s="799"/>
      <c r="AC445" s="799"/>
      <c r="AD445" s="799"/>
      <c r="AE445" s="799"/>
      <c r="AF445" s="799"/>
      <c r="AG445" s="799"/>
      <c r="AH445" s="799"/>
      <c r="AI445" s="799"/>
      <c r="AJ445" s="799"/>
      <c r="AK445" s="799"/>
      <c r="AL445" s="799"/>
      <c r="AM445" s="799"/>
      <c r="AN445" s="799"/>
      <c r="AO445" s="799"/>
      <c r="AP445" s="799"/>
      <c r="AQ445" s="799"/>
      <c r="AR445" s="799"/>
      <c r="AS445" s="799"/>
      <c r="AT445" s="799"/>
      <c r="AU445" s="799"/>
      <c r="AV445" s="799"/>
      <c r="AW445" s="799"/>
      <c r="AX445" s="799"/>
      <c r="AY445" s="799"/>
      <c r="AZ445" s="799"/>
      <c r="BA445" s="799"/>
      <c r="BB445" s="799"/>
      <c r="BC445" s="799"/>
      <c r="BD445" s="799"/>
      <c r="BE445" s="799"/>
      <c r="BF445" s="799"/>
      <c r="BG445" s="799"/>
    </row>
    <row r="446">
      <c r="H446" s="799"/>
      <c r="I446" s="799"/>
      <c r="J446" s="799"/>
      <c r="K446" s="799"/>
      <c r="L446" s="799"/>
      <c r="M446" s="799"/>
      <c r="N446" s="799"/>
      <c r="O446" s="799"/>
      <c r="P446" s="799"/>
      <c r="Q446" s="799"/>
      <c r="R446" s="799"/>
      <c r="S446" s="799"/>
      <c r="T446" s="799"/>
      <c r="U446" s="799"/>
      <c r="V446" s="799"/>
      <c r="W446" s="799"/>
      <c r="X446" s="799"/>
      <c r="Y446" s="799"/>
      <c r="Z446" s="799"/>
      <c r="AA446" s="799"/>
      <c r="AB446" s="799"/>
      <c r="AC446" s="799"/>
      <c r="AD446" s="799"/>
      <c r="AE446" s="799"/>
      <c r="AF446" s="799"/>
      <c r="AG446" s="799"/>
      <c r="AH446" s="799"/>
      <c r="AI446" s="799"/>
      <c r="AJ446" s="799"/>
      <c r="AK446" s="799"/>
      <c r="AL446" s="799"/>
      <c r="AM446" s="799"/>
      <c r="AN446" s="799"/>
      <c r="AO446" s="799"/>
      <c r="AP446" s="799"/>
      <c r="AQ446" s="799"/>
      <c r="AR446" s="799"/>
      <c r="AS446" s="799"/>
      <c r="AT446" s="799"/>
      <c r="AU446" s="799"/>
      <c r="AV446" s="799"/>
      <c r="AW446" s="799"/>
      <c r="AX446" s="799"/>
      <c r="AY446" s="799"/>
      <c r="AZ446" s="799"/>
      <c r="BA446" s="799"/>
      <c r="BB446" s="799"/>
      <c r="BC446" s="799"/>
      <c r="BD446" s="799"/>
      <c r="BE446" s="799"/>
      <c r="BF446" s="799"/>
      <c r="BG446" s="799"/>
    </row>
    <row r="447">
      <c r="H447" s="799"/>
      <c r="I447" s="799"/>
      <c r="J447" s="799"/>
      <c r="K447" s="799"/>
      <c r="L447" s="799"/>
      <c r="M447" s="799"/>
      <c r="N447" s="799"/>
      <c r="O447" s="799"/>
      <c r="P447" s="799"/>
      <c r="Q447" s="799"/>
      <c r="R447" s="799"/>
      <c r="S447" s="799"/>
      <c r="T447" s="799"/>
      <c r="U447" s="799"/>
      <c r="V447" s="799"/>
      <c r="W447" s="799"/>
      <c r="X447" s="799"/>
      <c r="Y447" s="799"/>
      <c r="Z447" s="799"/>
      <c r="AA447" s="799"/>
      <c r="AB447" s="799"/>
      <c r="AC447" s="799"/>
      <c r="AD447" s="799"/>
      <c r="AE447" s="799"/>
      <c r="AF447" s="799"/>
      <c r="AG447" s="799"/>
      <c r="AH447" s="799"/>
      <c r="AI447" s="799"/>
      <c r="AJ447" s="799"/>
      <c r="AK447" s="799"/>
      <c r="AL447" s="799"/>
      <c r="AM447" s="799"/>
      <c r="AN447" s="799"/>
      <c r="AO447" s="799"/>
      <c r="AP447" s="799"/>
      <c r="AQ447" s="799"/>
      <c r="AR447" s="799"/>
      <c r="AS447" s="799"/>
      <c r="AT447" s="799"/>
      <c r="AU447" s="799"/>
      <c r="AV447" s="799"/>
      <c r="AW447" s="799"/>
      <c r="AX447" s="799"/>
      <c r="AY447" s="799"/>
      <c r="AZ447" s="799"/>
      <c r="BA447" s="799"/>
      <c r="BB447" s="799"/>
      <c r="BC447" s="799"/>
      <c r="BD447" s="799"/>
      <c r="BE447" s="799"/>
      <c r="BF447" s="799"/>
      <c r="BG447" s="799"/>
    </row>
    <row r="448">
      <c r="H448" s="799"/>
      <c r="I448" s="799"/>
      <c r="J448" s="799"/>
      <c r="K448" s="799"/>
      <c r="L448" s="799"/>
      <c r="M448" s="799"/>
      <c r="N448" s="799"/>
      <c r="O448" s="799"/>
      <c r="P448" s="799"/>
      <c r="Q448" s="799"/>
      <c r="R448" s="799"/>
      <c r="S448" s="799"/>
      <c r="T448" s="799"/>
      <c r="U448" s="799"/>
      <c r="V448" s="799"/>
      <c r="W448" s="799"/>
      <c r="X448" s="799"/>
      <c r="Y448" s="799"/>
      <c r="Z448" s="799"/>
      <c r="AA448" s="799"/>
      <c r="AB448" s="799"/>
      <c r="AC448" s="799"/>
      <c r="AD448" s="799"/>
      <c r="AE448" s="799"/>
      <c r="AF448" s="799"/>
      <c r="AG448" s="799"/>
      <c r="AH448" s="799"/>
      <c r="AI448" s="799"/>
      <c r="AJ448" s="799"/>
      <c r="AK448" s="799"/>
      <c r="AL448" s="799"/>
      <c r="AM448" s="799"/>
      <c r="AN448" s="799"/>
      <c r="AO448" s="799"/>
      <c r="AP448" s="799"/>
      <c r="AQ448" s="799"/>
      <c r="AR448" s="799"/>
      <c r="AS448" s="799"/>
      <c r="AT448" s="799"/>
      <c r="AU448" s="799"/>
      <c r="AV448" s="799"/>
      <c r="AW448" s="799"/>
      <c r="AX448" s="799"/>
      <c r="AY448" s="799"/>
      <c r="AZ448" s="799"/>
      <c r="BA448" s="799"/>
      <c r="BB448" s="799"/>
      <c r="BC448" s="799"/>
      <c r="BD448" s="799"/>
      <c r="BE448" s="799"/>
      <c r="BF448" s="799"/>
      <c r="BG448" s="799"/>
    </row>
    <row r="449">
      <c r="H449" s="799"/>
      <c r="I449" s="799"/>
      <c r="J449" s="799"/>
      <c r="K449" s="799"/>
      <c r="L449" s="799"/>
      <c r="M449" s="799"/>
      <c r="N449" s="799"/>
      <c r="O449" s="799"/>
      <c r="P449" s="799"/>
      <c r="Q449" s="799"/>
      <c r="R449" s="799"/>
      <c r="S449" s="799"/>
      <c r="T449" s="799"/>
      <c r="U449" s="799"/>
      <c r="V449" s="799"/>
      <c r="W449" s="799"/>
      <c r="X449" s="799"/>
      <c r="Y449" s="799"/>
      <c r="Z449" s="799"/>
      <c r="AA449" s="799"/>
      <c r="AB449" s="799"/>
      <c r="AC449" s="799"/>
      <c r="AD449" s="799"/>
      <c r="AE449" s="799"/>
      <c r="AF449" s="799"/>
      <c r="AG449" s="799"/>
      <c r="AH449" s="799"/>
      <c r="AI449" s="799"/>
      <c r="AJ449" s="799"/>
      <c r="AK449" s="799"/>
      <c r="AL449" s="799"/>
      <c r="AM449" s="799"/>
      <c r="AN449" s="799"/>
      <c r="AO449" s="799"/>
      <c r="AP449" s="799"/>
      <c r="AQ449" s="799"/>
      <c r="AR449" s="799"/>
      <c r="AS449" s="799"/>
      <c r="AT449" s="799"/>
      <c r="AU449" s="799"/>
      <c r="AV449" s="799"/>
      <c r="AW449" s="799"/>
      <c r="AX449" s="799"/>
      <c r="AY449" s="799"/>
      <c r="AZ449" s="799"/>
      <c r="BA449" s="799"/>
      <c r="BB449" s="799"/>
      <c r="BC449" s="799"/>
      <c r="BD449" s="799"/>
      <c r="BE449" s="799"/>
      <c r="BF449" s="799"/>
      <c r="BG449" s="799"/>
    </row>
    <row r="450">
      <c r="H450" s="799"/>
      <c r="I450" s="799"/>
      <c r="J450" s="799"/>
      <c r="K450" s="799"/>
      <c r="L450" s="799"/>
      <c r="M450" s="799"/>
      <c r="N450" s="799"/>
      <c r="O450" s="799"/>
      <c r="P450" s="799"/>
      <c r="Q450" s="799"/>
      <c r="R450" s="799"/>
      <c r="S450" s="799"/>
      <c r="T450" s="799"/>
      <c r="U450" s="799"/>
      <c r="V450" s="799"/>
      <c r="W450" s="799"/>
      <c r="X450" s="799"/>
      <c r="Y450" s="799"/>
      <c r="Z450" s="799"/>
      <c r="AA450" s="799"/>
      <c r="AB450" s="799"/>
      <c r="AC450" s="799"/>
      <c r="AD450" s="799"/>
      <c r="AE450" s="799"/>
      <c r="AF450" s="799"/>
      <c r="AG450" s="799"/>
      <c r="AH450" s="799"/>
      <c r="AI450" s="799"/>
      <c r="AJ450" s="799"/>
      <c r="AK450" s="799"/>
      <c r="AL450" s="799"/>
      <c r="AM450" s="799"/>
      <c r="AN450" s="799"/>
      <c r="AO450" s="799"/>
      <c r="AP450" s="799"/>
      <c r="AQ450" s="799"/>
      <c r="AR450" s="799"/>
      <c r="AS450" s="799"/>
      <c r="AT450" s="799"/>
      <c r="AU450" s="799"/>
      <c r="AV450" s="799"/>
      <c r="AW450" s="799"/>
      <c r="AX450" s="799"/>
      <c r="AY450" s="799"/>
      <c r="AZ450" s="799"/>
      <c r="BA450" s="799"/>
      <c r="BB450" s="799"/>
      <c r="BC450" s="799"/>
      <c r="BD450" s="799"/>
      <c r="BE450" s="799"/>
      <c r="BF450" s="799"/>
      <c r="BG450" s="799"/>
    </row>
    <row r="451">
      <c r="H451" s="799"/>
      <c r="I451" s="799"/>
      <c r="J451" s="799"/>
      <c r="K451" s="799"/>
      <c r="L451" s="799"/>
      <c r="M451" s="799"/>
      <c r="N451" s="799"/>
      <c r="O451" s="799"/>
      <c r="P451" s="799"/>
      <c r="Q451" s="799"/>
      <c r="R451" s="799"/>
      <c r="S451" s="799"/>
      <c r="T451" s="799"/>
      <c r="U451" s="799"/>
      <c r="V451" s="799"/>
      <c r="W451" s="799"/>
      <c r="X451" s="799"/>
      <c r="Y451" s="799"/>
      <c r="Z451" s="799"/>
      <c r="AA451" s="799"/>
      <c r="AB451" s="799"/>
      <c r="AC451" s="799"/>
      <c r="AD451" s="799"/>
      <c r="AE451" s="799"/>
      <c r="AF451" s="799"/>
      <c r="AG451" s="799"/>
      <c r="AH451" s="799"/>
      <c r="AI451" s="799"/>
      <c r="AJ451" s="799"/>
      <c r="AK451" s="799"/>
      <c r="AL451" s="799"/>
      <c r="AM451" s="799"/>
      <c r="AN451" s="799"/>
      <c r="AO451" s="799"/>
      <c r="AP451" s="799"/>
      <c r="AQ451" s="799"/>
      <c r="AR451" s="799"/>
      <c r="AS451" s="799"/>
      <c r="AT451" s="799"/>
      <c r="AU451" s="799"/>
      <c r="AV451" s="799"/>
      <c r="AW451" s="799"/>
      <c r="AX451" s="799"/>
      <c r="AY451" s="799"/>
      <c r="AZ451" s="799"/>
      <c r="BA451" s="799"/>
      <c r="BB451" s="799"/>
      <c r="BC451" s="799"/>
      <c r="BD451" s="799"/>
      <c r="BE451" s="799"/>
      <c r="BF451" s="799"/>
      <c r="BG451" s="799"/>
    </row>
    <row r="452">
      <c r="H452" s="799"/>
      <c r="I452" s="799"/>
      <c r="J452" s="799"/>
      <c r="K452" s="799"/>
      <c r="L452" s="799"/>
      <c r="M452" s="799"/>
      <c r="N452" s="799"/>
      <c r="O452" s="799"/>
      <c r="P452" s="799"/>
      <c r="Q452" s="799"/>
      <c r="R452" s="799"/>
      <c r="S452" s="799"/>
      <c r="T452" s="799"/>
      <c r="U452" s="799"/>
      <c r="V452" s="799"/>
      <c r="W452" s="799"/>
      <c r="X452" s="799"/>
      <c r="Y452" s="799"/>
      <c r="Z452" s="799"/>
      <c r="AA452" s="799"/>
      <c r="AB452" s="799"/>
      <c r="AC452" s="799"/>
      <c r="AD452" s="799"/>
      <c r="AE452" s="799"/>
      <c r="AF452" s="799"/>
      <c r="AG452" s="799"/>
      <c r="AH452" s="799"/>
      <c r="AI452" s="799"/>
      <c r="AJ452" s="799"/>
      <c r="AK452" s="799"/>
      <c r="AL452" s="799"/>
      <c r="AM452" s="799"/>
      <c r="AN452" s="799"/>
      <c r="AO452" s="799"/>
      <c r="AP452" s="799"/>
      <c r="AQ452" s="799"/>
      <c r="AR452" s="799"/>
      <c r="AS452" s="799"/>
      <c r="AT452" s="799"/>
      <c r="AU452" s="799"/>
      <c r="AV452" s="799"/>
      <c r="AW452" s="799"/>
      <c r="AX452" s="799"/>
      <c r="AY452" s="799"/>
      <c r="AZ452" s="799"/>
      <c r="BA452" s="799"/>
      <c r="BB452" s="799"/>
      <c r="BC452" s="799"/>
      <c r="BD452" s="799"/>
      <c r="BE452" s="799"/>
      <c r="BF452" s="799"/>
      <c r="BG452" s="799"/>
    </row>
    <row r="453">
      <c r="H453" s="799"/>
      <c r="I453" s="799"/>
      <c r="J453" s="799"/>
      <c r="K453" s="799"/>
      <c r="L453" s="799"/>
      <c r="M453" s="799"/>
      <c r="N453" s="799"/>
      <c r="O453" s="799"/>
      <c r="P453" s="799"/>
      <c r="Q453" s="799"/>
      <c r="R453" s="799"/>
      <c r="S453" s="799"/>
      <c r="T453" s="799"/>
      <c r="U453" s="799"/>
      <c r="V453" s="799"/>
      <c r="W453" s="799"/>
      <c r="X453" s="799"/>
      <c r="Y453" s="799"/>
      <c r="Z453" s="799"/>
      <c r="AA453" s="799"/>
      <c r="AB453" s="799"/>
      <c r="AC453" s="799"/>
      <c r="AD453" s="799"/>
      <c r="AE453" s="799"/>
      <c r="AF453" s="799"/>
      <c r="AG453" s="799"/>
      <c r="AH453" s="799"/>
      <c r="AI453" s="799"/>
      <c r="AJ453" s="799"/>
      <c r="AK453" s="799"/>
      <c r="AL453" s="799"/>
      <c r="AM453" s="799"/>
      <c r="AN453" s="799"/>
      <c r="AO453" s="799"/>
      <c r="AP453" s="799"/>
      <c r="AQ453" s="799"/>
      <c r="AR453" s="799"/>
      <c r="AS453" s="799"/>
      <c r="AT453" s="799"/>
      <c r="AU453" s="799"/>
      <c r="AV453" s="799"/>
      <c r="AW453" s="799"/>
      <c r="AX453" s="799"/>
      <c r="AY453" s="799"/>
      <c r="AZ453" s="799"/>
      <c r="BA453" s="799"/>
      <c r="BB453" s="799"/>
      <c r="BC453" s="799"/>
      <c r="BD453" s="799"/>
      <c r="BE453" s="799"/>
      <c r="BF453" s="799"/>
      <c r="BG453" s="799"/>
    </row>
    <row r="454">
      <c r="H454" s="799"/>
      <c r="I454" s="799"/>
      <c r="J454" s="799"/>
      <c r="K454" s="799"/>
      <c r="L454" s="799"/>
      <c r="M454" s="799"/>
      <c r="N454" s="799"/>
      <c r="O454" s="799"/>
      <c r="P454" s="799"/>
      <c r="Q454" s="799"/>
      <c r="R454" s="799"/>
      <c r="S454" s="799"/>
      <c r="T454" s="799"/>
      <c r="U454" s="799"/>
      <c r="V454" s="799"/>
      <c r="W454" s="799"/>
      <c r="X454" s="799"/>
      <c r="Y454" s="799"/>
      <c r="Z454" s="799"/>
      <c r="AA454" s="799"/>
      <c r="AB454" s="799"/>
      <c r="AC454" s="799"/>
      <c r="AD454" s="799"/>
      <c r="AE454" s="799"/>
      <c r="AF454" s="799"/>
      <c r="AG454" s="799"/>
      <c r="AH454" s="799"/>
      <c r="AI454" s="799"/>
      <c r="AJ454" s="799"/>
      <c r="AK454" s="799"/>
      <c r="AL454" s="799"/>
      <c r="AM454" s="799"/>
      <c r="AN454" s="799"/>
      <c r="AO454" s="799"/>
      <c r="AP454" s="799"/>
      <c r="AQ454" s="799"/>
      <c r="AR454" s="799"/>
      <c r="AS454" s="799"/>
      <c r="AT454" s="799"/>
      <c r="AU454" s="799"/>
      <c r="AV454" s="799"/>
      <c r="AW454" s="799"/>
      <c r="AX454" s="799"/>
      <c r="AY454" s="799"/>
      <c r="AZ454" s="799"/>
      <c r="BA454" s="799"/>
      <c r="BB454" s="799"/>
      <c r="BC454" s="799"/>
      <c r="BD454" s="799"/>
      <c r="BE454" s="799"/>
      <c r="BF454" s="799"/>
      <c r="BG454" s="799"/>
    </row>
    <row r="455">
      <c r="H455" s="799"/>
      <c r="I455" s="799"/>
      <c r="J455" s="799"/>
      <c r="K455" s="799"/>
      <c r="L455" s="799"/>
      <c r="M455" s="799"/>
      <c r="N455" s="799"/>
      <c r="O455" s="799"/>
      <c r="P455" s="799"/>
      <c r="Q455" s="799"/>
      <c r="R455" s="799"/>
      <c r="S455" s="799"/>
      <c r="T455" s="799"/>
      <c r="U455" s="799"/>
      <c r="V455" s="799"/>
      <c r="W455" s="799"/>
      <c r="X455" s="799"/>
      <c r="Y455" s="799"/>
      <c r="Z455" s="799"/>
      <c r="AA455" s="799"/>
      <c r="AB455" s="799"/>
      <c r="AC455" s="799"/>
      <c r="AD455" s="799"/>
      <c r="AE455" s="799"/>
      <c r="AF455" s="799"/>
      <c r="AG455" s="799"/>
      <c r="AH455" s="799"/>
      <c r="AI455" s="799"/>
      <c r="AJ455" s="799"/>
      <c r="AK455" s="799"/>
      <c r="AL455" s="799"/>
      <c r="AM455" s="799"/>
      <c r="AN455" s="799"/>
      <c r="AO455" s="799"/>
      <c r="AP455" s="799"/>
      <c r="AQ455" s="799"/>
      <c r="AR455" s="799"/>
      <c r="AS455" s="799"/>
      <c r="AT455" s="799"/>
      <c r="AU455" s="799"/>
      <c r="AV455" s="799"/>
      <c r="AW455" s="799"/>
      <c r="AX455" s="799"/>
      <c r="AY455" s="799"/>
      <c r="AZ455" s="799"/>
      <c r="BA455" s="799"/>
      <c r="BB455" s="799"/>
      <c r="BC455" s="799"/>
      <c r="BD455" s="799"/>
      <c r="BE455" s="799"/>
      <c r="BF455" s="799"/>
      <c r="BG455" s="799"/>
    </row>
    <row r="456">
      <c r="H456" s="799"/>
      <c r="I456" s="799"/>
      <c r="J456" s="799"/>
      <c r="K456" s="799"/>
      <c r="L456" s="799"/>
      <c r="M456" s="799"/>
      <c r="N456" s="799"/>
      <c r="O456" s="799"/>
      <c r="P456" s="799"/>
      <c r="Q456" s="799"/>
      <c r="R456" s="799"/>
      <c r="S456" s="799"/>
      <c r="T456" s="799"/>
      <c r="U456" s="799"/>
      <c r="V456" s="799"/>
      <c r="W456" s="799"/>
      <c r="X456" s="799"/>
      <c r="Y456" s="799"/>
      <c r="Z456" s="799"/>
      <c r="AA456" s="799"/>
      <c r="AB456" s="799"/>
      <c r="AC456" s="799"/>
      <c r="AD456" s="799"/>
      <c r="AE456" s="799"/>
      <c r="AF456" s="799"/>
      <c r="AG456" s="799"/>
      <c r="AH456" s="799"/>
      <c r="AI456" s="799"/>
      <c r="AJ456" s="799"/>
      <c r="AK456" s="799"/>
      <c r="AL456" s="799"/>
      <c r="AM456" s="799"/>
      <c r="AN456" s="799"/>
      <c r="AO456" s="799"/>
      <c r="AP456" s="799"/>
      <c r="AQ456" s="799"/>
      <c r="AR456" s="799"/>
      <c r="AS456" s="799"/>
      <c r="AT456" s="799"/>
      <c r="AU456" s="799"/>
      <c r="AV456" s="799"/>
      <c r="AW456" s="799"/>
      <c r="AX456" s="799"/>
      <c r="AY456" s="799"/>
      <c r="AZ456" s="799"/>
      <c r="BA456" s="799"/>
      <c r="BB456" s="799"/>
      <c r="BC456" s="799"/>
      <c r="BD456" s="799"/>
      <c r="BE456" s="799"/>
      <c r="BF456" s="799"/>
      <c r="BG456" s="799"/>
    </row>
    <row r="457">
      <c r="H457" s="799"/>
      <c r="I457" s="799"/>
      <c r="J457" s="799"/>
      <c r="K457" s="799"/>
      <c r="L457" s="799"/>
      <c r="M457" s="799"/>
      <c r="N457" s="799"/>
      <c r="O457" s="799"/>
      <c r="P457" s="799"/>
      <c r="Q457" s="799"/>
      <c r="R457" s="799"/>
      <c r="S457" s="799"/>
      <c r="T457" s="799"/>
      <c r="U457" s="799"/>
      <c r="V457" s="799"/>
      <c r="W457" s="799"/>
      <c r="X457" s="799"/>
      <c r="Y457" s="799"/>
      <c r="Z457" s="799"/>
      <c r="AA457" s="799"/>
      <c r="AB457" s="799"/>
      <c r="AC457" s="799"/>
      <c r="AD457" s="799"/>
      <c r="AE457" s="799"/>
      <c r="AF457" s="799"/>
      <c r="AG457" s="799"/>
      <c r="AH457" s="799"/>
      <c r="AI457" s="799"/>
      <c r="AJ457" s="799"/>
      <c r="AK457" s="799"/>
      <c r="AL457" s="799"/>
      <c r="AM457" s="799"/>
      <c r="AN457" s="799"/>
      <c r="AO457" s="799"/>
      <c r="AP457" s="799"/>
      <c r="AQ457" s="799"/>
      <c r="AR457" s="799"/>
      <c r="AS457" s="799"/>
      <c r="AT457" s="799"/>
      <c r="AU457" s="799"/>
      <c r="AV457" s="799"/>
      <c r="AW457" s="799"/>
      <c r="AX457" s="799"/>
      <c r="AY457" s="799"/>
      <c r="AZ457" s="799"/>
      <c r="BA457" s="799"/>
      <c r="BB457" s="799"/>
      <c r="BC457" s="799"/>
      <c r="BD457" s="799"/>
      <c r="BE457" s="799"/>
      <c r="BF457" s="799"/>
      <c r="BG457" s="799"/>
    </row>
    <row r="458">
      <c r="H458" s="799"/>
      <c r="I458" s="799"/>
      <c r="J458" s="799"/>
      <c r="K458" s="799"/>
      <c r="L458" s="799"/>
      <c r="M458" s="799"/>
      <c r="N458" s="799"/>
      <c r="O458" s="799"/>
      <c r="P458" s="799"/>
      <c r="Q458" s="799"/>
      <c r="R458" s="799"/>
      <c r="S458" s="799"/>
      <c r="T458" s="799"/>
      <c r="U458" s="799"/>
      <c r="V458" s="799"/>
      <c r="W458" s="799"/>
      <c r="X458" s="799"/>
      <c r="Y458" s="799"/>
      <c r="Z458" s="799"/>
      <c r="AA458" s="799"/>
      <c r="AB458" s="799"/>
      <c r="AC458" s="799"/>
      <c r="AD458" s="799"/>
      <c r="AE458" s="799"/>
      <c r="AF458" s="799"/>
      <c r="AG458" s="799"/>
      <c r="AH458" s="799"/>
      <c r="AI458" s="799"/>
      <c r="AJ458" s="799"/>
      <c r="AK458" s="799"/>
      <c r="AL458" s="799"/>
      <c r="AM458" s="799"/>
      <c r="AN458" s="799"/>
      <c r="AO458" s="799"/>
      <c r="AP458" s="799"/>
      <c r="AQ458" s="799"/>
      <c r="AR458" s="799"/>
      <c r="AS458" s="799"/>
      <c r="AT458" s="799"/>
      <c r="AU458" s="799"/>
      <c r="AV458" s="799"/>
      <c r="AW458" s="799"/>
      <c r="AX458" s="799"/>
      <c r="AY458" s="799"/>
      <c r="AZ458" s="799"/>
      <c r="BA458" s="799"/>
      <c r="BB458" s="799"/>
      <c r="BC458" s="799"/>
      <c r="BD458" s="799"/>
      <c r="BE458" s="799"/>
      <c r="BF458" s="799"/>
      <c r="BG458" s="799"/>
    </row>
    <row r="459">
      <c r="H459" s="799"/>
      <c r="I459" s="799"/>
      <c r="J459" s="799"/>
      <c r="K459" s="799"/>
      <c r="L459" s="799"/>
      <c r="M459" s="799"/>
      <c r="N459" s="799"/>
      <c r="O459" s="799"/>
      <c r="P459" s="799"/>
      <c r="Q459" s="799"/>
      <c r="R459" s="799"/>
      <c r="S459" s="799"/>
      <c r="T459" s="799"/>
      <c r="U459" s="799"/>
      <c r="V459" s="799"/>
      <c r="W459" s="799"/>
      <c r="X459" s="799"/>
      <c r="Y459" s="799"/>
      <c r="Z459" s="799"/>
      <c r="AA459" s="799"/>
      <c r="AB459" s="799"/>
      <c r="AC459" s="799"/>
      <c r="AD459" s="799"/>
      <c r="AE459" s="799"/>
      <c r="AF459" s="799"/>
      <c r="AG459" s="799"/>
      <c r="AH459" s="799"/>
      <c r="AI459" s="799"/>
      <c r="AJ459" s="799"/>
      <c r="AK459" s="799"/>
      <c r="AL459" s="799"/>
      <c r="AM459" s="799"/>
      <c r="AN459" s="799"/>
      <c r="AO459" s="799"/>
      <c r="AP459" s="799"/>
      <c r="AQ459" s="799"/>
      <c r="AR459" s="799"/>
      <c r="AS459" s="799"/>
      <c r="AT459" s="799"/>
      <c r="AU459" s="799"/>
      <c r="AV459" s="799"/>
      <c r="AW459" s="799"/>
      <c r="AX459" s="799"/>
      <c r="AY459" s="799"/>
      <c r="AZ459" s="799"/>
      <c r="BA459" s="799"/>
      <c r="BB459" s="799"/>
      <c r="BC459" s="799"/>
      <c r="BD459" s="799"/>
      <c r="BE459" s="799"/>
      <c r="BF459" s="799"/>
      <c r="BG459" s="799"/>
    </row>
    <row r="460">
      <c r="H460" s="799"/>
      <c r="I460" s="799"/>
      <c r="J460" s="799"/>
      <c r="K460" s="799"/>
      <c r="L460" s="799"/>
      <c r="M460" s="799"/>
      <c r="N460" s="799"/>
      <c r="O460" s="799"/>
      <c r="P460" s="799"/>
      <c r="Q460" s="799"/>
      <c r="R460" s="799"/>
      <c r="S460" s="799"/>
      <c r="T460" s="799"/>
      <c r="U460" s="799"/>
      <c r="V460" s="799"/>
      <c r="W460" s="799"/>
      <c r="X460" s="799"/>
      <c r="Y460" s="799"/>
      <c r="Z460" s="799"/>
      <c r="AA460" s="799"/>
      <c r="AB460" s="799"/>
      <c r="AC460" s="799"/>
      <c r="AD460" s="799"/>
      <c r="AE460" s="799"/>
      <c r="AF460" s="799"/>
      <c r="AG460" s="799"/>
      <c r="AH460" s="799"/>
      <c r="AI460" s="799"/>
      <c r="AJ460" s="799"/>
      <c r="AK460" s="799"/>
      <c r="AL460" s="799"/>
      <c r="AM460" s="799"/>
      <c r="AN460" s="799"/>
      <c r="AO460" s="799"/>
      <c r="AP460" s="799"/>
      <c r="AQ460" s="799"/>
      <c r="AR460" s="799"/>
      <c r="AS460" s="799"/>
      <c r="AT460" s="799"/>
      <c r="AU460" s="799"/>
      <c r="AV460" s="799"/>
      <c r="AW460" s="799"/>
      <c r="AX460" s="799"/>
      <c r="AY460" s="799"/>
      <c r="AZ460" s="799"/>
      <c r="BA460" s="799"/>
      <c r="BB460" s="799"/>
      <c r="BC460" s="799"/>
      <c r="BD460" s="799"/>
      <c r="BE460" s="799"/>
      <c r="BF460" s="799"/>
      <c r="BG460" s="799"/>
    </row>
    <row r="461">
      <c r="H461" s="799"/>
      <c r="I461" s="799"/>
      <c r="J461" s="799"/>
      <c r="K461" s="799"/>
      <c r="L461" s="799"/>
      <c r="M461" s="799"/>
      <c r="N461" s="799"/>
      <c r="O461" s="799"/>
      <c r="P461" s="799"/>
      <c r="Q461" s="799"/>
      <c r="R461" s="799"/>
      <c r="S461" s="799"/>
      <c r="T461" s="799"/>
      <c r="U461" s="799"/>
      <c r="V461" s="799"/>
      <c r="W461" s="799"/>
      <c r="X461" s="799"/>
      <c r="Y461" s="799"/>
      <c r="Z461" s="799"/>
      <c r="AA461" s="799"/>
      <c r="AB461" s="799"/>
      <c r="AC461" s="799"/>
      <c r="AD461" s="799"/>
      <c r="AE461" s="799"/>
      <c r="AF461" s="799"/>
      <c r="AG461" s="799"/>
      <c r="AH461" s="799"/>
      <c r="AI461" s="799"/>
      <c r="AJ461" s="799"/>
      <c r="AK461" s="799"/>
      <c r="AL461" s="799"/>
      <c r="AM461" s="799"/>
      <c r="AN461" s="799"/>
      <c r="AO461" s="799"/>
      <c r="AP461" s="799"/>
      <c r="AQ461" s="799"/>
      <c r="AR461" s="799"/>
      <c r="AS461" s="799"/>
      <c r="AT461" s="799"/>
      <c r="AU461" s="799"/>
      <c r="AV461" s="799"/>
      <c r="AW461" s="799"/>
      <c r="AX461" s="799"/>
      <c r="AY461" s="799"/>
      <c r="AZ461" s="799"/>
      <c r="BA461" s="799"/>
      <c r="BB461" s="799"/>
      <c r="BC461" s="799"/>
      <c r="BD461" s="799"/>
      <c r="BE461" s="799"/>
      <c r="BF461" s="799"/>
      <c r="BG461" s="799"/>
    </row>
    <row r="462">
      <c r="H462" s="799"/>
      <c r="I462" s="799"/>
      <c r="J462" s="799"/>
      <c r="K462" s="799"/>
      <c r="L462" s="799"/>
      <c r="M462" s="799"/>
      <c r="N462" s="799"/>
      <c r="O462" s="799"/>
      <c r="P462" s="799"/>
      <c r="Q462" s="799"/>
      <c r="R462" s="799"/>
      <c r="S462" s="799"/>
      <c r="T462" s="799"/>
      <c r="U462" s="799"/>
      <c r="V462" s="799"/>
      <c r="W462" s="799"/>
      <c r="X462" s="799"/>
      <c r="Y462" s="799"/>
      <c r="Z462" s="799"/>
      <c r="AA462" s="799"/>
      <c r="AB462" s="799"/>
      <c r="AC462" s="799"/>
      <c r="AD462" s="799"/>
      <c r="AE462" s="799"/>
      <c r="AF462" s="799"/>
      <c r="AG462" s="799"/>
      <c r="AH462" s="799"/>
      <c r="AI462" s="799"/>
      <c r="AJ462" s="799"/>
      <c r="AK462" s="799"/>
      <c r="AL462" s="799"/>
      <c r="AM462" s="799"/>
      <c r="AN462" s="799"/>
      <c r="AO462" s="799"/>
      <c r="AP462" s="799"/>
      <c r="AQ462" s="799"/>
      <c r="AR462" s="799"/>
      <c r="AS462" s="799"/>
      <c r="AT462" s="799"/>
      <c r="AU462" s="799"/>
      <c r="AV462" s="799"/>
      <c r="AW462" s="799"/>
      <c r="AX462" s="799"/>
      <c r="AY462" s="799"/>
      <c r="AZ462" s="799"/>
      <c r="BA462" s="799"/>
      <c r="BB462" s="799"/>
      <c r="BC462" s="799"/>
      <c r="BD462" s="799"/>
      <c r="BE462" s="799"/>
      <c r="BF462" s="799"/>
      <c r="BG462" s="799"/>
    </row>
    <row r="463">
      <c r="H463" s="799"/>
      <c r="I463" s="799"/>
      <c r="J463" s="799"/>
      <c r="K463" s="799"/>
      <c r="L463" s="799"/>
      <c r="M463" s="799"/>
      <c r="N463" s="799"/>
      <c r="O463" s="799"/>
      <c r="P463" s="799"/>
      <c r="Q463" s="799"/>
      <c r="R463" s="799"/>
      <c r="S463" s="799"/>
      <c r="T463" s="799"/>
      <c r="U463" s="799"/>
      <c r="V463" s="799"/>
      <c r="W463" s="799"/>
      <c r="X463" s="799"/>
      <c r="Y463" s="799"/>
      <c r="Z463" s="799"/>
      <c r="AA463" s="799"/>
      <c r="AB463" s="799"/>
      <c r="AC463" s="799"/>
      <c r="AD463" s="799"/>
      <c r="AE463" s="799"/>
      <c r="AF463" s="799"/>
      <c r="AG463" s="799"/>
      <c r="AH463" s="799"/>
      <c r="AI463" s="799"/>
      <c r="AJ463" s="799"/>
      <c r="AK463" s="799"/>
      <c r="AL463" s="799"/>
      <c r="AM463" s="799"/>
      <c r="AN463" s="799"/>
      <c r="AO463" s="799"/>
      <c r="AP463" s="799"/>
      <c r="AQ463" s="799"/>
      <c r="AR463" s="799"/>
      <c r="AS463" s="799"/>
      <c r="AT463" s="799"/>
      <c r="AU463" s="799"/>
      <c r="AV463" s="799"/>
      <c r="AW463" s="799"/>
      <c r="AX463" s="799"/>
      <c r="AY463" s="799"/>
      <c r="AZ463" s="799"/>
      <c r="BA463" s="799"/>
      <c r="BB463" s="799"/>
      <c r="BC463" s="799"/>
      <c r="BD463" s="799"/>
      <c r="BE463" s="799"/>
      <c r="BF463" s="799"/>
      <c r="BG463" s="799"/>
    </row>
    <row r="464">
      <c r="H464" s="799"/>
      <c r="I464" s="799"/>
      <c r="J464" s="799"/>
      <c r="K464" s="799"/>
      <c r="L464" s="799"/>
      <c r="M464" s="799"/>
      <c r="N464" s="799"/>
      <c r="O464" s="799"/>
      <c r="P464" s="799"/>
      <c r="Q464" s="799"/>
      <c r="R464" s="799"/>
      <c r="S464" s="799"/>
      <c r="T464" s="799"/>
      <c r="U464" s="799"/>
      <c r="V464" s="799"/>
      <c r="W464" s="799"/>
      <c r="X464" s="799"/>
      <c r="Y464" s="799"/>
      <c r="Z464" s="799"/>
      <c r="AA464" s="799"/>
      <c r="AB464" s="799"/>
      <c r="AC464" s="799"/>
      <c r="AD464" s="799"/>
      <c r="AE464" s="799"/>
      <c r="AF464" s="799"/>
      <c r="AG464" s="799"/>
      <c r="AH464" s="799"/>
      <c r="AI464" s="799"/>
      <c r="AJ464" s="799"/>
      <c r="AK464" s="799"/>
      <c r="AL464" s="799"/>
      <c r="AM464" s="799"/>
      <c r="AN464" s="799"/>
      <c r="AO464" s="799"/>
      <c r="AP464" s="799"/>
      <c r="AQ464" s="799"/>
      <c r="AR464" s="799"/>
      <c r="AS464" s="799"/>
      <c r="AT464" s="799"/>
      <c r="AU464" s="799"/>
      <c r="AV464" s="799"/>
      <c r="AW464" s="799"/>
      <c r="AX464" s="799"/>
      <c r="AY464" s="799"/>
      <c r="AZ464" s="799"/>
      <c r="BA464" s="799"/>
      <c r="BB464" s="799"/>
      <c r="BC464" s="799"/>
      <c r="BD464" s="799"/>
      <c r="BE464" s="799"/>
      <c r="BF464" s="799"/>
      <c r="BG464" s="799"/>
    </row>
    <row r="465">
      <c r="H465" s="799"/>
      <c r="I465" s="799"/>
      <c r="J465" s="799"/>
      <c r="K465" s="799"/>
      <c r="L465" s="799"/>
      <c r="M465" s="799"/>
      <c r="N465" s="799"/>
      <c r="O465" s="799"/>
      <c r="P465" s="799"/>
      <c r="Q465" s="799"/>
      <c r="R465" s="799"/>
      <c r="S465" s="799"/>
      <c r="T465" s="799"/>
      <c r="U465" s="799"/>
      <c r="V465" s="799"/>
      <c r="W465" s="799"/>
      <c r="X465" s="799"/>
      <c r="Y465" s="799"/>
      <c r="Z465" s="799"/>
      <c r="AA465" s="799"/>
      <c r="AB465" s="799"/>
      <c r="AC465" s="799"/>
      <c r="AD465" s="799"/>
      <c r="AE465" s="799"/>
      <c r="AF465" s="799"/>
      <c r="AG465" s="799"/>
      <c r="AH465" s="799"/>
      <c r="AI465" s="799"/>
      <c r="AJ465" s="799"/>
      <c r="AK465" s="799"/>
      <c r="AL465" s="799"/>
      <c r="AM465" s="799"/>
      <c r="AN465" s="799"/>
      <c r="AO465" s="799"/>
      <c r="AP465" s="799"/>
      <c r="AQ465" s="799"/>
      <c r="AR465" s="799"/>
      <c r="AS465" s="799"/>
      <c r="AT465" s="799"/>
      <c r="AU465" s="799"/>
      <c r="AV465" s="799"/>
      <c r="AW465" s="799"/>
      <c r="AX465" s="799"/>
      <c r="AY465" s="799"/>
      <c r="AZ465" s="799"/>
      <c r="BA465" s="799"/>
      <c r="BB465" s="799"/>
      <c r="BC465" s="799"/>
      <c r="BD465" s="799"/>
      <c r="BE465" s="799"/>
      <c r="BF465" s="799"/>
      <c r="BG465" s="799"/>
    </row>
    <row r="466">
      <c r="H466" s="799"/>
      <c r="I466" s="799"/>
      <c r="J466" s="799"/>
      <c r="K466" s="799"/>
      <c r="L466" s="799"/>
      <c r="M466" s="799"/>
      <c r="N466" s="799"/>
      <c r="O466" s="799"/>
      <c r="P466" s="799"/>
      <c r="Q466" s="799"/>
      <c r="R466" s="799"/>
      <c r="S466" s="799"/>
      <c r="T466" s="799"/>
      <c r="U466" s="799"/>
      <c r="V466" s="799"/>
      <c r="W466" s="799"/>
      <c r="X466" s="799"/>
      <c r="Y466" s="799"/>
      <c r="Z466" s="799"/>
      <c r="AA466" s="799"/>
      <c r="AB466" s="799"/>
      <c r="AC466" s="799"/>
      <c r="AD466" s="799"/>
      <c r="AE466" s="799"/>
      <c r="AF466" s="799"/>
      <c r="AG466" s="799"/>
      <c r="AH466" s="799"/>
      <c r="AI466" s="799"/>
      <c r="AJ466" s="799"/>
      <c r="AK466" s="799"/>
      <c r="AL466" s="799"/>
      <c r="AM466" s="799"/>
      <c r="AN466" s="799"/>
      <c r="AO466" s="799"/>
      <c r="AP466" s="799"/>
      <c r="AQ466" s="799"/>
      <c r="AR466" s="799"/>
      <c r="AS466" s="799"/>
      <c r="AT466" s="799"/>
      <c r="AU466" s="799"/>
      <c r="AV466" s="799"/>
      <c r="AW466" s="799"/>
      <c r="AX466" s="799"/>
      <c r="AY466" s="799"/>
      <c r="AZ466" s="799"/>
      <c r="BA466" s="799"/>
      <c r="BB466" s="799"/>
      <c r="BC466" s="799"/>
      <c r="BD466" s="799"/>
      <c r="BE466" s="799"/>
      <c r="BF466" s="799"/>
      <c r="BG466" s="799"/>
    </row>
    <row r="467">
      <c r="H467" s="799"/>
      <c r="I467" s="799"/>
      <c r="J467" s="799"/>
      <c r="K467" s="799"/>
      <c r="L467" s="799"/>
      <c r="M467" s="799"/>
      <c r="N467" s="799"/>
      <c r="O467" s="799"/>
      <c r="P467" s="799"/>
      <c r="Q467" s="799"/>
      <c r="R467" s="799"/>
      <c r="S467" s="799"/>
      <c r="T467" s="799"/>
      <c r="U467" s="799"/>
      <c r="V467" s="799"/>
      <c r="W467" s="799"/>
      <c r="X467" s="799"/>
      <c r="Y467" s="799"/>
      <c r="Z467" s="799"/>
      <c r="AA467" s="799"/>
      <c r="AB467" s="799"/>
      <c r="AC467" s="799"/>
      <c r="AD467" s="799"/>
      <c r="AE467" s="799"/>
      <c r="AF467" s="799"/>
      <c r="AG467" s="799"/>
      <c r="AH467" s="799"/>
      <c r="AI467" s="799"/>
      <c r="AJ467" s="799"/>
      <c r="AK467" s="799"/>
      <c r="AL467" s="799"/>
      <c r="AM467" s="799"/>
      <c r="AN467" s="799"/>
      <c r="AO467" s="799"/>
      <c r="AP467" s="799"/>
      <c r="AQ467" s="799"/>
      <c r="AR467" s="799"/>
      <c r="AS467" s="799"/>
      <c r="AT467" s="799"/>
      <c r="AU467" s="799"/>
      <c r="AV467" s="799"/>
      <c r="AW467" s="799"/>
      <c r="AX467" s="799"/>
      <c r="AY467" s="799"/>
      <c r="AZ467" s="799"/>
      <c r="BA467" s="799"/>
      <c r="BB467" s="799"/>
      <c r="BC467" s="799"/>
      <c r="BD467" s="799"/>
      <c r="BE467" s="799"/>
      <c r="BF467" s="799"/>
      <c r="BG467" s="799"/>
    </row>
    <row r="468">
      <c r="H468" s="799"/>
      <c r="I468" s="799"/>
      <c r="J468" s="799"/>
      <c r="K468" s="799"/>
      <c r="L468" s="799"/>
      <c r="M468" s="799"/>
      <c r="N468" s="799"/>
      <c r="O468" s="799"/>
      <c r="P468" s="799"/>
      <c r="Q468" s="799"/>
      <c r="R468" s="799"/>
      <c r="S468" s="799"/>
      <c r="T468" s="799"/>
      <c r="U468" s="799"/>
      <c r="V468" s="799"/>
      <c r="W468" s="799"/>
      <c r="X468" s="799"/>
      <c r="Y468" s="799"/>
      <c r="Z468" s="799"/>
      <c r="AA468" s="799"/>
      <c r="AB468" s="799"/>
      <c r="AC468" s="799"/>
      <c r="AD468" s="799"/>
      <c r="AE468" s="799"/>
      <c r="AF468" s="799"/>
      <c r="AG468" s="799"/>
      <c r="AH468" s="799"/>
      <c r="AI468" s="799"/>
      <c r="AJ468" s="799"/>
      <c r="AK468" s="799"/>
      <c r="AL468" s="799"/>
      <c r="AM468" s="799"/>
      <c r="AN468" s="799"/>
      <c r="AO468" s="799"/>
      <c r="AP468" s="799"/>
      <c r="AQ468" s="799"/>
      <c r="AR468" s="799"/>
      <c r="AS468" s="799"/>
      <c r="AT468" s="799"/>
      <c r="AU468" s="799"/>
      <c r="AV468" s="799"/>
      <c r="AW468" s="799"/>
      <c r="AX468" s="799"/>
      <c r="AY468" s="799"/>
      <c r="AZ468" s="799"/>
      <c r="BA468" s="799"/>
      <c r="BB468" s="799"/>
      <c r="BC468" s="799"/>
      <c r="BD468" s="799"/>
      <c r="BE468" s="799"/>
      <c r="BF468" s="799"/>
      <c r="BG468" s="799"/>
    </row>
    <row r="469">
      <c r="H469" s="799"/>
      <c r="I469" s="799"/>
      <c r="J469" s="799"/>
      <c r="K469" s="799"/>
      <c r="L469" s="799"/>
      <c r="M469" s="799"/>
      <c r="N469" s="799"/>
      <c r="O469" s="799"/>
      <c r="P469" s="799"/>
      <c r="Q469" s="799"/>
      <c r="R469" s="799"/>
      <c r="S469" s="799"/>
      <c r="T469" s="799"/>
      <c r="U469" s="799"/>
      <c r="V469" s="799"/>
      <c r="W469" s="799"/>
      <c r="X469" s="799"/>
      <c r="Y469" s="799"/>
      <c r="Z469" s="799"/>
      <c r="AA469" s="799"/>
      <c r="AB469" s="799"/>
      <c r="AC469" s="799"/>
      <c r="AD469" s="799"/>
      <c r="AE469" s="799"/>
      <c r="AF469" s="799"/>
      <c r="AG469" s="799"/>
      <c r="AH469" s="799"/>
      <c r="AI469" s="799"/>
      <c r="AJ469" s="799"/>
      <c r="AK469" s="799"/>
      <c r="AL469" s="799"/>
      <c r="AM469" s="799"/>
      <c r="AN469" s="799"/>
      <c r="AO469" s="799"/>
      <c r="AP469" s="799"/>
      <c r="AQ469" s="799"/>
      <c r="AR469" s="799"/>
      <c r="AS469" s="799"/>
      <c r="AT469" s="799"/>
      <c r="AU469" s="799"/>
      <c r="AV469" s="799"/>
      <c r="AW469" s="799"/>
      <c r="AX469" s="799"/>
      <c r="AY469" s="799"/>
      <c r="AZ469" s="799"/>
      <c r="BA469" s="799"/>
      <c r="BB469" s="799"/>
      <c r="BC469" s="799"/>
      <c r="BD469" s="799"/>
      <c r="BE469" s="799"/>
      <c r="BF469" s="799"/>
      <c r="BG469" s="799"/>
    </row>
    <row r="470">
      <c r="H470" s="799"/>
      <c r="I470" s="799"/>
      <c r="J470" s="799"/>
      <c r="K470" s="799"/>
      <c r="L470" s="799"/>
      <c r="M470" s="799"/>
      <c r="N470" s="799"/>
      <c r="O470" s="799"/>
      <c r="P470" s="799"/>
      <c r="Q470" s="799"/>
      <c r="R470" s="799"/>
      <c r="S470" s="799"/>
      <c r="T470" s="799"/>
      <c r="U470" s="799"/>
      <c r="V470" s="799"/>
      <c r="W470" s="799"/>
      <c r="X470" s="799"/>
      <c r="Y470" s="799"/>
      <c r="Z470" s="799"/>
      <c r="AA470" s="799"/>
      <c r="AB470" s="799"/>
      <c r="AC470" s="799"/>
      <c r="AD470" s="799"/>
      <c r="AE470" s="799"/>
      <c r="AF470" s="799"/>
      <c r="AG470" s="799"/>
      <c r="AH470" s="799"/>
      <c r="AI470" s="799"/>
      <c r="AJ470" s="799"/>
      <c r="AK470" s="799"/>
      <c r="AL470" s="799"/>
      <c r="AM470" s="799"/>
      <c r="AN470" s="799"/>
      <c r="AO470" s="799"/>
      <c r="AP470" s="799"/>
      <c r="AQ470" s="799"/>
      <c r="AR470" s="799"/>
      <c r="AS470" s="799"/>
      <c r="AT470" s="799"/>
      <c r="AU470" s="799"/>
      <c r="AV470" s="799"/>
      <c r="AW470" s="799"/>
      <c r="AX470" s="799"/>
      <c r="AY470" s="799"/>
      <c r="AZ470" s="799"/>
      <c r="BA470" s="799"/>
      <c r="BB470" s="799"/>
      <c r="BC470" s="799"/>
      <c r="BD470" s="799"/>
      <c r="BE470" s="799"/>
      <c r="BF470" s="799"/>
      <c r="BG470" s="799"/>
    </row>
    <row r="471">
      <c r="H471" s="799"/>
      <c r="I471" s="799"/>
      <c r="J471" s="799"/>
      <c r="K471" s="799"/>
      <c r="L471" s="799"/>
      <c r="M471" s="799"/>
      <c r="N471" s="799"/>
      <c r="O471" s="799"/>
      <c r="P471" s="799"/>
      <c r="Q471" s="799"/>
      <c r="R471" s="799"/>
      <c r="S471" s="799"/>
      <c r="T471" s="799"/>
      <c r="U471" s="799"/>
      <c r="V471" s="799"/>
      <c r="W471" s="799"/>
      <c r="X471" s="799"/>
      <c r="Y471" s="799"/>
      <c r="Z471" s="799"/>
      <c r="AA471" s="799"/>
      <c r="AB471" s="799"/>
      <c r="AC471" s="799"/>
      <c r="AD471" s="799"/>
      <c r="AE471" s="799"/>
      <c r="AF471" s="799"/>
      <c r="AG471" s="799"/>
      <c r="AH471" s="799"/>
      <c r="AI471" s="799"/>
      <c r="AJ471" s="799"/>
      <c r="AK471" s="799"/>
      <c r="AL471" s="799"/>
      <c r="AM471" s="799"/>
      <c r="AN471" s="799"/>
      <c r="AO471" s="799"/>
      <c r="AP471" s="799"/>
      <c r="AQ471" s="799"/>
      <c r="AR471" s="799"/>
      <c r="AS471" s="799"/>
      <c r="AT471" s="799"/>
      <c r="AU471" s="799"/>
      <c r="AV471" s="799"/>
      <c r="AW471" s="799"/>
      <c r="AX471" s="799"/>
      <c r="AY471" s="799"/>
      <c r="AZ471" s="799"/>
      <c r="BA471" s="799"/>
      <c r="BB471" s="799"/>
      <c r="BC471" s="799"/>
      <c r="BD471" s="799"/>
      <c r="BE471" s="799"/>
      <c r="BF471" s="799"/>
      <c r="BG471" s="799"/>
    </row>
    <row r="472">
      <c r="H472" s="799"/>
      <c r="I472" s="799"/>
      <c r="J472" s="799"/>
      <c r="K472" s="799"/>
      <c r="L472" s="799"/>
      <c r="M472" s="799"/>
      <c r="N472" s="799"/>
      <c r="O472" s="799"/>
      <c r="P472" s="799"/>
      <c r="Q472" s="799"/>
      <c r="R472" s="799"/>
      <c r="S472" s="799"/>
      <c r="T472" s="799"/>
      <c r="U472" s="799"/>
      <c r="V472" s="799"/>
      <c r="W472" s="799"/>
      <c r="X472" s="799"/>
      <c r="Y472" s="799"/>
      <c r="Z472" s="799"/>
      <c r="AA472" s="799"/>
      <c r="AB472" s="799"/>
      <c r="AC472" s="799"/>
      <c r="AD472" s="799"/>
      <c r="AE472" s="799"/>
      <c r="AF472" s="799"/>
      <c r="AG472" s="799"/>
      <c r="AH472" s="799"/>
      <c r="AI472" s="799"/>
      <c r="AJ472" s="799"/>
      <c r="AK472" s="799"/>
      <c r="AL472" s="799"/>
      <c r="AM472" s="799"/>
      <c r="AN472" s="799"/>
      <c r="AO472" s="799"/>
      <c r="AP472" s="799"/>
      <c r="AQ472" s="799"/>
      <c r="AR472" s="799"/>
      <c r="AS472" s="799"/>
      <c r="AT472" s="799"/>
      <c r="AU472" s="799"/>
      <c r="AV472" s="799"/>
      <c r="AW472" s="799"/>
      <c r="AX472" s="799"/>
      <c r="AY472" s="799"/>
      <c r="AZ472" s="799"/>
      <c r="BA472" s="799"/>
      <c r="BB472" s="799"/>
      <c r="BC472" s="799"/>
      <c r="BD472" s="799"/>
      <c r="BE472" s="799"/>
      <c r="BF472" s="799"/>
      <c r="BG472" s="799"/>
    </row>
    <row r="473">
      <c r="H473" s="799"/>
      <c r="I473" s="799"/>
      <c r="J473" s="799"/>
      <c r="K473" s="799"/>
      <c r="L473" s="799"/>
      <c r="M473" s="799"/>
      <c r="N473" s="799"/>
      <c r="O473" s="799"/>
      <c r="P473" s="799"/>
      <c r="Q473" s="799"/>
      <c r="R473" s="799"/>
      <c r="S473" s="799"/>
      <c r="T473" s="799"/>
      <c r="U473" s="799"/>
      <c r="V473" s="799"/>
      <c r="W473" s="799"/>
      <c r="X473" s="799"/>
      <c r="Y473" s="799"/>
      <c r="Z473" s="799"/>
      <c r="AA473" s="799"/>
      <c r="AB473" s="799"/>
      <c r="AC473" s="799"/>
      <c r="AD473" s="799"/>
      <c r="AE473" s="799"/>
      <c r="AF473" s="799"/>
      <c r="AG473" s="799"/>
      <c r="AH473" s="799"/>
      <c r="AI473" s="799"/>
      <c r="AJ473" s="799"/>
      <c r="AK473" s="799"/>
      <c r="AL473" s="799"/>
      <c r="AM473" s="799"/>
      <c r="AN473" s="799"/>
      <c r="AO473" s="799"/>
      <c r="AP473" s="799"/>
      <c r="AQ473" s="799"/>
      <c r="AR473" s="799"/>
      <c r="AS473" s="799"/>
      <c r="AT473" s="799"/>
      <c r="AU473" s="799"/>
      <c r="AV473" s="799"/>
      <c r="AW473" s="799"/>
      <c r="AX473" s="799"/>
      <c r="AY473" s="799"/>
      <c r="AZ473" s="799"/>
      <c r="BA473" s="799"/>
      <c r="BB473" s="799"/>
      <c r="BC473" s="799"/>
      <c r="BD473" s="799"/>
      <c r="BE473" s="799"/>
      <c r="BF473" s="799"/>
      <c r="BG473" s="799"/>
    </row>
    <row r="474">
      <c r="H474" s="799"/>
      <c r="I474" s="799"/>
      <c r="J474" s="799"/>
      <c r="K474" s="799"/>
      <c r="L474" s="799"/>
      <c r="M474" s="799"/>
      <c r="N474" s="799"/>
      <c r="O474" s="799"/>
      <c r="P474" s="799"/>
      <c r="Q474" s="799"/>
      <c r="R474" s="799"/>
      <c r="S474" s="799"/>
      <c r="T474" s="799"/>
      <c r="U474" s="799"/>
      <c r="V474" s="799"/>
      <c r="W474" s="799"/>
      <c r="X474" s="799"/>
      <c r="Y474" s="799"/>
      <c r="Z474" s="799"/>
      <c r="AA474" s="799"/>
      <c r="AB474" s="799"/>
      <c r="AC474" s="799"/>
      <c r="AD474" s="799"/>
      <c r="AE474" s="799"/>
      <c r="AF474" s="799"/>
      <c r="AG474" s="799"/>
      <c r="AH474" s="799"/>
      <c r="AI474" s="799"/>
      <c r="AJ474" s="799"/>
      <c r="AK474" s="799"/>
      <c r="AL474" s="799"/>
      <c r="AM474" s="799"/>
      <c r="AN474" s="799"/>
      <c r="AO474" s="799"/>
      <c r="AP474" s="799"/>
      <c r="AQ474" s="799"/>
      <c r="AR474" s="799"/>
      <c r="AS474" s="799"/>
      <c r="AT474" s="799"/>
      <c r="AU474" s="799"/>
      <c r="AV474" s="799"/>
      <c r="AW474" s="799"/>
      <c r="AX474" s="799"/>
      <c r="AY474" s="799"/>
      <c r="AZ474" s="799"/>
      <c r="BA474" s="799"/>
      <c r="BB474" s="799"/>
      <c r="BC474" s="799"/>
      <c r="BD474" s="799"/>
      <c r="BE474" s="799"/>
      <c r="BF474" s="799"/>
      <c r="BG474" s="799"/>
    </row>
    <row r="475">
      <c r="H475" s="799"/>
      <c r="I475" s="799"/>
      <c r="J475" s="799"/>
      <c r="K475" s="799"/>
      <c r="L475" s="799"/>
      <c r="M475" s="799"/>
      <c r="N475" s="799"/>
      <c r="O475" s="799"/>
      <c r="P475" s="799"/>
      <c r="Q475" s="799"/>
      <c r="R475" s="799"/>
      <c r="S475" s="799"/>
      <c r="T475" s="799"/>
      <c r="U475" s="799"/>
      <c r="V475" s="799"/>
      <c r="W475" s="799"/>
      <c r="X475" s="799"/>
      <c r="Y475" s="799"/>
      <c r="Z475" s="799"/>
      <c r="AA475" s="799"/>
      <c r="AB475" s="799"/>
      <c r="AC475" s="799"/>
      <c r="AD475" s="799"/>
      <c r="AE475" s="799"/>
      <c r="AF475" s="799"/>
      <c r="AG475" s="799"/>
      <c r="AH475" s="799"/>
      <c r="AI475" s="799"/>
      <c r="AJ475" s="799"/>
      <c r="AK475" s="799"/>
      <c r="AL475" s="799"/>
      <c r="AM475" s="799"/>
      <c r="AN475" s="799"/>
      <c r="AO475" s="799"/>
      <c r="AP475" s="799"/>
      <c r="AQ475" s="799"/>
      <c r="AR475" s="799"/>
      <c r="AS475" s="799"/>
      <c r="AT475" s="799"/>
      <c r="AU475" s="799"/>
      <c r="AV475" s="799"/>
      <c r="AW475" s="799"/>
      <c r="AX475" s="799"/>
      <c r="AY475" s="799"/>
      <c r="AZ475" s="799"/>
      <c r="BA475" s="799"/>
      <c r="BB475" s="799"/>
      <c r="BC475" s="799"/>
      <c r="BD475" s="799"/>
      <c r="BE475" s="799"/>
      <c r="BF475" s="799"/>
      <c r="BG475" s="799"/>
    </row>
    <row r="476">
      <c r="H476" s="799"/>
      <c r="I476" s="799"/>
      <c r="J476" s="799"/>
      <c r="K476" s="799"/>
      <c r="L476" s="799"/>
      <c r="M476" s="799"/>
      <c r="N476" s="799"/>
      <c r="O476" s="799"/>
      <c r="P476" s="799"/>
      <c r="Q476" s="799"/>
      <c r="R476" s="799"/>
      <c r="S476" s="799"/>
      <c r="T476" s="799"/>
      <c r="U476" s="799"/>
      <c r="V476" s="799"/>
      <c r="W476" s="799"/>
      <c r="X476" s="799"/>
      <c r="Y476" s="799"/>
      <c r="Z476" s="799"/>
      <c r="AA476" s="799"/>
      <c r="AB476" s="799"/>
      <c r="AC476" s="799"/>
      <c r="AD476" s="799"/>
      <c r="AE476" s="799"/>
      <c r="AF476" s="799"/>
      <c r="AG476" s="799"/>
      <c r="AH476" s="799"/>
      <c r="AI476" s="799"/>
      <c r="AJ476" s="799"/>
      <c r="AK476" s="799"/>
      <c r="AL476" s="799"/>
      <c r="AM476" s="799"/>
      <c r="AN476" s="799"/>
      <c r="AO476" s="799"/>
      <c r="AP476" s="799"/>
      <c r="AQ476" s="799"/>
      <c r="AR476" s="799"/>
      <c r="AS476" s="799"/>
      <c r="AT476" s="799"/>
      <c r="AU476" s="799"/>
      <c r="AV476" s="799"/>
      <c r="AW476" s="799"/>
      <c r="AX476" s="799"/>
      <c r="AY476" s="799"/>
      <c r="AZ476" s="799"/>
      <c r="BA476" s="799"/>
      <c r="BB476" s="799"/>
      <c r="BC476" s="799"/>
      <c r="BD476" s="799"/>
      <c r="BE476" s="799"/>
      <c r="BF476" s="799"/>
      <c r="BG476" s="799"/>
    </row>
    <row r="477">
      <c r="H477" s="799"/>
      <c r="I477" s="799"/>
      <c r="J477" s="799"/>
      <c r="K477" s="799"/>
      <c r="L477" s="799"/>
      <c r="M477" s="799"/>
      <c r="N477" s="799"/>
      <c r="O477" s="799"/>
      <c r="P477" s="799"/>
      <c r="Q477" s="799"/>
      <c r="R477" s="799"/>
      <c r="S477" s="799"/>
      <c r="T477" s="799"/>
      <c r="U477" s="799"/>
      <c r="V477" s="799"/>
      <c r="W477" s="799"/>
      <c r="X477" s="799"/>
      <c r="Y477" s="799"/>
      <c r="Z477" s="799"/>
      <c r="AA477" s="799"/>
      <c r="AB477" s="799"/>
      <c r="AC477" s="799"/>
      <c r="AD477" s="799"/>
      <c r="AE477" s="799"/>
      <c r="AF477" s="799"/>
      <c r="AG477" s="799"/>
      <c r="AH477" s="799"/>
      <c r="AI477" s="799"/>
      <c r="AJ477" s="799"/>
      <c r="AK477" s="799"/>
      <c r="AL477" s="799"/>
      <c r="AM477" s="799"/>
      <c r="AN477" s="799"/>
      <c r="AO477" s="799"/>
      <c r="AP477" s="799"/>
      <c r="AQ477" s="799"/>
      <c r="AR477" s="799"/>
      <c r="AS477" s="799"/>
      <c r="AT477" s="799"/>
      <c r="AU477" s="799"/>
      <c r="AV477" s="799"/>
      <c r="AW477" s="799"/>
      <c r="AX477" s="799"/>
      <c r="AY477" s="799"/>
      <c r="AZ477" s="799"/>
      <c r="BA477" s="799"/>
      <c r="BB477" s="799"/>
      <c r="BC477" s="799"/>
      <c r="BD477" s="799"/>
      <c r="BE477" s="799"/>
      <c r="BF477" s="799"/>
      <c r="BG477" s="799"/>
    </row>
    <row r="478">
      <c r="H478" s="799"/>
      <c r="I478" s="799"/>
      <c r="J478" s="799"/>
      <c r="K478" s="799"/>
      <c r="L478" s="799"/>
      <c r="M478" s="799"/>
      <c r="N478" s="799"/>
      <c r="O478" s="799"/>
      <c r="P478" s="799"/>
      <c r="Q478" s="799"/>
      <c r="R478" s="799"/>
      <c r="S478" s="799"/>
      <c r="T478" s="799"/>
      <c r="U478" s="799"/>
      <c r="V478" s="799"/>
      <c r="W478" s="799"/>
      <c r="X478" s="799"/>
      <c r="Y478" s="799"/>
      <c r="Z478" s="799"/>
      <c r="AA478" s="799"/>
      <c r="AB478" s="799"/>
      <c r="AC478" s="799"/>
      <c r="AD478" s="799"/>
      <c r="AE478" s="799"/>
      <c r="AF478" s="799"/>
      <c r="AG478" s="799"/>
      <c r="AH478" s="799"/>
      <c r="AI478" s="799"/>
      <c r="AJ478" s="799"/>
      <c r="AK478" s="799"/>
      <c r="AL478" s="799"/>
      <c r="AM478" s="799"/>
      <c r="AN478" s="799"/>
      <c r="AO478" s="799"/>
      <c r="AP478" s="799"/>
      <c r="AQ478" s="799"/>
      <c r="AR478" s="799"/>
      <c r="AS478" s="799"/>
      <c r="AT478" s="799"/>
      <c r="AU478" s="799"/>
      <c r="AV478" s="799"/>
      <c r="AW478" s="799"/>
      <c r="AX478" s="799"/>
      <c r="AY478" s="799"/>
      <c r="AZ478" s="799"/>
      <c r="BA478" s="799"/>
      <c r="BB478" s="799"/>
      <c r="BC478" s="799"/>
      <c r="BD478" s="799"/>
      <c r="BE478" s="799"/>
      <c r="BF478" s="799"/>
      <c r="BG478" s="799"/>
    </row>
    <row r="479">
      <c r="H479" s="799"/>
      <c r="I479" s="799"/>
      <c r="J479" s="799"/>
      <c r="K479" s="799"/>
      <c r="L479" s="799"/>
      <c r="M479" s="799"/>
      <c r="N479" s="799"/>
      <c r="O479" s="799"/>
      <c r="P479" s="799"/>
      <c r="Q479" s="799"/>
      <c r="R479" s="799"/>
      <c r="S479" s="799"/>
      <c r="T479" s="799"/>
      <c r="U479" s="799"/>
      <c r="V479" s="799"/>
      <c r="W479" s="799"/>
      <c r="X479" s="799"/>
      <c r="Y479" s="799"/>
      <c r="Z479" s="799"/>
      <c r="AA479" s="799"/>
      <c r="AB479" s="799"/>
      <c r="AC479" s="799"/>
      <c r="AD479" s="799"/>
      <c r="AE479" s="799"/>
      <c r="AF479" s="799"/>
      <c r="AG479" s="799"/>
      <c r="AH479" s="799"/>
      <c r="AI479" s="799"/>
      <c r="AJ479" s="799"/>
      <c r="AK479" s="799"/>
      <c r="AL479" s="799"/>
      <c r="AM479" s="799"/>
      <c r="AN479" s="799"/>
      <c r="AO479" s="799"/>
      <c r="AP479" s="799"/>
      <c r="AQ479" s="799"/>
      <c r="AR479" s="799"/>
      <c r="AS479" s="799"/>
      <c r="AT479" s="799"/>
      <c r="AU479" s="799"/>
      <c r="AV479" s="799"/>
      <c r="AW479" s="799"/>
      <c r="AX479" s="799"/>
      <c r="AY479" s="799"/>
      <c r="AZ479" s="799"/>
      <c r="BA479" s="799"/>
      <c r="BB479" s="799"/>
      <c r="BC479" s="799"/>
      <c r="BD479" s="799"/>
      <c r="BE479" s="799"/>
      <c r="BF479" s="799"/>
      <c r="BG479" s="799"/>
    </row>
    <row r="480">
      <c r="H480" s="799"/>
      <c r="I480" s="799"/>
      <c r="J480" s="799"/>
      <c r="K480" s="799"/>
      <c r="L480" s="799"/>
      <c r="M480" s="799"/>
      <c r="N480" s="799"/>
      <c r="O480" s="799"/>
      <c r="P480" s="799"/>
      <c r="Q480" s="799"/>
      <c r="R480" s="799"/>
      <c r="S480" s="799"/>
      <c r="T480" s="799"/>
      <c r="U480" s="799"/>
      <c r="V480" s="799"/>
      <c r="W480" s="799"/>
      <c r="X480" s="799"/>
      <c r="Y480" s="799"/>
      <c r="Z480" s="799"/>
      <c r="AA480" s="799"/>
      <c r="AB480" s="799"/>
      <c r="AC480" s="799"/>
      <c r="AD480" s="799"/>
      <c r="AE480" s="799"/>
      <c r="AF480" s="799"/>
      <c r="AG480" s="799"/>
      <c r="AH480" s="799"/>
      <c r="AI480" s="799"/>
      <c r="AJ480" s="799"/>
      <c r="AK480" s="799"/>
      <c r="AL480" s="799"/>
      <c r="AM480" s="799"/>
      <c r="AN480" s="799"/>
      <c r="AO480" s="799"/>
      <c r="AP480" s="799"/>
      <c r="AQ480" s="799"/>
      <c r="AR480" s="799"/>
      <c r="AS480" s="799"/>
      <c r="AT480" s="799"/>
      <c r="AU480" s="799"/>
      <c r="AV480" s="799"/>
      <c r="AW480" s="799"/>
      <c r="AX480" s="799"/>
      <c r="AY480" s="799"/>
      <c r="AZ480" s="799"/>
      <c r="BA480" s="799"/>
      <c r="BB480" s="799"/>
      <c r="BC480" s="799"/>
      <c r="BD480" s="799"/>
      <c r="BE480" s="799"/>
      <c r="BF480" s="799"/>
      <c r="BG480" s="799"/>
    </row>
    <row r="481">
      <c r="H481" s="799"/>
      <c r="I481" s="799"/>
      <c r="J481" s="799"/>
      <c r="K481" s="799"/>
      <c r="L481" s="799"/>
      <c r="M481" s="799"/>
      <c r="N481" s="799"/>
      <c r="O481" s="799"/>
      <c r="P481" s="799"/>
      <c r="Q481" s="799"/>
      <c r="R481" s="799"/>
      <c r="S481" s="799"/>
      <c r="T481" s="799"/>
      <c r="U481" s="799"/>
      <c r="V481" s="799"/>
      <c r="W481" s="799"/>
      <c r="X481" s="799"/>
      <c r="Y481" s="799"/>
      <c r="Z481" s="799"/>
      <c r="AA481" s="799"/>
      <c r="AB481" s="799"/>
      <c r="AC481" s="799"/>
      <c r="AD481" s="799"/>
      <c r="AE481" s="799"/>
      <c r="AF481" s="799"/>
      <c r="AG481" s="799"/>
      <c r="AH481" s="799"/>
      <c r="AI481" s="799"/>
      <c r="AJ481" s="799"/>
      <c r="AK481" s="799"/>
      <c r="AL481" s="799"/>
      <c r="AM481" s="799"/>
      <c r="AN481" s="799"/>
      <c r="AO481" s="799"/>
      <c r="AP481" s="799"/>
      <c r="AQ481" s="799"/>
      <c r="AR481" s="799"/>
      <c r="AS481" s="799"/>
      <c r="AT481" s="799"/>
      <c r="AU481" s="799"/>
      <c r="AV481" s="799"/>
      <c r="AW481" s="799"/>
      <c r="AX481" s="799"/>
      <c r="AY481" s="799"/>
      <c r="AZ481" s="799"/>
      <c r="BA481" s="799"/>
      <c r="BB481" s="799"/>
      <c r="BC481" s="799"/>
      <c r="BD481" s="799"/>
      <c r="BE481" s="799"/>
      <c r="BF481" s="799"/>
      <c r="BG481" s="799"/>
    </row>
    <row r="482">
      <c r="H482" s="799"/>
      <c r="I482" s="799"/>
      <c r="J482" s="799"/>
      <c r="K482" s="799"/>
      <c r="L482" s="799"/>
      <c r="M482" s="799"/>
      <c r="N482" s="799"/>
      <c r="O482" s="799"/>
      <c r="P482" s="799"/>
      <c r="Q482" s="799"/>
      <c r="R482" s="799"/>
      <c r="S482" s="799"/>
      <c r="T482" s="799"/>
      <c r="U482" s="799"/>
      <c r="V482" s="799"/>
      <c r="W482" s="799"/>
      <c r="X482" s="799"/>
      <c r="Y482" s="799"/>
      <c r="Z482" s="799"/>
      <c r="AA482" s="799"/>
      <c r="AB482" s="799"/>
      <c r="AC482" s="799"/>
      <c r="AD482" s="799"/>
      <c r="AE482" s="799"/>
      <c r="AF482" s="799"/>
      <c r="AG482" s="799"/>
      <c r="AH482" s="799"/>
      <c r="AI482" s="799"/>
      <c r="AJ482" s="799"/>
      <c r="AK482" s="799"/>
      <c r="AL482" s="799"/>
      <c r="AM482" s="799"/>
      <c r="AN482" s="799"/>
      <c r="AO482" s="799"/>
      <c r="AP482" s="799"/>
      <c r="AQ482" s="799"/>
      <c r="AR482" s="799"/>
      <c r="AS482" s="799"/>
      <c r="AT482" s="799"/>
      <c r="AU482" s="799"/>
      <c r="AV482" s="799"/>
      <c r="AW482" s="799"/>
      <c r="AX482" s="799"/>
      <c r="AY482" s="799"/>
      <c r="AZ482" s="799"/>
      <c r="BA482" s="799"/>
      <c r="BB482" s="799"/>
      <c r="BC482" s="799"/>
      <c r="BD482" s="799"/>
      <c r="BE482" s="799"/>
      <c r="BF482" s="799"/>
      <c r="BG482" s="799"/>
    </row>
    <row r="483">
      <c r="H483" s="799"/>
      <c r="I483" s="799"/>
      <c r="J483" s="799"/>
      <c r="K483" s="799"/>
      <c r="L483" s="799"/>
      <c r="M483" s="799"/>
      <c r="N483" s="799"/>
      <c r="O483" s="799"/>
      <c r="P483" s="799"/>
      <c r="Q483" s="799"/>
      <c r="R483" s="799"/>
      <c r="S483" s="799"/>
      <c r="T483" s="799"/>
      <c r="U483" s="799"/>
      <c r="V483" s="799"/>
      <c r="W483" s="799"/>
      <c r="X483" s="799"/>
      <c r="Y483" s="799"/>
      <c r="Z483" s="799"/>
      <c r="AA483" s="799"/>
      <c r="AB483" s="799"/>
      <c r="AC483" s="799"/>
      <c r="AD483" s="799"/>
      <c r="AE483" s="799"/>
      <c r="AF483" s="799"/>
      <c r="AG483" s="799"/>
      <c r="AH483" s="799"/>
      <c r="AI483" s="799"/>
      <c r="AJ483" s="799"/>
      <c r="AK483" s="799"/>
      <c r="AL483" s="799"/>
      <c r="AM483" s="799"/>
      <c r="AN483" s="799"/>
      <c r="AO483" s="799"/>
      <c r="AP483" s="799"/>
      <c r="AQ483" s="799"/>
      <c r="AR483" s="799"/>
      <c r="AS483" s="799"/>
      <c r="AT483" s="799"/>
      <c r="AU483" s="799"/>
      <c r="AV483" s="799"/>
      <c r="AW483" s="799"/>
      <c r="AX483" s="799"/>
      <c r="AY483" s="799"/>
      <c r="AZ483" s="799"/>
      <c r="BA483" s="799"/>
      <c r="BB483" s="799"/>
      <c r="BC483" s="799"/>
      <c r="BD483" s="799"/>
      <c r="BE483" s="799"/>
      <c r="BF483" s="799"/>
      <c r="BG483" s="799"/>
    </row>
    <row r="484">
      <c r="H484" s="799"/>
      <c r="I484" s="799"/>
      <c r="J484" s="799"/>
      <c r="K484" s="799"/>
      <c r="L484" s="799"/>
      <c r="M484" s="799"/>
      <c r="N484" s="799"/>
      <c r="O484" s="799"/>
      <c r="P484" s="799"/>
      <c r="Q484" s="799"/>
      <c r="R484" s="799"/>
      <c r="S484" s="799"/>
      <c r="T484" s="799"/>
      <c r="U484" s="799"/>
      <c r="V484" s="799"/>
      <c r="W484" s="799"/>
      <c r="X484" s="799"/>
      <c r="Y484" s="799"/>
      <c r="Z484" s="799"/>
      <c r="AA484" s="799"/>
      <c r="AB484" s="799"/>
      <c r="AC484" s="799"/>
      <c r="AD484" s="799"/>
      <c r="AE484" s="799"/>
      <c r="AF484" s="799"/>
      <c r="AG484" s="799"/>
      <c r="AH484" s="799"/>
      <c r="AI484" s="799"/>
      <c r="AJ484" s="799"/>
      <c r="AK484" s="799"/>
      <c r="AL484" s="799"/>
      <c r="AM484" s="799"/>
      <c r="AN484" s="799"/>
      <c r="AO484" s="799"/>
      <c r="AP484" s="799"/>
      <c r="AQ484" s="799"/>
      <c r="AR484" s="799"/>
      <c r="AS484" s="799"/>
      <c r="AT484" s="799"/>
      <c r="AU484" s="799"/>
      <c r="AV484" s="799"/>
      <c r="AW484" s="799"/>
      <c r="AX484" s="799"/>
      <c r="AY484" s="799"/>
      <c r="AZ484" s="799"/>
      <c r="BA484" s="799"/>
      <c r="BB484" s="799"/>
      <c r="BC484" s="799"/>
      <c r="BD484" s="799"/>
      <c r="BE484" s="799"/>
      <c r="BF484" s="799"/>
      <c r="BG484" s="799"/>
    </row>
    <row r="485">
      <c r="H485" s="799"/>
      <c r="I485" s="799"/>
      <c r="J485" s="799"/>
      <c r="K485" s="799"/>
      <c r="L485" s="799"/>
      <c r="M485" s="799"/>
      <c r="N485" s="799"/>
      <c r="O485" s="799"/>
      <c r="P485" s="799"/>
      <c r="Q485" s="799"/>
      <c r="R485" s="799"/>
      <c r="S485" s="799"/>
      <c r="T485" s="799"/>
      <c r="U485" s="799"/>
      <c r="V485" s="799"/>
      <c r="W485" s="799"/>
      <c r="X485" s="799"/>
      <c r="Y485" s="799"/>
      <c r="Z485" s="799"/>
      <c r="AA485" s="799"/>
      <c r="AB485" s="799"/>
      <c r="AC485" s="799"/>
      <c r="AD485" s="799"/>
      <c r="AE485" s="799"/>
      <c r="AF485" s="799"/>
      <c r="AG485" s="799"/>
      <c r="AH485" s="799"/>
      <c r="AI485" s="799"/>
      <c r="AJ485" s="799"/>
      <c r="AK485" s="799"/>
      <c r="AL485" s="799"/>
      <c r="AM485" s="799"/>
      <c r="AN485" s="799"/>
      <c r="AO485" s="799"/>
      <c r="AP485" s="799"/>
      <c r="AQ485" s="799"/>
      <c r="AR485" s="799"/>
      <c r="AS485" s="799"/>
      <c r="AT485" s="799"/>
      <c r="AU485" s="799"/>
      <c r="AV485" s="799"/>
      <c r="AW485" s="799"/>
      <c r="AX485" s="799"/>
      <c r="AY485" s="799"/>
      <c r="AZ485" s="799"/>
      <c r="BA485" s="799"/>
      <c r="BB485" s="799"/>
      <c r="BC485" s="799"/>
      <c r="BD485" s="799"/>
      <c r="BE485" s="799"/>
      <c r="BF485" s="799"/>
      <c r="BG485" s="799"/>
    </row>
    <row r="486">
      <c r="H486" s="799"/>
      <c r="I486" s="799"/>
      <c r="J486" s="799"/>
      <c r="K486" s="799"/>
      <c r="L486" s="799"/>
      <c r="M486" s="799"/>
      <c r="N486" s="799"/>
      <c r="O486" s="799"/>
      <c r="P486" s="799"/>
      <c r="Q486" s="799"/>
      <c r="R486" s="799"/>
      <c r="S486" s="799"/>
      <c r="T486" s="799"/>
      <c r="U486" s="799"/>
      <c r="V486" s="799"/>
      <c r="W486" s="799"/>
      <c r="X486" s="799"/>
      <c r="Y486" s="799"/>
      <c r="Z486" s="799"/>
      <c r="AA486" s="799"/>
      <c r="AB486" s="799"/>
      <c r="AC486" s="799"/>
      <c r="AD486" s="799"/>
      <c r="AE486" s="799"/>
      <c r="AF486" s="799"/>
      <c r="AG486" s="799"/>
      <c r="AH486" s="799"/>
      <c r="AI486" s="799"/>
      <c r="AJ486" s="799"/>
      <c r="AK486" s="799"/>
      <c r="AL486" s="799"/>
      <c r="AM486" s="799"/>
      <c r="AN486" s="799"/>
      <c r="AO486" s="799"/>
      <c r="AP486" s="799"/>
      <c r="AQ486" s="799"/>
      <c r="AR486" s="799"/>
      <c r="AS486" s="799"/>
      <c r="AT486" s="799"/>
      <c r="AU486" s="799"/>
      <c r="AV486" s="799"/>
      <c r="AW486" s="799"/>
      <c r="AX486" s="799"/>
      <c r="AY486" s="799"/>
      <c r="AZ486" s="799"/>
      <c r="BA486" s="799"/>
      <c r="BB486" s="799"/>
      <c r="BC486" s="799"/>
      <c r="BD486" s="799"/>
      <c r="BE486" s="799"/>
      <c r="BF486" s="799"/>
      <c r="BG486" s="799"/>
    </row>
    <row r="487">
      <c r="H487" s="799"/>
      <c r="I487" s="799"/>
      <c r="J487" s="799"/>
      <c r="K487" s="799"/>
      <c r="L487" s="799"/>
      <c r="M487" s="799"/>
      <c r="N487" s="799"/>
      <c r="O487" s="799"/>
      <c r="P487" s="799"/>
      <c r="Q487" s="799"/>
      <c r="R487" s="799"/>
      <c r="S487" s="799"/>
      <c r="T487" s="799"/>
      <c r="U487" s="799"/>
      <c r="V487" s="799"/>
      <c r="W487" s="799"/>
      <c r="X487" s="799"/>
      <c r="Y487" s="799"/>
      <c r="Z487" s="799"/>
      <c r="AA487" s="799"/>
      <c r="AB487" s="799"/>
      <c r="AC487" s="799"/>
      <c r="AD487" s="799"/>
      <c r="AE487" s="799"/>
      <c r="AF487" s="799"/>
      <c r="AG487" s="799"/>
      <c r="AH487" s="799"/>
      <c r="AI487" s="799"/>
      <c r="AJ487" s="799"/>
      <c r="AK487" s="799"/>
      <c r="AL487" s="799"/>
      <c r="AM487" s="799"/>
      <c r="AN487" s="799"/>
      <c r="AO487" s="799"/>
      <c r="AP487" s="799"/>
      <c r="AQ487" s="799"/>
      <c r="AR487" s="799"/>
      <c r="AS487" s="799"/>
      <c r="AT487" s="799"/>
      <c r="AU487" s="799"/>
      <c r="AV487" s="799"/>
      <c r="AW487" s="799"/>
      <c r="AX487" s="799"/>
      <c r="AY487" s="799"/>
      <c r="AZ487" s="799"/>
      <c r="BA487" s="799"/>
      <c r="BB487" s="799"/>
      <c r="BC487" s="799"/>
      <c r="BD487" s="799"/>
      <c r="BE487" s="799"/>
      <c r="BF487" s="799"/>
      <c r="BG487" s="799"/>
    </row>
    <row r="488">
      <c r="H488" s="799"/>
      <c r="I488" s="799"/>
      <c r="J488" s="799"/>
      <c r="K488" s="799"/>
      <c r="L488" s="799"/>
      <c r="M488" s="799"/>
      <c r="N488" s="799"/>
      <c r="O488" s="799"/>
      <c r="P488" s="799"/>
      <c r="Q488" s="799"/>
      <c r="R488" s="799"/>
      <c r="S488" s="799"/>
      <c r="T488" s="799"/>
      <c r="U488" s="799"/>
      <c r="V488" s="799"/>
      <c r="W488" s="799"/>
      <c r="X488" s="799"/>
      <c r="Y488" s="799"/>
      <c r="Z488" s="799"/>
      <c r="AA488" s="799"/>
      <c r="AB488" s="799"/>
      <c r="AC488" s="799"/>
      <c r="AD488" s="799"/>
      <c r="AE488" s="799"/>
      <c r="AF488" s="799"/>
      <c r="AG488" s="799"/>
      <c r="AH488" s="799"/>
      <c r="AI488" s="799"/>
      <c r="AJ488" s="799"/>
      <c r="AK488" s="799"/>
      <c r="AL488" s="799"/>
      <c r="AM488" s="799"/>
      <c r="AN488" s="799"/>
      <c r="AO488" s="799"/>
      <c r="AP488" s="799"/>
      <c r="AQ488" s="799"/>
      <c r="AR488" s="799"/>
      <c r="AS488" s="799"/>
      <c r="AT488" s="799"/>
      <c r="AU488" s="799"/>
      <c r="AV488" s="799"/>
      <c r="AW488" s="799"/>
      <c r="AX488" s="799"/>
      <c r="AY488" s="799"/>
      <c r="AZ488" s="799"/>
      <c r="BA488" s="799"/>
      <c r="BB488" s="799"/>
      <c r="BC488" s="799"/>
      <c r="BD488" s="799"/>
      <c r="BE488" s="799"/>
      <c r="BF488" s="799"/>
      <c r="BG488" s="799"/>
    </row>
    <row r="489">
      <c r="H489" s="799"/>
      <c r="I489" s="799"/>
      <c r="J489" s="799"/>
      <c r="K489" s="799"/>
      <c r="L489" s="799"/>
      <c r="M489" s="799"/>
      <c r="N489" s="799"/>
      <c r="O489" s="799"/>
      <c r="P489" s="799"/>
      <c r="Q489" s="799"/>
      <c r="R489" s="799"/>
      <c r="S489" s="799"/>
      <c r="T489" s="799"/>
      <c r="U489" s="799"/>
      <c r="V489" s="799"/>
      <c r="W489" s="799"/>
      <c r="X489" s="799"/>
      <c r="Y489" s="799"/>
      <c r="Z489" s="799"/>
      <c r="AA489" s="799"/>
      <c r="AB489" s="799"/>
      <c r="AC489" s="799"/>
      <c r="AD489" s="799"/>
      <c r="AE489" s="799"/>
      <c r="AF489" s="799"/>
      <c r="AG489" s="799"/>
      <c r="AH489" s="799"/>
      <c r="AI489" s="799"/>
      <c r="AJ489" s="799"/>
      <c r="AK489" s="799"/>
      <c r="AL489" s="799"/>
      <c r="AM489" s="799"/>
      <c r="AN489" s="799"/>
      <c r="AO489" s="799"/>
      <c r="AP489" s="799"/>
      <c r="AQ489" s="799"/>
      <c r="AR489" s="799"/>
      <c r="AS489" s="799"/>
      <c r="AT489" s="799"/>
      <c r="AU489" s="799"/>
      <c r="AV489" s="799"/>
      <c r="AW489" s="799"/>
      <c r="AX489" s="799"/>
      <c r="AY489" s="799"/>
      <c r="AZ489" s="799"/>
      <c r="BA489" s="799"/>
      <c r="BB489" s="799"/>
      <c r="BC489" s="799"/>
      <c r="BD489" s="799"/>
      <c r="BE489" s="799"/>
      <c r="BF489" s="799"/>
      <c r="BG489" s="799"/>
    </row>
    <row r="490">
      <c r="H490" s="799"/>
      <c r="I490" s="799"/>
      <c r="J490" s="799"/>
      <c r="K490" s="799"/>
      <c r="L490" s="799"/>
      <c r="M490" s="799"/>
      <c r="N490" s="799"/>
      <c r="O490" s="799"/>
      <c r="P490" s="799"/>
      <c r="Q490" s="799"/>
      <c r="R490" s="799"/>
      <c r="S490" s="799"/>
      <c r="T490" s="799"/>
      <c r="U490" s="799"/>
      <c r="V490" s="799"/>
      <c r="W490" s="799"/>
      <c r="X490" s="799"/>
      <c r="Y490" s="799"/>
      <c r="Z490" s="799"/>
      <c r="AA490" s="799"/>
      <c r="AB490" s="799"/>
      <c r="AC490" s="799"/>
      <c r="AD490" s="799"/>
      <c r="AE490" s="799"/>
      <c r="AF490" s="799"/>
      <c r="AG490" s="799"/>
      <c r="AH490" s="799"/>
      <c r="AI490" s="799"/>
      <c r="AJ490" s="799"/>
      <c r="AK490" s="799"/>
      <c r="AL490" s="799"/>
      <c r="AM490" s="799"/>
      <c r="AN490" s="799"/>
      <c r="AO490" s="799"/>
      <c r="AP490" s="799"/>
      <c r="AQ490" s="799"/>
      <c r="AR490" s="799"/>
      <c r="AS490" s="799"/>
      <c r="AT490" s="799"/>
      <c r="AU490" s="799"/>
      <c r="AV490" s="799"/>
      <c r="AW490" s="799"/>
      <c r="AX490" s="799"/>
      <c r="AY490" s="799"/>
      <c r="AZ490" s="799"/>
      <c r="BA490" s="799"/>
      <c r="BB490" s="799"/>
      <c r="BC490" s="799"/>
      <c r="BD490" s="799"/>
      <c r="BE490" s="799"/>
      <c r="BF490" s="799"/>
      <c r="BG490" s="799"/>
    </row>
    <row r="491">
      <c r="H491" s="799"/>
      <c r="I491" s="799"/>
      <c r="J491" s="799"/>
      <c r="K491" s="799"/>
      <c r="L491" s="799"/>
      <c r="M491" s="799"/>
      <c r="N491" s="799"/>
      <c r="O491" s="799"/>
      <c r="P491" s="799"/>
      <c r="Q491" s="799"/>
      <c r="R491" s="799"/>
      <c r="S491" s="799"/>
      <c r="T491" s="799"/>
      <c r="U491" s="799"/>
      <c r="V491" s="799"/>
      <c r="W491" s="799"/>
      <c r="X491" s="799"/>
      <c r="Y491" s="799"/>
      <c r="Z491" s="799"/>
      <c r="AA491" s="799"/>
      <c r="AB491" s="799"/>
      <c r="AC491" s="799"/>
      <c r="AD491" s="799"/>
      <c r="AE491" s="799"/>
      <c r="AF491" s="799"/>
      <c r="AG491" s="799"/>
      <c r="AH491" s="799"/>
      <c r="AI491" s="799"/>
      <c r="AJ491" s="799"/>
      <c r="AK491" s="799"/>
      <c r="AL491" s="799"/>
      <c r="AM491" s="799"/>
      <c r="AN491" s="799"/>
      <c r="AO491" s="799"/>
      <c r="AP491" s="799"/>
      <c r="AQ491" s="799"/>
      <c r="AR491" s="799"/>
      <c r="AS491" s="799"/>
      <c r="AT491" s="799"/>
      <c r="AU491" s="799"/>
      <c r="AV491" s="799"/>
      <c r="AW491" s="799"/>
      <c r="AX491" s="799"/>
      <c r="AY491" s="799"/>
      <c r="AZ491" s="799"/>
      <c r="BA491" s="799"/>
      <c r="BB491" s="799"/>
      <c r="BC491" s="799"/>
      <c r="BD491" s="799"/>
      <c r="BE491" s="799"/>
      <c r="BF491" s="799"/>
      <c r="BG491" s="799"/>
    </row>
    <row r="492">
      <c r="H492" s="799"/>
      <c r="I492" s="799"/>
      <c r="J492" s="799"/>
      <c r="K492" s="799"/>
      <c r="L492" s="799"/>
      <c r="M492" s="799"/>
      <c r="N492" s="799"/>
      <c r="O492" s="799"/>
      <c r="P492" s="799"/>
      <c r="Q492" s="799"/>
      <c r="R492" s="799"/>
      <c r="S492" s="799"/>
      <c r="T492" s="799"/>
      <c r="U492" s="799"/>
      <c r="V492" s="799"/>
      <c r="W492" s="799"/>
      <c r="X492" s="799"/>
      <c r="Y492" s="799"/>
      <c r="Z492" s="799"/>
      <c r="AA492" s="799"/>
      <c r="AB492" s="799"/>
      <c r="AC492" s="799"/>
      <c r="AD492" s="799"/>
      <c r="AE492" s="799"/>
      <c r="AF492" s="799"/>
      <c r="AG492" s="799"/>
      <c r="AH492" s="799"/>
      <c r="AI492" s="799"/>
      <c r="AJ492" s="799"/>
      <c r="AK492" s="799"/>
      <c r="AL492" s="799"/>
      <c r="AM492" s="799"/>
      <c r="AN492" s="799"/>
      <c r="AO492" s="799"/>
      <c r="AP492" s="799"/>
      <c r="AQ492" s="799"/>
      <c r="AR492" s="799"/>
      <c r="AS492" s="799"/>
      <c r="AT492" s="799"/>
      <c r="AU492" s="799"/>
      <c r="AV492" s="799"/>
      <c r="AW492" s="799"/>
      <c r="AX492" s="799"/>
      <c r="AY492" s="799"/>
      <c r="AZ492" s="799"/>
      <c r="BA492" s="799"/>
      <c r="BB492" s="799"/>
      <c r="BC492" s="799"/>
      <c r="BD492" s="799"/>
      <c r="BE492" s="799"/>
      <c r="BF492" s="799"/>
      <c r="BG492" s="799"/>
    </row>
    <row r="493">
      <c r="H493" s="799"/>
      <c r="I493" s="799"/>
      <c r="J493" s="799"/>
      <c r="K493" s="799"/>
      <c r="L493" s="799"/>
      <c r="M493" s="799"/>
      <c r="N493" s="799"/>
      <c r="O493" s="799"/>
      <c r="P493" s="799"/>
      <c r="Q493" s="799"/>
      <c r="R493" s="799"/>
      <c r="S493" s="799"/>
      <c r="T493" s="799"/>
      <c r="U493" s="799"/>
      <c r="V493" s="799"/>
      <c r="W493" s="799"/>
      <c r="X493" s="799"/>
      <c r="Y493" s="799"/>
      <c r="Z493" s="799"/>
      <c r="AA493" s="799"/>
      <c r="AB493" s="799"/>
      <c r="AC493" s="799"/>
      <c r="AD493" s="799"/>
      <c r="AE493" s="799"/>
      <c r="AF493" s="799"/>
      <c r="AG493" s="799"/>
      <c r="AH493" s="799"/>
      <c r="AI493" s="799"/>
      <c r="AJ493" s="799"/>
      <c r="AK493" s="799"/>
      <c r="AL493" s="799"/>
      <c r="AM493" s="799"/>
      <c r="AN493" s="799"/>
      <c r="AO493" s="799"/>
      <c r="AP493" s="799"/>
      <c r="AQ493" s="799"/>
      <c r="AR493" s="799"/>
      <c r="AS493" s="799"/>
      <c r="AT493" s="799"/>
      <c r="AU493" s="799"/>
      <c r="AV493" s="799"/>
      <c r="AW493" s="799"/>
      <c r="AX493" s="799"/>
      <c r="AY493" s="799"/>
      <c r="AZ493" s="799"/>
      <c r="BA493" s="799"/>
      <c r="BB493" s="799"/>
      <c r="BC493" s="799"/>
      <c r="BD493" s="799"/>
      <c r="BE493" s="799"/>
      <c r="BF493" s="799"/>
      <c r="BG493" s="799"/>
    </row>
    <row r="494">
      <c r="H494" s="799"/>
      <c r="I494" s="799"/>
      <c r="J494" s="799"/>
      <c r="K494" s="799"/>
      <c r="L494" s="799"/>
      <c r="M494" s="799"/>
      <c r="N494" s="799"/>
      <c r="O494" s="799"/>
      <c r="P494" s="799"/>
      <c r="Q494" s="799"/>
      <c r="R494" s="799"/>
      <c r="S494" s="799"/>
      <c r="T494" s="799"/>
      <c r="U494" s="799"/>
      <c r="V494" s="799"/>
      <c r="W494" s="799"/>
      <c r="X494" s="799"/>
      <c r="Y494" s="799"/>
      <c r="Z494" s="799"/>
      <c r="AA494" s="799"/>
      <c r="AB494" s="799"/>
      <c r="AC494" s="799"/>
      <c r="AD494" s="799"/>
      <c r="AE494" s="799"/>
      <c r="AF494" s="799"/>
      <c r="AG494" s="799"/>
      <c r="AH494" s="799"/>
      <c r="AI494" s="799"/>
      <c r="AJ494" s="799"/>
      <c r="AK494" s="799"/>
      <c r="AL494" s="799"/>
      <c r="AM494" s="799"/>
      <c r="AN494" s="799"/>
      <c r="AO494" s="799"/>
      <c r="AP494" s="799"/>
      <c r="AQ494" s="799"/>
      <c r="AR494" s="799"/>
      <c r="AS494" s="799"/>
      <c r="AT494" s="799"/>
      <c r="AU494" s="799"/>
      <c r="AV494" s="799"/>
      <c r="AW494" s="799"/>
      <c r="AX494" s="799"/>
      <c r="AY494" s="799"/>
      <c r="AZ494" s="799"/>
      <c r="BA494" s="799"/>
      <c r="BB494" s="799"/>
      <c r="BC494" s="799"/>
      <c r="BD494" s="799"/>
      <c r="BE494" s="799"/>
      <c r="BF494" s="799"/>
      <c r="BG494" s="799"/>
    </row>
    <row r="495">
      <c r="H495" s="799"/>
      <c r="I495" s="799"/>
      <c r="J495" s="799"/>
      <c r="K495" s="799"/>
      <c r="L495" s="799"/>
      <c r="M495" s="799"/>
      <c r="N495" s="799"/>
      <c r="O495" s="799"/>
      <c r="P495" s="799"/>
      <c r="Q495" s="799"/>
      <c r="R495" s="799"/>
      <c r="S495" s="799"/>
      <c r="T495" s="799"/>
      <c r="U495" s="799"/>
      <c r="V495" s="799"/>
      <c r="W495" s="799"/>
      <c r="X495" s="799"/>
      <c r="Y495" s="799"/>
      <c r="Z495" s="799"/>
      <c r="AA495" s="799"/>
      <c r="AB495" s="799"/>
      <c r="AC495" s="799"/>
      <c r="AD495" s="799"/>
      <c r="AE495" s="799"/>
      <c r="AF495" s="799"/>
      <c r="AG495" s="799"/>
      <c r="AH495" s="799"/>
      <c r="AI495" s="799"/>
      <c r="AJ495" s="799"/>
      <c r="AK495" s="799"/>
      <c r="AL495" s="799"/>
      <c r="AM495" s="799"/>
      <c r="AN495" s="799"/>
      <c r="AO495" s="799"/>
      <c r="AP495" s="799"/>
      <c r="AQ495" s="799"/>
      <c r="AR495" s="799"/>
      <c r="AS495" s="799"/>
      <c r="AT495" s="799"/>
      <c r="AU495" s="799"/>
      <c r="AV495" s="799"/>
      <c r="AW495" s="799"/>
      <c r="AX495" s="799"/>
      <c r="AY495" s="799"/>
      <c r="AZ495" s="799"/>
      <c r="BA495" s="799"/>
      <c r="BB495" s="799"/>
      <c r="BC495" s="799"/>
      <c r="BD495" s="799"/>
      <c r="BE495" s="799"/>
      <c r="BF495" s="799"/>
      <c r="BG495" s="799"/>
    </row>
    <row r="496">
      <c r="H496" s="799"/>
      <c r="I496" s="799"/>
      <c r="J496" s="799"/>
      <c r="K496" s="799"/>
      <c r="L496" s="799"/>
      <c r="M496" s="799"/>
      <c r="N496" s="799"/>
      <c r="O496" s="799"/>
      <c r="P496" s="799"/>
      <c r="Q496" s="799"/>
      <c r="R496" s="799"/>
      <c r="S496" s="799"/>
      <c r="T496" s="799"/>
      <c r="U496" s="799"/>
      <c r="V496" s="799"/>
      <c r="W496" s="799"/>
      <c r="X496" s="799"/>
      <c r="Y496" s="799"/>
      <c r="Z496" s="799"/>
      <c r="AA496" s="799"/>
      <c r="AB496" s="799"/>
      <c r="AC496" s="799"/>
      <c r="AD496" s="799"/>
      <c r="AE496" s="799"/>
      <c r="AF496" s="799"/>
      <c r="AG496" s="799"/>
      <c r="AH496" s="799"/>
      <c r="AI496" s="799"/>
      <c r="AJ496" s="799"/>
      <c r="AK496" s="799"/>
      <c r="AL496" s="799"/>
      <c r="AM496" s="799"/>
      <c r="AN496" s="799"/>
      <c r="AO496" s="799"/>
      <c r="AP496" s="799"/>
      <c r="AQ496" s="799"/>
      <c r="AR496" s="799"/>
      <c r="AS496" s="799"/>
      <c r="AT496" s="799"/>
      <c r="AU496" s="799"/>
      <c r="AV496" s="799"/>
      <c r="AW496" s="799"/>
      <c r="AX496" s="799"/>
      <c r="AY496" s="799"/>
      <c r="AZ496" s="799"/>
      <c r="BA496" s="799"/>
      <c r="BB496" s="799"/>
      <c r="BC496" s="799"/>
      <c r="BD496" s="799"/>
      <c r="BE496" s="799"/>
      <c r="BF496" s="799"/>
      <c r="BG496" s="799"/>
    </row>
    <row r="497">
      <c r="H497" s="799"/>
      <c r="I497" s="799"/>
      <c r="J497" s="799"/>
      <c r="K497" s="799"/>
      <c r="L497" s="799"/>
      <c r="M497" s="799"/>
      <c r="N497" s="799"/>
      <c r="O497" s="799"/>
      <c r="P497" s="799"/>
      <c r="Q497" s="799"/>
      <c r="R497" s="799"/>
      <c r="S497" s="799"/>
      <c r="T497" s="799"/>
      <c r="U497" s="799"/>
      <c r="V497" s="799"/>
      <c r="W497" s="799"/>
      <c r="X497" s="799"/>
      <c r="Y497" s="799"/>
      <c r="Z497" s="799"/>
      <c r="AA497" s="799"/>
      <c r="AB497" s="799"/>
      <c r="AC497" s="799"/>
      <c r="AD497" s="799"/>
      <c r="AE497" s="799"/>
      <c r="AF497" s="799"/>
      <c r="AG497" s="799"/>
      <c r="AH497" s="799"/>
      <c r="AI497" s="799"/>
      <c r="AJ497" s="799"/>
      <c r="AK497" s="799"/>
      <c r="AL497" s="799"/>
      <c r="AM497" s="799"/>
      <c r="AN497" s="799"/>
      <c r="AO497" s="799"/>
      <c r="AP497" s="799"/>
      <c r="AQ497" s="799"/>
      <c r="AR497" s="799"/>
      <c r="AS497" s="799"/>
      <c r="AT497" s="799"/>
      <c r="AU497" s="799"/>
      <c r="AV497" s="799"/>
      <c r="AW497" s="799"/>
      <c r="AX497" s="799"/>
      <c r="AY497" s="799"/>
      <c r="AZ497" s="799"/>
      <c r="BA497" s="799"/>
      <c r="BB497" s="799"/>
      <c r="BC497" s="799"/>
      <c r="BD497" s="799"/>
      <c r="BE497" s="799"/>
      <c r="BF497" s="799"/>
      <c r="BG497" s="799"/>
    </row>
    <row r="498">
      <c r="H498" s="799"/>
      <c r="I498" s="799"/>
      <c r="J498" s="799"/>
      <c r="K498" s="799"/>
      <c r="L498" s="799"/>
      <c r="M498" s="799"/>
      <c r="N498" s="799"/>
      <c r="O498" s="799"/>
      <c r="P498" s="799"/>
      <c r="Q498" s="799"/>
      <c r="R498" s="799"/>
      <c r="S498" s="799"/>
      <c r="T498" s="799"/>
      <c r="U498" s="799"/>
      <c r="V498" s="799"/>
      <c r="W498" s="799"/>
      <c r="X498" s="799"/>
      <c r="Y498" s="799"/>
      <c r="Z498" s="799"/>
      <c r="AA498" s="799"/>
      <c r="AB498" s="799"/>
      <c r="AC498" s="799"/>
      <c r="AD498" s="799"/>
      <c r="AE498" s="799"/>
      <c r="AF498" s="799"/>
      <c r="AG498" s="799"/>
      <c r="AH498" s="799"/>
      <c r="AI498" s="799"/>
      <c r="AJ498" s="799"/>
      <c r="AK498" s="799"/>
      <c r="AL498" s="799"/>
      <c r="AM498" s="799"/>
      <c r="AN498" s="799"/>
      <c r="AO498" s="799"/>
      <c r="AP498" s="799"/>
      <c r="AQ498" s="799"/>
      <c r="AR498" s="799"/>
      <c r="AS498" s="799"/>
      <c r="AT498" s="799"/>
      <c r="AU498" s="799"/>
      <c r="AV498" s="799"/>
      <c r="AW498" s="799"/>
      <c r="AX498" s="799"/>
      <c r="AY498" s="799"/>
      <c r="AZ498" s="799"/>
      <c r="BA498" s="799"/>
      <c r="BB498" s="799"/>
      <c r="BC498" s="799"/>
      <c r="BD498" s="799"/>
      <c r="BE498" s="799"/>
      <c r="BF498" s="799"/>
      <c r="BG498" s="799"/>
    </row>
    <row r="499">
      <c r="H499" s="799"/>
      <c r="I499" s="799"/>
      <c r="J499" s="799"/>
      <c r="K499" s="799"/>
      <c r="L499" s="799"/>
      <c r="M499" s="799"/>
      <c r="N499" s="799"/>
      <c r="O499" s="799"/>
      <c r="P499" s="799"/>
      <c r="Q499" s="799"/>
      <c r="R499" s="799"/>
      <c r="S499" s="799"/>
      <c r="T499" s="799"/>
      <c r="U499" s="799"/>
      <c r="V499" s="799"/>
      <c r="W499" s="799"/>
      <c r="X499" s="799"/>
      <c r="Y499" s="799"/>
      <c r="Z499" s="799"/>
      <c r="AA499" s="799"/>
      <c r="AB499" s="799"/>
      <c r="AC499" s="799"/>
      <c r="AD499" s="799"/>
      <c r="AE499" s="799"/>
      <c r="AF499" s="799"/>
      <c r="AG499" s="799"/>
      <c r="AH499" s="799"/>
      <c r="AI499" s="799"/>
      <c r="AJ499" s="799"/>
      <c r="AK499" s="799"/>
      <c r="AL499" s="799"/>
      <c r="AM499" s="799"/>
      <c r="AN499" s="799"/>
      <c r="AO499" s="799"/>
      <c r="AP499" s="799"/>
      <c r="AQ499" s="799"/>
      <c r="AR499" s="799"/>
      <c r="AS499" s="799"/>
      <c r="AT499" s="799"/>
      <c r="AU499" s="799"/>
      <c r="AV499" s="799"/>
      <c r="AW499" s="799"/>
      <c r="AX499" s="799"/>
      <c r="AY499" s="799"/>
      <c r="AZ499" s="799"/>
      <c r="BA499" s="799"/>
      <c r="BB499" s="799"/>
      <c r="BC499" s="799"/>
      <c r="BD499" s="799"/>
      <c r="BE499" s="799"/>
      <c r="BF499" s="799"/>
      <c r="BG499" s="799"/>
    </row>
    <row r="500">
      <c r="H500" s="799"/>
      <c r="I500" s="799"/>
      <c r="J500" s="799"/>
      <c r="K500" s="799"/>
      <c r="L500" s="799"/>
      <c r="M500" s="799"/>
      <c r="N500" s="799"/>
      <c r="O500" s="799"/>
      <c r="P500" s="799"/>
      <c r="Q500" s="799"/>
      <c r="R500" s="799"/>
      <c r="S500" s="799"/>
      <c r="T500" s="799"/>
      <c r="U500" s="799"/>
      <c r="V500" s="799"/>
      <c r="W500" s="799"/>
      <c r="X500" s="799"/>
      <c r="Y500" s="799"/>
      <c r="Z500" s="799"/>
      <c r="AA500" s="799"/>
      <c r="AB500" s="799"/>
      <c r="AC500" s="799"/>
      <c r="AD500" s="799"/>
      <c r="AE500" s="799"/>
      <c r="AF500" s="799"/>
      <c r="AG500" s="799"/>
      <c r="AH500" s="799"/>
      <c r="AI500" s="799"/>
      <c r="AJ500" s="799"/>
      <c r="AK500" s="799"/>
      <c r="AL500" s="799"/>
      <c r="AM500" s="799"/>
      <c r="AN500" s="799"/>
      <c r="AO500" s="799"/>
      <c r="AP500" s="799"/>
      <c r="AQ500" s="799"/>
      <c r="AR500" s="799"/>
      <c r="AS500" s="799"/>
      <c r="AT500" s="799"/>
      <c r="AU500" s="799"/>
      <c r="AV500" s="799"/>
      <c r="AW500" s="799"/>
      <c r="AX500" s="799"/>
      <c r="AY500" s="799"/>
      <c r="AZ500" s="799"/>
      <c r="BA500" s="799"/>
      <c r="BB500" s="799"/>
      <c r="BC500" s="799"/>
      <c r="BD500" s="799"/>
      <c r="BE500" s="799"/>
      <c r="BF500" s="799"/>
      <c r="BG500" s="799"/>
    </row>
    <row r="501">
      <c r="H501" s="799"/>
      <c r="I501" s="799"/>
      <c r="J501" s="799"/>
      <c r="K501" s="799"/>
      <c r="L501" s="799"/>
      <c r="M501" s="799"/>
      <c r="N501" s="799"/>
      <c r="O501" s="799"/>
      <c r="P501" s="799"/>
      <c r="Q501" s="799"/>
      <c r="R501" s="799"/>
      <c r="S501" s="799"/>
      <c r="T501" s="799"/>
      <c r="U501" s="799"/>
      <c r="V501" s="799"/>
      <c r="W501" s="799"/>
      <c r="X501" s="799"/>
      <c r="Y501" s="799"/>
      <c r="Z501" s="799"/>
      <c r="AA501" s="799"/>
      <c r="AB501" s="799"/>
      <c r="AC501" s="799"/>
      <c r="AD501" s="799"/>
      <c r="AE501" s="799"/>
      <c r="AF501" s="799"/>
      <c r="AG501" s="799"/>
      <c r="AH501" s="799"/>
      <c r="AI501" s="799"/>
      <c r="AJ501" s="799"/>
      <c r="AK501" s="799"/>
      <c r="AL501" s="799"/>
      <c r="AM501" s="799"/>
      <c r="AN501" s="799"/>
      <c r="AO501" s="799"/>
      <c r="AP501" s="799"/>
      <c r="AQ501" s="799"/>
      <c r="AR501" s="799"/>
      <c r="AS501" s="799"/>
      <c r="AT501" s="799"/>
      <c r="AU501" s="799"/>
      <c r="AV501" s="799"/>
      <c r="AW501" s="799"/>
      <c r="AX501" s="799"/>
      <c r="AY501" s="799"/>
      <c r="AZ501" s="799"/>
      <c r="BA501" s="799"/>
      <c r="BB501" s="799"/>
      <c r="BC501" s="799"/>
      <c r="BD501" s="799"/>
      <c r="BE501" s="799"/>
      <c r="BF501" s="799"/>
      <c r="BG501" s="799"/>
    </row>
    <row r="502">
      <c r="H502" s="799"/>
      <c r="I502" s="799"/>
      <c r="J502" s="799"/>
      <c r="K502" s="799"/>
      <c r="L502" s="799"/>
      <c r="M502" s="799"/>
      <c r="N502" s="799"/>
      <c r="O502" s="799"/>
      <c r="P502" s="799"/>
      <c r="Q502" s="799"/>
      <c r="R502" s="799"/>
      <c r="S502" s="799"/>
      <c r="T502" s="799"/>
      <c r="U502" s="799"/>
      <c r="V502" s="799"/>
      <c r="W502" s="799"/>
      <c r="X502" s="799"/>
      <c r="Y502" s="799"/>
      <c r="Z502" s="799"/>
      <c r="AA502" s="799"/>
      <c r="AB502" s="799"/>
      <c r="AC502" s="799"/>
      <c r="AD502" s="799"/>
      <c r="AE502" s="799"/>
      <c r="AF502" s="799"/>
      <c r="AG502" s="799"/>
      <c r="AH502" s="799"/>
      <c r="AI502" s="799"/>
      <c r="AJ502" s="799"/>
      <c r="AK502" s="799"/>
      <c r="AL502" s="799"/>
      <c r="AM502" s="799"/>
      <c r="AN502" s="799"/>
      <c r="AO502" s="799"/>
      <c r="AP502" s="799"/>
      <c r="AQ502" s="799"/>
      <c r="AR502" s="799"/>
      <c r="AS502" s="799"/>
      <c r="AT502" s="799"/>
      <c r="AU502" s="799"/>
      <c r="AV502" s="799"/>
      <c r="AW502" s="799"/>
      <c r="AX502" s="799"/>
      <c r="AY502" s="799"/>
      <c r="AZ502" s="799"/>
      <c r="BA502" s="799"/>
      <c r="BB502" s="799"/>
      <c r="BC502" s="799"/>
      <c r="BD502" s="799"/>
      <c r="BE502" s="799"/>
      <c r="BF502" s="799"/>
      <c r="BG502" s="799"/>
    </row>
    <row r="503">
      <c r="H503" s="799"/>
      <c r="I503" s="799"/>
      <c r="J503" s="799"/>
      <c r="K503" s="799"/>
      <c r="L503" s="799"/>
      <c r="M503" s="799"/>
      <c r="N503" s="799"/>
      <c r="O503" s="799"/>
      <c r="P503" s="799"/>
      <c r="Q503" s="799"/>
      <c r="R503" s="799"/>
      <c r="S503" s="799"/>
      <c r="T503" s="799"/>
      <c r="U503" s="799"/>
      <c r="V503" s="799"/>
      <c r="W503" s="799"/>
      <c r="X503" s="799"/>
      <c r="Y503" s="799"/>
      <c r="Z503" s="799"/>
      <c r="AA503" s="799"/>
      <c r="AB503" s="799"/>
      <c r="AC503" s="799"/>
      <c r="AD503" s="799"/>
      <c r="AE503" s="799"/>
      <c r="AF503" s="799"/>
      <c r="AG503" s="799"/>
      <c r="AH503" s="799"/>
      <c r="AI503" s="799"/>
      <c r="AJ503" s="799"/>
      <c r="AK503" s="799"/>
      <c r="AL503" s="799"/>
      <c r="AM503" s="799"/>
      <c r="AN503" s="799"/>
      <c r="AO503" s="799"/>
      <c r="AP503" s="799"/>
      <c r="AQ503" s="799"/>
      <c r="AR503" s="799"/>
      <c r="AS503" s="799"/>
      <c r="AT503" s="799"/>
      <c r="AU503" s="799"/>
      <c r="AV503" s="799"/>
      <c r="AW503" s="799"/>
      <c r="AX503" s="799"/>
      <c r="AY503" s="799"/>
      <c r="AZ503" s="799"/>
      <c r="BA503" s="799"/>
      <c r="BB503" s="799"/>
      <c r="BC503" s="799"/>
      <c r="BD503" s="799"/>
      <c r="BE503" s="799"/>
      <c r="BF503" s="799"/>
      <c r="BG503" s="799"/>
    </row>
    <row r="504">
      <c r="H504" s="799"/>
      <c r="I504" s="799"/>
      <c r="J504" s="799"/>
      <c r="K504" s="799"/>
      <c r="L504" s="799"/>
      <c r="M504" s="799"/>
      <c r="N504" s="799"/>
      <c r="O504" s="799"/>
      <c r="P504" s="799"/>
      <c r="Q504" s="799"/>
      <c r="R504" s="799"/>
      <c r="S504" s="799"/>
      <c r="T504" s="799"/>
      <c r="U504" s="799"/>
      <c r="V504" s="799"/>
      <c r="W504" s="799"/>
      <c r="X504" s="799"/>
      <c r="Y504" s="799"/>
      <c r="Z504" s="799"/>
      <c r="AA504" s="799"/>
      <c r="AB504" s="799"/>
      <c r="AC504" s="799"/>
      <c r="AD504" s="799"/>
      <c r="AE504" s="799"/>
      <c r="AF504" s="799"/>
      <c r="AG504" s="799"/>
      <c r="AH504" s="799"/>
      <c r="AI504" s="799"/>
      <c r="AJ504" s="799"/>
      <c r="AK504" s="799"/>
      <c r="AL504" s="799"/>
      <c r="AM504" s="799"/>
      <c r="AN504" s="799"/>
      <c r="AO504" s="799"/>
      <c r="AP504" s="799"/>
      <c r="AQ504" s="799"/>
      <c r="AR504" s="799"/>
      <c r="AS504" s="799"/>
      <c r="AT504" s="799"/>
      <c r="AU504" s="799"/>
      <c r="AV504" s="799"/>
      <c r="AW504" s="799"/>
      <c r="AX504" s="799"/>
      <c r="AY504" s="799"/>
      <c r="AZ504" s="799"/>
      <c r="BA504" s="799"/>
      <c r="BB504" s="799"/>
      <c r="BC504" s="799"/>
      <c r="BD504" s="799"/>
      <c r="BE504" s="799"/>
      <c r="BF504" s="799"/>
      <c r="BG504" s="799"/>
    </row>
    <row r="505">
      <c r="H505" s="799"/>
      <c r="I505" s="799"/>
      <c r="J505" s="799"/>
      <c r="K505" s="799"/>
      <c r="L505" s="799"/>
      <c r="M505" s="799"/>
      <c r="N505" s="799"/>
      <c r="O505" s="799"/>
      <c r="P505" s="799"/>
      <c r="Q505" s="799"/>
      <c r="R505" s="799"/>
      <c r="S505" s="799"/>
      <c r="T505" s="799"/>
      <c r="U505" s="799"/>
      <c r="V505" s="799"/>
      <c r="W505" s="799"/>
      <c r="X505" s="799"/>
      <c r="Y505" s="799"/>
      <c r="Z505" s="799"/>
      <c r="AA505" s="799"/>
      <c r="AB505" s="799"/>
      <c r="AC505" s="799"/>
      <c r="AD505" s="799"/>
      <c r="AE505" s="799"/>
      <c r="AF505" s="799"/>
      <c r="AG505" s="799"/>
      <c r="AH505" s="799"/>
      <c r="AI505" s="799"/>
      <c r="AJ505" s="799"/>
      <c r="AK505" s="799"/>
      <c r="AL505" s="799"/>
      <c r="AM505" s="799"/>
      <c r="AN505" s="799"/>
      <c r="AO505" s="799"/>
      <c r="AP505" s="799"/>
      <c r="AQ505" s="799"/>
      <c r="AR505" s="799"/>
      <c r="AS505" s="799"/>
      <c r="AT505" s="799"/>
      <c r="AU505" s="799"/>
      <c r="AV505" s="799"/>
      <c r="AW505" s="799"/>
      <c r="AX505" s="799"/>
      <c r="AY505" s="799"/>
      <c r="AZ505" s="799"/>
      <c r="BA505" s="799"/>
      <c r="BB505" s="799"/>
      <c r="BC505" s="799"/>
      <c r="BD505" s="799"/>
      <c r="BE505" s="799"/>
      <c r="BF505" s="799"/>
      <c r="BG505" s="799"/>
    </row>
    <row r="506">
      <c r="H506" s="799"/>
      <c r="I506" s="799"/>
      <c r="J506" s="799"/>
      <c r="K506" s="799"/>
      <c r="L506" s="799"/>
      <c r="M506" s="799"/>
      <c r="N506" s="799"/>
      <c r="O506" s="799"/>
      <c r="P506" s="799"/>
      <c r="Q506" s="799"/>
      <c r="R506" s="799"/>
      <c r="S506" s="799"/>
      <c r="T506" s="799"/>
      <c r="U506" s="799"/>
      <c r="V506" s="799"/>
      <c r="W506" s="799"/>
      <c r="X506" s="799"/>
      <c r="Y506" s="799"/>
      <c r="Z506" s="799"/>
      <c r="AA506" s="799"/>
      <c r="AB506" s="799"/>
      <c r="AC506" s="799"/>
      <c r="AD506" s="799"/>
      <c r="AE506" s="799"/>
      <c r="AF506" s="799"/>
      <c r="AG506" s="799"/>
      <c r="AH506" s="799"/>
      <c r="AI506" s="799"/>
      <c r="AJ506" s="799"/>
      <c r="AK506" s="799"/>
      <c r="AL506" s="799"/>
      <c r="AM506" s="799"/>
      <c r="AN506" s="799"/>
      <c r="AO506" s="799"/>
      <c r="AP506" s="799"/>
      <c r="AQ506" s="799"/>
      <c r="AR506" s="799"/>
      <c r="AS506" s="799"/>
      <c r="AT506" s="799"/>
      <c r="AU506" s="799"/>
      <c r="AV506" s="799"/>
      <c r="AW506" s="799"/>
      <c r="AX506" s="799"/>
      <c r="AY506" s="799"/>
      <c r="AZ506" s="799"/>
      <c r="BA506" s="799"/>
      <c r="BB506" s="799"/>
      <c r="BC506" s="799"/>
      <c r="BD506" s="799"/>
      <c r="BE506" s="799"/>
      <c r="BF506" s="799"/>
      <c r="BG506" s="799"/>
    </row>
    <row r="507">
      <c r="H507" s="799"/>
      <c r="I507" s="799"/>
      <c r="J507" s="799"/>
      <c r="K507" s="799"/>
      <c r="L507" s="799"/>
      <c r="M507" s="799"/>
      <c r="N507" s="799"/>
      <c r="O507" s="799"/>
      <c r="P507" s="799"/>
      <c r="Q507" s="799"/>
      <c r="R507" s="799"/>
      <c r="S507" s="799"/>
      <c r="T507" s="799"/>
      <c r="U507" s="799"/>
      <c r="V507" s="799"/>
      <c r="W507" s="799"/>
      <c r="X507" s="799"/>
      <c r="Y507" s="799"/>
      <c r="Z507" s="799"/>
      <c r="AA507" s="799"/>
      <c r="AB507" s="799"/>
      <c r="AC507" s="799"/>
      <c r="AD507" s="799"/>
      <c r="AE507" s="799"/>
      <c r="AF507" s="799"/>
      <c r="AG507" s="799"/>
      <c r="AH507" s="799"/>
      <c r="AI507" s="799"/>
      <c r="AJ507" s="799"/>
      <c r="AK507" s="799"/>
      <c r="AL507" s="799"/>
      <c r="AM507" s="799"/>
      <c r="AN507" s="799"/>
      <c r="AO507" s="799"/>
      <c r="AP507" s="799"/>
      <c r="AQ507" s="799"/>
      <c r="AR507" s="799"/>
      <c r="AS507" s="799"/>
      <c r="AT507" s="799"/>
      <c r="AU507" s="799"/>
      <c r="AV507" s="799"/>
      <c r="AW507" s="799"/>
      <c r="AX507" s="799"/>
      <c r="AY507" s="799"/>
      <c r="AZ507" s="799"/>
      <c r="BA507" s="799"/>
      <c r="BB507" s="799"/>
      <c r="BC507" s="799"/>
      <c r="BD507" s="799"/>
      <c r="BE507" s="799"/>
      <c r="BF507" s="799"/>
      <c r="BG507" s="799"/>
    </row>
    <row r="508">
      <c r="H508" s="799"/>
      <c r="I508" s="799"/>
      <c r="J508" s="799"/>
      <c r="K508" s="799"/>
      <c r="L508" s="799"/>
      <c r="M508" s="799"/>
      <c r="N508" s="799"/>
      <c r="O508" s="799"/>
      <c r="P508" s="799"/>
      <c r="Q508" s="799"/>
      <c r="R508" s="799"/>
      <c r="S508" s="799"/>
      <c r="T508" s="799"/>
      <c r="U508" s="799"/>
      <c r="V508" s="799"/>
      <c r="W508" s="799"/>
      <c r="X508" s="799"/>
      <c r="Y508" s="799"/>
      <c r="Z508" s="799"/>
      <c r="AA508" s="799"/>
      <c r="AB508" s="799"/>
      <c r="AC508" s="799"/>
      <c r="AD508" s="799"/>
      <c r="AE508" s="799"/>
      <c r="AF508" s="799"/>
      <c r="AG508" s="799"/>
      <c r="AH508" s="799"/>
      <c r="AI508" s="799"/>
      <c r="AJ508" s="799"/>
      <c r="AK508" s="799"/>
      <c r="AL508" s="799"/>
      <c r="AM508" s="799"/>
      <c r="AN508" s="799"/>
      <c r="AO508" s="799"/>
      <c r="AP508" s="799"/>
      <c r="AQ508" s="799"/>
      <c r="AR508" s="799"/>
      <c r="AS508" s="799"/>
      <c r="AT508" s="799"/>
      <c r="AU508" s="799"/>
      <c r="AV508" s="799"/>
      <c r="AW508" s="799"/>
      <c r="AX508" s="799"/>
      <c r="AY508" s="799"/>
      <c r="AZ508" s="799"/>
      <c r="BA508" s="799"/>
      <c r="BB508" s="799"/>
      <c r="BC508" s="799"/>
      <c r="BD508" s="799"/>
      <c r="BE508" s="799"/>
      <c r="BF508" s="799"/>
      <c r="BG508" s="799"/>
    </row>
    <row r="509">
      <c r="H509" s="799"/>
      <c r="I509" s="799"/>
      <c r="J509" s="799"/>
      <c r="K509" s="799"/>
      <c r="L509" s="799"/>
      <c r="M509" s="799"/>
      <c r="N509" s="799"/>
      <c r="O509" s="799"/>
      <c r="P509" s="799"/>
      <c r="Q509" s="799"/>
      <c r="R509" s="799"/>
      <c r="S509" s="799"/>
      <c r="T509" s="799"/>
      <c r="U509" s="799"/>
      <c r="V509" s="799"/>
      <c r="W509" s="799"/>
      <c r="X509" s="799"/>
      <c r="Y509" s="799"/>
      <c r="Z509" s="799"/>
      <c r="AA509" s="799"/>
      <c r="AB509" s="799"/>
      <c r="AC509" s="799"/>
      <c r="AD509" s="799"/>
      <c r="AE509" s="799"/>
      <c r="AF509" s="799"/>
      <c r="AG509" s="799"/>
      <c r="AH509" s="799"/>
      <c r="AI509" s="799"/>
      <c r="AJ509" s="799"/>
      <c r="AK509" s="799"/>
      <c r="AL509" s="799"/>
      <c r="AM509" s="799"/>
      <c r="AN509" s="799"/>
      <c r="AO509" s="799"/>
      <c r="AP509" s="799"/>
      <c r="AQ509" s="799"/>
      <c r="AR509" s="799"/>
      <c r="AS509" s="799"/>
      <c r="AT509" s="799"/>
      <c r="AU509" s="799"/>
      <c r="AV509" s="799"/>
      <c r="AW509" s="799"/>
      <c r="AX509" s="799"/>
      <c r="AY509" s="799"/>
      <c r="AZ509" s="799"/>
      <c r="BA509" s="799"/>
      <c r="BB509" s="799"/>
      <c r="BC509" s="799"/>
      <c r="BD509" s="799"/>
      <c r="BE509" s="799"/>
      <c r="BF509" s="799"/>
      <c r="BG509" s="799"/>
    </row>
    <row r="510">
      <c r="H510" s="799"/>
      <c r="I510" s="799"/>
      <c r="J510" s="799"/>
      <c r="K510" s="799"/>
      <c r="L510" s="799"/>
      <c r="M510" s="799"/>
      <c r="N510" s="799"/>
      <c r="O510" s="799"/>
      <c r="P510" s="799"/>
      <c r="Q510" s="799"/>
      <c r="R510" s="799"/>
      <c r="S510" s="799"/>
      <c r="T510" s="799"/>
      <c r="U510" s="799"/>
      <c r="V510" s="799"/>
      <c r="W510" s="799"/>
      <c r="X510" s="799"/>
      <c r="Y510" s="799"/>
      <c r="Z510" s="799"/>
      <c r="AA510" s="799"/>
      <c r="AB510" s="799"/>
      <c r="AC510" s="799"/>
      <c r="AD510" s="799"/>
      <c r="AE510" s="799"/>
      <c r="AF510" s="799"/>
      <c r="AG510" s="799"/>
      <c r="AH510" s="799"/>
      <c r="AI510" s="799"/>
      <c r="AJ510" s="799"/>
      <c r="AK510" s="799"/>
      <c r="AL510" s="799"/>
      <c r="AM510" s="799"/>
      <c r="AN510" s="799"/>
      <c r="AO510" s="799"/>
      <c r="AP510" s="799"/>
      <c r="AQ510" s="799"/>
      <c r="AR510" s="799"/>
      <c r="AS510" s="799"/>
      <c r="AT510" s="799"/>
      <c r="AU510" s="799"/>
      <c r="AV510" s="799"/>
      <c r="AW510" s="799"/>
      <c r="AX510" s="799"/>
      <c r="AY510" s="799"/>
      <c r="AZ510" s="799"/>
      <c r="BA510" s="799"/>
      <c r="BB510" s="799"/>
      <c r="BC510" s="799"/>
      <c r="BD510" s="799"/>
      <c r="BE510" s="799"/>
      <c r="BF510" s="799"/>
      <c r="BG510" s="799"/>
    </row>
    <row r="511">
      <c r="H511" s="799"/>
      <c r="I511" s="799"/>
      <c r="J511" s="799"/>
      <c r="K511" s="799"/>
      <c r="L511" s="799"/>
      <c r="M511" s="799"/>
      <c r="N511" s="799"/>
      <c r="O511" s="799"/>
      <c r="P511" s="799"/>
      <c r="Q511" s="799"/>
      <c r="R511" s="799"/>
      <c r="S511" s="799"/>
      <c r="T511" s="799"/>
      <c r="U511" s="799"/>
      <c r="V511" s="799"/>
      <c r="W511" s="799"/>
      <c r="X511" s="799"/>
      <c r="Y511" s="799"/>
      <c r="Z511" s="799"/>
      <c r="AA511" s="799"/>
      <c r="AB511" s="799"/>
      <c r="AC511" s="799"/>
      <c r="AD511" s="799"/>
      <c r="AE511" s="799"/>
      <c r="AF511" s="799"/>
      <c r="AG511" s="799"/>
      <c r="AH511" s="799"/>
      <c r="AI511" s="799"/>
      <c r="AJ511" s="799"/>
      <c r="AK511" s="799"/>
      <c r="AL511" s="799"/>
      <c r="AM511" s="799"/>
      <c r="AN511" s="799"/>
      <c r="AO511" s="799"/>
      <c r="AP511" s="799"/>
      <c r="AQ511" s="799"/>
      <c r="AR511" s="799"/>
      <c r="AS511" s="799"/>
      <c r="AT511" s="799"/>
      <c r="AU511" s="799"/>
      <c r="AV511" s="799"/>
      <c r="AW511" s="799"/>
      <c r="AX511" s="799"/>
      <c r="AY511" s="799"/>
      <c r="AZ511" s="799"/>
      <c r="BA511" s="799"/>
      <c r="BB511" s="799"/>
      <c r="BC511" s="799"/>
      <c r="BD511" s="799"/>
      <c r="BE511" s="799"/>
      <c r="BF511" s="799"/>
      <c r="BG511" s="799"/>
    </row>
    <row r="512">
      <c r="H512" s="799"/>
      <c r="I512" s="799"/>
      <c r="J512" s="799"/>
      <c r="K512" s="799"/>
      <c r="L512" s="799"/>
      <c r="M512" s="799"/>
      <c r="N512" s="799"/>
      <c r="O512" s="799"/>
      <c r="P512" s="799"/>
      <c r="Q512" s="799"/>
      <c r="R512" s="799"/>
      <c r="S512" s="799"/>
      <c r="T512" s="799"/>
      <c r="U512" s="799"/>
      <c r="V512" s="799"/>
      <c r="W512" s="799"/>
      <c r="X512" s="799"/>
      <c r="Y512" s="799"/>
      <c r="Z512" s="799"/>
      <c r="AA512" s="799"/>
      <c r="AB512" s="799"/>
      <c r="AC512" s="799"/>
      <c r="AD512" s="799"/>
      <c r="AE512" s="799"/>
      <c r="AF512" s="799"/>
      <c r="AG512" s="799"/>
      <c r="AH512" s="799"/>
      <c r="AI512" s="799"/>
      <c r="AJ512" s="799"/>
      <c r="AK512" s="799"/>
      <c r="AL512" s="799"/>
      <c r="AM512" s="799"/>
      <c r="AN512" s="799"/>
      <c r="AO512" s="799"/>
      <c r="AP512" s="799"/>
      <c r="AQ512" s="799"/>
      <c r="AR512" s="799"/>
      <c r="AS512" s="799"/>
      <c r="AT512" s="799"/>
      <c r="AU512" s="799"/>
      <c r="AV512" s="799"/>
      <c r="AW512" s="799"/>
      <c r="AX512" s="799"/>
      <c r="AY512" s="799"/>
      <c r="AZ512" s="799"/>
      <c r="BA512" s="799"/>
      <c r="BB512" s="799"/>
      <c r="BC512" s="799"/>
      <c r="BD512" s="799"/>
      <c r="BE512" s="799"/>
      <c r="BF512" s="799"/>
      <c r="BG512" s="799"/>
    </row>
    <row r="513">
      <c r="H513" s="799"/>
      <c r="I513" s="799"/>
      <c r="J513" s="799"/>
      <c r="K513" s="799"/>
      <c r="L513" s="799"/>
      <c r="M513" s="799"/>
      <c r="N513" s="799"/>
      <c r="O513" s="799"/>
      <c r="P513" s="799"/>
      <c r="Q513" s="799"/>
      <c r="R513" s="799"/>
      <c r="S513" s="799"/>
      <c r="T513" s="799"/>
      <c r="U513" s="799"/>
      <c r="V513" s="799"/>
      <c r="W513" s="799"/>
      <c r="X513" s="799"/>
      <c r="Y513" s="799"/>
      <c r="Z513" s="799"/>
      <c r="AA513" s="799"/>
      <c r="AB513" s="799"/>
      <c r="AC513" s="799"/>
      <c r="AD513" s="799"/>
      <c r="AE513" s="799"/>
      <c r="AF513" s="799"/>
      <c r="AG513" s="799"/>
      <c r="AH513" s="799"/>
      <c r="AI513" s="799"/>
      <c r="AJ513" s="799"/>
      <c r="AK513" s="799"/>
      <c r="AL513" s="799"/>
      <c r="AM513" s="799"/>
      <c r="AN513" s="799"/>
      <c r="AO513" s="799"/>
      <c r="AP513" s="799"/>
      <c r="AQ513" s="799"/>
      <c r="AR513" s="799"/>
      <c r="AS513" s="799"/>
      <c r="AT513" s="799"/>
      <c r="AU513" s="799"/>
      <c r="AV513" s="799"/>
      <c r="AW513" s="799"/>
      <c r="AX513" s="799"/>
      <c r="AY513" s="799"/>
      <c r="AZ513" s="799"/>
      <c r="BA513" s="799"/>
      <c r="BB513" s="799"/>
      <c r="BC513" s="799"/>
      <c r="BD513" s="799"/>
      <c r="BE513" s="799"/>
      <c r="BF513" s="799"/>
      <c r="BG513" s="799"/>
    </row>
    <row r="514">
      <c r="H514" s="799"/>
      <c r="I514" s="799"/>
      <c r="J514" s="799"/>
      <c r="K514" s="799"/>
      <c r="L514" s="799"/>
      <c r="M514" s="799"/>
      <c r="N514" s="799"/>
      <c r="O514" s="799"/>
      <c r="P514" s="799"/>
      <c r="Q514" s="799"/>
      <c r="R514" s="799"/>
      <c r="S514" s="799"/>
      <c r="T514" s="799"/>
      <c r="U514" s="799"/>
      <c r="V514" s="799"/>
      <c r="W514" s="799"/>
      <c r="X514" s="799"/>
      <c r="Y514" s="799"/>
      <c r="Z514" s="799"/>
      <c r="AA514" s="799"/>
      <c r="AB514" s="799"/>
      <c r="AC514" s="799"/>
      <c r="AD514" s="799"/>
      <c r="AE514" s="799"/>
      <c r="AF514" s="799"/>
      <c r="AG514" s="799"/>
      <c r="AH514" s="799"/>
      <c r="AI514" s="799"/>
      <c r="AJ514" s="799"/>
      <c r="AK514" s="799"/>
      <c r="AL514" s="799"/>
      <c r="AM514" s="799"/>
      <c r="AN514" s="799"/>
      <c r="AO514" s="799"/>
      <c r="AP514" s="799"/>
      <c r="AQ514" s="799"/>
      <c r="AR514" s="799"/>
      <c r="AS514" s="799"/>
      <c r="AT514" s="799"/>
      <c r="AU514" s="799"/>
      <c r="AV514" s="799"/>
      <c r="AW514" s="799"/>
      <c r="AX514" s="799"/>
      <c r="AY514" s="799"/>
      <c r="AZ514" s="799"/>
      <c r="BA514" s="799"/>
      <c r="BB514" s="799"/>
      <c r="BC514" s="799"/>
      <c r="BD514" s="799"/>
      <c r="BE514" s="799"/>
      <c r="BF514" s="799"/>
      <c r="BG514" s="799"/>
    </row>
    <row r="515">
      <c r="H515" s="799"/>
      <c r="I515" s="799"/>
      <c r="J515" s="799"/>
      <c r="K515" s="799"/>
      <c r="L515" s="799"/>
      <c r="M515" s="799"/>
      <c r="N515" s="799"/>
      <c r="O515" s="799"/>
      <c r="P515" s="799"/>
      <c r="Q515" s="799"/>
      <c r="R515" s="799"/>
      <c r="S515" s="799"/>
      <c r="T515" s="799"/>
      <c r="U515" s="799"/>
      <c r="V515" s="799"/>
      <c r="W515" s="799"/>
      <c r="X515" s="799"/>
      <c r="Y515" s="799"/>
      <c r="Z515" s="799"/>
      <c r="AA515" s="799"/>
      <c r="AB515" s="799"/>
      <c r="AC515" s="799"/>
      <c r="AD515" s="799"/>
      <c r="AE515" s="799"/>
      <c r="AF515" s="799"/>
      <c r="AG515" s="799"/>
      <c r="AH515" s="799"/>
      <c r="AI515" s="799"/>
      <c r="AJ515" s="799"/>
      <c r="AK515" s="799"/>
      <c r="AL515" s="799"/>
      <c r="AM515" s="799"/>
      <c r="AN515" s="799"/>
      <c r="AO515" s="799"/>
      <c r="AP515" s="799"/>
      <c r="AQ515" s="799"/>
      <c r="AR515" s="799"/>
      <c r="AS515" s="799"/>
      <c r="AT515" s="799"/>
      <c r="AU515" s="799"/>
      <c r="AV515" s="799"/>
      <c r="AW515" s="799"/>
      <c r="AX515" s="799"/>
      <c r="AY515" s="799"/>
      <c r="AZ515" s="799"/>
      <c r="BA515" s="799"/>
      <c r="BB515" s="799"/>
      <c r="BC515" s="799"/>
      <c r="BD515" s="799"/>
      <c r="BE515" s="799"/>
      <c r="BF515" s="799"/>
      <c r="BG515" s="799"/>
    </row>
    <row r="516">
      <c r="H516" s="799"/>
      <c r="I516" s="799"/>
      <c r="J516" s="799"/>
      <c r="K516" s="799"/>
      <c r="L516" s="799"/>
      <c r="M516" s="799"/>
      <c r="N516" s="799"/>
      <c r="O516" s="799"/>
      <c r="P516" s="799"/>
      <c r="Q516" s="799"/>
      <c r="R516" s="799"/>
      <c r="S516" s="799"/>
      <c r="T516" s="799"/>
      <c r="U516" s="799"/>
      <c r="V516" s="799"/>
      <c r="W516" s="799"/>
      <c r="X516" s="799"/>
      <c r="Y516" s="799"/>
      <c r="Z516" s="799"/>
      <c r="AA516" s="799"/>
      <c r="AB516" s="799"/>
      <c r="AC516" s="799"/>
      <c r="AD516" s="799"/>
      <c r="AE516" s="799"/>
      <c r="AF516" s="799"/>
      <c r="AG516" s="799"/>
      <c r="AH516" s="799"/>
      <c r="AI516" s="799"/>
      <c r="AJ516" s="799"/>
      <c r="AK516" s="799"/>
      <c r="AL516" s="799"/>
      <c r="AM516" s="799"/>
      <c r="AN516" s="799"/>
      <c r="AO516" s="799"/>
      <c r="AP516" s="799"/>
      <c r="AQ516" s="799"/>
      <c r="AR516" s="799"/>
      <c r="AS516" s="799"/>
      <c r="AT516" s="799"/>
      <c r="AU516" s="799"/>
      <c r="AV516" s="799"/>
      <c r="AW516" s="799"/>
      <c r="AX516" s="799"/>
      <c r="AY516" s="799"/>
      <c r="AZ516" s="799"/>
      <c r="BA516" s="799"/>
      <c r="BB516" s="799"/>
      <c r="BC516" s="799"/>
      <c r="BD516" s="799"/>
      <c r="BE516" s="799"/>
      <c r="BF516" s="799"/>
      <c r="BG516" s="799"/>
    </row>
    <row r="517">
      <c r="H517" s="799"/>
      <c r="I517" s="799"/>
      <c r="J517" s="799"/>
      <c r="K517" s="799"/>
      <c r="L517" s="799"/>
      <c r="M517" s="799"/>
      <c r="N517" s="799"/>
      <c r="O517" s="799"/>
      <c r="P517" s="799"/>
      <c r="Q517" s="799"/>
      <c r="R517" s="799"/>
      <c r="S517" s="799"/>
      <c r="T517" s="799"/>
      <c r="U517" s="799"/>
      <c r="V517" s="799"/>
      <c r="W517" s="799"/>
      <c r="X517" s="799"/>
      <c r="Y517" s="799"/>
      <c r="Z517" s="799"/>
      <c r="AA517" s="799"/>
      <c r="AB517" s="799"/>
      <c r="AC517" s="799"/>
      <c r="AD517" s="799"/>
      <c r="AE517" s="799"/>
      <c r="AF517" s="799"/>
      <c r="AG517" s="799"/>
      <c r="AH517" s="799"/>
      <c r="AI517" s="799"/>
      <c r="AJ517" s="799"/>
      <c r="AK517" s="799"/>
      <c r="AL517" s="799"/>
      <c r="AM517" s="799"/>
      <c r="AN517" s="799"/>
      <c r="AO517" s="799"/>
      <c r="AP517" s="799"/>
      <c r="AQ517" s="799"/>
      <c r="AR517" s="799"/>
      <c r="AS517" s="799"/>
      <c r="AT517" s="799"/>
      <c r="AU517" s="799"/>
      <c r="AV517" s="799"/>
      <c r="AW517" s="799"/>
      <c r="AX517" s="799"/>
      <c r="AY517" s="799"/>
      <c r="AZ517" s="799"/>
      <c r="BA517" s="799"/>
      <c r="BB517" s="799"/>
      <c r="BC517" s="799"/>
      <c r="BD517" s="799"/>
      <c r="BE517" s="799"/>
      <c r="BF517" s="799"/>
      <c r="BG517" s="799"/>
    </row>
    <row r="518">
      <c r="H518" s="799"/>
      <c r="I518" s="799"/>
      <c r="J518" s="799"/>
      <c r="K518" s="799"/>
      <c r="L518" s="799"/>
      <c r="M518" s="799"/>
      <c r="N518" s="799"/>
      <c r="O518" s="799"/>
      <c r="P518" s="799"/>
      <c r="Q518" s="799"/>
      <c r="R518" s="799"/>
      <c r="S518" s="799"/>
      <c r="T518" s="799"/>
      <c r="U518" s="799"/>
      <c r="V518" s="799"/>
      <c r="W518" s="799"/>
      <c r="X518" s="799"/>
      <c r="Y518" s="799"/>
      <c r="Z518" s="799"/>
      <c r="AA518" s="799"/>
      <c r="AB518" s="799"/>
      <c r="AC518" s="799"/>
      <c r="AD518" s="799"/>
      <c r="AE518" s="799"/>
      <c r="AF518" s="799"/>
      <c r="AG518" s="799"/>
      <c r="AH518" s="799"/>
      <c r="AI518" s="799"/>
      <c r="AJ518" s="799"/>
      <c r="AK518" s="799"/>
      <c r="AL518" s="799"/>
      <c r="AM518" s="799"/>
      <c r="AN518" s="799"/>
      <c r="AO518" s="799"/>
      <c r="AP518" s="799"/>
      <c r="AQ518" s="799"/>
      <c r="AR518" s="799"/>
      <c r="AS518" s="799"/>
      <c r="AT518" s="799"/>
      <c r="AU518" s="799"/>
      <c r="AV518" s="799"/>
      <c r="AW518" s="799"/>
      <c r="AX518" s="799"/>
      <c r="AY518" s="799"/>
      <c r="AZ518" s="799"/>
      <c r="BA518" s="799"/>
      <c r="BB518" s="799"/>
      <c r="BC518" s="799"/>
      <c r="BD518" s="799"/>
      <c r="BE518" s="799"/>
      <c r="BF518" s="799"/>
      <c r="BG518" s="799"/>
    </row>
    <row r="519">
      <c r="H519" s="799"/>
      <c r="I519" s="799"/>
      <c r="J519" s="799"/>
      <c r="K519" s="799"/>
      <c r="L519" s="799"/>
      <c r="M519" s="799"/>
      <c r="N519" s="799"/>
      <c r="O519" s="799"/>
      <c r="P519" s="799"/>
      <c r="Q519" s="799"/>
      <c r="R519" s="799"/>
      <c r="S519" s="799"/>
      <c r="T519" s="799"/>
      <c r="U519" s="799"/>
      <c r="V519" s="799"/>
      <c r="W519" s="799"/>
      <c r="X519" s="799"/>
      <c r="Y519" s="799"/>
      <c r="Z519" s="799"/>
      <c r="AA519" s="799"/>
      <c r="AB519" s="799"/>
      <c r="AC519" s="799"/>
      <c r="AD519" s="799"/>
      <c r="AE519" s="799"/>
      <c r="AF519" s="799"/>
      <c r="AG519" s="799"/>
      <c r="AH519" s="799"/>
      <c r="AI519" s="799"/>
      <c r="AJ519" s="799"/>
      <c r="AK519" s="799"/>
      <c r="AL519" s="799"/>
      <c r="AM519" s="799"/>
      <c r="AN519" s="799"/>
      <c r="AO519" s="799"/>
      <c r="AP519" s="799"/>
      <c r="AQ519" s="799"/>
      <c r="AR519" s="799"/>
      <c r="AS519" s="799"/>
      <c r="AT519" s="799"/>
      <c r="AU519" s="799"/>
      <c r="AV519" s="799"/>
      <c r="AW519" s="799"/>
      <c r="AX519" s="799"/>
      <c r="AY519" s="799"/>
      <c r="AZ519" s="799"/>
      <c r="BA519" s="799"/>
      <c r="BB519" s="799"/>
      <c r="BC519" s="799"/>
      <c r="BD519" s="799"/>
      <c r="BE519" s="799"/>
      <c r="BF519" s="799"/>
      <c r="BG519" s="799"/>
    </row>
    <row r="520">
      <c r="H520" s="799"/>
      <c r="I520" s="799"/>
      <c r="J520" s="799"/>
      <c r="K520" s="799"/>
      <c r="L520" s="799"/>
      <c r="M520" s="799"/>
      <c r="N520" s="799"/>
      <c r="O520" s="799"/>
      <c r="P520" s="799"/>
      <c r="Q520" s="799"/>
      <c r="R520" s="799"/>
      <c r="S520" s="799"/>
      <c r="T520" s="799"/>
      <c r="U520" s="799"/>
      <c r="V520" s="799"/>
      <c r="W520" s="799"/>
      <c r="X520" s="799"/>
      <c r="Y520" s="799"/>
      <c r="Z520" s="799"/>
      <c r="AA520" s="799"/>
      <c r="AB520" s="799"/>
      <c r="AC520" s="799"/>
      <c r="AD520" s="799"/>
      <c r="AE520" s="799"/>
      <c r="AF520" s="799"/>
      <c r="AG520" s="799"/>
      <c r="AH520" s="799"/>
      <c r="AI520" s="799"/>
      <c r="AJ520" s="799"/>
      <c r="AK520" s="799"/>
      <c r="AL520" s="799"/>
      <c r="AM520" s="799"/>
      <c r="AN520" s="799"/>
      <c r="AO520" s="799"/>
      <c r="AP520" s="799"/>
      <c r="AQ520" s="799"/>
      <c r="AR520" s="799"/>
      <c r="AS520" s="799"/>
      <c r="AT520" s="799"/>
      <c r="AU520" s="799"/>
      <c r="AV520" s="799"/>
      <c r="AW520" s="799"/>
      <c r="AX520" s="799"/>
      <c r="AY520" s="799"/>
      <c r="AZ520" s="799"/>
      <c r="BA520" s="799"/>
      <c r="BB520" s="799"/>
      <c r="BC520" s="799"/>
      <c r="BD520" s="799"/>
      <c r="BE520" s="799"/>
      <c r="BF520" s="799"/>
      <c r="BG520" s="799"/>
    </row>
    <row r="521">
      <c r="H521" s="799"/>
      <c r="I521" s="799"/>
      <c r="J521" s="799"/>
      <c r="K521" s="799"/>
      <c r="L521" s="799"/>
      <c r="M521" s="799"/>
      <c r="N521" s="799"/>
      <c r="O521" s="799"/>
      <c r="P521" s="799"/>
      <c r="Q521" s="799"/>
      <c r="R521" s="799"/>
      <c r="S521" s="799"/>
      <c r="T521" s="799"/>
      <c r="U521" s="799"/>
      <c r="V521" s="799"/>
      <c r="W521" s="799"/>
      <c r="X521" s="799"/>
      <c r="Y521" s="799"/>
      <c r="Z521" s="799"/>
      <c r="AA521" s="799"/>
      <c r="AB521" s="799"/>
      <c r="AC521" s="799"/>
      <c r="AD521" s="799"/>
      <c r="AE521" s="799"/>
      <c r="AF521" s="799"/>
      <c r="AG521" s="799"/>
      <c r="AH521" s="799"/>
      <c r="AI521" s="799"/>
      <c r="AJ521" s="799"/>
      <c r="AK521" s="799"/>
      <c r="AL521" s="799"/>
      <c r="AM521" s="799"/>
      <c r="AN521" s="799"/>
      <c r="AO521" s="799"/>
      <c r="AP521" s="799"/>
      <c r="AQ521" s="799"/>
      <c r="AR521" s="799"/>
      <c r="AS521" s="799"/>
      <c r="AT521" s="799"/>
      <c r="AU521" s="799"/>
      <c r="AV521" s="799"/>
      <c r="AW521" s="799"/>
      <c r="AX521" s="799"/>
      <c r="AY521" s="799"/>
      <c r="AZ521" s="799"/>
      <c r="BA521" s="799"/>
      <c r="BB521" s="799"/>
      <c r="BC521" s="799"/>
      <c r="BD521" s="799"/>
      <c r="BE521" s="799"/>
      <c r="BF521" s="799"/>
      <c r="BG521" s="799"/>
    </row>
    <row r="522">
      <c r="H522" s="799"/>
      <c r="I522" s="799"/>
      <c r="J522" s="799"/>
      <c r="K522" s="799"/>
      <c r="L522" s="799"/>
      <c r="M522" s="799"/>
      <c r="N522" s="799"/>
      <c r="O522" s="799"/>
      <c r="P522" s="799"/>
      <c r="Q522" s="799"/>
      <c r="R522" s="799"/>
      <c r="S522" s="799"/>
      <c r="T522" s="799"/>
      <c r="U522" s="799"/>
      <c r="V522" s="799"/>
      <c r="W522" s="799"/>
      <c r="X522" s="799"/>
      <c r="Y522" s="799"/>
      <c r="Z522" s="799"/>
      <c r="AA522" s="799"/>
      <c r="AB522" s="799"/>
      <c r="AC522" s="799"/>
      <c r="AD522" s="799"/>
      <c r="AE522" s="799"/>
      <c r="AF522" s="799"/>
      <c r="AG522" s="799"/>
      <c r="AH522" s="799"/>
      <c r="AI522" s="799"/>
      <c r="AJ522" s="799"/>
      <c r="AK522" s="799"/>
      <c r="AL522" s="799"/>
      <c r="AM522" s="799"/>
      <c r="AN522" s="799"/>
      <c r="AO522" s="799"/>
      <c r="AP522" s="799"/>
      <c r="AQ522" s="799"/>
      <c r="AR522" s="799"/>
      <c r="AS522" s="799"/>
      <c r="AT522" s="799"/>
      <c r="AU522" s="799"/>
      <c r="AV522" s="799"/>
      <c r="AW522" s="799"/>
      <c r="AX522" s="799"/>
      <c r="AY522" s="799"/>
      <c r="AZ522" s="799"/>
      <c r="BA522" s="799"/>
      <c r="BB522" s="799"/>
      <c r="BC522" s="799"/>
      <c r="BD522" s="799"/>
      <c r="BE522" s="799"/>
      <c r="BF522" s="799"/>
      <c r="BG522" s="799"/>
    </row>
    <row r="523">
      <c r="H523" s="799"/>
      <c r="I523" s="799"/>
      <c r="J523" s="799"/>
      <c r="K523" s="799"/>
      <c r="L523" s="799"/>
      <c r="M523" s="799"/>
      <c r="N523" s="799"/>
      <c r="O523" s="799"/>
      <c r="P523" s="799"/>
      <c r="Q523" s="799"/>
      <c r="R523" s="799"/>
      <c r="S523" s="799"/>
      <c r="T523" s="799"/>
      <c r="U523" s="799"/>
      <c r="V523" s="799"/>
      <c r="W523" s="799"/>
      <c r="X523" s="799"/>
      <c r="Y523" s="799"/>
      <c r="Z523" s="799"/>
      <c r="AA523" s="799"/>
      <c r="AB523" s="799"/>
      <c r="AC523" s="799"/>
      <c r="AD523" s="799"/>
      <c r="AE523" s="799"/>
      <c r="AF523" s="799"/>
      <c r="AG523" s="799"/>
      <c r="AH523" s="799"/>
      <c r="AI523" s="799"/>
      <c r="AJ523" s="799"/>
      <c r="AK523" s="799"/>
      <c r="AL523" s="799"/>
      <c r="AM523" s="799"/>
      <c r="AN523" s="799"/>
      <c r="AO523" s="799"/>
      <c r="AP523" s="799"/>
      <c r="AQ523" s="799"/>
      <c r="AR523" s="799"/>
      <c r="AS523" s="799"/>
      <c r="AT523" s="799"/>
      <c r="AU523" s="799"/>
      <c r="AV523" s="799"/>
      <c r="AW523" s="799"/>
      <c r="AX523" s="799"/>
      <c r="AY523" s="799"/>
      <c r="AZ523" s="799"/>
      <c r="BA523" s="799"/>
      <c r="BB523" s="799"/>
      <c r="BC523" s="799"/>
      <c r="BD523" s="799"/>
      <c r="BE523" s="799"/>
      <c r="BF523" s="799"/>
      <c r="BG523" s="799"/>
    </row>
    <row r="524">
      <c r="H524" s="799"/>
      <c r="I524" s="799"/>
      <c r="J524" s="799"/>
      <c r="K524" s="799"/>
      <c r="L524" s="799"/>
      <c r="M524" s="799"/>
      <c r="N524" s="799"/>
      <c r="O524" s="799"/>
      <c r="P524" s="799"/>
      <c r="Q524" s="799"/>
      <c r="R524" s="799"/>
      <c r="S524" s="799"/>
      <c r="T524" s="799"/>
      <c r="U524" s="799"/>
      <c r="V524" s="799"/>
      <c r="W524" s="799"/>
      <c r="X524" s="799"/>
      <c r="Y524" s="799"/>
      <c r="Z524" s="799"/>
      <c r="AA524" s="799"/>
      <c r="AB524" s="799"/>
      <c r="AC524" s="799"/>
      <c r="AD524" s="799"/>
      <c r="AE524" s="799"/>
      <c r="AF524" s="799"/>
      <c r="AG524" s="799"/>
      <c r="AH524" s="799"/>
      <c r="AI524" s="799"/>
      <c r="AJ524" s="799"/>
      <c r="AK524" s="799"/>
      <c r="AL524" s="799"/>
      <c r="AM524" s="799"/>
      <c r="AN524" s="799"/>
      <c r="AO524" s="799"/>
      <c r="AP524" s="799"/>
      <c r="AQ524" s="799"/>
      <c r="AR524" s="799"/>
      <c r="AS524" s="799"/>
      <c r="AT524" s="799"/>
      <c r="AU524" s="799"/>
      <c r="AV524" s="799"/>
      <c r="AW524" s="799"/>
      <c r="AX524" s="799"/>
      <c r="AY524" s="799"/>
      <c r="AZ524" s="799"/>
      <c r="BA524" s="799"/>
      <c r="BB524" s="799"/>
      <c r="BC524" s="799"/>
      <c r="BD524" s="799"/>
      <c r="BE524" s="799"/>
      <c r="BF524" s="799"/>
      <c r="BG524" s="799"/>
    </row>
    <row r="525">
      <c r="H525" s="799"/>
      <c r="I525" s="799"/>
      <c r="J525" s="799"/>
      <c r="K525" s="799"/>
      <c r="L525" s="799"/>
      <c r="M525" s="799"/>
      <c r="N525" s="799"/>
      <c r="O525" s="799"/>
      <c r="P525" s="799"/>
      <c r="Q525" s="799"/>
      <c r="R525" s="799"/>
      <c r="S525" s="799"/>
      <c r="T525" s="799"/>
      <c r="U525" s="799"/>
      <c r="V525" s="799"/>
      <c r="W525" s="799"/>
      <c r="X525" s="799"/>
      <c r="Y525" s="799"/>
      <c r="Z525" s="799"/>
      <c r="AA525" s="799"/>
      <c r="AB525" s="799"/>
      <c r="AC525" s="799"/>
      <c r="AD525" s="799"/>
      <c r="AE525" s="799"/>
      <c r="AF525" s="799"/>
      <c r="AG525" s="799"/>
      <c r="AH525" s="799"/>
      <c r="AI525" s="799"/>
      <c r="AJ525" s="799"/>
      <c r="AK525" s="799"/>
      <c r="AL525" s="799"/>
      <c r="AM525" s="799"/>
      <c r="AN525" s="799"/>
      <c r="AO525" s="799"/>
      <c r="AP525" s="799"/>
      <c r="AQ525" s="799"/>
      <c r="AR525" s="799"/>
      <c r="AS525" s="799"/>
      <c r="AT525" s="799"/>
      <c r="AU525" s="799"/>
      <c r="AV525" s="799"/>
      <c r="AW525" s="799"/>
      <c r="AX525" s="799"/>
      <c r="AY525" s="799"/>
      <c r="AZ525" s="799"/>
      <c r="BA525" s="799"/>
      <c r="BB525" s="799"/>
      <c r="BC525" s="799"/>
      <c r="BD525" s="799"/>
      <c r="BE525" s="799"/>
      <c r="BF525" s="799"/>
      <c r="BG525" s="799"/>
    </row>
    <row r="526">
      <c r="H526" s="799"/>
      <c r="I526" s="799"/>
      <c r="J526" s="799"/>
      <c r="K526" s="799"/>
      <c r="L526" s="799"/>
      <c r="M526" s="799"/>
      <c r="N526" s="799"/>
      <c r="O526" s="799"/>
      <c r="P526" s="799"/>
      <c r="Q526" s="799"/>
      <c r="R526" s="799"/>
      <c r="S526" s="799"/>
      <c r="T526" s="799"/>
      <c r="U526" s="799"/>
      <c r="V526" s="799"/>
      <c r="W526" s="799"/>
      <c r="X526" s="799"/>
      <c r="Y526" s="799"/>
      <c r="Z526" s="799"/>
      <c r="AA526" s="799"/>
      <c r="AB526" s="799"/>
      <c r="AC526" s="799"/>
      <c r="AD526" s="799"/>
      <c r="AE526" s="799"/>
      <c r="AF526" s="799"/>
      <c r="AG526" s="799"/>
      <c r="AH526" s="799"/>
      <c r="AI526" s="799"/>
      <c r="AJ526" s="799"/>
      <c r="AK526" s="799"/>
      <c r="AL526" s="799"/>
      <c r="AM526" s="799"/>
      <c r="AN526" s="799"/>
      <c r="AO526" s="799"/>
      <c r="AP526" s="799"/>
      <c r="AQ526" s="799"/>
      <c r="AR526" s="799"/>
      <c r="AS526" s="799"/>
      <c r="AT526" s="799"/>
      <c r="AU526" s="799"/>
      <c r="AV526" s="799"/>
      <c r="AW526" s="799"/>
      <c r="AX526" s="799"/>
      <c r="AY526" s="799"/>
      <c r="AZ526" s="799"/>
      <c r="BA526" s="799"/>
      <c r="BB526" s="799"/>
      <c r="BC526" s="799"/>
      <c r="BD526" s="799"/>
      <c r="BE526" s="799"/>
      <c r="BF526" s="799"/>
      <c r="BG526" s="799"/>
    </row>
    <row r="527">
      <c r="H527" s="799"/>
      <c r="I527" s="799"/>
      <c r="J527" s="799"/>
      <c r="K527" s="799"/>
      <c r="L527" s="799"/>
      <c r="M527" s="799"/>
      <c r="N527" s="799"/>
      <c r="O527" s="799"/>
      <c r="P527" s="799"/>
      <c r="Q527" s="799"/>
      <c r="R527" s="799"/>
      <c r="S527" s="799"/>
      <c r="T527" s="799"/>
      <c r="U527" s="799"/>
      <c r="V527" s="799"/>
      <c r="W527" s="799"/>
      <c r="X527" s="799"/>
      <c r="Y527" s="799"/>
      <c r="Z527" s="799"/>
      <c r="AA527" s="799"/>
      <c r="AB527" s="799"/>
      <c r="AC527" s="799"/>
      <c r="AD527" s="799"/>
      <c r="AE527" s="799"/>
      <c r="AF527" s="799"/>
      <c r="AG527" s="799"/>
      <c r="AH527" s="799"/>
      <c r="AI527" s="799"/>
      <c r="AJ527" s="799"/>
      <c r="AK527" s="799"/>
      <c r="AL527" s="799"/>
      <c r="AM527" s="799"/>
      <c r="AN527" s="799"/>
      <c r="AO527" s="799"/>
      <c r="AP527" s="799"/>
      <c r="AQ527" s="799"/>
      <c r="AR527" s="799"/>
      <c r="AS527" s="799"/>
      <c r="AT527" s="799"/>
      <c r="AU527" s="799"/>
      <c r="AV527" s="799"/>
      <c r="AW527" s="799"/>
      <c r="AX527" s="799"/>
      <c r="AY527" s="799"/>
      <c r="AZ527" s="799"/>
      <c r="BA527" s="799"/>
      <c r="BB527" s="799"/>
      <c r="BC527" s="799"/>
      <c r="BD527" s="799"/>
      <c r="BE527" s="799"/>
      <c r="BF527" s="799"/>
      <c r="BG527" s="799"/>
    </row>
    <row r="528">
      <c r="H528" s="799"/>
      <c r="I528" s="799"/>
      <c r="J528" s="799"/>
      <c r="K528" s="799"/>
      <c r="L528" s="799"/>
      <c r="M528" s="799"/>
      <c r="N528" s="799"/>
      <c r="O528" s="799"/>
      <c r="P528" s="799"/>
      <c r="Q528" s="799"/>
      <c r="R528" s="799"/>
      <c r="S528" s="799"/>
      <c r="T528" s="799"/>
      <c r="U528" s="799"/>
      <c r="V528" s="799"/>
      <c r="W528" s="799"/>
      <c r="X528" s="799"/>
      <c r="Y528" s="799"/>
      <c r="Z528" s="799"/>
      <c r="AA528" s="799"/>
      <c r="AB528" s="799"/>
      <c r="AC528" s="799"/>
      <c r="AD528" s="799"/>
      <c r="AE528" s="799"/>
      <c r="AF528" s="799"/>
      <c r="AG528" s="799"/>
      <c r="AH528" s="799"/>
      <c r="AI528" s="799"/>
      <c r="AJ528" s="799"/>
      <c r="AK528" s="799"/>
      <c r="AL528" s="799"/>
      <c r="AM528" s="799"/>
      <c r="AN528" s="799"/>
      <c r="AO528" s="799"/>
      <c r="AP528" s="799"/>
      <c r="AQ528" s="799"/>
      <c r="AR528" s="799"/>
      <c r="AS528" s="799"/>
      <c r="AT528" s="799"/>
      <c r="AU528" s="799"/>
      <c r="AV528" s="799"/>
      <c r="AW528" s="799"/>
      <c r="AX528" s="799"/>
      <c r="AY528" s="799"/>
      <c r="AZ528" s="799"/>
      <c r="BA528" s="799"/>
      <c r="BB528" s="799"/>
      <c r="BC528" s="799"/>
      <c r="BD528" s="799"/>
      <c r="BE528" s="799"/>
      <c r="BF528" s="799"/>
      <c r="BG528" s="799"/>
    </row>
    <row r="529">
      <c r="H529" s="799"/>
      <c r="I529" s="799"/>
      <c r="J529" s="799"/>
      <c r="K529" s="799"/>
      <c r="L529" s="799"/>
      <c r="M529" s="799"/>
      <c r="N529" s="799"/>
      <c r="O529" s="799"/>
      <c r="P529" s="799"/>
      <c r="Q529" s="799"/>
      <c r="R529" s="799"/>
      <c r="S529" s="799"/>
      <c r="T529" s="799"/>
      <c r="U529" s="799"/>
      <c r="V529" s="799"/>
      <c r="W529" s="799"/>
      <c r="X529" s="799"/>
      <c r="Y529" s="799"/>
      <c r="Z529" s="799"/>
      <c r="AA529" s="799"/>
      <c r="AB529" s="799"/>
      <c r="AC529" s="799"/>
      <c r="AD529" s="799"/>
      <c r="AE529" s="799"/>
      <c r="AF529" s="799"/>
      <c r="AG529" s="799"/>
      <c r="AH529" s="799"/>
      <c r="AI529" s="799"/>
      <c r="AJ529" s="799"/>
      <c r="AK529" s="799"/>
      <c r="AL529" s="799"/>
      <c r="AM529" s="799"/>
      <c r="AN529" s="799"/>
      <c r="AO529" s="799"/>
      <c r="AP529" s="799"/>
      <c r="AQ529" s="799"/>
      <c r="AR529" s="799"/>
      <c r="AS529" s="799"/>
      <c r="AT529" s="799"/>
      <c r="AU529" s="799"/>
      <c r="AV529" s="799"/>
      <c r="AW529" s="799"/>
      <c r="AX529" s="799"/>
      <c r="AY529" s="799"/>
      <c r="AZ529" s="799"/>
      <c r="BA529" s="799"/>
      <c r="BB529" s="799"/>
      <c r="BC529" s="799"/>
      <c r="BD529" s="799"/>
      <c r="BE529" s="799"/>
      <c r="BF529" s="799"/>
      <c r="BG529" s="799"/>
    </row>
    <row r="530">
      <c r="H530" s="799"/>
      <c r="I530" s="799"/>
      <c r="J530" s="799"/>
      <c r="K530" s="799"/>
      <c r="L530" s="799"/>
      <c r="M530" s="799"/>
      <c r="N530" s="799"/>
      <c r="O530" s="799"/>
      <c r="P530" s="799"/>
      <c r="Q530" s="799"/>
      <c r="R530" s="799"/>
      <c r="S530" s="799"/>
      <c r="T530" s="799"/>
      <c r="U530" s="799"/>
      <c r="V530" s="799"/>
      <c r="W530" s="799"/>
      <c r="X530" s="799"/>
      <c r="Y530" s="799"/>
      <c r="Z530" s="799"/>
      <c r="AA530" s="799"/>
      <c r="AB530" s="799"/>
      <c r="AC530" s="799"/>
      <c r="AD530" s="799"/>
      <c r="AE530" s="799"/>
      <c r="AF530" s="799"/>
      <c r="AG530" s="799"/>
      <c r="AH530" s="799"/>
      <c r="AI530" s="799"/>
      <c r="AJ530" s="799"/>
      <c r="AK530" s="799"/>
      <c r="AL530" s="799"/>
      <c r="AM530" s="799"/>
      <c r="AN530" s="799"/>
      <c r="AO530" s="799"/>
      <c r="AP530" s="799"/>
      <c r="AQ530" s="799"/>
      <c r="AR530" s="799"/>
      <c r="AS530" s="799"/>
      <c r="AT530" s="799"/>
      <c r="AU530" s="799"/>
      <c r="AV530" s="799"/>
      <c r="AW530" s="799"/>
      <c r="AX530" s="799"/>
      <c r="AY530" s="799"/>
      <c r="AZ530" s="799"/>
      <c r="BA530" s="799"/>
      <c r="BB530" s="799"/>
      <c r="BC530" s="799"/>
      <c r="BD530" s="799"/>
      <c r="BE530" s="799"/>
      <c r="BF530" s="799"/>
      <c r="BG530" s="799"/>
    </row>
    <row r="531">
      <c r="H531" s="799"/>
      <c r="I531" s="799"/>
      <c r="J531" s="799"/>
      <c r="K531" s="799"/>
      <c r="L531" s="799"/>
      <c r="M531" s="799"/>
      <c r="N531" s="799"/>
      <c r="O531" s="799"/>
      <c r="P531" s="799"/>
      <c r="Q531" s="799"/>
      <c r="R531" s="799"/>
      <c r="S531" s="799"/>
      <c r="T531" s="799"/>
      <c r="U531" s="799"/>
      <c r="V531" s="799"/>
      <c r="W531" s="799"/>
      <c r="X531" s="799"/>
      <c r="Y531" s="799"/>
      <c r="Z531" s="799"/>
      <c r="AA531" s="799"/>
      <c r="AB531" s="799"/>
      <c r="AC531" s="799"/>
      <c r="AD531" s="799"/>
      <c r="AE531" s="799"/>
      <c r="AF531" s="799"/>
      <c r="AG531" s="799"/>
      <c r="AH531" s="799"/>
      <c r="AI531" s="799"/>
      <c r="AJ531" s="799"/>
      <c r="AK531" s="799"/>
      <c r="AL531" s="799"/>
      <c r="AM531" s="799"/>
      <c r="AN531" s="799"/>
      <c r="AO531" s="799"/>
      <c r="AP531" s="799"/>
      <c r="AQ531" s="799"/>
      <c r="AR531" s="799"/>
      <c r="AS531" s="799"/>
      <c r="AT531" s="799"/>
      <c r="AU531" s="799"/>
      <c r="AV531" s="799"/>
      <c r="AW531" s="799"/>
      <c r="AX531" s="799"/>
      <c r="AY531" s="799"/>
      <c r="AZ531" s="799"/>
      <c r="BA531" s="799"/>
      <c r="BB531" s="799"/>
      <c r="BC531" s="799"/>
      <c r="BD531" s="799"/>
      <c r="BE531" s="799"/>
      <c r="BF531" s="799"/>
      <c r="BG531" s="799"/>
    </row>
    <row r="532">
      <c r="H532" s="799"/>
      <c r="I532" s="799"/>
      <c r="J532" s="799"/>
      <c r="K532" s="799"/>
      <c r="L532" s="799"/>
      <c r="M532" s="799"/>
      <c r="N532" s="799"/>
      <c r="O532" s="799"/>
      <c r="P532" s="799"/>
      <c r="Q532" s="799"/>
      <c r="R532" s="799"/>
      <c r="S532" s="799"/>
      <c r="T532" s="799"/>
      <c r="U532" s="799"/>
      <c r="V532" s="799"/>
      <c r="W532" s="799"/>
      <c r="X532" s="799"/>
      <c r="Y532" s="799"/>
      <c r="Z532" s="799"/>
      <c r="AA532" s="799"/>
      <c r="AB532" s="799"/>
      <c r="AC532" s="799"/>
      <c r="AD532" s="799"/>
      <c r="AE532" s="799"/>
      <c r="AF532" s="799"/>
      <c r="AG532" s="799"/>
      <c r="AH532" s="799"/>
      <c r="AI532" s="799"/>
      <c r="AJ532" s="799"/>
      <c r="AK532" s="799"/>
      <c r="AL532" s="799"/>
      <c r="AM532" s="799"/>
      <c r="AN532" s="799"/>
      <c r="AO532" s="799"/>
      <c r="AP532" s="799"/>
      <c r="AQ532" s="799"/>
      <c r="AR532" s="799"/>
      <c r="AS532" s="799"/>
      <c r="AT532" s="799"/>
      <c r="AU532" s="799"/>
      <c r="AV532" s="799"/>
      <c r="AW532" s="799"/>
      <c r="AX532" s="799"/>
      <c r="AY532" s="799"/>
      <c r="AZ532" s="799"/>
      <c r="BA532" s="799"/>
      <c r="BB532" s="799"/>
      <c r="BC532" s="799"/>
      <c r="BD532" s="799"/>
      <c r="BE532" s="799"/>
      <c r="BF532" s="799"/>
      <c r="BG532" s="799"/>
    </row>
    <row r="533">
      <c r="H533" s="799"/>
      <c r="I533" s="799"/>
      <c r="J533" s="799"/>
      <c r="K533" s="799"/>
      <c r="L533" s="799"/>
      <c r="M533" s="799"/>
      <c r="N533" s="799"/>
      <c r="O533" s="799"/>
      <c r="P533" s="799"/>
      <c r="Q533" s="799"/>
      <c r="R533" s="799"/>
      <c r="S533" s="799"/>
      <c r="T533" s="799"/>
      <c r="U533" s="799"/>
      <c r="V533" s="799"/>
      <c r="W533" s="799"/>
      <c r="X533" s="799"/>
      <c r="Y533" s="799"/>
      <c r="Z533" s="799"/>
      <c r="AA533" s="799"/>
      <c r="AB533" s="799"/>
      <c r="AC533" s="799"/>
      <c r="AD533" s="799"/>
      <c r="AE533" s="799"/>
      <c r="AF533" s="799"/>
      <c r="AG533" s="799"/>
      <c r="AH533" s="799"/>
      <c r="AI533" s="799"/>
      <c r="AJ533" s="799"/>
      <c r="AK533" s="799"/>
      <c r="AL533" s="799"/>
      <c r="AM533" s="799"/>
      <c r="AN533" s="799"/>
      <c r="AO533" s="799"/>
      <c r="AP533" s="799"/>
      <c r="AQ533" s="799"/>
      <c r="AR533" s="799"/>
      <c r="AS533" s="799"/>
      <c r="AT533" s="799"/>
      <c r="AU533" s="799"/>
      <c r="AV533" s="799"/>
      <c r="AW533" s="799"/>
      <c r="AX533" s="799"/>
      <c r="AY533" s="799"/>
      <c r="AZ533" s="799"/>
      <c r="BA533" s="799"/>
      <c r="BB533" s="799"/>
      <c r="BC533" s="799"/>
      <c r="BD533" s="799"/>
      <c r="BE533" s="799"/>
      <c r="BF533" s="799"/>
      <c r="BG533" s="799"/>
    </row>
    <row r="534">
      <c r="H534" s="799"/>
      <c r="I534" s="799"/>
      <c r="J534" s="799"/>
      <c r="K534" s="799"/>
      <c r="L534" s="799"/>
      <c r="M534" s="799"/>
      <c r="N534" s="799"/>
      <c r="O534" s="799"/>
      <c r="P534" s="799"/>
      <c r="Q534" s="799"/>
      <c r="R534" s="799"/>
      <c r="S534" s="799"/>
      <c r="T534" s="799"/>
      <c r="U534" s="799"/>
      <c r="V534" s="799"/>
      <c r="W534" s="799"/>
      <c r="X534" s="799"/>
      <c r="Y534" s="799"/>
      <c r="Z534" s="799"/>
      <c r="AA534" s="799"/>
      <c r="AB534" s="799"/>
      <c r="AC534" s="799"/>
      <c r="AD534" s="799"/>
      <c r="AE534" s="799"/>
      <c r="AF534" s="799"/>
      <c r="AG534" s="799"/>
      <c r="AH534" s="799"/>
      <c r="AI534" s="799"/>
      <c r="AJ534" s="799"/>
      <c r="AK534" s="799"/>
      <c r="AL534" s="799"/>
      <c r="AM534" s="799"/>
      <c r="AN534" s="799"/>
      <c r="AO534" s="799"/>
      <c r="AP534" s="799"/>
      <c r="AQ534" s="799"/>
      <c r="AR534" s="799"/>
      <c r="AS534" s="799"/>
      <c r="AT534" s="799"/>
      <c r="AU534" s="799"/>
      <c r="AV534" s="799"/>
      <c r="AW534" s="799"/>
      <c r="AX534" s="799"/>
      <c r="AY534" s="799"/>
      <c r="AZ534" s="799"/>
      <c r="BA534" s="799"/>
      <c r="BB534" s="799"/>
      <c r="BC534" s="799"/>
      <c r="BD534" s="799"/>
      <c r="BE534" s="799"/>
      <c r="BF534" s="799"/>
      <c r="BG534" s="799"/>
    </row>
    <row r="535">
      <c r="H535" s="799"/>
      <c r="I535" s="799"/>
      <c r="J535" s="799"/>
      <c r="K535" s="799"/>
      <c r="L535" s="799"/>
      <c r="M535" s="799"/>
      <c r="N535" s="799"/>
      <c r="O535" s="799"/>
      <c r="P535" s="799"/>
      <c r="Q535" s="799"/>
      <c r="R535" s="799"/>
      <c r="S535" s="799"/>
      <c r="T535" s="799"/>
      <c r="U535" s="799"/>
      <c r="V535" s="799"/>
      <c r="W535" s="799"/>
      <c r="X535" s="799"/>
      <c r="Y535" s="799"/>
      <c r="Z535" s="799"/>
      <c r="AA535" s="799"/>
      <c r="AB535" s="799"/>
      <c r="AC535" s="799"/>
      <c r="AD535" s="799"/>
      <c r="AE535" s="799"/>
      <c r="AF535" s="799"/>
      <c r="AG535" s="799"/>
      <c r="AH535" s="799"/>
      <c r="AI535" s="799"/>
      <c r="AJ535" s="799"/>
      <c r="AK535" s="799"/>
      <c r="AL535" s="799"/>
      <c r="AM535" s="799"/>
      <c r="AN535" s="799"/>
      <c r="AO535" s="799"/>
      <c r="AP535" s="799"/>
      <c r="AQ535" s="799"/>
      <c r="AR535" s="799"/>
      <c r="AS535" s="799"/>
      <c r="AT535" s="799"/>
      <c r="AU535" s="799"/>
      <c r="AV535" s="799"/>
      <c r="AW535" s="799"/>
      <c r="AX535" s="799"/>
      <c r="AY535" s="799"/>
      <c r="AZ535" s="799"/>
      <c r="BA535" s="799"/>
      <c r="BB535" s="799"/>
      <c r="BC535" s="799"/>
      <c r="BD535" s="799"/>
      <c r="BE535" s="799"/>
      <c r="BF535" s="799"/>
      <c r="BG535" s="799"/>
    </row>
    <row r="536">
      <c r="H536" s="799"/>
      <c r="I536" s="799"/>
      <c r="J536" s="799"/>
      <c r="K536" s="799"/>
      <c r="L536" s="799"/>
      <c r="M536" s="799"/>
      <c r="N536" s="799"/>
      <c r="O536" s="799"/>
      <c r="P536" s="799"/>
      <c r="Q536" s="799"/>
      <c r="R536" s="799"/>
      <c r="S536" s="799"/>
      <c r="T536" s="799"/>
      <c r="U536" s="799"/>
      <c r="V536" s="799"/>
      <c r="W536" s="799"/>
      <c r="X536" s="799"/>
      <c r="Y536" s="799"/>
      <c r="Z536" s="799"/>
      <c r="AA536" s="799"/>
      <c r="AB536" s="799"/>
      <c r="AC536" s="799"/>
      <c r="AD536" s="799"/>
      <c r="AE536" s="799"/>
      <c r="AF536" s="799"/>
      <c r="AG536" s="799"/>
      <c r="AH536" s="799"/>
      <c r="AI536" s="799"/>
      <c r="AJ536" s="799"/>
      <c r="AK536" s="799"/>
      <c r="AL536" s="799"/>
      <c r="AM536" s="799"/>
      <c r="AN536" s="799"/>
      <c r="AO536" s="799"/>
      <c r="AP536" s="799"/>
      <c r="AQ536" s="799"/>
      <c r="AR536" s="799"/>
      <c r="AS536" s="799"/>
      <c r="AT536" s="799"/>
      <c r="AU536" s="799"/>
      <c r="AV536" s="799"/>
      <c r="AW536" s="799"/>
      <c r="AX536" s="799"/>
      <c r="AY536" s="799"/>
      <c r="AZ536" s="799"/>
      <c r="BA536" s="799"/>
      <c r="BB536" s="799"/>
      <c r="BC536" s="799"/>
      <c r="BD536" s="799"/>
      <c r="BE536" s="799"/>
      <c r="BF536" s="799"/>
      <c r="BG536" s="799"/>
    </row>
    <row r="537">
      <c r="H537" s="799"/>
      <c r="I537" s="799"/>
      <c r="J537" s="799"/>
      <c r="K537" s="799"/>
      <c r="L537" s="799"/>
      <c r="M537" s="799"/>
      <c r="N537" s="799"/>
      <c r="O537" s="799"/>
      <c r="P537" s="799"/>
      <c r="Q537" s="799"/>
      <c r="R537" s="799"/>
      <c r="S537" s="799"/>
      <c r="T537" s="799"/>
      <c r="U537" s="799"/>
      <c r="V537" s="799"/>
      <c r="W537" s="799"/>
      <c r="X537" s="799"/>
      <c r="Y537" s="799"/>
      <c r="Z537" s="799"/>
      <c r="AA537" s="799"/>
      <c r="AB537" s="799"/>
      <c r="AC537" s="799"/>
      <c r="AD537" s="799"/>
      <c r="AE537" s="799"/>
      <c r="AF537" s="799"/>
      <c r="AG537" s="799"/>
      <c r="AH537" s="799"/>
      <c r="AI537" s="799"/>
      <c r="AJ537" s="799"/>
      <c r="AK537" s="799"/>
      <c r="AL537" s="799"/>
      <c r="AM537" s="799"/>
      <c r="AN537" s="799"/>
      <c r="AO537" s="799"/>
      <c r="AP537" s="799"/>
      <c r="AQ537" s="799"/>
      <c r="AR537" s="799"/>
      <c r="AS537" s="799"/>
      <c r="AT537" s="799"/>
      <c r="AU537" s="799"/>
      <c r="AV537" s="799"/>
      <c r="AW537" s="799"/>
      <c r="AX537" s="799"/>
      <c r="AY537" s="799"/>
      <c r="AZ537" s="799"/>
      <c r="BA537" s="799"/>
      <c r="BB537" s="799"/>
      <c r="BC537" s="799"/>
      <c r="BD537" s="799"/>
      <c r="BE537" s="799"/>
      <c r="BF537" s="799"/>
      <c r="BG537" s="799"/>
    </row>
    <row r="538">
      <c r="H538" s="799"/>
      <c r="I538" s="799"/>
      <c r="J538" s="799"/>
      <c r="K538" s="799"/>
      <c r="L538" s="799"/>
      <c r="M538" s="799"/>
      <c r="N538" s="799"/>
      <c r="O538" s="799"/>
      <c r="P538" s="799"/>
      <c r="Q538" s="799"/>
      <c r="R538" s="799"/>
      <c r="S538" s="799"/>
      <c r="T538" s="799"/>
      <c r="U538" s="799"/>
      <c r="V538" s="799"/>
      <c r="W538" s="799"/>
      <c r="X538" s="799"/>
      <c r="Y538" s="799"/>
      <c r="Z538" s="799"/>
      <c r="AA538" s="799"/>
      <c r="AB538" s="799"/>
      <c r="AC538" s="799"/>
      <c r="AD538" s="799"/>
      <c r="AE538" s="799"/>
      <c r="AF538" s="799"/>
      <c r="AG538" s="799"/>
      <c r="AH538" s="799"/>
      <c r="AI538" s="799"/>
      <c r="AJ538" s="799"/>
      <c r="AK538" s="799"/>
      <c r="AL538" s="799"/>
      <c r="AM538" s="799"/>
      <c r="AN538" s="799"/>
      <c r="AO538" s="799"/>
      <c r="AP538" s="799"/>
      <c r="AQ538" s="799"/>
      <c r="AR538" s="799"/>
      <c r="AS538" s="799"/>
      <c r="AT538" s="799"/>
      <c r="AU538" s="799"/>
      <c r="AV538" s="799"/>
      <c r="AW538" s="799"/>
      <c r="AX538" s="799"/>
      <c r="AY538" s="799"/>
      <c r="AZ538" s="799"/>
      <c r="BA538" s="799"/>
      <c r="BB538" s="799"/>
      <c r="BC538" s="799"/>
      <c r="BD538" s="799"/>
      <c r="BE538" s="799"/>
      <c r="BF538" s="799"/>
      <c r="BG538" s="799"/>
    </row>
    <row r="539">
      <c r="H539" s="799"/>
      <c r="I539" s="799"/>
      <c r="J539" s="799"/>
      <c r="K539" s="799"/>
      <c r="L539" s="799"/>
      <c r="M539" s="799"/>
      <c r="N539" s="799"/>
      <c r="O539" s="799"/>
      <c r="P539" s="799"/>
      <c r="Q539" s="799"/>
      <c r="R539" s="799"/>
      <c r="S539" s="799"/>
      <c r="T539" s="799"/>
      <c r="U539" s="799"/>
      <c r="V539" s="799"/>
      <c r="W539" s="799"/>
      <c r="X539" s="799"/>
      <c r="Y539" s="799"/>
      <c r="Z539" s="799"/>
      <c r="AA539" s="799"/>
      <c r="AB539" s="799"/>
      <c r="AC539" s="799"/>
      <c r="AD539" s="799"/>
      <c r="AE539" s="799"/>
      <c r="AF539" s="799"/>
      <c r="AG539" s="799"/>
      <c r="AH539" s="799"/>
      <c r="AI539" s="799"/>
      <c r="AJ539" s="799"/>
      <c r="AK539" s="799"/>
      <c r="AL539" s="799"/>
      <c r="AM539" s="799"/>
      <c r="AN539" s="799"/>
      <c r="AO539" s="799"/>
      <c r="AP539" s="799"/>
      <c r="AQ539" s="799"/>
      <c r="AR539" s="799"/>
      <c r="AS539" s="799"/>
      <c r="AT539" s="799"/>
      <c r="AU539" s="799"/>
      <c r="AV539" s="799"/>
      <c r="AW539" s="799"/>
      <c r="AX539" s="799"/>
      <c r="AY539" s="799"/>
      <c r="AZ539" s="799"/>
      <c r="BA539" s="799"/>
      <c r="BB539" s="799"/>
      <c r="BC539" s="799"/>
      <c r="BD539" s="799"/>
      <c r="BE539" s="799"/>
      <c r="BF539" s="799"/>
      <c r="BG539" s="799"/>
    </row>
    <row r="540">
      <c r="H540" s="799"/>
      <c r="I540" s="799"/>
      <c r="J540" s="799"/>
      <c r="K540" s="799"/>
      <c r="L540" s="799"/>
      <c r="M540" s="799"/>
      <c r="N540" s="799"/>
      <c r="O540" s="799"/>
      <c r="P540" s="799"/>
      <c r="Q540" s="799"/>
      <c r="R540" s="799"/>
      <c r="S540" s="799"/>
      <c r="T540" s="799"/>
      <c r="U540" s="799"/>
      <c r="V540" s="799"/>
      <c r="W540" s="799"/>
      <c r="X540" s="799"/>
      <c r="Y540" s="799"/>
      <c r="Z540" s="799"/>
      <c r="AA540" s="799"/>
      <c r="AB540" s="799"/>
      <c r="AC540" s="799"/>
      <c r="AD540" s="799"/>
      <c r="AE540" s="799"/>
      <c r="AF540" s="799"/>
      <c r="AG540" s="799"/>
      <c r="AH540" s="799"/>
      <c r="AI540" s="799"/>
      <c r="AJ540" s="799"/>
      <c r="AK540" s="799"/>
      <c r="AL540" s="799"/>
      <c r="AM540" s="799"/>
      <c r="AN540" s="799"/>
      <c r="AO540" s="799"/>
      <c r="AP540" s="799"/>
      <c r="AQ540" s="799"/>
      <c r="AR540" s="799"/>
      <c r="AS540" s="799"/>
      <c r="AT540" s="799"/>
      <c r="AU540" s="799"/>
      <c r="AV540" s="799"/>
      <c r="AW540" s="799"/>
      <c r="AX540" s="799"/>
      <c r="AY540" s="799"/>
      <c r="AZ540" s="799"/>
      <c r="BA540" s="799"/>
      <c r="BB540" s="799"/>
      <c r="BC540" s="799"/>
      <c r="BD540" s="799"/>
      <c r="BE540" s="799"/>
      <c r="BF540" s="799"/>
      <c r="BG540" s="799"/>
    </row>
    <row r="541">
      <c r="H541" s="799"/>
      <c r="I541" s="799"/>
      <c r="J541" s="799"/>
      <c r="K541" s="799"/>
      <c r="L541" s="799"/>
      <c r="M541" s="799"/>
      <c r="N541" s="799"/>
      <c r="O541" s="799"/>
      <c r="P541" s="799"/>
      <c r="Q541" s="799"/>
      <c r="R541" s="799"/>
      <c r="S541" s="799"/>
      <c r="T541" s="799"/>
      <c r="U541" s="799"/>
      <c r="V541" s="799"/>
      <c r="W541" s="799"/>
      <c r="X541" s="799"/>
      <c r="Y541" s="799"/>
      <c r="Z541" s="799"/>
      <c r="AA541" s="799"/>
      <c r="AB541" s="799"/>
      <c r="AC541" s="799"/>
      <c r="AD541" s="799"/>
      <c r="AE541" s="799"/>
      <c r="AF541" s="799"/>
      <c r="AG541" s="799"/>
      <c r="AH541" s="799"/>
      <c r="AI541" s="799"/>
      <c r="AJ541" s="799"/>
      <c r="AK541" s="799"/>
      <c r="AL541" s="799"/>
      <c r="AM541" s="799"/>
      <c r="AN541" s="799"/>
      <c r="AO541" s="799"/>
      <c r="AP541" s="799"/>
      <c r="AQ541" s="799"/>
      <c r="AR541" s="799"/>
      <c r="AS541" s="799"/>
      <c r="AT541" s="799"/>
      <c r="AU541" s="799"/>
      <c r="AV541" s="799"/>
      <c r="AW541" s="799"/>
      <c r="AX541" s="799"/>
      <c r="AY541" s="799"/>
      <c r="AZ541" s="799"/>
      <c r="BA541" s="799"/>
      <c r="BB541" s="799"/>
      <c r="BC541" s="799"/>
      <c r="BD541" s="799"/>
      <c r="BE541" s="799"/>
      <c r="BF541" s="799"/>
      <c r="BG541" s="799"/>
    </row>
    <row r="542">
      <c r="H542" s="799"/>
      <c r="I542" s="799"/>
      <c r="J542" s="799"/>
      <c r="K542" s="799"/>
      <c r="L542" s="799"/>
      <c r="M542" s="799"/>
      <c r="N542" s="799"/>
      <c r="O542" s="799"/>
      <c r="P542" s="799"/>
      <c r="Q542" s="799"/>
      <c r="R542" s="799"/>
      <c r="S542" s="799"/>
      <c r="T542" s="799"/>
      <c r="U542" s="799"/>
      <c r="V542" s="799"/>
      <c r="W542" s="799"/>
      <c r="X542" s="799"/>
      <c r="Y542" s="799"/>
      <c r="Z542" s="799"/>
      <c r="AA542" s="799"/>
      <c r="AB542" s="799"/>
      <c r="AC542" s="799"/>
      <c r="AD542" s="799"/>
      <c r="AE542" s="799"/>
      <c r="AF542" s="799"/>
      <c r="AG542" s="799"/>
      <c r="AH542" s="799"/>
      <c r="AI542" s="799"/>
      <c r="AJ542" s="799"/>
      <c r="AK542" s="799"/>
      <c r="AL542" s="799"/>
      <c r="AM542" s="799"/>
      <c r="AN542" s="799"/>
      <c r="AO542" s="799"/>
      <c r="AP542" s="799"/>
      <c r="AQ542" s="799"/>
      <c r="AR542" s="799"/>
      <c r="AS542" s="799"/>
      <c r="AT542" s="799"/>
      <c r="AU542" s="799"/>
      <c r="AV542" s="799"/>
      <c r="AW542" s="799"/>
      <c r="AX542" s="799"/>
      <c r="AY542" s="799"/>
      <c r="AZ542" s="799"/>
      <c r="BA542" s="799"/>
      <c r="BB542" s="799"/>
      <c r="BC542" s="799"/>
      <c r="BD542" s="799"/>
      <c r="BE542" s="799"/>
      <c r="BF542" s="799"/>
      <c r="BG542" s="799"/>
    </row>
    <row r="543">
      <c r="H543" s="799"/>
      <c r="I543" s="799"/>
      <c r="J543" s="799"/>
      <c r="K543" s="799"/>
      <c r="L543" s="799"/>
      <c r="M543" s="799"/>
      <c r="N543" s="799"/>
      <c r="O543" s="799"/>
      <c r="P543" s="799"/>
      <c r="Q543" s="799"/>
      <c r="R543" s="799"/>
      <c r="S543" s="799"/>
      <c r="T543" s="799"/>
      <c r="U543" s="799"/>
      <c r="V543" s="799"/>
      <c r="W543" s="799"/>
      <c r="X543" s="799"/>
      <c r="Y543" s="799"/>
      <c r="Z543" s="799"/>
      <c r="AA543" s="799"/>
      <c r="AB543" s="799"/>
      <c r="AC543" s="799"/>
      <c r="AD543" s="799"/>
      <c r="AE543" s="799"/>
      <c r="AF543" s="799"/>
      <c r="AG543" s="799"/>
      <c r="AH543" s="799"/>
      <c r="AI543" s="799"/>
      <c r="AJ543" s="799"/>
      <c r="AK543" s="799"/>
      <c r="AL543" s="799"/>
      <c r="AM543" s="799"/>
      <c r="AN543" s="799"/>
      <c r="AO543" s="799"/>
      <c r="AP543" s="799"/>
      <c r="AQ543" s="799"/>
      <c r="AR543" s="799"/>
      <c r="AS543" s="799"/>
      <c r="AT543" s="799"/>
      <c r="AU543" s="799"/>
      <c r="AV543" s="799"/>
      <c r="AW543" s="799"/>
      <c r="AX543" s="799"/>
      <c r="AY543" s="799"/>
      <c r="AZ543" s="799"/>
      <c r="BA543" s="799"/>
      <c r="BB543" s="799"/>
      <c r="BC543" s="799"/>
      <c r="BD543" s="799"/>
      <c r="BE543" s="799"/>
      <c r="BF543" s="799"/>
      <c r="BG543" s="799"/>
    </row>
    <row r="544">
      <c r="H544" s="799"/>
      <c r="I544" s="799"/>
      <c r="J544" s="799"/>
      <c r="K544" s="799"/>
      <c r="L544" s="799"/>
      <c r="M544" s="799"/>
      <c r="N544" s="799"/>
      <c r="O544" s="799"/>
      <c r="P544" s="799"/>
      <c r="Q544" s="799"/>
      <c r="R544" s="799"/>
      <c r="S544" s="799"/>
      <c r="T544" s="799"/>
      <c r="U544" s="799"/>
      <c r="V544" s="799"/>
      <c r="W544" s="799"/>
      <c r="X544" s="799"/>
      <c r="Y544" s="799"/>
      <c r="Z544" s="799"/>
      <c r="AA544" s="799"/>
      <c r="AB544" s="799"/>
      <c r="AC544" s="799"/>
      <c r="AD544" s="799"/>
      <c r="AE544" s="799"/>
      <c r="AF544" s="799"/>
      <c r="AG544" s="799"/>
      <c r="AH544" s="799"/>
      <c r="AI544" s="799"/>
      <c r="AJ544" s="799"/>
      <c r="AK544" s="799"/>
      <c r="AL544" s="799"/>
      <c r="AM544" s="799"/>
      <c r="AN544" s="799"/>
      <c r="AO544" s="799"/>
      <c r="AP544" s="799"/>
      <c r="AQ544" s="799"/>
      <c r="AR544" s="799"/>
      <c r="AS544" s="799"/>
      <c r="AT544" s="799"/>
      <c r="AU544" s="799"/>
      <c r="AV544" s="799"/>
      <c r="AW544" s="799"/>
      <c r="AX544" s="799"/>
      <c r="AY544" s="799"/>
      <c r="AZ544" s="799"/>
      <c r="BA544" s="799"/>
      <c r="BB544" s="799"/>
      <c r="BC544" s="799"/>
      <c r="BD544" s="799"/>
      <c r="BE544" s="799"/>
      <c r="BF544" s="799"/>
      <c r="BG544" s="799"/>
    </row>
    <row r="545">
      <c r="H545" s="799"/>
      <c r="I545" s="799"/>
      <c r="J545" s="799"/>
      <c r="K545" s="799"/>
      <c r="L545" s="799"/>
      <c r="M545" s="799"/>
      <c r="N545" s="799"/>
      <c r="O545" s="799"/>
      <c r="P545" s="799"/>
      <c r="Q545" s="799"/>
      <c r="R545" s="799"/>
      <c r="S545" s="799"/>
      <c r="T545" s="799"/>
      <c r="U545" s="799"/>
      <c r="V545" s="799"/>
      <c r="W545" s="799"/>
      <c r="X545" s="799"/>
      <c r="Y545" s="799"/>
      <c r="Z545" s="799"/>
      <c r="AA545" s="799"/>
      <c r="AB545" s="799"/>
      <c r="AC545" s="799"/>
      <c r="AD545" s="799"/>
      <c r="AE545" s="799"/>
      <c r="AF545" s="799"/>
      <c r="AG545" s="799"/>
      <c r="AH545" s="799"/>
      <c r="AI545" s="799"/>
      <c r="AJ545" s="799"/>
      <c r="AK545" s="799"/>
      <c r="AL545" s="799"/>
      <c r="AM545" s="799"/>
      <c r="AN545" s="799"/>
      <c r="AO545" s="799"/>
      <c r="AP545" s="799"/>
      <c r="AQ545" s="799"/>
      <c r="AR545" s="799"/>
      <c r="AS545" s="799"/>
      <c r="AT545" s="799"/>
      <c r="AU545" s="799"/>
      <c r="AV545" s="799"/>
      <c r="AW545" s="799"/>
      <c r="AX545" s="799"/>
      <c r="AY545" s="799"/>
      <c r="AZ545" s="799"/>
      <c r="BA545" s="799"/>
      <c r="BB545" s="799"/>
      <c r="BC545" s="799"/>
      <c r="BD545" s="799"/>
      <c r="BE545" s="799"/>
      <c r="BF545" s="799"/>
      <c r="BG545" s="799"/>
    </row>
    <row r="546">
      <c r="H546" s="799"/>
      <c r="I546" s="799"/>
      <c r="J546" s="799"/>
      <c r="K546" s="799"/>
      <c r="L546" s="799"/>
      <c r="M546" s="799"/>
      <c r="N546" s="799"/>
      <c r="O546" s="799"/>
      <c r="P546" s="799"/>
      <c r="Q546" s="799"/>
      <c r="R546" s="799"/>
      <c r="S546" s="799"/>
      <c r="T546" s="799"/>
      <c r="U546" s="799"/>
      <c r="V546" s="799"/>
      <c r="W546" s="799"/>
      <c r="X546" s="799"/>
      <c r="Y546" s="799"/>
      <c r="Z546" s="799"/>
      <c r="AA546" s="799"/>
      <c r="AB546" s="799"/>
      <c r="AC546" s="799"/>
      <c r="AD546" s="799"/>
      <c r="AE546" s="799"/>
      <c r="AF546" s="799"/>
      <c r="AG546" s="799"/>
      <c r="AH546" s="799"/>
      <c r="AI546" s="799"/>
      <c r="AJ546" s="799"/>
      <c r="AK546" s="799"/>
      <c r="AL546" s="799"/>
      <c r="AM546" s="799"/>
      <c r="AN546" s="799"/>
      <c r="AO546" s="799"/>
      <c r="AP546" s="799"/>
      <c r="AQ546" s="799"/>
      <c r="AR546" s="799"/>
      <c r="AS546" s="799"/>
      <c r="AT546" s="799"/>
      <c r="AU546" s="799"/>
      <c r="AV546" s="799"/>
      <c r="AW546" s="799"/>
      <c r="AX546" s="799"/>
      <c r="AY546" s="799"/>
      <c r="AZ546" s="799"/>
      <c r="BA546" s="799"/>
      <c r="BB546" s="799"/>
      <c r="BC546" s="799"/>
      <c r="BD546" s="799"/>
      <c r="BE546" s="799"/>
      <c r="BF546" s="799"/>
      <c r="BG546" s="799"/>
    </row>
    <row r="547">
      <c r="H547" s="799"/>
      <c r="I547" s="799"/>
      <c r="J547" s="799"/>
      <c r="K547" s="799"/>
      <c r="L547" s="799"/>
      <c r="M547" s="799"/>
      <c r="N547" s="799"/>
      <c r="O547" s="799"/>
      <c r="P547" s="799"/>
      <c r="Q547" s="799"/>
      <c r="R547" s="799"/>
      <c r="S547" s="799"/>
      <c r="T547" s="799"/>
      <c r="U547" s="799"/>
      <c r="V547" s="799"/>
      <c r="W547" s="799"/>
      <c r="X547" s="799"/>
      <c r="Y547" s="799"/>
      <c r="Z547" s="799"/>
      <c r="AA547" s="799"/>
      <c r="AB547" s="799"/>
      <c r="AC547" s="799"/>
      <c r="AD547" s="799"/>
      <c r="AE547" s="799"/>
      <c r="AF547" s="799"/>
      <c r="AG547" s="799"/>
      <c r="AH547" s="799"/>
      <c r="AI547" s="799"/>
      <c r="AJ547" s="799"/>
      <c r="AK547" s="799"/>
      <c r="AL547" s="799"/>
      <c r="AM547" s="799"/>
      <c r="AN547" s="799"/>
      <c r="AO547" s="799"/>
      <c r="AP547" s="799"/>
      <c r="AQ547" s="799"/>
      <c r="AR547" s="799"/>
      <c r="AS547" s="799"/>
      <c r="AT547" s="799"/>
      <c r="AU547" s="799"/>
      <c r="AV547" s="799"/>
      <c r="AW547" s="799"/>
      <c r="AX547" s="799"/>
      <c r="AY547" s="799"/>
      <c r="AZ547" s="799"/>
      <c r="BA547" s="799"/>
      <c r="BB547" s="799"/>
      <c r="BC547" s="799"/>
      <c r="BD547" s="799"/>
      <c r="BE547" s="799"/>
      <c r="BF547" s="799"/>
      <c r="BG547" s="799"/>
    </row>
    <row r="548">
      <c r="H548" s="799"/>
      <c r="I548" s="799"/>
      <c r="J548" s="799"/>
      <c r="K548" s="799"/>
      <c r="L548" s="799"/>
      <c r="M548" s="799"/>
      <c r="N548" s="799"/>
      <c r="O548" s="799"/>
      <c r="P548" s="799"/>
      <c r="Q548" s="799"/>
      <c r="R548" s="799"/>
      <c r="S548" s="799"/>
      <c r="T548" s="799"/>
      <c r="U548" s="799"/>
      <c r="V548" s="799"/>
      <c r="W548" s="799"/>
      <c r="X548" s="799"/>
      <c r="Y548" s="799"/>
      <c r="Z548" s="799"/>
      <c r="AA548" s="799"/>
      <c r="AB548" s="799"/>
      <c r="AC548" s="799"/>
      <c r="AD548" s="799"/>
      <c r="AE548" s="799"/>
      <c r="AF548" s="799"/>
      <c r="AG548" s="799"/>
      <c r="AH548" s="799"/>
      <c r="AI548" s="799"/>
      <c r="AJ548" s="799"/>
      <c r="AK548" s="799"/>
      <c r="AL548" s="799"/>
      <c r="AM548" s="799"/>
      <c r="AN548" s="799"/>
      <c r="AO548" s="799"/>
      <c r="AP548" s="799"/>
      <c r="AQ548" s="799"/>
      <c r="AR548" s="799"/>
      <c r="AS548" s="799"/>
      <c r="AT548" s="799"/>
      <c r="AU548" s="799"/>
      <c r="AV548" s="799"/>
      <c r="AW548" s="799"/>
      <c r="AX548" s="799"/>
      <c r="AY548" s="799"/>
      <c r="AZ548" s="799"/>
      <c r="BA548" s="799"/>
      <c r="BB548" s="799"/>
      <c r="BC548" s="799"/>
      <c r="BD548" s="799"/>
      <c r="BE548" s="799"/>
      <c r="BF548" s="799"/>
      <c r="BG548" s="799"/>
    </row>
    <row r="549">
      <c r="H549" s="799"/>
      <c r="I549" s="799"/>
      <c r="J549" s="799"/>
      <c r="K549" s="799"/>
      <c r="L549" s="799"/>
      <c r="M549" s="799"/>
      <c r="N549" s="799"/>
      <c r="O549" s="799"/>
      <c r="P549" s="799"/>
      <c r="Q549" s="799"/>
      <c r="R549" s="799"/>
      <c r="S549" s="799"/>
      <c r="T549" s="799"/>
      <c r="U549" s="799"/>
      <c r="V549" s="799"/>
      <c r="W549" s="799"/>
      <c r="X549" s="799"/>
      <c r="Y549" s="799"/>
      <c r="Z549" s="799"/>
      <c r="AA549" s="799"/>
      <c r="AB549" s="799"/>
      <c r="AC549" s="799"/>
      <c r="AD549" s="799"/>
      <c r="AE549" s="799"/>
      <c r="AF549" s="799"/>
      <c r="AG549" s="799"/>
      <c r="AH549" s="799"/>
      <c r="AI549" s="799"/>
      <c r="AJ549" s="799"/>
      <c r="AK549" s="799"/>
      <c r="AL549" s="799"/>
      <c r="AM549" s="799"/>
      <c r="AN549" s="799"/>
      <c r="AO549" s="799"/>
      <c r="AP549" s="799"/>
      <c r="AQ549" s="799"/>
      <c r="AR549" s="799"/>
      <c r="AS549" s="799"/>
      <c r="AT549" s="799"/>
      <c r="AU549" s="799"/>
      <c r="AV549" s="799"/>
      <c r="AW549" s="799"/>
      <c r="AX549" s="799"/>
      <c r="AY549" s="799"/>
      <c r="AZ549" s="799"/>
      <c r="BA549" s="799"/>
      <c r="BB549" s="799"/>
      <c r="BC549" s="799"/>
      <c r="BD549" s="799"/>
      <c r="BE549" s="799"/>
      <c r="BF549" s="799"/>
      <c r="BG549" s="799"/>
    </row>
    <row r="550">
      <c r="H550" s="799"/>
      <c r="I550" s="799"/>
      <c r="J550" s="799"/>
      <c r="K550" s="799"/>
      <c r="L550" s="799"/>
      <c r="M550" s="799"/>
      <c r="N550" s="799"/>
      <c r="O550" s="799"/>
      <c r="P550" s="799"/>
      <c r="Q550" s="799"/>
      <c r="R550" s="799"/>
      <c r="S550" s="799"/>
      <c r="T550" s="799"/>
      <c r="U550" s="799"/>
      <c r="V550" s="799"/>
      <c r="W550" s="799"/>
      <c r="X550" s="799"/>
      <c r="Y550" s="799"/>
      <c r="Z550" s="799"/>
      <c r="AA550" s="799"/>
      <c r="AB550" s="799"/>
      <c r="AC550" s="799"/>
      <c r="AD550" s="799"/>
      <c r="AE550" s="799"/>
      <c r="AF550" s="799"/>
      <c r="AG550" s="799"/>
      <c r="AH550" s="799"/>
      <c r="AI550" s="799"/>
      <c r="AJ550" s="799"/>
      <c r="AK550" s="799"/>
      <c r="AL550" s="799"/>
      <c r="AM550" s="799"/>
      <c r="AN550" s="799"/>
      <c r="AO550" s="799"/>
      <c r="AP550" s="799"/>
      <c r="AQ550" s="799"/>
      <c r="AR550" s="799"/>
      <c r="AS550" s="799"/>
      <c r="AT550" s="799"/>
      <c r="AU550" s="799"/>
      <c r="AV550" s="799"/>
      <c r="AW550" s="799"/>
      <c r="AX550" s="799"/>
      <c r="AY550" s="799"/>
      <c r="AZ550" s="799"/>
      <c r="BA550" s="799"/>
      <c r="BB550" s="799"/>
      <c r="BC550" s="799"/>
      <c r="BD550" s="799"/>
      <c r="BE550" s="799"/>
      <c r="BF550" s="799"/>
      <c r="BG550" s="799"/>
    </row>
    <row r="551">
      <c r="H551" s="799"/>
      <c r="I551" s="799"/>
      <c r="J551" s="799"/>
      <c r="K551" s="799"/>
      <c r="L551" s="799"/>
      <c r="M551" s="799"/>
      <c r="N551" s="799"/>
      <c r="O551" s="799"/>
      <c r="P551" s="799"/>
      <c r="Q551" s="799"/>
      <c r="R551" s="799"/>
      <c r="S551" s="799"/>
      <c r="T551" s="799"/>
      <c r="U551" s="799"/>
      <c r="V551" s="799"/>
      <c r="W551" s="799"/>
      <c r="X551" s="799"/>
      <c r="Y551" s="799"/>
      <c r="Z551" s="799"/>
      <c r="AA551" s="799"/>
      <c r="AB551" s="799"/>
      <c r="AC551" s="799"/>
      <c r="AD551" s="799"/>
      <c r="AE551" s="799"/>
      <c r="AF551" s="799"/>
      <c r="AG551" s="799"/>
      <c r="AH551" s="799"/>
      <c r="AI551" s="799"/>
      <c r="AJ551" s="799"/>
      <c r="AK551" s="799"/>
      <c r="AL551" s="799"/>
      <c r="AM551" s="799"/>
      <c r="AN551" s="799"/>
      <c r="AO551" s="799"/>
      <c r="AP551" s="799"/>
      <c r="AQ551" s="799"/>
      <c r="AR551" s="799"/>
      <c r="AS551" s="799"/>
      <c r="AT551" s="799"/>
      <c r="AU551" s="799"/>
      <c r="AV551" s="799"/>
      <c r="AW551" s="799"/>
      <c r="AX551" s="799"/>
      <c r="AY551" s="799"/>
      <c r="AZ551" s="799"/>
      <c r="BA551" s="799"/>
      <c r="BB551" s="799"/>
      <c r="BC551" s="799"/>
      <c r="BD551" s="799"/>
      <c r="BE551" s="799"/>
      <c r="BF551" s="799"/>
      <c r="BG551" s="799"/>
    </row>
    <row r="552">
      <c r="H552" s="799"/>
      <c r="I552" s="799"/>
      <c r="J552" s="799"/>
      <c r="K552" s="799"/>
      <c r="L552" s="799"/>
      <c r="M552" s="799"/>
      <c r="N552" s="799"/>
      <c r="O552" s="799"/>
      <c r="P552" s="799"/>
      <c r="Q552" s="799"/>
      <c r="R552" s="799"/>
      <c r="S552" s="799"/>
      <c r="T552" s="799"/>
      <c r="U552" s="799"/>
      <c r="V552" s="799"/>
      <c r="W552" s="799"/>
      <c r="X552" s="799"/>
      <c r="Y552" s="799"/>
      <c r="Z552" s="799"/>
      <c r="AA552" s="799"/>
      <c r="AB552" s="799"/>
      <c r="AC552" s="799"/>
      <c r="AD552" s="799"/>
      <c r="AE552" s="799"/>
      <c r="AF552" s="799"/>
      <c r="AG552" s="799"/>
      <c r="AH552" s="799"/>
      <c r="AI552" s="799"/>
      <c r="AJ552" s="799"/>
      <c r="AK552" s="799"/>
      <c r="AL552" s="799"/>
      <c r="AM552" s="799"/>
      <c r="AN552" s="799"/>
      <c r="AO552" s="799"/>
      <c r="AP552" s="799"/>
      <c r="AQ552" s="799"/>
      <c r="AR552" s="799"/>
      <c r="AS552" s="799"/>
      <c r="AT552" s="799"/>
      <c r="AU552" s="799"/>
      <c r="AV552" s="799"/>
      <c r="AW552" s="799"/>
      <c r="AX552" s="799"/>
      <c r="AY552" s="799"/>
      <c r="AZ552" s="799"/>
      <c r="BA552" s="799"/>
      <c r="BB552" s="799"/>
      <c r="BC552" s="799"/>
      <c r="BD552" s="799"/>
      <c r="BE552" s="799"/>
      <c r="BF552" s="799"/>
      <c r="BG552" s="799"/>
    </row>
    <row r="553">
      <c r="H553" s="799"/>
      <c r="I553" s="799"/>
      <c r="J553" s="799"/>
      <c r="K553" s="799"/>
      <c r="L553" s="799"/>
      <c r="M553" s="799"/>
      <c r="N553" s="799"/>
      <c r="O553" s="799"/>
      <c r="P553" s="799"/>
      <c r="Q553" s="799"/>
      <c r="R553" s="799"/>
      <c r="S553" s="799"/>
      <c r="T553" s="799"/>
      <c r="U553" s="799"/>
      <c r="V553" s="799"/>
      <c r="W553" s="799"/>
      <c r="X553" s="799"/>
      <c r="Y553" s="799"/>
      <c r="Z553" s="799"/>
      <c r="AA553" s="799"/>
      <c r="AB553" s="799"/>
      <c r="AC553" s="799"/>
      <c r="AD553" s="799"/>
      <c r="AE553" s="799"/>
      <c r="AF553" s="799"/>
      <c r="AG553" s="799"/>
      <c r="AH553" s="799"/>
      <c r="AI553" s="799"/>
      <c r="AJ553" s="799"/>
      <c r="AK553" s="799"/>
      <c r="AL553" s="799"/>
      <c r="AM553" s="799"/>
      <c r="AN553" s="799"/>
      <c r="AO553" s="799"/>
      <c r="AP553" s="799"/>
      <c r="AQ553" s="799"/>
      <c r="AR553" s="799"/>
      <c r="AS553" s="799"/>
      <c r="AT553" s="799"/>
      <c r="AU553" s="799"/>
      <c r="AV553" s="799"/>
      <c r="AW553" s="799"/>
      <c r="AX553" s="799"/>
      <c r="AY553" s="799"/>
      <c r="AZ553" s="799"/>
      <c r="BA553" s="799"/>
      <c r="BB553" s="799"/>
      <c r="BC553" s="799"/>
      <c r="BD553" s="799"/>
      <c r="BE553" s="799"/>
      <c r="BF553" s="799"/>
      <c r="BG553" s="799"/>
    </row>
    <row r="554">
      <c r="H554" s="799"/>
      <c r="I554" s="799"/>
      <c r="J554" s="799"/>
      <c r="K554" s="799"/>
      <c r="L554" s="799"/>
      <c r="M554" s="799"/>
      <c r="N554" s="799"/>
      <c r="O554" s="799"/>
      <c r="P554" s="799"/>
      <c r="Q554" s="799"/>
      <c r="R554" s="799"/>
      <c r="S554" s="799"/>
      <c r="T554" s="799"/>
      <c r="U554" s="799"/>
      <c r="V554" s="799"/>
      <c r="W554" s="799"/>
      <c r="X554" s="799"/>
      <c r="Y554" s="799"/>
      <c r="Z554" s="799"/>
      <c r="AA554" s="799"/>
      <c r="AB554" s="799"/>
      <c r="AC554" s="799"/>
      <c r="AD554" s="799"/>
      <c r="AE554" s="799"/>
      <c r="AF554" s="799"/>
      <c r="AG554" s="799"/>
      <c r="AH554" s="799"/>
      <c r="AI554" s="799"/>
      <c r="AJ554" s="799"/>
      <c r="AK554" s="799"/>
      <c r="AL554" s="799"/>
      <c r="AM554" s="799"/>
      <c r="AN554" s="799"/>
      <c r="AO554" s="799"/>
      <c r="AP554" s="799"/>
      <c r="AQ554" s="799"/>
      <c r="AR554" s="799"/>
      <c r="AS554" s="799"/>
      <c r="AT554" s="799"/>
      <c r="AU554" s="799"/>
      <c r="AV554" s="799"/>
      <c r="AW554" s="799"/>
      <c r="AX554" s="799"/>
      <c r="AY554" s="799"/>
      <c r="AZ554" s="799"/>
      <c r="BA554" s="799"/>
      <c r="BB554" s="799"/>
      <c r="BC554" s="799"/>
      <c r="BD554" s="799"/>
      <c r="BE554" s="799"/>
      <c r="BF554" s="799"/>
      <c r="BG554" s="799"/>
    </row>
    <row r="555">
      <c r="H555" s="799"/>
      <c r="I555" s="799"/>
      <c r="J555" s="799"/>
      <c r="K555" s="799"/>
      <c r="L555" s="799"/>
      <c r="M555" s="799"/>
      <c r="N555" s="799"/>
      <c r="O555" s="799"/>
      <c r="P555" s="799"/>
      <c r="Q555" s="799"/>
      <c r="R555" s="799"/>
      <c r="S555" s="799"/>
      <c r="T555" s="799"/>
      <c r="U555" s="799"/>
      <c r="V555" s="799"/>
      <c r="W555" s="799"/>
      <c r="X555" s="799"/>
      <c r="Y555" s="799"/>
      <c r="Z555" s="799"/>
      <c r="AA555" s="799"/>
      <c r="AB555" s="799"/>
      <c r="AC555" s="799"/>
      <c r="AD555" s="799"/>
      <c r="AE555" s="799"/>
      <c r="AF555" s="799"/>
      <c r="AG555" s="799"/>
      <c r="AH555" s="799"/>
      <c r="AI555" s="799"/>
      <c r="AJ555" s="799"/>
      <c r="AK555" s="799"/>
      <c r="AL555" s="799"/>
      <c r="AM555" s="799"/>
      <c r="AN555" s="799"/>
      <c r="AO555" s="799"/>
      <c r="AP555" s="799"/>
      <c r="AQ555" s="799"/>
      <c r="AR555" s="799"/>
      <c r="AS555" s="799"/>
      <c r="AT555" s="799"/>
      <c r="AU555" s="799"/>
      <c r="AV555" s="799"/>
      <c r="AW555" s="799"/>
      <c r="AX555" s="799"/>
      <c r="AY555" s="799"/>
      <c r="AZ555" s="799"/>
      <c r="BA555" s="799"/>
      <c r="BB555" s="799"/>
      <c r="BC555" s="799"/>
      <c r="BD555" s="799"/>
      <c r="BE555" s="799"/>
      <c r="BF555" s="799"/>
      <c r="BG555" s="799"/>
    </row>
    <row r="556">
      <c r="H556" s="799"/>
      <c r="I556" s="799"/>
      <c r="J556" s="799"/>
      <c r="K556" s="799"/>
      <c r="L556" s="799"/>
      <c r="M556" s="799"/>
      <c r="N556" s="799"/>
      <c r="O556" s="799"/>
      <c r="P556" s="799"/>
      <c r="Q556" s="799"/>
      <c r="R556" s="799"/>
      <c r="S556" s="799"/>
      <c r="T556" s="799"/>
      <c r="U556" s="799"/>
      <c r="V556" s="799"/>
      <c r="W556" s="799"/>
      <c r="X556" s="799"/>
      <c r="Y556" s="799"/>
      <c r="Z556" s="799"/>
      <c r="AA556" s="799"/>
      <c r="AB556" s="799"/>
      <c r="AC556" s="799"/>
      <c r="AD556" s="799"/>
      <c r="AE556" s="799"/>
      <c r="AF556" s="799"/>
      <c r="AG556" s="799"/>
      <c r="AH556" s="799"/>
      <c r="AI556" s="799"/>
      <c r="AJ556" s="799"/>
      <c r="AK556" s="799"/>
      <c r="AL556" s="799"/>
      <c r="AM556" s="799"/>
      <c r="AN556" s="799"/>
      <c r="AO556" s="799"/>
      <c r="AP556" s="799"/>
      <c r="AQ556" s="799"/>
      <c r="AR556" s="799"/>
      <c r="AS556" s="799"/>
      <c r="AT556" s="799"/>
      <c r="AU556" s="799"/>
      <c r="AV556" s="799"/>
      <c r="AW556" s="799"/>
      <c r="AX556" s="799"/>
      <c r="AY556" s="799"/>
      <c r="AZ556" s="799"/>
      <c r="BA556" s="799"/>
      <c r="BB556" s="799"/>
      <c r="BC556" s="799"/>
      <c r="BD556" s="799"/>
      <c r="BE556" s="799"/>
      <c r="BF556" s="799"/>
      <c r="BG556" s="799"/>
    </row>
    <row r="557">
      <c r="H557" s="799"/>
      <c r="I557" s="799"/>
      <c r="J557" s="799"/>
      <c r="K557" s="799"/>
      <c r="L557" s="799"/>
      <c r="M557" s="799"/>
      <c r="N557" s="799"/>
      <c r="O557" s="799"/>
      <c r="P557" s="799"/>
      <c r="Q557" s="799"/>
      <c r="R557" s="799"/>
      <c r="S557" s="799"/>
      <c r="T557" s="799"/>
      <c r="U557" s="799"/>
      <c r="V557" s="799"/>
      <c r="W557" s="799"/>
      <c r="X557" s="799"/>
      <c r="Y557" s="799"/>
      <c r="Z557" s="799"/>
      <c r="AA557" s="799"/>
      <c r="AB557" s="799"/>
      <c r="AC557" s="799"/>
      <c r="AD557" s="799"/>
      <c r="AE557" s="799"/>
      <c r="AF557" s="799"/>
      <c r="AG557" s="799"/>
      <c r="AH557" s="799"/>
      <c r="AI557" s="799"/>
      <c r="AJ557" s="799"/>
      <c r="AK557" s="799"/>
      <c r="AL557" s="799"/>
      <c r="AM557" s="799"/>
      <c r="AN557" s="799"/>
      <c r="AO557" s="799"/>
      <c r="AP557" s="799"/>
      <c r="AQ557" s="799"/>
      <c r="AR557" s="799"/>
      <c r="AS557" s="799"/>
      <c r="AT557" s="799"/>
      <c r="AU557" s="799"/>
      <c r="AV557" s="799"/>
      <c r="AW557" s="799"/>
      <c r="AX557" s="799"/>
      <c r="AY557" s="799"/>
      <c r="AZ557" s="799"/>
      <c r="BA557" s="799"/>
      <c r="BB557" s="799"/>
      <c r="BC557" s="799"/>
      <c r="BD557" s="799"/>
      <c r="BE557" s="799"/>
      <c r="BF557" s="799"/>
      <c r="BG557" s="799"/>
    </row>
    <row r="558">
      <c r="H558" s="799"/>
      <c r="I558" s="799"/>
      <c r="J558" s="799"/>
      <c r="K558" s="799"/>
      <c r="L558" s="799"/>
      <c r="M558" s="799"/>
      <c r="N558" s="799"/>
      <c r="O558" s="799"/>
      <c r="P558" s="799"/>
      <c r="Q558" s="799"/>
      <c r="R558" s="799"/>
      <c r="S558" s="799"/>
      <c r="T558" s="799"/>
      <c r="U558" s="799"/>
      <c r="V558" s="799"/>
      <c r="W558" s="799"/>
      <c r="X558" s="799"/>
      <c r="Y558" s="799"/>
      <c r="Z558" s="799"/>
      <c r="AA558" s="799"/>
      <c r="AB558" s="799"/>
      <c r="AC558" s="799"/>
      <c r="AD558" s="799"/>
      <c r="AE558" s="799"/>
      <c r="AF558" s="799"/>
      <c r="AG558" s="799"/>
      <c r="AH558" s="799"/>
      <c r="AI558" s="799"/>
      <c r="AJ558" s="799"/>
      <c r="AK558" s="799"/>
      <c r="AL558" s="799"/>
      <c r="AM558" s="799"/>
      <c r="AN558" s="799"/>
      <c r="AO558" s="799"/>
      <c r="AP558" s="799"/>
      <c r="AQ558" s="799"/>
      <c r="AR558" s="799"/>
      <c r="AS558" s="799"/>
      <c r="AT558" s="799"/>
      <c r="AU558" s="799"/>
      <c r="AV558" s="799"/>
      <c r="AW558" s="799"/>
      <c r="AX558" s="799"/>
      <c r="AY558" s="799"/>
      <c r="AZ558" s="799"/>
      <c r="BA558" s="799"/>
      <c r="BB558" s="799"/>
      <c r="BC558" s="799"/>
      <c r="BD558" s="799"/>
      <c r="BE558" s="799"/>
      <c r="BF558" s="799"/>
      <c r="BG558" s="799"/>
    </row>
    <row r="559">
      <c r="H559" s="799"/>
      <c r="I559" s="799"/>
      <c r="J559" s="799"/>
      <c r="K559" s="799"/>
      <c r="L559" s="799"/>
      <c r="M559" s="799"/>
      <c r="N559" s="799"/>
      <c r="O559" s="799"/>
      <c r="P559" s="799"/>
      <c r="Q559" s="799"/>
      <c r="R559" s="799"/>
      <c r="S559" s="799"/>
      <c r="T559" s="799"/>
      <c r="U559" s="799"/>
      <c r="V559" s="799"/>
      <c r="W559" s="799"/>
      <c r="X559" s="799"/>
      <c r="Y559" s="799"/>
      <c r="Z559" s="799"/>
      <c r="AA559" s="799"/>
      <c r="AB559" s="799"/>
      <c r="AC559" s="799"/>
      <c r="AD559" s="799"/>
      <c r="AE559" s="799"/>
      <c r="AF559" s="799"/>
      <c r="AG559" s="799"/>
      <c r="AH559" s="799"/>
      <c r="AI559" s="799"/>
      <c r="AJ559" s="799"/>
      <c r="AK559" s="799"/>
      <c r="AL559" s="799"/>
      <c r="AM559" s="799"/>
      <c r="AN559" s="799"/>
      <c r="AO559" s="799"/>
      <c r="AP559" s="799"/>
      <c r="AQ559" s="799"/>
      <c r="AR559" s="799"/>
      <c r="AS559" s="799"/>
      <c r="AT559" s="799"/>
      <c r="AU559" s="799"/>
      <c r="AV559" s="799"/>
      <c r="AW559" s="799"/>
      <c r="AX559" s="799"/>
      <c r="AY559" s="799"/>
      <c r="AZ559" s="799"/>
      <c r="BA559" s="799"/>
      <c r="BB559" s="799"/>
      <c r="BC559" s="799"/>
      <c r="BD559" s="799"/>
      <c r="BE559" s="799"/>
      <c r="BF559" s="799"/>
      <c r="BG559" s="799"/>
    </row>
    <row r="560">
      <c r="H560" s="799"/>
      <c r="I560" s="799"/>
      <c r="J560" s="799"/>
      <c r="K560" s="799"/>
      <c r="L560" s="799"/>
      <c r="M560" s="799"/>
      <c r="N560" s="799"/>
      <c r="O560" s="799"/>
      <c r="P560" s="799"/>
      <c r="Q560" s="799"/>
      <c r="R560" s="799"/>
      <c r="S560" s="799"/>
      <c r="T560" s="799"/>
      <c r="U560" s="799"/>
      <c r="V560" s="799"/>
      <c r="W560" s="799"/>
      <c r="X560" s="799"/>
      <c r="Y560" s="799"/>
      <c r="Z560" s="799"/>
      <c r="AA560" s="799"/>
      <c r="AB560" s="799"/>
      <c r="AC560" s="799"/>
      <c r="AD560" s="799"/>
      <c r="AE560" s="799"/>
      <c r="AF560" s="799"/>
      <c r="AG560" s="799"/>
      <c r="AH560" s="799"/>
      <c r="AI560" s="799"/>
      <c r="AJ560" s="799"/>
      <c r="AK560" s="799"/>
      <c r="AL560" s="799"/>
      <c r="AM560" s="799"/>
      <c r="AN560" s="799"/>
      <c r="AO560" s="799"/>
      <c r="AP560" s="799"/>
      <c r="AQ560" s="799"/>
      <c r="AR560" s="799"/>
      <c r="AS560" s="799"/>
      <c r="AT560" s="799"/>
      <c r="AU560" s="799"/>
      <c r="AV560" s="799"/>
      <c r="AW560" s="799"/>
      <c r="AX560" s="799"/>
      <c r="AY560" s="799"/>
      <c r="AZ560" s="799"/>
      <c r="BA560" s="799"/>
      <c r="BB560" s="799"/>
      <c r="BC560" s="799"/>
      <c r="BD560" s="799"/>
      <c r="BE560" s="799"/>
      <c r="BF560" s="799"/>
      <c r="BG560" s="799"/>
    </row>
    <row r="561">
      <c r="H561" s="799"/>
      <c r="I561" s="799"/>
      <c r="J561" s="799"/>
      <c r="K561" s="799"/>
      <c r="L561" s="799"/>
      <c r="M561" s="799"/>
      <c r="N561" s="799"/>
      <c r="O561" s="799"/>
      <c r="P561" s="799"/>
      <c r="Q561" s="799"/>
      <c r="R561" s="799"/>
      <c r="S561" s="799"/>
      <c r="T561" s="799"/>
      <c r="U561" s="799"/>
      <c r="V561" s="799"/>
      <c r="W561" s="799"/>
      <c r="X561" s="799"/>
      <c r="Y561" s="799"/>
      <c r="Z561" s="799"/>
      <c r="AA561" s="799"/>
      <c r="AB561" s="799"/>
      <c r="AC561" s="799"/>
      <c r="AD561" s="799"/>
      <c r="AE561" s="799"/>
      <c r="AF561" s="799"/>
      <c r="AG561" s="799"/>
      <c r="AH561" s="799"/>
      <c r="AI561" s="799"/>
      <c r="AJ561" s="799"/>
      <c r="AK561" s="799"/>
      <c r="AL561" s="799"/>
      <c r="AM561" s="799"/>
      <c r="AN561" s="799"/>
      <c r="AO561" s="799"/>
      <c r="AP561" s="799"/>
      <c r="AQ561" s="799"/>
      <c r="AR561" s="799"/>
      <c r="AS561" s="799"/>
      <c r="AT561" s="799"/>
      <c r="AU561" s="799"/>
      <c r="AV561" s="799"/>
      <c r="AW561" s="799"/>
      <c r="AX561" s="799"/>
      <c r="AY561" s="799"/>
      <c r="AZ561" s="799"/>
      <c r="BA561" s="799"/>
      <c r="BB561" s="799"/>
      <c r="BC561" s="799"/>
      <c r="BD561" s="799"/>
      <c r="BE561" s="799"/>
      <c r="BF561" s="799"/>
      <c r="BG561" s="799"/>
    </row>
    <row r="562">
      <c r="H562" s="799"/>
      <c r="I562" s="799"/>
      <c r="J562" s="799"/>
      <c r="K562" s="799"/>
      <c r="L562" s="799"/>
      <c r="M562" s="799"/>
      <c r="N562" s="799"/>
      <c r="O562" s="799"/>
      <c r="P562" s="799"/>
      <c r="Q562" s="799"/>
      <c r="R562" s="799"/>
      <c r="S562" s="799"/>
      <c r="T562" s="799"/>
      <c r="U562" s="799"/>
      <c r="V562" s="799"/>
      <c r="W562" s="799"/>
      <c r="X562" s="799"/>
      <c r="Y562" s="799"/>
      <c r="Z562" s="799"/>
      <c r="AA562" s="799"/>
      <c r="AB562" s="799"/>
      <c r="AC562" s="799"/>
      <c r="AD562" s="799"/>
      <c r="AE562" s="799"/>
      <c r="AF562" s="799"/>
      <c r="AG562" s="799"/>
      <c r="AH562" s="799"/>
      <c r="AI562" s="799"/>
      <c r="AJ562" s="799"/>
      <c r="AK562" s="799"/>
      <c r="AL562" s="799"/>
      <c r="AM562" s="799"/>
      <c r="AN562" s="799"/>
      <c r="AO562" s="799"/>
      <c r="AP562" s="799"/>
      <c r="AQ562" s="799"/>
      <c r="AR562" s="799"/>
      <c r="AS562" s="799"/>
      <c r="AT562" s="799"/>
      <c r="AU562" s="799"/>
      <c r="AV562" s="799"/>
      <c r="AW562" s="799"/>
      <c r="AX562" s="799"/>
      <c r="AY562" s="799"/>
      <c r="AZ562" s="799"/>
      <c r="BA562" s="799"/>
      <c r="BB562" s="799"/>
      <c r="BC562" s="799"/>
      <c r="BD562" s="799"/>
      <c r="BE562" s="799"/>
      <c r="BF562" s="799"/>
      <c r="BG562" s="799"/>
    </row>
    <row r="563">
      <c r="H563" s="799"/>
      <c r="I563" s="799"/>
      <c r="J563" s="799"/>
      <c r="K563" s="799"/>
      <c r="L563" s="799"/>
      <c r="M563" s="799"/>
      <c r="N563" s="799"/>
      <c r="O563" s="799"/>
      <c r="P563" s="799"/>
      <c r="Q563" s="799"/>
      <c r="R563" s="799"/>
      <c r="S563" s="799"/>
      <c r="T563" s="799"/>
      <c r="U563" s="799"/>
      <c r="V563" s="799"/>
      <c r="W563" s="799"/>
      <c r="X563" s="799"/>
      <c r="Y563" s="799"/>
      <c r="Z563" s="799"/>
      <c r="AA563" s="799"/>
      <c r="AB563" s="799"/>
      <c r="AC563" s="799"/>
      <c r="AD563" s="799"/>
      <c r="AE563" s="799"/>
      <c r="AF563" s="799"/>
      <c r="AG563" s="799"/>
      <c r="AH563" s="799"/>
      <c r="AI563" s="799"/>
      <c r="AJ563" s="799"/>
      <c r="AK563" s="799"/>
      <c r="AL563" s="799"/>
      <c r="AM563" s="799"/>
      <c r="AN563" s="799"/>
      <c r="AO563" s="799"/>
      <c r="AP563" s="799"/>
      <c r="AQ563" s="799"/>
      <c r="AR563" s="799"/>
      <c r="AS563" s="799"/>
      <c r="AT563" s="799"/>
      <c r="AU563" s="799"/>
      <c r="AV563" s="799"/>
      <c r="AW563" s="799"/>
      <c r="AX563" s="799"/>
      <c r="AY563" s="799"/>
      <c r="AZ563" s="799"/>
      <c r="BA563" s="799"/>
      <c r="BB563" s="799"/>
      <c r="BC563" s="799"/>
      <c r="BD563" s="799"/>
      <c r="BE563" s="799"/>
      <c r="BF563" s="799"/>
      <c r="BG563" s="799"/>
    </row>
    <row r="564">
      <c r="H564" s="799"/>
      <c r="I564" s="799"/>
      <c r="J564" s="799"/>
      <c r="K564" s="799"/>
      <c r="L564" s="799"/>
      <c r="M564" s="799"/>
      <c r="N564" s="799"/>
      <c r="O564" s="799"/>
      <c r="P564" s="799"/>
      <c r="Q564" s="799"/>
      <c r="R564" s="799"/>
      <c r="S564" s="799"/>
      <c r="T564" s="799"/>
      <c r="U564" s="799"/>
      <c r="V564" s="799"/>
      <c r="W564" s="799"/>
      <c r="X564" s="799"/>
      <c r="Y564" s="799"/>
      <c r="Z564" s="799"/>
      <c r="AA564" s="799"/>
      <c r="AB564" s="799"/>
      <c r="AC564" s="799"/>
      <c r="AD564" s="799"/>
      <c r="AE564" s="799"/>
      <c r="AF564" s="799"/>
      <c r="AG564" s="799"/>
      <c r="AH564" s="799"/>
      <c r="AI564" s="799"/>
      <c r="AJ564" s="799"/>
      <c r="AK564" s="799"/>
      <c r="AL564" s="799"/>
      <c r="AM564" s="799"/>
      <c r="AN564" s="799"/>
      <c r="AO564" s="799"/>
      <c r="AP564" s="799"/>
      <c r="AQ564" s="799"/>
      <c r="AR564" s="799"/>
      <c r="AS564" s="799"/>
      <c r="AT564" s="799"/>
      <c r="AU564" s="799"/>
      <c r="AV564" s="799"/>
      <c r="AW564" s="799"/>
      <c r="AX564" s="799"/>
      <c r="AY564" s="799"/>
      <c r="AZ564" s="799"/>
      <c r="BA564" s="799"/>
      <c r="BB564" s="799"/>
      <c r="BC564" s="799"/>
      <c r="BD564" s="799"/>
      <c r="BE564" s="799"/>
      <c r="BF564" s="799"/>
      <c r="BG564" s="799"/>
    </row>
    <row r="565">
      <c r="H565" s="799"/>
      <c r="I565" s="799"/>
      <c r="J565" s="799"/>
      <c r="K565" s="799"/>
      <c r="L565" s="799"/>
      <c r="M565" s="799"/>
      <c r="N565" s="799"/>
      <c r="O565" s="799"/>
      <c r="P565" s="799"/>
      <c r="Q565" s="799"/>
      <c r="R565" s="799"/>
      <c r="S565" s="799"/>
      <c r="T565" s="799"/>
      <c r="U565" s="799"/>
      <c r="V565" s="799"/>
      <c r="W565" s="799"/>
      <c r="X565" s="799"/>
      <c r="Y565" s="799"/>
      <c r="Z565" s="799"/>
      <c r="AA565" s="799"/>
      <c r="AB565" s="799"/>
      <c r="AC565" s="799"/>
      <c r="AD565" s="799"/>
      <c r="AE565" s="799"/>
      <c r="AF565" s="799"/>
      <c r="AG565" s="799"/>
      <c r="AH565" s="799"/>
      <c r="AI565" s="799"/>
      <c r="AJ565" s="799"/>
      <c r="AK565" s="799"/>
      <c r="AL565" s="799"/>
      <c r="AM565" s="799"/>
      <c r="AN565" s="799"/>
      <c r="AO565" s="799"/>
      <c r="AP565" s="799"/>
      <c r="AQ565" s="799"/>
      <c r="AR565" s="799"/>
      <c r="AS565" s="799"/>
      <c r="AT565" s="799"/>
      <c r="AU565" s="799"/>
      <c r="AV565" s="799"/>
      <c r="AW565" s="799"/>
      <c r="AX565" s="799"/>
      <c r="AY565" s="799"/>
      <c r="AZ565" s="799"/>
      <c r="BA565" s="799"/>
      <c r="BB565" s="799"/>
      <c r="BC565" s="799"/>
      <c r="BD565" s="799"/>
      <c r="BE565" s="799"/>
      <c r="BF565" s="799"/>
      <c r="BG565" s="799"/>
    </row>
    <row r="566">
      <c r="H566" s="799"/>
      <c r="I566" s="799"/>
      <c r="J566" s="799"/>
      <c r="K566" s="799"/>
      <c r="L566" s="799"/>
      <c r="M566" s="799"/>
      <c r="N566" s="799"/>
      <c r="O566" s="799"/>
      <c r="P566" s="799"/>
      <c r="Q566" s="799"/>
      <c r="R566" s="799"/>
      <c r="S566" s="799"/>
      <c r="T566" s="799"/>
      <c r="U566" s="799"/>
      <c r="V566" s="799"/>
      <c r="W566" s="799"/>
      <c r="X566" s="799"/>
      <c r="Y566" s="799"/>
      <c r="Z566" s="799"/>
      <c r="AA566" s="799"/>
      <c r="AB566" s="799"/>
      <c r="AC566" s="799"/>
      <c r="AD566" s="799"/>
      <c r="AE566" s="799"/>
      <c r="AF566" s="799"/>
      <c r="AG566" s="799"/>
      <c r="AH566" s="799"/>
      <c r="AI566" s="799"/>
      <c r="AJ566" s="799"/>
      <c r="AK566" s="799"/>
      <c r="AL566" s="799"/>
      <c r="AM566" s="799"/>
      <c r="AN566" s="799"/>
      <c r="AO566" s="799"/>
      <c r="AP566" s="799"/>
      <c r="AQ566" s="799"/>
      <c r="AR566" s="799"/>
      <c r="AS566" s="799"/>
      <c r="AT566" s="799"/>
      <c r="AU566" s="799"/>
      <c r="AV566" s="799"/>
      <c r="AW566" s="799"/>
      <c r="AX566" s="799"/>
      <c r="AY566" s="799"/>
      <c r="AZ566" s="799"/>
      <c r="BA566" s="799"/>
      <c r="BB566" s="799"/>
      <c r="BC566" s="799"/>
      <c r="BD566" s="799"/>
      <c r="BE566" s="799"/>
      <c r="BF566" s="799"/>
      <c r="BG566" s="799"/>
    </row>
    <row r="567">
      <c r="H567" s="799"/>
      <c r="I567" s="799"/>
      <c r="J567" s="799"/>
      <c r="K567" s="799"/>
      <c r="L567" s="799"/>
      <c r="M567" s="799"/>
      <c r="N567" s="799"/>
      <c r="O567" s="799"/>
      <c r="P567" s="799"/>
      <c r="Q567" s="799"/>
      <c r="R567" s="799"/>
      <c r="S567" s="799"/>
      <c r="T567" s="799"/>
      <c r="U567" s="799"/>
      <c r="V567" s="799"/>
      <c r="W567" s="799"/>
      <c r="X567" s="799"/>
      <c r="Y567" s="799"/>
      <c r="Z567" s="799"/>
      <c r="AA567" s="799"/>
      <c r="AB567" s="799"/>
      <c r="AC567" s="799"/>
      <c r="AD567" s="799"/>
      <c r="AE567" s="799"/>
      <c r="AF567" s="799"/>
      <c r="AG567" s="799"/>
      <c r="AH567" s="799"/>
      <c r="AI567" s="799"/>
      <c r="AJ567" s="799"/>
      <c r="AK567" s="799"/>
      <c r="AL567" s="799"/>
      <c r="AM567" s="799"/>
      <c r="AN567" s="799"/>
      <c r="AO567" s="799"/>
      <c r="AP567" s="799"/>
      <c r="AQ567" s="799"/>
      <c r="AR567" s="799"/>
      <c r="AS567" s="799"/>
      <c r="AT567" s="799"/>
      <c r="AU567" s="799"/>
      <c r="AV567" s="799"/>
      <c r="AW567" s="799"/>
      <c r="AX567" s="799"/>
      <c r="AY567" s="799"/>
      <c r="AZ567" s="799"/>
      <c r="BA567" s="799"/>
      <c r="BB567" s="799"/>
      <c r="BC567" s="799"/>
      <c r="BD567" s="799"/>
      <c r="BE567" s="799"/>
      <c r="BF567" s="799"/>
      <c r="BG567" s="799"/>
    </row>
    <row r="568">
      <c r="H568" s="799"/>
      <c r="I568" s="799"/>
      <c r="J568" s="799"/>
      <c r="K568" s="799"/>
      <c r="L568" s="799"/>
      <c r="M568" s="799"/>
      <c r="N568" s="799"/>
      <c r="O568" s="799"/>
      <c r="P568" s="799"/>
      <c r="Q568" s="799"/>
      <c r="R568" s="799"/>
      <c r="S568" s="799"/>
      <c r="T568" s="799"/>
      <c r="U568" s="799"/>
      <c r="V568" s="799"/>
      <c r="W568" s="799"/>
      <c r="X568" s="799"/>
      <c r="Y568" s="799"/>
      <c r="Z568" s="799"/>
      <c r="AA568" s="799"/>
      <c r="AB568" s="799"/>
      <c r="AC568" s="799"/>
      <c r="AD568" s="799"/>
      <c r="AE568" s="799"/>
      <c r="AF568" s="799"/>
      <c r="AG568" s="799"/>
      <c r="AH568" s="799"/>
      <c r="AI568" s="799"/>
      <c r="AJ568" s="799"/>
      <c r="AK568" s="799"/>
      <c r="AL568" s="799"/>
      <c r="AM568" s="799"/>
      <c r="AN568" s="799"/>
      <c r="AO568" s="799"/>
      <c r="AP568" s="799"/>
      <c r="AQ568" s="799"/>
      <c r="AR568" s="799"/>
      <c r="AS568" s="799"/>
      <c r="AT568" s="799"/>
      <c r="AU568" s="799"/>
      <c r="AV568" s="799"/>
      <c r="AW568" s="799"/>
      <c r="AX568" s="799"/>
      <c r="AY568" s="799"/>
      <c r="AZ568" s="799"/>
      <c r="BA568" s="799"/>
      <c r="BB568" s="799"/>
      <c r="BC568" s="799"/>
      <c r="BD568" s="799"/>
      <c r="BE568" s="799"/>
      <c r="BF568" s="799"/>
      <c r="BG568" s="799"/>
    </row>
    <row r="569">
      <c r="H569" s="799"/>
      <c r="I569" s="799"/>
      <c r="J569" s="799"/>
      <c r="K569" s="799"/>
      <c r="L569" s="799"/>
      <c r="M569" s="799"/>
      <c r="N569" s="799"/>
      <c r="O569" s="799"/>
      <c r="P569" s="799"/>
      <c r="Q569" s="799"/>
      <c r="R569" s="799"/>
      <c r="S569" s="799"/>
      <c r="T569" s="799"/>
      <c r="U569" s="799"/>
      <c r="V569" s="799"/>
      <c r="W569" s="799"/>
      <c r="X569" s="799"/>
      <c r="Y569" s="799"/>
      <c r="Z569" s="799"/>
      <c r="AA569" s="799"/>
      <c r="AB569" s="799"/>
      <c r="AC569" s="799"/>
      <c r="AD569" s="799"/>
      <c r="AE569" s="799"/>
      <c r="AF569" s="799"/>
      <c r="AG569" s="799"/>
      <c r="AH569" s="799"/>
      <c r="AI569" s="799"/>
      <c r="AJ569" s="799"/>
      <c r="AK569" s="799"/>
      <c r="AL569" s="799"/>
      <c r="AM569" s="799"/>
      <c r="AN569" s="799"/>
      <c r="AO569" s="799"/>
      <c r="AP569" s="799"/>
      <c r="AQ569" s="799"/>
      <c r="AR569" s="799"/>
      <c r="AS569" s="799"/>
      <c r="AT569" s="799"/>
      <c r="AU569" s="799"/>
      <c r="AV569" s="799"/>
      <c r="AW569" s="799"/>
      <c r="AX569" s="799"/>
      <c r="AY569" s="799"/>
      <c r="AZ569" s="799"/>
      <c r="BA569" s="799"/>
      <c r="BB569" s="799"/>
      <c r="BC569" s="799"/>
      <c r="BD569" s="799"/>
      <c r="BE569" s="799"/>
      <c r="BF569" s="799"/>
      <c r="BG569" s="799"/>
    </row>
    <row r="570">
      <c r="H570" s="799"/>
      <c r="I570" s="799"/>
      <c r="J570" s="799"/>
      <c r="K570" s="799"/>
      <c r="L570" s="799"/>
      <c r="M570" s="799"/>
      <c r="N570" s="799"/>
      <c r="O570" s="799"/>
      <c r="P570" s="799"/>
      <c r="Q570" s="799"/>
      <c r="R570" s="799"/>
      <c r="S570" s="799"/>
      <c r="T570" s="799"/>
      <c r="U570" s="799"/>
      <c r="V570" s="799"/>
      <c r="W570" s="799"/>
      <c r="X570" s="799"/>
      <c r="Y570" s="799"/>
      <c r="Z570" s="799"/>
      <c r="AA570" s="799"/>
      <c r="AB570" s="799"/>
      <c r="AC570" s="799"/>
      <c r="AD570" s="799"/>
      <c r="AE570" s="799"/>
      <c r="AF570" s="799"/>
      <c r="AG570" s="799"/>
      <c r="AH570" s="799"/>
      <c r="AI570" s="799"/>
      <c r="AJ570" s="799"/>
      <c r="AK570" s="799"/>
      <c r="AL570" s="799"/>
      <c r="AM570" s="799"/>
      <c r="AN570" s="799"/>
      <c r="AO570" s="799"/>
      <c r="AP570" s="799"/>
      <c r="AQ570" s="799"/>
      <c r="AR570" s="799"/>
      <c r="AS570" s="799"/>
      <c r="AT570" s="799"/>
      <c r="AU570" s="799"/>
      <c r="AV570" s="799"/>
      <c r="AW570" s="799"/>
      <c r="AX570" s="799"/>
      <c r="AY570" s="799"/>
      <c r="AZ570" s="799"/>
      <c r="BA570" s="799"/>
      <c r="BB570" s="799"/>
      <c r="BC570" s="799"/>
      <c r="BD570" s="799"/>
      <c r="BE570" s="799"/>
      <c r="BF570" s="799"/>
      <c r="BG570" s="799"/>
    </row>
    <row r="571">
      <c r="H571" s="799"/>
      <c r="I571" s="799"/>
      <c r="J571" s="799"/>
      <c r="K571" s="799"/>
      <c r="L571" s="799"/>
      <c r="M571" s="799"/>
      <c r="N571" s="799"/>
      <c r="O571" s="799"/>
      <c r="P571" s="799"/>
      <c r="Q571" s="799"/>
      <c r="R571" s="799"/>
      <c r="S571" s="799"/>
      <c r="T571" s="799"/>
      <c r="U571" s="799"/>
      <c r="V571" s="799"/>
      <c r="W571" s="799"/>
      <c r="X571" s="799"/>
      <c r="Y571" s="799"/>
      <c r="Z571" s="799"/>
      <c r="AA571" s="799"/>
      <c r="AB571" s="799"/>
      <c r="AC571" s="799"/>
      <c r="AD571" s="799"/>
      <c r="AE571" s="799"/>
      <c r="AF571" s="799"/>
      <c r="AG571" s="799"/>
      <c r="AH571" s="799"/>
      <c r="AI571" s="799"/>
      <c r="AJ571" s="799"/>
      <c r="AK571" s="799"/>
      <c r="AL571" s="799"/>
      <c r="AM571" s="799"/>
      <c r="AN571" s="799"/>
      <c r="AO571" s="799"/>
      <c r="AP571" s="799"/>
      <c r="AQ571" s="799"/>
      <c r="AR571" s="799"/>
      <c r="AS571" s="799"/>
      <c r="AT571" s="799"/>
      <c r="AU571" s="799"/>
      <c r="AV571" s="799"/>
      <c r="AW571" s="799"/>
      <c r="AX571" s="799"/>
      <c r="AY571" s="799"/>
      <c r="AZ571" s="799"/>
      <c r="BA571" s="799"/>
      <c r="BB571" s="799"/>
      <c r="BC571" s="799"/>
      <c r="BD571" s="799"/>
      <c r="BE571" s="799"/>
      <c r="BF571" s="799"/>
      <c r="BG571" s="799"/>
    </row>
    <row r="572">
      <c r="H572" s="799"/>
      <c r="I572" s="799"/>
      <c r="J572" s="799"/>
      <c r="K572" s="799"/>
      <c r="L572" s="799"/>
      <c r="M572" s="799"/>
      <c r="N572" s="799"/>
      <c r="O572" s="799"/>
      <c r="P572" s="799"/>
      <c r="Q572" s="799"/>
      <c r="R572" s="799"/>
      <c r="S572" s="799"/>
      <c r="T572" s="799"/>
      <c r="U572" s="799"/>
      <c r="V572" s="799"/>
      <c r="W572" s="799"/>
      <c r="X572" s="799"/>
      <c r="Y572" s="799"/>
      <c r="Z572" s="799"/>
      <c r="AA572" s="799"/>
      <c r="AB572" s="799"/>
      <c r="AC572" s="799"/>
      <c r="AD572" s="799"/>
      <c r="AE572" s="799"/>
      <c r="AF572" s="799"/>
      <c r="AG572" s="799"/>
      <c r="AH572" s="799"/>
      <c r="AI572" s="799"/>
      <c r="AJ572" s="799"/>
      <c r="AK572" s="799"/>
      <c r="AL572" s="799"/>
      <c r="AM572" s="799"/>
      <c r="AN572" s="799"/>
      <c r="AO572" s="799"/>
      <c r="AP572" s="799"/>
      <c r="AQ572" s="799"/>
      <c r="AR572" s="799"/>
      <c r="AS572" s="799"/>
      <c r="AT572" s="799"/>
      <c r="AU572" s="799"/>
      <c r="AV572" s="799"/>
      <c r="AW572" s="799"/>
      <c r="AX572" s="799"/>
      <c r="AY572" s="799"/>
      <c r="AZ572" s="799"/>
      <c r="BA572" s="799"/>
      <c r="BB572" s="799"/>
      <c r="BC572" s="799"/>
      <c r="BD572" s="799"/>
      <c r="BE572" s="799"/>
      <c r="BF572" s="799"/>
      <c r="BG572" s="799"/>
    </row>
    <row r="573">
      <c r="H573" s="799"/>
      <c r="I573" s="799"/>
      <c r="J573" s="799"/>
      <c r="K573" s="799"/>
      <c r="L573" s="799"/>
      <c r="M573" s="799"/>
      <c r="N573" s="799"/>
      <c r="O573" s="799"/>
      <c r="P573" s="799"/>
      <c r="Q573" s="799"/>
      <c r="R573" s="799"/>
      <c r="S573" s="799"/>
      <c r="T573" s="799"/>
      <c r="U573" s="799"/>
      <c r="V573" s="799"/>
      <c r="W573" s="799"/>
      <c r="X573" s="799"/>
      <c r="Y573" s="799"/>
      <c r="Z573" s="799"/>
      <c r="AA573" s="799"/>
      <c r="AB573" s="799"/>
      <c r="AC573" s="799"/>
      <c r="AD573" s="799"/>
      <c r="AE573" s="799"/>
      <c r="AF573" s="799"/>
      <c r="AG573" s="799"/>
      <c r="AH573" s="799"/>
      <c r="AI573" s="799"/>
      <c r="AJ573" s="799"/>
      <c r="AK573" s="799"/>
      <c r="AL573" s="799"/>
      <c r="AM573" s="799"/>
      <c r="AN573" s="799"/>
      <c r="AO573" s="799"/>
      <c r="AP573" s="799"/>
      <c r="AQ573" s="799"/>
      <c r="AR573" s="799"/>
      <c r="AS573" s="799"/>
      <c r="AT573" s="799"/>
      <c r="AU573" s="799"/>
      <c r="AV573" s="799"/>
      <c r="AW573" s="799"/>
      <c r="AX573" s="799"/>
      <c r="AY573" s="799"/>
      <c r="AZ573" s="799"/>
      <c r="BA573" s="799"/>
      <c r="BB573" s="799"/>
      <c r="BC573" s="799"/>
      <c r="BD573" s="799"/>
      <c r="BE573" s="799"/>
      <c r="BF573" s="799"/>
      <c r="BG573" s="799"/>
    </row>
    <row r="574">
      <c r="H574" s="799"/>
      <c r="I574" s="799"/>
      <c r="J574" s="799"/>
      <c r="K574" s="799"/>
      <c r="L574" s="799"/>
      <c r="M574" s="799"/>
      <c r="N574" s="799"/>
      <c r="O574" s="799"/>
      <c r="P574" s="799"/>
      <c r="Q574" s="799"/>
      <c r="R574" s="799"/>
      <c r="S574" s="799"/>
      <c r="T574" s="799"/>
      <c r="U574" s="799"/>
      <c r="V574" s="799"/>
      <c r="W574" s="799"/>
      <c r="X574" s="799"/>
      <c r="Y574" s="799"/>
      <c r="Z574" s="799"/>
      <c r="AA574" s="799"/>
      <c r="AB574" s="799"/>
      <c r="AC574" s="799"/>
      <c r="AD574" s="799"/>
      <c r="AE574" s="799"/>
      <c r="AF574" s="799"/>
      <c r="AG574" s="799"/>
      <c r="AH574" s="799"/>
      <c r="AI574" s="799"/>
      <c r="AJ574" s="799"/>
      <c r="AK574" s="799"/>
      <c r="AL574" s="799"/>
      <c r="AM574" s="799"/>
      <c r="AN574" s="799"/>
      <c r="AO574" s="799"/>
      <c r="AP574" s="799"/>
      <c r="AQ574" s="799"/>
      <c r="AR574" s="799"/>
      <c r="AS574" s="799"/>
      <c r="AT574" s="799"/>
      <c r="AU574" s="799"/>
      <c r="AV574" s="799"/>
      <c r="AW574" s="799"/>
      <c r="AX574" s="799"/>
      <c r="AY574" s="799"/>
      <c r="AZ574" s="799"/>
      <c r="BA574" s="799"/>
      <c r="BB574" s="799"/>
      <c r="BC574" s="799"/>
      <c r="BD574" s="799"/>
      <c r="BE574" s="799"/>
      <c r="BF574" s="799"/>
      <c r="BG574" s="799"/>
    </row>
    <row r="575">
      <c r="H575" s="799"/>
      <c r="I575" s="799"/>
      <c r="J575" s="799"/>
      <c r="K575" s="799"/>
      <c r="L575" s="799"/>
      <c r="M575" s="799"/>
      <c r="N575" s="799"/>
      <c r="O575" s="799"/>
      <c r="P575" s="799"/>
      <c r="Q575" s="799"/>
      <c r="R575" s="799"/>
      <c r="S575" s="799"/>
      <c r="T575" s="799"/>
      <c r="U575" s="799"/>
      <c r="V575" s="799"/>
      <c r="W575" s="799"/>
      <c r="X575" s="799"/>
      <c r="Y575" s="799"/>
      <c r="Z575" s="799"/>
      <c r="AA575" s="799"/>
      <c r="AB575" s="799"/>
      <c r="AC575" s="799"/>
      <c r="AD575" s="799"/>
      <c r="AE575" s="799"/>
      <c r="AF575" s="799"/>
      <c r="AG575" s="799"/>
      <c r="AH575" s="799"/>
      <c r="AI575" s="799"/>
      <c r="AJ575" s="799"/>
      <c r="AK575" s="799"/>
      <c r="AL575" s="799"/>
      <c r="AM575" s="799"/>
      <c r="AN575" s="799"/>
      <c r="AO575" s="799"/>
      <c r="AP575" s="799"/>
      <c r="AQ575" s="799"/>
      <c r="AR575" s="799"/>
      <c r="AS575" s="799"/>
      <c r="AT575" s="799"/>
      <c r="AU575" s="799"/>
      <c r="AV575" s="799"/>
      <c r="AW575" s="799"/>
      <c r="AX575" s="799"/>
      <c r="AY575" s="799"/>
      <c r="AZ575" s="799"/>
      <c r="BA575" s="799"/>
      <c r="BB575" s="799"/>
      <c r="BC575" s="799"/>
      <c r="BD575" s="799"/>
      <c r="BE575" s="799"/>
      <c r="BF575" s="799"/>
      <c r="BG575" s="799"/>
    </row>
    <row r="576">
      <c r="H576" s="799"/>
      <c r="I576" s="799"/>
      <c r="J576" s="799"/>
      <c r="K576" s="799"/>
      <c r="L576" s="799"/>
      <c r="M576" s="799"/>
      <c r="N576" s="799"/>
      <c r="O576" s="799"/>
      <c r="P576" s="799"/>
      <c r="Q576" s="799"/>
      <c r="R576" s="799"/>
      <c r="S576" s="799"/>
      <c r="T576" s="799"/>
      <c r="U576" s="799"/>
      <c r="V576" s="799"/>
      <c r="W576" s="799"/>
      <c r="X576" s="799"/>
      <c r="Y576" s="799"/>
      <c r="Z576" s="799"/>
      <c r="AA576" s="799"/>
      <c r="AB576" s="799"/>
      <c r="AC576" s="799"/>
      <c r="AD576" s="799"/>
      <c r="AE576" s="799"/>
      <c r="AF576" s="799"/>
      <c r="AG576" s="799"/>
      <c r="AH576" s="799"/>
      <c r="AI576" s="799"/>
      <c r="AJ576" s="799"/>
      <c r="AK576" s="799"/>
      <c r="AL576" s="799"/>
      <c r="AM576" s="799"/>
      <c r="AN576" s="799"/>
      <c r="AO576" s="799"/>
      <c r="AP576" s="799"/>
      <c r="AQ576" s="799"/>
      <c r="AR576" s="799"/>
      <c r="AS576" s="799"/>
      <c r="AT576" s="799"/>
      <c r="AU576" s="799"/>
      <c r="AV576" s="799"/>
      <c r="AW576" s="799"/>
      <c r="AX576" s="799"/>
      <c r="AY576" s="799"/>
      <c r="AZ576" s="799"/>
      <c r="BA576" s="799"/>
      <c r="BB576" s="799"/>
      <c r="BC576" s="799"/>
      <c r="BD576" s="799"/>
      <c r="BE576" s="799"/>
      <c r="BF576" s="799"/>
      <c r="BG576" s="799"/>
    </row>
    <row r="577">
      <c r="H577" s="799"/>
      <c r="I577" s="799"/>
      <c r="J577" s="799"/>
      <c r="K577" s="799"/>
      <c r="L577" s="799"/>
      <c r="M577" s="799"/>
      <c r="N577" s="799"/>
      <c r="O577" s="799"/>
      <c r="P577" s="799"/>
      <c r="Q577" s="799"/>
      <c r="R577" s="799"/>
      <c r="S577" s="799"/>
      <c r="T577" s="799"/>
      <c r="U577" s="799"/>
      <c r="V577" s="799"/>
      <c r="W577" s="799"/>
      <c r="X577" s="799"/>
      <c r="Y577" s="799"/>
      <c r="Z577" s="799"/>
      <c r="AA577" s="799"/>
      <c r="AB577" s="799"/>
      <c r="AC577" s="799"/>
      <c r="AD577" s="799"/>
      <c r="AE577" s="799"/>
      <c r="AF577" s="799"/>
      <c r="AG577" s="799"/>
      <c r="AH577" s="799"/>
      <c r="AI577" s="799"/>
      <c r="AJ577" s="799"/>
      <c r="AK577" s="799"/>
      <c r="AL577" s="799"/>
      <c r="AM577" s="799"/>
      <c r="AN577" s="799"/>
      <c r="AO577" s="799"/>
      <c r="AP577" s="799"/>
      <c r="AQ577" s="799"/>
      <c r="AR577" s="799"/>
      <c r="AS577" s="799"/>
      <c r="AT577" s="799"/>
      <c r="AU577" s="799"/>
      <c r="AV577" s="799"/>
      <c r="AW577" s="799"/>
      <c r="AX577" s="799"/>
      <c r="AY577" s="799"/>
      <c r="AZ577" s="799"/>
      <c r="BA577" s="799"/>
      <c r="BB577" s="799"/>
      <c r="BC577" s="799"/>
      <c r="BD577" s="799"/>
      <c r="BE577" s="799"/>
      <c r="BF577" s="799"/>
      <c r="BG577" s="799"/>
    </row>
    <row r="578">
      <c r="H578" s="799"/>
      <c r="I578" s="799"/>
      <c r="J578" s="799"/>
      <c r="K578" s="799"/>
      <c r="L578" s="799"/>
      <c r="M578" s="799"/>
      <c r="N578" s="799"/>
      <c r="O578" s="799"/>
      <c r="P578" s="799"/>
      <c r="Q578" s="799"/>
      <c r="R578" s="799"/>
      <c r="S578" s="799"/>
      <c r="T578" s="799"/>
      <c r="U578" s="799"/>
      <c r="V578" s="799"/>
      <c r="W578" s="799"/>
      <c r="X578" s="799"/>
      <c r="Y578" s="799"/>
      <c r="Z578" s="799"/>
      <c r="AA578" s="799"/>
      <c r="AB578" s="799"/>
      <c r="AC578" s="799"/>
      <c r="AD578" s="799"/>
      <c r="AE578" s="799"/>
      <c r="AF578" s="799"/>
      <c r="AG578" s="799"/>
      <c r="AH578" s="799"/>
      <c r="AI578" s="799"/>
      <c r="AJ578" s="799"/>
      <c r="AK578" s="799"/>
      <c r="AL578" s="799"/>
      <c r="AM578" s="799"/>
      <c r="AN578" s="799"/>
      <c r="AO578" s="799"/>
      <c r="AP578" s="799"/>
      <c r="AQ578" s="799"/>
      <c r="AR578" s="799"/>
      <c r="AS578" s="799"/>
      <c r="AT578" s="799"/>
      <c r="AU578" s="799"/>
      <c r="AV578" s="799"/>
      <c r="AW578" s="799"/>
      <c r="AX578" s="799"/>
      <c r="AY578" s="799"/>
      <c r="AZ578" s="799"/>
      <c r="BA578" s="799"/>
      <c r="BB578" s="799"/>
      <c r="BC578" s="799"/>
      <c r="BD578" s="799"/>
      <c r="BE578" s="799"/>
      <c r="BF578" s="799"/>
      <c r="BG578" s="799"/>
    </row>
    <row r="579">
      <c r="H579" s="799"/>
      <c r="I579" s="799"/>
      <c r="J579" s="799"/>
      <c r="K579" s="799"/>
      <c r="L579" s="799"/>
      <c r="M579" s="799"/>
      <c r="N579" s="799"/>
      <c r="O579" s="799"/>
      <c r="P579" s="799"/>
      <c r="Q579" s="799"/>
      <c r="R579" s="799"/>
      <c r="S579" s="799"/>
      <c r="T579" s="799"/>
      <c r="U579" s="799"/>
      <c r="V579" s="799"/>
      <c r="W579" s="799"/>
      <c r="X579" s="799"/>
      <c r="Y579" s="799"/>
      <c r="Z579" s="799"/>
      <c r="AA579" s="799"/>
      <c r="AB579" s="799"/>
      <c r="AC579" s="799"/>
      <c r="AD579" s="799"/>
      <c r="AE579" s="799"/>
      <c r="AF579" s="799"/>
      <c r="AG579" s="799"/>
      <c r="AH579" s="799"/>
      <c r="AI579" s="799"/>
      <c r="AJ579" s="799"/>
      <c r="AK579" s="799"/>
      <c r="AL579" s="799"/>
      <c r="AM579" s="799"/>
      <c r="AN579" s="799"/>
      <c r="AO579" s="799"/>
      <c r="AP579" s="799"/>
      <c r="AQ579" s="799"/>
      <c r="AR579" s="799"/>
      <c r="AS579" s="799"/>
      <c r="AT579" s="799"/>
      <c r="AU579" s="799"/>
      <c r="AV579" s="799"/>
      <c r="AW579" s="799"/>
      <c r="AX579" s="799"/>
      <c r="AY579" s="799"/>
      <c r="AZ579" s="799"/>
      <c r="BA579" s="799"/>
      <c r="BB579" s="799"/>
      <c r="BC579" s="799"/>
      <c r="BD579" s="799"/>
      <c r="BE579" s="799"/>
      <c r="BF579" s="799"/>
      <c r="BG579" s="799"/>
    </row>
    <row r="580">
      <c r="H580" s="799"/>
      <c r="I580" s="799"/>
      <c r="J580" s="799"/>
      <c r="K580" s="799"/>
      <c r="L580" s="799"/>
      <c r="M580" s="799"/>
      <c r="N580" s="799"/>
      <c r="O580" s="799"/>
      <c r="P580" s="799"/>
      <c r="Q580" s="799"/>
      <c r="R580" s="799"/>
      <c r="S580" s="799"/>
      <c r="T580" s="799"/>
      <c r="U580" s="799"/>
      <c r="V580" s="799"/>
      <c r="W580" s="799"/>
      <c r="X580" s="799"/>
      <c r="Y580" s="799"/>
      <c r="Z580" s="799"/>
      <c r="AA580" s="799"/>
      <c r="AB580" s="799"/>
      <c r="AC580" s="799"/>
      <c r="AD580" s="799"/>
      <c r="AE580" s="799"/>
      <c r="AF580" s="799"/>
      <c r="AG580" s="799"/>
      <c r="AH580" s="799"/>
      <c r="AI580" s="799"/>
      <c r="AJ580" s="799"/>
      <c r="AK580" s="799"/>
      <c r="AL580" s="799"/>
      <c r="AM580" s="799"/>
      <c r="AN580" s="799"/>
      <c r="AO580" s="799"/>
      <c r="AP580" s="799"/>
      <c r="AQ580" s="799"/>
      <c r="AR580" s="799"/>
      <c r="AS580" s="799"/>
      <c r="AT580" s="799"/>
      <c r="AU580" s="799"/>
      <c r="AV580" s="799"/>
      <c r="AW580" s="799"/>
      <c r="AX580" s="799"/>
      <c r="AY580" s="799"/>
      <c r="AZ580" s="799"/>
      <c r="BA580" s="799"/>
      <c r="BB580" s="799"/>
      <c r="BC580" s="799"/>
      <c r="BD580" s="799"/>
      <c r="BE580" s="799"/>
      <c r="BF580" s="799"/>
      <c r="BG580" s="799"/>
    </row>
    <row r="581">
      <c r="H581" s="799"/>
      <c r="I581" s="799"/>
      <c r="J581" s="799"/>
      <c r="K581" s="799"/>
      <c r="L581" s="799"/>
      <c r="M581" s="799"/>
      <c r="N581" s="799"/>
      <c r="O581" s="799"/>
      <c r="P581" s="799"/>
      <c r="Q581" s="799"/>
      <c r="R581" s="799"/>
      <c r="S581" s="799"/>
      <c r="T581" s="799"/>
      <c r="U581" s="799"/>
      <c r="V581" s="799"/>
      <c r="W581" s="799"/>
      <c r="X581" s="799"/>
      <c r="Y581" s="799"/>
      <c r="Z581" s="799"/>
      <c r="AA581" s="799"/>
      <c r="AB581" s="799"/>
      <c r="AC581" s="799"/>
      <c r="AD581" s="799"/>
      <c r="AE581" s="799"/>
      <c r="AF581" s="799"/>
      <c r="AG581" s="799"/>
      <c r="AH581" s="799"/>
      <c r="AI581" s="799"/>
      <c r="AJ581" s="799"/>
      <c r="AK581" s="799"/>
      <c r="AL581" s="799"/>
      <c r="AM581" s="799"/>
      <c r="AN581" s="799"/>
      <c r="AO581" s="799"/>
      <c r="AP581" s="799"/>
      <c r="AQ581" s="799"/>
      <c r="AR581" s="799"/>
      <c r="AS581" s="799"/>
      <c r="AT581" s="799"/>
      <c r="AU581" s="799"/>
      <c r="AV581" s="799"/>
      <c r="AW581" s="799"/>
      <c r="AX581" s="799"/>
      <c r="AY581" s="799"/>
      <c r="AZ581" s="799"/>
      <c r="BA581" s="799"/>
      <c r="BB581" s="799"/>
      <c r="BC581" s="799"/>
      <c r="BD581" s="799"/>
      <c r="BE581" s="799"/>
      <c r="BF581" s="799"/>
      <c r="BG581" s="799"/>
    </row>
    <row r="582">
      <c r="H582" s="799"/>
      <c r="I582" s="799"/>
      <c r="J582" s="799"/>
      <c r="K582" s="799"/>
      <c r="L582" s="799"/>
      <c r="M582" s="799"/>
      <c r="N582" s="799"/>
      <c r="O582" s="799"/>
      <c r="P582" s="799"/>
      <c r="Q582" s="799"/>
      <c r="R582" s="799"/>
      <c r="S582" s="799"/>
      <c r="T582" s="799"/>
      <c r="U582" s="799"/>
      <c r="V582" s="799"/>
      <c r="W582" s="799"/>
      <c r="X582" s="799"/>
      <c r="Y582" s="799"/>
      <c r="Z582" s="799"/>
      <c r="AA582" s="799"/>
      <c r="AB582" s="799"/>
      <c r="AC582" s="799"/>
      <c r="AD582" s="799"/>
      <c r="AE582" s="799"/>
      <c r="AF582" s="799"/>
      <c r="AG582" s="799"/>
      <c r="AH582" s="799"/>
      <c r="AI582" s="799"/>
      <c r="AJ582" s="799"/>
      <c r="AK582" s="799"/>
      <c r="AL582" s="799"/>
      <c r="AM582" s="799"/>
      <c r="AN582" s="799"/>
      <c r="AO582" s="799"/>
      <c r="AP582" s="799"/>
      <c r="AQ582" s="799"/>
      <c r="AR582" s="799"/>
      <c r="AS582" s="799"/>
      <c r="AT582" s="799"/>
      <c r="AU582" s="799"/>
      <c r="AV582" s="799"/>
      <c r="AW582" s="799"/>
      <c r="AX582" s="799"/>
      <c r="AY582" s="799"/>
      <c r="AZ582" s="799"/>
      <c r="BA582" s="799"/>
      <c r="BB582" s="799"/>
      <c r="BC582" s="799"/>
      <c r="BD582" s="799"/>
      <c r="BE582" s="799"/>
      <c r="BF582" s="799"/>
      <c r="BG582" s="799"/>
    </row>
    <row r="583">
      <c r="H583" s="799"/>
      <c r="I583" s="799"/>
      <c r="J583" s="799"/>
      <c r="K583" s="799"/>
      <c r="L583" s="799"/>
      <c r="M583" s="799"/>
      <c r="N583" s="799"/>
      <c r="O583" s="799"/>
      <c r="P583" s="799"/>
      <c r="Q583" s="799"/>
      <c r="R583" s="799"/>
      <c r="S583" s="799"/>
      <c r="T583" s="799"/>
      <c r="U583" s="799"/>
      <c r="V583" s="799"/>
      <c r="W583" s="799"/>
      <c r="X583" s="799"/>
      <c r="Y583" s="799"/>
      <c r="Z583" s="799"/>
      <c r="AA583" s="799"/>
      <c r="AB583" s="799"/>
      <c r="AC583" s="799"/>
      <c r="AD583" s="799"/>
      <c r="AE583" s="799"/>
      <c r="AF583" s="799"/>
      <c r="AG583" s="799"/>
      <c r="AH583" s="799"/>
      <c r="AI583" s="799"/>
      <c r="AJ583" s="799"/>
      <c r="AK583" s="799"/>
      <c r="AL583" s="799"/>
      <c r="AM583" s="799"/>
      <c r="AN583" s="799"/>
      <c r="AO583" s="799"/>
      <c r="AP583" s="799"/>
      <c r="AQ583" s="799"/>
      <c r="AR583" s="799"/>
      <c r="AS583" s="799"/>
      <c r="AT583" s="799"/>
      <c r="AU583" s="799"/>
      <c r="AV583" s="799"/>
      <c r="AW583" s="799"/>
      <c r="AX583" s="799"/>
      <c r="AY583" s="799"/>
      <c r="AZ583" s="799"/>
      <c r="BA583" s="799"/>
      <c r="BB583" s="799"/>
      <c r="BC583" s="799"/>
      <c r="BD583" s="799"/>
      <c r="BE583" s="799"/>
      <c r="BF583" s="799"/>
      <c r="BG583" s="799"/>
    </row>
    <row r="584">
      <c r="H584" s="799"/>
      <c r="I584" s="799"/>
      <c r="J584" s="799"/>
      <c r="K584" s="799"/>
      <c r="L584" s="799"/>
      <c r="M584" s="799"/>
      <c r="N584" s="799"/>
      <c r="O584" s="799"/>
      <c r="P584" s="799"/>
      <c r="Q584" s="799"/>
      <c r="R584" s="799"/>
      <c r="S584" s="799"/>
      <c r="T584" s="799"/>
      <c r="U584" s="799"/>
      <c r="V584" s="799"/>
      <c r="W584" s="799"/>
      <c r="X584" s="799"/>
      <c r="Y584" s="799"/>
      <c r="Z584" s="799"/>
      <c r="AA584" s="799"/>
      <c r="AB584" s="799"/>
      <c r="AC584" s="799"/>
      <c r="AD584" s="799"/>
      <c r="AE584" s="799"/>
      <c r="AF584" s="799"/>
      <c r="AG584" s="799"/>
      <c r="AH584" s="799"/>
      <c r="AI584" s="799"/>
      <c r="AJ584" s="799"/>
      <c r="AK584" s="799"/>
      <c r="AL584" s="799"/>
      <c r="AM584" s="799"/>
      <c r="AN584" s="799"/>
      <c r="AO584" s="799"/>
      <c r="AP584" s="799"/>
      <c r="AQ584" s="799"/>
      <c r="AR584" s="799"/>
      <c r="AS584" s="799"/>
      <c r="AT584" s="799"/>
      <c r="AU584" s="799"/>
      <c r="AV584" s="799"/>
      <c r="AW584" s="799"/>
      <c r="AX584" s="799"/>
      <c r="AY584" s="799"/>
      <c r="AZ584" s="799"/>
      <c r="BA584" s="799"/>
      <c r="BB584" s="799"/>
      <c r="BC584" s="799"/>
      <c r="BD584" s="799"/>
      <c r="BE584" s="799"/>
      <c r="BF584" s="799"/>
      <c r="BG584" s="799"/>
    </row>
    <row r="585">
      <c r="H585" s="799"/>
      <c r="I585" s="799"/>
      <c r="J585" s="799"/>
      <c r="K585" s="799"/>
      <c r="L585" s="799"/>
      <c r="M585" s="799"/>
      <c r="N585" s="799"/>
      <c r="O585" s="799"/>
      <c r="P585" s="799"/>
      <c r="Q585" s="799"/>
      <c r="R585" s="799"/>
      <c r="S585" s="799"/>
      <c r="T585" s="799"/>
      <c r="U585" s="799"/>
      <c r="V585" s="799"/>
      <c r="W585" s="799"/>
      <c r="X585" s="799"/>
      <c r="Y585" s="799"/>
      <c r="Z585" s="799"/>
      <c r="AA585" s="799"/>
      <c r="AB585" s="799"/>
      <c r="AC585" s="799"/>
      <c r="AD585" s="799"/>
      <c r="AE585" s="799"/>
      <c r="AF585" s="799"/>
      <c r="AG585" s="799"/>
      <c r="AH585" s="799"/>
      <c r="AI585" s="799"/>
      <c r="AJ585" s="799"/>
      <c r="AK585" s="799"/>
      <c r="AL585" s="799"/>
      <c r="AM585" s="799"/>
      <c r="AN585" s="799"/>
      <c r="AO585" s="799"/>
      <c r="AP585" s="799"/>
      <c r="AQ585" s="799"/>
      <c r="AR585" s="799"/>
      <c r="AS585" s="799"/>
      <c r="AT585" s="799"/>
      <c r="AU585" s="799"/>
      <c r="AV585" s="799"/>
      <c r="AW585" s="799"/>
      <c r="AX585" s="799"/>
      <c r="AY585" s="799"/>
      <c r="AZ585" s="799"/>
      <c r="BA585" s="799"/>
      <c r="BB585" s="799"/>
      <c r="BC585" s="799"/>
      <c r="BD585" s="799"/>
      <c r="BE585" s="799"/>
      <c r="BF585" s="799"/>
      <c r="BG585" s="799"/>
    </row>
    <row r="586">
      <c r="H586" s="799"/>
      <c r="I586" s="799"/>
      <c r="J586" s="799"/>
      <c r="K586" s="799"/>
      <c r="L586" s="799"/>
      <c r="M586" s="799"/>
      <c r="N586" s="799"/>
      <c r="O586" s="799"/>
      <c r="P586" s="799"/>
      <c r="Q586" s="799"/>
      <c r="R586" s="799"/>
      <c r="S586" s="799"/>
      <c r="T586" s="799"/>
      <c r="U586" s="799"/>
      <c r="V586" s="799"/>
      <c r="W586" s="799"/>
      <c r="X586" s="799"/>
      <c r="Y586" s="799"/>
      <c r="Z586" s="799"/>
      <c r="AA586" s="799"/>
      <c r="AB586" s="799"/>
      <c r="AC586" s="799"/>
      <c r="AD586" s="799"/>
      <c r="AE586" s="799"/>
      <c r="AF586" s="799"/>
      <c r="AG586" s="799"/>
      <c r="AH586" s="799"/>
      <c r="AI586" s="799"/>
      <c r="AJ586" s="799"/>
      <c r="AK586" s="799"/>
      <c r="AL586" s="799"/>
      <c r="AM586" s="799"/>
      <c r="AN586" s="799"/>
      <c r="AO586" s="799"/>
      <c r="AP586" s="799"/>
      <c r="AQ586" s="799"/>
      <c r="AR586" s="799"/>
      <c r="AS586" s="799"/>
      <c r="AT586" s="799"/>
      <c r="AU586" s="799"/>
      <c r="AV586" s="799"/>
      <c r="AW586" s="799"/>
      <c r="AX586" s="799"/>
      <c r="AY586" s="799"/>
      <c r="AZ586" s="799"/>
      <c r="BA586" s="799"/>
      <c r="BB586" s="799"/>
      <c r="BC586" s="799"/>
      <c r="BD586" s="799"/>
      <c r="BE586" s="799"/>
      <c r="BF586" s="799"/>
      <c r="BG586" s="799"/>
    </row>
    <row r="587">
      <c r="H587" s="799"/>
      <c r="I587" s="799"/>
      <c r="J587" s="799"/>
      <c r="K587" s="799"/>
      <c r="L587" s="799"/>
      <c r="M587" s="799"/>
      <c r="N587" s="799"/>
      <c r="O587" s="799"/>
      <c r="P587" s="799"/>
      <c r="Q587" s="799"/>
      <c r="R587" s="799"/>
      <c r="S587" s="799"/>
      <c r="T587" s="799"/>
      <c r="U587" s="799"/>
      <c r="V587" s="799"/>
      <c r="W587" s="799"/>
      <c r="X587" s="799"/>
      <c r="Y587" s="799"/>
      <c r="Z587" s="799"/>
      <c r="AA587" s="799"/>
      <c r="AB587" s="799"/>
      <c r="AC587" s="799"/>
      <c r="AD587" s="799"/>
      <c r="AE587" s="799"/>
      <c r="AF587" s="799"/>
      <c r="AG587" s="799"/>
      <c r="AH587" s="799"/>
      <c r="AI587" s="799"/>
      <c r="AJ587" s="799"/>
      <c r="AK587" s="799"/>
      <c r="AL587" s="799"/>
      <c r="AM587" s="799"/>
      <c r="AN587" s="799"/>
      <c r="AO587" s="799"/>
      <c r="AP587" s="799"/>
      <c r="AQ587" s="799"/>
      <c r="AR587" s="799"/>
      <c r="AS587" s="799"/>
      <c r="AT587" s="799"/>
      <c r="AU587" s="799"/>
      <c r="AV587" s="799"/>
      <c r="AW587" s="799"/>
      <c r="AX587" s="799"/>
      <c r="AY587" s="799"/>
      <c r="AZ587" s="799"/>
      <c r="BA587" s="799"/>
      <c r="BB587" s="799"/>
      <c r="BC587" s="799"/>
      <c r="BD587" s="799"/>
      <c r="BE587" s="799"/>
      <c r="BF587" s="799"/>
      <c r="BG587" s="799"/>
    </row>
    <row r="588">
      <c r="H588" s="799"/>
      <c r="I588" s="799"/>
      <c r="J588" s="799"/>
      <c r="K588" s="799"/>
      <c r="L588" s="799"/>
      <c r="M588" s="799"/>
      <c r="N588" s="799"/>
      <c r="O588" s="799"/>
      <c r="P588" s="799"/>
      <c r="Q588" s="799"/>
      <c r="R588" s="799"/>
      <c r="S588" s="799"/>
      <c r="T588" s="799"/>
      <c r="U588" s="799"/>
      <c r="V588" s="799"/>
      <c r="W588" s="799"/>
      <c r="X588" s="799"/>
      <c r="Y588" s="799"/>
      <c r="Z588" s="799"/>
      <c r="AA588" s="799"/>
      <c r="AB588" s="799"/>
      <c r="AC588" s="799"/>
      <c r="AD588" s="799"/>
      <c r="AE588" s="799"/>
      <c r="AF588" s="799"/>
      <c r="AG588" s="799"/>
      <c r="AH588" s="799"/>
      <c r="AI588" s="799"/>
      <c r="AJ588" s="799"/>
      <c r="AK588" s="799"/>
      <c r="AL588" s="799"/>
      <c r="AM588" s="799"/>
      <c r="AN588" s="799"/>
      <c r="AO588" s="799"/>
      <c r="AP588" s="799"/>
      <c r="AQ588" s="799"/>
      <c r="AR588" s="799"/>
      <c r="AS588" s="799"/>
      <c r="AT588" s="799"/>
      <c r="AU588" s="799"/>
      <c r="AV588" s="799"/>
      <c r="AW588" s="799"/>
      <c r="AX588" s="799"/>
      <c r="AY588" s="799"/>
      <c r="AZ588" s="799"/>
      <c r="BA588" s="799"/>
      <c r="BB588" s="799"/>
      <c r="BC588" s="799"/>
      <c r="BD588" s="799"/>
      <c r="BE588" s="799"/>
      <c r="BF588" s="799"/>
      <c r="BG588" s="799"/>
    </row>
    <row r="589">
      <c r="H589" s="799"/>
      <c r="I589" s="799"/>
      <c r="J589" s="799"/>
      <c r="K589" s="799"/>
      <c r="L589" s="799"/>
      <c r="M589" s="799"/>
      <c r="N589" s="799"/>
      <c r="O589" s="799"/>
      <c r="P589" s="799"/>
      <c r="Q589" s="799"/>
      <c r="R589" s="799"/>
      <c r="S589" s="799"/>
      <c r="T589" s="799"/>
      <c r="U589" s="799"/>
      <c r="V589" s="799"/>
      <c r="W589" s="799"/>
      <c r="X589" s="799"/>
      <c r="Y589" s="799"/>
      <c r="Z589" s="799"/>
      <c r="AA589" s="799"/>
      <c r="AB589" s="799"/>
      <c r="AC589" s="799"/>
      <c r="AD589" s="799"/>
      <c r="AE589" s="799"/>
      <c r="AF589" s="799"/>
      <c r="AG589" s="799"/>
      <c r="AH589" s="799"/>
      <c r="AI589" s="799"/>
      <c r="AJ589" s="799"/>
      <c r="AK589" s="799"/>
      <c r="AL589" s="799"/>
      <c r="AM589" s="799"/>
      <c r="AN589" s="799"/>
      <c r="AO589" s="799"/>
      <c r="AP589" s="799"/>
      <c r="AQ589" s="799"/>
      <c r="AR589" s="799"/>
      <c r="AS589" s="799"/>
      <c r="AT589" s="799"/>
      <c r="AU589" s="799"/>
      <c r="AV589" s="799"/>
      <c r="AW589" s="799"/>
      <c r="AX589" s="799"/>
      <c r="AY589" s="799"/>
      <c r="AZ589" s="799"/>
      <c r="BA589" s="799"/>
      <c r="BB589" s="799"/>
      <c r="BC589" s="799"/>
      <c r="BD589" s="799"/>
      <c r="BE589" s="799"/>
      <c r="BF589" s="799"/>
      <c r="BG589" s="799"/>
    </row>
    <row r="590">
      <c r="H590" s="799"/>
      <c r="I590" s="799"/>
      <c r="J590" s="799"/>
      <c r="K590" s="799"/>
      <c r="L590" s="799"/>
      <c r="M590" s="799"/>
      <c r="N590" s="799"/>
      <c r="O590" s="799"/>
      <c r="P590" s="799"/>
      <c r="Q590" s="799"/>
      <c r="R590" s="799"/>
      <c r="S590" s="799"/>
      <c r="T590" s="799"/>
      <c r="U590" s="799"/>
      <c r="V590" s="799"/>
      <c r="W590" s="799"/>
      <c r="X590" s="799"/>
      <c r="Y590" s="799"/>
      <c r="Z590" s="799"/>
      <c r="AA590" s="799"/>
      <c r="AB590" s="799"/>
      <c r="AC590" s="799"/>
      <c r="AD590" s="799"/>
      <c r="AE590" s="799"/>
      <c r="AF590" s="799"/>
      <c r="AG590" s="799"/>
      <c r="AH590" s="799"/>
      <c r="AI590" s="799"/>
      <c r="AJ590" s="799"/>
      <c r="AK590" s="799"/>
      <c r="AL590" s="799"/>
      <c r="AM590" s="799"/>
      <c r="AN590" s="799"/>
      <c r="AO590" s="799"/>
      <c r="AP590" s="799"/>
      <c r="AQ590" s="799"/>
      <c r="AR590" s="799"/>
      <c r="AS590" s="799"/>
      <c r="AT590" s="799"/>
      <c r="AU590" s="799"/>
      <c r="AV590" s="799"/>
      <c r="AW590" s="799"/>
      <c r="AX590" s="799"/>
      <c r="AY590" s="799"/>
      <c r="AZ590" s="799"/>
      <c r="BA590" s="799"/>
      <c r="BB590" s="799"/>
      <c r="BC590" s="799"/>
      <c r="BD590" s="799"/>
      <c r="BE590" s="799"/>
      <c r="BF590" s="799"/>
      <c r="BG590" s="799"/>
    </row>
    <row r="591">
      <c r="H591" s="799"/>
      <c r="I591" s="799"/>
      <c r="J591" s="799"/>
      <c r="K591" s="799"/>
      <c r="L591" s="799"/>
      <c r="M591" s="799"/>
      <c r="N591" s="799"/>
      <c r="O591" s="799"/>
      <c r="P591" s="799"/>
      <c r="Q591" s="799"/>
      <c r="R591" s="799"/>
      <c r="S591" s="799"/>
      <c r="T591" s="799"/>
      <c r="U591" s="799"/>
      <c r="V591" s="799"/>
      <c r="W591" s="799"/>
      <c r="X591" s="799"/>
      <c r="Y591" s="799"/>
      <c r="Z591" s="799"/>
      <c r="AA591" s="799"/>
      <c r="AB591" s="799"/>
      <c r="AC591" s="799"/>
      <c r="AD591" s="799"/>
      <c r="AE591" s="799"/>
      <c r="AF591" s="799"/>
      <c r="AG591" s="799"/>
      <c r="AH591" s="799"/>
      <c r="AI591" s="799"/>
      <c r="AJ591" s="799"/>
      <c r="AK591" s="799"/>
      <c r="AL591" s="799"/>
      <c r="AM591" s="799"/>
      <c r="AN591" s="799"/>
      <c r="AO591" s="799"/>
      <c r="AP591" s="799"/>
      <c r="AQ591" s="799"/>
      <c r="AR591" s="799"/>
      <c r="AS591" s="799"/>
      <c r="AT591" s="799"/>
      <c r="AU591" s="799"/>
      <c r="AV591" s="799"/>
      <c r="AW591" s="799"/>
      <c r="AX591" s="799"/>
      <c r="AY591" s="799"/>
      <c r="AZ591" s="799"/>
      <c r="BA591" s="799"/>
      <c r="BB591" s="799"/>
      <c r="BC591" s="799"/>
      <c r="BD591" s="799"/>
      <c r="BE591" s="799"/>
      <c r="BF591" s="799"/>
      <c r="BG591" s="799"/>
    </row>
    <row r="592">
      <c r="H592" s="799"/>
      <c r="I592" s="799"/>
      <c r="J592" s="799"/>
      <c r="K592" s="799"/>
      <c r="L592" s="799"/>
      <c r="M592" s="799"/>
      <c r="N592" s="799"/>
      <c r="O592" s="799"/>
      <c r="P592" s="799"/>
      <c r="Q592" s="799"/>
      <c r="R592" s="799"/>
      <c r="S592" s="799"/>
      <c r="T592" s="799"/>
      <c r="U592" s="799"/>
      <c r="V592" s="799"/>
      <c r="W592" s="799"/>
      <c r="X592" s="799"/>
      <c r="Y592" s="799"/>
      <c r="Z592" s="799"/>
      <c r="AA592" s="799"/>
      <c r="AB592" s="799"/>
      <c r="AC592" s="799"/>
      <c r="AD592" s="799"/>
      <c r="AE592" s="799"/>
      <c r="AF592" s="799"/>
      <c r="AG592" s="799"/>
      <c r="AH592" s="799"/>
      <c r="AI592" s="799"/>
      <c r="AJ592" s="799"/>
      <c r="AK592" s="799"/>
      <c r="AL592" s="799"/>
      <c r="AM592" s="799"/>
      <c r="AN592" s="799"/>
      <c r="AO592" s="799"/>
      <c r="AP592" s="799"/>
      <c r="AQ592" s="799"/>
      <c r="AR592" s="799"/>
      <c r="AS592" s="799"/>
      <c r="AT592" s="799"/>
      <c r="AU592" s="799"/>
      <c r="AV592" s="799"/>
      <c r="AW592" s="799"/>
      <c r="AX592" s="799"/>
      <c r="AY592" s="799"/>
      <c r="AZ592" s="799"/>
      <c r="BA592" s="799"/>
      <c r="BB592" s="799"/>
      <c r="BC592" s="799"/>
      <c r="BD592" s="799"/>
      <c r="BE592" s="799"/>
      <c r="BF592" s="799"/>
      <c r="BG592" s="799"/>
    </row>
    <row r="593">
      <c r="H593" s="799"/>
      <c r="I593" s="799"/>
      <c r="J593" s="799"/>
      <c r="K593" s="799"/>
      <c r="L593" s="799"/>
      <c r="M593" s="799"/>
      <c r="N593" s="799"/>
      <c r="O593" s="799"/>
      <c r="P593" s="799"/>
      <c r="Q593" s="799"/>
      <c r="R593" s="799"/>
      <c r="S593" s="799"/>
      <c r="T593" s="799"/>
      <c r="U593" s="799"/>
      <c r="V593" s="799"/>
      <c r="W593" s="799"/>
      <c r="X593" s="799"/>
      <c r="Y593" s="799"/>
      <c r="Z593" s="799"/>
      <c r="AA593" s="799"/>
      <c r="AB593" s="799"/>
      <c r="AC593" s="799"/>
      <c r="AD593" s="799"/>
      <c r="AE593" s="799"/>
      <c r="AF593" s="799"/>
      <c r="AG593" s="799"/>
      <c r="AH593" s="799"/>
      <c r="AI593" s="799"/>
      <c r="AJ593" s="799"/>
      <c r="AK593" s="799"/>
      <c r="AL593" s="799"/>
      <c r="AM593" s="799"/>
      <c r="AN593" s="799"/>
      <c r="AO593" s="799"/>
      <c r="AP593" s="799"/>
      <c r="AQ593" s="799"/>
      <c r="AR593" s="799"/>
      <c r="AS593" s="799"/>
      <c r="AT593" s="799"/>
      <c r="AU593" s="799"/>
      <c r="AV593" s="799"/>
      <c r="AW593" s="799"/>
      <c r="AX593" s="799"/>
      <c r="AY593" s="799"/>
      <c r="AZ593" s="799"/>
      <c r="BA593" s="799"/>
      <c r="BB593" s="799"/>
      <c r="BC593" s="799"/>
      <c r="BD593" s="799"/>
      <c r="BE593" s="799"/>
      <c r="BF593" s="799"/>
      <c r="BG593" s="799"/>
    </row>
    <row r="594">
      <c r="H594" s="799"/>
      <c r="I594" s="799"/>
      <c r="J594" s="799"/>
      <c r="K594" s="799"/>
      <c r="L594" s="799"/>
      <c r="M594" s="799"/>
      <c r="N594" s="799"/>
      <c r="O594" s="799"/>
      <c r="P594" s="799"/>
      <c r="Q594" s="799"/>
      <c r="R594" s="799"/>
      <c r="S594" s="799"/>
      <c r="T594" s="799"/>
      <c r="U594" s="799"/>
      <c r="V594" s="799"/>
      <c r="W594" s="799"/>
      <c r="X594" s="799"/>
      <c r="Y594" s="799"/>
      <c r="Z594" s="799"/>
      <c r="AA594" s="799"/>
      <c r="AB594" s="799"/>
      <c r="AC594" s="799"/>
      <c r="AD594" s="799"/>
      <c r="AE594" s="799"/>
      <c r="AF594" s="799"/>
      <c r="AG594" s="799"/>
      <c r="AH594" s="799"/>
      <c r="AI594" s="799"/>
      <c r="AJ594" s="799"/>
      <c r="AK594" s="799"/>
      <c r="AL594" s="799"/>
      <c r="AM594" s="799"/>
      <c r="AN594" s="799"/>
      <c r="AO594" s="799"/>
      <c r="AP594" s="799"/>
      <c r="AQ594" s="799"/>
      <c r="AR594" s="799"/>
      <c r="AS594" s="799"/>
      <c r="AT594" s="799"/>
      <c r="AU594" s="799"/>
      <c r="AV594" s="799"/>
      <c r="AW594" s="799"/>
      <c r="AX594" s="799"/>
      <c r="AY594" s="799"/>
      <c r="AZ594" s="799"/>
      <c r="BA594" s="799"/>
      <c r="BB594" s="799"/>
      <c r="BC594" s="799"/>
      <c r="BD594" s="799"/>
      <c r="BE594" s="799"/>
      <c r="BF594" s="799"/>
      <c r="BG594" s="799"/>
    </row>
    <row r="595">
      <c r="H595" s="799"/>
      <c r="I595" s="799"/>
      <c r="J595" s="799"/>
      <c r="K595" s="799"/>
      <c r="L595" s="799"/>
      <c r="M595" s="799"/>
      <c r="N595" s="799"/>
      <c r="O595" s="799"/>
      <c r="P595" s="799"/>
      <c r="Q595" s="799"/>
      <c r="R595" s="799"/>
      <c r="S595" s="799"/>
      <c r="T595" s="799"/>
      <c r="U595" s="799"/>
      <c r="V595" s="799"/>
      <c r="W595" s="799"/>
      <c r="X595" s="799"/>
      <c r="Y595" s="799"/>
      <c r="Z595" s="799"/>
      <c r="AA595" s="799"/>
      <c r="AB595" s="799"/>
      <c r="AC595" s="799"/>
      <c r="AD595" s="799"/>
      <c r="AE595" s="799"/>
      <c r="AF595" s="799"/>
      <c r="AG595" s="799"/>
      <c r="AH595" s="799"/>
      <c r="AI595" s="799"/>
      <c r="AJ595" s="799"/>
      <c r="AK595" s="799"/>
      <c r="AL595" s="799"/>
      <c r="AM595" s="799"/>
      <c r="AN595" s="799"/>
      <c r="AO595" s="799"/>
      <c r="AP595" s="799"/>
      <c r="AQ595" s="799"/>
      <c r="AR595" s="799"/>
      <c r="AS595" s="799"/>
      <c r="AT595" s="799"/>
      <c r="AU595" s="799"/>
      <c r="AV595" s="799"/>
      <c r="AW595" s="799"/>
      <c r="AX595" s="799"/>
      <c r="AY595" s="799"/>
      <c r="AZ595" s="799"/>
      <c r="BA595" s="799"/>
      <c r="BB595" s="799"/>
      <c r="BC595" s="799"/>
      <c r="BD595" s="799"/>
      <c r="BE595" s="799"/>
      <c r="BF595" s="799"/>
      <c r="BG595" s="799"/>
    </row>
    <row r="596">
      <c r="H596" s="799"/>
      <c r="I596" s="799"/>
      <c r="J596" s="799"/>
      <c r="K596" s="799"/>
      <c r="L596" s="799"/>
      <c r="M596" s="799"/>
      <c r="N596" s="799"/>
      <c r="O596" s="799"/>
      <c r="P596" s="799"/>
      <c r="Q596" s="799"/>
      <c r="R596" s="799"/>
      <c r="S596" s="799"/>
      <c r="T596" s="799"/>
      <c r="U596" s="799"/>
      <c r="V596" s="799"/>
      <c r="W596" s="799"/>
      <c r="X596" s="799"/>
      <c r="Y596" s="799"/>
      <c r="Z596" s="799"/>
      <c r="AA596" s="799"/>
      <c r="AB596" s="799"/>
      <c r="AC596" s="799"/>
      <c r="AD596" s="799"/>
      <c r="AE596" s="799"/>
      <c r="AF596" s="799"/>
      <c r="AG596" s="799"/>
      <c r="AH596" s="799"/>
      <c r="AI596" s="799"/>
      <c r="AJ596" s="799"/>
      <c r="AK596" s="799"/>
      <c r="AL596" s="799"/>
      <c r="AM596" s="799"/>
      <c r="AN596" s="799"/>
      <c r="AO596" s="799"/>
      <c r="AP596" s="799"/>
      <c r="AQ596" s="799"/>
      <c r="AR596" s="799"/>
      <c r="AS596" s="799"/>
      <c r="AT596" s="799"/>
      <c r="AU596" s="799"/>
      <c r="AV596" s="799"/>
      <c r="AW596" s="799"/>
      <c r="AX596" s="799"/>
      <c r="AY596" s="799"/>
      <c r="AZ596" s="799"/>
      <c r="BA596" s="799"/>
      <c r="BB596" s="799"/>
      <c r="BC596" s="799"/>
      <c r="BD596" s="799"/>
      <c r="BE596" s="799"/>
      <c r="BF596" s="799"/>
      <c r="BG596" s="799"/>
    </row>
    <row r="597">
      <c r="H597" s="799"/>
      <c r="I597" s="799"/>
      <c r="J597" s="799"/>
      <c r="K597" s="799"/>
      <c r="L597" s="799"/>
      <c r="M597" s="799"/>
      <c r="N597" s="799"/>
      <c r="O597" s="799"/>
      <c r="P597" s="799"/>
      <c r="Q597" s="799"/>
      <c r="R597" s="799"/>
      <c r="S597" s="799"/>
      <c r="T597" s="799"/>
      <c r="U597" s="799"/>
      <c r="V597" s="799"/>
      <c r="W597" s="799"/>
      <c r="X597" s="799"/>
      <c r="Y597" s="799"/>
      <c r="Z597" s="799"/>
      <c r="AA597" s="799"/>
      <c r="AB597" s="799"/>
      <c r="AC597" s="799"/>
      <c r="AD597" s="799"/>
      <c r="AE597" s="799"/>
      <c r="AF597" s="799"/>
      <c r="AG597" s="799"/>
      <c r="AH597" s="799"/>
      <c r="AI597" s="799"/>
      <c r="AJ597" s="799"/>
      <c r="AK597" s="799"/>
      <c r="AL597" s="799"/>
      <c r="AM597" s="799"/>
      <c r="AN597" s="799"/>
      <c r="AO597" s="799"/>
      <c r="AP597" s="799"/>
      <c r="AQ597" s="799"/>
      <c r="AR597" s="799"/>
      <c r="AS597" s="799"/>
      <c r="AT597" s="799"/>
      <c r="AU597" s="799"/>
      <c r="AV597" s="799"/>
      <c r="AW597" s="799"/>
      <c r="AX597" s="799"/>
      <c r="AY597" s="799"/>
      <c r="AZ597" s="799"/>
      <c r="BA597" s="799"/>
      <c r="BB597" s="799"/>
      <c r="BC597" s="799"/>
      <c r="BD597" s="799"/>
      <c r="BE597" s="799"/>
      <c r="BF597" s="799"/>
      <c r="BG597" s="799"/>
    </row>
    <row r="598">
      <c r="H598" s="799"/>
      <c r="I598" s="799"/>
      <c r="J598" s="799"/>
      <c r="K598" s="799"/>
      <c r="L598" s="799"/>
      <c r="M598" s="799"/>
      <c r="N598" s="799"/>
      <c r="O598" s="799"/>
      <c r="P598" s="799"/>
      <c r="Q598" s="799"/>
      <c r="R598" s="799"/>
      <c r="S598" s="799"/>
      <c r="T598" s="799"/>
      <c r="U598" s="799"/>
      <c r="V598" s="799"/>
      <c r="W598" s="799"/>
      <c r="X598" s="799"/>
      <c r="Y598" s="799"/>
      <c r="Z598" s="799"/>
      <c r="AA598" s="799"/>
      <c r="AB598" s="799"/>
      <c r="AC598" s="799"/>
      <c r="AD598" s="799"/>
      <c r="AE598" s="799"/>
      <c r="AF598" s="799"/>
      <c r="AG598" s="799"/>
      <c r="AH598" s="799"/>
      <c r="AI598" s="799"/>
      <c r="AJ598" s="799"/>
      <c r="AK598" s="799"/>
      <c r="AL598" s="799"/>
      <c r="AM598" s="799"/>
      <c r="AN598" s="799"/>
      <c r="AO598" s="799"/>
      <c r="AP598" s="799"/>
      <c r="AQ598" s="799"/>
      <c r="AR598" s="799"/>
      <c r="AS598" s="799"/>
      <c r="AT598" s="799"/>
      <c r="AU598" s="799"/>
      <c r="AV598" s="799"/>
      <c r="AW598" s="799"/>
      <c r="AX598" s="799"/>
      <c r="AY598" s="799"/>
      <c r="AZ598" s="799"/>
      <c r="BA598" s="799"/>
      <c r="BB598" s="799"/>
      <c r="BC598" s="799"/>
      <c r="BD598" s="799"/>
      <c r="BE598" s="799"/>
      <c r="BF598" s="799"/>
      <c r="BG598" s="799"/>
    </row>
    <row r="599">
      <c r="H599" s="799"/>
      <c r="I599" s="799"/>
      <c r="J599" s="799"/>
      <c r="K599" s="799"/>
      <c r="L599" s="799"/>
      <c r="M599" s="799"/>
      <c r="N599" s="799"/>
      <c r="O599" s="799"/>
      <c r="P599" s="799"/>
      <c r="Q599" s="799"/>
      <c r="R599" s="799"/>
      <c r="S599" s="799"/>
      <c r="T599" s="799"/>
      <c r="U599" s="799"/>
      <c r="V599" s="799"/>
      <c r="W599" s="799"/>
      <c r="X599" s="799"/>
      <c r="Y599" s="799"/>
      <c r="Z599" s="799"/>
      <c r="AA599" s="799"/>
      <c r="AB599" s="799"/>
      <c r="AC599" s="799"/>
      <c r="AD599" s="799"/>
      <c r="AE599" s="799"/>
      <c r="AF599" s="799"/>
      <c r="AG599" s="799"/>
      <c r="AH599" s="799"/>
      <c r="AI599" s="799"/>
      <c r="AJ599" s="799"/>
      <c r="AK599" s="799"/>
      <c r="AL599" s="799"/>
      <c r="AM599" s="799"/>
      <c r="AN599" s="799"/>
      <c r="AO599" s="799"/>
      <c r="AP599" s="799"/>
      <c r="AQ599" s="799"/>
      <c r="AR599" s="799"/>
      <c r="AS599" s="799"/>
      <c r="AT599" s="799"/>
      <c r="AU599" s="799"/>
      <c r="AV599" s="799"/>
      <c r="AW599" s="799"/>
      <c r="AX599" s="799"/>
      <c r="AY599" s="799"/>
      <c r="AZ599" s="799"/>
      <c r="BA599" s="799"/>
      <c r="BB599" s="799"/>
      <c r="BC599" s="799"/>
      <c r="BD599" s="799"/>
      <c r="BE599" s="799"/>
      <c r="BF599" s="799"/>
      <c r="BG599" s="799"/>
    </row>
    <row r="600">
      <c r="H600" s="799"/>
      <c r="I600" s="799"/>
      <c r="J600" s="799"/>
      <c r="K600" s="799"/>
      <c r="L600" s="799"/>
      <c r="M600" s="799"/>
      <c r="N600" s="799"/>
      <c r="O600" s="799"/>
      <c r="P600" s="799"/>
      <c r="Q600" s="799"/>
      <c r="R600" s="799"/>
      <c r="S600" s="799"/>
      <c r="T600" s="799"/>
      <c r="U600" s="799"/>
      <c r="V600" s="799"/>
      <c r="W600" s="799"/>
      <c r="X600" s="799"/>
      <c r="Y600" s="799"/>
      <c r="Z600" s="799"/>
      <c r="AA600" s="799"/>
      <c r="AB600" s="799"/>
      <c r="AC600" s="799"/>
      <c r="AD600" s="799"/>
      <c r="AE600" s="799"/>
      <c r="AF600" s="799"/>
      <c r="AG600" s="799"/>
      <c r="AH600" s="799"/>
      <c r="AI600" s="799"/>
      <c r="AJ600" s="799"/>
      <c r="AK600" s="799"/>
      <c r="AL600" s="799"/>
      <c r="AM600" s="799"/>
      <c r="AN600" s="799"/>
      <c r="AO600" s="799"/>
      <c r="AP600" s="799"/>
      <c r="AQ600" s="799"/>
      <c r="AR600" s="799"/>
      <c r="AS600" s="799"/>
      <c r="AT600" s="799"/>
      <c r="AU600" s="799"/>
      <c r="AV600" s="799"/>
      <c r="AW600" s="799"/>
      <c r="AX600" s="799"/>
      <c r="AY600" s="799"/>
      <c r="AZ600" s="799"/>
      <c r="BA600" s="799"/>
      <c r="BB600" s="799"/>
      <c r="BC600" s="799"/>
      <c r="BD600" s="799"/>
      <c r="BE600" s="799"/>
      <c r="BF600" s="799"/>
      <c r="BG600" s="799"/>
    </row>
    <row r="601">
      <c r="H601" s="799"/>
      <c r="I601" s="799"/>
      <c r="J601" s="799"/>
      <c r="K601" s="799"/>
      <c r="L601" s="799"/>
      <c r="M601" s="799"/>
      <c r="N601" s="799"/>
      <c r="O601" s="799"/>
      <c r="P601" s="799"/>
      <c r="Q601" s="799"/>
      <c r="R601" s="799"/>
      <c r="S601" s="799"/>
      <c r="T601" s="799"/>
      <c r="U601" s="799"/>
      <c r="V601" s="799"/>
      <c r="W601" s="799"/>
      <c r="X601" s="799"/>
      <c r="Y601" s="799"/>
      <c r="Z601" s="799"/>
      <c r="AA601" s="799"/>
      <c r="AB601" s="799"/>
      <c r="AC601" s="799"/>
      <c r="AD601" s="799"/>
      <c r="AE601" s="799"/>
      <c r="AF601" s="799"/>
      <c r="AG601" s="799"/>
      <c r="AH601" s="799"/>
      <c r="AI601" s="799"/>
      <c r="AJ601" s="799"/>
      <c r="AK601" s="799"/>
      <c r="AL601" s="799"/>
      <c r="AM601" s="799"/>
      <c r="AN601" s="799"/>
      <c r="AO601" s="799"/>
      <c r="AP601" s="799"/>
      <c r="AQ601" s="799"/>
      <c r="AR601" s="799"/>
      <c r="AS601" s="799"/>
      <c r="AT601" s="799"/>
      <c r="AU601" s="799"/>
      <c r="AV601" s="799"/>
      <c r="AW601" s="799"/>
      <c r="AX601" s="799"/>
      <c r="AY601" s="799"/>
      <c r="AZ601" s="799"/>
      <c r="BA601" s="799"/>
      <c r="BB601" s="799"/>
      <c r="BC601" s="799"/>
      <c r="BD601" s="799"/>
      <c r="BE601" s="799"/>
      <c r="BF601" s="799"/>
      <c r="BG601" s="799"/>
    </row>
    <row r="602">
      <c r="H602" s="799"/>
      <c r="I602" s="799"/>
      <c r="J602" s="799"/>
      <c r="K602" s="799"/>
      <c r="L602" s="799"/>
      <c r="M602" s="799"/>
      <c r="N602" s="799"/>
      <c r="O602" s="799"/>
      <c r="P602" s="799"/>
      <c r="Q602" s="799"/>
      <c r="R602" s="799"/>
      <c r="S602" s="799"/>
      <c r="T602" s="799"/>
      <c r="U602" s="799"/>
      <c r="V602" s="799"/>
      <c r="W602" s="799"/>
      <c r="X602" s="799"/>
      <c r="Y602" s="799"/>
      <c r="Z602" s="799"/>
      <c r="AA602" s="799"/>
      <c r="AB602" s="799"/>
      <c r="AC602" s="799"/>
      <c r="AD602" s="799"/>
      <c r="AE602" s="799"/>
      <c r="AF602" s="799"/>
      <c r="AG602" s="799"/>
      <c r="AH602" s="799"/>
      <c r="AI602" s="799"/>
      <c r="AJ602" s="799"/>
      <c r="AK602" s="799"/>
      <c r="AL602" s="799"/>
      <c r="AM602" s="799"/>
      <c r="AN602" s="799"/>
      <c r="AO602" s="799"/>
      <c r="AP602" s="799"/>
      <c r="AQ602" s="799"/>
      <c r="AR602" s="799"/>
      <c r="AS602" s="799"/>
      <c r="AT602" s="799"/>
      <c r="AU602" s="799"/>
      <c r="AV602" s="799"/>
      <c r="AW602" s="799"/>
      <c r="AX602" s="799"/>
      <c r="AY602" s="799"/>
      <c r="AZ602" s="799"/>
      <c r="BA602" s="799"/>
      <c r="BB602" s="799"/>
      <c r="BC602" s="799"/>
      <c r="BD602" s="799"/>
      <c r="BE602" s="799"/>
      <c r="BF602" s="799"/>
      <c r="BG602" s="799"/>
    </row>
    <row r="603">
      <c r="H603" s="799"/>
      <c r="I603" s="799"/>
      <c r="J603" s="799"/>
      <c r="K603" s="799"/>
      <c r="L603" s="799"/>
      <c r="M603" s="799"/>
      <c r="N603" s="799"/>
      <c r="O603" s="799"/>
      <c r="P603" s="799"/>
      <c r="Q603" s="799"/>
      <c r="R603" s="799"/>
      <c r="S603" s="799"/>
      <c r="T603" s="799"/>
      <c r="U603" s="799"/>
      <c r="V603" s="799"/>
      <c r="W603" s="799"/>
      <c r="X603" s="799"/>
      <c r="Y603" s="799"/>
      <c r="Z603" s="799"/>
      <c r="AA603" s="799"/>
      <c r="AB603" s="799"/>
      <c r="AC603" s="799"/>
      <c r="AD603" s="799"/>
      <c r="AE603" s="799"/>
      <c r="AF603" s="799"/>
      <c r="AG603" s="799"/>
      <c r="AH603" s="799"/>
      <c r="AI603" s="799"/>
      <c r="AJ603" s="799"/>
      <c r="AK603" s="799"/>
      <c r="AL603" s="799"/>
      <c r="AM603" s="799"/>
      <c r="AN603" s="799"/>
      <c r="AO603" s="799"/>
      <c r="AP603" s="799"/>
      <c r="AQ603" s="799"/>
      <c r="AR603" s="799"/>
      <c r="AS603" s="799"/>
      <c r="AT603" s="799"/>
      <c r="AU603" s="799"/>
      <c r="AV603" s="799"/>
      <c r="AW603" s="799"/>
      <c r="AX603" s="799"/>
      <c r="AY603" s="799"/>
      <c r="AZ603" s="799"/>
      <c r="BA603" s="799"/>
      <c r="BB603" s="799"/>
      <c r="BC603" s="799"/>
      <c r="BD603" s="799"/>
      <c r="BE603" s="799"/>
      <c r="BF603" s="799"/>
      <c r="BG603" s="799"/>
    </row>
    <row r="604">
      <c r="H604" s="799"/>
      <c r="I604" s="799"/>
      <c r="J604" s="799"/>
      <c r="K604" s="799"/>
      <c r="L604" s="799"/>
      <c r="M604" s="799"/>
      <c r="N604" s="799"/>
      <c r="O604" s="799"/>
      <c r="P604" s="799"/>
      <c r="Q604" s="799"/>
      <c r="R604" s="799"/>
      <c r="S604" s="799"/>
      <c r="T604" s="799"/>
      <c r="U604" s="799"/>
      <c r="V604" s="799"/>
      <c r="W604" s="799"/>
      <c r="X604" s="799"/>
      <c r="Y604" s="799"/>
      <c r="Z604" s="799"/>
      <c r="AA604" s="799"/>
      <c r="AB604" s="799"/>
      <c r="AC604" s="799"/>
      <c r="AD604" s="799"/>
      <c r="AE604" s="799"/>
      <c r="AF604" s="799"/>
      <c r="AG604" s="799"/>
      <c r="AH604" s="799"/>
      <c r="AI604" s="799"/>
      <c r="AJ604" s="799"/>
      <c r="AK604" s="799"/>
      <c r="AL604" s="799"/>
      <c r="AM604" s="799"/>
      <c r="AN604" s="799"/>
      <c r="AO604" s="799"/>
      <c r="AP604" s="799"/>
      <c r="AQ604" s="799"/>
      <c r="AR604" s="799"/>
      <c r="AS604" s="799"/>
      <c r="AT604" s="799"/>
      <c r="AU604" s="799"/>
      <c r="AV604" s="799"/>
      <c r="AW604" s="799"/>
      <c r="AX604" s="799"/>
      <c r="AY604" s="799"/>
      <c r="AZ604" s="799"/>
      <c r="BA604" s="799"/>
      <c r="BB604" s="799"/>
      <c r="BC604" s="799"/>
      <c r="BD604" s="799"/>
      <c r="BE604" s="799"/>
      <c r="BF604" s="799"/>
      <c r="BG604" s="799"/>
    </row>
    <row r="605">
      <c r="H605" s="799"/>
      <c r="I605" s="799"/>
      <c r="J605" s="799"/>
      <c r="K605" s="799"/>
      <c r="L605" s="799"/>
      <c r="M605" s="799"/>
      <c r="N605" s="799"/>
      <c r="O605" s="799"/>
      <c r="P605" s="799"/>
      <c r="Q605" s="799"/>
      <c r="R605" s="799"/>
      <c r="S605" s="799"/>
      <c r="T605" s="799"/>
      <c r="U605" s="799"/>
      <c r="V605" s="799"/>
      <c r="W605" s="799"/>
      <c r="X605" s="799"/>
      <c r="Y605" s="799"/>
      <c r="Z605" s="799"/>
      <c r="AA605" s="799"/>
      <c r="AB605" s="799"/>
      <c r="AC605" s="799"/>
      <c r="AD605" s="799"/>
      <c r="AE605" s="799"/>
      <c r="AF605" s="799"/>
      <c r="AG605" s="799"/>
      <c r="AH605" s="799"/>
      <c r="AI605" s="799"/>
      <c r="AJ605" s="799"/>
      <c r="AK605" s="799"/>
      <c r="AL605" s="799"/>
      <c r="AM605" s="799"/>
      <c r="AN605" s="799"/>
      <c r="AO605" s="799"/>
      <c r="AP605" s="799"/>
      <c r="AQ605" s="799"/>
      <c r="AR605" s="799"/>
      <c r="AS605" s="799"/>
      <c r="AT605" s="799"/>
      <c r="AU605" s="799"/>
      <c r="AV605" s="799"/>
      <c r="AW605" s="799"/>
      <c r="AX605" s="799"/>
      <c r="AY605" s="799"/>
      <c r="AZ605" s="799"/>
      <c r="BA605" s="799"/>
      <c r="BB605" s="799"/>
      <c r="BC605" s="799"/>
      <c r="BD605" s="799"/>
      <c r="BE605" s="799"/>
      <c r="BF605" s="799"/>
      <c r="BG605" s="799"/>
    </row>
    <row r="606">
      <c r="H606" s="799"/>
      <c r="I606" s="799"/>
      <c r="J606" s="799"/>
      <c r="K606" s="799"/>
      <c r="L606" s="799"/>
      <c r="M606" s="799"/>
      <c r="N606" s="799"/>
      <c r="O606" s="799"/>
      <c r="P606" s="799"/>
      <c r="Q606" s="799"/>
      <c r="R606" s="799"/>
      <c r="S606" s="799"/>
      <c r="T606" s="799"/>
      <c r="U606" s="799"/>
      <c r="V606" s="799"/>
      <c r="W606" s="799"/>
      <c r="X606" s="799"/>
      <c r="Y606" s="799"/>
      <c r="Z606" s="799"/>
      <c r="AA606" s="799"/>
      <c r="AB606" s="799"/>
      <c r="AC606" s="799"/>
      <c r="AD606" s="799"/>
      <c r="AE606" s="799"/>
      <c r="AF606" s="799"/>
      <c r="AG606" s="799"/>
      <c r="AH606" s="799"/>
      <c r="AI606" s="799"/>
      <c r="AJ606" s="799"/>
      <c r="AK606" s="799"/>
      <c r="AL606" s="799"/>
      <c r="AM606" s="799"/>
      <c r="AN606" s="799"/>
      <c r="AO606" s="799"/>
      <c r="AP606" s="799"/>
      <c r="AQ606" s="799"/>
      <c r="AR606" s="799"/>
      <c r="AS606" s="799"/>
      <c r="AT606" s="799"/>
      <c r="AU606" s="799"/>
      <c r="AV606" s="799"/>
      <c r="AW606" s="799"/>
      <c r="AX606" s="799"/>
      <c r="AY606" s="799"/>
      <c r="AZ606" s="799"/>
      <c r="BA606" s="799"/>
      <c r="BB606" s="799"/>
      <c r="BC606" s="799"/>
      <c r="BD606" s="799"/>
      <c r="BE606" s="799"/>
      <c r="BF606" s="799"/>
      <c r="BG606" s="799"/>
    </row>
    <row r="607">
      <c r="H607" s="799"/>
      <c r="I607" s="799"/>
      <c r="J607" s="799"/>
      <c r="K607" s="799"/>
      <c r="L607" s="799"/>
      <c r="M607" s="799"/>
      <c r="N607" s="799"/>
      <c r="O607" s="799"/>
      <c r="P607" s="799"/>
      <c r="Q607" s="799"/>
      <c r="R607" s="799"/>
      <c r="S607" s="799"/>
      <c r="T607" s="799"/>
      <c r="U607" s="799"/>
      <c r="V607" s="799"/>
      <c r="W607" s="799"/>
      <c r="X607" s="799"/>
      <c r="Y607" s="799"/>
      <c r="Z607" s="799"/>
      <c r="AA607" s="799"/>
      <c r="AB607" s="799"/>
      <c r="AC607" s="799"/>
      <c r="AD607" s="799"/>
      <c r="AE607" s="799"/>
      <c r="AF607" s="799"/>
      <c r="AG607" s="799"/>
      <c r="AH607" s="799"/>
      <c r="AI607" s="799"/>
      <c r="AJ607" s="799"/>
      <c r="AK607" s="799"/>
      <c r="AL607" s="799"/>
      <c r="AM607" s="799"/>
      <c r="AN607" s="799"/>
      <c r="AO607" s="799"/>
      <c r="AP607" s="799"/>
      <c r="AQ607" s="799"/>
      <c r="AR607" s="799"/>
      <c r="AS607" s="799"/>
      <c r="AT607" s="799"/>
      <c r="AU607" s="799"/>
      <c r="AV607" s="799"/>
      <c r="AW607" s="799"/>
      <c r="AX607" s="799"/>
      <c r="AY607" s="799"/>
      <c r="AZ607" s="799"/>
      <c r="BA607" s="799"/>
      <c r="BB607" s="799"/>
      <c r="BC607" s="799"/>
      <c r="BD607" s="799"/>
      <c r="BE607" s="799"/>
      <c r="BF607" s="799"/>
      <c r="BG607" s="799"/>
    </row>
    <row r="608">
      <c r="H608" s="799"/>
      <c r="I608" s="799"/>
      <c r="J608" s="799"/>
      <c r="K608" s="799"/>
      <c r="L608" s="799"/>
      <c r="M608" s="799"/>
      <c r="N608" s="799"/>
      <c r="O608" s="799"/>
      <c r="P608" s="799"/>
      <c r="Q608" s="799"/>
      <c r="R608" s="799"/>
      <c r="S608" s="799"/>
      <c r="T608" s="799"/>
      <c r="U608" s="799"/>
      <c r="V608" s="799"/>
      <c r="W608" s="799"/>
      <c r="X608" s="799"/>
      <c r="Y608" s="799"/>
      <c r="Z608" s="799"/>
      <c r="AA608" s="799"/>
      <c r="AB608" s="799"/>
      <c r="AC608" s="799"/>
      <c r="AD608" s="799"/>
      <c r="AE608" s="799"/>
      <c r="AF608" s="799"/>
      <c r="AG608" s="799"/>
      <c r="AH608" s="799"/>
      <c r="AI608" s="799"/>
      <c r="AJ608" s="799"/>
      <c r="AK608" s="799"/>
      <c r="AL608" s="799"/>
      <c r="AM608" s="799"/>
      <c r="AN608" s="799"/>
      <c r="AO608" s="799"/>
      <c r="AP608" s="799"/>
      <c r="AQ608" s="799"/>
      <c r="AR608" s="799"/>
      <c r="AS608" s="799"/>
      <c r="AT608" s="799"/>
      <c r="AU608" s="799"/>
      <c r="AV608" s="799"/>
      <c r="AW608" s="799"/>
      <c r="AX608" s="799"/>
      <c r="AY608" s="799"/>
      <c r="AZ608" s="799"/>
      <c r="BA608" s="799"/>
      <c r="BB608" s="799"/>
      <c r="BC608" s="799"/>
      <c r="BD608" s="799"/>
      <c r="BE608" s="799"/>
      <c r="BF608" s="799"/>
      <c r="BG608" s="799"/>
    </row>
    <row r="609">
      <c r="H609" s="799"/>
      <c r="I609" s="799"/>
      <c r="J609" s="799"/>
      <c r="K609" s="799"/>
      <c r="L609" s="799"/>
      <c r="M609" s="799"/>
      <c r="N609" s="799"/>
      <c r="O609" s="799"/>
      <c r="P609" s="799"/>
      <c r="Q609" s="799"/>
      <c r="R609" s="799"/>
      <c r="S609" s="799"/>
      <c r="T609" s="799"/>
      <c r="U609" s="799"/>
      <c r="V609" s="799"/>
      <c r="W609" s="799"/>
      <c r="X609" s="799"/>
      <c r="Y609" s="799"/>
      <c r="Z609" s="799"/>
      <c r="AA609" s="799"/>
      <c r="AB609" s="799"/>
      <c r="AC609" s="799"/>
      <c r="AD609" s="799"/>
      <c r="AE609" s="799"/>
      <c r="AF609" s="799"/>
      <c r="AG609" s="799"/>
      <c r="AH609" s="799"/>
      <c r="AI609" s="799"/>
      <c r="AJ609" s="799"/>
      <c r="AK609" s="799"/>
      <c r="AL609" s="799"/>
      <c r="AM609" s="799"/>
      <c r="AN609" s="799"/>
      <c r="AO609" s="799"/>
      <c r="AP609" s="799"/>
      <c r="AQ609" s="799"/>
      <c r="AR609" s="799"/>
      <c r="AS609" s="799"/>
      <c r="AT609" s="799"/>
      <c r="AU609" s="799"/>
      <c r="AV609" s="799"/>
      <c r="AW609" s="799"/>
      <c r="AX609" s="799"/>
      <c r="AY609" s="799"/>
      <c r="AZ609" s="799"/>
      <c r="BA609" s="799"/>
      <c r="BB609" s="799"/>
      <c r="BC609" s="799"/>
      <c r="BD609" s="799"/>
      <c r="BE609" s="799"/>
      <c r="BF609" s="799"/>
      <c r="BG609" s="799"/>
    </row>
    <row r="610">
      <c r="H610" s="799"/>
      <c r="I610" s="799"/>
      <c r="J610" s="799"/>
      <c r="K610" s="799"/>
      <c r="L610" s="799"/>
      <c r="M610" s="799"/>
      <c r="N610" s="799"/>
      <c r="O610" s="799"/>
      <c r="P610" s="799"/>
      <c r="Q610" s="799"/>
      <c r="R610" s="799"/>
      <c r="S610" s="799"/>
      <c r="T610" s="799"/>
      <c r="U610" s="799"/>
      <c r="V610" s="799"/>
      <c r="W610" s="799"/>
      <c r="X610" s="799"/>
      <c r="Y610" s="799"/>
      <c r="Z610" s="799"/>
      <c r="AA610" s="799"/>
      <c r="AB610" s="799"/>
      <c r="AC610" s="799"/>
      <c r="AD610" s="799"/>
      <c r="AE610" s="799"/>
      <c r="AF610" s="799"/>
      <c r="AG610" s="799"/>
      <c r="AH610" s="799"/>
      <c r="AI610" s="799"/>
      <c r="AJ610" s="799"/>
      <c r="AK610" s="799"/>
      <c r="AL610" s="799"/>
      <c r="AM610" s="799"/>
      <c r="AN610" s="799"/>
      <c r="AO610" s="799"/>
      <c r="AP610" s="799"/>
      <c r="AQ610" s="799"/>
      <c r="AR610" s="799"/>
      <c r="AS610" s="799"/>
      <c r="AT610" s="799"/>
      <c r="AU610" s="799"/>
      <c r="AV610" s="799"/>
      <c r="AW610" s="799"/>
      <c r="AX610" s="799"/>
      <c r="AY610" s="799"/>
      <c r="AZ610" s="799"/>
      <c r="BA610" s="799"/>
      <c r="BB610" s="799"/>
      <c r="BC610" s="799"/>
      <c r="BD610" s="799"/>
      <c r="BE610" s="799"/>
      <c r="BF610" s="799"/>
      <c r="BG610" s="799"/>
    </row>
    <row r="611">
      <c r="H611" s="799"/>
      <c r="I611" s="799"/>
      <c r="J611" s="799"/>
      <c r="K611" s="799"/>
      <c r="L611" s="799"/>
      <c r="M611" s="799"/>
      <c r="N611" s="799"/>
      <c r="O611" s="799"/>
      <c r="P611" s="799"/>
      <c r="Q611" s="799"/>
      <c r="R611" s="799"/>
      <c r="S611" s="799"/>
      <c r="T611" s="799"/>
      <c r="U611" s="799"/>
      <c r="V611" s="799"/>
      <c r="W611" s="799"/>
      <c r="X611" s="799"/>
      <c r="Y611" s="799"/>
      <c r="Z611" s="799"/>
      <c r="AA611" s="799"/>
      <c r="AB611" s="799"/>
      <c r="AC611" s="799"/>
      <c r="AD611" s="799"/>
      <c r="AE611" s="799"/>
      <c r="AF611" s="799"/>
      <c r="AG611" s="799"/>
      <c r="AH611" s="799"/>
      <c r="AI611" s="799"/>
      <c r="AJ611" s="799"/>
      <c r="AK611" s="799"/>
      <c r="AL611" s="799"/>
      <c r="AM611" s="799"/>
      <c r="AN611" s="799"/>
      <c r="AO611" s="799"/>
      <c r="AP611" s="799"/>
      <c r="AQ611" s="799"/>
      <c r="AR611" s="799"/>
      <c r="AS611" s="799"/>
      <c r="AT611" s="799"/>
      <c r="AU611" s="799"/>
      <c r="AV611" s="799"/>
      <c r="AW611" s="799"/>
      <c r="AX611" s="799"/>
      <c r="AY611" s="799"/>
      <c r="AZ611" s="799"/>
      <c r="BA611" s="799"/>
      <c r="BB611" s="799"/>
      <c r="BC611" s="799"/>
      <c r="BD611" s="799"/>
      <c r="BE611" s="799"/>
      <c r="BF611" s="799"/>
      <c r="BG611" s="799"/>
    </row>
    <row r="612">
      <c r="H612" s="799"/>
      <c r="I612" s="799"/>
      <c r="J612" s="799"/>
      <c r="K612" s="799"/>
      <c r="L612" s="799"/>
      <c r="M612" s="799"/>
      <c r="N612" s="799"/>
      <c r="O612" s="799"/>
      <c r="P612" s="799"/>
      <c r="Q612" s="799"/>
      <c r="R612" s="799"/>
      <c r="S612" s="799"/>
      <c r="T612" s="799"/>
      <c r="U612" s="799"/>
      <c r="V612" s="799"/>
      <c r="W612" s="799"/>
      <c r="X612" s="799"/>
      <c r="Y612" s="799"/>
      <c r="Z612" s="799"/>
      <c r="AA612" s="799"/>
      <c r="AB612" s="799"/>
      <c r="AC612" s="799"/>
      <c r="AD612" s="799"/>
      <c r="AE612" s="799"/>
      <c r="AF612" s="799"/>
      <c r="AG612" s="799"/>
      <c r="AH612" s="799"/>
      <c r="AI612" s="799"/>
      <c r="AJ612" s="799"/>
      <c r="AK612" s="799"/>
      <c r="AL612" s="799"/>
      <c r="AM612" s="799"/>
      <c r="AN612" s="799"/>
      <c r="AO612" s="799"/>
      <c r="AP612" s="799"/>
      <c r="AQ612" s="799"/>
      <c r="AR612" s="799"/>
      <c r="AS612" s="799"/>
      <c r="AT612" s="799"/>
      <c r="AU612" s="799"/>
      <c r="AV612" s="799"/>
      <c r="AW612" s="799"/>
      <c r="AX612" s="799"/>
      <c r="AY612" s="799"/>
      <c r="AZ612" s="799"/>
      <c r="BA612" s="799"/>
      <c r="BB612" s="799"/>
      <c r="BC612" s="799"/>
      <c r="BD612" s="799"/>
      <c r="BE612" s="799"/>
      <c r="BF612" s="799"/>
      <c r="BG612" s="799"/>
    </row>
    <row r="613">
      <c r="H613" s="799"/>
      <c r="I613" s="799"/>
      <c r="J613" s="799"/>
      <c r="K613" s="799"/>
      <c r="L613" s="799"/>
      <c r="M613" s="799"/>
      <c r="N613" s="799"/>
      <c r="O613" s="799"/>
      <c r="P613" s="799"/>
      <c r="Q613" s="799"/>
      <c r="R613" s="799"/>
      <c r="S613" s="799"/>
      <c r="T613" s="799"/>
      <c r="U613" s="799"/>
      <c r="V613" s="799"/>
      <c r="W613" s="799"/>
      <c r="X613" s="799"/>
      <c r="Y613" s="799"/>
      <c r="Z613" s="799"/>
      <c r="AA613" s="799"/>
      <c r="AB613" s="799"/>
      <c r="AC613" s="799"/>
      <c r="AD613" s="799"/>
      <c r="AE613" s="799"/>
      <c r="AF613" s="799"/>
      <c r="AG613" s="799"/>
      <c r="AH613" s="799"/>
      <c r="AI613" s="799"/>
      <c r="AJ613" s="799"/>
      <c r="AK613" s="799"/>
      <c r="AL613" s="799"/>
      <c r="AM613" s="799"/>
      <c r="AN613" s="799"/>
      <c r="AO613" s="799"/>
      <c r="AP613" s="799"/>
      <c r="AQ613" s="799"/>
      <c r="AR613" s="799"/>
      <c r="AS613" s="799"/>
      <c r="AT613" s="799"/>
      <c r="AU613" s="799"/>
      <c r="AV613" s="799"/>
      <c r="AW613" s="799"/>
      <c r="AX613" s="799"/>
      <c r="AY613" s="799"/>
      <c r="AZ613" s="799"/>
      <c r="BA613" s="799"/>
      <c r="BB613" s="799"/>
      <c r="BC613" s="799"/>
      <c r="BD613" s="799"/>
      <c r="BE613" s="799"/>
      <c r="BF613" s="799"/>
      <c r="BG613" s="799"/>
    </row>
    <row r="614">
      <c r="H614" s="799"/>
      <c r="I614" s="799"/>
      <c r="J614" s="799"/>
      <c r="K614" s="799"/>
      <c r="L614" s="799"/>
      <c r="M614" s="799"/>
      <c r="N614" s="799"/>
      <c r="O614" s="799"/>
      <c r="P614" s="799"/>
      <c r="Q614" s="799"/>
      <c r="R614" s="799"/>
      <c r="S614" s="799"/>
      <c r="T614" s="799"/>
      <c r="U614" s="799"/>
      <c r="V614" s="799"/>
      <c r="W614" s="799"/>
      <c r="X614" s="799"/>
      <c r="Y614" s="799"/>
      <c r="Z614" s="799"/>
      <c r="AA614" s="799"/>
      <c r="AB614" s="799"/>
      <c r="AC614" s="799"/>
      <c r="AD614" s="799"/>
      <c r="AE614" s="799"/>
      <c r="AF614" s="799"/>
      <c r="AG614" s="799"/>
      <c r="AH614" s="799"/>
      <c r="AI614" s="799"/>
      <c r="AJ614" s="799"/>
      <c r="AK614" s="799"/>
      <c r="AL614" s="799"/>
      <c r="AM614" s="799"/>
      <c r="AN614" s="799"/>
      <c r="AO614" s="799"/>
      <c r="AP614" s="799"/>
      <c r="AQ614" s="799"/>
      <c r="AR614" s="799"/>
      <c r="AS614" s="799"/>
      <c r="AT614" s="799"/>
      <c r="AU614" s="799"/>
      <c r="AV614" s="799"/>
      <c r="AW614" s="799"/>
      <c r="AX614" s="799"/>
      <c r="AY614" s="799"/>
      <c r="AZ614" s="799"/>
      <c r="BA614" s="799"/>
      <c r="BB614" s="799"/>
      <c r="BC614" s="799"/>
      <c r="BD614" s="799"/>
      <c r="BE614" s="799"/>
      <c r="BF614" s="799"/>
      <c r="BG614" s="799"/>
    </row>
    <row r="615">
      <c r="H615" s="799"/>
      <c r="I615" s="799"/>
      <c r="J615" s="799"/>
      <c r="K615" s="799"/>
      <c r="L615" s="799"/>
      <c r="M615" s="799"/>
      <c r="N615" s="799"/>
      <c r="O615" s="799"/>
      <c r="P615" s="799"/>
      <c r="Q615" s="799"/>
      <c r="R615" s="799"/>
      <c r="S615" s="799"/>
      <c r="T615" s="799"/>
      <c r="U615" s="799"/>
      <c r="V615" s="799"/>
      <c r="W615" s="799"/>
      <c r="X615" s="799"/>
      <c r="Y615" s="799"/>
      <c r="Z615" s="799"/>
      <c r="AA615" s="799"/>
      <c r="AB615" s="799"/>
      <c r="AC615" s="799"/>
      <c r="AD615" s="799"/>
      <c r="AE615" s="799"/>
      <c r="AF615" s="799"/>
      <c r="AG615" s="799"/>
      <c r="AH615" s="799"/>
      <c r="AI615" s="799"/>
      <c r="AJ615" s="799"/>
      <c r="AK615" s="799"/>
      <c r="AL615" s="799"/>
      <c r="AM615" s="799"/>
      <c r="AN615" s="799"/>
      <c r="AO615" s="799"/>
      <c r="AP615" s="799"/>
      <c r="AQ615" s="799"/>
      <c r="AR615" s="799"/>
      <c r="AS615" s="799"/>
      <c r="AT615" s="799"/>
      <c r="AU615" s="799"/>
      <c r="AV615" s="799"/>
      <c r="AW615" s="799"/>
      <c r="AX615" s="799"/>
      <c r="AY615" s="799"/>
      <c r="AZ615" s="799"/>
      <c r="BA615" s="799"/>
      <c r="BB615" s="799"/>
      <c r="BC615" s="799"/>
      <c r="BD615" s="799"/>
      <c r="BE615" s="799"/>
      <c r="BF615" s="799"/>
      <c r="BG615" s="799"/>
    </row>
    <row r="616">
      <c r="H616" s="799"/>
      <c r="I616" s="799"/>
      <c r="J616" s="799"/>
      <c r="K616" s="799"/>
      <c r="L616" s="799"/>
      <c r="M616" s="799"/>
      <c r="N616" s="799"/>
      <c r="O616" s="799"/>
      <c r="P616" s="799"/>
      <c r="Q616" s="799"/>
      <c r="R616" s="799"/>
      <c r="S616" s="799"/>
      <c r="T616" s="799"/>
      <c r="U616" s="799"/>
      <c r="V616" s="799"/>
      <c r="W616" s="799"/>
      <c r="X616" s="799"/>
      <c r="Y616" s="799"/>
      <c r="Z616" s="799"/>
      <c r="AA616" s="799"/>
      <c r="AB616" s="799"/>
      <c r="AC616" s="799"/>
      <c r="AD616" s="799"/>
      <c r="AE616" s="799"/>
      <c r="AF616" s="799"/>
      <c r="AG616" s="799"/>
      <c r="AH616" s="799"/>
      <c r="AI616" s="799"/>
      <c r="AJ616" s="799"/>
      <c r="AK616" s="799"/>
      <c r="AL616" s="799"/>
      <c r="AM616" s="799"/>
      <c r="AN616" s="799"/>
      <c r="AO616" s="799"/>
      <c r="AP616" s="799"/>
      <c r="AQ616" s="799"/>
      <c r="AR616" s="799"/>
      <c r="AS616" s="799"/>
      <c r="AT616" s="799"/>
      <c r="AU616" s="799"/>
      <c r="AV616" s="799"/>
      <c r="AW616" s="799"/>
      <c r="AX616" s="799"/>
      <c r="AY616" s="799"/>
      <c r="AZ616" s="799"/>
      <c r="BA616" s="799"/>
      <c r="BB616" s="799"/>
      <c r="BC616" s="799"/>
      <c r="BD616" s="799"/>
      <c r="BE616" s="799"/>
      <c r="BF616" s="799"/>
      <c r="BG616" s="799"/>
    </row>
    <row r="617">
      <c r="H617" s="799"/>
      <c r="I617" s="799"/>
      <c r="J617" s="799"/>
      <c r="K617" s="799"/>
      <c r="L617" s="799"/>
      <c r="M617" s="799"/>
      <c r="N617" s="799"/>
      <c r="O617" s="799"/>
      <c r="P617" s="799"/>
      <c r="Q617" s="799"/>
      <c r="R617" s="799"/>
      <c r="S617" s="799"/>
      <c r="T617" s="799"/>
      <c r="U617" s="799"/>
      <c r="V617" s="799"/>
      <c r="W617" s="799"/>
      <c r="X617" s="799"/>
      <c r="Y617" s="799"/>
      <c r="Z617" s="799"/>
      <c r="AA617" s="799"/>
      <c r="AB617" s="799"/>
      <c r="AC617" s="799"/>
      <c r="AD617" s="799"/>
      <c r="AE617" s="799"/>
      <c r="AF617" s="799"/>
      <c r="AG617" s="799"/>
      <c r="AH617" s="799"/>
      <c r="AI617" s="799"/>
      <c r="AJ617" s="799"/>
      <c r="AK617" s="799"/>
      <c r="AL617" s="799"/>
      <c r="AM617" s="799"/>
      <c r="AN617" s="799"/>
      <c r="AO617" s="799"/>
      <c r="AP617" s="799"/>
      <c r="AQ617" s="799"/>
      <c r="AR617" s="799"/>
      <c r="AS617" s="799"/>
      <c r="AT617" s="799"/>
      <c r="AU617" s="799"/>
      <c r="AV617" s="799"/>
      <c r="AW617" s="799"/>
      <c r="AX617" s="799"/>
      <c r="AY617" s="799"/>
      <c r="AZ617" s="799"/>
      <c r="BA617" s="799"/>
      <c r="BB617" s="799"/>
      <c r="BC617" s="799"/>
      <c r="BD617" s="799"/>
      <c r="BE617" s="799"/>
      <c r="BF617" s="799"/>
      <c r="BG617" s="799"/>
    </row>
    <row r="618">
      <c r="H618" s="799"/>
      <c r="I618" s="799"/>
      <c r="J618" s="799"/>
      <c r="K618" s="799"/>
      <c r="L618" s="799"/>
      <c r="M618" s="799"/>
      <c r="N618" s="799"/>
      <c r="O618" s="799"/>
      <c r="P618" s="799"/>
      <c r="Q618" s="799"/>
      <c r="R618" s="799"/>
      <c r="S618" s="799"/>
      <c r="T618" s="799"/>
      <c r="U618" s="799"/>
      <c r="V618" s="799"/>
      <c r="W618" s="799"/>
      <c r="X618" s="799"/>
      <c r="Y618" s="799"/>
      <c r="Z618" s="799"/>
      <c r="AA618" s="799"/>
      <c r="AB618" s="799"/>
      <c r="AC618" s="799"/>
      <c r="AD618" s="799"/>
      <c r="AE618" s="799"/>
      <c r="AF618" s="799"/>
      <c r="AG618" s="799"/>
      <c r="AH618" s="799"/>
      <c r="AI618" s="799"/>
      <c r="AJ618" s="799"/>
      <c r="AK618" s="799"/>
      <c r="AL618" s="799"/>
      <c r="AM618" s="799"/>
      <c r="AN618" s="799"/>
      <c r="AO618" s="799"/>
      <c r="AP618" s="799"/>
      <c r="AQ618" s="799"/>
      <c r="AR618" s="799"/>
      <c r="AS618" s="799"/>
      <c r="AT618" s="799"/>
      <c r="AU618" s="799"/>
      <c r="AV618" s="799"/>
      <c r="AW618" s="799"/>
      <c r="AX618" s="799"/>
      <c r="AY618" s="799"/>
      <c r="AZ618" s="799"/>
      <c r="BA618" s="799"/>
      <c r="BB618" s="799"/>
      <c r="BC618" s="799"/>
      <c r="BD618" s="799"/>
      <c r="BE618" s="799"/>
      <c r="BF618" s="799"/>
      <c r="BG618" s="799"/>
    </row>
    <row r="619">
      <c r="H619" s="799"/>
      <c r="I619" s="799"/>
      <c r="J619" s="799"/>
      <c r="K619" s="799"/>
      <c r="L619" s="799"/>
      <c r="M619" s="799"/>
      <c r="N619" s="799"/>
      <c r="O619" s="799"/>
      <c r="P619" s="799"/>
      <c r="Q619" s="799"/>
      <c r="R619" s="799"/>
      <c r="S619" s="799"/>
      <c r="T619" s="799"/>
      <c r="U619" s="799"/>
      <c r="V619" s="799"/>
      <c r="W619" s="799"/>
      <c r="X619" s="799"/>
      <c r="Y619" s="799"/>
      <c r="Z619" s="799"/>
      <c r="AA619" s="799"/>
      <c r="AB619" s="799"/>
      <c r="AC619" s="799"/>
      <c r="AD619" s="799"/>
      <c r="AE619" s="799"/>
      <c r="AF619" s="799"/>
      <c r="AG619" s="799"/>
      <c r="AH619" s="799"/>
      <c r="AI619" s="799"/>
      <c r="AJ619" s="799"/>
      <c r="AK619" s="799"/>
      <c r="AL619" s="799"/>
      <c r="AM619" s="799"/>
      <c r="AN619" s="799"/>
      <c r="AO619" s="799"/>
      <c r="AP619" s="799"/>
      <c r="AQ619" s="799"/>
      <c r="AR619" s="799"/>
      <c r="AS619" s="799"/>
      <c r="AT619" s="799"/>
      <c r="AU619" s="799"/>
      <c r="AV619" s="799"/>
      <c r="AW619" s="799"/>
      <c r="AX619" s="799"/>
      <c r="AY619" s="799"/>
      <c r="AZ619" s="799"/>
      <c r="BA619" s="799"/>
      <c r="BB619" s="799"/>
      <c r="BC619" s="799"/>
      <c r="BD619" s="799"/>
      <c r="BE619" s="799"/>
      <c r="BF619" s="799"/>
      <c r="BG619" s="799"/>
    </row>
    <row r="620">
      <c r="H620" s="799"/>
      <c r="I620" s="799"/>
      <c r="J620" s="799"/>
      <c r="K620" s="799"/>
      <c r="L620" s="799"/>
      <c r="M620" s="799"/>
      <c r="N620" s="799"/>
      <c r="O620" s="799"/>
      <c r="P620" s="799"/>
      <c r="Q620" s="799"/>
      <c r="R620" s="799"/>
      <c r="S620" s="799"/>
      <c r="T620" s="799"/>
      <c r="U620" s="799"/>
      <c r="V620" s="799"/>
      <c r="W620" s="799"/>
      <c r="X620" s="799"/>
      <c r="Y620" s="799"/>
      <c r="Z620" s="799"/>
      <c r="AA620" s="799"/>
      <c r="AB620" s="799"/>
      <c r="AC620" s="799"/>
      <c r="AD620" s="799"/>
      <c r="AE620" s="799"/>
      <c r="AF620" s="799"/>
      <c r="AG620" s="799"/>
      <c r="AH620" s="799"/>
      <c r="AI620" s="799"/>
      <c r="AJ620" s="799"/>
      <c r="AK620" s="799"/>
      <c r="AL620" s="799"/>
      <c r="AM620" s="799"/>
      <c r="AN620" s="799"/>
      <c r="AO620" s="799"/>
      <c r="AP620" s="799"/>
      <c r="AQ620" s="799"/>
      <c r="AR620" s="799"/>
      <c r="AS620" s="799"/>
      <c r="AT620" s="799"/>
      <c r="AU620" s="799"/>
      <c r="AV620" s="799"/>
      <c r="AW620" s="799"/>
      <c r="AX620" s="799"/>
      <c r="AY620" s="799"/>
      <c r="AZ620" s="799"/>
      <c r="BA620" s="799"/>
      <c r="BB620" s="799"/>
      <c r="BC620" s="799"/>
      <c r="BD620" s="799"/>
      <c r="BE620" s="799"/>
      <c r="BF620" s="799"/>
      <c r="BG620" s="799"/>
    </row>
    <row r="621">
      <c r="H621" s="799"/>
      <c r="I621" s="799"/>
      <c r="J621" s="799"/>
      <c r="K621" s="799"/>
      <c r="L621" s="799"/>
      <c r="M621" s="799"/>
      <c r="N621" s="799"/>
      <c r="O621" s="799"/>
      <c r="P621" s="799"/>
      <c r="Q621" s="799"/>
      <c r="R621" s="799"/>
      <c r="S621" s="799"/>
      <c r="T621" s="799"/>
      <c r="U621" s="799"/>
      <c r="V621" s="799"/>
      <c r="W621" s="799"/>
      <c r="X621" s="799"/>
      <c r="Y621" s="799"/>
      <c r="Z621" s="799"/>
      <c r="AA621" s="799"/>
      <c r="AB621" s="799"/>
      <c r="AC621" s="799"/>
      <c r="AD621" s="799"/>
      <c r="AE621" s="799"/>
      <c r="AF621" s="799"/>
      <c r="AG621" s="799"/>
      <c r="AH621" s="799"/>
      <c r="AI621" s="799"/>
      <c r="AJ621" s="799"/>
      <c r="AK621" s="799"/>
      <c r="AL621" s="799"/>
      <c r="AM621" s="799"/>
      <c r="AN621" s="799"/>
      <c r="AO621" s="799"/>
      <c r="AP621" s="799"/>
      <c r="AQ621" s="799"/>
      <c r="AR621" s="799"/>
      <c r="AS621" s="799"/>
      <c r="AT621" s="799"/>
      <c r="AU621" s="799"/>
      <c r="AV621" s="799"/>
      <c r="AW621" s="799"/>
      <c r="AX621" s="799"/>
      <c r="AY621" s="799"/>
      <c r="AZ621" s="799"/>
      <c r="BA621" s="799"/>
      <c r="BB621" s="799"/>
      <c r="BC621" s="799"/>
      <c r="BD621" s="799"/>
      <c r="BE621" s="799"/>
      <c r="BF621" s="799"/>
      <c r="BG621" s="799"/>
    </row>
    <row r="622">
      <c r="H622" s="799"/>
      <c r="I622" s="799"/>
      <c r="J622" s="799"/>
      <c r="K622" s="799"/>
      <c r="L622" s="799"/>
      <c r="M622" s="799"/>
      <c r="N622" s="799"/>
      <c r="O622" s="799"/>
      <c r="P622" s="799"/>
      <c r="Q622" s="799"/>
      <c r="R622" s="799"/>
      <c r="S622" s="799"/>
      <c r="T622" s="799"/>
      <c r="U622" s="799"/>
      <c r="V622" s="799"/>
      <c r="W622" s="799"/>
      <c r="X622" s="799"/>
      <c r="Y622" s="799"/>
      <c r="Z622" s="799"/>
      <c r="AA622" s="799"/>
      <c r="AB622" s="799"/>
      <c r="AC622" s="799"/>
      <c r="AD622" s="799"/>
      <c r="AE622" s="799"/>
      <c r="AF622" s="799"/>
      <c r="AG622" s="799"/>
      <c r="AH622" s="799"/>
      <c r="AI622" s="799"/>
      <c r="AJ622" s="799"/>
      <c r="AK622" s="799"/>
      <c r="AL622" s="799"/>
      <c r="AM622" s="799"/>
      <c r="AN622" s="799"/>
      <c r="AO622" s="799"/>
      <c r="AP622" s="799"/>
      <c r="AQ622" s="799"/>
      <c r="AR622" s="799"/>
      <c r="AS622" s="799"/>
      <c r="AT622" s="799"/>
      <c r="AU622" s="799"/>
      <c r="AV622" s="799"/>
      <c r="AW622" s="799"/>
      <c r="AX622" s="799"/>
      <c r="AY622" s="799"/>
      <c r="AZ622" s="799"/>
      <c r="BA622" s="799"/>
      <c r="BB622" s="799"/>
      <c r="BC622" s="799"/>
      <c r="BD622" s="799"/>
      <c r="BE622" s="799"/>
      <c r="BF622" s="799"/>
      <c r="BG622" s="799"/>
    </row>
    <row r="623">
      <c r="H623" s="799"/>
      <c r="I623" s="799"/>
      <c r="J623" s="799"/>
      <c r="K623" s="799"/>
      <c r="L623" s="799"/>
      <c r="M623" s="799"/>
      <c r="N623" s="799"/>
      <c r="O623" s="799"/>
      <c r="P623" s="799"/>
      <c r="Q623" s="799"/>
      <c r="R623" s="799"/>
      <c r="S623" s="799"/>
      <c r="T623" s="799"/>
      <c r="U623" s="799"/>
      <c r="V623" s="799"/>
      <c r="W623" s="799"/>
      <c r="X623" s="799"/>
      <c r="Y623" s="799"/>
      <c r="Z623" s="799"/>
      <c r="AA623" s="799"/>
      <c r="AB623" s="799"/>
      <c r="AC623" s="799"/>
      <c r="AD623" s="799"/>
      <c r="AE623" s="799"/>
      <c r="AF623" s="799"/>
      <c r="AG623" s="799"/>
      <c r="AH623" s="799"/>
      <c r="AI623" s="799"/>
      <c r="AJ623" s="799"/>
      <c r="AK623" s="799"/>
      <c r="AL623" s="799"/>
      <c r="AM623" s="799"/>
      <c r="AN623" s="799"/>
      <c r="AO623" s="799"/>
      <c r="AP623" s="799"/>
      <c r="AQ623" s="799"/>
      <c r="AR623" s="799"/>
      <c r="AS623" s="799"/>
      <c r="AT623" s="799"/>
      <c r="AU623" s="799"/>
      <c r="AV623" s="799"/>
      <c r="AW623" s="799"/>
      <c r="AX623" s="799"/>
      <c r="AY623" s="799"/>
      <c r="AZ623" s="799"/>
      <c r="BA623" s="799"/>
      <c r="BB623" s="799"/>
      <c r="BC623" s="799"/>
      <c r="BD623" s="799"/>
      <c r="BE623" s="799"/>
      <c r="BF623" s="799"/>
      <c r="BG623" s="799"/>
    </row>
    <row r="624">
      <c r="H624" s="799"/>
      <c r="I624" s="799"/>
      <c r="J624" s="799"/>
      <c r="K624" s="799"/>
      <c r="L624" s="799"/>
      <c r="M624" s="799"/>
      <c r="N624" s="799"/>
      <c r="O624" s="799"/>
      <c r="P624" s="799"/>
      <c r="Q624" s="799"/>
      <c r="R624" s="799"/>
      <c r="S624" s="799"/>
      <c r="T624" s="799"/>
      <c r="U624" s="799"/>
      <c r="V624" s="799"/>
      <c r="W624" s="799"/>
      <c r="X624" s="799"/>
      <c r="Y624" s="799"/>
      <c r="Z624" s="799"/>
      <c r="AA624" s="799"/>
      <c r="AB624" s="799"/>
      <c r="AC624" s="799"/>
      <c r="AD624" s="799"/>
      <c r="AE624" s="799"/>
      <c r="AF624" s="799"/>
      <c r="AG624" s="799"/>
      <c r="AH624" s="799"/>
      <c r="AI624" s="799"/>
      <c r="AJ624" s="799"/>
      <c r="AK624" s="799"/>
      <c r="AL624" s="799"/>
      <c r="AM624" s="799"/>
      <c r="AN624" s="799"/>
      <c r="AO624" s="799"/>
      <c r="AP624" s="799"/>
      <c r="AQ624" s="799"/>
      <c r="AR624" s="799"/>
      <c r="AS624" s="799"/>
      <c r="AT624" s="799"/>
      <c r="AU624" s="799"/>
      <c r="AV624" s="799"/>
      <c r="AW624" s="799"/>
      <c r="AX624" s="799"/>
      <c r="AY624" s="799"/>
      <c r="AZ624" s="799"/>
      <c r="BA624" s="799"/>
      <c r="BB624" s="799"/>
      <c r="BC624" s="799"/>
      <c r="BD624" s="799"/>
      <c r="BE624" s="799"/>
      <c r="BF624" s="799"/>
      <c r="BG624" s="799"/>
    </row>
    <row r="625">
      <c r="H625" s="799"/>
      <c r="I625" s="799"/>
      <c r="J625" s="799"/>
      <c r="K625" s="799"/>
      <c r="L625" s="799"/>
      <c r="M625" s="799"/>
      <c r="N625" s="799"/>
      <c r="O625" s="799"/>
      <c r="P625" s="799"/>
      <c r="Q625" s="799"/>
      <c r="R625" s="799"/>
      <c r="S625" s="799"/>
      <c r="T625" s="799"/>
      <c r="U625" s="799"/>
      <c r="V625" s="799"/>
      <c r="W625" s="799"/>
      <c r="X625" s="799"/>
      <c r="Y625" s="799"/>
      <c r="Z625" s="799"/>
      <c r="AA625" s="799"/>
      <c r="AB625" s="799"/>
      <c r="AC625" s="799"/>
      <c r="AD625" s="799"/>
      <c r="AE625" s="799"/>
      <c r="AF625" s="799"/>
      <c r="AG625" s="799"/>
      <c r="AH625" s="799"/>
      <c r="AI625" s="799"/>
      <c r="AJ625" s="799"/>
      <c r="AK625" s="799"/>
      <c r="AL625" s="799"/>
      <c r="AM625" s="799"/>
      <c r="AN625" s="799"/>
      <c r="AO625" s="799"/>
      <c r="AP625" s="799"/>
      <c r="AQ625" s="799"/>
      <c r="AR625" s="799"/>
      <c r="AS625" s="799"/>
      <c r="AT625" s="799"/>
      <c r="AU625" s="799"/>
      <c r="AV625" s="799"/>
      <c r="AW625" s="799"/>
      <c r="AX625" s="799"/>
      <c r="AY625" s="799"/>
      <c r="AZ625" s="799"/>
      <c r="BA625" s="799"/>
      <c r="BB625" s="799"/>
      <c r="BC625" s="799"/>
      <c r="BD625" s="799"/>
      <c r="BE625" s="799"/>
      <c r="BF625" s="799"/>
      <c r="BG625" s="799"/>
    </row>
    <row r="626">
      <c r="H626" s="799"/>
      <c r="I626" s="799"/>
      <c r="J626" s="799"/>
      <c r="K626" s="799"/>
      <c r="L626" s="799"/>
      <c r="M626" s="799"/>
      <c r="N626" s="799"/>
      <c r="O626" s="799"/>
      <c r="P626" s="799"/>
      <c r="Q626" s="799"/>
      <c r="R626" s="799"/>
      <c r="S626" s="799"/>
      <c r="T626" s="799"/>
      <c r="U626" s="799"/>
      <c r="V626" s="799"/>
      <c r="W626" s="799"/>
      <c r="X626" s="799"/>
      <c r="Y626" s="799"/>
      <c r="Z626" s="799"/>
      <c r="AA626" s="799"/>
      <c r="AB626" s="799"/>
      <c r="AC626" s="799"/>
      <c r="AD626" s="799"/>
      <c r="AE626" s="799"/>
      <c r="AF626" s="799"/>
      <c r="AG626" s="799"/>
      <c r="AH626" s="799"/>
      <c r="AI626" s="799"/>
      <c r="AJ626" s="799"/>
      <c r="AK626" s="799"/>
      <c r="AL626" s="799"/>
      <c r="AM626" s="799"/>
      <c r="AN626" s="799"/>
      <c r="AO626" s="799"/>
      <c r="AP626" s="799"/>
      <c r="AQ626" s="799"/>
      <c r="AR626" s="799"/>
      <c r="AS626" s="799"/>
      <c r="AT626" s="799"/>
      <c r="AU626" s="799"/>
      <c r="AV626" s="799"/>
      <c r="AW626" s="799"/>
      <c r="AX626" s="799"/>
      <c r="AY626" s="799"/>
      <c r="AZ626" s="799"/>
      <c r="BA626" s="799"/>
      <c r="BB626" s="799"/>
      <c r="BC626" s="799"/>
      <c r="BD626" s="799"/>
      <c r="BE626" s="799"/>
      <c r="BF626" s="799"/>
      <c r="BG626" s="799"/>
    </row>
    <row r="627">
      <c r="H627" s="799"/>
      <c r="I627" s="799"/>
      <c r="J627" s="799"/>
      <c r="K627" s="799"/>
      <c r="L627" s="799"/>
      <c r="M627" s="799"/>
      <c r="N627" s="799"/>
      <c r="O627" s="799"/>
      <c r="P627" s="799"/>
      <c r="Q627" s="799"/>
      <c r="R627" s="799"/>
      <c r="S627" s="799"/>
      <c r="T627" s="799"/>
      <c r="U627" s="799"/>
      <c r="V627" s="799"/>
      <c r="W627" s="799"/>
      <c r="X627" s="799"/>
      <c r="Y627" s="799"/>
      <c r="Z627" s="799"/>
      <c r="AA627" s="799"/>
      <c r="AB627" s="799"/>
      <c r="AC627" s="799"/>
      <c r="AD627" s="799"/>
      <c r="AE627" s="799"/>
      <c r="AF627" s="799"/>
      <c r="AG627" s="799"/>
      <c r="AH627" s="799"/>
      <c r="AI627" s="799"/>
      <c r="AJ627" s="799"/>
      <c r="AK627" s="799"/>
      <c r="AL627" s="799"/>
      <c r="AM627" s="799"/>
      <c r="AN627" s="799"/>
      <c r="AO627" s="799"/>
      <c r="AP627" s="799"/>
      <c r="AQ627" s="799"/>
      <c r="AR627" s="799"/>
      <c r="AS627" s="799"/>
      <c r="AT627" s="799"/>
      <c r="AU627" s="799"/>
      <c r="AV627" s="799"/>
      <c r="AW627" s="799"/>
      <c r="AX627" s="799"/>
      <c r="AY627" s="799"/>
      <c r="AZ627" s="799"/>
      <c r="BA627" s="799"/>
      <c r="BB627" s="799"/>
      <c r="BC627" s="799"/>
      <c r="BD627" s="799"/>
      <c r="BE627" s="799"/>
      <c r="BF627" s="799"/>
      <c r="BG627" s="799"/>
    </row>
    <row r="628">
      <c r="H628" s="799"/>
      <c r="I628" s="799"/>
      <c r="J628" s="799"/>
      <c r="K628" s="799"/>
      <c r="L628" s="799"/>
      <c r="M628" s="799"/>
      <c r="N628" s="799"/>
      <c r="O628" s="799"/>
      <c r="P628" s="799"/>
      <c r="Q628" s="799"/>
      <c r="R628" s="799"/>
      <c r="S628" s="799"/>
      <c r="T628" s="799"/>
      <c r="U628" s="799"/>
      <c r="V628" s="799"/>
      <c r="W628" s="799"/>
      <c r="X628" s="799"/>
      <c r="Y628" s="799"/>
      <c r="Z628" s="799"/>
      <c r="AA628" s="799"/>
      <c r="AB628" s="799"/>
      <c r="AC628" s="799"/>
      <c r="AD628" s="799"/>
      <c r="AE628" s="799"/>
      <c r="AF628" s="799"/>
      <c r="AG628" s="799"/>
      <c r="AH628" s="799"/>
      <c r="AI628" s="799"/>
      <c r="AJ628" s="799"/>
      <c r="AK628" s="799"/>
      <c r="AL628" s="799"/>
      <c r="AM628" s="799"/>
      <c r="AN628" s="799"/>
      <c r="AO628" s="799"/>
      <c r="AP628" s="799"/>
      <c r="AQ628" s="799"/>
      <c r="AR628" s="799"/>
      <c r="AS628" s="799"/>
      <c r="AT628" s="799"/>
      <c r="AU628" s="799"/>
      <c r="AV628" s="799"/>
      <c r="AW628" s="799"/>
      <c r="AX628" s="799"/>
      <c r="AY628" s="799"/>
      <c r="AZ628" s="799"/>
      <c r="BA628" s="799"/>
      <c r="BB628" s="799"/>
      <c r="BC628" s="799"/>
      <c r="BD628" s="799"/>
      <c r="BE628" s="799"/>
      <c r="BF628" s="799"/>
      <c r="BG628" s="799"/>
    </row>
    <row r="629">
      <c r="H629" s="799"/>
      <c r="I629" s="799"/>
      <c r="J629" s="799"/>
      <c r="K629" s="799"/>
      <c r="L629" s="799"/>
      <c r="M629" s="799"/>
      <c r="N629" s="799"/>
      <c r="O629" s="799"/>
      <c r="P629" s="799"/>
      <c r="Q629" s="799"/>
      <c r="R629" s="799"/>
      <c r="S629" s="799"/>
      <c r="T629" s="799"/>
      <c r="U629" s="799"/>
      <c r="V629" s="799"/>
      <c r="W629" s="799"/>
      <c r="X629" s="799"/>
      <c r="Y629" s="799"/>
      <c r="Z629" s="799"/>
      <c r="AA629" s="799"/>
      <c r="AB629" s="799"/>
      <c r="AC629" s="799"/>
      <c r="AD629" s="799"/>
      <c r="AE629" s="799"/>
      <c r="AF629" s="799"/>
      <c r="AG629" s="799"/>
      <c r="AH629" s="799"/>
      <c r="AI629" s="799"/>
      <c r="AJ629" s="799"/>
      <c r="AK629" s="799"/>
      <c r="AL629" s="799"/>
      <c r="AM629" s="799"/>
      <c r="AN629" s="799"/>
      <c r="AO629" s="799"/>
      <c r="AP629" s="799"/>
      <c r="AQ629" s="799"/>
      <c r="AR629" s="799"/>
      <c r="AS629" s="799"/>
      <c r="AT629" s="799"/>
      <c r="AU629" s="799"/>
      <c r="AV629" s="799"/>
      <c r="AW629" s="799"/>
      <c r="AX629" s="799"/>
      <c r="AY629" s="799"/>
      <c r="AZ629" s="799"/>
      <c r="BA629" s="799"/>
      <c r="BB629" s="799"/>
      <c r="BC629" s="799"/>
      <c r="BD629" s="799"/>
      <c r="BE629" s="799"/>
      <c r="BF629" s="799"/>
      <c r="BG629" s="799"/>
    </row>
    <row r="630">
      <c r="H630" s="799"/>
      <c r="I630" s="799"/>
      <c r="J630" s="799"/>
      <c r="K630" s="799"/>
      <c r="L630" s="799"/>
      <c r="M630" s="799"/>
      <c r="N630" s="799"/>
      <c r="O630" s="799"/>
      <c r="P630" s="799"/>
      <c r="Q630" s="799"/>
      <c r="R630" s="799"/>
      <c r="S630" s="799"/>
      <c r="T630" s="799"/>
      <c r="U630" s="799"/>
      <c r="V630" s="799"/>
      <c r="W630" s="799"/>
      <c r="X630" s="799"/>
      <c r="Y630" s="799"/>
      <c r="Z630" s="799"/>
      <c r="AA630" s="799"/>
      <c r="AB630" s="799"/>
      <c r="AC630" s="799"/>
      <c r="AD630" s="799"/>
      <c r="AE630" s="799"/>
      <c r="AF630" s="799"/>
      <c r="AG630" s="799"/>
      <c r="AH630" s="799"/>
      <c r="AI630" s="799"/>
      <c r="AJ630" s="799"/>
      <c r="AK630" s="799"/>
      <c r="AL630" s="799"/>
      <c r="AM630" s="799"/>
      <c r="AN630" s="799"/>
      <c r="AO630" s="799"/>
      <c r="AP630" s="799"/>
      <c r="AQ630" s="799"/>
      <c r="AR630" s="799"/>
      <c r="AS630" s="799"/>
      <c r="AT630" s="799"/>
      <c r="AU630" s="799"/>
      <c r="AV630" s="799"/>
      <c r="AW630" s="799"/>
      <c r="AX630" s="799"/>
      <c r="AY630" s="799"/>
      <c r="AZ630" s="799"/>
      <c r="BA630" s="799"/>
      <c r="BB630" s="799"/>
      <c r="BC630" s="799"/>
      <c r="BD630" s="799"/>
      <c r="BE630" s="799"/>
      <c r="BF630" s="799"/>
      <c r="BG630" s="799"/>
    </row>
    <row r="631">
      <c r="H631" s="799"/>
      <c r="I631" s="799"/>
      <c r="J631" s="799"/>
      <c r="K631" s="799"/>
      <c r="L631" s="799"/>
      <c r="M631" s="799"/>
      <c r="N631" s="799"/>
      <c r="O631" s="799"/>
      <c r="P631" s="799"/>
      <c r="Q631" s="799"/>
      <c r="R631" s="799"/>
      <c r="S631" s="799"/>
      <c r="T631" s="799"/>
      <c r="U631" s="799"/>
      <c r="V631" s="799"/>
      <c r="W631" s="799"/>
      <c r="X631" s="799"/>
      <c r="Y631" s="799"/>
      <c r="Z631" s="799"/>
      <c r="AA631" s="799"/>
      <c r="AB631" s="799"/>
      <c r="AC631" s="799"/>
      <c r="AD631" s="799"/>
      <c r="AE631" s="799"/>
      <c r="AF631" s="799"/>
      <c r="AG631" s="799"/>
      <c r="AH631" s="799"/>
      <c r="AI631" s="799"/>
      <c r="AJ631" s="799"/>
      <c r="AK631" s="799"/>
      <c r="AL631" s="799"/>
      <c r="AM631" s="799"/>
      <c r="AN631" s="799"/>
      <c r="AO631" s="799"/>
      <c r="AP631" s="799"/>
      <c r="AQ631" s="799"/>
      <c r="AR631" s="799"/>
      <c r="AS631" s="799"/>
      <c r="AT631" s="799"/>
      <c r="AU631" s="799"/>
      <c r="AV631" s="799"/>
      <c r="AW631" s="799"/>
      <c r="AX631" s="799"/>
      <c r="AY631" s="799"/>
      <c r="AZ631" s="799"/>
      <c r="BA631" s="799"/>
      <c r="BB631" s="799"/>
      <c r="BC631" s="799"/>
      <c r="BD631" s="799"/>
      <c r="BE631" s="799"/>
      <c r="BF631" s="799"/>
      <c r="BG631" s="799"/>
    </row>
    <row r="632">
      <c r="H632" s="799"/>
      <c r="I632" s="799"/>
      <c r="J632" s="799"/>
      <c r="K632" s="799"/>
      <c r="L632" s="799"/>
      <c r="M632" s="799"/>
      <c r="N632" s="799"/>
      <c r="O632" s="799"/>
      <c r="P632" s="799"/>
      <c r="Q632" s="799"/>
      <c r="R632" s="799"/>
      <c r="S632" s="799"/>
      <c r="T632" s="799"/>
      <c r="U632" s="799"/>
      <c r="V632" s="799"/>
      <c r="W632" s="799"/>
      <c r="X632" s="799"/>
      <c r="Y632" s="799"/>
      <c r="Z632" s="799"/>
      <c r="AA632" s="799"/>
      <c r="AB632" s="799"/>
      <c r="AC632" s="799"/>
      <c r="AD632" s="799"/>
      <c r="AE632" s="799"/>
      <c r="AF632" s="799"/>
      <c r="AG632" s="799"/>
      <c r="AH632" s="799"/>
      <c r="AI632" s="799"/>
      <c r="AJ632" s="799"/>
      <c r="AK632" s="799"/>
      <c r="AL632" s="799"/>
      <c r="AM632" s="799"/>
      <c r="AN632" s="799"/>
      <c r="AO632" s="799"/>
      <c r="AP632" s="799"/>
      <c r="AQ632" s="799"/>
      <c r="AR632" s="799"/>
      <c r="AS632" s="799"/>
      <c r="AT632" s="799"/>
      <c r="AU632" s="799"/>
      <c r="AV632" s="799"/>
      <c r="AW632" s="799"/>
      <c r="AX632" s="799"/>
      <c r="AY632" s="799"/>
      <c r="AZ632" s="799"/>
      <c r="BA632" s="799"/>
      <c r="BB632" s="799"/>
      <c r="BC632" s="799"/>
      <c r="BD632" s="799"/>
      <c r="BE632" s="799"/>
      <c r="BF632" s="799"/>
      <c r="BG632" s="799"/>
    </row>
    <row r="633">
      <c r="H633" s="799"/>
      <c r="I633" s="799"/>
      <c r="J633" s="799"/>
      <c r="K633" s="799"/>
      <c r="L633" s="799"/>
      <c r="M633" s="799"/>
      <c r="N633" s="799"/>
      <c r="O633" s="799"/>
      <c r="P633" s="799"/>
      <c r="Q633" s="799"/>
      <c r="R633" s="799"/>
      <c r="S633" s="799"/>
      <c r="T633" s="799"/>
      <c r="U633" s="799"/>
      <c r="V633" s="799"/>
      <c r="W633" s="799"/>
      <c r="X633" s="799"/>
      <c r="Y633" s="799"/>
      <c r="Z633" s="799"/>
      <c r="AA633" s="799"/>
      <c r="AB633" s="799"/>
      <c r="AC633" s="799"/>
      <c r="AD633" s="799"/>
      <c r="AE633" s="799"/>
      <c r="AF633" s="799"/>
      <c r="AG633" s="799"/>
      <c r="AH633" s="799"/>
      <c r="AI633" s="799"/>
      <c r="AJ633" s="799"/>
      <c r="AK633" s="799"/>
      <c r="AL633" s="799"/>
      <c r="AM633" s="799"/>
      <c r="AN633" s="799"/>
      <c r="AO633" s="799"/>
      <c r="AP633" s="799"/>
      <c r="AQ633" s="799"/>
      <c r="AR633" s="799"/>
      <c r="AS633" s="799"/>
      <c r="AT633" s="799"/>
      <c r="AU633" s="799"/>
      <c r="AV633" s="799"/>
      <c r="AW633" s="799"/>
      <c r="AX633" s="799"/>
      <c r="AY633" s="799"/>
      <c r="AZ633" s="799"/>
      <c r="BA633" s="799"/>
      <c r="BB633" s="799"/>
      <c r="BC633" s="799"/>
      <c r="BD633" s="799"/>
      <c r="BE633" s="799"/>
      <c r="BF633" s="799"/>
      <c r="BG633" s="799"/>
    </row>
    <row r="634">
      <c r="H634" s="799"/>
      <c r="I634" s="799"/>
      <c r="J634" s="799"/>
      <c r="K634" s="799"/>
      <c r="L634" s="799"/>
      <c r="M634" s="799"/>
      <c r="N634" s="799"/>
      <c r="O634" s="799"/>
      <c r="P634" s="799"/>
      <c r="Q634" s="799"/>
      <c r="R634" s="799"/>
      <c r="S634" s="799"/>
      <c r="T634" s="799"/>
      <c r="U634" s="799"/>
      <c r="V634" s="799"/>
      <c r="W634" s="799"/>
      <c r="X634" s="799"/>
      <c r="Y634" s="799"/>
      <c r="Z634" s="799"/>
      <c r="AA634" s="799"/>
      <c r="AB634" s="799"/>
      <c r="AC634" s="799"/>
      <c r="AD634" s="799"/>
      <c r="AE634" s="799"/>
      <c r="AF634" s="799"/>
      <c r="AG634" s="799"/>
      <c r="AH634" s="799"/>
      <c r="AI634" s="799"/>
      <c r="AJ634" s="799"/>
      <c r="AK634" s="799"/>
      <c r="AL634" s="799"/>
      <c r="AM634" s="799"/>
      <c r="AN634" s="799"/>
      <c r="AO634" s="799"/>
      <c r="AP634" s="799"/>
      <c r="AQ634" s="799"/>
      <c r="AR634" s="799"/>
      <c r="AS634" s="799"/>
      <c r="AT634" s="799"/>
      <c r="AU634" s="799"/>
      <c r="AV634" s="799"/>
      <c r="AW634" s="799"/>
      <c r="AX634" s="799"/>
      <c r="AY634" s="799"/>
      <c r="AZ634" s="799"/>
      <c r="BA634" s="799"/>
      <c r="BB634" s="799"/>
      <c r="BC634" s="799"/>
      <c r="BD634" s="799"/>
      <c r="BE634" s="799"/>
      <c r="BF634" s="799"/>
      <c r="BG634" s="799"/>
    </row>
    <row r="635">
      <c r="H635" s="799"/>
      <c r="I635" s="799"/>
      <c r="J635" s="799"/>
      <c r="K635" s="799"/>
      <c r="L635" s="799"/>
      <c r="M635" s="799"/>
      <c r="N635" s="799"/>
      <c r="O635" s="799"/>
      <c r="P635" s="799"/>
      <c r="Q635" s="799"/>
      <c r="R635" s="799"/>
      <c r="S635" s="799"/>
      <c r="T635" s="799"/>
      <c r="U635" s="799"/>
      <c r="V635" s="799"/>
      <c r="W635" s="799"/>
      <c r="X635" s="799"/>
      <c r="Y635" s="799"/>
      <c r="Z635" s="799"/>
      <c r="AA635" s="799"/>
      <c r="AB635" s="799"/>
      <c r="AC635" s="799"/>
      <c r="AD635" s="799"/>
      <c r="AE635" s="799"/>
      <c r="AF635" s="799"/>
      <c r="AG635" s="799"/>
      <c r="AH635" s="799"/>
      <c r="AI635" s="799"/>
      <c r="AJ635" s="799"/>
      <c r="AK635" s="799"/>
      <c r="AL635" s="799"/>
      <c r="AM635" s="799"/>
      <c r="AN635" s="799"/>
      <c r="AO635" s="799"/>
      <c r="AP635" s="799"/>
      <c r="AQ635" s="799"/>
      <c r="AR635" s="799"/>
      <c r="AS635" s="799"/>
      <c r="AT635" s="799"/>
      <c r="AU635" s="799"/>
      <c r="AV635" s="799"/>
      <c r="AW635" s="799"/>
      <c r="AX635" s="799"/>
      <c r="AY635" s="799"/>
      <c r="AZ635" s="799"/>
      <c r="BA635" s="799"/>
      <c r="BB635" s="799"/>
      <c r="BC635" s="799"/>
      <c r="BD635" s="799"/>
      <c r="BE635" s="799"/>
      <c r="BF635" s="799"/>
      <c r="BG635" s="799"/>
    </row>
    <row r="636">
      <c r="H636" s="799"/>
      <c r="I636" s="799"/>
      <c r="J636" s="799"/>
      <c r="K636" s="799"/>
      <c r="L636" s="799"/>
      <c r="M636" s="799"/>
      <c r="N636" s="799"/>
      <c r="O636" s="799"/>
      <c r="P636" s="799"/>
      <c r="Q636" s="799"/>
      <c r="R636" s="799"/>
      <c r="S636" s="799"/>
      <c r="T636" s="799"/>
      <c r="U636" s="799"/>
      <c r="V636" s="799"/>
      <c r="W636" s="799"/>
      <c r="X636" s="799"/>
      <c r="Y636" s="799"/>
      <c r="Z636" s="799"/>
      <c r="AA636" s="799"/>
      <c r="AB636" s="799"/>
      <c r="AC636" s="799"/>
      <c r="AD636" s="799"/>
      <c r="AE636" s="799"/>
      <c r="AF636" s="799"/>
      <c r="AG636" s="799"/>
      <c r="AH636" s="799"/>
      <c r="AI636" s="799"/>
      <c r="AJ636" s="799"/>
      <c r="AK636" s="799"/>
      <c r="AL636" s="799"/>
      <c r="AM636" s="799"/>
      <c r="AN636" s="799"/>
      <c r="AO636" s="799"/>
      <c r="AP636" s="799"/>
      <c r="AQ636" s="799"/>
      <c r="AR636" s="799"/>
      <c r="AS636" s="799"/>
      <c r="AT636" s="799"/>
      <c r="AU636" s="799"/>
      <c r="AV636" s="799"/>
      <c r="AW636" s="799"/>
      <c r="AX636" s="799"/>
      <c r="AY636" s="799"/>
      <c r="AZ636" s="799"/>
      <c r="BA636" s="799"/>
      <c r="BB636" s="799"/>
      <c r="BC636" s="799"/>
      <c r="BD636" s="799"/>
      <c r="BE636" s="799"/>
      <c r="BF636" s="799"/>
      <c r="BG636" s="799"/>
    </row>
    <row r="637">
      <c r="H637" s="799"/>
      <c r="I637" s="799"/>
      <c r="J637" s="799"/>
      <c r="K637" s="799"/>
      <c r="L637" s="799"/>
      <c r="M637" s="799"/>
      <c r="N637" s="799"/>
      <c r="O637" s="799"/>
      <c r="P637" s="799"/>
      <c r="Q637" s="799"/>
      <c r="R637" s="799"/>
      <c r="S637" s="799"/>
      <c r="T637" s="799"/>
      <c r="U637" s="799"/>
      <c r="V637" s="799"/>
      <c r="W637" s="799"/>
      <c r="X637" s="799"/>
      <c r="Y637" s="799"/>
      <c r="Z637" s="799"/>
      <c r="AA637" s="799"/>
      <c r="AB637" s="799"/>
      <c r="AC637" s="799"/>
      <c r="AD637" s="799"/>
      <c r="AE637" s="799"/>
      <c r="AF637" s="799"/>
      <c r="AG637" s="799"/>
      <c r="AH637" s="799"/>
      <c r="AI637" s="799"/>
      <c r="AJ637" s="799"/>
      <c r="AK637" s="799"/>
      <c r="AL637" s="799"/>
      <c r="AM637" s="799"/>
      <c r="AN637" s="799"/>
      <c r="AO637" s="799"/>
      <c r="AP637" s="799"/>
      <c r="AQ637" s="799"/>
      <c r="AR637" s="799"/>
      <c r="AS637" s="799"/>
      <c r="AT637" s="799"/>
      <c r="AU637" s="799"/>
      <c r="AV637" s="799"/>
      <c r="AW637" s="799"/>
      <c r="AX637" s="799"/>
      <c r="AY637" s="799"/>
      <c r="AZ637" s="799"/>
      <c r="BA637" s="799"/>
      <c r="BB637" s="799"/>
      <c r="BC637" s="799"/>
      <c r="BD637" s="799"/>
      <c r="BE637" s="799"/>
      <c r="BF637" s="799"/>
      <c r="BG637" s="799"/>
    </row>
    <row r="638">
      <c r="H638" s="799"/>
      <c r="I638" s="799"/>
      <c r="J638" s="799"/>
      <c r="K638" s="799"/>
      <c r="L638" s="799"/>
      <c r="M638" s="799"/>
      <c r="N638" s="799"/>
      <c r="O638" s="799"/>
      <c r="P638" s="799"/>
      <c r="Q638" s="799"/>
      <c r="R638" s="799"/>
      <c r="S638" s="799"/>
      <c r="T638" s="799"/>
      <c r="U638" s="799"/>
      <c r="V638" s="799"/>
      <c r="W638" s="799"/>
      <c r="X638" s="799"/>
      <c r="Y638" s="799"/>
      <c r="Z638" s="799"/>
      <c r="AA638" s="799"/>
      <c r="AB638" s="799"/>
      <c r="AC638" s="799"/>
      <c r="AD638" s="799"/>
      <c r="AE638" s="799"/>
      <c r="AF638" s="799"/>
      <c r="AG638" s="799"/>
      <c r="AH638" s="799"/>
      <c r="AI638" s="799"/>
      <c r="AJ638" s="799"/>
      <c r="AK638" s="799"/>
      <c r="AL638" s="799"/>
      <c r="AM638" s="799"/>
      <c r="AN638" s="799"/>
      <c r="AO638" s="799"/>
      <c r="AP638" s="799"/>
      <c r="AQ638" s="799"/>
      <c r="AR638" s="799"/>
      <c r="AS638" s="799"/>
      <c r="AT638" s="799"/>
      <c r="AU638" s="799"/>
      <c r="AV638" s="799"/>
      <c r="AW638" s="799"/>
      <c r="AX638" s="799"/>
      <c r="AY638" s="799"/>
      <c r="AZ638" s="799"/>
      <c r="BA638" s="799"/>
      <c r="BB638" s="799"/>
      <c r="BC638" s="799"/>
      <c r="BD638" s="799"/>
      <c r="BE638" s="799"/>
      <c r="BF638" s="799"/>
      <c r="BG638" s="799"/>
    </row>
    <row r="639">
      <c r="H639" s="799"/>
      <c r="I639" s="799"/>
      <c r="J639" s="799"/>
      <c r="K639" s="799"/>
      <c r="L639" s="799"/>
      <c r="M639" s="799"/>
      <c r="N639" s="799"/>
      <c r="O639" s="799"/>
      <c r="P639" s="799"/>
      <c r="Q639" s="799"/>
      <c r="R639" s="799"/>
      <c r="S639" s="799"/>
      <c r="T639" s="799"/>
      <c r="U639" s="799"/>
      <c r="V639" s="799"/>
      <c r="W639" s="799"/>
      <c r="X639" s="799"/>
      <c r="Y639" s="799"/>
      <c r="Z639" s="799"/>
      <c r="AA639" s="799"/>
      <c r="AB639" s="799"/>
      <c r="AC639" s="799"/>
      <c r="AD639" s="799"/>
      <c r="AE639" s="799"/>
      <c r="AF639" s="799"/>
      <c r="AG639" s="799"/>
      <c r="AH639" s="799"/>
      <c r="AI639" s="799"/>
      <c r="AJ639" s="799"/>
      <c r="AK639" s="799"/>
      <c r="AL639" s="799"/>
      <c r="AM639" s="799"/>
      <c r="AN639" s="799"/>
      <c r="AO639" s="799"/>
      <c r="AP639" s="799"/>
      <c r="AQ639" s="799"/>
      <c r="AR639" s="799"/>
      <c r="AS639" s="799"/>
      <c r="AT639" s="799"/>
      <c r="AU639" s="799"/>
      <c r="AV639" s="799"/>
      <c r="AW639" s="799"/>
      <c r="AX639" s="799"/>
      <c r="AY639" s="799"/>
      <c r="AZ639" s="799"/>
      <c r="BA639" s="799"/>
      <c r="BB639" s="799"/>
      <c r="BC639" s="799"/>
      <c r="BD639" s="799"/>
      <c r="BE639" s="799"/>
      <c r="BF639" s="799"/>
      <c r="BG639" s="799"/>
    </row>
    <row r="640">
      <c r="H640" s="799"/>
      <c r="I640" s="799"/>
      <c r="J640" s="799"/>
      <c r="K640" s="799"/>
      <c r="L640" s="799"/>
      <c r="M640" s="799"/>
      <c r="N640" s="799"/>
      <c r="O640" s="799"/>
      <c r="P640" s="799"/>
      <c r="Q640" s="799"/>
      <c r="R640" s="799"/>
      <c r="S640" s="799"/>
      <c r="T640" s="799"/>
      <c r="U640" s="799"/>
      <c r="V640" s="799"/>
      <c r="W640" s="799"/>
      <c r="X640" s="799"/>
      <c r="Y640" s="799"/>
      <c r="Z640" s="799"/>
      <c r="AA640" s="799"/>
      <c r="AB640" s="799"/>
      <c r="AC640" s="799"/>
      <c r="AD640" s="799"/>
      <c r="AE640" s="799"/>
      <c r="AF640" s="799"/>
      <c r="AG640" s="799"/>
      <c r="AH640" s="799"/>
      <c r="AI640" s="799"/>
      <c r="AJ640" s="799"/>
      <c r="AK640" s="799"/>
      <c r="AL640" s="799"/>
      <c r="AM640" s="799"/>
      <c r="AN640" s="799"/>
      <c r="AO640" s="799"/>
      <c r="AP640" s="799"/>
      <c r="AQ640" s="799"/>
      <c r="AR640" s="799"/>
      <c r="AS640" s="799"/>
      <c r="AT640" s="799"/>
      <c r="AU640" s="799"/>
      <c r="AV640" s="799"/>
      <c r="AW640" s="799"/>
      <c r="AX640" s="799"/>
      <c r="AY640" s="799"/>
      <c r="AZ640" s="799"/>
      <c r="BA640" s="799"/>
      <c r="BB640" s="799"/>
      <c r="BC640" s="799"/>
      <c r="BD640" s="799"/>
      <c r="BE640" s="799"/>
      <c r="BF640" s="799"/>
      <c r="BG640" s="799"/>
    </row>
    <row r="641">
      <c r="H641" s="799"/>
      <c r="I641" s="799"/>
      <c r="J641" s="799"/>
      <c r="K641" s="799"/>
      <c r="L641" s="799"/>
      <c r="M641" s="799"/>
      <c r="N641" s="799"/>
      <c r="O641" s="799"/>
      <c r="P641" s="799"/>
      <c r="Q641" s="799"/>
      <c r="R641" s="799"/>
      <c r="S641" s="799"/>
      <c r="T641" s="799"/>
      <c r="U641" s="799"/>
      <c r="V641" s="799"/>
      <c r="W641" s="799"/>
      <c r="X641" s="799"/>
      <c r="Y641" s="799"/>
      <c r="Z641" s="799"/>
      <c r="AA641" s="799"/>
      <c r="AB641" s="799"/>
      <c r="AC641" s="799"/>
      <c r="AD641" s="799"/>
      <c r="AE641" s="799"/>
      <c r="AF641" s="799"/>
      <c r="AG641" s="799"/>
      <c r="AH641" s="799"/>
      <c r="AI641" s="799"/>
      <c r="AJ641" s="799"/>
      <c r="AK641" s="799"/>
      <c r="AL641" s="799"/>
      <c r="AM641" s="799"/>
      <c r="AN641" s="799"/>
      <c r="AO641" s="799"/>
      <c r="AP641" s="799"/>
      <c r="AQ641" s="799"/>
      <c r="AR641" s="799"/>
      <c r="AS641" s="799"/>
      <c r="AT641" s="799"/>
      <c r="AU641" s="799"/>
      <c r="AV641" s="799"/>
      <c r="AW641" s="799"/>
      <c r="AX641" s="799"/>
      <c r="AY641" s="799"/>
      <c r="AZ641" s="799"/>
      <c r="BA641" s="799"/>
      <c r="BB641" s="799"/>
      <c r="BC641" s="799"/>
      <c r="BD641" s="799"/>
      <c r="BE641" s="799"/>
      <c r="BF641" s="799"/>
      <c r="BG641" s="799"/>
    </row>
    <row r="642">
      <c r="H642" s="799"/>
      <c r="I642" s="799"/>
      <c r="J642" s="799"/>
      <c r="K642" s="799"/>
      <c r="L642" s="799"/>
      <c r="M642" s="799"/>
      <c r="N642" s="799"/>
      <c r="O642" s="799"/>
      <c r="P642" s="799"/>
      <c r="Q642" s="799"/>
      <c r="R642" s="799"/>
      <c r="S642" s="799"/>
      <c r="T642" s="799"/>
      <c r="U642" s="799"/>
      <c r="V642" s="799"/>
      <c r="W642" s="799"/>
      <c r="X642" s="799"/>
      <c r="Y642" s="799"/>
      <c r="Z642" s="799"/>
      <c r="AA642" s="799"/>
      <c r="AB642" s="799"/>
      <c r="AC642" s="799"/>
      <c r="AD642" s="799"/>
      <c r="AE642" s="799"/>
      <c r="AF642" s="799"/>
      <c r="AG642" s="799"/>
      <c r="AH642" s="799"/>
      <c r="AI642" s="799"/>
      <c r="AJ642" s="799"/>
      <c r="AK642" s="799"/>
      <c r="AL642" s="799"/>
      <c r="AM642" s="799"/>
      <c r="AN642" s="799"/>
      <c r="AO642" s="799"/>
      <c r="AP642" s="799"/>
      <c r="AQ642" s="799"/>
      <c r="AR642" s="799"/>
      <c r="AS642" s="799"/>
      <c r="AT642" s="799"/>
      <c r="AU642" s="799"/>
      <c r="AV642" s="799"/>
      <c r="AW642" s="799"/>
      <c r="AX642" s="799"/>
      <c r="AY642" s="799"/>
      <c r="AZ642" s="799"/>
      <c r="BA642" s="799"/>
      <c r="BB642" s="799"/>
      <c r="BC642" s="799"/>
      <c r="BD642" s="799"/>
      <c r="BE642" s="799"/>
      <c r="BF642" s="799"/>
      <c r="BG642" s="799"/>
    </row>
    <row r="643">
      <c r="H643" s="799"/>
      <c r="I643" s="799"/>
      <c r="J643" s="799"/>
      <c r="K643" s="799"/>
      <c r="L643" s="799"/>
      <c r="M643" s="799"/>
      <c r="N643" s="799"/>
      <c r="O643" s="799"/>
      <c r="P643" s="799"/>
      <c r="Q643" s="799"/>
      <c r="R643" s="799"/>
      <c r="S643" s="799"/>
      <c r="T643" s="799"/>
      <c r="U643" s="799"/>
      <c r="V643" s="799"/>
      <c r="W643" s="799"/>
      <c r="X643" s="799"/>
      <c r="Y643" s="799"/>
      <c r="Z643" s="799"/>
      <c r="AA643" s="799"/>
      <c r="AB643" s="799"/>
      <c r="AC643" s="799"/>
      <c r="AD643" s="799"/>
      <c r="AE643" s="799"/>
      <c r="AF643" s="799"/>
      <c r="AG643" s="799"/>
      <c r="AH643" s="799"/>
      <c r="AI643" s="799"/>
      <c r="AJ643" s="799"/>
      <c r="AK643" s="799"/>
      <c r="AL643" s="799"/>
      <c r="AM643" s="799"/>
      <c r="AN643" s="799"/>
      <c r="AO643" s="799"/>
      <c r="AP643" s="799"/>
      <c r="AQ643" s="799"/>
      <c r="AR643" s="799"/>
      <c r="AS643" s="799"/>
      <c r="AT643" s="799"/>
      <c r="AU643" s="799"/>
      <c r="AV643" s="799"/>
      <c r="AW643" s="799"/>
      <c r="AX643" s="799"/>
      <c r="AY643" s="799"/>
      <c r="AZ643" s="799"/>
      <c r="BA643" s="799"/>
      <c r="BB643" s="799"/>
      <c r="BC643" s="799"/>
      <c r="BD643" s="799"/>
      <c r="BE643" s="799"/>
      <c r="BF643" s="799"/>
      <c r="BG643" s="799"/>
    </row>
    <row r="644">
      <c r="H644" s="799"/>
      <c r="I644" s="799"/>
      <c r="J644" s="799"/>
      <c r="K644" s="799"/>
      <c r="L644" s="799"/>
      <c r="M644" s="799"/>
      <c r="N644" s="799"/>
      <c r="O644" s="799"/>
      <c r="P644" s="799"/>
      <c r="Q644" s="799"/>
      <c r="R644" s="799"/>
      <c r="S644" s="799"/>
      <c r="T644" s="799"/>
      <c r="U644" s="799"/>
      <c r="V644" s="799"/>
      <c r="W644" s="799"/>
      <c r="X644" s="799"/>
      <c r="Y644" s="799"/>
      <c r="Z644" s="799"/>
      <c r="AA644" s="799"/>
      <c r="AB644" s="799"/>
      <c r="AC644" s="799"/>
      <c r="AD644" s="799"/>
      <c r="AE644" s="799"/>
      <c r="AF644" s="799"/>
      <c r="AG644" s="799"/>
      <c r="AH644" s="799"/>
      <c r="AI644" s="799"/>
      <c r="AJ644" s="799"/>
      <c r="AK644" s="799"/>
      <c r="AL644" s="799"/>
      <c r="AM644" s="799"/>
      <c r="AN644" s="799"/>
      <c r="AO644" s="799"/>
      <c r="AP644" s="799"/>
      <c r="AQ644" s="799"/>
      <c r="AR644" s="799"/>
      <c r="AS644" s="799"/>
      <c r="AT644" s="799"/>
      <c r="AU644" s="799"/>
      <c r="AV644" s="799"/>
      <c r="AW644" s="799"/>
      <c r="AX644" s="799"/>
      <c r="AY644" s="799"/>
      <c r="AZ644" s="799"/>
      <c r="BA644" s="799"/>
      <c r="BB644" s="799"/>
      <c r="BC644" s="799"/>
      <c r="BD644" s="799"/>
      <c r="BE644" s="799"/>
      <c r="BF644" s="799"/>
      <c r="BG644" s="799"/>
    </row>
    <row r="645">
      <c r="H645" s="799"/>
      <c r="I645" s="799"/>
      <c r="J645" s="799"/>
      <c r="K645" s="799"/>
      <c r="L645" s="799"/>
      <c r="M645" s="799"/>
      <c r="N645" s="799"/>
      <c r="O645" s="799"/>
      <c r="P645" s="799"/>
      <c r="Q645" s="799"/>
      <c r="R645" s="799"/>
      <c r="S645" s="799"/>
      <c r="T645" s="799"/>
      <c r="U645" s="799"/>
      <c r="V645" s="799"/>
      <c r="W645" s="799"/>
      <c r="X645" s="799"/>
      <c r="Y645" s="799"/>
      <c r="Z645" s="799"/>
      <c r="AA645" s="799"/>
      <c r="AB645" s="799"/>
      <c r="AC645" s="799"/>
      <c r="AD645" s="799"/>
      <c r="AE645" s="799"/>
      <c r="AF645" s="799"/>
      <c r="AG645" s="799"/>
      <c r="AH645" s="799"/>
      <c r="AI645" s="799"/>
      <c r="AJ645" s="799"/>
      <c r="AK645" s="799"/>
      <c r="AL645" s="799"/>
      <c r="AM645" s="799"/>
      <c r="AN645" s="799"/>
      <c r="AO645" s="799"/>
      <c r="AP645" s="799"/>
      <c r="AQ645" s="799"/>
      <c r="AR645" s="799"/>
      <c r="AS645" s="799"/>
      <c r="AT645" s="799"/>
      <c r="AU645" s="799"/>
      <c r="AV645" s="799"/>
      <c r="AW645" s="799"/>
      <c r="AX645" s="799"/>
      <c r="AY645" s="799"/>
      <c r="AZ645" s="799"/>
      <c r="BA645" s="799"/>
      <c r="BB645" s="799"/>
      <c r="BC645" s="799"/>
      <c r="BD645" s="799"/>
      <c r="BE645" s="799"/>
      <c r="BF645" s="799"/>
      <c r="BG645" s="799"/>
    </row>
    <row r="646">
      <c r="H646" s="799"/>
      <c r="I646" s="799"/>
      <c r="J646" s="799"/>
      <c r="K646" s="799"/>
      <c r="L646" s="799"/>
      <c r="M646" s="799"/>
      <c r="N646" s="799"/>
      <c r="O646" s="799"/>
      <c r="P646" s="799"/>
      <c r="Q646" s="799"/>
      <c r="R646" s="799"/>
      <c r="S646" s="799"/>
      <c r="T646" s="799"/>
      <c r="U646" s="799"/>
      <c r="V646" s="799"/>
      <c r="W646" s="799"/>
      <c r="X646" s="799"/>
      <c r="Y646" s="799"/>
      <c r="Z646" s="799"/>
      <c r="AA646" s="799"/>
      <c r="AB646" s="799"/>
      <c r="AC646" s="799"/>
      <c r="AD646" s="799"/>
      <c r="AE646" s="799"/>
      <c r="AF646" s="799"/>
      <c r="AG646" s="799"/>
      <c r="AH646" s="799"/>
      <c r="AI646" s="799"/>
      <c r="AJ646" s="799"/>
      <c r="AK646" s="799"/>
      <c r="AL646" s="799"/>
      <c r="AM646" s="799"/>
      <c r="AN646" s="799"/>
      <c r="AO646" s="799"/>
      <c r="AP646" s="799"/>
      <c r="AQ646" s="799"/>
      <c r="AR646" s="799"/>
      <c r="AS646" s="799"/>
      <c r="AT646" s="799"/>
      <c r="AU646" s="799"/>
      <c r="AV646" s="799"/>
      <c r="AW646" s="799"/>
      <c r="AX646" s="799"/>
      <c r="AY646" s="799"/>
      <c r="AZ646" s="799"/>
      <c r="BA646" s="799"/>
      <c r="BB646" s="799"/>
      <c r="BC646" s="799"/>
      <c r="BD646" s="799"/>
      <c r="BE646" s="799"/>
      <c r="BF646" s="799"/>
      <c r="BG646" s="799"/>
    </row>
    <row r="647">
      <c r="H647" s="799"/>
      <c r="I647" s="799"/>
      <c r="J647" s="799"/>
      <c r="K647" s="799"/>
      <c r="L647" s="799"/>
      <c r="M647" s="799"/>
      <c r="N647" s="799"/>
      <c r="O647" s="799"/>
      <c r="P647" s="799"/>
      <c r="Q647" s="799"/>
      <c r="R647" s="799"/>
      <c r="S647" s="799"/>
      <c r="T647" s="799"/>
      <c r="U647" s="799"/>
      <c r="V647" s="799"/>
      <c r="W647" s="799"/>
      <c r="X647" s="799"/>
      <c r="Y647" s="799"/>
      <c r="Z647" s="799"/>
      <c r="AA647" s="799"/>
      <c r="AB647" s="799"/>
      <c r="AC647" s="799"/>
      <c r="AD647" s="799"/>
      <c r="AE647" s="799"/>
      <c r="AF647" s="799"/>
      <c r="AG647" s="799"/>
      <c r="AH647" s="799"/>
      <c r="AI647" s="799"/>
      <c r="AJ647" s="799"/>
      <c r="AK647" s="799"/>
      <c r="AL647" s="799"/>
      <c r="AM647" s="799"/>
      <c r="AN647" s="799"/>
      <c r="AO647" s="799"/>
      <c r="AP647" s="799"/>
      <c r="AQ647" s="799"/>
      <c r="AR647" s="799"/>
      <c r="AS647" s="799"/>
      <c r="AT647" s="799"/>
      <c r="AU647" s="799"/>
      <c r="AV647" s="799"/>
      <c r="AW647" s="799"/>
      <c r="AX647" s="799"/>
      <c r="AY647" s="799"/>
      <c r="AZ647" s="799"/>
      <c r="BA647" s="799"/>
      <c r="BB647" s="799"/>
      <c r="BC647" s="799"/>
      <c r="BD647" s="799"/>
      <c r="BE647" s="799"/>
      <c r="BF647" s="799"/>
      <c r="BG647" s="799"/>
    </row>
    <row r="648">
      <c r="H648" s="799"/>
      <c r="I648" s="799"/>
      <c r="J648" s="799"/>
      <c r="K648" s="799"/>
      <c r="L648" s="799"/>
      <c r="M648" s="799"/>
      <c r="N648" s="799"/>
      <c r="O648" s="799"/>
      <c r="P648" s="799"/>
      <c r="Q648" s="799"/>
      <c r="R648" s="799"/>
      <c r="S648" s="799"/>
      <c r="T648" s="799"/>
      <c r="U648" s="799"/>
      <c r="V648" s="799"/>
      <c r="W648" s="799"/>
      <c r="X648" s="799"/>
      <c r="Y648" s="799"/>
      <c r="Z648" s="799"/>
      <c r="AA648" s="799"/>
      <c r="AB648" s="799"/>
      <c r="AC648" s="799"/>
      <c r="AD648" s="799"/>
      <c r="AE648" s="799"/>
      <c r="AF648" s="799"/>
      <c r="AG648" s="799"/>
      <c r="AH648" s="799"/>
      <c r="AI648" s="799"/>
      <c r="AJ648" s="799"/>
      <c r="AK648" s="799"/>
      <c r="AL648" s="799"/>
      <c r="AM648" s="799"/>
      <c r="AN648" s="799"/>
      <c r="AO648" s="799"/>
      <c r="AP648" s="799"/>
      <c r="AQ648" s="799"/>
      <c r="AR648" s="799"/>
      <c r="AS648" s="799"/>
      <c r="AT648" s="799"/>
      <c r="AU648" s="799"/>
      <c r="AV648" s="799"/>
      <c r="AW648" s="799"/>
      <c r="AX648" s="799"/>
      <c r="AY648" s="799"/>
      <c r="AZ648" s="799"/>
      <c r="BA648" s="799"/>
      <c r="BB648" s="799"/>
      <c r="BC648" s="799"/>
      <c r="BD648" s="799"/>
      <c r="BE648" s="799"/>
      <c r="BF648" s="799"/>
      <c r="BG648" s="799"/>
    </row>
    <row r="649">
      <c r="H649" s="799"/>
      <c r="I649" s="799"/>
      <c r="J649" s="799"/>
      <c r="K649" s="799"/>
      <c r="L649" s="799"/>
      <c r="M649" s="799"/>
      <c r="N649" s="799"/>
      <c r="O649" s="799"/>
      <c r="P649" s="799"/>
      <c r="Q649" s="799"/>
      <c r="R649" s="799"/>
      <c r="S649" s="799"/>
      <c r="T649" s="799"/>
      <c r="U649" s="799"/>
      <c r="V649" s="799"/>
      <c r="W649" s="799"/>
      <c r="X649" s="799"/>
      <c r="Y649" s="799"/>
      <c r="Z649" s="799"/>
      <c r="AA649" s="799"/>
      <c r="AB649" s="799"/>
      <c r="AC649" s="799"/>
      <c r="AD649" s="799"/>
      <c r="AE649" s="799"/>
      <c r="AF649" s="799"/>
      <c r="AG649" s="799"/>
      <c r="AH649" s="799"/>
      <c r="AI649" s="799"/>
      <c r="AJ649" s="799"/>
      <c r="AK649" s="799"/>
      <c r="AL649" s="799"/>
      <c r="AM649" s="799"/>
      <c r="AN649" s="799"/>
      <c r="AO649" s="799"/>
      <c r="AP649" s="799"/>
      <c r="AQ649" s="799"/>
      <c r="AR649" s="799"/>
      <c r="AS649" s="799"/>
      <c r="AT649" s="799"/>
      <c r="AU649" s="799"/>
      <c r="AV649" s="799"/>
      <c r="AW649" s="799"/>
      <c r="AX649" s="799"/>
      <c r="AY649" s="799"/>
      <c r="AZ649" s="799"/>
      <c r="BA649" s="799"/>
      <c r="BB649" s="799"/>
      <c r="BC649" s="799"/>
      <c r="BD649" s="799"/>
      <c r="BE649" s="799"/>
      <c r="BF649" s="799"/>
      <c r="BG649" s="799"/>
    </row>
    <row r="650">
      <c r="H650" s="799"/>
      <c r="I650" s="799"/>
      <c r="J650" s="799"/>
      <c r="K650" s="799"/>
      <c r="L650" s="799"/>
      <c r="M650" s="799"/>
      <c r="N650" s="799"/>
      <c r="O650" s="799"/>
      <c r="P650" s="799"/>
      <c r="Q650" s="799"/>
      <c r="R650" s="799"/>
      <c r="S650" s="799"/>
      <c r="T650" s="799"/>
      <c r="U650" s="799"/>
      <c r="V650" s="799"/>
      <c r="W650" s="799"/>
      <c r="X650" s="799"/>
      <c r="Y650" s="799"/>
      <c r="Z650" s="799"/>
      <c r="AA650" s="799"/>
      <c r="AB650" s="799"/>
      <c r="AC650" s="799"/>
      <c r="AD650" s="799"/>
      <c r="AE650" s="799"/>
      <c r="AF650" s="799"/>
      <c r="AG650" s="799"/>
      <c r="AH650" s="799"/>
      <c r="AI650" s="799"/>
      <c r="AJ650" s="799"/>
      <c r="AK650" s="799"/>
      <c r="AL650" s="799"/>
      <c r="AM650" s="799"/>
      <c r="AN650" s="799"/>
      <c r="AO650" s="799"/>
      <c r="AP650" s="799"/>
      <c r="AQ650" s="799"/>
      <c r="AR650" s="799"/>
      <c r="AS650" s="799"/>
      <c r="AT650" s="799"/>
      <c r="AU650" s="799"/>
      <c r="AV650" s="799"/>
      <c r="AW650" s="799"/>
      <c r="AX650" s="799"/>
      <c r="AY650" s="799"/>
      <c r="AZ650" s="799"/>
      <c r="BA650" s="799"/>
      <c r="BB650" s="799"/>
      <c r="BC650" s="799"/>
      <c r="BD650" s="799"/>
      <c r="BE650" s="799"/>
      <c r="BF650" s="799"/>
      <c r="BG650" s="799"/>
    </row>
    <row r="651">
      <c r="H651" s="799"/>
      <c r="I651" s="799"/>
      <c r="J651" s="799"/>
      <c r="K651" s="799"/>
      <c r="L651" s="799"/>
      <c r="M651" s="799"/>
      <c r="N651" s="799"/>
      <c r="O651" s="799"/>
      <c r="P651" s="799"/>
      <c r="Q651" s="799"/>
      <c r="R651" s="799"/>
      <c r="S651" s="799"/>
      <c r="T651" s="799"/>
      <c r="U651" s="799"/>
      <c r="V651" s="799"/>
      <c r="W651" s="799"/>
      <c r="X651" s="799"/>
      <c r="Y651" s="799"/>
      <c r="Z651" s="799"/>
      <c r="AA651" s="799"/>
      <c r="AB651" s="799"/>
      <c r="AC651" s="799"/>
      <c r="AD651" s="799"/>
      <c r="AE651" s="799"/>
      <c r="AF651" s="799"/>
      <c r="AG651" s="799"/>
      <c r="AH651" s="799"/>
      <c r="AI651" s="799"/>
      <c r="AJ651" s="799"/>
      <c r="AK651" s="799"/>
      <c r="AL651" s="799"/>
      <c r="AM651" s="799"/>
      <c r="AN651" s="799"/>
      <c r="AO651" s="799"/>
      <c r="AP651" s="799"/>
      <c r="AQ651" s="799"/>
      <c r="AR651" s="799"/>
      <c r="AS651" s="799"/>
      <c r="AT651" s="799"/>
      <c r="AU651" s="799"/>
      <c r="AV651" s="799"/>
      <c r="AW651" s="799"/>
      <c r="AX651" s="799"/>
      <c r="AY651" s="799"/>
      <c r="AZ651" s="799"/>
      <c r="BA651" s="799"/>
      <c r="BB651" s="799"/>
      <c r="BC651" s="799"/>
      <c r="BD651" s="799"/>
      <c r="BE651" s="799"/>
      <c r="BF651" s="799"/>
      <c r="BG651" s="799"/>
    </row>
    <row r="652">
      <c r="H652" s="799"/>
      <c r="I652" s="799"/>
      <c r="J652" s="799"/>
      <c r="K652" s="799"/>
      <c r="L652" s="799"/>
      <c r="M652" s="799"/>
      <c r="N652" s="799"/>
      <c r="O652" s="799"/>
      <c r="P652" s="799"/>
      <c r="Q652" s="799"/>
      <c r="R652" s="799"/>
      <c r="S652" s="799"/>
      <c r="T652" s="799"/>
      <c r="U652" s="799"/>
      <c r="V652" s="799"/>
      <c r="W652" s="799"/>
      <c r="X652" s="799"/>
      <c r="Y652" s="799"/>
      <c r="Z652" s="799"/>
      <c r="AA652" s="799"/>
      <c r="AB652" s="799"/>
      <c r="AC652" s="799"/>
      <c r="AD652" s="799"/>
      <c r="AE652" s="799"/>
      <c r="AF652" s="799"/>
      <c r="AG652" s="799"/>
      <c r="AH652" s="799"/>
      <c r="AI652" s="799"/>
      <c r="AJ652" s="799"/>
      <c r="AK652" s="799"/>
      <c r="AL652" s="799"/>
      <c r="AM652" s="799"/>
      <c r="AN652" s="799"/>
      <c r="AO652" s="799"/>
      <c r="AP652" s="799"/>
      <c r="AQ652" s="799"/>
      <c r="AR652" s="799"/>
      <c r="AS652" s="799"/>
      <c r="AT652" s="799"/>
      <c r="AU652" s="799"/>
      <c r="AV652" s="799"/>
      <c r="AW652" s="799"/>
      <c r="AX652" s="799"/>
      <c r="AY652" s="799"/>
      <c r="AZ652" s="799"/>
      <c r="BA652" s="799"/>
      <c r="BB652" s="799"/>
      <c r="BC652" s="799"/>
      <c r="BD652" s="799"/>
      <c r="BE652" s="799"/>
      <c r="BF652" s="799"/>
      <c r="BG652" s="799"/>
    </row>
    <row r="653">
      <c r="H653" s="799"/>
      <c r="I653" s="799"/>
      <c r="J653" s="799"/>
      <c r="K653" s="799"/>
      <c r="L653" s="799"/>
      <c r="M653" s="799"/>
      <c r="N653" s="799"/>
      <c r="O653" s="799"/>
      <c r="P653" s="799"/>
      <c r="Q653" s="799"/>
      <c r="R653" s="799"/>
      <c r="S653" s="799"/>
      <c r="T653" s="799"/>
      <c r="U653" s="799"/>
      <c r="V653" s="799"/>
      <c r="W653" s="799"/>
      <c r="X653" s="799"/>
      <c r="Y653" s="799"/>
      <c r="Z653" s="799"/>
      <c r="AA653" s="799"/>
      <c r="AB653" s="799"/>
      <c r="AC653" s="799"/>
      <c r="AD653" s="799"/>
      <c r="AE653" s="799"/>
      <c r="AF653" s="799"/>
      <c r="AG653" s="799"/>
      <c r="AH653" s="799"/>
      <c r="AI653" s="799"/>
      <c r="AJ653" s="799"/>
      <c r="AK653" s="799"/>
      <c r="AL653" s="799"/>
      <c r="AM653" s="799"/>
      <c r="AN653" s="799"/>
      <c r="AO653" s="799"/>
      <c r="AP653" s="799"/>
      <c r="AQ653" s="799"/>
      <c r="AR653" s="799"/>
      <c r="AS653" s="799"/>
      <c r="AT653" s="799"/>
      <c r="AU653" s="799"/>
      <c r="AV653" s="799"/>
      <c r="AW653" s="799"/>
      <c r="AX653" s="799"/>
      <c r="AY653" s="799"/>
      <c r="AZ653" s="799"/>
      <c r="BA653" s="799"/>
      <c r="BB653" s="799"/>
      <c r="BC653" s="799"/>
      <c r="BD653" s="799"/>
      <c r="BE653" s="799"/>
      <c r="BF653" s="799"/>
      <c r="BG653" s="799"/>
    </row>
    <row r="654">
      <c r="H654" s="799"/>
      <c r="I654" s="799"/>
      <c r="J654" s="799"/>
      <c r="K654" s="799"/>
      <c r="L654" s="799"/>
      <c r="M654" s="799"/>
      <c r="N654" s="799"/>
      <c r="O654" s="799"/>
      <c r="P654" s="799"/>
      <c r="Q654" s="799"/>
      <c r="R654" s="799"/>
      <c r="S654" s="799"/>
      <c r="T654" s="799"/>
      <c r="U654" s="799"/>
      <c r="V654" s="799"/>
      <c r="W654" s="799"/>
      <c r="X654" s="799"/>
      <c r="Y654" s="799"/>
      <c r="Z654" s="799"/>
      <c r="AA654" s="799"/>
      <c r="AB654" s="799"/>
      <c r="AC654" s="799"/>
      <c r="AD654" s="799"/>
      <c r="AE654" s="799"/>
      <c r="AF654" s="799"/>
      <c r="AG654" s="799"/>
      <c r="AH654" s="799"/>
      <c r="AI654" s="799"/>
      <c r="AJ654" s="799"/>
      <c r="AK654" s="799"/>
      <c r="AL654" s="799"/>
      <c r="AM654" s="799"/>
      <c r="AN654" s="799"/>
      <c r="AO654" s="799"/>
      <c r="AP654" s="799"/>
      <c r="AQ654" s="799"/>
      <c r="AR654" s="799"/>
      <c r="AS654" s="799"/>
      <c r="AT654" s="799"/>
      <c r="AU654" s="799"/>
      <c r="AV654" s="799"/>
      <c r="AW654" s="799"/>
      <c r="AX654" s="799"/>
      <c r="AY654" s="799"/>
      <c r="AZ654" s="799"/>
      <c r="BA654" s="799"/>
      <c r="BB654" s="799"/>
      <c r="BC654" s="799"/>
      <c r="BD654" s="799"/>
      <c r="BE654" s="799"/>
      <c r="BF654" s="799"/>
      <c r="BG654" s="799"/>
    </row>
    <row r="655">
      <c r="H655" s="799"/>
      <c r="I655" s="799"/>
      <c r="J655" s="799"/>
      <c r="K655" s="799"/>
      <c r="L655" s="799"/>
      <c r="M655" s="799"/>
      <c r="N655" s="799"/>
      <c r="O655" s="799"/>
      <c r="P655" s="799"/>
      <c r="Q655" s="799"/>
      <c r="R655" s="799"/>
      <c r="S655" s="799"/>
      <c r="T655" s="799"/>
      <c r="U655" s="799"/>
      <c r="V655" s="799"/>
      <c r="W655" s="799"/>
      <c r="X655" s="799"/>
      <c r="Y655" s="799"/>
      <c r="Z655" s="799"/>
      <c r="AA655" s="799"/>
      <c r="AB655" s="799"/>
      <c r="AC655" s="799"/>
      <c r="AD655" s="799"/>
      <c r="AE655" s="799"/>
      <c r="AF655" s="799"/>
      <c r="AG655" s="799"/>
      <c r="AH655" s="799"/>
      <c r="AI655" s="799"/>
      <c r="AJ655" s="799"/>
      <c r="AK655" s="799"/>
      <c r="AL655" s="799"/>
      <c r="AM655" s="799"/>
      <c r="AN655" s="799"/>
      <c r="AO655" s="799"/>
      <c r="AP655" s="799"/>
      <c r="AQ655" s="799"/>
      <c r="AR655" s="799"/>
      <c r="AS655" s="799"/>
      <c r="AT655" s="799"/>
      <c r="AU655" s="799"/>
      <c r="AV655" s="799"/>
      <c r="AW655" s="799"/>
      <c r="AX655" s="799"/>
      <c r="AY655" s="799"/>
      <c r="AZ655" s="799"/>
      <c r="BA655" s="799"/>
      <c r="BB655" s="799"/>
      <c r="BC655" s="799"/>
      <c r="BD655" s="799"/>
      <c r="BE655" s="799"/>
      <c r="BF655" s="799"/>
      <c r="BG655" s="799"/>
    </row>
    <row r="656">
      <c r="H656" s="799"/>
      <c r="I656" s="799"/>
      <c r="J656" s="799"/>
      <c r="K656" s="799"/>
      <c r="L656" s="799"/>
      <c r="M656" s="799"/>
      <c r="N656" s="799"/>
      <c r="O656" s="799"/>
      <c r="P656" s="799"/>
      <c r="Q656" s="799"/>
      <c r="R656" s="799"/>
      <c r="S656" s="799"/>
      <c r="T656" s="799"/>
      <c r="U656" s="799"/>
      <c r="V656" s="799"/>
      <c r="W656" s="799"/>
      <c r="X656" s="799"/>
      <c r="Y656" s="799"/>
      <c r="Z656" s="799"/>
      <c r="AA656" s="799"/>
      <c r="AB656" s="799"/>
      <c r="AC656" s="799"/>
      <c r="AD656" s="799"/>
      <c r="AE656" s="799"/>
      <c r="AF656" s="799"/>
      <c r="AG656" s="799"/>
      <c r="AH656" s="799"/>
      <c r="AI656" s="799"/>
      <c r="AJ656" s="799"/>
      <c r="AK656" s="799"/>
      <c r="AL656" s="799"/>
      <c r="AM656" s="799"/>
      <c r="AN656" s="799"/>
      <c r="AO656" s="799"/>
      <c r="AP656" s="799"/>
      <c r="AQ656" s="799"/>
      <c r="AR656" s="799"/>
      <c r="AS656" s="799"/>
      <c r="AT656" s="799"/>
      <c r="AU656" s="799"/>
      <c r="AV656" s="799"/>
      <c r="AW656" s="799"/>
      <c r="AX656" s="799"/>
      <c r="AY656" s="799"/>
      <c r="AZ656" s="799"/>
      <c r="BA656" s="799"/>
      <c r="BB656" s="799"/>
      <c r="BC656" s="799"/>
      <c r="BD656" s="799"/>
      <c r="BE656" s="799"/>
      <c r="BF656" s="799"/>
      <c r="BG656" s="799"/>
    </row>
    <row r="657">
      <c r="H657" s="799"/>
      <c r="I657" s="799"/>
      <c r="J657" s="799"/>
      <c r="K657" s="799"/>
      <c r="L657" s="799"/>
      <c r="M657" s="799"/>
      <c r="N657" s="799"/>
      <c r="O657" s="799"/>
      <c r="P657" s="799"/>
      <c r="Q657" s="799"/>
      <c r="R657" s="799"/>
      <c r="S657" s="799"/>
      <c r="T657" s="799"/>
      <c r="U657" s="799"/>
      <c r="V657" s="799"/>
      <c r="W657" s="799"/>
      <c r="X657" s="799"/>
      <c r="Y657" s="799"/>
      <c r="Z657" s="799"/>
      <c r="AA657" s="799"/>
      <c r="AB657" s="799"/>
      <c r="AC657" s="799"/>
      <c r="AD657" s="799"/>
      <c r="AE657" s="799"/>
      <c r="AF657" s="799"/>
      <c r="AG657" s="799"/>
      <c r="AH657" s="799"/>
      <c r="AI657" s="799"/>
      <c r="AJ657" s="799"/>
      <c r="AK657" s="799"/>
      <c r="AL657" s="799"/>
      <c r="AM657" s="799"/>
      <c r="AN657" s="799"/>
      <c r="AO657" s="799"/>
      <c r="AP657" s="799"/>
      <c r="AQ657" s="799"/>
      <c r="AR657" s="799"/>
      <c r="AS657" s="799"/>
      <c r="AT657" s="799"/>
      <c r="AU657" s="799"/>
      <c r="AV657" s="799"/>
      <c r="AW657" s="799"/>
      <c r="AX657" s="799"/>
      <c r="AY657" s="799"/>
      <c r="AZ657" s="799"/>
      <c r="BA657" s="799"/>
      <c r="BB657" s="799"/>
      <c r="BC657" s="799"/>
      <c r="BD657" s="799"/>
      <c r="BE657" s="799"/>
      <c r="BF657" s="799"/>
      <c r="BG657" s="799"/>
    </row>
    <row r="658">
      <c r="H658" s="799"/>
      <c r="I658" s="799"/>
      <c r="J658" s="799"/>
      <c r="K658" s="799"/>
      <c r="L658" s="799"/>
      <c r="M658" s="799"/>
      <c r="N658" s="799"/>
      <c r="O658" s="799"/>
      <c r="P658" s="799"/>
      <c r="Q658" s="799"/>
      <c r="R658" s="799"/>
      <c r="S658" s="799"/>
      <c r="T658" s="799"/>
      <c r="U658" s="799"/>
      <c r="V658" s="799"/>
      <c r="W658" s="799"/>
      <c r="X658" s="799"/>
      <c r="Y658" s="799"/>
      <c r="Z658" s="799"/>
      <c r="AA658" s="799"/>
      <c r="AB658" s="799"/>
      <c r="AC658" s="799"/>
      <c r="AD658" s="799"/>
      <c r="AE658" s="799"/>
      <c r="AF658" s="799"/>
      <c r="AG658" s="799"/>
      <c r="AH658" s="799"/>
      <c r="AI658" s="799"/>
      <c r="AJ658" s="799"/>
      <c r="AK658" s="799"/>
      <c r="AL658" s="799"/>
      <c r="AM658" s="799"/>
      <c r="AN658" s="799"/>
      <c r="AO658" s="799"/>
      <c r="AP658" s="799"/>
      <c r="AQ658" s="799"/>
      <c r="AR658" s="799"/>
      <c r="AS658" s="799"/>
      <c r="AT658" s="799"/>
      <c r="AU658" s="799"/>
      <c r="AV658" s="799"/>
      <c r="AW658" s="799"/>
      <c r="AX658" s="799"/>
      <c r="AY658" s="799"/>
      <c r="AZ658" s="799"/>
      <c r="BA658" s="799"/>
      <c r="BB658" s="799"/>
      <c r="BC658" s="799"/>
      <c r="BD658" s="799"/>
      <c r="BE658" s="799"/>
      <c r="BF658" s="799"/>
      <c r="BG658" s="799"/>
    </row>
    <row r="659">
      <c r="H659" s="799"/>
      <c r="I659" s="799"/>
      <c r="J659" s="799"/>
      <c r="K659" s="799"/>
      <c r="L659" s="799"/>
      <c r="M659" s="799"/>
      <c r="N659" s="799"/>
      <c r="O659" s="799"/>
      <c r="P659" s="799"/>
      <c r="Q659" s="799"/>
      <c r="R659" s="799"/>
      <c r="S659" s="799"/>
      <c r="T659" s="799"/>
      <c r="U659" s="799"/>
      <c r="V659" s="799"/>
      <c r="W659" s="799"/>
      <c r="X659" s="799"/>
      <c r="Y659" s="799"/>
      <c r="Z659" s="799"/>
      <c r="AA659" s="799"/>
      <c r="AB659" s="799"/>
      <c r="AC659" s="799"/>
      <c r="AD659" s="799"/>
      <c r="AE659" s="799"/>
      <c r="AF659" s="799"/>
      <c r="AG659" s="799"/>
      <c r="AH659" s="799"/>
      <c r="AI659" s="799"/>
      <c r="AJ659" s="799"/>
      <c r="AK659" s="799"/>
      <c r="AL659" s="799"/>
      <c r="AM659" s="799"/>
      <c r="AN659" s="799"/>
      <c r="AO659" s="799"/>
      <c r="AP659" s="799"/>
      <c r="AQ659" s="799"/>
      <c r="AR659" s="799"/>
      <c r="AS659" s="799"/>
      <c r="AT659" s="799"/>
      <c r="AU659" s="799"/>
      <c r="AV659" s="799"/>
      <c r="AW659" s="799"/>
      <c r="AX659" s="799"/>
      <c r="AY659" s="799"/>
      <c r="AZ659" s="799"/>
      <c r="BA659" s="799"/>
      <c r="BB659" s="799"/>
      <c r="BC659" s="799"/>
      <c r="BD659" s="799"/>
      <c r="BE659" s="799"/>
      <c r="BF659" s="799"/>
      <c r="BG659" s="799"/>
    </row>
    <row r="660">
      <c r="H660" s="799"/>
      <c r="I660" s="799"/>
      <c r="J660" s="799"/>
      <c r="K660" s="799"/>
      <c r="L660" s="799"/>
      <c r="M660" s="799"/>
      <c r="N660" s="799"/>
      <c r="O660" s="799"/>
      <c r="P660" s="799"/>
      <c r="Q660" s="799"/>
      <c r="R660" s="799"/>
      <c r="S660" s="799"/>
      <c r="T660" s="799"/>
      <c r="U660" s="799"/>
      <c r="V660" s="799"/>
      <c r="W660" s="799"/>
      <c r="X660" s="799"/>
      <c r="Y660" s="799"/>
      <c r="Z660" s="799"/>
      <c r="AA660" s="799"/>
      <c r="AB660" s="799"/>
      <c r="AC660" s="799"/>
      <c r="AD660" s="799"/>
      <c r="AE660" s="799"/>
      <c r="AF660" s="799"/>
      <c r="AG660" s="799"/>
      <c r="AH660" s="799"/>
      <c r="AI660" s="799"/>
      <c r="AJ660" s="799"/>
      <c r="AK660" s="799"/>
      <c r="AL660" s="799"/>
      <c r="AM660" s="799"/>
      <c r="AN660" s="799"/>
      <c r="AO660" s="799"/>
      <c r="AP660" s="799"/>
      <c r="AQ660" s="799"/>
      <c r="AR660" s="799"/>
      <c r="AS660" s="799"/>
      <c r="AT660" s="799"/>
      <c r="AU660" s="799"/>
      <c r="AV660" s="799"/>
      <c r="AW660" s="799"/>
      <c r="AX660" s="799"/>
      <c r="AY660" s="799"/>
      <c r="AZ660" s="799"/>
      <c r="BA660" s="799"/>
      <c r="BB660" s="799"/>
      <c r="BC660" s="799"/>
      <c r="BD660" s="799"/>
      <c r="BE660" s="799"/>
      <c r="BF660" s="799"/>
      <c r="BG660" s="799"/>
    </row>
    <row r="661">
      <c r="H661" s="799"/>
      <c r="I661" s="799"/>
      <c r="J661" s="799"/>
      <c r="K661" s="799"/>
      <c r="L661" s="799"/>
      <c r="M661" s="799"/>
      <c r="N661" s="799"/>
      <c r="O661" s="799"/>
      <c r="P661" s="799"/>
      <c r="Q661" s="799"/>
      <c r="R661" s="799"/>
      <c r="S661" s="799"/>
      <c r="T661" s="799"/>
      <c r="U661" s="799"/>
      <c r="V661" s="799"/>
      <c r="W661" s="799"/>
      <c r="X661" s="799"/>
      <c r="Y661" s="799"/>
      <c r="Z661" s="799"/>
      <c r="AA661" s="799"/>
      <c r="AB661" s="799"/>
      <c r="AC661" s="799"/>
      <c r="AD661" s="799"/>
      <c r="AE661" s="799"/>
      <c r="AF661" s="799"/>
      <c r="AG661" s="799"/>
      <c r="AH661" s="799"/>
      <c r="AI661" s="799"/>
      <c r="AJ661" s="799"/>
      <c r="AK661" s="799"/>
      <c r="AL661" s="799"/>
      <c r="AM661" s="799"/>
      <c r="AN661" s="799"/>
      <c r="AO661" s="799"/>
      <c r="AP661" s="799"/>
      <c r="AQ661" s="799"/>
      <c r="AR661" s="799"/>
      <c r="AS661" s="799"/>
      <c r="AT661" s="799"/>
      <c r="AU661" s="799"/>
      <c r="AV661" s="799"/>
      <c r="AW661" s="799"/>
      <c r="AX661" s="799"/>
      <c r="AY661" s="799"/>
      <c r="AZ661" s="799"/>
      <c r="BA661" s="799"/>
      <c r="BB661" s="799"/>
      <c r="BC661" s="799"/>
      <c r="BD661" s="799"/>
      <c r="BE661" s="799"/>
      <c r="BF661" s="799"/>
      <c r="BG661" s="799"/>
    </row>
    <row r="662">
      <c r="H662" s="799"/>
      <c r="I662" s="799"/>
      <c r="J662" s="799"/>
      <c r="K662" s="799"/>
      <c r="L662" s="799"/>
      <c r="M662" s="799"/>
      <c r="N662" s="799"/>
      <c r="O662" s="799"/>
      <c r="P662" s="799"/>
      <c r="Q662" s="799"/>
      <c r="R662" s="799"/>
      <c r="S662" s="799"/>
      <c r="T662" s="799"/>
      <c r="U662" s="799"/>
      <c r="V662" s="799"/>
      <c r="W662" s="799"/>
      <c r="X662" s="799"/>
      <c r="Y662" s="799"/>
      <c r="Z662" s="799"/>
      <c r="AA662" s="799"/>
      <c r="AB662" s="799"/>
      <c r="AC662" s="799"/>
      <c r="AD662" s="799"/>
      <c r="AE662" s="799"/>
      <c r="AF662" s="799"/>
      <c r="AG662" s="799"/>
      <c r="AH662" s="799"/>
      <c r="AI662" s="799"/>
      <c r="AJ662" s="799"/>
      <c r="AK662" s="799"/>
      <c r="AL662" s="799"/>
      <c r="AM662" s="799"/>
      <c r="AN662" s="799"/>
      <c r="AO662" s="799"/>
      <c r="AP662" s="799"/>
      <c r="AQ662" s="799"/>
      <c r="AR662" s="799"/>
      <c r="AS662" s="799"/>
      <c r="AT662" s="799"/>
      <c r="AU662" s="799"/>
      <c r="AV662" s="799"/>
      <c r="AW662" s="799"/>
      <c r="AX662" s="799"/>
      <c r="AY662" s="799"/>
      <c r="AZ662" s="799"/>
      <c r="BA662" s="799"/>
      <c r="BB662" s="799"/>
      <c r="BC662" s="799"/>
      <c r="BD662" s="799"/>
      <c r="BE662" s="799"/>
      <c r="BF662" s="799"/>
      <c r="BG662" s="799"/>
    </row>
    <row r="663">
      <c r="H663" s="799"/>
      <c r="I663" s="799"/>
      <c r="J663" s="799"/>
      <c r="K663" s="799"/>
      <c r="L663" s="799"/>
      <c r="M663" s="799"/>
      <c r="N663" s="799"/>
      <c r="O663" s="799"/>
      <c r="P663" s="799"/>
      <c r="Q663" s="799"/>
      <c r="R663" s="799"/>
      <c r="S663" s="799"/>
      <c r="T663" s="799"/>
      <c r="U663" s="799"/>
      <c r="V663" s="799"/>
      <c r="W663" s="799"/>
      <c r="X663" s="799"/>
      <c r="Y663" s="799"/>
      <c r="Z663" s="799"/>
      <c r="AA663" s="799"/>
      <c r="AB663" s="799"/>
      <c r="AC663" s="799"/>
      <c r="AD663" s="799"/>
      <c r="AE663" s="799"/>
      <c r="AF663" s="799"/>
      <c r="AG663" s="799"/>
      <c r="AH663" s="799"/>
      <c r="AI663" s="799"/>
      <c r="AJ663" s="799"/>
      <c r="AK663" s="799"/>
      <c r="AL663" s="799"/>
      <c r="AM663" s="799"/>
      <c r="AN663" s="799"/>
      <c r="AO663" s="799"/>
      <c r="AP663" s="799"/>
      <c r="AQ663" s="799"/>
      <c r="AR663" s="799"/>
      <c r="AS663" s="799"/>
      <c r="AT663" s="799"/>
      <c r="AU663" s="799"/>
      <c r="AV663" s="799"/>
      <c r="AW663" s="799"/>
      <c r="AX663" s="799"/>
      <c r="AY663" s="799"/>
      <c r="AZ663" s="799"/>
      <c r="BA663" s="799"/>
      <c r="BB663" s="799"/>
      <c r="BC663" s="799"/>
      <c r="BD663" s="799"/>
      <c r="BE663" s="799"/>
      <c r="BF663" s="799"/>
      <c r="BG663" s="799"/>
    </row>
    <row r="664">
      <c r="H664" s="799"/>
      <c r="I664" s="799"/>
      <c r="J664" s="799"/>
      <c r="K664" s="799"/>
      <c r="L664" s="799"/>
      <c r="M664" s="799"/>
      <c r="N664" s="799"/>
      <c r="O664" s="799"/>
      <c r="P664" s="799"/>
      <c r="Q664" s="799"/>
      <c r="R664" s="799"/>
      <c r="S664" s="799"/>
      <c r="T664" s="799"/>
      <c r="U664" s="799"/>
      <c r="V664" s="799"/>
      <c r="W664" s="799"/>
      <c r="X664" s="799"/>
      <c r="Y664" s="799"/>
      <c r="Z664" s="799"/>
      <c r="AA664" s="799"/>
      <c r="AB664" s="799"/>
      <c r="AC664" s="799"/>
      <c r="AD664" s="799"/>
      <c r="AE664" s="799"/>
      <c r="AF664" s="799"/>
      <c r="AG664" s="799"/>
      <c r="AH664" s="799"/>
      <c r="AI664" s="799"/>
      <c r="AJ664" s="799"/>
      <c r="AK664" s="799"/>
      <c r="AL664" s="799"/>
      <c r="AM664" s="799"/>
      <c r="AN664" s="799"/>
      <c r="AO664" s="799"/>
      <c r="AP664" s="799"/>
      <c r="AQ664" s="799"/>
      <c r="AR664" s="799"/>
      <c r="AS664" s="799"/>
      <c r="AT664" s="799"/>
      <c r="AU664" s="799"/>
      <c r="AV664" s="799"/>
      <c r="AW664" s="799"/>
      <c r="AX664" s="799"/>
      <c r="AY664" s="799"/>
      <c r="AZ664" s="799"/>
      <c r="BA664" s="799"/>
      <c r="BB664" s="799"/>
      <c r="BC664" s="799"/>
      <c r="BD664" s="799"/>
      <c r="BE664" s="799"/>
      <c r="BF664" s="799"/>
      <c r="BG664" s="799"/>
    </row>
    <row r="665">
      <c r="H665" s="799"/>
      <c r="I665" s="799"/>
      <c r="J665" s="799"/>
      <c r="K665" s="799"/>
      <c r="L665" s="799"/>
      <c r="M665" s="799"/>
      <c r="N665" s="799"/>
      <c r="O665" s="799"/>
      <c r="P665" s="799"/>
      <c r="Q665" s="799"/>
      <c r="R665" s="799"/>
      <c r="S665" s="799"/>
      <c r="T665" s="799"/>
      <c r="U665" s="799"/>
      <c r="V665" s="799"/>
      <c r="W665" s="799"/>
      <c r="X665" s="799"/>
      <c r="Y665" s="799"/>
      <c r="Z665" s="799"/>
      <c r="AA665" s="799"/>
      <c r="AB665" s="799"/>
      <c r="AC665" s="799"/>
      <c r="AD665" s="799"/>
      <c r="AE665" s="799"/>
      <c r="AF665" s="799"/>
      <c r="AG665" s="799"/>
      <c r="AH665" s="799"/>
      <c r="AI665" s="799"/>
      <c r="AJ665" s="799"/>
      <c r="AK665" s="799"/>
      <c r="AL665" s="799"/>
      <c r="AM665" s="799"/>
      <c r="AN665" s="799"/>
      <c r="AO665" s="799"/>
      <c r="AP665" s="799"/>
      <c r="AQ665" s="799"/>
      <c r="AR665" s="799"/>
      <c r="AS665" s="799"/>
      <c r="AT665" s="799"/>
      <c r="AU665" s="799"/>
      <c r="AV665" s="799"/>
      <c r="AW665" s="799"/>
      <c r="AX665" s="799"/>
      <c r="AY665" s="799"/>
      <c r="AZ665" s="799"/>
      <c r="BA665" s="799"/>
      <c r="BB665" s="799"/>
      <c r="BC665" s="799"/>
      <c r="BD665" s="799"/>
      <c r="BE665" s="799"/>
      <c r="BF665" s="799"/>
      <c r="BG665" s="799"/>
    </row>
    <row r="666">
      <c r="H666" s="799"/>
      <c r="I666" s="799"/>
      <c r="J666" s="799"/>
      <c r="K666" s="799"/>
      <c r="L666" s="799"/>
      <c r="M666" s="799"/>
      <c r="N666" s="799"/>
      <c r="O666" s="799"/>
      <c r="P666" s="799"/>
      <c r="Q666" s="799"/>
      <c r="R666" s="799"/>
      <c r="S666" s="799"/>
      <c r="T666" s="799"/>
      <c r="U666" s="799"/>
      <c r="V666" s="799"/>
      <c r="W666" s="799"/>
      <c r="X666" s="799"/>
      <c r="Y666" s="799"/>
      <c r="Z666" s="799"/>
      <c r="AA666" s="799"/>
      <c r="AB666" s="799"/>
      <c r="AC666" s="799"/>
      <c r="AD666" s="799"/>
      <c r="AE666" s="799"/>
      <c r="AF666" s="799"/>
      <c r="AG666" s="799"/>
      <c r="AH666" s="799"/>
      <c r="AI666" s="799"/>
      <c r="AJ666" s="799"/>
      <c r="AK666" s="799"/>
      <c r="AL666" s="799"/>
      <c r="AM666" s="799"/>
      <c r="AN666" s="799"/>
      <c r="AO666" s="799"/>
      <c r="AP666" s="799"/>
      <c r="AQ666" s="799"/>
      <c r="AR666" s="799"/>
      <c r="AS666" s="799"/>
      <c r="AT666" s="799"/>
      <c r="AU666" s="799"/>
      <c r="AV666" s="799"/>
      <c r="AW666" s="799"/>
      <c r="AX666" s="799"/>
      <c r="AY666" s="799"/>
      <c r="AZ666" s="799"/>
      <c r="BA666" s="799"/>
      <c r="BB666" s="799"/>
      <c r="BC666" s="799"/>
      <c r="BD666" s="799"/>
      <c r="BE666" s="799"/>
      <c r="BF666" s="799"/>
      <c r="BG666" s="799"/>
    </row>
    <row r="667">
      <c r="H667" s="799"/>
      <c r="I667" s="799"/>
      <c r="J667" s="799"/>
      <c r="K667" s="799"/>
      <c r="L667" s="799"/>
      <c r="M667" s="799"/>
      <c r="N667" s="799"/>
      <c r="O667" s="799"/>
      <c r="P667" s="799"/>
      <c r="Q667" s="799"/>
      <c r="R667" s="799"/>
      <c r="S667" s="799"/>
      <c r="T667" s="799"/>
      <c r="U667" s="799"/>
      <c r="V667" s="799"/>
      <c r="W667" s="799"/>
      <c r="X667" s="799"/>
      <c r="Y667" s="799"/>
      <c r="Z667" s="799"/>
      <c r="AA667" s="799"/>
      <c r="AB667" s="799"/>
      <c r="AC667" s="799"/>
      <c r="AD667" s="799"/>
      <c r="AE667" s="799"/>
      <c r="AF667" s="799"/>
      <c r="AG667" s="799"/>
      <c r="AH667" s="799"/>
      <c r="AI667" s="799"/>
      <c r="AJ667" s="799"/>
      <c r="AK667" s="799"/>
      <c r="AL667" s="799"/>
      <c r="AM667" s="799"/>
      <c r="AN667" s="799"/>
      <c r="AO667" s="799"/>
      <c r="AP667" s="799"/>
      <c r="AQ667" s="799"/>
      <c r="AR667" s="799"/>
      <c r="AS667" s="799"/>
      <c r="AT667" s="799"/>
      <c r="AU667" s="799"/>
      <c r="AV667" s="799"/>
      <c r="AW667" s="799"/>
      <c r="AX667" s="799"/>
      <c r="AY667" s="799"/>
      <c r="AZ667" s="799"/>
      <c r="BA667" s="799"/>
      <c r="BB667" s="799"/>
      <c r="BC667" s="799"/>
      <c r="BD667" s="799"/>
      <c r="BE667" s="799"/>
      <c r="BF667" s="799"/>
      <c r="BG667" s="799"/>
    </row>
    <row r="668">
      <c r="H668" s="799"/>
      <c r="I668" s="799"/>
      <c r="J668" s="799"/>
      <c r="K668" s="799"/>
      <c r="L668" s="799"/>
      <c r="M668" s="799"/>
      <c r="N668" s="799"/>
      <c r="O668" s="799"/>
      <c r="P668" s="799"/>
      <c r="Q668" s="799"/>
      <c r="R668" s="799"/>
      <c r="S668" s="799"/>
      <c r="T668" s="799"/>
      <c r="U668" s="799"/>
      <c r="V668" s="799"/>
      <c r="W668" s="799"/>
      <c r="X668" s="799"/>
      <c r="Y668" s="799"/>
      <c r="Z668" s="799"/>
      <c r="AA668" s="799"/>
      <c r="AB668" s="799"/>
      <c r="AC668" s="799"/>
      <c r="AD668" s="799"/>
      <c r="AE668" s="799"/>
      <c r="AF668" s="799"/>
      <c r="AG668" s="799"/>
      <c r="AH668" s="799"/>
      <c r="AI668" s="799"/>
      <c r="AJ668" s="799"/>
      <c r="AK668" s="799"/>
      <c r="AL668" s="799"/>
      <c r="AM668" s="799"/>
      <c r="AN668" s="799"/>
      <c r="AO668" s="799"/>
      <c r="AP668" s="799"/>
      <c r="AQ668" s="799"/>
      <c r="AR668" s="799"/>
      <c r="AS668" s="799"/>
      <c r="AT668" s="799"/>
      <c r="AU668" s="799"/>
      <c r="AV668" s="799"/>
      <c r="AW668" s="799"/>
      <c r="AX668" s="799"/>
      <c r="AY668" s="799"/>
      <c r="AZ668" s="799"/>
      <c r="BA668" s="799"/>
      <c r="BB668" s="799"/>
      <c r="BC668" s="799"/>
      <c r="BD668" s="799"/>
      <c r="BE668" s="799"/>
      <c r="BF668" s="799"/>
      <c r="BG668" s="799"/>
    </row>
    <row r="669">
      <c r="H669" s="799"/>
      <c r="I669" s="799"/>
      <c r="J669" s="799"/>
      <c r="K669" s="799"/>
      <c r="L669" s="799"/>
      <c r="M669" s="799"/>
      <c r="N669" s="799"/>
      <c r="O669" s="799"/>
      <c r="P669" s="799"/>
      <c r="Q669" s="799"/>
      <c r="R669" s="799"/>
      <c r="S669" s="799"/>
      <c r="T669" s="799"/>
      <c r="U669" s="799"/>
      <c r="V669" s="799"/>
      <c r="W669" s="799"/>
      <c r="X669" s="799"/>
      <c r="Y669" s="799"/>
      <c r="Z669" s="799"/>
      <c r="AA669" s="799"/>
      <c r="AB669" s="799"/>
      <c r="AC669" s="799"/>
      <c r="AD669" s="799"/>
      <c r="AE669" s="799"/>
      <c r="AF669" s="799"/>
      <c r="AG669" s="799"/>
      <c r="AH669" s="799"/>
      <c r="AI669" s="799"/>
      <c r="AJ669" s="799"/>
      <c r="AK669" s="799"/>
      <c r="AL669" s="799"/>
      <c r="AM669" s="799"/>
      <c r="AN669" s="799"/>
      <c r="AO669" s="799"/>
      <c r="AP669" s="799"/>
      <c r="AQ669" s="799"/>
      <c r="AR669" s="799"/>
      <c r="AS669" s="799"/>
      <c r="AT669" s="799"/>
      <c r="AU669" s="799"/>
      <c r="AV669" s="799"/>
      <c r="AW669" s="799"/>
      <c r="AX669" s="799"/>
      <c r="AY669" s="799"/>
      <c r="AZ669" s="799"/>
      <c r="BA669" s="799"/>
      <c r="BB669" s="799"/>
      <c r="BC669" s="799"/>
      <c r="BD669" s="799"/>
      <c r="BE669" s="799"/>
      <c r="BF669" s="799"/>
      <c r="BG669" s="799"/>
    </row>
    <row r="670">
      <c r="H670" s="799"/>
      <c r="I670" s="799"/>
      <c r="J670" s="799"/>
      <c r="K670" s="799"/>
      <c r="L670" s="799"/>
      <c r="M670" s="799"/>
      <c r="N670" s="799"/>
      <c r="O670" s="799"/>
      <c r="P670" s="799"/>
      <c r="Q670" s="799"/>
      <c r="R670" s="799"/>
      <c r="S670" s="799"/>
      <c r="T670" s="799"/>
      <c r="U670" s="799"/>
      <c r="V670" s="799"/>
      <c r="W670" s="799"/>
      <c r="X670" s="799"/>
      <c r="Y670" s="799"/>
      <c r="Z670" s="799"/>
      <c r="AA670" s="799"/>
      <c r="AB670" s="799"/>
      <c r="AC670" s="799"/>
      <c r="AD670" s="799"/>
      <c r="AE670" s="799"/>
      <c r="AF670" s="799"/>
      <c r="AG670" s="799"/>
      <c r="AH670" s="799"/>
      <c r="AI670" s="799"/>
      <c r="AJ670" s="799"/>
      <c r="AK670" s="799"/>
      <c r="AL670" s="799"/>
      <c r="AM670" s="799"/>
      <c r="AN670" s="799"/>
      <c r="AO670" s="799"/>
      <c r="AP670" s="799"/>
      <c r="AQ670" s="799"/>
      <c r="AR670" s="799"/>
      <c r="AS670" s="799"/>
      <c r="AT670" s="799"/>
      <c r="AU670" s="799"/>
      <c r="AV670" s="799"/>
      <c r="AW670" s="799"/>
      <c r="AX670" s="799"/>
      <c r="AY670" s="799"/>
      <c r="AZ670" s="799"/>
      <c r="BA670" s="799"/>
      <c r="BB670" s="799"/>
      <c r="BC670" s="799"/>
      <c r="BD670" s="799"/>
      <c r="BE670" s="799"/>
      <c r="BF670" s="799"/>
      <c r="BG670" s="799"/>
    </row>
    <row r="671">
      <c r="H671" s="799"/>
      <c r="I671" s="799"/>
      <c r="J671" s="799"/>
      <c r="K671" s="799"/>
      <c r="L671" s="799"/>
      <c r="M671" s="799"/>
      <c r="N671" s="799"/>
      <c r="O671" s="799"/>
      <c r="P671" s="799"/>
      <c r="Q671" s="799"/>
      <c r="R671" s="799"/>
      <c r="S671" s="799"/>
      <c r="T671" s="799"/>
      <c r="U671" s="799"/>
      <c r="V671" s="799"/>
      <c r="W671" s="799"/>
      <c r="X671" s="799"/>
      <c r="Y671" s="799"/>
      <c r="Z671" s="799"/>
      <c r="AA671" s="799"/>
      <c r="AB671" s="799"/>
      <c r="AC671" s="799"/>
      <c r="AD671" s="799"/>
      <c r="AE671" s="799"/>
      <c r="AF671" s="799"/>
      <c r="AG671" s="799"/>
      <c r="AH671" s="799"/>
      <c r="AI671" s="799"/>
      <c r="AJ671" s="799"/>
      <c r="AK671" s="799"/>
      <c r="AL671" s="799"/>
      <c r="AM671" s="799"/>
      <c r="AN671" s="799"/>
      <c r="AO671" s="799"/>
      <c r="AP671" s="799"/>
      <c r="AQ671" s="799"/>
      <c r="AR671" s="799"/>
      <c r="AS671" s="799"/>
      <c r="AT671" s="799"/>
      <c r="AU671" s="799"/>
      <c r="AV671" s="799"/>
      <c r="AW671" s="799"/>
      <c r="AX671" s="799"/>
      <c r="AY671" s="799"/>
      <c r="AZ671" s="799"/>
      <c r="BA671" s="799"/>
      <c r="BB671" s="799"/>
      <c r="BC671" s="799"/>
      <c r="BD671" s="799"/>
      <c r="BE671" s="799"/>
      <c r="BF671" s="799"/>
      <c r="BG671" s="799"/>
    </row>
    <row r="672">
      <c r="H672" s="799"/>
      <c r="I672" s="799"/>
      <c r="J672" s="799"/>
      <c r="K672" s="799"/>
      <c r="L672" s="799"/>
      <c r="M672" s="799"/>
      <c r="N672" s="799"/>
      <c r="O672" s="799"/>
      <c r="P672" s="799"/>
      <c r="Q672" s="799"/>
      <c r="R672" s="799"/>
      <c r="S672" s="799"/>
      <c r="T672" s="799"/>
      <c r="U672" s="799"/>
      <c r="V672" s="799"/>
      <c r="W672" s="799"/>
      <c r="X672" s="799"/>
      <c r="Y672" s="799"/>
      <c r="Z672" s="799"/>
      <c r="AA672" s="799"/>
      <c r="AB672" s="799"/>
      <c r="AC672" s="799"/>
      <c r="AD672" s="799"/>
      <c r="AE672" s="799"/>
      <c r="AF672" s="799"/>
      <c r="AG672" s="799"/>
      <c r="AH672" s="799"/>
      <c r="AI672" s="799"/>
      <c r="AJ672" s="799"/>
      <c r="AK672" s="799"/>
      <c r="AL672" s="799"/>
      <c r="AM672" s="799"/>
      <c r="AN672" s="799"/>
      <c r="AO672" s="799"/>
      <c r="AP672" s="799"/>
      <c r="AQ672" s="799"/>
      <c r="AR672" s="799"/>
      <c r="AS672" s="799"/>
      <c r="AT672" s="799"/>
      <c r="AU672" s="799"/>
      <c r="AV672" s="799"/>
      <c r="AW672" s="799"/>
      <c r="AX672" s="799"/>
      <c r="AY672" s="799"/>
      <c r="AZ672" s="799"/>
      <c r="BA672" s="799"/>
      <c r="BB672" s="799"/>
      <c r="BC672" s="799"/>
      <c r="BD672" s="799"/>
      <c r="BE672" s="799"/>
      <c r="BF672" s="799"/>
      <c r="BG672" s="799"/>
    </row>
    <row r="673">
      <c r="H673" s="799"/>
      <c r="I673" s="799"/>
      <c r="J673" s="799"/>
      <c r="K673" s="799"/>
      <c r="L673" s="799"/>
      <c r="M673" s="799"/>
      <c r="N673" s="799"/>
      <c r="O673" s="799"/>
      <c r="P673" s="799"/>
      <c r="Q673" s="799"/>
      <c r="R673" s="799"/>
      <c r="S673" s="799"/>
      <c r="T673" s="799"/>
      <c r="U673" s="799"/>
      <c r="V673" s="799"/>
      <c r="W673" s="799"/>
      <c r="X673" s="799"/>
      <c r="Y673" s="799"/>
      <c r="Z673" s="799"/>
      <c r="AA673" s="799"/>
      <c r="AB673" s="799"/>
      <c r="AC673" s="799"/>
      <c r="AD673" s="799"/>
      <c r="AE673" s="799"/>
      <c r="AF673" s="799"/>
      <c r="AG673" s="799"/>
      <c r="AH673" s="799"/>
      <c r="AI673" s="799"/>
      <c r="AJ673" s="799"/>
      <c r="AK673" s="799"/>
      <c r="AL673" s="799"/>
      <c r="AM673" s="799"/>
      <c r="AN673" s="799"/>
      <c r="AO673" s="799"/>
      <c r="AP673" s="799"/>
      <c r="AQ673" s="799"/>
      <c r="AR673" s="799"/>
      <c r="AS673" s="799"/>
      <c r="AT673" s="799"/>
      <c r="AU673" s="799"/>
      <c r="AV673" s="799"/>
      <c r="AW673" s="799"/>
      <c r="AX673" s="799"/>
      <c r="AY673" s="799"/>
      <c r="AZ673" s="799"/>
      <c r="BA673" s="799"/>
      <c r="BB673" s="799"/>
      <c r="BC673" s="799"/>
      <c r="BD673" s="799"/>
      <c r="BE673" s="799"/>
      <c r="BF673" s="799"/>
      <c r="BG673" s="799"/>
    </row>
    <row r="674">
      <c r="H674" s="799"/>
      <c r="I674" s="799"/>
      <c r="J674" s="799"/>
      <c r="K674" s="799"/>
      <c r="L674" s="799"/>
      <c r="M674" s="799"/>
      <c r="N674" s="799"/>
      <c r="O674" s="799"/>
      <c r="P674" s="799"/>
      <c r="Q674" s="799"/>
      <c r="R674" s="799"/>
      <c r="S674" s="799"/>
      <c r="T674" s="799"/>
      <c r="U674" s="799"/>
      <c r="V674" s="799"/>
      <c r="W674" s="799"/>
      <c r="X674" s="799"/>
      <c r="Y674" s="799"/>
      <c r="Z674" s="799"/>
      <c r="AA674" s="799"/>
      <c r="AB674" s="799"/>
      <c r="AC674" s="799"/>
      <c r="AD674" s="799"/>
      <c r="AE674" s="799"/>
      <c r="AF674" s="799"/>
      <c r="AG674" s="799"/>
      <c r="AH674" s="799"/>
      <c r="AI674" s="799"/>
      <c r="AJ674" s="799"/>
      <c r="AK674" s="799"/>
      <c r="AL674" s="799"/>
      <c r="AM674" s="799"/>
      <c r="AN674" s="799"/>
      <c r="AO674" s="799"/>
      <c r="AP674" s="799"/>
      <c r="AQ674" s="799"/>
      <c r="AR674" s="799"/>
      <c r="AS674" s="799"/>
      <c r="AT674" s="799"/>
      <c r="AU674" s="799"/>
      <c r="AV674" s="799"/>
      <c r="AW674" s="799"/>
      <c r="AX674" s="799"/>
      <c r="AY674" s="799"/>
      <c r="AZ674" s="799"/>
      <c r="BA674" s="799"/>
      <c r="BB674" s="799"/>
      <c r="BC674" s="799"/>
      <c r="BD674" s="799"/>
      <c r="BE674" s="799"/>
      <c r="BF674" s="799"/>
      <c r="BG674" s="799"/>
    </row>
    <row r="675">
      <c r="H675" s="799"/>
      <c r="I675" s="799"/>
      <c r="J675" s="799"/>
      <c r="K675" s="799"/>
      <c r="L675" s="799"/>
      <c r="M675" s="799"/>
      <c r="N675" s="799"/>
      <c r="O675" s="799"/>
      <c r="P675" s="799"/>
      <c r="Q675" s="799"/>
      <c r="R675" s="799"/>
      <c r="S675" s="799"/>
      <c r="T675" s="799"/>
      <c r="U675" s="799"/>
      <c r="V675" s="799"/>
      <c r="W675" s="799"/>
      <c r="X675" s="799"/>
      <c r="Y675" s="799"/>
      <c r="Z675" s="799"/>
      <c r="AA675" s="799"/>
      <c r="AB675" s="799"/>
      <c r="AC675" s="799"/>
      <c r="AD675" s="799"/>
      <c r="AE675" s="799"/>
      <c r="AF675" s="799"/>
      <c r="AG675" s="799"/>
      <c r="AH675" s="799"/>
      <c r="AI675" s="799"/>
      <c r="AJ675" s="799"/>
      <c r="AK675" s="799"/>
      <c r="AL675" s="799"/>
      <c r="AM675" s="799"/>
      <c r="AN675" s="799"/>
      <c r="AO675" s="799"/>
      <c r="AP675" s="799"/>
      <c r="AQ675" s="799"/>
      <c r="AR675" s="799"/>
      <c r="AS675" s="799"/>
      <c r="AT675" s="799"/>
      <c r="AU675" s="799"/>
      <c r="AV675" s="799"/>
      <c r="AW675" s="799"/>
      <c r="AX675" s="799"/>
      <c r="AY675" s="799"/>
      <c r="AZ675" s="799"/>
      <c r="BA675" s="799"/>
      <c r="BB675" s="799"/>
      <c r="BC675" s="799"/>
      <c r="BD675" s="799"/>
      <c r="BE675" s="799"/>
      <c r="BF675" s="799"/>
      <c r="BG675" s="799"/>
    </row>
    <row r="676">
      <c r="H676" s="799"/>
      <c r="I676" s="799"/>
      <c r="J676" s="799"/>
      <c r="K676" s="799"/>
      <c r="L676" s="799"/>
      <c r="M676" s="799"/>
      <c r="N676" s="799"/>
      <c r="O676" s="799"/>
      <c r="P676" s="799"/>
      <c r="Q676" s="799"/>
      <c r="R676" s="799"/>
      <c r="S676" s="799"/>
      <c r="T676" s="799"/>
      <c r="U676" s="799"/>
      <c r="V676" s="799"/>
      <c r="W676" s="799"/>
      <c r="X676" s="799"/>
      <c r="Y676" s="799"/>
      <c r="Z676" s="799"/>
      <c r="AA676" s="799"/>
      <c r="AB676" s="799"/>
      <c r="AC676" s="799"/>
      <c r="AD676" s="799"/>
      <c r="AE676" s="799"/>
      <c r="AF676" s="799"/>
      <c r="AG676" s="799"/>
      <c r="AH676" s="799"/>
      <c r="AI676" s="799"/>
      <c r="AJ676" s="799"/>
      <c r="AK676" s="799"/>
      <c r="AL676" s="799"/>
      <c r="AM676" s="799"/>
      <c r="AN676" s="799"/>
      <c r="AO676" s="799"/>
      <c r="AP676" s="799"/>
      <c r="AQ676" s="799"/>
      <c r="AR676" s="799"/>
      <c r="AS676" s="799"/>
      <c r="AT676" s="799"/>
      <c r="AU676" s="799"/>
      <c r="AV676" s="799"/>
      <c r="AW676" s="799"/>
      <c r="AX676" s="799"/>
      <c r="AY676" s="799"/>
      <c r="AZ676" s="799"/>
      <c r="BA676" s="799"/>
      <c r="BB676" s="799"/>
      <c r="BC676" s="799"/>
      <c r="BD676" s="799"/>
      <c r="BE676" s="799"/>
      <c r="BF676" s="799"/>
      <c r="BG676" s="799"/>
    </row>
    <row r="677">
      <c r="H677" s="799"/>
      <c r="I677" s="799"/>
      <c r="J677" s="799"/>
      <c r="K677" s="799"/>
      <c r="L677" s="799"/>
      <c r="M677" s="799"/>
      <c r="N677" s="799"/>
      <c r="O677" s="799"/>
      <c r="P677" s="799"/>
      <c r="Q677" s="799"/>
      <c r="R677" s="799"/>
      <c r="S677" s="799"/>
      <c r="T677" s="799"/>
      <c r="U677" s="799"/>
      <c r="V677" s="799"/>
      <c r="W677" s="799"/>
      <c r="X677" s="799"/>
      <c r="Y677" s="799"/>
      <c r="Z677" s="799"/>
      <c r="AA677" s="799"/>
      <c r="AB677" s="799"/>
      <c r="AC677" s="799"/>
      <c r="AD677" s="799"/>
      <c r="AE677" s="799"/>
      <c r="AF677" s="799"/>
      <c r="AG677" s="799"/>
      <c r="AH677" s="799"/>
      <c r="AI677" s="799"/>
      <c r="AJ677" s="799"/>
      <c r="AK677" s="799"/>
      <c r="AL677" s="799"/>
      <c r="AM677" s="799"/>
      <c r="AN677" s="799"/>
      <c r="AO677" s="799"/>
      <c r="AP677" s="799"/>
      <c r="AQ677" s="799"/>
      <c r="AR677" s="799"/>
      <c r="AS677" s="799"/>
      <c r="AT677" s="799"/>
      <c r="AU677" s="799"/>
      <c r="AV677" s="799"/>
      <c r="AW677" s="799"/>
      <c r="AX677" s="799"/>
      <c r="AY677" s="799"/>
      <c r="AZ677" s="799"/>
      <c r="BA677" s="799"/>
      <c r="BB677" s="799"/>
      <c r="BC677" s="799"/>
      <c r="BD677" s="799"/>
      <c r="BE677" s="799"/>
      <c r="BF677" s="799"/>
      <c r="BG677" s="799"/>
    </row>
    <row r="678">
      <c r="H678" s="799"/>
      <c r="I678" s="799"/>
      <c r="J678" s="799"/>
      <c r="K678" s="799"/>
      <c r="L678" s="799"/>
      <c r="M678" s="799"/>
      <c r="N678" s="799"/>
      <c r="O678" s="799"/>
      <c r="P678" s="799"/>
      <c r="Q678" s="799"/>
      <c r="R678" s="799"/>
      <c r="S678" s="799"/>
      <c r="T678" s="799"/>
      <c r="U678" s="799"/>
      <c r="V678" s="799"/>
      <c r="W678" s="799"/>
      <c r="X678" s="799"/>
      <c r="Y678" s="799"/>
      <c r="Z678" s="799"/>
      <c r="AA678" s="799"/>
      <c r="AB678" s="799"/>
      <c r="AC678" s="799"/>
      <c r="AD678" s="799"/>
      <c r="AE678" s="799"/>
      <c r="AF678" s="799"/>
      <c r="AG678" s="799"/>
      <c r="AH678" s="799"/>
      <c r="AI678" s="799"/>
      <c r="AJ678" s="799"/>
      <c r="AK678" s="799"/>
      <c r="AL678" s="799"/>
      <c r="AM678" s="799"/>
      <c r="AN678" s="799"/>
      <c r="AO678" s="799"/>
      <c r="AP678" s="799"/>
      <c r="AQ678" s="799"/>
      <c r="AR678" s="799"/>
      <c r="AS678" s="799"/>
      <c r="AT678" s="799"/>
      <c r="AU678" s="799"/>
      <c r="AV678" s="799"/>
      <c r="AW678" s="799"/>
      <c r="AX678" s="799"/>
      <c r="AY678" s="799"/>
      <c r="AZ678" s="799"/>
      <c r="BA678" s="799"/>
      <c r="BB678" s="799"/>
      <c r="BC678" s="799"/>
      <c r="BD678" s="799"/>
      <c r="BE678" s="799"/>
      <c r="BF678" s="799"/>
      <c r="BG678" s="799"/>
    </row>
    <row r="679">
      <c r="H679" s="799"/>
      <c r="I679" s="799"/>
      <c r="J679" s="799"/>
      <c r="K679" s="799"/>
      <c r="L679" s="799"/>
      <c r="M679" s="799"/>
      <c r="N679" s="799"/>
      <c r="O679" s="799"/>
      <c r="P679" s="799"/>
      <c r="Q679" s="799"/>
      <c r="R679" s="799"/>
      <c r="S679" s="799"/>
      <c r="T679" s="799"/>
      <c r="U679" s="799"/>
      <c r="V679" s="799"/>
      <c r="W679" s="799"/>
      <c r="X679" s="799"/>
      <c r="Y679" s="799"/>
      <c r="Z679" s="799"/>
      <c r="AA679" s="799"/>
      <c r="AB679" s="799"/>
      <c r="AC679" s="799"/>
      <c r="AD679" s="799"/>
      <c r="AE679" s="799"/>
      <c r="AF679" s="799"/>
      <c r="AG679" s="799"/>
      <c r="AH679" s="799"/>
      <c r="AI679" s="799"/>
      <c r="AJ679" s="799"/>
      <c r="AK679" s="799"/>
      <c r="AL679" s="799"/>
      <c r="AM679" s="799"/>
      <c r="AN679" s="799"/>
      <c r="AO679" s="799"/>
      <c r="AP679" s="799"/>
      <c r="AQ679" s="799"/>
      <c r="AR679" s="799"/>
      <c r="AS679" s="799"/>
      <c r="AT679" s="799"/>
      <c r="AU679" s="799"/>
      <c r="AV679" s="799"/>
      <c r="AW679" s="799"/>
      <c r="AX679" s="799"/>
      <c r="AY679" s="799"/>
      <c r="AZ679" s="799"/>
      <c r="BA679" s="799"/>
      <c r="BB679" s="799"/>
      <c r="BC679" s="799"/>
      <c r="BD679" s="799"/>
      <c r="BE679" s="799"/>
      <c r="BF679" s="799"/>
      <c r="BG679" s="799"/>
    </row>
    <row r="680">
      <c r="H680" s="799"/>
      <c r="I680" s="799"/>
      <c r="J680" s="799"/>
      <c r="K680" s="799"/>
      <c r="L680" s="799"/>
      <c r="M680" s="799"/>
      <c r="N680" s="799"/>
      <c r="O680" s="799"/>
      <c r="P680" s="799"/>
      <c r="Q680" s="799"/>
      <c r="R680" s="799"/>
      <c r="S680" s="799"/>
      <c r="T680" s="799"/>
      <c r="U680" s="799"/>
      <c r="V680" s="799"/>
      <c r="W680" s="799"/>
      <c r="X680" s="799"/>
      <c r="Y680" s="799"/>
      <c r="Z680" s="799"/>
      <c r="AA680" s="799"/>
      <c r="AB680" s="799"/>
      <c r="AC680" s="799"/>
      <c r="AD680" s="799"/>
      <c r="AE680" s="799"/>
      <c r="AF680" s="799"/>
      <c r="AG680" s="799"/>
      <c r="AH680" s="799"/>
      <c r="AI680" s="799"/>
      <c r="AJ680" s="799"/>
      <c r="AK680" s="799"/>
      <c r="AL680" s="799"/>
      <c r="AM680" s="799"/>
      <c r="AN680" s="799"/>
      <c r="AO680" s="799"/>
      <c r="AP680" s="799"/>
      <c r="AQ680" s="799"/>
      <c r="AR680" s="799"/>
      <c r="AS680" s="799"/>
      <c r="AT680" s="799"/>
      <c r="AU680" s="799"/>
      <c r="AV680" s="799"/>
      <c r="AW680" s="799"/>
      <c r="AX680" s="799"/>
      <c r="AY680" s="799"/>
      <c r="AZ680" s="799"/>
      <c r="BA680" s="799"/>
      <c r="BB680" s="799"/>
      <c r="BC680" s="799"/>
      <c r="BD680" s="799"/>
      <c r="BE680" s="799"/>
      <c r="BF680" s="799"/>
      <c r="BG680" s="799"/>
    </row>
    <row r="681">
      <c r="H681" s="799"/>
      <c r="I681" s="799"/>
      <c r="J681" s="799"/>
      <c r="K681" s="799"/>
      <c r="L681" s="799"/>
      <c r="M681" s="799"/>
      <c r="N681" s="799"/>
      <c r="O681" s="799"/>
      <c r="P681" s="799"/>
      <c r="Q681" s="799"/>
      <c r="R681" s="799"/>
      <c r="S681" s="799"/>
      <c r="T681" s="799"/>
      <c r="U681" s="799"/>
      <c r="V681" s="799"/>
      <c r="W681" s="799"/>
      <c r="X681" s="799"/>
      <c r="Y681" s="799"/>
      <c r="Z681" s="799"/>
      <c r="AA681" s="799"/>
      <c r="AB681" s="799"/>
      <c r="AC681" s="799"/>
      <c r="AD681" s="799"/>
      <c r="AE681" s="799"/>
      <c r="AF681" s="799"/>
      <c r="AG681" s="799"/>
      <c r="AH681" s="799"/>
      <c r="AI681" s="799"/>
      <c r="AJ681" s="799"/>
      <c r="AK681" s="799"/>
      <c r="AL681" s="799"/>
      <c r="AM681" s="799"/>
      <c r="AN681" s="799"/>
      <c r="AO681" s="799"/>
      <c r="AP681" s="799"/>
      <c r="AQ681" s="799"/>
      <c r="AR681" s="799"/>
      <c r="AS681" s="799"/>
      <c r="AT681" s="799"/>
      <c r="AU681" s="799"/>
      <c r="AV681" s="799"/>
      <c r="AW681" s="799"/>
      <c r="AX681" s="799"/>
      <c r="AY681" s="799"/>
      <c r="AZ681" s="799"/>
      <c r="BA681" s="799"/>
      <c r="BB681" s="799"/>
      <c r="BC681" s="799"/>
      <c r="BD681" s="799"/>
      <c r="BE681" s="799"/>
      <c r="BF681" s="799"/>
      <c r="BG681" s="799"/>
    </row>
    <row r="682">
      <c r="H682" s="799"/>
      <c r="I682" s="799"/>
      <c r="J682" s="799"/>
      <c r="K682" s="799"/>
      <c r="L682" s="799"/>
      <c r="M682" s="799"/>
      <c r="N682" s="799"/>
      <c r="O682" s="799"/>
      <c r="P682" s="799"/>
      <c r="Q682" s="799"/>
      <c r="R682" s="799"/>
      <c r="S682" s="799"/>
      <c r="T682" s="799"/>
      <c r="U682" s="799"/>
      <c r="V682" s="799"/>
      <c r="W682" s="799"/>
      <c r="X682" s="799"/>
      <c r="Y682" s="799"/>
      <c r="Z682" s="799"/>
      <c r="AA682" s="799"/>
      <c r="AB682" s="799"/>
      <c r="AC682" s="799"/>
      <c r="AD682" s="799"/>
      <c r="AE682" s="799"/>
      <c r="AF682" s="799"/>
      <c r="AG682" s="799"/>
      <c r="AH682" s="799"/>
      <c r="AI682" s="799"/>
      <c r="AJ682" s="799"/>
      <c r="AK682" s="799"/>
      <c r="AL682" s="799"/>
      <c r="AM682" s="799"/>
      <c r="AN682" s="799"/>
      <c r="AO682" s="799"/>
      <c r="AP682" s="799"/>
      <c r="AQ682" s="799"/>
      <c r="AR682" s="799"/>
      <c r="AS682" s="799"/>
      <c r="AT682" s="799"/>
      <c r="AU682" s="799"/>
      <c r="AV682" s="799"/>
      <c r="AW682" s="799"/>
      <c r="AX682" s="799"/>
      <c r="AY682" s="799"/>
      <c r="AZ682" s="799"/>
      <c r="BA682" s="799"/>
      <c r="BB682" s="799"/>
      <c r="BC682" s="799"/>
      <c r="BD682" s="799"/>
      <c r="BE682" s="799"/>
      <c r="BF682" s="799"/>
      <c r="BG682" s="799"/>
    </row>
    <row r="683">
      <c r="H683" s="799"/>
      <c r="I683" s="799"/>
      <c r="J683" s="799"/>
      <c r="K683" s="799"/>
      <c r="L683" s="799"/>
      <c r="M683" s="799"/>
      <c r="N683" s="799"/>
      <c r="O683" s="799"/>
      <c r="P683" s="799"/>
      <c r="Q683" s="799"/>
      <c r="R683" s="799"/>
      <c r="S683" s="799"/>
      <c r="T683" s="799"/>
      <c r="U683" s="799"/>
      <c r="V683" s="799"/>
      <c r="W683" s="799"/>
      <c r="X683" s="799"/>
      <c r="Y683" s="799"/>
      <c r="Z683" s="799"/>
      <c r="AA683" s="799"/>
      <c r="AB683" s="799"/>
      <c r="AC683" s="799"/>
      <c r="AD683" s="799"/>
      <c r="AE683" s="799"/>
      <c r="AF683" s="799"/>
      <c r="AG683" s="799"/>
      <c r="AH683" s="799"/>
      <c r="AI683" s="799"/>
      <c r="AJ683" s="799"/>
      <c r="AK683" s="799"/>
      <c r="AL683" s="799"/>
      <c r="AM683" s="799"/>
      <c r="AN683" s="799"/>
      <c r="AO683" s="799"/>
      <c r="AP683" s="799"/>
      <c r="AQ683" s="799"/>
      <c r="AR683" s="799"/>
      <c r="AS683" s="799"/>
      <c r="AT683" s="799"/>
      <c r="AU683" s="799"/>
      <c r="AV683" s="799"/>
      <c r="AW683" s="799"/>
      <c r="AX683" s="799"/>
      <c r="AY683" s="799"/>
      <c r="AZ683" s="799"/>
      <c r="BA683" s="799"/>
      <c r="BB683" s="799"/>
      <c r="BC683" s="799"/>
      <c r="BD683" s="799"/>
      <c r="BE683" s="799"/>
      <c r="BF683" s="799"/>
      <c r="BG683" s="799"/>
    </row>
    <row r="684">
      <c r="H684" s="799"/>
      <c r="I684" s="799"/>
      <c r="J684" s="799"/>
      <c r="K684" s="799"/>
      <c r="L684" s="799"/>
      <c r="M684" s="799"/>
      <c r="N684" s="799"/>
      <c r="O684" s="799"/>
      <c r="P684" s="799"/>
      <c r="Q684" s="799"/>
      <c r="R684" s="799"/>
      <c r="S684" s="799"/>
      <c r="T684" s="799"/>
      <c r="U684" s="799"/>
      <c r="V684" s="799"/>
      <c r="W684" s="799"/>
      <c r="X684" s="799"/>
      <c r="Y684" s="799"/>
      <c r="Z684" s="799"/>
      <c r="AA684" s="799"/>
      <c r="AB684" s="799"/>
      <c r="AC684" s="799"/>
      <c r="AD684" s="799"/>
      <c r="AE684" s="799"/>
      <c r="AF684" s="799"/>
      <c r="AG684" s="799"/>
      <c r="AH684" s="799"/>
      <c r="AI684" s="799"/>
      <c r="AJ684" s="799"/>
      <c r="AK684" s="799"/>
      <c r="AL684" s="799"/>
      <c r="AM684" s="799"/>
      <c r="AN684" s="799"/>
      <c r="AO684" s="799"/>
      <c r="AP684" s="799"/>
      <c r="AQ684" s="799"/>
      <c r="AR684" s="799"/>
      <c r="AS684" s="799"/>
      <c r="AT684" s="799"/>
      <c r="AU684" s="799"/>
      <c r="AV684" s="799"/>
      <c r="AW684" s="799"/>
      <c r="AX684" s="799"/>
      <c r="AY684" s="799"/>
      <c r="AZ684" s="799"/>
      <c r="BA684" s="799"/>
      <c r="BB684" s="799"/>
      <c r="BC684" s="799"/>
      <c r="BD684" s="799"/>
      <c r="BE684" s="799"/>
      <c r="BF684" s="799"/>
      <c r="BG684" s="799"/>
    </row>
    <row r="685">
      <c r="H685" s="799"/>
      <c r="I685" s="799"/>
      <c r="J685" s="799"/>
      <c r="K685" s="799"/>
      <c r="L685" s="799"/>
      <c r="M685" s="799"/>
      <c r="N685" s="799"/>
      <c r="O685" s="799"/>
      <c r="P685" s="799"/>
      <c r="Q685" s="799"/>
      <c r="R685" s="799"/>
      <c r="S685" s="799"/>
      <c r="T685" s="799"/>
      <c r="U685" s="799"/>
      <c r="V685" s="799"/>
      <c r="W685" s="799"/>
      <c r="X685" s="799"/>
      <c r="Y685" s="799"/>
      <c r="Z685" s="799"/>
      <c r="AA685" s="799"/>
      <c r="AB685" s="799"/>
      <c r="AC685" s="799"/>
      <c r="AD685" s="799"/>
      <c r="AE685" s="799"/>
      <c r="AF685" s="799"/>
      <c r="AG685" s="799"/>
      <c r="AH685" s="799"/>
      <c r="AI685" s="799"/>
      <c r="AJ685" s="799"/>
      <c r="AK685" s="799"/>
      <c r="AL685" s="799"/>
      <c r="AM685" s="799"/>
      <c r="AN685" s="799"/>
      <c r="AO685" s="799"/>
      <c r="AP685" s="799"/>
      <c r="AQ685" s="799"/>
      <c r="AR685" s="799"/>
      <c r="AS685" s="799"/>
      <c r="AT685" s="799"/>
      <c r="AU685" s="799"/>
      <c r="AV685" s="799"/>
      <c r="AW685" s="799"/>
      <c r="AX685" s="799"/>
      <c r="AY685" s="799"/>
      <c r="AZ685" s="799"/>
      <c r="BA685" s="799"/>
      <c r="BB685" s="799"/>
      <c r="BC685" s="799"/>
      <c r="BD685" s="799"/>
      <c r="BE685" s="799"/>
      <c r="BF685" s="799"/>
      <c r="BG685" s="799"/>
    </row>
    <row r="686">
      <c r="H686" s="799"/>
      <c r="I686" s="799"/>
      <c r="J686" s="799"/>
      <c r="K686" s="799"/>
      <c r="L686" s="799"/>
      <c r="M686" s="799"/>
      <c r="N686" s="799"/>
      <c r="O686" s="799"/>
      <c r="P686" s="799"/>
      <c r="Q686" s="799"/>
      <c r="R686" s="799"/>
      <c r="S686" s="799"/>
      <c r="T686" s="799"/>
      <c r="U686" s="799"/>
      <c r="V686" s="799"/>
      <c r="W686" s="799"/>
      <c r="X686" s="799"/>
      <c r="Y686" s="799"/>
      <c r="Z686" s="799"/>
      <c r="AA686" s="799"/>
      <c r="AB686" s="799"/>
      <c r="AC686" s="799"/>
      <c r="AD686" s="799"/>
      <c r="AE686" s="799"/>
      <c r="AF686" s="799"/>
      <c r="AG686" s="799"/>
      <c r="AH686" s="799"/>
      <c r="AI686" s="799"/>
      <c r="AJ686" s="799"/>
      <c r="AK686" s="799"/>
      <c r="AL686" s="799"/>
      <c r="AM686" s="799"/>
      <c r="AN686" s="799"/>
      <c r="AO686" s="799"/>
      <c r="AP686" s="799"/>
      <c r="AQ686" s="799"/>
      <c r="AR686" s="799"/>
      <c r="AS686" s="799"/>
      <c r="AT686" s="799"/>
      <c r="AU686" s="799"/>
      <c r="AV686" s="799"/>
      <c r="AW686" s="799"/>
      <c r="AX686" s="799"/>
      <c r="AY686" s="799"/>
      <c r="AZ686" s="799"/>
      <c r="BA686" s="799"/>
      <c r="BB686" s="799"/>
      <c r="BC686" s="799"/>
      <c r="BD686" s="799"/>
      <c r="BE686" s="799"/>
      <c r="BF686" s="799"/>
      <c r="BG686" s="799"/>
    </row>
    <row r="687">
      <c r="H687" s="799"/>
      <c r="I687" s="799"/>
      <c r="J687" s="799"/>
      <c r="K687" s="799"/>
      <c r="L687" s="799"/>
      <c r="M687" s="799"/>
      <c r="N687" s="799"/>
      <c r="O687" s="799"/>
      <c r="P687" s="799"/>
      <c r="Q687" s="799"/>
      <c r="R687" s="799"/>
      <c r="S687" s="799"/>
      <c r="T687" s="799"/>
      <c r="U687" s="799"/>
      <c r="V687" s="799"/>
      <c r="W687" s="799"/>
      <c r="X687" s="799"/>
      <c r="Y687" s="799"/>
      <c r="Z687" s="799"/>
      <c r="AA687" s="799"/>
      <c r="AB687" s="799"/>
      <c r="AC687" s="799"/>
      <c r="AD687" s="799"/>
      <c r="AE687" s="799"/>
      <c r="AF687" s="799"/>
      <c r="AG687" s="799"/>
      <c r="AH687" s="799"/>
      <c r="AI687" s="799"/>
      <c r="AJ687" s="799"/>
      <c r="AK687" s="799"/>
      <c r="AL687" s="799"/>
      <c r="AM687" s="799"/>
      <c r="AN687" s="799"/>
      <c r="AO687" s="799"/>
      <c r="AP687" s="799"/>
      <c r="AQ687" s="799"/>
      <c r="AR687" s="799"/>
      <c r="AS687" s="799"/>
      <c r="AT687" s="799"/>
      <c r="AU687" s="799"/>
      <c r="AV687" s="799"/>
      <c r="AW687" s="799"/>
      <c r="AX687" s="799"/>
      <c r="AY687" s="799"/>
      <c r="AZ687" s="799"/>
      <c r="BA687" s="799"/>
      <c r="BB687" s="799"/>
      <c r="BC687" s="799"/>
      <c r="BD687" s="799"/>
      <c r="BE687" s="799"/>
      <c r="BF687" s="799"/>
      <c r="BG687" s="799"/>
    </row>
    <row r="688">
      <c r="H688" s="799"/>
      <c r="I688" s="799"/>
      <c r="J688" s="799"/>
      <c r="K688" s="799"/>
      <c r="L688" s="799"/>
      <c r="M688" s="799"/>
      <c r="N688" s="799"/>
      <c r="O688" s="799"/>
      <c r="P688" s="799"/>
      <c r="Q688" s="799"/>
      <c r="R688" s="799"/>
      <c r="S688" s="799"/>
      <c r="T688" s="799"/>
      <c r="U688" s="799"/>
      <c r="V688" s="799"/>
      <c r="W688" s="799"/>
      <c r="X688" s="799"/>
      <c r="Y688" s="799"/>
      <c r="Z688" s="799"/>
      <c r="AA688" s="799"/>
      <c r="AB688" s="799"/>
      <c r="AC688" s="799"/>
      <c r="AD688" s="799"/>
      <c r="AE688" s="799"/>
      <c r="AF688" s="799"/>
      <c r="AG688" s="799"/>
      <c r="AH688" s="799"/>
      <c r="AI688" s="799"/>
      <c r="AJ688" s="799"/>
      <c r="AK688" s="799"/>
      <c r="AL688" s="799"/>
      <c r="AM688" s="799"/>
      <c r="AN688" s="799"/>
      <c r="AO688" s="799"/>
      <c r="AP688" s="799"/>
      <c r="AQ688" s="799"/>
      <c r="AR688" s="799"/>
      <c r="AS688" s="799"/>
      <c r="AT688" s="799"/>
      <c r="AU688" s="799"/>
      <c r="AV688" s="799"/>
      <c r="AW688" s="799"/>
      <c r="AX688" s="799"/>
      <c r="AY688" s="799"/>
      <c r="AZ688" s="799"/>
      <c r="BA688" s="799"/>
      <c r="BB688" s="799"/>
      <c r="BC688" s="799"/>
      <c r="BD688" s="799"/>
      <c r="BE688" s="799"/>
      <c r="BF688" s="799"/>
      <c r="BG688" s="799"/>
    </row>
    <row r="689">
      <c r="H689" s="799"/>
      <c r="I689" s="799"/>
      <c r="J689" s="799"/>
      <c r="K689" s="799"/>
      <c r="L689" s="799"/>
      <c r="M689" s="799"/>
      <c r="N689" s="799"/>
      <c r="O689" s="799"/>
      <c r="P689" s="799"/>
      <c r="Q689" s="799"/>
      <c r="R689" s="799"/>
      <c r="S689" s="799"/>
      <c r="T689" s="799"/>
      <c r="U689" s="799"/>
      <c r="V689" s="799"/>
      <c r="W689" s="799"/>
      <c r="X689" s="799"/>
      <c r="Y689" s="799"/>
      <c r="Z689" s="799"/>
      <c r="AA689" s="799"/>
      <c r="AB689" s="799"/>
      <c r="AC689" s="799"/>
      <c r="AD689" s="799"/>
      <c r="AE689" s="799"/>
      <c r="AF689" s="799"/>
      <c r="AG689" s="799"/>
      <c r="AH689" s="799"/>
      <c r="AI689" s="799"/>
      <c r="AJ689" s="799"/>
      <c r="AK689" s="799"/>
      <c r="AL689" s="799"/>
      <c r="AM689" s="799"/>
      <c r="AN689" s="799"/>
      <c r="AO689" s="799"/>
      <c r="AP689" s="799"/>
      <c r="AQ689" s="799"/>
      <c r="AR689" s="799"/>
      <c r="AS689" s="799"/>
      <c r="AT689" s="799"/>
      <c r="AU689" s="799"/>
      <c r="AV689" s="799"/>
      <c r="AW689" s="799"/>
      <c r="AX689" s="799"/>
      <c r="AY689" s="799"/>
      <c r="AZ689" s="799"/>
      <c r="BA689" s="799"/>
      <c r="BB689" s="799"/>
      <c r="BC689" s="799"/>
      <c r="BD689" s="799"/>
      <c r="BE689" s="799"/>
      <c r="BF689" s="799"/>
      <c r="BG689" s="799"/>
    </row>
    <row r="690">
      <c r="H690" s="799"/>
      <c r="I690" s="799"/>
      <c r="J690" s="799"/>
      <c r="K690" s="799"/>
      <c r="L690" s="799"/>
      <c r="M690" s="799"/>
      <c r="N690" s="799"/>
      <c r="O690" s="799"/>
      <c r="P690" s="799"/>
      <c r="Q690" s="799"/>
      <c r="R690" s="799"/>
      <c r="S690" s="799"/>
      <c r="T690" s="799"/>
      <c r="U690" s="799"/>
      <c r="V690" s="799"/>
      <c r="W690" s="799"/>
      <c r="X690" s="799"/>
      <c r="Y690" s="799"/>
      <c r="Z690" s="799"/>
      <c r="AA690" s="799"/>
      <c r="AB690" s="799"/>
      <c r="AC690" s="799"/>
      <c r="AD690" s="799"/>
      <c r="AE690" s="799"/>
      <c r="AF690" s="799"/>
      <c r="AG690" s="799"/>
      <c r="AH690" s="799"/>
      <c r="AI690" s="799"/>
      <c r="AJ690" s="799"/>
      <c r="AK690" s="799"/>
      <c r="AL690" s="799"/>
      <c r="AM690" s="799"/>
      <c r="AN690" s="799"/>
      <c r="AO690" s="799"/>
      <c r="AP690" s="799"/>
      <c r="AQ690" s="799"/>
      <c r="AR690" s="799"/>
      <c r="AS690" s="799"/>
      <c r="AT690" s="799"/>
      <c r="AU690" s="799"/>
      <c r="AV690" s="799"/>
      <c r="AW690" s="799"/>
      <c r="AX690" s="799"/>
      <c r="AY690" s="799"/>
      <c r="AZ690" s="799"/>
      <c r="BA690" s="799"/>
      <c r="BB690" s="799"/>
      <c r="BC690" s="799"/>
      <c r="BD690" s="799"/>
      <c r="BE690" s="799"/>
      <c r="BF690" s="799"/>
      <c r="BG690" s="799"/>
    </row>
    <row r="691">
      <c r="H691" s="799"/>
      <c r="I691" s="799"/>
      <c r="J691" s="799"/>
      <c r="K691" s="799"/>
      <c r="L691" s="799"/>
      <c r="M691" s="799"/>
      <c r="N691" s="799"/>
      <c r="O691" s="799"/>
      <c r="P691" s="799"/>
      <c r="Q691" s="799"/>
      <c r="R691" s="799"/>
      <c r="S691" s="799"/>
      <c r="T691" s="799"/>
      <c r="U691" s="799"/>
      <c r="V691" s="799"/>
      <c r="W691" s="799"/>
      <c r="X691" s="799"/>
      <c r="Y691" s="799"/>
      <c r="Z691" s="799"/>
      <c r="AA691" s="799"/>
      <c r="AB691" s="799"/>
      <c r="AC691" s="799"/>
      <c r="AD691" s="799"/>
      <c r="AE691" s="799"/>
      <c r="AF691" s="799"/>
      <c r="AG691" s="799"/>
      <c r="AH691" s="799"/>
      <c r="AI691" s="799"/>
      <c r="AJ691" s="799"/>
      <c r="AK691" s="799"/>
      <c r="AL691" s="799"/>
      <c r="AM691" s="799"/>
      <c r="AN691" s="799"/>
      <c r="AO691" s="799"/>
      <c r="AP691" s="799"/>
      <c r="AQ691" s="799"/>
      <c r="AR691" s="799"/>
      <c r="AS691" s="799"/>
      <c r="AT691" s="799"/>
      <c r="AU691" s="799"/>
      <c r="AV691" s="799"/>
      <c r="AW691" s="799"/>
      <c r="AX691" s="799"/>
      <c r="AY691" s="799"/>
      <c r="AZ691" s="799"/>
      <c r="BA691" s="799"/>
      <c r="BB691" s="799"/>
      <c r="BC691" s="799"/>
      <c r="BD691" s="799"/>
      <c r="BE691" s="799"/>
      <c r="BF691" s="799"/>
      <c r="BG691" s="799"/>
    </row>
    <row r="692">
      <c r="H692" s="799"/>
      <c r="I692" s="799"/>
      <c r="J692" s="799"/>
      <c r="K692" s="799"/>
      <c r="L692" s="799"/>
      <c r="M692" s="799"/>
      <c r="N692" s="799"/>
      <c r="O692" s="799"/>
      <c r="P692" s="799"/>
      <c r="Q692" s="799"/>
      <c r="R692" s="799"/>
      <c r="S692" s="799"/>
      <c r="T692" s="799"/>
      <c r="U692" s="799"/>
      <c r="V692" s="799"/>
      <c r="W692" s="799"/>
      <c r="X692" s="799"/>
      <c r="Y692" s="799"/>
      <c r="Z692" s="799"/>
      <c r="AA692" s="799"/>
      <c r="AB692" s="799"/>
      <c r="AC692" s="799"/>
      <c r="AD692" s="799"/>
      <c r="AE692" s="799"/>
      <c r="AF692" s="799"/>
      <c r="AG692" s="799"/>
      <c r="AH692" s="799"/>
      <c r="AI692" s="799"/>
      <c r="AJ692" s="799"/>
      <c r="AK692" s="799"/>
      <c r="AL692" s="799"/>
      <c r="AM692" s="799"/>
      <c r="AN692" s="799"/>
      <c r="AO692" s="799"/>
      <c r="AP692" s="799"/>
      <c r="AQ692" s="799"/>
      <c r="AR692" s="799"/>
      <c r="AS692" s="799"/>
      <c r="AT692" s="799"/>
      <c r="AU692" s="799"/>
      <c r="AV692" s="799"/>
      <c r="AW692" s="799"/>
      <c r="AX692" s="799"/>
      <c r="AY692" s="799"/>
      <c r="AZ692" s="799"/>
      <c r="BA692" s="799"/>
      <c r="BB692" s="799"/>
      <c r="BC692" s="799"/>
      <c r="BD692" s="799"/>
      <c r="BE692" s="799"/>
      <c r="BF692" s="799"/>
      <c r="BG692" s="799"/>
    </row>
    <row r="693">
      <c r="H693" s="799"/>
      <c r="I693" s="799"/>
      <c r="J693" s="799"/>
      <c r="K693" s="799"/>
      <c r="L693" s="799"/>
      <c r="M693" s="799"/>
      <c r="N693" s="799"/>
      <c r="O693" s="799"/>
      <c r="P693" s="799"/>
      <c r="Q693" s="799"/>
      <c r="R693" s="799"/>
      <c r="S693" s="799"/>
      <c r="T693" s="799"/>
      <c r="U693" s="799"/>
      <c r="V693" s="799"/>
      <c r="W693" s="799"/>
      <c r="X693" s="799"/>
      <c r="Y693" s="799"/>
      <c r="Z693" s="799"/>
      <c r="AA693" s="799"/>
      <c r="AB693" s="799"/>
      <c r="AC693" s="799"/>
      <c r="AD693" s="799"/>
      <c r="AE693" s="799"/>
      <c r="AF693" s="799"/>
      <c r="AG693" s="799"/>
      <c r="AH693" s="799"/>
      <c r="AI693" s="799"/>
      <c r="AJ693" s="799"/>
      <c r="AK693" s="799"/>
      <c r="AL693" s="799"/>
      <c r="AM693" s="799"/>
      <c r="AN693" s="799"/>
      <c r="AO693" s="799"/>
      <c r="AP693" s="799"/>
      <c r="AQ693" s="799"/>
      <c r="AR693" s="799"/>
      <c r="AS693" s="799"/>
      <c r="AT693" s="799"/>
      <c r="AU693" s="799"/>
      <c r="AV693" s="799"/>
      <c r="AW693" s="799"/>
      <c r="AX693" s="799"/>
      <c r="AY693" s="799"/>
      <c r="AZ693" s="799"/>
      <c r="BA693" s="799"/>
      <c r="BB693" s="799"/>
      <c r="BC693" s="799"/>
      <c r="BD693" s="799"/>
      <c r="BE693" s="799"/>
      <c r="BF693" s="799"/>
      <c r="BG693" s="799"/>
    </row>
    <row r="694">
      <c r="H694" s="799"/>
      <c r="I694" s="799"/>
      <c r="J694" s="799"/>
      <c r="K694" s="799"/>
      <c r="L694" s="799"/>
      <c r="M694" s="799"/>
      <c r="N694" s="799"/>
      <c r="O694" s="799"/>
      <c r="P694" s="799"/>
      <c r="Q694" s="799"/>
      <c r="R694" s="799"/>
      <c r="S694" s="799"/>
      <c r="T694" s="799"/>
      <c r="U694" s="799"/>
      <c r="V694" s="799"/>
      <c r="W694" s="799"/>
      <c r="X694" s="799"/>
      <c r="Y694" s="799"/>
      <c r="Z694" s="799"/>
      <c r="AA694" s="799"/>
      <c r="AB694" s="799"/>
      <c r="AC694" s="799"/>
      <c r="AD694" s="799"/>
      <c r="AE694" s="799"/>
      <c r="AF694" s="799"/>
      <c r="AG694" s="799"/>
      <c r="AH694" s="799"/>
      <c r="AI694" s="799"/>
      <c r="AJ694" s="799"/>
      <c r="AK694" s="799"/>
      <c r="AL694" s="799"/>
      <c r="AM694" s="799"/>
      <c r="AN694" s="799"/>
      <c r="AO694" s="799"/>
      <c r="AP694" s="799"/>
      <c r="AQ694" s="799"/>
      <c r="AR694" s="799"/>
      <c r="AS694" s="799"/>
      <c r="AT694" s="799"/>
      <c r="AU694" s="799"/>
      <c r="AV694" s="799"/>
      <c r="AW694" s="799"/>
      <c r="AX694" s="799"/>
      <c r="AY694" s="799"/>
      <c r="AZ694" s="799"/>
      <c r="BA694" s="799"/>
      <c r="BB694" s="799"/>
      <c r="BC694" s="799"/>
      <c r="BD694" s="799"/>
      <c r="BE694" s="799"/>
      <c r="BF694" s="799"/>
      <c r="BG694" s="799"/>
    </row>
    <row r="695">
      <c r="H695" s="799"/>
      <c r="I695" s="799"/>
      <c r="J695" s="799"/>
      <c r="K695" s="799"/>
      <c r="L695" s="799"/>
      <c r="M695" s="799"/>
      <c r="N695" s="799"/>
      <c r="O695" s="799"/>
      <c r="P695" s="799"/>
      <c r="Q695" s="799"/>
      <c r="R695" s="799"/>
      <c r="S695" s="799"/>
      <c r="T695" s="799"/>
      <c r="U695" s="799"/>
      <c r="V695" s="799"/>
      <c r="W695" s="799"/>
      <c r="X695" s="799"/>
      <c r="Y695" s="799"/>
      <c r="Z695" s="799"/>
      <c r="AA695" s="799"/>
      <c r="AB695" s="799"/>
      <c r="AC695" s="799"/>
      <c r="AD695" s="799"/>
      <c r="AE695" s="799"/>
      <c r="AF695" s="799"/>
      <c r="AG695" s="799"/>
      <c r="AH695" s="799"/>
      <c r="AI695" s="799"/>
      <c r="AJ695" s="799"/>
      <c r="AK695" s="799"/>
      <c r="AL695" s="799"/>
      <c r="AM695" s="799"/>
      <c r="AN695" s="799"/>
      <c r="AO695" s="799"/>
      <c r="AP695" s="799"/>
      <c r="AQ695" s="799"/>
      <c r="AR695" s="799"/>
      <c r="AS695" s="799"/>
      <c r="AT695" s="799"/>
      <c r="AU695" s="799"/>
      <c r="AV695" s="799"/>
      <c r="AW695" s="799"/>
      <c r="AX695" s="799"/>
      <c r="AY695" s="799"/>
      <c r="AZ695" s="799"/>
      <c r="BA695" s="799"/>
      <c r="BB695" s="799"/>
      <c r="BC695" s="799"/>
      <c r="BD695" s="799"/>
      <c r="BE695" s="799"/>
      <c r="BF695" s="799"/>
      <c r="BG695" s="799"/>
    </row>
    <row r="696">
      <c r="H696" s="799"/>
      <c r="I696" s="799"/>
      <c r="J696" s="799"/>
      <c r="K696" s="799"/>
      <c r="L696" s="799"/>
      <c r="M696" s="799"/>
      <c r="N696" s="799"/>
      <c r="O696" s="799"/>
      <c r="P696" s="799"/>
      <c r="Q696" s="799"/>
      <c r="R696" s="799"/>
      <c r="S696" s="799"/>
      <c r="T696" s="799"/>
      <c r="U696" s="799"/>
      <c r="V696" s="799"/>
      <c r="W696" s="799"/>
      <c r="X696" s="799"/>
      <c r="Y696" s="799"/>
      <c r="Z696" s="799"/>
      <c r="AA696" s="799"/>
      <c r="AB696" s="799"/>
      <c r="AC696" s="799"/>
      <c r="AD696" s="799"/>
      <c r="AE696" s="799"/>
      <c r="AF696" s="799"/>
      <c r="AG696" s="799"/>
      <c r="AH696" s="799"/>
      <c r="AI696" s="799"/>
      <c r="AJ696" s="799"/>
      <c r="AK696" s="799"/>
      <c r="AL696" s="799"/>
      <c r="AM696" s="799"/>
      <c r="AN696" s="799"/>
      <c r="AO696" s="799"/>
      <c r="AP696" s="799"/>
      <c r="AQ696" s="799"/>
      <c r="AR696" s="799"/>
      <c r="AS696" s="799"/>
      <c r="AT696" s="799"/>
      <c r="AU696" s="799"/>
      <c r="AV696" s="799"/>
      <c r="AW696" s="799"/>
      <c r="AX696" s="799"/>
      <c r="AY696" s="799"/>
      <c r="AZ696" s="799"/>
      <c r="BA696" s="799"/>
      <c r="BB696" s="799"/>
      <c r="BC696" s="799"/>
      <c r="BD696" s="799"/>
      <c r="BE696" s="799"/>
      <c r="BF696" s="799"/>
      <c r="BG696" s="799"/>
    </row>
    <row r="697">
      <c r="H697" s="799"/>
      <c r="I697" s="799"/>
      <c r="J697" s="799"/>
      <c r="K697" s="799"/>
      <c r="L697" s="799"/>
      <c r="M697" s="799"/>
      <c r="N697" s="799"/>
      <c r="O697" s="799"/>
      <c r="P697" s="799"/>
      <c r="Q697" s="799"/>
      <c r="R697" s="799"/>
      <c r="S697" s="799"/>
      <c r="T697" s="799"/>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799"/>
      <c r="AX697" s="799"/>
      <c r="AY697" s="799"/>
      <c r="AZ697" s="799"/>
      <c r="BA697" s="799"/>
      <c r="BB697" s="799"/>
      <c r="BC697" s="799"/>
      <c r="BD697" s="799"/>
      <c r="BE697" s="799"/>
      <c r="BF697" s="799"/>
      <c r="BG697" s="799"/>
    </row>
    <row r="698">
      <c r="H698" s="799"/>
      <c r="I698" s="799"/>
      <c r="J698" s="799"/>
      <c r="K698" s="799"/>
      <c r="L698" s="799"/>
      <c r="M698" s="799"/>
      <c r="N698" s="799"/>
      <c r="O698" s="799"/>
      <c r="P698" s="799"/>
      <c r="Q698" s="799"/>
      <c r="R698" s="799"/>
      <c r="S698" s="799"/>
      <c r="T698" s="799"/>
      <c r="U698" s="799"/>
      <c r="V698" s="799"/>
      <c r="W698" s="799"/>
      <c r="X698" s="799"/>
      <c r="Y698" s="799"/>
      <c r="Z698" s="799"/>
      <c r="AA698" s="799"/>
      <c r="AB698" s="799"/>
      <c r="AC698" s="799"/>
      <c r="AD698" s="799"/>
      <c r="AE698" s="799"/>
      <c r="AF698" s="799"/>
      <c r="AG698" s="799"/>
      <c r="AH698" s="799"/>
      <c r="AI698" s="799"/>
      <c r="AJ698" s="799"/>
      <c r="AK698" s="799"/>
      <c r="AL698" s="799"/>
      <c r="AM698" s="799"/>
      <c r="AN698" s="799"/>
      <c r="AO698" s="799"/>
      <c r="AP698" s="799"/>
      <c r="AQ698" s="799"/>
      <c r="AR698" s="799"/>
      <c r="AS698" s="799"/>
      <c r="AT698" s="799"/>
      <c r="AU698" s="799"/>
      <c r="AV698" s="799"/>
      <c r="AW698" s="799"/>
      <c r="AX698" s="799"/>
      <c r="AY698" s="799"/>
      <c r="AZ698" s="799"/>
      <c r="BA698" s="799"/>
      <c r="BB698" s="799"/>
      <c r="BC698" s="799"/>
      <c r="BD698" s="799"/>
      <c r="BE698" s="799"/>
      <c r="BF698" s="799"/>
      <c r="BG698" s="799"/>
    </row>
    <row r="699">
      <c r="H699" s="799"/>
      <c r="I699" s="799"/>
      <c r="J699" s="799"/>
      <c r="K699" s="799"/>
      <c r="L699" s="799"/>
      <c r="M699" s="799"/>
      <c r="N699" s="799"/>
      <c r="O699" s="799"/>
      <c r="P699" s="799"/>
      <c r="Q699" s="799"/>
      <c r="R699" s="799"/>
      <c r="S699" s="799"/>
      <c r="T699" s="799"/>
      <c r="U699" s="799"/>
      <c r="V699" s="799"/>
      <c r="W699" s="799"/>
      <c r="X699" s="799"/>
      <c r="Y699" s="799"/>
      <c r="Z699" s="799"/>
      <c r="AA699" s="799"/>
      <c r="AB699" s="799"/>
      <c r="AC699" s="799"/>
      <c r="AD699" s="799"/>
      <c r="AE699" s="799"/>
      <c r="AF699" s="799"/>
      <c r="AG699" s="799"/>
      <c r="AH699" s="799"/>
      <c r="AI699" s="799"/>
      <c r="AJ699" s="799"/>
      <c r="AK699" s="799"/>
      <c r="AL699" s="799"/>
      <c r="AM699" s="799"/>
      <c r="AN699" s="799"/>
      <c r="AO699" s="799"/>
      <c r="AP699" s="799"/>
      <c r="AQ699" s="799"/>
      <c r="AR699" s="799"/>
      <c r="AS699" s="799"/>
      <c r="AT699" s="799"/>
      <c r="AU699" s="799"/>
      <c r="AV699" s="799"/>
      <c r="AW699" s="799"/>
      <c r="AX699" s="799"/>
      <c r="AY699" s="799"/>
      <c r="AZ699" s="799"/>
      <c r="BA699" s="799"/>
      <c r="BB699" s="799"/>
      <c r="BC699" s="799"/>
      <c r="BD699" s="799"/>
      <c r="BE699" s="799"/>
      <c r="BF699" s="799"/>
      <c r="BG699" s="799"/>
    </row>
    <row r="700">
      <c r="H700" s="799"/>
      <c r="I700" s="799"/>
      <c r="J700" s="799"/>
      <c r="K700" s="799"/>
      <c r="L700" s="799"/>
      <c r="M700" s="799"/>
      <c r="N700" s="799"/>
      <c r="O700" s="799"/>
      <c r="P700" s="799"/>
      <c r="Q700" s="799"/>
      <c r="R700" s="799"/>
      <c r="S700" s="799"/>
      <c r="T700" s="799"/>
      <c r="U700" s="799"/>
      <c r="V700" s="799"/>
      <c r="W700" s="799"/>
      <c r="X700" s="799"/>
      <c r="Y700" s="799"/>
      <c r="Z700" s="799"/>
      <c r="AA700" s="799"/>
      <c r="AB700" s="799"/>
      <c r="AC700" s="799"/>
      <c r="AD700" s="799"/>
      <c r="AE700" s="799"/>
      <c r="AF700" s="799"/>
      <c r="AG700" s="799"/>
      <c r="AH700" s="799"/>
      <c r="AI700" s="799"/>
      <c r="AJ700" s="799"/>
      <c r="AK700" s="799"/>
      <c r="AL700" s="799"/>
      <c r="AM700" s="799"/>
      <c r="AN700" s="799"/>
      <c r="AO700" s="799"/>
      <c r="AP700" s="799"/>
      <c r="AQ700" s="799"/>
      <c r="AR700" s="799"/>
      <c r="AS700" s="799"/>
      <c r="AT700" s="799"/>
      <c r="AU700" s="799"/>
      <c r="AV700" s="799"/>
      <c r="AW700" s="799"/>
      <c r="AX700" s="799"/>
      <c r="AY700" s="799"/>
      <c r="AZ700" s="799"/>
      <c r="BA700" s="799"/>
      <c r="BB700" s="799"/>
      <c r="BC700" s="799"/>
      <c r="BD700" s="799"/>
      <c r="BE700" s="799"/>
      <c r="BF700" s="799"/>
      <c r="BG700" s="799"/>
    </row>
    <row r="701">
      <c r="H701" s="799"/>
      <c r="I701" s="799"/>
      <c r="J701" s="799"/>
      <c r="K701" s="799"/>
      <c r="L701" s="799"/>
      <c r="M701" s="799"/>
      <c r="N701" s="799"/>
      <c r="O701" s="799"/>
      <c r="P701" s="799"/>
      <c r="Q701" s="799"/>
      <c r="R701" s="799"/>
      <c r="S701" s="799"/>
      <c r="T701" s="799"/>
      <c r="U701" s="799"/>
      <c r="V701" s="799"/>
      <c r="W701" s="799"/>
      <c r="X701" s="799"/>
      <c r="Y701" s="799"/>
      <c r="Z701" s="799"/>
      <c r="AA701" s="799"/>
      <c r="AB701" s="799"/>
      <c r="AC701" s="799"/>
      <c r="AD701" s="799"/>
      <c r="AE701" s="799"/>
      <c r="AF701" s="799"/>
      <c r="AG701" s="799"/>
      <c r="AH701" s="799"/>
      <c r="AI701" s="799"/>
      <c r="AJ701" s="799"/>
      <c r="AK701" s="799"/>
      <c r="AL701" s="799"/>
      <c r="AM701" s="799"/>
      <c r="AN701" s="799"/>
      <c r="AO701" s="799"/>
      <c r="AP701" s="799"/>
      <c r="AQ701" s="799"/>
      <c r="AR701" s="799"/>
      <c r="AS701" s="799"/>
      <c r="AT701" s="799"/>
      <c r="AU701" s="799"/>
      <c r="AV701" s="799"/>
      <c r="AW701" s="799"/>
      <c r="AX701" s="799"/>
      <c r="AY701" s="799"/>
      <c r="AZ701" s="799"/>
      <c r="BA701" s="799"/>
      <c r="BB701" s="799"/>
      <c r="BC701" s="799"/>
      <c r="BD701" s="799"/>
      <c r="BE701" s="799"/>
      <c r="BF701" s="799"/>
      <c r="BG701" s="799"/>
    </row>
    <row r="702">
      <c r="H702" s="799"/>
      <c r="I702" s="799"/>
      <c r="J702" s="799"/>
      <c r="K702" s="799"/>
      <c r="L702" s="799"/>
      <c r="M702" s="799"/>
      <c r="N702" s="799"/>
      <c r="O702" s="799"/>
      <c r="P702" s="799"/>
      <c r="Q702" s="799"/>
      <c r="R702" s="799"/>
      <c r="S702" s="799"/>
      <c r="T702" s="799"/>
      <c r="U702" s="799"/>
      <c r="V702" s="799"/>
      <c r="W702" s="799"/>
      <c r="X702" s="799"/>
      <c r="Y702" s="799"/>
      <c r="Z702" s="799"/>
      <c r="AA702" s="799"/>
      <c r="AB702" s="799"/>
      <c r="AC702" s="799"/>
      <c r="AD702" s="799"/>
      <c r="AE702" s="799"/>
      <c r="AF702" s="799"/>
      <c r="AG702" s="799"/>
      <c r="AH702" s="799"/>
      <c r="AI702" s="799"/>
      <c r="AJ702" s="799"/>
      <c r="AK702" s="799"/>
      <c r="AL702" s="799"/>
      <c r="AM702" s="799"/>
      <c r="AN702" s="799"/>
      <c r="AO702" s="799"/>
      <c r="AP702" s="799"/>
      <c r="AQ702" s="799"/>
      <c r="AR702" s="799"/>
      <c r="AS702" s="799"/>
      <c r="AT702" s="799"/>
      <c r="AU702" s="799"/>
      <c r="AV702" s="799"/>
      <c r="AW702" s="799"/>
      <c r="AX702" s="799"/>
      <c r="AY702" s="799"/>
      <c r="AZ702" s="799"/>
      <c r="BA702" s="799"/>
      <c r="BB702" s="799"/>
      <c r="BC702" s="799"/>
      <c r="BD702" s="799"/>
      <c r="BE702" s="799"/>
      <c r="BF702" s="799"/>
      <c r="BG702" s="799"/>
    </row>
    <row r="703">
      <c r="H703" s="799"/>
      <c r="I703" s="799"/>
      <c r="J703" s="799"/>
      <c r="K703" s="799"/>
      <c r="L703" s="799"/>
      <c r="M703" s="799"/>
      <c r="N703" s="799"/>
      <c r="O703" s="799"/>
      <c r="P703" s="799"/>
      <c r="Q703" s="799"/>
      <c r="R703" s="799"/>
      <c r="S703" s="799"/>
      <c r="T703" s="799"/>
      <c r="U703" s="799"/>
      <c r="V703" s="799"/>
      <c r="W703" s="799"/>
      <c r="X703" s="799"/>
      <c r="Y703" s="799"/>
      <c r="Z703" s="799"/>
      <c r="AA703" s="799"/>
      <c r="AB703" s="799"/>
      <c r="AC703" s="799"/>
      <c r="AD703" s="799"/>
      <c r="AE703" s="799"/>
      <c r="AF703" s="799"/>
      <c r="AG703" s="799"/>
      <c r="AH703" s="799"/>
      <c r="AI703" s="799"/>
      <c r="AJ703" s="799"/>
      <c r="AK703" s="799"/>
      <c r="AL703" s="799"/>
      <c r="AM703" s="799"/>
      <c r="AN703" s="799"/>
      <c r="AO703" s="799"/>
      <c r="AP703" s="799"/>
      <c r="AQ703" s="799"/>
      <c r="AR703" s="799"/>
      <c r="AS703" s="799"/>
      <c r="AT703" s="799"/>
      <c r="AU703" s="799"/>
      <c r="AV703" s="799"/>
      <c r="AW703" s="799"/>
      <c r="AX703" s="799"/>
      <c r="AY703" s="799"/>
      <c r="AZ703" s="799"/>
      <c r="BA703" s="799"/>
      <c r="BB703" s="799"/>
      <c r="BC703" s="799"/>
      <c r="BD703" s="799"/>
      <c r="BE703" s="799"/>
      <c r="BF703" s="799"/>
      <c r="BG703" s="799"/>
    </row>
    <row r="704">
      <c r="H704" s="799"/>
      <c r="I704" s="799"/>
      <c r="J704" s="799"/>
      <c r="K704" s="799"/>
      <c r="L704" s="799"/>
      <c r="M704" s="799"/>
      <c r="N704" s="799"/>
      <c r="O704" s="799"/>
      <c r="P704" s="799"/>
      <c r="Q704" s="799"/>
      <c r="R704" s="799"/>
      <c r="S704" s="799"/>
      <c r="T704" s="799"/>
      <c r="U704" s="799"/>
      <c r="V704" s="799"/>
      <c r="W704" s="799"/>
      <c r="X704" s="799"/>
      <c r="Y704" s="799"/>
      <c r="Z704" s="799"/>
      <c r="AA704" s="799"/>
      <c r="AB704" s="799"/>
      <c r="AC704" s="799"/>
      <c r="AD704" s="799"/>
      <c r="AE704" s="799"/>
      <c r="AF704" s="799"/>
      <c r="AG704" s="799"/>
      <c r="AH704" s="799"/>
      <c r="AI704" s="799"/>
      <c r="AJ704" s="799"/>
      <c r="AK704" s="799"/>
      <c r="AL704" s="799"/>
      <c r="AM704" s="799"/>
      <c r="AN704" s="799"/>
      <c r="AO704" s="799"/>
      <c r="AP704" s="799"/>
      <c r="AQ704" s="799"/>
      <c r="AR704" s="799"/>
      <c r="AS704" s="799"/>
      <c r="AT704" s="799"/>
      <c r="AU704" s="799"/>
      <c r="AV704" s="799"/>
      <c r="AW704" s="799"/>
      <c r="AX704" s="799"/>
      <c r="AY704" s="799"/>
      <c r="AZ704" s="799"/>
      <c r="BA704" s="799"/>
      <c r="BB704" s="799"/>
      <c r="BC704" s="799"/>
      <c r="BD704" s="799"/>
      <c r="BE704" s="799"/>
      <c r="BF704" s="799"/>
      <c r="BG704" s="799"/>
    </row>
    <row r="705">
      <c r="H705" s="799"/>
      <c r="I705" s="799"/>
      <c r="J705" s="799"/>
      <c r="K705" s="799"/>
      <c r="L705" s="799"/>
      <c r="M705" s="799"/>
      <c r="N705" s="799"/>
      <c r="O705" s="799"/>
      <c r="P705" s="799"/>
      <c r="Q705" s="799"/>
      <c r="R705" s="799"/>
      <c r="S705" s="799"/>
      <c r="T705" s="799"/>
      <c r="U705" s="799"/>
      <c r="V705" s="799"/>
      <c r="W705" s="799"/>
      <c r="X705" s="799"/>
      <c r="Y705" s="799"/>
      <c r="Z705" s="799"/>
      <c r="AA705" s="799"/>
      <c r="AB705" s="799"/>
      <c r="AC705" s="799"/>
      <c r="AD705" s="799"/>
      <c r="AE705" s="799"/>
      <c r="AF705" s="799"/>
      <c r="AG705" s="799"/>
      <c r="AH705" s="799"/>
      <c r="AI705" s="799"/>
      <c r="AJ705" s="799"/>
      <c r="AK705" s="799"/>
      <c r="AL705" s="799"/>
      <c r="AM705" s="799"/>
      <c r="AN705" s="799"/>
      <c r="AO705" s="799"/>
      <c r="AP705" s="799"/>
      <c r="AQ705" s="799"/>
      <c r="AR705" s="799"/>
      <c r="AS705" s="799"/>
      <c r="AT705" s="799"/>
      <c r="AU705" s="799"/>
      <c r="AV705" s="799"/>
      <c r="AW705" s="799"/>
      <c r="AX705" s="799"/>
      <c r="AY705" s="799"/>
      <c r="AZ705" s="799"/>
      <c r="BA705" s="799"/>
      <c r="BB705" s="799"/>
      <c r="BC705" s="799"/>
      <c r="BD705" s="799"/>
      <c r="BE705" s="799"/>
      <c r="BF705" s="799"/>
      <c r="BG705" s="799"/>
    </row>
    <row r="706">
      <c r="H706" s="799"/>
      <c r="I706" s="799"/>
      <c r="J706" s="799"/>
      <c r="K706" s="799"/>
      <c r="L706" s="799"/>
      <c r="M706" s="799"/>
      <c r="N706" s="799"/>
      <c r="O706" s="799"/>
      <c r="P706" s="799"/>
      <c r="Q706" s="799"/>
      <c r="R706" s="799"/>
      <c r="S706" s="799"/>
      <c r="T706" s="799"/>
      <c r="U706" s="799"/>
      <c r="V706" s="799"/>
      <c r="W706" s="799"/>
      <c r="X706" s="799"/>
      <c r="Y706" s="799"/>
      <c r="Z706" s="799"/>
      <c r="AA706" s="799"/>
      <c r="AB706" s="799"/>
      <c r="AC706" s="799"/>
      <c r="AD706" s="799"/>
      <c r="AE706" s="799"/>
      <c r="AF706" s="799"/>
      <c r="AG706" s="799"/>
      <c r="AH706" s="799"/>
      <c r="AI706" s="799"/>
      <c r="AJ706" s="799"/>
      <c r="AK706" s="799"/>
      <c r="AL706" s="799"/>
      <c r="AM706" s="799"/>
      <c r="AN706" s="799"/>
      <c r="AO706" s="799"/>
      <c r="AP706" s="799"/>
      <c r="AQ706" s="799"/>
      <c r="AR706" s="799"/>
      <c r="AS706" s="799"/>
      <c r="AT706" s="799"/>
      <c r="AU706" s="799"/>
      <c r="AV706" s="799"/>
      <c r="AW706" s="799"/>
      <c r="AX706" s="799"/>
      <c r="AY706" s="799"/>
      <c r="AZ706" s="799"/>
      <c r="BA706" s="799"/>
      <c r="BB706" s="799"/>
      <c r="BC706" s="799"/>
      <c r="BD706" s="799"/>
      <c r="BE706" s="799"/>
      <c r="BF706" s="799"/>
      <c r="BG706" s="799"/>
    </row>
    <row r="707">
      <c r="H707" s="799"/>
      <c r="I707" s="799"/>
      <c r="J707" s="799"/>
      <c r="K707" s="799"/>
      <c r="L707" s="799"/>
      <c r="M707" s="799"/>
      <c r="N707" s="799"/>
      <c r="O707" s="799"/>
      <c r="P707" s="799"/>
      <c r="Q707" s="799"/>
      <c r="R707" s="799"/>
      <c r="S707" s="799"/>
      <c r="T707" s="799"/>
      <c r="U707" s="799"/>
      <c r="V707" s="799"/>
      <c r="W707" s="799"/>
      <c r="X707" s="799"/>
      <c r="Y707" s="799"/>
      <c r="Z707" s="799"/>
      <c r="AA707" s="799"/>
      <c r="AB707" s="799"/>
      <c r="AC707" s="799"/>
      <c r="AD707" s="799"/>
      <c r="AE707" s="799"/>
      <c r="AF707" s="799"/>
      <c r="AG707" s="799"/>
      <c r="AH707" s="799"/>
      <c r="AI707" s="799"/>
      <c r="AJ707" s="799"/>
      <c r="AK707" s="799"/>
      <c r="AL707" s="799"/>
      <c r="AM707" s="799"/>
      <c r="AN707" s="799"/>
      <c r="AO707" s="799"/>
      <c r="AP707" s="799"/>
      <c r="AQ707" s="799"/>
      <c r="AR707" s="799"/>
      <c r="AS707" s="799"/>
      <c r="AT707" s="799"/>
      <c r="AU707" s="799"/>
      <c r="AV707" s="799"/>
      <c r="AW707" s="799"/>
      <c r="AX707" s="799"/>
      <c r="AY707" s="799"/>
      <c r="AZ707" s="799"/>
      <c r="BA707" s="799"/>
      <c r="BB707" s="799"/>
      <c r="BC707" s="799"/>
      <c r="BD707" s="799"/>
      <c r="BE707" s="799"/>
      <c r="BF707" s="799"/>
      <c r="BG707" s="799"/>
    </row>
    <row r="708">
      <c r="H708" s="799"/>
      <c r="I708" s="799"/>
      <c r="J708" s="799"/>
      <c r="K708" s="799"/>
      <c r="L708" s="799"/>
      <c r="M708" s="799"/>
      <c r="N708" s="799"/>
      <c r="O708" s="799"/>
      <c r="P708" s="799"/>
      <c r="Q708" s="799"/>
      <c r="R708" s="799"/>
      <c r="S708" s="799"/>
      <c r="T708" s="799"/>
      <c r="U708" s="799"/>
      <c r="V708" s="799"/>
      <c r="W708" s="799"/>
      <c r="X708" s="799"/>
      <c r="Y708" s="799"/>
      <c r="Z708" s="799"/>
      <c r="AA708" s="799"/>
      <c r="AB708" s="799"/>
      <c r="AC708" s="799"/>
      <c r="AD708" s="799"/>
      <c r="AE708" s="799"/>
      <c r="AF708" s="799"/>
      <c r="AG708" s="799"/>
      <c r="AH708" s="799"/>
      <c r="AI708" s="799"/>
      <c r="AJ708" s="799"/>
      <c r="AK708" s="799"/>
      <c r="AL708" s="799"/>
      <c r="AM708" s="799"/>
      <c r="AN708" s="799"/>
      <c r="AO708" s="799"/>
      <c r="AP708" s="799"/>
      <c r="AQ708" s="799"/>
      <c r="AR708" s="799"/>
      <c r="AS708" s="799"/>
      <c r="AT708" s="799"/>
      <c r="AU708" s="799"/>
      <c r="AV708" s="799"/>
      <c r="AW708" s="799"/>
      <c r="AX708" s="799"/>
      <c r="AY708" s="799"/>
      <c r="AZ708" s="799"/>
      <c r="BA708" s="799"/>
      <c r="BB708" s="799"/>
      <c r="BC708" s="799"/>
      <c r="BD708" s="799"/>
      <c r="BE708" s="799"/>
      <c r="BF708" s="799"/>
      <c r="BG708" s="799"/>
    </row>
    <row r="709">
      <c r="H709" s="799"/>
      <c r="I709" s="799"/>
      <c r="J709" s="799"/>
      <c r="K709" s="799"/>
      <c r="L709" s="799"/>
      <c r="M709" s="799"/>
      <c r="N709" s="799"/>
      <c r="O709" s="799"/>
      <c r="P709" s="799"/>
      <c r="Q709" s="799"/>
      <c r="R709" s="799"/>
      <c r="S709" s="799"/>
      <c r="T709" s="799"/>
      <c r="U709" s="799"/>
      <c r="V709" s="799"/>
      <c r="W709" s="799"/>
      <c r="X709" s="799"/>
      <c r="Y709" s="799"/>
      <c r="Z709" s="799"/>
      <c r="AA709" s="799"/>
      <c r="AB709" s="799"/>
      <c r="AC709" s="799"/>
      <c r="AD709" s="799"/>
      <c r="AE709" s="799"/>
      <c r="AF709" s="799"/>
      <c r="AG709" s="799"/>
      <c r="AH709" s="799"/>
      <c r="AI709" s="799"/>
      <c r="AJ709" s="799"/>
      <c r="AK709" s="799"/>
      <c r="AL709" s="799"/>
      <c r="AM709" s="799"/>
      <c r="AN709" s="799"/>
      <c r="AO709" s="799"/>
      <c r="AP709" s="799"/>
      <c r="AQ709" s="799"/>
      <c r="AR709" s="799"/>
      <c r="AS709" s="799"/>
      <c r="AT709" s="799"/>
      <c r="AU709" s="799"/>
      <c r="AV709" s="799"/>
      <c r="AW709" s="799"/>
      <c r="AX709" s="799"/>
      <c r="AY709" s="799"/>
      <c r="AZ709" s="799"/>
      <c r="BA709" s="799"/>
      <c r="BB709" s="799"/>
      <c r="BC709" s="799"/>
      <c r="BD709" s="799"/>
      <c r="BE709" s="799"/>
      <c r="BF709" s="799"/>
      <c r="BG709" s="799"/>
    </row>
    <row r="710">
      <c r="H710" s="799"/>
      <c r="I710" s="799"/>
      <c r="J710" s="799"/>
      <c r="K710" s="799"/>
      <c r="L710" s="799"/>
      <c r="M710" s="799"/>
      <c r="N710" s="799"/>
      <c r="O710" s="799"/>
      <c r="P710" s="799"/>
      <c r="Q710" s="799"/>
      <c r="R710" s="799"/>
      <c r="S710" s="799"/>
      <c r="T710" s="799"/>
      <c r="U710" s="799"/>
      <c r="V710" s="799"/>
      <c r="W710" s="799"/>
      <c r="X710" s="799"/>
      <c r="Y710" s="799"/>
      <c r="Z710" s="799"/>
      <c r="AA710" s="799"/>
      <c r="AB710" s="799"/>
      <c r="AC710" s="799"/>
      <c r="AD710" s="799"/>
      <c r="AE710" s="799"/>
      <c r="AF710" s="799"/>
      <c r="AG710" s="799"/>
      <c r="AH710" s="799"/>
      <c r="AI710" s="799"/>
      <c r="AJ710" s="799"/>
      <c r="AK710" s="799"/>
      <c r="AL710" s="799"/>
      <c r="AM710" s="799"/>
      <c r="AN710" s="799"/>
      <c r="AO710" s="799"/>
      <c r="AP710" s="799"/>
      <c r="AQ710" s="799"/>
      <c r="AR710" s="799"/>
      <c r="AS710" s="799"/>
      <c r="AT710" s="799"/>
      <c r="AU710" s="799"/>
      <c r="AV710" s="799"/>
      <c r="AW710" s="799"/>
      <c r="AX710" s="799"/>
      <c r="AY710" s="799"/>
      <c r="AZ710" s="799"/>
      <c r="BA710" s="799"/>
      <c r="BB710" s="799"/>
      <c r="BC710" s="799"/>
      <c r="BD710" s="799"/>
      <c r="BE710" s="799"/>
      <c r="BF710" s="799"/>
      <c r="BG710" s="799"/>
    </row>
    <row r="711">
      <c r="H711" s="799"/>
      <c r="I711" s="799"/>
      <c r="J711" s="799"/>
      <c r="K711" s="799"/>
      <c r="L711" s="799"/>
      <c r="M711" s="799"/>
      <c r="N711" s="799"/>
      <c r="O711" s="799"/>
      <c r="P711" s="799"/>
      <c r="Q711" s="799"/>
      <c r="R711" s="799"/>
      <c r="S711" s="799"/>
      <c r="T711" s="799"/>
      <c r="U711" s="799"/>
      <c r="V711" s="799"/>
      <c r="W711" s="799"/>
      <c r="X711" s="799"/>
      <c r="Y711" s="799"/>
      <c r="Z711" s="799"/>
      <c r="AA711" s="799"/>
      <c r="AB711" s="799"/>
      <c r="AC711" s="799"/>
      <c r="AD711" s="799"/>
      <c r="AE711" s="799"/>
      <c r="AF711" s="799"/>
      <c r="AG711" s="799"/>
      <c r="AH711" s="799"/>
      <c r="AI711" s="799"/>
      <c r="AJ711" s="799"/>
      <c r="AK711" s="799"/>
      <c r="AL711" s="799"/>
      <c r="AM711" s="799"/>
      <c r="AN711" s="799"/>
      <c r="AO711" s="799"/>
      <c r="AP711" s="799"/>
      <c r="AQ711" s="799"/>
      <c r="AR711" s="799"/>
      <c r="AS711" s="799"/>
      <c r="AT711" s="799"/>
      <c r="AU711" s="799"/>
      <c r="AV711" s="799"/>
      <c r="AW711" s="799"/>
      <c r="AX711" s="799"/>
      <c r="AY711" s="799"/>
      <c r="AZ711" s="799"/>
      <c r="BA711" s="799"/>
      <c r="BB711" s="799"/>
      <c r="BC711" s="799"/>
      <c r="BD711" s="799"/>
      <c r="BE711" s="799"/>
      <c r="BF711" s="799"/>
      <c r="BG711" s="799"/>
    </row>
    <row r="712">
      <c r="H712" s="799"/>
      <c r="I712" s="799"/>
      <c r="J712" s="799"/>
      <c r="K712" s="799"/>
      <c r="L712" s="799"/>
      <c r="M712" s="799"/>
      <c r="N712" s="799"/>
      <c r="O712" s="799"/>
      <c r="P712" s="799"/>
      <c r="Q712" s="799"/>
      <c r="R712" s="799"/>
      <c r="S712" s="799"/>
      <c r="T712" s="799"/>
      <c r="U712" s="799"/>
      <c r="V712" s="799"/>
      <c r="W712" s="799"/>
      <c r="X712" s="799"/>
      <c r="Y712" s="799"/>
      <c r="Z712" s="799"/>
      <c r="AA712" s="799"/>
      <c r="AB712" s="799"/>
      <c r="AC712" s="799"/>
      <c r="AD712" s="799"/>
      <c r="AE712" s="799"/>
      <c r="AF712" s="799"/>
      <c r="AG712" s="799"/>
      <c r="AH712" s="799"/>
      <c r="AI712" s="799"/>
      <c r="AJ712" s="799"/>
      <c r="AK712" s="799"/>
      <c r="AL712" s="799"/>
      <c r="AM712" s="799"/>
      <c r="AN712" s="799"/>
      <c r="AO712" s="799"/>
      <c r="AP712" s="799"/>
      <c r="AQ712" s="799"/>
      <c r="AR712" s="799"/>
      <c r="AS712" s="799"/>
      <c r="AT712" s="799"/>
      <c r="AU712" s="799"/>
      <c r="AV712" s="799"/>
      <c r="AW712" s="799"/>
      <c r="AX712" s="799"/>
      <c r="AY712" s="799"/>
      <c r="AZ712" s="799"/>
      <c r="BA712" s="799"/>
      <c r="BB712" s="799"/>
      <c r="BC712" s="799"/>
      <c r="BD712" s="799"/>
      <c r="BE712" s="799"/>
      <c r="BF712" s="799"/>
      <c r="BG712" s="799"/>
    </row>
    <row r="713">
      <c r="H713" s="799"/>
      <c r="I713" s="799"/>
      <c r="J713" s="799"/>
      <c r="K713" s="799"/>
      <c r="L713" s="799"/>
      <c r="M713" s="799"/>
      <c r="N713" s="799"/>
      <c r="O713" s="799"/>
      <c r="P713" s="799"/>
      <c r="Q713" s="799"/>
      <c r="R713" s="799"/>
      <c r="S713" s="799"/>
      <c r="T713" s="799"/>
      <c r="U713" s="799"/>
      <c r="V713" s="799"/>
      <c r="W713" s="799"/>
      <c r="X713" s="799"/>
      <c r="Y713" s="799"/>
      <c r="Z713" s="799"/>
      <c r="AA713" s="799"/>
      <c r="AB713" s="799"/>
      <c r="AC713" s="799"/>
      <c r="AD713" s="799"/>
      <c r="AE713" s="799"/>
      <c r="AF713" s="799"/>
      <c r="AG713" s="799"/>
      <c r="AH713" s="799"/>
      <c r="AI713" s="799"/>
      <c r="AJ713" s="799"/>
      <c r="AK713" s="799"/>
      <c r="AL713" s="799"/>
      <c r="AM713" s="799"/>
      <c r="AN713" s="799"/>
      <c r="AO713" s="799"/>
      <c r="AP713" s="799"/>
      <c r="AQ713" s="799"/>
      <c r="AR713" s="799"/>
      <c r="AS713" s="799"/>
      <c r="AT713" s="799"/>
      <c r="AU713" s="799"/>
      <c r="AV713" s="799"/>
      <c r="AW713" s="799"/>
      <c r="AX713" s="799"/>
      <c r="AY713" s="799"/>
      <c r="AZ713" s="799"/>
      <c r="BA713" s="799"/>
      <c r="BB713" s="799"/>
      <c r="BC713" s="799"/>
      <c r="BD713" s="799"/>
      <c r="BE713" s="799"/>
      <c r="BF713" s="799"/>
      <c r="BG713" s="799"/>
    </row>
    <row r="714">
      <c r="H714" s="799"/>
      <c r="I714" s="799"/>
      <c r="J714" s="799"/>
      <c r="K714" s="799"/>
      <c r="L714" s="799"/>
      <c r="M714" s="799"/>
      <c r="N714" s="799"/>
      <c r="O714" s="799"/>
      <c r="P714" s="799"/>
      <c r="Q714" s="799"/>
      <c r="R714" s="799"/>
      <c r="S714" s="799"/>
      <c r="T714" s="799"/>
      <c r="U714" s="799"/>
      <c r="V714" s="799"/>
      <c r="W714" s="799"/>
      <c r="X714" s="799"/>
      <c r="Y714" s="799"/>
      <c r="Z714" s="799"/>
      <c r="AA714" s="799"/>
      <c r="AB714" s="799"/>
      <c r="AC714" s="799"/>
      <c r="AD714" s="799"/>
      <c r="AE714" s="799"/>
      <c r="AF714" s="799"/>
      <c r="AG714" s="799"/>
      <c r="AH714" s="799"/>
      <c r="AI714" s="799"/>
      <c r="AJ714" s="799"/>
      <c r="AK714" s="799"/>
      <c r="AL714" s="799"/>
      <c r="AM714" s="799"/>
      <c r="AN714" s="799"/>
      <c r="AO714" s="799"/>
      <c r="AP714" s="799"/>
      <c r="AQ714" s="799"/>
      <c r="AR714" s="799"/>
      <c r="AS714" s="799"/>
      <c r="AT714" s="799"/>
      <c r="AU714" s="799"/>
      <c r="AV714" s="799"/>
      <c r="AW714" s="799"/>
      <c r="AX714" s="799"/>
      <c r="AY714" s="799"/>
      <c r="AZ714" s="799"/>
      <c r="BA714" s="799"/>
      <c r="BB714" s="799"/>
      <c r="BC714" s="799"/>
      <c r="BD714" s="799"/>
      <c r="BE714" s="799"/>
      <c r="BF714" s="799"/>
      <c r="BG714" s="799"/>
    </row>
    <row r="715">
      <c r="H715" s="799"/>
      <c r="I715" s="799"/>
      <c r="J715" s="799"/>
      <c r="K715" s="799"/>
      <c r="L715" s="799"/>
      <c r="M715" s="799"/>
      <c r="N715" s="799"/>
      <c r="O715" s="799"/>
      <c r="P715" s="799"/>
      <c r="Q715" s="799"/>
      <c r="R715" s="799"/>
      <c r="S715" s="799"/>
      <c r="T715" s="799"/>
      <c r="U715" s="799"/>
      <c r="V715" s="799"/>
      <c r="W715" s="799"/>
      <c r="X715" s="799"/>
      <c r="Y715" s="799"/>
      <c r="Z715" s="799"/>
      <c r="AA715" s="799"/>
      <c r="AB715" s="799"/>
      <c r="AC715" s="799"/>
      <c r="AD715" s="799"/>
      <c r="AE715" s="799"/>
      <c r="AF715" s="799"/>
      <c r="AG715" s="799"/>
      <c r="AH715" s="799"/>
      <c r="AI715" s="799"/>
      <c r="AJ715" s="799"/>
      <c r="AK715" s="799"/>
      <c r="AL715" s="799"/>
      <c r="AM715" s="799"/>
      <c r="AN715" s="799"/>
      <c r="AO715" s="799"/>
      <c r="AP715" s="799"/>
      <c r="AQ715" s="799"/>
      <c r="AR715" s="799"/>
      <c r="AS715" s="799"/>
      <c r="AT715" s="799"/>
      <c r="AU715" s="799"/>
      <c r="AV715" s="799"/>
      <c r="AW715" s="799"/>
      <c r="AX715" s="799"/>
      <c r="AY715" s="799"/>
      <c r="AZ715" s="799"/>
      <c r="BA715" s="799"/>
      <c r="BB715" s="799"/>
      <c r="BC715" s="799"/>
      <c r="BD715" s="799"/>
      <c r="BE715" s="799"/>
      <c r="BF715" s="799"/>
      <c r="BG715" s="799"/>
    </row>
    <row r="716">
      <c r="H716" s="799"/>
      <c r="I716" s="799"/>
      <c r="J716" s="799"/>
      <c r="K716" s="799"/>
      <c r="L716" s="799"/>
      <c r="M716" s="799"/>
      <c r="N716" s="799"/>
      <c r="O716" s="799"/>
      <c r="P716" s="799"/>
      <c r="Q716" s="799"/>
      <c r="R716" s="799"/>
      <c r="S716" s="799"/>
      <c r="T716" s="799"/>
      <c r="U716" s="799"/>
      <c r="V716" s="799"/>
      <c r="W716" s="799"/>
      <c r="X716" s="799"/>
      <c r="Y716" s="799"/>
      <c r="Z716" s="799"/>
      <c r="AA716" s="799"/>
      <c r="AB716" s="799"/>
      <c r="AC716" s="799"/>
      <c r="AD716" s="799"/>
      <c r="AE716" s="799"/>
      <c r="AF716" s="799"/>
      <c r="AG716" s="799"/>
      <c r="AH716" s="799"/>
      <c r="AI716" s="799"/>
      <c r="AJ716" s="799"/>
      <c r="AK716" s="799"/>
      <c r="AL716" s="799"/>
      <c r="AM716" s="799"/>
      <c r="AN716" s="799"/>
      <c r="AO716" s="799"/>
      <c r="AP716" s="799"/>
      <c r="AQ716" s="799"/>
      <c r="AR716" s="799"/>
      <c r="AS716" s="799"/>
      <c r="AT716" s="799"/>
      <c r="AU716" s="799"/>
      <c r="AV716" s="799"/>
      <c r="AW716" s="799"/>
      <c r="AX716" s="799"/>
      <c r="AY716" s="799"/>
      <c r="AZ716" s="799"/>
      <c r="BA716" s="799"/>
      <c r="BB716" s="799"/>
      <c r="BC716" s="799"/>
      <c r="BD716" s="799"/>
      <c r="BE716" s="799"/>
      <c r="BF716" s="799"/>
      <c r="BG716" s="799"/>
    </row>
    <row r="717">
      <c r="H717" s="799"/>
      <c r="I717" s="799"/>
      <c r="J717" s="799"/>
      <c r="K717" s="799"/>
      <c r="L717" s="799"/>
      <c r="M717" s="799"/>
      <c r="N717" s="799"/>
      <c r="O717" s="799"/>
      <c r="P717" s="799"/>
      <c r="Q717" s="799"/>
      <c r="R717" s="799"/>
      <c r="S717" s="799"/>
      <c r="T717" s="799"/>
      <c r="U717" s="799"/>
      <c r="V717" s="799"/>
      <c r="W717" s="799"/>
      <c r="X717" s="799"/>
      <c r="Y717" s="799"/>
      <c r="Z717" s="799"/>
      <c r="AA717" s="799"/>
      <c r="AB717" s="799"/>
      <c r="AC717" s="799"/>
      <c r="AD717" s="799"/>
      <c r="AE717" s="799"/>
      <c r="AF717" s="799"/>
      <c r="AG717" s="799"/>
      <c r="AH717" s="799"/>
      <c r="AI717" s="799"/>
      <c r="AJ717" s="799"/>
      <c r="AK717" s="799"/>
      <c r="AL717" s="799"/>
      <c r="AM717" s="799"/>
      <c r="AN717" s="799"/>
      <c r="AO717" s="799"/>
      <c r="AP717" s="799"/>
      <c r="AQ717" s="799"/>
      <c r="AR717" s="799"/>
      <c r="AS717" s="799"/>
      <c r="AT717" s="799"/>
      <c r="AU717" s="799"/>
      <c r="AV717" s="799"/>
      <c r="AW717" s="799"/>
      <c r="AX717" s="799"/>
      <c r="AY717" s="799"/>
      <c r="AZ717" s="799"/>
      <c r="BA717" s="799"/>
      <c r="BB717" s="799"/>
      <c r="BC717" s="799"/>
      <c r="BD717" s="799"/>
      <c r="BE717" s="799"/>
      <c r="BF717" s="799"/>
      <c r="BG717" s="799"/>
    </row>
    <row r="718">
      <c r="H718" s="799"/>
      <c r="I718" s="799"/>
      <c r="J718" s="799"/>
      <c r="K718" s="799"/>
      <c r="L718" s="799"/>
      <c r="M718" s="799"/>
      <c r="N718" s="799"/>
      <c r="O718" s="799"/>
      <c r="P718" s="799"/>
      <c r="Q718" s="799"/>
      <c r="R718" s="799"/>
      <c r="S718" s="799"/>
      <c r="T718" s="799"/>
      <c r="U718" s="799"/>
      <c r="V718" s="799"/>
      <c r="W718" s="799"/>
      <c r="X718" s="799"/>
      <c r="Y718" s="799"/>
      <c r="Z718" s="799"/>
      <c r="AA718" s="799"/>
      <c r="AB718" s="799"/>
      <c r="AC718" s="799"/>
      <c r="AD718" s="799"/>
      <c r="AE718" s="799"/>
      <c r="AF718" s="799"/>
      <c r="AG718" s="799"/>
      <c r="AH718" s="799"/>
      <c r="AI718" s="799"/>
      <c r="AJ718" s="799"/>
      <c r="AK718" s="799"/>
      <c r="AL718" s="799"/>
      <c r="AM718" s="799"/>
      <c r="AN718" s="799"/>
      <c r="AO718" s="799"/>
      <c r="AP718" s="799"/>
      <c r="AQ718" s="799"/>
      <c r="AR718" s="799"/>
      <c r="AS718" s="799"/>
      <c r="AT718" s="799"/>
      <c r="AU718" s="799"/>
      <c r="AV718" s="799"/>
      <c r="AW718" s="799"/>
      <c r="AX718" s="799"/>
      <c r="AY718" s="799"/>
      <c r="AZ718" s="799"/>
      <c r="BA718" s="799"/>
      <c r="BB718" s="799"/>
      <c r="BC718" s="799"/>
      <c r="BD718" s="799"/>
      <c r="BE718" s="799"/>
      <c r="BF718" s="799"/>
      <c r="BG718" s="799"/>
    </row>
    <row r="719">
      <c r="H719" s="799"/>
      <c r="I719" s="799"/>
      <c r="J719" s="799"/>
      <c r="K719" s="799"/>
      <c r="L719" s="799"/>
      <c r="M719" s="799"/>
      <c r="N719" s="799"/>
      <c r="O719" s="799"/>
      <c r="P719" s="799"/>
      <c r="Q719" s="799"/>
      <c r="R719" s="799"/>
      <c r="S719" s="799"/>
      <c r="T719" s="799"/>
      <c r="U719" s="799"/>
      <c r="V719" s="799"/>
      <c r="W719" s="799"/>
      <c r="X719" s="799"/>
      <c r="Y719" s="799"/>
      <c r="Z719" s="799"/>
      <c r="AA719" s="799"/>
      <c r="AB719" s="799"/>
      <c r="AC719" s="799"/>
      <c r="AD719" s="799"/>
      <c r="AE719" s="799"/>
      <c r="AF719" s="799"/>
      <c r="AG719" s="799"/>
      <c r="AH719" s="799"/>
      <c r="AI719" s="799"/>
      <c r="AJ719" s="799"/>
      <c r="AK719" s="799"/>
      <c r="AL719" s="799"/>
      <c r="AM719" s="799"/>
      <c r="AN719" s="799"/>
      <c r="AO719" s="799"/>
      <c r="AP719" s="799"/>
      <c r="AQ719" s="799"/>
      <c r="AR719" s="799"/>
      <c r="AS719" s="799"/>
      <c r="AT719" s="799"/>
      <c r="AU719" s="799"/>
      <c r="AV719" s="799"/>
      <c r="AW719" s="799"/>
      <c r="AX719" s="799"/>
      <c r="AY719" s="799"/>
      <c r="AZ719" s="799"/>
      <c r="BA719" s="799"/>
      <c r="BB719" s="799"/>
      <c r="BC719" s="799"/>
      <c r="BD719" s="799"/>
      <c r="BE719" s="799"/>
      <c r="BF719" s="799"/>
      <c r="BG719" s="799"/>
    </row>
    <row r="720">
      <c r="H720" s="799"/>
      <c r="I720" s="799"/>
      <c r="J720" s="799"/>
      <c r="K720" s="799"/>
      <c r="L720" s="799"/>
      <c r="M720" s="799"/>
      <c r="N720" s="799"/>
      <c r="O720" s="799"/>
      <c r="P720" s="799"/>
      <c r="Q720" s="799"/>
      <c r="R720" s="799"/>
      <c r="S720" s="799"/>
      <c r="T720" s="799"/>
      <c r="U720" s="799"/>
      <c r="V720" s="799"/>
      <c r="W720" s="799"/>
      <c r="X720" s="799"/>
      <c r="Y720" s="799"/>
      <c r="Z720" s="799"/>
      <c r="AA720" s="799"/>
      <c r="AB720" s="799"/>
      <c r="AC720" s="799"/>
      <c r="AD720" s="799"/>
      <c r="AE720" s="799"/>
      <c r="AF720" s="799"/>
      <c r="AG720" s="799"/>
      <c r="AH720" s="799"/>
      <c r="AI720" s="799"/>
      <c r="AJ720" s="799"/>
      <c r="AK720" s="799"/>
      <c r="AL720" s="799"/>
      <c r="AM720" s="799"/>
      <c r="AN720" s="799"/>
      <c r="AO720" s="799"/>
      <c r="AP720" s="799"/>
      <c r="AQ720" s="799"/>
      <c r="AR720" s="799"/>
      <c r="AS720" s="799"/>
      <c r="AT720" s="799"/>
      <c r="AU720" s="799"/>
      <c r="AV720" s="799"/>
      <c r="AW720" s="799"/>
      <c r="AX720" s="799"/>
      <c r="AY720" s="799"/>
      <c r="AZ720" s="799"/>
      <c r="BA720" s="799"/>
      <c r="BB720" s="799"/>
      <c r="BC720" s="799"/>
      <c r="BD720" s="799"/>
      <c r="BE720" s="799"/>
      <c r="BF720" s="799"/>
      <c r="BG720" s="799"/>
    </row>
    <row r="721">
      <c r="H721" s="799"/>
      <c r="I721" s="799"/>
      <c r="J721" s="799"/>
      <c r="K721" s="799"/>
      <c r="L721" s="799"/>
      <c r="M721" s="799"/>
      <c r="N721" s="799"/>
      <c r="O721" s="799"/>
      <c r="P721" s="799"/>
      <c r="Q721" s="799"/>
      <c r="R721" s="799"/>
      <c r="S721" s="799"/>
      <c r="T721" s="799"/>
      <c r="U721" s="799"/>
      <c r="V721" s="799"/>
      <c r="W721" s="799"/>
      <c r="X721" s="799"/>
      <c r="Y721" s="799"/>
      <c r="Z721" s="799"/>
      <c r="AA721" s="799"/>
      <c r="AB721" s="799"/>
      <c r="AC721" s="799"/>
      <c r="AD721" s="799"/>
      <c r="AE721" s="799"/>
      <c r="AF721" s="799"/>
      <c r="AG721" s="799"/>
      <c r="AH721" s="799"/>
      <c r="AI721" s="799"/>
      <c r="AJ721" s="799"/>
      <c r="AK721" s="799"/>
      <c r="AL721" s="799"/>
      <c r="AM721" s="799"/>
      <c r="AN721" s="799"/>
      <c r="AO721" s="799"/>
      <c r="AP721" s="799"/>
      <c r="AQ721" s="799"/>
      <c r="AR721" s="799"/>
      <c r="AS721" s="799"/>
      <c r="AT721" s="799"/>
      <c r="AU721" s="799"/>
      <c r="AV721" s="799"/>
      <c r="AW721" s="799"/>
      <c r="AX721" s="799"/>
      <c r="AY721" s="799"/>
      <c r="AZ721" s="799"/>
      <c r="BA721" s="799"/>
      <c r="BB721" s="799"/>
      <c r="BC721" s="799"/>
      <c r="BD721" s="799"/>
      <c r="BE721" s="799"/>
      <c r="BF721" s="799"/>
      <c r="BG721" s="799"/>
    </row>
    <row r="722">
      <c r="H722" s="799"/>
      <c r="I722" s="799"/>
      <c r="J722" s="799"/>
      <c r="K722" s="799"/>
      <c r="L722" s="799"/>
      <c r="M722" s="799"/>
      <c r="N722" s="799"/>
      <c r="O722" s="799"/>
      <c r="P722" s="799"/>
      <c r="Q722" s="799"/>
      <c r="R722" s="799"/>
      <c r="S722" s="799"/>
      <c r="T722" s="799"/>
      <c r="U722" s="799"/>
      <c r="V722" s="799"/>
      <c r="W722" s="799"/>
      <c r="X722" s="799"/>
      <c r="Y722" s="799"/>
      <c r="Z722" s="799"/>
      <c r="AA722" s="799"/>
      <c r="AB722" s="799"/>
      <c r="AC722" s="799"/>
      <c r="AD722" s="799"/>
      <c r="AE722" s="799"/>
      <c r="AF722" s="799"/>
      <c r="AG722" s="799"/>
      <c r="AH722" s="799"/>
      <c r="AI722" s="799"/>
      <c r="AJ722" s="799"/>
      <c r="AK722" s="799"/>
      <c r="AL722" s="799"/>
      <c r="AM722" s="799"/>
      <c r="AN722" s="799"/>
      <c r="AO722" s="799"/>
      <c r="AP722" s="799"/>
      <c r="AQ722" s="799"/>
      <c r="AR722" s="799"/>
      <c r="AS722" s="799"/>
      <c r="AT722" s="799"/>
      <c r="AU722" s="799"/>
      <c r="AV722" s="799"/>
      <c r="AW722" s="799"/>
      <c r="AX722" s="799"/>
      <c r="AY722" s="799"/>
      <c r="AZ722" s="799"/>
      <c r="BA722" s="799"/>
      <c r="BB722" s="799"/>
      <c r="BC722" s="799"/>
      <c r="BD722" s="799"/>
      <c r="BE722" s="799"/>
      <c r="BF722" s="799"/>
      <c r="BG722" s="799"/>
    </row>
    <row r="723">
      <c r="H723" s="799"/>
      <c r="I723" s="799"/>
      <c r="J723" s="799"/>
      <c r="K723" s="799"/>
      <c r="L723" s="799"/>
      <c r="M723" s="799"/>
      <c r="N723" s="799"/>
      <c r="O723" s="799"/>
      <c r="P723" s="799"/>
      <c r="Q723" s="799"/>
      <c r="R723" s="799"/>
      <c r="S723" s="799"/>
      <c r="T723" s="799"/>
      <c r="U723" s="799"/>
      <c r="V723" s="799"/>
      <c r="W723" s="799"/>
      <c r="X723" s="799"/>
      <c r="Y723" s="799"/>
      <c r="Z723" s="799"/>
      <c r="AA723" s="799"/>
      <c r="AB723" s="799"/>
      <c r="AC723" s="799"/>
      <c r="AD723" s="799"/>
      <c r="AE723" s="799"/>
      <c r="AF723" s="799"/>
      <c r="AG723" s="799"/>
      <c r="AH723" s="799"/>
      <c r="AI723" s="799"/>
      <c r="AJ723" s="799"/>
      <c r="AK723" s="799"/>
      <c r="AL723" s="799"/>
      <c r="AM723" s="799"/>
      <c r="AN723" s="799"/>
      <c r="AO723" s="799"/>
      <c r="AP723" s="799"/>
      <c r="AQ723" s="799"/>
      <c r="AR723" s="799"/>
      <c r="AS723" s="799"/>
      <c r="AT723" s="799"/>
      <c r="AU723" s="799"/>
      <c r="AV723" s="799"/>
      <c r="AW723" s="799"/>
      <c r="AX723" s="799"/>
      <c r="AY723" s="799"/>
      <c r="AZ723" s="799"/>
      <c r="BA723" s="799"/>
      <c r="BB723" s="799"/>
      <c r="BC723" s="799"/>
      <c r="BD723" s="799"/>
      <c r="BE723" s="799"/>
      <c r="BF723" s="799"/>
      <c r="BG723" s="799"/>
    </row>
    <row r="724">
      <c r="H724" s="799"/>
      <c r="I724" s="799"/>
      <c r="J724" s="799"/>
      <c r="K724" s="799"/>
      <c r="L724" s="799"/>
      <c r="M724" s="799"/>
      <c r="N724" s="799"/>
      <c r="O724" s="799"/>
      <c r="P724" s="799"/>
      <c r="Q724" s="799"/>
      <c r="R724" s="799"/>
      <c r="S724" s="799"/>
      <c r="T724" s="799"/>
      <c r="U724" s="799"/>
      <c r="V724" s="799"/>
      <c r="W724" s="799"/>
      <c r="X724" s="799"/>
      <c r="Y724" s="799"/>
      <c r="Z724" s="799"/>
      <c r="AA724" s="799"/>
      <c r="AB724" s="799"/>
      <c r="AC724" s="799"/>
      <c r="AD724" s="799"/>
      <c r="AE724" s="799"/>
      <c r="AF724" s="799"/>
      <c r="AG724" s="799"/>
      <c r="AH724" s="799"/>
      <c r="AI724" s="799"/>
      <c r="AJ724" s="799"/>
      <c r="AK724" s="799"/>
      <c r="AL724" s="799"/>
      <c r="AM724" s="799"/>
      <c r="AN724" s="799"/>
      <c r="AO724" s="799"/>
      <c r="AP724" s="799"/>
      <c r="AQ724" s="799"/>
      <c r="AR724" s="799"/>
      <c r="AS724" s="799"/>
      <c r="AT724" s="799"/>
      <c r="AU724" s="799"/>
      <c r="AV724" s="799"/>
      <c r="AW724" s="799"/>
      <c r="AX724" s="799"/>
      <c r="AY724" s="799"/>
      <c r="AZ724" s="799"/>
      <c r="BA724" s="799"/>
      <c r="BB724" s="799"/>
      <c r="BC724" s="799"/>
      <c r="BD724" s="799"/>
      <c r="BE724" s="799"/>
      <c r="BF724" s="799"/>
      <c r="BG724" s="799"/>
    </row>
    <row r="725">
      <c r="H725" s="799"/>
      <c r="I725" s="799"/>
      <c r="J725" s="799"/>
      <c r="K725" s="799"/>
      <c r="L725" s="799"/>
      <c r="M725" s="799"/>
      <c r="N725" s="799"/>
      <c r="O725" s="799"/>
      <c r="P725" s="799"/>
      <c r="Q725" s="799"/>
      <c r="R725" s="799"/>
      <c r="S725" s="799"/>
      <c r="T725" s="799"/>
      <c r="U725" s="799"/>
      <c r="V725" s="799"/>
      <c r="W725" s="799"/>
      <c r="X725" s="799"/>
      <c r="Y725" s="799"/>
      <c r="Z725" s="799"/>
      <c r="AA725" s="799"/>
      <c r="AB725" s="799"/>
      <c r="AC725" s="799"/>
      <c r="AD725" s="799"/>
      <c r="AE725" s="799"/>
      <c r="AF725" s="799"/>
      <c r="AG725" s="799"/>
      <c r="AH725" s="799"/>
      <c r="AI725" s="799"/>
      <c r="AJ725" s="799"/>
      <c r="AK725" s="799"/>
      <c r="AL725" s="799"/>
      <c r="AM725" s="799"/>
      <c r="AN725" s="799"/>
      <c r="AO725" s="799"/>
      <c r="AP725" s="799"/>
      <c r="AQ725" s="799"/>
      <c r="AR725" s="799"/>
      <c r="AS725" s="799"/>
      <c r="AT725" s="799"/>
      <c r="AU725" s="799"/>
      <c r="AV725" s="799"/>
      <c r="AW725" s="799"/>
      <c r="AX725" s="799"/>
      <c r="AY725" s="799"/>
      <c r="AZ725" s="799"/>
      <c r="BA725" s="799"/>
      <c r="BB725" s="799"/>
      <c r="BC725" s="799"/>
      <c r="BD725" s="799"/>
      <c r="BE725" s="799"/>
      <c r="BF725" s="799"/>
      <c r="BG725" s="799"/>
    </row>
    <row r="726">
      <c r="H726" s="799"/>
      <c r="I726" s="799"/>
      <c r="J726" s="799"/>
      <c r="K726" s="799"/>
      <c r="L726" s="799"/>
      <c r="M726" s="799"/>
      <c r="N726" s="799"/>
      <c r="O726" s="799"/>
      <c r="P726" s="799"/>
      <c r="Q726" s="799"/>
      <c r="R726" s="799"/>
      <c r="S726" s="799"/>
      <c r="T726" s="799"/>
      <c r="U726" s="799"/>
      <c r="V726" s="799"/>
      <c r="W726" s="799"/>
      <c r="X726" s="799"/>
      <c r="Y726" s="799"/>
      <c r="Z726" s="799"/>
      <c r="AA726" s="799"/>
      <c r="AB726" s="799"/>
      <c r="AC726" s="799"/>
      <c r="AD726" s="799"/>
      <c r="AE726" s="799"/>
      <c r="AF726" s="799"/>
      <c r="AG726" s="799"/>
      <c r="AH726" s="799"/>
      <c r="AI726" s="799"/>
      <c r="AJ726" s="799"/>
      <c r="AK726" s="799"/>
      <c r="AL726" s="799"/>
      <c r="AM726" s="799"/>
      <c r="AN726" s="799"/>
      <c r="AO726" s="799"/>
      <c r="AP726" s="799"/>
      <c r="AQ726" s="799"/>
      <c r="AR726" s="799"/>
      <c r="AS726" s="799"/>
      <c r="AT726" s="799"/>
      <c r="AU726" s="799"/>
      <c r="AV726" s="799"/>
      <c r="AW726" s="799"/>
      <c r="AX726" s="799"/>
      <c r="AY726" s="799"/>
      <c r="AZ726" s="799"/>
      <c r="BA726" s="799"/>
      <c r="BB726" s="799"/>
      <c r="BC726" s="799"/>
      <c r="BD726" s="799"/>
      <c r="BE726" s="799"/>
      <c r="BF726" s="799"/>
      <c r="BG726" s="799"/>
    </row>
    <row r="727">
      <c r="H727" s="799"/>
      <c r="I727" s="799"/>
      <c r="J727" s="799"/>
      <c r="K727" s="799"/>
      <c r="L727" s="799"/>
      <c r="M727" s="799"/>
      <c r="N727" s="799"/>
      <c r="O727" s="799"/>
      <c r="P727" s="799"/>
      <c r="Q727" s="799"/>
      <c r="R727" s="799"/>
      <c r="S727" s="799"/>
      <c r="T727" s="799"/>
      <c r="U727" s="799"/>
      <c r="V727" s="799"/>
      <c r="W727" s="799"/>
      <c r="X727" s="799"/>
      <c r="Y727" s="799"/>
      <c r="Z727" s="799"/>
      <c r="AA727" s="799"/>
      <c r="AB727" s="799"/>
      <c r="AC727" s="799"/>
      <c r="AD727" s="799"/>
      <c r="AE727" s="799"/>
      <c r="AF727" s="799"/>
      <c r="AG727" s="799"/>
      <c r="AH727" s="799"/>
      <c r="AI727" s="799"/>
      <c r="AJ727" s="799"/>
      <c r="AK727" s="799"/>
      <c r="AL727" s="799"/>
      <c r="AM727" s="799"/>
      <c r="AN727" s="799"/>
      <c r="AO727" s="799"/>
      <c r="AP727" s="799"/>
      <c r="AQ727" s="799"/>
      <c r="AR727" s="799"/>
      <c r="AS727" s="799"/>
      <c r="AT727" s="799"/>
      <c r="AU727" s="799"/>
      <c r="AV727" s="799"/>
      <c r="AW727" s="799"/>
      <c r="AX727" s="799"/>
      <c r="AY727" s="799"/>
      <c r="AZ727" s="799"/>
      <c r="BA727" s="799"/>
      <c r="BB727" s="799"/>
      <c r="BC727" s="799"/>
      <c r="BD727" s="799"/>
      <c r="BE727" s="799"/>
      <c r="BF727" s="799"/>
      <c r="BG727" s="799"/>
    </row>
    <row r="728">
      <c r="H728" s="799"/>
      <c r="I728" s="799"/>
      <c r="J728" s="799"/>
      <c r="K728" s="799"/>
      <c r="L728" s="799"/>
      <c r="M728" s="799"/>
      <c r="N728" s="799"/>
      <c r="O728" s="799"/>
      <c r="P728" s="799"/>
      <c r="Q728" s="799"/>
      <c r="R728" s="799"/>
      <c r="S728" s="799"/>
      <c r="T728" s="799"/>
      <c r="U728" s="799"/>
      <c r="V728" s="799"/>
      <c r="W728" s="799"/>
      <c r="X728" s="799"/>
      <c r="Y728" s="799"/>
      <c r="Z728" s="799"/>
      <c r="AA728" s="799"/>
      <c r="AB728" s="799"/>
      <c r="AC728" s="799"/>
      <c r="AD728" s="799"/>
      <c r="AE728" s="799"/>
      <c r="AF728" s="799"/>
      <c r="AG728" s="799"/>
      <c r="AH728" s="799"/>
      <c r="AI728" s="799"/>
      <c r="AJ728" s="799"/>
      <c r="AK728" s="799"/>
      <c r="AL728" s="799"/>
      <c r="AM728" s="799"/>
      <c r="AN728" s="799"/>
      <c r="AO728" s="799"/>
      <c r="AP728" s="799"/>
      <c r="AQ728" s="799"/>
      <c r="AR728" s="799"/>
      <c r="AS728" s="799"/>
      <c r="AT728" s="799"/>
      <c r="AU728" s="799"/>
      <c r="AV728" s="799"/>
      <c r="AW728" s="799"/>
      <c r="AX728" s="799"/>
      <c r="AY728" s="799"/>
      <c r="AZ728" s="799"/>
      <c r="BA728" s="799"/>
      <c r="BB728" s="799"/>
      <c r="BC728" s="799"/>
      <c r="BD728" s="799"/>
      <c r="BE728" s="799"/>
      <c r="BF728" s="799"/>
      <c r="BG728" s="799"/>
    </row>
    <row r="729">
      <c r="H729" s="799"/>
      <c r="I729" s="799"/>
      <c r="J729" s="799"/>
      <c r="K729" s="799"/>
      <c r="L729" s="799"/>
      <c r="M729" s="799"/>
      <c r="N729" s="799"/>
      <c r="O729" s="799"/>
      <c r="P729" s="799"/>
      <c r="Q729" s="799"/>
      <c r="R729" s="799"/>
      <c r="S729" s="799"/>
      <c r="T729" s="799"/>
      <c r="U729" s="799"/>
      <c r="V729" s="799"/>
      <c r="W729" s="799"/>
      <c r="X729" s="799"/>
      <c r="Y729" s="799"/>
      <c r="Z729" s="799"/>
      <c r="AA729" s="799"/>
      <c r="AB729" s="799"/>
      <c r="AC729" s="799"/>
      <c r="AD729" s="799"/>
      <c r="AE729" s="799"/>
      <c r="AF729" s="799"/>
      <c r="AG729" s="799"/>
      <c r="AH729" s="799"/>
      <c r="AI729" s="799"/>
      <c r="AJ729" s="799"/>
      <c r="AK729" s="799"/>
      <c r="AL729" s="799"/>
      <c r="AM729" s="799"/>
      <c r="AN729" s="799"/>
      <c r="AO729" s="799"/>
      <c r="AP729" s="799"/>
      <c r="AQ729" s="799"/>
      <c r="AR729" s="799"/>
      <c r="AS729" s="799"/>
      <c r="AT729" s="799"/>
      <c r="AU729" s="799"/>
      <c r="AV729" s="799"/>
      <c r="AW729" s="799"/>
      <c r="AX729" s="799"/>
      <c r="AY729" s="799"/>
      <c r="AZ729" s="799"/>
      <c r="BA729" s="799"/>
      <c r="BB729" s="799"/>
      <c r="BC729" s="799"/>
      <c r="BD729" s="799"/>
      <c r="BE729" s="799"/>
      <c r="BF729" s="799"/>
      <c r="BG729" s="799"/>
    </row>
    <row r="730">
      <c r="H730" s="799"/>
      <c r="I730" s="799"/>
      <c r="J730" s="799"/>
      <c r="K730" s="799"/>
      <c r="L730" s="799"/>
      <c r="M730" s="799"/>
      <c r="N730" s="799"/>
      <c r="O730" s="799"/>
      <c r="P730" s="799"/>
      <c r="Q730" s="799"/>
      <c r="R730" s="799"/>
      <c r="S730" s="799"/>
      <c r="T730" s="799"/>
      <c r="U730" s="799"/>
      <c r="V730" s="799"/>
      <c r="W730" s="799"/>
      <c r="X730" s="799"/>
      <c r="Y730" s="799"/>
      <c r="Z730" s="799"/>
      <c r="AA730" s="799"/>
      <c r="AB730" s="799"/>
      <c r="AC730" s="799"/>
      <c r="AD730" s="799"/>
      <c r="AE730" s="799"/>
      <c r="AF730" s="799"/>
      <c r="AG730" s="799"/>
      <c r="AH730" s="799"/>
      <c r="AI730" s="799"/>
      <c r="AJ730" s="799"/>
      <c r="AK730" s="799"/>
      <c r="AL730" s="799"/>
      <c r="AM730" s="799"/>
      <c r="AN730" s="799"/>
      <c r="AO730" s="799"/>
      <c r="AP730" s="799"/>
      <c r="AQ730" s="799"/>
      <c r="AR730" s="799"/>
      <c r="AS730" s="799"/>
      <c r="AT730" s="799"/>
      <c r="AU730" s="799"/>
      <c r="AV730" s="799"/>
      <c r="AW730" s="799"/>
      <c r="AX730" s="799"/>
      <c r="AY730" s="799"/>
      <c r="AZ730" s="799"/>
      <c r="BA730" s="799"/>
      <c r="BB730" s="799"/>
      <c r="BC730" s="799"/>
      <c r="BD730" s="799"/>
      <c r="BE730" s="799"/>
      <c r="BF730" s="799"/>
      <c r="BG730" s="799"/>
    </row>
    <row r="731">
      <c r="H731" s="799"/>
      <c r="I731" s="799"/>
      <c r="J731" s="799"/>
      <c r="K731" s="799"/>
      <c r="L731" s="799"/>
      <c r="M731" s="799"/>
      <c r="N731" s="799"/>
      <c r="O731" s="799"/>
      <c r="P731" s="799"/>
      <c r="Q731" s="799"/>
      <c r="R731" s="799"/>
      <c r="S731" s="799"/>
      <c r="T731" s="799"/>
      <c r="U731" s="799"/>
      <c r="V731" s="799"/>
      <c r="W731" s="799"/>
      <c r="X731" s="799"/>
      <c r="Y731" s="799"/>
      <c r="Z731" s="799"/>
      <c r="AA731" s="799"/>
      <c r="AB731" s="799"/>
      <c r="AC731" s="799"/>
      <c r="AD731" s="799"/>
      <c r="AE731" s="799"/>
      <c r="AF731" s="799"/>
      <c r="AG731" s="799"/>
      <c r="AH731" s="799"/>
      <c r="AI731" s="799"/>
      <c r="AJ731" s="799"/>
      <c r="AK731" s="799"/>
      <c r="AL731" s="799"/>
      <c r="AM731" s="799"/>
      <c r="AN731" s="799"/>
      <c r="AO731" s="799"/>
      <c r="AP731" s="799"/>
      <c r="AQ731" s="799"/>
      <c r="AR731" s="799"/>
      <c r="AS731" s="799"/>
      <c r="AT731" s="799"/>
      <c r="AU731" s="799"/>
      <c r="AV731" s="799"/>
      <c r="AW731" s="799"/>
      <c r="AX731" s="799"/>
      <c r="AY731" s="799"/>
      <c r="AZ731" s="799"/>
      <c r="BA731" s="799"/>
      <c r="BB731" s="799"/>
      <c r="BC731" s="799"/>
      <c r="BD731" s="799"/>
      <c r="BE731" s="799"/>
      <c r="BF731" s="799"/>
      <c r="BG731" s="799"/>
    </row>
    <row r="732">
      <c r="H732" s="799"/>
      <c r="I732" s="799"/>
      <c r="J732" s="799"/>
      <c r="K732" s="799"/>
      <c r="L732" s="799"/>
      <c r="M732" s="799"/>
      <c r="N732" s="799"/>
      <c r="O732" s="799"/>
      <c r="P732" s="799"/>
      <c r="Q732" s="799"/>
      <c r="R732" s="799"/>
      <c r="S732" s="799"/>
      <c r="T732" s="799"/>
      <c r="U732" s="799"/>
      <c r="V732" s="799"/>
      <c r="W732" s="799"/>
      <c r="X732" s="799"/>
      <c r="Y732" s="799"/>
      <c r="Z732" s="799"/>
      <c r="AA732" s="799"/>
      <c r="AB732" s="799"/>
      <c r="AC732" s="799"/>
      <c r="AD732" s="799"/>
      <c r="AE732" s="799"/>
      <c r="AF732" s="799"/>
      <c r="AG732" s="799"/>
      <c r="AH732" s="799"/>
      <c r="AI732" s="799"/>
      <c r="AJ732" s="799"/>
      <c r="AK732" s="799"/>
      <c r="AL732" s="799"/>
      <c r="AM732" s="799"/>
      <c r="AN732" s="799"/>
      <c r="AO732" s="799"/>
      <c r="AP732" s="799"/>
      <c r="AQ732" s="799"/>
      <c r="AR732" s="799"/>
      <c r="AS732" s="799"/>
      <c r="AT732" s="799"/>
      <c r="AU732" s="799"/>
      <c r="AV732" s="799"/>
      <c r="AW732" s="799"/>
      <c r="AX732" s="799"/>
      <c r="AY732" s="799"/>
      <c r="AZ732" s="799"/>
      <c r="BA732" s="799"/>
      <c r="BB732" s="799"/>
      <c r="BC732" s="799"/>
      <c r="BD732" s="799"/>
      <c r="BE732" s="799"/>
      <c r="BF732" s="799"/>
      <c r="BG732" s="799"/>
    </row>
    <row r="733">
      <c r="H733" s="799"/>
      <c r="I733" s="799"/>
      <c r="J733" s="799"/>
      <c r="K733" s="799"/>
      <c r="L733" s="799"/>
      <c r="M733" s="799"/>
      <c r="N733" s="799"/>
      <c r="O733" s="799"/>
      <c r="P733" s="799"/>
      <c r="Q733" s="799"/>
      <c r="R733" s="799"/>
      <c r="S733" s="799"/>
      <c r="T733" s="799"/>
      <c r="U733" s="799"/>
      <c r="V733" s="799"/>
      <c r="W733" s="799"/>
      <c r="X733" s="799"/>
      <c r="Y733" s="799"/>
      <c r="Z733" s="799"/>
      <c r="AA733" s="799"/>
      <c r="AB733" s="799"/>
      <c r="AC733" s="799"/>
      <c r="AD733" s="799"/>
      <c r="AE733" s="799"/>
      <c r="AF733" s="799"/>
      <c r="AG733" s="799"/>
      <c r="AH733" s="799"/>
      <c r="AI733" s="799"/>
      <c r="AJ733" s="799"/>
      <c r="AK733" s="799"/>
      <c r="AL733" s="799"/>
      <c r="AM733" s="799"/>
      <c r="AN733" s="799"/>
      <c r="AO733" s="799"/>
      <c r="AP733" s="799"/>
      <c r="AQ733" s="799"/>
      <c r="AR733" s="799"/>
      <c r="AS733" s="799"/>
      <c r="AT733" s="799"/>
      <c r="AU733" s="799"/>
      <c r="AV733" s="799"/>
      <c r="AW733" s="799"/>
      <c r="AX733" s="799"/>
      <c r="AY733" s="799"/>
      <c r="AZ733" s="799"/>
      <c r="BA733" s="799"/>
      <c r="BB733" s="799"/>
      <c r="BC733" s="799"/>
      <c r="BD733" s="799"/>
      <c r="BE733" s="799"/>
      <c r="BF733" s="799"/>
      <c r="BG733" s="799"/>
    </row>
    <row r="734">
      <c r="H734" s="799"/>
      <c r="I734" s="799"/>
      <c r="J734" s="799"/>
      <c r="K734" s="799"/>
      <c r="L734" s="799"/>
      <c r="M734" s="799"/>
      <c r="N734" s="799"/>
      <c r="O734" s="799"/>
      <c r="P734" s="799"/>
      <c r="Q734" s="799"/>
      <c r="R734" s="799"/>
      <c r="S734" s="799"/>
      <c r="T734" s="799"/>
      <c r="U734" s="799"/>
      <c r="V734" s="799"/>
      <c r="W734" s="799"/>
      <c r="X734" s="799"/>
      <c r="Y734" s="799"/>
      <c r="Z734" s="799"/>
      <c r="AA734" s="799"/>
      <c r="AB734" s="799"/>
      <c r="AC734" s="799"/>
      <c r="AD734" s="799"/>
      <c r="AE734" s="799"/>
      <c r="AF734" s="799"/>
      <c r="AG734" s="799"/>
      <c r="AH734" s="799"/>
      <c r="AI734" s="799"/>
      <c r="AJ734" s="799"/>
      <c r="AK734" s="799"/>
      <c r="AL734" s="799"/>
      <c r="AM734" s="799"/>
      <c r="AN734" s="799"/>
      <c r="AO734" s="799"/>
      <c r="AP734" s="799"/>
      <c r="AQ734" s="799"/>
      <c r="AR734" s="799"/>
      <c r="AS734" s="799"/>
      <c r="AT734" s="799"/>
      <c r="AU734" s="799"/>
      <c r="AV734" s="799"/>
      <c r="AW734" s="799"/>
      <c r="AX734" s="799"/>
      <c r="AY734" s="799"/>
      <c r="AZ734" s="799"/>
      <c r="BA734" s="799"/>
      <c r="BB734" s="799"/>
      <c r="BC734" s="799"/>
      <c r="BD734" s="799"/>
      <c r="BE734" s="799"/>
      <c r="BF734" s="799"/>
      <c r="BG734" s="799"/>
    </row>
    <row r="735">
      <c r="H735" s="799"/>
      <c r="I735" s="799"/>
      <c r="J735" s="799"/>
      <c r="K735" s="799"/>
      <c r="L735" s="799"/>
      <c r="M735" s="799"/>
      <c r="N735" s="799"/>
      <c r="O735" s="799"/>
      <c r="P735" s="799"/>
      <c r="Q735" s="799"/>
      <c r="R735" s="799"/>
      <c r="S735" s="799"/>
      <c r="T735" s="799"/>
      <c r="U735" s="799"/>
      <c r="V735" s="799"/>
      <c r="W735" s="799"/>
      <c r="X735" s="799"/>
      <c r="Y735" s="799"/>
      <c r="Z735" s="799"/>
      <c r="AA735" s="799"/>
      <c r="AB735" s="799"/>
      <c r="AC735" s="799"/>
      <c r="AD735" s="799"/>
      <c r="AE735" s="799"/>
      <c r="AF735" s="799"/>
      <c r="AG735" s="799"/>
      <c r="AH735" s="799"/>
      <c r="AI735" s="799"/>
      <c r="AJ735" s="799"/>
      <c r="AK735" s="799"/>
      <c r="AL735" s="799"/>
      <c r="AM735" s="799"/>
      <c r="AN735" s="799"/>
      <c r="AO735" s="799"/>
      <c r="AP735" s="799"/>
      <c r="AQ735" s="799"/>
      <c r="AR735" s="799"/>
      <c r="AS735" s="799"/>
      <c r="AT735" s="799"/>
      <c r="AU735" s="799"/>
      <c r="AV735" s="799"/>
      <c r="AW735" s="799"/>
      <c r="AX735" s="799"/>
      <c r="AY735" s="799"/>
      <c r="AZ735" s="799"/>
      <c r="BA735" s="799"/>
      <c r="BB735" s="799"/>
      <c r="BC735" s="799"/>
      <c r="BD735" s="799"/>
      <c r="BE735" s="799"/>
      <c r="BF735" s="799"/>
      <c r="BG735" s="799"/>
    </row>
    <row r="736">
      <c r="H736" s="799"/>
      <c r="I736" s="799"/>
      <c r="J736" s="799"/>
      <c r="K736" s="799"/>
      <c r="L736" s="799"/>
      <c r="M736" s="799"/>
      <c r="N736" s="799"/>
      <c r="O736" s="799"/>
      <c r="P736" s="799"/>
      <c r="Q736" s="799"/>
      <c r="R736" s="799"/>
      <c r="S736" s="799"/>
      <c r="T736" s="799"/>
      <c r="U736" s="799"/>
      <c r="V736" s="799"/>
      <c r="W736" s="799"/>
      <c r="X736" s="799"/>
      <c r="Y736" s="799"/>
      <c r="Z736" s="799"/>
      <c r="AA736" s="799"/>
      <c r="AB736" s="799"/>
      <c r="AC736" s="799"/>
      <c r="AD736" s="799"/>
      <c r="AE736" s="799"/>
      <c r="AF736" s="799"/>
      <c r="AG736" s="799"/>
      <c r="AH736" s="799"/>
      <c r="AI736" s="799"/>
      <c r="AJ736" s="799"/>
      <c r="AK736" s="799"/>
      <c r="AL736" s="799"/>
      <c r="AM736" s="799"/>
      <c r="AN736" s="799"/>
      <c r="AO736" s="799"/>
      <c r="AP736" s="799"/>
      <c r="AQ736" s="799"/>
      <c r="AR736" s="799"/>
      <c r="AS736" s="799"/>
      <c r="AT736" s="799"/>
      <c r="AU736" s="799"/>
      <c r="AV736" s="799"/>
      <c r="AW736" s="799"/>
      <c r="AX736" s="799"/>
      <c r="AY736" s="799"/>
      <c r="AZ736" s="799"/>
      <c r="BA736" s="799"/>
      <c r="BB736" s="799"/>
      <c r="BC736" s="799"/>
      <c r="BD736" s="799"/>
      <c r="BE736" s="799"/>
      <c r="BF736" s="799"/>
      <c r="BG736" s="799"/>
    </row>
    <row r="737">
      <c r="H737" s="799"/>
      <c r="I737" s="799"/>
      <c r="J737" s="799"/>
      <c r="K737" s="799"/>
      <c r="L737" s="799"/>
      <c r="M737" s="799"/>
      <c r="N737" s="799"/>
      <c r="O737" s="799"/>
      <c r="P737" s="799"/>
      <c r="Q737" s="799"/>
      <c r="R737" s="799"/>
      <c r="S737" s="799"/>
      <c r="T737" s="799"/>
      <c r="U737" s="799"/>
      <c r="V737" s="799"/>
      <c r="W737" s="799"/>
      <c r="X737" s="799"/>
      <c r="Y737" s="799"/>
      <c r="Z737" s="799"/>
      <c r="AA737" s="799"/>
      <c r="AB737" s="799"/>
      <c r="AC737" s="799"/>
      <c r="AD737" s="799"/>
      <c r="AE737" s="799"/>
      <c r="AF737" s="799"/>
      <c r="AG737" s="799"/>
      <c r="AH737" s="799"/>
      <c r="AI737" s="799"/>
      <c r="AJ737" s="799"/>
      <c r="AK737" s="799"/>
      <c r="AL737" s="799"/>
      <c r="AM737" s="799"/>
      <c r="AN737" s="799"/>
      <c r="AO737" s="799"/>
      <c r="AP737" s="799"/>
      <c r="AQ737" s="799"/>
      <c r="AR737" s="799"/>
      <c r="AS737" s="799"/>
      <c r="AT737" s="799"/>
      <c r="AU737" s="799"/>
      <c r="AV737" s="799"/>
      <c r="AW737" s="799"/>
      <c r="AX737" s="799"/>
      <c r="AY737" s="799"/>
      <c r="AZ737" s="799"/>
      <c r="BA737" s="799"/>
      <c r="BB737" s="799"/>
      <c r="BC737" s="799"/>
      <c r="BD737" s="799"/>
      <c r="BE737" s="799"/>
      <c r="BF737" s="799"/>
      <c r="BG737" s="799"/>
    </row>
    <row r="738">
      <c r="H738" s="799"/>
      <c r="I738" s="799"/>
      <c r="J738" s="799"/>
      <c r="K738" s="799"/>
      <c r="L738" s="799"/>
      <c r="M738" s="799"/>
      <c r="N738" s="799"/>
      <c r="O738" s="799"/>
      <c r="P738" s="799"/>
      <c r="Q738" s="799"/>
      <c r="R738" s="799"/>
      <c r="S738" s="799"/>
      <c r="T738" s="799"/>
      <c r="U738" s="799"/>
      <c r="V738" s="799"/>
      <c r="W738" s="799"/>
      <c r="X738" s="799"/>
      <c r="Y738" s="799"/>
      <c r="Z738" s="799"/>
      <c r="AA738" s="799"/>
      <c r="AB738" s="799"/>
      <c r="AC738" s="799"/>
      <c r="AD738" s="799"/>
      <c r="AE738" s="799"/>
      <c r="AF738" s="799"/>
      <c r="AG738" s="799"/>
      <c r="AH738" s="799"/>
      <c r="AI738" s="799"/>
      <c r="AJ738" s="799"/>
      <c r="AK738" s="799"/>
      <c r="AL738" s="799"/>
      <c r="AM738" s="799"/>
      <c r="AN738" s="799"/>
      <c r="AO738" s="799"/>
      <c r="AP738" s="799"/>
      <c r="AQ738" s="799"/>
      <c r="AR738" s="799"/>
      <c r="AS738" s="799"/>
      <c r="AT738" s="799"/>
      <c r="AU738" s="799"/>
      <c r="AV738" s="799"/>
      <c r="AW738" s="799"/>
      <c r="AX738" s="799"/>
      <c r="AY738" s="799"/>
      <c r="AZ738" s="799"/>
      <c r="BA738" s="799"/>
      <c r="BB738" s="799"/>
      <c r="BC738" s="799"/>
      <c r="BD738" s="799"/>
      <c r="BE738" s="799"/>
      <c r="BF738" s="799"/>
      <c r="BG738" s="799"/>
    </row>
    <row r="739">
      <c r="H739" s="799"/>
      <c r="I739" s="799"/>
      <c r="J739" s="799"/>
      <c r="K739" s="799"/>
      <c r="L739" s="799"/>
      <c r="M739" s="799"/>
      <c r="N739" s="799"/>
      <c r="O739" s="799"/>
      <c r="P739" s="799"/>
      <c r="Q739" s="799"/>
      <c r="R739" s="799"/>
      <c r="S739" s="799"/>
      <c r="T739" s="799"/>
      <c r="U739" s="799"/>
      <c r="V739" s="799"/>
      <c r="W739" s="799"/>
      <c r="X739" s="799"/>
      <c r="Y739" s="799"/>
      <c r="Z739" s="799"/>
      <c r="AA739" s="799"/>
      <c r="AB739" s="799"/>
      <c r="AC739" s="799"/>
      <c r="AD739" s="799"/>
      <c r="AE739" s="799"/>
      <c r="AF739" s="799"/>
      <c r="AG739" s="799"/>
      <c r="AH739" s="799"/>
      <c r="AI739" s="799"/>
      <c r="AJ739" s="799"/>
      <c r="AK739" s="799"/>
      <c r="AL739" s="799"/>
      <c r="AM739" s="799"/>
      <c r="AN739" s="799"/>
      <c r="AO739" s="799"/>
      <c r="AP739" s="799"/>
      <c r="AQ739" s="799"/>
      <c r="AR739" s="799"/>
      <c r="AS739" s="799"/>
      <c r="AT739" s="799"/>
      <c r="AU739" s="799"/>
      <c r="AV739" s="799"/>
      <c r="AW739" s="799"/>
      <c r="AX739" s="799"/>
      <c r="AY739" s="799"/>
      <c r="AZ739" s="799"/>
      <c r="BA739" s="799"/>
      <c r="BB739" s="799"/>
      <c r="BC739" s="799"/>
      <c r="BD739" s="799"/>
      <c r="BE739" s="799"/>
      <c r="BF739" s="799"/>
      <c r="BG739" s="799"/>
    </row>
    <row r="740">
      <c r="H740" s="799"/>
      <c r="I740" s="799"/>
      <c r="J740" s="799"/>
      <c r="K740" s="799"/>
      <c r="L740" s="799"/>
      <c r="M740" s="799"/>
      <c r="N740" s="799"/>
      <c r="O740" s="799"/>
      <c r="P740" s="799"/>
      <c r="Q740" s="799"/>
      <c r="R740" s="799"/>
      <c r="S740" s="799"/>
      <c r="T740" s="799"/>
      <c r="U740" s="799"/>
      <c r="V740" s="799"/>
      <c r="W740" s="799"/>
      <c r="X740" s="799"/>
      <c r="Y740" s="799"/>
      <c r="Z740" s="799"/>
      <c r="AA740" s="799"/>
      <c r="AB740" s="799"/>
      <c r="AC740" s="799"/>
      <c r="AD740" s="799"/>
      <c r="AE740" s="799"/>
      <c r="AF740" s="799"/>
      <c r="AG740" s="799"/>
      <c r="AH740" s="799"/>
      <c r="AI740" s="799"/>
      <c r="AJ740" s="799"/>
      <c r="AK740" s="799"/>
      <c r="AL740" s="799"/>
      <c r="AM740" s="799"/>
      <c r="AN740" s="799"/>
      <c r="AO740" s="799"/>
      <c r="AP740" s="799"/>
      <c r="AQ740" s="799"/>
      <c r="AR740" s="799"/>
      <c r="AS740" s="799"/>
      <c r="AT740" s="799"/>
      <c r="AU740" s="799"/>
      <c r="AV740" s="799"/>
      <c r="AW740" s="799"/>
      <c r="AX740" s="799"/>
      <c r="AY740" s="799"/>
      <c r="AZ740" s="799"/>
      <c r="BA740" s="799"/>
      <c r="BB740" s="799"/>
      <c r="BC740" s="799"/>
      <c r="BD740" s="799"/>
      <c r="BE740" s="799"/>
      <c r="BF740" s="799"/>
      <c r="BG740" s="799"/>
    </row>
    <row r="741">
      <c r="H741" s="799"/>
      <c r="I741" s="799"/>
      <c r="J741" s="799"/>
      <c r="K741" s="799"/>
      <c r="L741" s="799"/>
      <c r="M741" s="799"/>
      <c r="N741" s="799"/>
      <c r="O741" s="799"/>
      <c r="P741" s="799"/>
      <c r="Q741" s="799"/>
      <c r="R741" s="799"/>
      <c r="S741" s="799"/>
      <c r="T741" s="799"/>
      <c r="U741" s="799"/>
      <c r="V741" s="799"/>
      <c r="W741" s="799"/>
      <c r="X741" s="799"/>
      <c r="Y741" s="799"/>
      <c r="Z741" s="799"/>
      <c r="AA741" s="799"/>
      <c r="AB741" s="799"/>
      <c r="AC741" s="799"/>
      <c r="AD741" s="799"/>
      <c r="AE741" s="799"/>
      <c r="AF741" s="799"/>
      <c r="AG741" s="799"/>
      <c r="AH741" s="799"/>
      <c r="AI741" s="799"/>
      <c r="AJ741" s="799"/>
      <c r="AK741" s="799"/>
      <c r="AL741" s="799"/>
      <c r="AM741" s="799"/>
      <c r="AN741" s="799"/>
      <c r="AO741" s="799"/>
      <c r="AP741" s="799"/>
      <c r="AQ741" s="799"/>
      <c r="AR741" s="799"/>
      <c r="AS741" s="799"/>
      <c r="AT741" s="799"/>
      <c r="AU741" s="799"/>
      <c r="AV741" s="799"/>
      <c r="AW741" s="799"/>
      <c r="AX741" s="799"/>
      <c r="AY741" s="799"/>
      <c r="AZ741" s="799"/>
      <c r="BA741" s="799"/>
      <c r="BB741" s="799"/>
      <c r="BC741" s="799"/>
      <c r="BD741" s="799"/>
      <c r="BE741" s="799"/>
      <c r="BF741" s="799"/>
      <c r="BG741" s="799"/>
    </row>
    <row r="742">
      <c r="H742" s="799"/>
      <c r="I742" s="799"/>
      <c r="J742" s="799"/>
      <c r="K742" s="799"/>
      <c r="L742" s="799"/>
      <c r="M742" s="799"/>
      <c r="N742" s="799"/>
      <c r="O742" s="799"/>
      <c r="P742" s="799"/>
      <c r="Q742" s="799"/>
      <c r="R742" s="799"/>
      <c r="S742" s="799"/>
      <c r="T742" s="799"/>
      <c r="U742" s="799"/>
      <c r="V742" s="799"/>
      <c r="W742" s="799"/>
      <c r="X742" s="799"/>
      <c r="Y742" s="799"/>
      <c r="Z742" s="799"/>
      <c r="AA742" s="799"/>
      <c r="AB742" s="799"/>
      <c r="AC742" s="799"/>
      <c r="AD742" s="799"/>
      <c r="AE742" s="799"/>
      <c r="AF742" s="799"/>
      <c r="AG742" s="799"/>
      <c r="AH742" s="799"/>
      <c r="AI742" s="799"/>
      <c r="AJ742" s="799"/>
      <c r="AK742" s="799"/>
      <c r="AL742" s="799"/>
      <c r="AM742" s="799"/>
      <c r="AN742" s="799"/>
      <c r="AO742" s="799"/>
      <c r="AP742" s="799"/>
      <c r="AQ742" s="799"/>
      <c r="AR742" s="799"/>
      <c r="AS742" s="799"/>
      <c r="AT742" s="799"/>
      <c r="AU742" s="799"/>
      <c r="AV742" s="799"/>
      <c r="AW742" s="799"/>
      <c r="AX742" s="799"/>
      <c r="AY742" s="799"/>
      <c r="AZ742" s="799"/>
      <c r="BA742" s="799"/>
      <c r="BB742" s="799"/>
      <c r="BC742" s="799"/>
      <c r="BD742" s="799"/>
      <c r="BE742" s="799"/>
      <c r="BF742" s="799"/>
      <c r="BG742" s="799"/>
    </row>
    <row r="743">
      <c r="H743" s="799"/>
      <c r="I743" s="799"/>
      <c r="J743" s="799"/>
      <c r="K743" s="799"/>
      <c r="L743" s="799"/>
      <c r="M743" s="799"/>
      <c r="N743" s="799"/>
      <c r="O743" s="799"/>
      <c r="P743" s="799"/>
      <c r="Q743" s="799"/>
      <c r="R743" s="799"/>
      <c r="S743" s="799"/>
      <c r="T743" s="799"/>
      <c r="U743" s="799"/>
      <c r="V743" s="799"/>
      <c r="W743" s="799"/>
      <c r="X743" s="799"/>
      <c r="Y743" s="799"/>
      <c r="Z743" s="799"/>
      <c r="AA743" s="799"/>
      <c r="AB743" s="799"/>
      <c r="AC743" s="799"/>
      <c r="AD743" s="799"/>
      <c r="AE743" s="799"/>
      <c r="AF743" s="799"/>
      <c r="AG743" s="799"/>
      <c r="AH743" s="799"/>
      <c r="AI743" s="799"/>
      <c r="AJ743" s="799"/>
      <c r="AK743" s="799"/>
      <c r="AL743" s="799"/>
      <c r="AM743" s="799"/>
      <c r="AN743" s="799"/>
      <c r="AO743" s="799"/>
      <c r="AP743" s="799"/>
      <c r="AQ743" s="799"/>
      <c r="AR743" s="799"/>
      <c r="AS743" s="799"/>
      <c r="AT743" s="799"/>
      <c r="AU743" s="799"/>
      <c r="AV743" s="799"/>
      <c r="AW743" s="799"/>
      <c r="AX743" s="799"/>
      <c r="AY743" s="799"/>
      <c r="AZ743" s="799"/>
      <c r="BA743" s="799"/>
      <c r="BB743" s="799"/>
      <c r="BC743" s="799"/>
      <c r="BD743" s="799"/>
      <c r="BE743" s="799"/>
      <c r="BF743" s="799"/>
      <c r="BG743" s="799"/>
    </row>
    <row r="744">
      <c r="H744" s="799"/>
      <c r="I744" s="799"/>
      <c r="J744" s="799"/>
      <c r="K744" s="799"/>
      <c r="L744" s="799"/>
      <c r="M744" s="799"/>
      <c r="N744" s="799"/>
      <c r="O744" s="799"/>
      <c r="P744" s="799"/>
      <c r="Q744" s="799"/>
      <c r="R744" s="799"/>
      <c r="S744" s="799"/>
      <c r="T744" s="799"/>
      <c r="U744" s="799"/>
      <c r="V744" s="799"/>
      <c r="W744" s="799"/>
      <c r="X744" s="799"/>
      <c r="Y744" s="799"/>
      <c r="Z744" s="799"/>
      <c r="AA744" s="799"/>
      <c r="AB744" s="799"/>
      <c r="AC744" s="799"/>
      <c r="AD744" s="799"/>
      <c r="AE744" s="799"/>
      <c r="AF744" s="799"/>
      <c r="AG744" s="799"/>
      <c r="AH744" s="799"/>
      <c r="AI744" s="799"/>
      <c r="AJ744" s="799"/>
      <c r="AK744" s="799"/>
      <c r="AL744" s="799"/>
      <c r="AM744" s="799"/>
      <c r="AN744" s="799"/>
      <c r="AO744" s="799"/>
      <c r="AP744" s="799"/>
      <c r="AQ744" s="799"/>
      <c r="AR744" s="799"/>
      <c r="AS744" s="799"/>
      <c r="AT744" s="799"/>
      <c r="AU744" s="799"/>
      <c r="AV744" s="799"/>
      <c r="AW744" s="799"/>
      <c r="AX744" s="799"/>
      <c r="AY744" s="799"/>
      <c r="AZ744" s="799"/>
      <c r="BA744" s="799"/>
      <c r="BB744" s="799"/>
      <c r="BC744" s="799"/>
      <c r="BD744" s="799"/>
      <c r="BE744" s="799"/>
      <c r="BF744" s="799"/>
      <c r="BG744" s="799"/>
    </row>
    <row r="745">
      <c r="H745" s="799"/>
      <c r="I745" s="799"/>
      <c r="J745" s="799"/>
      <c r="K745" s="799"/>
      <c r="L745" s="799"/>
      <c r="M745" s="799"/>
      <c r="N745" s="799"/>
      <c r="O745" s="799"/>
      <c r="P745" s="799"/>
      <c r="Q745" s="799"/>
      <c r="R745" s="799"/>
      <c r="S745" s="799"/>
      <c r="T745" s="799"/>
      <c r="U745" s="799"/>
      <c r="V745" s="799"/>
      <c r="W745" s="799"/>
      <c r="X745" s="799"/>
      <c r="Y745" s="799"/>
      <c r="Z745" s="799"/>
      <c r="AA745" s="799"/>
      <c r="AB745" s="799"/>
      <c r="AC745" s="799"/>
      <c r="AD745" s="799"/>
      <c r="AE745" s="799"/>
      <c r="AF745" s="799"/>
      <c r="AG745" s="799"/>
      <c r="AH745" s="799"/>
      <c r="AI745" s="799"/>
      <c r="AJ745" s="799"/>
      <c r="AK745" s="799"/>
      <c r="AL745" s="799"/>
      <c r="AM745" s="799"/>
      <c r="AN745" s="799"/>
      <c r="AO745" s="799"/>
      <c r="AP745" s="799"/>
      <c r="AQ745" s="799"/>
      <c r="AR745" s="799"/>
      <c r="AS745" s="799"/>
      <c r="AT745" s="799"/>
      <c r="AU745" s="799"/>
      <c r="AV745" s="799"/>
      <c r="AW745" s="799"/>
      <c r="AX745" s="799"/>
      <c r="AY745" s="799"/>
      <c r="AZ745" s="799"/>
      <c r="BA745" s="799"/>
      <c r="BB745" s="799"/>
      <c r="BC745" s="799"/>
      <c r="BD745" s="799"/>
      <c r="BE745" s="799"/>
      <c r="BF745" s="799"/>
      <c r="BG745" s="799"/>
    </row>
    <row r="746">
      <c r="H746" s="799"/>
      <c r="I746" s="799"/>
      <c r="J746" s="799"/>
      <c r="K746" s="799"/>
      <c r="L746" s="799"/>
      <c r="M746" s="799"/>
      <c r="N746" s="799"/>
      <c r="O746" s="799"/>
      <c r="P746" s="799"/>
      <c r="Q746" s="799"/>
      <c r="R746" s="799"/>
      <c r="S746" s="799"/>
      <c r="T746" s="799"/>
      <c r="U746" s="799"/>
      <c r="V746" s="799"/>
      <c r="W746" s="799"/>
      <c r="X746" s="799"/>
      <c r="Y746" s="799"/>
      <c r="Z746" s="799"/>
      <c r="AA746" s="799"/>
      <c r="AB746" s="799"/>
      <c r="AC746" s="799"/>
      <c r="AD746" s="799"/>
      <c r="AE746" s="799"/>
      <c r="AF746" s="799"/>
      <c r="AG746" s="799"/>
      <c r="AH746" s="799"/>
      <c r="AI746" s="799"/>
      <c r="AJ746" s="799"/>
      <c r="AK746" s="799"/>
      <c r="AL746" s="799"/>
      <c r="AM746" s="799"/>
      <c r="AN746" s="799"/>
      <c r="AO746" s="799"/>
      <c r="AP746" s="799"/>
      <c r="AQ746" s="799"/>
      <c r="AR746" s="799"/>
      <c r="AS746" s="799"/>
      <c r="AT746" s="799"/>
      <c r="AU746" s="799"/>
      <c r="AV746" s="799"/>
      <c r="AW746" s="799"/>
      <c r="AX746" s="799"/>
      <c r="AY746" s="799"/>
      <c r="AZ746" s="799"/>
      <c r="BA746" s="799"/>
      <c r="BB746" s="799"/>
      <c r="BC746" s="799"/>
      <c r="BD746" s="799"/>
      <c r="BE746" s="799"/>
      <c r="BF746" s="799"/>
      <c r="BG746" s="799"/>
    </row>
    <row r="747">
      <c r="H747" s="799"/>
      <c r="I747" s="799"/>
      <c r="J747" s="799"/>
      <c r="K747" s="799"/>
      <c r="L747" s="799"/>
      <c r="M747" s="799"/>
      <c r="N747" s="799"/>
      <c r="O747" s="799"/>
      <c r="P747" s="799"/>
      <c r="Q747" s="799"/>
      <c r="R747" s="799"/>
      <c r="S747" s="799"/>
      <c r="T747" s="799"/>
      <c r="U747" s="799"/>
      <c r="V747" s="799"/>
      <c r="W747" s="799"/>
      <c r="X747" s="799"/>
      <c r="Y747" s="799"/>
      <c r="Z747" s="799"/>
      <c r="AA747" s="799"/>
      <c r="AB747" s="799"/>
      <c r="AC747" s="799"/>
      <c r="AD747" s="799"/>
      <c r="AE747" s="799"/>
      <c r="AF747" s="799"/>
      <c r="AG747" s="799"/>
      <c r="AH747" s="799"/>
      <c r="AI747" s="799"/>
      <c r="AJ747" s="799"/>
      <c r="AK747" s="799"/>
      <c r="AL747" s="799"/>
      <c r="AM747" s="799"/>
      <c r="AN747" s="799"/>
      <c r="AO747" s="799"/>
      <c r="AP747" s="799"/>
      <c r="AQ747" s="799"/>
      <c r="AR747" s="799"/>
      <c r="AS747" s="799"/>
      <c r="AT747" s="799"/>
      <c r="AU747" s="799"/>
      <c r="AV747" s="799"/>
      <c r="AW747" s="799"/>
      <c r="AX747" s="799"/>
      <c r="AY747" s="799"/>
      <c r="AZ747" s="799"/>
      <c r="BA747" s="799"/>
      <c r="BB747" s="799"/>
      <c r="BC747" s="799"/>
      <c r="BD747" s="799"/>
      <c r="BE747" s="799"/>
      <c r="BF747" s="799"/>
      <c r="BG747" s="799"/>
    </row>
    <row r="748">
      <c r="H748" s="799"/>
      <c r="I748" s="799"/>
      <c r="J748" s="799"/>
      <c r="K748" s="799"/>
      <c r="L748" s="799"/>
      <c r="M748" s="799"/>
      <c r="N748" s="799"/>
      <c r="O748" s="799"/>
      <c r="P748" s="799"/>
      <c r="Q748" s="799"/>
      <c r="R748" s="799"/>
      <c r="S748" s="799"/>
      <c r="T748" s="799"/>
      <c r="U748" s="799"/>
      <c r="V748" s="799"/>
      <c r="W748" s="799"/>
      <c r="X748" s="799"/>
      <c r="Y748" s="799"/>
      <c r="Z748" s="799"/>
      <c r="AA748" s="799"/>
      <c r="AB748" s="799"/>
      <c r="AC748" s="799"/>
      <c r="AD748" s="799"/>
      <c r="AE748" s="799"/>
      <c r="AF748" s="799"/>
      <c r="AG748" s="799"/>
      <c r="AH748" s="799"/>
      <c r="AI748" s="799"/>
      <c r="AJ748" s="799"/>
      <c r="AK748" s="799"/>
      <c r="AL748" s="799"/>
      <c r="AM748" s="799"/>
      <c r="AN748" s="799"/>
      <c r="AO748" s="799"/>
      <c r="AP748" s="799"/>
      <c r="AQ748" s="799"/>
      <c r="AR748" s="799"/>
      <c r="AS748" s="799"/>
      <c r="AT748" s="799"/>
      <c r="AU748" s="799"/>
      <c r="AV748" s="799"/>
      <c r="AW748" s="799"/>
      <c r="AX748" s="799"/>
      <c r="AY748" s="799"/>
      <c r="AZ748" s="799"/>
      <c r="BA748" s="799"/>
      <c r="BB748" s="799"/>
      <c r="BC748" s="799"/>
      <c r="BD748" s="799"/>
      <c r="BE748" s="799"/>
      <c r="BF748" s="799"/>
      <c r="BG748" s="799"/>
    </row>
    <row r="749">
      <c r="H749" s="799"/>
      <c r="I749" s="799"/>
      <c r="J749" s="799"/>
      <c r="K749" s="799"/>
      <c r="L749" s="799"/>
      <c r="M749" s="799"/>
      <c r="N749" s="799"/>
      <c r="O749" s="799"/>
      <c r="P749" s="799"/>
      <c r="Q749" s="799"/>
      <c r="R749" s="799"/>
      <c r="S749" s="799"/>
      <c r="T749" s="799"/>
      <c r="U749" s="799"/>
      <c r="V749" s="799"/>
      <c r="W749" s="799"/>
      <c r="X749" s="799"/>
      <c r="Y749" s="799"/>
      <c r="Z749" s="799"/>
      <c r="AA749" s="799"/>
      <c r="AB749" s="799"/>
      <c r="AC749" s="799"/>
      <c r="AD749" s="799"/>
      <c r="AE749" s="799"/>
      <c r="AF749" s="799"/>
      <c r="AG749" s="799"/>
      <c r="AH749" s="799"/>
      <c r="AI749" s="799"/>
      <c r="AJ749" s="799"/>
      <c r="AK749" s="799"/>
      <c r="AL749" s="799"/>
      <c r="AM749" s="799"/>
      <c r="AN749" s="799"/>
      <c r="AO749" s="799"/>
      <c r="AP749" s="799"/>
      <c r="AQ749" s="799"/>
      <c r="AR749" s="799"/>
      <c r="AS749" s="799"/>
      <c r="AT749" s="799"/>
      <c r="AU749" s="799"/>
      <c r="AV749" s="799"/>
      <c r="AW749" s="799"/>
      <c r="AX749" s="799"/>
      <c r="AY749" s="799"/>
      <c r="AZ749" s="799"/>
      <c r="BA749" s="799"/>
      <c r="BB749" s="799"/>
      <c r="BC749" s="799"/>
      <c r="BD749" s="799"/>
      <c r="BE749" s="799"/>
      <c r="BF749" s="799"/>
      <c r="BG749" s="799"/>
    </row>
    <row r="750">
      <c r="H750" s="799"/>
      <c r="I750" s="799"/>
      <c r="J750" s="799"/>
      <c r="K750" s="799"/>
      <c r="L750" s="799"/>
      <c r="M750" s="799"/>
      <c r="N750" s="799"/>
      <c r="O750" s="799"/>
      <c r="P750" s="799"/>
      <c r="Q750" s="799"/>
      <c r="R750" s="799"/>
      <c r="S750" s="799"/>
      <c r="T750" s="799"/>
      <c r="U750" s="799"/>
      <c r="V750" s="799"/>
      <c r="W750" s="799"/>
      <c r="X750" s="799"/>
      <c r="Y750" s="799"/>
      <c r="Z750" s="799"/>
      <c r="AA750" s="799"/>
      <c r="AB750" s="799"/>
      <c r="AC750" s="799"/>
      <c r="AD750" s="799"/>
      <c r="AE750" s="799"/>
      <c r="AF750" s="799"/>
      <c r="AG750" s="799"/>
      <c r="AH750" s="799"/>
      <c r="AI750" s="799"/>
      <c r="AJ750" s="799"/>
      <c r="AK750" s="799"/>
      <c r="AL750" s="799"/>
      <c r="AM750" s="799"/>
      <c r="AN750" s="799"/>
      <c r="AO750" s="799"/>
      <c r="AP750" s="799"/>
      <c r="AQ750" s="799"/>
      <c r="AR750" s="799"/>
      <c r="AS750" s="799"/>
      <c r="AT750" s="799"/>
      <c r="AU750" s="799"/>
      <c r="AV750" s="799"/>
      <c r="AW750" s="799"/>
      <c r="AX750" s="799"/>
      <c r="AY750" s="799"/>
      <c r="AZ750" s="799"/>
      <c r="BA750" s="799"/>
      <c r="BB750" s="799"/>
      <c r="BC750" s="799"/>
      <c r="BD750" s="799"/>
      <c r="BE750" s="799"/>
      <c r="BF750" s="799"/>
      <c r="BG750" s="799"/>
    </row>
    <row r="751">
      <c r="H751" s="799"/>
      <c r="I751" s="799"/>
      <c r="J751" s="799"/>
      <c r="K751" s="799"/>
      <c r="L751" s="799"/>
      <c r="M751" s="799"/>
      <c r="N751" s="799"/>
      <c r="O751" s="799"/>
      <c r="P751" s="799"/>
      <c r="Q751" s="799"/>
      <c r="R751" s="799"/>
      <c r="S751" s="799"/>
      <c r="T751" s="799"/>
      <c r="U751" s="799"/>
      <c r="V751" s="799"/>
      <c r="W751" s="799"/>
      <c r="X751" s="799"/>
      <c r="Y751" s="799"/>
      <c r="Z751" s="799"/>
      <c r="AA751" s="799"/>
      <c r="AB751" s="799"/>
      <c r="AC751" s="799"/>
      <c r="AD751" s="799"/>
      <c r="AE751" s="799"/>
      <c r="AF751" s="799"/>
      <c r="AG751" s="799"/>
      <c r="AH751" s="799"/>
      <c r="AI751" s="799"/>
      <c r="AJ751" s="799"/>
      <c r="AK751" s="799"/>
      <c r="AL751" s="799"/>
      <c r="AM751" s="799"/>
      <c r="AN751" s="799"/>
      <c r="AO751" s="799"/>
      <c r="AP751" s="799"/>
      <c r="AQ751" s="799"/>
      <c r="AR751" s="799"/>
      <c r="AS751" s="799"/>
      <c r="AT751" s="799"/>
      <c r="AU751" s="799"/>
      <c r="AV751" s="799"/>
      <c r="AW751" s="799"/>
      <c r="AX751" s="799"/>
      <c r="AY751" s="799"/>
      <c r="AZ751" s="799"/>
      <c r="BA751" s="799"/>
      <c r="BB751" s="799"/>
      <c r="BC751" s="799"/>
      <c r="BD751" s="799"/>
      <c r="BE751" s="799"/>
      <c r="BF751" s="799"/>
      <c r="BG751" s="799"/>
    </row>
    <row r="752">
      <c r="H752" s="799"/>
      <c r="I752" s="799"/>
      <c r="J752" s="799"/>
      <c r="K752" s="799"/>
      <c r="L752" s="799"/>
      <c r="M752" s="799"/>
      <c r="N752" s="799"/>
      <c r="O752" s="799"/>
      <c r="P752" s="799"/>
      <c r="Q752" s="799"/>
      <c r="R752" s="799"/>
      <c r="S752" s="799"/>
      <c r="T752" s="799"/>
      <c r="U752" s="799"/>
      <c r="V752" s="799"/>
      <c r="W752" s="799"/>
      <c r="X752" s="799"/>
      <c r="Y752" s="799"/>
      <c r="Z752" s="799"/>
      <c r="AA752" s="799"/>
      <c r="AB752" s="799"/>
      <c r="AC752" s="799"/>
      <c r="AD752" s="799"/>
      <c r="AE752" s="799"/>
      <c r="AF752" s="799"/>
      <c r="AG752" s="799"/>
      <c r="AH752" s="799"/>
      <c r="AI752" s="799"/>
      <c r="AJ752" s="799"/>
      <c r="AK752" s="799"/>
      <c r="AL752" s="799"/>
      <c r="AM752" s="799"/>
      <c r="AN752" s="799"/>
      <c r="AO752" s="799"/>
      <c r="AP752" s="799"/>
      <c r="AQ752" s="799"/>
      <c r="AR752" s="799"/>
      <c r="AS752" s="799"/>
      <c r="AT752" s="799"/>
      <c r="AU752" s="799"/>
      <c r="AV752" s="799"/>
      <c r="AW752" s="799"/>
      <c r="AX752" s="799"/>
      <c r="AY752" s="799"/>
      <c r="AZ752" s="799"/>
      <c r="BA752" s="799"/>
      <c r="BB752" s="799"/>
      <c r="BC752" s="799"/>
      <c r="BD752" s="799"/>
      <c r="BE752" s="799"/>
      <c r="BF752" s="799"/>
      <c r="BG752" s="799"/>
    </row>
    <row r="753">
      <c r="H753" s="799"/>
      <c r="I753" s="799"/>
      <c r="J753" s="799"/>
      <c r="K753" s="799"/>
      <c r="L753" s="799"/>
      <c r="M753" s="799"/>
      <c r="N753" s="799"/>
      <c r="O753" s="799"/>
      <c r="P753" s="799"/>
      <c r="Q753" s="799"/>
      <c r="R753" s="799"/>
      <c r="S753" s="799"/>
      <c r="T753" s="799"/>
      <c r="U753" s="799"/>
      <c r="V753" s="799"/>
      <c r="W753" s="799"/>
      <c r="X753" s="799"/>
      <c r="Y753" s="799"/>
      <c r="Z753" s="799"/>
      <c r="AA753" s="799"/>
      <c r="AB753" s="799"/>
      <c r="AC753" s="799"/>
      <c r="AD753" s="799"/>
      <c r="AE753" s="799"/>
      <c r="AF753" s="799"/>
      <c r="AG753" s="799"/>
      <c r="AH753" s="799"/>
      <c r="AI753" s="799"/>
      <c r="AJ753" s="799"/>
      <c r="AK753" s="799"/>
      <c r="AL753" s="799"/>
      <c r="AM753" s="799"/>
      <c r="AN753" s="799"/>
      <c r="AO753" s="799"/>
      <c r="AP753" s="799"/>
      <c r="AQ753" s="799"/>
      <c r="AR753" s="799"/>
      <c r="AS753" s="799"/>
      <c r="AT753" s="799"/>
      <c r="AU753" s="799"/>
      <c r="AV753" s="799"/>
      <c r="AW753" s="799"/>
      <c r="AX753" s="799"/>
      <c r="AY753" s="799"/>
      <c r="AZ753" s="799"/>
      <c r="BA753" s="799"/>
      <c r="BB753" s="799"/>
      <c r="BC753" s="799"/>
      <c r="BD753" s="799"/>
      <c r="BE753" s="799"/>
      <c r="BF753" s="799"/>
      <c r="BG753" s="799"/>
    </row>
    <row r="754">
      <c r="H754" s="799"/>
      <c r="I754" s="799"/>
      <c r="J754" s="799"/>
      <c r="K754" s="799"/>
      <c r="L754" s="799"/>
      <c r="M754" s="799"/>
      <c r="N754" s="799"/>
      <c r="O754" s="799"/>
      <c r="P754" s="799"/>
      <c r="Q754" s="799"/>
      <c r="R754" s="799"/>
      <c r="S754" s="799"/>
      <c r="T754" s="799"/>
      <c r="U754" s="799"/>
      <c r="V754" s="799"/>
      <c r="W754" s="799"/>
      <c r="X754" s="799"/>
      <c r="Y754" s="799"/>
      <c r="Z754" s="799"/>
      <c r="AA754" s="799"/>
      <c r="AB754" s="799"/>
      <c r="AC754" s="799"/>
      <c r="AD754" s="799"/>
      <c r="AE754" s="799"/>
      <c r="AF754" s="799"/>
      <c r="AG754" s="799"/>
      <c r="AH754" s="799"/>
      <c r="AI754" s="799"/>
      <c r="AJ754" s="799"/>
      <c r="AK754" s="799"/>
      <c r="AL754" s="799"/>
      <c r="AM754" s="799"/>
      <c r="AN754" s="799"/>
      <c r="AO754" s="799"/>
      <c r="AP754" s="799"/>
      <c r="AQ754" s="799"/>
      <c r="AR754" s="799"/>
      <c r="AS754" s="799"/>
      <c r="AT754" s="799"/>
      <c r="AU754" s="799"/>
      <c r="AV754" s="799"/>
      <c r="AW754" s="799"/>
      <c r="AX754" s="799"/>
      <c r="AY754" s="799"/>
      <c r="AZ754" s="799"/>
      <c r="BA754" s="799"/>
      <c r="BB754" s="799"/>
      <c r="BC754" s="799"/>
      <c r="BD754" s="799"/>
      <c r="BE754" s="799"/>
      <c r="BF754" s="799"/>
      <c r="BG754" s="799"/>
    </row>
    <row r="755">
      <c r="H755" s="799"/>
      <c r="I755" s="799"/>
      <c r="J755" s="799"/>
      <c r="K755" s="799"/>
      <c r="L755" s="799"/>
      <c r="M755" s="799"/>
      <c r="N755" s="799"/>
      <c r="O755" s="799"/>
      <c r="P755" s="799"/>
      <c r="Q755" s="799"/>
      <c r="R755" s="799"/>
      <c r="S755" s="799"/>
      <c r="T755" s="799"/>
      <c r="U755" s="799"/>
      <c r="V755" s="799"/>
      <c r="W755" s="799"/>
      <c r="X755" s="799"/>
      <c r="Y755" s="799"/>
      <c r="Z755" s="799"/>
      <c r="AA755" s="799"/>
      <c r="AB755" s="799"/>
      <c r="AC755" s="799"/>
      <c r="AD755" s="799"/>
      <c r="AE755" s="799"/>
      <c r="AF755" s="799"/>
      <c r="AG755" s="799"/>
      <c r="AH755" s="799"/>
      <c r="AI755" s="799"/>
      <c r="AJ755" s="799"/>
      <c r="AK755" s="799"/>
      <c r="AL755" s="799"/>
      <c r="AM755" s="799"/>
      <c r="AN755" s="799"/>
      <c r="AO755" s="799"/>
      <c r="AP755" s="799"/>
      <c r="AQ755" s="799"/>
      <c r="AR755" s="799"/>
      <c r="AS755" s="799"/>
      <c r="AT755" s="799"/>
      <c r="AU755" s="799"/>
      <c r="AV755" s="799"/>
      <c r="AW755" s="799"/>
      <c r="AX755" s="799"/>
      <c r="AY755" s="799"/>
      <c r="AZ755" s="799"/>
      <c r="BA755" s="799"/>
      <c r="BB755" s="799"/>
      <c r="BC755" s="799"/>
      <c r="BD755" s="799"/>
      <c r="BE755" s="799"/>
      <c r="BF755" s="799"/>
      <c r="BG755" s="799"/>
    </row>
    <row r="756">
      <c r="H756" s="799"/>
      <c r="I756" s="799"/>
      <c r="J756" s="799"/>
      <c r="K756" s="799"/>
      <c r="L756" s="799"/>
      <c r="M756" s="799"/>
      <c r="N756" s="799"/>
      <c r="O756" s="799"/>
      <c r="P756" s="799"/>
      <c r="Q756" s="799"/>
      <c r="R756" s="799"/>
      <c r="S756" s="799"/>
      <c r="T756" s="799"/>
      <c r="U756" s="799"/>
      <c r="V756" s="799"/>
      <c r="W756" s="799"/>
      <c r="X756" s="799"/>
      <c r="Y756" s="799"/>
      <c r="Z756" s="799"/>
      <c r="AA756" s="799"/>
      <c r="AB756" s="799"/>
      <c r="AC756" s="799"/>
      <c r="AD756" s="799"/>
      <c r="AE756" s="799"/>
      <c r="AF756" s="799"/>
      <c r="AG756" s="799"/>
      <c r="AH756" s="799"/>
      <c r="AI756" s="799"/>
      <c r="AJ756" s="799"/>
      <c r="AK756" s="799"/>
      <c r="AL756" s="799"/>
      <c r="AM756" s="799"/>
      <c r="AN756" s="799"/>
      <c r="AO756" s="799"/>
      <c r="AP756" s="799"/>
      <c r="AQ756" s="799"/>
      <c r="AR756" s="799"/>
      <c r="AS756" s="799"/>
      <c r="AT756" s="799"/>
      <c r="AU756" s="799"/>
      <c r="AV756" s="799"/>
      <c r="AW756" s="799"/>
      <c r="AX756" s="799"/>
      <c r="AY756" s="799"/>
      <c r="AZ756" s="799"/>
      <c r="BA756" s="799"/>
      <c r="BB756" s="799"/>
      <c r="BC756" s="799"/>
      <c r="BD756" s="799"/>
      <c r="BE756" s="799"/>
      <c r="BF756" s="799"/>
      <c r="BG756" s="799"/>
    </row>
    <row r="757">
      <c r="H757" s="799"/>
      <c r="I757" s="799"/>
      <c r="J757" s="799"/>
      <c r="K757" s="799"/>
      <c r="L757" s="799"/>
      <c r="M757" s="799"/>
      <c r="N757" s="799"/>
      <c r="O757" s="799"/>
      <c r="P757" s="799"/>
      <c r="Q757" s="799"/>
      <c r="R757" s="799"/>
      <c r="S757" s="799"/>
      <c r="T757" s="799"/>
      <c r="U757" s="799"/>
      <c r="V757" s="799"/>
      <c r="W757" s="799"/>
      <c r="X757" s="799"/>
      <c r="Y757" s="799"/>
      <c r="Z757" s="799"/>
      <c r="AA757" s="799"/>
      <c r="AB757" s="799"/>
      <c r="AC757" s="799"/>
      <c r="AD757" s="799"/>
      <c r="AE757" s="799"/>
      <c r="AF757" s="799"/>
      <c r="AG757" s="799"/>
      <c r="AH757" s="799"/>
      <c r="AI757" s="799"/>
      <c r="AJ757" s="799"/>
      <c r="AK757" s="799"/>
      <c r="AL757" s="799"/>
      <c r="AM757" s="799"/>
      <c r="AN757" s="799"/>
      <c r="AO757" s="799"/>
      <c r="AP757" s="799"/>
      <c r="AQ757" s="799"/>
      <c r="AR757" s="799"/>
      <c r="AS757" s="799"/>
      <c r="AT757" s="799"/>
      <c r="AU757" s="799"/>
      <c r="AV757" s="799"/>
      <c r="AW757" s="799"/>
      <c r="AX757" s="799"/>
      <c r="AY757" s="799"/>
      <c r="AZ757" s="799"/>
      <c r="BA757" s="799"/>
      <c r="BB757" s="799"/>
      <c r="BC757" s="799"/>
      <c r="BD757" s="799"/>
      <c r="BE757" s="799"/>
      <c r="BF757" s="799"/>
      <c r="BG757" s="799"/>
    </row>
    <row r="758">
      <c r="H758" s="799"/>
      <c r="I758" s="799"/>
      <c r="J758" s="799"/>
      <c r="K758" s="799"/>
      <c r="L758" s="799"/>
      <c r="M758" s="799"/>
      <c r="N758" s="799"/>
      <c r="O758" s="799"/>
      <c r="P758" s="799"/>
      <c r="Q758" s="799"/>
      <c r="R758" s="799"/>
      <c r="S758" s="799"/>
      <c r="T758" s="799"/>
      <c r="U758" s="799"/>
      <c r="V758" s="799"/>
      <c r="W758" s="799"/>
      <c r="X758" s="799"/>
      <c r="Y758" s="799"/>
      <c r="Z758" s="799"/>
      <c r="AA758" s="799"/>
      <c r="AB758" s="799"/>
      <c r="AC758" s="799"/>
      <c r="AD758" s="799"/>
      <c r="AE758" s="799"/>
      <c r="AF758" s="799"/>
      <c r="AG758" s="799"/>
      <c r="AH758" s="799"/>
      <c r="AI758" s="799"/>
      <c r="AJ758" s="799"/>
      <c r="AK758" s="799"/>
      <c r="AL758" s="799"/>
      <c r="AM758" s="799"/>
      <c r="AN758" s="799"/>
      <c r="AO758" s="799"/>
      <c r="AP758" s="799"/>
      <c r="AQ758" s="799"/>
      <c r="AR758" s="799"/>
      <c r="AS758" s="799"/>
      <c r="AT758" s="799"/>
      <c r="AU758" s="799"/>
      <c r="AV758" s="799"/>
      <c r="AW758" s="799"/>
      <c r="AX758" s="799"/>
      <c r="AY758" s="799"/>
      <c r="AZ758" s="799"/>
      <c r="BA758" s="799"/>
      <c r="BB758" s="799"/>
      <c r="BC758" s="799"/>
      <c r="BD758" s="799"/>
      <c r="BE758" s="799"/>
      <c r="BF758" s="799"/>
      <c r="BG758" s="799"/>
    </row>
    <row r="759">
      <c r="H759" s="799"/>
      <c r="I759" s="799"/>
      <c r="J759" s="799"/>
      <c r="K759" s="799"/>
      <c r="L759" s="799"/>
      <c r="M759" s="799"/>
      <c r="N759" s="799"/>
      <c r="O759" s="799"/>
      <c r="P759" s="799"/>
      <c r="Q759" s="799"/>
      <c r="R759" s="799"/>
      <c r="S759" s="799"/>
      <c r="T759" s="799"/>
      <c r="U759" s="799"/>
      <c r="V759" s="799"/>
      <c r="W759" s="799"/>
      <c r="X759" s="799"/>
      <c r="Y759" s="799"/>
      <c r="Z759" s="799"/>
      <c r="AA759" s="799"/>
      <c r="AB759" s="799"/>
      <c r="AC759" s="799"/>
      <c r="AD759" s="799"/>
      <c r="AE759" s="799"/>
      <c r="AF759" s="799"/>
      <c r="AG759" s="799"/>
      <c r="AH759" s="799"/>
      <c r="AI759" s="799"/>
      <c r="AJ759" s="799"/>
      <c r="AK759" s="799"/>
      <c r="AL759" s="799"/>
      <c r="AM759" s="799"/>
      <c r="AN759" s="799"/>
      <c r="AO759" s="799"/>
      <c r="AP759" s="799"/>
      <c r="AQ759" s="799"/>
      <c r="AR759" s="799"/>
      <c r="AS759" s="799"/>
      <c r="AT759" s="799"/>
      <c r="AU759" s="799"/>
      <c r="AV759" s="799"/>
      <c r="AW759" s="799"/>
      <c r="AX759" s="799"/>
      <c r="AY759" s="799"/>
      <c r="AZ759" s="799"/>
      <c r="BA759" s="799"/>
      <c r="BB759" s="799"/>
      <c r="BC759" s="799"/>
      <c r="BD759" s="799"/>
      <c r="BE759" s="799"/>
      <c r="BF759" s="799"/>
      <c r="BG759" s="799"/>
    </row>
    <row r="760">
      <c r="H760" s="799"/>
      <c r="I760" s="799"/>
      <c r="J760" s="799"/>
      <c r="K760" s="799"/>
      <c r="L760" s="799"/>
      <c r="M760" s="799"/>
      <c r="N760" s="799"/>
      <c r="O760" s="799"/>
      <c r="P760" s="799"/>
      <c r="Q760" s="799"/>
      <c r="R760" s="799"/>
      <c r="S760" s="799"/>
      <c r="T760" s="799"/>
      <c r="U760" s="799"/>
      <c r="V760" s="799"/>
      <c r="W760" s="799"/>
      <c r="X760" s="799"/>
      <c r="Y760" s="799"/>
      <c r="Z760" s="799"/>
      <c r="AA760" s="799"/>
      <c r="AB760" s="799"/>
      <c r="AC760" s="799"/>
      <c r="AD760" s="799"/>
      <c r="AE760" s="799"/>
      <c r="AF760" s="799"/>
      <c r="AG760" s="799"/>
      <c r="AH760" s="799"/>
      <c r="AI760" s="799"/>
      <c r="AJ760" s="799"/>
      <c r="AK760" s="799"/>
      <c r="AL760" s="799"/>
      <c r="AM760" s="799"/>
      <c r="AN760" s="799"/>
      <c r="AO760" s="799"/>
      <c r="AP760" s="799"/>
      <c r="AQ760" s="799"/>
      <c r="AR760" s="799"/>
      <c r="AS760" s="799"/>
      <c r="AT760" s="799"/>
      <c r="AU760" s="799"/>
      <c r="AV760" s="799"/>
      <c r="AW760" s="799"/>
      <c r="AX760" s="799"/>
      <c r="AY760" s="799"/>
      <c r="AZ760" s="799"/>
      <c r="BA760" s="799"/>
      <c r="BB760" s="799"/>
      <c r="BC760" s="799"/>
      <c r="BD760" s="799"/>
      <c r="BE760" s="799"/>
      <c r="BF760" s="799"/>
      <c r="BG760" s="799"/>
    </row>
    <row r="761">
      <c r="H761" s="799"/>
      <c r="I761" s="799"/>
      <c r="J761" s="799"/>
      <c r="K761" s="799"/>
      <c r="L761" s="799"/>
      <c r="M761" s="799"/>
      <c r="N761" s="799"/>
      <c r="O761" s="799"/>
      <c r="P761" s="799"/>
      <c r="Q761" s="799"/>
      <c r="R761" s="799"/>
      <c r="S761" s="799"/>
      <c r="T761" s="799"/>
      <c r="U761" s="799"/>
      <c r="V761" s="799"/>
      <c r="W761" s="799"/>
      <c r="X761" s="799"/>
      <c r="Y761" s="799"/>
      <c r="Z761" s="799"/>
      <c r="AA761" s="799"/>
      <c r="AB761" s="799"/>
      <c r="AC761" s="799"/>
      <c r="AD761" s="799"/>
      <c r="AE761" s="799"/>
      <c r="AF761" s="799"/>
      <c r="AG761" s="799"/>
      <c r="AH761" s="799"/>
      <c r="AI761" s="799"/>
      <c r="AJ761" s="799"/>
      <c r="AK761" s="799"/>
      <c r="AL761" s="799"/>
      <c r="AM761" s="799"/>
      <c r="AN761" s="799"/>
      <c r="AO761" s="799"/>
      <c r="AP761" s="799"/>
      <c r="AQ761" s="799"/>
      <c r="AR761" s="799"/>
      <c r="AS761" s="799"/>
      <c r="AT761" s="799"/>
      <c r="AU761" s="799"/>
      <c r="AV761" s="799"/>
      <c r="AW761" s="799"/>
      <c r="AX761" s="799"/>
      <c r="AY761" s="799"/>
      <c r="AZ761" s="799"/>
      <c r="BA761" s="799"/>
      <c r="BB761" s="799"/>
      <c r="BC761" s="799"/>
      <c r="BD761" s="799"/>
      <c r="BE761" s="799"/>
      <c r="BF761" s="799"/>
      <c r="BG761" s="799"/>
    </row>
    <row r="762">
      <c r="H762" s="799"/>
      <c r="I762" s="799"/>
      <c r="J762" s="799"/>
      <c r="K762" s="799"/>
      <c r="L762" s="799"/>
      <c r="M762" s="799"/>
      <c r="N762" s="799"/>
      <c r="O762" s="799"/>
      <c r="P762" s="799"/>
      <c r="Q762" s="799"/>
      <c r="R762" s="799"/>
      <c r="S762" s="799"/>
      <c r="T762" s="799"/>
      <c r="U762" s="799"/>
      <c r="V762" s="799"/>
      <c r="W762" s="799"/>
      <c r="X762" s="799"/>
      <c r="Y762" s="799"/>
      <c r="Z762" s="799"/>
      <c r="AA762" s="799"/>
      <c r="AB762" s="799"/>
      <c r="AC762" s="799"/>
      <c r="AD762" s="799"/>
      <c r="AE762" s="799"/>
      <c r="AF762" s="799"/>
      <c r="AG762" s="799"/>
      <c r="AH762" s="799"/>
      <c r="AI762" s="799"/>
      <c r="AJ762" s="799"/>
      <c r="AK762" s="799"/>
      <c r="AL762" s="799"/>
      <c r="AM762" s="799"/>
      <c r="AN762" s="799"/>
      <c r="AO762" s="799"/>
      <c r="AP762" s="799"/>
      <c r="AQ762" s="799"/>
      <c r="AR762" s="799"/>
      <c r="AS762" s="799"/>
      <c r="AT762" s="799"/>
      <c r="AU762" s="799"/>
      <c r="AV762" s="799"/>
      <c r="AW762" s="799"/>
      <c r="AX762" s="799"/>
      <c r="AY762" s="799"/>
      <c r="AZ762" s="799"/>
      <c r="BA762" s="799"/>
      <c r="BB762" s="799"/>
      <c r="BC762" s="799"/>
      <c r="BD762" s="799"/>
      <c r="BE762" s="799"/>
      <c r="BF762" s="799"/>
      <c r="BG762" s="799"/>
    </row>
    <row r="763">
      <c r="H763" s="799"/>
      <c r="I763" s="799"/>
      <c r="J763" s="799"/>
      <c r="K763" s="799"/>
      <c r="L763" s="799"/>
      <c r="M763" s="799"/>
      <c r="N763" s="799"/>
      <c r="O763" s="799"/>
      <c r="P763" s="799"/>
      <c r="Q763" s="799"/>
      <c r="R763" s="799"/>
      <c r="S763" s="799"/>
      <c r="T763" s="799"/>
      <c r="U763" s="799"/>
      <c r="V763" s="799"/>
      <c r="W763" s="799"/>
      <c r="X763" s="799"/>
      <c r="Y763" s="799"/>
      <c r="Z763" s="799"/>
      <c r="AA763" s="799"/>
      <c r="AB763" s="799"/>
      <c r="AC763" s="799"/>
      <c r="AD763" s="799"/>
      <c r="AE763" s="799"/>
      <c r="AF763" s="799"/>
      <c r="AG763" s="799"/>
      <c r="AH763" s="799"/>
      <c r="AI763" s="799"/>
      <c r="AJ763" s="799"/>
      <c r="AK763" s="799"/>
      <c r="AL763" s="799"/>
      <c r="AM763" s="799"/>
      <c r="AN763" s="799"/>
      <c r="AO763" s="799"/>
      <c r="AP763" s="799"/>
      <c r="AQ763" s="799"/>
      <c r="AR763" s="799"/>
      <c r="AS763" s="799"/>
      <c r="AT763" s="799"/>
      <c r="AU763" s="799"/>
      <c r="AV763" s="799"/>
      <c r="AW763" s="799"/>
      <c r="AX763" s="799"/>
      <c r="AY763" s="799"/>
      <c r="AZ763" s="799"/>
      <c r="BA763" s="799"/>
      <c r="BB763" s="799"/>
      <c r="BC763" s="799"/>
      <c r="BD763" s="799"/>
      <c r="BE763" s="799"/>
      <c r="BF763" s="799"/>
      <c r="BG763" s="799"/>
    </row>
    <row r="764">
      <c r="H764" s="799"/>
      <c r="I764" s="799"/>
      <c r="J764" s="799"/>
      <c r="K764" s="799"/>
      <c r="L764" s="799"/>
      <c r="M764" s="799"/>
      <c r="N764" s="799"/>
      <c r="O764" s="799"/>
      <c r="P764" s="799"/>
      <c r="Q764" s="799"/>
      <c r="R764" s="799"/>
      <c r="S764" s="799"/>
      <c r="T764" s="799"/>
      <c r="U764" s="799"/>
      <c r="V764" s="799"/>
      <c r="W764" s="799"/>
      <c r="X764" s="799"/>
      <c r="Y764" s="799"/>
      <c r="Z764" s="799"/>
      <c r="AA764" s="799"/>
      <c r="AB764" s="799"/>
      <c r="AC764" s="799"/>
      <c r="AD764" s="799"/>
      <c r="AE764" s="799"/>
      <c r="AF764" s="799"/>
      <c r="AG764" s="799"/>
      <c r="AH764" s="799"/>
      <c r="AI764" s="799"/>
      <c r="AJ764" s="799"/>
      <c r="AK764" s="799"/>
      <c r="AL764" s="799"/>
      <c r="AM764" s="799"/>
      <c r="AN764" s="799"/>
      <c r="AO764" s="799"/>
      <c r="AP764" s="799"/>
      <c r="AQ764" s="799"/>
      <c r="AR764" s="799"/>
      <c r="AS764" s="799"/>
      <c r="AT764" s="799"/>
      <c r="AU764" s="799"/>
      <c r="AV764" s="799"/>
      <c r="AW764" s="799"/>
      <c r="AX764" s="799"/>
      <c r="AY764" s="799"/>
      <c r="AZ764" s="799"/>
      <c r="BA764" s="799"/>
      <c r="BB764" s="799"/>
      <c r="BC764" s="799"/>
      <c r="BD764" s="799"/>
      <c r="BE764" s="799"/>
      <c r="BF764" s="799"/>
      <c r="BG764" s="799"/>
    </row>
    <row r="765">
      <c r="H765" s="799"/>
      <c r="I765" s="799"/>
      <c r="J765" s="799"/>
      <c r="K765" s="799"/>
      <c r="L765" s="799"/>
      <c r="M765" s="799"/>
      <c r="N765" s="799"/>
      <c r="O765" s="799"/>
      <c r="P765" s="799"/>
      <c r="Q765" s="799"/>
      <c r="R765" s="799"/>
      <c r="S765" s="799"/>
      <c r="T765" s="799"/>
      <c r="U765" s="799"/>
      <c r="V765" s="799"/>
      <c r="W765" s="799"/>
      <c r="X765" s="799"/>
      <c r="Y765" s="799"/>
      <c r="Z765" s="799"/>
      <c r="AA765" s="799"/>
      <c r="AB765" s="799"/>
      <c r="AC765" s="799"/>
      <c r="AD765" s="799"/>
      <c r="AE765" s="799"/>
      <c r="AF765" s="799"/>
      <c r="AG765" s="799"/>
      <c r="AH765" s="799"/>
      <c r="AI765" s="799"/>
      <c r="AJ765" s="799"/>
      <c r="AK765" s="799"/>
      <c r="AL765" s="799"/>
      <c r="AM765" s="799"/>
      <c r="AN765" s="799"/>
      <c r="AO765" s="799"/>
      <c r="AP765" s="799"/>
      <c r="AQ765" s="799"/>
      <c r="AR765" s="799"/>
      <c r="AS765" s="799"/>
      <c r="AT765" s="799"/>
      <c r="AU765" s="799"/>
      <c r="AV765" s="799"/>
      <c r="AW765" s="799"/>
      <c r="AX765" s="799"/>
      <c r="AY765" s="799"/>
      <c r="AZ765" s="799"/>
      <c r="BA765" s="799"/>
      <c r="BB765" s="799"/>
      <c r="BC765" s="799"/>
      <c r="BD765" s="799"/>
      <c r="BE765" s="799"/>
      <c r="BF765" s="799"/>
      <c r="BG765" s="799"/>
    </row>
    <row r="766">
      <c r="H766" s="799"/>
      <c r="I766" s="799"/>
      <c r="J766" s="799"/>
      <c r="K766" s="799"/>
      <c r="L766" s="799"/>
      <c r="M766" s="799"/>
      <c r="N766" s="799"/>
      <c r="O766" s="799"/>
      <c r="P766" s="799"/>
      <c r="Q766" s="799"/>
      <c r="R766" s="799"/>
      <c r="S766" s="799"/>
      <c r="T766" s="799"/>
      <c r="U766" s="799"/>
      <c r="V766" s="799"/>
      <c r="W766" s="799"/>
      <c r="X766" s="799"/>
      <c r="Y766" s="799"/>
      <c r="Z766" s="799"/>
      <c r="AA766" s="799"/>
      <c r="AB766" s="799"/>
      <c r="AC766" s="799"/>
      <c r="AD766" s="799"/>
      <c r="AE766" s="799"/>
      <c r="AF766" s="799"/>
      <c r="AG766" s="799"/>
      <c r="AH766" s="799"/>
      <c r="AI766" s="799"/>
      <c r="AJ766" s="799"/>
      <c r="AK766" s="799"/>
      <c r="AL766" s="799"/>
      <c r="AM766" s="799"/>
      <c r="AN766" s="799"/>
      <c r="AO766" s="799"/>
      <c r="AP766" s="799"/>
      <c r="AQ766" s="799"/>
      <c r="AR766" s="799"/>
      <c r="AS766" s="799"/>
      <c r="AT766" s="799"/>
      <c r="AU766" s="799"/>
      <c r="AV766" s="799"/>
      <c r="AW766" s="799"/>
      <c r="AX766" s="799"/>
      <c r="AY766" s="799"/>
      <c r="AZ766" s="799"/>
      <c r="BA766" s="799"/>
      <c r="BB766" s="799"/>
      <c r="BC766" s="799"/>
      <c r="BD766" s="799"/>
      <c r="BE766" s="799"/>
      <c r="BF766" s="799"/>
      <c r="BG766" s="799"/>
    </row>
    <row r="767">
      <c r="H767" s="799"/>
      <c r="I767" s="799"/>
      <c r="J767" s="799"/>
      <c r="K767" s="799"/>
      <c r="L767" s="799"/>
      <c r="M767" s="799"/>
      <c r="N767" s="799"/>
      <c r="O767" s="799"/>
      <c r="P767" s="799"/>
      <c r="Q767" s="799"/>
      <c r="R767" s="799"/>
      <c r="S767" s="799"/>
      <c r="T767" s="799"/>
      <c r="U767" s="799"/>
      <c r="V767" s="799"/>
      <c r="W767" s="799"/>
      <c r="X767" s="799"/>
      <c r="Y767" s="799"/>
      <c r="Z767" s="799"/>
      <c r="AA767" s="799"/>
      <c r="AB767" s="799"/>
      <c r="AC767" s="799"/>
      <c r="AD767" s="799"/>
      <c r="AE767" s="799"/>
      <c r="AF767" s="799"/>
      <c r="AG767" s="799"/>
      <c r="AH767" s="799"/>
      <c r="AI767" s="799"/>
      <c r="AJ767" s="799"/>
      <c r="AK767" s="799"/>
      <c r="AL767" s="799"/>
      <c r="AM767" s="799"/>
      <c r="AN767" s="799"/>
      <c r="AO767" s="799"/>
      <c r="AP767" s="799"/>
      <c r="AQ767" s="799"/>
      <c r="AR767" s="799"/>
      <c r="AS767" s="799"/>
      <c r="AT767" s="799"/>
      <c r="AU767" s="799"/>
      <c r="AV767" s="799"/>
      <c r="AW767" s="799"/>
      <c r="AX767" s="799"/>
      <c r="AY767" s="799"/>
      <c r="AZ767" s="799"/>
      <c r="BA767" s="799"/>
      <c r="BB767" s="799"/>
      <c r="BC767" s="799"/>
      <c r="BD767" s="799"/>
      <c r="BE767" s="799"/>
      <c r="BF767" s="799"/>
      <c r="BG767" s="799"/>
    </row>
    <row r="768">
      <c r="H768" s="799"/>
      <c r="I768" s="799"/>
      <c r="J768" s="799"/>
      <c r="K768" s="799"/>
      <c r="L768" s="799"/>
      <c r="M768" s="799"/>
      <c r="N768" s="799"/>
      <c r="O768" s="799"/>
      <c r="P768" s="799"/>
      <c r="Q768" s="799"/>
      <c r="R768" s="799"/>
      <c r="S768" s="799"/>
      <c r="T768" s="799"/>
      <c r="U768" s="799"/>
      <c r="V768" s="799"/>
      <c r="W768" s="799"/>
      <c r="X768" s="799"/>
      <c r="Y768" s="799"/>
      <c r="Z768" s="799"/>
      <c r="AA768" s="799"/>
      <c r="AB768" s="799"/>
      <c r="AC768" s="799"/>
      <c r="AD768" s="799"/>
      <c r="AE768" s="799"/>
      <c r="AF768" s="799"/>
      <c r="AG768" s="799"/>
      <c r="AH768" s="799"/>
      <c r="AI768" s="799"/>
      <c r="AJ768" s="799"/>
      <c r="AK768" s="799"/>
      <c r="AL768" s="799"/>
      <c r="AM768" s="799"/>
      <c r="AN768" s="799"/>
      <c r="AO768" s="799"/>
      <c r="AP768" s="799"/>
      <c r="AQ768" s="799"/>
      <c r="AR768" s="799"/>
      <c r="AS768" s="799"/>
      <c r="AT768" s="799"/>
      <c r="AU768" s="799"/>
      <c r="AV768" s="799"/>
      <c r="AW768" s="799"/>
      <c r="AX768" s="799"/>
      <c r="AY768" s="799"/>
      <c r="AZ768" s="799"/>
      <c r="BA768" s="799"/>
      <c r="BB768" s="799"/>
      <c r="BC768" s="799"/>
      <c r="BD768" s="799"/>
      <c r="BE768" s="799"/>
      <c r="BF768" s="799"/>
      <c r="BG768" s="799"/>
    </row>
    <row r="769">
      <c r="H769" s="799"/>
      <c r="I769" s="799"/>
      <c r="J769" s="799"/>
      <c r="K769" s="799"/>
      <c r="L769" s="799"/>
      <c r="M769" s="799"/>
      <c r="N769" s="799"/>
      <c r="O769" s="799"/>
      <c r="P769" s="799"/>
      <c r="Q769" s="799"/>
      <c r="R769" s="799"/>
      <c r="S769" s="799"/>
      <c r="T769" s="799"/>
      <c r="U769" s="799"/>
      <c r="V769" s="799"/>
      <c r="W769" s="799"/>
      <c r="X769" s="799"/>
      <c r="Y769" s="799"/>
      <c r="Z769" s="799"/>
      <c r="AA769" s="799"/>
      <c r="AB769" s="799"/>
      <c r="AC769" s="799"/>
      <c r="AD769" s="799"/>
      <c r="AE769" s="799"/>
      <c r="AF769" s="799"/>
      <c r="AG769" s="799"/>
      <c r="AH769" s="799"/>
      <c r="AI769" s="799"/>
      <c r="AJ769" s="799"/>
      <c r="AK769" s="799"/>
      <c r="AL769" s="799"/>
      <c r="AM769" s="799"/>
      <c r="AN769" s="799"/>
      <c r="AO769" s="799"/>
      <c r="AP769" s="799"/>
      <c r="AQ769" s="799"/>
      <c r="AR769" s="799"/>
      <c r="AS769" s="799"/>
      <c r="AT769" s="799"/>
      <c r="AU769" s="799"/>
      <c r="AV769" s="799"/>
      <c r="AW769" s="799"/>
      <c r="AX769" s="799"/>
      <c r="AY769" s="799"/>
      <c r="AZ769" s="799"/>
      <c r="BA769" s="799"/>
      <c r="BB769" s="799"/>
      <c r="BC769" s="799"/>
      <c r="BD769" s="799"/>
      <c r="BE769" s="799"/>
      <c r="BF769" s="799"/>
      <c r="BG769" s="799"/>
    </row>
    <row r="770">
      <c r="H770" s="799"/>
      <c r="I770" s="799"/>
      <c r="J770" s="799"/>
      <c r="K770" s="799"/>
      <c r="L770" s="799"/>
      <c r="M770" s="799"/>
      <c r="N770" s="799"/>
      <c r="O770" s="799"/>
      <c r="P770" s="799"/>
      <c r="Q770" s="799"/>
      <c r="R770" s="799"/>
      <c r="S770" s="799"/>
      <c r="T770" s="799"/>
      <c r="U770" s="799"/>
      <c r="V770" s="799"/>
      <c r="W770" s="799"/>
      <c r="X770" s="799"/>
      <c r="Y770" s="799"/>
      <c r="Z770" s="799"/>
      <c r="AA770" s="799"/>
      <c r="AB770" s="799"/>
      <c r="AC770" s="799"/>
      <c r="AD770" s="799"/>
      <c r="AE770" s="799"/>
      <c r="AF770" s="799"/>
      <c r="AG770" s="799"/>
      <c r="AH770" s="799"/>
      <c r="AI770" s="799"/>
      <c r="AJ770" s="799"/>
      <c r="AK770" s="799"/>
      <c r="AL770" s="799"/>
      <c r="AM770" s="799"/>
      <c r="AN770" s="799"/>
      <c r="AO770" s="799"/>
      <c r="AP770" s="799"/>
      <c r="AQ770" s="799"/>
      <c r="AR770" s="799"/>
      <c r="AS770" s="799"/>
      <c r="AT770" s="799"/>
      <c r="AU770" s="799"/>
      <c r="AV770" s="799"/>
      <c r="AW770" s="799"/>
      <c r="AX770" s="799"/>
      <c r="AY770" s="799"/>
      <c r="AZ770" s="799"/>
      <c r="BA770" s="799"/>
      <c r="BB770" s="799"/>
      <c r="BC770" s="799"/>
      <c r="BD770" s="799"/>
      <c r="BE770" s="799"/>
      <c r="BF770" s="799"/>
      <c r="BG770" s="799"/>
    </row>
    <row r="771">
      <c r="H771" s="799"/>
      <c r="I771" s="799"/>
      <c r="J771" s="799"/>
      <c r="K771" s="799"/>
      <c r="L771" s="799"/>
      <c r="M771" s="799"/>
      <c r="N771" s="799"/>
      <c r="O771" s="799"/>
      <c r="P771" s="799"/>
      <c r="Q771" s="799"/>
      <c r="R771" s="799"/>
      <c r="S771" s="799"/>
      <c r="T771" s="799"/>
      <c r="U771" s="799"/>
      <c r="V771" s="799"/>
      <c r="W771" s="799"/>
      <c r="X771" s="799"/>
      <c r="Y771" s="799"/>
      <c r="Z771" s="799"/>
      <c r="AA771" s="799"/>
      <c r="AB771" s="799"/>
      <c r="AC771" s="799"/>
      <c r="AD771" s="799"/>
      <c r="AE771" s="799"/>
      <c r="AF771" s="799"/>
      <c r="AG771" s="799"/>
      <c r="AH771" s="799"/>
      <c r="AI771" s="799"/>
      <c r="AJ771" s="799"/>
      <c r="AK771" s="799"/>
      <c r="AL771" s="799"/>
      <c r="AM771" s="799"/>
      <c r="AN771" s="799"/>
      <c r="AO771" s="799"/>
      <c r="AP771" s="799"/>
      <c r="AQ771" s="799"/>
      <c r="AR771" s="799"/>
      <c r="AS771" s="799"/>
      <c r="AT771" s="799"/>
      <c r="AU771" s="799"/>
      <c r="AV771" s="799"/>
      <c r="AW771" s="799"/>
      <c r="AX771" s="799"/>
      <c r="AY771" s="799"/>
      <c r="AZ771" s="799"/>
      <c r="BA771" s="799"/>
      <c r="BB771" s="799"/>
      <c r="BC771" s="799"/>
      <c r="BD771" s="799"/>
      <c r="BE771" s="799"/>
      <c r="BF771" s="799"/>
      <c r="BG771" s="799"/>
    </row>
    <row r="772">
      <c r="H772" s="799"/>
      <c r="I772" s="799"/>
      <c r="J772" s="799"/>
      <c r="K772" s="799"/>
      <c r="L772" s="799"/>
      <c r="M772" s="799"/>
      <c r="N772" s="799"/>
      <c r="O772" s="799"/>
      <c r="P772" s="799"/>
      <c r="Q772" s="799"/>
      <c r="R772" s="799"/>
      <c r="S772" s="799"/>
      <c r="T772" s="799"/>
      <c r="U772" s="799"/>
      <c r="V772" s="799"/>
      <c r="W772" s="799"/>
      <c r="X772" s="799"/>
      <c r="Y772" s="799"/>
      <c r="Z772" s="799"/>
      <c r="AA772" s="799"/>
      <c r="AB772" s="799"/>
      <c r="AC772" s="799"/>
      <c r="AD772" s="799"/>
      <c r="AE772" s="799"/>
      <c r="AF772" s="799"/>
      <c r="AG772" s="799"/>
      <c r="AH772" s="799"/>
      <c r="AI772" s="799"/>
      <c r="AJ772" s="799"/>
      <c r="AK772" s="799"/>
      <c r="AL772" s="799"/>
      <c r="AM772" s="799"/>
      <c r="AN772" s="799"/>
      <c r="AO772" s="799"/>
      <c r="AP772" s="799"/>
      <c r="AQ772" s="799"/>
      <c r="AR772" s="799"/>
      <c r="AS772" s="799"/>
      <c r="AT772" s="799"/>
      <c r="AU772" s="799"/>
      <c r="AV772" s="799"/>
      <c r="AW772" s="799"/>
      <c r="AX772" s="799"/>
      <c r="AY772" s="799"/>
      <c r="AZ772" s="799"/>
      <c r="BA772" s="799"/>
      <c r="BB772" s="799"/>
      <c r="BC772" s="799"/>
      <c r="BD772" s="799"/>
      <c r="BE772" s="799"/>
      <c r="BF772" s="799"/>
      <c r="BG772" s="799"/>
    </row>
    <row r="773">
      <c r="H773" s="799"/>
      <c r="I773" s="799"/>
      <c r="J773" s="799"/>
      <c r="K773" s="799"/>
      <c r="L773" s="799"/>
      <c r="M773" s="799"/>
      <c r="N773" s="799"/>
      <c r="O773" s="799"/>
      <c r="P773" s="799"/>
      <c r="Q773" s="799"/>
      <c r="R773" s="799"/>
      <c r="S773" s="799"/>
      <c r="T773" s="799"/>
      <c r="U773" s="799"/>
      <c r="V773" s="799"/>
      <c r="W773" s="799"/>
      <c r="X773" s="799"/>
      <c r="Y773" s="799"/>
      <c r="Z773" s="799"/>
      <c r="AA773" s="799"/>
      <c r="AB773" s="799"/>
      <c r="AC773" s="799"/>
      <c r="AD773" s="799"/>
      <c r="AE773" s="799"/>
      <c r="AF773" s="799"/>
      <c r="AG773" s="799"/>
      <c r="AH773" s="799"/>
      <c r="AI773" s="799"/>
      <c r="AJ773" s="799"/>
      <c r="AK773" s="799"/>
      <c r="AL773" s="799"/>
      <c r="AM773" s="799"/>
      <c r="AN773" s="799"/>
      <c r="AO773" s="799"/>
      <c r="AP773" s="799"/>
      <c r="AQ773" s="799"/>
      <c r="AR773" s="799"/>
      <c r="AS773" s="799"/>
      <c r="AT773" s="799"/>
      <c r="AU773" s="799"/>
      <c r="AV773" s="799"/>
      <c r="AW773" s="799"/>
      <c r="AX773" s="799"/>
      <c r="AY773" s="799"/>
      <c r="AZ773" s="799"/>
      <c r="BA773" s="799"/>
      <c r="BB773" s="799"/>
      <c r="BC773" s="799"/>
      <c r="BD773" s="799"/>
      <c r="BE773" s="799"/>
      <c r="BF773" s="799"/>
      <c r="BG773" s="799"/>
    </row>
    <row r="774">
      <c r="H774" s="799"/>
      <c r="I774" s="799"/>
      <c r="J774" s="799"/>
      <c r="K774" s="799"/>
      <c r="L774" s="799"/>
      <c r="M774" s="799"/>
      <c r="N774" s="799"/>
      <c r="O774" s="799"/>
      <c r="P774" s="799"/>
      <c r="Q774" s="799"/>
      <c r="R774" s="799"/>
      <c r="S774" s="799"/>
      <c r="T774" s="799"/>
      <c r="U774" s="799"/>
      <c r="V774" s="799"/>
      <c r="W774" s="799"/>
      <c r="X774" s="799"/>
      <c r="Y774" s="799"/>
      <c r="Z774" s="799"/>
      <c r="AA774" s="799"/>
      <c r="AB774" s="799"/>
      <c r="AC774" s="799"/>
      <c r="AD774" s="799"/>
      <c r="AE774" s="799"/>
      <c r="AF774" s="799"/>
      <c r="AG774" s="799"/>
      <c r="AH774" s="799"/>
      <c r="AI774" s="799"/>
      <c r="AJ774" s="799"/>
      <c r="AK774" s="799"/>
      <c r="AL774" s="799"/>
      <c r="AM774" s="799"/>
      <c r="AN774" s="799"/>
      <c r="AO774" s="799"/>
      <c r="AP774" s="799"/>
      <c r="AQ774" s="799"/>
      <c r="AR774" s="799"/>
      <c r="AS774" s="799"/>
      <c r="AT774" s="799"/>
      <c r="AU774" s="799"/>
      <c r="AV774" s="799"/>
      <c r="AW774" s="799"/>
      <c r="AX774" s="799"/>
      <c r="AY774" s="799"/>
      <c r="AZ774" s="799"/>
      <c r="BA774" s="799"/>
      <c r="BB774" s="799"/>
      <c r="BC774" s="799"/>
      <c r="BD774" s="799"/>
      <c r="BE774" s="799"/>
      <c r="BF774" s="799"/>
      <c r="BG774" s="799"/>
    </row>
    <row r="775">
      <c r="H775" s="799"/>
      <c r="I775" s="799"/>
      <c r="J775" s="799"/>
      <c r="K775" s="799"/>
      <c r="L775" s="799"/>
      <c r="M775" s="799"/>
      <c r="N775" s="799"/>
      <c r="O775" s="799"/>
      <c r="P775" s="799"/>
      <c r="Q775" s="799"/>
      <c r="R775" s="799"/>
      <c r="S775" s="799"/>
      <c r="T775" s="799"/>
      <c r="U775" s="799"/>
      <c r="V775" s="799"/>
      <c r="W775" s="799"/>
      <c r="X775" s="799"/>
      <c r="Y775" s="799"/>
      <c r="Z775" s="799"/>
      <c r="AA775" s="799"/>
      <c r="AB775" s="799"/>
      <c r="AC775" s="799"/>
      <c r="AD775" s="799"/>
      <c r="AE775" s="799"/>
      <c r="AF775" s="799"/>
      <c r="AG775" s="799"/>
      <c r="AH775" s="799"/>
      <c r="AI775" s="799"/>
      <c r="AJ775" s="799"/>
      <c r="AK775" s="799"/>
      <c r="AL775" s="799"/>
      <c r="AM775" s="799"/>
      <c r="AN775" s="799"/>
      <c r="AO775" s="799"/>
      <c r="AP775" s="799"/>
      <c r="AQ775" s="799"/>
      <c r="AR775" s="799"/>
      <c r="AS775" s="799"/>
      <c r="AT775" s="799"/>
      <c r="AU775" s="799"/>
      <c r="AV775" s="799"/>
      <c r="AW775" s="799"/>
      <c r="AX775" s="799"/>
      <c r="AY775" s="799"/>
      <c r="AZ775" s="799"/>
      <c r="BA775" s="799"/>
      <c r="BB775" s="799"/>
      <c r="BC775" s="799"/>
      <c r="BD775" s="799"/>
      <c r="BE775" s="799"/>
      <c r="BF775" s="799"/>
      <c r="BG775" s="799"/>
    </row>
    <row r="776">
      <c r="H776" s="799"/>
      <c r="I776" s="799"/>
      <c r="J776" s="799"/>
      <c r="K776" s="799"/>
      <c r="L776" s="799"/>
      <c r="M776" s="799"/>
      <c r="N776" s="799"/>
      <c r="O776" s="799"/>
      <c r="P776" s="799"/>
      <c r="Q776" s="799"/>
      <c r="R776" s="799"/>
      <c r="S776" s="799"/>
      <c r="T776" s="799"/>
      <c r="U776" s="799"/>
      <c r="V776" s="799"/>
      <c r="W776" s="799"/>
      <c r="X776" s="799"/>
      <c r="Y776" s="799"/>
      <c r="Z776" s="799"/>
      <c r="AA776" s="799"/>
      <c r="AB776" s="799"/>
      <c r="AC776" s="799"/>
      <c r="AD776" s="799"/>
      <c r="AE776" s="799"/>
      <c r="AF776" s="799"/>
      <c r="AG776" s="799"/>
      <c r="AH776" s="799"/>
      <c r="AI776" s="799"/>
      <c r="AJ776" s="799"/>
      <c r="AK776" s="799"/>
      <c r="AL776" s="799"/>
      <c r="AM776" s="799"/>
      <c r="AN776" s="799"/>
      <c r="AO776" s="799"/>
      <c r="AP776" s="799"/>
      <c r="AQ776" s="799"/>
      <c r="AR776" s="799"/>
      <c r="AS776" s="799"/>
      <c r="AT776" s="799"/>
      <c r="AU776" s="799"/>
      <c r="AV776" s="799"/>
      <c r="AW776" s="799"/>
      <c r="AX776" s="799"/>
      <c r="AY776" s="799"/>
      <c r="AZ776" s="799"/>
      <c r="BA776" s="799"/>
      <c r="BB776" s="799"/>
      <c r="BC776" s="799"/>
      <c r="BD776" s="799"/>
      <c r="BE776" s="799"/>
      <c r="BF776" s="799"/>
      <c r="BG776" s="799"/>
    </row>
    <row r="777">
      <c r="H777" s="799"/>
      <c r="I777" s="799"/>
      <c r="J777" s="799"/>
      <c r="K777" s="799"/>
      <c r="L777" s="799"/>
      <c r="M777" s="799"/>
      <c r="N777" s="799"/>
      <c r="O777" s="799"/>
      <c r="P777" s="799"/>
      <c r="Q777" s="799"/>
      <c r="R777" s="799"/>
      <c r="S777" s="799"/>
      <c r="T777" s="799"/>
      <c r="U777" s="799"/>
      <c r="V777" s="799"/>
      <c r="W777" s="799"/>
      <c r="X777" s="799"/>
      <c r="Y777" s="799"/>
      <c r="Z777" s="799"/>
      <c r="AA777" s="799"/>
      <c r="AB777" s="799"/>
      <c r="AC777" s="799"/>
      <c r="AD777" s="799"/>
      <c r="AE777" s="799"/>
      <c r="AF777" s="799"/>
      <c r="AG777" s="799"/>
      <c r="AH777" s="799"/>
      <c r="AI777" s="799"/>
      <c r="AJ777" s="799"/>
      <c r="AK777" s="799"/>
      <c r="AL777" s="799"/>
      <c r="AM777" s="799"/>
      <c r="AN777" s="799"/>
      <c r="AO777" s="799"/>
      <c r="AP777" s="799"/>
      <c r="AQ777" s="799"/>
      <c r="AR777" s="799"/>
      <c r="AS777" s="799"/>
      <c r="AT777" s="799"/>
      <c r="AU777" s="799"/>
      <c r="AV777" s="799"/>
      <c r="AW777" s="799"/>
      <c r="AX777" s="799"/>
      <c r="AY777" s="799"/>
      <c r="AZ777" s="799"/>
      <c r="BA777" s="799"/>
      <c r="BB777" s="799"/>
      <c r="BC777" s="799"/>
      <c r="BD777" s="799"/>
      <c r="BE777" s="799"/>
      <c r="BF777" s="799"/>
      <c r="BG777" s="799"/>
    </row>
    <row r="778">
      <c r="H778" s="799"/>
      <c r="I778" s="799"/>
      <c r="J778" s="799"/>
      <c r="K778" s="799"/>
      <c r="L778" s="799"/>
      <c r="M778" s="799"/>
      <c r="N778" s="799"/>
      <c r="O778" s="799"/>
      <c r="P778" s="799"/>
      <c r="Q778" s="799"/>
      <c r="R778" s="799"/>
      <c r="S778" s="799"/>
      <c r="T778" s="799"/>
      <c r="U778" s="799"/>
      <c r="V778" s="799"/>
      <c r="W778" s="799"/>
      <c r="X778" s="799"/>
      <c r="Y778" s="799"/>
      <c r="Z778" s="799"/>
      <c r="AA778" s="799"/>
      <c r="AB778" s="799"/>
      <c r="AC778" s="799"/>
      <c r="AD778" s="799"/>
      <c r="AE778" s="799"/>
      <c r="AF778" s="799"/>
      <c r="AG778" s="799"/>
      <c r="AH778" s="799"/>
      <c r="AI778" s="799"/>
      <c r="AJ778" s="799"/>
      <c r="AK778" s="799"/>
      <c r="AL778" s="799"/>
      <c r="AM778" s="799"/>
      <c r="AN778" s="799"/>
      <c r="AO778" s="799"/>
      <c r="AP778" s="799"/>
      <c r="AQ778" s="799"/>
      <c r="AR778" s="799"/>
      <c r="AS778" s="799"/>
      <c r="AT778" s="799"/>
      <c r="AU778" s="799"/>
      <c r="AV778" s="799"/>
      <c r="AW778" s="799"/>
      <c r="AX778" s="799"/>
      <c r="AY778" s="799"/>
      <c r="AZ778" s="799"/>
      <c r="BA778" s="799"/>
      <c r="BB778" s="799"/>
      <c r="BC778" s="799"/>
      <c r="BD778" s="799"/>
      <c r="BE778" s="799"/>
      <c r="BF778" s="799"/>
      <c r="BG778" s="799"/>
    </row>
    <row r="779">
      <c r="H779" s="799"/>
      <c r="I779" s="799"/>
      <c r="J779" s="799"/>
      <c r="K779" s="799"/>
      <c r="L779" s="799"/>
      <c r="M779" s="799"/>
      <c r="N779" s="799"/>
      <c r="O779" s="799"/>
      <c r="P779" s="799"/>
      <c r="Q779" s="799"/>
      <c r="R779" s="799"/>
      <c r="S779" s="799"/>
      <c r="T779" s="799"/>
      <c r="U779" s="799"/>
      <c r="V779" s="799"/>
      <c r="W779" s="799"/>
      <c r="X779" s="799"/>
      <c r="Y779" s="799"/>
      <c r="Z779" s="799"/>
      <c r="AA779" s="799"/>
      <c r="AB779" s="799"/>
      <c r="AC779" s="799"/>
      <c r="AD779" s="799"/>
      <c r="AE779" s="799"/>
      <c r="AF779" s="799"/>
      <c r="AG779" s="799"/>
      <c r="AH779" s="799"/>
      <c r="AI779" s="799"/>
      <c r="AJ779" s="799"/>
      <c r="AK779" s="799"/>
      <c r="AL779" s="799"/>
      <c r="AM779" s="799"/>
      <c r="AN779" s="799"/>
      <c r="AO779" s="799"/>
      <c r="AP779" s="799"/>
      <c r="AQ779" s="799"/>
      <c r="AR779" s="799"/>
      <c r="AS779" s="799"/>
      <c r="AT779" s="799"/>
      <c r="AU779" s="799"/>
      <c r="AV779" s="799"/>
      <c r="AW779" s="799"/>
      <c r="AX779" s="799"/>
      <c r="AY779" s="799"/>
      <c r="AZ779" s="799"/>
      <c r="BA779" s="799"/>
      <c r="BB779" s="799"/>
      <c r="BC779" s="799"/>
      <c r="BD779" s="799"/>
      <c r="BE779" s="799"/>
      <c r="BF779" s="799"/>
      <c r="BG779" s="799"/>
    </row>
    <row r="780">
      <c r="H780" s="799"/>
      <c r="I780" s="799"/>
      <c r="J780" s="799"/>
      <c r="K780" s="799"/>
      <c r="L780" s="799"/>
      <c r="M780" s="799"/>
      <c r="N780" s="799"/>
      <c r="O780" s="799"/>
      <c r="P780" s="799"/>
      <c r="Q780" s="799"/>
      <c r="R780" s="799"/>
      <c r="S780" s="799"/>
      <c r="T780" s="799"/>
      <c r="U780" s="799"/>
      <c r="V780" s="799"/>
      <c r="W780" s="799"/>
      <c r="X780" s="799"/>
      <c r="Y780" s="799"/>
      <c r="Z780" s="799"/>
      <c r="AA780" s="799"/>
      <c r="AB780" s="799"/>
      <c r="AC780" s="799"/>
      <c r="AD780" s="799"/>
      <c r="AE780" s="799"/>
      <c r="AF780" s="799"/>
      <c r="AG780" s="799"/>
      <c r="AH780" s="799"/>
      <c r="AI780" s="799"/>
      <c r="AJ780" s="799"/>
      <c r="AK780" s="799"/>
      <c r="AL780" s="799"/>
      <c r="AM780" s="799"/>
      <c r="AN780" s="799"/>
      <c r="AO780" s="799"/>
      <c r="AP780" s="799"/>
      <c r="AQ780" s="799"/>
      <c r="AR780" s="799"/>
      <c r="AS780" s="799"/>
      <c r="AT780" s="799"/>
      <c r="AU780" s="799"/>
      <c r="AV780" s="799"/>
      <c r="AW780" s="799"/>
      <c r="AX780" s="799"/>
      <c r="AY780" s="799"/>
      <c r="AZ780" s="799"/>
      <c r="BA780" s="799"/>
      <c r="BB780" s="799"/>
      <c r="BC780" s="799"/>
      <c r="BD780" s="799"/>
      <c r="BE780" s="799"/>
      <c r="BF780" s="799"/>
      <c r="BG780" s="799"/>
    </row>
    <row r="781">
      <c r="H781" s="799"/>
      <c r="I781" s="799"/>
      <c r="J781" s="799"/>
      <c r="K781" s="799"/>
      <c r="L781" s="799"/>
      <c r="M781" s="799"/>
      <c r="N781" s="799"/>
      <c r="O781" s="799"/>
      <c r="P781" s="799"/>
      <c r="Q781" s="799"/>
      <c r="R781" s="799"/>
      <c r="S781" s="799"/>
      <c r="T781" s="799"/>
      <c r="U781" s="799"/>
      <c r="V781" s="799"/>
      <c r="W781" s="799"/>
      <c r="X781" s="799"/>
      <c r="Y781" s="799"/>
      <c r="Z781" s="799"/>
      <c r="AA781" s="799"/>
      <c r="AB781" s="799"/>
      <c r="AC781" s="799"/>
      <c r="AD781" s="799"/>
      <c r="AE781" s="799"/>
      <c r="AF781" s="799"/>
      <c r="AG781" s="799"/>
      <c r="AH781" s="799"/>
      <c r="AI781" s="799"/>
      <c r="AJ781" s="799"/>
      <c r="AK781" s="799"/>
      <c r="AL781" s="799"/>
      <c r="AM781" s="799"/>
      <c r="AN781" s="799"/>
      <c r="AO781" s="799"/>
      <c r="AP781" s="799"/>
      <c r="AQ781" s="799"/>
      <c r="AR781" s="799"/>
      <c r="AS781" s="799"/>
      <c r="AT781" s="799"/>
      <c r="AU781" s="799"/>
      <c r="AV781" s="799"/>
      <c r="AW781" s="799"/>
      <c r="AX781" s="799"/>
      <c r="AY781" s="799"/>
      <c r="AZ781" s="799"/>
      <c r="BA781" s="799"/>
      <c r="BB781" s="799"/>
      <c r="BC781" s="799"/>
      <c r="BD781" s="799"/>
      <c r="BE781" s="799"/>
      <c r="BF781" s="799"/>
      <c r="BG781" s="799"/>
    </row>
    <row r="782">
      <c r="H782" s="799"/>
      <c r="I782" s="799"/>
      <c r="J782" s="799"/>
      <c r="K782" s="799"/>
      <c r="L782" s="799"/>
      <c r="M782" s="799"/>
      <c r="N782" s="799"/>
      <c r="O782" s="799"/>
      <c r="P782" s="799"/>
      <c r="Q782" s="799"/>
      <c r="R782" s="799"/>
      <c r="S782" s="799"/>
      <c r="T782" s="799"/>
      <c r="U782" s="799"/>
      <c r="V782" s="799"/>
      <c r="W782" s="799"/>
      <c r="X782" s="799"/>
      <c r="Y782" s="799"/>
      <c r="Z782" s="799"/>
      <c r="AA782" s="799"/>
      <c r="AB782" s="799"/>
      <c r="AC782" s="799"/>
      <c r="AD782" s="799"/>
      <c r="AE782" s="799"/>
      <c r="AF782" s="799"/>
      <c r="AG782" s="799"/>
      <c r="AH782" s="799"/>
      <c r="AI782" s="799"/>
      <c r="AJ782" s="799"/>
      <c r="AK782" s="799"/>
      <c r="AL782" s="799"/>
      <c r="AM782" s="799"/>
      <c r="AN782" s="799"/>
      <c r="AO782" s="799"/>
      <c r="AP782" s="799"/>
      <c r="AQ782" s="799"/>
      <c r="AR782" s="799"/>
      <c r="AS782" s="799"/>
      <c r="AT782" s="799"/>
      <c r="AU782" s="799"/>
      <c r="AV782" s="799"/>
      <c r="AW782" s="799"/>
      <c r="AX782" s="799"/>
      <c r="AY782" s="799"/>
      <c r="AZ782" s="799"/>
      <c r="BA782" s="799"/>
      <c r="BB782" s="799"/>
      <c r="BC782" s="799"/>
      <c r="BD782" s="799"/>
      <c r="BE782" s="799"/>
      <c r="BF782" s="799"/>
      <c r="BG782" s="799"/>
    </row>
    <row r="783">
      <c r="H783" s="799"/>
      <c r="I783" s="799"/>
      <c r="J783" s="799"/>
      <c r="K783" s="799"/>
      <c r="L783" s="799"/>
      <c r="M783" s="799"/>
      <c r="N783" s="799"/>
      <c r="O783" s="799"/>
      <c r="P783" s="799"/>
      <c r="Q783" s="799"/>
      <c r="R783" s="799"/>
      <c r="S783" s="799"/>
      <c r="T783" s="799"/>
      <c r="U783" s="799"/>
      <c r="V783" s="799"/>
      <c r="W783" s="799"/>
      <c r="X783" s="799"/>
      <c r="Y783" s="799"/>
      <c r="Z783" s="799"/>
      <c r="AA783" s="799"/>
      <c r="AB783" s="799"/>
      <c r="AC783" s="799"/>
      <c r="AD783" s="799"/>
      <c r="AE783" s="799"/>
      <c r="AF783" s="799"/>
      <c r="AG783" s="799"/>
      <c r="AH783" s="799"/>
      <c r="AI783" s="799"/>
      <c r="AJ783" s="799"/>
      <c r="AK783" s="799"/>
      <c r="AL783" s="799"/>
      <c r="AM783" s="799"/>
      <c r="AN783" s="799"/>
      <c r="AO783" s="799"/>
      <c r="AP783" s="799"/>
      <c r="AQ783" s="799"/>
      <c r="AR783" s="799"/>
      <c r="AS783" s="799"/>
      <c r="AT783" s="799"/>
      <c r="AU783" s="799"/>
      <c r="AV783" s="799"/>
      <c r="AW783" s="799"/>
      <c r="AX783" s="799"/>
      <c r="AY783" s="799"/>
      <c r="AZ783" s="799"/>
      <c r="BA783" s="799"/>
      <c r="BB783" s="799"/>
      <c r="BC783" s="799"/>
      <c r="BD783" s="799"/>
      <c r="BE783" s="799"/>
      <c r="BF783" s="799"/>
      <c r="BG783" s="799"/>
    </row>
    <row r="784">
      <c r="H784" s="799"/>
      <c r="I784" s="799"/>
      <c r="J784" s="799"/>
      <c r="K784" s="799"/>
      <c r="L784" s="799"/>
      <c r="M784" s="799"/>
      <c r="N784" s="799"/>
      <c r="O784" s="799"/>
      <c r="P784" s="799"/>
      <c r="Q784" s="799"/>
      <c r="R784" s="799"/>
      <c r="S784" s="799"/>
      <c r="T784" s="799"/>
      <c r="U784" s="799"/>
      <c r="V784" s="799"/>
      <c r="W784" s="799"/>
      <c r="X784" s="799"/>
      <c r="Y784" s="799"/>
      <c r="Z784" s="799"/>
      <c r="AA784" s="799"/>
      <c r="AB784" s="799"/>
      <c r="AC784" s="799"/>
      <c r="AD784" s="799"/>
      <c r="AE784" s="799"/>
      <c r="AF784" s="799"/>
      <c r="AG784" s="799"/>
      <c r="AH784" s="799"/>
      <c r="AI784" s="799"/>
      <c r="AJ784" s="799"/>
      <c r="AK784" s="799"/>
      <c r="AL784" s="799"/>
      <c r="AM784" s="799"/>
      <c r="AN784" s="799"/>
      <c r="AO784" s="799"/>
      <c r="AP784" s="799"/>
      <c r="AQ784" s="799"/>
      <c r="AR784" s="799"/>
      <c r="AS784" s="799"/>
      <c r="AT784" s="799"/>
      <c r="AU784" s="799"/>
      <c r="AV784" s="799"/>
      <c r="AW784" s="799"/>
      <c r="AX784" s="799"/>
      <c r="AY784" s="799"/>
      <c r="AZ784" s="799"/>
      <c r="BA784" s="799"/>
      <c r="BB784" s="799"/>
      <c r="BC784" s="799"/>
      <c r="BD784" s="799"/>
      <c r="BE784" s="799"/>
      <c r="BF784" s="799"/>
      <c r="BG784" s="799"/>
    </row>
    <row r="785">
      <c r="H785" s="799"/>
      <c r="I785" s="799"/>
      <c r="J785" s="799"/>
      <c r="K785" s="799"/>
      <c r="L785" s="799"/>
      <c r="M785" s="799"/>
      <c r="N785" s="799"/>
      <c r="O785" s="799"/>
      <c r="P785" s="799"/>
      <c r="Q785" s="799"/>
      <c r="R785" s="799"/>
      <c r="S785" s="799"/>
      <c r="T785" s="799"/>
      <c r="U785" s="799"/>
      <c r="V785" s="799"/>
      <c r="W785" s="799"/>
      <c r="X785" s="799"/>
      <c r="Y785" s="799"/>
      <c r="Z785" s="799"/>
      <c r="AA785" s="799"/>
      <c r="AB785" s="799"/>
      <c r="AC785" s="799"/>
      <c r="AD785" s="799"/>
      <c r="AE785" s="799"/>
      <c r="AF785" s="799"/>
      <c r="AG785" s="799"/>
      <c r="AH785" s="799"/>
      <c r="AI785" s="799"/>
      <c r="AJ785" s="799"/>
      <c r="AK785" s="799"/>
      <c r="AL785" s="799"/>
      <c r="AM785" s="799"/>
      <c r="AN785" s="799"/>
      <c r="AO785" s="799"/>
      <c r="AP785" s="799"/>
      <c r="AQ785" s="799"/>
      <c r="AR785" s="799"/>
      <c r="AS785" s="799"/>
      <c r="AT785" s="799"/>
      <c r="AU785" s="799"/>
      <c r="AV785" s="799"/>
      <c r="AW785" s="799"/>
      <c r="AX785" s="799"/>
      <c r="AY785" s="799"/>
      <c r="AZ785" s="799"/>
      <c r="BA785" s="799"/>
      <c r="BB785" s="799"/>
      <c r="BC785" s="799"/>
      <c r="BD785" s="799"/>
      <c r="BE785" s="799"/>
      <c r="BF785" s="799"/>
      <c r="BG785" s="799"/>
    </row>
    <row r="786">
      <c r="H786" s="799"/>
      <c r="I786" s="799"/>
      <c r="J786" s="799"/>
      <c r="K786" s="799"/>
      <c r="L786" s="799"/>
      <c r="M786" s="799"/>
      <c r="N786" s="799"/>
      <c r="O786" s="799"/>
      <c r="P786" s="799"/>
      <c r="Q786" s="799"/>
      <c r="R786" s="799"/>
      <c r="S786" s="799"/>
      <c r="T786" s="799"/>
      <c r="U786" s="799"/>
      <c r="V786" s="799"/>
      <c r="W786" s="799"/>
      <c r="X786" s="799"/>
      <c r="Y786" s="799"/>
      <c r="Z786" s="799"/>
      <c r="AA786" s="799"/>
      <c r="AB786" s="799"/>
      <c r="AC786" s="799"/>
      <c r="AD786" s="799"/>
      <c r="AE786" s="799"/>
      <c r="AF786" s="799"/>
      <c r="AG786" s="799"/>
      <c r="AH786" s="799"/>
      <c r="AI786" s="799"/>
      <c r="AJ786" s="799"/>
      <c r="AK786" s="799"/>
      <c r="AL786" s="799"/>
      <c r="AM786" s="799"/>
      <c r="AN786" s="799"/>
      <c r="AO786" s="799"/>
      <c r="AP786" s="799"/>
      <c r="AQ786" s="799"/>
      <c r="AR786" s="799"/>
      <c r="AS786" s="799"/>
      <c r="AT786" s="799"/>
      <c r="AU786" s="799"/>
      <c r="AV786" s="799"/>
      <c r="AW786" s="799"/>
      <c r="AX786" s="799"/>
      <c r="AY786" s="799"/>
      <c r="AZ786" s="799"/>
      <c r="BA786" s="799"/>
      <c r="BB786" s="799"/>
      <c r="BC786" s="799"/>
      <c r="BD786" s="799"/>
      <c r="BE786" s="799"/>
      <c r="BF786" s="799"/>
      <c r="BG786" s="799"/>
    </row>
    <row r="787">
      <c r="H787" s="799"/>
      <c r="I787" s="799"/>
      <c r="J787" s="799"/>
      <c r="K787" s="799"/>
      <c r="L787" s="799"/>
      <c r="M787" s="799"/>
      <c r="N787" s="799"/>
      <c r="O787" s="799"/>
      <c r="P787" s="799"/>
      <c r="Q787" s="799"/>
      <c r="R787" s="799"/>
      <c r="S787" s="799"/>
      <c r="T787" s="799"/>
      <c r="U787" s="799"/>
      <c r="V787" s="799"/>
      <c r="W787" s="799"/>
      <c r="X787" s="799"/>
      <c r="Y787" s="799"/>
      <c r="Z787" s="799"/>
      <c r="AA787" s="799"/>
      <c r="AB787" s="799"/>
      <c r="AC787" s="799"/>
      <c r="AD787" s="799"/>
      <c r="AE787" s="799"/>
      <c r="AF787" s="799"/>
      <c r="AG787" s="799"/>
      <c r="AH787" s="799"/>
      <c r="AI787" s="799"/>
      <c r="AJ787" s="799"/>
      <c r="AK787" s="799"/>
      <c r="AL787" s="799"/>
      <c r="AM787" s="799"/>
      <c r="AN787" s="799"/>
      <c r="AO787" s="799"/>
      <c r="AP787" s="799"/>
      <c r="AQ787" s="799"/>
      <c r="AR787" s="799"/>
      <c r="AS787" s="799"/>
      <c r="AT787" s="799"/>
      <c r="AU787" s="799"/>
      <c r="AV787" s="799"/>
      <c r="AW787" s="799"/>
      <c r="AX787" s="799"/>
      <c r="AY787" s="799"/>
      <c r="AZ787" s="799"/>
      <c r="BA787" s="799"/>
      <c r="BB787" s="799"/>
      <c r="BC787" s="799"/>
      <c r="BD787" s="799"/>
      <c r="BE787" s="799"/>
      <c r="BF787" s="799"/>
      <c r="BG787" s="799"/>
    </row>
    <row r="788">
      <c r="H788" s="799"/>
      <c r="I788" s="799"/>
      <c r="J788" s="799"/>
      <c r="K788" s="799"/>
      <c r="L788" s="799"/>
      <c r="M788" s="799"/>
      <c r="N788" s="799"/>
      <c r="O788" s="799"/>
      <c r="P788" s="799"/>
      <c r="Q788" s="799"/>
      <c r="R788" s="799"/>
      <c r="S788" s="799"/>
      <c r="T788" s="799"/>
      <c r="U788" s="799"/>
      <c r="V788" s="799"/>
      <c r="W788" s="799"/>
      <c r="X788" s="799"/>
      <c r="Y788" s="799"/>
      <c r="Z788" s="799"/>
      <c r="AA788" s="799"/>
      <c r="AB788" s="799"/>
      <c r="AC788" s="799"/>
      <c r="AD788" s="799"/>
      <c r="AE788" s="799"/>
      <c r="AF788" s="799"/>
      <c r="AG788" s="799"/>
      <c r="AH788" s="799"/>
      <c r="AI788" s="799"/>
      <c r="AJ788" s="799"/>
      <c r="AK788" s="799"/>
      <c r="AL788" s="799"/>
      <c r="AM788" s="799"/>
      <c r="AN788" s="799"/>
      <c r="AO788" s="799"/>
      <c r="AP788" s="799"/>
      <c r="AQ788" s="799"/>
      <c r="AR788" s="799"/>
      <c r="AS788" s="799"/>
      <c r="AT788" s="799"/>
      <c r="AU788" s="799"/>
      <c r="AV788" s="799"/>
      <c r="AW788" s="799"/>
      <c r="AX788" s="799"/>
      <c r="AY788" s="799"/>
      <c r="AZ788" s="799"/>
      <c r="BA788" s="799"/>
      <c r="BB788" s="799"/>
      <c r="BC788" s="799"/>
      <c r="BD788" s="799"/>
      <c r="BE788" s="799"/>
      <c r="BF788" s="799"/>
      <c r="BG788" s="799"/>
    </row>
    <row r="789">
      <c r="H789" s="799"/>
      <c r="I789" s="799"/>
      <c r="J789" s="799"/>
      <c r="K789" s="799"/>
      <c r="L789" s="799"/>
      <c r="M789" s="799"/>
      <c r="N789" s="799"/>
      <c r="O789" s="799"/>
      <c r="P789" s="799"/>
      <c r="Q789" s="799"/>
      <c r="R789" s="799"/>
      <c r="S789" s="799"/>
      <c r="T789" s="799"/>
      <c r="U789" s="799"/>
      <c r="V789" s="799"/>
      <c r="W789" s="799"/>
      <c r="X789" s="799"/>
      <c r="Y789" s="799"/>
      <c r="Z789" s="799"/>
      <c r="AA789" s="799"/>
      <c r="AB789" s="799"/>
      <c r="AC789" s="799"/>
      <c r="AD789" s="799"/>
      <c r="AE789" s="799"/>
      <c r="AF789" s="799"/>
      <c r="AG789" s="799"/>
      <c r="AH789" s="799"/>
      <c r="AI789" s="799"/>
      <c r="AJ789" s="799"/>
      <c r="AK789" s="799"/>
      <c r="AL789" s="799"/>
      <c r="AM789" s="799"/>
      <c r="AN789" s="799"/>
      <c r="AO789" s="799"/>
      <c r="AP789" s="799"/>
      <c r="AQ789" s="799"/>
      <c r="AR789" s="799"/>
      <c r="AS789" s="799"/>
      <c r="AT789" s="799"/>
      <c r="AU789" s="799"/>
      <c r="AV789" s="799"/>
      <c r="AW789" s="799"/>
      <c r="AX789" s="799"/>
      <c r="AY789" s="799"/>
      <c r="AZ789" s="799"/>
      <c r="BA789" s="799"/>
      <c r="BB789" s="799"/>
      <c r="BC789" s="799"/>
      <c r="BD789" s="799"/>
      <c r="BE789" s="799"/>
      <c r="BF789" s="799"/>
      <c r="BG789" s="799"/>
    </row>
    <row r="790">
      <c r="H790" s="799"/>
      <c r="I790" s="799"/>
      <c r="J790" s="799"/>
      <c r="K790" s="799"/>
      <c r="L790" s="799"/>
      <c r="M790" s="799"/>
      <c r="N790" s="799"/>
      <c r="O790" s="799"/>
      <c r="P790" s="799"/>
      <c r="Q790" s="799"/>
      <c r="R790" s="799"/>
      <c r="S790" s="799"/>
      <c r="T790" s="799"/>
      <c r="U790" s="799"/>
      <c r="V790" s="799"/>
      <c r="W790" s="799"/>
      <c r="X790" s="799"/>
      <c r="Y790" s="799"/>
      <c r="Z790" s="799"/>
      <c r="AA790" s="799"/>
      <c r="AB790" s="799"/>
      <c r="AC790" s="799"/>
      <c r="AD790" s="799"/>
      <c r="AE790" s="799"/>
      <c r="AF790" s="799"/>
      <c r="AG790" s="799"/>
      <c r="AH790" s="799"/>
      <c r="AI790" s="799"/>
      <c r="AJ790" s="799"/>
      <c r="AK790" s="799"/>
      <c r="AL790" s="799"/>
      <c r="AM790" s="799"/>
      <c r="AN790" s="799"/>
      <c r="AO790" s="799"/>
      <c r="AP790" s="799"/>
      <c r="AQ790" s="799"/>
      <c r="AR790" s="799"/>
      <c r="AS790" s="799"/>
      <c r="AT790" s="799"/>
      <c r="AU790" s="799"/>
      <c r="AV790" s="799"/>
      <c r="AW790" s="799"/>
      <c r="AX790" s="799"/>
      <c r="AY790" s="799"/>
      <c r="AZ790" s="799"/>
      <c r="BA790" s="799"/>
      <c r="BB790" s="799"/>
      <c r="BC790" s="799"/>
      <c r="BD790" s="799"/>
      <c r="BE790" s="799"/>
      <c r="BF790" s="799"/>
      <c r="BG790" s="799"/>
    </row>
    <row r="791">
      <c r="H791" s="799"/>
      <c r="I791" s="799"/>
      <c r="J791" s="799"/>
      <c r="K791" s="799"/>
      <c r="L791" s="799"/>
      <c r="M791" s="799"/>
      <c r="N791" s="799"/>
      <c r="O791" s="799"/>
      <c r="P791" s="799"/>
      <c r="Q791" s="799"/>
      <c r="R791" s="799"/>
      <c r="S791" s="799"/>
      <c r="T791" s="799"/>
      <c r="U791" s="799"/>
      <c r="V791" s="799"/>
      <c r="W791" s="799"/>
      <c r="X791" s="799"/>
      <c r="Y791" s="799"/>
      <c r="Z791" s="799"/>
      <c r="AA791" s="799"/>
      <c r="AB791" s="799"/>
      <c r="AC791" s="799"/>
      <c r="AD791" s="799"/>
      <c r="AE791" s="799"/>
      <c r="AF791" s="799"/>
      <c r="AG791" s="799"/>
      <c r="AH791" s="799"/>
      <c r="AI791" s="799"/>
      <c r="AJ791" s="799"/>
      <c r="AK791" s="799"/>
      <c r="AL791" s="799"/>
      <c r="AM791" s="799"/>
      <c r="AN791" s="799"/>
      <c r="AO791" s="799"/>
      <c r="AP791" s="799"/>
      <c r="AQ791" s="799"/>
      <c r="AR791" s="799"/>
      <c r="AS791" s="799"/>
      <c r="AT791" s="799"/>
      <c r="AU791" s="799"/>
      <c r="AV791" s="799"/>
      <c r="AW791" s="799"/>
      <c r="AX791" s="799"/>
      <c r="AY791" s="799"/>
      <c r="AZ791" s="799"/>
      <c r="BA791" s="799"/>
      <c r="BB791" s="799"/>
      <c r="BC791" s="799"/>
      <c r="BD791" s="799"/>
      <c r="BE791" s="799"/>
      <c r="BF791" s="799"/>
      <c r="BG791" s="799"/>
    </row>
    <row r="792">
      <c r="H792" s="799"/>
      <c r="I792" s="799"/>
      <c r="J792" s="799"/>
      <c r="K792" s="799"/>
      <c r="L792" s="799"/>
      <c r="M792" s="799"/>
      <c r="N792" s="799"/>
      <c r="O792" s="799"/>
      <c r="P792" s="799"/>
      <c r="Q792" s="799"/>
      <c r="R792" s="799"/>
      <c r="S792" s="799"/>
      <c r="T792" s="799"/>
      <c r="U792" s="799"/>
      <c r="V792" s="799"/>
      <c r="W792" s="799"/>
      <c r="X792" s="799"/>
      <c r="Y792" s="799"/>
      <c r="Z792" s="799"/>
      <c r="AA792" s="799"/>
      <c r="AB792" s="799"/>
      <c r="AC792" s="799"/>
      <c r="AD792" s="799"/>
      <c r="AE792" s="799"/>
      <c r="AF792" s="799"/>
      <c r="AG792" s="799"/>
      <c r="AH792" s="799"/>
      <c r="AI792" s="799"/>
      <c r="AJ792" s="799"/>
      <c r="AK792" s="799"/>
      <c r="AL792" s="799"/>
      <c r="AM792" s="799"/>
      <c r="AN792" s="799"/>
      <c r="AO792" s="799"/>
      <c r="AP792" s="799"/>
      <c r="AQ792" s="799"/>
      <c r="AR792" s="799"/>
      <c r="AS792" s="799"/>
      <c r="AT792" s="799"/>
      <c r="AU792" s="799"/>
      <c r="AV792" s="799"/>
      <c r="AW792" s="799"/>
      <c r="AX792" s="799"/>
      <c r="AY792" s="799"/>
      <c r="AZ792" s="799"/>
      <c r="BA792" s="799"/>
      <c r="BB792" s="799"/>
      <c r="BC792" s="799"/>
      <c r="BD792" s="799"/>
      <c r="BE792" s="799"/>
      <c r="BF792" s="799"/>
      <c r="BG792" s="799"/>
    </row>
    <row r="793">
      <c r="H793" s="799"/>
      <c r="I793" s="799"/>
      <c r="J793" s="799"/>
      <c r="K793" s="799"/>
      <c r="L793" s="799"/>
      <c r="M793" s="799"/>
      <c r="N793" s="799"/>
      <c r="O793" s="799"/>
      <c r="P793" s="799"/>
      <c r="Q793" s="799"/>
      <c r="R793" s="799"/>
      <c r="S793" s="799"/>
      <c r="T793" s="799"/>
      <c r="U793" s="799"/>
      <c r="V793" s="799"/>
      <c r="W793" s="799"/>
      <c r="X793" s="799"/>
      <c r="Y793" s="799"/>
      <c r="Z793" s="799"/>
      <c r="AA793" s="799"/>
      <c r="AB793" s="799"/>
      <c r="AC793" s="799"/>
      <c r="AD793" s="799"/>
      <c r="AE793" s="799"/>
      <c r="AF793" s="799"/>
      <c r="AG793" s="799"/>
      <c r="AH793" s="799"/>
      <c r="AI793" s="799"/>
      <c r="AJ793" s="799"/>
      <c r="AK793" s="799"/>
      <c r="AL793" s="799"/>
      <c r="AM793" s="799"/>
      <c r="AN793" s="799"/>
      <c r="AO793" s="799"/>
      <c r="AP793" s="799"/>
      <c r="AQ793" s="799"/>
      <c r="AR793" s="799"/>
      <c r="AS793" s="799"/>
      <c r="AT793" s="799"/>
      <c r="AU793" s="799"/>
      <c r="AV793" s="799"/>
      <c r="AW793" s="799"/>
      <c r="AX793" s="799"/>
      <c r="AY793" s="799"/>
      <c r="AZ793" s="799"/>
      <c r="BA793" s="799"/>
      <c r="BB793" s="799"/>
      <c r="BC793" s="799"/>
      <c r="BD793" s="799"/>
      <c r="BE793" s="799"/>
      <c r="BF793" s="799"/>
      <c r="BG793" s="799"/>
    </row>
    <row r="794">
      <c r="H794" s="799"/>
      <c r="I794" s="799"/>
      <c r="J794" s="799"/>
      <c r="K794" s="799"/>
      <c r="L794" s="799"/>
      <c r="M794" s="799"/>
      <c r="N794" s="799"/>
      <c r="O794" s="799"/>
      <c r="P794" s="799"/>
      <c r="Q794" s="799"/>
      <c r="R794" s="799"/>
      <c r="S794" s="799"/>
      <c r="T794" s="799"/>
      <c r="U794" s="799"/>
      <c r="V794" s="799"/>
      <c r="W794" s="799"/>
      <c r="X794" s="799"/>
      <c r="Y794" s="799"/>
      <c r="Z794" s="799"/>
      <c r="AA794" s="799"/>
      <c r="AB794" s="799"/>
      <c r="AC794" s="799"/>
      <c r="AD794" s="799"/>
      <c r="AE794" s="799"/>
      <c r="AF794" s="799"/>
      <c r="AG794" s="799"/>
      <c r="AH794" s="799"/>
      <c r="AI794" s="799"/>
      <c r="AJ794" s="799"/>
      <c r="AK794" s="799"/>
      <c r="AL794" s="799"/>
      <c r="AM794" s="799"/>
      <c r="AN794" s="799"/>
      <c r="AO794" s="799"/>
      <c r="AP794" s="799"/>
      <c r="AQ794" s="799"/>
      <c r="AR794" s="799"/>
      <c r="AS794" s="799"/>
      <c r="AT794" s="799"/>
      <c r="AU794" s="799"/>
      <c r="AV794" s="799"/>
      <c r="AW794" s="799"/>
      <c r="AX794" s="799"/>
      <c r="AY794" s="799"/>
      <c r="AZ794" s="799"/>
      <c r="BA794" s="799"/>
      <c r="BB794" s="799"/>
      <c r="BC794" s="799"/>
      <c r="BD794" s="799"/>
      <c r="BE794" s="799"/>
      <c r="BF794" s="799"/>
      <c r="BG794" s="799"/>
    </row>
    <row r="795">
      <c r="H795" s="799"/>
      <c r="I795" s="799"/>
      <c r="J795" s="799"/>
      <c r="K795" s="799"/>
      <c r="L795" s="799"/>
      <c r="M795" s="799"/>
      <c r="N795" s="799"/>
      <c r="O795" s="799"/>
      <c r="P795" s="799"/>
      <c r="Q795" s="799"/>
      <c r="R795" s="799"/>
      <c r="S795" s="799"/>
      <c r="T795" s="799"/>
      <c r="U795" s="799"/>
      <c r="V795" s="799"/>
      <c r="W795" s="799"/>
      <c r="X795" s="799"/>
      <c r="Y795" s="799"/>
      <c r="Z795" s="799"/>
      <c r="AA795" s="799"/>
      <c r="AB795" s="799"/>
      <c r="AC795" s="799"/>
      <c r="AD795" s="799"/>
      <c r="AE795" s="799"/>
      <c r="AF795" s="799"/>
      <c r="AG795" s="799"/>
      <c r="AH795" s="799"/>
      <c r="AI795" s="799"/>
      <c r="AJ795" s="799"/>
      <c r="AK795" s="799"/>
      <c r="AL795" s="799"/>
      <c r="AM795" s="799"/>
      <c r="AN795" s="799"/>
      <c r="AO795" s="799"/>
      <c r="AP795" s="799"/>
      <c r="AQ795" s="799"/>
      <c r="AR795" s="799"/>
      <c r="AS795" s="799"/>
      <c r="AT795" s="799"/>
      <c r="AU795" s="799"/>
      <c r="AV795" s="799"/>
      <c r="AW795" s="799"/>
      <c r="AX795" s="799"/>
      <c r="AY795" s="799"/>
      <c r="AZ795" s="799"/>
      <c r="BA795" s="799"/>
      <c r="BB795" s="799"/>
      <c r="BC795" s="799"/>
      <c r="BD795" s="799"/>
      <c r="BE795" s="799"/>
      <c r="BF795" s="799"/>
      <c r="BG795" s="799"/>
    </row>
    <row r="796">
      <c r="H796" s="799"/>
      <c r="I796" s="799"/>
      <c r="J796" s="799"/>
      <c r="K796" s="799"/>
      <c r="L796" s="799"/>
      <c r="M796" s="799"/>
      <c r="N796" s="799"/>
      <c r="O796" s="799"/>
      <c r="P796" s="799"/>
      <c r="Q796" s="799"/>
      <c r="R796" s="799"/>
      <c r="S796" s="799"/>
      <c r="T796" s="799"/>
      <c r="U796" s="799"/>
      <c r="V796" s="799"/>
      <c r="W796" s="799"/>
      <c r="X796" s="799"/>
      <c r="Y796" s="799"/>
      <c r="Z796" s="799"/>
      <c r="AA796" s="799"/>
      <c r="AB796" s="799"/>
      <c r="AC796" s="799"/>
      <c r="AD796" s="799"/>
      <c r="AE796" s="799"/>
      <c r="AF796" s="799"/>
      <c r="AG796" s="799"/>
      <c r="AH796" s="799"/>
      <c r="AI796" s="799"/>
      <c r="AJ796" s="799"/>
      <c r="AK796" s="799"/>
      <c r="AL796" s="799"/>
      <c r="AM796" s="799"/>
      <c r="AN796" s="799"/>
      <c r="AO796" s="799"/>
      <c r="AP796" s="799"/>
      <c r="AQ796" s="799"/>
      <c r="AR796" s="799"/>
      <c r="AS796" s="799"/>
      <c r="AT796" s="799"/>
      <c r="AU796" s="799"/>
      <c r="AV796" s="799"/>
      <c r="AW796" s="799"/>
      <c r="AX796" s="799"/>
      <c r="AY796" s="799"/>
      <c r="AZ796" s="799"/>
      <c r="BA796" s="799"/>
      <c r="BB796" s="799"/>
      <c r="BC796" s="799"/>
      <c r="BD796" s="799"/>
      <c r="BE796" s="799"/>
      <c r="BF796" s="799"/>
      <c r="BG796" s="799"/>
    </row>
    <row r="797">
      <c r="H797" s="799"/>
      <c r="I797" s="799"/>
      <c r="J797" s="799"/>
      <c r="K797" s="799"/>
      <c r="L797" s="799"/>
      <c r="M797" s="799"/>
      <c r="N797" s="799"/>
      <c r="O797" s="799"/>
      <c r="P797" s="799"/>
      <c r="Q797" s="799"/>
      <c r="R797" s="799"/>
      <c r="S797" s="799"/>
      <c r="T797" s="799"/>
      <c r="U797" s="799"/>
      <c r="V797" s="799"/>
      <c r="W797" s="799"/>
      <c r="X797" s="799"/>
      <c r="Y797" s="799"/>
      <c r="Z797" s="799"/>
      <c r="AA797" s="799"/>
      <c r="AB797" s="799"/>
      <c r="AC797" s="799"/>
      <c r="AD797" s="799"/>
      <c r="AE797" s="799"/>
      <c r="AF797" s="799"/>
      <c r="AG797" s="799"/>
      <c r="AH797" s="799"/>
      <c r="AI797" s="799"/>
      <c r="AJ797" s="799"/>
      <c r="AK797" s="799"/>
      <c r="AL797" s="799"/>
      <c r="AM797" s="799"/>
      <c r="AN797" s="799"/>
      <c r="AO797" s="799"/>
      <c r="AP797" s="799"/>
      <c r="AQ797" s="799"/>
      <c r="AR797" s="799"/>
      <c r="AS797" s="799"/>
      <c r="AT797" s="799"/>
      <c r="AU797" s="799"/>
      <c r="AV797" s="799"/>
      <c r="AW797" s="799"/>
      <c r="AX797" s="799"/>
      <c r="AY797" s="799"/>
      <c r="AZ797" s="799"/>
      <c r="BA797" s="799"/>
      <c r="BB797" s="799"/>
      <c r="BC797" s="799"/>
      <c r="BD797" s="799"/>
      <c r="BE797" s="799"/>
      <c r="BF797" s="799"/>
      <c r="BG797" s="799"/>
    </row>
    <row r="798">
      <c r="H798" s="799"/>
      <c r="I798" s="799"/>
      <c r="J798" s="799"/>
      <c r="K798" s="799"/>
      <c r="L798" s="799"/>
      <c r="M798" s="799"/>
      <c r="N798" s="799"/>
      <c r="O798" s="799"/>
      <c r="P798" s="799"/>
      <c r="Q798" s="799"/>
      <c r="R798" s="799"/>
      <c r="S798" s="799"/>
      <c r="T798" s="799"/>
      <c r="U798" s="799"/>
      <c r="V798" s="799"/>
      <c r="W798" s="799"/>
      <c r="X798" s="799"/>
      <c r="Y798" s="799"/>
      <c r="Z798" s="799"/>
      <c r="AA798" s="799"/>
      <c r="AB798" s="799"/>
      <c r="AC798" s="799"/>
      <c r="AD798" s="799"/>
      <c r="AE798" s="799"/>
      <c r="AF798" s="799"/>
      <c r="AG798" s="799"/>
      <c r="AH798" s="799"/>
      <c r="AI798" s="799"/>
      <c r="AJ798" s="799"/>
      <c r="AK798" s="799"/>
      <c r="AL798" s="799"/>
      <c r="AM798" s="799"/>
      <c r="AN798" s="799"/>
      <c r="AO798" s="799"/>
      <c r="AP798" s="799"/>
      <c r="AQ798" s="799"/>
      <c r="AR798" s="799"/>
      <c r="AS798" s="799"/>
      <c r="AT798" s="799"/>
      <c r="AU798" s="799"/>
      <c r="AV798" s="799"/>
      <c r="AW798" s="799"/>
      <c r="AX798" s="799"/>
      <c r="AY798" s="799"/>
      <c r="AZ798" s="799"/>
      <c r="BA798" s="799"/>
      <c r="BB798" s="799"/>
      <c r="BC798" s="799"/>
      <c r="BD798" s="799"/>
      <c r="BE798" s="799"/>
      <c r="BF798" s="799"/>
      <c r="BG798" s="799"/>
    </row>
    <row r="799">
      <c r="H799" s="799"/>
      <c r="I799" s="799"/>
      <c r="J799" s="799"/>
      <c r="K799" s="799"/>
      <c r="L799" s="799"/>
      <c r="M799" s="799"/>
      <c r="N799" s="799"/>
      <c r="O799" s="799"/>
      <c r="P799" s="799"/>
      <c r="Q799" s="799"/>
      <c r="R799" s="799"/>
      <c r="S799" s="799"/>
      <c r="T799" s="799"/>
      <c r="U799" s="799"/>
      <c r="V799" s="799"/>
      <c r="W799" s="799"/>
      <c r="X799" s="799"/>
      <c r="Y799" s="799"/>
      <c r="Z799" s="799"/>
      <c r="AA799" s="799"/>
      <c r="AB799" s="799"/>
      <c r="AC799" s="799"/>
      <c r="AD799" s="799"/>
      <c r="AE799" s="799"/>
      <c r="AF799" s="799"/>
      <c r="AG799" s="799"/>
      <c r="AH799" s="799"/>
      <c r="AI799" s="799"/>
      <c r="AJ799" s="799"/>
      <c r="AK799" s="799"/>
      <c r="AL799" s="799"/>
      <c r="AM799" s="799"/>
      <c r="AN799" s="799"/>
      <c r="AO799" s="799"/>
      <c r="AP799" s="799"/>
      <c r="AQ799" s="799"/>
      <c r="AR799" s="799"/>
      <c r="AS799" s="799"/>
      <c r="AT799" s="799"/>
      <c r="AU799" s="799"/>
      <c r="AV799" s="799"/>
      <c r="AW799" s="799"/>
      <c r="AX799" s="799"/>
      <c r="AY799" s="799"/>
      <c r="AZ799" s="799"/>
      <c r="BA799" s="799"/>
      <c r="BB799" s="799"/>
      <c r="BC799" s="799"/>
      <c r="BD799" s="799"/>
      <c r="BE799" s="799"/>
      <c r="BF799" s="799"/>
      <c r="BG799" s="799"/>
    </row>
    <row r="800">
      <c r="H800" s="799"/>
      <c r="I800" s="799"/>
      <c r="J800" s="799"/>
      <c r="K800" s="799"/>
      <c r="L800" s="799"/>
      <c r="M800" s="799"/>
      <c r="N800" s="799"/>
      <c r="O800" s="799"/>
      <c r="P800" s="799"/>
      <c r="Q800" s="799"/>
      <c r="R800" s="799"/>
      <c r="S800" s="799"/>
      <c r="T800" s="799"/>
      <c r="U800" s="799"/>
      <c r="V800" s="799"/>
      <c r="W800" s="799"/>
      <c r="X800" s="799"/>
      <c r="Y800" s="799"/>
      <c r="Z800" s="799"/>
      <c r="AA800" s="799"/>
      <c r="AB800" s="799"/>
      <c r="AC800" s="799"/>
      <c r="AD800" s="799"/>
      <c r="AE800" s="799"/>
      <c r="AF800" s="799"/>
      <c r="AG800" s="799"/>
      <c r="AH800" s="799"/>
      <c r="AI800" s="799"/>
      <c r="AJ800" s="799"/>
      <c r="AK800" s="799"/>
      <c r="AL800" s="799"/>
      <c r="AM800" s="799"/>
      <c r="AN800" s="799"/>
      <c r="AO800" s="799"/>
      <c r="AP800" s="799"/>
      <c r="AQ800" s="799"/>
      <c r="AR800" s="799"/>
      <c r="AS800" s="799"/>
      <c r="AT800" s="799"/>
      <c r="AU800" s="799"/>
      <c r="AV800" s="799"/>
      <c r="AW800" s="799"/>
      <c r="AX800" s="799"/>
      <c r="AY800" s="799"/>
      <c r="AZ800" s="799"/>
      <c r="BA800" s="799"/>
      <c r="BB800" s="799"/>
      <c r="BC800" s="799"/>
      <c r="BD800" s="799"/>
      <c r="BE800" s="799"/>
      <c r="BF800" s="799"/>
      <c r="BG800" s="799"/>
    </row>
    <row r="801">
      <c r="H801" s="799"/>
      <c r="I801" s="799"/>
      <c r="J801" s="799"/>
      <c r="K801" s="799"/>
      <c r="L801" s="799"/>
      <c r="M801" s="799"/>
      <c r="N801" s="799"/>
      <c r="O801" s="799"/>
      <c r="P801" s="799"/>
      <c r="Q801" s="799"/>
      <c r="R801" s="799"/>
      <c r="S801" s="799"/>
      <c r="T801" s="799"/>
      <c r="U801" s="799"/>
      <c r="V801" s="799"/>
      <c r="W801" s="799"/>
      <c r="X801" s="799"/>
      <c r="Y801" s="799"/>
      <c r="Z801" s="799"/>
      <c r="AA801" s="799"/>
      <c r="AB801" s="799"/>
      <c r="AC801" s="799"/>
      <c r="AD801" s="799"/>
      <c r="AE801" s="799"/>
      <c r="AF801" s="799"/>
      <c r="AG801" s="799"/>
      <c r="AH801" s="799"/>
      <c r="AI801" s="799"/>
      <c r="AJ801" s="799"/>
      <c r="AK801" s="799"/>
      <c r="AL801" s="799"/>
      <c r="AM801" s="799"/>
      <c r="AN801" s="799"/>
      <c r="AO801" s="799"/>
      <c r="AP801" s="799"/>
      <c r="AQ801" s="799"/>
      <c r="AR801" s="799"/>
      <c r="AS801" s="799"/>
      <c r="AT801" s="799"/>
      <c r="AU801" s="799"/>
      <c r="AV801" s="799"/>
      <c r="AW801" s="799"/>
      <c r="AX801" s="799"/>
      <c r="AY801" s="799"/>
      <c r="AZ801" s="799"/>
      <c r="BA801" s="799"/>
      <c r="BB801" s="799"/>
      <c r="BC801" s="799"/>
      <c r="BD801" s="799"/>
      <c r="BE801" s="799"/>
      <c r="BF801" s="799"/>
      <c r="BG801" s="799"/>
    </row>
    <row r="802">
      <c r="H802" s="799"/>
      <c r="I802" s="799"/>
      <c r="J802" s="799"/>
      <c r="K802" s="799"/>
      <c r="L802" s="799"/>
      <c r="M802" s="799"/>
      <c r="N802" s="799"/>
      <c r="O802" s="799"/>
      <c r="P802" s="799"/>
      <c r="Q802" s="799"/>
      <c r="R802" s="799"/>
      <c r="S802" s="799"/>
      <c r="T802" s="799"/>
      <c r="U802" s="799"/>
      <c r="V802" s="799"/>
      <c r="W802" s="799"/>
      <c r="X802" s="799"/>
      <c r="Y802" s="799"/>
      <c r="Z802" s="799"/>
      <c r="AA802" s="799"/>
      <c r="AB802" s="799"/>
      <c r="AC802" s="799"/>
      <c r="AD802" s="799"/>
      <c r="AE802" s="799"/>
      <c r="AF802" s="799"/>
      <c r="AG802" s="799"/>
      <c r="AH802" s="799"/>
      <c r="AI802" s="799"/>
      <c r="AJ802" s="799"/>
      <c r="AK802" s="799"/>
      <c r="AL802" s="799"/>
      <c r="AM802" s="799"/>
      <c r="AN802" s="799"/>
      <c r="AO802" s="799"/>
      <c r="AP802" s="799"/>
      <c r="AQ802" s="799"/>
      <c r="AR802" s="799"/>
      <c r="AS802" s="799"/>
      <c r="AT802" s="799"/>
      <c r="AU802" s="799"/>
      <c r="AV802" s="799"/>
      <c r="AW802" s="799"/>
      <c r="AX802" s="799"/>
      <c r="AY802" s="799"/>
      <c r="AZ802" s="799"/>
      <c r="BA802" s="799"/>
      <c r="BB802" s="799"/>
      <c r="BC802" s="799"/>
      <c r="BD802" s="799"/>
      <c r="BE802" s="799"/>
      <c r="BF802" s="799"/>
      <c r="BG802" s="799"/>
    </row>
    <row r="803">
      <c r="H803" s="799"/>
      <c r="I803" s="799"/>
      <c r="J803" s="799"/>
      <c r="K803" s="799"/>
      <c r="L803" s="799"/>
      <c r="M803" s="799"/>
      <c r="N803" s="799"/>
      <c r="O803" s="799"/>
      <c r="P803" s="799"/>
      <c r="Q803" s="799"/>
      <c r="R803" s="799"/>
      <c r="S803" s="799"/>
      <c r="T803" s="799"/>
      <c r="U803" s="799"/>
      <c r="V803" s="799"/>
      <c r="W803" s="799"/>
      <c r="X803" s="799"/>
      <c r="Y803" s="799"/>
      <c r="Z803" s="799"/>
      <c r="AA803" s="799"/>
      <c r="AB803" s="799"/>
      <c r="AC803" s="799"/>
      <c r="AD803" s="799"/>
      <c r="AE803" s="799"/>
      <c r="AF803" s="799"/>
      <c r="AG803" s="799"/>
      <c r="AH803" s="799"/>
      <c r="AI803" s="799"/>
      <c r="AJ803" s="799"/>
      <c r="AK803" s="799"/>
      <c r="AL803" s="799"/>
      <c r="AM803" s="799"/>
      <c r="AN803" s="799"/>
      <c r="AO803" s="799"/>
      <c r="AP803" s="799"/>
      <c r="AQ803" s="799"/>
      <c r="AR803" s="799"/>
      <c r="AS803" s="799"/>
      <c r="AT803" s="799"/>
      <c r="AU803" s="799"/>
      <c r="AV803" s="799"/>
      <c r="AW803" s="799"/>
      <c r="AX803" s="799"/>
      <c r="AY803" s="799"/>
      <c r="AZ803" s="799"/>
      <c r="BA803" s="799"/>
      <c r="BB803" s="799"/>
      <c r="BC803" s="799"/>
      <c r="BD803" s="799"/>
      <c r="BE803" s="799"/>
      <c r="BF803" s="799"/>
      <c r="BG803" s="799"/>
    </row>
    <row r="804">
      <c r="H804" s="799"/>
      <c r="I804" s="799"/>
      <c r="J804" s="799"/>
      <c r="K804" s="799"/>
      <c r="L804" s="799"/>
      <c r="M804" s="799"/>
      <c r="N804" s="799"/>
      <c r="O804" s="799"/>
      <c r="P804" s="799"/>
      <c r="Q804" s="799"/>
      <c r="R804" s="799"/>
      <c r="S804" s="799"/>
      <c r="T804" s="799"/>
      <c r="U804" s="799"/>
      <c r="V804" s="799"/>
      <c r="W804" s="799"/>
      <c r="X804" s="799"/>
      <c r="Y804" s="799"/>
      <c r="Z804" s="799"/>
      <c r="AA804" s="799"/>
      <c r="AB804" s="799"/>
      <c r="AC804" s="799"/>
      <c r="AD804" s="799"/>
      <c r="AE804" s="799"/>
      <c r="AF804" s="799"/>
      <c r="AG804" s="799"/>
      <c r="AH804" s="799"/>
      <c r="AI804" s="799"/>
      <c r="AJ804" s="799"/>
      <c r="AK804" s="799"/>
      <c r="AL804" s="799"/>
      <c r="AM804" s="799"/>
      <c r="AN804" s="799"/>
      <c r="AO804" s="799"/>
      <c r="AP804" s="799"/>
      <c r="AQ804" s="799"/>
      <c r="AR804" s="799"/>
      <c r="AS804" s="799"/>
      <c r="AT804" s="799"/>
      <c r="AU804" s="799"/>
      <c r="AV804" s="799"/>
      <c r="AW804" s="799"/>
      <c r="AX804" s="799"/>
      <c r="AY804" s="799"/>
      <c r="AZ804" s="799"/>
      <c r="BA804" s="799"/>
      <c r="BB804" s="799"/>
      <c r="BC804" s="799"/>
      <c r="BD804" s="799"/>
      <c r="BE804" s="799"/>
      <c r="BF804" s="799"/>
      <c r="BG804" s="799"/>
    </row>
    <row r="805">
      <c r="H805" s="799"/>
      <c r="I805" s="799"/>
      <c r="J805" s="799"/>
      <c r="K805" s="799"/>
      <c r="L805" s="799"/>
      <c r="M805" s="799"/>
      <c r="N805" s="799"/>
      <c r="O805" s="799"/>
      <c r="P805" s="799"/>
      <c r="Q805" s="799"/>
      <c r="R805" s="799"/>
      <c r="S805" s="799"/>
      <c r="T805" s="799"/>
      <c r="U805" s="799"/>
      <c r="V805" s="799"/>
      <c r="W805" s="799"/>
      <c r="X805" s="799"/>
      <c r="Y805" s="799"/>
      <c r="Z805" s="799"/>
      <c r="AA805" s="799"/>
      <c r="AB805" s="799"/>
      <c r="AC805" s="799"/>
      <c r="AD805" s="799"/>
      <c r="AE805" s="799"/>
      <c r="AF805" s="799"/>
      <c r="AG805" s="799"/>
      <c r="AH805" s="799"/>
      <c r="AI805" s="799"/>
      <c r="AJ805" s="799"/>
      <c r="AK805" s="799"/>
      <c r="AL805" s="799"/>
      <c r="AM805" s="799"/>
      <c r="AN805" s="799"/>
      <c r="AO805" s="799"/>
      <c r="AP805" s="799"/>
      <c r="AQ805" s="799"/>
      <c r="AR805" s="799"/>
      <c r="AS805" s="799"/>
      <c r="AT805" s="799"/>
      <c r="AU805" s="799"/>
      <c r="AV805" s="799"/>
      <c r="AW805" s="799"/>
      <c r="AX805" s="799"/>
      <c r="AY805" s="799"/>
      <c r="AZ805" s="799"/>
      <c r="BA805" s="799"/>
      <c r="BB805" s="799"/>
      <c r="BC805" s="799"/>
      <c r="BD805" s="799"/>
      <c r="BE805" s="799"/>
      <c r="BF805" s="799"/>
      <c r="BG805" s="799"/>
    </row>
    <row r="806">
      <c r="H806" s="799"/>
      <c r="I806" s="799"/>
      <c r="J806" s="799"/>
      <c r="K806" s="799"/>
      <c r="L806" s="799"/>
      <c r="M806" s="799"/>
      <c r="N806" s="799"/>
      <c r="O806" s="799"/>
      <c r="P806" s="799"/>
      <c r="Q806" s="799"/>
      <c r="R806" s="799"/>
      <c r="S806" s="799"/>
      <c r="T806" s="799"/>
      <c r="U806" s="799"/>
      <c r="V806" s="799"/>
      <c r="W806" s="799"/>
      <c r="X806" s="799"/>
      <c r="Y806" s="799"/>
      <c r="Z806" s="799"/>
      <c r="AA806" s="799"/>
      <c r="AB806" s="799"/>
      <c r="AC806" s="799"/>
      <c r="AD806" s="799"/>
      <c r="AE806" s="799"/>
      <c r="AF806" s="799"/>
      <c r="AG806" s="799"/>
      <c r="AH806" s="799"/>
      <c r="AI806" s="799"/>
      <c r="AJ806" s="799"/>
      <c r="AK806" s="799"/>
      <c r="AL806" s="799"/>
      <c r="AM806" s="799"/>
      <c r="AN806" s="799"/>
      <c r="AO806" s="799"/>
      <c r="AP806" s="799"/>
      <c r="AQ806" s="799"/>
      <c r="AR806" s="799"/>
      <c r="AS806" s="799"/>
      <c r="AT806" s="799"/>
      <c r="AU806" s="799"/>
      <c r="AV806" s="799"/>
      <c r="AW806" s="799"/>
      <c r="AX806" s="799"/>
      <c r="AY806" s="799"/>
      <c r="AZ806" s="799"/>
      <c r="BA806" s="799"/>
      <c r="BB806" s="799"/>
      <c r="BC806" s="799"/>
      <c r="BD806" s="799"/>
      <c r="BE806" s="799"/>
      <c r="BF806" s="799"/>
      <c r="BG806" s="799"/>
    </row>
    <row r="807">
      <c r="H807" s="799"/>
      <c r="I807" s="799"/>
      <c r="J807" s="799"/>
      <c r="K807" s="799"/>
      <c r="L807" s="799"/>
      <c r="M807" s="799"/>
      <c r="N807" s="799"/>
      <c r="O807" s="799"/>
      <c r="P807" s="799"/>
      <c r="Q807" s="799"/>
      <c r="R807" s="799"/>
      <c r="S807" s="799"/>
      <c r="T807" s="799"/>
      <c r="U807" s="799"/>
      <c r="V807" s="799"/>
      <c r="W807" s="799"/>
      <c r="X807" s="799"/>
      <c r="Y807" s="799"/>
      <c r="Z807" s="799"/>
      <c r="AA807" s="799"/>
      <c r="AB807" s="799"/>
      <c r="AC807" s="799"/>
      <c r="AD807" s="799"/>
      <c r="AE807" s="799"/>
      <c r="AF807" s="799"/>
      <c r="AG807" s="799"/>
      <c r="AH807" s="799"/>
      <c r="AI807" s="799"/>
      <c r="AJ807" s="799"/>
      <c r="AK807" s="799"/>
      <c r="AL807" s="799"/>
      <c r="AM807" s="799"/>
      <c r="AN807" s="799"/>
      <c r="AO807" s="799"/>
      <c r="AP807" s="799"/>
      <c r="AQ807" s="799"/>
      <c r="AR807" s="799"/>
      <c r="AS807" s="799"/>
      <c r="AT807" s="799"/>
      <c r="AU807" s="799"/>
      <c r="AV807" s="799"/>
      <c r="AW807" s="799"/>
      <c r="AX807" s="799"/>
      <c r="AY807" s="799"/>
      <c r="AZ807" s="799"/>
      <c r="BA807" s="799"/>
      <c r="BB807" s="799"/>
      <c r="BC807" s="799"/>
      <c r="BD807" s="799"/>
      <c r="BE807" s="799"/>
      <c r="BF807" s="799"/>
      <c r="BG807" s="799"/>
    </row>
    <row r="808">
      <c r="H808" s="799"/>
      <c r="I808" s="799"/>
      <c r="J808" s="799"/>
      <c r="K808" s="799"/>
      <c r="L808" s="799"/>
      <c r="M808" s="799"/>
      <c r="N808" s="799"/>
      <c r="O808" s="799"/>
      <c r="P808" s="799"/>
      <c r="Q808" s="799"/>
      <c r="R808" s="799"/>
      <c r="S808" s="799"/>
      <c r="T808" s="799"/>
      <c r="U808" s="799"/>
      <c r="V808" s="799"/>
      <c r="W808" s="799"/>
      <c r="X808" s="799"/>
      <c r="Y808" s="799"/>
      <c r="Z808" s="799"/>
      <c r="AA808" s="799"/>
      <c r="AB808" s="799"/>
      <c r="AC808" s="799"/>
      <c r="AD808" s="799"/>
      <c r="AE808" s="799"/>
      <c r="AF808" s="799"/>
      <c r="AG808" s="799"/>
      <c r="AH808" s="799"/>
      <c r="AI808" s="799"/>
      <c r="AJ808" s="799"/>
      <c r="AK808" s="799"/>
      <c r="AL808" s="799"/>
      <c r="AM808" s="799"/>
      <c r="AN808" s="799"/>
      <c r="AO808" s="799"/>
      <c r="AP808" s="799"/>
      <c r="AQ808" s="799"/>
      <c r="AR808" s="799"/>
      <c r="AS808" s="799"/>
      <c r="AT808" s="799"/>
      <c r="AU808" s="799"/>
      <c r="AV808" s="799"/>
      <c r="AW808" s="799"/>
      <c r="AX808" s="799"/>
      <c r="AY808" s="799"/>
      <c r="AZ808" s="799"/>
      <c r="BA808" s="799"/>
      <c r="BB808" s="799"/>
      <c r="BC808" s="799"/>
      <c r="BD808" s="799"/>
      <c r="BE808" s="799"/>
      <c r="BF808" s="799"/>
      <c r="BG808" s="799"/>
    </row>
    <row r="809">
      <c r="H809" s="799"/>
      <c r="I809" s="799"/>
      <c r="J809" s="799"/>
      <c r="K809" s="799"/>
      <c r="L809" s="799"/>
      <c r="M809" s="799"/>
      <c r="N809" s="799"/>
      <c r="O809" s="799"/>
      <c r="P809" s="799"/>
      <c r="Q809" s="799"/>
      <c r="R809" s="799"/>
      <c r="S809" s="799"/>
      <c r="T809" s="799"/>
      <c r="U809" s="799"/>
      <c r="V809" s="799"/>
      <c r="W809" s="799"/>
      <c r="X809" s="799"/>
      <c r="Y809" s="799"/>
      <c r="Z809" s="799"/>
      <c r="AA809" s="799"/>
      <c r="AB809" s="799"/>
      <c r="AC809" s="799"/>
      <c r="AD809" s="799"/>
      <c r="AE809" s="799"/>
      <c r="AF809" s="799"/>
      <c r="AG809" s="799"/>
      <c r="AH809" s="799"/>
      <c r="AI809" s="799"/>
      <c r="AJ809" s="799"/>
      <c r="AK809" s="799"/>
      <c r="AL809" s="799"/>
      <c r="AM809" s="799"/>
      <c r="AN809" s="799"/>
      <c r="AO809" s="799"/>
      <c r="AP809" s="799"/>
      <c r="AQ809" s="799"/>
      <c r="AR809" s="799"/>
      <c r="AS809" s="799"/>
      <c r="AT809" s="799"/>
      <c r="AU809" s="799"/>
      <c r="AV809" s="799"/>
      <c r="AW809" s="799"/>
      <c r="AX809" s="799"/>
      <c r="AY809" s="799"/>
      <c r="AZ809" s="799"/>
      <c r="BA809" s="799"/>
      <c r="BB809" s="799"/>
      <c r="BC809" s="799"/>
      <c r="BD809" s="799"/>
      <c r="BE809" s="799"/>
      <c r="BF809" s="799"/>
      <c r="BG809" s="799"/>
    </row>
    <row r="810">
      <c r="H810" s="799"/>
      <c r="I810" s="799"/>
      <c r="J810" s="799"/>
      <c r="K810" s="799"/>
      <c r="L810" s="799"/>
      <c r="M810" s="799"/>
      <c r="N810" s="799"/>
      <c r="O810" s="799"/>
      <c r="P810" s="799"/>
      <c r="Q810" s="799"/>
      <c r="R810" s="799"/>
      <c r="S810" s="799"/>
      <c r="T810" s="799"/>
      <c r="U810" s="799"/>
      <c r="V810" s="799"/>
      <c r="W810" s="799"/>
      <c r="X810" s="799"/>
      <c r="Y810" s="799"/>
      <c r="Z810" s="799"/>
      <c r="AA810" s="799"/>
      <c r="AB810" s="799"/>
      <c r="AC810" s="799"/>
      <c r="AD810" s="799"/>
      <c r="AE810" s="799"/>
      <c r="AF810" s="799"/>
      <c r="AG810" s="799"/>
      <c r="AH810" s="799"/>
      <c r="AI810" s="799"/>
      <c r="AJ810" s="799"/>
      <c r="AK810" s="799"/>
      <c r="AL810" s="799"/>
      <c r="AM810" s="799"/>
      <c r="AN810" s="799"/>
      <c r="AO810" s="799"/>
      <c r="AP810" s="799"/>
      <c r="AQ810" s="799"/>
      <c r="AR810" s="799"/>
      <c r="AS810" s="799"/>
      <c r="AT810" s="799"/>
      <c r="AU810" s="799"/>
      <c r="AV810" s="799"/>
      <c r="AW810" s="799"/>
      <c r="AX810" s="799"/>
      <c r="AY810" s="799"/>
      <c r="AZ810" s="799"/>
      <c r="BA810" s="799"/>
      <c r="BB810" s="799"/>
      <c r="BC810" s="799"/>
      <c r="BD810" s="799"/>
      <c r="BE810" s="799"/>
      <c r="BF810" s="799"/>
      <c r="BG810" s="799"/>
    </row>
    <row r="811">
      <c r="H811" s="799"/>
      <c r="I811" s="799"/>
      <c r="J811" s="799"/>
      <c r="K811" s="799"/>
      <c r="L811" s="799"/>
      <c r="M811" s="799"/>
      <c r="N811" s="799"/>
      <c r="O811" s="799"/>
      <c r="P811" s="799"/>
      <c r="Q811" s="799"/>
      <c r="R811" s="799"/>
      <c r="S811" s="799"/>
      <c r="T811" s="799"/>
      <c r="U811" s="799"/>
      <c r="V811" s="799"/>
      <c r="W811" s="799"/>
      <c r="X811" s="799"/>
      <c r="Y811" s="799"/>
      <c r="Z811" s="799"/>
      <c r="AA811" s="799"/>
      <c r="AB811" s="799"/>
      <c r="AC811" s="799"/>
      <c r="AD811" s="799"/>
      <c r="AE811" s="799"/>
      <c r="AF811" s="799"/>
      <c r="AG811" s="799"/>
      <c r="AH811" s="799"/>
      <c r="AI811" s="799"/>
      <c r="AJ811" s="799"/>
      <c r="AK811" s="799"/>
      <c r="AL811" s="799"/>
      <c r="AM811" s="799"/>
      <c r="AN811" s="799"/>
      <c r="AO811" s="799"/>
      <c r="AP811" s="799"/>
      <c r="AQ811" s="799"/>
      <c r="AR811" s="799"/>
      <c r="AS811" s="799"/>
      <c r="AT811" s="799"/>
      <c r="AU811" s="799"/>
      <c r="AV811" s="799"/>
      <c r="AW811" s="799"/>
      <c r="AX811" s="799"/>
      <c r="AY811" s="799"/>
      <c r="AZ811" s="799"/>
      <c r="BA811" s="799"/>
      <c r="BB811" s="799"/>
      <c r="BC811" s="799"/>
      <c r="BD811" s="799"/>
      <c r="BE811" s="799"/>
      <c r="BF811" s="799"/>
      <c r="BG811" s="799"/>
    </row>
    <row r="812">
      <c r="H812" s="799"/>
      <c r="I812" s="799"/>
      <c r="J812" s="799"/>
      <c r="K812" s="799"/>
      <c r="L812" s="799"/>
      <c r="M812" s="799"/>
      <c r="N812" s="799"/>
      <c r="O812" s="799"/>
      <c r="P812" s="799"/>
      <c r="Q812" s="799"/>
      <c r="R812" s="799"/>
      <c r="S812" s="799"/>
      <c r="T812" s="799"/>
      <c r="U812" s="799"/>
      <c r="V812" s="799"/>
      <c r="W812" s="799"/>
      <c r="X812" s="799"/>
      <c r="Y812" s="799"/>
      <c r="Z812" s="799"/>
      <c r="AA812" s="799"/>
      <c r="AB812" s="799"/>
      <c r="AC812" s="799"/>
      <c r="AD812" s="799"/>
      <c r="AE812" s="799"/>
      <c r="AF812" s="799"/>
      <c r="AG812" s="799"/>
      <c r="AH812" s="799"/>
      <c r="AI812" s="799"/>
      <c r="AJ812" s="799"/>
      <c r="AK812" s="799"/>
      <c r="AL812" s="799"/>
      <c r="AM812" s="799"/>
      <c r="AN812" s="799"/>
      <c r="AO812" s="799"/>
      <c r="AP812" s="799"/>
      <c r="AQ812" s="799"/>
      <c r="AR812" s="799"/>
      <c r="AS812" s="799"/>
      <c r="AT812" s="799"/>
      <c r="AU812" s="799"/>
      <c r="AV812" s="799"/>
      <c r="AW812" s="799"/>
      <c r="AX812" s="799"/>
      <c r="AY812" s="799"/>
      <c r="AZ812" s="799"/>
      <c r="BA812" s="799"/>
      <c r="BB812" s="799"/>
      <c r="BC812" s="799"/>
      <c r="BD812" s="799"/>
      <c r="BE812" s="799"/>
      <c r="BF812" s="799"/>
      <c r="BG812" s="799"/>
    </row>
    <row r="813">
      <c r="H813" s="799"/>
      <c r="I813" s="799"/>
      <c r="J813" s="799"/>
      <c r="K813" s="799"/>
      <c r="L813" s="799"/>
      <c r="M813" s="799"/>
      <c r="N813" s="799"/>
      <c r="O813" s="799"/>
      <c r="P813" s="799"/>
      <c r="Q813" s="799"/>
      <c r="R813" s="799"/>
      <c r="S813" s="799"/>
      <c r="T813" s="799"/>
      <c r="U813" s="799"/>
      <c r="V813" s="799"/>
      <c r="W813" s="799"/>
      <c r="X813" s="799"/>
      <c r="Y813" s="799"/>
      <c r="Z813" s="799"/>
      <c r="AA813" s="799"/>
      <c r="AB813" s="799"/>
      <c r="AC813" s="799"/>
      <c r="AD813" s="799"/>
      <c r="AE813" s="799"/>
      <c r="AF813" s="799"/>
      <c r="AG813" s="799"/>
      <c r="AH813" s="799"/>
      <c r="AI813" s="799"/>
      <c r="AJ813" s="799"/>
      <c r="AK813" s="799"/>
      <c r="AL813" s="799"/>
      <c r="AM813" s="799"/>
      <c r="AN813" s="799"/>
      <c r="AO813" s="799"/>
      <c r="AP813" s="799"/>
      <c r="AQ813" s="799"/>
      <c r="AR813" s="799"/>
      <c r="AS813" s="799"/>
      <c r="AT813" s="799"/>
      <c r="AU813" s="799"/>
      <c r="AV813" s="799"/>
      <c r="AW813" s="799"/>
      <c r="AX813" s="799"/>
      <c r="AY813" s="799"/>
      <c r="AZ813" s="799"/>
      <c r="BA813" s="799"/>
      <c r="BB813" s="799"/>
      <c r="BC813" s="799"/>
      <c r="BD813" s="799"/>
      <c r="BE813" s="799"/>
      <c r="BF813" s="799"/>
      <c r="BG813" s="799"/>
    </row>
    <row r="814">
      <c r="H814" s="799"/>
      <c r="I814" s="799"/>
      <c r="J814" s="799"/>
      <c r="K814" s="799"/>
      <c r="L814" s="799"/>
      <c r="M814" s="799"/>
      <c r="N814" s="799"/>
      <c r="O814" s="799"/>
      <c r="P814" s="799"/>
      <c r="Q814" s="799"/>
      <c r="R814" s="799"/>
      <c r="S814" s="799"/>
      <c r="T814" s="799"/>
      <c r="U814" s="799"/>
      <c r="V814" s="799"/>
      <c r="W814" s="799"/>
      <c r="X814" s="799"/>
      <c r="Y814" s="799"/>
      <c r="Z814" s="799"/>
      <c r="AA814" s="799"/>
      <c r="AB814" s="799"/>
      <c r="AC814" s="799"/>
      <c r="AD814" s="799"/>
      <c r="AE814" s="799"/>
      <c r="AF814" s="799"/>
      <c r="AG814" s="799"/>
      <c r="AH814" s="799"/>
      <c r="AI814" s="799"/>
      <c r="AJ814" s="799"/>
      <c r="AK814" s="799"/>
      <c r="AL814" s="799"/>
      <c r="AM814" s="799"/>
      <c r="AN814" s="799"/>
      <c r="AO814" s="799"/>
      <c r="AP814" s="799"/>
      <c r="AQ814" s="799"/>
      <c r="AR814" s="799"/>
      <c r="AS814" s="799"/>
      <c r="AT814" s="799"/>
      <c r="AU814" s="799"/>
      <c r="AV814" s="799"/>
      <c r="AW814" s="799"/>
      <c r="AX814" s="799"/>
      <c r="AY814" s="799"/>
      <c r="AZ814" s="799"/>
      <c r="BA814" s="799"/>
      <c r="BB814" s="799"/>
      <c r="BC814" s="799"/>
      <c r="BD814" s="799"/>
      <c r="BE814" s="799"/>
      <c r="BF814" s="799"/>
      <c r="BG814" s="799"/>
    </row>
    <row r="815">
      <c r="H815" s="799"/>
      <c r="I815" s="799"/>
      <c r="J815" s="799"/>
      <c r="K815" s="799"/>
      <c r="L815" s="799"/>
      <c r="M815" s="799"/>
      <c r="N815" s="799"/>
      <c r="O815" s="799"/>
      <c r="P815" s="799"/>
      <c r="Q815" s="799"/>
      <c r="R815" s="799"/>
      <c r="S815" s="799"/>
      <c r="T815" s="799"/>
      <c r="U815" s="799"/>
      <c r="V815" s="799"/>
      <c r="W815" s="799"/>
      <c r="X815" s="799"/>
      <c r="Y815" s="799"/>
      <c r="Z815" s="799"/>
      <c r="AA815" s="799"/>
      <c r="AB815" s="799"/>
      <c r="AC815" s="799"/>
      <c r="AD815" s="799"/>
      <c r="AE815" s="799"/>
      <c r="AF815" s="799"/>
      <c r="AG815" s="799"/>
      <c r="AH815" s="799"/>
      <c r="AI815" s="799"/>
      <c r="AJ815" s="799"/>
      <c r="AK815" s="799"/>
      <c r="AL815" s="799"/>
      <c r="AM815" s="799"/>
      <c r="AN815" s="799"/>
      <c r="AO815" s="799"/>
      <c r="AP815" s="799"/>
      <c r="AQ815" s="799"/>
      <c r="AR815" s="799"/>
      <c r="AS815" s="799"/>
      <c r="AT815" s="799"/>
      <c r="AU815" s="799"/>
      <c r="AV815" s="799"/>
      <c r="AW815" s="799"/>
      <c r="AX815" s="799"/>
      <c r="AY815" s="799"/>
      <c r="AZ815" s="799"/>
      <c r="BA815" s="799"/>
      <c r="BB815" s="799"/>
      <c r="BC815" s="799"/>
      <c r="BD815" s="799"/>
      <c r="BE815" s="799"/>
      <c r="BF815" s="799"/>
      <c r="BG815" s="799"/>
    </row>
    <row r="816">
      <c r="H816" s="799"/>
      <c r="I816" s="799"/>
      <c r="J816" s="799"/>
      <c r="K816" s="799"/>
      <c r="L816" s="799"/>
      <c r="M816" s="799"/>
      <c r="N816" s="799"/>
      <c r="O816" s="799"/>
      <c r="P816" s="799"/>
      <c r="Q816" s="799"/>
      <c r="R816" s="799"/>
      <c r="S816" s="799"/>
      <c r="T816" s="799"/>
      <c r="U816" s="799"/>
      <c r="V816" s="799"/>
      <c r="W816" s="799"/>
      <c r="X816" s="799"/>
      <c r="Y816" s="799"/>
      <c r="Z816" s="799"/>
      <c r="AA816" s="799"/>
      <c r="AB816" s="799"/>
      <c r="AC816" s="799"/>
      <c r="AD816" s="799"/>
      <c r="AE816" s="799"/>
      <c r="AF816" s="799"/>
      <c r="AG816" s="799"/>
      <c r="AH816" s="799"/>
      <c r="AI816" s="799"/>
      <c r="AJ816" s="799"/>
      <c r="AK816" s="799"/>
      <c r="AL816" s="799"/>
      <c r="AM816" s="799"/>
      <c r="AN816" s="799"/>
      <c r="AO816" s="799"/>
      <c r="AP816" s="799"/>
      <c r="AQ816" s="799"/>
      <c r="AR816" s="799"/>
      <c r="AS816" s="799"/>
      <c r="AT816" s="799"/>
      <c r="AU816" s="799"/>
      <c r="AV816" s="799"/>
      <c r="AW816" s="799"/>
      <c r="AX816" s="799"/>
      <c r="AY816" s="799"/>
      <c r="AZ816" s="799"/>
      <c r="BA816" s="799"/>
      <c r="BB816" s="799"/>
      <c r="BC816" s="799"/>
      <c r="BD816" s="799"/>
      <c r="BE816" s="799"/>
      <c r="BF816" s="799"/>
      <c r="BG816" s="799"/>
    </row>
    <row r="817">
      <c r="H817" s="799"/>
      <c r="I817" s="799"/>
      <c r="J817" s="799"/>
      <c r="K817" s="799"/>
      <c r="L817" s="799"/>
      <c r="M817" s="799"/>
      <c r="N817" s="799"/>
      <c r="O817" s="799"/>
      <c r="P817" s="799"/>
      <c r="Q817" s="799"/>
      <c r="R817" s="799"/>
      <c r="S817" s="799"/>
      <c r="T817" s="799"/>
      <c r="U817" s="799"/>
      <c r="V817" s="799"/>
      <c r="W817" s="799"/>
      <c r="X817" s="799"/>
      <c r="Y817" s="799"/>
      <c r="Z817" s="799"/>
      <c r="AA817" s="799"/>
      <c r="AB817" s="799"/>
      <c r="AC817" s="799"/>
      <c r="AD817" s="799"/>
      <c r="AE817" s="799"/>
      <c r="AF817" s="799"/>
      <c r="AG817" s="799"/>
      <c r="AH817" s="799"/>
      <c r="AI817" s="799"/>
      <c r="AJ817" s="799"/>
      <c r="AK817" s="799"/>
      <c r="AL817" s="799"/>
      <c r="AM817" s="799"/>
      <c r="AN817" s="799"/>
      <c r="AO817" s="799"/>
      <c r="AP817" s="799"/>
      <c r="AQ817" s="799"/>
      <c r="AR817" s="799"/>
      <c r="AS817" s="799"/>
      <c r="AT817" s="799"/>
      <c r="AU817" s="799"/>
      <c r="AV817" s="799"/>
      <c r="AW817" s="799"/>
      <c r="AX817" s="799"/>
      <c r="AY817" s="799"/>
      <c r="AZ817" s="799"/>
      <c r="BA817" s="799"/>
      <c r="BB817" s="799"/>
      <c r="BC817" s="799"/>
      <c r="BD817" s="799"/>
      <c r="BE817" s="799"/>
      <c r="BF817" s="799"/>
      <c r="BG817" s="799"/>
    </row>
    <row r="818">
      <c r="H818" s="799"/>
      <c r="I818" s="799"/>
      <c r="J818" s="799"/>
      <c r="K818" s="799"/>
      <c r="L818" s="799"/>
      <c r="M818" s="799"/>
      <c r="N818" s="799"/>
      <c r="O818" s="799"/>
      <c r="P818" s="799"/>
      <c r="Q818" s="799"/>
      <c r="R818" s="799"/>
      <c r="S818" s="799"/>
      <c r="T818" s="799"/>
      <c r="U818" s="799"/>
      <c r="V818" s="799"/>
      <c r="W818" s="799"/>
      <c r="X818" s="799"/>
      <c r="Y818" s="799"/>
      <c r="Z818" s="799"/>
      <c r="AA818" s="799"/>
      <c r="AB818" s="799"/>
      <c r="AC818" s="799"/>
      <c r="AD818" s="799"/>
      <c r="AE818" s="799"/>
      <c r="AF818" s="799"/>
      <c r="AG818" s="799"/>
      <c r="AH818" s="799"/>
      <c r="AI818" s="799"/>
      <c r="AJ818" s="799"/>
      <c r="AK818" s="799"/>
      <c r="AL818" s="799"/>
      <c r="AM818" s="799"/>
      <c r="AN818" s="799"/>
      <c r="AO818" s="799"/>
      <c r="AP818" s="799"/>
      <c r="AQ818" s="799"/>
      <c r="AR818" s="799"/>
      <c r="AS818" s="799"/>
      <c r="AT818" s="799"/>
      <c r="AU818" s="799"/>
      <c r="AV818" s="799"/>
      <c r="AW818" s="799"/>
      <c r="AX818" s="799"/>
      <c r="AY818" s="799"/>
      <c r="AZ818" s="799"/>
      <c r="BA818" s="799"/>
      <c r="BB818" s="799"/>
      <c r="BC818" s="799"/>
      <c r="BD818" s="799"/>
      <c r="BE818" s="799"/>
      <c r="BF818" s="799"/>
      <c r="BG818" s="799"/>
    </row>
    <row r="819">
      <c r="H819" s="799"/>
      <c r="I819" s="799"/>
      <c r="J819" s="799"/>
      <c r="K819" s="799"/>
      <c r="L819" s="799"/>
      <c r="M819" s="799"/>
      <c r="N819" s="799"/>
      <c r="O819" s="799"/>
      <c r="P819" s="799"/>
      <c r="Q819" s="799"/>
      <c r="R819" s="799"/>
      <c r="S819" s="799"/>
      <c r="T819" s="799"/>
      <c r="U819" s="799"/>
      <c r="V819" s="799"/>
      <c r="W819" s="799"/>
      <c r="X819" s="799"/>
      <c r="Y819" s="799"/>
      <c r="Z819" s="799"/>
      <c r="AA819" s="799"/>
      <c r="AB819" s="799"/>
      <c r="AC819" s="799"/>
      <c r="AD819" s="799"/>
      <c r="AE819" s="799"/>
      <c r="AF819" s="799"/>
      <c r="AG819" s="799"/>
      <c r="AH819" s="799"/>
      <c r="AI819" s="799"/>
      <c r="AJ819" s="799"/>
      <c r="AK819" s="799"/>
      <c r="AL819" s="799"/>
      <c r="AM819" s="799"/>
      <c r="AN819" s="799"/>
      <c r="AO819" s="799"/>
      <c r="AP819" s="799"/>
      <c r="AQ819" s="799"/>
      <c r="AR819" s="799"/>
      <c r="AS819" s="799"/>
      <c r="AT819" s="799"/>
      <c r="AU819" s="799"/>
      <c r="AV819" s="799"/>
      <c r="AW819" s="799"/>
      <c r="AX819" s="799"/>
      <c r="AY819" s="799"/>
      <c r="AZ819" s="799"/>
      <c r="BA819" s="799"/>
      <c r="BB819" s="799"/>
      <c r="BC819" s="799"/>
      <c r="BD819" s="799"/>
      <c r="BE819" s="799"/>
      <c r="BF819" s="799"/>
      <c r="BG819" s="799"/>
    </row>
    <row r="820">
      <c r="H820" s="799"/>
      <c r="I820" s="799"/>
      <c r="J820" s="799"/>
      <c r="K820" s="799"/>
      <c r="L820" s="799"/>
      <c r="M820" s="799"/>
      <c r="N820" s="799"/>
      <c r="O820" s="799"/>
      <c r="P820" s="799"/>
      <c r="Q820" s="799"/>
      <c r="R820" s="799"/>
      <c r="S820" s="799"/>
      <c r="T820" s="799"/>
      <c r="U820" s="799"/>
      <c r="V820" s="799"/>
      <c r="W820" s="799"/>
      <c r="X820" s="799"/>
      <c r="Y820" s="799"/>
      <c r="Z820" s="799"/>
      <c r="AA820" s="799"/>
      <c r="AB820" s="799"/>
      <c r="AC820" s="799"/>
      <c r="AD820" s="799"/>
      <c r="AE820" s="799"/>
      <c r="AF820" s="799"/>
      <c r="AG820" s="799"/>
      <c r="AH820" s="799"/>
      <c r="AI820" s="799"/>
      <c r="AJ820" s="799"/>
      <c r="AK820" s="799"/>
      <c r="AL820" s="799"/>
      <c r="AM820" s="799"/>
      <c r="AN820" s="799"/>
      <c r="AO820" s="799"/>
      <c r="AP820" s="799"/>
      <c r="AQ820" s="799"/>
      <c r="AR820" s="799"/>
      <c r="AS820" s="799"/>
      <c r="AT820" s="799"/>
      <c r="AU820" s="799"/>
      <c r="AV820" s="799"/>
      <c r="AW820" s="799"/>
      <c r="AX820" s="799"/>
      <c r="AY820" s="799"/>
      <c r="AZ820" s="799"/>
      <c r="BA820" s="799"/>
      <c r="BB820" s="799"/>
      <c r="BC820" s="799"/>
      <c r="BD820" s="799"/>
      <c r="BE820" s="799"/>
      <c r="BF820" s="799"/>
      <c r="BG820" s="799"/>
    </row>
    <row r="821">
      <c r="H821" s="799"/>
      <c r="I821" s="799"/>
      <c r="J821" s="799"/>
      <c r="K821" s="799"/>
      <c r="L821" s="799"/>
      <c r="M821" s="799"/>
      <c r="N821" s="799"/>
      <c r="O821" s="799"/>
      <c r="P821" s="799"/>
      <c r="Q821" s="799"/>
      <c r="R821" s="799"/>
      <c r="S821" s="799"/>
      <c r="T821" s="799"/>
      <c r="U821" s="799"/>
      <c r="V821" s="799"/>
      <c r="W821" s="799"/>
      <c r="X821" s="799"/>
      <c r="Y821" s="799"/>
      <c r="Z821" s="799"/>
      <c r="AA821" s="799"/>
      <c r="AB821" s="799"/>
      <c r="AC821" s="799"/>
      <c r="AD821" s="799"/>
      <c r="AE821" s="799"/>
      <c r="AF821" s="799"/>
      <c r="AG821" s="799"/>
      <c r="AH821" s="799"/>
      <c r="AI821" s="799"/>
      <c r="AJ821" s="799"/>
      <c r="AK821" s="799"/>
      <c r="AL821" s="799"/>
      <c r="AM821" s="799"/>
      <c r="AN821" s="799"/>
      <c r="AO821" s="799"/>
      <c r="AP821" s="799"/>
      <c r="AQ821" s="799"/>
      <c r="AR821" s="799"/>
      <c r="AS821" s="799"/>
      <c r="AT821" s="799"/>
      <c r="AU821" s="799"/>
      <c r="AV821" s="799"/>
      <c r="AW821" s="799"/>
      <c r="AX821" s="799"/>
      <c r="AY821" s="799"/>
      <c r="AZ821" s="799"/>
      <c r="BA821" s="799"/>
      <c r="BB821" s="799"/>
      <c r="BC821" s="799"/>
      <c r="BD821" s="799"/>
      <c r="BE821" s="799"/>
      <c r="BF821" s="799"/>
      <c r="BG821" s="799"/>
    </row>
    <row r="822">
      <c r="H822" s="799"/>
      <c r="I822" s="799"/>
      <c r="J822" s="799"/>
      <c r="K822" s="799"/>
      <c r="L822" s="799"/>
      <c r="M822" s="799"/>
      <c r="N822" s="799"/>
      <c r="O822" s="799"/>
      <c r="P822" s="799"/>
      <c r="Q822" s="799"/>
      <c r="R822" s="799"/>
      <c r="S822" s="799"/>
      <c r="T822" s="799"/>
      <c r="U822" s="799"/>
      <c r="V822" s="799"/>
      <c r="W822" s="799"/>
      <c r="X822" s="799"/>
      <c r="Y822" s="799"/>
      <c r="Z822" s="799"/>
      <c r="AA822" s="799"/>
      <c r="AB822" s="799"/>
      <c r="AC822" s="799"/>
      <c r="AD822" s="799"/>
      <c r="AE822" s="799"/>
      <c r="AF822" s="799"/>
      <c r="AG822" s="799"/>
      <c r="AH822" s="799"/>
      <c r="AI822" s="799"/>
      <c r="AJ822" s="799"/>
      <c r="AK822" s="799"/>
      <c r="AL822" s="799"/>
      <c r="AM822" s="799"/>
      <c r="AN822" s="799"/>
      <c r="AO822" s="799"/>
      <c r="AP822" s="799"/>
      <c r="AQ822" s="799"/>
      <c r="AR822" s="799"/>
      <c r="AS822" s="799"/>
      <c r="AT822" s="799"/>
      <c r="AU822" s="799"/>
      <c r="AV822" s="799"/>
      <c r="AW822" s="799"/>
      <c r="AX822" s="799"/>
      <c r="AY822" s="799"/>
      <c r="AZ822" s="799"/>
      <c r="BA822" s="799"/>
      <c r="BB822" s="799"/>
      <c r="BC822" s="799"/>
      <c r="BD822" s="799"/>
      <c r="BE822" s="799"/>
      <c r="BF822" s="799"/>
      <c r="BG822" s="799"/>
    </row>
    <row r="823">
      <c r="H823" s="799"/>
      <c r="I823" s="799"/>
      <c r="J823" s="799"/>
      <c r="K823" s="799"/>
      <c r="L823" s="799"/>
      <c r="M823" s="799"/>
      <c r="N823" s="799"/>
      <c r="O823" s="799"/>
      <c r="P823" s="799"/>
      <c r="Q823" s="799"/>
      <c r="R823" s="799"/>
      <c r="S823" s="799"/>
      <c r="T823" s="799"/>
      <c r="U823" s="799"/>
      <c r="V823" s="799"/>
      <c r="W823" s="799"/>
      <c r="X823" s="799"/>
      <c r="Y823" s="799"/>
      <c r="Z823" s="799"/>
      <c r="AA823" s="799"/>
      <c r="AB823" s="799"/>
      <c r="AC823" s="799"/>
      <c r="AD823" s="799"/>
      <c r="AE823" s="799"/>
      <c r="AF823" s="799"/>
      <c r="AG823" s="799"/>
      <c r="AH823" s="799"/>
      <c r="AI823" s="799"/>
      <c r="AJ823" s="799"/>
      <c r="AK823" s="799"/>
      <c r="AL823" s="799"/>
      <c r="AM823" s="799"/>
      <c r="AN823" s="799"/>
      <c r="AO823" s="799"/>
      <c r="AP823" s="799"/>
      <c r="AQ823" s="799"/>
      <c r="AR823" s="799"/>
      <c r="AS823" s="799"/>
      <c r="AT823" s="799"/>
      <c r="AU823" s="799"/>
      <c r="AV823" s="799"/>
      <c r="AW823" s="799"/>
      <c r="AX823" s="799"/>
      <c r="AY823" s="799"/>
      <c r="AZ823" s="799"/>
      <c r="BA823" s="799"/>
      <c r="BB823" s="799"/>
      <c r="BC823" s="799"/>
      <c r="BD823" s="799"/>
      <c r="BE823" s="799"/>
      <c r="BF823" s="799"/>
      <c r="BG823" s="799"/>
    </row>
    <row r="824">
      <c r="H824" s="799"/>
      <c r="I824" s="799"/>
      <c r="J824" s="799"/>
      <c r="K824" s="799"/>
      <c r="L824" s="799"/>
      <c r="M824" s="799"/>
      <c r="N824" s="799"/>
      <c r="O824" s="799"/>
      <c r="P824" s="799"/>
      <c r="Q824" s="799"/>
      <c r="R824" s="799"/>
      <c r="S824" s="799"/>
      <c r="T824" s="799"/>
      <c r="U824" s="799"/>
      <c r="V824" s="799"/>
      <c r="W824" s="799"/>
      <c r="X824" s="799"/>
      <c r="Y824" s="799"/>
      <c r="Z824" s="799"/>
      <c r="AA824" s="799"/>
      <c r="AB824" s="799"/>
      <c r="AC824" s="799"/>
      <c r="AD824" s="799"/>
      <c r="AE824" s="799"/>
      <c r="AF824" s="799"/>
      <c r="AG824" s="799"/>
      <c r="AH824" s="799"/>
      <c r="AI824" s="799"/>
      <c r="AJ824" s="799"/>
      <c r="AK824" s="799"/>
      <c r="AL824" s="799"/>
      <c r="AM824" s="799"/>
      <c r="AN824" s="799"/>
      <c r="AO824" s="799"/>
      <c r="AP824" s="799"/>
      <c r="AQ824" s="799"/>
      <c r="AR824" s="799"/>
      <c r="AS824" s="799"/>
      <c r="AT824" s="799"/>
      <c r="AU824" s="799"/>
      <c r="AV824" s="799"/>
      <c r="AW824" s="799"/>
      <c r="AX824" s="799"/>
      <c r="AY824" s="799"/>
      <c r="AZ824" s="799"/>
      <c r="BA824" s="799"/>
      <c r="BB824" s="799"/>
      <c r="BC824" s="799"/>
      <c r="BD824" s="799"/>
      <c r="BE824" s="799"/>
      <c r="BF824" s="799"/>
      <c r="BG824" s="799"/>
    </row>
    <row r="825">
      <c r="H825" s="799"/>
      <c r="I825" s="799"/>
      <c r="J825" s="799"/>
      <c r="K825" s="799"/>
      <c r="L825" s="799"/>
      <c r="M825" s="799"/>
      <c r="N825" s="799"/>
      <c r="O825" s="799"/>
      <c r="P825" s="799"/>
      <c r="Q825" s="799"/>
      <c r="R825" s="799"/>
      <c r="S825" s="799"/>
      <c r="T825" s="799"/>
      <c r="U825" s="799"/>
      <c r="V825" s="799"/>
      <c r="W825" s="799"/>
      <c r="X825" s="799"/>
      <c r="Y825" s="799"/>
      <c r="Z825" s="799"/>
      <c r="AA825" s="799"/>
      <c r="AB825" s="799"/>
      <c r="AC825" s="799"/>
      <c r="AD825" s="799"/>
      <c r="AE825" s="799"/>
      <c r="AF825" s="799"/>
      <c r="AG825" s="799"/>
      <c r="AH825" s="799"/>
      <c r="AI825" s="799"/>
      <c r="AJ825" s="799"/>
      <c r="AK825" s="799"/>
      <c r="AL825" s="799"/>
      <c r="AM825" s="799"/>
      <c r="AN825" s="799"/>
      <c r="AO825" s="799"/>
      <c r="AP825" s="799"/>
      <c r="AQ825" s="799"/>
      <c r="AR825" s="799"/>
      <c r="AS825" s="799"/>
      <c r="AT825" s="799"/>
      <c r="AU825" s="799"/>
      <c r="AV825" s="799"/>
      <c r="AW825" s="799"/>
      <c r="AX825" s="799"/>
      <c r="AY825" s="799"/>
      <c r="AZ825" s="799"/>
      <c r="BA825" s="799"/>
      <c r="BB825" s="799"/>
      <c r="BC825" s="799"/>
      <c r="BD825" s="799"/>
      <c r="BE825" s="799"/>
      <c r="BF825" s="799"/>
      <c r="BG825" s="799"/>
    </row>
    <row r="826">
      <c r="H826" s="799"/>
      <c r="I826" s="799"/>
      <c r="J826" s="799"/>
      <c r="K826" s="799"/>
      <c r="L826" s="799"/>
      <c r="M826" s="799"/>
      <c r="N826" s="799"/>
      <c r="O826" s="799"/>
      <c r="P826" s="799"/>
      <c r="Q826" s="799"/>
      <c r="R826" s="799"/>
      <c r="S826" s="799"/>
      <c r="T826" s="799"/>
      <c r="U826" s="799"/>
      <c r="V826" s="799"/>
      <c r="W826" s="799"/>
      <c r="X826" s="799"/>
      <c r="Y826" s="799"/>
      <c r="Z826" s="799"/>
      <c r="AA826" s="799"/>
      <c r="AB826" s="799"/>
      <c r="AC826" s="799"/>
      <c r="AD826" s="799"/>
      <c r="AE826" s="799"/>
      <c r="AF826" s="799"/>
      <c r="AG826" s="799"/>
      <c r="AH826" s="799"/>
      <c r="AI826" s="799"/>
      <c r="AJ826" s="799"/>
      <c r="AK826" s="799"/>
      <c r="AL826" s="799"/>
      <c r="AM826" s="799"/>
      <c r="AN826" s="799"/>
      <c r="AO826" s="799"/>
      <c r="AP826" s="799"/>
      <c r="AQ826" s="799"/>
      <c r="AR826" s="799"/>
      <c r="AS826" s="799"/>
      <c r="AT826" s="799"/>
      <c r="AU826" s="799"/>
      <c r="AV826" s="799"/>
      <c r="AW826" s="799"/>
      <c r="AX826" s="799"/>
      <c r="AY826" s="799"/>
      <c r="AZ826" s="799"/>
      <c r="BA826" s="799"/>
      <c r="BB826" s="799"/>
      <c r="BC826" s="799"/>
      <c r="BD826" s="799"/>
      <c r="BE826" s="799"/>
      <c r="BF826" s="799"/>
      <c r="BG826" s="799"/>
    </row>
    <row r="827">
      <c r="H827" s="799"/>
      <c r="I827" s="799"/>
      <c r="J827" s="799"/>
      <c r="K827" s="799"/>
      <c r="L827" s="799"/>
      <c r="M827" s="799"/>
      <c r="N827" s="799"/>
      <c r="O827" s="799"/>
      <c r="P827" s="799"/>
      <c r="Q827" s="799"/>
      <c r="R827" s="799"/>
      <c r="S827" s="799"/>
      <c r="T827" s="799"/>
      <c r="U827" s="799"/>
      <c r="V827" s="799"/>
      <c r="W827" s="799"/>
      <c r="X827" s="799"/>
      <c r="Y827" s="799"/>
      <c r="Z827" s="799"/>
      <c r="AA827" s="799"/>
      <c r="AB827" s="799"/>
      <c r="AC827" s="799"/>
      <c r="AD827" s="799"/>
      <c r="AE827" s="799"/>
      <c r="AF827" s="799"/>
      <c r="AG827" s="799"/>
      <c r="AH827" s="799"/>
      <c r="AI827" s="799"/>
      <c r="AJ827" s="799"/>
      <c r="AK827" s="799"/>
      <c r="AL827" s="799"/>
      <c r="AM827" s="799"/>
      <c r="AN827" s="799"/>
      <c r="AO827" s="799"/>
      <c r="AP827" s="799"/>
      <c r="AQ827" s="799"/>
      <c r="AR827" s="799"/>
      <c r="AS827" s="799"/>
      <c r="AT827" s="799"/>
      <c r="AU827" s="799"/>
      <c r="AV827" s="799"/>
      <c r="AW827" s="799"/>
      <c r="AX827" s="799"/>
      <c r="AY827" s="799"/>
      <c r="AZ827" s="799"/>
      <c r="BA827" s="799"/>
      <c r="BB827" s="799"/>
      <c r="BC827" s="799"/>
      <c r="BD827" s="799"/>
      <c r="BE827" s="799"/>
      <c r="BF827" s="799"/>
      <c r="BG827" s="799"/>
    </row>
    <row r="828">
      <c r="H828" s="799"/>
      <c r="I828" s="799"/>
      <c r="J828" s="799"/>
      <c r="K828" s="799"/>
      <c r="L828" s="799"/>
      <c r="M828" s="799"/>
      <c r="N828" s="799"/>
      <c r="O828" s="799"/>
      <c r="P828" s="799"/>
      <c r="Q828" s="799"/>
      <c r="R828" s="799"/>
      <c r="S828" s="799"/>
      <c r="T828" s="799"/>
      <c r="U828" s="799"/>
      <c r="V828" s="799"/>
      <c r="W828" s="799"/>
      <c r="X828" s="799"/>
      <c r="Y828" s="799"/>
      <c r="Z828" s="799"/>
      <c r="AA828" s="799"/>
      <c r="AB828" s="799"/>
      <c r="AC828" s="799"/>
      <c r="AD828" s="799"/>
      <c r="AE828" s="799"/>
      <c r="AF828" s="799"/>
      <c r="AG828" s="799"/>
      <c r="AH828" s="799"/>
      <c r="AI828" s="799"/>
      <c r="AJ828" s="799"/>
      <c r="AK828" s="799"/>
      <c r="AL828" s="799"/>
      <c r="AM828" s="799"/>
      <c r="AN828" s="799"/>
      <c r="AO828" s="799"/>
      <c r="AP828" s="799"/>
      <c r="AQ828" s="799"/>
      <c r="AR828" s="799"/>
      <c r="AS828" s="799"/>
      <c r="AT828" s="799"/>
      <c r="AU828" s="799"/>
      <c r="AV828" s="799"/>
      <c r="AW828" s="799"/>
      <c r="AX828" s="799"/>
      <c r="AY828" s="799"/>
      <c r="AZ828" s="799"/>
      <c r="BA828" s="799"/>
      <c r="BB828" s="799"/>
      <c r="BC828" s="799"/>
      <c r="BD828" s="799"/>
      <c r="BE828" s="799"/>
      <c r="BF828" s="799"/>
      <c r="BG828" s="799"/>
    </row>
    <row r="829">
      <c r="H829" s="799"/>
      <c r="I829" s="799"/>
      <c r="J829" s="799"/>
      <c r="K829" s="799"/>
      <c r="L829" s="799"/>
      <c r="M829" s="799"/>
      <c r="N829" s="799"/>
      <c r="O829" s="799"/>
      <c r="P829" s="799"/>
      <c r="Q829" s="799"/>
      <c r="R829" s="799"/>
      <c r="S829" s="799"/>
      <c r="T829" s="799"/>
      <c r="U829" s="799"/>
      <c r="V829" s="799"/>
      <c r="W829" s="799"/>
      <c r="X829" s="799"/>
      <c r="Y829" s="799"/>
      <c r="Z829" s="799"/>
      <c r="AA829" s="799"/>
      <c r="AB829" s="799"/>
      <c r="AC829" s="799"/>
      <c r="AD829" s="799"/>
      <c r="AE829" s="799"/>
      <c r="AF829" s="799"/>
      <c r="AG829" s="799"/>
      <c r="AH829" s="799"/>
      <c r="AI829" s="799"/>
      <c r="AJ829" s="799"/>
      <c r="AK829" s="799"/>
      <c r="AL829" s="799"/>
      <c r="AM829" s="799"/>
      <c r="AN829" s="799"/>
      <c r="AO829" s="799"/>
      <c r="AP829" s="799"/>
      <c r="AQ829" s="799"/>
      <c r="AR829" s="799"/>
      <c r="AS829" s="799"/>
      <c r="AT829" s="799"/>
      <c r="AU829" s="799"/>
      <c r="AV829" s="799"/>
      <c r="AW829" s="799"/>
      <c r="AX829" s="799"/>
      <c r="AY829" s="799"/>
      <c r="AZ829" s="799"/>
      <c r="BA829" s="799"/>
      <c r="BB829" s="799"/>
      <c r="BC829" s="799"/>
      <c r="BD829" s="799"/>
      <c r="BE829" s="799"/>
      <c r="BF829" s="799"/>
      <c r="BG829" s="799"/>
    </row>
    <row r="830">
      <c r="H830" s="799"/>
      <c r="I830" s="799"/>
      <c r="J830" s="799"/>
      <c r="K830" s="799"/>
      <c r="L830" s="799"/>
      <c r="M830" s="799"/>
      <c r="N830" s="799"/>
      <c r="O830" s="799"/>
      <c r="P830" s="799"/>
      <c r="Q830" s="799"/>
      <c r="R830" s="799"/>
      <c r="S830" s="799"/>
      <c r="T830" s="799"/>
      <c r="U830" s="799"/>
      <c r="V830" s="799"/>
      <c r="W830" s="799"/>
      <c r="X830" s="799"/>
      <c r="Y830" s="799"/>
      <c r="Z830" s="799"/>
      <c r="AA830" s="799"/>
      <c r="AB830" s="799"/>
      <c r="AC830" s="799"/>
      <c r="AD830" s="799"/>
      <c r="AE830" s="799"/>
      <c r="AF830" s="799"/>
      <c r="AG830" s="799"/>
      <c r="AH830" s="799"/>
      <c r="AI830" s="799"/>
      <c r="AJ830" s="799"/>
      <c r="AK830" s="799"/>
      <c r="AL830" s="799"/>
      <c r="AM830" s="799"/>
      <c r="AN830" s="799"/>
      <c r="AO830" s="799"/>
      <c r="AP830" s="799"/>
      <c r="AQ830" s="799"/>
      <c r="AR830" s="799"/>
      <c r="AS830" s="799"/>
      <c r="AT830" s="799"/>
      <c r="AU830" s="799"/>
      <c r="AV830" s="799"/>
      <c r="AW830" s="799"/>
      <c r="AX830" s="799"/>
      <c r="AY830" s="799"/>
      <c r="AZ830" s="799"/>
      <c r="BA830" s="799"/>
      <c r="BB830" s="799"/>
      <c r="BC830" s="799"/>
      <c r="BD830" s="799"/>
      <c r="BE830" s="799"/>
      <c r="BF830" s="799"/>
      <c r="BG830" s="799"/>
    </row>
    <row r="831">
      <c r="H831" s="799"/>
      <c r="I831" s="799"/>
      <c r="J831" s="799"/>
      <c r="K831" s="799"/>
      <c r="L831" s="799"/>
      <c r="M831" s="799"/>
      <c r="N831" s="799"/>
      <c r="O831" s="799"/>
      <c r="P831" s="799"/>
      <c r="Q831" s="799"/>
      <c r="R831" s="799"/>
      <c r="S831" s="799"/>
      <c r="T831" s="799"/>
      <c r="U831" s="799"/>
      <c r="V831" s="799"/>
      <c r="W831" s="799"/>
      <c r="X831" s="799"/>
      <c r="Y831" s="799"/>
      <c r="Z831" s="799"/>
      <c r="AA831" s="799"/>
      <c r="AB831" s="799"/>
      <c r="AC831" s="799"/>
      <c r="AD831" s="799"/>
      <c r="AE831" s="799"/>
      <c r="AF831" s="799"/>
      <c r="AG831" s="799"/>
      <c r="AH831" s="799"/>
      <c r="AI831" s="799"/>
      <c r="AJ831" s="799"/>
      <c r="AK831" s="799"/>
      <c r="AL831" s="799"/>
      <c r="AM831" s="799"/>
      <c r="AN831" s="799"/>
      <c r="AO831" s="799"/>
      <c r="AP831" s="799"/>
      <c r="AQ831" s="799"/>
      <c r="AR831" s="799"/>
      <c r="AS831" s="799"/>
      <c r="AT831" s="799"/>
      <c r="AU831" s="799"/>
      <c r="AV831" s="799"/>
      <c r="AW831" s="799"/>
      <c r="AX831" s="799"/>
      <c r="AY831" s="799"/>
      <c r="AZ831" s="799"/>
      <c r="BA831" s="799"/>
      <c r="BB831" s="799"/>
      <c r="BC831" s="799"/>
      <c r="BD831" s="799"/>
      <c r="BE831" s="799"/>
      <c r="BF831" s="799"/>
      <c r="BG831" s="799"/>
    </row>
    <row r="832">
      <c r="H832" s="799"/>
      <c r="I832" s="799"/>
      <c r="J832" s="799"/>
      <c r="K832" s="799"/>
      <c r="L832" s="799"/>
      <c r="M832" s="799"/>
      <c r="N832" s="799"/>
      <c r="O832" s="799"/>
      <c r="P832" s="799"/>
      <c r="Q832" s="799"/>
      <c r="R832" s="799"/>
      <c r="S832" s="799"/>
      <c r="T832" s="799"/>
      <c r="U832" s="799"/>
      <c r="V832" s="799"/>
      <c r="W832" s="799"/>
      <c r="X832" s="799"/>
      <c r="Y832" s="799"/>
      <c r="Z832" s="799"/>
      <c r="AA832" s="799"/>
      <c r="AB832" s="799"/>
      <c r="AC832" s="799"/>
      <c r="AD832" s="799"/>
      <c r="AE832" s="799"/>
      <c r="AF832" s="799"/>
      <c r="AG832" s="799"/>
      <c r="AH832" s="799"/>
      <c r="AI832" s="799"/>
      <c r="AJ832" s="799"/>
      <c r="AK832" s="799"/>
      <c r="AL832" s="799"/>
      <c r="AM832" s="799"/>
      <c r="AN832" s="799"/>
      <c r="AO832" s="799"/>
      <c r="AP832" s="799"/>
      <c r="AQ832" s="799"/>
      <c r="AR832" s="799"/>
      <c r="AS832" s="799"/>
      <c r="AT832" s="799"/>
      <c r="AU832" s="799"/>
      <c r="AV832" s="799"/>
      <c r="AW832" s="799"/>
      <c r="AX832" s="799"/>
      <c r="AY832" s="799"/>
      <c r="AZ832" s="799"/>
      <c r="BA832" s="799"/>
      <c r="BB832" s="799"/>
      <c r="BC832" s="799"/>
      <c r="BD832" s="799"/>
      <c r="BE832" s="799"/>
      <c r="BF832" s="799"/>
      <c r="BG832" s="799"/>
    </row>
    <row r="833">
      <c r="H833" s="799"/>
      <c r="I833" s="799"/>
      <c r="J833" s="799"/>
      <c r="K833" s="799"/>
      <c r="L833" s="799"/>
      <c r="M833" s="799"/>
      <c r="N833" s="799"/>
      <c r="O833" s="799"/>
      <c r="P833" s="799"/>
      <c r="Q833" s="799"/>
      <c r="R833" s="799"/>
      <c r="S833" s="799"/>
      <c r="T833" s="799"/>
      <c r="U833" s="799"/>
      <c r="V833" s="799"/>
      <c r="W833" s="799"/>
      <c r="X833" s="799"/>
      <c r="Y833" s="799"/>
      <c r="Z833" s="799"/>
      <c r="AA833" s="799"/>
      <c r="AB833" s="799"/>
      <c r="AC833" s="799"/>
      <c r="AD833" s="799"/>
      <c r="AE833" s="799"/>
      <c r="AF833" s="799"/>
      <c r="AG833" s="799"/>
      <c r="AH833" s="799"/>
      <c r="AI833" s="799"/>
      <c r="AJ833" s="799"/>
      <c r="AK833" s="799"/>
      <c r="AL833" s="799"/>
      <c r="AM833" s="799"/>
      <c r="AN833" s="799"/>
      <c r="AO833" s="799"/>
      <c r="AP833" s="799"/>
      <c r="AQ833" s="799"/>
      <c r="AR833" s="799"/>
      <c r="AS833" s="799"/>
      <c r="AT833" s="799"/>
      <c r="AU833" s="799"/>
      <c r="AV833" s="799"/>
      <c r="AW833" s="799"/>
      <c r="AX833" s="799"/>
      <c r="AY833" s="799"/>
      <c r="AZ833" s="799"/>
      <c r="BA833" s="799"/>
      <c r="BB833" s="799"/>
      <c r="BC833" s="799"/>
      <c r="BD833" s="799"/>
      <c r="BE833" s="799"/>
      <c r="BF833" s="799"/>
      <c r="BG833" s="799"/>
    </row>
    <row r="834">
      <c r="H834" s="799"/>
      <c r="I834" s="799"/>
      <c r="J834" s="799"/>
      <c r="K834" s="799"/>
      <c r="L834" s="799"/>
      <c r="M834" s="799"/>
      <c r="N834" s="799"/>
      <c r="O834" s="799"/>
      <c r="P834" s="799"/>
      <c r="Q834" s="799"/>
      <c r="R834" s="799"/>
      <c r="S834" s="799"/>
      <c r="T834" s="799"/>
      <c r="U834" s="799"/>
      <c r="V834" s="799"/>
      <c r="W834" s="799"/>
      <c r="X834" s="799"/>
      <c r="Y834" s="799"/>
      <c r="Z834" s="799"/>
      <c r="AA834" s="799"/>
      <c r="AB834" s="799"/>
      <c r="AC834" s="799"/>
      <c r="AD834" s="799"/>
      <c r="AE834" s="799"/>
      <c r="AF834" s="799"/>
      <c r="AG834" s="799"/>
      <c r="AH834" s="799"/>
      <c r="AI834" s="799"/>
      <c r="AJ834" s="799"/>
      <c r="AK834" s="799"/>
      <c r="AL834" s="799"/>
      <c r="AM834" s="799"/>
      <c r="AN834" s="799"/>
      <c r="AO834" s="799"/>
      <c r="AP834" s="799"/>
      <c r="AQ834" s="799"/>
      <c r="AR834" s="799"/>
      <c r="AS834" s="799"/>
      <c r="AT834" s="799"/>
      <c r="AU834" s="799"/>
      <c r="AV834" s="799"/>
      <c r="AW834" s="799"/>
      <c r="AX834" s="799"/>
      <c r="AY834" s="799"/>
      <c r="AZ834" s="799"/>
      <c r="BA834" s="799"/>
      <c r="BB834" s="799"/>
      <c r="BC834" s="799"/>
      <c r="BD834" s="799"/>
      <c r="BE834" s="799"/>
      <c r="BF834" s="799"/>
      <c r="BG834" s="799"/>
    </row>
    <row r="835">
      <c r="H835" s="799"/>
      <c r="I835" s="799"/>
      <c r="J835" s="799"/>
      <c r="K835" s="799"/>
      <c r="L835" s="799"/>
      <c r="M835" s="799"/>
      <c r="N835" s="799"/>
      <c r="O835" s="799"/>
      <c r="P835" s="799"/>
      <c r="Q835" s="799"/>
      <c r="R835" s="799"/>
      <c r="S835" s="799"/>
      <c r="T835" s="799"/>
      <c r="U835" s="799"/>
      <c r="V835" s="799"/>
      <c r="W835" s="799"/>
      <c r="X835" s="799"/>
      <c r="Y835" s="799"/>
      <c r="Z835" s="799"/>
      <c r="AA835" s="799"/>
      <c r="AB835" s="799"/>
      <c r="AC835" s="799"/>
      <c r="AD835" s="799"/>
      <c r="AE835" s="799"/>
      <c r="AF835" s="799"/>
      <c r="AG835" s="799"/>
      <c r="AH835" s="799"/>
      <c r="AI835" s="799"/>
      <c r="AJ835" s="799"/>
      <c r="AK835" s="799"/>
      <c r="AL835" s="799"/>
      <c r="AM835" s="799"/>
      <c r="AN835" s="799"/>
      <c r="AO835" s="799"/>
      <c r="AP835" s="799"/>
      <c r="AQ835" s="799"/>
      <c r="AR835" s="799"/>
      <c r="AS835" s="799"/>
      <c r="AT835" s="799"/>
      <c r="AU835" s="799"/>
      <c r="AV835" s="799"/>
      <c r="AW835" s="799"/>
      <c r="AX835" s="799"/>
      <c r="AY835" s="799"/>
      <c r="AZ835" s="799"/>
      <c r="BA835" s="799"/>
      <c r="BB835" s="799"/>
      <c r="BC835" s="799"/>
      <c r="BD835" s="799"/>
      <c r="BE835" s="799"/>
      <c r="BF835" s="799"/>
      <c r="BG835" s="799"/>
    </row>
    <row r="836">
      <c r="H836" s="799"/>
      <c r="I836" s="799"/>
      <c r="J836" s="799"/>
      <c r="K836" s="799"/>
      <c r="L836" s="799"/>
      <c r="M836" s="799"/>
      <c r="N836" s="799"/>
      <c r="O836" s="799"/>
      <c r="P836" s="799"/>
      <c r="Q836" s="799"/>
      <c r="R836" s="799"/>
      <c r="S836" s="799"/>
      <c r="T836" s="799"/>
      <c r="U836" s="799"/>
      <c r="V836" s="799"/>
      <c r="W836" s="799"/>
      <c r="X836" s="799"/>
      <c r="Y836" s="799"/>
      <c r="Z836" s="799"/>
      <c r="AA836" s="799"/>
      <c r="AB836" s="799"/>
      <c r="AC836" s="799"/>
      <c r="AD836" s="799"/>
      <c r="AE836" s="799"/>
      <c r="AF836" s="799"/>
      <c r="AG836" s="799"/>
      <c r="AH836" s="799"/>
      <c r="AI836" s="799"/>
      <c r="AJ836" s="799"/>
      <c r="AK836" s="799"/>
      <c r="AL836" s="799"/>
      <c r="AM836" s="799"/>
      <c r="AN836" s="799"/>
      <c r="AO836" s="799"/>
      <c r="AP836" s="799"/>
      <c r="AQ836" s="799"/>
      <c r="AR836" s="799"/>
      <c r="AS836" s="799"/>
      <c r="AT836" s="799"/>
      <c r="AU836" s="799"/>
      <c r="AV836" s="799"/>
      <c r="AW836" s="799"/>
      <c r="AX836" s="799"/>
      <c r="AY836" s="799"/>
      <c r="AZ836" s="799"/>
      <c r="BA836" s="799"/>
      <c r="BB836" s="799"/>
      <c r="BC836" s="799"/>
      <c r="BD836" s="799"/>
      <c r="BE836" s="799"/>
      <c r="BF836" s="799"/>
      <c r="BG836" s="799"/>
    </row>
    <row r="837">
      <c r="H837" s="799"/>
      <c r="I837" s="799"/>
      <c r="J837" s="799"/>
      <c r="K837" s="799"/>
      <c r="L837" s="799"/>
      <c r="M837" s="799"/>
      <c r="N837" s="799"/>
      <c r="O837" s="799"/>
      <c r="P837" s="799"/>
      <c r="Q837" s="799"/>
      <c r="R837" s="799"/>
      <c r="S837" s="799"/>
      <c r="T837" s="799"/>
      <c r="U837" s="799"/>
      <c r="V837" s="799"/>
      <c r="W837" s="799"/>
      <c r="X837" s="799"/>
      <c r="Y837" s="799"/>
      <c r="Z837" s="799"/>
      <c r="AA837" s="799"/>
      <c r="AB837" s="799"/>
      <c r="AC837" s="799"/>
      <c r="AD837" s="799"/>
      <c r="AE837" s="799"/>
      <c r="AF837" s="799"/>
      <c r="AG837" s="799"/>
      <c r="AH837" s="799"/>
      <c r="AI837" s="799"/>
      <c r="AJ837" s="799"/>
      <c r="AK837" s="799"/>
      <c r="AL837" s="799"/>
      <c r="AM837" s="799"/>
      <c r="AN837" s="799"/>
      <c r="AO837" s="799"/>
      <c r="AP837" s="799"/>
      <c r="AQ837" s="799"/>
      <c r="AR837" s="799"/>
      <c r="AS837" s="799"/>
      <c r="AT837" s="799"/>
      <c r="AU837" s="799"/>
      <c r="AV837" s="799"/>
      <c r="AW837" s="799"/>
      <c r="AX837" s="799"/>
      <c r="AY837" s="799"/>
      <c r="AZ837" s="799"/>
      <c r="BA837" s="799"/>
      <c r="BB837" s="799"/>
      <c r="BC837" s="799"/>
      <c r="BD837" s="799"/>
      <c r="BE837" s="799"/>
      <c r="BF837" s="799"/>
      <c r="BG837" s="799"/>
    </row>
    <row r="838">
      <c r="H838" s="799"/>
      <c r="I838" s="799"/>
      <c r="J838" s="799"/>
      <c r="K838" s="799"/>
      <c r="L838" s="799"/>
      <c r="M838" s="799"/>
      <c r="N838" s="799"/>
      <c r="O838" s="799"/>
      <c r="P838" s="799"/>
      <c r="Q838" s="799"/>
      <c r="R838" s="799"/>
      <c r="S838" s="799"/>
      <c r="T838" s="799"/>
      <c r="U838" s="799"/>
      <c r="V838" s="799"/>
      <c r="W838" s="799"/>
      <c r="X838" s="799"/>
      <c r="Y838" s="799"/>
      <c r="Z838" s="799"/>
      <c r="AA838" s="799"/>
      <c r="AB838" s="799"/>
      <c r="AC838" s="799"/>
      <c r="AD838" s="799"/>
      <c r="AE838" s="799"/>
      <c r="AF838" s="799"/>
      <c r="AG838" s="799"/>
      <c r="AH838" s="799"/>
      <c r="AI838" s="799"/>
      <c r="AJ838" s="799"/>
      <c r="AK838" s="799"/>
      <c r="AL838" s="799"/>
      <c r="AM838" s="799"/>
      <c r="AN838" s="799"/>
      <c r="AO838" s="799"/>
      <c r="AP838" s="799"/>
      <c r="AQ838" s="799"/>
      <c r="AR838" s="799"/>
      <c r="AS838" s="799"/>
      <c r="AT838" s="799"/>
      <c r="AU838" s="799"/>
      <c r="AV838" s="799"/>
      <c r="AW838" s="799"/>
      <c r="AX838" s="799"/>
      <c r="AY838" s="799"/>
      <c r="AZ838" s="799"/>
      <c r="BA838" s="799"/>
      <c r="BB838" s="799"/>
      <c r="BC838" s="799"/>
      <c r="BD838" s="799"/>
      <c r="BE838" s="799"/>
      <c r="BF838" s="799"/>
      <c r="BG838" s="799"/>
    </row>
    <row r="839">
      <c r="H839" s="799"/>
      <c r="I839" s="799"/>
      <c r="J839" s="799"/>
      <c r="K839" s="799"/>
      <c r="L839" s="799"/>
      <c r="M839" s="799"/>
      <c r="N839" s="799"/>
      <c r="O839" s="799"/>
      <c r="P839" s="799"/>
      <c r="Q839" s="799"/>
      <c r="R839" s="799"/>
      <c r="S839" s="799"/>
      <c r="T839" s="799"/>
      <c r="U839" s="799"/>
      <c r="V839" s="799"/>
      <c r="W839" s="799"/>
      <c r="X839" s="799"/>
      <c r="Y839" s="799"/>
      <c r="Z839" s="799"/>
      <c r="AA839" s="799"/>
      <c r="AB839" s="799"/>
      <c r="AC839" s="799"/>
      <c r="AD839" s="799"/>
      <c r="AE839" s="799"/>
      <c r="AF839" s="799"/>
      <c r="AG839" s="799"/>
      <c r="AH839" s="799"/>
      <c r="AI839" s="799"/>
      <c r="AJ839" s="799"/>
      <c r="AK839" s="799"/>
      <c r="AL839" s="799"/>
      <c r="AM839" s="799"/>
      <c r="AN839" s="799"/>
      <c r="AO839" s="799"/>
      <c r="AP839" s="799"/>
      <c r="AQ839" s="799"/>
      <c r="AR839" s="799"/>
      <c r="AS839" s="799"/>
      <c r="AT839" s="799"/>
      <c r="AU839" s="799"/>
      <c r="AV839" s="799"/>
      <c r="AW839" s="799"/>
      <c r="AX839" s="799"/>
      <c r="AY839" s="799"/>
      <c r="AZ839" s="799"/>
      <c r="BA839" s="799"/>
      <c r="BB839" s="799"/>
      <c r="BC839" s="799"/>
      <c r="BD839" s="799"/>
      <c r="BE839" s="799"/>
      <c r="BF839" s="799"/>
      <c r="BG839" s="799"/>
    </row>
    <row r="840">
      <c r="H840" s="799"/>
      <c r="I840" s="799"/>
      <c r="J840" s="799"/>
      <c r="K840" s="799"/>
      <c r="L840" s="799"/>
      <c r="M840" s="799"/>
      <c r="N840" s="799"/>
      <c r="O840" s="799"/>
      <c r="P840" s="799"/>
      <c r="Q840" s="799"/>
      <c r="R840" s="799"/>
      <c r="S840" s="799"/>
      <c r="T840" s="799"/>
      <c r="U840" s="799"/>
      <c r="V840" s="799"/>
      <c r="W840" s="799"/>
      <c r="X840" s="799"/>
      <c r="Y840" s="799"/>
      <c r="Z840" s="799"/>
      <c r="AA840" s="799"/>
      <c r="AB840" s="799"/>
      <c r="AC840" s="799"/>
      <c r="AD840" s="799"/>
      <c r="AE840" s="799"/>
      <c r="AF840" s="799"/>
      <c r="AG840" s="799"/>
      <c r="AH840" s="799"/>
      <c r="AI840" s="799"/>
      <c r="AJ840" s="799"/>
      <c r="AK840" s="799"/>
      <c r="AL840" s="799"/>
      <c r="AM840" s="799"/>
      <c r="AN840" s="799"/>
      <c r="AO840" s="799"/>
      <c r="AP840" s="799"/>
      <c r="AQ840" s="799"/>
      <c r="AR840" s="799"/>
      <c r="AS840" s="799"/>
      <c r="AT840" s="799"/>
      <c r="AU840" s="799"/>
      <c r="AV840" s="799"/>
      <c r="AW840" s="799"/>
      <c r="AX840" s="799"/>
      <c r="AY840" s="799"/>
      <c r="AZ840" s="799"/>
      <c r="BA840" s="799"/>
      <c r="BB840" s="799"/>
      <c r="BC840" s="799"/>
      <c r="BD840" s="799"/>
      <c r="BE840" s="799"/>
      <c r="BF840" s="799"/>
      <c r="BG840" s="799"/>
    </row>
    <row r="841">
      <c r="H841" s="799"/>
      <c r="I841" s="799"/>
      <c r="J841" s="799"/>
      <c r="K841" s="799"/>
      <c r="L841" s="799"/>
      <c r="M841" s="799"/>
      <c r="N841" s="799"/>
      <c r="O841" s="799"/>
      <c r="P841" s="799"/>
      <c r="Q841" s="799"/>
      <c r="R841" s="799"/>
      <c r="S841" s="799"/>
      <c r="T841" s="799"/>
      <c r="U841" s="799"/>
      <c r="V841" s="799"/>
      <c r="W841" s="799"/>
      <c r="X841" s="799"/>
      <c r="Y841" s="799"/>
      <c r="Z841" s="799"/>
      <c r="AA841" s="799"/>
      <c r="AB841" s="799"/>
      <c r="AC841" s="799"/>
      <c r="AD841" s="799"/>
      <c r="AE841" s="799"/>
      <c r="AF841" s="799"/>
      <c r="AG841" s="799"/>
      <c r="AH841" s="799"/>
      <c r="AI841" s="799"/>
      <c r="AJ841" s="799"/>
      <c r="AK841" s="799"/>
      <c r="AL841" s="799"/>
      <c r="AM841" s="799"/>
      <c r="AN841" s="799"/>
      <c r="AO841" s="799"/>
      <c r="AP841" s="799"/>
      <c r="AQ841" s="799"/>
      <c r="AR841" s="799"/>
      <c r="AS841" s="799"/>
      <c r="AT841" s="799"/>
      <c r="AU841" s="799"/>
      <c r="AV841" s="799"/>
      <c r="AW841" s="799"/>
      <c r="AX841" s="799"/>
      <c r="AY841" s="799"/>
      <c r="AZ841" s="799"/>
      <c r="BA841" s="799"/>
      <c r="BB841" s="799"/>
      <c r="BC841" s="799"/>
      <c r="BD841" s="799"/>
      <c r="BE841" s="799"/>
      <c r="BF841" s="799"/>
      <c r="BG841" s="799"/>
    </row>
    <row r="842">
      <c r="H842" s="799"/>
      <c r="I842" s="799"/>
      <c r="J842" s="799"/>
      <c r="K842" s="799"/>
      <c r="L842" s="799"/>
      <c r="M842" s="799"/>
      <c r="N842" s="799"/>
      <c r="O842" s="799"/>
      <c r="P842" s="799"/>
      <c r="Q842" s="799"/>
      <c r="R842" s="799"/>
      <c r="S842" s="799"/>
      <c r="T842" s="799"/>
      <c r="U842" s="799"/>
      <c r="V842" s="799"/>
      <c r="W842" s="799"/>
      <c r="X842" s="799"/>
      <c r="Y842" s="799"/>
      <c r="Z842" s="799"/>
      <c r="AA842" s="799"/>
      <c r="AB842" s="799"/>
      <c r="AC842" s="799"/>
      <c r="AD842" s="799"/>
      <c r="AE842" s="799"/>
      <c r="AF842" s="799"/>
      <c r="AG842" s="799"/>
      <c r="AH842" s="799"/>
      <c r="AI842" s="799"/>
      <c r="AJ842" s="799"/>
      <c r="AK842" s="799"/>
      <c r="AL842" s="799"/>
      <c r="AM842" s="799"/>
      <c r="AN842" s="799"/>
      <c r="AO842" s="799"/>
      <c r="AP842" s="799"/>
      <c r="AQ842" s="799"/>
      <c r="AR842" s="799"/>
      <c r="AS842" s="799"/>
      <c r="AT842" s="799"/>
      <c r="AU842" s="799"/>
      <c r="AV842" s="799"/>
      <c r="AW842" s="799"/>
      <c r="AX842" s="799"/>
      <c r="AY842" s="799"/>
      <c r="AZ842" s="799"/>
      <c r="BA842" s="799"/>
      <c r="BB842" s="799"/>
      <c r="BC842" s="799"/>
      <c r="BD842" s="799"/>
      <c r="BE842" s="799"/>
      <c r="BF842" s="799"/>
      <c r="BG842" s="799"/>
    </row>
    <row r="843">
      <c r="H843" s="799"/>
      <c r="I843" s="799"/>
      <c r="J843" s="799"/>
      <c r="K843" s="799"/>
      <c r="L843" s="799"/>
      <c r="M843" s="799"/>
      <c r="N843" s="799"/>
      <c r="O843" s="799"/>
      <c r="P843" s="799"/>
      <c r="Q843" s="799"/>
      <c r="R843" s="799"/>
      <c r="S843" s="799"/>
      <c r="T843" s="799"/>
      <c r="U843" s="799"/>
      <c r="V843" s="799"/>
      <c r="W843" s="799"/>
      <c r="X843" s="799"/>
      <c r="Y843" s="799"/>
      <c r="Z843" s="799"/>
      <c r="AA843" s="799"/>
      <c r="AB843" s="799"/>
      <c r="AC843" s="799"/>
      <c r="AD843" s="799"/>
      <c r="AE843" s="799"/>
      <c r="AF843" s="799"/>
      <c r="AG843" s="799"/>
      <c r="AH843" s="799"/>
      <c r="AI843" s="799"/>
      <c r="AJ843" s="799"/>
      <c r="AK843" s="799"/>
      <c r="AL843" s="799"/>
      <c r="AM843" s="799"/>
      <c r="AN843" s="799"/>
      <c r="AO843" s="799"/>
      <c r="AP843" s="799"/>
      <c r="AQ843" s="799"/>
      <c r="AR843" s="799"/>
      <c r="AS843" s="799"/>
      <c r="AT843" s="799"/>
      <c r="AU843" s="799"/>
      <c r="AV843" s="799"/>
      <c r="AW843" s="799"/>
      <c r="AX843" s="799"/>
      <c r="AY843" s="799"/>
      <c r="AZ843" s="799"/>
      <c r="BA843" s="799"/>
      <c r="BB843" s="799"/>
      <c r="BC843" s="799"/>
      <c r="BD843" s="799"/>
      <c r="BE843" s="799"/>
      <c r="BF843" s="799"/>
      <c r="BG843" s="799"/>
    </row>
    <row r="844">
      <c r="H844" s="799"/>
      <c r="I844" s="799"/>
      <c r="J844" s="799"/>
      <c r="K844" s="799"/>
      <c r="L844" s="799"/>
      <c r="M844" s="799"/>
      <c r="N844" s="799"/>
      <c r="O844" s="799"/>
      <c r="P844" s="799"/>
      <c r="Q844" s="799"/>
      <c r="R844" s="799"/>
      <c r="S844" s="799"/>
      <c r="T844" s="799"/>
      <c r="U844" s="799"/>
      <c r="V844" s="799"/>
      <c r="W844" s="799"/>
      <c r="X844" s="799"/>
      <c r="Y844" s="799"/>
      <c r="Z844" s="799"/>
      <c r="AA844" s="799"/>
      <c r="AB844" s="799"/>
      <c r="AC844" s="799"/>
      <c r="AD844" s="799"/>
      <c r="AE844" s="799"/>
      <c r="AF844" s="799"/>
      <c r="AG844" s="799"/>
      <c r="AH844" s="799"/>
      <c r="AI844" s="799"/>
      <c r="AJ844" s="799"/>
      <c r="AK844" s="799"/>
      <c r="AL844" s="799"/>
      <c r="AM844" s="799"/>
      <c r="AN844" s="799"/>
      <c r="AO844" s="799"/>
      <c r="AP844" s="799"/>
      <c r="AQ844" s="799"/>
      <c r="AR844" s="799"/>
      <c r="AS844" s="799"/>
      <c r="AT844" s="799"/>
      <c r="AU844" s="799"/>
      <c r="AV844" s="799"/>
      <c r="AW844" s="799"/>
      <c r="AX844" s="799"/>
      <c r="AY844" s="799"/>
      <c r="AZ844" s="799"/>
      <c r="BA844" s="799"/>
      <c r="BB844" s="799"/>
      <c r="BC844" s="799"/>
      <c r="BD844" s="799"/>
      <c r="BE844" s="799"/>
      <c r="BF844" s="799"/>
      <c r="BG844" s="799"/>
    </row>
    <row r="845">
      <c r="H845" s="799"/>
      <c r="I845" s="799"/>
      <c r="J845" s="799"/>
      <c r="K845" s="799"/>
      <c r="L845" s="799"/>
      <c r="M845" s="799"/>
      <c r="N845" s="799"/>
      <c r="O845" s="799"/>
      <c r="P845" s="799"/>
      <c r="Q845" s="799"/>
      <c r="R845" s="799"/>
      <c r="S845" s="799"/>
      <c r="T845" s="799"/>
      <c r="U845" s="799"/>
      <c r="V845" s="799"/>
      <c r="W845" s="799"/>
      <c r="X845" s="799"/>
      <c r="Y845" s="799"/>
      <c r="Z845" s="799"/>
      <c r="AA845" s="799"/>
      <c r="AB845" s="799"/>
      <c r="AC845" s="799"/>
      <c r="AD845" s="799"/>
      <c r="AE845" s="799"/>
      <c r="AF845" s="799"/>
      <c r="AG845" s="799"/>
      <c r="AH845" s="799"/>
      <c r="AI845" s="799"/>
      <c r="AJ845" s="799"/>
      <c r="AK845" s="799"/>
      <c r="AL845" s="799"/>
      <c r="AM845" s="799"/>
      <c r="AN845" s="799"/>
      <c r="AO845" s="799"/>
      <c r="AP845" s="799"/>
      <c r="AQ845" s="799"/>
      <c r="AR845" s="799"/>
      <c r="AS845" s="799"/>
      <c r="AT845" s="799"/>
      <c r="AU845" s="799"/>
      <c r="AV845" s="799"/>
      <c r="AW845" s="799"/>
      <c r="AX845" s="799"/>
      <c r="AY845" s="799"/>
      <c r="AZ845" s="799"/>
      <c r="BA845" s="799"/>
      <c r="BB845" s="799"/>
      <c r="BC845" s="799"/>
      <c r="BD845" s="799"/>
      <c r="BE845" s="799"/>
      <c r="BF845" s="799"/>
      <c r="BG845" s="799"/>
    </row>
    <row r="846">
      <c r="H846" s="799"/>
      <c r="I846" s="799"/>
      <c r="J846" s="799"/>
      <c r="K846" s="799"/>
      <c r="L846" s="799"/>
      <c r="M846" s="799"/>
      <c r="N846" s="799"/>
      <c r="O846" s="799"/>
      <c r="P846" s="799"/>
      <c r="Q846" s="799"/>
      <c r="R846" s="799"/>
      <c r="S846" s="799"/>
      <c r="T846" s="799"/>
      <c r="U846" s="799"/>
      <c r="V846" s="799"/>
      <c r="W846" s="799"/>
      <c r="X846" s="799"/>
      <c r="Y846" s="799"/>
      <c r="Z846" s="799"/>
      <c r="AA846" s="799"/>
      <c r="AB846" s="799"/>
      <c r="AC846" s="799"/>
      <c r="AD846" s="799"/>
      <c r="AE846" s="799"/>
      <c r="AF846" s="799"/>
      <c r="AG846" s="799"/>
      <c r="AH846" s="799"/>
      <c r="AI846" s="799"/>
      <c r="AJ846" s="799"/>
      <c r="AK846" s="799"/>
      <c r="AL846" s="799"/>
      <c r="AM846" s="799"/>
      <c r="AN846" s="799"/>
      <c r="AO846" s="799"/>
      <c r="AP846" s="799"/>
      <c r="AQ846" s="799"/>
      <c r="AR846" s="799"/>
      <c r="AS846" s="799"/>
      <c r="AT846" s="799"/>
      <c r="AU846" s="799"/>
      <c r="AV846" s="799"/>
      <c r="AW846" s="799"/>
      <c r="AX846" s="799"/>
      <c r="AY846" s="799"/>
      <c r="AZ846" s="799"/>
      <c r="BA846" s="799"/>
      <c r="BB846" s="799"/>
      <c r="BC846" s="799"/>
      <c r="BD846" s="799"/>
      <c r="BE846" s="799"/>
      <c r="BF846" s="799"/>
      <c r="BG846" s="799"/>
    </row>
    <row r="847">
      <c r="H847" s="799"/>
      <c r="I847" s="799"/>
      <c r="J847" s="799"/>
      <c r="K847" s="799"/>
      <c r="L847" s="799"/>
      <c r="M847" s="799"/>
      <c r="N847" s="799"/>
      <c r="O847" s="799"/>
      <c r="P847" s="799"/>
      <c r="Q847" s="799"/>
      <c r="R847" s="799"/>
      <c r="S847" s="799"/>
      <c r="T847" s="799"/>
      <c r="U847" s="799"/>
      <c r="V847" s="799"/>
      <c r="W847" s="799"/>
      <c r="X847" s="799"/>
      <c r="Y847" s="799"/>
      <c r="Z847" s="799"/>
      <c r="AA847" s="799"/>
      <c r="AB847" s="799"/>
      <c r="AC847" s="799"/>
      <c r="AD847" s="799"/>
      <c r="AE847" s="799"/>
      <c r="AF847" s="799"/>
      <c r="AG847" s="799"/>
      <c r="AH847" s="799"/>
      <c r="AI847" s="799"/>
      <c r="AJ847" s="799"/>
      <c r="AK847" s="799"/>
      <c r="AL847" s="799"/>
      <c r="AM847" s="799"/>
      <c r="AN847" s="799"/>
      <c r="AO847" s="799"/>
      <c r="AP847" s="799"/>
      <c r="AQ847" s="799"/>
      <c r="AR847" s="799"/>
      <c r="AS847" s="799"/>
      <c r="AT847" s="799"/>
      <c r="AU847" s="799"/>
      <c r="AV847" s="799"/>
      <c r="AW847" s="799"/>
      <c r="AX847" s="799"/>
      <c r="AY847" s="799"/>
      <c r="AZ847" s="799"/>
      <c r="BA847" s="799"/>
      <c r="BB847" s="799"/>
      <c r="BC847" s="799"/>
      <c r="BD847" s="799"/>
      <c r="BE847" s="799"/>
      <c r="BF847" s="799"/>
      <c r="BG847" s="799"/>
    </row>
    <row r="848">
      <c r="H848" s="799"/>
      <c r="I848" s="799"/>
      <c r="J848" s="799"/>
      <c r="K848" s="799"/>
      <c r="L848" s="799"/>
      <c r="M848" s="799"/>
      <c r="N848" s="799"/>
      <c r="O848" s="799"/>
      <c r="P848" s="799"/>
      <c r="Q848" s="799"/>
      <c r="R848" s="799"/>
      <c r="S848" s="799"/>
      <c r="T848" s="799"/>
      <c r="U848" s="799"/>
      <c r="V848" s="799"/>
      <c r="W848" s="799"/>
      <c r="X848" s="799"/>
      <c r="Y848" s="799"/>
      <c r="Z848" s="799"/>
      <c r="AA848" s="799"/>
      <c r="AB848" s="799"/>
      <c r="AC848" s="799"/>
      <c r="AD848" s="799"/>
      <c r="AE848" s="799"/>
      <c r="AF848" s="799"/>
      <c r="AG848" s="799"/>
      <c r="AH848" s="799"/>
      <c r="AI848" s="799"/>
      <c r="AJ848" s="799"/>
      <c r="AK848" s="799"/>
      <c r="AL848" s="799"/>
      <c r="AM848" s="799"/>
      <c r="AN848" s="799"/>
      <c r="AO848" s="799"/>
      <c r="AP848" s="799"/>
      <c r="AQ848" s="799"/>
      <c r="AR848" s="799"/>
      <c r="AS848" s="799"/>
      <c r="AT848" s="799"/>
      <c r="AU848" s="799"/>
      <c r="AV848" s="799"/>
      <c r="AW848" s="799"/>
      <c r="AX848" s="799"/>
      <c r="AY848" s="799"/>
      <c r="AZ848" s="799"/>
      <c r="BA848" s="799"/>
      <c r="BB848" s="799"/>
      <c r="BC848" s="799"/>
      <c r="BD848" s="799"/>
      <c r="BE848" s="799"/>
      <c r="BF848" s="799"/>
      <c r="BG848" s="799"/>
    </row>
    <row r="849">
      <c r="H849" s="799"/>
      <c r="I849" s="799"/>
      <c r="J849" s="799"/>
      <c r="K849" s="799"/>
      <c r="L849" s="799"/>
      <c r="M849" s="799"/>
      <c r="N849" s="799"/>
      <c r="O849" s="799"/>
      <c r="P849" s="799"/>
      <c r="Q849" s="799"/>
      <c r="R849" s="799"/>
      <c r="S849" s="799"/>
      <c r="T849" s="799"/>
      <c r="U849" s="799"/>
      <c r="V849" s="799"/>
      <c r="W849" s="799"/>
      <c r="X849" s="799"/>
      <c r="Y849" s="799"/>
      <c r="Z849" s="799"/>
      <c r="AA849" s="799"/>
      <c r="AB849" s="799"/>
      <c r="AC849" s="799"/>
      <c r="AD849" s="799"/>
      <c r="AE849" s="799"/>
      <c r="AF849" s="799"/>
      <c r="AG849" s="799"/>
      <c r="AH849" s="799"/>
      <c r="AI849" s="799"/>
      <c r="AJ849" s="799"/>
      <c r="AK849" s="799"/>
      <c r="AL849" s="799"/>
      <c r="AM849" s="799"/>
      <c r="AN849" s="799"/>
      <c r="AO849" s="799"/>
      <c r="AP849" s="799"/>
      <c r="AQ849" s="799"/>
      <c r="AR849" s="799"/>
      <c r="AS849" s="799"/>
      <c r="AT849" s="799"/>
      <c r="AU849" s="799"/>
      <c r="AV849" s="799"/>
      <c r="AW849" s="799"/>
      <c r="AX849" s="799"/>
      <c r="AY849" s="799"/>
      <c r="AZ849" s="799"/>
      <c r="BA849" s="799"/>
      <c r="BB849" s="799"/>
      <c r="BC849" s="799"/>
      <c r="BD849" s="799"/>
      <c r="BE849" s="799"/>
      <c r="BF849" s="799"/>
      <c r="BG849" s="799"/>
    </row>
    <row r="850">
      <c r="H850" s="799"/>
      <c r="I850" s="799"/>
      <c r="J850" s="799"/>
      <c r="K850" s="799"/>
      <c r="L850" s="799"/>
      <c r="M850" s="799"/>
      <c r="N850" s="799"/>
      <c r="O850" s="799"/>
      <c r="P850" s="799"/>
      <c r="Q850" s="799"/>
      <c r="R850" s="799"/>
      <c r="S850" s="799"/>
      <c r="T850" s="799"/>
      <c r="U850" s="799"/>
      <c r="V850" s="799"/>
      <c r="W850" s="799"/>
      <c r="X850" s="799"/>
      <c r="Y850" s="799"/>
      <c r="Z850" s="799"/>
      <c r="AA850" s="799"/>
      <c r="AB850" s="799"/>
      <c r="AC850" s="799"/>
      <c r="AD850" s="799"/>
      <c r="AE850" s="799"/>
      <c r="AF850" s="799"/>
      <c r="AG850" s="799"/>
      <c r="AH850" s="799"/>
      <c r="AI850" s="799"/>
      <c r="AJ850" s="799"/>
      <c r="AK850" s="799"/>
      <c r="AL850" s="799"/>
      <c r="AM850" s="799"/>
      <c r="AN850" s="799"/>
      <c r="AO850" s="799"/>
      <c r="AP850" s="799"/>
      <c r="AQ850" s="799"/>
      <c r="AR850" s="799"/>
      <c r="AS850" s="799"/>
      <c r="AT850" s="799"/>
      <c r="AU850" s="799"/>
      <c r="AV850" s="799"/>
      <c r="AW850" s="799"/>
      <c r="AX850" s="799"/>
      <c r="AY850" s="799"/>
      <c r="AZ850" s="799"/>
      <c r="BA850" s="799"/>
      <c r="BB850" s="799"/>
      <c r="BC850" s="799"/>
      <c r="BD850" s="799"/>
      <c r="BE850" s="799"/>
      <c r="BF850" s="799"/>
      <c r="BG850" s="799"/>
    </row>
    <row r="851">
      <c r="H851" s="799"/>
      <c r="I851" s="799"/>
      <c r="J851" s="799"/>
      <c r="K851" s="799"/>
      <c r="L851" s="799"/>
      <c r="M851" s="799"/>
      <c r="N851" s="799"/>
      <c r="O851" s="799"/>
      <c r="P851" s="799"/>
      <c r="Q851" s="799"/>
      <c r="R851" s="799"/>
      <c r="S851" s="799"/>
      <c r="T851" s="799"/>
      <c r="U851" s="799"/>
      <c r="V851" s="799"/>
      <c r="W851" s="799"/>
      <c r="X851" s="799"/>
      <c r="Y851" s="799"/>
      <c r="Z851" s="799"/>
      <c r="AA851" s="799"/>
      <c r="AB851" s="799"/>
      <c r="AC851" s="799"/>
      <c r="AD851" s="799"/>
      <c r="AE851" s="799"/>
      <c r="AF851" s="799"/>
      <c r="AG851" s="799"/>
      <c r="AH851" s="799"/>
      <c r="AI851" s="799"/>
      <c r="AJ851" s="799"/>
      <c r="AK851" s="799"/>
      <c r="AL851" s="799"/>
      <c r="AM851" s="799"/>
      <c r="AN851" s="799"/>
      <c r="AO851" s="799"/>
      <c r="AP851" s="799"/>
      <c r="AQ851" s="799"/>
      <c r="AR851" s="799"/>
      <c r="AS851" s="799"/>
      <c r="AT851" s="799"/>
      <c r="AU851" s="799"/>
      <c r="AV851" s="799"/>
      <c r="AW851" s="799"/>
      <c r="AX851" s="799"/>
      <c r="AY851" s="799"/>
      <c r="AZ851" s="799"/>
      <c r="BA851" s="799"/>
      <c r="BB851" s="799"/>
      <c r="BC851" s="799"/>
      <c r="BD851" s="799"/>
      <c r="BE851" s="799"/>
      <c r="BF851" s="799"/>
      <c r="BG851" s="799"/>
    </row>
    <row r="852">
      <c r="H852" s="799"/>
      <c r="I852" s="799"/>
      <c r="J852" s="799"/>
      <c r="K852" s="799"/>
      <c r="L852" s="799"/>
      <c r="M852" s="799"/>
      <c r="N852" s="799"/>
      <c r="O852" s="799"/>
      <c r="P852" s="799"/>
      <c r="Q852" s="799"/>
      <c r="R852" s="799"/>
      <c r="S852" s="799"/>
      <c r="T852" s="799"/>
      <c r="U852" s="799"/>
      <c r="V852" s="799"/>
      <c r="W852" s="799"/>
      <c r="X852" s="799"/>
      <c r="Y852" s="799"/>
      <c r="Z852" s="799"/>
      <c r="AA852" s="799"/>
      <c r="AB852" s="799"/>
      <c r="AC852" s="799"/>
      <c r="AD852" s="799"/>
      <c r="AE852" s="799"/>
      <c r="AF852" s="799"/>
      <c r="AG852" s="799"/>
      <c r="AH852" s="799"/>
      <c r="AI852" s="799"/>
      <c r="AJ852" s="799"/>
      <c r="AK852" s="799"/>
      <c r="AL852" s="799"/>
      <c r="AM852" s="799"/>
      <c r="AN852" s="799"/>
      <c r="AO852" s="799"/>
      <c r="AP852" s="799"/>
      <c r="AQ852" s="799"/>
      <c r="AR852" s="799"/>
      <c r="AS852" s="799"/>
      <c r="AT852" s="799"/>
      <c r="AU852" s="799"/>
      <c r="AV852" s="799"/>
      <c r="AW852" s="799"/>
      <c r="AX852" s="799"/>
      <c r="AY852" s="799"/>
      <c r="AZ852" s="799"/>
      <c r="BA852" s="799"/>
      <c r="BB852" s="799"/>
      <c r="BC852" s="799"/>
      <c r="BD852" s="799"/>
      <c r="BE852" s="799"/>
      <c r="BF852" s="799"/>
      <c r="BG852" s="799"/>
    </row>
    <row r="853">
      <c r="H853" s="799"/>
      <c r="I853" s="799"/>
      <c r="J853" s="799"/>
      <c r="K853" s="799"/>
      <c r="L853" s="799"/>
      <c r="M853" s="799"/>
      <c r="N853" s="799"/>
      <c r="O853" s="799"/>
      <c r="P853" s="799"/>
      <c r="Q853" s="799"/>
      <c r="R853" s="799"/>
      <c r="S853" s="799"/>
      <c r="T853" s="799"/>
      <c r="U853" s="799"/>
      <c r="V853" s="799"/>
      <c r="W853" s="799"/>
      <c r="X853" s="799"/>
      <c r="Y853" s="799"/>
      <c r="Z853" s="799"/>
      <c r="AA853" s="799"/>
      <c r="AB853" s="799"/>
      <c r="AC853" s="799"/>
      <c r="AD853" s="799"/>
      <c r="AE853" s="799"/>
      <c r="AF853" s="799"/>
      <c r="AG853" s="799"/>
      <c r="AH853" s="799"/>
      <c r="AI853" s="799"/>
      <c r="AJ853" s="799"/>
      <c r="AK853" s="799"/>
      <c r="AL853" s="799"/>
      <c r="AM853" s="799"/>
      <c r="AN853" s="799"/>
      <c r="AO853" s="799"/>
      <c r="AP853" s="799"/>
      <c r="AQ853" s="799"/>
      <c r="AR853" s="799"/>
      <c r="AS853" s="799"/>
      <c r="AT853" s="799"/>
      <c r="AU853" s="799"/>
      <c r="AV853" s="799"/>
      <c r="AW853" s="799"/>
      <c r="AX853" s="799"/>
      <c r="AY853" s="799"/>
      <c r="AZ853" s="799"/>
      <c r="BA853" s="799"/>
      <c r="BB853" s="799"/>
      <c r="BC853" s="799"/>
      <c r="BD853" s="799"/>
      <c r="BE853" s="799"/>
      <c r="BF853" s="799"/>
      <c r="BG853" s="799"/>
    </row>
    <row r="854">
      <c r="H854" s="799"/>
      <c r="I854" s="799"/>
      <c r="J854" s="799"/>
      <c r="K854" s="799"/>
      <c r="L854" s="799"/>
      <c r="M854" s="799"/>
      <c r="N854" s="799"/>
      <c r="O854" s="799"/>
      <c r="P854" s="799"/>
      <c r="Q854" s="799"/>
      <c r="R854" s="799"/>
      <c r="S854" s="799"/>
      <c r="T854" s="799"/>
      <c r="U854" s="799"/>
      <c r="V854" s="799"/>
      <c r="W854" s="799"/>
      <c r="X854" s="799"/>
      <c r="Y854" s="799"/>
      <c r="Z854" s="799"/>
      <c r="AA854" s="799"/>
      <c r="AB854" s="799"/>
      <c r="AC854" s="799"/>
      <c r="AD854" s="799"/>
      <c r="AE854" s="799"/>
      <c r="AF854" s="799"/>
      <c r="AG854" s="799"/>
      <c r="AH854" s="799"/>
      <c r="AI854" s="799"/>
      <c r="AJ854" s="799"/>
      <c r="AK854" s="799"/>
      <c r="AL854" s="799"/>
      <c r="AM854" s="799"/>
      <c r="AN854" s="799"/>
      <c r="AO854" s="799"/>
      <c r="AP854" s="799"/>
      <c r="AQ854" s="799"/>
      <c r="AR854" s="799"/>
      <c r="AS854" s="799"/>
      <c r="AT854" s="799"/>
      <c r="AU854" s="799"/>
      <c r="AV854" s="799"/>
      <c r="AW854" s="799"/>
      <c r="AX854" s="799"/>
      <c r="AY854" s="799"/>
      <c r="AZ854" s="799"/>
      <c r="BA854" s="799"/>
      <c r="BB854" s="799"/>
      <c r="BC854" s="799"/>
      <c r="BD854" s="799"/>
      <c r="BE854" s="799"/>
      <c r="BF854" s="799"/>
      <c r="BG854" s="799"/>
    </row>
    <row r="855">
      <c r="H855" s="799"/>
      <c r="I855" s="799"/>
      <c r="J855" s="799"/>
      <c r="K855" s="799"/>
      <c r="L855" s="799"/>
      <c r="M855" s="799"/>
      <c r="N855" s="799"/>
      <c r="O855" s="799"/>
      <c r="P855" s="799"/>
      <c r="Q855" s="799"/>
      <c r="R855" s="799"/>
      <c r="S855" s="799"/>
      <c r="T855" s="799"/>
      <c r="U855" s="799"/>
      <c r="V855" s="799"/>
      <c r="W855" s="799"/>
      <c r="X855" s="799"/>
      <c r="Y855" s="799"/>
      <c r="Z855" s="799"/>
      <c r="AA855" s="799"/>
      <c r="AB855" s="799"/>
      <c r="AC855" s="799"/>
      <c r="AD855" s="799"/>
      <c r="AE855" s="799"/>
      <c r="AF855" s="799"/>
      <c r="AG855" s="799"/>
      <c r="AH855" s="799"/>
      <c r="AI855" s="799"/>
      <c r="AJ855" s="799"/>
      <c r="AK855" s="799"/>
      <c r="AL855" s="799"/>
      <c r="AM855" s="799"/>
      <c r="AN855" s="799"/>
      <c r="AO855" s="799"/>
      <c r="AP855" s="799"/>
      <c r="AQ855" s="799"/>
      <c r="AR855" s="799"/>
      <c r="AS855" s="799"/>
      <c r="AT855" s="799"/>
      <c r="AU855" s="799"/>
      <c r="AV855" s="799"/>
      <c r="AW855" s="799"/>
      <c r="AX855" s="799"/>
      <c r="AY855" s="799"/>
      <c r="AZ855" s="799"/>
      <c r="BA855" s="799"/>
      <c r="BB855" s="799"/>
      <c r="BC855" s="799"/>
      <c r="BD855" s="799"/>
      <c r="BE855" s="799"/>
      <c r="BF855" s="799"/>
      <c r="BG855" s="799"/>
    </row>
    <row r="856">
      <c r="H856" s="799"/>
      <c r="I856" s="799"/>
      <c r="J856" s="799"/>
      <c r="K856" s="799"/>
      <c r="L856" s="799"/>
      <c r="M856" s="799"/>
      <c r="N856" s="799"/>
      <c r="O856" s="799"/>
      <c r="P856" s="799"/>
      <c r="Q856" s="799"/>
      <c r="R856" s="799"/>
      <c r="S856" s="799"/>
      <c r="T856" s="799"/>
      <c r="U856" s="799"/>
      <c r="V856" s="799"/>
      <c r="W856" s="799"/>
      <c r="X856" s="799"/>
      <c r="Y856" s="799"/>
      <c r="Z856" s="799"/>
      <c r="AA856" s="799"/>
      <c r="AB856" s="799"/>
      <c r="AC856" s="799"/>
      <c r="AD856" s="799"/>
      <c r="AE856" s="799"/>
      <c r="AF856" s="799"/>
      <c r="AG856" s="799"/>
      <c r="AH856" s="799"/>
      <c r="AI856" s="799"/>
      <c r="AJ856" s="799"/>
      <c r="AK856" s="799"/>
      <c r="AL856" s="799"/>
      <c r="AM856" s="799"/>
      <c r="AN856" s="799"/>
      <c r="AO856" s="799"/>
      <c r="AP856" s="799"/>
      <c r="AQ856" s="799"/>
      <c r="AR856" s="799"/>
      <c r="AS856" s="799"/>
      <c r="AT856" s="799"/>
      <c r="AU856" s="799"/>
      <c r="AV856" s="799"/>
      <c r="AW856" s="799"/>
      <c r="AX856" s="799"/>
      <c r="AY856" s="799"/>
      <c r="AZ856" s="799"/>
      <c r="BA856" s="799"/>
      <c r="BB856" s="799"/>
      <c r="BC856" s="799"/>
      <c r="BD856" s="799"/>
      <c r="BE856" s="799"/>
      <c r="BF856" s="799"/>
      <c r="BG856" s="799"/>
    </row>
    <row r="857">
      <c r="H857" s="799"/>
      <c r="I857" s="799"/>
      <c r="J857" s="799"/>
      <c r="K857" s="799"/>
      <c r="L857" s="799"/>
      <c r="M857" s="799"/>
      <c r="N857" s="799"/>
      <c r="O857" s="799"/>
      <c r="P857" s="799"/>
      <c r="Q857" s="799"/>
      <c r="R857" s="799"/>
      <c r="S857" s="799"/>
      <c r="T857" s="799"/>
      <c r="U857" s="799"/>
      <c r="V857" s="799"/>
      <c r="W857" s="799"/>
      <c r="X857" s="799"/>
      <c r="Y857" s="799"/>
      <c r="Z857" s="799"/>
      <c r="AA857" s="799"/>
      <c r="AB857" s="799"/>
      <c r="AC857" s="799"/>
      <c r="AD857" s="799"/>
      <c r="AE857" s="799"/>
      <c r="AF857" s="799"/>
      <c r="AG857" s="799"/>
      <c r="AH857" s="799"/>
      <c r="AI857" s="799"/>
      <c r="AJ857" s="799"/>
      <c r="AK857" s="799"/>
      <c r="AL857" s="799"/>
      <c r="AM857" s="799"/>
      <c r="AN857" s="799"/>
      <c r="AO857" s="799"/>
      <c r="AP857" s="799"/>
      <c r="AQ857" s="799"/>
      <c r="AR857" s="799"/>
      <c r="AS857" s="799"/>
      <c r="AT857" s="799"/>
      <c r="AU857" s="799"/>
      <c r="AV857" s="799"/>
      <c r="AW857" s="799"/>
      <c r="AX857" s="799"/>
      <c r="AY857" s="799"/>
      <c r="AZ857" s="799"/>
      <c r="BA857" s="799"/>
      <c r="BB857" s="799"/>
      <c r="BC857" s="799"/>
      <c r="BD857" s="799"/>
      <c r="BE857" s="799"/>
      <c r="BF857" s="799"/>
      <c r="BG857" s="799"/>
    </row>
    <row r="858">
      <c r="H858" s="799"/>
      <c r="I858" s="799"/>
      <c r="J858" s="799"/>
      <c r="K858" s="799"/>
      <c r="L858" s="799"/>
      <c r="M858" s="799"/>
      <c r="N858" s="799"/>
      <c r="O858" s="799"/>
      <c r="P858" s="799"/>
      <c r="Q858" s="799"/>
      <c r="R858" s="799"/>
      <c r="S858" s="799"/>
      <c r="T858" s="799"/>
      <c r="U858" s="799"/>
      <c r="V858" s="799"/>
      <c r="W858" s="799"/>
      <c r="X858" s="799"/>
      <c r="Y858" s="799"/>
      <c r="Z858" s="799"/>
      <c r="AA858" s="799"/>
      <c r="AB858" s="799"/>
      <c r="AC858" s="799"/>
      <c r="AD858" s="799"/>
      <c r="AE858" s="799"/>
      <c r="AF858" s="799"/>
      <c r="AG858" s="799"/>
      <c r="AH858" s="799"/>
      <c r="AI858" s="799"/>
      <c r="AJ858" s="799"/>
      <c r="AK858" s="799"/>
      <c r="AL858" s="799"/>
      <c r="AM858" s="799"/>
      <c r="AN858" s="799"/>
      <c r="AO858" s="799"/>
      <c r="AP858" s="799"/>
      <c r="AQ858" s="799"/>
      <c r="AR858" s="799"/>
      <c r="AS858" s="799"/>
      <c r="AT858" s="799"/>
      <c r="AU858" s="799"/>
      <c r="AV858" s="799"/>
      <c r="AW858" s="799"/>
      <c r="AX858" s="799"/>
      <c r="AY858" s="799"/>
      <c r="AZ858" s="799"/>
      <c r="BA858" s="799"/>
      <c r="BB858" s="799"/>
      <c r="BC858" s="799"/>
      <c r="BD858" s="799"/>
      <c r="BE858" s="799"/>
      <c r="BF858" s="799"/>
      <c r="BG858" s="799"/>
    </row>
    <row r="859">
      <c r="H859" s="799"/>
      <c r="I859" s="799"/>
      <c r="J859" s="799"/>
      <c r="K859" s="799"/>
      <c r="L859" s="799"/>
      <c r="M859" s="799"/>
      <c r="N859" s="799"/>
      <c r="O859" s="799"/>
      <c r="P859" s="799"/>
      <c r="Q859" s="799"/>
      <c r="R859" s="799"/>
      <c r="S859" s="799"/>
      <c r="T859" s="799"/>
      <c r="U859" s="799"/>
      <c r="V859" s="799"/>
      <c r="W859" s="799"/>
      <c r="X859" s="799"/>
      <c r="Y859" s="799"/>
      <c r="Z859" s="799"/>
      <c r="AA859" s="799"/>
      <c r="AB859" s="799"/>
      <c r="AC859" s="799"/>
      <c r="AD859" s="799"/>
      <c r="AE859" s="799"/>
      <c r="AF859" s="799"/>
      <c r="AG859" s="799"/>
      <c r="AH859" s="799"/>
      <c r="AI859" s="799"/>
      <c r="AJ859" s="799"/>
      <c r="AK859" s="799"/>
      <c r="AL859" s="799"/>
      <c r="AM859" s="799"/>
      <c r="AN859" s="799"/>
      <c r="AO859" s="799"/>
      <c r="AP859" s="799"/>
      <c r="AQ859" s="799"/>
      <c r="AR859" s="799"/>
      <c r="AS859" s="799"/>
      <c r="AT859" s="799"/>
      <c r="AU859" s="799"/>
      <c r="AV859" s="799"/>
      <c r="AW859" s="799"/>
      <c r="AX859" s="799"/>
      <c r="AY859" s="799"/>
      <c r="AZ859" s="799"/>
      <c r="BA859" s="799"/>
      <c r="BB859" s="799"/>
      <c r="BC859" s="799"/>
      <c r="BD859" s="799"/>
      <c r="BE859" s="799"/>
      <c r="BF859" s="799"/>
      <c r="BG859" s="799"/>
    </row>
    <row r="860">
      <c r="H860" s="799"/>
      <c r="I860" s="799"/>
      <c r="J860" s="799"/>
      <c r="K860" s="799"/>
      <c r="L860" s="799"/>
      <c r="M860" s="799"/>
      <c r="N860" s="799"/>
      <c r="O860" s="799"/>
      <c r="P860" s="799"/>
      <c r="Q860" s="799"/>
      <c r="R860" s="799"/>
      <c r="S860" s="799"/>
      <c r="T860" s="799"/>
      <c r="U860" s="799"/>
      <c r="V860" s="799"/>
      <c r="W860" s="799"/>
      <c r="X860" s="799"/>
      <c r="Y860" s="799"/>
      <c r="Z860" s="799"/>
      <c r="AA860" s="799"/>
      <c r="AB860" s="799"/>
      <c r="AC860" s="799"/>
      <c r="AD860" s="799"/>
      <c r="AE860" s="799"/>
      <c r="AF860" s="799"/>
      <c r="AG860" s="799"/>
      <c r="AH860" s="799"/>
      <c r="AI860" s="799"/>
      <c r="AJ860" s="799"/>
      <c r="AK860" s="799"/>
      <c r="AL860" s="799"/>
      <c r="AM860" s="799"/>
      <c r="AN860" s="799"/>
      <c r="AO860" s="799"/>
      <c r="AP860" s="799"/>
      <c r="AQ860" s="799"/>
      <c r="AR860" s="799"/>
      <c r="AS860" s="799"/>
      <c r="AT860" s="799"/>
      <c r="AU860" s="799"/>
      <c r="AV860" s="799"/>
      <c r="AW860" s="799"/>
      <c r="AX860" s="799"/>
      <c r="AY860" s="799"/>
      <c r="AZ860" s="799"/>
      <c r="BA860" s="799"/>
      <c r="BB860" s="799"/>
      <c r="BC860" s="799"/>
      <c r="BD860" s="799"/>
      <c r="BE860" s="799"/>
      <c r="BF860" s="799"/>
      <c r="BG860" s="799"/>
    </row>
    <row r="861">
      <c r="H861" s="799"/>
      <c r="I861" s="799"/>
      <c r="J861" s="799"/>
      <c r="K861" s="799"/>
      <c r="L861" s="799"/>
      <c r="M861" s="799"/>
      <c r="N861" s="799"/>
      <c r="O861" s="799"/>
      <c r="P861" s="799"/>
      <c r="Q861" s="799"/>
      <c r="R861" s="799"/>
      <c r="S861" s="799"/>
      <c r="T861" s="799"/>
      <c r="U861" s="799"/>
      <c r="V861" s="799"/>
      <c r="W861" s="799"/>
      <c r="X861" s="799"/>
      <c r="Y861" s="799"/>
      <c r="Z861" s="799"/>
      <c r="AA861" s="799"/>
      <c r="AB861" s="799"/>
      <c r="AC861" s="799"/>
      <c r="AD861" s="799"/>
      <c r="AE861" s="799"/>
      <c r="AF861" s="799"/>
      <c r="AG861" s="799"/>
      <c r="AH861" s="799"/>
      <c r="AI861" s="799"/>
      <c r="AJ861" s="799"/>
      <c r="AK861" s="799"/>
      <c r="AL861" s="799"/>
      <c r="AM861" s="799"/>
      <c r="AN861" s="799"/>
      <c r="AO861" s="799"/>
      <c r="AP861" s="799"/>
      <c r="AQ861" s="799"/>
      <c r="AR861" s="799"/>
      <c r="AS861" s="799"/>
      <c r="AT861" s="799"/>
      <c r="AU861" s="799"/>
      <c r="AV861" s="799"/>
      <c r="AW861" s="799"/>
      <c r="AX861" s="799"/>
      <c r="AY861" s="799"/>
      <c r="AZ861" s="799"/>
      <c r="BA861" s="799"/>
      <c r="BB861" s="799"/>
      <c r="BC861" s="799"/>
      <c r="BD861" s="799"/>
      <c r="BE861" s="799"/>
      <c r="BF861" s="799"/>
      <c r="BG861" s="799"/>
    </row>
    <row r="862">
      <c r="H862" s="799"/>
      <c r="I862" s="799"/>
      <c r="J862" s="799"/>
      <c r="K862" s="799"/>
      <c r="L862" s="799"/>
      <c r="M862" s="799"/>
      <c r="N862" s="799"/>
      <c r="O862" s="799"/>
      <c r="P862" s="799"/>
      <c r="Q862" s="799"/>
      <c r="R862" s="799"/>
      <c r="S862" s="799"/>
      <c r="T862" s="799"/>
      <c r="U862" s="799"/>
      <c r="V862" s="799"/>
      <c r="W862" s="799"/>
      <c r="X862" s="799"/>
      <c r="Y862" s="799"/>
      <c r="Z862" s="799"/>
      <c r="AA862" s="799"/>
      <c r="AB862" s="799"/>
      <c r="AC862" s="799"/>
      <c r="AD862" s="799"/>
      <c r="AE862" s="799"/>
      <c r="AF862" s="799"/>
      <c r="AG862" s="799"/>
      <c r="AH862" s="799"/>
      <c r="AI862" s="799"/>
      <c r="AJ862" s="799"/>
      <c r="AK862" s="799"/>
      <c r="AL862" s="799"/>
      <c r="AM862" s="799"/>
      <c r="AN862" s="799"/>
      <c r="AO862" s="799"/>
      <c r="AP862" s="799"/>
      <c r="AQ862" s="799"/>
      <c r="AR862" s="799"/>
      <c r="AS862" s="799"/>
      <c r="AT862" s="799"/>
      <c r="AU862" s="799"/>
      <c r="AV862" s="799"/>
      <c r="AW862" s="799"/>
      <c r="AX862" s="799"/>
      <c r="AY862" s="799"/>
      <c r="AZ862" s="799"/>
      <c r="BA862" s="799"/>
      <c r="BB862" s="799"/>
      <c r="BC862" s="799"/>
      <c r="BD862" s="799"/>
      <c r="BE862" s="799"/>
      <c r="BF862" s="799"/>
      <c r="BG862" s="799"/>
    </row>
    <row r="863">
      <c r="H863" s="799"/>
      <c r="I863" s="799"/>
      <c r="J863" s="799"/>
      <c r="K863" s="799"/>
      <c r="L863" s="799"/>
      <c r="M863" s="799"/>
      <c r="N863" s="799"/>
      <c r="O863" s="799"/>
      <c r="P863" s="799"/>
      <c r="Q863" s="799"/>
      <c r="R863" s="799"/>
      <c r="S863" s="799"/>
      <c r="T863" s="799"/>
      <c r="U863" s="799"/>
      <c r="V863" s="799"/>
      <c r="W863" s="799"/>
      <c r="X863" s="799"/>
      <c r="Y863" s="799"/>
      <c r="Z863" s="799"/>
      <c r="AA863" s="799"/>
      <c r="AB863" s="799"/>
      <c r="AC863" s="799"/>
      <c r="AD863" s="799"/>
      <c r="AE863" s="799"/>
      <c r="AF863" s="799"/>
      <c r="AG863" s="799"/>
      <c r="AH863" s="799"/>
      <c r="AI863" s="799"/>
      <c r="AJ863" s="799"/>
      <c r="AK863" s="799"/>
      <c r="AL863" s="799"/>
      <c r="AM863" s="799"/>
      <c r="AN863" s="799"/>
      <c r="AO863" s="799"/>
      <c r="AP863" s="799"/>
      <c r="AQ863" s="799"/>
      <c r="AR863" s="799"/>
      <c r="AS863" s="799"/>
      <c r="AT863" s="799"/>
      <c r="AU863" s="799"/>
      <c r="AV863" s="799"/>
      <c r="AW863" s="799"/>
      <c r="AX863" s="799"/>
      <c r="AY863" s="799"/>
      <c r="AZ863" s="799"/>
      <c r="BA863" s="799"/>
      <c r="BB863" s="799"/>
      <c r="BC863" s="799"/>
      <c r="BD863" s="799"/>
      <c r="BE863" s="799"/>
      <c r="BF863" s="799"/>
      <c r="BG863" s="799"/>
    </row>
    <row r="864">
      <c r="H864" s="799"/>
      <c r="I864" s="799"/>
      <c r="J864" s="799"/>
      <c r="K864" s="799"/>
      <c r="L864" s="799"/>
      <c r="M864" s="799"/>
      <c r="N864" s="799"/>
      <c r="O864" s="799"/>
      <c r="P864" s="799"/>
      <c r="Q864" s="799"/>
      <c r="R864" s="799"/>
      <c r="S864" s="799"/>
      <c r="T864" s="799"/>
      <c r="U864" s="799"/>
      <c r="V864" s="799"/>
      <c r="W864" s="799"/>
      <c r="X864" s="799"/>
      <c r="Y864" s="799"/>
      <c r="Z864" s="799"/>
      <c r="AA864" s="799"/>
      <c r="AB864" s="799"/>
      <c r="AC864" s="799"/>
      <c r="AD864" s="799"/>
      <c r="AE864" s="799"/>
      <c r="AF864" s="799"/>
      <c r="AG864" s="799"/>
      <c r="AH864" s="799"/>
      <c r="AI864" s="799"/>
      <c r="AJ864" s="799"/>
      <c r="AK864" s="799"/>
      <c r="AL864" s="799"/>
      <c r="AM864" s="799"/>
      <c r="AN864" s="799"/>
      <c r="AO864" s="799"/>
      <c r="AP864" s="799"/>
      <c r="AQ864" s="799"/>
      <c r="AR864" s="799"/>
      <c r="AS864" s="799"/>
      <c r="AT864" s="799"/>
      <c r="AU864" s="799"/>
      <c r="AV864" s="799"/>
      <c r="AW864" s="799"/>
      <c r="AX864" s="799"/>
      <c r="AY864" s="799"/>
      <c r="AZ864" s="799"/>
      <c r="BA864" s="799"/>
      <c r="BB864" s="799"/>
      <c r="BC864" s="799"/>
      <c r="BD864" s="799"/>
      <c r="BE864" s="799"/>
      <c r="BF864" s="799"/>
      <c r="BG864" s="799"/>
    </row>
    <row r="865">
      <c r="H865" s="799"/>
      <c r="I865" s="799"/>
      <c r="J865" s="799"/>
      <c r="K865" s="799"/>
      <c r="L865" s="799"/>
      <c r="M865" s="799"/>
      <c r="N865" s="799"/>
      <c r="O865" s="799"/>
      <c r="P865" s="799"/>
      <c r="Q865" s="799"/>
      <c r="R865" s="799"/>
      <c r="S865" s="799"/>
      <c r="T865" s="799"/>
      <c r="U865" s="799"/>
      <c r="V865" s="799"/>
      <c r="W865" s="799"/>
      <c r="X865" s="799"/>
      <c r="Y865" s="799"/>
      <c r="Z865" s="799"/>
      <c r="AA865" s="799"/>
      <c r="AB865" s="799"/>
      <c r="AC865" s="799"/>
      <c r="AD865" s="799"/>
      <c r="AE865" s="799"/>
      <c r="AF865" s="799"/>
      <c r="AG865" s="799"/>
      <c r="AH865" s="799"/>
      <c r="AI865" s="799"/>
      <c r="AJ865" s="799"/>
      <c r="AK865" s="799"/>
      <c r="AL865" s="799"/>
      <c r="AM865" s="799"/>
      <c r="AN865" s="799"/>
      <c r="AO865" s="799"/>
      <c r="AP865" s="799"/>
      <c r="AQ865" s="799"/>
      <c r="AR865" s="799"/>
      <c r="AS865" s="799"/>
      <c r="AT865" s="799"/>
      <c r="AU865" s="799"/>
      <c r="AV865" s="799"/>
      <c r="AW865" s="799"/>
      <c r="AX865" s="799"/>
      <c r="AY865" s="799"/>
      <c r="AZ865" s="799"/>
      <c r="BA865" s="799"/>
      <c r="BB865" s="799"/>
      <c r="BC865" s="799"/>
      <c r="BD865" s="799"/>
      <c r="BE865" s="799"/>
      <c r="BF865" s="799"/>
      <c r="BG865" s="799"/>
    </row>
    <row r="866">
      <c r="H866" s="799"/>
      <c r="I866" s="799"/>
      <c r="J866" s="799"/>
      <c r="K866" s="799"/>
      <c r="L866" s="799"/>
      <c r="M866" s="799"/>
      <c r="N866" s="799"/>
      <c r="O866" s="799"/>
      <c r="P866" s="799"/>
      <c r="Q866" s="799"/>
      <c r="R866" s="799"/>
      <c r="S866" s="799"/>
      <c r="T866" s="799"/>
      <c r="U866" s="799"/>
      <c r="V866" s="799"/>
      <c r="W866" s="799"/>
      <c r="X866" s="799"/>
      <c r="Y866" s="799"/>
      <c r="Z866" s="799"/>
      <c r="AA866" s="799"/>
      <c r="AB866" s="799"/>
      <c r="AC866" s="799"/>
      <c r="AD866" s="799"/>
      <c r="AE866" s="799"/>
      <c r="AF866" s="799"/>
      <c r="AG866" s="799"/>
      <c r="AH866" s="799"/>
      <c r="AI866" s="799"/>
      <c r="AJ866" s="799"/>
      <c r="AK866" s="799"/>
      <c r="AL866" s="799"/>
      <c r="AM866" s="799"/>
      <c r="AN866" s="799"/>
      <c r="AO866" s="799"/>
      <c r="AP866" s="799"/>
      <c r="AQ866" s="799"/>
      <c r="AR866" s="799"/>
      <c r="AS866" s="799"/>
      <c r="AT866" s="799"/>
      <c r="AU866" s="799"/>
      <c r="AV866" s="799"/>
      <c r="AW866" s="799"/>
      <c r="AX866" s="799"/>
      <c r="AY866" s="799"/>
      <c r="AZ866" s="799"/>
      <c r="BA866" s="799"/>
      <c r="BB866" s="799"/>
      <c r="BC866" s="799"/>
      <c r="BD866" s="799"/>
      <c r="BE866" s="799"/>
      <c r="BF866" s="799"/>
      <c r="BG866" s="799"/>
    </row>
    <row r="867">
      <c r="H867" s="799"/>
      <c r="I867" s="799"/>
      <c r="J867" s="799"/>
      <c r="K867" s="799"/>
      <c r="L867" s="799"/>
      <c r="M867" s="799"/>
      <c r="N867" s="799"/>
      <c r="O867" s="799"/>
      <c r="P867" s="799"/>
      <c r="Q867" s="799"/>
      <c r="R867" s="799"/>
      <c r="S867" s="799"/>
      <c r="T867" s="799"/>
      <c r="U867" s="799"/>
      <c r="V867" s="799"/>
      <c r="W867" s="799"/>
      <c r="X867" s="799"/>
      <c r="Y867" s="799"/>
      <c r="Z867" s="799"/>
      <c r="AA867" s="799"/>
      <c r="AB867" s="799"/>
      <c r="AC867" s="799"/>
      <c r="AD867" s="799"/>
      <c r="AE867" s="799"/>
      <c r="AF867" s="799"/>
      <c r="AG867" s="799"/>
      <c r="AH867" s="799"/>
      <c r="AI867" s="799"/>
      <c r="AJ867" s="799"/>
      <c r="AK867" s="799"/>
      <c r="AL867" s="799"/>
      <c r="AM867" s="799"/>
      <c r="AN867" s="799"/>
      <c r="AO867" s="799"/>
      <c r="AP867" s="799"/>
      <c r="AQ867" s="799"/>
      <c r="AR867" s="799"/>
      <c r="AS867" s="799"/>
      <c r="AT867" s="799"/>
      <c r="AU867" s="799"/>
      <c r="AV867" s="799"/>
      <c r="AW867" s="799"/>
      <c r="AX867" s="799"/>
      <c r="AY867" s="799"/>
      <c r="AZ867" s="799"/>
      <c r="BA867" s="799"/>
      <c r="BB867" s="799"/>
      <c r="BC867" s="799"/>
      <c r="BD867" s="799"/>
      <c r="BE867" s="799"/>
      <c r="BF867" s="799"/>
      <c r="BG867" s="799"/>
    </row>
    <row r="868">
      <c r="H868" s="799"/>
      <c r="I868" s="799"/>
      <c r="J868" s="799"/>
      <c r="K868" s="799"/>
      <c r="L868" s="799"/>
      <c r="M868" s="799"/>
      <c r="N868" s="799"/>
      <c r="O868" s="799"/>
      <c r="P868" s="799"/>
      <c r="Q868" s="799"/>
      <c r="R868" s="799"/>
      <c r="S868" s="799"/>
      <c r="T868" s="799"/>
      <c r="U868" s="799"/>
      <c r="V868" s="799"/>
      <c r="W868" s="799"/>
      <c r="X868" s="799"/>
      <c r="Y868" s="799"/>
      <c r="Z868" s="799"/>
      <c r="AA868" s="799"/>
      <c r="AB868" s="799"/>
      <c r="AC868" s="799"/>
      <c r="AD868" s="799"/>
      <c r="AE868" s="799"/>
      <c r="AF868" s="799"/>
      <c r="AG868" s="799"/>
      <c r="AH868" s="799"/>
      <c r="AI868" s="799"/>
      <c r="AJ868" s="799"/>
      <c r="AK868" s="799"/>
      <c r="AL868" s="799"/>
      <c r="AM868" s="799"/>
      <c r="AN868" s="799"/>
      <c r="AO868" s="799"/>
      <c r="AP868" s="799"/>
      <c r="AQ868" s="799"/>
      <c r="AR868" s="799"/>
      <c r="AS868" s="799"/>
      <c r="AT868" s="799"/>
      <c r="AU868" s="799"/>
      <c r="AV868" s="799"/>
      <c r="AW868" s="799"/>
      <c r="AX868" s="799"/>
      <c r="AY868" s="799"/>
      <c r="AZ868" s="799"/>
      <c r="BA868" s="799"/>
      <c r="BB868" s="799"/>
      <c r="BC868" s="799"/>
      <c r="BD868" s="799"/>
      <c r="BE868" s="799"/>
      <c r="BF868" s="799"/>
      <c r="BG868" s="799"/>
    </row>
    <row r="869">
      <c r="H869" s="799"/>
      <c r="I869" s="799"/>
      <c r="J869" s="799"/>
      <c r="K869" s="799"/>
      <c r="L869" s="799"/>
      <c r="M869" s="799"/>
      <c r="N869" s="799"/>
      <c r="O869" s="799"/>
      <c r="P869" s="799"/>
      <c r="Q869" s="799"/>
      <c r="R869" s="799"/>
      <c r="S869" s="799"/>
      <c r="T869" s="799"/>
      <c r="U869" s="799"/>
      <c r="V869" s="799"/>
      <c r="W869" s="799"/>
      <c r="X869" s="799"/>
      <c r="Y869" s="799"/>
      <c r="Z869" s="799"/>
      <c r="AA869" s="799"/>
      <c r="AB869" s="799"/>
      <c r="AC869" s="799"/>
      <c r="AD869" s="799"/>
      <c r="AE869" s="799"/>
      <c r="AF869" s="799"/>
      <c r="AG869" s="799"/>
      <c r="AH869" s="799"/>
      <c r="AI869" s="799"/>
      <c r="AJ869" s="799"/>
      <c r="AK869" s="799"/>
      <c r="AL869" s="799"/>
      <c r="AM869" s="799"/>
      <c r="AN869" s="799"/>
      <c r="AO869" s="799"/>
      <c r="AP869" s="799"/>
      <c r="AQ869" s="799"/>
      <c r="AR869" s="799"/>
      <c r="AS869" s="799"/>
      <c r="AT869" s="799"/>
      <c r="AU869" s="799"/>
      <c r="AV869" s="799"/>
      <c r="AW869" s="799"/>
      <c r="AX869" s="799"/>
      <c r="AY869" s="799"/>
      <c r="AZ869" s="799"/>
      <c r="BA869" s="799"/>
      <c r="BB869" s="799"/>
      <c r="BC869" s="799"/>
      <c r="BD869" s="799"/>
      <c r="BE869" s="799"/>
      <c r="BF869" s="799"/>
      <c r="BG869" s="799"/>
    </row>
    <row r="870">
      <c r="H870" s="799"/>
      <c r="I870" s="799"/>
      <c r="J870" s="799"/>
      <c r="K870" s="799"/>
      <c r="L870" s="799"/>
      <c r="M870" s="799"/>
      <c r="N870" s="799"/>
      <c r="O870" s="799"/>
      <c r="P870" s="799"/>
      <c r="Q870" s="799"/>
      <c r="R870" s="799"/>
      <c r="S870" s="799"/>
      <c r="T870" s="799"/>
      <c r="U870" s="799"/>
      <c r="V870" s="799"/>
      <c r="W870" s="799"/>
      <c r="X870" s="799"/>
      <c r="Y870" s="799"/>
      <c r="Z870" s="799"/>
      <c r="AA870" s="799"/>
      <c r="AB870" s="799"/>
      <c r="AC870" s="799"/>
      <c r="AD870" s="799"/>
      <c r="AE870" s="799"/>
      <c r="AF870" s="799"/>
      <c r="AG870" s="799"/>
      <c r="AH870" s="799"/>
      <c r="AI870" s="799"/>
      <c r="AJ870" s="799"/>
      <c r="AK870" s="799"/>
      <c r="AL870" s="799"/>
      <c r="AM870" s="799"/>
      <c r="AN870" s="799"/>
      <c r="AO870" s="799"/>
      <c r="AP870" s="799"/>
      <c r="AQ870" s="799"/>
      <c r="AR870" s="799"/>
      <c r="AS870" s="799"/>
      <c r="AT870" s="799"/>
      <c r="AU870" s="799"/>
      <c r="AV870" s="799"/>
      <c r="AW870" s="799"/>
      <c r="AX870" s="799"/>
      <c r="AY870" s="799"/>
      <c r="AZ870" s="799"/>
      <c r="BA870" s="799"/>
      <c r="BB870" s="799"/>
      <c r="BC870" s="799"/>
      <c r="BD870" s="799"/>
      <c r="BE870" s="799"/>
      <c r="BF870" s="799"/>
      <c r="BG870" s="799"/>
    </row>
    <row r="871">
      <c r="H871" s="799"/>
      <c r="I871" s="799"/>
      <c r="J871" s="799"/>
      <c r="K871" s="799"/>
      <c r="L871" s="799"/>
      <c r="M871" s="799"/>
      <c r="N871" s="799"/>
      <c r="O871" s="799"/>
      <c r="P871" s="799"/>
      <c r="Q871" s="799"/>
      <c r="R871" s="799"/>
      <c r="S871" s="799"/>
      <c r="T871" s="799"/>
      <c r="U871" s="799"/>
      <c r="V871" s="799"/>
      <c r="W871" s="799"/>
      <c r="X871" s="799"/>
      <c r="Y871" s="799"/>
      <c r="Z871" s="799"/>
      <c r="AA871" s="799"/>
      <c r="AB871" s="799"/>
      <c r="AC871" s="799"/>
      <c r="AD871" s="799"/>
      <c r="AE871" s="799"/>
      <c r="AF871" s="799"/>
      <c r="AG871" s="799"/>
      <c r="AH871" s="799"/>
      <c r="AI871" s="799"/>
      <c r="AJ871" s="799"/>
      <c r="AK871" s="799"/>
      <c r="AL871" s="799"/>
      <c r="AM871" s="799"/>
      <c r="AN871" s="799"/>
      <c r="AO871" s="799"/>
      <c r="AP871" s="799"/>
      <c r="AQ871" s="799"/>
      <c r="AR871" s="799"/>
      <c r="AS871" s="799"/>
      <c r="AT871" s="799"/>
      <c r="AU871" s="799"/>
      <c r="AV871" s="799"/>
      <c r="AW871" s="799"/>
      <c r="AX871" s="799"/>
      <c r="AY871" s="799"/>
      <c r="AZ871" s="799"/>
      <c r="BA871" s="799"/>
      <c r="BB871" s="799"/>
      <c r="BC871" s="799"/>
      <c r="BD871" s="799"/>
      <c r="BE871" s="799"/>
      <c r="BF871" s="799"/>
      <c r="BG871" s="799"/>
    </row>
    <row r="872">
      <c r="H872" s="799"/>
      <c r="I872" s="799"/>
      <c r="J872" s="799"/>
      <c r="K872" s="799"/>
      <c r="L872" s="799"/>
      <c r="M872" s="799"/>
      <c r="N872" s="799"/>
      <c r="O872" s="799"/>
      <c r="P872" s="799"/>
      <c r="Q872" s="799"/>
      <c r="R872" s="799"/>
      <c r="S872" s="799"/>
      <c r="T872" s="799"/>
      <c r="U872" s="799"/>
      <c r="V872" s="799"/>
      <c r="W872" s="799"/>
      <c r="X872" s="799"/>
      <c r="Y872" s="799"/>
      <c r="Z872" s="799"/>
      <c r="AA872" s="799"/>
      <c r="AB872" s="799"/>
      <c r="AC872" s="799"/>
      <c r="AD872" s="799"/>
      <c r="AE872" s="799"/>
      <c r="AF872" s="799"/>
      <c r="AG872" s="799"/>
      <c r="AH872" s="799"/>
      <c r="AI872" s="799"/>
      <c r="AJ872" s="799"/>
      <c r="AK872" s="799"/>
      <c r="AL872" s="799"/>
      <c r="AM872" s="799"/>
      <c r="AN872" s="799"/>
      <c r="AO872" s="799"/>
      <c r="AP872" s="799"/>
      <c r="AQ872" s="799"/>
      <c r="AR872" s="799"/>
      <c r="AS872" s="799"/>
      <c r="AT872" s="799"/>
      <c r="AU872" s="799"/>
      <c r="AV872" s="799"/>
      <c r="AW872" s="799"/>
      <c r="AX872" s="799"/>
      <c r="AY872" s="799"/>
      <c r="AZ872" s="799"/>
      <c r="BA872" s="799"/>
      <c r="BB872" s="799"/>
      <c r="BC872" s="799"/>
      <c r="BD872" s="799"/>
      <c r="BE872" s="799"/>
      <c r="BF872" s="799"/>
      <c r="BG872" s="799"/>
    </row>
    <row r="873">
      <c r="H873" s="799"/>
      <c r="I873" s="799"/>
      <c r="J873" s="799"/>
      <c r="K873" s="799"/>
      <c r="L873" s="799"/>
      <c r="M873" s="799"/>
      <c r="N873" s="799"/>
      <c r="O873" s="799"/>
      <c r="P873" s="799"/>
      <c r="Q873" s="799"/>
      <c r="R873" s="799"/>
      <c r="S873" s="799"/>
      <c r="T873" s="799"/>
      <c r="U873" s="799"/>
      <c r="V873" s="799"/>
      <c r="W873" s="799"/>
      <c r="X873" s="799"/>
      <c r="Y873" s="799"/>
      <c r="Z873" s="799"/>
      <c r="AA873" s="799"/>
      <c r="AB873" s="799"/>
      <c r="AC873" s="799"/>
      <c r="AD873" s="799"/>
      <c r="AE873" s="799"/>
      <c r="AF873" s="799"/>
      <c r="AG873" s="799"/>
      <c r="AH873" s="799"/>
      <c r="AI873" s="799"/>
      <c r="AJ873" s="799"/>
      <c r="AK873" s="799"/>
      <c r="AL873" s="799"/>
      <c r="AM873" s="799"/>
      <c r="AN873" s="799"/>
      <c r="AO873" s="799"/>
      <c r="AP873" s="799"/>
      <c r="AQ873" s="799"/>
      <c r="AR873" s="799"/>
      <c r="AS873" s="799"/>
      <c r="AT873" s="799"/>
      <c r="AU873" s="799"/>
      <c r="AV873" s="799"/>
      <c r="AW873" s="799"/>
      <c r="AX873" s="799"/>
      <c r="AY873" s="799"/>
      <c r="AZ873" s="799"/>
      <c r="BA873" s="799"/>
      <c r="BB873" s="799"/>
      <c r="BC873" s="799"/>
      <c r="BD873" s="799"/>
      <c r="BE873" s="799"/>
      <c r="BF873" s="799"/>
      <c r="BG873" s="799"/>
    </row>
    <row r="874">
      <c r="H874" s="799"/>
      <c r="I874" s="799"/>
      <c r="J874" s="799"/>
      <c r="K874" s="799"/>
      <c r="L874" s="799"/>
      <c r="M874" s="799"/>
      <c r="N874" s="799"/>
      <c r="O874" s="799"/>
      <c r="P874" s="799"/>
      <c r="Q874" s="799"/>
      <c r="R874" s="799"/>
      <c r="S874" s="799"/>
      <c r="T874" s="799"/>
      <c r="U874" s="799"/>
      <c r="V874" s="799"/>
      <c r="W874" s="799"/>
      <c r="X874" s="799"/>
      <c r="Y874" s="799"/>
      <c r="Z874" s="799"/>
      <c r="AA874" s="799"/>
      <c r="AB874" s="799"/>
      <c r="AC874" s="799"/>
      <c r="AD874" s="799"/>
      <c r="AE874" s="799"/>
      <c r="AF874" s="799"/>
      <c r="AG874" s="799"/>
      <c r="AH874" s="799"/>
      <c r="AI874" s="799"/>
      <c r="AJ874" s="799"/>
      <c r="AK874" s="799"/>
      <c r="AL874" s="799"/>
      <c r="AM874" s="799"/>
      <c r="AN874" s="799"/>
      <c r="AO874" s="799"/>
      <c r="AP874" s="799"/>
      <c r="AQ874" s="799"/>
      <c r="AR874" s="799"/>
      <c r="AS874" s="799"/>
      <c r="AT874" s="799"/>
      <c r="AU874" s="799"/>
      <c r="AV874" s="799"/>
      <c r="AW874" s="799"/>
      <c r="AX874" s="799"/>
      <c r="AY874" s="799"/>
      <c r="AZ874" s="799"/>
      <c r="BA874" s="799"/>
      <c r="BB874" s="799"/>
      <c r="BC874" s="799"/>
      <c r="BD874" s="799"/>
      <c r="BE874" s="799"/>
      <c r="BF874" s="799"/>
      <c r="BG874" s="799"/>
    </row>
    <row r="875">
      <c r="H875" s="799"/>
      <c r="I875" s="799"/>
      <c r="J875" s="799"/>
      <c r="K875" s="799"/>
      <c r="L875" s="799"/>
      <c r="M875" s="799"/>
      <c r="N875" s="799"/>
      <c r="O875" s="799"/>
      <c r="P875" s="799"/>
      <c r="Q875" s="799"/>
      <c r="R875" s="799"/>
      <c r="S875" s="799"/>
      <c r="T875" s="799"/>
      <c r="U875" s="799"/>
      <c r="V875" s="799"/>
      <c r="W875" s="799"/>
      <c r="X875" s="799"/>
      <c r="Y875" s="799"/>
      <c r="Z875" s="799"/>
      <c r="AA875" s="799"/>
      <c r="AB875" s="799"/>
      <c r="AC875" s="799"/>
      <c r="AD875" s="799"/>
      <c r="AE875" s="799"/>
      <c r="AF875" s="799"/>
      <c r="AG875" s="799"/>
      <c r="AH875" s="799"/>
      <c r="AI875" s="799"/>
      <c r="AJ875" s="799"/>
      <c r="AK875" s="799"/>
      <c r="AL875" s="799"/>
      <c r="AM875" s="799"/>
      <c r="AN875" s="799"/>
      <c r="AO875" s="799"/>
      <c r="AP875" s="799"/>
      <c r="AQ875" s="799"/>
      <c r="AR875" s="799"/>
      <c r="AS875" s="799"/>
      <c r="AT875" s="799"/>
      <c r="AU875" s="799"/>
      <c r="AV875" s="799"/>
      <c r="AW875" s="799"/>
      <c r="AX875" s="799"/>
      <c r="AY875" s="799"/>
      <c r="AZ875" s="799"/>
      <c r="BA875" s="799"/>
      <c r="BB875" s="799"/>
      <c r="BC875" s="799"/>
      <c r="BD875" s="799"/>
      <c r="BE875" s="799"/>
      <c r="BF875" s="799"/>
      <c r="BG875" s="799"/>
    </row>
    <row r="876">
      <c r="H876" s="799"/>
      <c r="I876" s="799"/>
      <c r="J876" s="799"/>
      <c r="K876" s="799"/>
      <c r="L876" s="799"/>
      <c r="M876" s="799"/>
      <c r="N876" s="799"/>
      <c r="O876" s="799"/>
      <c r="P876" s="799"/>
      <c r="Q876" s="799"/>
      <c r="R876" s="799"/>
      <c r="S876" s="799"/>
      <c r="T876" s="799"/>
      <c r="U876" s="799"/>
      <c r="V876" s="799"/>
      <c r="W876" s="799"/>
      <c r="X876" s="799"/>
      <c r="Y876" s="799"/>
      <c r="Z876" s="799"/>
      <c r="AA876" s="799"/>
      <c r="AB876" s="799"/>
      <c r="AC876" s="799"/>
      <c r="AD876" s="799"/>
      <c r="AE876" s="799"/>
      <c r="AF876" s="799"/>
      <c r="AG876" s="799"/>
      <c r="AH876" s="799"/>
      <c r="AI876" s="799"/>
      <c r="AJ876" s="799"/>
      <c r="AK876" s="799"/>
      <c r="AL876" s="799"/>
      <c r="AM876" s="799"/>
      <c r="AN876" s="799"/>
      <c r="AO876" s="799"/>
      <c r="AP876" s="799"/>
      <c r="AQ876" s="799"/>
      <c r="AR876" s="799"/>
      <c r="AS876" s="799"/>
      <c r="AT876" s="799"/>
      <c r="AU876" s="799"/>
      <c r="AV876" s="799"/>
      <c r="AW876" s="799"/>
      <c r="AX876" s="799"/>
      <c r="AY876" s="799"/>
      <c r="AZ876" s="799"/>
      <c r="BA876" s="799"/>
      <c r="BB876" s="799"/>
      <c r="BC876" s="799"/>
      <c r="BD876" s="799"/>
      <c r="BE876" s="799"/>
      <c r="BF876" s="799"/>
      <c r="BG876" s="799"/>
    </row>
    <row r="877">
      <c r="H877" s="799"/>
      <c r="I877" s="799"/>
      <c r="J877" s="799"/>
      <c r="K877" s="799"/>
      <c r="L877" s="799"/>
      <c r="M877" s="799"/>
      <c r="N877" s="799"/>
      <c r="O877" s="799"/>
      <c r="P877" s="799"/>
      <c r="Q877" s="799"/>
      <c r="R877" s="799"/>
      <c r="S877" s="799"/>
      <c r="T877" s="799"/>
      <c r="U877" s="799"/>
      <c r="V877" s="799"/>
      <c r="W877" s="799"/>
      <c r="X877" s="799"/>
      <c r="Y877" s="799"/>
      <c r="Z877" s="799"/>
      <c r="AA877" s="799"/>
      <c r="AB877" s="799"/>
      <c r="AC877" s="799"/>
      <c r="AD877" s="799"/>
      <c r="AE877" s="799"/>
      <c r="AF877" s="799"/>
      <c r="AG877" s="799"/>
      <c r="AH877" s="799"/>
      <c r="AI877" s="799"/>
      <c r="AJ877" s="799"/>
      <c r="AK877" s="799"/>
      <c r="AL877" s="799"/>
      <c r="AM877" s="799"/>
      <c r="AN877" s="799"/>
      <c r="AO877" s="799"/>
      <c r="AP877" s="799"/>
      <c r="AQ877" s="799"/>
      <c r="AR877" s="799"/>
      <c r="AS877" s="799"/>
      <c r="AT877" s="799"/>
      <c r="AU877" s="799"/>
      <c r="AV877" s="799"/>
      <c r="AW877" s="799"/>
      <c r="AX877" s="799"/>
      <c r="AY877" s="799"/>
      <c r="AZ877" s="799"/>
      <c r="BA877" s="799"/>
      <c r="BB877" s="799"/>
      <c r="BC877" s="799"/>
      <c r="BD877" s="799"/>
      <c r="BE877" s="799"/>
      <c r="BF877" s="799"/>
      <c r="BG877" s="799"/>
    </row>
    <row r="878">
      <c r="H878" s="799"/>
      <c r="I878" s="799"/>
      <c r="J878" s="799"/>
      <c r="K878" s="799"/>
      <c r="L878" s="799"/>
      <c r="M878" s="799"/>
      <c r="N878" s="799"/>
      <c r="O878" s="799"/>
      <c r="P878" s="799"/>
      <c r="Q878" s="799"/>
      <c r="R878" s="799"/>
      <c r="S878" s="799"/>
      <c r="T878" s="799"/>
      <c r="U878" s="799"/>
      <c r="V878" s="799"/>
      <c r="W878" s="799"/>
      <c r="X878" s="799"/>
      <c r="Y878" s="799"/>
      <c r="Z878" s="799"/>
      <c r="AA878" s="799"/>
      <c r="AB878" s="799"/>
      <c r="AC878" s="799"/>
      <c r="AD878" s="799"/>
      <c r="AE878" s="799"/>
      <c r="AF878" s="799"/>
      <c r="AG878" s="799"/>
      <c r="AH878" s="799"/>
      <c r="AI878" s="799"/>
      <c r="AJ878" s="799"/>
      <c r="AK878" s="799"/>
      <c r="AL878" s="799"/>
      <c r="AM878" s="799"/>
      <c r="AN878" s="799"/>
      <c r="AO878" s="799"/>
      <c r="AP878" s="799"/>
      <c r="AQ878" s="799"/>
      <c r="AR878" s="799"/>
      <c r="AS878" s="799"/>
      <c r="AT878" s="799"/>
      <c r="AU878" s="799"/>
      <c r="AV878" s="799"/>
      <c r="AW878" s="799"/>
      <c r="AX878" s="799"/>
      <c r="AY878" s="799"/>
      <c r="AZ878" s="799"/>
      <c r="BA878" s="799"/>
      <c r="BB878" s="799"/>
      <c r="BC878" s="799"/>
      <c r="BD878" s="799"/>
      <c r="BE878" s="799"/>
      <c r="BF878" s="799"/>
      <c r="BG878" s="799"/>
    </row>
    <row r="879">
      <c r="H879" s="799"/>
      <c r="I879" s="799"/>
      <c r="J879" s="799"/>
      <c r="K879" s="799"/>
      <c r="L879" s="799"/>
      <c r="M879" s="799"/>
      <c r="N879" s="799"/>
      <c r="O879" s="799"/>
      <c r="P879" s="799"/>
      <c r="Q879" s="799"/>
      <c r="R879" s="799"/>
      <c r="S879" s="799"/>
      <c r="T879" s="799"/>
      <c r="U879" s="799"/>
      <c r="V879" s="799"/>
      <c r="W879" s="799"/>
      <c r="X879" s="799"/>
      <c r="Y879" s="799"/>
      <c r="Z879" s="799"/>
      <c r="AA879" s="799"/>
      <c r="AB879" s="799"/>
      <c r="AC879" s="799"/>
      <c r="AD879" s="799"/>
      <c r="AE879" s="799"/>
      <c r="AF879" s="799"/>
      <c r="AG879" s="799"/>
      <c r="AH879" s="799"/>
      <c r="AI879" s="799"/>
      <c r="AJ879" s="799"/>
      <c r="AK879" s="799"/>
      <c r="AL879" s="799"/>
      <c r="AM879" s="799"/>
      <c r="AN879" s="799"/>
      <c r="AO879" s="799"/>
      <c r="AP879" s="799"/>
      <c r="AQ879" s="799"/>
      <c r="AR879" s="799"/>
      <c r="AS879" s="799"/>
      <c r="AT879" s="799"/>
      <c r="AU879" s="799"/>
      <c r="AV879" s="799"/>
      <c r="AW879" s="799"/>
      <c r="AX879" s="799"/>
      <c r="AY879" s="799"/>
      <c r="AZ879" s="799"/>
      <c r="BA879" s="799"/>
      <c r="BB879" s="799"/>
      <c r="BC879" s="799"/>
      <c r="BD879" s="799"/>
      <c r="BE879" s="799"/>
      <c r="BF879" s="799"/>
      <c r="BG879" s="799"/>
    </row>
    <row r="880">
      <c r="H880" s="799"/>
      <c r="I880" s="799"/>
      <c r="J880" s="799"/>
      <c r="K880" s="799"/>
      <c r="L880" s="799"/>
      <c r="M880" s="799"/>
      <c r="N880" s="799"/>
      <c r="O880" s="799"/>
      <c r="P880" s="799"/>
      <c r="Q880" s="799"/>
      <c r="R880" s="799"/>
      <c r="S880" s="799"/>
      <c r="T880" s="799"/>
      <c r="U880" s="799"/>
      <c r="V880" s="799"/>
      <c r="W880" s="799"/>
      <c r="X880" s="799"/>
      <c r="Y880" s="799"/>
      <c r="Z880" s="799"/>
      <c r="AA880" s="799"/>
      <c r="AB880" s="799"/>
      <c r="AC880" s="799"/>
      <c r="AD880" s="799"/>
      <c r="AE880" s="799"/>
      <c r="AF880" s="799"/>
      <c r="AG880" s="799"/>
      <c r="AH880" s="799"/>
      <c r="AI880" s="799"/>
      <c r="AJ880" s="799"/>
      <c r="AK880" s="799"/>
      <c r="AL880" s="799"/>
      <c r="AM880" s="799"/>
      <c r="AN880" s="799"/>
      <c r="AO880" s="799"/>
      <c r="AP880" s="799"/>
      <c r="AQ880" s="799"/>
      <c r="AR880" s="799"/>
      <c r="AS880" s="799"/>
      <c r="AT880" s="799"/>
      <c r="AU880" s="799"/>
      <c r="AV880" s="799"/>
      <c r="AW880" s="799"/>
      <c r="AX880" s="799"/>
      <c r="AY880" s="799"/>
      <c r="AZ880" s="799"/>
      <c r="BA880" s="799"/>
      <c r="BB880" s="799"/>
      <c r="BC880" s="799"/>
      <c r="BD880" s="799"/>
      <c r="BE880" s="799"/>
      <c r="BF880" s="799"/>
      <c r="BG880" s="799"/>
    </row>
    <row r="881">
      <c r="H881" s="799"/>
      <c r="I881" s="799"/>
      <c r="J881" s="799"/>
      <c r="K881" s="799"/>
      <c r="L881" s="799"/>
      <c r="M881" s="799"/>
      <c r="N881" s="799"/>
      <c r="O881" s="799"/>
      <c r="P881" s="799"/>
      <c r="Q881" s="799"/>
      <c r="R881" s="799"/>
      <c r="S881" s="799"/>
      <c r="T881" s="799"/>
      <c r="U881" s="799"/>
      <c r="V881" s="799"/>
      <c r="W881" s="799"/>
      <c r="X881" s="799"/>
      <c r="Y881" s="799"/>
      <c r="Z881" s="799"/>
      <c r="AA881" s="799"/>
      <c r="AB881" s="799"/>
      <c r="AC881" s="799"/>
      <c r="AD881" s="799"/>
      <c r="AE881" s="799"/>
      <c r="AF881" s="799"/>
      <c r="AG881" s="799"/>
      <c r="AH881" s="799"/>
      <c r="AI881" s="799"/>
      <c r="AJ881" s="799"/>
      <c r="AK881" s="799"/>
      <c r="AL881" s="799"/>
      <c r="AM881" s="799"/>
      <c r="AN881" s="799"/>
      <c r="AO881" s="799"/>
      <c r="AP881" s="799"/>
      <c r="AQ881" s="799"/>
      <c r="AR881" s="799"/>
      <c r="AS881" s="799"/>
      <c r="AT881" s="799"/>
      <c r="AU881" s="799"/>
      <c r="AV881" s="799"/>
      <c r="AW881" s="799"/>
      <c r="AX881" s="799"/>
      <c r="AY881" s="799"/>
      <c r="AZ881" s="799"/>
      <c r="BA881" s="799"/>
      <c r="BB881" s="799"/>
      <c r="BC881" s="799"/>
      <c r="BD881" s="799"/>
      <c r="BE881" s="799"/>
      <c r="BF881" s="799"/>
      <c r="BG881" s="799"/>
    </row>
    <row r="882">
      <c r="H882" s="799"/>
      <c r="I882" s="799"/>
      <c r="J882" s="799"/>
      <c r="K882" s="799"/>
      <c r="L882" s="799"/>
      <c r="M882" s="799"/>
      <c r="N882" s="799"/>
      <c r="O882" s="799"/>
      <c r="P882" s="799"/>
      <c r="Q882" s="799"/>
      <c r="R882" s="799"/>
      <c r="S882" s="799"/>
      <c r="T882" s="799"/>
      <c r="U882" s="799"/>
      <c r="V882" s="799"/>
      <c r="W882" s="799"/>
      <c r="X882" s="799"/>
      <c r="Y882" s="799"/>
      <c r="Z882" s="799"/>
      <c r="AA882" s="799"/>
      <c r="AB882" s="799"/>
      <c r="AC882" s="799"/>
      <c r="AD882" s="799"/>
      <c r="AE882" s="799"/>
      <c r="AF882" s="799"/>
      <c r="AG882" s="799"/>
      <c r="AH882" s="799"/>
      <c r="AI882" s="799"/>
      <c r="AJ882" s="799"/>
      <c r="AK882" s="799"/>
      <c r="AL882" s="799"/>
      <c r="AM882" s="799"/>
      <c r="AN882" s="799"/>
      <c r="AO882" s="799"/>
      <c r="AP882" s="799"/>
      <c r="AQ882" s="799"/>
      <c r="AR882" s="799"/>
      <c r="AS882" s="799"/>
      <c r="AT882" s="799"/>
      <c r="AU882" s="799"/>
      <c r="AV882" s="799"/>
      <c r="AW882" s="799"/>
      <c r="AX882" s="799"/>
      <c r="AY882" s="799"/>
      <c r="AZ882" s="799"/>
      <c r="BA882" s="799"/>
      <c r="BB882" s="799"/>
      <c r="BC882" s="799"/>
      <c r="BD882" s="799"/>
      <c r="BE882" s="799"/>
      <c r="BF882" s="799"/>
      <c r="BG882" s="799"/>
    </row>
    <row r="883">
      <c r="H883" s="799"/>
      <c r="I883" s="799"/>
      <c r="J883" s="799"/>
      <c r="K883" s="799"/>
      <c r="L883" s="799"/>
      <c r="M883" s="799"/>
      <c r="N883" s="799"/>
      <c r="O883" s="799"/>
      <c r="P883" s="799"/>
      <c r="Q883" s="799"/>
      <c r="R883" s="799"/>
      <c r="S883" s="799"/>
      <c r="T883" s="799"/>
      <c r="U883" s="799"/>
      <c r="V883" s="799"/>
      <c r="W883" s="799"/>
      <c r="X883" s="799"/>
      <c r="Y883" s="799"/>
      <c r="Z883" s="799"/>
      <c r="AA883" s="799"/>
      <c r="AB883" s="799"/>
      <c r="AC883" s="799"/>
      <c r="AD883" s="799"/>
      <c r="AE883" s="799"/>
      <c r="AF883" s="799"/>
      <c r="AG883" s="799"/>
      <c r="AH883" s="799"/>
      <c r="AI883" s="799"/>
      <c r="AJ883" s="799"/>
      <c r="AK883" s="799"/>
      <c r="AL883" s="799"/>
      <c r="AM883" s="799"/>
      <c r="AN883" s="799"/>
      <c r="AO883" s="799"/>
      <c r="AP883" s="799"/>
      <c r="AQ883" s="799"/>
      <c r="AR883" s="799"/>
      <c r="AS883" s="799"/>
      <c r="AT883" s="799"/>
      <c r="AU883" s="799"/>
      <c r="AV883" s="799"/>
      <c r="AW883" s="799"/>
      <c r="AX883" s="799"/>
      <c r="AY883" s="799"/>
      <c r="AZ883" s="799"/>
      <c r="BA883" s="799"/>
      <c r="BB883" s="799"/>
      <c r="BC883" s="799"/>
      <c r="BD883" s="799"/>
      <c r="BE883" s="799"/>
      <c r="BF883" s="799"/>
      <c r="BG883" s="799"/>
    </row>
    <row r="884">
      <c r="H884" s="799"/>
      <c r="I884" s="799"/>
      <c r="J884" s="799"/>
      <c r="K884" s="799"/>
      <c r="L884" s="799"/>
      <c r="M884" s="799"/>
      <c r="N884" s="799"/>
      <c r="O884" s="799"/>
      <c r="P884" s="799"/>
      <c r="Q884" s="799"/>
      <c r="R884" s="799"/>
      <c r="S884" s="799"/>
      <c r="T884" s="799"/>
      <c r="U884" s="799"/>
      <c r="V884" s="799"/>
      <c r="W884" s="799"/>
      <c r="X884" s="799"/>
      <c r="Y884" s="799"/>
      <c r="Z884" s="799"/>
      <c r="AA884" s="799"/>
      <c r="AB884" s="799"/>
      <c r="AC884" s="799"/>
      <c r="AD884" s="799"/>
      <c r="AE884" s="799"/>
      <c r="AF884" s="799"/>
      <c r="AG884" s="799"/>
      <c r="AH884" s="799"/>
      <c r="AI884" s="799"/>
      <c r="AJ884" s="799"/>
      <c r="AK884" s="799"/>
      <c r="AL884" s="799"/>
      <c r="AM884" s="799"/>
      <c r="AN884" s="799"/>
      <c r="AO884" s="799"/>
      <c r="AP884" s="799"/>
      <c r="AQ884" s="799"/>
      <c r="AR884" s="799"/>
      <c r="AS884" s="799"/>
      <c r="AT884" s="799"/>
      <c r="AU884" s="799"/>
      <c r="AV884" s="799"/>
      <c r="AW884" s="799"/>
      <c r="AX884" s="799"/>
      <c r="AY884" s="799"/>
      <c r="AZ884" s="799"/>
      <c r="BA884" s="799"/>
      <c r="BB884" s="799"/>
      <c r="BC884" s="799"/>
      <c r="BD884" s="799"/>
      <c r="BE884" s="799"/>
      <c r="BF884" s="799"/>
      <c r="BG884" s="799"/>
    </row>
    <row r="885">
      <c r="H885" s="799"/>
      <c r="I885" s="799"/>
      <c r="J885" s="799"/>
      <c r="K885" s="799"/>
      <c r="L885" s="799"/>
      <c r="M885" s="799"/>
      <c r="N885" s="799"/>
      <c r="O885" s="799"/>
      <c r="P885" s="799"/>
      <c r="Q885" s="799"/>
      <c r="R885" s="799"/>
      <c r="S885" s="799"/>
      <c r="T885" s="799"/>
      <c r="U885" s="799"/>
      <c r="V885" s="799"/>
      <c r="W885" s="799"/>
      <c r="X885" s="799"/>
      <c r="Y885" s="799"/>
      <c r="Z885" s="799"/>
      <c r="AA885" s="799"/>
      <c r="AB885" s="799"/>
      <c r="AC885" s="799"/>
      <c r="AD885" s="799"/>
      <c r="AE885" s="799"/>
      <c r="AF885" s="799"/>
      <c r="AG885" s="799"/>
      <c r="AH885" s="799"/>
      <c r="AI885" s="799"/>
      <c r="AJ885" s="799"/>
      <c r="AK885" s="799"/>
      <c r="AL885" s="799"/>
      <c r="AM885" s="799"/>
      <c r="AN885" s="799"/>
      <c r="AO885" s="799"/>
      <c r="AP885" s="799"/>
      <c r="AQ885" s="799"/>
      <c r="AR885" s="799"/>
      <c r="AS885" s="799"/>
      <c r="AT885" s="799"/>
      <c r="AU885" s="799"/>
      <c r="AV885" s="799"/>
      <c r="AW885" s="799"/>
      <c r="AX885" s="799"/>
      <c r="AY885" s="799"/>
      <c r="AZ885" s="799"/>
      <c r="BA885" s="799"/>
      <c r="BB885" s="799"/>
      <c r="BC885" s="799"/>
      <c r="BD885" s="799"/>
      <c r="BE885" s="799"/>
      <c r="BF885" s="799"/>
      <c r="BG885" s="799"/>
    </row>
    <row r="886">
      <c r="H886" s="799"/>
      <c r="I886" s="799"/>
      <c r="J886" s="799"/>
      <c r="K886" s="799"/>
      <c r="L886" s="799"/>
      <c r="M886" s="799"/>
      <c r="N886" s="799"/>
      <c r="O886" s="799"/>
      <c r="P886" s="799"/>
      <c r="Q886" s="799"/>
      <c r="R886" s="799"/>
      <c r="S886" s="799"/>
      <c r="T886" s="799"/>
      <c r="U886" s="799"/>
      <c r="V886" s="799"/>
      <c r="W886" s="799"/>
      <c r="X886" s="799"/>
      <c r="Y886" s="799"/>
      <c r="Z886" s="799"/>
      <c r="AA886" s="799"/>
      <c r="AB886" s="799"/>
      <c r="AC886" s="799"/>
      <c r="AD886" s="799"/>
      <c r="AE886" s="799"/>
      <c r="AF886" s="799"/>
      <c r="AG886" s="799"/>
      <c r="AH886" s="799"/>
      <c r="AI886" s="799"/>
      <c r="AJ886" s="799"/>
      <c r="AK886" s="799"/>
      <c r="AL886" s="799"/>
      <c r="AM886" s="799"/>
      <c r="AN886" s="799"/>
      <c r="AO886" s="799"/>
      <c r="AP886" s="799"/>
      <c r="AQ886" s="799"/>
      <c r="AR886" s="799"/>
      <c r="AS886" s="799"/>
      <c r="AT886" s="799"/>
      <c r="AU886" s="799"/>
      <c r="AV886" s="799"/>
      <c r="AW886" s="799"/>
      <c r="AX886" s="799"/>
      <c r="AY886" s="799"/>
      <c r="AZ886" s="799"/>
      <c r="BA886" s="799"/>
      <c r="BB886" s="799"/>
      <c r="BC886" s="799"/>
      <c r="BD886" s="799"/>
      <c r="BE886" s="799"/>
      <c r="BF886" s="799"/>
      <c r="BG886" s="799"/>
    </row>
    <row r="887">
      <c r="H887" s="799"/>
      <c r="I887" s="799"/>
      <c r="J887" s="799"/>
      <c r="K887" s="799"/>
      <c r="L887" s="799"/>
      <c r="M887" s="799"/>
      <c r="N887" s="799"/>
      <c r="O887" s="799"/>
      <c r="P887" s="799"/>
      <c r="Q887" s="799"/>
      <c r="R887" s="799"/>
      <c r="S887" s="799"/>
      <c r="T887" s="799"/>
      <c r="U887" s="799"/>
      <c r="V887" s="799"/>
      <c r="W887" s="799"/>
      <c r="X887" s="799"/>
      <c r="Y887" s="799"/>
      <c r="Z887" s="799"/>
      <c r="AA887" s="799"/>
      <c r="AB887" s="799"/>
      <c r="AC887" s="799"/>
      <c r="AD887" s="799"/>
      <c r="AE887" s="799"/>
      <c r="AF887" s="799"/>
      <c r="AG887" s="799"/>
      <c r="AH887" s="799"/>
      <c r="AI887" s="799"/>
      <c r="AJ887" s="799"/>
      <c r="AK887" s="799"/>
      <c r="AL887" s="799"/>
      <c r="AM887" s="799"/>
      <c r="AN887" s="799"/>
      <c r="AO887" s="799"/>
      <c r="AP887" s="799"/>
      <c r="AQ887" s="799"/>
      <c r="AR887" s="799"/>
      <c r="AS887" s="799"/>
      <c r="AT887" s="799"/>
      <c r="AU887" s="799"/>
      <c r="AV887" s="799"/>
      <c r="AW887" s="799"/>
      <c r="AX887" s="799"/>
      <c r="AY887" s="799"/>
      <c r="AZ887" s="799"/>
      <c r="BA887" s="799"/>
      <c r="BB887" s="799"/>
      <c r="BC887" s="799"/>
      <c r="BD887" s="799"/>
      <c r="BE887" s="799"/>
      <c r="BF887" s="799"/>
      <c r="BG887" s="799"/>
    </row>
    <row r="888">
      <c r="H888" s="799"/>
      <c r="I888" s="799"/>
      <c r="J888" s="799"/>
      <c r="K888" s="799"/>
      <c r="L888" s="799"/>
      <c r="M888" s="799"/>
      <c r="N888" s="799"/>
      <c r="O888" s="799"/>
      <c r="P888" s="799"/>
      <c r="Q888" s="799"/>
      <c r="R888" s="799"/>
      <c r="S888" s="799"/>
      <c r="T888" s="799"/>
      <c r="U888" s="799"/>
      <c r="V888" s="799"/>
      <c r="W888" s="799"/>
      <c r="X888" s="799"/>
      <c r="Y888" s="799"/>
      <c r="Z888" s="799"/>
      <c r="AA888" s="799"/>
      <c r="AB888" s="799"/>
      <c r="AC888" s="799"/>
      <c r="AD888" s="799"/>
      <c r="AE888" s="799"/>
      <c r="AF888" s="799"/>
      <c r="AG888" s="799"/>
      <c r="AH888" s="799"/>
      <c r="AI888" s="799"/>
      <c r="AJ888" s="799"/>
      <c r="AK888" s="799"/>
      <c r="AL888" s="799"/>
      <c r="AM888" s="799"/>
      <c r="AN888" s="799"/>
      <c r="AO888" s="799"/>
      <c r="AP888" s="799"/>
      <c r="AQ888" s="799"/>
      <c r="AR888" s="799"/>
      <c r="AS888" s="799"/>
      <c r="AT888" s="799"/>
      <c r="AU888" s="799"/>
      <c r="AV888" s="799"/>
      <c r="AW888" s="799"/>
      <c r="AX888" s="799"/>
      <c r="AY888" s="799"/>
      <c r="AZ888" s="799"/>
      <c r="BA888" s="799"/>
      <c r="BB888" s="799"/>
      <c r="BC888" s="799"/>
      <c r="BD888" s="799"/>
      <c r="BE888" s="799"/>
      <c r="BF888" s="799"/>
      <c r="BG888" s="799"/>
    </row>
    <row r="889">
      <c r="H889" s="799"/>
      <c r="I889" s="799"/>
      <c r="J889" s="799"/>
      <c r="K889" s="799"/>
      <c r="L889" s="799"/>
      <c r="M889" s="799"/>
      <c r="N889" s="799"/>
      <c r="O889" s="799"/>
      <c r="P889" s="799"/>
      <c r="Q889" s="799"/>
      <c r="R889" s="799"/>
      <c r="S889" s="799"/>
      <c r="T889" s="799"/>
      <c r="U889" s="799"/>
      <c r="V889" s="799"/>
      <c r="W889" s="799"/>
      <c r="X889" s="799"/>
      <c r="Y889" s="799"/>
      <c r="Z889" s="799"/>
      <c r="AA889" s="799"/>
      <c r="AB889" s="799"/>
      <c r="AC889" s="799"/>
      <c r="AD889" s="799"/>
      <c r="AE889" s="799"/>
      <c r="AF889" s="799"/>
      <c r="AG889" s="799"/>
      <c r="AH889" s="799"/>
      <c r="AI889" s="799"/>
      <c r="AJ889" s="799"/>
      <c r="AK889" s="799"/>
      <c r="AL889" s="799"/>
      <c r="AM889" s="799"/>
      <c r="AN889" s="799"/>
      <c r="AO889" s="799"/>
      <c r="AP889" s="799"/>
      <c r="AQ889" s="799"/>
      <c r="AR889" s="799"/>
      <c r="AS889" s="799"/>
      <c r="AT889" s="799"/>
      <c r="AU889" s="799"/>
      <c r="AV889" s="799"/>
      <c r="AW889" s="799"/>
      <c r="AX889" s="799"/>
      <c r="AY889" s="799"/>
      <c r="AZ889" s="799"/>
      <c r="BA889" s="799"/>
      <c r="BB889" s="799"/>
      <c r="BC889" s="799"/>
      <c r="BD889" s="799"/>
      <c r="BE889" s="799"/>
      <c r="BF889" s="799"/>
      <c r="BG889" s="799"/>
    </row>
    <row r="890">
      <c r="H890" s="799"/>
      <c r="I890" s="799"/>
      <c r="J890" s="799"/>
      <c r="K890" s="799"/>
      <c r="L890" s="799"/>
      <c r="M890" s="799"/>
      <c r="N890" s="799"/>
      <c r="O890" s="799"/>
      <c r="P890" s="799"/>
      <c r="Q890" s="799"/>
      <c r="R890" s="799"/>
      <c r="S890" s="799"/>
      <c r="T890" s="799"/>
      <c r="U890" s="799"/>
      <c r="V890" s="799"/>
      <c r="W890" s="799"/>
      <c r="X890" s="799"/>
      <c r="Y890" s="799"/>
      <c r="Z890" s="799"/>
      <c r="AA890" s="799"/>
      <c r="AB890" s="799"/>
      <c r="AC890" s="799"/>
      <c r="AD890" s="799"/>
      <c r="AE890" s="799"/>
      <c r="AF890" s="799"/>
      <c r="AG890" s="799"/>
      <c r="AH890" s="799"/>
      <c r="AI890" s="799"/>
      <c r="AJ890" s="799"/>
      <c r="AK890" s="799"/>
      <c r="AL890" s="799"/>
      <c r="AM890" s="799"/>
      <c r="AN890" s="799"/>
      <c r="AO890" s="799"/>
      <c r="AP890" s="799"/>
      <c r="AQ890" s="799"/>
      <c r="AR890" s="799"/>
      <c r="AS890" s="799"/>
      <c r="AT890" s="799"/>
      <c r="AU890" s="799"/>
      <c r="AV890" s="799"/>
      <c r="AW890" s="799"/>
      <c r="AX890" s="799"/>
      <c r="AY890" s="799"/>
      <c r="AZ890" s="799"/>
      <c r="BA890" s="799"/>
      <c r="BB890" s="799"/>
      <c r="BC890" s="799"/>
      <c r="BD890" s="799"/>
      <c r="BE890" s="799"/>
      <c r="BF890" s="799"/>
      <c r="BG890" s="799"/>
    </row>
    <row r="891">
      <c r="H891" s="799"/>
      <c r="I891" s="799"/>
      <c r="J891" s="799"/>
      <c r="K891" s="799"/>
      <c r="L891" s="799"/>
      <c r="M891" s="799"/>
      <c r="N891" s="799"/>
      <c r="O891" s="799"/>
      <c r="P891" s="799"/>
      <c r="Q891" s="799"/>
      <c r="R891" s="799"/>
      <c r="S891" s="799"/>
      <c r="T891" s="799"/>
      <c r="U891" s="799"/>
      <c r="V891" s="799"/>
      <c r="W891" s="799"/>
      <c r="X891" s="799"/>
      <c r="Y891" s="799"/>
      <c r="Z891" s="799"/>
      <c r="AA891" s="799"/>
      <c r="AB891" s="799"/>
      <c r="AC891" s="799"/>
      <c r="AD891" s="799"/>
      <c r="AE891" s="799"/>
      <c r="AF891" s="799"/>
      <c r="AG891" s="799"/>
      <c r="AH891" s="799"/>
      <c r="AI891" s="799"/>
      <c r="AJ891" s="799"/>
      <c r="AK891" s="799"/>
      <c r="AL891" s="799"/>
      <c r="AM891" s="799"/>
      <c r="AN891" s="799"/>
      <c r="AO891" s="799"/>
      <c r="AP891" s="799"/>
      <c r="AQ891" s="799"/>
      <c r="AR891" s="799"/>
      <c r="AS891" s="799"/>
      <c r="AT891" s="799"/>
      <c r="AU891" s="799"/>
      <c r="AV891" s="799"/>
      <c r="AW891" s="799"/>
      <c r="AX891" s="799"/>
      <c r="AY891" s="799"/>
      <c r="AZ891" s="799"/>
      <c r="BA891" s="799"/>
      <c r="BB891" s="799"/>
      <c r="BC891" s="799"/>
      <c r="BD891" s="799"/>
      <c r="BE891" s="799"/>
      <c r="BF891" s="799"/>
      <c r="BG891" s="799"/>
    </row>
    <row r="892">
      <c r="H892" s="799"/>
      <c r="I892" s="799"/>
      <c r="J892" s="799"/>
      <c r="K892" s="799"/>
      <c r="L892" s="799"/>
      <c r="M892" s="799"/>
      <c r="N892" s="799"/>
      <c r="O892" s="799"/>
      <c r="P892" s="799"/>
      <c r="Q892" s="799"/>
      <c r="R892" s="799"/>
      <c r="S892" s="799"/>
      <c r="T892" s="799"/>
      <c r="U892" s="799"/>
      <c r="V892" s="799"/>
      <c r="W892" s="799"/>
      <c r="X892" s="799"/>
      <c r="Y892" s="799"/>
      <c r="Z892" s="799"/>
      <c r="AA892" s="799"/>
      <c r="AB892" s="799"/>
      <c r="AC892" s="799"/>
      <c r="AD892" s="799"/>
      <c r="AE892" s="799"/>
      <c r="AF892" s="799"/>
      <c r="AG892" s="799"/>
      <c r="AH892" s="799"/>
      <c r="AI892" s="799"/>
      <c r="AJ892" s="799"/>
      <c r="AK892" s="799"/>
      <c r="AL892" s="799"/>
      <c r="AM892" s="799"/>
      <c r="AN892" s="799"/>
      <c r="AO892" s="799"/>
      <c r="AP892" s="799"/>
      <c r="AQ892" s="799"/>
      <c r="AR892" s="799"/>
      <c r="AS892" s="799"/>
      <c r="AT892" s="799"/>
      <c r="AU892" s="799"/>
      <c r="AV892" s="799"/>
      <c r="AW892" s="799"/>
      <c r="AX892" s="799"/>
      <c r="AY892" s="799"/>
      <c r="AZ892" s="799"/>
      <c r="BA892" s="799"/>
      <c r="BB892" s="799"/>
      <c r="BC892" s="799"/>
      <c r="BD892" s="799"/>
      <c r="BE892" s="799"/>
      <c r="BF892" s="799"/>
      <c r="BG892" s="799"/>
    </row>
    <row r="893">
      <c r="H893" s="799"/>
      <c r="I893" s="799"/>
      <c r="J893" s="799"/>
      <c r="K893" s="799"/>
      <c r="L893" s="799"/>
      <c r="M893" s="799"/>
      <c r="N893" s="799"/>
      <c r="O893" s="799"/>
      <c r="P893" s="799"/>
      <c r="Q893" s="799"/>
      <c r="R893" s="799"/>
      <c r="S893" s="799"/>
      <c r="T893" s="799"/>
      <c r="U893" s="799"/>
      <c r="V893" s="799"/>
      <c r="W893" s="799"/>
      <c r="X893" s="799"/>
      <c r="Y893" s="799"/>
      <c r="Z893" s="799"/>
      <c r="AA893" s="799"/>
      <c r="AB893" s="799"/>
      <c r="AC893" s="799"/>
      <c r="AD893" s="799"/>
      <c r="AE893" s="799"/>
      <c r="AF893" s="799"/>
      <c r="AG893" s="799"/>
      <c r="AH893" s="799"/>
      <c r="AI893" s="799"/>
      <c r="AJ893" s="799"/>
      <c r="AK893" s="799"/>
      <c r="AL893" s="799"/>
      <c r="AM893" s="799"/>
      <c r="AN893" s="799"/>
      <c r="AO893" s="799"/>
      <c r="AP893" s="799"/>
      <c r="AQ893" s="799"/>
      <c r="AR893" s="799"/>
      <c r="AS893" s="799"/>
      <c r="AT893" s="799"/>
      <c r="AU893" s="799"/>
      <c r="AV893" s="799"/>
      <c r="AW893" s="799"/>
      <c r="AX893" s="799"/>
      <c r="AY893" s="799"/>
      <c r="AZ893" s="799"/>
      <c r="BA893" s="799"/>
      <c r="BB893" s="799"/>
      <c r="BC893" s="799"/>
      <c r="BD893" s="799"/>
      <c r="BE893" s="799"/>
      <c r="BF893" s="799"/>
      <c r="BG893" s="799"/>
    </row>
    <row r="894">
      <c r="H894" s="799"/>
      <c r="I894" s="799"/>
      <c r="J894" s="799"/>
      <c r="K894" s="799"/>
      <c r="L894" s="799"/>
      <c r="M894" s="799"/>
      <c r="N894" s="799"/>
      <c r="O894" s="799"/>
      <c r="P894" s="799"/>
      <c r="Q894" s="799"/>
      <c r="R894" s="799"/>
      <c r="S894" s="799"/>
      <c r="T894" s="799"/>
      <c r="U894" s="799"/>
      <c r="V894" s="799"/>
      <c r="W894" s="799"/>
      <c r="X894" s="799"/>
      <c r="Y894" s="799"/>
      <c r="Z894" s="799"/>
      <c r="AA894" s="799"/>
      <c r="AB894" s="799"/>
      <c r="AC894" s="799"/>
      <c r="AD894" s="799"/>
      <c r="AE894" s="799"/>
      <c r="AF894" s="799"/>
      <c r="AG894" s="799"/>
      <c r="AH894" s="799"/>
      <c r="AI894" s="799"/>
      <c r="AJ894" s="799"/>
      <c r="AK894" s="799"/>
      <c r="AL894" s="799"/>
      <c r="AM894" s="799"/>
      <c r="AN894" s="799"/>
      <c r="AO894" s="799"/>
      <c r="AP894" s="799"/>
      <c r="AQ894" s="799"/>
      <c r="AR894" s="799"/>
      <c r="AS894" s="799"/>
      <c r="AT894" s="799"/>
      <c r="AU894" s="799"/>
      <c r="AV894" s="799"/>
      <c r="AW894" s="799"/>
      <c r="AX894" s="799"/>
      <c r="AY894" s="799"/>
      <c r="AZ894" s="799"/>
      <c r="BA894" s="799"/>
      <c r="BB894" s="799"/>
      <c r="BC894" s="799"/>
      <c r="BD894" s="799"/>
      <c r="BE894" s="799"/>
      <c r="BF894" s="799"/>
      <c r="BG894" s="799"/>
    </row>
    <row r="895">
      <c r="H895" s="799"/>
      <c r="I895" s="799"/>
      <c r="J895" s="799"/>
      <c r="K895" s="799"/>
      <c r="L895" s="799"/>
      <c r="M895" s="799"/>
      <c r="N895" s="799"/>
      <c r="O895" s="799"/>
      <c r="P895" s="799"/>
      <c r="Q895" s="799"/>
      <c r="R895" s="799"/>
      <c r="S895" s="799"/>
      <c r="T895" s="799"/>
      <c r="U895" s="799"/>
      <c r="V895" s="799"/>
      <c r="W895" s="799"/>
      <c r="X895" s="799"/>
      <c r="Y895" s="799"/>
      <c r="Z895" s="799"/>
      <c r="AA895" s="799"/>
      <c r="AB895" s="799"/>
      <c r="AC895" s="799"/>
      <c r="AD895" s="799"/>
      <c r="AE895" s="799"/>
      <c r="AF895" s="799"/>
      <c r="AG895" s="799"/>
      <c r="AH895" s="799"/>
      <c r="AI895" s="799"/>
      <c r="AJ895" s="799"/>
      <c r="AK895" s="799"/>
      <c r="AL895" s="799"/>
      <c r="AM895" s="799"/>
      <c r="AN895" s="799"/>
      <c r="AO895" s="799"/>
      <c r="AP895" s="799"/>
      <c r="AQ895" s="799"/>
      <c r="AR895" s="799"/>
      <c r="AS895" s="799"/>
      <c r="AT895" s="799"/>
      <c r="AU895" s="799"/>
      <c r="AV895" s="799"/>
      <c r="AW895" s="799"/>
      <c r="AX895" s="799"/>
      <c r="AY895" s="799"/>
      <c r="AZ895" s="799"/>
      <c r="BA895" s="799"/>
      <c r="BB895" s="799"/>
      <c r="BC895" s="799"/>
      <c r="BD895" s="799"/>
      <c r="BE895" s="799"/>
      <c r="BF895" s="799"/>
      <c r="BG895" s="799"/>
    </row>
    <row r="896">
      <c r="H896" s="799"/>
      <c r="I896" s="799"/>
      <c r="J896" s="799"/>
      <c r="K896" s="799"/>
      <c r="L896" s="799"/>
      <c r="M896" s="799"/>
      <c r="N896" s="799"/>
      <c r="O896" s="799"/>
      <c r="P896" s="799"/>
      <c r="Q896" s="799"/>
      <c r="R896" s="799"/>
      <c r="S896" s="799"/>
      <c r="T896" s="799"/>
      <c r="U896" s="799"/>
      <c r="V896" s="799"/>
      <c r="W896" s="799"/>
      <c r="X896" s="799"/>
      <c r="Y896" s="799"/>
      <c r="Z896" s="799"/>
      <c r="AA896" s="799"/>
      <c r="AB896" s="799"/>
      <c r="AC896" s="799"/>
      <c r="AD896" s="799"/>
      <c r="AE896" s="799"/>
      <c r="AF896" s="799"/>
      <c r="AG896" s="799"/>
      <c r="AH896" s="799"/>
      <c r="AI896" s="799"/>
      <c r="AJ896" s="799"/>
      <c r="AK896" s="799"/>
      <c r="AL896" s="799"/>
      <c r="AM896" s="799"/>
      <c r="AN896" s="799"/>
      <c r="AO896" s="799"/>
      <c r="AP896" s="799"/>
      <c r="AQ896" s="799"/>
      <c r="AR896" s="799"/>
      <c r="AS896" s="799"/>
      <c r="AT896" s="799"/>
      <c r="AU896" s="799"/>
      <c r="AV896" s="799"/>
      <c r="AW896" s="799"/>
      <c r="AX896" s="799"/>
      <c r="AY896" s="799"/>
      <c r="AZ896" s="799"/>
      <c r="BA896" s="799"/>
      <c r="BB896" s="799"/>
      <c r="BC896" s="799"/>
      <c r="BD896" s="799"/>
      <c r="BE896" s="799"/>
      <c r="BF896" s="799"/>
      <c r="BG896" s="799"/>
    </row>
    <row r="897">
      <c r="H897" s="799"/>
      <c r="I897" s="799"/>
      <c r="J897" s="799"/>
      <c r="K897" s="799"/>
      <c r="L897" s="799"/>
      <c r="M897" s="799"/>
      <c r="N897" s="799"/>
      <c r="O897" s="799"/>
      <c r="P897" s="799"/>
      <c r="Q897" s="799"/>
      <c r="R897" s="799"/>
      <c r="S897" s="799"/>
      <c r="T897" s="799"/>
      <c r="U897" s="799"/>
      <c r="V897" s="799"/>
      <c r="W897" s="799"/>
      <c r="X897" s="799"/>
      <c r="Y897" s="799"/>
      <c r="Z897" s="799"/>
      <c r="AA897" s="799"/>
      <c r="AB897" s="799"/>
      <c r="AC897" s="799"/>
      <c r="AD897" s="799"/>
      <c r="AE897" s="799"/>
      <c r="AF897" s="799"/>
      <c r="AG897" s="799"/>
      <c r="AH897" s="799"/>
      <c r="AI897" s="799"/>
      <c r="AJ897" s="799"/>
      <c r="AK897" s="799"/>
      <c r="AL897" s="799"/>
      <c r="AM897" s="799"/>
      <c r="AN897" s="799"/>
      <c r="AO897" s="799"/>
      <c r="AP897" s="799"/>
      <c r="AQ897" s="799"/>
      <c r="AR897" s="799"/>
      <c r="AS897" s="799"/>
      <c r="AT897" s="799"/>
      <c r="AU897" s="799"/>
      <c r="AV897" s="799"/>
      <c r="AW897" s="799"/>
      <c r="AX897" s="799"/>
      <c r="AY897" s="799"/>
      <c r="AZ897" s="799"/>
      <c r="BA897" s="799"/>
      <c r="BB897" s="799"/>
      <c r="BC897" s="799"/>
      <c r="BD897" s="799"/>
      <c r="BE897" s="799"/>
      <c r="BF897" s="799"/>
      <c r="BG897" s="799"/>
    </row>
    <row r="898">
      <c r="H898" s="799"/>
      <c r="I898" s="799"/>
      <c r="J898" s="799"/>
      <c r="K898" s="799"/>
      <c r="L898" s="799"/>
      <c r="M898" s="799"/>
      <c r="N898" s="799"/>
      <c r="O898" s="799"/>
      <c r="P898" s="799"/>
      <c r="Q898" s="799"/>
      <c r="R898" s="799"/>
      <c r="S898" s="799"/>
      <c r="T898" s="799"/>
      <c r="U898" s="799"/>
      <c r="V898" s="799"/>
      <c r="W898" s="799"/>
      <c r="X898" s="799"/>
      <c r="Y898" s="799"/>
      <c r="Z898" s="799"/>
      <c r="AA898" s="799"/>
      <c r="AB898" s="799"/>
      <c r="AC898" s="799"/>
      <c r="AD898" s="799"/>
      <c r="AE898" s="799"/>
      <c r="AF898" s="799"/>
      <c r="AG898" s="799"/>
      <c r="AH898" s="799"/>
      <c r="AI898" s="799"/>
      <c r="AJ898" s="799"/>
      <c r="AK898" s="799"/>
      <c r="AL898" s="799"/>
      <c r="AM898" s="799"/>
      <c r="AN898" s="799"/>
      <c r="AO898" s="799"/>
      <c r="AP898" s="799"/>
      <c r="AQ898" s="799"/>
      <c r="AR898" s="799"/>
      <c r="AS898" s="799"/>
      <c r="AT898" s="799"/>
      <c r="AU898" s="799"/>
      <c r="AV898" s="799"/>
      <c r="AW898" s="799"/>
      <c r="AX898" s="799"/>
      <c r="AY898" s="799"/>
      <c r="AZ898" s="799"/>
      <c r="BA898" s="799"/>
      <c r="BB898" s="799"/>
      <c r="BC898" s="799"/>
      <c r="BD898" s="799"/>
      <c r="BE898" s="799"/>
      <c r="BF898" s="799"/>
      <c r="BG898" s="799"/>
    </row>
    <row r="899">
      <c r="H899" s="799"/>
      <c r="I899" s="799"/>
      <c r="J899" s="799"/>
      <c r="K899" s="799"/>
      <c r="L899" s="799"/>
      <c r="M899" s="799"/>
      <c r="N899" s="799"/>
      <c r="O899" s="799"/>
      <c r="P899" s="799"/>
      <c r="Q899" s="799"/>
      <c r="R899" s="799"/>
      <c r="S899" s="799"/>
      <c r="T899" s="799"/>
      <c r="U899" s="799"/>
      <c r="V899" s="799"/>
      <c r="W899" s="799"/>
      <c r="X899" s="799"/>
      <c r="Y899" s="799"/>
      <c r="Z899" s="799"/>
      <c r="AA899" s="799"/>
      <c r="AB899" s="799"/>
      <c r="AC899" s="799"/>
      <c r="AD899" s="799"/>
      <c r="AE899" s="799"/>
      <c r="AF899" s="799"/>
      <c r="AG899" s="799"/>
      <c r="AH899" s="799"/>
      <c r="AI899" s="799"/>
      <c r="AJ899" s="799"/>
      <c r="AK899" s="799"/>
      <c r="AL899" s="799"/>
      <c r="AM899" s="799"/>
      <c r="AN899" s="799"/>
      <c r="AO899" s="799"/>
      <c r="AP899" s="799"/>
      <c r="AQ899" s="799"/>
      <c r="AR899" s="799"/>
      <c r="AS899" s="799"/>
      <c r="AT899" s="799"/>
      <c r="AU899" s="799"/>
      <c r="AV899" s="799"/>
      <c r="AW899" s="799"/>
      <c r="AX899" s="799"/>
      <c r="AY899" s="799"/>
      <c r="AZ899" s="799"/>
      <c r="BA899" s="799"/>
      <c r="BB899" s="799"/>
      <c r="BC899" s="799"/>
      <c r="BD899" s="799"/>
      <c r="BE899" s="799"/>
      <c r="BF899" s="799"/>
      <c r="BG899" s="799"/>
    </row>
    <row r="900">
      <c r="H900" s="799"/>
      <c r="I900" s="799"/>
      <c r="J900" s="799"/>
      <c r="K900" s="799"/>
      <c r="L900" s="799"/>
      <c r="M900" s="799"/>
      <c r="N900" s="799"/>
      <c r="O900" s="799"/>
      <c r="P900" s="799"/>
      <c r="Q900" s="799"/>
      <c r="R900" s="799"/>
      <c r="S900" s="799"/>
      <c r="T900" s="799"/>
      <c r="U900" s="799"/>
      <c r="V900" s="799"/>
      <c r="W900" s="799"/>
      <c r="X900" s="799"/>
      <c r="Y900" s="799"/>
      <c r="Z900" s="799"/>
      <c r="AA900" s="799"/>
      <c r="AB900" s="799"/>
      <c r="AC900" s="799"/>
      <c r="AD900" s="799"/>
      <c r="AE900" s="799"/>
      <c r="AF900" s="799"/>
      <c r="AG900" s="799"/>
      <c r="AH900" s="799"/>
      <c r="AI900" s="799"/>
      <c r="AJ900" s="799"/>
      <c r="AK900" s="799"/>
      <c r="AL900" s="799"/>
      <c r="AM900" s="799"/>
      <c r="AN900" s="799"/>
      <c r="AO900" s="799"/>
      <c r="AP900" s="799"/>
      <c r="AQ900" s="799"/>
      <c r="AR900" s="799"/>
      <c r="AS900" s="799"/>
      <c r="AT900" s="799"/>
      <c r="AU900" s="799"/>
      <c r="AV900" s="799"/>
      <c r="AW900" s="799"/>
      <c r="AX900" s="799"/>
      <c r="AY900" s="799"/>
      <c r="AZ900" s="799"/>
      <c r="BA900" s="799"/>
      <c r="BB900" s="799"/>
      <c r="BC900" s="799"/>
      <c r="BD900" s="799"/>
      <c r="BE900" s="799"/>
      <c r="BF900" s="799"/>
      <c r="BG900" s="799"/>
    </row>
    <row r="901">
      <c r="H901" s="799"/>
      <c r="I901" s="799"/>
      <c r="J901" s="799"/>
      <c r="K901" s="799"/>
      <c r="L901" s="799"/>
      <c r="M901" s="799"/>
      <c r="N901" s="799"/>
      <c r="O901" s="799"/>
      <c r="P901" s="799"/>
      <c r="Q901" s="799"/>
      <c r="R901" s="799"/>
      <c r="S901" s="799"/>
      <c r="T901" s="799"/>
      <c r="U901" s="799"/>
      <c r="V901" s="799"/>
      <c r="W901" s="799"/>
      <c r="X901" s="799"/>
      <c r="Y901" s="799"/>
      <c r="Z901" s="799"/>
      <c r="AA901" s="799"/>
      <c r="AB901" s="799"/>
      <c r="AC901" s="799"/>
      <c r="AD901" s="799"/>
      <c r="AE901" s="799"/>
      <c r="AF901" s="799"/>
      <c r="AG901" s="799"/>
      <c r="AH901" s="799"/>
      <c r="AI901" s="799"/>
      <c r="AJ901" s="799"/>
      <c r="AK901" s="799"/>
      <c r="AL901" s="799"/>
      <c r="AM901" s="799"/>
      <c r="AN901" s="799"/>
      <c r="AO901" s="799"/>
      <c r="AP901" s="799"/>
      <c r="AQ901" s="799"/>
      <c r="AR901" s="799"/>
      <c r="AS901" s="799"/>
      <c r="AT901" s="799"/>
      <c r="AU901" s="799"/>
      <c r="AV901" s="799"/>
      <c r="AW901" s="799"/>
      <c r="AX901" s="799"/>
      <c r="AY901" s="799"/>
      <c r="AZ901" s="799"/>
      <c r="BA901" s="799"/>
      <c r="BB901" s="799"/>
      <c r="BC901" s="799"/>
      <c r="BD901" s="799"/>
      <c r="BE901" s="799"/>
      <c r="BF901" s="799"/>
      <c r="BG901" s="799"/>
    </row>
    <row r="902">
      <c r="H902" s="799"/>
      <c r="I902" s="799"/>
      <c r="J902" s="799"/>
      <c r="K902" s="799"/>
      <c r="L902" s="799"/>
      <c r="M902" s="799"/>
      <c r="N902" s="799"/>
      <c r="O902" s="799"/>
      <c r="P902" s="799"/>
      <c r="Q902" s="799"/>
      <c r="R902" s="799"/>
      <c r="S902" s="799"/>
      <c r="T902" s="799"/>
      <c r="U902" s="799"/>
      <c r="V902" s="799"/>
      <c r="W902" s="799"/>
      <c r="X902" s="799"/>
      <c r="Y902" s="799"/>
      <c r="Z902" s="799"/>
      <c r="AA902" s="799"/>
      <c r="AB902" s="799"/>
      <c r="AC902" s="799"/>
      <c r="AD902" s="799"/>
      <c r="AE902" s="799"/>
      <c r="AF902" s="799"/>
      <c r="AG902" s="799"/>
      <c r="AH902" s="799"/>
      <c r="AI902" s="799"/>
      <c r="AJ902" s="799"/>
      <c r="AK902" s="799"/>
      <c r="AL902" s="799"/>
      <c r="AM902" s="799"/>
      <c r="AN902" s="799"/>
      <c r="AO902" s="799"/>
      <c r="AP902" s="799"/>
      <c r="AQ902" s="799"/>
      <c r="AR902" s="799"/>
      <c r="AS902" s="799"/>
      <c r="AT902" s="799"/>
      <c r="AU902" s="799"/>
      <c r="AV902" s="799"/>
      <c r="AW902" s="799"/>
      <c r="AX902" s="799"/>
      <c r="AY902" s="799"/>
      <c r="AZ902" s="799"/>
      <c r="BA902" s="799"/>
      <c r="BB902" s="799"/>
      <c r="BC902" s="799"/>
      <c r="BD902" s="799"/>
      <c r="BE902" s="799"/>
      <c r="BF902" s="799"/>
      <c r="BG902" s="799"/>
    </row>
    <row r="903">
      <c r="H903" s="799"/>
      <c r="I903" s="799"/>
      <c r="J903" s="799"/>
      <c r="K903" s="799"/>
      <c r="L903" s="799"/>
      <c r="M903" s="799"/>
      <c r="N903" s="799"/>
      <c r="O903" s="799"/>
      <c r="P903" s="799"/>
      <c r="Q903" s="799"/>
      <c r="R903" s="799"/>
      <c r="S903" s="799"/>
      <c r="T903" s="799"/>
      <c r="U903" s="799"/>
      <c r="V903" s="799"/>
      <c r="W903" s="799"/>
      <c r="X903" s="799"/>
      <c r="Y903" s="799"/>
      <c r="Z903" s="799"/>
      <c r="AA903" s="799"/>
      <c r="AB903" s="799"/>
      <c r="AC903" s="799"/>
      <c r="AD903" s="799"/>
      <c r="AE903" s="799"/>
      <c r="AF903" s="799"/>
      <c r="AG903" s="799"/>
      <c r="AH903" s="799"/>
      <c r="AI903" s="799"/>
      <c r="AJ903" s="799"/>
      <c r="AK903" s="799"/>
      <c r="AL903" s="799"/>
      <c r="AM903" s="799"/>
      <c r="AN903" s="799"/>
      <c r="AO903" s="799"/>
      <c r="AP903" s="799"/>
      <c r="AQ903" s="799"/>
      <c r="AR903" s="799"/>
      <c r="AS903" s="799"/>
      <c r="AT903" s="799"/>
      <c r="AU903" s="799"/>
      <c r="AV903" s="799"/>
      <c r="AW903" s="799"/>
      <c r="AX903" s="799"/>
      <c r="AY903" s="799"/>
      <c r="AZ903" s="799"/>
      <c r="BA903" s="799"/>
      <c r="BB903" s="799"/>
      <c r="BC903" s="799"/>
      <c r="BD903" s="799"/>
      <c r="BE903" s="799"/>
      <c r="BF903" s="799"/>
      <c r="BG903" s="799"/>
    </row>
    <row r="904">
      <c r="H904" s="799"/>
      <c r="I904" s="799"/>
      <c r="J904" s="799"/>
      <c r="K904" s="799"/>
      <c r="L904" s="799"/>
      <c r="M904" s="799"/>
      <c r="N904" s="799"/>
      <c r="O904" s="799"/>
      <c r="P904" s="799"/>
      <c r="Q904" s="799"/>
      <c r="R904" s="799"/>
      <c r="S904" s="799"/>
      <c r="T904" s="799"/>
      <c r="U904" s="799"/>
      <c r="V904" s="799"/>
      <c r="W904" s="799"/>
      <c r="X904" s="799"/>
      <c r="Y904" s="799"/>
      <c r="Z904" s="799"/>
      <c r="AA904" s="799"/>
      <c r="AB904" s="799"/>
      <c r="AC904" s="799"/>
      <c r="AD904" s="799"/>
      <c r="AE904" s="799"/>
      <c r="AF904" s="799"/>
      <c r="AG904" s="799"/>
      <c r="AH904" s="799"/>
      <c r="AI904" s="799"/>
      <c r="AJ904" s="799"/>
      <c r="AK904" s="799"/>
      <c r="AL904" s="799"/>
      <c r="AM904" s="799"/>
      <c r="AN904" s="799"/>
      <c r="AO904" s="799"/>
      <c r="AP904" s="799"/>
      <c r="AQ904" s="799"/>
      <c r="AR904" s="799"/>
      <c r="AS904" s="799"/>
      <c r="AT904" s="799"/>
      <c r="AU904" s="799"/>
      <c r="AV904" s="799"/>
      <c r="AW904" s="799"/>
      <c r="AX904" s="799"/>
      <c r="AY904" s="799"/>
      <c r="AZ904" s="799"/>
      <c r="BA904" s="799"/>
      <c r="BB904" s="799"/>
      <c r="BC904" s="799"/>
      <c r="BD904" s="799"/>
      <c r="BE904" s="799"/>
      <c r="BF904" s="799"/>
      <c r="BG904" s="799"/>
    </row>
    <row r="905">
      <c r="H905" s="799"/>
      <c r="I905" s="799"/>
      <c r="J905" s="799"/>
      <c r="K905" s="799"/>
      <c r="L905" s="799"/>
      <c r="M905" s="799"/>
      <c r="N905" s="799"/>
      <c r="O905" s="799"/>
      <c r="P905" s="799"/>
      <c r="Q905" s="799"/>
      <c r="R905" s="799"/>
      <c r="S905" s="799"/>
      <c r="T905" s="799"/>
      <c r="U905" s="799"/>
      <c r="V905" s="799"/>
      <c r="W905" s="799"/>
      <c r="X905" s="799"/>
      <c r="Y905" s="799"/>
      <c r="Z905" s="799"/>
      <c r="AA905" s="799"/>
      <c r="AB905" s="799"/>
      <c r="AC905" s="799"/>
      <c r="AD905" s="799"/>
      <c r="AE905" s="799"/>
      <c r="AF905" s="799"/>
      <c r="AG905" s="799"/>
      <c r="AH905" s="799"/>
      <c r="AI905" s="799"/>
      <c r="AJ905" s="799"/>
      <c r="AK905" s="799"/>
      <c r="AL905" s="799"/>
      <c r="AM905" s="799"/>
      <c r="AN905" s="799"/>
      <c r="AO905" s="799"/>
      <c r="AP905" s="799"/>
      <c r="AQ905" s="799"/>
      <c r="AR905" s="799"/>
      <c r="AS905" s="799"/>
      <c r="AT905" s="799"/>
      <c r="AU905" s="799"/>
      <c r="AV905" s="799"/>
      <c r="AW905" s="799"/>
      <c r="AX905" s="799"/>
      <c r="AY905" s="799"/>
      <c r="AZ905" s="799"/>
      <c r="BA905" s="799"/>
      <c r="BB905" s="799"/>
      <c r="BC905" s="799"/>
      <c r="BD905" s="799"/>
      <c r="BE905" s="799"/>
      <c r="BF905" s="799"/>
      <c r="BG905" s="799"/>
    </row>
    <row r="906">
      <c r="H906" s="799"/>
      <c r="I906" s="799"/>
      <c r="J906" s="799"/>
      <c r="K906" s="799"/>
      <c r="L906" s="799"/>
      <c r="M906" s="799"/>
      <c r="N906" s="799"/>
      <c r="O906" s="799"/>
      <c r="P906" s="799"/>
      <c r="Q906" s="799"/>
      <c r="R906" s="799"/>
      <c r="S906" s="799"/>
      <c r="T906" s="799"/>
      <c r="U906" s="799"/>
      <c r="V906" s="799"/>
      <c r="W906" s="799"/>
      <c r="X906" s="799"/>
      <c r="Y906" s="799"/>
      <c r="Z906" s="799"/>
      <c r="AA906" s="799"/>
      <c r="AB906" s="799"/>
      <c r="AC906" s="799"/>
      <c r="AD906" s="799"/>
      <c r="AE906" s="799"/>
      <c r="AF906" s="799"/>
      <c r="AG906" s="799"/>
      <c r="AH906" s="799"/>
      <c r="AI906" s="799"/>
      <c r="AJ906" s="799"/>
      <c r="AK906" s="799"/>
      <c r="AL906" s="799"/>
      <c r="AM906" s="799"/>
      <c r="AN906" s="799"/>
      <c r="AO906" s="799"/>
      <c r="AP906" s="799"/>
      <c r="AQ906" s="799"/>
      <c r="AR906" s="799"/>
      <c r="AS906" s="799"/>
      <c r="AT906" s="799"/>
      <c r="AU906" s="799"/>
      <c r="AV906" s="799"/>
      <c r="AW906" s="799"/>
      <c r="AX906" s="799"/>
      <c r="AY906" s="799"/>
      <c r="AZ906" s="799"/>
      <c r="BA906" s="799"/>
      <c r="BB906" s="799"/>
      <c r="BC906" s="799"/>
      <c r="BD906" s="799"/>
      <c r="BE906" s="799"/>
      <c r="BF906" s="799"/>
      <c r="BG906" s="799"/>
    </row>
    <row r="907">
      <c r="H907" s="799"/>
      <c r="I907" s="799"/>
      <c r="J907" s="799"/>
      <c r="K907" s="799"/>
      <c r="L907" s="799"/>
      <c r="M907" s="799"/>
      <c r="N907" s="799"/>
      <c r="O907" s="799"/>
      <c r="P907" s="799"/>
      <c r="Q907" s="799"/>
      <c r="R907" s="799"/>
      <c r="S907" s="799"/>
      <c r="T907" s="799"/>
      <c r="U907" s="799"/>
      <c r="V907" s="799"/>
      <c r="W907" s="799"/>
      <c r="X907" s="799"/>
      <c r="Y907" s="799"/>
      <c r="Z907" s="799"/>
      <c r="AA907" s="799"/>
      <c r="AB907" s="799"/>
      <c r="AC907" s="799"/>
      <c r="AD907" s="799"/>
      <c r="AE907" s="799"/>
      <c r="AF907" s="799"/>
      <c r="AG907" s="799"/>
      <c r="AH907" s="799"/>
      <c r="AI907" s="799"/>
      <c r="AJ907" s="799"/>
      <c r="AK907" s="799"/>
      <c r="AL907" s="799"/>
      <c r="AM907" s="799"/>
      <c r="AN907" s="799"/>
      <c r="AO907" s="799"/>
      <c r="AP907" s="799"/>
      <c r="AQ907" s="799"/>
      <c r="AR907" s="799"/>
      <c r="AS907" s="799"/>
      <c r="AT907" s="799"/>
      <c r="AU907" s="799"/>
      <c r="AV907" s="799"/>
      <c r="AW907" s="799"/>
      <c r="AX907" s="799"/>
      <c r="AY907" s="799"/>
      <c r="AZ907" s="799"/>
      <c r="BA907" s="799"/>
      <c r="BB907" s="799"/>
      <c r="BC907" s="799"/>
      <c r="BD907" s="799"/>
      <c r="BE907" s="799"/>
      <c r="BF907" s="799"/>
      <c r="BG907" s="799"/>
    </row>
    <row r="908">
      <c r="H908" s="799"/>
      <c r="I908" s="799"/>
      <c r="J908" s="799"/>
      <c r="K908" s="799"/>
      <c r="L908" s="799"/>
      <c r="M908" s="799"/>
      <c r="N908" s="799"/>
      <c r="O908" s="799"/>
      <c r="P908" s="799"/>
      <c r="Q908" s="799"/>
      <c r="R908" s="799"/>
      <c r="S908" s="799"/>
      <c r="T908" s="799"/>
      <c r="U908" s="799"/>
      <c r="V908" s="799"/>
      <c r="W908" s="799"/>
      <c r="X908" s="799"/>
      <c r="Y908" s="799"/>
      <c r="Z908" s="799"/>
      <c r="AA908" s="799"/>
      <c r="AB908" s="799"/>
      <c r="AC908" s="799"/>
      <c r="AD908" s="799"/>
      <c r="AE908" s="799"/>
      <c r="AF908" s="799"/>
      <c r="AG908" s="799"/>
      <c r="AH908" s="799"/>
      <c r="AI908" s="799"/>
      <c r="AJ908" s="799"/>
      <c r="AK908" s="799"/>
      <c r="AL908" s="799"/>
      <c r="AM908" s="799"/>
      <c r="AN908" s="799"/>
      <c r="AO908" s="799"/>
      <c r="AP908" s="799"/>
      <c r="AQ908" s="799"/>
      <c r="AR908" s="799"/>
      <c r="AS908" s="799"/>
      <c r="AT908" s="799"/>
      <c r="AU908" s="799"/>
      <c r="AV908" s="799"/>
      <c r="AW908" s="799"/>
      <c r="AX908" s="799"/>
      <c r="AY908" s="799"/>
      <c r="AZ908" s="799"/>
      <c r="BA908" s="799"/>
      <c r="BB908" s="799"/>
      <c r="BC908" s="799"/>
      <c r="BD908" s="799"/>
      <c r="BE908" s="799"/>
      <c r="BF908" s="799"/>
      <c r="BG908" s="799"/>
    </row>
    <row r="909">
      <c r="H909" s="799"/>
      <c r="I909" s="799"/>
      <c r="J909" s="799"/>
      <c r="K909" s="799"/>
      <c r="L909" s="799"/>
      <c r="M909" s="799"/>
      <c r="N909" s="799"/>
      <c r="O909" s="799"/>
      <c r="P909" s="799"/>
      <c r="Q909" s="799"/>
      <c r="R909" s="799"/>
      <c r="S909" s="799"/>
      <c r="T909" s="799"/>
      <c r="U909" s="799"/>
      <c r="V909" s="799"/>
      <c r="W909" s="799"/>
      <c r="X909" s="799"/>
      <c r="Y909" s="799"/>
      <c r="Z909" s="799"/>
      <c r="AA909" s="799"/>
      <c r="AB909" s="799"/>
      <c r="AC909" s="799"/>
      <c r="AD909" s="799"/>
      <c r="AE909" s="799"/>
      <c r="AF909" s="799"/>
      <c r="AG909" s="799"/>
      <c r="AH909" s="799"/>
      <c r="AI909" s="799"/>
      <c r="AJ909" s="799"/>
      <c r="AK909" s="799"/>
      <c r="AL909" s="799"/>
      <c r="AM909" s="799"/>
      <c r="AN909" s="799"/>
      <c r="AO909" s="799"/>
      <c r="AP909" s="799"/>
      <c r="AQ909" s="799"/>
      <c r="AR909" s="799"/>
      <c r="AS909" s="799"/>
      <c r="AT909" s="799"/>
      <c r="AU909" s="799"/>
      <c r="AV909" s="799"/>
      <c r="AW909" s="799"/>
      <c r="AX909" s="799"/>
      <c r="AY909" s="799"/>
      <c r="AZ909" s="799"/>
      <c r="BA909" s="799"/>
      <c r="BB909" s="799"/>
      <c r="BC909" s="799"/>
      <c r="BD909" s="799"/>
      <c r="BE909" s="799"/>
      <c r="BF909" s="799"/>
      <c r="BG909" s="799"/>
    </row>
    <row r="910">
      <c r="H910" s="799"/>
      <c r="I910" s="799"/>
      <c r="J910" s="799"/>
      <c r="K910" s="799"/>
      <c r="L910" s="799"/>
      <c r="M910" s="799"/>
      <c r="N910" s="799"/>
      <c r="O910" s="799"/>
      <c r="P910" s="799"/>
      <c r="Q910" s="799"/>
      <c r="R910" s="799"/>
      <c r="S910" s="799"/>
      <c r="T910" s="799"/>
      <c r="U910" s="799"/>
      <c r="V910" s="799"/>
      <c r="W910" s="799"/>
      <c r="X910" s="799"/>
      <c r="Y910" s="799"/>
      <c r="Z910" s="799"/>
      <c r="AA910" s="799"/>
      <c r="AB910" s="799"/>
      <c r="AC910" s="799"/>
      <c r="AD910" s="799"/>
      <c r="AE910" s="799"/>
      <c r="AF910" s="799"/>
      <c r="AG910" s="799"/>
      <c r="AH910" s="799"/>
      <c r="AI910" s="799"/>
      <c r="AJ910" s="799"/>
      <c r="AK910" s="799"/>
      <c r="AL910" s="799"/>
      <c r="AM910" s="799"/>
      <c r="AN910" s="799"/>
      <c r="AO910" s="799"/>
      <c r="AP910" s="799"/>
      <c r="AQ910" s="799"/>
      <c r="AR910" s="799"/>
      <c r="AS910" s="799"/>
      <c r="AT910" s="799"/>
      <c r="AU910" s="799"/>
      <c r="AV910" s="799"/>
      <c r="AW910" s="799"/>
      <c r="AX910" s="799"/>
      <c r="AY910" s="799"/>
      <c r="AZ910" s="799"/>
      <c r="BA910" s="799"/>
      <c r="BB910" s="799"/>
      <c r="BC910" s="799"/>
      <c r="BD910" s="799"/>
      <c r="BE910" s="799"/>
      <c r="BF910" s="799"/>
      <c r="BG910" s="799"/>
    </row>
    <row r="911">
      <c r="H911" s="799"/>
      <c r="I911" s="799"/>
      <c r="J911" s="799"/>
      <c r="K911" s="799"/>
      <c r="L911" s="799"/>
      <c r="M911" s="799"/>
      <c r="N911" s="799"/>
      <c r="O911" s="799"/>
      <c r="P911" s="799"/>
      <c r="Q911" s="799"/>
      <c r="R911" s="799"/>
      <c r="S911" s="799"/>
      <c r="T911" s="799"/>
      <c r="U911" s="799"/>
      <c r="V911" s="799"/>
      <c r="W911" s="799"/>
      <c r="X911" s="799"/>
      <c r="Y911" s="799"/>
      <c r="Z911" s="799"/>
      <c r="AA911" s="799"/>
      <c r="AB911" s="799"/>
      <c r="AC911" s="799"/>
      <c r="AD911" s="799"/>
      <c r="AE911" s="799"/>
      <c r="AF911" s="799"/>
      <c r="AG911" s="799"/>
      <c r="AH911" s="799"/>
      <c r="AI911" s="799"/>
      <c r="AJ911" s="799"/>
      <c r="AK911" s="799"/>
      <c r="AL911" s="799"/>
      <c r="AM911" s="799"/>
      <c r="AN911" s="799"/>
      <c r="AO911" s="799"/>
      <c r="AP911" s="799"/>
      <c r="AQ911" s="799"/>
      <c r="AR911" s="799"/>
      <c r="AS911" s="799"/>
      <c r="AT911" s="799"/>
      <c r="AU911" s="799"/>
      <c r="AV911" s="799"/>
      <c r="AW911" s="799"/>
      <c r="AX911" s="799"/>
      <c r="AY911" s="799"/>
      <c r="AZ911" s="799"/>
      <c r="BA911" s="799"/>
      <c r="BB911" s="799"/>
      <c r="BC911" s="799"/>
      <c r="BD911" s="799"/>
      <c r="BE911" s="799"/>
      <c r="BF911" s="799"/>
      <c r="BG911" s="799"/>
    </row>
    <row r="912">
      <c r="H912" s="799"/>
      <c r="I912" s="799"/>
      <c r="J912" s="799"/>
      <c r="K912" s="799"/>
      <c r="L912" s="799"/>
      <c r="M912" s="799"/>
      <c r="N912" s="799"/>
      <c r="O912" s="799"/>
      <c r="P912" s="799"/>
      <c r="Q912" s="799"/>
      <c r="R912" s="799"/>
      <c r="S912" s="799"/>
      <c r="T912" s="799"/>
      <c r="U912" s="799"/>
      <c r="V912" s="799"/>
      <c r="W912" s="799"/>
      <c r="X912" s="799"/>
      <c r="Y912" s="799"/>
      <c r="Z912" s="799"/>
      <c r="AA912" s="799"/>
      <c r="AB912" s="799"/>
      <c r="AC912" s="799"/>
      <c r="AD912" s="799"/>
      <c r="AE912" s="799"/>
      <c r="AF912" s="799"/>
      <c r="AG912" s="799"/>
      <c r="AH912" s="799"/>
      <c r="AI912" s="799"/>
      <c r="AJ912" s="799"/>
      <c r="AK912" s="799"/>
      <c r="AL912" s="799"/>
      <c r="AM912" s="799"/>
      <c r="AN912" s="799"/>
      <c r="AO912" s="799"/>
      <c r="AP912" s="799"/>
      <c r="AQ912" s="799"/>
      <c r="AR912" s="799"/>
      <c r="AS912" s="799"/>
      <c r="AT912" s="799"/>
      <c r="AU912" s="799"/>
      <c r="AV912" s="799"/>
      <c r="AW912" s="799"/>
      <c r="AX912" s="799"/>
      <c r="AY912" s="799"/>
      <c r="AZ912" s="799"/>
      <c r="BA912" s="799"/>
      <c r="BB912" s="799"/>
      <c r="BC912" s="799"/>
      <c r="BD912" s="799"/>
      <c r="BE912" s="799"/>
      <c r="BF912" s="799"/>
      <c r="BG912" s="799"/>
    </row>
    <row r="913">
      <c r="H913" s="799"/>
      <c r="I913" s="799"/>
      <c r="J913" s="799"/>
      <c r="K913" s="799"/>
      <c r="L913" s="799"/>
      <c r="M913" s="799"/>
      <c r="N913" s="799"/>
      <c r="O913" s="799"/>
      <c r="P913" s="799"/>
      <c r="Q913" s="799"/>
      <c r="R913" s="799"/>
      <c r="S913" s="799"/>
      <c r="T913" s="799"/>
      <c r="U913" s="799"/>
      <c r="V913" s="799"/>
      <c r="W913" s="799"/>
      <c r="X913" s="799"/>
      <c r="Y913" s="799"/>
      <c r="Z913" s="799"/>
      <c r="AA913" s="799"/>
      <c r="AB913" s="799"/>
      <c r="AC913" s="799"/>
      <c r="AD913" s="799"/>
      <c r="AE913" s="799"/>
      <c r="AF913" s="799"/>
      <c r="AG913" s="799"/>
      <c r="AH913" s="799"/>
      <c r="AI913" s="799"/>
      <c r="AJ913" s="799"/>
      <c r="AK913" s="799"/>
      <c r="AL913" s="799"/>
      <c r="AM913" s="799"/>
      <c r="AN913" s="799"/>
      <c r="AO913" s="799"/>
      <c r="AP913" s="799"/>
      <c r="AQ913" s="799"/>
      <c r="AR913" s="799"/>
      <c r="AS913" s="799"/>
      <c r="AT913" s="799"/>
      <c r="AU913" s="799"/>
      <c r="AV913" s="799"/>
      <c r="AW913" s="799"/>
      <c r="AX913" s="799"/>
      <c r="AY913" s="799"/>
      <c r="AZ913" s="799"/>
      <c r="BA913" s="799"/>
      <c r="BB913" s="799"/>
      <c r="BC913" s="799"/>
      <c r="BD913" s="799"/>
      <c r="BE913" s="799"/>
      <c r="BF913" s="799"/>
      <c r="BG913" s="799"/>
    </row>
    <row r="914">
      <c r="H914" s="799"/>
      <c r="I914" s="799"/>
      <c r="J914" s="799"/>
      <c r="K914" s="799"/>
      <c r="L914" s="799"/>
      <c r="M914" s="799"/>
      <c r="N914" s="799"/>
      <c r="O914" s="799"/>
      <c r="P914" s="799"/>
      <c r="Q914" s="799"/>
      <c r="R914" s="799"/>
      <c r="S914" s="799"/>
      <c r="T914" s="799"/>
      <c r="U914" s="799"/>
      <c r="V914" s="799"/>
      <c r="W914" s="799"/>
      <c r="X914" s="799"/>
      <c r="Y914" s="799"/>
      <c r="Z914" s="799"/>
      <c r="AA914" s="799"/>
      <c r="AB914" s="799"/>
      <c r="AC914" s="799"/>
      <c r="AD914" s="799"/>
      <c r="AE914" s="799"/>
      <c r="AF914" s="799"/>
      <c r="AG914" s="799"/>
      <c r="AH914" s="799"/>
      <c r="AI914" s="799"/>
      <c r="AJ914" s="799"/>
      <c r="AK914" s="799"/>
      <c r="AL914" s="799"/>
      <c r="AM914" s="799"/>
      <c r="AN914" s="799"/>
      <c r="AO914" s="799"/>
      <c r="AP914" s="799"/>
      <c r="AQ914" s="799"/>
      <c r="AR914" s="799"/>
      <c r="AS914" s="799"/>
      <c r="AT914" s="799"/>
      <c r="AU914" s="799"/>
      <c r="AV914" s="799"/>
      <c r="AW914" s="799"/>
      <c r="AX914" s="799"/>
      <c r="AY914" s="799"/>
      <c r="AZ914" s="799"/>
      <c r="BA914" s="799"/>
      <c r="BB914" s="799"/>
      <c r="BC914" s="799"/>
      <c r="BD914" s="799"/>
      <c r="BE914" s="799"/>
      <c r="BF914" s="799"/>
      <c r="BG914" s="799"/>
    </row>
    <row r="915">
      <c r="H915" s="799"/>
      <c r="I915" s="799"/>
      <c r="J915" s="799"/>
      <c r="K915" s="799"/>
      <c r="L915" s="799"/>
      <c r="M915" s="799"/>
      <c r="N915" s="799"/>
      <c r="O915" s="799"/>
      <c r="P915" s="799"/>
      <c r="Q915" s="799"/>
      <c r="R915" s="799"/>
      <c r="S915" s="799"/>
      <c r="T915" s="799"/>
      <c r="U915" s="799"/>
      <c r="V915" s="799"/>
      <c r="W915" s="799"/>
      <c r="X915" s="799"/>
      <c r="Y915" s="799"/>
      <c r="Z915" s="799"/>
      <c r="AA915" s="799"/>
      <c r="AB915" s="799"/>
      <c r="AC915" s="799"/>
      <c r="AD915" s="799"/>
      <c r="AE915" s="799"/>
      <c r="AF915" s="799"/>
      <c r="AG915" s="799"/>
      <c r="AH915" s="799"/>
      <c r="AI915" s="799"/>
      <c r="AJ915" s="799"/>
      <c r="AK915" s="799"/>
      <c r="AL915" s="799"/>
      <c r="AM915" s="799"/>
      <c r="AN915" s="799"/>
      <c r="AO915" s="799"/>
      <c r="AP915" s="799"/>
      <c r="AQ915" s="799"/>
      <c r="AR915" s="799"/>
      <c r="AS915" s="799"/>
      <c r="AT915" s="799"/>
      <c r="AU915" s="799"/>
      <c r="AV915" s="799"/>
      <c r="AW915" s="799"/>
      <c r="AX915" s="799"/>
      <c r="AY915" s="799"/>
      <c r="AZ915" s="799"/>
      <c r="BA915" s="799"/>
      <c r="BB915" s="799"/>
      <c r="BC915" s="799"/>
      <c r="BD915" s="799"/>
      <c r="BE915" s="799"/>
      <c r="BF915" s="799"/>
      <c r="BG915" s="799"/>
    </row>
    <row r="916">
      <c r="H916" s="799"/>
      <c r="I916" s="799"/>
      <c r="J916" s="799"/>
      <c r="K916" s="799"/>
      <c r="L916" s="799"/>
      <c r="M916" s="799"/>
      <c r="N916" s="799"/>
      <c r="O916" s="799"/>
      <c r="P916" s="799"/>
      <c r="Q916" s="799"/>
      <c r="R916" s="799"/>
      <c r="S916" s="799"/>
      <c r="T916" s="799"/>
      <c r="U916" s="799"/>
      <c r="V916" s="799"/>
      <c r="W916" s="799"/>
      <c r="X916" s="799"/>
      <c r="Y916" s="799"/>
      <c r="Z916" s="799"/>
      <c r="AA916" s="799"/>
      <c r="AB916" s="799"/>
      <c r="AC916" s="799"/>
      <c r="AD916" s="799"/>
      <c r="AE916" s="799"/>
      <c r="AF916" s="799"/>
      <c r="AG916" s="799"/>
      <c r="AH916" s="799"/>
      <c r="AI916" s="799"/>
      <c r="AJ916" s="799"/>
      <c r="AK916" s="799"/>
      <c r="AL916" s="799"/>
      <c r="AM916" s="799"/>
      <c r="AN916" s="799"/>
      <c r="AO916" s="799"/>
      <c r="AP916" s="799"/>
      <c r="AQ916" s="799"/>
      <c r="AR916" s="799"/>
      <c r="AS916" s="799"/>
      <c r="AT916" s="799"/>
      <c r="AU916" s="799"/>
      <c r="AV916" s="799"/>
      <c r="AW916" s="799"/>
      <c r="AX916" s="799"/>
      <c r="AY916" s="799"/>
      <c r="AZ916" s="799"/>
      <c r="BA916" s="799"/>
      <c r="BB916" s="799"/>
      <c r="BC916" s="799"/>
      <c r="BD916" s="799"/>
      <c r="BE916" s="799"/>
      <c r="BF916" s="799"/>
      <c r="BG916" s="799"/>
    </row>
    <row r="917">
      <c r="H917" s="799"/>
      <c r="I917" s="799"/>
      <c r="J917" s="799"/>
      <c r="K917" s="799"/>
      <c r="L917" s="799"/>
      <c r="M917" s="799"/>
      <c r="N917" s="799"/>
      <c r="O917" s="799"/>
      <c r="P917" s="799"/>
      <c r="Q917" s="799"/>
      <c r="R917" s="799"/>
      <c r="S917" s="799"/>
      <c r="T917" s="799"/>
      <c r="U917" s="799"/>
      <c r="V917" s="799"/>
      <c r="W917" s="799"/>
      <c r="X917" s="799"/>
      <c r="Y917" s="799"/>
      <c r="Z917" s="799"/>
      <c r="AA917" s="799"/>
      <c r="AB917" s="799"/>
      <c r="AC917" s="799"/>
      <c r="AD917" s="799"/>
      <c r="AE917" s="799"/>
      <c r="AF917" s="799"/>
      <c r="AG917" s="799"/>
      <c r="AH917" s="799"/>
      <c r="AI917" s="799"/>
      <c r="AJ917" s="799"/>
      <c r="AK917" s="799"/>
      <c r="AL917" s="799"/>
      <c r="AM917" s="799"/>
      <c r="AN917" s="799"/>
      <c r="AO917" s="799"/>
      <c r="AP917" s="799"/>
      <c r="AQ917" s="799"/>
      <c r="AR917" s="799"/>
      <c r="AS917" s="799"/>
      <c r="AT917" s="799"/>
      <c r="AU917" s="799"/>
      <c r="AV917" s="799"/>
      <c r="AW917" s="799"/>
      <c r="AX917" s="799"/>
      <c r="AY917" s="799"/>
      <c r="AZ917" s="799"/>
      <c r="BA917" s="799"/>
      <c r="BB917" s="799"/>
      <c r="BC917" s="799"/>
      <c r="BD917" s="799"/>
      <c r="BE917" s="799"/>
      <c r="BF917" s="799"/>
      <c r="BG917" s="799"/>
    </row>
    <row r="918">
      <c r="H918" s="799"/>
      <c r="I918" s="799"/>
      <c r="J918" s="799"/>
      <c r="K918" s="799"/>
      <c r="L918" s="799"/>
      <c r="M918" s="799"/>
      <c r="N918" s="799"/>
      <c r="O918" s="799"/>
      <c r="P918" s="799"/>
      <c r="Q918" s="799"/>
      <c r="R918" s="799"/>
      <c r="S918" s="799"/>
      <c r="T918" s="799"/>
      <c r="U918" s="799"/>
      <c r="V918" s="799"/>
      <c r="W918" s="799"/>
      <c r="X918" s="799"/>
      <c r="Y918" s="799"/>
      <c r="Z918" s="799"/>
      <c r="AA918" s="799"/>
      <c r="AB918" s="799"/>
      <c r="AC918" s="799"/>
      <c r="AD918" s="799"/>
      <c r="AE918" s="799"/>
      <c r="AF918" s="799"/>
      <c r="AG918" s="799"/>
      <c r="AH918" s="799"/>
      <c r="AI918" s="799"/>
      <c r="AJ918" s="799"/>
      <c r="AK918" s="799"/>
      <c r="AL918" s="799"/>
      <c r="AM918" s="799"/>
      <c r="AN918" s="799"/>
      <c r="AO918" s="799"/>
      <c r="AP918" s="799"/>
      <c r="AQ918" s="799"/>
      <c r="AR918" s="799"/>
      <c r="AS918" s="799"/>
      <c r="AT918" s="799"/>
      <c r="AU918" s="799"/>
      <c r="AV918" s="799"/>
      <c r="AW918" s="799"/>
      <c r="AX918" s="799"/>
      <c r="AY918" s="799"/>
      <c r="AZ918" s="799"/>
      <c r="BA918" s="799"/>
      <c r="BB918" s="799"/>
      <c r="BC918" s="799"/>
      <c r="BD918" s="799"/>
      <c r="BE918" s="799"/>
      <c r="BF918" s="799"/>
      <c r="BG918" s="799"/>
    </row>
    <row r="919">
      <c r="H919" s="799"/>
      <c r="I919" s="799"/>
      <c r="J919" s="799"/>
      <c r="K919" s="799"/>
      <c r="L919" s="799"/>
      <c r="M919" s="799"/>
      <c r="N919" s="799"/>
      <c r="O919" s="799"/>
      <c r="P919" s="799"/>
      <c r="Q919" s="799"/>
      <c r="R919" s="799"/>
      <c r="S919" s="799"/>
      <c r="T919" s="799"/>
      <c r="U919" s="799"/>
      <c r="V919" s="799"/>
      <c r="W919" s="799"/>
      <c r="X919" s="799"/>
      <c r="Y919" s="799"/>
      <c r="Z919" s="799"/>
      <c r="AA919" s="799"/>
      <c r="AB919" s="799"/>
      <c r="AC919" s="799"/>
      <c r="AD919" s="799"/>
      <c r="AE919" s="799"/>
      <c r="AF919" s="799"/>
      <c r="AG919" s="799"/>
      <c r="AH919" s="799"/>
      <c r="AI919" s="799"/>
      <c r="AJ919" s="799"/>
      <c r="AK919" s="799"/>
      <c r="AL919" s="799"/>
      <c r="AM919" s="799"/>
      <c r="AN919" s="799"/>
      <c r="AO919" s="799"/>
      <c r="AP919" s="799"/>
      <c r="AQ919" s="799"/>
      <c r="AR919" s="799"/>
      <c r="AS919" s="799"/>
      <c r="AT919" s="799"/>
      <c r="AU919" s="799"/>
      <c r="AV919" s="799"/>
      <c r="AW919" s="799"/>
      <c r="AX919" s="799"/>
      <c r="AY919" s="799"/>
      <c r="AZ919" s="799"/>
      <c r="BA919" s="799"/>
      <c r="BB919" s="799"/>
      <c r="BC919" s="799"/>
      <c r="BD919" s="799"/>
      <c r="BE919" s="799"/>
      <c r="BF919" s="799"/>
      <c r="BG919" s="799"/>
    </row>
    <row r="920">
      <c r="H920" s="799"/>
      <c r="I920" s="799"/>
      <c r="J920" s="799"/>
      <c r="K920" s="799"/>
      <c r="L920" s="799"/>
      <c r="M920" s="799"/>
      <c r="N920" s="799"/>
      <c r="O920" s="799"/>
      <c r="P920" s="799"/>
      <c r="Q920" s="799"/>
      <c r="R920" s="799"/>
      <c r="S920" s="799"/>
      <c r="T920" s="799"/>
      <c r="U920" s="799"/>
      <c r="V920" s="799"/>
      <c r="W920" s="799"/>
      <c r="X920" s="799"/>
      <c r="Y920" s="799"/>
      <c r="Z920" s="799"/>
      <c r="AA920" s="799"/>
      <c r="AB920" s="799"/>
      <c r="AC920" s="799"/>
      <c r="AD920" s="799"/>
      <c r="AE920" s="799"/>
      <c r="AF920" s="799"/>
      <c r="AG920" s="799"/>
      <c r="AH920" s="799"/>
      <c r="AI920" s="799"/>
      <c r="AJ920" s="799"/>
      <c r="AK920" s="799"/>
      <c r="AL920" s="799"/>
      <c r="AM920" s="799"/>
      <c r="AN920" s="799"/>
      <c r="AO920" s="799"/>
      <c r="AP920" s="799"/>
      <c r="AQ920" s="799"/>
      <c r="AR920" s="799"/>
      <c r="AS920" s="799"/>
      <c r="AT920" s="799"/>
      <c r="AU920" s="799"/>
      <c r="AV920" s="799"/>
      <c r="AW920" s="799"/>
      <c r="AX920" s="799"/>
      <c r="AY920" s="799"/>
      <c r="AZ920" s="799"/>
      <c r="BA920" s="799"/>
      <c r="BB920" s="799"/>
      <c r="BC920" s="799"/>
      <c r="BD920" s="799"/>
      <c r="BE920" s="799"/>
      <c r="BF920" s="799"/>
      <c r="BG920" s="799"/>
    </row>
    <row r="921">
      <c r="H921" s="799"/>
      <c r="I921" s="799"/>
      <c r="J921" s="799"/>
      <c r="K921" s="799"/>
      <c r="L921" s="799"/>
      <c r="M921" s="799"/>
      <c r="N921" s="799"/>
      <c r="O921" s="799"/>
      <c r="P921" s="799"/>
      <c r="Q921" s="799"/>
      <c r="R921" s="799"/>
      <c r="S921" s="799"/>
      <c r="T921" s="799"/>
      <c r="U921" s="799"/>
      <c r="V921" s="799"/>
      <c r="W921" s="799"/>
      <c r="X921" s="799"/>
      <c r="Y921" s="799"/>
      <c r="Z921" s="799"/>
      <c r="AA921" s="799"/>
      <c r="AB921" s="799"/>
      <c r="AC921" s="799"/>
      <c r="AD921" s="799"/>
      <c r="AE921" s="799"/>
      <c r="AF921" s="799"/>
      <c r="AG921" s="799"/>
      <c r="AH921" s="799"/>
      <c r="AI921" s="799"/>
      <c r="AJ921" s="799"/>
      <c r="AK921" s="799"/>
      <c r="AL921" s="799"/>
      <c r="AM921" s="799"/>
      <c r="AN921" s="799"/>
      <c r="AO921" s="799"/>
      <c r="AP921" s="799"/>
      <c r="AQ921" s="799"/>
      <c r="AR921" s="799"/>
      <c r="AS921" s="799"/>
      <c r="AT921" s="799"/>
      <c r="AU921" s="799"/>
      <c r="AV921" s="799"/>
      <c r="AW921" s="799"/>
      <c r="AX921" s="799"/>
      <c r="AY921" s="799"/>
      <c r="AZ921" s="799"/>
      <c r="BA921" s="799"/>
      <c r="BB921" s="799"/>
      <c r="BC921" s="799"/>
      <c r="BD921" s="799"/>
      <c r="BE921" s="799"/>
      <c r="BF921" s="799"/>
      <c r="BG921" s="799"/>
    </row>
    <row r="922">
      <c r="H922" s="799"/>
      <c r="I922" s="799"/>
      <c r="J922" s="799"/>
      <c r="K922" s="799"/>
      <c r="L922" s="799"/>
      <c r="M922" s="799"/>
      <c r="N922" s="799"/>
      <c r="O922" s="799"/>
      <c r="P922" s="799"/>
      <c r="Q922" s="799"/>
      <c r="R922" s="799"/>
      <c r="S922" s="799"/>
      <c r="T922" s="799"/>
      <c r="U922" s="799"/>
      <c r="V922" s="799"/>
      <c r="W922" s="799"/>
      <c r="X922" s="799"/>
      <c r="Y922" s="799"/>
      <c r="Z922" s="799"/>
      <c r="AA922" s="799"/>
      <c r="AB922" s="799"/>
      <c r="AC922" s="799"/>
      <c r="AD922" s="799"/>
      <c r="AE922" s="799"/>
      <c r="AF922" s="799"/>
      <c r="AG922" s="799"/>
      <c r="AH922" s="799"/>
      <c r="AI922" s="799"/>
      <c r="AJ922" s="799"/>
      <c r="AK922" s="799"/>
      <c r="AL922" s="799"/>
      <c r="AM922" s="799"/>
      <c r="AN922" s="799"/>
      <c r="AO922" s="799"/>
      <c r="AP922" s="799"/>
      <c r="AQ922" s="799"/>
      <c r="AR922" s="799"/>
      <c r="AS922" s="799"/>
      <c r="AT922" s="799"/>
      <c r="AU922" s="799"/>
      <c r="AV922" s="799"/>
      <c r="AW922" s="799"/>
      <c r="AX922" s="799"/>
      <c r="AY922" s="799"/>
      <c r="AZ922" s="799"/>
      <c r="BA922" s="799"/>
      <c r="BB922" s="799"/>
      <c r="BC922" s="799"/>
      <c r="BD922" s="799"/>
      <c r="BE922" s="799"/>
      <c r="BF922" s="799"/>
      <c r="BG922" s="799"/>
    </row>
    <row r="923">
      <c r="H923" s="799"/>
      <c r="I923" s="799"/>
      <c r="J923" s="799"/>
      <c r="K923" s="799"/>
      <c r="L923" s="799"/>
      <c r="M923" s="799"/>
      <c r="N923" s="799"/>
      <c r="O923" s="799"/>
      <c r="P923" s="799"/>
      <c r="Q923" s="799"/>
      <c r="R923" s="799"/>
      <c r="S923" s="799"/>
      <c r="T923" s="799"/>
      <c r="U923" s="799"/>
      <c r="V923" s="799"/>
      <c r="W923" s="799"/>
      <c r="X923" s="799"/>
      <c r="Y923" s="799"/>
      <c r="Z923" s="799"/>
      <c r="AA923" s="799"/>
      <c r="AB923" s="799"/>
      <c r="AC923" s="799"/>
      <c r="AD923" s="799"/>
      <c r="AE923" s="799"/>
      <c r="AF923" s="799"/>
      <c r="AG923" s="799"/>
      <c r="AH923" s="799"/>
      <c r="AI923" s="799"/>
      <c r="AJ923" s="799"/>
      <c r="AK923" s="799"/>
      <c r="AL923" s="799"/>
      <c r="AM923" s="799"/>
      <c r="AN923" s="799"/>
      <c r="AO923" s="799"/>
      <c r="AP923" s="799"/>
      <c r="AQ923" s="799"/>
      <c r="AR923" s="799"/>
      <c r="AS923" s="799"/>
      <c r="AT923" s="799"/>
      <c r="AU923" s="799"/>
      <c r="AV923" s="799"/>
      <c r="AW923" s="799"/>
      <c r="AX923" s="799"/>
      <c r="AY923" s="799"/>
      <c r="AZ923" s="799"/>
      <c r="BA923" s="799"/>
      <c r="BB923" s="799"/>
      <c r="BC923" s="799"/>
      <c r="BD923" s="799"/>
      <c r="BE923" s="799"/>
      <c r="BF923" s="799"/>
      <c r="BG923" s="799"/>
    </row>
    <row r="924">
      <c r="H924" s="799"/>
      <c r="I924" s="799"/>
      <c r="J924" s="799"/>
      <c r="K924" s="799"/>
      <c r="L924" s="799"/>
      <c r="M924" s="799"/>
      <c r="N924" s="799"/>
      <c r="O924" s="799"/>
      <c r="P924" s="799"/>
      <c r="Q924" s="799"/>
      <c r="R924" s="799"/>
      <c r="S924" s="799"/>
      <c r="T924" s="799"/>
      <c r="U924" s="799"/>
      <c r="V924" s="799"/>
      <c r="W924" s="799"/>
      <c r="X924" s="799"/>
      <c r="Y924" s="799"/>
      <c r="Z924" s="799"/>
      <c r="AA924" s="799"/>
      <c r="AB924" s="799"/>
      <c r="AC924" s="799"/>
      <c r="AD924" s="799"/>
      <c r="AE924" s="799"/>
      <c r="AF924" s="799"/>
      <c r="AG924" s="799"/>
      <c r="AH924" s="799"/>
      <c r="AI924" s="799"/>
      <c r="AJ924" s="799"/>
      <c r="AK924" s="799"/>
      <c r="AL924" s="799"/>
      <c r="AM924" s="799"/>
      <c r="AN924" s="799"/>
      <c r="AO924" s="799"/>
      <c r="AP924" s="799"/>
      <c r="AQ924" s="799"/>
      <c r="AR924" s="799"/>
      <c r="AS924" s="799"/>
      <c r="AT924" s="799"/>
      <c r="AU924" s="799"/>
      <c r="AV924" s="799"/>
      <c r="AW924" s="799"/>
      <c r="AX924" s="799"/>
      <c r="AY924" s="799"/>
      <c r="AZ924" s="799"/>
      <c r="BA924" s="799"/>
      <c r="BB924" s="799"/>
      <c r="BC924" s="799"/>
      <c r="BD924" s="799"/>
      <c r="BE924" s="799"/>
      <c r="BF924" s="799"/>
      <c r="BG924" s="799"/>
    </row>
    <row r="925">
      <c r="H925" s="799"/>
      <c r="I925" s="799"/>
      <c r="J925" s="799"/>
      <c r="K925" s="799"/>
      <c r="L925" s="799"/>
      <c r="M925" s="799"/>
      <c r="N925" s="799"/>
      <c r="O925" s="799"/>
      <c r="P925" s="799"/>
      <c r="Q925" s="799"/>
      <c r="R925" s="799"/>
      <c r="S925" s="799"/>
      <c r="T925" s="799"/>
      <c r="U925" s="799"/>
      <c r="V925" s="799"/>
      <c r="W925" s="799"/>
      <c r="X925" s="799"/>
      <c r="Y925" s="799"/>
      <c r="Z925" s="799"/>
      <c r="AA925" s="799"/>
      <c r="AB925" s="799"/>
      <c r="AC925" s="799"/>
      <c r="AD925" s="799"/>
      <c r="AE925" s="799"/>
      <c r="AF925" s="799"/>
      <c r="AG925" s="799"/>
      <c r="AH925" s="799"/>
      <c r="AI925" s="799"/>
      <c r="AJ925" s="799"/>
      <c r="AK925" s="799"/>
      <c r="AL925" s="799"/>
      <c r="AM925" s="799"/>
      <c r="AN925" s="799"/>
      <c r="AO925" s="799"/>
      <c r="AP925" s="799"/>
      <c r="AQ925" s="799"/>
      <c r="AR925" s="799"/>
      <c r="AS925" s="799"/>
      <c r="AT925" s="799"/>
      <c r="AU925" s="799"/>
      <c r="AV925" s="799"/>
      <c r="AW925" s="799"/>
      <c r="AX925" s="799"/>
      <c r="AY925" s="799"/>
      <c r="AZ925" s="799"/>
      <c r="BA925" s="799"/>
      <c r="BB925" s="799"/>
      <c r="BC925" s="799"/>
      <c r="BD925" s="799"/>
      <c r="BE925" s="799"/>
      <c r="BF925" s="799"/>
      <c r="BG925" s="799"/>
    </row>
    <row r="926">
      <c r="H926" s="799"/>
      <c r="I926" s="799"/>
      <c r="J926" s="799"/>
      <c r="K926" s="799"/>
      <c r="L926" s="799"/>
      <c r="M926" s="799"/>
      <c r="N926" s="799"/>
      <c r="O926" s="799"/>
      <c r="P926" s="799"/>
      <c r="Q926" s="799"/>
      <c r="R926" s="799"/>
      <c r="S926" s="799"/>
      <c r="T926" s="799"/>
      <c r="U926" s="799"/>
      <c r="V926" s="799"/>
      <c r="W926" s="799"/>
      <c r="X926" s="799"/>
      <c r="Y926" s="799"/>
      <c r="Z926" s="799"/>
      <c r="AA926" s="799"/>
      <c r="AB926" s="799"/>
      <c r="AC926" s="799"/>
      <c r="AD926" s="799"/>
      <c r="AE926" s="799"/>
      <c r="AF926" s="799"/>
      <c r="AG926" s="799"/>
      <c r="AH926" s="799"/>
      <c r="AI926" s="799"/>
      <c r="AJ926" s="799"/>
      <c r="AK926" s="799"/>
      <c r="AL926" s="799"/>
      <c r="AM926" s="799"/>
      <c r="AN926" s="799"/>
      <c r="AO926" s="799"/>
      <c r="AP926" s="799"/>
      <c r="AQ926" s="799"/>
      <c r="AR926" s="799"/>
      <c r="AS926" s="799"/>
      <c r="AT926" s="799"/>
      <c r="AU926" s="799"/>
      <c r="AV926" s="799"/>
      <c r="AW926" s="799"/>
      <c r="AX926" s="799"/>
      <c r="AY926" s="799"/>
      <c r="AZ926" s="799"/>
      <c r="BA926" s="799"/>
      <c r="BB926" s="799"/>
      <c r="BC926" s="799"/>
      <c r="BD926" s="799"/>
      <c r="BE926" s="799"/>
      <c r="BF926" s="799"/>
      <c r="BG926" s="799"/>
    </row>
    <row r="927">
      <c r="H927" s="799"/>
      <c r="I927" s="799"/>
      <c r="J927" s="799"/>
      <c r="K927" s="799"/>
      <c r="L927" s="799"/>
      <c r="M927" s="799"/>
      <c r="N927" s="799"/>
      <c r="O927" s="799"/>
      <c r="P927" s="799"/>
      <c r="Q927" s="799"/>
      <c r="R927" s="799"/>
      <c r="S927" s="799"/>
      <c r="T927" s="799"/>
      <c r="U927" s="799"/>
      <c r="V927" s="799"/>
      <c r="W927" s="799"/>
      <c r="X927" s="799"/>
      <c r="Y927" s="799"/>
      <c r="Z927" s="799"/>
      <c r="AA927" s="799"/>
      <c r="AB927" s="799"/>
      <c r="AC927" s="799"/>
      <c r="AD927" s="799"/>
      <c r="AE927" s="799"/>
      <c r="AF927" s="799"/>
      <c r="AG927" s="799"/>
      <c r="AH927" s="799"/>
      <c r="AI927" s="799"/>
      <c r="AJ927" s="799"/>
      <c r="AK927" s="799"/>
      <c r="AL927" s="799"/>
      <c r="AM927" s="799"/>
      <c r="AN927" s="799"/>
      <c r="AO927" s="799"/>
      <c r="AP927" s="799"/>
      <c r="AQ927" s="799"/>
      <c r="AR927" s="799"/>
      <c r="AS927" s="799"/>
      <c r="AT927" s="799"/>
      <c r="AU927" s="799"/>
      <c r="AV927" s="799"/>
      <c r="AW927" s="799"/>
      <c r="AX927" s="799"/>
      <c r="AY927" s="799"/>
      <c r="AZ927" s="799"/>
      <c r="BA927" s="799"/>
      <c r="BB927" s="799"/>
      <c r="BC927" s="799"/>
      <c r="BD927" s="799"/>
      <c r="BE927" s="799"/>
      <c r="BF927" s="799"/>
      <c r="BG927" s="799"/>
    </row>
    <row r="928">
      <c r="H928" s="799"/>
      <c r="I928" s="799"/>
      <c r="J928" s="799"/>
      <c r="K928" s="799"/>
      <c r="L928" s="799"/>
      <c r="M928" s="799"/>
      <c r="N928" s="799"/>
      <c r="O928" s="799"/>
      <c r="P928" s="799"/>
      <c r="Q928" s="799"/>
      <c r="R928" s="799"/>
      <c r="S928" s="799"/>
      <c r="T928" s="799"/>
      <c r="U928" s="799"/>
      <c r="V928" s="799"/>
      <c r="W928" s="799"/>
      <c r="X928" s="799"/>
      <c r="Y928" s="799"/>
      <c r="Z928" s="799"/>
      <c r="AA928" s="799"/>
      <c r="AB928" s="799"/>
      <c r="AC928" s="799"/>
      <c r="AD928" s="799"/>
      <c r="AE928" s="799"/>
      <c r="AF928" s="799"/>
      <c r="AG928" s="799"/>
      <c r="AH928" s="799"/>
      <c r="AI928" s="799"/>
      <c r="AJ928" s="799"/>
      <c r="AK928" s="799"/>
      <c r="AL928" s="799"/>
      <c r="AM928" s="799"/>
      <c r="AN928" s="799"/>
      <c r="AO928" s="799"/>
      <c r="AP928" s="799"/>
      <c r="AQ928" s="799"/>
      <c r="AR928" s="799"/>
      <c r="AS928" s="799"/>
      <c r="AT928" s="799"/>
      <c r="AU928" s="799"/>
      <c r="AV928" s="799"/>
      <c r="AW928" s="799"/>
      <c r="AX928" s="799"/>
      <c r="AY928" s="799"/>
      <c r="AZ928" s="799"/>
      <c r="BA928" s="799"/>
      <c r="BB928" s="799"/>
      <c r="BC928" s="799"/>
      <c r="BD928" s="799"/>
      <c r="BE928" s="799"/>
      <c r="BF928" s="799"/>
      <c r="BG928" s="799"/>
    </row>
    <row r="929">
      <c r="H929" s="799"/>
      <c r="I929" s="799"/>
      <c r="J929" s="799"/>
      <c r="K929" s="799"/>
      <c r="L929" s="799"/>
      <c r="M929" s="799"/>
      <c r="N929" s="799"/>
      <c r="O929" s="799"/>
      <c r="P929" s="799"/>
      <c r="Q929" s="799"/>
      <c r="R929" s="799"/>
      <c r="S929" s="799"/>
      <c r="T929" s="799"/>
      <c r="U929" s="799"/>
      <c r="V929" s="799"/>
      <c r="W929" s="799"/>
      <c r="X929" s="799"/>
      <c r="Y929" s="799"/>
      <c r="Z929" s="799"/>
      <c r="AA929" s="799"/>
      <c r="AB929" s="799"/>
      <c r="AC929" s="799"/>
      <c r="AD929" s="799"/>
      <c r="AE929" s="799"/>
      <c r="AF929" s="799"/>
      <c r="AG929" s="799"/>
      <c r="AH929" s="799"/>
      <c r="AI929" s="799"/>
      <c r="AJ929" s="799"/>
      <c r="AK929" s="799"/>
      <c r="AL929" s="799"/>
      <c r="AM929" s="799"/>
      <c r="AN929" s="799"/>
      <c r="AO929" s="799"/>
      <c r="AP929" s="799"/>
      <c r="AQ929" s="799"/>
      <c r="AR929" s="799"/>
      <c r="AS929" s="799"/>
      <c r="AT929" s="799"/>
      <c r="AU929" s="799"/>
      <c r="AV929" s="799"/>
      <c r="AW929" s="799"/>
      <c r="AX929" s="799"/>
      <c r="AY929" s="799"/>
      <c r="AZ929" s="799"/>
      <c r="BA929" s="799"/>
      <c r="BB929" s="799"/>
      <c r="BC929" s="799"/>
      <c r="BD929" s="799"/>
      <c r="BE929" s="799"/>
      <c r="BF929" s="799"/>
      <c r="BG929" s="799"/>
    </row>
    <row r="930">
      <c r="H930" s="799"/>
      <c r="I930" s="799"/>
      <c r="J930" s="799"/>
      <c r="K930" s="799"/>
      <c r="L930" s="799"/>
      <c r="M930" s="799"/>
      <c r="N930" s="799"/>
      <c r="O930" s="799"/>
      <c r="P930" s="799"/>
      <c r="Q930" s="799"/>
      <c r="R930" s="799"/>
      <c r="S930" s="799"/>
      <c r="T930" s="799"/>
      <c r="U930" s="799"/>
      <c r="V930" s="799"/>
      <c r="W930" s="799"/>
      <c r="X930" s="799"/>
      <c r="Y930" s="799"/>
      <c r="Z930" s="799"/>
      <c r="AA930" s="799"/>
      <c r="AB930" s="799"/>
      <c r="AC930" s="799"/>
      <c r="AD930" s="799"/>
      <c r="AE930" s="799"/>
      <c r="AF930" s="799"/>
      <c r="AG930" s="799"/>
      <c r="AH930" s="799"/>
      <c r="AI930" s="799"/>
      <c r="AJ930" s="799"/>
      <c r="AK930" s="799"/>
      <c r="AL930" s="799"/>
      <c r="AM930" s="799"/>
      <c r="AN930" s="799"/>
      <c r="AO930" s="799"/>
      <c r="AP930" s="799"/>
      <c r="AQ930" s="799"/>
      <c r="AR930" s="799"/>
      <c r="AS930" s="799"/>
      <c r="AT930" s="799"/>
      <c r="AU930" s="799"/>
      <c r="AV930" s="799"/>
      <c r="AW930" s="799"/>
      <c r="AX930" s="799"/>
      <c r="AY930" s="799"/>
      <c r="AZ930" s="799"/>
      <c r="BA930" s="799"/>
      <c r="BB930" s="799"/>
      <c r="BC930" s="799"/>
      <c r="BD930" s="799"/>
      <c r="BE930" s="799"/>
      <c r="BF930" s="799"/>
      <c r="BG930" s="799"/>
    </row>
    <row r="931">
      <c r="H931" s="799"/>
      <c r="I931" s="799"/>
      <c r="J931" s="799"/>
      <c r="K931" s="799"/>
      <c r="L931" s="799"/>
      <c r="M931" s="799"/>
      <c r="N931" s="799"/>
      <c r="O931" s="799"/>
      <c r="P931" s="799"/>
      <c r="Q931" s="799"/>
      <c r="R931" s="799"/>
      <c r="S931" s="799"/>
      <c r="T931" s="799"/>
      <c r="U931" s="799"/>
      <c r="V931" s="799"/>
      <c r="W931" s="799"/>
      <c r="X931" s="799"/>
      <c r="Y931" s="799"/>
      <c r="Z931" s="799"/>
      <c r="AA931" s="799"/>
      <c r="AB931" s="799"/>
      <c r="AC931" s="799"/>
      <c r="AD931" s="799"/>
      <c r="AE931" s="799"/>
      <c r="AF931" s="799"/>
      <c r="AG931" s="799"/>
      <c r="AH931" s="799"/>
      <c r="AI931" s="799"/>
      <c r="AJ931" s="799"/>
      <c r="AK931" s="799"/>
      <c r="AL931" s="799"/>
      <c r="AM931" s="799"/>
      <c r="AN931" s="799"/>
      <c r="AO931" s="799"/>
      <c r="AP931" s="799"/>
      <c r="AQ931" s="799"/>
      <c r="AR931" s="799"/>
      <c r="AS931" s="799"/>
      <c r="AT931" s="799"/>
      <c r="AU931" s="799"/>
      <c r="AV931" s="799"/>
      <c r="AW931" s="799"/>
      <c r="AX931" s="799"/>
      <c r="AY931" s="799"/>
      <c r="AZ931" s="799"/>
      <c r="BA931" s="799"/>
      <c r="BB931" s="799"/>
      <c r="BC931" s="799"/>
      <c r="BD931" s="799"/>
      <c r="BE931" s="799"/>
      <c r="BF931" s="799"/>
      <c r="BG931" s="799"/>
    </row>
    <row r="932">
      <c r="H932" s="799"/>
      <c r="I932" s="799"/>
      <c r="J932" s="799"/>
      <c r="K932" s="799"/>
      <c r="L932" s="799"/>
      <c r="M932" s="799"/>
      <c r="N932" s="799"/>
      <c r="O932" s="799"/>
      <c r="P932" s="799"/>
      <c r="Q932" s="799"/>
      <c r="R932" s="799"/>
      <c r="S932" s="799"/>
      <c r="T932" s="799"/>
      <c r="U932" s="799"/>
      <c r="V932" s="799"/>
      <c r="W932" s="799"/>
      <c r="X932" s="799"/>
      <c r="Y932" s="799"/>
      <c r="Z932" s="799"/>
      <c r="AA932" s="799"/>
      <c r="AB932" s="799"/>
      <c r="AC932" s="799"/>
      <c r="AD932" s="799"/>
      <c r="AE932" s="799"/>
      <c r="AF932" s="799"/>
      <c r="AG932" s="799"/>
      <c r="AH932" s="799"/>
      <c r="AI932" s="799"/>
      <c r="AJ932" s="799"/>
      <c r="AK932" s="799"/>
      <c r="AL932" s="799"/>
      <c r="AM932" s="799"/>
      <c r="AN932" s="799"/>
      <c r="AO932" s="799"/>
      <c r="AP932" s="799"/>
      <c r="AQ932" s="799"/>
      <c r="AR932" s="799"/>
      <c r="AS932" s="799"/>
      <c r="AT932" s="799"/>
      <c r="AU932" s="799"/>
      <c r="AV932" s="799"/>
      <c r="AW932" s="799"/>
      <c r="AX932" s="799"/>
      <c r="AY932" s="799"/>
      <c r="AZ932" s="799"/>
      <c r="BA932" s="799"/>
      <c r="BB932" s="799"/>
      <c r="BC932" s="799"/>
      <c r="BD932" s="799"/>
      <c r="BE932" s="799"/>
      <c r="BF932" s="799"/>
      <c r="BG932" s="799"/>
    </row>
    <row r="933">
      <c r="H933" s="799"/>
      <c r="I933" s="799"/>
      <c r="J933" s="799"/>
      <c r="K933" s="799"/>
      <c r="L933" s="799"/>
      <c r="M933" s="799"/>
      <c r="N933" s="799"/>
      <c r="O933" s="799"/>
      <c r="P933" s="799"/>
      <c r="Q933" s="799"/>
      <c r="R933" s="799"/>
      <c r="S933" s="799"/>
      <c r="T933" s="799"/>
      <c r="U933" s="799"/>
      <c r="V933" s="799"/>
      <c r="W933" s="799"/>
      <c r="X933" s="799"/>
      <c r="Y933" s="799"/>
      <c r="Z933" s="799"/>
      <c r="AA933" s="799"/>
      <c r="AB933" s="799"/>
      <c r="AC933" s="799"/>
      <c r="AD933" s="799"/>
      <c r="AE933" s="799"/>
      <c r="AF933" s="799"/>
      <c r="AG933" s="799"/>
      <c r="AH933" s="799"/>
      <c r="AI933" s="799"/>
      <c r="AJ933" s="799"/>
      <c r="AK933" s="799"/>
      <c r="AL933" s="799"/>
      <c r="AM933" s="799"/>
      <c r="AN933" s="799"/>
      <c r="AO933" s="799"/>
      <c r="AP933" s="799"/>
      <c r="AQ933" s="799"/>
      <c r="AR933" s="799"/>
      <c r="AS933" s="799"/>
      <c r="AT933" s="799"/>
      <c r="AU933" s="799"/>
      <c r="AV933" s="799"/>
      <c r="AW933" s="799"/>
      <c r="AX933" s="799"/>
      <c r="AY933" s="799"/>
      <c r="AZ933" s="799"/>
      <c r="BA933" s="799"/>
      <c r="BB933" s="799"/>
      <c r="BC933" s="799"/>
      <c r="BD933" s="799"/>
      <c r="BE933" s="799"/>
      <c r="BF933" s="799"/>
      <c r="BG933" s="799"/>
    </row>
    <row r="934">
      <c r="H934" s="799"/>
      <c r="I934" s="799"/>
      <c r="J934" s="799"/>
      <c r="K934" s="799"/>
      <c r="L934" s="799"/>
      <c r="M934" s="799"/>
      <c r="N934" s="799"/>
      <c r="O934" s="799"/>
      <c r="P934" s="799"/>
      <c r="Q934" s="799"/>
      <c r="R934" s="799"/>
      <c r="S934" s="799"/>
      <c r="T934" s="799"/>
      <c r="U934" s="799"/>
      <c r="V934" s="799"/>
      <c r="W934" s="799"/>
      <c r="X934" s="799"/>
      <c r="Y934" s="799"/>
      <c r="Z934" s="799"/>
      <c r="AA934" s="799"/>
      <c r="AB934" s="799"/>
      <c r="AC934" s="799"/>
      <c r="AD934" s="799"/>
      <c r="AE934" s="799"/>
      <c r="AF934" s="799"/>
      <c r="AG934" s="799"/>
      <c r="AH934" s="799"/>
      <c r="AI934" s="799"/>
      <c r="AJ934" s="799"/>
      <c r="AK934" s="799"/>
      <c r="AL934" s="799"/>
      <c r="AM934" s="799"/>
      <c r="AN934" s="799"/>
      <c r="AO934" s="799"/>
      <c r="AP934" s="799"/>
      <c r="AQ934" s="799"/>
      <c r="AR934" s="799"/>
      <c r="AS934" s="799"/>
      <c r="AT934" s="799"/>
      <c r="AU934" s="799"/>
      <c r="AV934" s="799"/>
      <c r="AW934" s="799"/>
      <c r="AX934" s="799"/>
      <c r="AY934" s="799"/>
      <c r="AZ934" s="799"/>
      <c r="BA934" s="799"/>
      <c r="BB934" s="799"/>
      <c r="BC934" s="799"/>
      <c r="BD934" s="799"/>
      <c r="BE934" s="799"/>
      <c r="BF934" s="799"/>
      <c r="BG934" s="799"/>
    </row>
    <row r="935">
      <c r="H935" s="799"/>
      <c r="I935" s="799"/>
      <c r="J935" s="799"/>
      <c r="K935" s="799"/>
      <c r="L935" s="799"/>
      <c r="M935" s="799"/>
      <c r="N935" s="799"/>
      <c r="O935" s="799"/>
      <c r="P935" s="799"/>
      <c r="Q935" s="799"/>
      <c r="R935" s="799"/>
      <c r="S935" s="799"/>
      <c r="T935" s="799"/>
      <c r="U935" s="799"/>
      <c r="V935" s="799"/>
      <c r="W935" s="799"/>
      <c r="X935" s="799"/>
      <c r="Y935" s="799"/>
      <c r="Z935" s="799"/>
      <c r="AA935" s="799"/>
      <c r="AB935" s="799"/>
      <c r="AC935" s="799"/>
      <c r="AD935" s="799"/>
      <c r="AE935" s="799"/>
      <c r="AF935" s="799"/>
      <c r="AG935" s="799"/>
      <c r="AH935" s="799"/>
      <c r="AI935" s="799"/>
      <c r="AJ935" s="799"/>
      <c r="AK935" s="799"/>
      <c r="AL935" s="799"/>
      <c r="AM935" s="799"/>
      <c r="AN935" s="799"/>
      <c r="AO935" s="799"/>
      <c r="AP935" s="799"/>
      <c r="AQ935" s="799"/>
      <c r="AR935" s="799"/>
      <c r="AS935" s="799"/>
      <c r="AT935" s="799"/>
      <c r="AU935" s="799"/>
      <c r="AV935" s="799"/>
      <c r="AW935" s="799"/>
      <c r="AX935" s="799"/>
      <c r="AY935" s="799"/>
      <c r="AZ935" s="799"/>
      <c r="BA935" s="799"/>
      <c r="BB935" s="799"/>
      <c r="BC935" s="799"/>
      <c r="BD935" s="799"/>
      <c r="BE935" s="799"/>
      <c r="BF935" s="799"/>
      <c r="BG935" s="799"/>
    </row>
    <row r="936">
      <c r="H936" s="799"/>
      <c r="I936" s="799"/>
      <c r="J936" s="799"/>
      <c r="K936" s="799"/>
      <c r="L936" s="799"/>
      <c r="M936" s="799"/>
      <c r="N936" s="799"/>
      <c r="O936" s="799"/>
      <c r="P936" s="799"/>
      <c r="Q936" s="799"/>
      <c r="R936" s="799"/>
      <c r="S936" s="799"/>
      <c r="T936" s="799"/>
      <c r="U936" s="799"/>
      <c r="V936" s="799"/>
      <c r="W936" s="799"/>
      <c r="X936" s="799"/>
      <c r="Y936" s="799"/>
      <c r="Z936" s="799"/>
      <c r="AA936" s="799"/>
      <c r="AB936" s="799"/>
      <c r="AC936" s="799"/>
      <c r="AD936" s="799"/>
      <c r="AE936" s="799"/>
      <c r="AF936" s="799"/>
      <c r="AG936" s="799"/>
      <c r="AH936" s="799"/>
      <c r="AI936" s="799"/>
      <c r="AJ936" s="799"/>
      <c r="AK936" s="799"/>
      <c r="AL936" s="799"/>
      <c r="AM936" s="799"/>
      <c r="AN936" s="799"/>
      <c r="AO936" s="799"/>
      <c r="AP936" s="799"/>
      <c r="AQ936" s="799"/>
      <c r="AR936" s="799"/>
      <c r="AS936" s="799"/>
      <c r="AT936" s="799"/>
      <c r="AU936" s="799"/>
      <c r="AV936" s="799"/>
      <c r="AW936" s="799"/>
      <c r="AX936" s="799"/>
      <c r="AY936" s="799"/>
      <c r="AZ936" s="799"/>
      <c r="BA936" s="799"/>
      <c r="BB936" s="799"/>
      <c r="BC936" s="799"/>
      <c r="BD936" s="799"/>
      <c r="BE936" s="799"/>
      <c r="BF936" s="799"/>
      <c r="BG936" s="799"/>
    </row>
    <row r="937">
      <c r="H937" s="799"/>
      <c r="I937" s="799"/>
      <c r="J937" s="799"/>
      <c r="K937" s="799"/>
      <c r="L937" s="799"/>
      <c r="M937" s="799"/>
      <c r="N937" s="799"/>
      <c r="O937" s="799"/>
      <c r="P937" s="799"/>
      <c r="Q937" s="799"/>
      <c r="R937" s="799"/>
      <c r="S937" s="799"/>
      <c r="T937" s="799"/>
      <c r="U937" s="799"/>
      <c r="V937" s="799"/>
      <c r="W937" s="799"/>
      <c r="X937" s="799"/>
      <c r="Y937" s="799"/>
      <c r="Z937" s="799"/>
      <c r="AA937" s="799"/>
      <c r="AB937" s="799"/>
      <c r="AC937" s="799"/>
      <c r="AD937" s="799"/>
      <c r="AE937" s="799"/>
      <c r="AF937" s="799"/>
      <c r="AG937" s="799"/>
      <c r="AH937" s="799"/>
      <c r="AI937" s="799"/>
      <c r="AJ937" s="799"/>
      <c r="AK937" s="799"/>
      <c r="AL937" s="799"/>
      <c r="AM937" s="799"/>
      <c r="AN937" s="799"/>
      <c r="AO937" s="799"/>
      <c r="AP937" s="799"/>
      <c r="AQ937" s="799"/>
      <c r="AR937" s="799"/>
      <c r="AS937" s="799"/>
      <c r="AT937" s="799"/>
      <c r="AU937" s="799"/>
      <c r="AV937" s="799"/>
      <c r="AW937" s="799"/>
      <c r="AX937" s="799"/>
      <c r="AY937" s="799"/>
      <c r="AZ937" s="799"/>
      <c r="BA937" s="799"/>
      <c r="BB937" s="799"/>
      <c r="BC937" s="799"/>
      <c r="BD937" s="799"/>
      <c r="BE937" s="799"/>
      <c r="BF937" s="799"/>
      <c r="BG937" s="799"/>
    </row>
    <row r="938">
      <c r="H938" s="799"/>
      <c r="I938" s="799"/>
      <c r="J938" s="799"/>
      <c r="K938" s="799"/>
      <c r="L938" s="799"/>
      <c r="M938" s="799"/>
      <c r="N938" s="799"/>
      <c r="O938" s="799"/>
      <c r="P938" s="799"/>
      <c r="Q938" s="799"/>
      <c r="R938" s="799"/>
      <c r="S938" s="799"/>
      <c r="T938" s="799"/>
      <c r="U938" s="799"/>
      <c r="V938" s="799"/>
      <c r="W938" s="799"/>
      <c r="X938" s="799"/>
      <c r="Y938" s="799"/>
      <c r="Z938" s="799"/>
      <c r="AA938" s="799"/>
      <c r="AB938" s="799"/>
      <c r="AC938" s="799"/>
      <c r="AD938" s="799"/>
      <c r="AE938" s="799"/>
      <c r="AF938" s="799"/>
      <c r="AG938" s="799"/>
      <c r="AH938" s="799"/>
      <c r="AI938" s="799"/>
      <c r="AJ938" s="799"/>
      <c r="AK938" s="799"/>
      <c r="AL938" s="799"/>
      <c r="AM938" s="799"/>
      <c r="AN938" s="799"/>
      <c r="AO938" s="799"/>
      <c r="AP938" s="799"/>
      <c r="AQ938" s="799"/>
      <c r="AR938" s="799"/>
      <c r="AS938" s="799"/>
      <c r="AT938" s="799"/>
      <c r="AU938" s="799"/>
      <c r="AV938" s="799"/>
      <c r="AW938" s="799"/>
      <c r="AX938" s="799"/>
      <c r="AY938" s="799"/>
      <c r="AZ938" s="799"/>
      <c r="BA938" s="799"/>
      <c r="BB938" s="799"/>
      <c r="BC938" s="799"/>
      <c r="BD938" s="799"/>
      <c r="BE938" s="799"/>
      <c r="BF938" s="799"/>
      <c r="BG938" s="799"/>
    </row>
    <row r="939">
      <c r="H939" s="799"/>
      <c r="I939" s="799"/>
      <c r="J939" s="799"/>
      <c r="K939" s="799"/>
      <c r="L939" s="799"/>
      <c r="M939" s="799"/>
      <c r="N939" s="799"/>
      <c r="O939" s="799"/>
      <c r="P939" s="799"/>
      <c r="Q939" s="799"/>
      <c r="R939" s="799"/>
      <c r="S939" s="799"/>
      <c r="T939" s="799"/>
      <c r="U939" s="799"/>
      <c r="V939" s="799"/>
      <c r="W939" s="799"/>
      <c r="X939" s="799"/>
      <c r="Y939" s="799"/>
      <c r="Z939" s="799"/>
      <c r="AA939" s="799"/>
      <c r="AB939" s="799"/>
      <c r="AC939" s="799"/>
      <c r="AD939" s="799"/>
      <c r="AE939" s="799"/>
      <c r="AF939" s="799"/>
      <c r="AG939" s="799"/>
      <c r="AH939" s="799"/>
      <c r="AI939" s="799"/>
      <c r="AJ939" s="799"/>
      <c r="AK939" s="799"/>
      <c r="AL939" s="799"/>
      <c r="AM939" s="799"/>
      <c r="AN939" s="799"/>
      <c r="AO939" s="799"/>
      <c r="AP939" s="799"/>
      <c r="AQ939" s="799"/>
      <c r="AR939" s="799"/>
      <c r="AS939" s="799"/>
      <c r="AT939" s="799"/>
      <c r="AU939" s="799"/>
      <c r="AV939" s="799"/>
      <c r="AW939" s="799"/>
      <c r="AX939" s="799"/>
      <c r="AY939" s="799"/>
      <c r="AZ939" s="799"/>
      <c r="BA939" s="799"/>
      <c r="BB939" s="799"/>
      <c r="BC939" s="799"/>
      <c r="BD939" s="799"/>
      <c r="BE939" s="799"/>
      <c r="BF939" s="799"/>
      <c r="BG939" s="799"/>
    </row>
    <row r="940">
      <c r="H940" s="799"/>
      <c r="I940" s="799"/>
      <c r="J940" s="799"/>
      <c r="K940" s="799"/>
      <c r="L940" s="799"/>
      <c r="M940" s="799"/>
      <c r="N940" s="799"/>
      <c r="O940" s="799"/>
      <c r="P940" s="799"/>
      <c r="Q940" s="799"/>
      <c r="R940" s="799"/>
      <c r="S940" s="799"/>
      <c r="T940" s="799"/>
      <c r="U940" s="799"/>
      <c r="V940" s="799"/>
      <c r="W940" s="799"/>
      <c r="X940" s="799"/>
      <c r="Y940" s="799"/>
      <c r="Z940" s="799"/>
      <c r="AA940" s="799"/>
      <c r="AB940" s="799"/>
      <c r="AC940" s="799"/>
      <c r="AD940" s="799"/>
      <c r="AE940" s="799"/>
      <c r="AF940" s="799"/>
      <c r="AG940" s="799"/>
      <c r="AH940" s="799"/>
      <c r="AI940" s="799"/>
      <c r="AJ940" s="799"/>
      <c r="AK940" s="799"/>
      <c r="AL940" s="799"/>
      <c r="AM940" s="799"/>
      <c r="AN940" s="799"/>
      <c r="AO940" s="799"/>
      <c r="AP940" s="799"/>
      <c r="AQ940" s="799"/>
      <c r="AR940" s="799"/>
      <c r="AS940" s="799"/>
      <c r="AT940" s="799"/>
      <c r="AU940" s="799"/>
      <c r="AV940" s="799"/>
      <c r="AW940" s="799"/>
      <c r="AX940" s="799"/>
      <c r="AY940" s="799"/>
      <c r="AZ940" s="799"/>
      <c r="BA940" s="799"/>
      <c r="BB940" s="799"/>
      <c r="BC940" s="799"/>
      <c r="BD940" s="799"/>
      <c r="BE940" s="799"/>
      <c r="BF940" s="799"/>
      <c r="BG940" s="799"/>
    </row>
    <row r="941">
      <c r="H941" s="799"/>
      <c r="I941" s="799"/>
      <c r="J941" s="799"/>
      <c r="K941" s="799"/>
      <c r="L941" s="799"/>
      <c r="M941" s="799"/>
      <c r="N941" s="799"/>
      <c r="O941" s="799"/>
      <c r="P941" s="799"/>
      <c r="Q941" s="799"/>
      <c r="R941" s="799"/>
      <c r="S941" s="799"/>
      <c r="T941" s="799"/>
      <c r="U941" s="799"/>
      <c r="V941" s="799"/>
      <c r="W941" s="799"/>
      <c r="X941" s="799"/>
      <c r="Y941" s="799"/>
      <c r="Z941" s="799"/>
      <c r="AA941" s="799"/>
      <c r="AB941" s="799"/>
      <c r="AC941" s="799"/>
      <c r="AD941" s="799"/>
      <c r="AE941" s="799"/>
      <c r="AF941" s="799"/>
      <c r="AG941" s="799"/>
      <c r="AH941" s="799"/>
      <c r="AI941" s="799"/>
      <c r="AJ941" s="799"/>
      <c r="AK941" s="799"/>
      <c r="AL941" s="799"/>
      <c r="AM941" s="799"/>
      <c r="AN941" s="799"/>
      <c r="AO941" s="799"/>
      <c r="AP941" s="799"/>
      <c r="AQ941" s="799"/>
      <c r="AR941" s="799"/>
      <c r="AS941" s="799"/>
      <c r="AT941" s="799"/>
      <c r="AU941" s="799"/>
      <c r="AV941" s="799"/>
      <c r="AW941" s="799"/>
      <c r="AX941" s="799"/>
      <c r="AY941" s="799"/>
      <c r="AZ941" s="799"/>
      <c r="BA941" s="799"/>
      <c r="BB941" s="799"/>
      <c r="BC941" s="799"/>
      <c r="BD941" s="799"/>
      <c r="BE941" s="799"/>
      <c r="BF941" s="799"/>
      <c r="BG941" s="799"/>
    </row>
    <row r="942">
      <c r="H942" s="799"/>
      <c r="I942" s="799"/>
      <c r="J942" s="799"/>
      <c r="K942" s="799"/>
      <c r="L942" s="799"/>
      <c r="M942" s="799"/>
      <c r="N942" s="799"/>
      <c r="O942" s="799"/>
      <c r="P942" s="799"/>
      <c r="Q942" s="799"/>
      <c r="R942" s="799"/>
      <c r="S942" s="799"/>
      <c r="T942" s="799"/>
      <c r="U942" s="799"/>
      <c r="V942" s="799"/>
      <c r="W942" s="799"/>
      <c r="X942" s="799"/>
      <c r="Y942" s="799"/>
      <c r="Z942" s="799"/>
      <c r="AA942" s="799"/>
      <c r="AB942" s="799"/>
      <c r="AC942" s="799"/>
      <c r="AD942" s="799"/>
      <c r="AE942" s="799"/>
      <c r="AF942" s="799"/>
      <c r="AG942" s="799"/>
      <c r="AH942" s="799"/>
      <c r="AI942" s="799"/>
      <c r="AJ942" s="799"/>
      <c r="AK942" s="799"/>
      <c r="AL942" s="799"/>
      <c r="AM942" s="799"/>
      <c r="AN942" s="799"/>
      <c r="AO942" s="799"/>
      <c r="AP942" s="799"/>
      <c r="AQ942" s="799"/>
      <c r="AR942" s="799"/>
      <c r="AS942" s="799"/>
      <c r="AT942" s="799"/>
      <c r="AU942" s="799"/>
      <c r="AV942" s="799"/>
      <c r="AW942" s="799"/>
      <c r="AX942" s="799"/>
      <c r="AY942" s="799"/>
      <c r="AZ942" s="799"/>
      <c r="BA942" s="799"/>
      <c r="BB942" s="799"/>
      <c r="BC942" s="799"/>
      <c r="BD942" s="799"/>
      <c r="BE942" s="799"/>
      <c r="BF942" s="799"/>
      <c r="BG942" s="799"/>
    </row>
    <row r="943">
      <c r="H943" s="799"/>
      <c r="I943" s="799"/>
      <c r="J943" s="799"/>
      <c r="K943" s="799"/>
      <c r="L943" s="799"/>
      <c r="M943" s="799"/>
      <c r="N943" s="799"/>
      <c r="O943" s="799"/>
      <c r="P943" s="799"/>
      <c r="Q943" s="799"/>
      <c r="R943" s="799"/>
      <c r="S943" s="799"/>
      <c r="T943" s="799"/>
      <c r="U943" s="799"/>
      <c r="V943" s="799"/>
      <c r="W943" s="799"/>
      <c r="X943" s="799"/>
      <c r="Y943" s="799"/>
      <c r="Z943" s="799"/>
      <c r="AA943" s="799"/>
      <c r="AB943" s="799"/>
      <c r="AC943" s="799"/>
      <c r="AD943" s="799"/>
      <c r="AE943" s="799"/>
      <c r="AF943" s="799"/>
      <c r="AG943" s="799"/>
      <c r="AH943" s="799"/>
      <c r="AI943" s="799"/>
      <c r="AJ943" s="799"/>
      <c r="AK943" s="799"/>
      <c r="AL943" s="799"/>
      <c r="AM943" s="799"/>
      <c r="AN943" s="799"/>
      <c r="AO943" s="799"/>
      <c r="AP943" s="799"/>
      <c r="AQ943" s="799"/>
      <c r="AR943" s="799"/>
      <c r="AS943" s="799"/>
      <c r="AT943" s="799"/>
      <c r="AU943" s="799"/>
      <c r="AV943" s="799"/>
      <c r="AW943" s="799"/>
      <c r="AX943" s="799"/>
      <c r="AY943" s="799"/>
      <c r="AZ943" s="799"/>
      <c r="BA943" s="799"/>
      <c r="BB943" s="799"/>
      <c r="BC943" s="799"/>
      <c r="BD943" s="799"/>
      <c r="BE943" s="799"/>
      <c r="BF943" s="799"/>
      <c r="BG943" s="799"/>
    </row>
    <row r="944">
      <c r="H944" s="799"/>
      <c r="I944" s="799"/>
      <c r="J944" s="799"/>
      <c r="K944" s="799"/>
      <c r="L944" s="799"/>
      <c r="M944" s="799"/>
      <c r="N944" s="799"/>
      <c r="O944" s="799"/>
      <c r="P944" s="799"/>
      <c r="Q944" s="799"/>
      <c r="R944" s="799"/>
      <c r="S944" s="799"/>
      <c r="T944" s="799"/>
      <c r="U944" s="799"/>
      <c r="V944" s="799"/>
      <c r="W944" s="799"/>
      <c r="X944" s="799"/>
      <c r="Y944" s="799"/>
      <c r="Z944" s="799"/>
      <c r="AA944" s="799"/>
      <c r="AB944" s="799"/>
      <c r="AC944" s="799"/>
      <c r="AD944" s="799"/>
      <c r="AE944" s="799"/>
      <c r="AF944" s="799"/>
      <c r="AG944" s="799"/>
      <c r="AH944" s="799"/>
      <c r="AI944" s="799"/>
      <c r="AJ944" s="799"/>
      <c r="AK944" s="799"/>
      <c r="AL944" s="799"/>
      <c r="AM944" s="799"/>
      <c r="AN944" s="799"/>
      <c r="AO944" s="799"/>
      <c r="AP944" s="799"/>
      <c r="AQ944" s="799"/>
      <c r="AR944" s="799"/>
      <c r="AS944" s="799"/>
      <c r="AT944" s="799"/>
      <c r="AU944" s="799"/>
      <c r="AV944" s="799"/>
      <c r="AW944" s="799"/>
      <c r="AX944" s="799"/>
      <c r="AY944" s="799"/>
      <c r="AZ944" s="799"/>
      <c r="BA944" s="799"/>
      <c r="BB944" s="799"/>
      <c r="BC944" s="799"/>
      <c r="BD944" s="799"/>
      <c r="BE944" s="799"/>
      <c r="BF944" s="799"/>
      <c r="BG944" s="799"/>
    </row>
    <row r="945">
      <c r="H945" s="799"/>
      <c r="I945" s="799"/>
      <c r="J945" s="799"/>
      <c r="K945" s="799"/>
      <c r="L945" s="799"/>
      <c r="M945" s="799"/>
      <c r="N945" s="799"/>
      <c r="O945" s="799"/>
      <c r="P945" s="799"/>
      <c r="Q945" s="799"/>
      <c r="R945" s="799"/>
      <c r="S945" s="799"/>
      <c r="T945" s="799"/>
      <c r="U945" s="799"/>
      <c r="V945" s="799"/>
      <c r="W945" s="799"/>
      <c r="X945" s="799"/>
      <c r="Y945" s="799"/>
      <c r="Z945" s="799"/>
      <c r="AA945" s="799"/>
      <c r="AB945" s="799"/>
      <c r="AC945" s="799"/>
      <c r="AD945" s="799"/>
      <c r="AE945" s="799"/>
      <c r="AF945" s="799"/>
      <c r="AG945" s="799"/>
      <c r="AH945" s="799"/>
      <c r="AI945" s="799"/>
      <c r="AJ945" s="799"/>
      <c r="AK945" s="799"/>
      <c r="AL945" s="799"/>
      <c r="AM945" s="799"/>
      <c r="AN945" s="799"/>
      <c r="AO945" s="799"/>
      <c r="AP945" s="799"/>
      <c r="AQ945" s="799"/>
      <c r="AR945" s="799"/>
      <c r="AS945" s="799"/>
      <c r="AT945" s="799"/>
      <c r="AU945" s="799"/>
      <c r="AV945" s="799"/>
      <c r="AW945" s="799"/>
      <c r="AX945" s="799"/>
      <c r="AY945" s="799"/>
      <c r="AZ945" s="799"/>
      <c r="BA945" s="799"/>
      <c r="BB945" s="799"/>
      <c r="BC945" s="799"/>
      <c r="BD945" s="799"/>
      <c r="BE945" s="799"/>
      <c r="BF945" s="799"/>
      <c r="BG945" s="799"/>
    </row>
    <row r="946">
      <c r="H946" s="799"/>
      <c r="I946" s="799"/>
      <c r="J946" s="799"/>
      <c r="K946" s="799"/>
      <c r="L946" s="799"/>
      <c r="M946" s="799"/>
      <c r="N946" s="799"/>
      <c r="O946" s="799"/>
      <c r="P946" s="799"/>
      <c r="Q946" s="799"/>
      <c r="R946" s="799"/>
      <c r="S946" s="799"/>
      <c r="T946" s="799"/>
      <c r="U946" s="799"/>
      <c r="V946" s="799"/>
      <c r="W946" s="799"/>
      <c r="X946" s="799"/>
      <c r="Y946" s="799"/>
      <c r="Z946" s="799"/>
      <c r="AA946" s="799"/>
      <c r="AB946" s="799"/>
      <c r="AC946" s="799"/>
      <c r="AD946" s="799"/>
      <c r="AE946" s="799"/>
      <c r="AF946" s="799"/>
      <c r="AG946" s="799"/>
      <c r="AH946" s="799"/>
      <c r="AI946" s="799"/>
      <c r="AJ946" s="799"/>
      <c r="AK946" s="799"/>
      <c r="AL946" s="799"/>
      <c r="AM946" s="799"/>
      <c r="AN946" s="799"/>
      <c r="AO946" s="799"/>
      <c r="AP946" s="799"/>
      <c r="AQ946" s="799"/>
      <c r="AR946" s="799"/>
      <c r="AS946" s="799"/>
      <c r="AT946" s="799"/>
      <c r="AU946" s="799"/>
      <c r="AV946" s="799"/>
      <c r="AW946" s="799"/>
      <c r="AX946" s="799"/>
      <c r="AY946" s="799"/>
      <c r="AZ946" s="799"/>
      <c r="BA946" s="799"/>
      <c r="BB946" s="799"/>
      <c r="BC946" s="799"/>
      <c r="BD946" s="799"/>
      <c r="BE946" s="799"/>
      <c r="BF946" s="799"/>
      <c r="BG946" s="799"/>
    </row>
    <row r="947">
      <c r="H947" s="799"/>
      <c r="I947" s="799"/>
      <c r="J947" s="799"/>
      <c r="K947" s="799"/>
      <c r="L947" s="799"/>
      <c r="M947" s="799"/>
      <c r="N947" s="799"/>
      <c r="O947" s="799"/>
      <c r="P947" s="799"/>
      <c r="Q947" s="799"/>
      <c r="R947" s="799"/>
      <c r="S947" s="799"/>
      <c r="T947" s="799"/>
      <c r="U947" s="799"/>
      <c r="V947" s="799"/>
      <c r="W947" s="799"/>
      <c r="X947" s="799"/>
      <c r="Y947" s="799"/>
      <c r="Z947" s="799"/>
      <c r="AA947" s="799"/>
      <c r="AB947" s="799"/>
      <c r="AC947" s="799"/>
      <c r="AD947" s="799"/>
      <c r="AE947" s="799"/>
      <c r="AF947" s="799"/>
      <c r="AG947" s="799"/>
      <c r="AH947" s="799"/>
      <c r="AI947" s="799"/>
      <c r="AJ947" s="799"/>
      <c r="AK947" s="799"/>
      <c r="AL947" s="799"/>
      <c r="AM947" s="799"/>
      <c r="AN947" s="799"/>
      <c r="AO947" s="799"/>
      <c r="AP947" s="799"/>
      <c r="AQ947" s="799"/>
      <c r="AR947" s="799"/>
      <c r="AS947" s="799"/>
      <c r="AT947" s="799"/>
      <c r="AU947" s="799"/>
      <c r="AV947" s="799"/>
      <c r="AW947" s="799"/>
      <c r="AX947" s="799"/>
      <c r="AY947" s="799"/>
      <c r="AZ947" s="799"/>
      <c r="BA947" s="799"/>
      <c r="BB947" s="799"/>
      <c r="BC947" s="799"/>
      <c r="BD947" s="799"/>
      <c r="BE947" s="799"/>
      <c r="BF947" s="799"/>
      <c r="BG947" s="799"/>
    </row>
    <row r="948">
      <c r="H948" s="799"/>
      <c r="I948" s="799"/>
      <c r="J948" s="799"/>
      <c r="K948" s="799"/>
      <c r="L948" s="799"/>
      <c r="M948" s="799"/>
      <c r="N948" s="799"/>
      <c r="O948" s="799"/>
      <c r="P948" s="799"/>
      <c r="Q948" s="799"/>
      <c r="R948" s="799"/>
      <c r="S948" s="799"/>
      <c r="T948" s="799"/>
      <c r="U948" s="799"/>
      <c r="V948" s="799"/>
      <c r="W948" s="799"/>
      <c r="X948" s="799"/>
      <c r="Y948" s="799"/>
      <c r="Z948" s="799"/>
      <c r="AA948" s="799"/>
      <c r="AB948" s="799"/>
      <c r="AC948" s="799"/>
      <c r="AD948" s="799"/>
      <c r="AE948" s="799"/>
      <c r="AF948" s="799"/>
      <c r="AG948" s="799"/>
      <c r="AH948" s="799"/>
      <c r="AI948" s="799"/>
      <c r="AJ948" s="799"/>
      <c r="AK948" s="799"/>
      <c r="AL948" s="799"/>
      <c r="AM948" s="799"/>
      <c r="AN948" s="799"/>
      <c r="AO948" s="799"/>
      <c r="AP948" s="799"/>
      <c r="AQ948" s="799"/>
      <c r="AR948" s="799"/>
      <c r="AS948" s="799"/>
      <c r="AT948" s="799"/>
      <c r="AU948" s="799"/>
      <c r="AV948" s="799"/>
      <c r="AW948" s="799"/>
      <c r="AX948" s="799"/>
      <c r="AY948" s="799"/>
      <c r="AZ948" s="799"/>
      <c r="BA948" s="799"/>
      <c r="BB948" s="799"/>
      <c r="BC948" s="799"/>
      <c r="BD948" s="799"/>
      <c r="BE948" s="799"/>
      <c r="BF948" s="799"/>
      <c r="BG948" s="799"/>
    </row>
    <row r="949">
      <c r="H949" s="799"/>
      <c r="I949" s="799"/>
      <c r="J949" s="799"/>
      <c r="K949" s="799"/>
      <c r="L949" s="799"/>
      <c r="M949" s="799"/>
      <c r="N949" s="799"/>
      <c r="O949" s="799"/>
      <c r="P949" s="799"/>
      <c r="Q949" s="799"/>
      <c r="R949" s="799"/>
      <c r="S949" s="799"/>
      <c r="T949" s="799"/>
      <c r="U949" s="799"/>
      <c r="V949" s="799"/>
      <c r="W949" s="799"/>
      <c r="X949" s="799"/>
      <c r="Y949" s="799"/>
      <c r="Z949" s="799"/>
      <c r="AA949" s="799"/>
      <c r="AB949" s="799"/>
      <c r="AC949" s="799"/>
      <c r="AD949" s="799"/>
      <c r="AE949" s="799"/>
      <c r="AF949" s="799"/>
      <c r="AG949" s="799"/>
      <c r="AH949" s="799"/>
      <c r="AI949" s="799"/>
      <c r="AJ949" s="799"/>
      <c r="AK949" s="799"/>
      <c r="AL949" s="799"/>
      <c r="AM949" s="799"/>
      <c r="AN949" s="799"/>
      <c r="AO949" s="799"/>
      <c r="AP949" s="799"/>
      <c r="AQ949" s="799"/>
      <c r="AR949" s="799"/>
      <c r="AS949" s="799"/>
      <c r="AT949" s="799"/>
      <c r="AU949" s="799"/>
      <c r="AV949" s="799"/>
      <c r="AW949" s="799"/>
      <c r="AX949" s="799"/>
      <c r="AY949" s="799"/>
      <c r="AZ949" s="799"/>
      <c r="BA949" s="799"/>
      <c r="BB949" s="799"/>
      <c r="BC949" s="799"/>
      <c r="BD949" s="799"/>
      <c r="BE949" s="799"/>
      <c r="BF949" s="799"/>
      <c r="BG949" s="799"/>
    </row>
    <row r="950">
      <c r="H950" s="799"/>
      <c r="I950" s="799"/>
      <c r="J950" s="799"/>
      <c r="K950" s="799"/>
      <c r="L950" s="799"/>
      <c r="M950" s="799"/>
      <c r="N950" s="799"/>
      <c r="O950" s="799"/>
      <c r="P950" s="799"/>
      <c r="Q950" s="799"/>
      <c r="R950" s="799"/>
      <c r="S950" s="799"/>
      <c r="T950" s="799"/>
      <c r="U950" s="799"/>
      <c r="V950" s="799"/>
      <c r="W950" s="799"/>
      <c r="X950" s="799"/>
      <c r="Y950" s="799"/>
      <c r="Z950" s="799"/>
      <c r="AA950" s="799"/>
      <c r="AB950" s="799"/>
      <c r="AC950" s="799"/>
      <c r="AD950" s="799"/>
      <c r="AE950" s="799"/>
      <c r="AF950" s="799"/>
      <c r="AG950" s="799"/>
      <c r="AH950" s="799"/>
      <c r="AI950" s="799"/>
      <c r="AJ950" s="799"/>
      <c r="AK950" s="799"/>
      <c r="AL950" s="799"/>
      <c r="AM950" s="799"/>
      <c r="AN950" s="799"/>
      <c r="AO950" s="799"/>
      <c r="AP950" s="799"/>
      <c r="AQ950" s="799"/>
      <c r="AR950" s="799"/>
      <c r="AS950" s="799"/>
      <c r="AT950" s="799"/>
      <c r="AU950" s="799"/>
      <c r="AV950" s="799"/>
      <c r="AW950" s="799"/>
      <c r="AX950" s="799"/>
      <c r="AY950" s="799"/>
      <c r="AZ950" s="799"/>
      <c r="BA950" s="799"/>
      <c r="BB950" s="799"/>
      <c r="BC950" s="799"/>
      <c r="BD950" s="799"/>
      <c r="BE950" s="799"/>
      <c r="BF950" s="799"/>
      <c r="BG950" s="799"/>
    </row>
    <row r="951">
      <c r="H951" s="799"/>
      <c r="I951" s="799"/>
      <c r="J951" s="799"/>
      <c r="K951" s="799"/>
      <c r="L951" s="799"/>
      <c r="M951" s="799"/>
      <c r="N951" s="799"/>
      <c r="O951" s="799"/>
      <c r="P951" s="799"/>
      <c r="Q951" s="799"/>
      <c r="R951" s="799"/>
      <c r="S951" s="799"/>
      <c r="T951" s="799"/>
      <c r="U951" s="799"/>
      <c r="V951" s="799"/>
      <c r="W951" s="799"/>
      <c r="X951" s="799"/>
      <c r="Y951" s="799"/>
      <c r="Z951" s="799"/>
      <c r="AA951" s="799"/>
      <c r="AB951" s="799"/>
      <c r="AC951" s="799"/>
      <c r="AD951" s="799"/>
      <c r="AE951" s="799"/>
      <c r="AF951" s="799"/>
      <c r="AG951" s="799"/>
      <c r="AH951" s="799"/>
      <c r="AI951" s="799"/>
      <c r="AJ951" s="799"/>
      <c r="AK951" s="799"/>
      <c r="AL951" s="799"/>
      <c r="AM951" s="799"/>
      <c r="AN951" s="799"/>
      <c r="AO951" s="799"/>
      <c r="AP951" s="799"/>
      <c r="AQ951" s="799"/>
      <c r="AR951" s="799"/>
      <c r="AS951" s="799"/>
      <c r="AT951" s="799"/>
      <c r="AU951" s="799"/>
      <c r="AV951" s="799"/>
      <c r="AW951" s="799"/>
      <c r="AX951" s="799"/>
      <c r="AY951" s="799"/>
      <c r="AZ951" s="799"/>
      <c r="BA951" s="799"/>
      <c r="BB951" s="799"/>
      <c r="BC951" s="799"/>
      <c r="BD951" s="799"/>
      <c r="BE951" s="799"/>
      <c r="BF951" s="799"/>
      <c r="BG951" s="799"/>
    </row>
    <row r="952">
      <c r="H952" s="799"/>
      <c r="I952" s="799"/>
      <c r="J952" s="799"/>
      <c r="K952" s="799"/>
      <c r="L952" s="799"/>
      <c r="M952" s="799"/>
      <c r="N952" s="799"/>
      <c r="O952" s="799"/>
      <c r="P952" s="799"/>
      <c r="Q952" s="799"/>
      <c r="R952" s="799"/>
      <c r="S952" s="799"/>
      <c r="T952" s="799"/>
      <c r="U952" s="799"/>
      <c r="V952" s="799"/>
      <c r="W952" s="799"/>
      <c r="X952" s="799"/>
      <c r="Y952" s="799"/>
      <c r="Z952" s="799"/>
      <c r="AA952" s="799"/>
      <c r="AB952" s="799"/>
      <c r="AC952" s="799"/>
      <c r="AD952" s="799"/>
      <c r="AE952" s="799"/>
      <c r="AF952" s="799"/>
      <c r="AG952" s="799"/>
      <c r="AH952" s="799"/>
      <c r="AI952" s="799"/>
      <c r="AJ952" s="799"/>
      <c r="AK952" s="799"/>
      <c r="AL952" s="799"/>
      <c r="AM952" s="799"/>
      <c r="AN952" s="799"/>
      <c r="AO952" s="799"/>
      <c r="AP952" s="799"/>
      <c r="AQ952" s="799"/>
      <c r="AR952" s="799"/>
      <c r="AS952" s="799"/>
      <c r="AT952" s="799"/>
      <c r="AU952" s="799"/>
      <c r="AV952" s="799"/>
      <c r="AW952" s="799"/>
      <c r="AX952" s="799"/>
      <c r="AY952" s="799"/>
      <c r="AZ952" s="799"/>
      <c r="BA952" s="799"/>
      <c r="BB952" s="799"/>
      <c r="BC952" s="799"/>
      <c r="BD952" s="799"/>
      <c r="BE952" s="799"/>
      <c r="BF952" s="799"/>
      <c r="BG952" s="799"/>
    </row>
    <row r="953">
      <c r="H953" s="799"/>
      <c r="I953" s="799"/>
      <c r="J953" s="799"/>
      <c r="K953" s="799"/>
      <c r="L953" s="799"/>
      <c r="M953" s="799"/>
      <c r="N953" s="799"/>
      <c r="O953" s="799"/>
      <c r="P953" s="799"/>
      <c r="Q953" s="799"/>
      <c r="R953" s="799"/>
      <c r="S953" s="799"/>
      <c r="T953" s="799"/>
      <c r="U953" s="799"/>
      <c r="V953" s="799"/>
      <c r="W953" s="799"/>
      <c r="X953" s="799"/>
      <c r="Y953" s="799"/>
      <c r="Z953" s="799"/>
      <c r="AA953" s="799"/>
      <c r="AB953" s="799"/>
      <c r="AC953" s="799"/>
      <c r="AD953" s="799"/>
      <c r="AE953" s="799"/>
      <c r="AF953" s="799"/>
      <c r="AG953" s="799"/>
      <c r="AH953" s="799"/>
      <c r="AI953" s="799"/>
      <c r="AJ953" s="799"/>
      <c r="AK953" s="799"/>
      <c r="AL953" s="799"/>
      <c r="AM953" s="799"/>
      <c r="AN953" s="799"/>
      <c r="AO953" s="799"/>
      <c r="AP953" s="799"/>
      <c r="AQ953" s="799"/>
      <c r="AR953" s="799"/>
      <c r="AS953" s="799"/>
      <c r="AT953" s="799"/>
      <c r="AU953" s="799"/>
      <c r="AV953" s="799"/>
      <c r="AW953" s="799"/>
      <c r="AX953" s="799"/>
      <c r="AY953" s="799"/>
      <c r="AZ953" s="799"/>
      <c r="BA953" s="799"/>
      <c r="BB953" s="799"/>
      <c r="BC953" s="799"/>
      <c r="BD953" s="799"/>
      <c r="BE953" s="799"/>
      <c r="BF953" s="799"/>
      <c r="BG953" s="799"/>
    </row>
    <row r="954">
      <c r="H954" s="799"/>
      <c r="I954" s="799"/>
      <c r="J954" s="799"/>
      <c r="K954" s="799"/>
      <c r="L954" s="799"/>
      <c r="M954" s="799"/>
      <c r="N954" s="799"/>
      <c r="O954" s="799"/>
      <c r="P954" s="799"/>
      <c r="Q954" s="799"/>
      <c r="R954" s="799"/>
      <c r="S954" s="799"/>
      <c r="T954" s="799"/>
      <c r="U954" s="799"/>
      <c r="V954" s="799"/>
      <c r="W954" s="799"/>
      <c r="X954" s="799"/>
      <c r="Y954" s="799"/>
      <c r="Z954" s="799"/>
      <c r="AA954" s="799"/>
      <c r="AB954" s="799"/>
      <c r="AC954" s="799"/>
      <c r="AD954" s="799"/>
      <c r="AE954" s="799"/>
      <c r="AF954" s="799"/>
      <c r="AG954" s="799"/>
      <c r="AH954" s="799"/>
      <c r="AI954" s="799"/>
      <c r="AJ954" s="799"/>
      <c r="AK954" s="799"/>
      <c r="AL954" s="799"/>
      <c r="AM954" s="799"/>
      <c r="AN954" s="799"/>
      <c r="AO954" s="799"/>
      <c r="AP954" s="799"/>
      <c r="AQ954" s="799"/>
      <c r="AR954" s="799"/>
      <c r="AS954" s="799"/>
      <c r="AT954" s="799"/>
      <c r="AU954" s="799"/>
      <c r="AV954" s="799"/>
      <c r="AW954" s="799"/>
      <c r="AX954" s="799"/>
      <c r="AY954" s="799"/>
      <c r="AZ954" s="799"/>
      <c r="BA954" s="799"/>
      <c r="BB954" s="799"/>
      <c r="BC954" s="799"/>
      <c r="BD954" s="799"/>
      <c r="BE954" s="799"/>
      <c r="BF954" s="799"/>
      <c r="BG954" s="799"/>
    </row>
    <row r="955">
      <c r="H955" s="799"/>
      <c r="I955" s="799"/>
      <c r="J955" s="799"/>
      <c r="K955" s="799"/>
      <c r="L955" s="799"/>
      <c r="M955" s="799"/>
      <c r="N955" s="799"/>
      <c r="O955" s="799"/>
      <c r="P955" s="799"/>
      <c r="Q955" s="799"/>
      <c r="R955" s="799"/>
      <c r="S955" s="799"/>
      <c r="T955" s="799"/>
      <c r="U955" s="799"/>
      <c r="V955" s="799"/>
      <c r="W955" s="799"/>
      <c r="X955" s="799"/>
      <c r="Y955" s="799"/>
      <c r="Z955" s="799"/>
      <c r="AA955" s="799"/>
      <c r="AB955" s="799"/>
      <c r="AC955" s="799"/>
      <c r="AD955" s="799"/>
      <c r="AE955" s="799"/>
      <c r="AF955" s="799"/>
      <c r="AG955" s="799"/>
      <c r="AH955" s="799"/>
      <c r="AI955" s="799"/>
      <c r="AJ955" s="799"/>
      <c r="AK955" s="799"/>
      <c r="AL955" s="799"/>
      <c r="AM955" s="799"/>
      <c r="AN955" s="799"/>
      <c r="AO955" s="799"/>
      <c r="AP955" s="799"/>
      <c r="AQ955" s="799"/>
      <c r="AR955" s="799"/>
      <c r="AS955" s="799"/>
      <c r="AT955" s="799"/>
      <c r="AU955" s="799"/>
      <c r="AV955" s="799"/>
      <c r="AW955" s="799"/>
      <c r="AX955" s="799"/>
      <c r="AY955" s="799"/>
      <c r="AZ955" s="799"/>
      <c r="BA955" s="799"/>
      <c r="BB955" s="799"/>
      <c r="BC955" s="799"/>
      <c r="BD955" s="799"/>
      <c r="BE955" s="799"/>
      <c r="BF955" s="799"/>
      <c r="BG955" s="799"/>
    </row>
    <row r="956">
      <c r="H956" s="799"/>
      <c r="I956" s="799"/>
      <c r="J956" s="799"/>
      <c r="K956" s="799"/>
      <c r="L956" s="799"/>
      <c r="M956" s="799"/>
      <c r="N956" s="799"/>
      <c r="O956" s="799"/>
      <c r="P956" s="799"/>
      <c r="Q956" s="799"/>
      <c r="R956" s="799"/>
      <c r="S956" s="799"/>
      <c r="T956" s="799"/>
      <c r="U956" s="799"/>
      <c r="V956" s="799"/>
      <c r="W956" s="799"/>
      <c r="X956" s="799"/>
      <c r="Y956" s="799"/>
      <c r="Z956" s="799"/>
      <c r="AA956" s="799"/>
      <c r="AB956" s="799"/>
      <c r="AC956" s="799"/>
      <c r="AD956" s="799"/>
      <c r="AE956" s="799"/>
      <c r="AF956" s="799"/>
      <c r="AG956" s="799"/>
      <c r="AH956" s="799"/>
      <c r="AI956" s="799"/>
      <c r="AJ956" s="799"/>
      <c r="AK956" s="799"/>
      <c r="AL956" s="799"/>
      <c r="AM956" s="799"/>
      <c r="AN956" s="799"/>
      <c r="AO956" s="799"/>
      <c r="AP956" s="799"/>
      <c r="AQ956" s="799"/>
      <c r="AR956" s="799"/>
      <c r="AS956" s="799"/>
      <c r="AT956" s="799"/>
      <c r="AU956" s="799"/>
      <c r="AV956" s="799"/>
      <c r="AW956" s="799"/>
      <c r="AX956" s="799"/>
      <c r="AY956" s="799"/>
      <c r="AZ956" s="799"/>
      <c r="BA956" s="799"/>
      <c r="BB956" s="799"/>
      <c r="BC956" s="799"/>
      <c r="BD956" s="799"/>
      <c r="BE956" s="799"/>
      <c r="BF956" s="799"/>
      <c r="BG956" s="799"/>
    </row>
    <row r="957">
      <c r="H957" s="799"/>
      <c r="I957" s="799"/>
      <c r="J957" s="799"/>
      <c r="K957" s="799"/>
      <c r="L957" s="799"/>
      <c r="M957" s="799"/>
      <c r="N957" s="799"/>
      <c r="O957" s="799"/>
      <c r="P957" s="799"/>
      <c r="Q957" s="799"/>
      <c r="R957" s="799"/>
      <c r="S957" s="799"/>
      <c r="T957" s="799"/>
      <c r="U957" s="799"/>
      <c r="V957" s="799"/>
      <c r="W957" s="799"/>
      <c r="X957" s="799"/>
      <c r="Y957" s="799"/>
      <c r="Z957" s="799"/>
      <c r="AA957" s="799"/>
      <c r="AB957" s="799"/>
      <c r="AC957" s="799"/>
      <c r="AD957" s="799"/>
      <c r="AE957" s="799"/>
      <c r="AF957" s="799"/>
      <c r="AG957" s="799"/>
      <c r="AH957" s="799"/>
      <c r="AI957" s="799"/>
      <c r="AJ957" s="799"/>
      <c r="AK957" s="799"/>
      <c r="AL957" s="799"/>
      <c r="AM957" s="799"/>
      <c r="AN957" s="799"/>
      <c r="AO957" s="799"/>
      <c r="AP957" s="799"/>
      <c r="AQ957" s="799"/>
      <c r="AR957" s="799"/>
      <c r="AS957" s="799"/>
      <c r="AT957" s="799"/>
      <c r="AU957" s="799"/>
      <c r="AV957" s="799"/>
      <c r="AW957" s="799"/>
      <c r="AX957" s="799"/>
      <c r="AY957" s="799"/>
      <c r="AZ957" s="799"/>
      <c r="BA957" s="799"/>
      <c r="BB957" s="799"/>
      <c r="BC957" s="799"/>
      <c r="BD957" s="799"/>
      <c r="BE957" s="799"/>
      <c r="BF957" s="799"/>
      <c r="BG957" s="799"/>
    </row>
    <row r="958">
      <c r="H958" s="799"/>
      <c r="I958" s="799"/>
      <c r="J958" s="799"/>
      <c r="K958" s="799"/>
      <c r="L958" s="799"/>
      <c r="M958" s="799"/>
      <c r="N958" s="799"/>
      <c r="O958" s="799"/>
      <c r="P958" s="799"/>
      <c r="Q958" s="799"/>
      <c r="R958" s="799"/>
      <c r="S958" s="799"/>
      <c r="T958" s="799"/>
      <c r="U958" s="799"/>
      <c r="V958" s="799"/>
      <c r="W958" s="799"/>
      <c r="X958" s="799"/>
      <c r="Y958" s="799"/>
      <c r="Z958" s="799"/>
      <c r="AA958" s="799"/>
      <c r="AB958" s="799"/>
      <c r="AC958" s="799"/>
      <c r="AD958" s="799"/>
      <c r="AE958" s="799"/>
      <c r="AF958" s="799"/>
      <c r="AG958" s="799"/>
      <c r="AH958" s="799"/>
      <c r="AI958" s="799"/>
      <c r="AJ958" s="799"/>
      <c r="AK958" s="799"/>
      <c r="AL958" s="799"/>
      <c r="AM958" s="799"/>
      <c r="AN958" s="799"/>
      <c r="AO958" s="799"/>
      <c r="AP958" s="799"/>
      <c r="AQ958" s="799"/>
      <c r="AR958" s="799"/>
      <c r="AS958" s="799"/>
      <c r="AT958" s="799"/>
      <c r="AU958" s="799"/>
      <c r="AV958" s="799"/>
      <c r="AW958" s="799"/>
      <c r="AX958" s="799"/>
      <c r="AY958" s="799"/>
      <c r="AZ958" s="799"/>
      <c r="BA958" s="799"/>
      <c r="BB958" s="799"/>
      <c r="BC958" s="799"/>
      <c r="BD958" s="799"/>
      <c r="BE958" s="799"/>
      <c r="BF958" s="799"/>
      <c r="BG958" s="799"/>
    </row>
    <row r="959">
      <c r="H959" s="799"/>
      <c r="I959" s="799"/>
      <c r="J959" s="799"/>
      <c r="K959" s="799"/>
      <c r="L959" s="799"/>
      <c r="M959" s="799"/>
      <c r="N959" s="799"/>
      <c r="O959" s="799"/>
      <c r="P959" s="799"/>
      <c r="Q959" s="799"/>
      <c r="R959" s="799"/>
      <c r="S959" s="799"/>
      <c r="T959" s="799"/>
      <c r="U959" s="799"/>
      <c r="V959" s="799"/>
      <c r="W959" s="799"/>
      <c r="X959" s="799"/>
      <c r="Y959" s="799"/>
      <c r="Z959" s="799"/>
      <c r="AA959" s="799"/>
      <c r="AB959" s="799"/>
      <c r="AC959" s="799"/>
      <c r="AD959" s="799"/>
      <c r="AE959" s="799"/>
      <c r="AF959" s="799"/>
      <c r="AG959" s="799"/>
      <c r="AH959" s="799"/>
      <c r="AI959" s="799"/>
      <c r="AJ959" s="799"/>
      <c r="AK959" s="799"/>
      <c r="AL959" s="799"/>
      <c r="AM959" s="799"/>
      <c r="AN959" s="799"/>
      <c r="AO959" s="799"/>
      <c r="AP959" s="799"/>
      <c r="AQ959" s="799"/>
      <c r="AR959" s="799"/>
      <c r="AS959" s="799"/>
      <c r="AT959" s="799"/>
      <c r="AU959" s="799"/>
      <c r="AV959" s="799"/>
      <c r="AW959" s="799"/>
      <c r="AX959" s="799"/>
      <c r="AY959" s="799"/>
      <c r="AZ959" s="799"/>
      <c r="BA959" s="799"/>
      <c r="BB959" s="799"/>
      <c r="BC959" s="799"/>
      <c r="BD959" s="799"/>
      <c r="BE959" s="799"/>
      <c r="BF959" s="799"/>
      <c r="BG959" s="799"/>
    </row>
    <row r="960">
      <c r="H960" s="799"/>
      <c r="I960" s="799"/>
      <c r="J960" s="799"/>
      <c r="K960" s="799"/>
      <c r="L960" s="799"/>
      <c r="M960" s="799"/>
      <c r="N960" s="799"/>
      <c r="O960" s="799"/>
      <c r="P960" s="799"/>
      <c r="Q960" s="799"/>
      <c r="R960" s="799"/>
      <c r="S960" s="799"/>
      <c r="T960" s="799"/>
      <c r="U960" s="799"/>
      <c r="V960" s="799"/>
      <c r="W960" s="799"/>
      <c r="X960" s="799"/>
      <c r="Y960" s="799"/>
      <c r="Z960" s="799"/>
      <c r="AA960" s="799"/>
      <c r="AB960" s="799"/>
      <c r="AC960" s="799"/>
      <c r="AD960" s="799"/>
      <c r="AE960" s="799"/>
      <c r="AF960" s="799"/>
      <c r="AG960" s="799"/>
      <c r="AH960" s="799"/>
      <c r="AI960" s="799"/>
      <c r="AJ960" s="799"/>
      <c r="AK960" s="799"/>
      <c r="AL960" s="799"/>
      <c r="AM960" s="799"/>
      <c r="AN960" s="799"/>
      <c r="AO960" s="799"/>
      <c r="AP960" s="799"/>
      <c r="AQ960" s="799"/>
      <c r="AR960" s="799"/>
      <c r="AS960" s="799"/>
      <c r="AT960" s="799"/>
      <c r="AU960" s="799"/>
      <c r="AV960" s="799"/>
      <c r="AW960" s="799"/>
      <c r="AX960" s="799"/>
      <c r="AY960" s="799"/>
      <c r="AZ960" s="799"/>
      <c r="BA960" s="799"/>
      <c r="BB960" s="799"/>
      <c r="BC960" s="799"/>
      <c r="BD960" s="799"/>
      <c r="BE960" s="799"/>
      <c r="BF960" s="799"/>
      <c r="BG960" s="799"/>
    </row>
    <row r="961">
      <c r="H961" s="799"/>
      <c r="I961" s="799"/>
      <c r="J961" s="799"/>
      <c r="K961" s="799"/>
      <c r="L961" s="799"/>
      <c r="M961" s="799"/>
      <c r="N961" s="799"/>
      <c r="O961" s="799"/>
      <c r="P961" s="799"/>
      <c r="Q961" s="799"/>
      <c r="R961" s="799"/>
      <c r="S961" s="799"/>
      <c r="T961" s="799"/>
      <c r="U961" s="799"/>
      <c r="V961" s="799"/>
      <c r="W961" s="799"/>
      <c r="X961" s="799"/>
      <c r="Y961" s="799"/>
      <c r="Z961" s="799"/>
      <c r="AA961" s="799"/>
      <c r="AB961" s="799"/>
      <c r="AC961" s="799"/>
      <c r="AD961" s="799"/>
      <c r="AE961" s="799"/>
      <c r="AF961" s="799"/>
      <c r="AG961" s="799"/>
      <c r="AH961" s="799"/>
      <c r="AI961" s="799"/>
      <c r="AJ961" s="799"/>
      <c r="AK961" s="799"/>
      <c r="AL961" s="799"/>
      <c r="AM961" s="799"/>
      <c r="AN961" s="799"/>
      <c r="AO961" s="799"/>
      <c r="AP961" s="799"/>
      <c r="AQ961" s="799"/>
      <c r="AR961" s="799"/>
      <c r="AS961" s="799"/>
      <c r="AT961" s="799"/>
      <c r="AU961" s="799"/>
      <c r="AV961" s="799"/>
      <c r="AW961" s="799"/>
      <c r="AX961" s="799"/>
      <c r="AY961" s="799"/>
      <c r="AZ961" s="799"/>
      <c r="BA961" s="799"/>
      <c r="BB961" s="799"/>
      <c r="BC961" s="799"/>
      <c r="BD961" s="799"/>
      <c r="BE961" s="799"/>
      <c r="BF961" s="799"/>
      <c r="BG961" s="799"/>
    </row>
    <row r="962">
      <c r="H962" s="799"/>
      <c r="I962" s="799"/>
      <c r="J962" s="799"/>
      <c r="K962" s="799"/>
      <c r="L962" s="799"/>
      <c r="M962" s="799"/>
      <c r="N962" s="799"/>
      <c r="O962" s="799"/>
      <c r="P962" s="799"/>
      <c r="Q962" s="799"/>
      <c r="R962" s="799"/>
      <c r="S962" s="799"/>
      <c r="T962" s="799"/>
      <c r="U962" s="799"/>
      <c r="V962" s="799"/>
      <c r="W962" s="799"/>
      <c r="X962" s="799"/>
      <c r="Y962" s="799"/>
      <c r="Z962" s="799"/>
      <c r="AA962" s="799"/>
      <c r="AB962" s="799"/>
      <c r="AC962" s="799"/>
      <c r="AD962" s="799"/>
      <c r="AE962" s="799"/>
      <c r="AF962" s="799"/>
      <c r="AG962" s="799"/>
      <c r="AH962" s="799"/>
      <c r="AI962" s="799"/>
      <c r="AJ962" s="799"/>
      <c r="AK962" s="799"/>
      <c r="AL962" s="799"/>
      <c r="AM962" s="799"/>
      <c r="AN962" s="799"/>
      <c r="AO962" s="799"/>
      <c r="AP962" s="799"/>
      <c r="AQ962" s="799"/>
      <c r="AR962" s="799"/>
      <c r="AS962" s="799"/>
      <c r="AT962" s="799"/>
      <c r="AU962" s="799"/>
      <c r="AV962" s="799"/>
      <c r="AW962" s="799"/>
      <c r="AX962" s="799"/>
      <c r="AY962" s="799"/>
      <c r="AZ962" s="799"/>
      <c r="BA962" s="799"/>
      <c r="BB962" s="799"/>
      <c r="BC962" s="799"/>
      <c r="BD962" s="799"/>
      <c r="BE962" s="799"/>
      <c r="BF962" s="799"/>
      <c r="BG962" s="799"/>
    </row>
    <row r="963">
      <c r="H963" s="799"/>
      <c r="I963" s="799"/>
      <c r="J963" s="799"/>
      <c r="K963" s="799"/>
      <c r="L963" s="799"/>
      <c r="M963" s="799"/>
      <c r="N963" s="799"/>
      <c r="O963" s="799"/>
      <c r="P963" s="799"/>
      <c r="Q963" s="799"/>
      <c r="R963" s="799"/>
      <c r="S963" s="799"/>
      <c r="T963" s="799"/>
      <c r="U963" s="799"/>
      <c r="V963" s="799"/>
      <c r="W963" s="799"/>
      <c r="X963" s="799"/>
      <c r="Y963" s="799"/>
      <c r="Z963" s="799"/>
      <c r="AA963" s="799"/>
      <c r="AB963" s="799"/>
      <c r="AC963" s="799"/>
      <c r="AD963" s="799"/>
      <c r="AE963" s="799"/>
      <c r="AF963" s="799"/>
      <c r="AG963" s="799"/>
      <c r="AH963" s="799"/>
      <c r="AI963" s="799"/>
      <c r="AJ963" s="799"/>
      <c r="AK963" s="799"/>
      <c r="AL963" s="799"/>
      <c r="AM963" s="799"/>
      <c r="AN963" s="799"/>
      <c r="AO963" s="799"/>
      <c r="AP963" s="799"/>
      <c r="AQ963" s="799"/>
      <c r="AR963" s="799"/>
      <c r="AS963" s="799"/>
      <c r="AT963" s="799"/>
      <c r="AU963" s="799"/>
      <c r="AV963" s="799"/>
      <c r="AW963" s="799"/>
      <c r="AX963" s="799"/>
      <c r="AY963" s="799"/>
      <c r="AZ963" s="799"/>
      <c r="BA963" s="799"/>
      <c r="BB963" s="799"/>
      <c r="BC963" s="799"/>
      <c r="BD963" s="799"/>
      <c r="BE963" s="799"/>
      <c r="BF963" s="799"/>
      <c r="BG963" s="799"/>
    </row>
    <row r="964">
      <c r="H964" s="799"/>
      <c r="I964" s="799"/>
      <c r="J964" s="799"/>
      <c r="K964" s="799"/>
      <c r="L964" s="799"/>
      <c r="M964" s="799"/>
      <c r="N964" s="799"/>
      <c r="O964" s="799"/>
      <c r="P964" s="799"/>
      <c r="Q964" s="799"/>
      <c r="R964" s="799"/>
      <c r="S964" s="799"/>
      <c r="T964" s="799"/>
      <c r="U964" s="799"/>
      <c r="V964" s="799"/>
      <c r="W964" s="799"/>
      <c r="X964" s="799"/>
      <c r="Y964" s="799"/>
      <c r="Z964" s="799"/>
      <c r="AA964" s="799"/>
      <c r="AB964" s="799"/>
      <c r="AC964" s="799"/>
      <c r="AD964" s="799"/>
      <c r="AE964" s="799"/>
      <c r="AF964" s="799"/>
      <c r="AG964" s="799"/>
      <c r="AH964" s="799"/>
      <c r="AI964" s="799"/>
      <c r="AJ964" s="799"/>
      <c r="AK964" s="799"/>
      <c r="AL964" s="799"/>
      <c r="AM964" s="799"/>
      <c r="AN964" s="799"/>
      <c r="AO964" s="799"/>
      <c r="AP964" s="799"/>
      <c r="AQ964" s="799"/>
      <c r="AR964" s="799"/>
      <c r="AS964" s="799"/>
      <c r="AT964" s="799"/>
      <c r="AU964" s="799"/>
      <c r="AV964" s="799"/>
      <c r="AW964" s="799"/>
      <c r="AX964" s="799"/>
      <c r="AY964" s="799"/>
      <c r="AZ964" s="799"/>
      <c r="BA964" s="799"/>
      <c r="BB964" s="799"/>
      <c r="BC964" s="799"/>
      <c r="BD964" s="799"/>
      <c r="BE964" s="799"/>
      <c r="BF964" s="799"/>
      <c r="BG964" s="799"/>
    </row>
    <row r="965">
      <c r="H965" s="799"/>
      <c r="I965" s="799"/>
      <c r="J965" s="799"/>
      <c r="K965" s="799"/>
      <c r="L965" s="799"/>
      <c r="M965" s="799"/>
      <c r="N965" s="799"/>
      <c r="O965" s="799"/>
      <c r="P965" s="799"/>
      <c r="Q965" s="799"/>
      <c r="R965" s="799"/>
      <c r="S965" s="799"/>
      <c r="T965" s="799"/>
      <c r="U965" s="799"/>
      <c r="V965" s="799"/>
      <c r="W965" s="799"/>
      <c r="X965" s="799"/>
      <c r="Y965" s="799"/>
      <c r="Z965" s="799"/>
      <c r="AA965" s="799"/>
      <c r="AB965" s="799"/>
      <c r="AC965" s="799"/>
      <c r="AD965" s="799"/>
      <c r="AE965" s="799"/>
      <c r="AF965" s="799"/>
      <c r="AG965" s="799"/>
      <c r="AH965" s="799"/>
      <c r="AI965" s="799"/>
      <c r="AJ965" s="799"/>
      <c r="AK965" s="799"/>
      <c r="AL965" s="799"/>
      <c r="AM965" s="799"/>
      <c r="AN965" s="799"/>
      <c r="AO965" s="799"/>
      <c r="AP965" s="799"/>
      <c r="AQ965" s="799"/>
      <c r="AR965" s="799"/>
      <c r="AS965" s="799"/>
      <c r="AT965" s="799"/>
      <c r="AU965" s="799"/>
      <c r="AV965" s="799"/>
      <c r="AW965" s="799"/>
      <c r="AX965" s="799"/>
      <c r="AY965" s="799"/>
      <c r="AZ965" s="799"/>
      <c r="BA965" s="799"/>
      <c r="BB965" s="799"/>
      <c r="BC965" s="799"/>
      <c r="BD965" s="799"/>
      <c r="BE965" s="799"/>
      <c r="BF965" s="799"/>
      <c r="BG965" s="799"/>
    </row>
    <row r="966">
      <c r="H966" s="799"/>
      <c r="I966" s="799"/>
      <c r="J966" s="799"/>
      <c r="K966" s="799"/>
      <c r="L966" s="799"/>
      <c r="M966" s="799"/>
      <c r="N966" s="799"/>
      <c r="O966" s="799"/>
      <c r="P966" s="799"/>
      <c r="Q966" s="799"/>
      <c r="R966" s="799"/>
      <c r="S966" s="799"/>
      <c r="T966" s="799"/>
      <c r="U966" s="799"/>
      <c r="V966" s="799"/>
      <c r="W966" s="799"/>
      <c r="X966" s="799"/>
      <c r="Y966" s="799"/>
      <c r="Z966" s="799"/>
      <c r="AA966" s="799"/>
      <c r="AB966" s="799"/>
      <c r="AC966" s="799"/>
      <c r="AD966" s="799"/>
      <c r="AE966" s="799"/>
      <c r="AF966" s="799"/>
      <c r="AG966" s="799"/>
      <c r="AH966" s="799"/>
      <c r="AI966" s="799"/>
      <c r="AJ966" s="799"/>
      <c r="AK966" s="799"/>
      <c r="AL966" s="799"/>
      <c r="AM966" s="799"/>
      <c r="AN966" s="799"/>
      <c r="AO966" s="799"/>
      <c r="AP966" s="799"/>
      <c r="AQ966" s="799"/>
      <c r="AR966" s="799"/>
      <c r="AS966" s="799"/>
      <c r="AT966" s="799"/>
      <c r="AU966" s="799"/>
      <c r="AV966" s="799"/>
      <c r="AW966" s="799"/>
      <c r="AX966" s="799"/>
      <c r="AY966" s="799"/>
      <c r="AZ966" s="799"/>
      <c r="BA966" s="799"/>
      <c r="BB966" s="799"/>
      <c r="BC966" s="799"/>
      <c r="BD966" s="799"/>
      <c r="BE966" s="799"/>
      <c r="BF966" s="799"/>
      <c r="BG966" s="799"/>
    </row>
    <row r="967">
      <c r="H967" s="799"/>
      <c r="I967" s="799"/>
      <c r="J967" s="799"/>
      <c r="K967" s="799"/>
      <c r="L967" s="799"/>
      <c r="M967" s="799"/>
      <c r="N967" s="799"/>
      <c r="O967" s="799"/>
      <c r="P967" s="799"/>
      <c r="Q967" s="799"/>
      <c r="R967" s="799"/>
      <c r="S967" s="799"/>
      <c r="T967" s="799"/>
      <c r="U967" s="799"/>
      <c r="V967" s="799"/>
      <c r="W967" s="799"/>
      <c r="X967" s="799"/>
      <c r="Y967" s="799"/>
      <c r="Z967" s="799"/>
      <c r="AA967" s="799"/>
      <c r="AB967" s="799"/>
      <c r="AC967" s="799"/>
      <c r="AD967" s="799"/>
      <c r="AE967" s="799"/>
      <c r="AF967" s="799"/>
      <c r="AG967" s="799"/>
      <c r="AH967" s="799"/>
      <c r="AI967" s="799"/>
      <c r="AJ967" s="799"/>
      <c r="AK967" s="799"/>
      <c r="AL967" s="799"/>
      <c r="AM967" s="799"/>
      <c r="AN967" s="799"/>
      <c r="AO967" s="799"/>
      <c r="AP967" s="799"/>
      <c r="AQ967" s="799"/>
      <c r="AR967" s="799"/>
      <c r="AS967" s="799"/>
      <c r="AT967" s="799"/>
      <c r="AU967" s="799"/>
      <c r="AV967" s="799"/>
      <c r="AW967" s="799"/>
      <c r="AX967" s="799"/>
      <c r="AY967" s="799"/>
      <c r="AZ967" s="799"/>
      <c r="BA967" s="799"/>
      <c r="BB967" s="799"/>
      <c r="BC967" s="799"/>
      <c r="BD967" s="799"/>
      <c r="BE967" s="799"/>
      <c r="BF967" s="799"/>
      <c r="BG967" s="799"/>
    </row>
    <row r="968">
      <c r="H968" s="799"/>
      <c r="I968" s="799"/>
      <c r="J968" s="799"/>
      <c r="K968" s="799"/>
      <c r="L968" s="799"/>
      <c r="M968" s="799"/>
      <c r="N968" s="799"/>
      <c r="O968" s="799"/>
      <c r="P968" s="799"/>
      <c r="Q968" s="799"/>
      <c r="R968" s="799"/>
      <c r="S968" s="799"/>
      <c r="T968" s="799"/>
      <c r="U968" s="799"/>
      <c r="V968" s="799"/>
      <c r="W968" s="799"/>
      <c r="X968" s="799"/>
      <c r="Y968" s="799"/>
      <c r="Z968" s="799"/>
      <c r="AA968" s="799"/>
      <c r="AB968" s="799"/>
      <c r="AC968" s="799"/>
      <c r="AD968" s="799"/>
      <c r="AE968" s="799"/>
      <c r="AF968" s="799"/>
      <c r="AG968" s="799"/>
      <c r="AH968" s="799"/>
      <c r="AI968" s="799"/>
      <c r="AJ968" s="799"/>
      <c r="AK968" s="799"/>
      <c r="AL968" s="799"/>
      <c r="AM968" s="799"/>
      <c r="AN968" s="799"/>
      <c r="AO968" s="799"/>
      <c r="AP968" s="799"/>
      <c r="AQ968" s="799"/>
      <c r="AR968" s="799"/>
      <c r="AS968" s="799"/>
      <c r="AT968" s="799"/>
      <c r="AU968" s="799"/>
      <c r="AV968" s="799"/>
      <c r="AW968" s="799"/>
      <c r="AX968" s="799"/>
      <c r="AY968" s="799"/>
      <c r="AZ968" s="799"/>
      <c r="BA968" s="799"/>
      <c r="BB968" s="799"/>
      <c r="BC968" s="799"/>
      <c r="BD968" s="799"/>
      <c r="BE968" s="799"/>
      <c r="BF968" s="799"/>
      <c r="BG968" s="799"/>
    </row>
    <row r="969">
      <c r="H969" s="799"/>
      <c r="I969" s="799"/>
      <c r="J969" s="799"/>
      <c r="K969" s="799"/>
      <c r="L969" s="799"/>
      <c r="M969" s="799"/>
      <c r="N969" s="799"/>
      <c r="O969" s="799"/>
      <c r="P969" s="799"/>
      <c r="Q969" s="799"/>
      <c r="R969" s="799"/>
      <c r="S969" s="799"/>
      <c r="T969" s="799"/>
      <c r="U969" s="799"/>
      <c r="V969" s="799"/>
      <c r="W969" s="799"/>
      <c r="X969" s="799"/>
      <c r="Y969" s="799"/>
      <c r="Z969" s="799"/>
      <c r="AA969" s="799"/>
      <c r="AB969" s="799"/>
      <c r="AC969" s="799"/>
      <c r="AD969" s="799"/>
      <c r="AE969" s="799"/>
      <c r="AF969" s="799"/>
      <c r="AG969" s="799"/>
      <c r="AH969" s="799"/>
      <c r="AI969" s="799"/>
      <c r="AJ969" s="799"/>
      <c r="AK969" s="799"/>
      <c r="AL969" s="799"/>
      <c r="AM969" s="799"/>
      <c r="AN969" s="799"/>
      <c r="AO969" s="799"/>
      <c r="AP969" s="799"/>
      <c r="AQ969" s="799"/>
      <c r="AR969" s="799"/>
      <c r="AS969" s="799"/>
      <c r="AT969" s="799"/>
      <c r="AU969" s="799"/>
      <c r="AV969" s="799"/>
      <c r="AW969" s="799"/>
      <c r="AX969" s="799"/>
      <c r="AY969" s="799"/>
      <c r="AZ969" s="799"/>
      <c r="BA969" s="799"/>
      <c r="BB969" s="799"/>
      <c r="BC969" s="799"/>
      <c r="BD969" s="799"/>
      <c r="BE969" s="799"/>
      <c r="BF969" s="799"/>
      <c r="BG969" s="799"/>
    </row>
    <row r="970">
      <c r="H970" s="799"/>
      <c r="I970" s="799"/>
      <c r="J970" s="799"/>
      <c r="K970" s="799"/>
      <c r="L970" s="799"/>
      <c r="M970" s="799"/>
      <c r="N970" s="799"/>
      <c r="O970" s="799"/>
      <c r="P970" s="799"/>
      <c r="Q970" s="799"/>
      <c r="R970" s="799"/>
      <c r="S970" s="799"/>
      <c r="T970" s="799"/>
      <c r="U970" s="799"/>
      <c r="V970" s="799"/>
      <c r="W970" s="799"/>
      <c r="X970" s="799"/>
      <c r="Y970" s="799"/>
      <c r="Z970" s="799"/>
      <c r="AA970" s="799"/>
      <c r="AB970" s="799"/>
      <c r="AC970" s="799"/>
      <c r="AD970" s="799"/>
      <c r="AE970" s="799"/>
      <c r="AF970" s="799"/>
      <c r="AG970" s="799"/>
      <c r="AH970" s="799"/>
      <c r="AI970" s="799"/>
      <c r="AJ970" s="799"/>
      <c r="AK970" s="799"/>
      <c r="AL970" s="799"/>
      <c r="AM970" s="799"/>
      <c r="AN970" s="799"/>
      <c r="AO970" s="799"/>
      <c r="AP970" s="799"/>
      <c r="AQ970" s="799"/>
      <c r="AR970" s="799"/>
      <c r="AS970" s="799"/>
      <c r="AT970" s="799"/>
      <c r="AU970" s="799"/>
      <c r="AV970" s="799"/>
      <c r="AW970" s="799"/>
      <c r="AX970" s="799"/>
      <c r="AY970" s="799"/>
      <c r="AZ970" s="799"/>
      <c r="BA970" s="799"/>
      <c r="BB970" s="799"/>
      <c r="BC970" s="799"/>
      <c r="BD970" s="799"/>
      <c r="BE970" s="799"/>
      <c r="BF970" s="799"/>
      <c r="BG970" s="799"/>
    </row>
    <row r="971">
      <c r="H971" s="799"/>
      <c r="I971" s="799"/>
      <c r="J971" s="799"/>
      <c r="K971" s="799"/>
      <c r="L971" s="799"/>
      <c r="M971" s="799"/>
      <c r="N971" s="799"/>
      <c r="O971" s="799"/>
      <c r="P971" s="799"/>
      <c r="Q971" s="799"/>
      <c r="R971" s="799"/>
      <c r="S971" s="799"/>
      <c r="T971" s="799"/>
      <c r="U971" s="799"/>
      <c r="V971" s="799"/>
      <c r="W971" s="799"/>
      <c r="X971" s="799"/>
      <c r="Y971" s="799"/>
      <c r="Z971" s="799"/>
      <c r="AA971" s="799"/>
      <c r="AB971" s="799"/>
      <c r="AC971" s="799"/>
      <c r="AD971" s="799"/>
      <c r="AE971" s="799"/>
      <c r="AF971" s="799"/>
      <c r="AG971" s="799"/>
      <c r="AH971" s="799"/>
      <c r="AI971" s="799"/>
      <c r="AJ971" s="799"/>
      <c r="AK971" s="799"/>
      <c r="AL971" s="799"/>
      <c r="AM971" s="799"/>
      <c r="AN971" s="799"/>
      <c r="AO971" s="799"/>
      <c r="AP971" s="799"/>
      <c r="AQ971" s="799"/>
      <c r="AR971" s="799"/>
      <c r="AS971" s="799"/>
      <c r="AT971" s="799"/>
      <c r="AU971" s="799"/>
      <c r="AV971" s="799"/>
      <c r="AW971" s="799"/>
      <c r="AX971" s="799"/>
      <c r="AY971" s="799"/>
      <c r="AZ971" s="799"/>
      <c r="BA971" s="799"/>
      <c r="BB971" s="799"/>
      <c r="BC971" s="799"/>
      <c r="BD971" s="799"/>
      <c r="BE971" s="799"/>
      <c r="BF971" s="799"/>
      <c r="BG971" s="799"/>
    </row>
    <row r="972">
      <c r="H972" s="799"/>
      <c r="I972" s="799"/>
      <c r="J972" s="799"/>
      <c r="K972" s="799"/>
      <c r="L972" s="799"/>
      <c r="M972" s="799"/>
      <c r="N972" s="799"/>
      <c r="O972" s="799"/>
      <c r="P972" s="799"/>
      <c r="Q972" s="799"/>
      <c r="R972" s="799"/>
      <c r="S972" s="799"/>
      <c r="T972" s="799"/>
      <c r="U972" s="799"/>
      <c r="V972" s="799"/>
      <c r="W972" s="799"/>
      <c r="X972" s="799"/>
      <c r="Y972" s="799"/>
      <c r="Z972" s="799"/>
      <c r="AA972" s="799"/>
      <c r="AB972" s="799"/>
      <c r="AC972" s="799"/>
      <c r="AD972" s="799"/>
      <c r="AE972" s="799"/>
      <c r="AF972" s="799"/>
      <c r="AG972" s="799"/>
      <c r="AH972" s="799"/>
      <c r="AI972" s="799"/>
      <c r="AJ972" s="799"/>
      <c r="AK972" s="799"/>
      <c r="AL972" s="799"/>
      <c r="AM972" s="799"/>
      <c r="AN972" s="799"/>
      <c r="AO972" s="799"/>
      <c r="AP972" s="799"/>
      <c r="AQ972" s="799"/>
      <c r="AR972" s="799"/>
      <c r="AS972" s="799"/>
      <c r="AT972" s="799"/>
      <c r="AU972" s="799"/>
      <c r="AV972" s="799"/>
      <c r="AW972" s="799"/>
      <c r="AX972" s="799"/>
      <c r="AY972" s="799"/>
      <c r="AZ972" s="799"/>
      <c r="BA972" s="799"/>
      <c r="BB972" s="799"/>
      <c r="BC972" s="799"/>
      <c r="BD972" s="799"/>
      <c r="BE972" s="799"/>
      <c r="BF972" s="799"/>
      <c r="BG972" s="799"/>
    </row>
    <row r="973">
      <c r="H973" s="799"/>
      <c r="I973" s="799"/>
      <c r="J973" s="799"/>
      <c r="K973" s="799"/>
      <c r="L973" s="799"/>
      <c r="M973" s="799"/>
      <c r="N973" s="799"/>
      <c r="O973" s="799"/>
      <c r="P973" s="799"/>
      <c r="Q973" s="799"/>
      <c r="R973" s="799"/>
      <c r="S973" s="799"/>
      <c r="T973" s="799"/>
      <c r="U973" s="799"/>
      <c r="V973" s="799"/>
      <c r="W973" s="799"/>
      <c r="X973" s="799"/>
      <c r="Y973" s="799"/>
      <c r="Z973" s="799"/>
      <c r="AA973" s="799"/>
      <c r="AB973" s="799"/>
      <c r="AC973" s="799"/>
      <c r="AD973" s="799"/>
      <c r="AE973" s="799"/>
      <c r="AF973" s="799"/>
      <c r="AG973" s="799"/>
      <c r="AH973" s="799"/>
      <c r="AI973" s="799"/>
      <c r="AJ973" s="799"/>
      <c r="AK973" s="799"/>
      <c r="AL973" s="799"/>
      <c r="AM973" s="799"/>
      <c r="AN973" s="799"/>
      <c r="AO973" s="799"/>
      <c r="AP973" s="799"/>
      <c r="AQ973" s="799"/>
      <c r="AR973" s="799"/>
      <c r="AS973" s="799"/>
      <c r="AT973" s="799"/>
      <c r="AU973" s="799"/>
      <c r="AV973" s="799"/>
      <c r="AW973" s="799"/>
      <c r="AX973" s="799"/>
      <c r="AY973" s="799"/>
      <c r="AZ973" s="799"/>
      <c r="BA973" s="799"/>
      <c r="BB973" s="799"/>
      <c r="BC973" s="799"/>
      <c r="BD973" s="799"/>
      <c r="BE973" s="799"/>
      <c r="BF973" s="799"/>
      <c r="BG973" s="799"/>
    </row>
    <row r="974">
      <c r="H974" s="799"/>
      <c r="I974" s="799"/>
      <c r="J974" s="799"/>
      <c r="K974" s="799"/>
      <c r="L974" s="799"/>
      <c r="M974" s="799"/>
      <c r="N974" s="799"/>
      <c r="O974" s="799"/>
      <c r="P974" s="799"/>
      <c r="Q974" s="799"/>
      <c r="R974" s="799"/>
      <c r="S974" s="799"/>
      <c r="T974" s="799"/>
      <c r="U974" s="799"/>
      <c r="V974" s="799"/>
      <c r="W974" s="799"/>
      <c r="X974" s="799"/>
      <c r="Y974" s="799"/>
      <c r="Z974" s="799"/>
      <c r="AA974" s="799"/>
      <c r="AB974" s="799"/>
      <c r="AC974" s="799"/>
      <c r="AD974" s="799"/>
      <c r="AE974" s="799"/>
      <c r="AF974" s="799"/>
      <c r="AG974" s="799"/>
      <c r="AH974" s="799"/>
      <c r="AI974" s="799"/>
      <c r="AJ974" s="799"/>
      <c r="AK974" s="799"/>
      <c r="AL974" s="799"/>
      <c r="AM974" s="799"/>
      <c r="AN974" s="799"/>
      <c r="AO974" s="799"/>
      <c r="AP974" s="799"/>
      <c r="AQ974" s="799"/>
      <c r="AR974" s="799"/>
      <c r="AS974" s="799"/>
      <c r="AT974" s="799"/>
      <c r="AU974" s="799"/>
      <c r="AV974" s="799"/>
      <c r="AW974" s="799"/>
      <c r="AX974" s="799"/>
      <c r="AY974" s="799"/>
      <c r="AZ974" s="799"/>
      <c r="BA974" s="799"/>
      <c r="BB974" s="799"/>
      <c r="BC974" s="799"/>
      <c r="BD974" s="799"/>
      <c r="BE974" s="799"/>
      <c r="BF974" s="799"/>
      <c r="BG974" s="799"/>
    </row>
    <row r="975">
      <c r="H975" s="799"/>
      <c r="I975" s="799"/>
      <c r="J975" s="799"/>
      <c r="K975" s="799"/>
      <c r="L975" s="799"/>
      <c r="M975" s="799"/>
      <c r="N975" s="799"/>
      <c r="O975" s="799"/>
      <c r="P975" s="799"/>
      <c r="Q975" s="799"/>
      <c r="R975" s="799"/>
      <c r="S975" s="799"/>
      <c r="T975" s="799"/>
      <c r="U975" s="799"/>
      <c r="V975" s="799"/>
      <c r="W975" s="799"/>
      <c r="X975" s="799"/>
      <c r="Y975" s="799"/>
      <c r="Z975" s="799"/>
      <c r="AA975" s="799"/>
      <c r="AB975" s="799"/>
      <c r="AC975" s="799"/>
      <c r="AD975" s="799"/>
      <c r="AE975" s="799"/>
      <c r="AF975" s="799"/>
      <c r="AG975" s="799"/>
      <c r="AH975" s="799"/>
      <c r="AI975" s="799"/>
      <c r="AJ975" s="799"/>
      <c r="AK975" s="799"/>
      <c r="AL975" s="799"/>
      <c r="AM975" s="799"/>
      <c r="AN975" s="799"/>
      <c r="AO975" s="799"/>
      <c r="AP975" s="799"/>
      <c r="AQ975" s="799"/>
      <c r="AR975" s="799"/>
      <c r="AS975" s="799"/>
      <c r="AT975" s="799"/>
      <c r="AU975" s="799"/>
      <c r="AV975" s="799"/>
      <c r="AW975" s="799"/>
      <c r="AX975" s="799"/>
      <c r="AY975" s="799"/>
      <c r="AZ975" s="799"/>
      <c r="BA975" s="799"/>
      <c r="BB975" s="799"/>
      <c r="BC975" s="799"/>
      <c r="BD975" s="799"/>
      <c r="BE975" s="799"/>
      <c r="BF975" s="799"/>
      <c r="BG975" s="799"/>
    </row>
    <row r="976">
      <c r="H976" s="799"/>
      <c r="I976" s="799"/>
      <c r="J976" s="799"/>
      <c r="K976" s="799"/>
      <c r="L976" s="799"/>
      <c r="M976" s="799"/>
      <c r="N976" s="799"/>
      <c r="O976" s="799"/>
      <c r="P976" s="799"/>
      <c r="Q976" s="799"/>
      <c r="R976" s="799"/>
      <c r="S976" s="799"/>
      <c r="T976" s="799"/>
      <c r="U976" s="799"/>
      <c r="V976" s="799"/>
      <c r="W976" s="799"/>
      <c r="X976" s="799"/>
      <c r="Y976" s="799"/>
      <c r="Z976" s="799"/>
      <c r="AA976" s="799"/>
      <c r="AB976" s="799"/>
      <c r="AC976" s="799"/>
      <c r="AD976" s="799"/>
      <c r="AE976" s="799"/>
      <c r="AF976" s="799"/>
      <c r="AG976" s="799"/>
      <c r="AH976" s="799"/>
      <c r="AI976" s="799"/>
      <c r="AJ976" s="799"/>
      <c r="AK976" s="799"/>
      <c r="AL976" s="799"/>
      <c r="AM976" s="799"/>
      <c r="AN976" s="799"/>
      <c r="AO976" s="799"/>
      <c r="AP976" s="799"/>
      <c r="AQ976" s="799"/>
      <c r="AR976" s="799"/>
      <c r="AS976" s="799"/>
      <c r="AT976" s="799"/>
      <c r="AU976" s="799"/>
      <c r="AV976" s="799"/>
      <c r="AW976" s="799"/>
      <c r="AX976" s="799"/>
      <c r="AY976" s="799"/>
      <c r="AZ976" s="799"/>
      <c r="BA976" s="799"/>
      <c r="BB976" s="799"/>
      <c r="BC976" s="799"/>
      <c r="BD976" s="799"/>
      <c r="BE976" s="799"/>
      <c r="BF976" s="799"/>
      <c r="BG976" s="799"/>
    </row>
    <row r="977">
      <c r="H977" s="799"/>
      <c r="I977" s="799"/>
      <c r="J977" s="799"/>
      <c r="K977" s="799"/>
      <c r="L977" s="799"/>
      <c r="M977" s="799"/>
      <c r="N977" s="799"/>
      <c r="O977" s="799"/>
      <c r="P977" s="799"/>
      <c r="Q977" s="799"/>
      <c r="R977" s="799"/>
      <c r="S977" s="799"/>
      <c r="T977" s="799"/>
      <c r="U977" s="799"/>
      <c r="V977" s="799"/>
      <c r="W977" s="799"/>
      <c r="X977" s="799"/>
      <c r="Y977" s="799"/>
      <c r="Z977" s="799"/>
      <c r="AA977" s="799"/>
      <c r="AB977" s="799"/>
      <c r="AC977" s="799"/>
      <c r="AD977" s="799"/>
      <c r="AE977" s="799"/>
      <c r="AF977" s="799"/>
      <c r="AG977" s="799"/>
      <c r="AH977" s="799"/>
      <c r="AI977" s="799"/>
      <c r="AJ977" s="799"/>
      <c r="AK977" s="799"/>
      <c r="AL977" s="799"/>
      <c r="AM977" s="799"/>
      <c r="AN977" s="799"/>
      <c r="AO977" s="799"/>
      <c r="AP977" s="799"/>
      <c r="AQ977" s="799"/>
      <c r="AR977" s="799"/>
      <c r="AS977" s="799"/>
      <c r="AT977" s="799"/>
      <c r="AU977" s="799"/>
      <c r="AV977" s="799"/>
      <c r="AW977" s="799"/>
      <c r="AX977" s="799"/>
      <c r="AY977" s="799"/>
      <c r="AZ977" s="799"/>
      <c r="BA977" s="799"/>
      <c r="BB977" s="799"/>
      <c r="BC977" s="799"/>
      <c r="BD977" s="799"/>
      <c r="BE977" s="799"/>
      <c r="BF977" s="799"/>
      <c r="BG977" s="799"/>
    </row>
    <row r="978">
      <c r="H978" s="799"/>
      <c r="I978" s="799"/>
      <c r="J978" s="799"/>
      <c r="K978" s="799"/>
      <c r="L978" s="799"/>
      <c r="M978" s="799"/>
      <c r="N978" s="799"/>
      <c r="O978" s="799"/>
      <c r="P978" s="799"/>
      <c r="Q978" s="799"/>
      <c r="R978" s="799"/>
      <c r="S978" s="799"/>
      <c r="T978" s="799"/>
      <c r="U978" s="799"/>
      <c r="V978" s="799"/>
      <c r="W978" s="799"/>
      <c r="X978" s="799"/>
      <c r="Y978" s="799"/>
      <c r="Z978" s="799"/>
      <c r="AA978" s="799"/>
      <c r="AB978" s="799"/>
      <c r="AC978" s="799"/>
      <c r="AD978" s="799"/>
      <c r="AE978" s="799"/>
      <c r="AF978" s="799"/>
      <c r="AG978" s="799"/>
      <c r="AH978" s="799"/>
      <c r="AI978" s="799"/>
      <c r="AJ978" s="799"/>
      <c r="AK978" s="799"/>
      <c r="AL978" s="799"/>
      <c r="AM978" s="799"/>
      <c r="AN978" s="799"/>
      <c r="AO978" s="799"/>
      <c r="AP978" s="799"/>
      <c r="AQ978" s="799"/>
      <c r="AR978" s="799"/>
      <c r="AS978" s="799"/>
      <c r="AT978" s="799"/>
      <c r="AU978" s="799"/>
      <c r="AV978" s="799"/>
      <c r="AW978" s="799"/>
      <c r="AX978" s="799"/>
      <c r="AY978" s="799"/>
      <c r="AZ978" s="799"/>
      <c r="BA978" s="799"/>
      <c r="BB978" s="799"/>
      <c r="BC978" s="799"/>
      <c r="BD978" s="799"/>
      <c r="BE978" s="799"/>
      <c r="BF978" s="799"/>
      <c r="BG978" s="799"/>
    </row>
    <row r="979">
      <c r="H979" s="799"/>
      <c r="I979" s="799"/>
      <c r="J979" s="799"/>
      <c r="K979" s="799"/>
      <c r="L979" s="799"/>
      <c r="M979" s="799"/>
      <c r="N979" s="799"/>
      <c r="O979" s="799"/>
      <c r="P979" s="799"/>
      <c r="Q979" s="799"/>
      <c r="R979" s="799"/>
      <c r="S979" s="799"/>
      <c r="T979" s="799"/>
      <c r="U979" s="799"/>
      <c r="V979" s="799"/>
      <c r="W979" s="799"/>
      <c r="X979" s="799"/>
      <c r="Y979" s="799"/>
      <c r="Z979" s="799"/>
      <c r="AA979" s="799"/>
      <c r="AB979" s="799"/>
      <c r="AC979" s="799"/>
      <c r="AD979" s="799"/>
      <c r="AE979" s="799"/>
      <c r="AF979" s="799"/>
      <c r="AG979" s="799"/>
      <c r="AH979" s="799"/>
      <c r="AI979" s="799"/>
      <c r="AJ979" s="799"/>
      <c r="AK979" s="799"/>
      <c r="AL979" s="799"/>
      <c r="AM979" s="799"/>
      <c r="AN979" s="799"/>
      <c r="AO979" s="799"/>
      <c r="AP979" s="799"/>
      <c r="AQ979" s="799"/>
      <c r="AR979" s="799"/>
      <c r="AS979" s="799"/>
      <c r="AT979" s="799"/>
      <c r="AU979" s="799"/>
      <c r="AV979" s="799"/>
      <c r="AW979" s="799"/>
      <c r="AX979" s="799"/>
      <c r="AY979" s="799"/>
      <c r="AZ979" s="799"/>
      <c r="BA979" s="799"/>
      <c r="BB979" s="799"/>
      <c r="BC979" s="799"/>
      <c r="BD979" s="799"/>
      <c r="BE979" s="799"/>
      <c r="BF979" s="799"/>
      <c r="BG979" s="799"/>
    </row>
    <row r="980">
      <c r="H980" s="799"/>
      <c r="I980" s="799"/>
      <c r="J980" s="799"/>
      <c r="K980" s="799"/>
      <c r="L980" s="799"/>
      <c r="M980" s="799"/>
      <c r="N980" s="799"/>
      <c r="O980" s="799"/>
      <c r="P980" s="799"/>
      <c r="Q980" s="799"/>
      <c r="R980" s="799"/>
      <c r="S980" s="799"/>
      <c r="T980" s="799"/>
      <c r="U980" s="799"/>
      <c r="V980" s="799"/>
      <c r="W980" s="799"/>
      <c r="X980" s="799"/>
      <c r="Y980" s="799"/>
      <c r="Z980" s="799"/>
      <c r="AA980" s="799"/>
      <c r="AB980" s="799"/>
      <c r="AC980" s="799"/>
      <c r="AD980" s="799"/>
      <c r="AE980" s="799"/>
      <c r="AF980" s="799"/>
      <c r="AG980" s="799"/>
      <c r="AH980" s="799"/>
      <c r="AI980" s="799"/>
      <c r="AJ980" s="799"/>
      <c r="AK980" s="799"/>
      <c r="AL980" s="799"/>
      <c r="AM980" s="799"/>
      <c r="AN980" s="799"/>
      <c r="AO980" s="799"/>
      <c r="AP980" s="799"/>
      <c r="AQ980" s="799"/>
      <c r="AR980" s="799"/>
      <c r="AS980" s="799"/>
      <c r="AT980" s="799"/>
      <c r="AU980" s="799"/>
      <c r="AV980" s="799"/>
      <c r="AW980" s="799"/>
      <c r="AX980" s="799"/>
      <c r="AY980" s="799"/>
      <c r="AZ980" s="799"/>
      <c r="BA980" s="799"/>
      <c r="BB980" s="799"/>
      <c r="BC980" s="799"/>
      <c r="BD980" s="799"/>
      <c r="BE980" s="799"/>
      <c r="BF980" s="799"/>
      <c r="BG980" s="799"/>
    </row>
    <row r="981">
      <c r="H981" s="799"/>
      <c r="I981" s="799"/>
      <c r="J981" s="799"/>
      <c r="K981" s="799"/>
      <c r="L981" s="799"/>
      <c r="M981" s="799"/>
      <c r="N981" s="799"/>
      <c r="O981" s="799"/>
      <c r="P981" s="799"/>
      <c r="Q981" s="799"/>
      <c r="R981" s="799"/>
      <c r="S981" s="799"/>
      <c r="T981" s="799"/>
      <c r="U981" s="799"/>
      <c r="V981" s="799"/>
      <c r="W981" s="799"/>
      <c r="X981" s="799"/>
      <c r="Y981" s="799"/>
      <c r="Z981" s="799"/>
      <c r="AA981" s="799"/>
      <c r="AB981" s="799"/>
      <c r="AC981" s="799"/>
      <c r="AD981" s="799"/>
      <c r="AE981" s="799"/>
      <c r="AF981" s="799"/>
      <c r="AG981" s="799"/>
      <c r="AH981" s="799"/>
      <c r="AI981" s="799"/>
      <c r="AJ981" s="799"/>
      <c r="AK981" s="799"/>
      <c r="AL981" s="799"/>
      <c r="AM981" s="799"/>
      <c r="AN981" s="799"/>
      <c r="AO981" s="799"/>
      <c r="AP981" s="799"/>
      <c r="AQ981" s="799"/>
      <c r="AR981" s="799"/>
      <c r="AS981" s="799"/>
      <c r="AT981" s="799"/>
      <c r="AU981" s="799"/>
      <c r="AV981" s="799"/>
      <c r="AW981" s="799"/>
      <c r="AX981" s="799"/>
      <c r="AY981" s="799"/>
      <c r="AZ981" s="799"/>
      <c r="BA981" s="799"/>
      <c r="BB981" s="799"/>
      <c r="BC981" s="799"/>
      <c r="BD981" s="799"/>
      <c r="BE981" s="799"/>
      <c r="BF981" s="799"/>
      <c r="BG981" s="799"/>
    </row>
    <row r="982">
      <c r="H982" s="799"/>
      <c r="I982" s="799"/>
      <c r="J982" s="799"/>
      <c r="K982" s="799"/>
      <c r="L982" s="799"/>
      <c r="M982" s="799"/>
      <c r="N982" s="799"/>
      <c r="O982" s="799"/>
      <c r="P982" s="799"/>
      <c r="Q982" s="799"/>
      <c r="R982" s="799"/>
      <c r="S982" s="799"/>
      <c r="T982" s="799"/>
      <c r="U982" s="799"/>
      <c r="V982" s="799"/>
      <c r="W982" s="799"/>
      <c r="X982" s="799"/>
      <c r="Y982" s="799"/>
      <c r="Z982" s="799"/>
      <c r="AA982" s="799"/>
      <c r="AB982" s="799"/>
      <c r="AC982" s="799"/>
      <c r="AD982" s="799"/>
      <c r="AE982" s="799"/>
      <c r="AF982" s="799"/>
      <c r="AG982" s="799"/>
      <c r="AH982" s="799"/>
      <c r="AI982" s="799"/>
      <c r="AJ982" s="799"/>
      <c r="AK982" s="799"/>
      <c r="AL982" s="799"/>
      <c r="AM982" s="799"/>
      <c r="AN982" s="799"/>
      <c r="AO982" s="799"/>
      <c r="AP982" s="799"/>
      <c r="AQ982" s="799"/>
      <c r="AR982" s="799"/>
      <c r="AS982" s="799"/>
      <c r="AT982" s="799"/>
      <c r="AU982" s="799"/>
      <c r="AV982" s="799"/>
      <c r="AW982" s="799"/>
      <c r="AX982" s="799"/>
      <c r="AY982" s="799"/>
      <c r="AZ982" s="799"/>
      <c r="BA982" s="799"/>
      <c r="BB982" s="799"/>
      <c r="BC982" s="799"/>
      <c r="BD982" s="799"/>
      <c r="BE982" s="799"/>
      <c r="BF982" s="799"/>
      <c r="BG982" s="799"/>
    </row>
    <row r="983">
      <c r="H983" s="799"/>
      <c r="I983" s="799"/>
      <c r="J983" s="799"/>
      <c r="K983" s="799"/>
      <c r="L983" s="799"/>
      <c r="M983" s="799"/>
      <c r="N983" s="799"/>
      <c r="O983" s="799"/>
      <c r="P983" s="799"/>
      <c r="Q983" s="799"/>
      <c r="R983" s="799"/>
      <c r="S983" s="799"/>
      <c r="T983" s="799"/>
      <c r="U983" s="799"/>
      <c r="V983" s="799"/>
      <c r="W983" s="799"/>
      <c r="X983" s="799"/>
      <c r="Y983" s="799"/>
      <c r="Z983" s="799"/>
      <c r="AA983" s="799"/>
      <c r="AB983" s="799"/>
      <c r="AC983" s="799"/>
      <c r="AD983" s="799"/>
      <c r="AE983" s="799"/>
      <c r="AF983" s="799"/>
      <c r="AG983" s="799"/>
      <c r="AH983" s="799"/>
      <c r="AI983" s="799"/>
      <c r="AJ983" s="799"/>
      <c r="AK983" s="799"/>
      <c r="AL983" s="799"/>
      <c r="AM983" s="799"/>
      <c r="AN983" s="799"/>
      <c r="AO983" s="799"/>
      <c r="AP983" s="799"/>
      <c r="AQ983" s="799"/>
      <c r="AR983" s="799"/>
      <c r="AS983" s="799"/>
      <c r="AT983" s="799"/>
      <c r="AU983" s="799"/>
      <c r="AV983" s="799"/>
      <c r="AW983" s="799"/>
      <c r="AX983" s="799"/>
      <c r="AY983" s="799"/>
      <c r="AZ983" s="799"/>
      <c r="BA983" s="799"/>
      <c r="BB983" s="799"/>
      <c r="BC983" s="799"/>
      <c r="BD983" s="799"/>
      <c r="BE983" s="799"/>
      <c r="BF983" s="799"/>
      <c r="BG983" s="799"/>
    </row>
    <row r="984">
      <c r="H984" s="799"/>
      <c r="I984" s="799"/>
      <c r="J984" s="799"/>
      <c r="K984" s="799"/>
      <c r="L984" s="799"/>
      <c r="M984" s="799"/>
      <c r="N984" s="799"/>
      <c r="O984" s="799"/>
      <c r="P984" s="799"/>
      <c r="Q984" s="799"/>
      <c r="R984" s="799"/>
      <c r="S984" s="799"/>
      <c r="T984" s="799"/>
      <c r="U984" s="799"/>
      <c r="V984" s="799"/>
      <c r="W984" s="799"/>
      <c r="X984" s="799"/>
      <c r="Y984" s="799"/>
      <c r="Z984" s="799"/>
      <c r="AA984" s="799"/>
      <c r="AB984" s="799"/>
      <c r="AC984" s="799"/>
      <c r="AD984" s="799"/>
      <c r="AE984" s="799"/>
      <c r="AF984" s="799"/>
      <c r="AG984" s="799"/>
      <c r="AH984" s="799"/>
      <c r="AI984" s="799"/>
      <c r="AJ984" s="799"/>
      <c r="AK984" s="799"/>
      <c r="AL984" s="799"/>
      <c r="AM984" s="799"/>
      <c r="AN984" s="799"/>
      <c r="AO984" s="799"/>
      <c r="AP984" s="799"/>
      <c r="AQ984" s="799"/>
      <c r="AR984" s="799"/>
      <c r="AS984" s="799"/>
      <c r="AT984" s="799"/>
      <c r="AU984" s="799"/>
      <c r="AV984" s="799"/>
      <c r="AW984" s="799"/>
      <c r="AX984" s="799"/>
      <c r="AY984" s="799"/>
      <c r="AZ984" s="799"/>
      <c r="BA984" s="799"/>
      <c r="BB984" s="799"/>
      <c r="BC984" s="799"/>
      <c r="BD984" s="799"/>
      <c r="BE984" s="799"/>
      <c r="BF984" s="799"/>
      <c r="BG984" s="799"/>
    </row>
    <row r="985">
      <c r="H985" s="799"/>
      <c r="I985" s="799"/>
      <c r="J985" s="799"/>
      <c r="K985" s="799"/>
      <c r="L985" s="799"/>
      <c r="M985" s="799"/>
      <c r="N985" s="799"/>
      <c r="O985" s="799"/>
      <c r="P985" s="799"/>
      <c r="Q985" s="799"/>
      <c r="R985" s="799"/>
      <c r="S985" s="799"/>
      <c r="T985" s="799"/>
      <c r="U985" s="799"/>
      <c r="V985" s="799"/>
      <c r="W985" s="799"/>
      <c r="X985" s="799"/>
      <c r="Y985" s="799"/>
      <c r="Z985" s="799"/>
      <c r="AA985" s="799"/>
      <c r="AB985" s="799"/>
      <c r="AC985" s="799"/>
      <c r="AD985" s="799"/>
      <c r="AE985" s="799"/>
      <c r="AF985" s="799"/>
      <c r="AG985" s="799"/>
      <c r="AH985" s="799"/>
      <c r="AI985" s="799"/>
      <c r="AJ985" s="799"/>
      <c r="AK985" s="799"/>
      <c r="AL985" s="799"/>
      <c r="AM985" s="799"/>
      <c r="AN985" s="799"/>
      <c r="AO985" s="799"/>
      <c r="AP985" s="799"/>
      <c r="AQ985" s="799"/>
      <c r="AR985" s="799"/>
      <c r="AS985" s="799"/>
      <c r="AT985" s="799"/>
      <c r="AU985" s="799"/>
      <c r="AV985" s="799"/>
      <c r="AW985" s="799"/>
      <c r="AX985" s="799"/>
      <c r="AY985" s="799"/>
      <c r="AZ985" s="799"/>
      <c r="BA985" s="799"/>
      <c r="BB985" s="799"/>
      <c r="BC985" s="799"/>
      <c r="BD985" s="799"/>
      <c r="BE985" s="799"/>
      <c r="BF985" s="799"/>
      <c r="BG985" s="799"/>
    </row>
    <row r="986">
      <c r="H986" s="799"/>
      <c r="I986" s="799"/>
      <c r="J986" s="799"/>
      <c r="K986" s="799"/>
      <c r="L986" s="799"/>
      <c r="M986" s="799"/>
      <c r="N986" s="799"/>
      <c r="O986" s="799"/>
      <c r="P986" s="799"/>
      <c r="Q986" s="799"/>
      <c r="R986" s="799"/>
      <c r="S986" s="799"/>
      <c r="T986" s="799"/>
      <c r="U986" s="799"/>
      <c r="V986" s="799"/>
      <c r="W986" s="799"/>
      <c r="X986" s="799"/>
      <c r="Y986" s="799"/>
      <c r="Z986" s="799"/>
      <c r="AA986" s="799"/>
      <c r="AB986" s="799"/>
      <c r="AC986" s="799"/>
      <c r="AD986" s="799"/>
      <c r="AE986" s="799"/>
      <c r="AF986" s="799"/>
      <c r="AG986" s="799"/>
      <c r="AH986" s="799"/>
      <c r="AI986" s="799"/>
      <c r="AJ986" s="799"/>
      <c r="AK986" s="799"/>
      <c r="AL986" s="799"/>
      <c r="AM986" s="799"/>
      <c r="AN986" s="799"/>
      <c r="AO986" s="799"/>
      <c r="AP986" s="799"/>
      <c r="AQ986" s="799"/>
      <c r="AR986" s="799"/>
      <c r="AS986" s="799"/>
      <c r="AT986" s="799"/>
      <c r="AU986" s="799"/>
      <c r="AV986" s="799"/>
      <c r="AW986" s="799"/>
      <c r="AX986" s="799"/>
      <c r="AY986" s="799"/>
      <c r="AZ986" s="799"/>
      <c r="BA986" s="799"/>
      <c r="BB986" s="799"/>
      <c r="BC986" s="799"/>
      <c r="BD986" s="799"/>
      <c r="BE986" s="799"/>
      <c r="BF986" s="799"/>
      <c r="BG986" s="799"/>
    </row>
    <row r="987">
      <c r="H987" s="799"/>
      <c r="I987" s="799"/>
      <c r="J987" s="799"/>
      <c r="K987" s="799"/>
      <c r="L987" s="799"/>
      <c r="M987" s="799"/>
      <c r="N987" s="799"/>
      <c r="O987" s="799"/>
      <c r="P987" s="799"/>
      <c r="Q987" s="799"/>
      <c r="R987" s="799"/>
      <c r="S987" s="799"/>
      <c r="T987" s="799"/>
      <c r="U987" s="799"/>
      <c r="V987" s="799"/>
      <c r="W987" s="799"/>
      <c r="X987" s="799"/>
      <c r="Y987" s="799"/>
      <c r="Z987" s="799"/>
      <c r="AA987" s="799"/>
      <c r="AB987" s="799"/>
      <c r="AC987" s="799"/>
      <c r="AD987" s="799"/>
      <c r="AE987" s="799"/>
      <c r="AF987" s="799"/>
      <c r="AG987" s="799"/>
      <c r="AH987" s="799"/>
      <c r="AI987" s="799"/>
      <c r="AJ987" s="799"/>
      <c r="AK987" s="799"/>
      <c r="AL987" s="799"/>
      <c r="AM987" s="799"/>
      <c r="AN987" s="799"/>
      <c r="AO987" s="799"/>
      <c r="AP987" s="799"/>
      <c r="AQ987" s="799"/>
      <c r="AR987" s="799"/>
      <c r="AS987" s="799"/>
      <c r="AT987" s="799"/>
      <c r="AU987" s="799"/>
      <c r="AV987" s="799"/>
      <c r="AW987" s="799"/>
      <c r="AX987" s="799"/>
      <c r="AY987" s="799"/>
      <c r="AZ987" s="799"/>
      <c r="BA987" s="799"/>
      <c r="BB987" s="799"/>
      <c r="BC987" s="799"/>
      <c r="BD987" s="799"/>
      <c r="BE987" s="799"/>
      <c r="BF987" s="799"/>
      <c r="BG987" s="799"/>
    </row>
    <row r="988">
      <c r="H988" s="799"/>
      <c r="I988" s="799"/>
      <c r="J988" s="799"/>
      <c r="K988" s="799"/>
      <c r="L988" s="799"/>
      <c r="M988" s="799"/>
      <c r="N988" s="799"/>
      <c r="O988" s="799"/>
      <c r="P988" s="799"/>
      <c r="Q988" s="799"/>
      <c r="R988" s="799"/>
      <c r="S988" s="799"/>
      <c r="T988" s="799"/>
      <c r="U988" s="799"/>
      <c r="V988" s="799"/>
      <c r="W988" s="799"/>
      <c r="X988" s="799"/>
      <c r="Y988" s="799"/>
      <c r="Z988" s="799"/>
      <c r="AA988" s="799"/>
      <c r="AB988" s="799"/>
      <c r="AC988" s="799"/>
      <c r="AD988" s="799"/>
      <c r="AE988" s="799"/>
      <c r="AF988" s="799"/>
      <c r="AG988" s="799"/>
      <c r="AH988" s="799"/>
      <c r="AI988" s="799"/>
      <c r="AJ988" s="799"/>
      <c r="AK988" s="799"/>
      <c r="AL988" s="799"/>
      <c r="AM988" s="799"/>
      <c r="AN988" s="799"/>
      <c r="AO988" s="799"/>
      <c r="AP988" s="799"/>
      <c r="AQ988" s="799"/>
      <c r="AR988" s="799"/>
      <c r="AS988" s="799"/>
      <c r="AT988" s="799"/>
      <c r="AU988" s="799"/>
      <c r="AV988" s="799"/>
      <c r="AW988" s="799"/>
      <c r="AX988" s="799"/>
      <c r="AY988" s="799"/>
      <c r="AZ988" s="799"/>
      <c r="BA988" s="799"/>
      <c r="BB988" s="799"/>
      <c r="BC988" s="799"/>
      <c r="BD988" s="799"/>
      <c r="BE988" s="799"/>
      <c r="BF988" s="799"/>
      <c r="BG988" s="799"/>
    </row>
    <row r="989">
      <c r="H989" s="799"/>
      <c r="I989" s="799"/>
      <c r="J989" s="799"/>
      <c r="K989" s="799"/>
      <c r="L989" s="799"/>
      <c r="M989" s="799"/>
      <c r="N989" s="799"/>
      <c r="O989" s="799"/>
      <c r="P989" s="799"/>
      <c r="Q989" s="799"/>
      <c r="R989" s="799"/>
      <c r="S989" s="799"/>
      <c r="T989" s="799"/>
      <c r="U989" s="799"/>
      <c r="V989" s="799"/>
      <c r="W989" s="799"/>
      <c r="X989" s="799"/>
      <c r="Y989" s="799"/>
      <c r="Z989" s="799"/>
      <c r="AA989" s="799"/>
      <c r="AB989" s="799"/>
      <c r="AC989" s="799"/>
      <c r="AD989" s="799"/>
      <c r="AE989" s="799"/>
      <c r="AF989" s="799"/>
      <c r="AG989" s="799"/>
      <c r="AH989" s="799"/>
      <c r="AI989" s="799"/>
      <c r="AJ989" s="799"/>
      <c r="AK989" s="799"/>
      <c r="AL989" s="799"/>
      <c r="AM989" s="799"/>
      <c r="AN989" s="799"/>
      <c r="AO989" s="799"/>
      <c r="AP989" s="799"/>
      <c r="AQ989" s="799"/>
      <c r="AR989" s="799"/>
      <c r="AS989" s="799"/>
      <c r="AT989" s="799"/>
      <c r="AU989" s="799"/>
      <c r="AV989" s="799"/>
      <c r="AW989" s="799"/>
      <c r="AX989" s="799"/>
      <c r="AY989" s="799"/>
      <c r="AZ989" s="799"/>
      <c r="BA989" s="799"/>
      <c r="BB989" s="799"/>
      <c r="BC989" s="799"/>
      <c r="BD989" s="799"/>
      <c r="BE989" s="799"/>
      <c r="BF989" s="799"/>
      <c r="BG989" s="799"/>
    </row>
    <row r="990">
      <c r="H990" s="799"/>
      <c r="I990" s="799"/>
      <c r="J990" s="799"/>
      <c r="K990" s="799"/>
      <c r="L990" s="799"/>
      <c r="M990" s="799"/>
      <c r="N990" s="799"/>
      <c r="O990" s="799"/>
      <c r="P990" s="799"/>
      <c r="Q990" s="799"/>
      <c r="R990" s="799"/>
      <c r="S990" s="799"/>
      <c r="T990" s="799"/>
      <c r="U990" s="799"/>
      <c r="V990" s="799"/>
      <c r="W990" s="799"/>
      <c r="X990" s="799"/>
      <c r="Y990" s="799"/>
      <c r="Z990" s="799"/>
      <c r="AA990" s="799"/>
      <c r="AB990" s="799"/>
      <c r="AC990" s="799"/>
      <c r="AD990" s="799"/>
      <c r="AE990" s="799"/>
      <c r="AF990" s="799"/>
      <c r="AG990" s="799"/>
      <c r="AH990" s="799"/>
      <c r="AI990" s="799"/>
      <c r="AJ990" s="799"/>
      <c r="AK990" s="799"/>
      <c r="AL990" s="799"/>
      <c r="AM990" s="799"/>
      <c r="AN990" s="799"/>
      <c r="AO990" s="799"/>
      <c r="AP990" s="799"/>
      <c r="AQ990" s="799"/>
      <c r="AR990" s="799"/>
      <c r="AS990" s="799"/>
      <c r="AT990" s="799"/>
      <c r="AU990" s="799"/>
      <c r="AV990" s="799"/>
      <c r="AW990" s="799"/>
      <c r="AX990" s="799"/>
      <c r="AY990" s="799"/>
      <c r="AZ990" s="799"/>
      <c r="BA990" s="799"/>
      <c r="BB990" s="799"/>
      <c r="BC990" s="799"/>
      <c r="BD990" s="799"/>
      <c r="BE990" s="799"/>
      <c r="BF990" s="799"/>
      <c r="BG990" s="799"/>
    </row>
    <row r="991">
      <c r="H991" s="799"/>
      <c r="I991" s="799"/>
      <c r="J991" s="799"/>
      <c r="K991" s="799"/>
      <c r="L991" s="799"/>
      <c r="M991" s="799"/>
      <c r="N991" s="799"/>
      <c r="O991" s="799"/>
      <c r="P991" s="799"/>
      <c r="Q991" s="799"/>
      <c r="R991" s="799"/>
      <c r="S991" s="799"/>
      <c r="T991" s="799"/>
      <c r="U991" s="799"/>
      <c r="V991" s="799"/>
      <c r="W991" s="799"/>
      <c r="X991" s="799"/>
      <c r="Y991" s="799"/>
      <c r="Z991" s="799"/>
      <c r="AA991" s="799"/>
      <c r="AB991" s="799"/>
      <c r="AC991" s="799"/>
      <c r="AD991" s="799"/>
      <c r="AE991" s="799"/>
      <c r="AF991" s="799"/>
      <c r="AG991" s="799"/>
      <c r="AH991" s="799"/>
      <c r="AI991" s="799"/>
      <c r="AJ991" s="799"/>
      <c r="AK991" s="799"/>
      <c r="AL991" s="799"/>
      <c r="AM991" s="799"/>
      <c r="AN991" s="799"/>
      <c r="AO991" s="799"/>
      <c r="AP991" s="799"/>
      <c r="AQ991" s="799"/>
      <c r="AR991" s="799"/>
      <c r="AS991" s="799"/>
      <c r="AT991" s="799"/>
      <c r="AU991" s="799"/>
      <c r="AV991" s="799"/>
      <c r="AW991" s="799"/>
      <c r="AX991" s="799"/>
      <c r="AY991" s="799"/>
      <c r="AZ991" s="799"/>
      <c r="BA991" s="799"/>
      <c r="BB991" s="799"/>
      <c r="BC991" s="799"/>
      <c r="BD991" s="799"/>
      <c r="BE991" s="799"/>
      <c r="BF991" s="799"/>
      <c r="BG991" s="799"/>
    </row>
    <row r="992">
      <c r="H992" s="799"/>
      <c r="I992" s="799"/>
      <c r="J992" s="799"/>
      <c r="K992" s="799"/>
      <c r="L992" s="799"/>
      <c r="M992" s="799"/>
      <c r="N992" s="799"/>
      <c r="O992" s="799"/>
      <c r="P992" s="799"/>
      <c r="Q992" s="799"/>
      <c r="R992" s="799"/>
      <c r="S992" s="799"/>
      <c r="T992" s="799"/>
      <c r="U992" s="799"/>
      <c r="V992" s="799"/>
      <c r="W992" s="799"/>
      <c r="X992" s="799"/>
      <c r="Y992" s="799"/>
      <c r="Z992" s="799"/>
      <c r="AA992" s="799"/>
      <c r="AB992" s="799"/>
      <c r="AC992" s="799"/>
      <c r="AD992" s="799"/>
      <c r="AE992" s="799"/>
      <c r="AF992" s="799"/>
      <c r="AG992" s="799"/>
      <c r="AH992" s="799"/>
      <c r="AI992" s="799"/>
      <c r="AJ992" s="799"/>
      <c r="AK992" s="799"/>
      <c r="AL992" s="799"/>
      <c r="AM992" s="799"/>
      <c r="AN992" s="799"/>
      <c r="AO992" s="799"/>
      <c r="AP992" s="799"/>
      <c r="AQ992" s="799"/>
      <c r="AR992" s="799"/>
      <c r="AS992" s="799"/>
      <c r="AT992" s="799"/>
      <c r="AU992" s="799"/>
      <c r="AV992" s="799"/>
      <c r="AW992" s="799"/>
      <c r="AX992" s="799"/>
      <c r="AY992" s="799"/>
      <c r="AZ992" s="799"/>
      <c r="BA992" s="799"/>
      <c r="BB992" s="799"/>
      <c r="BC992" s="799"/>
      <c r="BD992" s="799"/>
      <c r="BE992" s="799"/>
      <c r="BF992" s="799"/>
      <c r="BG992" s="799"/>
    </row>
    <row r="993">
      <c r="H993" s="799"/>
      <c r="I993" s="799"/>
      <c r="J993" s="799"/>
      <c r="K993" s="799"/>
      <c r="L993" s="799"/>
    </row>
    <row r="994">
      <c r="H994" s="799"/>
      <c r="I994" s="799"/>
      <c r="J994" s="799"/>
      <c r="K994" s="799"/>
      <c r="L994" s="799"/>
    </row>
    <row r="995">
      <c r="H995" s="799"/>
      <c r="I995" s="799"/>
      <c r="J995" s="799"/>
      <c r="K995" s="799"/>
      <c r="L995" s="799"/>
    </row>
    <row r="996">
      <c r="H996" s="799"/>
      <c r="I996" s="799"/>
      <c r="J996" s="799"/>
      <c r="K996" s="799"/>
      <c r="L996" s="799"/>
    </row>
    <row r="997">
      <c r="H997" s="799"/>
      <c r="I997" s="799"/>
      <c r="J997" s="799"/>
      <c r="K997" s="799"/>
      <c r="L997" s="799"/>
    </row>
    <row r="998">
      <c r="H998" s="799"/>
      <c r="I998" s="799"/>
      <c r="J998" s="799"/>
      <c r="K998" s="799"/>
      <c r="L998" s="799"/>
    </row>
    <row r="999">
      <c r="H999" s="799"/>
      <c r="I999" s="799"/>
      <c r="J999" s="799"/>
      <c r="K999" s="799"/>
      <c r="L999" s="799"/>
    </row>
    <row r="1000">
      <c r="H1000" s="799"/>
      <c r="I1000" s="799"/>
      <c r="J1000" s="799"/>
      <c r="K1000" s="799"/>
      <c r="L1000" s="799"/>
    </row>
  </sheetData>
  <mergeCells count="124">
    <mergeCell ref="Z11:Z12"/>
    <mergeCell ref="Z13:Z14"/>
    <mergeCell ref="Z8:Z9"/>
    <mergeCell ref="Z16:Z17"/>
    <mergeCell ref="Z1:Z2"/>
    <mergeCell ref="AB1:AC1"/>
    <mergeCell ref="Z3:Z4"/>
    <mergeCell ref="V6:V9"/>
    <mergeCell ref="Z6:Z7"/>
    <mergeCell ref="V11:V14"/>
    <mergeCell ref="V16:V19"/>
    <mergeCell ref="Z18:Z19"/>
    <mergeCell ref="K12:K13"/>
    <mergeCell ref="K14:K17"/>
    <mergeCell ref="L14:L17"/>
    <mergeCell ref="H10:H11"/>
    <mergeCell ref="I10:I11"/>
    <mergeCell ref="K10:K11"/>
    <mergeCell ref="L10:L11"/>
    <mergeCell ref="L12:L13"/>
    <mergeCell ref="H13:H14"/>
    <mergeCell ref="I13:I14"/>
    <mergeCell ref="C17:D18"/>
    <mergeCell ref="E17:F18"/>
    <mergeCell ref="A13:B15"/>
    <mergeCell ref="C13:D15"/>
    <mergeCell ref="E13:F15"/>
    <mergeCell ref="A16:B16"/>
    <mergeCell ref="C16:D16"/>
    <mergeCell ref="E16:F16"/>
    <mergeCell ref="A17:B18"/>
    <mergeCell ref="C25:D26"/>
    <mergeCell ref="E25:F26"/>
    <mergeCell ref="A21:B21"/>
    <mergeCell ref="C21:D21"/>
    <mergeCell ref="E21:F21"/>
    <mergeCell ref="A22:B23"/>
    <mergeCell ref="C22:D23"/>
    <mergeCell ref="E22:F23"/>
    <mergeCell ref="A25:B26"/>
    <mergeCell ref="A39:D39"/>
    <mergeCell ref="A40:D40"/>
    <mergeCell ref="E40:F40"/>
    <mergeCell ref="A41:D41"/>
    <mergeCell ref="E41:F41"/>
    <mergeCell ref="A42:D42"/>
    <mergeCell ref="E42:F42"/>
    <mergeCell ref="A46:G46"/>
    <mergeCell ref="A27:F34"/>
    <mergeCell ref="A35:F36"/>
    <mergeCell ref="A37:D37"/>
    <mergeCell ref="E37:F37"/>
    <mergeCell ref="A38:D38"/>
    <mergeCell ref="E38:F38"/>
    <mergeCell ref="E39:F39"/>
    <mergeCell ref="H23:M24"/>
    <mergeCell ref="A24:B24"/>
    <mergeCell ref="C24:D24"/>
    <mergeCell ref="E24:F24"/>
    <mergeCell ref="A19:F20"/>
    <mergeCell ref="H19:H20"/>
    <mergeCell ref="I19:I20"/>
    <mergeCell ref="P21:T21"/>
    <mergeCell ref="P22:S22"/>
    <mergeCell ref="P23:S23"/>
    <mergeCell ref="P24:S24"/>
    <mergeCell ref="N23:N25"/>
    <mergeCell ref="J25:K25"/>
    <mergeCell ref="P25:S25"/>
    <mergeCell ref="J26:K26"/>
    <mergeCell ref="N26:N27"/>
    <mergeCell ref="P26:S26"/>
    <mergeCell ref="P27:S27"/>
    <mergeCell ref="P30:R31"/>
    <mergeCell ref="S30:T31"/>
    <mergeCell ref="H33:I33"/>
    <mergeCell ref="H34:I34"/>
    <mergeCell ref="H35:I35"/>
    <mergeCell ref="J27:K27"/>
    <mergeCell ref="J28:K28"/>
    <mergeCell ref="N28:N29"/>
    <mergeCell ref="J29:K29"/>
    <mergeCell ref="L30:L31"/>
    <mergeCell ref="M30:M31"/>
    <mergeCell ref="N30:N31"/>
    <mergeCell ref="A1:B1"/>
    <mergeCell ref="C1:D1"/>
    <mergeCell ref="E1:F1"/>
    <mergeCell ref="N1:P1"/>
    <mergeCell ref="R1:T1"/>
    <mergeCell ref="V1:V4"/>
    <mergeCell ref="E2:F3"/>
    <mergeCell ref="A4:F4"/>
    <mergeCell ref="H7:H8"/>
    <mergeCell ref="I7:I8"/>
    <mergeCell ref="K7:K8"/>
    <mergeCell ref="L7:L8"/>
    <mergeCell ref="H1:L1"/>
    <mergeCell ref="H2:I2"/>
    <mergeCell ref="K2:L2"/>
    <mergeCell ref="H4:H5"/>
    <mergeCell ref="I4:I5"/>
    <mergeCell ref="K4:K5"/>
    <mergeCell ref="L4:L5"/>
    <mergeCell ref="A2:B3"/>
    <mergeCell ref="C2:D3"/>
    <mergeCell ref="A5:B6"/>
    <mergeCell ref="C5:D6"/>
    <mergeCell ref="E5:F6"/>
    <mergeCell ref="C7:D7"/>
    <mergeCell ref="E7:F7"/>
    <mergeCell ref="A7:B7"/>
    <mergeCell ref="A8:B9"/>
    <mergeCell ref="C8:D9"/>
    <mergeCell ref="E8:F9"/>
    <mergeCell ref="A10:B12"/>
    <mergeCell ref="C10:D12"/>
    <mergeCell ref="E10:F12"/>
    <mergeCell ref="H16:H17"/>
    <mergeCell ref="I16:I17"/>
    <mergeCell ref="N16:N17"/>
    <mergeCell ref="P28:S28"/>
    <mergeCell ref="P29:R29"/>
    <mergeCell ref="S29:T29"/>
  </mergeCells>
  <conditionalFormatting sqref="X19">
    <cfRule type="expression" dxfId="26" priority="1">
      <formula>X20&lt;&gt;1</formula>
    </cfRule>
  </conditionalFormatting>
  <conditionalFormatting sqref="X9">
    <cfRule type="expression" dxfId="26" priority="2">
      <formula>X20&lt;&gt;1</formula>
    </cfRule>
  </conditionalFormatting>
  <conditionalFormatting sqref="X14">
    <cfRule type="expression" dxfId="26" priority="3">
      <formula>X20&lt;&gt;1</formula>
    </cfRule>
  </conditionalFormatting>
  <conditionalFormatting sqref="Z3 Z8 Z13 Z18">
    <cfRule type="cellIs" dxfId="27" priority="4" operator="greaterThan">
      <formula>0</formula>
    </cfRule>
  </conditionalFormatting>
  <conditionalFormatting sqref="Z3 Z8 Z13 Z18">
    <cfRule type="cellIs" dxfId="28" priority="5" operator="lessThan">
      <formula>0</formula>
    </cfRule>
  </conditionalFormatting>
  <conditionalFormatting sqref="E13 L14 N30 S30">
    <cfRule type="cellIs" dxfId="12" priority="6" operator="lessThan">
      <formula>0</formula>
    </cfRule>
  </conditionalFormatting>
  <conditionalFormatting sqref="E13 L14 N30 S30">
    <cfRule type="cellIs" dxfId="21" priority="7" operator="greaterThan">
      <formula>0</formula>
    </cfRule>
  </conditionalFormatting>
  <conditionalFormatting sqref="E13 L14 N30 S30">
    <cfRule type="cellIs" dxfId="29" priority="8" operator="lessThan">
      <formula>0</formula>
    </cfRule>
  </conditionalFormatting>
  <conditionalFormatting sqref="E13 L14 N30 S30">
    <cfRule type="cellIs" dxfId="30" priority="9" operator="greaterThan">
      <formula>0</formula>
    </cfRule>
  </conditionalFormatting>
  <conditionalFormatting sqref="A22 C22:D23 E22 A25 E25">
    <cfRule type="cellIs" dxfId="30" priority="10" operator="lessThan">
      <formula>0</formula>
    </cfRule>
  </conditionalFormatting>
  <dataValidations>
    <dataValidation type="list" allowBlank="1" sqref="A17">
      <formula1>"Simple Avg.,Value Stocks,Growth"</formula1>
    </dataValidation>
  </dataValidations>
  <hyperlinks>
    <hyperlink r:id="rId1" ref="V25"/>
    <hyperlink r:id="rId2" ref="V28"/>
    <hyperlink r:id="rId3" ref="H34"/>
    <hyperlink r:id="rId4" ref="H35"/>
    <hyperlink r:id="rId5" ref="I46"/>
    <hyperlink r:id="rId6" ref="Q49"/>
    <hyperlink r:id="rId7" ref="AD49"/>
    <hyperlink r:id="rId8" ref="AK53"/>
    <hyperlink r:id="rId9" ref="AL53"/>
    <hyperlink r:id="rId10" ref="AK54"/>
    <hyperlink r:id="rId11" ref="AL54"/>
    <hyperlink r:id="rId12" ref="AK55"/>
    <hyperlink r:id="rId13" ref="AL55"/>
    <hyperlink r:id="rId14" ref="AK56"/>
    <hyperlink r:id="rId15" ref="AL56"/>
    <hyperlink r:id="rId16" ref="AK57"/>
    <hyperlink r:id="rId17" ref="AL57"/>
    <hyperlink r:id="rId18" ref="BA61"/>
    <hyperlink r:id="rId19" ref="BB61"/>
    <hyperlink r:id="rId20" ref="BA62"/>
    <hyperlink r:id="rId21" ref="BB62"/>
    <hyperlink r:id="rId22" ref="BA63"/>
    <hyperlink r:id="rId23" ref="BB63"/>
    <hyperlink r:id="rId24" ref="BA64"/>
    <hyperlink r:id="rId25" ref="BB64"/>
    <hyperlink r:id="rId26" ref="BA65"/>
    <hyperlink r:id="rId27" ref="BB65"/>
    <hyperlink r:id="rId28" ref="AM69"/>
    <hyperlink r:id="rId29" ref="AN69"/>
    <hyperlink r:id="rId30" ref="AM70"/>
    <hyperlink r:id="rId31" ref="AN70"/>
    <hyperlink r:id="rId32" ref="AM71"/>
    <hyperlink r:id="rId33" ref="AN71"/>
    <hyperlink r:id="rId34" ref="AM72"/>
    <hyperlink r:id="rId35" ref="AN72"/>
    <hyperlink r:id="rId36" ref="AM73"/>
    <hyperlink r:id="rId37" ref="AN73"/>
  </hyperlinks>
  <drawing r:id="rId38"/>
</worksheet>
</file>